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mc:AlternateContent xmlns:mc="http://schemas.openxmlformats.org/markup-compatibility/2006">
    <mc:Choice Requires="x15">
      <x15ac:absPath xmlns:x15ac="http://schemas.microsoft.com/office/spreadsheetml/2010/11/ac" url="C:\Users\carla.curreli\Desktop\2025 MSNA FT for Publication\"/>
    </mc:Choice>
  </mc:AlternateContent>
  <xr:revisionPtr revIDLastSave="0" documentId="13_ncr:1_{E234227B-16F0-4408-96AB-AA91A2C48D67}" xr6:coauthVersionLast="47" xr6:coauthVersionMax="47" xr10:uidLastSave="{00000000-0000-0000-0000-000000000000}"/>
  <bookViews>
    <workbookView xWindow="-110" yWindow="-110" windowWidth="19420" windowHeight="11500" activeTab="1" xr2:uid="{00000000-000D-0000-FFFF-FFFF00000000}"/>
  </bookViews>
  <sheets>
    <sheet name="READ_ME" sheetId="3" r:id="rId1"/>
    <sheet name="Table_of_content" sheetId="1" r:id="rId2"/>
    <sheet name="Data" sheetId="2" r:id="rId3"/>
  </sheets>
  <definedNames>
    <definedName name="_xlnm._FilterDatabase" localSheetId="2" hidden="1">Data!$B$2:$D$32853</definedName>
    <definedName name="Slicer_Disaggregation">#N/A</definedName>
    <definedName name="Slicer_Indicator">#N/A</definedName>
    <definedName name="Slicer_Sector">#N/A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55" i="1" l="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alcChain>
</file>

<file path=xl/sharedStrings.xml><?xml version="1.0" encoding="utf-8"?>
<sst xmlns="http://schemas.openxmlformats.org/spreadsheetml/2006/main" count="90433" uniqueCount="2850">
  <si>
    <t>REACH Ukraine | Multi-Sector Needs Assessment (MSNA) 2025 | Macroregion Frequency Tables</t>
  </si>
  <si>
    <t> </t>
  </si>
  <si>
    <t>Items</t>
  </si>
  <si>
    <t>Description</t>
  </si>
  <si>
    <t xml:space="preserve">Background &amp; Rationale </t>
  </si>
  <si>
    <t>Three years after the escalation of the war in February 2022, the humanitarian crisis in Ukraine remains severe and complex. The 2025 Humanitarian Needs and Response Plan (HNRP) estimates that 12.7 million people—one in three Ukrainians—require humanitarian assistance. As of June 2025, there were 3.8 million internally displaced people, 4.1 million returnees, and 5.6 million Ukrainian refugees worldwide. Hostilities continue in the North, East, and South, while missile and drone attacks intensified in April–May 2025, increasing civilian casualties. Ongoing attacks on infrastructure and productive assets from 2024 to 2025 have disrupted essential services such as electricity, heating, water, sanitation, healthcare, and education. REACH’s 2024 Multi-Sector Needs Assessment (MSNA) found widespread needs nationwide, with over 80% of households in need in at least one sector and 29% in extreme need. The conflict has worsened socioeconomic vulnerabilities, particularly in livelihoods, protection, and health, with frontline and border areas most affected. Needs also vary by age, gender, and disability.
The current situation has been further strained by a sudden and significant decrease in humanitarian funding due to the United States Government’s suspension of humanitarian programmes in January 2025. To adapt to these shifting circumstances, the humanitarian community in Ukraine carried out a re-prioritization of the 2025 HNRP, structured around four strategic priorities: (i) supporting the most vulnerable in front line regions, (ii) supporting evacuations, (iii) emergency response after strikes, and (iv) assisting the most vulnerable among the IDPs.
Against this backdrop of widespread vulnerabilities, decreased funding capacities, and new strategic priorities of the humanitarian response in Ukraine, REACH Ukraine implemented the 2025 MSNA in collaboration with the Inter-Cluster Coordination Group (ICCG) and the United Nations Office for the Coordination of Humanitarian Affairs (OCHA) to gather updated and accurate information on needs and vulnerabilities and continue informing the humanitarian response.
The 2025 MSNA intends to provide updated and representative multi-sectoral data on the current humanitarian situation in Ukraine to inform strategic decision-making of the HCT, ICCG, and Humanitarian Clusters and to guide the programmatic and operational planning of international and local partners. In Ukraine, the MSNA is a key source of evidence for humanitarian response planning and is expected to directly inform the 2026 HNRP, including People-in-Need (PiN) calculations, severity rankings, and geographic targeting. The assessment gathers individual- and household-level data to measure the prevalence and severity of needs, along with their underlying drivers. It explores how needs differ by geographic area and key demographic characteristics, including gender, age, disability, household composition, and displacement status. Additionally, the MSNA collects information on accountability to affected populations offering insights into the impact of reduced humanitarian funding on affected communities.
The 2025 MSNA contributes to building an evidence base in support to the strategic priorities of the re-prioritized humanitarian planning, providing granular data to measure humanitarian needs along the front line and border regions, and measuring variations in severity and prevalence of needs among conflict affected displaced groups (e.g. returnee households, IDP households), in an attempt to inform the identification and targeting of the most vulnerable along the frontline and IDP households. REACH conducted the 2025 MSNA building upon the 2024 Ukraine MSNA, in collaboration with the ICCG, and in alignment with UN OCHA.</t>
  </si>
  <si>
    <t>Data Collection Period</t>
  </si>
  <si>
    <t>22/07/2025 to 18/08/2025</t>
  </si>
  <si>
    <t>Geographic Coverage</t>
  </si>
  <si>
    <t>Whole of Ukraine, with the exception of households in settlements not under control of the Government of Ukraine during the course of data collection.</t>
  </si>
  <si>
    <t>Methodology &amp; Sampling</t>
  </si>
  <si>
    <t>Contacts</t>
  </si>
  <si>
    <t>Carla Curreli carla.curreli@impact-initiatives.org</t>
  </si>
  <si>
    <t>Mariia Chupikova mariia.chupikova@reach-initiative.org</t>
  </si>
  <si>
    <t>Mackenzie Seaman mackenzie.seaman@impact-initiatives.org </t>
  </si>
  <si>
    <t>Product Navigation and Disaggregations</t>
  </si>
  <si>
    <t>Sheets</t>
  </si>
  <si>
    <t>Sheet 1 - READ_ME</t>
  </si>
  <si>
    <t>Project description</t>
  </si>
  <si>
    <t>Sheet 2 - Table of Contents</t>
  </si>
  <si>
    <t xml:space="preserve">The Table of Contents displays the links to relevant Frequency Tables. To filter the tables of interest, select the (i) sector, and (ii) indicator of interest, using the slicers above the table. Click the links in the "Link to Frequency Table" column to access the data. </t>
  </si>
  <si>
    <t>Sheet 3 - Data</t>
  </si>
  <si>
    <t>The Data sheet contains the Frequency Tables.</t>
  </si>
  <si>
    <t>TO FILTER RELEVANT FREQUENCY TABLES:</t>
  </si>
  <si>
    <r>
      <t>STEP 1: SELECT THE</t>
    </r>
    <r>
      <rPr>
        <b/>
        <sz val="10"/>
        <color rgb="FFE84A4A"/>
        <rFont val="Calibri"/>
        <family val="2"/>
        <scheme val="minor"/>
      </rPr>
      <t xml:space="preserve"> SECTOR</t>
    </r>
  </si>
  <si>
    <r>
      <t xml:space="preserve">STEP 2: SELECT THE </t>
    </r>
    <r>
      <rPr>
        <b/>
        <sz val="10"/>
        <color rgb="FFE84A4A"/>
        <rFont val="Calibri"/>
        <family val="2"/>
        <scheme val="minor"/>
      </rPr>
      <t>INDICATOR</t>
    </r>
    <r>
      <rPr>
        <b/>
        <sz val="10"/>
        <color theme="1"/>
        <rFont val="Calibri"/>
        <family val="2"/>
        <scheme val="minor"/>
      </rPr>
      <t xml:space="preserve"> OF INTEREST</t>
    </r>
  </si>
  <si>
    <r>
      <rPr>
        <b/>
        <sz val="10"/>
        <color rgb="FF000000"/>
        <rFont val="Calibri"/>
        <family val="2"/>
        <scheme val="minor"/>
      </rPr>
      <t xml:space="preserve">STEP 3: SELECT THE </t>
    </r>
    <r>
      <rPr>
        <b/>
        <sz val="10"/>
        <color rgb="FFE84A4A"/>
        <rFont val="Calibri"/>
        <family val="2"/>
        <scheme val="minor"/>
      </rPr>
      <t>DISAGGREGATION</t>
    </r>
    <r>
      <rPr>
        <b/>
        <sz val="10"/>
        <color rgb="FFFF0000"/>
        <rFont val="Calibri"/>
        <family val="2"/>
        <scheme val="minor"/>
      </rPr>
      <t xml:space="preserve"> </t>
    </r>
    <r>
      <rPr>
        <b/>
        <sz val="10"/>
        <color rgb="FF000000"/>
        <rFont val="Calibri"/>
        <family val="2"/>
        <scheme val="minor"/>
      </rPr>
      <t>OF INTEREST</t>
    </r>
  </si>
  <si>
    <t xml:space="preserve">Applicable indicators by sector will appear in red in the slicer </t>
  </si>
  <si>
    <r>
      <rPr>
        <u/>
        <sz val="10"/>
        <color theme="1"/>
        <rFont val="Calibri"/>
        <family val="2"/>
        <scheme val="minor"/>
      </rPr>
      <t>Applicable</t>
    </r>
    <r>
      <rPr>
        <sz val="10"/>
        <color theme="1"/>
        <rFont val="Calibri"/>
        <family val="2"/>
        <scheme val="minor"/>
      </rPr>
      <t xml:space="preserve"> disaggregations by indicator will appear in red in the slicer </t>
    </r>
  </si>
  <si>
    <t>Sector</t>
  </si>
  <si>
    <t>Indicator</t>
  </si>
  <si>
    <t>Disaggregation</t>
  </si>
  <si>
    <t>ID</t>
  </si>
  <si>
    <t>Link to Frequency Table</t>
  </si>
  <si>
    <t>Demographics</t>
  </si>
  <si>
    <t>Household members by age group</t>
  </si>
  <si>
    <t>overall</t>
  </si>
  <si>
    <t>Household members by gender</t>
  </si>
  <si>
    <t>Households by urbanity (urban, rural location)</t>
  </si>
  <si>
    <t>Households with at least one member with a registered or reported disability</t>
  </si>
  <si>
    <t>Households by size</t>
  </si>
  <si>
    <t>Households by presence of children (&lt;18 y.o.)</t>
  </si>
  <si>
    <t>Households by age of adults in the households</t>
  </si>
  <si>
    <t>Households by caregiving status</t>
  </si>
  <si>
    <t>Households by displacement status of head of household</t>
  </si>
  <si>
    <t>Households by gender of head of household</t>
  </si>
  <si>
    <t>Percentage of households by marital status of head of household</t>
  </si>
  <si>
    <t>Percentage of households by education level of head of household</t>
  </si>
  <si>
    <t>Livelihoods</t>
  </si>
  <si>
    <t>Employment status of household members (&gt;15 y.o.) in the past four weeks</t>
  </si>
  <si>
    <t>Percentage of household members (&gt;15 y.o. and &lt;75) who sought a job in the past 4 weeks</t>
  </si>
  <si>
    <t>by employment age of household members</t>
  </si>
  <si>
    <t>by gender of household members</t>
  </si>
  <si>
    <t>Employment barriers faced by household members (&gt;15 y.o. and &lt; 75 y.o.) that sought a job in the past 4 weeks, by type</t>
  </si>
  <si>
    <t>by gender and age of household members</t>
  </si>
  <si>
    <t>Education</t>
  </si>
  <si>
    <t>School-aged children (3-17 y.o.) attending school or early education program during 2024-2025 school year</t>
  </si>
  <si>
    <t>by households with at least one member with a reported and/or registered disability</t>
  </si>
  <si>
    <t>by urbanity</t>
  </si>
  <si>
    <t>by household size</t>
  </si>
  <si>
    <t>by income per capita (quartiles)</t>
  </si>
  <si>
    <t>by gender of head of household</t>
  </si>
  <si>
    <t>by age of adults in the households</t>
  </si>
  <si>
    <t>by displacement status of head of household</t>
  </si>
  <si>
    <t>by IDP household</t>
  </si>
  <si>
    <t>by proximity to frontline/border with Russian Federation</t>
  </si>
  <si>
    <t>by age of school-aged children</t>
  </si>
  <si>
    <t>by gender of school-aged children</t>
  </si>
  <si>
    <t>by gender and age of school-aged children</t>
  </si>
  <si>
    <t>School-aged children (3-17 y.o.) attending school or early education program by main education modality during 2024-2025 school year</t>
  </si>
  <si>
    <t>School-aged children (3-17 y.o.) attending school or early education program by grade during 2024-2025 school year</t>
  </si>
  <si>
    <t>Percentage of school-aged children (3-17 y.o.) by reasons for not attending school in 2024-2025 school year</t>
  </si>
  <si>
    <t>Percentage of school-aged children (3-17 y.o.) whose education was disrupted due to school damage</t>
  </si>
  <si>
    <t xml:space="preserve">Percentage of school-aged children (3-17 y.o.) whose education was disrupted due to displacement/evacuation/return </t>
  </si>
  <si>
    <t>Health</t>
  </si>
  <si>
    <t>Percentage of household members who needed to access healthcare in the past 3 months</t>
  </si>
  <si>
    <t>by households with at least one child (&lt;18 y.o.)</t>
  </si>
  <si>
    <t xml:space="preserve">by caregiving status </t>
  </si>
  <si>
    <t>by age of household members</t>
  </si>
  <si>
    <t>by age and gender of household members</t>
  </si>
  <si>
    <t xml:space="preserve">Percentage of household members able to obtain all healthcare in the past 3 months </t>
  </si>
  <si>
    <t>Percentage of household members unable to obtain all healthcare in the past 3 months, by type of need</t>
  </si>
  <si>
    <t>Average travel time to nearest functioning health facility (minutes)</t>
  </si>
  <si>
    <t>Households with members with chronic conditions requiring regular medication</t>
  </si>
  <si>
    <t>Households with members with chronic conditions requiring regular medication, by frequency of disrupted access to healthcare for chronic conditions in the past 3 months</t>
  </si>
  <si>
    <t>Percentage of households by barriers preventing access to health care in the past 3 months</t>
  </si>
  <si>
    <t>MHPSS</t>
  </si>
  <si>
    <t>Percentage of households feeling emotionally unwell (2+ weeks in the past 6 months)</t>
  </si>
  <si>
    <t>Percentage of households feeling emotionally unwell (2+ weeks in the past 6 months), by experienced difficulty in completing day-to-day activities</t>
  </si>
  <si>
    <t>Percentage of households feeling emotionally unwell that received mental health or psychosocial support/services, by type</t>
  </si>
  <si>
    <t>Percentage of households with at least one member with registered disability, by type</t>
  </si>
  <si>
    <t>Percentage of households with at least one member that has difficulties seeing</t>
  </si>
  <si>
    <t>Percentage of households with at least one member that has difficulties hearing</t>
  </si>
  <si>
    <t>Percentage of households with at least one member that has difficulties walking</t>
  </si>
  <si>
    <t>Percentage of households with at least one member that has difficulties concentrating</t>
  </si>
  <si>
    <t>Percentage of households with at least one member that has difficulties performing self-care</t>
  </si>
  <si>
    <t>Percentage of households with at least one member that has difficulties communicating</t>
  </si>
  <si>
    <t>Percentage of households with school-aged children (3-17 y.o.) whose education was disrupted monthly by prolonged or repetitive air alerts during the 2024-2025 school year</t>
  </si>
  <si>
    <t>Percentage of households by time adults spend on supporting children's education</t>
  </si>
  <si>
    <t>Displacement</t>
  </si>
  <si>
    <t>Percentage of households by displacement status of head of household</t>
  </si>
  <si>
    <t>Households which are IDPs, by duration of most recent displacement (months)</t>
  </si>
  <si>
    <t>Households which are returnees, by duration of displacement before return (months)</t>
  </si>
  <si>
    <t>Households which are returnees, by length since most recent return (months)</t>
  </si>
  <si>
    <t>Households which are IDPs, by duration in current place of residence (months)</t>
  </si>
  <si>
    <t>Households which are displaced within settlements, by duration of most recent displacement (months)</t>
  </si>
  <si>
    <t>Percentage of displaced households by oblast of origin</t>
  </si>
  <si>
    <t>Percentage of households with at least one member with IDP certificate/receiving IDP payments</t>
  </si>
  <si>
    <t>Percentage of returnee households by reasons for return to their habitual place of residence</t>
  </si>
  <si>
    <t>Percentage of households who were evacuated in the past 6 months</t>
  </si>
  <si>
    <t>Cash and Markets</t>
  </si>
  <si>
    <t>Households reporting expenditures in the last 30 days, by type</t>
  </si>
  <si>
    <t>Household Domestic Expenditure over the last 30 days, by type and amount</t>
  </si>
  <si>
    <t>Monthly household expenditures on heating last winter</t>
  </si>
  <si>
    <t>Households reporting  long term expenditures in the past 6 months, by type</t>
  </si>
  <si>
    <t>Household Domestic Expenditure over the last 6 months, by type and amount</t>
  </si>
  <si>
    <t>Total monthly expenditures per capita</t>
  </si>
  <si>
    <t>SNFI</t>
  </si>
  <si>
    <t>Percentage of households reporting completely lacking essential non-food items in the last 3 months, by type</t>
  </si>
  <si>
    <t>Households reporting primary income sources over the last 30 days, by type of income source</t>
  </si>
  <si>
    <t>Household income per capita over the 30 days prior to data collection, by types of income source</t>
  </si>
  <si>
    <t>Total monthly income per capita</t>
  </si>
  <si>
    <t>Households receiving income from remittances/family and friends in Ukraine/community members, by regularity</t>
  </si>
  <si>
    <t>Percentage of households who have become indebted since 2024</t>
  </si>
  <si>
    <t>Percentage of households who are currently indebted, by reason</t>
  </si>
  <si>
    <t>Percentage of households earning an income from own production, by challenges experienced</t>
  </si>
  <si>
    <t>Households adopting Livelihood Coping Strategies, by strategy</t>
  </si>
  <si>
    <t>Households using Livelihood Coping Strategies, by main reason</t>
  </si>
  <si>
    <t>Livelihood Coping Strategy - Essential Needs (LCS-EN)</t>
  </si>
  <si>
    <t>Protection</t>
  </si>
  <si>
    <t>Households exposed to armed violence/artillery shelling in the last 3 months</t>
  </si>
  <si>
    <t>by gender of respondent</t>
  </si>
  <si>
    <t>by age of respondents</t>
  </si>
  <si>
    <t>by gender and age of respondents</t>
  </si>
  <si>
    <t xml:space="preserve">Households exposed to armed violence/artillery shelling in the last 3 months, by frequency </t>
  </si>
  <si>
    <t>Households exposed to drone/missile attacks in last 3 months</t>
  </si>
  <si>
    <t>Households exposed to drone/missile attacks in past 3 months, by frequency</t>
  </si>
  <si>
    <t>Households exposed to other safety and security incidents in the last 3 months, by type</t>
  </si>
  <si>
    <t>Households reporting being concerned about having any HH member engaging in risky activities due to economic needs, by frequency</t>
  </si>
  <si>
    <t>Households reporting being concerned about being forced to flee, by frequency</t>
  </si>
  <si>
    <t>Households reporting being concerned about violence in the community, not related to the conflict, by frequency</t>
  </si>
  <si>
    <t>Households reporting being concerned about persecution/discrimination, by frequency</t>
  </si>
  <si>
    <t>Households reporting being concerned about kidnapping/detention/abduction, by frequency</t>
  </si>
  <si>
    <t>Households by reported safety and security concerns for WOMEN in the area, by concern</t>
  </si>
  <si>
    <t>Percentage of female respondents reporting that at least one female member of their household felt unsafe walking in their community, by frequency</t>
  </si>
  <si>
    <t>Percentage of households reporting areas/places that women and girls usually avoid, by type</t>
  </si>
  <si>
    <t>Households by reported safety and security concerns for MEN in the area, by concern</t>
  </si>
  <si>
    <t>Households by reported safety and security concerns for CHILDREN in the area, by concern</t>
  </si>
  <si>
    <t>Housing/land/property (HLP) concerns of households, by concern</t>
  </si>
  <si>
    <t>Households by presence of explosive ordnance present in community</t>
  </si>
  <si>
    <t>Households reporting that explosive ordnances affect the livelihoods of people in the community</t>
  </si>
  <si>
    <t>Households by frequency of training/awareness on safe behaviours towards Explosive Ordnances</t>
  </si>
  <si>
    <t>Percentage of households by current shelter situation</t>
  </si>
  <si>
    <t xml:space="preserve">Percentage of households by current shelter type </t>
  </si>
  <si>
    <t>Shelter size (squared meters)</t>
  </si>
  <si>
    <t>Number of individuals sharing a shelter</t>
  </si>
  <si>
    <t>Percentage of households by occupancy arrangement of current shelter</t>
  </si>
  <si>
    <t>Percentage of households feeling at risk of eviction within the next 6 months</t>
  </si>
  <si>
    <t>Percentage of households currently threatened with eviction</t>
  </si>
  <si>
    <t>Percentage of households by current shelter issues that were NOT caused by the war, by issue</t>
  </si>
  <si>
    <t>Percentage of households reporting damage to current shelter caused by the war since February 2022</t>
  </si>
  <si>
    <t>Percentage of households reporting that the damage to the current shelter caused by the war was REPAIRED</t>
  </si>
  <si>
    <t xml:space="preserve">Percentage of households reporting that the damage to current shelter was not repaired, by reason </t>
  </si>
  <si>
    <t>Percentage of households reporting damage to current shelter caused by the war, by severity</t>
  </si>
  <si>
    <t>Percentage of households reporting enough space/essential items so that the members of the households can cook</t>
  </si>
  <si>
    <t>Percentage of households reporting enough space/essential items so that the members of the households can sleep</t>
  </si>
  <si>
    <t>Percentage of households reporting enough space/essential items so that the members of the households can store food</t>
  </si>
  <si>
    <t>Households by main heating source in 2024-2025 winter season</t>
  </si>
  <si>
    <t>Households by main source of lighting</t>
  </si>
  <si>
    <t>Households by issue faced with electricity</t>
  </si>
  <si>
    <t>Households experiencing utility interruptions in the past three months, by utility type</t>
  </si>
  <si>
    <t>Households by access to alternative source of power</t>
  </si>
  <si>
    <t>Households with access to the internet in the past 4 weeks, by frequency</t>
  </si>
  <si>
    <t>WASH</t>
  </si>
  <si>
    <t>Households by main source of drinking water, by source</t>
  </si>
  <si>
    <t>Households where main source of drinking water is off premises, by  time taken to fetch water from main source of drinking water in minutes</t>
  </si>
  <si>
    <t>Households by acceptability of water in the past 4 weeks (prior to treatment)</t>
  </si>
  <si>
    <t>Households who treat drinking water from the main source</t>
  </si>
  <si>
    <t>Households by days without sufficient drinking water quantity in the past 4 weeks</t>
  </si>
  <si>
    <t>Households by main source of water for domestic purposes</t>
  </si>
  <si>
    <t>Households by days without sufficient water for domestic purposes quantity in the past 4 weeks</t>
  </si>
  <si>
    <t>Percentage of households reporting enough space/essential items so that the members of the households can perform personal hygiene</t>
  </si>
  <si>
    <t>Households by main handwashing facility</t>
  </si>
  <si>
    <t>Households having access to soap for washing hands</t>
  </si>
  <si>
    <t>Households by main toilet facility</t>
  </si>
  <si>
    <t>Households sharing main toilet facility</t>
  </si>
  <si>
    <t>Households sharing main toilet facility by number of households sharing that facility</t>
  </si>
  <si>
    <t>Households facing issues with pumping off sewage/septic tank in the past 12 months, by issue</t>
  </si>
  <si>
    <t>Percentage of households who had to go without washing hands after dirty activities in the past 4 weeks, by frequency</t>
  </si>
  <si>
    <t>Percentage of households who worried about not having enough water to cover all needs in the past 4 weeks, by frequency</t>
  </si>
  <si>
    <t>Percentage of households who had to change plans due to problems with water in the past 4 weeks, by frequency</t>
  </si>
  <si>
    <t>Food security</t>
  </si>
  <si>
    <t>Reduced Coping Strategies Index (rCSI)</t>
  </si>
  <si>
    <t>Food Consumption Score</t>
  </si>
  <si>
    <t>Households adopting Consumption-based Coping Strategies, by strategy</t>
  </si>
  <si>
    <t>AAP</t>
  </si>
  <si>
    <t>Households reporting most significant challenges their household currently faces</t>
  </si>
  <si>
    <t>Households reporting challenges, by type of support they would like to receive</t>
  </si>
  <si>
    <t>Households reporting challenges, by modality of assistance they would like to receive</t>
  </si>
  <si>
    <t>Households by last time aid was received</t>
  </si>
  <si>
    <t>Households reporting barriers in accessing to aid in the past 12 months, by barrier</t>
  </si>
  <si>
    <t>Households who received aid, by aid satisfaction in the past 12 months</t>
  </si>
  <si>
    <t>Households dissatisfied with aid received, by reason</t>
  </si>
  <si>
    <t>Percentage of households reporting reliable information channels to get information about aid, by channel</t>
  </si>
  <si>
    <t>Percentage of households utilizing complaint and feedback channels, by type</t>
  </si>
  <si>
    <t>Percentage of households receiving a response through complaint and feedback channels</t>
  </si>
  <si>
    <t>Percentage of household who have experienced cuts in  government assistance in the past 6 months</t>
  </si>
  <si>
    <t>Percentage of households unable to obtain needed legal assistance, by type of assistance</t>
  </si>
  <si>
    <t>Percentage of households unable to obtain needed social and administrative services, by type of services</t>
  </si>
  <si>
    <t>Percentage of households reporting services for women/girls are needed but not available in the area, by type of services</t>
  </si>
  <si>
    <t>Percentage of household reporting services for children are needed but not available in the area, by type of service</t>
  </si>
  <si>
    <t>Percentage of households whose ability to work/access resources was affected by threats in the past 3 months</t>
  </si>
  <si>
    <t>Percentage of households whose social interactions/participation were limited by threats in the past 3 months</t>
  </si>
  <si>
    <t>Percentage of households whose movement/access to public spaces changed due to threats in the past 3 months</t>
  </si>
  <si>
    <t>Percentage of households with children (&lt;18 y.o.) currently not living in the household</t>
  </si>
  <si>
    <t>Percentage of households with children (&lt;18 y.o.) currently not living in the household, by reasons</t>
  </si>
  <si>
    <t>by gender composition of household</t>
  </si>
  <si>
    <t>Households by gender composition</t>
  </si>
  <si>
    <t>Household members by age group on the admin of macroregion</t>
  </si>
  <si>
    <t>admin_category</t>
  </si>
  <si>
    <t>30-49 y.o.</t>
  </si>
  <si>
    <t>50-64 y.o.</t>
  </si>
  <si>
    <t>65+ y.o.</t>
  </si>
  <si>
    <t>6-17 y.o.</t>
  </si>
  <si>
    <t>18-29 y.o.</t>
  </si>
  <si>
    <t>&lt; 6 y.o.</t>
  </si>
  <si>
    <t>general_count</t>
  </si>
  <si>
    <t>Center</t>
  </si>
  <si>
    <t>East</t>
  </si>
  <si>
    <t>North</t>
  </si>
  <si>
    <t>South</t>
  </si>
  <si>
    <t>West</t>
  </si>
  <si>
    <t>Total</t>
  </si>
  <si>
    <t>Household members by gender on the admin of macroregion</t>
  </si>
  <si>
    <t>Women</t>
  </si>
  <si>
    <t>Men</t>
  </si>
  <si>
    <t>Other</t>
  </si>
  <si>
    <t>Households by urbanity (urban, rural location) on the admin of macroregion</t>
  </si>
  <si>
    <t>urban</t>
  </si>
  <si>
    <t>rural</t>
  </si>
  <si>
    <t>Households with at least one member with a registered or reported disability on the admin of macroregion</t>
  </si>
  <si>
    <t>HH with no WGSS nor registered disability</t>
  </si>
  <si>
    <t>HH with a WGSS and/or registered disability</t>
  </si>
  <si>
    <t>Households by size on the admin of macroregion</t>
  </si>
  <si>
    <t>HHs with 2-4 members</t>
  </si>
  <si>
    <t>Single HH member</t>
  </si>
  <si>
    <t>With 5+ members</t>
  </si>
  <si>
    <t>Households by presence of children (&lt;18 y.o.) on the admin of macroregion</t>
  </si>
  <si>
    <t>HHs without children</t>
  </si>
  <si>
    <t>HHs with children</t>
  </si>
  <si>
    <t>Households by age of adults in the households on the admin of macroregion</t>
  </si>
  <si>
    <t>Non-elderly HHs</t>
  </si>
  <si>
    <t>Elderly HHs</t>
  </si>
  <si>
    <t>Mixed HHs (both 60+ and under)</t>
  </si>
  <si>
    <t>Households by caregiving status on the admin of macroregion</t>
  </si>
  <si>
    <t>Household without children</t>
  </si>
  <si>
    <t>Multiple adults with children</t>
  </si>
  <si>
    <t>Single female adult with children</t>
  </si>
  <si>
    <t>Single male adult with children</t>
  </si>
  <si>
    <t>Households by displacement status of head of household on the admin of macroregion</t>
  </si>
  <si>
    <t>Non-displaced HHs</t>
  </si>
  <si>
    <t>IDP HHs</t>
  </si>
  <si>
    <t>Returnee HHs</t>
  </si>
  <si>
    <t>Displaced within settlement HHs</t>
  </si>
  <si>
    <t>Households by gender of head of household on the admin of macroregion</t>
  </si>
  <si>
    <t>Joint-headed HH (JHHs)</t>
  </si>
  <si>
    <t>HHs headed by 1 woman (WHHs)</t>
  </si>
  <si>
    <t>HHs headed by 1 man (MHHs)</t>
  </si>
  <si>
    <t>Percentage of households by marital status of head of household on the admin of macroregion</t>
  </si>
  <si>
    <t>married</t>
  </si>
  <si>
    <t>single</t>
  </si>
  <si>
    <t>widowed</t>
  </si>
  <si>
    <t>divorced</t>
  </si>
  <si>
    <t>prefer_not_to_answer</t>
  </si>
  <si>
    <t>do_not_know</t>
  </si>
  <si>
    <t>Percentage of households by education level of head of household on the admin of macroregion</t>
  </si>
  <si>
    <t>Master’s degree</t>
  </si>
  <si>
    <t>Vocational, technical education</t>
  </si>
  <si>
    <t>Bachelor’s degree</t>
  </si>
  <si>
    <t>Complete general secondary</t>
  </si>
  <si>
    <t>Basic general secondary</t>
  </si>
  <si>
    <t>Do not know</t>
  </si>
  <si>
    <t>PhD</t>
  </si>
  <si>
    <t>Primary school</t>
  </si>
  <si>
    <t>No education completed</t>
  </si>
  <si>
    <t>Doctor of Sciences</t>
  </si>
  <si>
    <t>Prefer not to answer</t>
  </si>
  <si>
    <t>Employment status of household members (&gt;15 y.o.) in the past four weeks on the admin of macroregion</t>
  </si>
  <si>
    <t>Officially employed with a permanent job (annual/monthly/weekly wage), excluding military service</t>
  </si>
  <si>
    <t>Retired not working</t>
  </si>
  <si>
    <t>Unemployed</t>
  </si>
  <si>
    <t>Informally/unofficially employed with cash or in-kind-payment</t>
  </si>
  <si>
    <t>Permanently sick or disabled (can't work)</t>
  </si>
  <si>
    <t>Own business</t>
  </si>
  <si>
    <t>Student not working</t>
  </si>
  <si>
    <t>Retired but still working (to receive additional income, or just prefer working)</t>
  </si>
  <si>
    <t>Unpaid work (e.g. looking after children, looking after the elderly, housework, etc.)</t>
  </si>
  <si>
    <t>Military service</t>
  </si>
  <si>
    <t>Student and working</t>
  </si>
  <si>
    <t>Officially employed with a temporary job (annual/monthly/weekly/daily wage)</t>
  </si>
  <si>
    <t>Working for free/volunteering</t>
  </si>
  <si>
    <t>Percentage of household members (&gt;15 y.o. and &lt;75) who sought a job in the past 4 weeks on the admin of macroregion</t>
  </si>
  <si>
    <t>No</t>
  </si>
  <si>
    <t>Yes</t>
  </si>
  <si>
    <t>Percentage of household members (&gt;15 y.o. and &lt;75) who sought a job in the past 4 weeks broken down by employment age of household members on the admin of macroregion</t>
  </si>
  <si>
    <t>disaggregations_category_1</t>
  </si>
  <si>
    <t>16-17 y.o.</t>
  </si>
  <si>
    <t>10</t>
  </si>
  <si>
    <t>30-44 y.o.</t>
  </si>
  <si>
    <t>45-59 y.o.</t>
  </si>
  <si>
    <t>24</t>
  </si>
  <si>
    <t>60+ y.o.</t>
  </si>
  <si>
    <t>25</t>
  </si>
  <si>
    <t>Percentage of household members (&gt;15 y.o. and &lt;75) who sought a job in the past 4 weeks broken down by gender of household members on the admin of macroregion</t>
  </si>
  <si>
    <t>2</t>
  </si>
  <si>
    <t>3</t>
  </si>
  <si>
    <t>Employment barriers faced by household members (&gt;15 y.o. and &lt; 75 y.o.) that sought a job in the past 4 weeks, by type on the admin of macroregion</t>
  </si>
  <si>
    <t>Not satisfied with salaries / working conditions</t>
  </si>
  <si>
    <t>Lack of opportunities in the area</t>
  </si>
  <si>
    <t>Discrimination</t>
  </si>
  <si>
    <t>No barriers</t>
  </si>
  <si>
    <t>Lack of qualification</t>
  </si>
  <si>
    <t>Need to care for children / sick / elderly family member</t>
  </si>
  <si>
    <t>Lack of means of transportation</t>
  </si>
  <si>
    <t>Sickness or disability</t>
  </si>
  <si>
    <t>Lack of ability to invest in own business</t>
  </si>
  <si>
    <t>Other (specify)</t>
  </si>
  <si>
    <t>Lack of necessary documents</t>
  </si>
  <si>
    <t>23</t>
  </si>
  <si>
    <t>29</t>
  </si>
  <si>
    <t>Employment barriers faced by household members (&gt;15 y.o. and &lt; 75 y.o.) that sought a job in the past 4 weeks, by type broken down by employment age of household members on the admin of macroregion</t>
  </si>
  <si>
    <t>1</t>
  </si>
  <si>
    <t>5</t>
  </si>
  <si>
    <t>8</t>
  </si>
  <si>
    <t>9</t>
  </si>
  <si>
    <t>6</t>
  </si>
  <si>
    <t>28</t>
  </si>
  <si>
    <t>4</t>
  </si>
  <si>
    <t>27</t>
  </si>
  <si>
    <t>7</t>
  </si>
  <si>
    <t>Employment barriers faced by household members (&gt;15 y.o. and &lt; 75 y.o.) that sought a job in the past 4 weeks, by type broken down by gender of household members on the admin of macroregion</t>
  </si>
  <si>
    <t>13</t>
  </si>
  <si>
    <t>12</t>
  </si>
  <si>
    <t>17</t>
  </si>
  <si>
    <t>Employment barriers faced by household members (&gt;15 y.o. and &lt; 75 y.o.) that sought a job in the past 4 weeks, by type broken down by gender and age of household members on the admin of macroregion</t>
  </si>
  <si>
    <t>disaggregations_category_2</t>
  </si>
  <si>
    <t>15</t>
  </si>
  <si>
    <t>22</t>
  </si>
  <si>
    <t>16</t>
  </si>
  <si>
    <t>19</t>
  </si>
  <si>
    <t>20</t>
  </si>
  <si>
    <t>21</t>
  </si>
  <si>
    <t>11</t>
  </si>
  <si>
    <t>18</t>
  </si>
  <si>
    <t>School-aged children (3-17 y.o.) attending school or early education program during 2024-2025 school year on the admin of macroregion</t>
  </si>
  <si>
    <t>School-aged children (3-17 y.o.) attending school or early education program during 2024-2025 school year broken down by households with at least one member with a reported and/or registered disability on the admin of macroregion</t>
  </si>
  <si>
    <t>School-aged children (3-17 y.o.) attending school or early education program during 2024-2025 school year broken down by urbanity on the admin of macroregion</t>
  </si>
  <si>
    <t>26</t>
  </si>
  <si>
    <t>School-aged children (3-17 y.o.) attending school or early education program during 2024-2025 school year broken down by household size on the admin of macroregion</t>
  </si>
  <si>
    <t>School-aged children (3-17 y.o.) attending school or early education program during 2024-2025 school year broken down by income per capita (quartiles) on the admin of macroregion</t>
  </si>
  <si>
    <t>HHs with 0-4750 UAH income per capita</t>
  </si>
  <si>
    <t>HHs with 13000 UAH and above income per capita</t>
  </si>
  <si>
    <t>HHs with 4750 - 7667 UAH income per capita</t>
  </si>
  <si>
    <t>HHs with 7667 - 13000 UAH income per capita</t>
  </si>
  <si>
    <t>School-aged children (3-17 y.o.) attending school or early education program during 2024-2025 school year broken down by gender of head of household on the admin of macroregion</t>
  </si>
  <si>
    <t>School-aged children (3-17 y.o.) attending school or early education program during 2024-2025 school year broken down by age of adults in the households on the admin of macroregion</t>
  </si>
  <si>
    <t>School-aged children (3-17 y.o.) attending school or early education program during 2024-2025 school year broken down by displacement status of head of household on the admin of macroregion</t>
  </si>
  <si>
    <t>School-aged children (3-17 y.o.) attending school or early education program during 2024-2025 school year broken down by IDP household on the admin of macroregion</t>
  </si>
  <si>
    <t>IDP</t>
  </si>
  <si>
    <t>Non-IDP</t>
  </si>
  <si>
    <t>School-aged children (3-17 y.o.) attending school or early education program during 2024-2025 school year broken down by proximity to frontline/border with Russian Federation on the admin of macroregion</t>
  </si>
  <si>
    <t>HHs living away from FL / RB</t>
  </si>
  <si>
    <t>HHs living within 0-20km from frontline/ Russian Border</t>
  </si>
  <si>
    <t>HHs living within 21-50km from frontline/ Russian Border</t>
  </si>
  <si>
    <t>School-aged children (3-17 y.o.) attending school or early education program during 2024-2025 school year broken down by age of school-aged children on the admin of macroregion</t>
  </si>
  <si>
    <t>10-14 y.o.</t>
  </si>
  <si>
    <t>6-9 y.o.</t>
  </si>
  <si>
    <t>15-17 y.o.</t>
  </si>
  <si>
    <t>3-5 y.o.</t>
  </si>
  <si>
    <t>14</t>
  </si>
  <si>
    <t>School-aged children (3-17 y.o.) attending school or early education program during 2024-2025 school year broken down by gender of school-aged children on the admin of macroregion</t>
  </si>
  <si>
    <t>School-aged children (3-17 y.o.) attending school or early education program during 2024-2025 school year broken down by gender and age of school-aged children on the admin of macroregion</t>
  </si>
  <si>
    <t>School-aged children (3-17 y.o.) attending school or early education program by main education modality during 2024-2025 school year on the admin of macroregion</t>
  </si>
  <si>
    <t>In-person</t>
  </si>
  <si>
    <t>Blended (remote and in-person)</t>
  </si>
  <si>
    <t>Remote</t>
  </si>
  <si>
    <t>School-aged children (3-17 y.o.) attending school or early education program by main education modality during 2024-2025 school year broken down by households with at least one member with a reported and/or registered disability on the admin of macroregion</t>
  </si>
  <si>
    <t>School-aged children (3-17 y.o.) attending school or early education program by main education modality during 2024-2025 school year broken down by urbanity on the admin of macroregion</t>
  </si>
  <si>
    <t>School-aged children (3-17 y.o.) attending school or early education program by main education modality during 2024-2025 school year broken down by household size on the admin of macroregion</t>
  </si>
  <si>
    <t>School-aged children (3-17 y.o.) attending school or early education program by main education modality during 2024-2025 school year broken down by income per capita (quartiles) on the admin of macroregion</t>
  </si>
  <si>
    <t>School-aged children (3-17 y.o.) attending school or early education program by main education modality during 2024-2025 school year broken down by gender of head of household on the admin of macroregion</t>
  </si>
  <si>
    <t>School-aged children (3-17 y.o.) attending school or early education program by main education modality during 2024-2025 school year broken down by age of adults in the households on the admin of macroregion</t>
  </si>
  <si>
    <t>School-aged children (3-17 y.o.) attending school or early education program by main education modality during 2024-2025 school year broken down by displacement status of head of household on the admin of macroregion</t>
  </si>
  <si>
    <t>School-aged children (3-17 y.o.) attending school or early education program by main education modality during 2024-2025 school year broken down by IDP household on the admin of macroregion</t>
  </si>
  <si>
    <t>School-aged children (3-17 y.o.) attending school or early education program by main education modality during 2024-2025 school year broken down by proximity to frontline/border with Russian Federation on the admin of macroregion</t>
  </si>
  <si>
    <t>School-aged children (3-17 y.o.) attending school or early education program by main education modality during 2024-2025 school year broken down by age of school-aged children on the admin of macroregion</t>
  </si>
  <si>
    <t>School-aged children (3-17 y.o.) attending school or early education program by main education modality during 2024-2025 school year broken down by gender of school-aged children on the admin of macroregion</t>
  </si>
  <si>
    <t>School-aged children (3-17 y.o.) attending school or early education program by main education modality during 2024-2025 school year broken down by gender and age of school-aged children on the admin of macroregion</t>
  </si>
  <si>
    <t>School-aged children (3-17 y.o.) attending school or early education program by grade during 2024-2025 school year on the admin of macroregion</t>
  </si>
  <si>
    <t>Preschool</t>
  </si>
  <si>
    <t>Primary school -grade 4</t>
  </si>
  <si>
    <t>Primary school -grade 3</t>
  </si>
  <si>
    <t>Secondary school - grade 9</t>
  </si>
  <si>
    <t>Secondary school - grade 7</t>
  </si>
  <si>
    <t>Secondary school - grade 6</t>
  </si>
  <si>
    <t>Secondary school - grade 8</t>
  </si>
  <si>
    <t>Secondary school - grade 5</t>
  </si>
  <si>
    <t>Primary school -grade 1</t>
  </si>
  <si>
    <t>Primary school -grade 2</t>
  </si>
  <si>
    <t>High school -grade 10</t>
  </si>
  <si>
    <t>Vocational Education and Training (VET)</t>
  </si>
  <si>
    <t>High school - grade 11</t>
  </si>
  <si>
    <t>University</t>
  </si>
  <si>
    <t>School-aged children (3-17 y.o.) attending school or early education program by grade during 2024-2025 school year broken down by households with at least one member with a reported and/or registered disability on the admin of macroregion</t>
  </si>
  <si>
    <t>School-aged children (3-17 y.o.) attending school or early education program by grade during 2024-2025 school year broken down by urbanity on the admin of macroregion</t>
  </si>
  <si>
    <t>School-aged children (3-17 y.o.) attending school or early education program by grade during 2024-2025 school year broken down by household size on the admin of macroregion</t>
  </si>
  <si>
    <t>School-aged children (3-17 y.o.) attending school or early education program by grade during 2024-2025 school year broken down by income per capita (quartiles) on the admin of macroregion</t>
  </si>
  <si>
    <t>School-aged children (3-17 y.o.) attending school or early education program by grade during 2024-2025 school year broken down by gender of head of household on the admin of macroregion</t>
  </si>
  <si>
    <t>School-aged children (3-17 y.o.) attending school or early education program by grade during 2024-2025 school year broken down by age of adults in the households on the admin of macroregion</t>
  </si>
  <si>
    <t>School-aged children (3-17 y.o.) attending school or early education program by grade during 2024-2025 school year broken down by displacement status of head of household on the admin of macroregion</t>
  </si>
  <si>
    <t>School-aged children (3-17 y.o.) attending school or early education program by grade during 2024-2025 school year broken down by IDP household on the admin of macroregion</t>
  </si>
  <si>
    <t>School-aged children (3-17 y.o.) attending school or early education program by grade during 2024-2025 school year broken down by proximity to frontline/border with Russian Federation on the admin of macroregion</t>
  </si>
  <si>
    <t>School-aged children (3-17 y.o.) attending school or early education program by grade during 2024-2025 school year broken down by age of school-aged children on the admin of macroregion</t>
  </si>
  <si>
    <t>School-aged children (3-17 y.o.) attending school or early education program by grade during 2024-2025 school year broken down by gender of school-aged children on the admin of macroregion</t>
  </si>
  <si>
    <t>School-aged children (3-17 y.o.) attending school or early education program by grade during 2024-2025 school year broken down by gender and age of school-aged children on the admin of macroregion</t>
  </si>
  <si>
    <t>Percentage of school-aged children (3-17 y.o.) by reasons for not attending school in 2024-2025 school year on the admin of macroregion</t>
  </si>
  <si>
    <t>The child is too young to attend school/kindergarten</t>
  </si>
  <si>
    <t>Protection risks while at or traveling to the school (e.g. missile attacks)</t>
  </si>
  <si>
    <t>Cannot afford the direct costs of education (e.g. tuition, supplies, transportation)</t>
  </si>
  <si>
    <t>The child's disability or other health issues prevent them from accessing school</t>
  </si>
  <si>
    <t>Unable to enrol in school due to lack of enrolment space</t>
  </si>
  <si>
    <t>Marriage/engagement</t>
  </si>
  <si>
    <t>Pregnancy</t>
  </si>
  <si>
    <t>No school available in the area</t>
  </si>
  <si>
    <t xml:space="preserve">The child has already completed compulsory school grades </t>
  </si>
  <si>
    <t xml:space="preserve">Lack of quiet and safe space to attend or listen to online learning classes </t>
  </si>
  <si>
    <t>There is a lack of interest/Education is not a priority either for the child or the household</t>
  </si>
  <si>
    <t>Inadequate or damaged infrastructure for learning in a safe environment (e.g. damaged school facilities, no or inadequate bomb shelter)</t>
  </si>
  <si>
    <t>Lack of appropriate IT equipment (laptop, tablet, etc)</t>
  </si>
  <si>
    <t>Unable to enrol in school due to recent displacement/evacuation/return</t>
  </si>
  <si>
    <t>Lack of or poor quality of teachers</t>
  </si>
  <si>
    <t>Percentage of school-aged children (3-17 y.o.) by reasons for not attending school in 2024-2025 school year broken down by households with at least one member with a reported and/or registered disability on the admin of macroregion</t>
  </si>
  <si>
    <t>Percentage of school-aged children (3-17 y.o.) by reasons for not attending school in 2024-2025 school year broken down by urbanity on the admin of macroregion</t>
  </si>
  <si>
    <t>Percentage of school-aged children (3-17 y.o.) by reasons for not attending school in 2024-2025 school year broken down by household size on the admin of macroregion</t>
  </si>
  <si>
    <t>Percentage of school-aged children (3-17 y.o.) by reasons for not attending school in 2024-2025 school year broken down by income per capita (quartiles) on the admin of macroregion</t>
  </si>
  <si>
    <t>Percentage of school-aged children (3-17 y.o.) by reasons for not attending school in 2024-2025 school year broken down by gender of head of household on the admin of macroregion</t>
  </si>
  <si>
    <t>Percentage of school-aged children (3-17 y.o.) by reasons for not attending school in 2024-2025 school year broken down by age of adults in the households on the admin of macroregion</t>
  </si>
  <si>
    <t>Percentage of school-aged children (3-17 y.o.) by reasons for not attending school in 2024-2025 school year broken down by displacement status of head of household on the admin of macroregion</t>
  </si>
  <si>
    <t>Percentage of school-aged children (3-17 y.o.) by reasons for not attending school in 2024-2025 school year broken down by IDP household on the admin of macroregion</t>
  </si>
  <si>
    <t>Percentage of school-aged children (3-17 y.o.) by reasons for not attending school in 2024-2025 school year broken down by proximity to frontline/border with Russian Federation on the admin of macroregion</t>
  </si>
  <si>
    <t>Percentage of school-aged children (3-17 y.o.) by reasons for not attending school in 2024-2025 school year broken down by age of school-aged children on the admin of macroregion</t>
  </si>
  <si>
    <t>Percentage of school-aged children (3-17 y.o.) by reasons for not attending school in 2024-2025 school year broken down by gender of school-aged children on the admin of macroregion</t>
  </si>
  <si>
    <t>Percentage of school-aged children (3-17 y.o.) by reasons for not attending school in 2024-2025 school year broken down by gender and age of school-aged children on the admin of macroregion</t>
  </si>
  <si>
    <t>Percentage of school-aged children (3-17 y.o.) whose education was disrupted due to school damage on the admin of macroregion</t>
  </si>
  <si>
    <t>Percentage of school-aged children (3-17 y.o.) whose education was disrupted due to school damage broken down by households with at least one member with a reported and/or registered disability on the admin of macroregion</t>
  </si>
  <si>
    <t>Percentage of school-aged children (3-17 y.o.) whose education was disrupted due to school damage broken down by urbanity on the admin of macroregion</t>
  </si>
  <si>
    <t>Percentage of school-aged children (3-17 y.o.) whose education was disrupted due to school damage broken down by household size on the admin of macroregion</t>
  </si>
  <si>
    <t>Percentage of school-aged children (3-17 y.o.) whose education was disrupted due to school damage broken down by income per capita (quartiles) on the admin of macroregion</t>
  </si>
  <si>
    <t>Percentage of school-aged children (3-17 y.o.) whose education was disrupted due to school damage broken down by gender of head of household on the admin of macroregion</t>
  </si>
  <si>
    <t>Percentage of school-aged children (3-17 y.o.) whose education was disrupted due to school damage broken down by age of adults in the households on the admin of macroregion</t>
  </si>
  <si>
    <t>Percentage of school-aged children (3-17 y.o.) whose education was disrupted due to school damage broken down by displacement status of head of household on the admin of macroregion</t>
  </si>
  <si>
    <t>Percentage of school-aged children (3-17 y.o.) whose education was disrupted due to school damage broken down by IDP household on the admin of macroregion</t>
  </si>
  <si>
    <t>Percentage of school-aged children (3-17 y.o.) whose education was disrupted due to school damage broken down by proximity to frontline/border with Russian Federation on the admin of macroregion</t>
  </si>
  <si>
    <t>Percentage of school-aged children (3-17 y.o.) whose education was disrupted due to school damage broken down by age of school-aged children on the admin of macroregion</t>
  </si>
  <si>
    <t>Percentage of school-aged children (3-17 y.o.) whose education was disrupted due to school damage broken down by gender of school-aged children on the admin of macroregion</t>
  </si>
  <si>
    <t>Percentage of school-aged children (3-17 y.o.) whose education was disrupted due to school damage broken down by gender and age of school-aged children on the admin of macroregion</t>
  </si>
  <si>
    <t>Percentage of school-aged children (3-17 y.o.) whose education was disrupted due to displacement/evacuation/return  on the admin of macroregion</t>
  </si>
  <si>
    <t>Percentage of school-aged children (3-17 y.o.) whose education was disrupted due to displacement/evacuation/return  broken down by households with at least one member with a reported and/or registered disability on the admin of macroregion</t>
  </si>
  <si>
    <t>Percentage of school-aged children (3-17 y.o.) whose education was disrupted due to displacement/evacuation/return  broken down by urbanity on the admin of macroregion</t>
  </si>
  <si>
    <t>Percentage of school-aged children (3-17 y.o.) whose education was disrupted due to displacement/evacuation/return  broken down by household size on the admin of macroregion</t>
  </si>
  <si>
    <t>Percentage of school-aged children (3-17 y.o.) whose education was disrupted due to displacement/evacuation/return  broken down by income per capita (quartiles) on the admin of macroregion</t>
  </si>
  <si>
    <t>Percentage of school-aged children (3-17 y.o.) whose education was disrupted due to displacement/evacuation/return  broken down by gender of head of household on the admin of macroregion</t>
  </si>
  <si>
    <t>Percentage of school-aged children (3-17 y.o.) whose education was disrupted due to displacement/evacuation/return  broken down by age of adults in the households on the admin of macroregion</t>
  </si>
  <si>
    <t>Percentage of school-aged children (3-17 y.o.) whose education was disrupted due to displacement/evacuation/return  broken down by displacement status of head of household on the admin of macroregion</t>
  </si>
  <si>
    <t>Percentage of school-aged children (3-17 y.o.) whose education was disrupted due to displacement/evacuation/return  broken down by IDP household on the admin of macroregion</t>
  </si>
  <si>
    <t>Percentage of school-aged children (3-17 y.o.) whose education was disrupted due to displacement/evacuation/return  broken down by proximity to frontline/border with Russian Federation on the admin of macroregion</t>
  </si>
  <si>
    <t>Percentage of school-aged children (3-17 y.o.) whose education was disrupted due to displacement/evacuation/return  broken down by age of school-aged children on the admin of macroregion</t>
  </si>
  <si>
    <t>Percentage of school-aged children (3-17 y.o.) whose education was disrupted due to displacement/evacuation/return  broken down by gender of school-aged children on the admin of macroregion</t>
  </si>
  <si>
    <t>Percentage of school-aged children (3-17 y.o.) whose education was disrupted due to displacement/evacuation/return  broken down by gender and age of school-aged children on the admin of macroregion</t>
  </si>
  <si>
    <t>Percentage of household members who needed to access healthcare in the past 3 months on the admin of macroregion</t>
  </si>
  <si>
    <t>Percentage of household members who needed to access healthcare in the past 3 months broken down by households with at least one member with a reported and/or registered disability on the admin of macroregion</t>
  </si>
  <si>
    <t>Percentage of household members who needed to access healthcare in the past 3 months broken down by urbanity on the admin of macroregion</t>
  </si>
  <si>
    <t>Percentage of household members who needed to access healthcare in the past 3 months broken down by household size on the admin of macroregion</t>
  </si>
  <si>
    <t>Percentage of household members who needed to access healthcare in the past 3 months broken down by income per capita (quartiles) on the admin of macroregion</t>
  </si>
  <si>
    <t>Percentage of household members who needed to access healthcare in the past 3 months broken down by gender of head of household on the admin of macroregion</t>
  </si>
  <si>
    <t>Percentage of household members who needed to access healthcare in the past 3 months broken down by age of adults in the households on the admin of macroregion</t>
  </si>
  <si>
    <t>Percentage of household members who needed to access healthcare in the past 3 months broken down by households with at least one child (&lt;18 y.o.) on the admin of macroregion</t>
  </si>
  <si>
    <t>Percentage of household members who needed to access healthcare in the past 3 months broken down by displacement status of head of household on the admin of macroregion</t>
  </si>
  <si>
    <t>Percentage of household members who needed to access healthcare in the past 3 months broken down by IDP household on the admin of macroregion</t>
  </si>
  <si>
    <t>Percentage of household members who needed to access healthcare in the past 3 months broken down by proximity to frontline/border with Russian Federation on the admin of macroregion</t>
  </si>
  <si>
    <t>Percentage of household members who needed to access healthcare in the past 3 months broken down by caregiving status  on the admin of macroregion</t>
  </si>
  <si>
    <t>Percentage of household members who needed to access healthcare in the past 3 months broken down by age of household members on the admin of macroregion</t>
  </si>
  <si>
    <t>Percentage of household members who needed to access healthcare in the past 3 months broken down by gender of household members on the admin of macroregion</t>
  </si>
  <si>
    <t>Percentage of household members who needed to access healthcare in the past 3 months broken down by age and gender of household members on the admin of macroregion</t>
  </si>
  <si>
    <t>Percentage of household members able to obtain all healthcare in the past 3 months  on the admin of macroregion</t>
  </si>
  <si>
    <t>Percentage of household members able to obtain all healthcare in the past 3 months  broken down by households with at least one member with a reported and/or registered disability on the admin of macroregion</t>
  </si>
  <si>
    <t>Percentage of household members able to obtain all healthcare in the past 3 months  broken down by urbanity on the admin of macroregion</t>
  </si>
  <si>
    <t>Percentage of household members able to obtain all healthcare in the past 3 months  broken down by household size on the admin of macroregion</t>
  </si>
  <si>
    <t>Percentage of household members able to obtain all healthcare in the past 3 months  broken down by income per capita (quartiles) on the admin of macroregion</t>
  </si>
  <si>
    <t>Percentage of household members able to obtain all healthcare in the past 3 months  broken down by gender of head of household on the admin of macroregion</t>
  </si>
  <si>
    <t>Percentage of household members able to obtain all healthcare in the past 3 months  broken down by age of adults in the households on the admin of macroregion</t>
  </si>
  <si>
    <t>Percentage of household members able to obtain all healthcare in the past 3 months  broken down by households with at least one child (&lt;18 y.o.) on the admin of macroregion</t>
  </si>
  <si>
    <t>Percentage of household members able to obtain all healthcare in the past 3 months  broken down by displacement status of head of household on the admin of macroregion</t>
  </si>
  <si>
    <t>Percentage of household members able to obtain all healthcare in the past 3 months  broken down by IDP household on the admin of macroregion</t>
  </si>
  <si>
    <t>Percentage of household members able to obtain all healthcare in the past 3 months  broken down by proximity to frontline/border with Russian Federation on the admin of macroregion</t>
  </si>
  <si>
    <t>Percentage of household members able to obtain all healthcare in the past 3 months  broken down by caregiving status  on the admin of macroregion</t>
  </si>
  <si>
    <t>Percentage of household members able to obtain all healthcare in the past 3 months  broken down by age of household members on the admin of macroregion</t>
  </si>
  <si>
    <t>Percentage of household members able to obtain all healthcare in the past 3 months  broken down by gender of household members on the admin of macroregion</t>
  </si>
  <si>
    <t>Percentage of household members able to obtain all healthcare in the past 3 months  broken down by age and gender of household members on the admin of macroregion</t>
  </si>
  <si>
    <t>Percentage of household members unable to obtain all healthcare in the past 3 months, by type of need on the admin of macroregion</t>
  </si>
  <si>
    <t xml:space="preserve">Consultation or drugs for chronic illness (diabetes, hypertension, etc.) </t>
  </si>
  <si>
    <t>Preventative consultation / check-up</t>
  </si>
  <si>
    <t>Consultation or drugs for other illnesses</t>
  </si>
  <si>
    <t>Consultation or drugs for acute illness (fever, diarrhoea, cough, etc.)</t>
  </si>
  <si>
    <t>Trauma care (injury, accident)</t>
  </si>
  <si>
    <t>Elective, non-life saving surgery</t>
  </si>
  <si>
    <t>Physical or mental health care after missile/drone strike (e.g. psychological support, rehabilitation)</t>
  </si>
  <si>
    <t>Emergency, life saving surgery</t>
  </si>
  <si>
    <t>Ante-natal or post-natal services</t>
  </si>
  <si>
    <t>Percentage of household members unable to obtain all healthcare in the past 3 months, by type of need broken down by households with at least one member with a reported and/or registered disability on the admin of macroregion</t>
  </si>
  <si>
    <t>Percentage of household members unable to obtain all healthcare in the past 3 months, by type of need broken down by urbanity on the admin of macroregion</t>
  </si>
  <si>
    <t>Percentage of household members unable to obtain all healthcare in the past 3 months, by type of need broken down by household size on the admin of macroregion</t>
  </si>
  <si>
    <t>Percentage of household members unable to obtain all healthcare in the past 3 months, by type of need broken down by income per capita (quartiles) on the admin of macroregion</t>
  </si>
  <si>
    <t>Percentage of household members unable to obtain all healthcare in the past 3 months, by type of need broken down by gender of head of household on the admin of macroregion</t>
  </si>
  <si>
    <t>Percentage of household members unable to obtain all healthcare in the past 3 months, by type of need broken down by age of adults in the households on the admin of macroregion</t>
  </si>
  <si>
    <t>Percentage of household members unable to obtain all healthcare in the past 3 months, by type of need broken down by households with at least one child (&lt;18 y.o.) on the admin of macroregion</t>
  </si>
  <si>
    <t>Percentage of household members unable to obtain all healthcare in the past 3 months, by type of need broken down by displacement status of head of household on the admin of macroregion</t>
  </si>
  <si>
    <t>Percentage of household members unable to obtain all healthcare in the past 3 months, by type of need broken down by IDP household on the admin of macroregion</t>
  </si>
  <si>
    <t>Percentage of household members unable to obtain all healthcare in the past 3 months, by type of need broken down by proximity to frontline/border with Russian Federation on the admin of macroregion</t>
  </si>
  <si>
    <t>Percentage of household members unable to obtain all healthcare in the past 3 months, by type of need broken down by caregiving status  on the admin of macroregion</t>
  </si>
  <si>
    <t>Percentage of household members unable to obtain all healthcare in the past 3 months, by type of need broken down by age of household members on the admin of macroregion</t>
  </si>
  <si>
    <t>Percentage of household members unable to obtain all healthcare in the past 3 months, by type of need broken down by gender of household members on the admin of macroregion</t>
  </si>
  <si>
    <t>Percentage of household members unable to obtain all healthcare in the past 3 months, by type of need broken down by age and gender of household members on the admin of macroregion</t>
  </si>
  <si>
    <t>Average travel time to nearest functioning health facility (minutes) on the admin of macroregion</t>
  </si>
  <si>
    <t>mean</t>
  </si>
  <si>
    <t>median</t>
  </si>
  <si>
    <t>min</t>
  </si>
  <si>
    <t>max</t>
  </si>
  <si>
    <t>Average travel time to nearest functioning health facility (minutes) broken down by households with at least one member with a reported and/or registered disability on the admin of macroregion</t>
  </si>
  <si>
    <t>Average travel time to nearest functioning health facility (minutes) broken down by urbanity on the admin of macroregion</t>
  </si>
  <si>
    <t>Average travel time to nearest functioning health facility (minutes) broken down by household size on the admin of macroregion</t>
  </si>
  <si>
    <t>Average travel time to nearest functioning health facility (minutes) broken down by income per capita (quartiles) on the admin of macroregion</t>
  </si>
  <si>
    <t>Average travel time to nearest functioning health facility (minutes) broken down by gender of head of household on the admin of macroregion</t>
  </si>
  <si>
    <t>Average travel time to nearest functioning health facility (minutes) broken down by age of adults in the households on the admin of macroregion</t>
  </si>
  <si>
    <t>Average travel time to nearest functioning health facility (minutes) broken down by households with at least one child (&lt;18 y.o.) on the admin of macroregion</t>
  </si>
  <si>
    <t>Average travel time to nearest functioning health facility (minutes) broken down by displacement status of head of household on the admin of macroregion</t>
  </si>
  <si>
    <t>Average travel time to nearest functioning health facility (minutes) broken down by IDP household on the admin of macroregion</t>
  </si>
  <si>
    <t>Average travel time to nearest functioning health facility (minutes) broken down by proximity to frontline/border with Russian Federation on the admin of macroregion</t>
  </si>
  <si>
    <t>Average travel time to nearest functioning health facility (minutes) broken down by caregiving status  on the admin of macroregion</t>
  </si>
  <si>
    <t>Households with members with chronic conditions requiring regular medication on the admin of macroregion</t>
  </si>
  <si>
    <t xml:space="preserve">None </t>
  </si>
  <si>
    <t xml:space="preserve">Condition requiring medicines for high blood pressure  </t>
  </si>
  <si>
    <t xml:space="preserve">Condition requiring medicines to prevent or treat heart problems  </t>
  </si>
  <si>
    <t xml:space="preserve">Condition requiring medicines to regulate blood sugar  </t>
  </si>
  <si>
    <t xml:space="preserve">Condition requiring medicines for pain  </t>
  </si>
  <si>
    <t xml:space="preserve">Condition requiring medicines for neurological or nervous system diseases (e.g. epilepsy)  </t>
  </si>
  <si>
    <t xml:space="preserve">Condition requiring medicines for thyroid problems  </t>
  </si>
  <si>
    <t xml:space="preserve">Condition requiring medicines for allergies  </t>
  </si>
  <si>
    <t xml:space="preserve">Other (specify)  </t>
  </si>
  <si>
    <t xml:space="preserve">Condition requiring medicines for long-term lung problems (like asthma)  </t>
  </si>
  <si>
    <t xml:space="preserve">Condition requiring medicines for mental health conditions  </t>
  </si>
  <si>
    <t xml:space="preserve">Condition requiring medicines to prevent or treat cancer  </t>
  </si>
  <si>
    <t>Condition as a result of a missile or drone strike (physical or mental)</t>
  </si>
  <si>
    <t xml:space="preserve">Condition requiring medicines for infections  </t>
  </si>
  <si>
    <t>Households with members with chronic conditions requiring regular medication broken down by households with at least one member with a reported and/or registered disability on the admin of macroregion</t>
  </si>
  <si>
    <t>Households with members with chronic conditions requiring regular medication broken down by urbanity on the admin of macroregion</t>
  </si>
  <si>
    <t>Households with members with chronic conditions requiring regular medication broken down by household size on the admin of macroregion</t>
  </si>
  <si>
    <t>Households with members with chronic conditions requiring regular medication broken down by income per capita (quartiles) on the admin of macroregion</t>
  </si>
  <si>
    <t>Households with members with chronic conditions requiring regular medication broken down by gender of head of household on the admin of macroregion</t>
  </si>
  <si>
    <t>Households with members with chronic conditions requiring regular medication broken down by age of adults in the households on the admin of macroregion</t>
  </si>
  <si>
    <t>Households with members with chronic conditions requiring regular medication broken down by households with at least one child (&lt;18 y.o.) on the admin of macroregion</t>
  </si>
  <si>
    <t>Households with members with chronic conditions requiring regular medication broken down by displacement status of head of household on the admin of macroregion</t>
  </si>
  <si>
    <t>Households with members with chronic conditions requiring regular medication broken down by IDP household on the admin of macroregion</t>
  </si>
  <si>
    <t>Households with members with chronic conditions requiring regular medication broken down by proximity to frontline/border with Russian Federation on the admin of macroregion</t>
  </si>
  <si>
    <t>Households with members with chronic conditions requiring regular medication broken down by caregiving status  on the admin of macroregion</t>
  </si>
  <si>
    <t>Households with members with chronic conditions requiring regular medication, by frequency of disrupted access to healthcare for chronic conditions in the past 3 months on the admin of macroregion</t>
  </si>
  <si>
    <t>Never</t>
  </si>
  <si>
    <t>Rarely</t>
  </si>
  <si>
    <t>Sometimes</t>
  </si>
  <si>
    <t>Always</t>
  </si>
  <si>
    <t>Often</t>
  </si>
  <si>
    <t>Households with members with chronic conditions requiring regular medication, by frequency of disrupted access to healthcare for chronic conditions in the past 3 months broken down by households with at least one member with a reported and/or registered disability on the admin of macroregion</t>
  </si>
  <si>
    <t>Households with members with chronic conditions requiring regular medication, by frequency of disrupted access to healthcare for chronic conditions in the past 3 months broken down by urbanity on the admin of macroregion</t>
  </si>
  <si>
    <t>Households with members with chronic conditions requiring regular medication, by frequency of disrupted access to healthcare for chronic conditions in the past 3 months broken down by household size on the admin of macroregion</t>
  </si>
  <si>
    <t>Households with members with chronic conditions requiring regular medication, by frequency of disrupted access to healthcare for chronic conditions in the past 3 months broken down by income per capita (quartiles) on the admin of macroregion</t>
  </si>
  <si>
    <t>Households with members with chronic conditions requiring regular medication, by frequency of disrupted access to healthcare for chronic conditions in the past 3 months broken down by gender of head of household on the admin of macroregion</t>
  </si>
  <si>
    <t>Households with members with chronic conditions requiring regular medication, by frequency of disrupted access to healthcare for chronic conditions in the past 3 months broken down by age of adults in the households on the admin of macroregion</t>
  </si>
  <si>
    <t>Households with members with chronic conditions requiring regular medication, by frequency of disrupted access to healthcare for chronic conditions in the past 3 months broken down by households with at least one child (&lt;18 y.o.) on the admin of macroregion</t>
  </si>
  <si>
    <t>Households with members with chronic conditions requiring regular medication, by frequency of disrupted access to healthcare for chronic conditions in the past 3 months broken down by displacement status of head of household on the admin of macroregion</t>
  </si>
  <si>
    <t>Households with members with chronic conditions requiring regular medication, by frequency of disrupted access to healthcare for chronic conditions in the past 3 months broken down by IDP household on the admin of macroregion</t>
  </si>
  <si>
    <t>Households with members with chronic conditions requiring regular medication, by frequency of disrupted access to healthcare for chronic conditions in the past 3 months broken down by proximity to frontline/border with Russian Federation on the admin of macroregion</t>
  </si>
  <si>
    <t>Households with members with chronic conditions requiring regular medication, by frequency of disrupted access to healthcare for chronic conditions in the past 3 months broken down by caregiving status  on the admin of macroregion</t>
  </si>
  <si>
    <t>Percentage of households by barriers preventing access to health care in the past 3 months on the admin of macroregion</t>
  </si>
  <si>
    <t>Cost of medicine</t>
  </si>
  <si>
    <t>Cost of treatment</t>
  </si>
  <si>
    <t xml:space="preserve">The needed services/ medicine were not available </t>
  </si>
  <si>
    <t>Transport necessary to get to the services / access medicine</t>
  </si>
  <si>
    <t>Time necessary to access the services and/or access medicine</t>
  </si>
  <si>
    <t>Security concerns (during travel or while being in the facility / seeking medicine)</t>
  </si>
  <si>
    <t>The need for unofficial payments</t>
  </si>
  <si>
    <t>Lack of medical facilities / facilities difficult to access</t>
  </si>
  <si>
    <t xml:space="preserve">Did not have a declaration with a local doctor </t>
  </si>
  <si>
    <t>Nearest hospital/health facility not functioning/damaged by an airstrike</t>
  </si>
  <si>
    <t>Could not take time off work/care responsibilities at home</t>
  </si>
  <si>
    <t>Refusal to provide service / medicine</t>
  </si>
  <si>
    <t>Evacuation/displacement (treatment interrupted, lost access to care or medications)</t>
  </si>
  <si>
    <t>Lack of pharmacies / pharmacies difficult to access</t>
  </si>
  <si>
    <t xml:space="preserve">Did not have the needed documents </t>
  </si>
  <si>
    <t>Percentage of households by barriers preventing access to health care in the past 3 months broken down by households with at least one member with a reported and/or registered disability on the admin of macroregion</t>
  </si>
  <si>
    <t>Percentage of households by barriers preventing access to health care in the past 3 months broken down by urbanity on the admin of macroregion</t>
  </si>
  <si>
    <t>Percentage of households by barriers preventing access to health care in the past 3 months broken down by household size on the admin of macroregion</t>
  </si>
  <si>
    <t>Percentage of households by barriers preventing access to health care in the past 3 months broken down by income per capita (quartiles) on the admin of macroregion</t>
  </si>
  <si>
    <t>Percentage of households by barriers preventing access to health care in the past 3 months broken down by gender of head of household on the admin of macroregion</t>
  </si>
  <si>
    <t>Percentage of households by barriers preventing access to health care in the past 3 months broken down by age of adults in the households on the admin of macroregion</t>
  </si>
  <si>
    <t>Percentage of households by barriers preventing access to health care in the past 3 months broken down by households with at least one child (&lt;18 y.o.) on the admin of macroregion</t>
  </si>
  <si>
    <t>Percentage of households by barriers preventing access to health care in the past 3 months broken down by displacement status of head of household on the admin of macroregion</t>
  </si>
  <si>
    <t>Percentage of households by barriers preventing access to health care in the past 3 months broken down by IDP household on the admin of macroregion</t>
  </si>
  <si>
    <t>Percentage of households by barriers preventing access to health care in the past 3 months broken down by proximity to frontline/border with Russian Federation on the admin of macroregion</t>
  </si>
  <si>
    <t>Percentage of households by barriers preventing access to health care in the past 3 months broken down by caregiving status  on the admin of macroregion</t>
  </si>
  <si>
    <t>Percentage of households feeling emotionally unwell (2+ weeks in the past 6 months) on the admin of macroregion</t>
  </si>
  <si>
    <t>Percentage of households feeling emotionally unwell (2+ weeks in the past 6 months) broken down by households with at least one member with a reported and/or registered disability on the admin of macroregion</t>
  </si>
  <si>
    <t>Percentage of households feeling emotionally unwell (2+ weeks in the past 6 months) broken down by urbanity on the admin of macroregion</t>
  </si>
  <si>
    <t>Percentage of households feeling emotionally unwell (2+ weeks in the past 6 months) broken down by household size on the admin of macroregion</t>
  </si>
  <si>
    <t>Percentage of households feeling emotionally unwell (2+ weeks in the past 6 months) broken down by income per capita (quartiles) on the admin of macroregion</t>
  </si>
  <si>
    <t>Percentage of households feeling emotionally unwell (2+ weeks in the past 6 months) broken down by gender of head of household on the admin of macroregion</t>
  </si>
  <si>
    <t>Percentage of households feeling emotionally unwell (2+ weeks in the past 6 months) broken down by age of adults in the households on the admin of macroregion</t>
  </si>
  <si>
    <t>Percentage of households feeling emotionally unwell (2+ weeks in the past 6 months) broken down by households with at least one child (&lt;18 y.o.) on the admin of macroregion</t>
  </si>
  <si>
    <t>Percentage of households feeling emotionally unwell (2+ weeks in the past 6 months) broken down by displacement status of head of household on the admin of macroregion</t>
  </si>
  <si>
    <t>Percentage of households feeling emotionally unwell (2+ weeks in the past 6 months) broken down by IDP household on the admin of macroregion</t>
  </si>
  <si>
    <t>Percentage of households feeling emotionally unwell (2+ weeks in the past 6 months) broken down by proximity to frontline/border with Russian Federation on the admin of macroregion</t>
  </si>
  <si>
    <t>Percentage of households feeling emotionally unwell (2+ weeks in the past 6 months) broken down by caregiving status  on the admin of macroregion</t>
  </si>
  <si>
    <t>Percentage of households feeling emotionally unwell (2+ weeks in the past 6 months), by experienced difficulty in completing day-to-day activities on the admin of macroregion</t>
  </si>
  <si>
    <t>Mild</t>
  </si>
  <si>
    <t>Moderate</t>
  </si>
  <si>
    <t>Severe</t>
  </si>
  <si>
    <t>Extreme / Cannot do</t>
  </si>
  <si>
    <t>Percentage of households feeling emotionally unwell (2+ weeks in the past 6 months), by experienced difficulty in completing day-to-day activities broken down by households with at least one member with a reported and/or registered disability on the admin of macroregion</t>
  </si>
  <si>
    <t>Percentage of households feeling emotionally unwell (2+ weeks in the past 6 months), by experienced difficulty in completing day-to-day activities broken down by urbanity on the admin of macroregion</t>
  </si>
  <si>
    <t>Percentage of households feeling emotionally unwell (2+ weeks in the past 6 months), by experienced difficulty in completing day-to-day activities broken down by household size on the admin of macroregion</t>
  </si>
  <si>
    <t>Percentage of households feeling emotionally unwell (2+ weeks in the past 6 months), by experienced difficulty in completing day-to-day activities broken down by income per capita (quartiles) on the admin of macroregion</t>
  </si>
  <si>
    <t>Percentage of households feeling emotionally unwell (2+ weeks in the past 6 months), by experienced difficulty in completing day-to-day activities broken down by gender of head of household on the admin of macroregion</t>
  </si>
  <si>
    <t>Percentage of households feeling emotionally unwell (2+ weeks in the past 6 months), by experienced difficulty in completing day-to-day activities broken down by age of adults in the households on the admin of macroregion</t>
  </si>
  <si>
    <t>Percentage of households feeling emotionally unwell (2+ weeks in the past 6 months), by experienced difficulty in completing day-to-day activities broken down by households with at least one child (&lt;18 y.o.) on the admin of macroregion</t>
  </si>
  <si>
    <t>Percentage of households feeling emotionally unwell (2+ weeks in the past 6 months), by experienced difficulty in completing day-to-day activities broken down by displacement status of head of household on the admin of macroregion</t>
  </si>
  <si>
    <t>Percentage of households feeling emotionally unwell (2+ weeks in the past 6 months), by experienced difficulty in completing day-to-day activities broken down by IDP household on the admin of macroregion</t>
  </si>
  <si>
    <t>Percentage of households feeling emotionally unwell (2+ weeks in the past 6 months), by experienced difficulty in completing day-to-day activities broken down by proximity to frontline/border with Russian Federation on the admin of macroregion</t>
  </si>
  <si>
    <t>Percentage of households feeling emotionally unwell (2+ weeks in the past 6 months), by experienced difficulty in completing day-to-day activities broken down by caregiving status  on the admin of macroregion</t>
  </si>
  <si>
    <t>Percentage of households feeling emotionally unwell that received mental health or psychosocial support/services, by type on the admin of macroregion</t>
  </si>
  <si>
    <t>Yes, from a psychologist</t>
  </si>
  <si>
    <t>Yes, from a family doctor</t>
  </si>
  <si>
    <t>Yes, from a psychiatrist</t>
  </si>
  <si>
    <t xml:space="preserve">Yes, from other service providers </t>
  </si>
  <si>
    <t>Yes, from a social worker</t>
  </si>
  <si>
    <t>Percentage of households feeling emotionally unwell that received mental health or psychosocial support/services, by type broken down by households with at least one member with a reported and/or registered disability on the admin of macroregion</t>
  </si>
  <si>
    <t>Percentage of households feeling emotionally unwell that received mental health or psychosocial support/services, by type broken down by urbanity on the admin of macroregion</t>
  </si>
  <si>
    <t>Percentage of households feeling emotionally unwell that received mental health or psychosocial support/services, by type broken down by household size on the admin of macroregion</t>
  </si>
  <si>
    <t>Percentage of households feeling emotionally unwell that received mental health or psychosocial support/services, by type broken down by income per capita (quartiles) on the admin of macroregion</t>
  </si>
  <si>
    <t>Percentage of households feeling emotionally unwell that received mental health or psychosocial support/services, by type broken down by gender of head of household on the admin of macroregion</t>
  </si>
  <si>
    <t>Percentage of households feeling emotionally unwell that received mental health or psychosocial support/services, by type broken down by age of adults in the households on the admin of macroregion</t>
  </si>
  <si>
    <t>Percentage of households feeling emotionally unwell that received mental health or psychosocial support/services, by type broken down by households with at least one child (&lt;18 y.o.) on the admin of macroregion</t>
  </si>
  <si>
    <t>Percentage of households feeling emotionally unwell that received mental health or psychosocial support/services, by type broken down by displacement status of head of household on the admin of macroregion</t>
  </si>
  <si>
    <t>Percentage of households feeling emotionally unwell that received mental health or psychosocial support/services, by type broken down by IDP household on the admin of macroregion</t>
  </si>
  <si>
    <t>Percentage of households feeling emotionally unwell that received mental health or psychosocial support/services, by type broken down by proximity to frontline/border with Russian Federation on the admin of macroregion</t>
  </si>
  <si>
    <t>Percentage of households feeling emotionally unwell that received mental health or psychosocial support/services, by type broken down by caregiving status  on the admin of macroregion</t>
  </si>
  <si>
    <t>Percentage of households with at least one member with registered disability, by type on the admin of macroregion</t>
  </si>
  <si>
    <t>Yes, group III</t>
  </si>
  <si>
    <t>Yes, group II</t>
  </si>
  <si>
    <t>Yes, group I</t>
  </si>
  <si>
    <t>Yes, but unsure which group</t>
  </si>
  <si>
    <t>Percentage of households with at least one member with registered disability, by type broken down by households with at least one member with a reported and/or registered disability on the admin of macroregion</t>
  </si>
  <si>
    <t>Percentage of households with at least one member with registered disability, by type broken down by urbanity on the admin of macroregion</t>
  </si>
  <si>
    <t>Percentage of households with at least one member with registered disability, by type broken down by household size on the admin of macroregion</t>
  </si>
  <si>
    <t>Percentage of households with at least one member with registered disability, by type broken down by income per capita (quartiles) on the admin of macroregion</t>
  </si>
  <si>
    <t>Percentage of households with at least one member with registered disability, by type broken down by gender of head of household on the admin of macroregion</t>
  </si>
  <si>
    <t>Percentage of households with at least one member with registered disability, by type broken down by age of adults in the households on the admin of macroregion</t>
  </si>
  <si>
    <t>Percentage of households with at least one member with registered disability, by type broken down by households with at least one child (&lt;18 y.o.) on the admin of macroregion</t>
  </si>
  <si>
    <t>Percentage of households with at least one member with registered disability, by type broken down by displacement status of head of household on the admin of macroregion</t>
  </si>
  <si>
    <t>Percentage of households with at least one member with registered disability, by type broken down by IDP household on the admin of macroregion</t>
  </si>
  <si>
    <t>Percentage of households with at least one member with registered disability, by type broken down by proximity to frontline/border with Russian Federation on the admin of macroregion</t>
  </si>
  <si>
    <t>Percentage of households with at least one member with registered disability, by type broken down by caregiving status  on the admin of macroregion</t>
  </si>
  <si>
    <t>Percentage of households with at least one member that has difficulties seeing on the admin of macroregion</t>
  </si>
  <si>
    <t xml:space="preserve">No household members have any difficulties </t>
  </si>
  <si>
    <t>Some difficulty</t>
  </si>
  <si>
    <t>A lot of difficulty</t>
  </si>
  <si>
    <t>Cannot do at all</t>
  </si>
  <si>
    <t>Percentage of households with at least one member that has difficulties seeing broken down by households with at least one member with a reported and/or registered disability on the admin of macroregion</t>
  </si>
  <si>
    <t>Percentage of households with at least one member that has difficulties seeing broken down by urbanity on the admin of macroregion</t>
  </si>
  <si>
    <t>Percentage of households with at least one member that has difficulties seeing broken down by household size on the admin of macroregion</t>
  </si>
  <si>
    <t>Percentage of households with at least one member that has difficulties seeing broken down by income per capita (quartiles) on the admin of macroregion</t>
  </si>
  <si>
    <t>Percentage of households with at least one member that has difficulties seeing broken down by gender of head of household on the admin of macroregion</t>
  </si>
  <si>
    <t>Percentage of households with at least one member that has difficulties seeing broken down by age of adults in the households on the admin of macroregion</t>
  </si>
  <si>
    <t>Percentage of households with at least one member that has difficulties seeing broken down by households with at least one child (&lt;18 y.o.) on the admin of macroregion</t>
  </si>
  <si>
    <t>Percentage of households with at least one member that has difficulties seeing broken down by displacement status of head of household on the admin of macroregion</t>
  </si>
  <si>
    <t>Percentage of households with at least one member that has difficulties seeing broken down by IDP household on the admin of macroregion</t>
  </si>
  <si>
    <t>Percentage of households with at least one member that has difficulties seeing broken down by proximity to frontline/border with Russian Federation on the admin of macroregion</t>
  </si>
  <si>
    <t>Percentage of households with at least one member that has difficulties seeing broken down by caregiving status  on the admin of macroregion</t>
  </si>
  <si>
    <t>Percentage of households with at least one member that has difficulties hearing on the admin of macroregion</t>
  </si>
  <si>
    <t>Percentage of households with at least one member that has difficulties hearing broken down by households with at least one member with a reported and/or registered disability on the admin of macroregion</t>
  </si>
  <si>
    <t>Percentage of households with at least one member that has difficulties hearing broken down by urbanity on the admin of macroregion</t>
  </si>
  <si>
    <t>Percentage of households with at least one member that has difficulties hearing broken down by household size on the admin of macroregion</t>
  </si>
  <si>
    <t>Percentage of households with at least one member that has difficulties hearing broken down by income per capita (quartiles) on the admin of macroregion</t>
  </si>
  <si>
    <t>Percentage of households with at least one member that has difficulties hearing broken down by gender of head of household on the admin of macroregion</t>
  </si>
  <si>
    <t>Percentage of households with at least one member that has difficulties hearing broken down by age of adults in the households on the admin of macroregion</t>
  </si>
  <si>
    <t>Percentage of households with at least one member that has difficulties hearing broken down by households with at least one child (&lt;18 y.o.) on the admin of macroregion</t>
  </si>
  <si>
    <t>Percentage of households with at least one member that has difficulties hearing broken down by displacement status of head of household on the admin of macroregion</t>
  </si>
  <si>
    <t>Percentage of households with at least one member that has difficulties hearing broken down by IDP household on the admin of macroregion</t>
  </si>
  <si>
    <t>Percentage of households with at least one member that has difficulties hearing broken down by proximity to frontline/border with Russian Federation on the admin of macroregion</t>
  </si>
  <si>
    <t>Percentage of households with at least one member that has difficulties hearing broken down by caregiving status  on the admin of macroregion</t>
  </si>
  <si>
    <t>Percentage of households with at least one member that has difficulties walking on the admin of macroregion</t>
  </si>
  <si>
    <t>Percentage of households with at least one member that has difficulties walking broken down by households with at least one member with a reported and/or registered disability on the admin of macroregion</t>
  </si>
  <si>
    <t>Percentage of households with at least one member that has difficulties walking broken down by urbanity on the admin of macroregion</t>
  </si>
  <si>
    <t>Percentage of households with at least one member that has difficulties walking broken down by household size on the admin of macroregion</t>
  </si>
  <si>
    <t>Percentage of households with at least one member that has difficulties walking broken down by income per capita (quartiles) on the admin of macroregion</t>
  </si>
  <si>
    <t>Percentage of households with at least one member that has difficulties walking broken down by gender of head of household on the admin of macroregion</t>
  </si>
  <si>
    <t>Percentage of households with at least one member that has difficulties walking broken down by age of adults in the households on the admin of macroregion</t>
  </si>
  <si>
    <t>Percentage of households with at least one member that has difficulties walking broken down by households with at least one child (&lt;18 y.o.) on the admin of macroregion</t>
  </si>
  <si>
    <t>Percentage of households with at least one member that has difficulties walking broken down by displacement status of head of household on the admin of macroregion</t>
  </si>
  <si>
    <t>Percentage of households with at least one member that has difficulties walking broken down by IDP household on the admin of macroregion</t>
  </si>
  <si>
    <t>Percentage of households with at least one member that has difficulties walking broken down by proximity to frontline/border with Russian Federation on the admin of macroregion</t>
  </si>
  <si>
    <t>Percentage of households with at least one member that has difficulties walking broken down by caregiving status  on the admin of macroregion</t>
  </si>
  <si>
    <t>Percentage of households with at least one member that has difficulties concentrating on the admin of macroregion</t>
  </si>
  <si>
    <t>Percentage of households with at least one member that has difficulties concentrating broken down by households with at least one member with a reported and/or registered disability on the admin of macroregion</t>
  </si>
  <si>
    <t>Percentage of households with at least one member that has difficulties concentrating broken down by urbanity on the admin of macroregion</t>
  </si>
  <si>
    <t>Percentage of households with at least one member that has difficulties concentrating broken down by household size on the admin of macroregion</t>
  </si>
  <si>
    <t>Percentage of households with at least one member that has difficulties concentrating broken down by income per capita (quartiles) on the admin of macroregion</t>
  </si>
  <si>
    <t>Percentage of households with at least one member that has difficulties concentrating broken down by gender of head of household on the admin of macroregion</t>
  </si>
  <si>
    <t>Percentage of households with at least one member that has difficulties concentrating broken down by age of adults in the households on the admin of macroregion</t>
  </si>
  <si>
    <t>Percentage of households with at least one member that has difficulties concentrating broken down by households with at least one child (&lt;18 y.o.) on the admin of macroregion</t>
  </si>
  <si>
    <t>Percentage of households with at least one member that has difficulties concentrating broken down by displacement status of head of household on the admin of macroregion</t>
  </si>
  <si>
    <t>Percentage of households with at least one member that has difficulties concentrating broken down by IDP household on the admin of macroregion</t>
  </si>
  <si>
    <t>Percentage of households with at least one member that has difficulties concentrating broken down by proximity to frontline/border with Russian Federation on the admin of macroregion</t>
  </si>
  <si>
    <t>Percentage of households with at least one member that has difficulties concentrating broken down by caregiving status  on the admin of macroregion</t>
  </si>
  <si>
    <t>Percentage of households with at least one member that has difficulties performing self-care on the admin of macroregion</t>
  </si>
  <si>
    <t>Percentage of households with at least one member that has difficulties performing self-care broken down by households with at least one member with a reported and/or registered disability on the admin of macroregion</t>
  </si>
  <si>
    <t>Percentage of households with at least one member that has difficulties performing self-care broken down by urbanity on the admin of macroregion</t>
  </si>
  <si>
    <t>Percentage of households with at least one member that has difficulties performing self-care broken down by household size on the admin of macroregion</t>
  </si>
  <si>
    <t>Percentage of households with at least one member that has difficulties performing self-care broken down by income per capita (quartiles) on the admin of macroregion</t>
  </si>
  <si>
    <t>Percentage of households with at least one member that has difficulties performing self-care broken down by gender of head of household on the admin of macroregion</t>
  </si>
  <si>
    <t>Percentage of households with at least one member that has difficulties performing self-care broken down by age of adults in the households on the admin of macroregion</t>
  </si>
  <si>
    <t>Percentage of households with at least one member that has difficulties performing self-care broken down by households with at least one child (&lt;18 y.o.) on the admin of macroregion</t>
  </si>
  <si>
    <t>Percentage of households with at least one member that has difficulties performing self-care broken down by displacement status of head of household on the admin of macroregion</t>
  </si>
  <si>
    <t>Percentage of households with at least one member that has difficulties performing self-care broken down by IDP household on the admin of macroregion</t>
  </si>
  <si>
    <t>Percentage of households with at least one member that has difficulties performing self-care broken down by proximity to frontline/border with Russian Federation on the admin of macroregion</t>
  </si>
  <si>
    <t>Percentage of households with at least one member that has difficulties performing self-care broken down by caregiving status  on the admin of macroregion</t>
  </si>
  <si>
    <t>Percentage of households with at least one member that has difficulties communicating on the admin of macroregion</t>
  </si>
  <si>
    <t>Percentage of households with at least one member that has difficulties communicating broken down by households with at least one member with a reported and/or registered disability on the admin of macroregion</t>
  </si>
  <si>
    <t>Percentage of households with at least one member that has difficulties communicating broken down by urbanity on the admin of macroregion</t>
  </si>
  <si>
    <t>Percentage of households with at least one member that has difficulties communicating broken down by household size on the admin of macroregion</t>
  </si>
  <si>
    <t>Percentage of households with at least one member that has difficulties communicating broken down by income per capita (quartiles) on the admin of macroregion</t>
  </si>
  <si>
    <t>Percentage of households with at least one member that has difficulties communicating broken down by gender of head of household on the admin of macroregion</t>
  </si>
  <si>
    <t>Percentage of households with at least one member that has difficulties communicating broken down by age of adults in the households on the admin of macroregion</t>
  </si>
  <si>
    <t>Percentage of households with at least one member that has difficulties communicating broken down by households with at least one child (&lt;18 y.o.) on the admin of macroregion</t>
  </si>
  <si>
    <t>Percentage of households with at least one member that has difficulties communicating broken down by displacement status of head of household on the admin of macroregion</t>
  </si>
  <si>
    <t>Percentage of households with at least one member that has difficulties communicating broken down by IDP household on the admin of macroregion</t>
  </si>
  <si>
    <t>Percentage of households with at least one member that has difficulties communicating broken down by proximity to frontline/border with Russian Federation on the admin of macroregion</t>
  </si>
  <si>
    <t>Percentage of households with at least one member that has difficulties communicating broken down by caregiving status  on the admin of macroregion</t>
  </si>
  <si>
    <t>Percentage of households with school-aged children (3-17 y.o.) whose education was disrupted monthly by prolonged or repetitive air alerts during the 2024-2025 school year on the admin of macroregion</t>
  </si>
  <si>
    <t>Percentage of households with school-aged children (3-17 y.o.) whose education was disrupted monthly by prolonged or repetitive air alerts during the 2024-2025 school year broken down by households with at least one member with a reported and/or registered disability on the admin of macroregion</t>
  </si>
  <si>
    <t>Percentage of households with school-aged children (3-17 y.o.) whose education was disrupted monthly by prolonged or repetitive air alerts during the 2024-2025 school year broken down by urbanity on the admin of macroregion</t>
  </si>
  <si>
    <t>Percentage of households with school-aged children (3-17 y.o.) whose education was disrupted monthly by prolonged or repetitive air alerts during the 2024-2025 school year broken down by household size on the admin of macroregion</t>
  </si>
  <si>
    <t>Percentage of households with school-aged children (3-17 y.o.) whose education was disrupted monthly by prolonged or repetitive air alerts during the 2024-2025 school year broken down by income per capita (quartiles) on the admin of macroregion</t>
  </si>
  <si>
    <t>Percentage of households with school-aged children (3-17 y.o.) whose education was disrupted monthly by prolonged or repetitive air alerts during the 2024-2025 school year broken down by gender of head of household on the admin of macroregion</t>
  </si>
  <si>
    <t>Percentage of households with school-aged children (3-17 y.o.) whose education was disrupted monthly by prolonged or repetitive air alerts during the 2024-2025 school year broken down by age of adults in the households on the admin of macroregion</t>
  </si>
  <si>
    <t>Percentage of households with school-aged children (3-17 y.o.) whose education was disrupted monthly by prolonged or repetitive air alerts during the 2024-2025 school year broken down by displacement status of head of household on the admin of macroregion</t>
  </si>
  <si>
    <t>Percentage of households with school-aged children (3-17 y.o.) whose education was disrupted monthly by prolonged or repetitive air alerts during the 2024-2025 school year broken down by IDP household on the admin of macroregion</t>
  </si>
  <si>
    <t>Percentage of households with school-aged children (3-17 y.o.) whose education was disrupted monthly by prolonged or repetitive air alerts during the 2024-2025 school year broken down by proximity to frontline/border with Russian Federation on the admin of macroregion</t>
  </si>
  <si>
    <t>Percentage of households by time adults spend on supporting children's education on the admin of macroregion</t>
  </si>
  <si>
    <t>Less than 5 hours</t>
  </si>
  <si>
    <t>5 to 10 hours</t>
  </si>
  <si>
    <t>More than 10 hours</t>
  </si>
  <si>
    <t>0 hours (no support)</t>
  </si>
  <si>
    <t>Percentage of households by time adults spend on supporting children's education broken down by households with at least one member with a reported and/or registered disability on the admin of macroregion</t>
  </si>
  <si>
    <t>Percentage of households by time adults spend on supporting children's education broken down by urbanity on the admin of macroregion</t>
  </si>
  <si>
    <t>Percentage of households by time adults spend on supporting children's education broken down by household size on the admin of macroregion</t>
  </si>
  <si>
    <t>Percentage of households by time adults spend on supporting children's education broken down by income per capita (quartiles) on the admin of macroregion</t>
  </si>
  <si>
    <t>Percentage of households by time adults spend on supporting children's education broken down by gender of head of household on the admin of macroregion</t>
  </si>
  <si>
    <t>Percentage of households by time adults spend on supporting children's education broken down by age of adults in the households on the admin of macroregion</t>
  </si>
  <si>
    <t>Percentage of households by time adults spend on supporting children's education broken down by displacement status of head of household on the admin of macroregion</t>
  </si>
  <si>
    <t>Percentage of households by time adults spend on supporting children's education broken down by IDP household on the admin of macroregion</t>
  </si>
  <si>
    <t>Percentage of households by time adults spend on supporting children's education broken down by proximity to frontline/border with Russian Federation on the admin of macroregion</t>
  </si>
  <si>
    <t>Percentage of households by displacement status of head of household on the admin of macroregion</t>
  </si>
  <si>
    <t>Percentage of households by displacement status of head of household broken down by households with at least one member with a reported and/or registered disability on the admin of macroregion</t>
  </si>
  <si>
    <t>Percentage of households by displacement status of head of household broken down by urbanity on the admin of macroregion</t>
  </si>
  <si>
    <t>Percentage of households by displacement status of head of household broken down by household size on the admin of macroregion</t>
  </si>
  <si>
    <t>Percentage of households by displacement status of head of household broken down by income per capita (quartiles) on the admin of macroregion</t>
  </si>
  <si>
    <t>Percentage of households by displacement status of head of household broken down by gender of head of household on the admin of macroregion</t>
  </si>
  <si>
    <t>Percentage of households by displacement status of head of household broken down by age of adults in the households on the admin of macroregion</t>
  </si>
  <si>
    <t>Percentage of households by displacement status of head of household broken down by households with at least one child (&lt;18 y.o.) on the admin of macroregion</t>
  </si>
  <si>
    <t>Percentage of households by displacement status of head of household broken down by proximity to frontline/border with Russian Federation on the admin of macroregion</t>
  </si>
  <si>
    <t>Percentage of households by displacement status of head of household broken down by caregiving status  on the admin of macroregion</t>
  </si>
  <si>
    <t>Households which are IDPs, by duration of most recent displacement (months) on the admin of macroregion</t>
  </si>
  <si>
    <t>12 months or more</t>
  </si>
  <si>
    <t>9 months or more but less than 12 months</t>
  </si>
  <si>
    <t>1 month or more but less than 3 months</t>
  </si>
  <si>
    <t>3 months or more but less than 6 months</t>
  </si>
  <si>
    <t>6 months or more, but less than 9 months</t>
  </si>
  <si>
    <t>less than 1 month</t>
  </si>
  <si>
    <t>Households which are returnees, by duration of displacement before return (months) on the admin of macroregion</t>
  </si>
  <si>
    <t>Households which are returnees, by length since most recent return (months) on the admin of macroregion</t>
  </si>
  <si>
    <t>Households which are IDPs, by duration in current place of residence (months) on the admin of macroregion</t>
  </si>
  <si>
    <t>Households which are displaced within settlements, by duration of most recent displacement (months) on the admin of macroregion</t>
  </si>
  <si>
    <t>Percentage of displaced households by oblast of origin on the admin of macroregion</t>
  </si>
  <si>
    <t>Donetska</t>
  </si>
  <si>
    <t>Kharkivska</t>
  </si>
  <si>
    <t>Khersonska</t>
  </si>
  <si>
    <t>Luhaska</t>
  </si>
  <si>
    <t>Zaporizka</t>
  </si>
  <si>
    <t>Kyiv</t>
  </si>
  <si>
    <t>Sumska</t>
  </si>
  <si>
    <t>Dnipropetrovska</t>
  </si>
  <si>
    <t>Kyivska</t>
  </si>
  <si>
    <t>Chernihivska</t>
  </si>
  <si>
    <t>Vinnytska</t>
  </si>
  <si>
    <t>Khmelnytska</t>
  </si>
  <si>
    <t>Lvivska</t>
  </si>
  <si>
    <t>Odeska</t>
  </si>
  <si>
    <t>Mykolaivska</t>
  </si>
  <si>
    <t>Zhytomyrska</t>
  </si>
  <si>
    <t>Chernivetska</t>
  </si>
  <si>
    <t>Poltavska</t>
  </si>
  <si>
    <t>Cherkaska</t>
  </si>
  <si>
    <t>Percentage of households with at least one member with IDP certificate/receiving IDP payments on the admin of macroregion</t>
  </si>
  <si>
    <t>No one in my household has an IDP certificate and does not receive IDP payments</t>
  </si>
  <si>
    <t>At least one or more people have an IDP certificate and receive IDP payments</t>
  </si>
  <si>
    <t xml:space="preserve">At least one or more people have an IDP certificate, but no one receives IDP payments </t>
  </si>
  <si>
    <t>Percentage of returnee households by reasons for return to their habitual place of residence on the admin of macroregion</t>
  </si>
  <si>
    <t xml:space="preserve">Security situation improved in habitual place of residence </t>
  </si>
  <si>
    <t xml:space="preserve">Personal reasons (e.g. family reunification, community rebuilding) </t>
  </si>
  <si>
    <t xml:space="preserve">Educational reasons (e.g. difficulty accessing such services in the displacement location) </t>
  </si>
  <si>
    <t xml:space="preserve">Economic opportunities in habitual place of residence (e.g. return to old workplace/available vacancies) </t>
  </si>
  <si>
    <t xml:space="preserve">Economic challenges in location of displacement (e.g. unable to access adequate employment opportunities) </t>
  </si>
  <si>
    <t xml:space="preserve">Accommodation challenges in location of displacement (e.g. unable to access adequate and/or affordable accommodation in previous area) </t>
  </si>
  <si>
    <t xml:space="preserve">Medical reasons (e.g. difficulty accessing such services in the displacement location) </t>
  </si>
  <si>
    <t xml:space="preserve">Need to secure personal housing, land, or property in habitual place of residence </t>
  </si>
  <si>
    <t xml:space="preserve">Need to care for family members who stayed in habitual place of residence </t>
  </si>
  <si>
    <t xml:space="preserve">Security situation worsened in location of displacement </t>
  </si>
  <si>
    <t xml:space="preserve">Lost access to IDP benefits </t>
  </si>
  <si>
    <t xml:space="preserve">Obtaining new or replacing old documentation </t>
  </si>
  <si>
    <t xml:space="preserve">Can access humanitarian assistance in habitual place of residence </t>
  </si>
  <si>
    <t xml:space="preserve">Discrimination in location of displacement </t>
  </si>
  <si>
    <t>Percentage of returnee households by reasons for return to their habitual place of residence broken down by households with at least one member with a reported and/or registered disability on the admin of macroregion</t>
  </si>
  <si>
    <t>Percentage of returnee households by reasons for return to their habitual place of residence broken down by urbanity on the admin of macroregion</t>
  </si>
  <si>
    <t>Percentage of returnee households by reasons for return to their habitual place of residence broken down by household size on the admin of macroregion</t>
  </si>
  <si>
    <t>Percentage of returnee households by reasons for return to their habitual place of residence broken down by income per capita (quartiles) on the admin of macroregion</t>
  </si>
  <si>
    <t>Percentage of returnee households by reasons for return to their habitual place of residence broken down by gender of head of household on the admin of macroregion</t>
  </si>
  <si>
    <t>Percentage of returnee households by reasons for return to their habitual place of residence broken down by age of adults in the households on the admin of macroregion</t>
  </si>
  <si>
    <t>Percentage of returnee households by reasons for return to their habitual place of residence broken down by households with at least one child (&lt;18 y.o.) on the admin of macroregion</t>
  </si>
  <si>
    <t>Percentage of returnee households by reasons for return to their habitual place of residence broken down by displacement status of head of household on the admin of macroregion</t>
  </si>
  <si>
    <t>Percentage of returnee households by reasons for return to their habitual place of residence broken down by IDP household on the admin of macroregion</t>
  </si>
  <si>
    <t>Percentage of returnee households by reasons for return to their habitual place of residence broken down by proximity to frontline/border with Russian Federation on the admin of macroregion</t>
  </si>
  <si>
    <t>Percentage of returnee households by reasons for return to their habitual place of residence broken down by caregiving status  on the admin of macroregion</t>
  </si>
  <si>
    <t>Percentage of households who were evacuated in the past 6 months on the admin of macroregion</t>
  </si>
  <si>
    <t>Percentage of households who were evacuated in the past 6 months broken down by households with at least one member with a reported and/or registered disability on the admin of macroregion</t>
  </si>
  <si>
    <t>Percentage of households who were evacuated in the past 6 months broken down by urbanity on the admin of macroregion</t>
  </si>
  <si>
    <t>Percentage of households who were evacuated in the past 6 months broken down by household size on the admin of macroregion</t>
  </si>
  <si>
    <t>Percentage of households who were evacuated in the past 6 months broken down by income per capita (quartiles) on the admin of macroregion</t>
  </si>
  <si>
    <t>Percentage of households who were evacuated in the past 6 months broken down by gender of head of household on the admin of macroregion</t>
  </si>
  <si>
    <t>Percentage of households who were evacuated in the past 6 months broken down by age of adults in the households on the admin of macroregion</t>
  </si>
  <si>
    <t>Percentage of households who were evacuated in the past 6 months broken down by households with at least one child (&lt;18 y.o.) on the admin of macroregion</t>
  </si>
  <si>
    <t>Percentage of households who were evacuated in the past 6 months broken down by proximity to frontline/border with Russian Federation on the admin of macroregion</t>
  </si>
  <si>
    <t>Percentage of households who were evacuated in the past 6 months broken down by caregiving status  on the admin of macroregion</t>
  </si>
  <si>
    <t>Households reporting expenditures in the last 30 days, by type on the admin of macroregion</t>
  </si>
  <si>
    <t xml:space="preserve">Food items </t>
  </si>
  <si>
    <t xml:space="preserve">Communications (phone airtime, Internet costs, etc.) </t>
  </si>
  <si>
    <t>Utilities (electricity, gas connections, water supply, etc)</t>
  </si>
  <si>
    <t xml:space="preserve">Other hygiene items (personal and domestic, e.g. laundry detergent, soap, shampoo, cleaning materials, etc.) </t>
  </si>
  <si>
    <t>Transportation (e.g. public transport, car maintenance, fuel for vehicles, etc.)</t>
  </si>
  <si>
    <t xml:space="preserve">Feminine hygiene products </t>
  </si>
  <si>
    <t xml:space="preserve">Water (except for utilities) </t>
  </si>
  <si>
    <t>Pet care (pet food, veterinary care etc.)</t>
  </si>
  <si>
    <t>Clothing and shoes</t>
  </si>
  <si>
    <t xml:space="preserve">Non-hygiene, non-food household items for frequent purchase (lightbulbs, cooking utensils, etc.) </t>
  </si>
  <si>
    <t xml:space="preserve">Recreation, sport, and culture </t>
  </si>
  <si>
    <t xml:space="preserve">Rent for shelter and/or land </t>
  </si>
  <si>
    <t>Fuel for other purposes (e.g for cooking, and excluding fuel for cars)</t>
  </si>
  <si>
    <t>Childcare, elderly care, care for disabled people (e.g. Paying for childcare services, paying for elder care services)</t>
  </si>
  <si>
    <t>All other frequent expenditure (specify)</t>
  </si>
  <si>
    <t>My household did not spend any money over the last 30 days</t>
  </si>
  <si>
    <t>Households reporting expenditures in the last 30 days, by type broken down by households with at least one member with a reported and/or registered disability on the admin of macroregion</t>
  </si>
  <si>
    <t>Households reporting expenditures in the last 30 days, by type broken down by urbanity on the admin of macroregion</t>
  </si>
  <si>
    <t>Households reporting expenditures in the last 30 days, by type broken down by household size on the admin of macroregion</t>
  </si>
  <si>
    <t>Households reporting expenditures in the last 30 days, by type broken down by income per capita (quartiles) on the admin of macroregion</t>
  </si>
  <si>
    <t>Households reporting expenditures in the last 30 days, by type broken down by gender of head of household on the admin of macroregion</t>
  </si>
  <si>
    <t>Households reporting expenditures in the last 30 days, by type broken down by age of adults in the households on the admin of macroregion</t>
  </si>
  <si>
    <t>Households reporting expenditures in the last 30 days, by type broken down by households with at least one child (&lt;18 y.o.) on the admin of macroregion</t>
  </si>
  <si>
    <t>Households reporting expenditures in the last 30 days, by type broken down by displacement status of head of household on the admin of macroregion</t>
  </si>
  <si>
    <t>Households reporting expenditures in the last 30 days, by type broken down by IDP household on the admin of macroregion</t>
  </si>
  <si>
    <t>Households reporting expenditures in the last 30 days, by type broken down by proximity to frontline/border with Russian Federation on the admin of macroregion</t>
  </si>
  <si>
    <t>Households reporting expenditures in the last 30 days, by type broken down by caregiving status  on the admin of macroregion</t>
  </si>
  <si>
    <t>mean_Food items</t>
  </si>
  <si>
    <t>median_Food items</t>
  </si>
  <si>
    <t>min_Food items</t>
  </si>
  <si>
    <t>max_Food items</t>
  </si>
  <si>
    <t>general_count_Food items</t>
  </si>
  <si>
    <t>mean_Clothing and shoes</t>
  </si>
  <si>
    <t>median_Clothing and shoes</t>
  </si>
  <si>
    <t>min_Clothing and shoes</t>
  </si>
  <si>
    <t>max_Clothing and shoes</t>
  </si>
  <si>
    <t>general_count_Clothing and shoes</t>
  </si>
  <si>
    <t>mean_Rent for shelter and/or land</t>
  </si>
  <si>
    <t>median_Rent for shelter and/or land</t>
  </si>
  <si>
    <t>min_Rent for shelter and/or land</t>
  </si>
  <si>
    <t>max_Rent for shelter and/or land</t>
  </si>
  <si>
    <t>general_count_Rent for shelter and/or land</t>
  </si>
  <si>
    <t>mean_Water (except for utilities)</t>
  </si>
  <si>
    <t>median_Water (except for utilities)</t>
  </si>
  <si>
    <t>min_Water (except for utilities)</t>
  </si>
  <si>
    <t>max_Water (except for utilities)</t>
  </si>
  <si>
    <t>general_count_Water (except for utilities)</t>
  </si>
  <si>
    <t>mean_Feminine hygiene products</t>
  </si>
  <si>
    <t>median_Feminine hygiene products</t>
  </si>
  <si>
    <t>min_Feminine hygiene products</t>
  </si>
  <si>
    <t>max_Feminine hygiene products</t>
  </si>
  <si>
    <t>general_count_Feminine hygiene products</t>
  </si>
  <si>
    <t>mean_Other hygiene items</t>
  </si>
  <si>
    <t>median_Other hygiene items</t>
  </si>
  <si>
    <t>min_Other hygiene items</t>
  </si>
  <si>
    <t>max_Other hygiene items</t>
  </si>
  <si>
    <t>general_count_Other hygiene items</t>
  </si>
  <si>
    <t>mean_Non-hygiene, non-food household items</t>
  </si>
  <si>
    <t>median_Non-hygiene, non-food household items</t>
  </si>
  <si>
    <t>min_Non-hygiene, non-food household items</t>
  </si>
  <si>
    <t>max_Non-hygiene, non-food household items</t>
  </si>
  <si>
    <t>general_count_Non-hygiene, non-food household items</t>
  </si>
  <si>
    <t xml:space="preserve">mean_Utilities </t>
  </si>
  <si>
    <t xml:space="preserve">median_Utilities </t>
  </si>
  <si>
    <t xml:space="preserve">min_Utilities </t>
  </si>
  <si>
    <t xml:space="preserve">max_Utilities </t>
  </si>
  <si>
    <t xml:space="preserve">general_count_Utilities </t>
  </si>
  <si>
    <t>mean_Transportation</t>
  </si>
  <si>
    <t>median_Transportation</t>
  </si>
  <si>
    <t>min_Transportation</t>
  </si>
  <si>
    <t>max_Transportation</t>
  </si>
  <si>
    <t>general_count_Transportation</t>
  </si>
  <si>
    <t>mean_Fuel for other purposes</t>
  </si>
  <si>
    <t>median_Fuel for other purposes</t>
  </si>
  <si>
    <t>min_Fuel for other purposes</t>
  </si>
  <si>
    <t>max_Fuel for other purposes</t>
  </si>
  <si>
    <t>general_count_Fuel for other purposes</t>
  </si>
  <si>
    <t xml:space="preserve">mean_Communications </t>
  </si>
  <si>
    <t xml:space="preserve">median_Communications </t>
  </si>
  <si>
    <t xml:space="preserve">min_Communications </t>
  </si>
  <si>
    <t xml:space="preserve">max_Communications </t>
  </si>
  <si>
    <t xml:space="preserve">general_count_Communications </t>
  </si>
  <si>
    <t>mean_Care services (Childcare, elderly care, care for disabled people)</t>
  </si>
  <si>
    <t>median_Care services (Childcare, elderly care, care for disabled people)</t>
  </si>
  <si>
    <t>min_Care services (Childcare, elderly care, care for disabled people)</t>
  </si>
  <si>
    <t>max_Care services (Childcare, elderly care, care for disabled people)</t>
  </si>
  <si>
    <t>general_count_Care services (Childcare, elderly care, care for disabled people)</t>
  </si>
  <si>
    <t>mean_Recreation, sport, and culture</t>
  </si>
  <si>
    <t>median_Recreation, sport, and culture</t>
  </si>
  <si>
    <t>min_Recreation, sport, and culture</t>
  </si>
  <si>
    <t>max_Recreation, sport, and culture</t>
  </si>
  <si>
    <t>general_count_Recreation, sport, and culture</t>
  </si>
  <si>
    <t>mean_Pet care (pet food, veterinary care)</t>
  </si>
  <si>
    <t>median_Pet care (pet food, veterinary care)</t>
  </si>
  <si>
    <t>min_Pet care (pet food, veterinary care)</t>
  </si>
  <si>
    <t>max_Pet care (pet food, veterinary care)</t>
  </si>
  <si>
    <t>general_count_Pet care (pet food, veterinary care)</t>
  </si>
  <si>
    <t xml:space="preserve">mean_All other frequent expenditures </t>
  </si>
  <si>
    <t xml:space="preserve">median_All other frequent expenditures </t>
  </si>
  <si>
    <t xml:space="preserve">min_All other frequent expenditures </t>
  </si>
  <si>
    <t xml:space="preserve">max_All other frequent expenditures </t>
  </si>
  <si>
    <t xml:space="preserve">general_count_All other frequent expenditures </t>
  </si>
  <si>
    <t>general_count_max</t>
  </si>
  <si>
    <t>Household Domestic Expenditure over the last 30 days, by type and amount by households with at least one member with a reported and/or registered disability</t>
  </si>
  <si>
    <t>Household Domestic Expenditure over the last 30 days, by type and amount by urbanity</t>
  </si>
  <si>
    <t>Household Domestic Expenditure over the last 30 days, by type and amount by household size</t>
  </si>
  <si>
    <t>Household Domestic Expenditure over the last 30 days, by type and amount by gender of head of household</t>
  </si>
  <si>
    <t>Household Domestic Expenditure over the last 30 days, by type and amount by age of adults in the households</t>
  </si>
  <si>
    <t>Household Domestic Expenditure over the last 30 days, by type and amount by households with at least one child (&lt;18 y.o.)</t>
  </si>
  <si>
    <t>Household Domestic Expenditure over the last 30 days, by type and amount by displacement status of head of household</t>
  </si>
  <si>
    <t>Household Domestic Expenditure over the last 30 days, by type and amount by IDP household</t>
  </si>
  <si>
    <t>Household Domestic Expenditure over the last 30 days, by type and amount by proximity to frontline/border with Russian Federation</t>
  </si>
  <si>
    <t xml:space="preserve">Household Domestic Expenditure over the last 30 days, by type and amount by caregiving status </t>
  </si>
  <si>
    <t>Monthly household expenditures on heating last winter on the admin of macroregion</t>
  </si>
  <si>
    <t>Monthly household expenditures on heating last winter broken down by households with at least one member with a reported and/or registered disability on the admin of macroregion</t>
  </si>
  <si>
    <t>Monthly household expenditures on heating last winter broken down by urbanity on the admin of macroregion</t>
  </si>
  <si>
    <t>Monthly household expenditures on heating last winter broken down by household size on the admin of macroregion</t>
  </si>
  <si>
    <t>Monthly household expenditures on heating last winter broken down by income per capita (quartiles) on the admin of macroregion</t>
  </si>
  <si>
    <t>Monthly household expenditures on heating last winter broken down by gender of head of household on the admin of macroregion</t>
  </si>
  <si>
    <t>Monthly household expenditures on heating last winter broken down by age of adults in the households on the admin of macroregion</t>
  </si>
  <si>
    <t>Monthly household expenditures on heating last winter broken down by households with at least one child (&lt;18 y.o.) on the admin of macroregion</t>
  </si>
  <si>
    <t>Monthly household expenditures on heating last winter broken down by displacement status of head of household on the admin of macroregion</t>
  </si>
  <si>
    <t>Monthly household expenditures on heating last winter broken down by IDP household on the admin of macroregion</t>
  </si>
  <si>
    <t>Monthly household expenditures on heating last winter broken down by proximity to frontline/border with Russian Federation on the admin of macroregion</t>
  </si>
  <si>
    <t>Monthly household expenditures on heating last winter broken down by caregiving status  on the admin of macroregion</t>
  </si>
  <si>
    <t>Households reporting  long term expenditures in the past 6 months, by type on the admin of macroregion</t>
  </si>
  <si>
    <t>Health-related expenditures (healthcare, medicine, etc.)</t>
  </si>
  <si>
    <t>Shelter maintenance or repair</t>
  </si>
  <si>
    <t>Non-food household items for infrequent purchase (blankets, cooking pots, etc.)</t>
  </si>
  <si>
    <t>Education-related expenditures (school fees, supplies, uniforms, etc.)</t>
  </si>
  <si>
    <t>Debt repayment</t>
  </si>
  <si>
    <t>My household did not spend any money on the infrequent expenditures over the last 6 months</t>
  </si>
  <si>
    <t>All other infrequent expenditures (please specify)</t>
  </si>
  <si>
    <t>mean_Shelter maintenance or repair</t>
  </si>
  <si>
    <t>median_Shelter maintenance or repair</t>
  </si>
  <si>
    <t>min_Shelter maintenance or repair</t>
  </si>
  <si>
    <t>max_Shelter maintenance or repair</t>
  </si>
  <si>
    <t>general_count_Shelter maintenance or repair</t>
  </si>
  <si>
    <t>mean_Non-food items for infrequent purchase</t>
  </si>
  <si>
    <t>median_Non-food items for infrequent purchase</t>
  </si>
  <si>
    <t>min_Non-food items for infrequent purchase</t>
  </si>
  <si>
    <t>max_Non-food items for infrequent purchase</t>
  </si>
  <si>
    <t>general_count_Non-food items for infrequent purchase</t>
  </si>
  <si>
    <t>mean_Health-related expenditures</t>
  </si>
  <si>
    <t>median_Health-related expenditures</t>
  </si>
  <si>
    <t>min_Health-related expenditures</t>
  </si>
  <si>
    <t>max_Health-related expenditures</t>
  </si>
  <si>
    <t>general_count_Health-related expenditures</t>
  </si>
  <si>
    <t>mean_Education-related expenditures</t>
  </si>
  <si>
    <t>median_Education-related expenditures</t>
  </si>
  <si>
    <t>min_Education-related expenditures</t>
  </si>
  <si>
    <t>max_Education-related expenditures</t>
  </si>
  <si>
    <t>general_count_Education-related expenditures</t>
  </si>
  <si>
    <t>mean_Debt repayment</t>
  </si>
  <si>
    <t>median_Debt repayment</t>
  </si>
  <si>
    <t>min_Debt repayment</t>
  </si>
  <si>
    <t>max_Debt repayment</t>
  </si>
  <si>
    <t>general_count_Debt repayment</t>
  </si>
  <si>
    <t>mean_All other infrequent expenditures</t>
  </si>
  <si>
    <t>median_All other infrequent expenditures</t>
  </si>
  <si>
    <t>min_All other infrequent expenditures</t>
  </si>
  <si>
    <t>max_All other infrequent expenditures</t>
  </si>
  <si>
    <t>general_count_All other infrequent expenditures</t>
  </si>
  <si>
    <t>Households reporting  long term expenditures in the past 6 months, by type broken down by households with at least one member with a reported and/or registered disability on the admin of macroregion</t>
  </si>
  <si>
    <t>Household Domestic Expenditure over the last 6 months, by type and amount by households with at least one member with a reported and/or registered disability</t>
  </si>
  <si>
    <t>Households reporting  long term expenditures in the past 6 months, by type broken down by urbanity on the admin of macroregion</t>
  </si>
  <si>
    <t>Household Domestic Expenditure over the last 6 months, by type and amount by urbanity</t>
  </si>
  <si>
    <t>Households reporting  long term expenditures in the past 6 months, by type broken down by household size on the admin of macroregion</t>
  </si>
  <si>
    <t>Household Domestic Expenditure over the last 6 months, by type and amount by household size</t>
  </si>
  <si>
    <t>Households reporting  long term expenditures in the past 6 months, by type broken down by gender of head of household on the admin of macroregion</t>
  </si>
  <si>
    <t>Household Domestic Expenditure over the last 6 months, by type and amount by gender of head of household</t>
  </si>
  <si>
    <t>Households reporting  long term expenditures in the past 6 months, by type broken down by age of adults in the households on the admin of macroregion</t>
  </si>
  <si>
    <t>Household Domestic Expenditure over the last 6 months, by type and amount by age of adults in the households</t>
  </si>
  <si>
    <t>Households reporting  long term expenditures in the past 6 months, by type broken down by households with at least one child (&lt;18 y.o.) on the admin of macroregion</t>
  </si>
  <si>
    <t>Household Domestic Expenditure over the last 6 months, by type and amount by households with at least one child (&lt;18 y.o.)</t>
  </si>
  <si>
    <t>Households reporting  long term expenditures in the past 6 months, by type broken down by displacement status of head of household on the admin of macroregion</t>
  </si>
  <si>
    <t>Household Domestic Expenditure over the last 6 months, by type and amount by displacement status of head of household</t>
  </si>
  <si>
    <t>Households reporting  long term expenditures in the past 6 months, by type broken down by IDP household on the admin of macroregion</t>
  </si>
  <si>
    <t>Household Domestic Expenditure over the last 6 months, by type and amount by IDP household</t>
  </si>
  <si>
    <t>Households reporting  long term expenditures in the past 6 months, by type broken down by proximity to frontline/border with Russian Federation on the admin of macroregion</t>
  </si>
  <si>
    <t>Household Domestic Expenditure over the last 6 months, by type and amount by proximity to frontline/border with Russian Federation</t>
  </si>
  <si>
    <t>Households reporting  long term expenditures in the past 6 months, by type broken down by caregiving status  on the admin of macroregion</t>
  </si>
  <si>
    <t xml:space="preserve">Household Domestic Expenditure over the last 6 months, by type and amount by caregiving status </t>
  </si>
  <si>
    <t>Total monthly expenditures per capita on the admin of macroregion</t>
  </si>
  <si>
    <t>Total monthly expenditures per capita broken down by households with at least one member with a reported and/or registered disability on the admin of macroregion</t>
  </si>
  <si>
    <t>Total monthly expenditures per capita broken down by urbanity on the admin of macroregion</t>
  </si>
  <si>
    <t>Total monthly expenditures per capita broken down by household size on the admin of macroregion</t>
  </si>
  <si>
    <t>Total monthly expenditures per capita broken down by income per capita (quartiles) on the admin of macroregion</t>
  </si>
  <si>
    <t>Total monthly expenditures per capita broken down by gender of head of household on the admin of macroregion</t>
  </si>
  <si>
    <t>Total monthly expenditures per capita broken down by age of adults in the households on the admin of macroregion</t>
  </si>
  <si>
    <t>Total monthly expenditures per capita broken down by households with at least one child (&lt;18 y.o.) on the admin of macroregion</t>
  </si>
  <si>
    <t>Total monthly expenditures per capita broken down by displacement status of head of household on the admin of macroregion</t>
  </si>
  <si>
    <t>Total monthly expenditures per capita broken down by IDP household on the admin of macroregion</t>
  </si>
  <si>
    <t>Total monthly expenditures per capita broken down by proximity to frontline/border with Russian Federation on the admin of macroregion</t>
  </si>
  <si>
    <t>Total monthly expenditures per capita broken down by caregiving status  on the admin of macroregion</t>
  </si>
  <si>
    <t>Percentage of households reporting completely lacking essential non-food items in the last 3 months, by type on the admin of macroregion</t>
  </si>
  <si>
    <t>Sufficient and appropriate clothing for winter and summer</t>
  </si>
  <si>
    <t>Cleaning products for the house (e.g. dishwasher soap, laundry detergent, cleaning solution, etc.)</t>
  </si>
  <si>
    <t>Hygiene products for the body (e.g. shampoo, razor, combs)</t>
  </si>
  <si>
    <t>Fuel for heating (coal, firewood, liquid gas)</t>
  </si>
  <si>
    <t xml:space="preserve">Bedding and towels (e.g. including mattresses, bedsheets, towels) </t>
  </si>
  <si>
    <t>Feminine hygiene items</t>
  </si>
  <si>
    <t>Water treatment product and materials</t>
  </si>
  <si>
    <t>Kitchen set (e.g .cooking and eating set)</t>
  </si>
  <si>
    <t>Heating appliances (heaters, boiler systems)</t>
  </si>
  <si>
    <t>Baby diapers</t>
  </si>
  <si>
    <t>Percentage of households reporting completely lacking essential non-food items in the last 3 months, by type broken down by households with at least one member with a reported and/or registered disability on the admin of macroregion</t>
  </si>
  <si>
    <t>Percentage of households reporting completely lacking essential non-food items in the last 3 months, by type broken down by urbanity on the admin of macroregion</t>
  </si>
  <si>
    <t>Percentage of households reporting completely lacking essential non-food items in the last 3 months, by type broken down by household size on the admin of macroregion</t>
  </si>
  <si>
    <t>Percentage of households reporting completely lacking essential non-food items in the last 3 months, by type broken down by income per capita (quartiles) on the admin of macroregion</t>
  </si>
  <si>
    <t>Percentage of households reporting completely lacking essential non-food items in the last 3 months, by type broken down by gender of head of household on the admin of macroregion</t>
  </si>
  <si>
    <t>Percentage of households reporting completely lacking essential non-food items in the last 3 months, by type broken down by age of adults in the households on the admin of macroregion</t>
  </si>
  <si>
    <t>Percentage of households reporting completely lacking essential non-food items in the last 3 months, by type broken down by households with at least one child (&lt;18 y.o.) on the admin of macroregion</t>
  </si>
  <si>
    <t>Percentage of households reporting completely lacking essential non-food items in the last 3 months, by type broken down by displacement status of head of household on the admin of macroregion</t>
  </si>
  <si>
    <t>Percentage of households reporting completely lacking essential non-food items in the last 3 months, by type broken down by IDP household on the admin of macroregion</t>
  </si>
  <si>
    <t>Percentage of households reporting completely lacking essential non-food items in the last 3 months, by type broken down by proximity to frontline/border with Russian Federation on the admin of macroregion</t>
  </si>
  <si>
    <t>Percentage of households reporting completely lacking essential non-food items in the last 3 months, by type broken down by caregiving status  on the admin of macroregion</t>
  </si>
  <si>
    <t>Households reporting primary income sources over the last 30 days, by type of income source on the admin of macroregion</t>
  </si>
  <si>
    <t xml:space="preserve">Salaried work, including from family members serving away from the home in the military </t>
  </si>
  <si>
    <t xml:space="preserve">Pension (age and prior military service) </t>
  </si>
  <si>
    <t>Regular government social benefits (disability pension, maternity benefits, assistance for low-income families)</t>
  </si>
  <si>
    <t>Informal/unofficial labour (including casual employment)</t>
  </si>
  <si>
    <t>Loans or support from family and friends in Ukraine</t>
  </si>
  <si>
    <t>IDP benefits from government</t>
  </si>
  <si>
    <t>Income from own business or merchant activity (not including own production)</t>
  </si>
  <si>
    <t>Remittances (money transfers from family and friends abroad)</t>
  </si>
  <si>
    <t xml:space="preserve">Income from own production (agriculture, livestock, fishing, food processing, home manufacture, etc.) </t>
  </si>
  <si>
    <t xml:space="preserve">Income from rent </t>
  </si>
  <si>
    <t>Humanitarian aid (cash payment)</t>
  </si>
  <si>
    <t>One-off government assistance (e-Recovery, one-time compensation for family of defenders)</t>
  </si>
  <si>
    <t>My household did not receive any monetary income over the last 4 weeks</t>
  </si>
  <si>
    <t>Loans, support, or charitable donations from community members (not including humanitarian aid)</t>
  </si>
  <si>
    <t>Households reporting primary income sources over the last 30 days, by type of income source broken down by households with at least one member with a reported and/or registered disability on the admin of macroregion</t>
  </si>
  <si>
    <t>Households reporting primary income sources over the last 30 days, by type of income source broken down by urbanity on the admin of macroregion</t>
  </si>
  <si>
    <t>Households reporting primary income sources over the last 30 days, by type of income source broken down by household size on the admin of macroregion</t>
  </si>
  <si>
    <t>Households reporting primary income sources over the last 30 days, by type of income source broken down by income per capita (quartiles) on the admin of macroregion</t>
  </si>
  <si>
    <t>Households reporting primary income sources over the last 30 days, by type of income source broken down by gender of head of household on the admin of macroregion</t>
  </si>
  <si>
    <t>Households reporting primary income sources over the last 30 days, by type of income source broken down by age of adults in the households on the admin of macroregion</t>
  </si>
  <si>
    <t>Households reporting primary income sources over the last 30 days, by type of income source broken down by households with at least one child (&lt;18 y.o.) on the admin of macroregion</t>
  </si>
  <si>
    <t>Households reporting primary income sources over the last 30 days, by type of income source broken down by displacement status of head of household on the admin of macroregion</t>
  </si>
  <si>
    <t>Households reporting primary income sources over the last 30 days, by type of income source broken down by IDP household on the admin of macroregion</t>
  </si>
  <si>
    <t>Households reporting primary income sources over the last 30 days, by type of income source broken down by proximity to frontline/border with Russian Federation on the admin of macroregion</t>
  </si>
  <si>
    <t>Households reporting primary income sources over the last 30 days, by type of income source broken down by caregiving status  on the admin of macroregion</t>
  </si>
  <si>
    <t>mean_Salaried work</t>
  </si>
  <si>
    <t>median_Salaried work</t>
  </si>
  <si>
    <t>min_Salaried work</t>
  </si>
  <si>
    <t>max_Salaried work</t>
  </si>
  <si>
    <t>general_count_Salaried work</t>
  </si>
  <si>
    <t>mean_Informal/unofficial labour</t>
  </si>
  <si>
    <t>median_Informal/unofficial labour</t>
  </si>
  <si>
    <t>min_Informal/unofficial labour</t>
  </si>
  <si>
    <t>max_Informal/unofficial labour</t>
  </si>
  <si>
    <t>general_count_Informal/unofficial labour</t>
  </si>
  <si>
    <t>mean_Own business or merchant activity</t>
  </si>
  <si>
    <t>median_Own business or merchant activity</t>
  </si>
  <si>
    <t>min_Own business or merchant activity</t>
  </si>
  <si>
    <t>max_Own business or merchant activity</t>
  </si>
  <si>
    <t>general_count_Own business or merchant activity</t>
  </si>
  <si>
    <t>mean_Own production (agriculture, livestock, etc.)</t>
  </si>
  <si>
    <t>median_Own production (agriculture, livestock, etc.)</t>
  </si>
  <si>
    <t>min_Own production (agriculture, livestock, etc.)</t>
  </si>
  <si>
    <t>max_Own production (agriculture, livestock, etc.)</t>
  </si>
  <si>
    <t>general_count_Own production (agriculture, livestock, etc.)</t>
  </si>
  <si>
    <t>mean_IDP benefits from the government</t>
  </si>
  <si>
    <t>median_IDP benefits from the government</t>
  </si>
  <si>
    <t>min_IDP benefits from the government</t>
  </si>
  <si>
    <t>max_IDP benefits from the government</t>
  </si>
  <si>
    <t>general_count_IDP benefits from the government</t>
  </si>
  <si>
    <t>mean_Pension (age and prior military service)</t>
  </si>
  <si>
    <t>median_Pension (age and prior military service)</t>
  </si>
  <si>
    <t>min_Pension (age and prior military service)</t>
  </si>
  <si>
    <t>max_Pension (age and prior military service)</t>
  </si>
  <si>
    <t>general_count_Pension (age and prior military service)</t>
  </si>
  <si>
    <t>mean_Regular government social benefits (disability, maternity, low income families)</t>
  </si>
  <si>
    <t>median_Regular government social benefits (disability, maternity, low income families)</t>
  </si>
  <si>
    <t>min_Regular government social benefits (disability, maternity, low income families)</t>
  </si>
  <si>
    <t>max_Regular government social benefits (disability, maternity, low income families)</t>
  </si>
  <si>
    <t>general_count_Regular government social benefits (disability, maternity, low income families)</t>
  </si>
  <si>
    <t>mean_Rent</t>
  </si>
  <si>
    <t>median_Rent</t>
  </si>
  <si>
    <t>min_Rent</t>
  </si>
  <si>
    <t>max_Rent</t>
  </si>
  <si>
    <t>general_count_Rent</t>
  </si>
  <si>
    <t>mean_Remittances</t>
  </si>
  <si>
    <t>median_Remittances</t>
  </si>
  <si>
    <t>min_Remittances</t>
  </si>
  <si>
    <t>max_Remittances</t>
  </si>
  <si>
    <t>general_count_Remittances</t>
  </si>
  <si>
    <t>mean_Humanitarian aid</t>
  </si>
  <si>
    <t>median_Humanitarian aid</t>
  </si>
  <si>
    <t>min_Humanitarian aid</t>
  </si>
  <si>
    <t>max_Humanitarian aid</t>
  </si>
  <si>
    <t>general_count_Humanitarian aid</t>
  </si>
  <si>
    <t>mean_Loans or support from family and friends in Ukraine</t>
  </si>
  <si>
    <t>median_Loans or support from family and friends in Ukraine</t>
  </si>
  <si>
    <t>min_Loans or support from family and friends in Ukraine</t>
  </si>
  <si>
    <t>max_Loans or support from family and friends in Ukraine</t>
  </si>
  <si>
    <t>general_count_Loans or support from family and friends in Ukraine</t>
  </si>
  <si>
    <t>mean_Loans, support, or charitable donations from community members</t>
  </si>
  <si>
    <t>median_Loans, support, or charitable donations from community members</t>
  </si>
  <si>
    <t>min_Loans, support, or charitable donations from community members</t>
  </si>
  <si>
    <t>max_Loans, support, or charitable donations from community members</t>
  </si>
  <si>
    <t>general_count_Loans, support, or charitable donations from community members</t>
  </si>
  <si>
    <t>mean_One-off government assistance (e-Recovery, one-time compensation for the family of defenders)</t>
  </si>
  <si>
    <t>median_One-off government assistance (e-Recovery, one-time compensation for the family of defenders)</t>
  </si>
  <si>
    <t>min_One-off government assistance (e-Recovery, one-time compensation for the family of defenders)</t>
  </si>
  <si>
    <t>max_One-off government assistance (e-Recovery, one-time compensation for the family of defenders)</t>
  </si>
  <si>
    <t>general_count_One-off government assistance (e-Recovery, one-time compensation for the family of defenders)</t>
  </si>
  <si>
    <t>mean_Other income sources</t>
  </si>
  <si>
    <t>median_Other income sources</t>
  </si>
  <si>
    <t>min_Other income sources</t>
  </si>
  <si>
    <t>max_Other income sources</t>
  </si>
  <si>
    <t>general_count_Other income sources</t>
  </si>
  <si>
    <t>Household income per capita over the 30 days prior to data collection, by types of income source by households with at least one member with a reported and/or registered disability</t>
  </si>
  <si>
    <t>Household income per capita over the 30 days prior to data collection, by types of income source by urbanity</t>
  </si>
  <si>
    <t>Household income per capita over the 30 days prior to data collection, by types of income source by household size</t>
  </si>
  <si>
    <t>Household income per capita over the 30 days prior to data collection, by types of income source by gender of head of household</t>
  </si>
  <si>
    <t>Household income per capita over the 30 days prior to data collection, by types of income source by age of adults in the households</t>
  </si>
  <si>
    <t>Household income per capita over the 30 days prior to data collection, by types of income source by households with at least one child (&lt;18 y.o.)</t>
  </si>
  <si>
    <t>Household income per capita over the 30 days prior to data collection, by types of income source by displacement status of head of household</t>
  </si>
  <si>
    <t>Household income per capita over the 30 days prior to data collection, by types of income source by IDP household</t>
  </si>
  <si>
    <t>Household income per capita over the 30 days prior to data collection, by types of income source by proximity to frontline/border with Russian Federation</t>
  </si>
  <si>
    <t xml:space="preserve">Household income per capita over the 30 days prior to data collection, by types of income source by caregiving status </t>
  </si>
  <si>
    <t>Total monthly income per capita on the admin of macroregion</t>
  </si>
  <si>
    <t>Total monthly income per capita broken down by households with at least one member with a reported and/or registered disability on the admin of macroregion</t>
  </si>
  <si>
    <t>Total monthly income per capita broken down by urbanity on the admin of macroregion</t>
  </si>
  <si>
    <t>Total monthly income per capita broken down by household size on the admin of macroregion</t>
  </si>
  <si>
    <t>Total monthly income per capita broken down by gender of head of household on the admin of macroregion</t>
  </si>
  <si>
    <t>Total monthly income per capita broken down by age of adults in the households on the admin of macroregion</t>
  </si>
  <si>
    <t>Total monthly income per capita broken down by households with at least one child (&lt;18 y.o.) on the admin of macroregion</t>
  </si>
  <si>
    <t>Total monthly income per capita broken down by displacement status of head of household on the admin of macroregion</t>
  </si>
  <si>
    <t>Total monthly income per capita broken down by IDP household on the admin of macroregion</t>
  </si>
  <si>
    <t>Total monthly income per capita broken down by proximity to frontline/border with Russian Federation on the admin of macroregion</t>
  </si>
  <si>
    <t>Total monthly income per capita broken down by caregiving status  on the admin of macroregion</t>
  </si>
  <si>
    <t>Households receiving income from remittances/family and friends in Ukraine/community members, by regularity on the admin of macroregion</t>
  </si>
  <si>
    <t>Irregular – received occasionally or unexpectedly</t>
  </si>
  <si>
    <t>Regular – received consistently (e.g. weekly or monthly)</t>
  </si>
  <si>
    <t>Households receiving income from remittances/family and friends in Ukraine/community members, by regularity broken down by households with at least one member with a reported and/or registered disability on the admin of macroregion</t>
  </si>
  <si>
    <t>Households receiving income from remittances/family and friends in Ukraine/community members, by regularity broken down by urbanity on the admin of macroregion</t>
  </si>
  <si>
    <t>Households receiving income from remittances/family and friends in Ukraine/community members, by regularity broken down by household size on the admin of macroregion</t>
  </si>
  <si>
    <t>Households receiving income from remittances/family and friends in Ukraine/community members, by regularity broken down by gender of head of household on the admin of macroregion</t>
  </si>
  <si>
    <t>Households receiving income from remittances/family and friends in Ukraine/community members, by regularity broken down by age of adults in the households on the admin of macroregion</t>
  </si>
  <si>
    <t>Households receiving income from remittances/family and friends in Ukraine/community members, by regularity broken down by households with at least one child (&lt;18 y.o.) on the admin of macroregion</t>
  </si>
  <si>
    <t>Households receiving income from remittances/family and friends in Ukraine/community members, by regularity broken down by displacement status of head of household on the admin of macroregion</t>
  </si>
  <si>
    <t>Households receiving income from remittances/family and friends in Ukraine/community members, by regularity broken down by IDP household on the admin of macroregion</t>
  </si>
  <si>
    <t>Households receiving income from remittances/family and friends in Ukraine/community members, by regularity broken down by proximity to frontline/border with Russian Federation on the admin of macroregion</t>
  </si>
  <si>
    <t>Households receiving income from remittances/family and friends in Ukraine/community members, by regularity broken down by caregiving status  on the admin of macroregion</t>
  </si>
  <si>
    <t>Percentage of households who have become indebted since 2024 on the admin of macroregion</t>
  </si>
  <si>
    <t>Percentage of households who have become indebted since 2024 broken down by households with at least one member with a reported and/or registered disability on the admin of macroregion</t>
  </si>
  <si>
    <t>Percentage of households who have become indebted since 2024 broken down by urbanity on the admin of macroregion</t>
  </si>
  <si>
    <t>Percentage of households who have become indebted since 2024 broken down by household size on the admin of macroregion</t>
  </si>
  <si>
    <t>Percentage of households who have become indebted since 2024 broken down by income per capita (quartiles) on the admin of macroregion</t>
  </si>
  <si>
    <t>Percentage of households who have become indebted since 2024 broken down by gender of head of household on the admin of macroregion</t>
  </si>
  <si>
    <t>Percentage of households who have become indebted since 2024 broken down by age of adults in the households on the admin of macroregion</t>
  </si>
  <si>
    <t>Percentage of households who have become indebted since 2024 broken down by households with at least one child (&lt;18 y.o.) on the admin of macroregion</t>
  </si>
  <si>
    <t>Percentage of households who have become indebted since 2024 broken down by displacement status of head of household on the admin of macroregion</t>
  </si>
  <si>
    <t>Percentage of households who have become indebted since 2024 broken down by IDP household on the admin of macroregion</t>
  </si>
  <si>
    <t>Percentage of households who have become indebted since 2024 broken down by proximity to frontline/border with Russian Federation on the admin of macroregion</t>
  </si>
  <si>
    <t>Percentage of households who have become indebted since 2024 broken down by caregiving status  on the admin of macroregion</t>
  </si>
  <si>
    <t>Percentage of households who are currently indebted, by reason on the admin of macroregion</t>
  </si>
  <si>
    <t>Domestic assets (appliances, household repairs, repairing facilities) for your household</t>
  </si>
  <si>
    <t xml:space="preserve">Health / Medical expenses for your household </t>
  </si>
  <si>
    <t>Domestic consumption (food, utilities, etc) for your household</t>
  </si>
  <si>
    <t>Repayment of other debts of your household</t>
  </si>
  <si>
    <t>Education expenses for your household</t>
  </si>
  <si>
    <t xml:space="preserve">Holiday / Travel for your household </t>
  </si>
  <si>
    <t>Shelter repair for your household</t>
  </si>
  <si>
    <t>Investment in business (capital or assets) belonging to a household member</t>
  </si>
  <si>
    <t>Property / Mortgage belonging to a household member</t>
  </si>
  <si>
    <t>For another households' needs</t>
  </si>
  <si>
    <t>Urgent travel related to displacement for your household</t>
  </si>
  <si>
    <t>Obtaining / replacing official documents for your household</t>
  </si>
  <si>
    <t>Replacing possessions of your household that were destroyed / left behind due to the war</t>
  </si>
  <si>
    <t>Percentage of households who are currently indebted, by reason broken down by households with at least one member with a reported and/or registered disability on the admin of macroregion</t>
  </si>
  <si>
    <t>Percentage of households who are currently indebted, by reason broken down by urbanity on the admin of macroregion</t>
  </si>
  <si>
    <t>Percentage of households who are currently indebted, by reason broken down by household size on the admin of macroregion</t>
  </si>
  <si>
    <t>Percentage of households who are currently indebted, by reason broken down by income per capita (quartiles) on the admin of macroregion</t>
  </si>
  <si>
    <t>Percentage of households who are currently indebted, by reason broken down by gender of head of household on the admin of macroregion</t>
  </si>
  <si>
    <t>Percentage of households who are currently indebted, by reason broken down by age of adults in the households on the admin of macroregion</t>
  </si>
  <si>
    <t>Percentage of households who are currently indebted, by reason broken down by households with at least one child (&lt;18 y.o.) on the admin of macroregion</t>
  </si>
  <si>
    <t>Percentage of households who are currently indebted, by reason broken down by displacement status of head of household on the admin of macroregion</t>
  </si>
  <si>
    <t>Percentage of households who are currently indebted, by reason broken down by IDP household on the admin of macroregion</t>
  </si>
  <si>
    <t>Percentage of households who are currently indebted, by reason broken down by proximity to frontline/border with Russian Federation on the admin of macroregion</t>
  </si>
  <si>
    <t>Percentage of households who are currently indebted, by reason broken down by caregiving status  on the admin of macroregion</t>
  </si>
  <si>
    <t>Percentage of households earning an income from own production, by challenges experienced on the admin of macroregion</t>
  </si>
  <si>
    <t>No challenges</t>
  </si>
  <si>
    <t>Lack of or high cost of animal feed/veterinary services</t>
  </si>
  <si>
    <t>Lack of or high cost of seeds/fertilizer/pesticides</t>
  </si>
  <si>
    <t>Lack of labor</t>
  </si>
  <si>
    <t>Water scarcity</t>
  </si>
  <si>
    <t>Difficulty accessing markets to sell products</t>
  </si>
  <si>
    <t xml:space="preserve">Lack of access to land/pasture </t>
  </si>
  <si>
    <t>Insecurity preventing access to fields/livestock</t>
  </si>
  <si>
    <t>Lack of agricultural tools/equipment</t>
  </si>
  <si>
    <t>Damage to land or irrigation systems</t>
  </si>
  <si>
    <t>Loss of livestock due to conflict/disease</t>
  </si>
  <si>
    <t>Contamination of land (e.g., mines, ERW)</t>
  </si>
  <si>
    <t>Percentage of households earning an income from own production, by challenges experienced broken down by households with at least one member with a reported and/or registered disability on the admin of macroregion</t>
  </si>
  <si>
    <t>Percentage of households earning an income from own production, by challenges experienced broken down by urbanity on the admin of macroregion</t>
  </si>
  <si>
    <t>Percentage of households earning an income from own production, by challenges experienced broken down by household size on the admin of macroregion</t>
  </si>
  <si>
    <t>Percentage of households earning an income from own production, by challenges experienced broken down by income per capita (quartiles) on the admin of macroregion</t>
  </si>
  <si>
    <t>Percentage of households earning an income from own production, by challenges experienced broken down by gender of head of household on the admin of macroregion</t>
  </si>
  <si>
    <t>Percentage of households earning an income from own production, by challenges experienced broken down by age of adults in the households on the admin of macroregion</t>
  </si>
  <si>
    <t>Percentage of households earning an income from own production, by challenges experienced broken down by households with at least one child (&lt;18 y.o.) on the admin of macroregion</t>
  </si>
  <si>
    <t>Percentage of households earning an income from own production, by challenges experienced broken down by displacement status of head of household on the admin of macroregion</t>
  </si>
  <si>
    <t>Percentage of households earning an income from own production, by challenges experienced broken down by IDP household on the admin of macroregion</t>
  </si>
  <si>
    <t>Percentage of households earning an income from own production, by challenges experienced broken down by proximity to frontline/border with Russian Federation on the admin of macroregion</t>
  </si>
  <si>
    <t>Percentage of households earning an income from own production, by challenges experienced broken down by caregiving status  on the admin of macroregion</t>
  </si>
  <si>
    <t>option</t>
  </si>
  <si>
    <t>perc_Selling household assets/goods</t>
  </si>
  <si>
    <t>perc_Spending savings or consuming stocks</t>
  </si>
  <si>
    <t>perc_Purchasing food on credit or borrowing food</t>
  </si>
  <si>
    <t>perc_Getting an additional job</t>
  </si>
  <si>
    <t>perc_Selling productive assets</t>
  </si>
  <si>
    <t>perc_Reducing essential health expenditures</t>
  </si>
  <si>
    <t>perc_Sending household members to live elsewhere</t>
  </si>
  <si>
    <t>perc_Selling housing/land</t>
  </si>
  <si>
    <t>perc_Using degrading sources of income/illegal work/high-risk jobs</t>
  </si>
  <si>
    <t>perc_Asking strangers for money</t>
  </si>
  <si>
    <t>No, had no need to use this coping strategy</t>
  </si>
  <si>
    <t>No, have already exhausted this coping strategy and cannot use it again</t>
  </si>
  <si>
    <t>Not applicable / This coping strategy is not available to me</t>
  </si>
  <si>
    <t>Households using Livelihood Coping Strategies, by main reason on the admin of macroregion</t>
  </si>
  <si>
    <t xml:space="preserve">To access or pay for food </t>
  </si>
  <si>
    <t xml:space="preserve">To access or pay for healthcare </t>
  </si>
  <si>
    <t xml:space="preserve">To access or pay for shelter </t>
  </si>
  <si>
    <t xml:space="preserve">Other (specify) </t>
  </si>
  <si>
    <t xml:space="preserve">To access or pay for education </t>
  </si>
  <si>
    <t>Households adopting Livelihood Coping Strategies, by strategy by households with at least one member with a reported and/or registered disability</t>
  </si>
  <si>
    <t>Households using Livelihood Coping Strategies, by main reason broken down by households with at least one member with a reported and/or registered disability on the admin of macroregion</t>
  </si>
  <si>
    <t>Households adopting Livelihood Coping Strategies, by strategy by urbanity</t>
  </si>
  <si>
    <t>Households using Livelihood Coping Strategies, by main reason broken down by urbanity on the admin of macroregion</t>
  </si>
  <si>
    <t>Households adopting Livelihood Coping Strategies, by strategy by household size</t>
  </si>
  <si>
    <t>Households using Livelihood Coping Strategies, by main reason broken down by household size on the admin of macroregion</t>
  </si>
  <si>
    <t>Households adopting Livelihood Coping Strategies, by strategy by income per capita (quartiles)</t>
  </si>
  <si>
    <t>Households using Livelihood Coping Strategies, by main reason broken down by income per capita (quartiles) on the admin of macroregion</t>
  </si>
  <si>
    <t>Households adopting Livelihood Coping Strategies, by strategy by gender of head of household</t>
  </si>
  <si>
    <t>Households using Livelihood Coping Strategies, by main reason broken down by gender of head of household on the admin of macroregion</t>
  </si>
  <si>
    <t>Households adopting Livelihood Coping Strategies, by strategy by age of adults in the households</t>
  </si>
  <si>
    <t>Households using Livelihood Coping Strategies, by main reason broken down by age of adults in the households on the admin of macroregion</t>
  </si>
  <si>
    <t>Households adopting Livelihood Coping Strategies, by strategy by households with at least one child (&lt;18 y.o.)</t>
  </si>
  <si>
    <t>Households using Livelihood Coping Strategies, by main reason broken down by households with at least one child (&lt;18 y.o.) on the admin of macroregion</t>
  </si>
  <si>
    <t>Households adopting Livelihood Coping Strategies, by strategy by displacement status of head of household</t>
  </si>
  <si>
    <t>Households using Livelihood Coping Strategies, by main reason broken down by displacement status of head of household on the admin of macroregion</t>
  </si>
  <si>
    <t>Households adopting Livelihood Coping Strategies, by strategy by IDP household</t>
  </si>
  <si>
    <t>Households using Livelihood Coping Strategies, by main reason broken down by IDP household on the admin of macroregion</t>
  </si>
  <si>
    <t>Households adopting Livelihood Coping Strategies, by strategy by proximity to frontline/border with Russian Federation</t>
  </si>
  <si>
    <t>Households using Livelihood Coping Strategies, by main reason broken down by proximity to frontline/border with Russian Federation on the admin of macroregion</t>
  </si>
  <si>
    <t xml:space="preserve">Households adopting Livelihood Coping Strategies, by strategy by caregiving status </t>
  </si>
  <si>
    <t>Households using Livelihood Coping Strategies, by main reason broken down by caregiving status  on the admin of macroregion</t>
  </si>
  <si>
    <t>Livelihood Coping Strategy - Essential Needs (LCS-EN) on the admin of macroregion</t>
  </si>
  <si>
    <t>No coping</t>
  </si>
  <si>
    <t>Crisis</t>
  </si>
  <si>
    <t>Stress</t>
  </si>
  <si>
    <t>Emergency</t>
  </si>
  <si>
    <t>Livelihood Coping Strategy - Essential Needs (LCS-EN) broken down by households with at least one member with a reported and/or registered disability on the admin of macroregion</t>
  </si>
  <si>
    <t>Livelihood Coping Strategy - Essential Needs (LCS-EN) broken down by urbanity on the admin of macroregion</t>
  </si>
  <si>
    <t>Livelihood Coping Strategy - Essential Needs (LCS-EN) broken down by household size on the admin of macroregion</t>
  </si>
  <si>
    <t>Livelihood Coping Strategy - Essential Needs (LCS-EN) broken down by income per capita (quartiles) on the admin of macroregion</t>
  </si>
  <si>
    <t>Livelihood Coping Strategy - Essential Needs (LCS-EN) broken down by gender of head of household on the admin of macroregion</t>
  </si>
  <si>
    <t>Livelihood Coping Strategy - Essential Needs (LCS-EN) broken down by age of adults in the households on the admin of macroregion</t>
  </si>
  <si>
    <t>Livelihood Coping Strategy - Essential Needs (LCS-EN) broken down by households with at least one child (&lt;18 y.o.) on the admin of macroregion</t>
  </si>
  <si>
    <t>Livelihood Coping Strategy - Essential Needs (LCS-EN) broken down by displacement status of head of household on the admin of macroregion</t>
  </si>
  <si>
    <t>Livelihood Coping Strategy - Essential Needs (LCS-EN) broken down by IDP household on the admin of macroregion</t>
  </si>
  <si>
    <t>Livelihood Coping Strategy - Essential Needs (LCS-EN) broken down by proximity to frontline/border with Russian Federation on the admin of macroregion</t>
  </si>
  <si>
    <t>Livelihood Coping Strategy - Essential Needs (LCS-EN) broken down by caregiving status  on the admin of macroregion</t>
  </si>
  <si>
    <t>Households exposed to armed violence/artillery shelling in the last 3 months on the admin of macroregion</t>
  </si>
  <si>
    <t>Households exposed to armed violence/artillery shelling in the last 3 months broken down by households with at least one member with a reported and/or registered disability on the admin of macroregion</t>
  </si>
  <si>
    <t>Households exposed to armed violence/artillery shelling in the last 3 months broken down by urbanity on the admin of macroregion</t>
  </si>
  <si>
    <t>Households exposed to armed violence/artillery shelling in the last 3 months broken down by household size on the admin of macroregion</t>
  </si>
  <si>
    <t>Households exposed to armed violence/artillery shelling in the last 3 months broken down by income per capita (quartiles) on the admin of macroregion</t>
  </si>
  <si>
    <t>Households exposed to armed violence/artillery shelling in the last 3 months broken down by gender of head of household on the admin of macroregion</t>
  </si>
  <si>
    <t>Households exposed to armed violence/artillery shelling in the last 3 months broken down by age of adults in the households on the admin of macroregion</t>
  </si>
  <si>
    <t>Households exposed to armed violence/artillery shelling in the last 3 months broken down by households with at least one child (&lt;18 y.o.) on the admin of macroregion</t>
  </si>
  <si>
    <t>Households exposed to armed violence/artillery shelling in the last 3 months broken down by displacement status of head of household on the admin of macroregion</t>
  </si>
  <si>
    <t>Households exposed to armed violence/artillery shelling in the last 3 months broken down by IDP household on the admin of macroregion</t>
  </si>
  <si>
    <t>Households exposed to armed violence/artillery shelling in the last 3 months broken down by proximity to frontline/border with Russian Federation on the admin of macroregion</t>
  </si>
  <si>
    <t>Households exposed to armed violence/artillery shelling in the last 3 months broken down by caregiving status  on the admin of macroregion</t>
  </si>
  <si>
    <t>Households exposed to armed violence/artillery shelling in the last 3 months broken down by gender of respondent on the admin of macroregion</t>
  </si>
  <si>
    <t>Men-respondents</t>
  </si>
  <si>
    <t>Other respondents</t>
  </si>
  <si>
    <t>Women-respondents</t>
  </si>
  <si>
    <t>Households exposed to armed violence/artillery shelling in the last 3 months broken down by age of respondents on the admin of macroregion</t>
  </si>
  <si>
    <t>18-19 y.o. respondents</t>
  </si>
  <si>
    <t>65+ y.o. respondents</t>
  </si>
  <si>
    <t>20-39 y.o. respondents</t>
  </si>
  <si>
    <t>40-64 y.o. respondents</t>
  </si>
  <si>
    <t>Households exposed to armed violence/artillery shelling in the last 3 months broken down by gender and age of respondents on the admin of macroregion</t>
  </si>
  <si>
    <t>Households exposed to armed violence/artillery shelling in the last 3 months, by frequency  on the admin of macroregion</t>
  </si>
  <si>
    <t>Daily or almost daily</t>
  </si>
  <si>
    <t>Once a week</t>
  </si>
  <si>
    <t>Once a month</t>
  </si>
  <si>
    <t>Less than once a month</t>
  </si>
  <si>
    <t>Households exposed to armed violence/artillery shelling in the last 3 months, by frequency  broken down by households with at least one member with a reported and/or registered disability on the admin of macroregion</t>
  </si>
  <si>
    <t>Households exposed to armed violence/artillery shelling in the last 3 months, by frequency  broken down by urbanity on the admin of macroregion</t>
  </si>
  <si>
    <t>Households exposed to armed violence/artillery shelling in the last 3 months, by frequency  broken down by household size on the admin of macroregion</t>
  </si>
  <si>
    <t>Households exposed to armed violence/artillery shelling in the last 3 months, by frequency  broken down by income per capita (quartiles) on the admin of macroregion</t>
  </si>
  <si>
    <t>Households exposed to armed violence/artillery shelling in the last 3 months, by frequency  broken down by gender of head of household on the admin of macroregion</t>
  </si>
  <si>
    <t>Households exposed to armed violence/artillery shelling in the last 3 months, by frequency  broken down by age of adults in the households on the admin of macroregion</t>
  </si>
  <si>
    <t>Households exposed to armed violence/artillery shelling in the last 3 months, by frequency  broken down by households with at least one child (&lt;18 y.o.) on the admin of macroregion</t>
  </si>
  <si>
    <t>Households exposed to armed violence/artillery shelling in the last 3 months, by frequency  broken down by displacement status of head of household on the admin of macroregion</t>
  </si>
  <si>
    <t>Households exposed to armed violence/artillery shelling in the last 3 months, by frequency  broken down by IDP household on the admin of macroregion</t>
  </si>
  <si>
    <t>Households exposed to armed violence/artillery shelling in the last 3 months, by frequency  broken down by proximity to frontline/border with Russian Federation on the admin of macroregion</t>
  </si>
  <si>
    <t>Households exposed to armed violence/artillery shelling in the last 3 months, by frequency  broken down by caregiving status  on the admin of macroregion</t>
  </si>
  <si>
    <t>Households exposed to armed violence/artillery shelling in the last 3 months, by frequency  broken down by gender of respondent on the admin of macroregion</t>
  </si>
  <si>
    <t>Households exposed to armed violence/artillery shelling in the last 3 months, by frequency  broken down by age of respondents on the admin of macroregion</t>
  </si>
  <si>
    <t>Households exposed to armed violence/artillery shelling in the last 3 months, by frequency  broken down by gender and age of respondents on the admin of macroregion</t>
  </si>
  <si>
    <t>Households exposed to drone/missile attacks in last 3 months on the admin of macroregion</t>
  </si>
  <si>
    <t>Households exposed to drone/missile attacks in last 3 months broken down by households with at least one member with a reported and/or registered disability on the admin of macroregion</t>
  </si>
  <si>
    <t>Households exposed to drone/missile attacks in last 3 months broken down by urbanity on the admin of macroregion</t>
  </si>
  <si>
    <t>Households exposed to drone/missile attacks in last 3 months broken down by household size on the admin of macroregion</t>
  </si>
  <si>
    <t>Households exposed to drone/missile attacks in last 3 months broken down by income per capita (quartiles) on the admin of macroregion</t>
  </si>
  <si>
    <t>Households exposed to drone/missile attacks in last 3 months broken down by gender of head of household on the admin of macroregion</t>
  </si>
  <si>
    <t>Households exposed to drone/missile attacks in last 3 months broken down by age of adults in the households on the admin of macroregion</t>
  </si>
  <si>
    <t>Households exposed to drone/missile attacks in last 3 months broken down by households with at least one child (&lt;18 y.o.) on the admin of macroregion</t>
  </si>
  <si>
    <t>Households exposed to drone/missile attacks in last 3 months broken down by displacement status of head of household on the admin of macroregion</t>
  </si>
  <si>
    <t>Households exposed to drone/missile attacks in last 3 months broken down by IDP household on the admin of macroregion</t>
  </si>
  <si>
    <t>Households exposed to drone/missile attacks in last 3 months broken down by proximity to frontline/border with Russian Federation on the admin of macroregion</t>
  </si>
  <si>
    <t>Households exposed to drone/missile attacks in last 3 months broken down by caregiving status  on the admin of macroregion</t>
  </si>
  <si>
    <t>Households exposed to drone/missile attacks in last 3 months broken down by gender of respondent on the admin of macroregion</t>
  </si>
  <si>
    <t>Households exposed to drone/missile attacks in last 3 months broken down by age of respondents on the admin of macroregion</t>
  </si>
  <si>
    <t>Households exposed to drone/missile attacks in last 3 months broken down by gender and age of respondents on the admin of macroregion</t>
  </si>
  <si>
    <t>Households exposed to drone/missile attacks in past 3 months, by frequency on the admin of macroregion</t>
  </si>
  <si>
    <t>Households exposed to drone/missile attacks in past 3 months, by frequency broken down by households with at least one member with a reported and/or registered disability on the admin of macroregion</t>
  </si>
  <si>
    <t>Households exposed to drone/missile attacks in past 3 months, by frequency broken down by urbanity on the admin of macroregion</t>
  </si>
  <si>
    <t>Households exposed to drone/missile attacks in past 3 months, by frequency broken down by household size on the admin of macroregion</t>
  </si>
  <si>
    <t>Households exposed to drone/missile attacks in past 3 months, by frequency broken down by income per capita (quartiles) on the admin of macroregion</t>
  </si>
  <si>
    <t>Households exposed to drone/missile attacks in past 3 months, by frequency broken down by gender of head of household on the admin of macroregion</t>
  </si>
  <si>
    <t>Households exposed to drone/missile attacks in past 3 months, by frequency broken down by age of adults in the households on the admin of macroregion</t>
  </si>
  <si>
    <t>Households exposed to drone/missile attacks in past 3 months, by frequency broken down by households with at least one child (&lt;18 y.o.) on the admin of macroregion</t>
  </si>
  <si>
    <t>Households exposed to drone/missile attacks in past 3 months, by frequency broken down by displacement status of head of household on the admin of macroregion</t>
  </si>
  <si>
    <t>Households exposed to drone/missile attacks in past 3 months, by frequency broken down by IDP household on the admin of macroregion</t>
  </si>
  <si>
    <t>Households exposed to drone/missile attacks in past 3 months, by frequency broken down by proximity to frontline/border with Russian Federation on the admin of macroregion</t>
  </si>
  <si>
    <t>Households exposed to drone/missile attacks in past 3 months, by frequency broken down by caregiving status  on the admin of macroregion</t>
  </si>
  <si>
    <t>Households exposed to drone/missile attacks in past 3 months, by frequency broken down by gender of respondent on the admin of macroregion</t>
  </si>
  <si>
    <t>Households exposed to drone/missile attacks in past 3 months, by frequency broken down by age of respondents on the admin of macroregion</t>
  </si>
  <si>
    <t>Households exposed to drone/missile attacks in past 3 months, by frequency broken down by gender and age of respondents on the admin of macroregion</t>
  </si>
  <si>
    <t>Households exposed to other safety and security incidents in the last 3 months, by type on the admin of macroregion</t>
  </si>
  <si>
    <t>Conscription-related incidents</t>
  </si>
  <si>
    <t>Attacks / threatening behavior of stray animals (dogs, etc)</t>
  </si>
  <si>
    <t>Crime (e.g. being robbed, property looting)</t>
  </si>
  <si>
    <t>Physical violence not related to the conflict</t>
  </si>
  <si>
    <t>Discrimination and harassment (because of language, ethnicity, status, etc.)</t>
  </si>
  <si>
    <t xml:space="preserve">Incidents related to the presence of military actors </t>
  </si>
  <si>
    <t>Kidnapping, forced disappearance (excluding conscription)</t>
  </si>
  <si>
    <t>Exploitation (being engaged in harmful forms of labor, human trafficking)</t>
  </si>
  <si>
    <t>Arbitrary arrest / detention (excluding conscription)</t>
  </si>
  <si>
    <t>Households exposed to other safety and security incidents in the last 3 months, by type broken down by households with at least one member with a reported and/or registered disability on the admin of macroregion</t>
  </si>
  <si>
    <t>Households exposed to other safety and security incidents in the last 3 months, by type broken down by urbanity on the admin of macroregion</t>
  </si>
  <si>
    <t>Households exposed to other safety and security incidents in the last 3 months, by type broken down by household size on the admin of macroregion</t>
  </si>
  <si>
    <t>Households exposed to other safety and security incidents in the last 3 months, by type broken down by income per capita (quartiles) on the admin of macroregion</t>
  </si>
  <si>
    <t>Households exposed to other safety and security incidents in the last 3 months, by type broken down by gender of head of household on the admin of macroregion</t>
  </si>
  <si>
    <t>Households exposed to other safety and security incidents in the last 3 months, by type broken down by age of adults in the households on the admin of macroregion</t>
  </si>
  <si>
    <t>Households exposed to other safety and security incidents in the last 3 months, by type broken down by households with at least one child (&lt;18 y.o.) on the admin of macroregion</t>
  </si>
  <si>
    <t>Households exposed to other safety and security incidents in the last 3 months, by type broken down by displacement status of head of household on the admin of macroregion</t>
  </si>
  <si>
    <t>Households exposed to other safety and security incidents in the last 3 months, by type broken down by IDP household on the admin of macroregion</t>
  </si>
  <si>
    <t>Households exposed to other safety and security incidents in the last 3 months, by type broken down by proximity to frontline/border with Russian Federation on the admin of macroregion</t>
  </si>
  <si>
    <t>Households exposed to other safety and security incidents in the last 3 months, by type broken down by caregiving status  on the admin of macroregion</t>
  </si>
  <si>
    <t>Households exposed to other safety and security incidents in the last 3 months, by type broken down by gender of respondent on the admin of macroregion</t>
  </si>
  <si>
    <t>Households exposed to other safety and security incidents in the last 3 months, by type broken down by age of respondents on the admin of macroregion</t>
  </si>
  <si>
    <t>Households exposed to other safety and security incidents in the last 3 months, by type broken down by gender and age of respondents on the admin of macroregion</t>
  </si>
  <si>
    <t>Households reporting being concerned about having any HH member engaging in risky activities due to economic needs, by frequency on the admin of macroregion</t>
  </si>
  <si>
    <t xml:space="preserve">Never </t>
  </si>
  <si>
    <t xml:space="preserve">Always </t>
  </si>
  <si>
    <t xml:space="preserve">Several times </t>
  </si>
  <si>
    <t xml:space="preserve">Just once or twice </t>
  </si>
  <si>
    <t>Households reporting being concerned about having any HH member engaging in risky activities due to economic needs, by frequency broken down by households with at least one member with a reported and/or registered disability on the admin of macroregion</t>
  </si>
  <si>
    <t>Households reporting being concerned about having any HH member engaging in risky activities due to economic needs, by frequency broken down by urbanity on the admin of macroregion</t>
  </si>
  <si>
    <t>Households reporting being concerned about having any HH member engaging in risky activities due to economic needs, by frequency broken down by household size on the admin of macroregion</t>
  </si>
  <si>
    <t>Households reporting being concerned about having any HH member engaging in risky activities due to economic needs, by frequency broken down by income per capita (quartiles) on the admin of macroregion</t>
  </si>
  <si>
    <t>Households reporting being concerned about having any HH member engaging in risky activities due to economic needs, by frequency broken down by gender of head of household on the admin of macroregion</t>
  </si>
  <si>
    <t>Households reporting being concerned about having any HH member engaging in risky activities due to economic needs, by frequency broken down by age of adults in the households on the admin of macroregion</t>
  </si>
  <si>
    <t>Households reporting being concerned about having any HH member engaging in risky activities due to economic needs, by frequency broken down by households with at least one child (&lt;18 y.o.) on the admin of macroregion</t>
  </si>
  <si>
    <t>Households reporting being concerned about having any HH member engaging in risky activities due to economic needs, by frequency broken down by displacement status of head of household on the admin of macroregion</t>
  </si>
  <si>
    <t>Households reporting being concerned about having any HH member engaging in risky activities due to economic needs, by frequency broken down by IDP household on the admin of macroregion</t>
  </si>
  <si>
    <t>Households reporting being concerned about having any HH member engaging in risky activities due to economic needs, by frequency broken down by proximity to frontline/border with Russian Federation on the admin of macroregion</t>
  </si>
  <si>
    <t>Households reporting being concerned about having any HH member engaging in risky activities due to economic needs, by frequency broken down by caregiving status  on the admin of macroregion</t>
  </si>
  <si>
    <t>Households reporting being concerned about having any HH member engaging in risky activities due to economic needs, by frequency broken down by gender of respondent on the admin of macroregion</t>
  </si>
  <si>
    <t>Households reporting being concerned about having any HH member engaging in risky activities due to economic needs, by frequency broken down by age of respondents on the admin of macroregion</t>
  </si>
  <si>
    <t>Households reporting being concerned about having any HH member engaging in risky activities due to economic needs, by frequency broken down by gender and age of respondents on the admin of macroregion</t>
  </si>
  <si>
    <t>Households reporting being concerned about being forced to flee, by frequency on the admin of macroregion</t>
  </si>
  <si>
    <t>Households reporting being concerned about being forced to flee, by frequency broken down by households with at least one member with a reported and/or registered disability on the admin of macroregion</t>
  </si>
  <si>
    <t>Households reporting being concerned about being forced to flee, by frequency broken down by urbanity on the admin of macroregion</t>
  </si>
  <si>
    <t>Households reporting being concerned about being forced to flee, by frequency broken down by household size on the admin of macroregion</t>
  </si>
  <si>
    <t>Households reporting being concerned about being forced to flee, by frequency broken down by income per capita (quartiles) on the admin of macroregion</t>
  </si>
  <si>
    <t>Households reporting being concerned about being forced to flee, by frequency broken down by gender of head of household on the admin of macroregion</t>
  </si>
  <si>
    <t>Households reporting being concerned about being forced to flee, by frequency broken down by age of adults in the households on the admin of macroregion</t>
  </si>
  <si>
    <t>Households reporting being concerned about being forced to flee, by frequency broken down by households with at least one child (&lt;18 y.o.) on the admin of macroregion</t>
  </si>
  <si>
    <t>Households reporting being concerned about being forced to flee, by frequency broken down by displacement status of head of household on the admin of macroregion</t>
  </si>
  <si>
    <t>Households reporting being concerned about being forced to flee, by frequency broken down by IDP household on the admin of macroregion</t>
  </si>
  <si>
    <t>Households reporting being concerned about being forced to flee, by frequency broken down by proximity to frontline/border with Russian Federation on the admin of macroregion</t>
  </si>
  <si>
    <t>Households reporting being concerned about being forced to flee, by frequency broken down by caregiving status  on the admin of macroregion</t>
  </si>
  <si>
    <t>Households reporting being concerned about being forced to flee, by frequency broken down by gender of respondent on the admin of macroregion</t>
  </si>
  <si>
    <t>Households reporting being concerned about being forced to flee, by frequency broken down by age of respondents on the admin of macroregion</t>
  </si>
  <si>
    <t>Households reporting being concerned about being forced to flee, by frequency broken down by gender and age of respondents on the admin of macroregion</t>
  </si>
  <si>
    <t>Households reporting being concerned about violence in the community, not related to the conflict, by frequency on the admin of macroregion</t>
  </si>
  <si>
    <t>Households reporting being concerned about violence in the community, not related to the conflict, by frequency broken down by households with at least one member with a reported and/or registered disability on the admin of macroregion</t>
  </si>
  <si>
    <t>Households reporting being concerned about violence in the community, not related to the conflict, by frequency broken down by urbanity on the admin of macroregion</t>
  </si>
  <si>
    <t>Households reporting being concerned about violence in the community, not related to the conflict, by frequency broken down by household size on the admin of macroregion</t>
  </si>
  <si>
    <t>Households reporting being concerned about violence in the community, not related to the conflict, by frequency broken down by income per capita (quartiles) on the admin of macroregion</t>
  </si>
  <si>
    <t>Households reporting being concerned about violence in the community, not related to the conflict, by frequency broken down by gender of head of household on the admin of macroregion</t>
  </si>
  <si>
    <t>Households reporting being concerned about violence in the community, not related to the conflict, by frequency broken down by age of adults in the households on the admin of macroregion</t>
  </si>
  <si>
    <t>Households reporting being concerned about violence in the community, not related to the conflict, by frequency broken down by households with at least one child (&lt;18 y.o.) on the admin of macroregion</t>
  </si>
  <si>
    <t>Households reporting being concerned about violence in the community, not related to the conflict, by frequency broken down by displacement status of head of household on the admin of macroregion</t>
  </si>
  <si>
    <t>Households reporting being concerned about violence in the community, not related to the conflict, by frequency broken down by IDP household on the admin of macroregion</t>
  </si>
  <si>
    <t>Households reporting being concerned about violence in the community, not related to the conflict, by frequency broken down by proximity to frontline/border with Russian Federation on the admin of macroregion</t>
  </si>
  <si>
    <t>Households reporting being concerned about violence in the community, not related to the conflict, by frequency broken down by caregiving status  on the admin of macroregion</t>
  </si>
  <si>
    <t>Households reporting being concerned about violence in the community, not related to the conflict, by frequency broken down by gender of respondent on the admin of macroregion</t>
  </si>
  <si>
    <t>Households reporting being concerned about violence in the community, not related to the conflict, by frequency broken down by age of respondents on the admin of macroregion</t>
  </si>
  <si>
    <t>Households reporting being concerned about violence in the community, not related to the conflict, by frequency broken down by gender and age of respondents on the admin of macroregion</t>
  </si>
  <si>
    <t>Households reporting being concerned about persecution/discrimination, by frequency on the admin of macroregion</t>
  </si>
  <si>
    <t>Households reporting being concerned about persecution/discrimination, by frequency broken down by households with at least one member with a reported and/or registered disability on the admin of macroregion</t>
  </si>
  <si>
    <t>Households reporting being concerned about persecution/discrimination, by frequency broken down by urbanity on the admin of macroregion</t>
  </si>
  <si>
    <t>Households reporting being concerned about persecution/discrimination, by frequency broken down by household size on the admin of macroregion</t>
  </si>
  <si>
    <t>Households reporting being concerned about persecution/discrimination, by frequency broken down by income per capita (quartiles) on the admin of macroregion</t>
  </si>
  <si>
    <t>Households reporting being concerned about persecution/discrimination, by frequency broken down by gender of head of household on the admin of macroregion</t>
  </si>
  <si>
    <t>Households reporting being concerned about persecution/discrimination, by frequency broken down by age of adults in the households on the admin of macroregion</t>
  </si>
  <si>
    <t>Households reporting being concerned about persecution/discrimination, by frequency broken down by households with at least one child (&lt;18 y.o.) on the admin of macroregion</t>
  </si>
  <si>
    <t>Households reporting being concerned about persecution/discrimination, by frequency broken down by displacement status of head of household on the admin of macroregion</t>
  </si>
  <si>
    <t>Households reporting being concerned about persecution/discrimination, by frequency broken down by IDP household on the admin of macroregion</t>
  </si>
  <si>
    <t>Households reporting being concerned about persecution/discrimination, by frequency broken down by proximity to frontline/border with Russian Federation on the admin of macroregion</t>
  </si>
  <si>
    <t>Households reporting being concerned about persecution/discrimination, by frequency broken down by caregiving status  on the admin of macroregion</t>
  </si>
  <si>
    <t>Households reporting being concerned about persecution/discrimination, by frequency broken down by gender of respondent on the admin of macroregion</t>
  </si>
  <si>
    <t>Households reporting being concerned about persecution/discrimination, by frequency broken down by age of respondents on the admin of macroregion</t>
  </si>
  <si>
    <t>Households reporting being concerned about persecution/discrimination, by frequency broken down by gender and age of respondents on the admin of macroregion</t>
  </si>
  <si>
    <t>Households reporting being concerned about kidnapping/detention/abduction, by frequency on the admin of macroregion</t>
  </si>
  <si>
    <t>Households reporting being concerned about kidnapping/detention/abduction, by frequency broken down by households with at least one member with a reported and/or registered disability on the admin of macroregion</t>
  </si>
  <si>
    <t>Households reporting being concerned about kidnapping/detention/abduction, by frequency broken down by urbanity on the admin of macroregion</t>
  </si>
  <si>
    <t>Households reporting being concerned about kidnapping/detention/abduction, by frequency broken down by household size on the admin of macroregion</t>
  </si>
  <si>
    <t>Households reporting being concerned about kidnapping/detention/abduction, by frequency broken down by income per capita (quartiles) on the admin of macroregion</t>
  </si>
  <si>
    <t>Households reporting being concerned about kidnapping/detention/abduction, by frequency broken down by gender of head of household on the admin of macroregion</t>
  </si>
  <si>
    <t>Households reporting being concerned about kidnapping/detention/abduction, by frequency broken down by age of adults in the households on the admin of macroregion</t>
  </si>
  <si>
    <t>Households reporting being concerned about kidnapping/detention/abduction, by frequency broken down by households with at least one child (&lt;18 y.o.) on the admin of macroregion</t>
  </si>
  <si>
    <t>Households reporting being concerned about kidnapping/detention/abduction, by frequency broken down by displacement status of head of household on the admin of macroregion</t>
  </si>
  <si>
    <t>Households reporting being concerned about kidnapping/detention/abduction, by frequency broken down by IDP household on the admin of macroregion</t>
  </si>
  <si>
    <t>Households reporting being concerned about kidnapping/detention/abduction, by frequency broken down by proximity to frontline/border with Russian Federation on the admin of macroregion</t>
  </si>
  <si>
    <t>Households reporting being concerned about kidnapping/detention/abduction, by frequency broken down by caregiving status  on the admin of macroregion</t>
  </si>
  <si>
    <t>Households reporting being concerned about kidnapping/detention/abduction, by frequency broken down by gender of respondent on the admin of macroregion</t>
  </si>
  <si>
    <t>Households reporting being concerned about kidnapping/detention/abduction, by frequency broken down by age of respondents on the admin of macroregion</t>
  </si>
  <si>
    <t>Households reporting being concerned about kidnapping/detention/abduction, by frequency broken down by gender and age of respondents on the admin of macroregion</t>
  </si>
  <si>
    <t>Households by reported safety and security concerns for WOMEN in the area, by concern on the admin of macroregion</t>
  </si>
  <si>
    <t>Conscription of spouse/partner</t>
  </si>
  <si>
    <t>Presence of military actors</t>
  </si>
  <si>
    <t>Households by reported safety and security concerns for WOMEN in the area, by concern broken down by households with at least one member with a reported and/or registered disability on the admin of macroregion</t>
  </si>
  <si>
    <t>Households by reported safety and security concerns for WOMEN in the area, by concern broken down by urbanity on the admin of macroregion</t>
  </si>
  <si>
    <t>Households by reported safety and security concerns for WOMEN in the area, by concern broken down by household size on the admin of macroregion</t>
  </si>
  <si>
    <t>Households by reported safety and security concerns for WOMEN in the area, by concern broken down by income per capita (quartiles) on the admin of macroregion</t>
  </si>
  <si>
    <t>Households by reported safety and security concerns for WOMEN in the area, by concern broken down by gender of head of household on the admin of macroregion</t>
  </si>
  <si>
    <t>Households by reported safety and security concerns for WOMEN in the area, by concern broken down by age of adults in the households on the admin of macroregion</t>
  </si>
  <si>
    <t>Households by reported safety and security concerns for WOMEN in the area, by concern broken down by households with at least one child (&lt;18 y.o.) on the admin of macroregion</t>
  </si>
  <si>
    <t>Households by reported safety and security concerns for WOMEN in the area, by concern broken down by displacement status of head of household on the admin of macroregion</t>
  </si>
  <si>
    <t>Households by reported safety and security concerns for WOMEN in the area, by concern broken down by IDP household on the admin of macroregion</t>
  </si>
  <si>
    <t>Households by reported safety and security concerns for WOMEN in the area, by concern broken down by proximity to frontline/border with Russian Federation on the admin of macroregion</t>
  </si>
  <si>
    <t>Households by reported safety and security concerns for WOMEN in the area, by concern broken down by caregiving status  on the admin of macroregion</t>
  </si>
  <si>
    <t>Households by reported safety and security concerns for WOMEN in the area, by concern broken down by gender of respondent on the admin of macroregion</t>
  </si>
  <si>
    <t>Households by reported safety and security concerns for WOMEN in the area, by concern broken down by age of respondents on the admin of macroregion</t>
  </si>
  <si>
    <t>Households by reported safety and security concerns for WOMEN in the area, by concern broken down by gender and age of respondents on the admin of macroregion</t>
  </si>
  <si>
    <t>Percentage of female respondents reporting that at least one female member of their household felt unsafe walking in their community, by frequency on the admin of macroregion</t>
  </si>
  <si>
    <t>Percentage of female respondents reporting that at least one female member of their household felt unsafe walking in their community, by frequency broken down by households with at least one member with a reported and/or registered disability on the admin of macroregion</t>
  </si>
  <si>
    <t>Percentage of female respondents reporting that at least one female member of their household felt unsafe walking in their community, by frequency broken down by urbanity on the admin of macroregion</t>
  </si>
  <si>
    <t>Percentage of female respondents reporting that at least one female member of their household felt unsafe walking in their community, by frequency broken down by household size on the admin of macroregion</t>
  </si>
  <si>
    <t>Percentage of female respondents reporting that at least one female member of their household felt unsafe walking in their community, by frequency broken down by income per capita (quartiles) on the admin of macroregion</t>
  </si>
  <si>
    <t>Percentage of female respondents reporting that at least one female member of their household felt unsafe walking in their community, by frequency broken down by gender of head of household on the admin of macroregion</t>
  </si>
  <si>
    <t>Percentage of female respondents reporting that at least one female member of their household felt unsafe walking in their community, by frequency broken down by age of adults in the households on the admin of macroregion</t>
  </si>
  <si>
    <t>Percentage of female respondents reporting that at least one female member of their household felt unsafe walking in their community, by frequency broken down by households with at least one child (&lt;18 y.o.) on the admin of macroregion</t>
  </si>
  <si>
    <t>Percentage of female respondents reporting that at least one female member of their household felt unsafe walking in their community, by frequency broken down by displacement status of head of household on the admin of macroregion</t>
  </si>
  <si>
    <t>Percentage of female respondents reporting that at least one female member of their household felt unsafe walking in their community, by frequency broken down by IDP household on the admin of macroregion</t>
  </si>
  <si>
    <t>Percentage of female respondents reporting that at least one female member of their household felt unsafe walking in their community, by frequency broken down by proximity to frontline/border with Russian Federation on the admin of macroregion</t>
  </si>
  <si>
    <t>Percentage of female respondents reporting that at least one female member of their household felt unsafe walking in their community, by frequency broken down by caregiving status  on the admin of macroregion</t>
  </si>
  <si>
    <t>Percentage of female respondents reporting that at least one female member of their household felt unsafe walking in their community, by frequency broken down by age of respondents on the admin of macroregion</t>
  </si>
  <si>
    <t>Percentage of households reporting areas/places that women and girls usually avoid, by type on the admin of macroregion</t>
  </si>
  <si>
    <t>Poorly lit outdoor areas</t>
  </si>
  <si>
    <t>Outdoor public spaces used for recreation (e.g. parks)</t>
  </si>
  <si>
    <t>Long or isolated underground passages</t>
  </si>
  <si>
    <t>Spaces with high military presence</t>
  </si>
  <si>
    <t>Public markets</t>
  </si>
  <si>
    <t>Indoor public spaces used for recreation (e.g. community centers)</t>
  </si>
  <si>
    <t>Isolated areas within your living space such as elevators/staircases</t>
  </si>
  <si>
    <t>Public transport (e.g. bus stops, train stations, trains, subways, etc.)</t>
  </si>
  <si>
    <t xml:space="preserve">Collective centers/shelters </t>
  </si>
  <si>
    <t>Aid distribution points</t>
  </si>
  <si>
    <t>Communal heating points</t>
  </si>
  <si>
    <t>Communal water points</t>
  </si>
  <si>
    <t>Percentage of households reporting areas/places that women and girls usually avoid, by type broken down by households with at least one member with a reported and/or registered disability on the admin of macroregion</t>
  </si>
  <si>
    <t>Percentage of households reporting areas/places that women and girls usually avoid, by type broken down by urbanity on the admin of macroregion</t>
  </si>
  <si>
    <t>Percentage of households reporting areas/places that women and girls usually avoid, by type broken down by household size on the admin of macroregion</t>
  </si>
  <si>
    <t>Percentage of households reporting areas/places that women and girls usually avoid, by type broken down by income per capita (quartiles) on the admin of macroregion</t>
  </si>
  <si>
    <t>Percentage of households reporting areas/places that women and girls usually avoid, by type broken down by gender of head of household on the admin of macroregion</t>
  </si>
  <si>
    <t>Percentage of households reporting areas/places that women and girls usually avoid, by type broken down by age of adults in the households on the admin of macroregion</t>
  </si>
  <si>
    <t>Percentage of households reporting areas/places that women and girls usually avoid, by type broken down by households with at least one child (&lt;18 y.o.) on the admin of macroregion</t>
  </si>
  <si>
    <t>Percentage of households reporting areas/places that women and girls usually avoid, by type broken down by displacement status of head of household on the admin of macroregion</t>
  </si>
  <si>
    <t>Percentage of households reporting areas/places that women and girls usually avoid, by type broken down by IDP household on the admin of macroregion</t>
  </si>
  <si>
    <t>Percentage of households reporting areas/places that women and girls usually avoid, by type broken down by proximity to frontline/border with Russian Federation on the admin of macroregion</t>
  </si>
  <si>
    <t>Percentage of households reporting areas/places that women and girls usually avoid, by type broken down by caregiving status  on the admin of macroregion</t>
  </si>
  <si>
    <t>Percentage of households reporting areas/places that women and girls usually avoid, by type broken down by gender of respondent on the admin of macroregion</t>
  </si>
  <si>
    <t>Percentage of households reporting areas/places that women and girls usually avoid, by type broken down by age of respondents on the admin of macroregion</t>
  </si>
  <si>
    <t>Percentage of households reporting areas/places that women and girls usually avoid, by type broken down by gender and age of respondents on the admin of macroregion</t>
  </si>
  <si>
    <t>Households by reported safety and security concerns for MEN in the area, by concern on the admin of macroregion</t>
  </si>
  <si>
    <t>Households by reported safety and security concerns for MEN in the area, by concern broken down by households with at least one member with a reported and/or registered disability on the admin of macroregion</t>
  </si>
  <si>
    <t>Households by reported safety and security concerns for MEN in the area, by concern broken down by urbanity on the admin of macroregion</t>
  </si>
  <si>
    <t>Households by reported safety and security concerns for MEN in the area, by concern broken down by household size on the admin of macroregion</t>
  </si>
  <si>
    <t>Households by reported safety and security concerns for MEN in the area, by concern broken down by income per capita (quartiles) on the admin of macroregion</t>
  </si>
  <si>
    <t>Households by reported safety and security concerns for MEN in the area, by concern broken down by gender of head of household on the admin of macroregion</t>
  </si>
  <si>
    <t>Households by reported safety and security concerns for MEN in the area, by concern broken down by age of adults in the households on the admin of macroregion</t>
  </si>
  <si>
    <t>Households by reported safety and security concerns for MEN in the area, by concern broken down by households with at least one child (&lt;18 y.o.) on the admin of macroregion</t>
  </si>
  <si>
    <t>Households by reported safety and security concerns for MEN in the area, by concern broken down by displacement status of head of household on the admin of macroregion</t>
  </si>
  <si>
    <t>Households by reported safety and security concerns for MEN in the area, by concern broken down by IDP household on the admin of macroregion</t>
  </si>
  <si>
    <t>Households by reported safety and security concerns for MEN in the area, by concern broken down by proximity to frontline/border with Russian Federation on the admin of macroregion</t>
  </si>
  <si>
    <t>Households by reported safety and security concerns for MEN in the area, by concern broken down by caregiving status  on the admin of macroregion</t>
  </si>
  <si>
    <t>Households by reported safety and security concerns for MEN in the area, by concern broken down by gender of respondent on the admin of macroregion</t>
  </si>
  <si>
    <t>Households by reported safety and security concerns for MEN in the area, by concern broken down by age of respondents on the admin of macroregion</t>
  </si>
  <si>
    <t>Households by reported safety and security concerns for MEN in the area, by concern broken down by gender and age of respondents on the admin of macroregion</t>
  </si>
  <si>
    <t>Households by reported safety and security concerns for CHILDREN in the area, by concern on the admin of macroregion</t>
  </si>
  <si>
    <t>Physical or mental violence not related to the conflict (including beating, domestic violence etc.)</t>
  </si>
  <si>
    <t>Crime (e.g. being robbed)</t>
  </si>
  <si>
    <t>Discrimination and abuse by other minors or adults (because of language, displacement status, ethnicity, etc.)</t>
  </si>
  <si>
    <t>Family separation</t>
  </si>
  <si>
    <t>Conscription of family member/head of household</t>
  </si>
  <si>
    <t>Exploitation (being engaged in illegal actions, harmful forms of labor)</t>
  </si>
  <si>
    <t>Households by reported safety and security concerns for CHILDREN in the area, by concern broken down by households with at least one member with a reported and/or registered disability on the admin of macroregion</t>
  </si>
  <si>
    <t>Households by reported safety and security concerns for CHILDREN in the area, by concern broken down by urbanity on the admin of macroregion</t>
  </si>
  <si>
    <t>Households by reported safety and security concerns for CHILDREN in the area, by concern broken down by household size on the admin of macroregion</t>
  </si>
  <si>
    <t>Households by reported safety and security concerns for CHILDREN in the area, by concern broken down by income per capita (quartiles) on the admin of macroregion</t>
  </si>
  <si>
    <t>Households by reported safety and security concerns for CHILDREN in the area, by concern broken down by gender of head of household on the admin of macroregion</t>
  </si>
  <si>
    <t>Households by reported safety and security concerns for CHILDREN in the area, by concern broken down by age of adults in the households on the admin of macroregion</t>
  </si>
  <si>
    <t>Households by reported safety and security concerns for CHILDREN in the area, by concern broken down by households with at least one child (&lt;18 y.o.) on the admin of macroregion</t>
  </si>
  <si>
    <t>Households by reported safety and security concerns for CHILDREN in the area, by concern broken down by displacement status of head of household on the admin of macroregion</t>
  </si>
  <si>
    <t>Households by reported safety and security concerns for CHILDREN in the area, by concern broken down by IDP household on the admin of macroregion</t>
  </si>
  <si>
    <t>Households by reported safety and security concerns for CHILDREN in the area, by concern broken down by proximity to frontline/border with Russian Federation on the admin of macroregion</t>
  </si>
  <si>
    <t>Households by reported safety and security concerns for CHILDREN in the area, by concern broken down by caregiving status  on the admin of macroregion</t>
  </si>
  <si>
    <t>Households by reported safety and security concerns for CHILDREN in the area, by concern broken down by gender of respondent on the admin of macroregion</t>
  </si>
  <si>
    <t>Households by reported safety and security concerns for CHILDREN in the area, by concern broken down by age of respondents on the admin of macroregion</t>
  </si>
  <si>
    <t>Households by reported safety and security concerns for CHILDREN in the area, by concern broken down by gender and age of respondents on the admin of macroregion</t>
  </si>
  <si>
    <t>Housing/land/property (HLP) concerns of households, by concern on the admin of macroregion</t>
  </si>
  <si>
    <t>Damaged or destroyed housing in area NOT occupied by the Russian Federation</t>
  </si>
  <si>
    <t>Damaged or destroyed housing in area occupied by the Russian Federation</t>
  </si>
  <si>
    <t>Housing and/or land is not accessible due to military restrictions, active hostilities</t>
  </si>
  <si>
    <t>Lack of documents / lack of access to documents proving ownership of housing / land</t>
  </si>
  <si>
    <t>Land contaminated with Explosive Ordnances</t>
  </si>
  <si>
    <t>Housing in area occupied by the Russian Federation has been confiscated</t>
  </si>
  <si>
    <t>Lack of access to / eligibility for state compensation mechanism</t>
  </si>
  <si>
    <t>Eviction or fear of eviction from rented housing</t>
  </si>
  <si>
    <t>No social / affordable housing available in the area</t>
  </si>
  <si>
    <t>Housing/land/property (HLP) concerns of households, by concern broken down by households with at least one member with a reported and/or registered disability on the admin of macroregion</t>
  </si>
  <si>
    <t>Housing/land/property (HLP) concerns of households, by concern broken down by urbanity on the admin of macroregion</t>
  </si>
  <si>
    <t>Housing/land/property (HLP) concerns of households, by concern broken down by household size on the admin of macroregion</t>
  </si>
  <si>
    <t>Housing/land/property (HLP) concerns of households, by concern broken down by income per capita (quartiles) on the admin of macroregion</t>
  </si>
  <si>
    <t>Housing/land/property (HLP) concerns of households, by concern broken down by gender of head of household on the admin of macroregion</t>
  </si>
  <si>
    <t>Housing/land/property (HLP) concerns of households, by concern broken down by age of adults in the households on the admin of macroregion</t>
  </si>
  <si>
    <t>Housing/land/property (HLP) concerns of households, by concern broken down by households with at least one child (&lt;18 y.o.) on the admin of macroregion</t>
  </si>
  <si>
    <t>Housing/land/property (HLP) concerns of households, by concern broken down by displacement status of head of household on the admin of macroregion</t>
  </si>
  <si>
    <t>Housing/land/property (HLP) concerns of households, by concern broken down by IDP household on the admin of macroregion</t>
  </si>
  <si>
    <t>Housing/land/property (HLP) concerns of households, by concern broken down by proximity to frontline/border with Russian Federation on the admin of macroregion</t>
  </si>
  <si>
    <t>Housing/land/property (HLP) concerns of households, by concern broken down by caregiving status  on the admin of macroregion</t>
  </si>
  <si>
    <t>Housing/land/property (HLP) concerns of households, by concern broken down by gender of respondent on the admin of macroregion</t>
  </si>
  <si>
    <t>Housing/land/property (HLP) concerns of households, by concern broken down by age of respondents on the admin of macroregion</t>
  </si>
  <si>
    <t>Housing/land/property (HLP) concerns of households, by concern broken down by gender and age of respondents on the admin of macroregion</t>
  </si>
  <si>
    <t>Households by presence of explosive ordnance present in community on the admin of macroregion</t>
  </si>
  <si>
    <t>Yes, I or a member of my household believes they are present</t>
  </si>
  <si>
    <t>Yes, I or a member of my household has seen them</t>
  </si>
  <si>
    <t>Households by presence of explosive ordnance present in community broken down by households with at least one member with a reported and/or registered disability on the admin of macroregion</t>
  </si>
  <si>
    <t>Households by presence of explosive ordnance present in community broken down by urbanity on the admin of macroregion</t>
  </si>
  <si>
    <t>Households by presence of explosive ordnance present in community broken down by household size on the admin of macroregion</t>
  </si>
  <si>
    <t>Households by presence of explosive ordnance present in community broken down by income per capita (quartiles) on the admin of macroregion</t>
  </si>
  <si>
    <t>Households by presence of explosive ordnance present in community broken down by gender of head of household on the admin of macroregion</t>
  </si>
  <si>
    <t>Households by presence of explosive ordnance present in community broken down by age of adults in the households on the admin of macroregion</t>
  </si>
  <si>
    <t>Households by presence of explosive ordnance present in community broken down by households with at least one child (&lt;18 y.o.) on the admin of macroregion</t>
  </si>
  <si>
    <t>Households by presence of explosive ordnance present in community broken down by displacement status of head of household on the admin of macroregion</t>
  </si>
  <si>
    <t>Households by presence of explosive ordnance present in community broken down by IDP household on the admin of macroregion</t>
  </si>
  <si>
    <t>Households by presence of explosive ordnance present in community broken down by proximity to frontline/border with Russian Federation on the admin of macroregion</t>
  </si>
  <si>
    <t>Households by presence of explosive ordnance present in community broken down by caregiving status  on the admin of macroregion</t>
  </si>
  <si>
    <t>Households by presence of explosive ordnance present in community broken down by gender of respondent on the admin of macroregion</t>
  </si>
  <si>
    <t>Households by presence of explosive ordnance present in community broken down by age of respondents on the admin of macroregion</t>
  </si>
  <si>
    <t>Households by presence of explosive ordnance present in community broken down by gender and age of respondents on the admin of macroregion</t>
  </si>
  <si>
    <t>Households reporting that explosive ordnances affect the livelihoods of people in the community on the admin of macroregion</t>
  </si>
  <si>
    <t>Households reporting that explosive ordnances affect the livelihoods of people in the community broken down by households with at least one member with a reported and/or registered disability on the admin of macroregion</t>
  </si>
  <si>
    <t>Households reporting that explosive ordnances affect the livelihoods of people in the community broken down by urbanity on the admin of macroregion</t>
  </si>
  <si>
    <t>Households reporting that explosive ordnances affect the livelihoods of people in the community broken down by household size on the admin of macroregion</t>
  </si>
  <si>
    <t>Households reporting that explosive ordnances affect the livelihoods of people in the community broken down by income per capita (quartiles) on the admin of macroregion</t>
  </si>
  <si>
    <t>Households reporting that explosive ordnances affect the livelihoods of people in the community broken down by gender of head of household on the admin of macroregion</t>
  </si>
  <si>
    <t>Households reporting that explosive ordnances affect the livelihoods of people in the community broken down by age of adults in the households on the admin of macroregion</t>
  </si>
  <si>
    <t>Households reporting that explosive ordnances affect the livelihoods of people in the community broken down by households with at least one child (&lt;18 y.o.) on the admin of macroregion</t>
  </si>
  <si>
    <t>Households reporting that explosive ordnances affect the livelihoods of people in the community broken down by displacement status of head of household on the admin of macroregion</t>
  </si>
  <si>
    <t>Households reporting that explosive ordnances affect the livelihoods of people in the community broken down by IDP household on the admin of macroregion</t>
  </si>
  <si>
    <t>Households reporting that explosive ordnances affect the livelihoods of people in the community broken down by proximity to frontline/border with Russian Federation on the admin of macroregion</t>
  </si>
  <si>
    <t>Households reporting that explosive ordnances affect the livelihoods of people in the community broken down by caregiving status  on the admin of macroregion</t>
  </si>
  <si>
    <t>Households reporting that explosive ordnances affect the livelihoods of people in the community broken down by gender of respondent on the admin of macroregion</t>
  </si>
  <si>
    <t>Households reporting that explosive ordnances affect the livelihoods of people in the community broken down by age of respondents on the admin of macroregion</t>
  </si>
  <si>
    <t>Households reporting that explosive ordnances affect the livelihoods of people in the community broken down by gender and age of respondents on the admin of macroregion</t>
  </si>
  <si>
    <t>Households by frequency of training/awareness on safe behaviours towards Explosive Ordnances on the admin of macroregion</t>
  </si>
  <si>
    <t>Households by frequency of training/awareness on safe behaviours towards Explosive Ordnances broken down by households with at least one member with a reported and/or registered disability on the admin of macroregion</t>
  </si>
  <si>
    <t>Households by frequency of training/awareness on safe behaviours towards Explosive Ordnances broken down by urbanity on the admin of macroregion</t>
  </si>
  <si>
    <t>Households by frequency of training/awareness on safe behaviours towards Explosive Ordnances broken down by household size on the admin of macroregion</t>
  </si>
  <si>
    <t>Households by frequency of training/awareness on safe behaviours towards Explosive Ordnances broken down by income per capita (quartiles) on the admin of macroregion</t>
  </si>
  <si>
    <t>Households by frequency of training/awareness on safe behaviours towards Explosive Ordnances broken down by gender of head of household on the admin of macroregion</t>
  </si>
  <si>
    <t>Households by frequency of training/awareness on safe behaviours towards Explosive Ordnances broken down by age of adults in the households on the admin of macroregion</t>
  </si>
  <si>
    <t>Households by frequency of training/awareness on safe behaviours towards Explosive Ordnances broken down by households with at least one child (&lt;18 y.o.) on the admin of macroregion</t>
  </si>
  <si>
    <t>Households by frequency of training/awareness on safe behaviours towards Explosive Ordnances broken down by displacement status of head of household on the admin of macroregion</t>
  </si>
  <si>
    <t>Households by frequency of training/awareness on safe behaviours towards Explosive Ordnances broken down by IDP household on the admin of macroregion</t>
  </si>
  <si>
    <t>Households by frequency of training/awareness on safe behaviours towards Explosive Ordnances broken down by proximity to frontline/border with Russian Federation on the admin of macroregion</t>
  </si>
  <si>
    <t>Households by frequency of training/awareness on safe behaviours towards Explosive Ordnances broken down by caregiving status  on the admin of macroregion</t>
  </si>
  <si>
    <t>Households by frequency of training/awareness on safe behaviours towards Explosive Ordnances broken down by gender of respondent on the admin of macroregion</t>
  </si>
  <si>
    <t>Households by frequency of training/awareness on safe behaviours towards Explosive Ordnances broken down by age of respondents on the admin of macroregion</t>
  </si>
  <si>
    <t>Households by frequency of training/awareness on safe behaviours towards Explosive Ordnances broken down by gender and age of respondents on the admin of macroregion</t>
  </si>
  <si>
    <t>Percentage of households by current shelter situation on the admin of macroregion</t>
  </si>
  <si>
    <t>Individual shelter (for this household only)</t>
  </si>
  <si>
    <t>Individual shelter (shared with other households)</t>
  </si>
  <si>
    <t>Collective center (Places of temporary residence for IDPs, including those provided by humanitarian organizations, etc.)</t>
  </si>
  <si>
    <t>Hosted by friends/relatives</t>
  </si>
  <si>
    <t>Hosting at least one other household in own home</t>
  </si>
  <si>
    <t>Percentage of households by current shelter situation broken down by households with at least one member with a reported and/or registered disability on the admin of macroregion</t>
  </si>
  <si>
    <t>Percentage of households by current shelter situation broken down by urbanity on the admin of macroregion</t>
  </si>
  <si>
    <t>Percentage of households by current shelter situation broken down by household size on the admin of macroregion</t>
  </si>
  <si>
    <t>Percentage of households by current shelter situation broken down by income per capita (quartiles) on the admin of macroregion</t>
  </si>
  <si>
    <t>Percentage of households by current shelter situation broken down by gender of head of household on the admin of macroregion</t>
  </si>
  <si>
    <t>Percentage of households by current shelter situation broken down by age of adults in the households on the admin of macroregion</t>
  </si>
  <si>
    <t>Percentage of households by current shelter situation broken down by households with at least one child (&lt;18 y.o.) on the admin of macroregion</t>
  </si>
  <si>
    <t>Percentage of households by current shelter situation broken down by displacement status of head of household on the admin of macroregion</t>
  </si>
  <si>
    <t>Percentage of households by current shelter situation broken down by IDP household on the admin of macroregion</t>
  </si>
  <si>
    <t>Percentage of households by current shelter situation broken down by proximity to frontline/border with Russian Federation on the admin of macroregion</t>
  </si>
  <si>
    <t>Percentage of households by current shelter situation broken down by caregiving status  on the admin of macroregion</t>
  </si>
  <si>
    <t>Percentage of households by current shelter type  on the admin of macroregion</t>
  </si>
  <si>
    <t>Solid / finished apartment</t>
  </si>
  <si>
    <t>Solid / finished house</t>
  </si>
  <si>
    <t>Unfinished / non-enclosed building</t>
  </si>
  <si>
    <t>Tent</t>
  </si>
  <si>
    <t>Percentage of households by current shelter type  broken down by households with at least one member with a reported and/or registered disability on the admin of macroregion</t>
  </si>
  <si>
    <t>Percentage of households by current shelter type  broken down by urbanity on the admin of macroregion</t>
  </si>
  <si>
    <t>Percentage of households by current shelter type  broken down by household size on the admin of macroregion</t>
  </si>
  <si>
    <t>Percentage of households by current shelter type  broken down by income per capita (quartiles) on the admin of macroregion</t>
  </si>
  <si>
    <t>Percentage of households by current shelter type  broken down by gender of head of household on the admin of macroregion</t>
  </si>
  <si>
    <t>Percentage of households by current shelter type  broken down by age of adults in the households on the admin of macroregion</t>
  </si>
  <si>
    <t>Percentage of households by current shelter type  broken down by households with at least one child (&lt;18 y.o.) on the admin of macroregion</t>
  </si>
  <si>
    <t>Percentage of households by current shelter type  broken down by displacement status of head of household on the admin of macroregion</t>
  </si>
  <si>
    <t>Percentage of households by current shelter type  broken down by IDP household on the admin of macroregion</t>
  </si>
  <si>
    <t>Percentage of households by current shelter type  broken down by proximity to frontline/border with Russian Federation on the admin of macroregion</t>
  </si>
  <si>
    <t>Percentage of households by current shelter type  broken down by caregiving status  on the admin of macroregion</t>
  </si>
  <si>
    <t>Shelter size (squared meters) on the admin of macroregion</t>
  </si>
  <si>
    <t>Shelter size (squared meters) broken down by households with at least one member with a reported and/or registered disability on the admin of macroregion</t>
  </si>
  <si>
    <t>Shelter size (squared meters) broken down by urbanity on the admin of macroregion</t>
  </si>
  <si>
    <t>Shelter size (squared meters) broken down by household size on the admin of macroregion</t>
  </si>
  <si>
    <t>Shelter size (squared meters) broken down by income per capita (quartiles) on the admin of macroregion</t>
  </si>
  <si>
    <t>Shelter size (squared meters) broken down by gender of head of household on the admin of macroregion</t>
  </si>
  <si>
    <t>Shelter size (squared meters) broken down by age of adults in the households on the admin of macroregion</t>
  </si>
  <si>
    <t>Shelter size (squared meters) broken down by households with at least one child (&lt;18 y.o.) on the admin of macroregion</t>
  </si>
  <si>
    <t>Shelter size (squared meters) broken down by displacement status of head of household on the admin of macroregion</t>
  </si>
  <si>
    <t>Shelter size (squared meters) broken down by IDP household on the admin of macroregion</t>
  </si>
  <si>
    <t>Shelter size (squared meters) broken down by proximity to frontline/border with Russian Federation on the admin of macroregion</t>
  </si>
  <si>
    <t>Shelter size (squared meters) broken down by caregiving status  on the admin of macroregion</t>
  </si>
  <si>
    <t>Number of individuals sharing a shelter on the admin of macroregion</t>
  </si>
  <si>
    <t>Number of individuals sharing a shelter broken down by households with at least one member with a reported and/or registered disability on the admin of macroregion</t>
  </si>
  <si>
    <t>Number of individuals sharing a shelter broken down by urbanity on the admin of macroregion</t>
  </si>
  <si>
    <t>Number of individuals sharing a shelter broken down by household size on the admin of macroregion</t>
  </si>
  <si>
    <t>Number of individuals sharing a shelter broken down by income per capita (quartiles) on the admin of macroregion</t>
  </si>
  <si>
    <t>Number of individuals sharing a shelter broken down by gender of head of household on the admin of macroregion</t>
  </si>
  <si>
    <t>Number of individuals sharing a shelter broken down by age of adults in the households on the admin of macroregion</t>
  </si>
  <si>
    <t>Number of individuals sharing a shelter broken down by households with at least one child (&lt;18 y.o.) on the admin of macroregion</t>
  </si>
  <si>
    <t>Number of individuals sharing a shelter broken down by displacement status of head of household on the admin of macroregion</t>
  </si>
  <si>
    <t>Number of individuals sharing a shelter broken down by IDP household on the admin of macroregion</t>
  </si>
  <si>
    <t>Number of individuals sharing a shelter broken down by proximity to frontline/border with Russian Federation on the admin of macroregion</t>
  </si>
  <si>
    <t>Number of individuals sharing a shelter broken down by caregiving status  on the admin of macroregion</t>
  </si>
  <si>
    <t>Percentage of households by occupancy arrangement of current shelter on the admin of macroregion</t>
  </si>
  <si>
    <t xml:space="preserve">Owned property </t>
  </si>
  <si>
    <t>Rented</t>
  </si>
  <si>
    <t>Hosted for free</t>
  </si>
  <si>
    <t>No occupancy agreement, squatting</t>
  </si>
  <si>
    <t>Percentage of households by occupancy arrangement of current shelter broken down by households with at least one member with a reported and/or registered disability on the admin of macroregion</t>
  </si>
  <si>
    <t>Percentage of households by occupancy arrangement of current shelter broken down by urbanity on the admin of macroregion</t>
  </si>
  <si>
    <t>Percentage of households by occupancy arrangement of current shelter broken down by household size on the admin of macroregion</t>
  </si>
  <si>
    <t>Percentage of households by occupancy arrangement of current shelter broken down by income per capita (quartiles) on the admin of macroregion</t>
  </si>
  <si>
    <t>Percentage of households by occupancy arrangement of current shelter broken down by gender of head of household on the admin of macroregion</t>
  </si>
  <si>
    <t>Percentage of households by occupancy arrangement of current shelter broken down by age of adults in the households on the admin of macroregion</t>
  </si>
  <si>
    <t>Percentage of households by occupancy arrangement of current shelter broken down by households with at least one child (&lt;18 y.o.) on the admin of macroregion</t>
  </si>
  <si>
    <t>Percentage of households by occupancy arrangement of current shelter broken down by displacement status of head of household on the admin of macroregion</t>
  </si>
  <si>
    <t>Percentage of households by occupancy arrangement of current shelter broken down by IDP household on the admin of macroregion</t>
  </si>
  <si>
    <t>Percentage of households by occupancy arrangement of current shelter broken down by proximity to frontline/border with Russian Federation on the admin of macroregion</t>
  </si>
  <si>
    <t>Percentage of households by occupancy arrangement of current shelter broken down by caregiving status  on the admin of macroregion</t>
  </si>
  <si>
    <t>Percentage of households feeling at risk of eviction within the next 6 months on the admin of macroregion</t>
  </si>
  <si>
    <t>Percentage of households feeling at risk of eviction within the next 6 months broken down by households with at least one member with a reported and/or registered disability on the admin of macroregion</t>
  </si>
  <si>
    <t>Percentage of households feeling at risk of eviction within the next 6 months broken down by urbanity on the admin of macroregion</t>
  </si>
  <si>
    <t>Percentage of households feeling at risk of eviction within the next 6 months broken down by household size on the admin of macroregion</t>
  </si>
  <si>
    <t>Percentage of households feeling at risk of eviction within the next 6 months broken down by income per capita (quartiles) on the admin of macroregion</t>
  </si>
  <si>
    <t>Percentage of households feeling at risk of eviction within the next 6 months broken down by gender of head of household on the admin of macroregion</t>
  </si>
  <si>
    <t>Percentage of households feeling at risk of eviction within the next 6 months broken down by age of adults in the households on the admin of macroregion</t>
  </si>
  <si>
    <t>Percentage of households feeling at risk of eviction within the next 6 months broken down by households with at least one child (&lt;18 y.o.) on the admin of macroregion</t>
  </si>
  <si>
    <t>Percentage of households feeling at risk of eviction within the next 6 months broken down by displacement status of head of household on the admin of macroregion</t>
  </si>
  <si>
    <t>Percentage of households feeling at risk of eviction within the next 6 months broken down by IDP household on the admin of macroregion</t>
  </si>
  <si>
    <t>Percentage of households feeling at risk of eviction within the next 6 months broken down by proximity to frontline/border with Russian Federation on the admin of macroregion</t>
  </si>
  <si>
    <t>Percentage of households feeling at risk of eviction within the next 6 months broken down by caregiving status  on the admin of macroregion</t>
  </si>
  <si>
    <t>Percentage of households currently threatened with eviction on the admin of macroregion</t>
  </si>
  <si>
    <t>Did not receive direct threats but we are under conditions that put as at risk of being evicted, such being on a land without lease agreement</t>
  </si>
  <si>
    <t>Yes, we have received threats other than an official order</t>
  </si>
  <si>
    <t xml:space="preserve">Yes, we have been threatened with an official order </t>
  </si>
  <si>
    <t>Percentage of households currently threatened with eviction broken down by households with at least one member with a reported and/or registered disability on the admin of macroregion</t>
  </si>
  <si>
    <t>Percentage of households currently threatened with eviction broken down by urbanity on the admin of macroregion</t>
  </si>
  <si>
    <t>Percentage of households currently threatened with eviction broken down by household size on the admin of macroregion</t>
  </si>
  <si>
    <t>Percentage of households currently threatened with eviction broken down by income per capita (quartiles) on the admin of macroregion</t>
  </si>
  <si>
    <t>Percentage of households currently threatened with eviction broken down by gender of head of household on the admin of macroregion</t>
  </si>
  <si>
    <t>Percentage of households currently threatened with eviction broken down by age of adults in the households on the admin of macroregion</t>
  </si>
  <si>
    <t>Percentage of households currently threatened with eviction broken down by households with at least one child (&lt;18 y.o.) on the admin of macroregion</t>
  </si>
  <si>
    <t>Percentage of households currently threatened with eviction broken down by displacement status of head of household on the admin of macroregion</t>
  </si>
  <si>
    <t>Percentage of households currently threatened with eviction broken down by IDP household on the admin of macroregion</t>
  </si>
  <si>
    <t>Percentage of households currently threatened with eviction broken down by proximity to frontline/border with Russian Federation on the admin of macroregion</t>
  </si>
  <si>
    <t>Percentage of households currently threatened with eviction broken down by caregiving status  on the admin of macroregion</t>
  </si>
  <si>
    <t>Percentage of households by current shelter issues that were NOT caused by the war, by issue on the admin of macroregion</t>
  </si>
  <si>
    <t>No issues</t>
  </si>
  <si>
    <t xml:space="preserve">It is often too hot or too cold inside dwelling / shelter  </t>
  </si>
  <si>
    <t>Leaks when it rains or snows</t>
  </si>
  <si>
    <t>Presence of mosquitos, rodents, ticks, inside the shelter</t>
  </si>
  <si>
    <t xml:space="preserve">Lack of space inside dwelling / shelter  </t>
  </si>
  <si>
    <t>Limited ventilation (e.g. no or poor air circulation) inside dwelling / shelter</t>
  </si>
  <si>
    <t>Some members of the household have difficulties moving inside or outside the dwelling</t>
  </si>
  <si>
    <t>Lack of space inside / near the shelter to wash and dry clothes</t>
  </si>
  <si>
    <t>Lack of privacy (e.g. no doors)</t>
  </si>
  <si>
    <t>Lack of lighting outside the dwelling / shelter</t>
  </si>
  <si>
    <t>Lack of lighting inside the dwelling / shelter</t>
  </si>
  <si>
    <t xml:space="preserve">Unable to lock the dwelling / shelter  </t>
  </si>
  <si>
    <t>Percentage of households by current shelter issues that were NOT caused by the war, by issue broken down by households with at least one member with a reported and/or registered disability on the admin of macroregion</t>
  </si>
  <si>
    <t>Percentage of households by current shelter issues that were NOT caused by the war, by issue broken down by urbanity on the admin of macroregion</t>
  </si>
  <si>
    <t>Percentage of households by current shelter issues that were NOT caused by the war, by issue broken down by household size on the admin of macroregion</t>
  </si>
  <si>
    <t>Percentage of households by current shelter issues that were NOT caused by the war, by issue broken down by income per capita (quartiles) on the admin of macroregion</t>
  </si>
  <si>
    <t>Percentage of households by current shelter issues that were NOT caused by the war, by issue broken down by gender of head of household on the admin of macroregion</t>
  </si>
  <si>
    <t>Percentage of households by current shelter issues that were NOT caused by the war, by issue broken down by age of adults in the households on the admin of macroregion</t>
  </si>
  <si>
    <t>Percentage of households by current shelter issues that were NOT caused by the war, by issue broken down by households with at least one child (&lt;18 y.o.) on the admin of macroregion</t>
  </si>
  <si>
    <t>Percentage of households by current shelter issues that were NOT caused by the war, by issue broken down by displacement status of head of household on the admin of macroregion</t>
  </si>
  <si>
    <t>Percentage of households by current shelter issues that were NOT caused by the war, by issue broken down by IDP household on the admin of macroregion</t>
  </si>
  <si>
    <t>Percentage of households by current shelter issues that were NOT caused by the war, by issue broken down by proximity to frontline/border with Russian Federation on the admin of macroregion</t>
  </si>
  <si>
    <t>Percentage of households by current shelter issues that were NOT caused by the war, by issue broken down by caregiving status  on the admin of macroregion</t>
  </si>
  <si>
    <t>Percentage of households reporting damage to current shelter caused by the war since February 2022 on the admin of macroregion</t>
  </si>
  <si>
    <t>Percentage of households reporting damage to current shelter caused by the war since February 2022 broken down by households with at least one member with a reported and/or registered disability on the admin of macroregion</t>
  </si>
  <si>
    <t>Percentage of households reporting damage to current shelter caused by the war since February 2022 broken down by urbanity on the admin of macroregion</t>
  </si>
  <si>
    <t>Percentage of households reporting damage to current shelter caused by the war since February 2022 broken down by household size on the admin of macroregion</t>
  </si>
  <si>
    <t>Percentage of households reporting damage to current shelter caused by the war since February 2022 broken down by income per capita (quartiles) on the admin of macroregion</t>
  </si>
  <si>
    <t>Percentage of households reporting damage to current shelter caused by the war since February 2022 broken down by gender of head of household on the admin of macroregion</t>
  </si>
  <si>
    <t>Percentage of households reporting damage to current shelter caused by the war since February 2022 broken down by age of adults in the households on the admin of macroregion</t>
  </si>
  <si>
    <t>Percentage of households reporting damage to current shelter caused by the war since February 2022 broken down by households with at least one child (&lt;18 y.o.) on the admin of macroregion</t>
  </si>
  <si>
    <t>Percentage of households reporting damage to current shelter caused by the war since February 2022 broken down by displacement status of head of household on the admin of macroregion</t>
  </si>
  <si>
    <t>Percentage of households reporting damage to current shelter caused by the war since February 2022 broken down by IDP household on the admin of macroregion</t>
  </si>
  <si>
    <t>Percentage of households reporting damage to current shelter caused by the war since February 2022 broken down by proximity to frontline/border with Russian Federation on the admin of macroregion</t>
  </si>
  <si>
    <t>Percentage of households reporting damage to current shelter caused by the war since February 2022 broken down by caregiving status  on the admin of macroregion</t>
  </si>
  <si>
    <t>Percentage of households reporting that the damage to the current shelter caused by the war was REPAIRED on the admin of macroregion</t>
  </si>
  <si>
    <t>Percentage of households reporting that the damage to the current shelter caused by the war was REPAIRED broken down by households with at least one member with a reported and/or registered disability on the admin of macroregion</t>
  </si>
  <si>
    <t>Percentage of households reporting that the damage to the current shelter caused by the war was REPAIRED broken down by urbanity on the admin of macroregion</t>
  </si>
  <si>
    <t>Percentage of households reporting that the damage to the current shelter caused by the war was REPAIRED broken down by household size on the admin of macroregion</t>
  </si>
  <si>
    <t>Percentage of households reporting that the damage to the current shelter caused by the war was REPAIRED broken down by income per capita (quartiles) on the admin of macroregion</t>
  </si>
  <si>
    <t>Percentage of households reporting that the damage to the current shelter caused by the war was REPAIRED broken down by gender of head of household on the admin of macroregion</t>
  </si>
  <si>
    <t>Percentage of households reporting that the damage to the current shelter caused by the war was REPAIRED broken down by age of adults in the households on the admin of macroregion</t>
  </si>
  <si>
    <t>Percentage of households reporting that the damage to the current shelter caused by the war was REPAIRED broken down by households with at least one child (&lt;18 y.o.) on the admin of macroregion</t>
  </si>
  <si>
    <t>Percentage of households reporting that the damage to the current shelter caused by the war was REPAIRED broken down by displacement status of head of household on the admin of macroregion</t>
  </si>
  <si>
    <t>Percentage of households reporting that the damage to the current shelter caused by the war was REPAIRED broken down by IDP household on the admin of macroregion</t>
  </si>
  <si>
    <t>Percentage of households reporting that the damage to the current shelter caused by the war was REPAIRED broken down by proximity to frontline/border with Russian Federation on the admin of macroregion</t>
  </si>
  <si>
    <t>Percentage of households reporting that the damage to the current shelter caused by the war was REPAIRED broken down by caregiving status  on the admin of macroregion</t>
  </si>
  <si>
    <t>Percentage of households reporting that the damage to current shelter was not repaired, by reason  on the admin of macroregion</t>
  </si>
  <si>
    <t>I cannot afford to pay for labour or materials</t>
  </si>
  <si>
    <t>Security situation or ongoing hostilities prevent repairs in my area</t>
  </si>
  <si>
    <t>I could not access or was ineligible for assistance through the eRecovery programme</t>
  </si>
  <si>
    <t>I applied to the eRecovery programme but have not yet received funds or materials</t>
  </si>
  <si>
    <t>The shelter is not mine / I do not have the legal right to make repairs</t>
  </si>
  <si>
    <t xml:space="preserve">I do not know where to seek help/access information about shelter repair support </t>
  </si>
  <si>
    <t>The damage is too extensive — the shelter requires full reconstruction</t>
  </si>
  <si>
    <t>Percentage of households reporting that the damage to current shelter was not repaired, by reason  broken down by households with at least one member with a reported and/or registered disability on the admin of macroregion</t>
  </si>
  <si>
    <t>Percentage of households reporting that the damage to current shelter was not repaired, by reason  broken down by urbanity on the admin of macroregion</t>
  </si>
  <si>
    <t>Percentage of households reporting that the damage to current shelter was not repaired, by reason  broken down by household size on the admin of macroregion</t>
  </si>
  <si>
    <t>Percentage of households reporting that the damage to current shelter was not repaired, by reason  broken down by income per capita (quartiles) on the admin of macroregion</t>
  </si>
  <si>
    <t>Percentage of households reporting that the damage to current shelter was not repaired, by reason  broken down by gender of head of household on the admin of macroregion</t>
  </si>
  <si>
    <t>Percentage of households reporting that the damage to current shelter was not repaired, by reason  broken down by age of adults in the households on the admin of macroregion</t>
  </si>
  <si>
    <t>Percentage of households reporting that the damage to current shelter was not repaired, by reason  broken down by households with at least one child (&lt;18 y.o.) on the admin of macroregion</t>
  </si>
  <si>
    <t>Percentage of households reporting that the damage to current shelter was not repaired, by reason  broken down by displacement status of head of household on the admin of macroregion</t>
  </si>
  <si>
    <t>Percentage of households reporting that the damage to current shelter was not repaired, by reason  broken down by IDP household on the admin of macroregion</t>
  </si>
  <si>
    <t>Percentage of households reporting that the damage to current shelter was not repaired, by reason  broken down by proximity to frontline/border with Russian Federation on the admin of macroregion</t>
  </si>
  <si>
    <t>Percentage of households reporting that the damage to current shelter was not repaired, by reason  broken down by caregiving status  on the admin of macroregion</t>
  </si>
  <si>
    <t>Percentage of households reporting damage to current shelter caused by the war, by severity on the admin of macroregion</t>
  </si>
  <si>
    <t>Light damage: broken or missing windows and/or doors</t>
  </si>
  <si>
    <t>Minor damage: cracks or openings in the roof or external walls</t>
  </si>
  <si>
    <t>Moderate damage: partial collapse of a key shelter elements (roof, wall, or foundation</t>
  </si>
  <si>
    <t>Severe damage: partial collapse of multiple shelter elements (roof, wall, or foundation)</t>
  </si>
  <si>
    <t>Catastrophic damage: Total collapse of the shelter</t>
  </si>
  <si>
    <t>Percentage of households reporting damage to current shelter caused by the war, by severity broken down by households with at least one member with a reported and/or registered disability on the admin of macroregion</t>
  </si>
  <si>
    <t>Percentage of households reporting damage to current shelter caused by the war, by severity broken down by urbanity on the admin of macroregion</t>
  </si>
  <si>
    <t>Percentage of households reporting damage to current shelter caused by the war, by severity broken down by household size on the admin of macroregion</t>
  </si>
  <si>
    <t>Percentage of households reporting damage to current shelter caused by the war, by severity broken down by income per capita (quartiles) on the admin of macroregion</t>
  </si>
  <si>
    <t>Percentage of households reporting damage to current shelter caused by the war, by severity broken down by gender of head of household on the admin of macroregion</t>
  </si>
  <si>
    <t>Percentage of households reporting damage to current shelter caused by the war, by severity broken down by age of adults in the households on the admin of macroregion</t>
  </si>
  <si>
    <t>Percentage of households reporting damage to current shelter caused by the war, by severity broken down by households with at least one child (&lt;18 y.o.) on the admin of macroregion</t>
  </si>
  <si>
    <t>Percentage of households reporting damage to current shelter caused by the war, by severity broken down by displacement status of head of household on the admin of macroregion</t>
  </si>
  <si>
    <t>Percentage of households reporting damage to current shelter caused by the war, by severity broken down by IDP household on the admin of macroregion</t>
  </si>
  <si>
    <t>Percentage of households reporting damage to current shelter caused by the war, by severity broken down by proximity to frontline/border with Russian Federation on the admin of macroregion</t>
  </si>
  <si>
    <t>Percentage of households reporting damage to current shelter caused by the war, by severity broken down by caregiving status  on the admin of macroregion</t>
  </si>
  <si>
    <t>Percentage of households reporting enough space/essential items so that the members of the households can cook on the admin of macroregion</t>
  </si>
  <si>
    <t xml:space="preserve">No </t>
  </si>
  <si>
    <t>Do not need to cook in current shelter</t>
  </si>
  <si>
    <t>Percentage of households reporting enough space/essential items so that the members of the households can cook broken down by households with at least one member with a reported and/or registered disability on the admin of macroregion</t>
  </si>
  <si>
    <t>Percentage of households reporting enough space/essential items so that the members of the households can cook broken down by urbanity on the admin of macroregion</t>
  </si>
  <si>
    <t>Percentage of households reporting enough space/essential items so that the members of the households can cook broken down by household size on the admin of macroregion</t>
  </si>
  <si>
    <t>Percentage of households reporting enough space/essential items so that the members of the households can cook broken down by income per capita (quartiles) on the admin of macroregion</t>
  </si>
  <si>
    <t>Percentage of households reporting enough space/essential items so that the members of the households can cook broken down by gender of head of household on the admin of macroregion</t>
  </si>
  <si>
    <t>Percentage of households reporting enough space/essential items so that the members of the households can cook broken down by age of adults in the households on the admin of macroregion</t>
  </si>
  <si>
    <t>Percentage of households reporting enough space/essential items so that the members of the households can cook broken down by households with at least one child (&lt;18 y.o.) on the admin of macroregion</t>
  </si>
  <si>
    <t>Percentage of households reporting enough space/essential items so that the members of the households can cook broken down by displacement status of head of household on the admin of macroregion</t>
  </si>
  <si>
    <t>Percentage of households reporting enough space/essential items so that the members of the households can cook broken down by IDP household on the admin of macroregion</t>
  </si>
  <si>
    <t>Percentage of households reporting enough space/essential items so that the members of the households can cook broken down by proximity to frontline/border with Russian Federation on the admin of macroregion</t>
  </si>
  <si>
    <t>Percentage of households reporting enough space/essential items so that the members of the households can cook broken down by caregiving status  on the admin of macroregion</t>
  </si>
  <si>
    <t>Percentage of households reporting enough space/essential items so that the members of the households can sleep on the admin of macroregion</t>
  </si>
  <si>
    <t>Percentage of households reporting enough space/essential items so that the members of the households can sleep broken down by households with at least one member with a reported and/or registered disability on the admin of macroregion</t>
  </si>
  <si>
    <t>Percentage of households reporting enough space/essential items so that the members of the households can sleep broken down by urbanity on the admin of macroregion</t>
  </si>
  <si>
    <t>Percentage of households reporting enough space/essential items so that the members of the households can sleep broken down by household size on the admin of macroregion</t>
  </si>
  <si>
    <t>Percentage of households reporting enough space/essential items so that the members of the households can sleep broken down by income per capita (quartiles) on the admin of macroregion</t>
  </si>
  <si>
    <t>Percentage of households reporting enough space/essential items so that the members of the households can sleep broken down by gender of head of household on the admin of macroregion</t>
  </si>
  <si>
    <t>Percentage of households reporting enough space/essential items so that the members of the households can sleep broken down by age of adults in the households on the admin of macroregion</t>
  </si>
  <si>
    <t>Percentage of households reporting enough space/essential items so that the members of the households can sleep broken down by households with at least one child (&lt;18 y.o.) on the admin of macroregion</t>
  </si>
  <si>
    <t>Percentage of households reporting enough space/essential items so that the members of the households can sleep broken down by displacement status of head of household on the admin of macroregion</t>
  </si>
  <si>
    <t>Percentage of households reporting enough space/essential items so that the members of the households can sleep broken down by IDP household on the admin of macroregion</t>
  </si>
  <si>
    <t>Percentage of households reporting enough space/essential items so that the members of the households can sleep broken down by proximity to frontline/border with Russian Federation on the admin of macroregion</t>
  </si>
  <si>
    <t>Percentage of households reporting enough space/essential items so that the members of the households can sleep broken down by caregiving status  on the admin of macroregion</t>
  </si>
  <si>
    <t>Percentage of households reporting enough space/essential items so that the members of the households can store food on the admin of macroregion</t>
  </si>
  <si>
    <t>Percentage of households reporting enough space/essential items so that the members of the households can store food broken down by households with at least one member with a reported and/or registered disability on the admin of macroregion</t>
  </si>
  <si>
    <t>Percentage of households reporting enough space/essential items so that the members of the households can store food broken down by urbanity on the admin of macroregion</t>
  </si>
  <si>
    <t>Percentage of households reporting enough space/essential items so that the members of the households can store food broken down by household size on the admin of macroregion</t>
  </si>
  <si>
    <t>Percentage of households reporting enough space/essential items so that the members of the households can store food broken down by income per capita (quartiles) on the admin of macroregion</t>
  </si>
  <si>
    <t>Percentage of households reporting enough space/essential items so that the members of the households can store food broken down by gender of head of household on the admin of macroregion</t>
  </si>
  <si>
    <t>Percentage of households reporting enough space/essential items so that the members of the households can store food broken down by age of adults in the households on the admin of macroregion</t>
  </si>
  <si>
    <t>Percentage of households reporting enough space/essential items so that the members of the households can store food broken down by households with at least one child (&lt;18 y.o.) on the admin of macroregion</t>
  </si>
  <si>
    <t>Percentage of households reporting enough space/essential items so that the members of the households can store food broken down by displacement status of head of household on the admin of macroregion</t>
  </si>
  <si>
    <t>Percentage of households reporting enough space/essential items so that the members of the households can store food broken down by IDP household on the admin of macroregion</t>
  </si>
  <si>
    <t>Percentage of households reporting enough space/essential items so that the members of the households can store food broken down by proximity to frontline/border with Russian Federation on the admin of macroregion</t>
  </si>
  <si>
    <t>Percentage of households reporting enough space/essential items so that the members of the households can store food broken down by caregiving status  on the admin of macroregion</t>
  </si>
  <si>
    <t>Households by main heating source in 2024-2025 winter season on the admin of macroregion</t>
  </si>
  <si>
    <t>District heating (Not sure source)</t>
  </si>
  <si>
    <t>Gas (decentralized)</t>
  </si>
  <si>
    <t>Wood or coal</t>
  </si>
  <si>
    <t>Electricity (decentralized)</t>
  </si>
  <si>
    <t>Briquettes</t>
  </si>
  <si>
    <t>No heating</t>
  </si>
  <si>
    <t>Households by main heating source in 2024-2025 winter season broken down by households with at least one member with a reported and/or registered disability on the admin of macroregion</t>
  </si>
  <si>
    <t>Households by main heating source in 2024-2025 winter season broken down by urbanity on the admin of macroregion</t>
  </si>
  <si>
    <t>Households by main heating source in 2024-2025 winter season broken down by household size on the admin of macroregion</t>
  </si>
  <si>
    <t>Households by main heating source in 2024-2025 winter season broken down by income per capita (quartiles) on the admin of macroregion</t>
  </si>
  <si>
    <t>Households by main heating source in 2024-2025 winter season broken down by gender of head of household on the admin of macroregion</t>
  </si>
  <si>
    <t>Households by main heating source in 2024-2025 winter season broken down by age of adults in the households on the admin of macroregion</t>
  </si>
  <si>
    <t>Households by main heating source in 2024-2025 winter season broken down by households with at least one child (&lt;18 y.o.) on the admin of macroregion</t>
  </si>
  <si>
    <t>Households by main heating source in 2024-2025 winter season broken down by displacement status of head of household on the admin of macroregion</t>
  </si>
  <si>
    <t>Households by main heating source in 2024-2025 winter season broken down by IDP household on the admin of macroregion</t>
  </si>
  <si>
    <t>Households by main heating source in 2024-2025 winter season broken down by proximity to frontline/border with Russian Federation on the admin of macroregion</t>
  </si>
  <si>
    <t>Households by main heating source in 2024-2025 winter season broken down by caregiving status  on the admin of macroregion</t>
  </si>
  <si>
    <t>Households by main source of lighting on the admin of macroregion</t>
  </si>
  <si>
    <t>Electricity (including solar panels)</t>
  </si>
  <si>
    <t>Solar-powered lantern or flashlight</t>
  </si>
  <si>
    <t>Candle</t>
  </si>
  <si>
    <t>Biogas/LPG lamp</t>
  </si>
  <si>
    <t>Rechargeable flashlight, mobile, torch or lantern</t>
  </si>
  <si>
    <t>Do not want to answer</t>
  </si>
  <si>
    <t>No light source at all</t>
  </si>
  <si>
    <t>Battery (dry-cells) powered flashlight, torch or lantern</t>
  </si>
  <si>
    <t>Households by main source of lighting broken down by households with at least one member with a reported and/or registered disability on the admin of macroregion</t>
  </si>
  <si>
    <t>Households by main source of lighting broken down by urbanity on the admin of macroregion</t>
  </si>
  <si>
    <t>Households by main source of lighting broken down by household size on the admin of macroregion</t>
  </si>
  <si>
    <t>Households by main source of lighting broken down by income per capita (quartiles) on the admin of macroregion</t>
  </si>
  <si>
    <t>Households by main source of lighting broken down by gender of head of household on the admin of macroregion</t>
  </si>
  <si>
    <t>Households by main source of lighting broken down by age of adults in the households on the admin of macroregion</t>
  </si>
  <si>
    <t>Households by main source of lighting broken down by households with at least one child (&lt;18 y.o.) on the admin of macroregion</t>
  </si>
  <si>
    <t>Households by main source of lighting broken down by displacement status of head of household on the admin of macroregion</t>
  </si>
  <si>
    <t>Households by main source of lighting broken down by IDP household on the admin of macroregion</t>
  </si>
  <si>
    <t>Households by main source of lighting broken down by proximity to frontline/border with Russian Federation on the admin of macroregion</t>
  </si>
  <si>
    <t>Households by main source of lighting broken down by caregiving status  on the admin of macroregion</t>
  </si>
  <si>
    <t>Households by issue faced with electricity on the admin of macroregion</t>
  </si>
  <si>
    <t xml:space="preserve">No issues </t>
  </si>
  <si>
    <t>Issues with the supply and/or strength of electricity (this includes scheduled power cuts)</t>
  </si>
  <si>
    <t>No electricity (no generator, not on electrical grid))</t>
  </si>
  <si>
    <t>Households by issue faced with electricity broken down by households with at least one member with a reported and/or registered disability on the admin of macroregion</t>
  </si>
  <si>
    <t>Households by issue faced with electricity broken down by urbanity on the admin of macroregion</t>
  </si>
  <si>
    <t>Households by issue faced with electricity broken down by household size on the admin of macroregion</t>
  </si>
  <si>
    <t>Households by issue faced with electricity broken down by income per capita (quartiles) on the admin of macroregion</t>
  </si>
  <si>
    <t>Households by issue faced with electricity broken down by gender of head of household on the admin of macroregion</t>
  </si>
  <si>
    <t>Households by issue faced with electricity broken down by age of adults in the households on the admin of macroregion</t>
  </si>
  <si>
    <t>Households by issue faced with electricity broken down by households with at least one child (&lt;18 y.o.) on the admin of macroregion</t>
  </si>
  <si>
    <t>Households by issue faced with electricity broken down by displacement status of head of household on the admin of macroregion</t>
  </si>
  <si>
    <t>Households by issue faced with electricity broken down by IDP household on the admin of macroregion</t>
  </si>
  <si>
    <t>Households by issue faced with electricity broken down by proximity to frontline/border with Russian Federation on the admin of macroregion</t>
  </si>
  <si>
    <t>Households by issue faced with electricity broken down by caregiving status  on the admin of macroregion</t>
  </si>
  <si>
    <t>Households experiencing utility interruptions in the past three months, by utility type on the admin of macroregion</t>
  </si>
  <si>
    <t xml:space="preserve">No OTHER interruptions experienced </t>
  </si>
  <si>
    <t xml:space="preserve">Cold water supply </t>
  </si>
  <si>
    <t xml:space="preserve">Hot water supply </t>
  </si>
  <si>
    <t xml:space="preserve">Internet </t>
  </si>
  <si>
    <t xml:space="preserve">Sewage </t>
  </si>
  <si>
    <t>Heating (gas, electricity, others)</t>
  </si>
  <si>
    <t>Households experiencing utility interruptions in the past three months, by utility type broken down by households with at least one member with a reported and/or registered disability on the admin of macroregion</t>
  </si>
  <si>
    <t>Households experiencing utility interruptions in the past three months, by utility type broken down by urbanity on the admin of macroregion</t>
  </si>
  <si>
    <t>Households experiencing utility interruptions in the past three months, by utility type broken down by household size on the admin of macroregion</t>
  </si>
  <si>
    <t>Households experiencing utility interruptions in the past three months, by utility type broken down by income per capita (quartiles) on the admin of macroregion</t>
  </si>
  <si>
    <t>Households experiencing utility interruptions in the past three months, by utility type broken down by gender of head of household on the admin of macroregion</t>
  </si>
  <si>
    <t>Households experiencing utility interruptions in the past three months, by utility type broken down by age of adults in the households on the admin of macroregion</t>
  </si>
  <si>
    <t>Households experiencing utility interruptions in the past three months, by utility type broken down by households with at least one child (&lt;18 y.o.) on the admin of macroregion</t>
  </si>
  <si>
    <t>Households experiencing utility interruptions in the past three months, by utility type broken down by displacement status of head of household on the admin of macroregion</t>
  </si>
  <si>
    <t>Households experiencing utility interruptions in the past three months, by utility type broken down by IDP household on the admin of macroregion</t>
  </si>
  <si>
    <t>Households experiencing utility interruptions in the past three months, by utility type broken down by proximity to frontline/border with Russian Federation on the admin of macroregion</t>
  </si>
  <si>
    <t>Households experiencing utility interruptions in the past three months, by utility type broken down by caregiving status  on the admin of macroregion</t>
  </si>
  <si>
    <t>Households by access to alternative source of power on the admin of macroregion</t>
  </si>
  <si>
    <t>Households by access to alternative source of power broken down by households with at least one member with a reported and/or registered disability on the admin of macroregion</t>
  </si>
  <si>
    <t>Households by access to alternative source of power broken down by urbanity on the admin of macroregion</t>
  </si>
  <si>
    <t>Households by access to alternative source of power broken down by household size on the admin of macroregion</t>
  </si>
  <si>
    <t>Households by access to alternative source of power broken down by income per capita (quartiles) on the admin of macroregion</t>
  </si>
  <si>
    <t>Households by access to alternative source of power broken down by gender of head of household on the admin of macroregion</t>
  </si>
  <si>
    <t>Households by access to alternative source of power broken down by age of adults in the households on the admin of macroregion</t>
  </si>
  <si>
    <t>Households by access to alternative source of power broken down by households with at least one child (&lt;18 y.o.) on the admin of macroregion</t>
  </si>
  <si>
    <t>Households by access to alternative source of power broken down by displacement status of head of household on the admin of macroregion</t>
  </si>
  <si>
    <t>Households by access to alternative source of power broken down by IDP household on the admin of macroregion</t>
  </si>
  <si>
    <t>Households by access to alternative source of power broken down by proximity to frontline/border with Russian Federation on the admin of macroregion</t>
  </si>
  <si>
    <t>Households by access to alternative source of power broken down by caregiving status  on the admin of macroregion</t>
  </si>
  <si>
    <t>Households with access to the internet in the past 4 weeks, by frequency on the admin of macroregion</t>
  </si>
  <si>
    <t xml:space="preserve">Always: 24hrs </t>
  </si>
  <si>
    <t>Often: 12-23hrs</t>
  </si>
  <si>
    <t>Never: 0hrs</t>
  </si>
  <si>
    <t>Sometimes: 1-11hrs</t>
  </si>
  <si>
    <t>Households with access to the internet in the past 4 weeks, by frequency broken down by households with at least one member with a reported and/or registered disability on the admin of macroregion</t>
  </si>
  <si>
    <t>Households with access to the internet in the past 4 weeks, by frequency broken down by urbanity on the admin of macroregion</t>
  </si>
  <si>
    <t>Households with access to the internet in the past 4 weeks, by frequency broken down by household size on the admin of macroregion</t>
  </si>
  <si>
    <t>Households with access to the internet in the past 4 weeks, by frequency broken down by income per capita (quartiles) on the admin of macroregion</t>
  </si>
  <si>
    <t>Households with access to the internet in the past 4 weeks, by frequency broken down by gender of head of household on the admin of macroregion</t>
  </si>
  <si>
    <t>Households with access to the internet in the past 4 weeks, by frequency broken down by age of adults in the households on the admin of macroregion</t>
  </si>
  <si>
    <t>Households with access to the internet in the past 4 weeks, by frequency broken down by households with at least one child (&lt;18 y.o.) on the admin of macroregion</t>
  </si>
  <si>
    <t>Households with access to the internet in the past 4 weeks, by frequency broken down by displacement status of head of household on the admin of macroregion</t>
  </si>
  <si>
    <t>Households with access to the internet in the past 4 weeks, by frequency broken down by IDP household on the admin of macroregion</t>
  </si>
  <si>
    <t>Households with access to the internet in the past 4 weeks, by frequency broken down by proximity to frontline/border with Russian Federation on the admin of macroregion</t>
  </si>
  <si>
    <t>Households with access to the internet in the past 4 weeks, by frequency broken down by caregiving status  on the admin of macroregion</t>
  </si>
  <si>
    <t>Households by main source of drinking water, by source on the admin of macroregion</t>
  </si>
  <si>
    <t>Tap drinking water / Piped into dwelling</t>
  </si>
  <si>
    <t xml:space="preserve">Bottled water (water purchased in bottles) </t>
  </si>
  <si>
    <t>Water kiosk (booth with water for bottling)</t>
  </si>
  <si>
    <t xml:space="preserve">Protected well </t>
  </si>
  <si>
    <t>Protected spring</t>
  </si>
  <si>
    <t xml:space="preserve">Trucked in water (truck with a tank etc) </t>
  </si>
  <si>
    <t xml:space="preserve">Public well or boreholes (protected, shared access) </t>
  </si>
  <si>
    <t>Unprotected well</t>
  </si>
  <si>
    <t>Public tap/standpipe</t>
  </si>
  <si>
    <t>Piped into compound, yard or plot</t>
  </si>
  <si>
    <t xml:space="preserve">Unprotected spring </t>
  </si>
  <si>
    <t>Piped to neighbour</t>
  </si>
  <si>
    <t xml:space="preserve">Directly from surface water body (river, dam, lake, pond, stream, canal, irrigation channel) </t>
  </si>
  <si>
    <t>Rainwater collection</t>
  </si>
  <si>
    <t>Households by main source of drinking water, by source broken down by households with at least one member with a reported and/or registered disability on the admin of macroregion</t>
  </si>
  <si>
    <t>Households by main source of drinking water, by source broken down by urbanity on the admin of macroregion</t>
  </si>
  <si>
    <t>Households by main source of drinking water, by source broken down by household size on the admin of macroregion</t>
  </si>
  <si>
    <t>Households by main source of drinking water, by source broken down by income per capita (quartiles) on the admin of macroregion</t>
  </si>
  <si>
    <t>Households by main source of drinking water, by source broken down by gender of head of household on the admin of macroregion</t>
  </si>
  <si>
    <t>Households by main source of drinking water, by source broken down by age of adults in the households on the admin of macroregion</t>
  </si>
  <si>
    <t>Households by main source of drinking water, by source broken down by households with at least one child (&lt;18 y.o.) on the admin of macroregion</t>
  </si>
  <si>
    <t>Households by main source of drinking water, by source broken down by displacement status of head of household on the admin of macroregion</t>
  </si>
  <si>
    <t>Households by main source of drinking water, by source broken down by IDP household on the admin of macroregion</t>
  </si>
  <si>
    <t>Households by main source of drinking water, by source broken down by proximity to frontline/border with Russian Federation on the admin of macroregion</t>
  </si>
  <si>
    <t>Households by main source of drinking water, by source broken down by caregiving status  on the admin of macroregion</t>
  </si>
  <si>
    <t>Households where main source of drinking water is off premises, by  time taken to fetch water from main source of drinking water in minutes on the admin of macroregion</t>
  </si>
  <si>
    <t>Households where main source of drinking water is off premises, by  time taken to fetch water from main source of drinking water in minutes broken down by households with at least one member with a reported and/or registered disability on the admin of macroregion</t>
  </si>
  <si>
    <t>Households where main source of drinking water is off premises, by  time taken to fetch water from main source of drinking water in minutes broken down by urbanity on the admin of macroregion</t>
  </si>
  <si>
    <t>Households where main source of drinking water is off premises, by  time taken to fetch water from main source of drinking water in minutes broken down by household size on the admin of macroregion</t>
  </si>
  <si>
    <t>Households where main source of drinking water is off premises, by  time taken to fetch water from main source of drinking water in minutes broken down by income per capita (quartiles) on the admin of macroregion</t>
  </si>
  <si>
    <t>Households where main source of drinking water is off premises, by  time taken to fetch water from main source of drinking water in minutes broken down by gender of head of household on the admin of macroregion</t>
  </si>
  <si>
    <t>Households where main source of drinking water is off premises, by  time taken to fetch water from main source of drinking water in minutes broken down by age of adults in the households on the admin of macroregion</t>
  </si>
  <si>
    <t>Households where main source of drinking water is off premises, by  time taken to fetch water from main source of drinking water in minutes broken down by households with at least one child (&lt;18 y.o.) on the admin of macroregion</t>
  </si>
  <si>
    <t>Households where main source of drinking water is off premises, by  time taken to fetch water from main source of drinking water in minutes broken down by displacement status of head of household on the admin of macroregion</t>
  </si>
  <si>
    <t>Households where main source of drinking water is off premises, by  time taken to fetch water from main source of drinking water in minutes broken down by IDP household on the admin of macroregion</t>
  </si>
  <si>
    <t>Households where main source of drinking water is off premises, by  time taken to fetch water from main source of drinking water in minutes broken down by proximity to frontline/border with Russian Federation on the admin of macroregion</t>
  </si>
  <si>
    <t>Households where main source of drinking water is off premises, by  time taken to fetch water from main source of drinking water in minutes broken down by caregiving status  on the admin of macroregion</t>
  </si>
  <si>
    <t>Households by acceptability of water in the past 4 weeks (prior to treatment) on the admin of macroregion</t>
  </si>
  <si>
    <t xml:space="preserve">Prefer not to answer </t>
  </si>
  <si>
    <t>Households by acceptability of water in the past 4 weeks (prior to treatment) broken down by households with at least one member with a reported and/or registered disability on the admin of macroregion</t>
  </si>
  <si>
    <t>Households by acceptability of water in the past 4 weeks (prior to treatment) broken down by urbanity on the admin of macroregion</t>
  </si>
  <si>
    <t>Households by acceptability of water in the past 4 weeks (prior to treatment) broken down by household size on the admin of macroregion</t>
  </si>
  <si>
    <t>Households by acceptability of water in the past 4 weeks (prior to treatment) broken down by income per capita (quartiles) on the admin of macroregion</t>
  </si>
  <si>
    <t>Households by acceptability of water in the past 4 weeks (prior to treatment) broken down by gender of head of household on the admin of macroregion</t>
  </si>
  <si>
    <t>Households by acceptability of water in the past 4 weeks (prior to treatment) broken down by age of adults in the households on the admin of macroregion</t>
  </si>
  <si>
    <t>Households by acceptability of water in the past 4 weeks (prior to treatment) broken down by households with at least one child (&lt;18 y.o.) on the admin of macroregion</t>
  </si>
  <si>
    <t>Households by acceptability of water in the past 4 weeks (prior to treatment) broken down by displacement status of head of household on the admin of macroregion</t>
  </si>
  <si>
    <t>Households by acceptability of water in the past 4 weeks (prior to treatment) broken down by IDP household on the admin of macroregion</t>
  </si>
  <si>
    <t>Households by acceptability of water in the past 4 weeks (prior to treatment) broken down by proximity to frontline/border with Russian Federation on the admin of macroregion</t>
  </si>
  <si>
    <t>Households by acceptability of water in the past 4 weeks (prior to treatment) broken down by caregiving status  on the admin of macroregion</t>
  </si>
  <si>
    <t>Households who treat drinking water from the main source on the admin of macroregion</t>
  </si>
  <si>
    <t>Households who treat drinking water from the main source broken down by households with at least one member with a reported and/or registered disability on the admin of macroregion</t>
  </si>
  <si>
    <t>Households who treat drinking water from the main source broken down by urbanity on the admin of macroregion</t>
  </si>
  <si>
    <t>Households who treat drinking water from the main source broken down by household size on the admin of macroregion</t>
  </si>
  <si>
    <t>Households who treat drinking water from the main source broken down by income per capita (quartiles) on the admin of macroregion</t>
  </si>
  <si>
    <t>Households who treat drinking water from the main source broken down by gender of head of household on the admin of macroregion</t>
  </si>
  <si>
    <t>Households who treat drinking water from the main source broken down by age of adults in the households on the admin of macroregion</t>
  </si>
  <si>
    <t>Households who treat drinking water from the main source broken down by households with at least one child (&lt;18 y.o.) on the admin of macroregion</t>
  </si>
  <si>
    <t>Households who treat drinking water from the main source broken down by displacement status of head of household on the admin of macroregion</t>
  </si>
  <si>
    <t>Households who treat drinking water from the main source broken down by IDP household on the admin of macroregion</t>
  </si>
  <si>
    <t>Households who treat drinking water from the main source broken down by proximity to frontline/border with Russian Federation on the admin of macroregion</t>
  </si>
  <si>
    <t>Households who treat drinking water from the main source broken down by caregiving status  on the admin of macroregion</t>
  </si>
  <si>
    <t>Households by days without sufficient drinking water quantity in the past 4 weeks on the admin of macroregion</t>
  </si>
  <si>
    <t>Never (0 days)</t>
  </si>
  <si>
    <t>Rarely (1–2 days)</t>
  </si>
  <si>
    <t>Somedays (3–10 days)</t>
  </si>
  <si>
    <t>Often (11-20 days)</t>
  </si>
  <si>
    <t>Always (more than 20 days)</t>
  </si>
  <si>
    <t>Households by days without sufficient drinking water quantity in the past 4 weeks broken down by households with at least one member with a reported and/or registered disability on the admin of macroregion</t>
  </si>
  <si>
    <t>Households by days without sufficient drinking water quantity in the past 4 weeks broken down by urbanity on the admin of macroregion</t>
  </si>
  <si>
    <t>Households by days without sufficient drinking water quantity in the past 4 weeks broken down by household size on the admin of macroregion</t>
  </si>
  <si>
    <t>Households by days without sufficient drinking water quantity in the past 4 weeks broken down by income per capita (quartiles) on the admin of macroregion</t>
  </si>
  <si>
    <t>Households by days without sufficient drinking water quantity in the past 4 weeks broken down by gender of head of household on the admin of macroregion</t>
  </si>
  <si>
    <t>Households by days without sufficient drinking water quantity in the past 4 weeks broken down by age of adults in the households on the admin of macroregion</t>
  </si>
  <si>
    <t>Households by days without sufficient drinking water quantity in the past 4 weeks broken down by households with at least one child (&lt;18 y.o.) on the admin of macroregion</t>
  </si>
  <si>
    <t>Households by days without sufficient drinking water quantity in the past 4 weeks broken down by displacement status of head of household on the admin of macroregion</t>
  </si>
  <si>
    <t>Households by days without sufficient drinking water quantity in the past 4 weeks broken down by IDP household on the admin of macroregion</t>
  </si>
  <si>
    <t>Households by days without sufficient drinking water quantity in the past 4 weeks broken down by proximity to frontline/border with Russian Federation on the admin of macroregion</t>
  </si>
  <si>
    <t>Households by days without sufficient drinking water quantity in the past 4 weeks broken down by caregiving status  on the admin of macroregion</t>
  </si>
  <si>
    <t>Households by main source of water for domestic purposes on the admin of macroregion</t>
  </si>
  <si>
    <t>Tap water / Piped into dwelling</t>
  </si>
  <si>
    <t>Cart with small tank / drum</t>
  </si>
  <si>
    <t>Households by main source of water for domestic purposes broken down by households with at least one member with a reported and/or registered disability on the admin of macroregion</t>
  </si>
  <si>
    <t>Households by main source of water for domestic purposes broken down by urbanity on the admin of macroregion</t>
  </si>
  <si>
    <t>Households by main source of water for domestic purposes broken down by household size on the admin of macroregion</t>
  </si>
  <si>
    <t>Households by main source of water for domestic purposes broken down by income per capita (quartiles) on the admin of macroregion</t>
  </si>
  <si>
    <t>Households by main source of water for domestic purposes broken down by gender of head of household on the admin of macroregion</t>
  </si>
  <si>
    <t>Households by main source of water for domestic purposes broken down by age of adults in the households on the admin of macroregion</t>
  </si>
  <si>
    <t>Households by main source of water for domestic purposes broken down by households with at least one child (&lt;18 y.o.) on the admin of macroregion</t>
  </si>
  <si>
    <t>Households by main source of water for domestic purposes broken down by displacement status of head of household on the admin of macroregion</t>
  </si>
  <si>
    <t>Households by main source of water for domestic purposes broken down by IDP household on the admin of macroregion</t>
  </si>
  <si>
    <t>Households by main source of water for domestic purposes broken down by proximity to frontline/border with Russian Federation on the admin of macroregion</t>
  </si>
  <si>
    <t>Households by main source of water for domestic purposes broken down by caregiving status  on the admin of macroregion</t>
  </si>
  <si>
    <t>Households by days without sufficient water for domestic purposes quantity in the past 4 weeks on the admin of macroregion</t>
  </si>
  <si>
    <t>Households by days without sufficient water for domestic purposes quantity in the past 4 weeks broken down by households with at least one member with a reported and/or registered disability on the admin of macroregion</t>
  </si>
  <si>
    <t>Households by days without sufficient water for domestic purposes quantity in the past 4 weeks broken down by urbanity on the admin of macroregion</t>
  </si>
  <si>
    <t>Households by days without sufficient water for domestic purposes quantity in the past 4 weeks broken down by household size on the admin of macroregion</t>
  </si>
  <si>
    <t>Households by days without sufficient water for domestic purposes quantity in the past 4 weeks broken down by income per capita (quartiles) on the admin of macroregion</t>
  </si>
  <si>
    <t>Households by days without sufficient water for domestic purposes quantity in the past 4 weeks broken down by gender of head of household on the admin of macroregion</t>
  </si>
  <si>
    <t>Households by days without sufficient water for domestic purposes quantity in the past 4 weeks broken down by age of adults in the households on the admin of macroregion</t>
  </si>
  <si>
    <t>Households by days without sufficient water for domestic purposes quantity in the past 4 weeks broken down by households with at least one child (&lt;18 y.o.) on the admin of macroregion</t>
  </si>
  <si>
    <t>Households by days without sufficient water for domestic purposes quantity in the past 4 weeks broken down by displacement status of head of household on the admin of macroregion</t>
  </si>
  <si>
    <t>Households by days without sufficient water for domestic purposes quantity in the past 4 weeks broken down by IDP household on the admin of macroregion</t>
  </si>
  <si>
    <t>Households by days without sufficient water for domestic purposes quantity in the past 4 weeks broken down by proximity to frontline/border with Russian Federation on the admin of macroregion</t>
  </si>
  <si>
    <t>Households by days without sufficient water for domestic purposes quantity in the past 4 weeks broken down by caregiving status  on the admin of macroregion</t>
  </si>
  <si>
    <t>Percentage of households reporting enough space/essential items so that the members of the households can perform personal hygiene on the admin of macroregion</t>
  </si>
  <si>
    <t>Percentage of households reporting enough space/essential items so that the members of the households can perform personal hygiene broken down by households with at least one member with a reported and/or registered disability on the admin of macroregion</t>
  </si>
  <si>
    <t>Percentage of households reporting enough space/essential items so that the members of the households can perform personal hygiene broken down by urbanity on the admin of macroregion</t>
  </si>
  <si>
    <t>Percentage of households reporting enough space/essential items so that the members of the households can perform personal hygiene broken down by household size on the admin of macroregion</t>
  </si>
  <si>
    <t>Percentage of households reporting enough space/essential items so that the members of the households can perform personal hygiene broken down by income per capita (quartiles) on the admin of macroregion</t>
  </si>
  <si>
    <t>Percentage of households reporting enough space/essential items so that the members of the households can perform personal hygiene broken down by gender of head of household on the admin of macroregion</t>
  </si>
  <si>
    <t>Percentage of households reporting enough space/essential items so that the members of the households can perform personal hygiene broken down by age of adults in the households on the admin of macroregion</t>
  </si>
  <si>
    <t>Percentage of households reporting enough space/essential items so that the members of the households can perform personal hygiene broken down by households with at least one child (&lt;18 y.o.) on the admin of macroregion</t>
  </si>
  <si>
    <t>Percentage of households reporting enough space/essential items so that the members of the households can perform personal hygiene broken down by displacement status of head of household on the admin of macroregion</t>
  </si>
  <si>
    <t>Percentage of households reporting enough space/essential items so that the members of the households can perform personal hygiene broken down by IDP household on the admin of macroregion</t>
  </si>
  <si>
    <t>Percentage of households reporting enough space/essential items so that the members of the households can perform personal hygiene broken down by proximity to frontline/border with Russian Federation on the admin of macroregion</t>
  </si>
  <si>
    <t>Percentage of households reporting enough space/essential items so that the members of the households can perform personal hygiene broken down by caregiving status  on the admin of macroregion</t>
  </si>
  <si>
    <t>Households by main handwashing facility on the admin of macroregion</t>
  </si>
  <si>
    <t>Fixed place (sink/tap) in dwelling</t>
  </si>
  <si>
    <t xml:space="preserve">Fixed place (sink/tap) in yard/plot </t>
  </si>
  <si>
    <t xml:space="preserve">Mobile handwashing place (bucket, jug, kettle) in dwelling/yard/plot </t>
  </si>
  <si>
    <t xml:space="preserve">No handwashing place in dwelling/yard/plot </t>
  </si>
  <si>
    <t>Households by main handwashing facility broken down by households with at least one member with a reported and/or registered disability on the admin of macroregion</t>
  </si>
  <si>
    <t>Households by main handwashing facility broken down by urbanity on the admin of macroregion</t>
  </si>
  <si>
    <t>Households by main handwashing facility broken down by household size on the admin of macroregion</t>
  </si>
  <si>
    <t>Households by main handwashing facility broken down by income per capita (quartiles) on the admin of macroregion</t>
  </si>
  <si>
    <t>Households by main handwashing facility broken down by gender of head of household on the admin of macroregion</t>
  </si>
  <si>
    <t>Households by main handwashing facility broken down by age of adults in the households on the admin of macroregion</t>
  </si>
  <si>
    <t>Households by main handwashing facility broken down by households with at least one child (&lt;18 y.o.) on the admin of macroregion</t>
  </si>
  <si>
    <t>Households by main handwashing facility broken down by displacement status of head of household on the admin of macroregion</t>
  </si>
  <si>
    <t>Households by main handwashing facility broken down by IDP household on the admin of macroregion</t>
  </si>
  <si>
    <t>Households by main handwashing facility broken down by proximity to frontline/border with Russian Federation on the admin of macroregion</t>
  </si>
  <si>
    <t>Households by main handwashing facility broken down by caregiving status  on the admin of macroregion</t>
  </si>
  <si>
    <t>Households having access to soap for washing hands on the admin of macroregion</t>
  </si>
  <si>
    <t>Households having access to soap for washing hands broken down by households with at least one member with a reported and/or registered disability on the admin of macroregion</t>
  </si>
  <si>
    <t>Households having access to soap for washing hands broken down by urbanity on the admin of macroregion</t>
  </si>
  <si>
    <t>Households having access to soap for washing hands broken down by household size on the admin of macroregion</t>
  </si>
  <si>
    <t>Households having access to soap for washing hands broken down by income per capita (quartiles) on the admin of macroregion</t>
  </si>
  <si>
    <t>Households having access to soap for washing hands broken down by gender of head of household on the admin of macroregion</t>
  </si>
  <si>
    <t>Households having access to soap for washing hands broken down by age of adults in the households on the admin of macroregion</t>
  </si>
  <si>
    <t>Households having access to soap for washing hands broken down by households with at least one child (&lt;18 y.o.) on the admin of macroregion</t>
  </si>
  <si>
    <t>Households having access to soap for washing hands broken down by displacement status of head of household on the admin of macroregion</t>
  </si>
  <si>
    <t>Households having access to soap for washing hands broken down by IDP household on the admin of macroregion</t>
  </si>
  <si>
    <t>Households having access to soap for washing hands broken down by proximity to frontline/border with Russian Federation on the admin of macroregion</t>
  </si>
  <si>
    <t>Households having access to soap for washing hands broken down by caregiving status  on the admin of macroregion</t>
  </si>
  <si>
    <t>Households by main toilet facility on the admin of macroregion</t>
  </si>
  <si>
    <t xml:space="preserve">Flush to piped sewer system </t>
  </si>
  <si>
    <t xml:space="preserve">Flush to pit latrine </t>
  </si>
  <si>
    <t xml:space="preserve">Pit latrine with slab </t>
  </si>
  <si>
    <t xml:space="preserve">Flush to septic tank </t>
  </si>
  <si>
    <t xml:space="preserve">Bucket </t>
  </si>
  <si>
    <t xml:space="preserve">Pit latrine without slab / open pit </t>
  </si>
  <si>
    <t>Composting toilet (dry toilets treating human waste with natural materials)</t>
  </si>
  <si>
    <t xml:space="preserve">Flush to open drain </t>
  </si>
  <si>
    <t>No facility/bush/field/open defecation</t>
  </si>
  <si>
    <t>Households by main toilet facility broken down by households with at least one member with a reported and/or registered disability on the admin of macroregion</t>
  </si>
  <si>
    <t>Households by main toilet facility broken down by urbanity on the admin of macroregion</t>
  </si>
  <si>
    <t>Households by main toilet facility broken down by household size on the admin of macroregion</t>
  </si>
  <si>
    <t>Households by main toilet facility broken down by income per capita (quartiles) on the admin of macroregion</t>
  </si>
  <si>
    <t>Households by main toilet facility broken down by gender of head of household on the admin of macroregion</t>
  </si>
  <si>
    <t>Households by main toilet facility broken down by age of adults in the households on the admin of macroregion</t>
  </si>
  <si>
    <t>Households by main toilet facility broken down by households with at least one child (&lt;18 y.o.) on the admin of macroregion</t>
  </si>
  <si>
    <t>Households by main toilet facility broken down by displacement status of head of household on the admin of macroregion</t>
  </si>
  <si>
    <t>Households by main toilet facility broken down by IDP household on the admin of macroregion</t>
  </si>
  <si>
    <t>Households by main toilet facility broken down by proximity to frontline/border with Russian Federation on the admin of macroregion</t>
  </si>
  <si>
    <t>Households by main toilet facility broken down by caregiving status  on the admin of macroregion</t>
  </si>
  <si>
    <t>Households sharing main toilet facility on the admin of macroregion</t>
  </si>
  <si>
    <t>Households sharing main toilet facility broken down by households with at least one member with a reported and/or registered disability on the admin of macroregion</t>
  </si>
  <si>
    <t>Households sharing main toilet facility broken down by urbanity on the admin of macroregion</t>
  </si>
  <si>
    <t>Households sharing main toilet facility broken down by household size on the admin of macroregion</t>
  </si>
  <si>
    <t>Households sharing main toilet facility broken down by income per capita (quartiles) on the admin of macroregion</t>
  </si>
  <si>
    <t>Households sharing main toilet facility broken down by gender of head of household on the admin of macroregion</t>
  </si>
  <si>
    <t>Households sharing main toilet facility broken down by age of adults in the households on the admin of macroregion</t>
  </si>
  <si>
    <t>Households sharing main toilet facility broken down by households with at least one child (&lt;18 y.o.) on the admin of macroregion</t>
  </si>
  <si>
    <t>Households sharing main toilet facility broken down by displacement status of head of household on the admin of macroregion</t>
  </si>
  <si>
    <t>Households sharing main toilet facility broken down by IDP household on the admin of macroregion</t>
  </si>
  <si>
    <t>Households sharing main toilet facility broken down by proximity to frontline/border with Russian Federation on the admin of macroregion</t>
  </si>
  <si>
    <t>Households sharing main toilet facility broken down by caregiving status  on the admin of macroregion</t>
  </si>
  <si>
    <t>Households sharing main toilet facility by number of households sharing that facility on the admin of macroregion</t>
  </si>
  <si>
    <t>Households sharing main toilet facility by number of households sharing that facility broken down by households with at least one member with a reported and/or registered disability on the admin of macroregion</t>
  </si>
  <si>
    <t>Households sharing main toilet facility by number of households sharing that facility broken down by urbanity on the admin of macroregion</t>
  </si>
  <si>
    <t>Households sharing main toilet facility by number of households sharing that facility broken down by household size on the admin of macroregion</t>
  </si>
  <si>
    <t>Households sharing main toilet facility by number of households sharing that facility broken down by income per capita (quartiles) on the admin of macroregion</t>
  </si>
  <si>
    <t>Households sharing main toilet facility by number of households sharing that facility broken down by gender of head of household on the admin of macroregion</t>
  </si>
  <si>
    <t>Households sharing main toilet facility by number of households sharing that facility broken down by age of adults in the households on the admin of macroregion</t>
  </si>
  <si>
    <t>Households sharing main toilet facility by number of households sharing that facility broken down by households with at least one child (&lt;18 y.o.) on the admin of macroregion</t>
  </si>
  <si>
    <t>Households sharing main toilet facility by number of households sharing that facility broken down by displacement status of head of household on the admin of macroregion</t>
  </si>
  <si>
    <t>Households sharing main toilet facility by number of households sharing that facility broken down by IDP household on the admin of macroregion</t>
  </si>
  <si>
    <t>Households sharing main toilet facility by number of households sharing that facility broken down by proximity to frontline/border with Russian Federation on the admin of macroregion</t>
  </si>
  <si>
    <t>Households sharing main toilet facility by number of households sharing that facility broken down by caregiving status  on the admin of macroregion</t>
  </si>
  <si>
    <t>Households facing issues with pumping off sewage/septic tank in the past 12 months, by issue on the admin of macroregion</t>
  </si>
  <si>
    <t>No, there are no problems</t>
  </si>
  <si>
    <t>No, my household does not handle this service</t>
  </si>
  <si>
    <t xml:space="preserve">Yes, it is expensive/ high price of the service </t>
  </si>
  <si>
    <t>Yes, I have to do it on my own and don't want to</t>
  </si>
  <si>
    <t xml:space="preserve">Yes, pumping services are not available in the area </t>
  </si>
  <si>
    <t xml:space="preserve">Yes, emptying the sewage is not possible due to technical reasons (peculiarities of construction, it is impossible to reach it by car, etc.) </t>
  </si>
  <si>
    <t xml:space="preserve">Yes, special car/service refuses to come </t>
  </si>
  <si>
    <t>Yes, other (specify)</t>
  </si>
  <si>
    <t>Households facing issues with pumping off sewage/septic tank in the past 12 months, by issue broken down by households with at least one member with a reported and/or registered disability on the admin of macroregion</t>
  </si>
  <si>
    <t>Households facing issues with pumping off sewage/septic tank in the past 12 months, by issue broken down by urbanity on the admin of macroregion</t>
  </si>
  <si>
    <t>Households facing issues with pumping off sewage/septic tank in the past 12 months, by issue broken down by household size on the admin of macroregion</t>
  </si>
  <si>
    <t>Households facing issues with pumping off sewage/septic tank in the past 12 months, by issue broken down by income per capita (quartiles) on the admin of macroregion</t>
  </si>
  <si>
    <t>Households facing issues with pumping off sewage/septic tank in the past 12 months, by issue broken down by gender of head of household on the admin of macroregion</t>
  </si>
  <si>
    <t>Households facing issues with pumping off sewage/septic tank in the past 12 months, by issue broken down by age of adults in the households on the admin of macroregion</t>
  </si>
  <si>
    <t>Households facing issues with pumping off sewage/septic tank in the past 12 months, by issue broken down by households with at least one child (&lt;18 y.o.) on the admin of macroregion</t>
  </si>
  <si>
    <t>Households facing issues with pumping off sewage/septic tank in the past 12 months, by issue broken down by displacement status of head of household on the admin of macroregion</t>
  </si>
  <si>
    <t>Households facing issues with pumping off sewage/septic tank in the past 12 months, by issue broken down by IDP household on the admin of macroregion</t>
  </si>
  <si>
    <t>Households facing issues with pumping off sewage/septic tank in the past 12 months, by issue broken down by proximity to frontline/border with Russian Federation on the admin of macroregion</t>
  </si>
  <si>
    <t>Households facing issues with pumping off sewage/septic tank in the past 12 months, by issue broken down by caregiving status  on the admin of macroregion</t>
  </si>
  <si>
    <t>Percentage of households who had to go without washing hands after dirty activities in the past 4 weeks, by frequency on the admin of macroregion</t>
  </si>
  <si>
    <t>Percentage of households who had to go without washing hands after dirty activities in the past 4 weeks, by frequency broken down by households with at least one member with a reported and/or registered disability on the admin of macroregion</t>
  </si>
  <si>
    <t>Percentage of households who had to go without washing hands after dirty activities in the past 4 weeks, by frequency broken down by urbanity on the admin of macroregion</t>
  </si>
  <si>
    <t>Percentage of households who had to go without washing hands after dirty activities in the past 4 weeks, by frequency broken down by household size on the admin of macroregion</t>
  </si>
  <si>
    <t>Percentage of households who had to go without washing hands after dirty activities in the past 4 weeks, by frequency broken down by income per capita (quartiles) on the admin of macroregion</t>
  </si>
  <si>
    <t>Percentage of households who had to go without washing hands after dirty activities in the past 4 weeks, by frequency broken down by gender of head of household on the admin of macroregion</t>
  </si>
  <si>
    <t>Percentage of households who had to go without washing hands after dirty activities in the past 4 weeks, by frequency broken down by age of adults in the households on the admin of macroregion</t>
  </si>
  <si>
    <t>Percentage of households who had to go without washing hands after dirty activities in the past 4 weeks, by frequency broken down by households with at least one child (&lt;18 y.o.) on the admin of macroregion</t>
  </si>
  <si>
    <t>Percentage of households who had to go without washing hands after dirty activities in the past 4 weeks, by frequency broken down by displacement status of head of household on the admin of macroregion</t>
  </si>
  <si>
    <t>Percentage of households who had to go without washing hands after dirty activities in the past 4 weeks, by frequency broken down by IDP household on the admin of macroregion</t>
  </si>
  <si>
    <t>Percentage of households who had to go without washing hands after dirty activities in the past 4 weeks, by frequency broken down by proximity to frontline/border with Russian Federation on the admin of macroregion</t>
  </si>
  <si>
    <t>Percentage of households who had to go without washing hands after dirty activities in the past 4 weeks, by frequency broken down by caregiving status  on the admin of macroregion</t>
  </si>
  <si>
    <t>Percentage of households who worried about not having enough water to cover all needs in the past 4 weeks, by frequency on the admin of macroregion</t>
  </si>
  <si>
    <t>Percentage of households who worried about not having enough water to cover all needs in the past 4 weeks, by frequency broken down by households with at least one member with a reported and/or registered disability on the admin of macroregion</t>
  </si>
  <si>
    <t>Percentage of households who worried about not having enough water to cover all needs in the past 4 weeks, by frequency broken down by urbanity on the admin of macroregion</t>
  </si>
  <si>
    <t>Percentage of households who worried about not having enough water to cover all needs in the past 4 weeks, by frequency broken down by household size on the admin of macroregion</t>
  </si>
  <si>
    <t>Percentage of households who worried about not having enough water to cover all needs in the past 4 weeks, by frequency broken down by income per capita (quartiles) on the admin of macroregion</t>
  </si>
  <si>
    <t>Percentage of households who worried about not having enough water to cover all needs in the past 4 weeks, by frequency broken down by gender of head of household on the admin of macroregion</t>
  </si>
  <si>
    <t>Percentage of households who worried about not having enough water to cover all needs in the past 4 weeks, by frequency broken down by age of adults in the households on the admin of macroregion</t>
  </si>
  <si>
    <t>Percentage of households who worried about not having enough water to cover all needs in the past 4 weeks, by frequency broken down by households with at least one child (&lt;18 y.o.) on the admin of macroregion</t>
  </si>
  <si>
    <t>Percentage of households who worried about not having enough water to cover all needs in the past 4 weeks, by frequency broken down by displacement status of head of household on the admin of macroregion</t>
  </si>
  <si>
    <t>Percentage of households who worried about not having enough water to cover all needs in the past 4 weeks, by frequency broken down by IDP household on the admin of macroregion</t>
  </si>
  <si>
    <t>Percentage of households who worried about not having enough water to cover all needs in the past 4 weeks, by frequency broken down by proximity to frontline/border with Russian Federation on the admin of macroregion</t>
  </si>
  <si>
    <t>Percentage of households who worried about not having enough water to cover all needs in the past 4 weeks, by frequency broken down by caregiving status  on the admin of macroregion</t>
  </si>
  <si>
    <t>Percentage of households who had to change plans due to problems with water in the past 4 weeks, by frequency on the admin of macroregion</t>
  </si>
  <si>
    <t>Percentage of households who had to change plans due to problems with water in the past 4 weeks, by frequency broken down by households with at least one member with a reported and/or registered disability on the admin of macroregion</t>
  </si>
  <si>
    <t>Percentage of households who had to change plans due to problems with water in the past 4 weeks, by frequency broken down by urbanity on the admin of macroregion</t>
  </si>
  <si>
    <t>Percentage of households who had to change plans due to problems with water in the past 4 weeks, by frequency broken down by household size on the admin of macroregion</t>
  </si>
  <si>
    <t>Percentage of households who had to change plans due to problems with water in the past 4 weeks, by frequency broken down by income per capita (quartiles) on the admin of macroregion</t>
  </si>
  <si>
    <t>Percentage of households who had to change plans due to problems with water in the past 4 weeks, by frequency broken down by gender of head of household on the admin of macroregion</t>
  </si>
  <si>
    <t>Percentage of households who had to change plans due to problems with water in the past 4 weeks, by frequency broken down by age of adults in the households on the admin of macroregion</t>
  </si>
  <si>
    <t>Percentage of households who had to change plans due to problems with water in the past 4 weeks, by frequency broken down by households with at least one child (&lt;18 y.o.) on the admin of macroregion</t>
  </si>
  <si>
    <t>Percentage of households who had to change plans due to problems with water in the past 4 weeks, by frequency broken down by displacement status of head of household on the admin of macroregion</t>
  </si>
  <si>
    <t>Percentage of households who had to change plans due to problems with water in the past 4 weeks, by frequency broken down by IDP household on the admin of macroregion</t>
  </si>
  <si>
    <t>Percentage of households who had to change plans due to problems with water in the past 4 weeks, by frequency broken down by proximity to frontline/border with Russian Federation on the admin of macroregion</t>
  </si>
  <si>
    <t>Percentage of households who had to change plans due to problems with water in the past 4 weeks, by frequency broken down by caregiving status  on the admin of macroregion</t>
  </si>
  <si>
    <t>Reduced Coping Strategies Index (rCSI) on the admin of macroregion</t>
  </si>
  <si>
    <t>Low</t>
  </si>
  <si>
    <t>Medium</t>
  </si>
  <si>
    <t>High</t>
  </si>
  <si>
    <t>Reduced Coping Strategies Index (rCSI) broken down by households with at least one member with a reported and/or registered disability on the admin of macroregion</t>
  </si>
  <si>
    <t>Reduced Coping Strategies Index (rCSI) broken down by urbanity on the admin of macroregion</t>
  </si>
  <si>
    <t>Reduced Coping Strategies Index (rCSI) broken down by household size on the admin of macroregion</t>
  </si>
  <si>
    <t>Reduced Coping Strategies Index (rCSI) broken down by income per capita (quartiles) on the admin of macroregion</t>
  </si>
  <si>
    <t>Reduced Coping Strategies Index (rCSI) broken down by gender of head of household on the admin of macroregion</t>
  </si>
  <si>
    <t>Reduced Coping Strategies Index (rCSI) broken down by age of adults in the households on the admin of macroregion</t>
  </si>
  <si>
    <t>Reduced Coping Strategies Index (rCSI) broken down by households with at least one child (&lt;18 y.o.) on the admin of macroregion</t>
  </si>
  <si>
    <t>Reduced Coping Strategies Index (rCSI) broken down by displacement status of head of household on the admin of macroregion</t>
  </si>
  <si>
    <t>Reduced Coping Strategies Index (rCSI) broken down by IDP household on the admin of macroregion</t>
  </si>
  <si>
    <t>Reduced Coping Strategies Index (rCSI) broken down by proximity to frontline/border with Russian Federation on the admin of macroregion</t>
  </si>
  <si>
    <t>Reduced Coping Strategies Index (rCSI) broken down by caregiving status  on the admin of macroregion</t>
  </si>
  <si>
    <t>Food Consumption Score on the admin of macroregion</t>
  </si>
  <si>
    <t>Acceptable</t>
  </si>
  <si>
    <t>Borderline</t>
  </si>
  <si>
    <t>Poor</t>
  </si>
  <si>
    <t>Food Consumption Score broken down by households with at least one member with a reported and/or registered disability on the admin of macroregion</t>
  </si>
  <si>
    <t>Food Consumption Score broken down by urbanity on the admin of macroregion</t>
  </si>
  <si>
    <t>Food Consumption Score broken down by household size on the admin of macroregion</t>
  </si>
  <si>
    <t>Food Consumption Score broken down by income per capita (quartiles) on the admin of macroregion</t>
  </si>
  <si>
    <t>Food Consumption Score broken down by gender of head of household on the admin of macroregion</t>
  </si>
  <si>
    <t>Food Consumption Score broken down by age of adults in the households on the admin of macroregion</t>
  </si>
  <si>
    <t>Food Consumption Score broken down by households with at least one child (&lt;18 y.o.) on the admin of macroregion</t>
  </si>
  <si>
    <t>Food Consumption Score broken down by displacement status of head of household on the admin of macroregion</t>
  </si>
  <si>
    <t>Food Consumption Score broken down by IDP household on the admin of macroregion</t>
  </si>
  <si>
    <t>Food Consumption Score broken down by proximity to frontline/border with Russian Federation on the admin of macroregion</t>
  </si>
  <si>
    <t>Food Consumption Score broken down by caregiving status  on the admin of macroregion</t>
  </si>
  <si>
    <t>perc_Households relying on less preferred and less expensive food to cope with lack if money over the last 7 days</t>
  </si>
  <si>
    <t>perc_Households that had to borrow food or rely on help from a relative or friend to cope with lack if money over the last 7 days</t>
  </si>
  <si>
    <t>perc_Households that had to limit portion size of meals at meal times to cope with lack if money over the last 7 days</t>
  </si>
  <si>
    <t>perc_Households that had to restrict consumption by adults in order for small children to eat to cope with lack if money over the last 7 days Prior</t>
  </si>
  <si>
    <t xml:space="preserve">perc_Households that had to reduce number of meals eaten in a day to cope with lack if money over the last 7 days </t>
  </si>
  <si>
    <t>Households adopting Consumption-based Coping Strategies, by strategy by households with at least one member with a reported and/or registered disability</t>
  </si>
  <si>
    <t>Households adopting Consumption-based Coping Strategies, by strategy by urbanity</t>
  </si>
  <si>
    <t>Households adopting Consumption-based Coping Strategies, by strategy by household size</t>
  </si>
  <si>
    <t>Households adopting Consumption-based Coping Strategies, by strategy by income per capita (quartiles)</t>
  </si>
  <si>
    <t>Households adopting Consumption-based Coping Strategies, by strategy by gender of head of household</t>
  </si>
  <si>
    <t>Households adopting Consumption-based Coping Strategies, by strategy by age of adults in the households</t>
  </si>
  <si>
    <t>Households adopting Consumption-based Coping Strategies, by strategy by households with at least one child (&lt;18 y.o.)</t>
  </si>
  <si>
    <t>Households adopting Consumption-based Coping Strategies, by strategy by displacement status of head of household</t>
  </si>
  <si>
    <t>Households adopting Consumption-based Coping Strategies, by strategy by IDP household</t>
  </si>
  <si>
    <t>Households adopting Consumption-based Coping Strategies, by strategy by proximity to frontline/border with Russian Federation</t>
  </si>
  <si>
    <t xml:space="preserve">Households adopting Consumption-based Coping Strategies, by strategy by caregiving status </t>
  </si>
  <si>
    <t>Households reporting most significant challenges their household currently faces on the admin of macroregion</t>
  </si>
  <si>
    <t xml:space="preserve">Lack of /insufficient income or money </t>
  </si>
  <si>
    <t>Lack of /insufficient access to adequate healthcare</t>
  </si>
  <si>
    <t>Lack of /insufficient access to sufficient quantity or quality of food</t>
  </si>
  <si>
    <t>Household members feeling very distressed, upset, sad, worried, scared, or angry</t>
  </si>
  <si>
    <t>Lack of safety or protection due to conflict, violence, or crime</t>
  </si>
  <si>
    <t>Lack of /insufficient access to humanitarian aid</t>
  </si>
  <si>
    <t>Lack of / insufficient heating during the winter</t>
  </si>
  <si>
    <t>Lack of /insufficient access a suitable living space (e.g. housing is damaged, housing is sub-standard, etc.)</t>
  </si>
  <si>
    <t>Lack of /insufficient access to necessary non-food items (e.g.  clothing, light bulbs, etc.)</t>
  </si>
  <si>
    <t>Lack of /insufficient access to energy (e.g. heating, lighting, electricity, cooking fuels, etc.)</t>
  </si>
  <si>
    <t>Lack of /insufficient access to enough water for drinking</t>
  </si>
  <si>
    <t>Lack of /insufficient access to job / livelihoods</t>
  </si>
  <si>
    <t xml:space="preserve">Lack of /insufficient access to enough water for non-drinking purposes </t>
  </si>
  <si>
    <t>Lack of /insufficient access to hygiene materials (e.g. cleaning products, soap, etc.)</t>
  </si>
  <si>
    <t>Lack of /insufficient access to a clean toilet and washing place</t>
  </si>
  <si>
    <t>Children in household not attending school or receiving insufficient education</t>
  </si>
  <si>
    <t>Lack of /insufficient access to government social services</t>
  </si>
  <si>
    <t>Women do not feel safe enough in the community</t>
  </si>
  <si>
    <t>Lack of /insufficient access to legal system</t>
  </si>
  <si>
    <t>Households reporting most significant challenges their household currently faces broken down by households with at least one member with a reported and/or registered disability on the admin of macroregion</t>
  </si>
  <si>
    <t>Households reporting most significant challenges their household currently faces broken down by urbanity on the admin of macroregion</t>
  </si>
  <si>
    <t>Households reporting most significant challenges their household currently faces broken down by household size on the admin of macroregion</t>
  </si>
  <si>
    <t>Households reporting most significant challenges their household currently faces broken down by income per capita (quartiles) on the admin of macroregion</t>
  </si>
  <si>
    <t>Households reporting most significant challenges their household currently faces broken down by gender of head of household on the admin of macroregion</t>
  </si>
  <si>
    <t>Households reporting most significant challenges their household currently faces broken down by age of adults in the households on the admin of macroregion</t>
  </si>
  <si>
    <t>Households reporting most significant challenges their household currently faces broken down by households with at least one child (&lt;18 y.o.) on the admin of macroregion</t>
  </si>
  <si>
    <t>Households reporting most significant challenges their household currently faces broken down by displacement status of head of household on the admin of macroregion</t>
  </si>
  <si>
    <t>Households reporting most significant challenges their household currently faces broken down by IDP household on the admin of macroregion</t>
  </si>
  <si>
    <t>Households reporting most significant challenges their household currently faces broken down by proximity to frontline/border with Russian Federation on the admin of macroregion</t>
  </si>
  <si>
    <t>Households reporting most significant challenges their household currently faces broken down by caregiving status  on the admin of macroregion</t>
  </si>
  <si>
    <t>Households reporting most significant challenges their household currently faces broken down by gender of respondent on the admin of macroregion</t>
  </si>
  <si>
    <t>Households reporting most significant challenges their household currently faces broken down by age of respondents on the admin of macroregion</t>
  </si>
  <si>
    <t>Households reporting most significant challenges their household currently faces broken down by gender and age of respondents on the admin of macroregion</t>
  </si>
  <si>
    <t>Households reporting challenges, by type of support they would like to receive on the admin of macroregion</t>
  </si>
  <si>
    <t xml:space="preserve">Cash </t>
  </si>
  <si>
    <t xml:space="preserve">Food </t>
  </si>
  <si>
    <t>Healthcare</t>
  </si>
  <si>
    <t>Do not want to /need to receive any support</t>
  </si>
  <si>
    <t xml:space="preserve">Livelihoods support / employment </t>
  </si>
  <si>
    <t xml:space="preserve">Access to fuel sources for winter heating </t>
  </si>
  <si>
    <t xml:space="preserve">Essential household and personal items (clothes, blanket, cooking items, sleeping items, storing food) </t>
  </si>
  <si>
    <t>Essential Hygiene items (e.g. soap, sanitary pads)</t>
  </si>
  <si>
    <t xml:space="preserve">Shelter / housing (excluding E-recovery programme) </t>
  </si>
  <si>
    <t xml:space="preserve">Psychosocial support </t>
  </si>
  <si>
    <t>Support debt repayment</t>
  </si>
  <si>
    <t xml:space="preserve">Legal services (e.g. access to civil documentation) </t>
  </si>
  <si>
    <t xml:space="preserve">E-recovery programme (benefits for damaged housing) </t>
  </si>
  <si>
    <t xml:space="preserve">Education for children under 18 </t>
  </si>
  <si>
    <t xml:space="preserve">Access to energy (lighting, electricity, cooking fuels) </t>
  </si>
  <si>
    <t xml:space="preserve">Assistance to IDPs </t>
  </si>
  <si>
    <t xml:space="preserve">Support for protection / safety (e.g. training on mines and UXOs) </t>
  </si>
  <si>
    <t>Water for drinking</t>
  </si>
  <si>
    <t xml:space="preserve">Communication means </t>
  </si>
  <si>
    <t xml:space="preserve">Sanitation services (e.g. toilets, waste collection) </t>
  </si>
  <si>
    <t>Water for non-drinking purposes</t>
  </si>
  <si>
    <t>Households reporting challenges, by type of support they would like to receive broken down by households with at least one member with a reported and/or registered disability on the admin of macroregion</t>
  </si>
  <si>
    <t>Households reporting challenges, by type of support they would like to receive broken down by urbanity on the admin of macroregion</t>
  </si>
  <si>
    <t>Households reporting challenges, by type of support they would like to receive broken down by household size on the admin of macroregion</t>
  </si>
  <si>
    <t>Households reporting challenges, by type of support they would like to receive broken down by income per capita (quartiles) on the admin of macroregion</t>
  </si>
  <si>
    <t>Households reporting challenges, by type of support they would like to receive broken down by gender of head of household on the admin of macroregion</t>
  </si>
  <si>
    <t>Households reporting challenges, by type of support they would like to receive broken down by age of adults in the households on the admin of macroregion</t>
  </si>
  <si>
    <t>Households reporting challenges, by type of support they would like to receive broken down by households with at least one child (&lt;18 y.o.) on the admin of macroregion</t>
  </si>
  <si>
    <t>Households reporting challenges, by type of support they would like to receive broken down by displacement status of head of household on the admin of macroregion</t>
  </si>
  <si>
    <t>Households reporting challenges, by type of support they would like to receive broken down by IDP household on the admin of macroregion</t>
  </si>
  <si>
    <t>Households reporting challenges, by type of support they would like to receive broken down by proximity to frontline/border with Russian Federation on the admin of macroregion</t>
  </si>
  <si>
    <t>Households reporting challenges, by type of support they would like to receive broken down by caregiving status  on the admin of macroregion</t>
  </si>
  <si>
    <t>Households reporting challenges, by type of support they would like to receive broken down by gender of respondent on the admin of macroregion</t>
  </si>
  <si>
    <t>Households reporting challenges, by type of support they would like to receive broken down by age of respondents on the admin of macroregion</t>
  </si>
  <si>
    <t>Households reporting challenges, by type of support they would like to receive broken down by gender and age of respondents on the admin of macroregion</t>
  </si>
  <si>
    <t>Households reporting challenges, by modality of assistance they would like to receive on the admin of macroregion</t>
  </si>
  <si>
    <t>Cash</t>
  </si>
  <si>
    <t>In-kind</t>
  </si>
  <si>
    <t>Services</t>
  </si>
  <si>
    <t>Vouchers</t>
  </si>
  <si>
    <t>Do not want to receive humanitarian assistance</t>
  </si>
  <si>
    <t>Households reporting challenges, by modality of assistance they would like to receive broken down by households with at least one member with a reported and/or registered disability on the admin of macroregion</t>
  </si>
  <si>
    <t>Households reporting challenges, by modality of assistance they would like to receive broken down by urbanity on the admin of macroregion</t>
  </si>
  <si>
    <t>Households reporting challenges, by modality of assistance they would like to receive broken down by household size on the admin of macroregion</t>
  </si>
  <si>
    <t>Households reporting challenges, by modality of assistance they would like to receive broken down by income per capita (quartiles) on the admin of macroregion</t>
  </si>
  <si>
    <t>Households reporting challenges, by modality of assistance they would like to receive broken down by gender of head of household on the admin of macroregion</t>
  </si>
  <si>
    <t>Households reporting challenges, by modality of assistance they would like to receive broken down by age of adults in the households on the admin of macroregion</t>
  </si>
  <si>
    <t>Households reporting challenges, by modality of assistance they would like to receive broken down by households with at least one child (&lt;18 y.o.) on the admin of macroregion</t>
  </si>
  <si>
    <t>Households reporting challenges, by modality of assistance they would like to receive broken down by displacement status of head of household on the admin of macroregion</t>
  </si>
  <si>
    <t>Households reporting challenges, by modality of assistance they would like to receive broken down by IDP household on the admin of macroregion</t>
  </si>
  <si>
    <t>Households reporting challenges, by modality of assistance they would like to receive broken down by proximity to frontline/border with Russian Federation on the admin of macroregion</t>
  </si>
  <si>
    <t>Households reporting challenges, by modality of assistance they would like to receive broken down by caregiving status  on the admin of macroregion</t>
  </si>
  <si>
    <t>Households reporting challenges, by modality of assistance they would like to receive broken down by gender of respondent on the admin of macroregion</t>
  </si>
  <si>
    <t>Households reporting challenges, by modality of assistance they would like to receive broken down by age of respondents on the admin of macroregion</t>
  </si>
  <si>
    <t>Households reporting challenges, by modality of assistance they would like to receive broken down by gender and age of respondents on the admin of macroregion</t>
  </si>
  <si>
    <t>Households by last time aid was received on the admin of macroregion</t>
  </si>
  <si>
    <t>Never receieved aid</t>
  </si>
  <si>
    <t>More than 12 months ago</t>
  </si>
  <si>
    <t>Less than 1 month ago</t>
  </si>
  <si>
    <t>More than 6 months, but less than 12 months ago</t>
  </si>
  <si>
    <t>More than one, but less than 3 months ago</t>
  </si>
  <si>
    <t>More than 3 months, but less than 6 months ago</t>
  </si>
  <si>
    <t>Households by last time aid was received broken down by households with at least one member with a reported and/or registered disability on the admin of macroregion</t>
  </si>
  <si>
    <t>Households by last time aid was received broken down by urbanity on the admin of macroregion</t>
  </si>
  <si>
    <t>Households by last time aid was received broken down by household size on the admin of macroregion</t>
  </si>
  <si>
    <t>Households by last time aid was received broken down by income per capita (quartiles) on the admin of macroregion</t>
  </si>
  <si>
    <t>Households by last time aid was received broken down by gender of head of household on the admin of macroregion</t>
  </si>
  <si>
    <t>Households by last time aid was received broken down by age of adults in the households on the admin of macroregion</t>
  </si>
  <si>
    <t>Households by last time aid was received broken down by households with at least one child (&lt;18 y.o.) on the admin of macroregion</t>
  </si>
  <si>
    <t>Households by last time aid was received broken down by displacement status of head of household on the admin of macroregion</t>
  </si>
  <si>
    <t>Households by last time aid was received broken down by IDP household on the admin of macroregion</t>
  </si>
  <si>
    <t>Households by last time aid was received broken down by proximity to frontline/border with Russian Federation on the admin of macroregion</t>
  </si>
  <si>
    <t>Households by last time aid was received broken down by caregiving status  on the admin of macroregion</t>
  </si>
  <si>
    <t>Households by last time aid was received broken down by gender of respondent on the admin of macroregion</t>
  </si>
  <si>
    <t>Households by last time aid was received broken down by age of respondents on the admin of macroregion</t>
  </si>
  <si>
    <t>Households by last time aid was received broken down by gender and age of respondents on the admin of macroregion</t>
  </si>
  <si>
    <t>Households reporting barriers in accessing to aid in the past 12 months, by barrier on the admin of macroregion</t>
  </si>
  <si>
    <t>No, no barriers</t>
  </si>
  <si>
    <t>Did not attempt to receive any assistance in the past 12 months</t>
  </si>
  <si>
    <t xml:space="preserve">Yes, do not have enough information on how assistance works and/or is provided </t>
  </si>
  <si>
    <t xml:space="preserve">Yes, do not have enough information on how to register for assistance </t>
  </si>
  <si>
    <t>Yes, assistance not (regularly) available or functioning in area</t>
  </si>
  <si>
    <t>Yes, not considered as eligible</t>
  </si>
  <si>
    <t xml:space="preserve">Yes, difficulty to physically access assistance (e.g. long distances) </t>
  </si>
  <si>
    <t>Yes, registration process is too long/complicated</t>
  </si>
  <si>
    <t>Yes, limited access to transport to access assistance</t>
  </si>
  <si>
    <t>Yes, do not have necessary documents</t>
  </si>
  <si>
    <t>Yes, quality of assistance is poor</t>
  </si>
  <si>
    <t>Yes, assistance not meeting household's needs</t>
  </si>
  <si>
    <t>Yes, discrimination</t>
  </si>
  <si>
    <t xml:space="preserve">Yes, request for bribe or other corruption challenges </t>
  </si>
  <si>
    <t>Yes, fear of conscription</t>
  </si>
  <si>
    <t>Yes, language barriers</t>
  </si>
  <si>
    <t>Yes, feeling unsafe accessing assistance</t>
  </si>
  <si>
    <t>Households reporting barriers in accessing to aid in the past 12 months, by barrier broken down by households with at least one member with a reported and/or registered disability on the admin of macroregion</t>
  </si>
  <si>
    <t>Households reporting barriers in accessing to aid in the past 12 months, by barrier broken down by urbanity on the admin of macroregion</t>
  </si>
  <si>
    <t>Households reporting barriers in accessing to aid in the past 12 months, by barrier broken down by household size on the admin of macroregion</t>
  </si>
  <si>
    <t>Households reporting barriers in accessing to aid in the past 12 months, by barrier broken down by income per capita (quartiles) on the admin of macroregion</t>
  </si>
  <si>
    <t>Households reporting barriers in accessing to aid in the past 12 months, by barrier broken down by gender of head of household on the admin of macroregion</t>
  </si>
  <si>
    <t>Households reporting barriers in accessing to aid in the past 12 months, by barrier broken down by age of adults in the households on the admin of macroregion</t>
  </si>
  <si>
    <t>Households reporting barriers in accessing to aid in the past 12 months, by barrier broken down by households with at least one child (&lt;18 y.o.) on the admin of macroregion</t>
  </si>
  <si>
    <t>Households reporting barriers in accessing to aid in the past 12 months, by barrier broken down by displacement status of head of household on the admin of macroregion</t>
  </si>
  <si>
    <t>Households reporting barriers in accessing to aid in the past 12 months, by barrier broken down by IDP household on the admin of macroregion</t>
  </si>
  <si>
    <t>Households reporting barriers in accessing to aid in the past 12 months, by barrier broken down by proximity to frontline/border with Russian Federation on the admin of macroregion</t>
  </si>
  <si>
    <t>Households reporting barriers in accessing to aid in the past 12 months, by barrier broken down by caregiving status  on the admin of macroregion</t>
  </si>
  <si>
    <t>Households reporting barriers in accessing to aid in the past 12 months, by barrier broken down by gender of respondent on the admin of macroregion</t>
  </si>
  <si>
    <t>Households reporting barriers in accessing to aid in the past 12 months, by barrier broken down by age of respondents on the admin of macroregion</t>
  </si>
  <si>
    <t>Households reporting barriers in accessing to aid in the past 12 months, by barrier broken down by gender and age of respondents on the admin of macroregion</t>
  </si>
  <si>
    <t>Households who received aid, by aid satisfaction in the past 12 months on the admin of macroregion</t>
  </si>
  <si>
    <t>Satisfied</t>
  </si>
  <si>
    <t>Very satisfied</t>
  </si>
  <si>
    <t xml:space="preserve">Neither satisfied nor dissatisfied </t>
  </si>
  <si>
    <t>Dissatisfied</t>
  </si>
  <si>
    <t xml:space="preserve">Very Dissatisfied </t>
  </si>
  <si>
    <t>Households who received aid, by aid satisfaction in the past 12 months broken down by households with at least one member with a reported and/or registered disability on the admin of macroregion</t>
  </si>
  <si>
    <t>Households who received aid, by aid satisfaction in the past 12 months broken down by urbanity on the admin of macroregion</t>
  </si>
  <si>
    <t>Households who received aid, by aid satisfaction in the past 12 months broken down by household size on the admin of macroregion</t>
  </si>
  <si>
    <t>Households who received aid, by aid satisfaction in the past 12 months broken down by income per capita (quartiles) on the admin of macroregion</t>
  </si>
  <si>
    <t>Households who received aid, by aid satisfaction in the past 12 months broken down by gender of head of household on the admin of macroregion</t>
  </si>
  <si>
    <t>Households who received aid, by aid satisfaction in the past 12 months broken down by age of adults in the households on the admin of macroregion</t>
  </si>
  <si>
    <t>Households who received aid, by aid satisfaction in the past 12 months broken down by households with at least one child (&lt;18 y.o.) on the admin of macroregion</t>
  </si>
  <si>
    <t>Households who received aid, by aid satisfaction in the past 12 months broken down by displacement status of head of household on the admin of macroregion</t>
  </si>
  <si>
    <t>Households who received aid, by aid satisfaction in the past 12 months broken down by IDP household on the admin of macroregion</t>
  </si>
  <si>
    <t>Households who received aid, by aid satisfaction in the past 12 months broken down by proximity to frontline/border with Russian Federation on the admin of macroregion</t>
  </si>
  <si>
    <t>Households who received aid, by aid satisfaction in the past 12 months broken down by caregiving status  on the admin of macroregion</t>
  </si>
  <si>
    <t>Households who received aid, by aid satisfaction in the past 12 months broken down by gender of respondent on the admin of macroregion</t>
  </si>
  <si>
    <t>Households who received aid, by aid satisfaction in the past 12 months broken down by age of respondents on the admin of macroregion</t>
  </si>
  <si>
    <t>Households who received aid, by aid satisfaction in the past 12 months broken down by gender and age of respondents on the admin of macroregion</t>
  </si>
  <si>
    <t>Households dissatisfied with aid received, by reason on the admin of macroregion</t>
  </si>
  <si>
    <t>Assistance received was insufficient</t>
  </si>
  <si>
    <t>The assistance delivered was not what the household needed the most</t>
  </si>
  <si>
    <t>Did not receive the aid on time / delays in delivery of aid</t>
  </si>
  <si>
    <t>Assistance received was of poor quality</t>
  </si>
  <si>
    <t>Unsatisfactory interaction with aid providers</t>
  </si>
  <si>
    <t>The assistance was not easily accessible (e.g. the distribution or the service point was too far away, in a hard-to-reach area, etc.)</t>
  </si>
  <si>
    <t>Households dissatisfied with aid received, by reason broken down by households with at least one member with a reported and/or registered disability on the admin of macroregion</t>
  </si>
  <si>
    <t>Households dissatisfied with aid received, by reason broken down by urbanity on the admin of macroregion</t>
  </si>
  <si>
    <t>Households dissatisfied with aid received, by reason broken down by household size on the admin of macroregion</t>
  </si>
  <si>
    <t>Households dissatisfied with aid received, by reason broken down by income per capita (quartiles) on the admin of macroregion</t>
  </si>
  <si>
    <t>Households dissatisfied with aid received, by reason broken down by gender of head of household on the admin of macroregion</t>
  </si>
  <si>
    <t>Households dissatisfied with aid received, by reason broken down by age of adults in the households on the admin of macroregion</t>
  </si>
  <si>
    <t>Households dissatisfied with aid received, by reason broken down by households with at least one child (&lt;18 y.o.) on the admin of macroregion</t>
  </si>
  <si>
    <t>Households dissatisfied with aid received, by reason broken down by displacement status of head of household on the admin of macroregion</t>
  </si>
  <si>
    <t>Households dissatisfied with aid received, by reason broken down by IDP household on the admin of macroregion</t>
  </si>
  <si>
    <t>Households dissatisfied with aid received, by reason broken down by proximity to frontline/border with Russian Federation on the admin of macroregion</t>
  </si>
  <si>
    <t>Households dissatisfied with aid received, by reason broken down by caregiving status  on the admin of macroregion</t>
  </si>
  <si>
    <t>Households dissatisfied with aid received, by reason broken down by gender of respondent on the admin of macroregion</t>
  </si>
  <si>
    <t>Households dissatisfied with aid received, by reason broken down by age of respondents on the admin of macroregion</t>
  </si>
  <si>
    <t>Households dissatisfied with aid received, by reason broken down by gender and age of respondents on the admin of macroregion</t>
  </si>
  <si>
    <t>Percentage of households reporting reliable information channels to get information about aid, by channel on the admin of macroregion</t>
  </si>
  <si>
    <t>Social media (e.g., Instagram, Facebook)</t>
  </si>
  <si>
    <t xml:space="preserve">In-person communication </t>
  </si>
  <si>
    <t>Websites of local or national government authorities</t>
  </si>
  <si>
    <t>Television (TV channels or broadcasts)</t>
  </si>
  <si>
    <t>Websites of NGOs, UN agencies, or volunteer groups</t>
  </si>
  <si>
    <t>Phone calls or phone trees (organized by government or other actors)</t>
  </si>
  <si>
    <t>Printed newspapers or magazines</t>
  </si>
  <si>
    <t>Radio</t>
  </si>
  <si>
    <t>Online newspapers or magazines</t>
  </si>
  <si>
    <t>Posters, billboards, leaflets</t>
  </si>
  <si>
    <t>Other (please specify)</t>
  </si>
  <si>
    <t>Percentage of households reporting reliable information channels to get information about aid, by channel broken down by households with at least one member with a reported and/or registered disability on the admin of macroregion</t>
  </si>
  <si>
    <t>Percentage of households reporting reliable information channels to get information about aid, by channel broken down by urbanity on the admin of macroregion</t>
  </si>
  <si>
    <t>Percentage of households reporting reliable information channels to get information about aid, by channel broken down by household size on the admin of macroregion</t>
  </si>
  <si>
    <t>Percentage of households reporting reliable information channels to get information about aid, by channel broken down by income per capita (quartiles) on the admin of macroregion</t>
  </si>
  <si>
    <t>Percentage of households reporting reliable information channels to get information about aid, by channel broken down by gender of head of household on the admin of macroregion</t>
  </si>
  <si>
    <t>Percentage of households reporting reliable information channels to get information about aid, by channel broken down by age of adults in the households on the admin of macroregion</t>
  </si>
  <si>
    <t>Percentage of households reporting reliable information channels to get information about aid, by channel broken down by households with at least one child (&lt;18 y.o.) on the admin of macroregion</t>
  </si>
  <si>
    <t>Percentage of households reporting reliable information channels to get information about aid, by channel broken down by displacement status of head of household on the admin of macroregion</t>
  </si>
  <si>
    <t>Percentage of households reporting reliable information channels to get information about aid, by channel broken down by IDP household on the admin of macroregion</t>
  </si>
  <si>
    <t>Percentage of households reporting reliable information channels to get information about aid, by channel broken down by proximity to frontline/border with Russian Federation on the admin of macroregion</t>
  </si>
  <si>
    <t>Percentage of households reporting reliable information channels to get information about aid, by channel broken down by caregiving status  on the admin of macroregion</t>
  </si>
  <si>
    <t>Percentage of households reporting reliable information channels to get information about aid, by channel broken down by gender of respondent on the admin of macroregion</t>
  </si>
  <si>
    <t>Percentage of households reporting reliable information channels to get information about aid, by channel broken down by age of respondents on the admin of macroregion</t>
  </si>
  <si>
    <t>Percentage of households reporting reliable information channels to get information about aid, by channel broken down by gender and age of respondents on the admin of macroregion</t>
  </si>
  <si>
    <t>Percentage of households utilizing complaint and feedback channels, by type on the admin of macroregion</t>
  </si>
  <si>
    <t>Hotlines</t>
  </si>
  <si>
    <t>Messaging chats (Telegram/Viber)</t>
  </si>
  <si>
    <t>Online forms or surveys</t>
  </si>
  <si>
    <t>In-person (visiting an aid provider’s office/location)</t>
  </si>
  <si>
    <t>Feedback or suggestion boxes</t>
  </si>
  <si>
    <t>Percentage of households utilizing complaint and feedback channels, by type broken down by households with at least one member with a reported and/or registered disability on the admin of macroregion</t>
  </si>
  <si>
    <t>Percentage of households utilizing complaint and feedback channels, by type broken down by urbanity on the admin of macroregion</t>
  </si>
  <si>
    <t>Percentage of households utilizing complaint and feedback channels, by type broken down by household size on the admin of macroregion</t>
  </si>
  <si>
    <t>Percentage of households utilizing complaint and feedback channels, by type broken down by income per capita (quartiles) on the admin of macroregion</t>
  </si>
  <si>
    <t>Percentage of households utilizing complaint and feedback channels, by type broken down by gender of head of household on the admin of macroregion</t>
  </si>
  <si>
    <t>Percentage of households utilizing complaint and feedback channels, by type broken down by age of adults in the households on the admin of macroregion</t>
  </si>
  <si>
    <t>Percentage of households utilizing complaint and feedback channels, by type broken down by households with at least one child (&lt;18 y.o.) on the admin of macroregion</t>
  </si>
  <si>
    <t>Percentage of households utilizing complaint and feedback channels, by type broken down by displacement status of head of household on the admin of macroregion</t>
  </si>
  <si>
    <t>Percentage of households utilizing complaint and feedback channels, by type broken down by IDP household on the admin of macroregion</t>
  </si>
  <si>
    <t>Percentage of households utilizing complaint and feedback channels, by type broken down by proximity to frontline/border with Russian Federation on the admin of macroregion</t>
  </si>
  <si>
    <t>Percentage of households utilizing complaint and feedback channels, by type broken down by caregiving status  on the admin of macroregion</t>
  </si>
  <si>
    <t>Percentage of households utilizing complaint and feedback channels, by type broken down by gender of respondent on the admin of macroregion</t>
  </si>
  <si>
    <t>Percentage of households utilizing complaint and feedback channels, by type broken down by age of respondents on the admin of macroregion</t>
  </si>
  <si>
    <t>Percentage of households utilizing complaint and feedback channels, by type broken down by gender and age of respondents on the admin of macroregion</t>
  </si>
  <si>
    <t>Percentage of households receiving a response through complaint and feedback channels on the admin of macroregion</t>
  </si>
  <si>
    <t>Percentage of households receiving a response through complaint and feedback channels broken down by households with at least one member with a reported and/or registered disability on the admin of macroregion</t>
  </si>
  <si>
    <t>Percentage of households receiving a response through complaint and feedback channels broken down by urbanity on the admin of macroregion</t>
  </si>
  <si>
    <t>Percentage of households receiving a response through complaint and feedback channels broken down by household size on the admin of macroregion</t>
  </si>
  <si>
    <t>Percentage of households receiving a response through complaint and feedback channels broken down by income per capita (quartiles) on the admin of macroregion</t>
  </si>
  <si>
    <t>Percentage of households receiving a response through complaint and feedback channels broken down by gender of head of household on the admin of macroregion</t>
  </si>
  <si>
    <t>Percentage of households receiving a response through complaint and feedback channels broken down by age of adults in the households on the admin of macroregion</t>
  </si>
  <si>
    <t>Percentage of households receiving a response through complaint and feedback channels broken down by households with at least one child (&lt;18 y.o.) on the admin of macroregion</t>
  </si>
  <si>
    <t>Percentage of households receiving a response through complaint and feedback channels broken down by displacement status of head of household on the admin of macroregion</t>
  </si>
  <si>
    <t>Percentage of households receiving a response through complaint and feedback channels broken down by IDP household on the admin of macroregion</t>
  </si>
  <si>
    <t>Percentage of households receiving a response through complaint and feedback channels broken down by proximity to frontline/border with Russian Federation on the admin of macroregion</t>
  </si>
  <si>
    <t>Percentage of households receiving a response through complaint and feedback channels broken down by caregiving status  on the admin of macroregion</t>
  </si>
  <si>
    <t>Percentage of households receiving a response through complaint and feedback channels broken down by gender of respondent on the admin of macroregion</t>
  </si>
  <si>
    <t>Percentage of households receiving a response through complaint and feedback channels broken down by age of respondents on the admin of macroregion</t>
  </si>
  <si>
    <t>Percentage of households receiving a response through complaint and feedback channels broken down by gender and age of respondents on the admin of macroregion</t>
  </si>
  <si>
    <t>Percentage of household who have experienced cuts in  government assistance in the past 6 months on the admin of macroregion</t>
  </si>
  <si>
    <t>Yes, IDP allowance</t>
  </si>
  <si>
    <t>Yes, social assistance for families with low income</t>
  </si>
  <si>
    <t>Yes, retirement pension</t>
  </si>
  <si>
    <t>Yes, pensions for people with disabilities</t>
  </si>
  <si>
    <t xml:space="preserve">Yes, child assistance to single parents </t>
  </si>
  <si>
    <t>Yes, social payments for the unemployed</t>
  </si>
  <si>
    <t>Percentage of household who have experienced cuts in  government assistance in the past 6 months broken down by households with at least one member with a reported and/or registered disability on the admin of macroregion</t>
  </si>
  <si>
    <t>Percentage of household who have experienced cuts in  government assistance in the past 6 months broken down by urbanity on the admin of macroregion</t>
  </si>
  <si>
    <t>Percentage of household who have experienced cuts in  government assistance in the past 6 months broken down by household size on the admin of macroregion</t>
  </si>
  <si>
    <t>Percentage of household who have experienced cuts in  government assistance in the past 6 months broken down by income per capita (quartiles) on the admin of macroregion</t>
  </si>
  <si>
    <t>Percentage of household who have experienced cuts in  government assistance in the past 6 months broken down by gender of head of household on the admin of macroregion</t>
  </si>
  <si>
    <t>Percentage of household who have experienced cuts in  government assistance in the past 6 months broken down by age of adults in the households on the admin of macroregion</t>
  </si>
  <si>
    <t>Percentage of household who have experienced cuts in  government assistance in the past 6 months broken down by households with at least one child (&lt;18 y.o.) on the admin of macroregion</t>
  </si>
  <si>
    <t>Percentage of household who have experienced cuts in  government assistance in the past 6 months broken down by displacement status of head of household on the admin of macroregion</t>
  </si>
  <si>
    <t>Percentage of household who have experienced cuts in  government assistance in the past 6 months broken down by IDP household on the admin of macroregion</t>
  </si>
  <si>
    <t>Percentage of household who have experienced cuts in  government assistance in the past 6 months broken down by proximity to frontline/border with Russian Federation on the admin of macroregion</t>
  </si>
  <si>
    <t>Percentage of household who have experienced cuts in  government assistance in the past 6 months broken down by caregiving status  on the admin of macroregion</t>
  </si>
  <si>
    <t>Percentage of household who have experienced cuts in  government assistance in the past 6 months broken down by gender of respondent on the admin of macroregion</t>
  </si>
  <si>
    <t>Percentage of household who have experienced cuts in  government assistance in the past 6 months broken down by age of respondents on the admin of macroregion</t>
  </si>
  <si>
    <t>Percentage of household who have experienced cuts in  government assistance in the past 6 months broken down by gender and age of respondents on the admin of macroregion</t>
  </si>
  <si>
    <t>Percentage of households unable to obtain needed legal assistance, by type of assistance on the admin of macroregion</t>
  </si>
  <si>
    <t>Yes, to apply for utility subsidies</t>
  </si>
  <si>
    <t>Yes, to obtain property documentation</t>
  </si>
  <si>
    <t>Yes, to access social benefits</t>
  </si>
  <si>
    <t>Yes, to apply for compensation for damaged or destroyed property</t>
  </si>
  <si>
    <t>Yes, to obtain civil documents (birth, death, marriage, divorce)</t>
  </si>
  <si>
    <t>Yes, to resolve issues related to labour law</t>
  </si>
  <si>
    <t>Yes, to apply for IDP allowance</t>
  </si>
  <si>
    <t>Yes, to obtain identity documents</t>
  </si>
  <si>
    <t>Yes, to access pensions for IDPs</t>
  </si>
  <si>
    <t>Percentage of households unable to obtain needed legal assistance, by type of assistance broken down by households with at least one member with a reported and/or registered disability on the admin of macroregion</t>
  </si>
  <si>
    <t>Percentage of households unable to obtain needed legal assistance, by type of assistance broken down by urbanity on the admin of macroregion</t>
  </si>
  <si>
    <t>Percentage of households unable to obtain needed legal assistance, by type of assistance broken down by household size on the admin of macroregion</t>
  </si>
  <si>
    <t>Percentage of households unable to obtain needed legal assistance, by type of assistance broken down by income per capita (quartiles) on the admin of macroregion</t>
  </si>
  <si>
    <t>Percentage of households unable to obtain needed legal assistance, by type of assistance broken down by gender of head of household on the admin of macroregion</t>
  </si>
  <si>
    <t>Percentage of households unable to obtain needed legal assistance, by type of assistance broken down by age of adults in the households on the admin of macroregion</t>
  </si>
  <si>
    <t>Percentage of households unable to obtain needed legal assistance, by type of assistance broken down by households with at least one child (&lt;18 y.o.) on the admin of macroregion</t>
  </si>
  <si>
    <t>Percentage of households unable to obtain needed legal assistance, by type of assistance broken down by displacement status of head of household on the admin of macroregion</t>
  </si>
  <si>
    <t>Percentage of households unable to obtain needed legal assistance, by type of assistance broken down by IDP household on the admin of macroregion</t>
  </si>
  <si>
    <t>Percentage of households unable to obtain needed legal assistance, by type of assistance broken down by proximity to frontline/border with Russian Federation on the admin of macroregion</t>
  </si>
  <si>
    <t>Percentage of households unable to obtain needed legal assistance, by type of assistance broken down by caregiving status  on the admin of macroregion</t>
  </si>
  <si>
    <t>Percentage of households unable to obtain needed legal assistance, by type of assistance broken down by gender of respondent on the admin of macroregion</t>
  </si>
  <si>
    <t>Percentage of households unable to obtain needed legal assistance, by type of assistance broken down by age of respondents on the admin of macroregion</t>
  </si>
  <si>
    <t>Percentage of households unable to obtain needed legal assistance, by type of assistance broken down by gender and age of respondents on the admin of macroregion</t>
  </si>
  <si>
    <t>Percentage of households unable to obtain needed social and administrative services, by type of services on the admin of macroregion</t>
  </si>
  <si>
    <t>Yes, to obtain counselling services</t>
  </si>
  <si>
    <t>Yes, to obtain social accompaniment services</t>
  </si>
  <si>
    <t>Yes, to obtain home-based care, assisted living, or facility care services</t>
  </si>
  <si>
    <t>Yes, to obtain psychosocial support</t>
  </si>
  <si>
    <t>Yes, to obtain social rehabilitation services</t>
  </si>
  <si>
    <t>Yes, to obtain social transportation</t>
  </si>
  <si>
    <t>Yes, to obtain case management support</t>
  </si>
  <si>
    <t>Percentage of households unable to obtain needed social and administrative services, by type of services broken down by households with at least one member with a reported and/or registered disability on the admin of macroregion</t>
  </si>
  <si>
    <t>Percentage of households unable to obtain needed social and administrative services, by type of services broken down by urbanity on the admin of macroregion</t>
  </si>
  <si>
    <t>Percentage of households unable to obtain needed social and administrative services, by type of services broken down by household size on the admin of macroregion</t>
  </si>
  <si>
    <t>Percentage of households unable to obtain needed social and administrative services, by type of services broken down by income per capita (quartiles) on the admin of macroregion</t>
  </si>
  <si>
    <t>Percentage of households unable to obtain needed social and administrative services, by type of services broken down by gender of head of household on the admin of macroregion</t>
  </si>
  <si>
    <t>Percentage of households unable to obtain needed social and administrative services, by type of services broken down by age of adults in the households on the admin of macroregion</t>
  </si>
  <si>
    <t>Percentage of households unable to obtain needed social and administrative services, by type of services broken down by households with at least one child (&lt;18 y.o.) on the admin of macroregion</t>
  </si>
  <si>
    <t>Percentage of households unable to obtain needed social and administrative services, by type of services broken down by displacement status of head of household on the admin of macroregion</t>
  </si>
  <si>
    <t>Percentage of households unable to obtain needed social and administrative services, by type of services broken down by IDP household on the admin of macroregion</t>
  </si>
  <si>
    <t>Percentage of households unable to obtain needed social and administrative services, by type of services broken down by proximity to frontline/border with Russian Federation on the admin of macroregion</t>
  </si>
  <si>
    <t>Percentage of households unable to obtain needed social and administrative services, by type of services broken down by caregiving status  on the admin of macroregion</t>
  </si>
  <si>
    <t>Percentage of households unable to obtain needed social and administrative services, by type of services broken down by gender of respondent on the admin of macroregion</t>
  </si>
  <si>
    <t>Percentage of households unable to obtain needed social and administrative services, by type of services broken down by age of respondents on the admin of macroregion</t>
  </si>
  <si>
    <t>Percentage of households unable to obtain needed social and administrative services, by type of services broken down by gender and age of respondents on the admin of macroregion</t>
  </si>
  <si>
    <t>Percentage of households reporting services for women/girls are needed but not available in the area, by type of services on the admin of macroregion</t>
  </si>
  <si>
    <t>Psychosocial support</t>
  </si>
  <si>
    <t>Health services, not including reproductive health</t>
  </si>
  <si>
    <t xml:space="preserve">Recreational activities </t>
  </si>
  <si>
    <t>Support for persons with disabilities</t>
  </si>
  <si>
    <t>Support for care providers for children or elderly</t>
  </si>
  <si>
    <t>Childcare or elderly care support</t>
  </si>
  <si>
    <t>Educational support</t>
  </si>
  <si>
    <t>Legal services</t>
  </si>
  <si>
    <t>Vocational training</t>
  </si>
  <si>
    <t>Services for victims of violence</t>
  </si>
  <si>
    <t>Reproductive health services</t>
  </si>
  <si>
    <t>Livelihood services, excluding vocational training</t>
  </si>
  <si>
    <t>Percentage of households reporting services for women/girls are needed but not available in the area, by type of services broken down by households with at least one member with a reported and/or registered disability on the admin of macroregion</t>
  </si>
  <si>
    <t>Percentage of households reporting services for women/girls are needed but not available in the area, by type of services broken down by urbanity on the admin of macroregion</t>
  </si>
  <si>
    <t>Percentage of households reporting services for women/girls are needed but not available in the area, by type of services broken down by household size on the admin of macroregion</t>
  </si>
  <si>
    <t>Percentage of households reporting services for women/girls are needed but not available in the area, by type of services broken down by income per capita (quartiles) on the admin of macroregion</t>
  </si>
  <si>
    <t>Percentage of households reporting services for women/girls are needed but not available in the area, by type of services broken down by gender of head of household on the admin of macroregion</t>
  </si>
  <si>
    <t>Percentage of households reporting services for women/girls are needed but not available in the area, by type of services broken down by age of adults in the households on the admin of macroregion</t>
  </si>
  <si>
    <t>Percentage of households reporting services for women/girls are needed but not available in the area, by type of services broken down by households with at least one child (&lt;18 y.o.) on the admin of macroregion</t>
  </si>
  <si>
    <t>Percentage of households reporting services for women/girls are needed but not available in the area, by type of services broken down by displacement status of head of household on the admin of macroregion</t>
  </si>
  <si>
    <t>Percentage of households reporting services for women/girls are needed but not available in the area, by type of services broken down by IDP household on the admin of macroregion</t>
  </si>
  <si>
    <t>Percentage of households reporting services for women/girls are needed but not available in the area, by type of services broken down by proximity to frontline/border with Russian Federation on the admin of macroregion</t>
  </si>
  <si>
    <t>Percentage of households reporting services for women/girls are needed but not available in the area, by type of services broken down by caregiving status  on the admin of macroregion</t>
  </si>
  <si>
    <t>Percentage of households reporting services for women/girls are needed but not available in the area, by type of services broken down by gender of respondent on the admin of macroregion</t>
  </si>
  <si>
    <t>Percentage of households reporting services for women/girls are needed but not available in the area, by type of services broken down by age of respondents on the admin of macroregion</t>
  </si>
  <si>
    <t>Percentage of households reporting services for women/girls are needed but not available in the area, by type of services broken down by gender and age of respondents on the admin of macroregion</t>
  </si>
  <si>
    <t>Percentage of household reporting services for children are needed but not available in the area, by type of service on the admin of macroregion</t>
  </si>
  <si>
    <t>Recreational activities (outside school activities, child-friendly spaces, summer camps, etc.)</t>
  </si>
  <si>
    <t>Childcare (incl. nursery, pre-school)</t>
  </si>
  <si>
    <t>Mental health and psychosocial support</t>
  </si>
  <si>
    <t>Support for children with disabilities</t>
  </si>
  <si>
    <t>Social support for families</t>
  </si>
  <si>
    <t>Health services</t>
  </si>
  <si>
    <t>Legal services (status "children of war", birth certificates)</t>
  </si>
  <si>
    <t>Percentage of household reporting services for children are needed but not available in the area, by type of service broken down by households with at least one member with a reported and/or registered disability on the admin of macroregion</t>
  </si>
  <si>
    <t>Percentage of household reporting services for children are needed but not available in the area, by type of service broken down by urbanity on the admin of macroregion</t>
  </si>
  <si>
    <t>Percentage of household reporting services for children are needed but not available in the area, by type of service broken down by household size on the admin of macroregion</t>
  </si>
  <si>
    <t>Percentage of household reporting services for children are needed but not available in the area, by type of service broken down by income per capita (quartiles) on the admin of macroregion</t>
  </si>
  <si>
    <t>Percentage of household reporting services for children are needed but not available in the area, by type of service broken down by gender of head of household on the admin of macroregion</t>
  </si>
  <si>
    <t>Percentage of household reporting services for children are needed but not available in the area, by type of service broken down by age of adults in the households on the admin of macroregion</t>
  </si>
  <si>
    <t>Percentage of household reporting services for children are needed but not available in the area, by type of service broken down by households with at least one child (&lt;18 y.o.) on the admin of macroregion</t>
  </si>
  <si>
    <t>Percentage of household reporting services for children are needed but not available in the area, by type of service broken down by displacement status of head of household on the admin of macroregion</t>
  </si>
  <si>
    <t>Percentage of household reporting services for children are needed but not available in the area, by type of service broken down by IDP household on the admin of macroregion</t>
  </si>
  <si>
    <t>Percentage of household reporting services for children are needed but not available in the area, by type of service broken down by proximity to frontline/border with Russian Federation on the admin of macroregion</t>
  </si>
  <si>
    <t>Percentage of household reporting services for children are needed but not available in the area, by type of service broken down by caregiving status  on the admin of macroregion</t>
  </si>
  <si>
    <t>Percentage of household reporting services for children are needed but not available in the area, by type of service broken down by gender of respondent on the admin of macroregion</t>
  </si>
  <si>
    <t>Percentage of household reporting services for children are needed but not available in the area, by type of service broken down by age of respondents on the admin of macroregion</t>
  </si>
  <si>
    <t>Percentage of household reporting services for children are needed but not available in the area, by type of service broken down by gender and age of respondents on the admin of macroregion</t>
  </si>
  <si>
    <t>Percentage of households whose ability to work/access resources was affected by threats in the past 3 months on the admin of macroregion</t>
  </si>
  <si>
    <t>Yes, it affected the ability to work</t>
  </si>
  <si>
    <t>Yes, it affected the ability to seek safety</t>
  </si>
  <si>
    <t>Yes, it affected the ability to make free choices</t>
  </si>
  <si>
    <t>Yes, it affected the general access to livelihood</t>
  </si>
  <si>
    <t>Yes, it affected other activities needed to meet our needs</t>
  </si>
  <si>
    <t>Yes, it affected the ability to farm</t>
  </si>
  <si>
    <t>Yes, it affected the ability to collect water</t>
  </si>
  <si>
    <t>Percentage of households whose ability to work/access resources was affected by threats in the past 3 months broken down by households with at least one member with a reported and/or registered disability on the admin of macroregion</t>
  </si>
  <si>
    <t>Percentage of households whose ability to work/access resources was affected by threats in the past 3 months broken down by urbanity on the admin of macroregion</t>
  </si>
  <si>
    <t>Percentage of households whose ability to work/access resources was affected by threats in the past 3 months broken down by household size on the admin of macroregion</t>
  </si>
  <si>
    <t>Percentage of households whose ability to work/access resources was affected by threats in the past 3 months broken down by income per capita (quartiles) on the admin of macroregion</t>
  </si>
  <si>
    <t>Percentage of households whose ability to work/access resources was affected by threats in the past 3 months broken down by gender of head of household on the admin of macroregion</t>
  </si>
  <si>
    <t>Percentage of households whose ability to work/access resources was affected by threats in the past 3 months broken down by age of adults in the households on the admin of macroregion</t>
  </si>
  <si>
    <t>Percentage of households whose ability to work/access resources was affected by threats in the past 3 months broken down by households with at least one child (&lt;18 y.o.) on the admin of macroregion</t>
  </si>
  <si>
    <t>Percentage of households whose ability to work/access resources was affected by threats in the past 3 months broken down by displacement status of head of household on the admin of macroregion</t>
  </si>
  <si>
    <t>Percentage of households whose ability to work/access resources was affected by threats in the past 3 months broken down by IDP household on the admin of macroregion</t>
  </si>
  <si>
    <t>Percentage of households whose ability to work/access resources was affected by threats in the past 3 months broken down by proximity to frontline/border with Russian Federation on the admin of macroregion</t>
  </si>
  <si>
    <t>Percentage of households whose ability to work/access resources was affected by threats in the past 3 months broken down by caregiving status  on the admin of macroregion</t>
  </si>
  <si>
    <t>Percentage of households whose ability to work/access resources was affected by threats in the past 3 months broken down by gender of respondent on the admin of macroregion</t>
  </si>
  <si>
    <t>Percentage of households whose ability to work/access resources was affected by threats in the past 3 months broken down by age of respondents on the admin of macroregion</t>
  </si>
  <si>
    <t>Percentage of households whose ability to work/access resources was affected by threats in the past 3 months broken down by gender and age of respondents on the admin of macroregion</t>
  </si>
  <si>
    <t>Percentage of households whose social interactions/participation were limited by threats in the past 3 months on the admin of macroregion</t>
  </si>
  <si>
    <t>Yes, attending community events</t>
  </si>
  <si>
    <t>Yes, visiting friends</t>
  </si>
  <si>
    <t>Yes, visiting family members</t>
  </si>
  <si>
    <t>Yes, children's recreational activities</t>
  </si>
  <si>
    <t>Yes, participating in other social activities</t>
  </si>
  <si>
    <t>Yes, participating in decision making bodies</t>
  </si>
  <si>
    <t>Yes, joining groups or public gatherings</t>
  </si>
  <si>
    <t>Percentage of households whose social interactions/participation were limited by threats in the past 3 months broken down by households with at least one member with a reported and/or registered disability on the admin of macroregion</t>
  </si>
  <si>
    <t>Percentage of households whose social interactions/participation were limited by threats in the past 3 months broken down by urbanity on the admin of macroregion</t>
  </si>
  <si>
    <t>Percentage of households whose social interactions/participation were limited by threats in the past 3 months broken down by household size on the admin of macroregion</t>
  </si>
  <si>
    <t>Percentage of households whose social interactions/participation were limited by threats in the past 3 months broken down by income per capita (quartiles) on the admin of macroregion</t>
  </si>
  <si>
    <t>Percentage of households whose social interactions/participation were limited by threats in the past 3 months broken down by gender of head of household on the admin of macroregion</t>
  </si>
  <si>
    <t>Percentage of households whose social interactions/participation were limited by threats in the past 3 months broken down by age of adults in the households on the admin of macroregion</t>
  </si>
  <si>
    <t>Percentage of households whose social interactions/participation were limited by threats in the past 3 months broken down by households with at least one child (&lt;18 y.o.) on the admin of macroregion</t>
  </si>
  <si>
    <t>Percentage of households whose social interactions/participation were limited by threats in the past 3 months broken down by displacement status of head of household on the admin of macroregion</t>
  </si>
  <si>
    <t>Percentage of households whose social interactions/participation were limited by threats in the past 3 months broken down by IDP household on the admin of macroregion</t>
  </si>
  <si>
    <t>Percentage of households whose social interactions/participation were limited by threats in the past 3 months broken down by proximity to frontline/border with Russian Federation on the admin of macroregion</t>
  </si>
  <si>
    <t>Percentage of households whose social interactions/participation were limited by threats in the past 3 months broken down by caregiving status  on the admin of macroregion</t>
  </si>
  <si>
    <t>Percentage of households whose social interactions/participation were limited by threats in the past 3 months broken down by gender of respondent on the admin of macroregion</t>
  </si>
  <si>
    <t>Percentage of households whose social interactions/participation were limited by threats in the past 3 months broken down by age of respondents on the admin of macroregion</t>
  </si>
  <si>
    <t>Percentage of households whose social interactions/participation were limited by threats in the past 3 months broken down by gender and age of respondents on the admin of macroregion</t>
  </si>
  <si>
    <t>Percentage of households whose movement/access to public spaces changed due to threats in the past 3 months on the admin of macroregion</t>
  </si>
  <si>
    <t>No, we have no safety concerns when moving around in the community</t>
  </si>
  <si>
    <t>No, there have been no changes, but we feel unsafe moving in the community</t>
  </si>
  <si>
    <t>Men avoid going out in public for fear of conscription</t>
  </si>
  <si>
    <t>Women and girls avoid going out at night</t>
  </si>
  <si>
    <t>Household members avoid public places without a shelter nearby</t>
  </si>
  <si>
    <t>Men and boys avoid going out at night</t>
  </si>
  <si>
    <t>Women and girls avoid certain places because it is unsafe</t>
  </si>
  <si>
    <t>Men and boys avoid certain places because it is unsafe</t>
  </si>
  <si>
    <t>We take different routes to stay safe</t>
  </si>
  <si>
    <t>We avoid going to markets</t>
  </si>
  <si>
    <t>We avoid going to public offices</t>
  </si>
  <si>
    <t>We avoid fields or work areas</t>
  </si>
  <si>
    <t>Girls and boys avoiding ways to school</t>
  </si>
  <si>
    <t>Percentage of households whose movement/access to public spaces changed due to threats in the past 3 months broken down by households with at least one member with a reported and/or registered disability on the admin of macroregion</t>
  </si>
  <si>
    <t>Percentage of households whose movement/access to public spaces changed due to threats in the past 3 months broken down by urbanity on the admin of macroregion</t>
  </si>
  <si>
    <t>Percentage of households whose movement/access to public spaces changed due to threats in the past 3 months broken down by household size on the admin of macroregion</t>
  </si>
  <si>
    <t>Percentage of households whose movement/access to public spaces changed due to threats in the past 3 months broken down by income per capita (quartiles) on the admin of macroregion</t>
  </si>
  <si>
    <t>Percentage of households whose movement/access to public spaces changed due to threats in the past 3 months broken down by gender of head of household on the admin of macroregion</t>
  </si>
  <si>
    <t>Percentage of households whose movement/access to public spaces changed due to threats in the past 3 months broken down by age of adults in the households on the admin of macroregion</t>
  </si>
  <si>
    <t>Percentage of households whose movement/access to public spaces changed due to threats in the past 3 months broken down by households with at least one child (&lt;18 y.o.) on the admin of macroregion</t>
  </si>
  <si>
    <t>Percentage of households whose movement/access to public spaces changed due to threats in the past 3 months broken down by displacement status of head of household on the admin of macroregion</t>
  </si>
  <si>
    <t>Percentage of households whose movement/access to public spaces changed due to threats in the past 3 months broken down by IDP household on the admin of macroregion</t>
  </si>
  <si>
    <t>Percentage of households whose movement/access to public spaces changed due to threats in the past 3 months broken down by proximity to frontline/border with Russian Federation on the admin of macroregion</t>
  </si>
  <si>
    <t>Percentage of households whose movement/access to public spaces changed due to threats in the past 3 months broken down by caregiving status  on the admin of macroregion</t>
  </si>
  <si>
    <t>Percentage of households whose movement/access to public spaces changed due to threats in the past 3 months broken down by gender of respondent on the admin of macroregion</t>
  </si>
  <si>
    <t>Percentage of households whose movement/access to public spaces changed due to threats in the past 3 months broken down by age of respondents on the admin of macroregion</t>
  </si>
  <si>
    <t>Percentage of households whose movement/access to public spaces changed due to threats in the past 3 months broken down by gender and age of respondents on the admin of macroregion</t>
  </si>
  <si>
    <t>Percentage of households with children (&lt;18 y.o.) currently not living in the household on the admin of macroregion</t>
  </si>
  <si>
    <t>Percentage of households with children (&lt;18 y.o.) currently not living in the household broken down by IDP household on the admin of macroregion</t>
  </si>
  <si>
    <t>Percentage of households with children (&lt;18 y.o.) currently not living in the household broken down by proximity to frontline/border with Russian Federation on the admin of macroregion</t>
  </si>
  <si>
    <t>Percentage of households with children (&lt;18 y.o.) currently not living in the household, by reasons on the admin of macroregion</t>
  </si>
  <si>
    <t xml:space="preserve">Living with foster family </t>
  </si>
  <si>
    <t>Left the house to study</t>
  </si>
  <si>
    <t>Got separated during displacement/evacuation (including temporary separation)</t>
  </si>
  <si>
    <t>Married and left the house</t>
  </si>
  <si>
    <t>Living abroad</t>
  </si>
  <si>
    <t>Left the house to reside with non-family member (living with romantic partner, living with friends)</t>
  </si>
  <si>
    <t>Left the house to seek employment</t>
  </si>
  <si>
    <t>Arbitrarily detained</t>
  </si>
  <si>
    <t>Missing (left and no news)</t>
  </si>
  <si>
    <t>Stayed behind at the area of origin</t>
  </si>
  <si>
    <t>Percentage of households with children (&lt;18 y.o.) currently not living in the household, by reasons broken down by IDP household on the admin of macroregion</t>
  </si>
  <si>
    <t>Percentage of households with children (&lt;18 y.o.) currently not living in the household, by reasons broken down by proximity to frontline/border with Russian Federation on the admin of macroregion</t>
  </si>
  <si>
    <t>Average travel time to nearest functioning health facility (minutes) broken down by gender composition of household on the admin of macroregion</t>
  </si>
  <si>
    <t>hh_female</t>
  </si>
  <si>
    <t>hh_male</t>
  </si>
  <si>
    <t>hh_mixed</t>
  </si>
  <si>
    <t>Households with members with chronic conditions requiring regular medication broken down by gender composition of household on the admin of macroregion</t>
  </si>
  <si>
    <t>Households with members with chronic conditions requiring regular medication, by frequency of disrupted access to healthcare for chronic conditions in the past 3 months broken down by gender composition of household on the admin of macroregion</t>
  </si>
  <si>
    <t>Percentage of households by barriers preventing access to health care in the past 3 months broken down by gender composition of household on the admin of macroregion</t>
  </si>
  <si>
    <t>Percentage of households feeling emotionally unwell (2+ weeks in the past 6 months) broken down by gender composition of household on the admin of macroregion</t>
  </si>
  <si>
    <t>Percentage of households feeling emotionally unwell (2+ weeks in the past 6 months), by experienced difficulty in completing day-to-day activities broken down by gender composition of household on the admin of macroregion</t>
  </si>
  <si>
    <t>Percentage of households feeling emotionally unwell that received mental health or psychosocial support/services, by type broken down by gender composition of household on the admin of macroregion</t>
  </si>
  <si>
    <t>Percentage of households with at least one member with registered disability, by type broken down by gender composition of household on the admin of macroregion</t>
  </si>
  <si>
    <t>Percentage of households with at least one member that has difficulties seeing broken down by gender composition of household on the admin of macroregion</t>
  </si>
  <si>
    <t>Percentage of households with at least one member that has difficulties hearing broken down by gender composition of household on the admin of macroregion</t>
  </si>
  <si>
    <t>Percentage of households with at least one member that has difficulties walking broken down by gender composition of household on the admin of macroregion</t>
  </si>
  <si>
    <t>Percentage of households with at least one member that has difficulties concentrating broken down by gender composition of household on the admin of macroregion</t>
  </si>
  <si>
    <t>Percentage of households with at least one member that has difficulties performing self-care broken down by gender composition of household on the admin of macroregion</t>
  </si>
  <si>
    <t>Percentage of households with at least one member that has difficulties communicating broken down by gender composition of household on the admin of macroregion</t>
  </si>
  <si>
    <t>Percentage of households with school-aged children (3-17 y.o.) whose education was disrupted monthly by prolonged or repetitive air alerts during the 2024-2025 school year broken down by gender composition of household on the admin of macroregion</t>
  </si>
  <si>
    <t>Percentage of households by time adults spend on supporting children's education broken down by gender composition of household on the admin of macroregion</t>
  </si>
  <si>
    <t>Households reporting expenditures in the last 30 days, by type broken down by gender composition of household on the admin of macroregion</t>
  </si>
  <si>
    <t>Household Domestic Expenditure over the last 3 days, by type and amount by gender composition of household</t>
  </si>
  <si>
    <t>Monthly household expenditures on heating last winter broken down by gender composition of household on the admin of macroregion</t>
  </si>
  <si>
    <t>Households reporting  long term expenditures in the past 6 months, by type broken down by gender composition of household on the admin of macroregion</t>
  </si>
  <si>
    <t>Household Domestic Expenditure over the last 6 months, by type and amount by gender composition of household</t>
  </si>
  <si>
    <t>Total monthly expenditures per capita broken down by gender composition of household on the admin of macroregion</t>
  </si>
  <si>
    <t>Percentage of households reporting completely lacking essential non-food items in the last 3 months, by type broken down by gender composition of household on the admin of macroregion</t>
  </si>
  <si>
    <t>Households reporting primary income sources over the last 30 days, by type of income source broken down by gender composition of household on the admin of macroregion</t>
  </si>
  <si>
    <t>Household income per capita over the 3 days prior to data collection, by types of income source by gender composition of household</t>
  </si>
  <si>
    <t>Total monthly income per capita broken down by gender composition of household on the admin of macroregion</t>
  </si>
  <si>
    <t>Households receiving income from remittances/family and friends in Ukraine/community members, by regularity broken down by gender composition of household on the admin of macroregion</t>
  </si>
  <si>
    <t>Percentage of households who have become indebted since 2024 broken down by gender composition of household on the admin of macroregion</t>
  </si>
  <si>
    <t>Percentage of households who are currently indebted, by reason broken down by gender composition of household on the admin of macroregion</t>
  </si>
  <si>
    <t>Percentage of households earning an income from own production, by challenges experienced broken down by gender composition of household on the admin of macroregion</t>
  </si>
  <si>
    <t>Households adopting Livelihood Coping Strategies, by strategy by gender composition of household</t>
  </si>
  <si>
    <t>Households using Livelihood Coping Strategies, by main reason broken down by gender composition of household on the admin of macroregion</t>
  </si>
  <si>
    <t>Livelihood Coping Strategy - Essential Needs (LCS-EN) broken down by gender composition of household on the admin of macroregion</t>
  </si>
  <si>
    <t>Households exposed to armed violence/artillery shelling in the last 3 months broken down by gender composition of household on the admin of macroregion</t>
  </si>
  <si>
    <t>Households exposed to armed violence/artillery shelling in the last 3 months, by frequency  broken down by gender composition of household on the admin of macroregion</t>
  </si>
  <si>
    <t>Households exposed to drone/missile attacks in last 3 months broken down by gender composition of household on the admin of macroregion</t>
  </si>
  <si>
    <t>Households exposed to drone/missile attacks in past 3 months, by frequency broken down by gender composition of household on the admin of macroregion</t>
  </si>
  <si>
    <t>Households exposed to other safety and security incidents in the last 3 months, by type broken down by gender composition of household on the admin of macroregion</t>
  </si>
  <si>
    <t>Households reporting being concerned about having any HH member engaging in risky activities due to economic needs, by frequency broken down by gender composition of household on the admin of macroregion</t>
  </si>
  <si>
    <t>Households reporting being concerned about being forced to flee, by frequency broken down by gender composition of household on the admin of macroregion</t>
  </si>
  <si>
    <t>Households reporting being concerned about violence in the community, not related to the conflict, by frequency broken down by gender composition of household on the admin of macroregion</t>
  </si>
  <si>
    <t>Households reporting being concerned about persecution/discrimination, by frequency broken down by gender composition of household on the admin of macroregion</t>
  </si>
  <si>
    <t>Households reporting being concerned about kidnapping/detention/abduction, by frequency broken down by gender composition of household on the admin of macroregion</t>
  </si>
  <si>
    <t>Households by reported safety and security concerns for WOMEN in the area, by concern broken down by gender composition of household on the admin of macroregion</t>
  </si>
  <si>
    <t>Percentage of female respondents reporting that at least one female member of their household felt unsafe walking in their community, by frequency broken down by gender composition of household on the admin of macroregion</t>
  </si>
  <si>
    <t>Percentage of households reporting areas/places that women and girls usually avoid, by type broken down by gender composition of household on the admin of macroregion</t>
  </si>
  <si>
    <t>Households by reported safety and security concerns for MEN in the area, by concern broken down by gender composition of household on the admin of macroregion</t>
  </si>
  <si>
    <t>Households by reported safety and security concerns for CHILDREN in the area, by concern broken down by gender composition of household on the admin of macroregion</t>
  </si>
  <si>
    <t>Housing/land/property (HLP) concerns of households, by concern broken down by gender composition of household on the admin of macroregion</t>
  </si>
  <si>
    <t>Households by presence of explosive ordnance present in community broken down by gender composition of household on the admin of macroregion</t>
  </si>
  <si>
    <t>Households reporting that explosive ordnances affect the livelihoods of people in the community broken down by gender composition of household on the admin of macroregion</t>
  </si>
  <si>
    <t>Households by frequency of training/awareness on safe behaviours towards Explosive Ordnances broken down by gender composition of household on the admin of macroregion</t>
  </si>
  <si>
    <t>Percentage of households by current shelter situation broken down by gender composition of household on the admin of macroregion</t>
  </si>
  <si>
    <t>Percentage of households by current shelter type  broken down by gender composition of household on the admin of macroregion</t>
  </si>
  <si>
    <t>Shelter size (squared meters) broken down by gender composition of household on the admin of macroregion</t>
  </si>
  <si>
    <t>Number of individuals sharing a shelter broken down by gender composition of household on the admin of macroregion</t>
  </si>
  <si>
    <t>Percentage of households by occupancy arrangement of current shelter broken down by gender composition of household on the admin of macroregion</t>
  </si>
  <si>
    <t>Percentage of households feeling at risk of eviction within the next 6 months broken down by gender composition of household on the admin of macroregion</t>
  </si>
  <si>
    <t>Percentage of households currently threatened with eviction broken down by gender composition of household on the admin of macroregion</t>
  </si>
  <si>
    <t>Percentage of households by current shelter issues that were NOT caused by the war, by issue broken down by gender composition of household on the admin of macroregion</t>
  </si>
  <si>
    <t>Percentage of households reporting damage to current shelter caused by the war since February 2022 broken down by gender composition of household on the admin of macroregion</t>
  </si>
  <si>
    <t>Percentage of households reporting that the damage to the current shelter caused by the war was REPAIRED broken down by gender composition of household on the admin of macroregion</t>
  </si>
  <si>
    <t>Percentage of households reporting that the damage to current shelter was not repaired, by reason  broken down by gender composition of household on the admin of macroregion</t>
  </si>
  <si>
    <t>Percentage of households reporting damage to current shelter caused by the war, by severity broken down by gender composition of household on the admin of macroregion</t>
  </si>
  <si>
    <t>Percentage of households reporting enough space/essential items so that the members of the households can cook broken down by gender composition of household on the admin of macroregion</t>
  </si>
  <si>
    <t>Percentage of households reporting enough space/essential items so that the members of the households can sleep broken down by gender composition of household on the admin of macroregion</t>
  </si>
  <si>
    <t>Percentage of households reporting enough space/essential items so that the members of the households can store food broken down by gender composition of household on the admin of macroregion</t>
  </si>
  <si>
    <t>Households by main heating source in 2024-2025 winter season broken down by gender composition of household on the admin of macroregion</t>
  </si>
  <si>
    <t>Households by main source of lighting broken down by gender composition of household on the admin of macroregion</t>
  </si>
  <si>
    <t>Households by issue faced with electricity broken down by gender composition of household on the admin of macroregion</t>
  </si>
  <si>
    <t>Households experiencing utility interruptions in the past three months, by utility type broken down by gender composition of household on the admin of macroregion</t>
  </si>
  <si>
    <t>Households by access to alternative source of power broken down by gender composition of household on the admin of macroregion</t>
  </si>
  <si>
    <t>Households with access to the internet in the past 4 weeks, by frequency broken down by gender composition of household on the admin of macroregion</t>
  </si>
  <si>
    <t>Households by main source of drinking water, by source broken down by gender composition of household on the admin of macroregion</t>
  </si>
  <si>
    <t>Households where main source of drinking water is off premises, by  time taken to fetch water from main source of drinking water in minutes broken down by gender composition of household on the admin of macroregion</t>
  </si>
  <si>
    <t>Households by acceptability of water in the past 4 weeks (prior to treatment) broken down by gender composition of household on the admin of macroregion</t>
  </si>
  <si>
    <t>Households who treat drinking water from the main source broken down by gender composition of household on the admin of macroregion</t>
  </si>
  <si>
    <t>Households by days without sufficient drinking water quantity in the past 4 weeks broken down by gender composition of household on the admin of macroregion</t>
  </si>
  <si>
    <t>Households by main source of water for domestic purposes broken down by gender composition of household on the admin of macroregion</t>
  </si>
  <si>
    <t>Households by days without sufficient water for domestic purposes quantity in the past 4 weeks broken down by gender composition of household on the admin of macroregion</t>
  </si>
  <si>
    <t>Percentage of households reporting enough space/essential items so that the members of the households can perform personal hygiene broken down by gender composition of household on the admin of macroregion</t>
  </si>
  <si>
    <t>Households by main handwashing facility broken down by gender composition of household on the admin of macroregion</t>
  </si>
  <si>
    <t>Households having access to soap for washing hands broken down by gender composition of household on the admin of macroregion</t>
  </si>
  <si>
    <t>Households by main toilet facility broken down by gender composition of household on the admin of macroregion</t>
  </si>
  <si>
    <t>Households sharing main toilet facility broken down by gender composition of household on the admin of macroregion</t>
  </si>
  <si>
    <t>Households sharing main toilet facility by number of households sharing that facility broken down by gender composition of household on the admin of macroregion</t>
  </si>
  <si>
    <t>Households facing issues with pumping off sewage/septic tank in the past 12 months, by issue broken down by gender composition of household on the admin of macroregion</t>
  </si>
  <si>
    <t>Percentage of households who had to go without washing hands after dirty activities in the past 4 weeks, by frequency broken down by gender composition of household on the admin of macroregion</t>
  </si>
  <si>
    <t>Percentage of households who worried about not having enough water to cover all needs in the past 4 weeks, by frequency broken down by gender composition of household on the admin of macroregion</t>
  </si>
  <si>
    <t>Percentage of households who had to change plans due to problems with water in the past 4 weeks, by frequency broken down by gender composition of household on the admin of macroregion</t>
  </si>
  <si>
    <t>Reduced Coping Strategies Index (rCSI) broken down by gender composition of household on the admin of macroregion</t>
  </si>
  <si>
    <t>Food Consumption Score broken down by gender composition of household on the admin of macroregion</t>
  </si>
  <si>
    <t>Households adopting Consumption-based Coping Strategies, by strategy by gender composition of household</t>
  </si>
  <si>
    <t>Households reporting most significant challenges their household currently faces broken down by gender composition of household on the admin of macroregion</t>
  </si>
  <si>
    <t>Households reporting challenges, by type of support they would like to receive broken down by gender composition of household on the admin of macroregion</t>
  </si>
  <si>
    <t>Households reporting challenges, by modality of assistance they would like to receive broken down by gender composition of household on the admin of macroregion</t>
  </si>
  <si>
    <t>Households by last time aid was received broken down by gender composition of household on the admin of macroregion</t>
  </si>
  <si>
    <t>Households reporting barriers in accessing to aid in the past 12 months, by barrier broken down by gender composition of household on the admin of macroregion</t>
  </si>
  <si>
    <t>Households who received aid, by aid satisfaction in the past 12 months broken down by gender composition of household on the admin of macroregion</t>
  </si>
  <si>
    <t>Households dissatisfied with aid received, by reason broken down by gender composition of household on the admin of macroregion</t>
  </si>
  <si>
    <t>Percentage of households reporting reliable information channels to get information about aid, by channel broken down by gender composition of household on the admin of macroregion</t>
  </si>
  <si>
    <t>Percentage of households utilizing complaint and feedback channels, by type broken down by gender composition of household on the admin of macroregion</t>
  </si>
  <si>
    <t>Percentage of households receiving a response through complaint and feedback channels broken down by gender composition of household on the admin of macroregion</t>
  </si>
  <si>
    <t>Percentage of household who have experienced cuts in  government assistance in the past 6 months broken down by gender composition of household on the admin of macroregion</t>
  </si>
  <si>
    <t>Percentage of households unable to obtain needed legal assistance, by type of assistance broken down by gender composition of household on the admin of macroregion</t>
  </si>
  <si>
    <t>Percentage of households unable to obtain needed social and administrative services, by type of services broken down by gender composition of household on the admin of macroregion</t>
  </si>
  <si>
    <t>Percentage of households reporting services for women/girls are needed but not available in the area, by type of services broken down by gender composition of household on the admin of macroregion</t>
  </si>
  <si>
    <t>Percentage of household reporting services for children are needed but not available in the area, by type of service broken down by gender composition of household on the admin of macroregion</t>
  </si>
  <si>
    <t>Percentage of households whose ability to work/access resources was affected by threats in the past 3 months broken down by gender composition of household on the admin of macroregion</t>
  </si>
  <si>
    <t>Percentage of households whose social interactions/participation were limited by threats in the past 3 months broken down by gender composition of household on the admin of macroregion</t>
  </si>
  <si>
    <t>Percentage of households whose movement/access to public spaces changed due to threats in the past 3 months broken down by gender composition of household on the admin of macroregion</t>
  </si>
  <si>
    <t>Percentage of households with children (&lt;18 y.o.) currently not living in the household broken down by gender composition of household on the admin of macroregion</t>
  </si>
  <si>
    <t>Percentage of households with children (&lt;18 y.o.) currently not living in the household, by reasons broken down by gender composition of household on the admin of macroregion</t>
  </si>
  <si>
    <t>Percentage of households who were evacuated in the past 6 months broken down by gender composition of household on the admin of macroregion</t>
  </si>
  <si>
    <t>Percentage of returnee households by reasons for return to their habitual place of residence broken down by gender composition of household on the admin of macroregion</t>
  </si>
  <si>
    <t>Households by gender composition on the admin of macroregion</t>
  </si>
  <si>
    <t>The 2025 MSNA employed a quantitative methodology to collect household-level data using randomized Computer-Assisted Telephone Interview (CATI) surveys. In this approach, trained interviewers conducted voice-call interviews with respondents selected from a randomized list of phone numbers, aiming to reach predetermined quotas in each stratum. Data collection was carried out by Kyiv International Institute of Sociology (KIIS).
The 2025 MSNA adopted stratified random sampling with geographic stratifications. REACH developed the sampling approach to balance constraints related to timeline, budget, and resources, while ensuring nationwide coverage. At the same time, the design reflects the re-prioritization of humanitarian planning in Ukraine, which focuses heavily on identifying the most vulnerable households and planning activities near the front line. To provide granular data on humanitarian needs in frontline and border areas, 18 strata were defined to support this balanced approach.
Households in non-frontline oblasts (North, West, and Centre) were stratified at the macro-region level, while Kyiv was treated as a separate stratum due to its population size. Households in frontline oblasts were stratified into two groups: (i) areas within 50 km of the frontline or border with the Russian Federation, and (ii) areas beyond 50 km from the frontline or border with the Russian Federation. In Odeska, Zaporizka, and Khersonska oblasts, stratification was applied at the oblast level, as only a few settlements in Odeska fall within the 50 km zone, while the non-occupied areas of Zaporizka and Khersonska are located almost entirely within 50 km of the frontline.
REACH conducted 2,813 household-level CATI interviews. The sampling approach ensured representativeness at least at 95% confidence level (CL) and ±9% MoE.
• West, North, Centre, Kyiv, Dnipropetrovska (0–50 km), Donetska, Mykolaivska (0–50 km), and Zaporizka oblasts: representative at the 95% confidence level (CL) with an ±8% margin of error (MoE).
• Chernihivska (0–50 km and beyond 50 km), Dnipropetrovska (beyond 50 km), Kharkivska (beyond 50 km), Mykolaivska (beyond 50 km), Odeska (beyond 50 km), Sumska (beyond 50 km), Kherson oblast: representative at 95% CL with a ±9% MoE.
• Kharkivska (0–50 km): representative at 95% CL with a ±6% MoE.
• Sumska (0–50 km): representative at 95% CL with a ±7% MoE.
Differences in the margin of error reflect adjustments made during data collection to address challenges linked to the research design and identification of households through CATI. For additional details, including methodological limitations, please refer to the MSNA Terms of Reference: https://repository.impact-initiatives.org/document/impact/3852ffde/REACH_UKR_Terms-of-Reference_UKR2502_June-2025_external.pdf</t>
  </si>
  <si>
    <r>
      <t xml:space="preserve">This REACH product presents </t>
    </r>
    <r>
      <rPr>
        <b/>
        <sz val="11"/>
        <color rgb="FF000000"/>
        <rFont val="Arial Narrow"/>
        <family val="2"/>
      </rPr>
      <t>frequency tables of 2025 MSNA indicators at the macroregion level.</t>
    </r>
    <r>
      <rPr>
        <sz val="11"/>
        <color rgb="FF000000"/>
        <rFont val="Arial Narrow"/>
        <family val="2"/>
      </rPr>
      <t xml:space="preserve"> The frequency tables are grouped by </t>
    </r>
    <r>
      <rPr>
        <b/>
        <sz val="11"/>
        <color rgb="FF000000"/>
        <rFont val="Arial Narrow"/>
        <family val="2"/>
      </rPr>
      <t xml:space="preserve">Sector and Indicator, </t>
    </r>
    <r>
      <rPr>
        <sz val="11"/>
        <color rgb="FF000000"/>
        <rFont val="Arial Narrow"/>
        <family val="2"/>
      </rPr>
      <t xml:space="preserve">and can be navigated using the relevant link in the "Table of Content" tab. Frequency tables include the following demographic and geographic disaggregations:
</t>
    </r>
    <r>
      <rPr>
        <b/>
        <sz val="11"/>
        <color rgb="FF000000"/>
        <rFont val="Arial Narrow"/>
        <family val="2"/>
      </rPr>
      <t xml:space="preserve">
By age of household members:</t>
    </r>
    <r>
      <rPr>
        <sz val="11"/>
        <color rgb="FF000000"/>
        <rFont val="Arial Narrow"/>
        <family val="2"/>
      </rPr>
      <t xml:space="preserve"> &lt;6 y.o. household members; 6–17 years old HH members, 18–29 years old HH members, 30–49 years old HH members, 50–64 years old HH members, 65+ years old HH members
</t>
    </r>
    <r>
      <rPr>
        <b/>
        <sz val="11"/>
        <color rgb="FF000000"/>
        <rFont val="Arial Narrow"/>
        <family val="2"/>
      </rPr>
      <t xml:space="preserve">
By gender of household members</t>
    </r>
    <r>
      <rPr>
        <sz val="11"/>
        <color rgb="FF000000"/>
        <rFont val="Arial Narrow"/>
        <family val="2"/>
      </rPr>
      <t xml:space="preserve">: Men, Women, Other (non-defined)
</t>
    </r>
    <r>
      <rPr>
        <b/>
        <sz val="11"/>
        <color rgb="FF000000"/>
        <rFont val="Arial Narrow"/>
        <family val="2"/>
      </rPr>
      <t xml:space="preserve">
By HHs with at least one member with a reported or registered disability:</t>
    </r>
    <r>
      <rPr>
        <sz val="11"/>
        <color rgb="FF000000"/>
        <rFont val="Arial Narrow"/>
        <family val="2"/>
      </rPr>
      <t xml:space="preserve"> HHs with at least one member with a reported and/or registered disability, HHs without members with a reported and/or registered disability
</t>
    </r>
    <r>
      <rPr>
        <b/>
        <sz val="11"/>
        <color rgb="FF000000"/>
        <rFont val="Arial Narrow"/>
        <family val="2"/>
      </rPr>
      <t xml:space="preserve">
By rural/urban:</t>
    </r>
    <r>
      <rPr>
        <sz val="11"/>
        <color rgb="FF000000"/>
        <rFont val="Arial Narrow"/>
        <family val="2"/>
      </rPr>
      <t xml:space="preserve"> Rural HHs, Urban HHs
</t>
    </r>
    <r>
      <rPr>
        <b/>
        <sz val="11"/>
        <color rgb="FF000000"/>
        <rFont val="Arial Narrow"/>
        <family val="2"/>
      </rPr>
      <t xml:space="preserve">
By household size:</t>
    </r>
    <r>
      <rPr>
        <sz val="11"/>
        <color rgb="FF000000"/>
        <rFont val="Arial Narrow"/>
        <family val="2"/>
      </rPr>
      <t xml:space="preserve"> Single-member HHs, HHs with 2–4 members, HHs with 5+ members
</t>
    </r>
    <r>
      <rPr>
        <b/>
        <sz val="11"/>
        <color rgb="FF000000"/>
        <rFont val="Arial Narrow"/>
        <family val="2"/>
      </rPr>
      <t xml:space="preserve">
By HH income per capita:</t>
    </r>
    <r>
      <rPr>
        <sz val="11"/>
        <color rgb="FF000000"/>
        <rFont val="Arial Narrow"/>
        <family val="2"/>
      </rPr>
      <t xml:space="preserve"> HHs with 0–4750 UAH income per capita, HHs with 4750–7667 UAH income per capita, HHs with 7667–13000 UAH income per capita, HHs with 13000+ UAH income per capita
</t>
    </r>
    <r>
      <rPr>
        <b/>
        <sz val="11"/>
        <color rgb="FF000000"/>
        <rFont val="Arial Narrow"/>
        <family val="2"/>
      </rPr>
      <t xml:space="preserve">
By gender of head of household: </t>
    </r>
    <r>
      <rPr>
        <sz val="11"/>
        <color rgb="FF000000"/>
        <rFont val="Arial Narrow"/>
        <family val="2"/>
      </rPr>
      <t xml:space="preserve">Single female-headed HHs, Single male-headed HHs, Joint-headed HHs
</t>
    </r>
    <r>
      <rPr>
        <b/>
        <sz val="11"/>
        <color rgb="FF000000"/>
        <rFont val="Arial Narrow"/>
        <family val="2"/>
      </rPr>
      <t xml:space="preserve">
By age of adults in the household: </t>
    </r>
    <r>
      <rPr>
        <sz val="11"/>
        <color rgb="FF000000"/>
        <rFont val="Arial Narrow"/>
        <family val="2"/>
      </rPr>
      <t xml:space="preserve">Elderly HHs (all adults aged 60+ y.o.), Mixed HHs (including adults both older and younger than 60 y.o.), Non-elderly HHs (all adults under 60 y.o.)
</t>
    </r>
    <r>
      <rPr>
        <b/>
        <sz val="11"/>
        <color rgb="FF000000"/>
        <rFont val="Arial Narrow"/>
        <family val="2"/>
      </rPr>
      <t xml:space="preserve">
By IDP household status: </t>
    </r>
    <r>
      <rPr>
        <sz val="11"/>
        <color rgb="FF000000"/>
        <rFont val="Arial Narrow"/>
        <family val="2"/>
      </rPr>
      <t xml:space="preserve">IDP HHs, Non-IDP HHs </t>
    </r>
    <r>
      <rPr>
        <u/>
        <sz val="11"/>
        <color rgb="FF000000"/>
        <rFont val="Arial Narrow"/>
        <family val="2"/>
      </rPr>
      <t xml:space="preserve">*Please note that because the MSNA is a household survey, displacement status was asked at the head of household level. If there were two heads of households, the enumerators asked about the experience of the head of household with displacement. If both heads of households had displacement experiences and these experiences were different, the enumerator asked about the head of household's displacement which most impacted the household being surveyed.
</t>
    </r>
    <r>
      <rPr>
        <b/>
        <sz val="11"/>
        <color rgb="FF000000"/>
        <rFont val="Arial Narrow"/>
        <family val="2"/>
      </rPr>
      <t xml:space="preserve">
By proximity to frontline/border with Russian Federation: </t>
    </r>
    <r>
      <rPr>
        <sz val="11"/>
        <color rgb="FF000000"/>
        <rFont val="Arial Narrow"/>
        <family val="2"/>
      </rPr>
      <t>HHs within 0–20 km from the frontline/Russian border; HHs within 21–50 km from frontline/Russian border; HHs further than 51 km from frontline/Russian border;</t>
    </r>
    <r>
      <rPr>
        <u/>
        <sz val="11"/>
        <color rgb="FF000000"/>
        <rFont val="Arial Narrow"/>
        <family val="2"/>
      </rPr>
      <t xml:space="preserve">*The disaggregation by proximity to the frontline categorises households based on the location of hromadas and distance from the frontline/Russian border. This categorization aligns with the units of analysis defined by OCHA for the 2026 HNRP, using the frontline as of 2 July 2025. 
</t>
    </r>
    <r>
      <rPr>
        <b/>
        <sz val="11"/>
        <color rgb="FF000000"/>
        <rFont val="Arial Narrow"/>
        <family val="2"/>
      </rPr>
      <t xml:space="preserve">
By age of school-aged children:</t>
    </r>
    <r>
      <rPr>
        <sz val="11"/>
        <color rgb="FF000000"/>
        <rFont val="Arial Narrow"/>
        <family val="2"/>
      </rPr>
      <t xml:space="preserve"> 3–5 years old, 6–9 years old, 10–14 years old, 15–17 years old
</t>
    </r>
    <r>
      <rPr>
        <b/>
        <sz val="11"/>
        <color rgb="FF000000"/>
        <rFont val="Arial Narrow"/>
        <family val="2"/>
      </rPr>
      <t xml:space="preserve">
By presence of children</t>
    </r>
    <r>
      <rPr>
        <sz val="11"/>
        <color rgb="FF000000"/>
        <rFont val="Arial Narrow"/>
        <family val="2"/>
      </rPr>
      <t xml:space="preserve">: HHs with children (&lt;18 y.o.), HHs without children
</t>
    </r>
    <r>
      <rPr>
        <b/>
        <sz val="11"/>
        <color rgb="FF000000"/>
        <rFont val="Arial Narrow"/>
        <family val="2"/>
      </rPr>
      <t xml:space="preserve">
By caregiving status</t>
    </r>
    <r>
      <rPr>
        <sz val="11"/>
        <color rgb="FF000000"/>
        <rFont val="Arial Narrow"/>
        <family val="2"/>
      </rPr>
      <t xml:space="preserve">: Single female caregiver HHs, Single male caregiver HHs, Joint caregivers HHs, Non-caregiver HHs (no children)
</t>
    </r>
    <r>
      <rPr>
        <b/>
        <sz val="11"/>
        <color rgb="FF000000"/>
        <rFont val="Arial Narrow"/>
        <family val="2"/>
      </rPr>
      <t xml:space="preserve">
By employment age of household members</t>
    </r>
    <r>
      <rPr>
        <sz val="11"/>
        <color rgb="FF000000"/>
        <rFont val="Arial Narrow"/>
        <family val="2"/>
      </rPr>
      <t xml:space="preserve">: 16-17 y.o., 18–29 y.o., 30–44 y.o., 45–59 y.o., 60+ y.o.
</t>
    </r>
    <r>
      <rPr>
        <b/>
        <sz val="11"/>
        <color rgb="FF000000"/>
        <rFont val="Arial Narrow"/>
        <family val="2"/>
      </rPr>
      <t xml:space="preserve">
By gender of respondent:</t>
    </r>
    <r>
      <rPr>
        <sz val="11"/>
        <color rgb="FF000000"/>
        <rFont val="Arial Narrow"/>
        <family val="2"/>
      </rPr>
      <t xml:space="preserve"> Men-respondents, Women-respondents, Other respondents
</t>
    </r>
    <r>
      <rPr>
        <b/>
        <sz val="11"/>
        <color rgb="FF000000"/>
        <rFont val="Arial Narrow"/>
        <family val="2"/>
      </rPr>
      <t xml:space="preserve">
By age of respondents:</t>
    </r>
    <r>
      <rPr>
        <sz val="11"/>
        <color rgb="FF000000"/>
        <rFont val="Arial Narrow"/>
        <family val="2"/>
      </rPr>
      <t xml:space="preserve"> 18–29 y.o. respondents, 30–44 y.o. respondents, 45–59 y.o. respondents, 60+ y.o. respondents
</t>
    </r>
    <r>
      <rPr>
        <b/>
        <sz val="11"/>
        <color rgb="FF000000"/>
        <rFont val="Arial Narrow"/>
        <family val="2"/>
      </rPr>
      <t xml:space="preserve">
By gender composition of household:</t>
    </r>
    <r>
      <rPr>
        <sz val="11"/>
        <color rgb="FF000000"/>
        <rFont val="Arial Narrow"/>
        <family val="2"/>
      </rPr>
      <t xml:space="preserve"> Female HHs (only women adults), Male HHs (only men adults), Mixed HHs (both men and women adult members)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</si>
</sst>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color rgb="FFFFFFFF"/>
      <name val="Calibri"/>
      <family val="2"/>
      <scheme val="minor"/>
    </font>
    <font>
      <sz val="10"/>
      <color theme="1"/>
      <name val="Calibri"/>
      <family val="2"/>
      <scheme val="minor"/>
    </font>
    <font>
      <sz val="11"/>
      <color theme="1"/>
      <name val="Calibri"/>
      <family val="2"/>
      <scheme val="minor"/>
    </font>
    <font>
      <b/>
      <sz val="24"/>
      <color rgb="FF000000"/>
      <name val="Arial Narrow"/>
      <family val="2"/>
    </font>
    <font>
      <b/>
      <sz val="12"/>
      <color rgb="FFFFFFFF"/>
      <name val="Arial Narrow"/>
      <family val="2"/>
    </font>
    <font>
      <b/>
      <sz val="11"/>
      <color rgb="FF000000"/>
      <name val="Arial Narrow"/>
      <family val="2"/>
    </font>
    <font>
      <sz val="11"/>
      <color rgb="FF000000"/>
      <name val="Arial Narrow"/>
      <family val="2"/>
    </font>
    <font>
      <u/>
      <sz val="11"/>
      <color rgb="FF000000"/>
      <name val="Arial Narrow"/>
      <family val="2"/>
    </font>
    <font>
      <sz val="10"/>
      <color rgb="FF000000"/>
      <name val="Arial Narrow"/>
      <family val="2"/>
    </font>
    <font>
      <sz val="11"/>
      <color rgb="FF000000"/>
      <name val="Aptos"/>
      <family val="2"/>
    </font>
    <font>
      <b/>
      <sz val="11"/>
      <color rgb="FFFFFFFF"/>
      <name val="Arial Narrow"/>
      <family val="2"/>
    </font>
    <font>
      <sz val="8"/>
      <color rgb="FF000000"/>
      <name val="Aptos"/>
      <family val="2"/>
    </font>
    <font>
      <sz val="11"/>
      <color rgb="FF000000"/>
      <name val="Aptos Narrow"/>
      <family val="2"/>
    </font>
    <font>
      <b/>
      <sz val="12"/>
      <color rgb="FFFFFFFF"/>
      <name val="Calibri"/>
      <family val="2"/>
      <scheme val="minor"/>
    </font>
    <font>
      <b/>
      <sz val="11"/>
      <color rgb="FF0000FF"/>
      <name val="Calibri"/>
      <family val="2"/>
      <scheme val="minor"/>
    </font>
    <font>
      <b/>
      <sz val="20"/>
      <color rgb="FF000000"/>
      <name val="Arial Narrow"/>
      <family val="2"/>
    </font>
    <font>
      <b/>
      <sz val="10"/>
      <color theme="1"/>
      <name val="Calibri"/>
      <family val="2"/>
      <scheme val="minor"/>
    </font>
    <font>
      <b/>
      <sz val="10"/>
      <color rgb="FFE84A4A"/>
      <name val="Calibri"/>
      <family val="2"/>
      <scheme val="minor"/>
    </font>
    <font>
      <b/>
      <sz val="10"/>
      <color rgb="FF000000"/>
      <name val="Calibri"/>
      <family val="2"/>
      <scheme val="minor"/>
    </font>
    <font>
      <b/>
      <sz val="10"/>
      <color rgb="FFFF0000"/>
      <name val="Calibri"/>
      <family val="2"/>
      <scheme val="minor"/>
    </font>
    <font>
      <u/>
      <sz val="10"/>
      <color theme="1"/>
      <name val="Calibri"/>
      <family val="2"/>
      <scheme val="minor"/>
    </font>
    <font>
      <b/>
      <u/>
      <sz val="14"/>
      <color theme="1"/>
      <name val="Calibri"/>
      <family val="2"/>
      <scheme val="minor"/>
    </font>
    <font>
      <b/>
      <sz val="11"/>
      <color theme="1"/>
      <name val="Calibri"/>
      <family val="2"/>
      <scheme val="minor"/>
    </font>
  </fonts>
  <fills count="9">
    <fill>
      <patternFill patternType="none"/>
    </fill>
    <fill>
      <patternFill patternType="gray125"/>
    </fill>
    <fill>
      <patternFill patternType="solid">
        <fgColor rgb="FFFF5B5B"/>
        <bgColor indexed="64"/>
      </patternFill>
    </fill>
    <fill>
      <patternFill patternType="solid">
        <fgColor rgb="FFFFC7CE"/>
        <bgColor indexed="64"/>
      </patternFill>
    </fill>
    <fill>
      <patternFill patternType="solid">
        <fgColor rgb="FFFFFFFF"/>
        <bgColor rgb="FF000000"/>
      </patternFill>
    </fill>
    <fill>
      <patternFill patternType="solid">
        <fgColor rgb="FFEE5859"/>
        <bgColor rgb="FF000000"/>
      </patternFill>
    </fill>
    <fill>
      <patternFill patternType="solid">
        <fgColor rgb="FFD9D9D9"/>
        <bgColor rgb="FF000000"/>
      </patternFill>
    </fill>
    <fill>
      <patternFill patternType="solid">
        <fgColor rgb="FFEE5859"/>
        <bgColor rgb="FFD63F40"/>
      </patternFill>
    </fill>
    <fill>
      <patternFill patternType="solid">
        <fgColor theme="0"/>
        <bgColor indexed="64"/>
      </patternFill>
    </fill>
  </fills>
  <borders count="22">
    <border>
      <left/>
      <right/>
      <top/>
      <bottom/>
      <diagonal/>
    </border>
    <border>
      <left style="thin">
        <color auto="1"/>
      </left>
      <right/>
      <top style="thin">
        <color auto="1"/>
      </top>
      <bottom/>
      <diagonal/>
    </border>
    <border>
      <left/>
      <right style="thin">
        <color rgb="FF000000"/>
      </right>
      <top style="thin">
        <color indexed="64"/>
      </top>
      <bottom/>
      <diagonal/>
    </border>
    <border>
      <left style="medium">
        <color rgb="FF000000"/>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rgb="FF000000"/>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3" fillId="0" borderId="0"/>
  </cellStyleXfs>
  <cellXfs count="55">
    <xf numFmtId="0" fontId="0" fillId="0" borderId="0" xfId="0"/>
    <xf numFmtId="0" fontId="1" fillId="2" borderId="0" xfId="0" applyFont="1" applyFill="1" applyAlignment="1">
      <alignment horizontal="left" vertical="center"/>
    </xf>
    <xf numFmtId="0" fontId="5" fillId="5" borderId="3" xfId="0" applyFont="1" applyFill="1" applyBorder="1" applyAlignment="1">
      <alignment wrapText="1"/>
    </xf>
    <xf numFmtId="0" fontId="5" fillId="5" borderId="4" xfId="0" applyFont="1" applyFill="1" applyBorder="1" applyAlignment="1">
      <alignment wrapText="1"/>
    </xf>
    <xf numFmtId="0" fontId="7" fillId="0" borderId="7" xfId="0" applyFont="1" applyBorder="1" applyAlignment="1">
      <alignment wrapText="1"/>
    </xf>
    <xf numFmtId="0" fontId="7" fillId="6" borderId="7" xfId="0" applyFont="1" applyFill="1" applyBorder="1" applyAlignment="1">
      <alignment wrapText="1"/>
    </xf>
    <xf numFmtId="0" fontId="7" fillId="0" borderId="9" xfId="0" applyFont="1" applyBorder="1" applyAlignment="1">
      <alignment wrapText="1"/>
    </xf>
    <xf numFmtId="0" fontId="7" fillId="4" borderId="10" xfId="0" applyFont="1" applyFill="1" applyBorder="1" applyAlignment="1">
      <alignment wrapText="1"/>
    </xf>
    <xf numFmtId="0" fontId="7" fillId="4" borderId="11" xfId="0" applyFont="1" applyFill="1" applyBorder="1" applyAlignment="1">
      <alignment wrapText="1"/>
    </xf>
    <xf numFmtId="0" fontId="7" fillId="4" borderId="12" xfId="0" applyFont="1" applyFill="1" applyBorder="1" applyAlignment="1">
      <alignment wrapText="1"/>
    </xf>
    <xf numFmtId="0" fontId="9" fillId="0" borderId="15" xfId="0" applyFont="1" applyBorder="1" applyAlignment="1">
      <alignment wrapText="1"/>
    </xf>
    <xf numFmtId="0" fontId="10" fillId="0" borderId="0" xfId="0" applyFont="1" applyAlignment="1">
      <alignment wrapText="1"/>
    </xf>
    <xf numFmtId="0" fontId="11" fillId="5" borderId="16" xfId="0" applyFont="1" applyFill="1" applyBorder="1" applyAlignment="1">
      <alignment wrapText="1"/>
    </xf>
    <xf numFmtId="0" fontId="11" fillId="5" borderId="17" xfId="0" applyFont="1" applyFill="1" applyBorder="1" applyAlignment="1">
      <alignment wrapText="1"/>
    </xf>
    <xf numFmtId="0" fontId="7" fillId="0" borderId="0" xfId="0" applyFont="1" applyAlignment="1">
      <alignment wrapText="1"/>
    </xf>
    <xf numFmtId="0" fontId="12" fillId="0" borderId="0" xfId="0" applyFont="1"/>
    <xf numFmtId="0" fontId="13" fillId="0" borderId="0" xfId="0" applyFont="1"/>
    <xf numFmtId="0" fontId="14" fillId="7" borderId="19" xfId="1" applyFont="1" applyFill="1" applyBorder="1" applyAlignment="1">
      <alignment horizontal="center" vertical="center" wrapText="1"/>
    </xf>
    <xf numFmtId="0" fontId="14" fillId="7" borderId="20" xfId="1" applyFont="1" applyFill="1" applyBorder="1" applyAlignment="1">
      <alignment horizontal="center" vertical="center" wrapText="1"/>
    </xf>
    <xf numFmtId="0" fontId="14" fillId="7" borderId="20" xfId="1" applyFont="1" applyFill="1" applyBorder="1" applyAlignment="1">
      <alignment vertical="center" wrapText="1"/>
    </xf>
    <xf numFmtId="0" fontId="14" fillId="7" borderId="21" xfId="1" applyFont="1" applyFill="1" applyBorder="1" applyAlignment="1">
      <alignment horizontal="center" vertical="center"/>
    </xf>
    <xf numFmtId="0" fontId="15" fillId="0" borderId="0" xfId="0" applyFont="1"/>
    <xf numFmtId="0" fontId="0" fillId="8" borderId="0" xfId="0" applyFill="1"/>
    <xf numFmtId="0" fontId="16" fillId="8" borderId="0" xfId="0" applyFont="1" applyFill="1" applyAlignment="1">
      <alignment vertical="center" wrapText="1"/>
    </xf>
    <xf numFmtId="0" fontId="17" fillId="8" borderId="0" xfId="0" applyFont="1" applyFill="1" applyAlignment="1">
      <alignment horizontal="left"/>
    </xf>
    <xf numFmtId="0" fontId="2" fillId="8" borderId="0" xfId="0" applyFont="1" applyFill="1"/>
    <xf numFmtId="10" fontId="0" fillId="0" borderId="0" xfId="0" applyNumberFormat="1"/>
    <xf numFmtId="0" fontId="0" fillId="3" borderId="0" xfId="0" applyFill="1" applyAlignment="1">
      <alignment horizontal="left"/>
    </xf>
    <xf numFmtId="10" fontId="0" fillId="3" borderId="0" xfId="0" applyNumberFormat="1" applyFill="1" applyAlignment="1">
      <alignment horizontal="right"/>
    </xf>
    <xf numFmtId="0" fontId="0" fillId="3" borderId="0" xfId="0" applyFill="1" applyAlignment="1">
      <alignment horizontal="right"/>
    </xf>
    <xf numFmtId="1" fontId="0" fillId="0" borderId="0" xfId="0" applyNumberFormat="1"/>
    <xf numFmtId="0" fontId="16" fillId="8" borderId="0" xfId="0" applyFont="1" applyFill="1" applyAlignment="1">
      <alignment horizontal="center" vertical="center"/>
    </xf>
    <xf numFmtId="0" fontId="2" fillId="8" borderId="0" xfId="0" applyFont="1" applyFill="1" applyAlignment="1">
      <alignment horizontal="center" vertical="top"/>
    </xf>
    <xf numFmtId="0" fontId="17" fillId="8" borderId="0" xfId="0" applyFont="1" applyFill="1" applyAlignment="1">
      <alignment horizontal="center"/>
    </xf>
    <xf numFmtId="0" fontId="17" fillId="8" borderId="0" xfId="0" applyFont="1" applyFill="1" applyAlignment="1">
      <alignment horizontal="right"/>
    </xf>
    <xf numFmtId="0" fontId="16" fillId="8" borderId="0" xfId="0" applyFont="1" applyFill="1" applyAlignment="1">
      <alignment horizontal="left" vertical="center"/>
    </xf>
    <xf numFmtId="0" fontId="2" fillId="8" borderId="0" xfId="0" applyFont="1" applyFill="1" applyAlignment="1">
      <alignment horizontal="left" vertical="top"/>
    </xf>
    <xf numFmtId="0" fontId="22" fillId="8" borderId="0" xfId="0" applyFont="1" applyFill="1" applyAlignment="1">
      <alignment horizontal="left"/>
    </xf>
    <xf numFmtId="0" fontId="7" fillId="4" borderId="18" xfId="0" applyFont="1" applyFill="1" applyBorder="1" applyAlignment="1">
      <alignment horizontal="left" vertical="center" wrapText="1"/>
    </xf>
    <xf numFmtId="0" fontId="6" fillId="6"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7" fillId="6" borderId="6" xfId="0" applyFont="1" applyFill="1" applyBorder="1" applyAlignment="1">
      <alignment vertical="center" wrapText="1"/>
    </xf>
    <xf numFmtId="0" fontId="23"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6" fillId="6" borderId="13"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6" borderId="10" xfId="0" applyFont="1" applyFill="1" applyBorder="1" applyAlignment="1">
      <alignment vertical="center" wrapText="1"/>
    </xf>
    <xf numFmtId="0" fontId="7" fillId="6" borderId="11" xfId="0" applyFont="1" applyFill="1" applyBorder="1" applyAlignment="1">
      <alignment vertical="center" wrapText="1"/>
    </xf>
    <xf numFmtId="0" fontId="7" fillId="6" borderId="12" xfId="0" applyFont="1" applyFill="1" applyBorder="1" applyAlignment="1">
      <alignment vertical="center" wrapText="1"/>
    </xf>
    <xf numFmtId="0" fontId="6" fillId="4" borderId="10" xfId="0" applyFont="1" applyFill="1" applyBorder="1" applyAlignment="1">
      <alignment vertical="center" wrapText="1"/>
    </xf>
    <xf numFmtId="0" fontId="6" fillId="4" borderId="11" xfId="0" applyFont="1" applyFill="1" applyBorder="1" applyAlignment="1">
      <alignment vertical="center" wrapText="1"/>
    </xf>
    <xf numFmtId="0" fontId="6" fillId="4" borderId="12" xfId="0" applyFont="1" applyFill="1" applyBorder="1" applyAlignment="1">
      <alignment vertical="center" wrapText="1"/>
    </xf>
  </cellXfs>
  <cellStyles count="2">
    <cellStyle name="Normal" xfId="0" builtinId="0"/>
    <cellStyle name="Normal 2" xfId="1" xr:uid="{CB47345C-E37B-4B9B-9184-F42471CAAC03}"/>
  </cellStyles>
  <dxfs count="4">
    <dxf>
      <font>
        <b/>
        <i val="0"/>
        <strike val="0"/>
        <condense val="0"/>
        <extend val="0"/>
        <outline val="0"/>
        <shadow val="0"/>
        <u val="none"/>
        <vertAlign val="baseline"/>
        <sz val="11"/>
        <color rgb="FF0000FF"/>
        <name val="Calibri"/>
        <family val="2"/>
        <scheme val="minor"/>
      </font>
    </dxf>
    <dxf>
      <font>
        <b/>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rgb="FFFFFFFF"/>
        <name val="Calibri"/>
        <family val="2"/>
        <scheme val="minor"/>
      </font>
      <fill>
        <patternFill patternType="solid">
          <fgColor rgb="FFD63F40"/>
          <bgColor rgb="FFEE585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ustomXml" Target="../customXml/item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124014</xdr:colOff>
      <xdr:row>30</xdr:row>
      <xdr:rowOff>23519</xdr:rowOff>
    </xdr:from>
    <xdr:to>
      <xdr:col>0</xdr:col>
      <xdr:colOff>1349688</xdr:colOff>
      <xdr:row>36</xdr:row>
      <xdr:rowOff>60248</xdr:rowOff>
    </xdr:to>
    <xdr:pic>
      <xdr:nvPicPr>
        <xdr:cNvPr id="2" name="Picture 1">
          <a:extLst>
            <a:ext uri="{FF2B5EF4-FFF2-40B4-BE49-F238E27FC236}">
              <a16:creationId xmlns:a16="http://schemas.microsoft.com/office/drawing/2014/main" id="{40A13E92-9CB6-4E4C-A86B-038F68FBE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014" y="21389999"/>
          <a:ext cx="1225674" cy="1134009"/>
        </a:xfrm>
        <a:prstGeom prst="rect">
          <a:avLst/>
        </a:prstGeom>
      </xdr:spPr>
    </xdr:pic>
    <xdr:clientData/>
  </xdr:twoCellAnchor>
  <xdr:twoCellAnchor editAs="oneCell">
    <xdr:from>
      <xdr:col>0</xdr:col>
      <xdr:colOff>1582685</xdr:colOff>
      <xdr:row>30</xdr:row>
      <xdr:rowOff>23519</xdr:rowOff>
    </xdr:from>
    <xdr:to>
      <xdr:col>1</xdr:col>
      <xdr:colOff>1235156</xdr:colOff>
      <xdr:row>36</xdr:row>
      <xdr:rowOff>19907</xdr:rowOff>
    </xdr:to>
    <xdr:pic>
      <xdr:nvPicPr>
        <xdr:cNvPr id="3" name="Picture 2">
          <a:extLst>
            <a:ext uri="{FF2B5EF4-FFF2-40B4-BE49-F238E27FC236}">
              <a16:creationId xmlns:a16="http://schemas.microsoft.com/office/drawing/2014/main" id="{EDEE033F-6237-4EE1-A9E3-51F9621A61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685" y="21389999"/>
          <a:ext cx="2007051" cy="1093668"/>
        </a:xfrm>
        <a:prstGeom prst="rect">
          <a:avLst/>
        </a:prstGeom>
      </xdr:spPr>
    </xdr:pic>
    <xdr:clientData/>
  </xdr:twoCellAnchor>
  <xdr:twoCellAnchor editAs="oneCell">
    <xdr:from>
      <xdr:col>1</xdr:col>
      <xdr:colOff>1222963</xdr:colOff>
      <xdr:row>29</xdr:row>
      <xdr:rowOff>125433</xdr:rowOff>
    </xdr:from>
    <xdr:to>
      <xdr:col>1</xdr:col>
      <xdr:colOff>2648679</xdr:colOff>
      <xdr:row>36</xdr:row>
      <xdr:rowOff>39855</xdr:rowOff>
    </xdr:to>
    <xdr:pic>
      <xdr:nvPicPr>
        <xdr:cNvPr id="4" name="Picture 3">
          <a:extLst>
            <a:ext uri="{FF2B5EF4-FFF2-40B4-BE49-F238E27FC236}">
              <a16:creationId xmlns:a16="http://schemas.microsoft.com/office/drawing/2014/main" id="{5B6985C9-A4F2-44AC-9B69-F727802C24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77543" y="21309033"/>
          <a:ext cx="1425716" cy="1194582"/>
        </a:xfrm>
        <a:prstGeom prst="rect">
          <a:avLst/>
        </a:prstGeom>
      </xdr:spPr>
    </xdr:pic>
    <xdr:clientData/>
  </xdr:twoCellAnchor>
  <xdr:twoCellAnchor editAs="oneCell">
    <xdr:from>
      <xdr:col>1</xdr:col>
      <xdr:colOff>2626235</xdr:colOff>
      <xdr:row>29</xdr:row>
      <xdr:rowOff>54878</xdr:rowOff>
    </xdr:from>
    <xdr:to>
      <xdr:col>1</xdr:col>
      <xdr:colOff>3964817</xdr:colOff>
      <xdr:row>36</xdr:row>
      <xdr:rowOff>92435</xdr:rowOff>
    </xdr:to>
    <xdr:pic>
      <xdr:nvPicPr>
        <xdr:cNvPr id="5" name="Picture 4">
          <a:extLst>
            <a:ext uri="{FF2B5EF4-FFF2-40B4-BE49-F238E27FC236}">
              <a16:creationId xmlns:a16="http://schemas.microsoft.com/office/drawing/2014/main" id="{9CBBFB88-99B4-46AB-81BA-E057968D0A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80815" y="21238478"/>
          <a:ext cx="1338582" cy="1317717"/>
        </a:xfrm>
        <a:prstGeom prst="rect">
          <a:avLst/>
        </a:prstGeom>
      </xdr:spPr>
    </xdr:pic>
    <xdr:clientData/>
  </xdr:twoCellAnchor>
  <xdr:twoCellAnchor editAs="oneCell">
    <xdr:from>
      <xdr:col>1</xdr:col>
      <xdr:colOff>4123581</xdr:colOff>
      <xdr:row>29</xdr:row>
      <xdr:rowOff>164630</xdr:rowOff>
    </xdr:from>
    <xdr:to>
      <xdr:col>1</xdr:col>
      <xdr:colOff>8513216</xdr:colOff>
      <xdr:row>36</xdr:row>
      <xdr:rowOff>1962</xdr:rowOff>
    </xdr:to>
    <xdr:pic>
      <xdr:nvPicPr>
        <xdr:cNvPr id="6" name="Picture 5">
          <a:extLst>
            <a:ext uri="{FF2B5EF4-FFF2-40B4-BE49-F238E27FC236}">
              <a16:creationId xmlns:a16="http://schemas.microsoft.com/office/drawing/2014/main" id="{BFA63642-E9A4-402C-BB09-E8E79AF6BC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78161" y="21348230"/>
          <a:ext cx="4389635" cy="1117492"/>
        </a:xfrm>
        <a:prstGeom prst="rect">
          <a:avLst/>
        </a:prstGeom>
      </xdr:spPr>
    </xdr:pic>
    <xdr:clientData/>
  </xdr:twoCellAnchor>
  <xdr:twoCellAnchor editAs="oneCell">
    <xdr:from>
      <xdr:col>3</xdr:col>
      <xdr:colOff>19050</xdr:colOff>
      <xdr:row>1</xdr:row>
      <xdr:rowOff>0</xdr:rowOff>
    </xdr:from>
    <xdr:to>
      <xdr:col>8</xdr:col>
      <xdr:colOff>730250</xdr:colOff>
      <xdr:row>2</xdr:row>
      <xdr:rowOff>845457</xdr:rowOff>
    </xdr:to>
    <xdr:pic>
      <xdr:nvPicPr>
        <xdr:cNvPr id="7" name="Picture 6">
          <a:extLst>
            <a:ext uri="{FF2B5EF4-FFF2-40B4-BE49-F238E27FC236}">
              <a16:creationId xmlns:a16="http://schemas.microsoft.com/office/drawing/2014/main" id="{7498970F-E69B-4999-8C5A-9F17C79EC338}"/>
            </a:ext>
            <a:ext uri="{147F2762-F138-4A5C-976F-8EAC2B608ADB}">
              <a16:predDERef xmlns:a16="http://schemas.microsoft.com/office/drawing/2014/main" pred="{ABE94C57-2CC1-4313-8189-667D8AC6CB14}"/>
            </a:ext>
          </a:extLst>
        </xdr:cNvPr>
        <xdr:cNvPicPr>
          <a:picLocks noChangeAspect="1"/>
        </xdr:cNvPicPr>
      </xdr:nvPicPr>
      <xdr:blipFill>
        <a:blip xmlns:r="http://schemas.openxmlformats.org/officeDocument/2006/relationships" r:embed="rId6"/>
        <a:stretch>
          <a:fillRect/>
        </a:stretch>
      </xdr:blipFill>
      <xdr:spPr>
        <a:xfrm>
          <a:off x="18893790" y="965835"/>
          <a:ext cx="4676775" cy="1049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674370</xdr:colOff>
      <xdr:row>4</xdr:row>
      <xdr:rowOff>17780</xdr:rowOff>
    </xdr:from>
    <xdr:to>
      <xdr:col>1</xdr:col>
      <xdr:colOff>2506980</xdr:colOff>
      <xdr:row>17</xdr:row>
      <xdr:rowOff>105410</xdr:rowOff>
    </xdr:to>
    <mc:AlternateContent xmlns:mc="http://schemas.openxmlformats.org/markup-compatibility/2006" xmlns:sle15="http://schemas.microsoft.com/office/drawing/2012/slicer">
      <mc:Choice Requires="sle15">
        <xdr:graphicFrame macro="">
          <xdr:nvGraphicFramePr>
            <xdr:cNvPr id="2" name="Sector">
              <a:extLst>
                <a:ext uri="{FF2B5EF4-FFF2-40B4-BE49-F238E27FC236}">
                  <a16:creationId xmlns:a16="http://schemas.microsoft.com/office/drawing/2014/main" id="{C39BF407-F53A-C484-1AE5-535C56A9A2A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693420" y="1192530"/>
              <a:ext cx="2594610" cy="244030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2485389</xdr:colOff>
      <xdr:row>4</xdr:row>
      <xdr:rowOff>17780</xdr:rowOff>
    </xdr:from>
    <xdr:to>
      <xdr:col>4</xdr:col>
      <xdr:colOff>561974</xdr:colOff>
      <xdr:row>17</xdr:row>
      <xdr:rowOff>105410</xdr:rowOff>
    </xdr:to>
    <mc:AlternateContent xmlns:mc="http://schemas.openxmlformats.org/markup-compatibility/2006" xmlns:sle15="http://schemas.microsoft.com/office/drawing/2012/slicer">
      <mc:Choice Requires="sle15">
        <xdr:graphicFrame macro="">
          <xdr:nvGraphicFramePr>
            <xdr:cNvPr id="3" name="Indicator">
              <a:extLst>
                <a:ext uri="{FF2B5EF4-FFF2-40B4-BE49-F238E27FC236}">
                  <a16:creationId xmlns:a16="http://schemas.microsoft.com/office/drawing/2014/main" id="{26E2D433-730F-74DF-1431-E3A58AFA834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dicator"/>
            </a:graphicData>
          </a:graphic>
        </xdr:graphicFrame>
      </mc:Choice>
      <mc:Fallback xmlns="">
        <xdr:sp macro="" textlink="">
          <xdr:nvSpPr>
            <xdr:cNvPr id="0" name=""/>
            <xdr:cNvSpPr>
              <a:spLocks noTextEdit="1"/>
            </xdr:cNvSpPr>
          </xdr:nvSpPr>
          <xdr:spPr>
            <a:xfrm>
              <a:off x="3272789" y="1192530"/>
              <a:ext cx="7976235" cy="244030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561973</xdr:colOff>
      <xdr:row>4</xdr:row>
      <xdr:rowOff>17780</xdr:rowOff>
    </xdr:from>
    <xdr:to>
      <xdr:col>5</xdr:col>
      <xdr:colOff>5324475</xdr:colOff>
      <xdr:row>17</xdr:row>
      <xdr:rowOff>105410</xdr:rowOff>
    </xdr:to>
    <mc:AlternateContent xmlns:mc="http://schemas.openxmlformats.org/markup-compatibility/2006" xmlns:sle15="http://schemas.microsoft.com/office/drawing/2012/slicer">
      <mc:Choice Requires="sle15">
        <xdr:graphicFrame macro="">
          <xdr:nvGraphicFramePr>
            <xdr:cNvPr id="4" name="Disaggregation">
              <a:extLst>
                <a:ext uri="{FF2B5EF4-FFF2-40B4-BE49-F238E27FC236}">
                  <a16:creationId xmlns:a16="http://schemas.microsoft.com/office/drawing/2014/main" id="{E65C0383-4501-3B05-8787-712189D2036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isaggregation"/>
            </a:graphicData>
          </a:graphic>
        </xdr:graphicFrame>
      </mc:Choice>
      <mc:Fallback xmlns="">
        <xdr:sp macro="" textlink="">
          <xdr:nvSpPr>
            <xdr:cNvPr id="0" name=""/>
            <xdr:cNvSpPr>
              <a:spLocks noTextEdit="1"/>
            </xdr:cNvSpPr>
          </xdr:nvSpPr>
          <xdr:spPr>
            <a:xfrm>
              <a:off x="11249023" y="1192530"/>
              <a:ext cx="5534027" cy="244030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F0BAB096-B8DE-49E3-BE95-6845A73C9B8B}" sourceName="Sector">
  <extLst>
    <x:ext xmlns:x15="http://schemas.microsoft.com/office/spreadsheetml/2010/11/main" uri="{2F2917AC-EB37-4324-AD4E-5DD8C200BD13}">
      <x15:tableSlicerCache tableId="2"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 xr10:uid="{97902E03-6AAF-4363-B27E-44030B2DB69A}" sourceName="Indicator">
  <extLst>
    <x:ext xmlns:x15="http://schemas.microsoft.com/office/spreadsheetml/2010/11/main" uri="{2F2917AC-EB37-4324-AD4E-5DD8C200BD13}">
      <x15:tableSlicerCache tableId="2"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aggregation" xr10:uid="{128BAAE3-A63A-422F-B26B-37D9E5765724}" sourceName="Disaggregation">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22A49BD0-8B74-4957-9ED9-2B6CEE857663}" cache="Slicer_Sector" caption="Sector" lockedPosition="1" rowHeight="234950"/>
  <slicer name="Indicator" xr10:uid="{BE3F4273-4F79-4427-9549-FCCB9418B1CF}" cache="Slicer_Indicator" caption="Indicator" startItem="132" lockedPosition="1" rowHeight="234950"/>
  <slicer name="Disaggregation" xr10:uid="{7801F8FB-F654-466E-9C38-4E81BA54727E}" cache="Slicer_Disaggregation" caption="Disaggregation" lockedPosition="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3EEE17-634D-4EE4-8F65-7423E704CB3C}" name="Table2" displayName="Table2" ref="B20:F1755" totalsRowShown="0" headerRowDxfId="3" headerRowBorderDxfId="2" headerRowCellStyle="Normal 2">
  <autoFilter ref="B20:F1755" xr:uid="{6A3EEE17-634D-4EE4-8F65-7423E704CB3C}"/>
  <tableColumns count="5">
    <tableColumn id="1" xr3:uid="{E937B3D6-86B4-4033-B233-549E5E616F21}" name="Sector"/>
    <tableColumn id="2" xr3:uid="{55D31D79-C212-4832-B90A-F08020485591}" name="Indicator"/>
    <tableColumn id="3" xr3:uid="{357B99CC-6E0C-488F-B732-7B42563A6118}" name="Disaggregation"/>
    <tableColumn id="4" xr3:uid="{84FD7CAB-D64A-4AC9-BCF7-1E3B2E15FBEE}" name="ID" dataDxfId="1"/>
    <tableColumn id="5" xr3:uid="{032C7731-57BD-4F06-BD49-57F35485C3B3}" name="Link to Frequency Table"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Red Orange">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F1AC-5D73-4435-AF7D-1D5C235F1E15}">
  <sheetPr>
    <tabColor rgb="FFEE5859"/>
  </sheetPr>
  <dimension ref="A1:B37"/>
  <sheetViews>
    <sheetView topLeftCell="A11" zoomScale="70" zoomScaleNormal="70" workbookViewId="0">
      <selection activeCell="B7" sqref="B7:B15"/>
    </sheetView>
  </sheetViews>
  <sheetFormatPr defaultColWidth="11.54296875" defaultRowHeight="14.5" x14ac:dyDescent="0.35"/>
  <cols>
    <col min="1" max="1" width="34.36328125" customWidth="1"/>
    <col min="2" max="2" width="229.36328125" customWidth="1"/>
  </cols>
  <sheetData>
    <row r="1" spans="1:2" ht="65.150000000000006" customHeight="1" thickBot="1" x14ac:dyDescent="0.4">
      <c r="A1" s="44" t="s">
        <v>0</v>
      </c>
      <c r="B1" s="45"/>
    </row>
    <row r="2" spans="1:2" ht="16.25" customHeight="1" thickBot="1" x14ac:dyDescent="0.4">
      <c r="A2" s="2" t="s">
        <v>2</v>
      </c>
      <c r="B2" s="3" t="s">
        <v>3</v>
      </c>
    </row>
    <row r="3" spans="1:2" ht="335.75" customHeight="1" thickBot="1" x14ac:dyDescent="0.4">
      <c r="A3" s="39" t="s">
        <v>4</v>
      </c>
      <c r="B3" s="42" t="s">
        <v>5</v>
      </c>
    </row>
    <row r="4" spans="1:2" ht="15" customHeight="1" thickBot="1" x14ac:dyDescent="0.4">
      <c r="A4" s="40" t="s">
        <v>6</v>
      </c>
      <c r="B4" s="4" t="s">
        <v>7</v>
      </c>
    </row>
    <row r="5" spans="1:2" ht="15" thickBot="1" x14ac:dyDescent="0.4">
      <c r="A5" s="39" t="s">
        <v>8</v>
      </c>
      <c r="B5" s="5" t="s">
        <v>9</v>
      </c>
    </row>
    <row r="6" spans="1:2" ht="292.25" customHeight="1" thickBot="1" x14ac:dyDescent="0.4">
      <c r="A6" s="41" t="s">
        <v>10</v>
      </c>
      <c r="B6" s="6" t="s">
        <v>2848</v>
      </c>
    </row>
    <row r="7" spans="1:2" ht="108" customHeight="1" x14ac:dyDescent="0.35">
      <c r="A7" s="46" t="s">
        <v>15</v>
      </c>
      <c r="B7" s="49" t="s">
        <v>2849</v>
      </c>
    </row>
    <row r="8" spans="1:2" x14ac:dyDescent="0.35">
      <c r="A8" s="47"/>
      <c r="B8" s="50"/>
    </row>
    <row r="9" spans="1:2" x14ac:dyDescent="0.35">
      <c r="A9" s="47"/>
      <c r="B9" s="50"/>
    </row>
    <row r="10" spans="1:2" x14ac:dyDescent="0.35">
      <c r="A10" s="47"/>
      <c r="B10" s="50"/>
    </row>
    <row r="11" spans="1:2" ht="362.4" customHeight="1" x14ac:dyDescent="0.35">
      <c r="A11" s="47"/>
      <c r="B11" s="50"/>
    </row>
    <row r="12" spans="1:2" x14ac:dyDescent="0.35">
      <c r="A12" s="47"/>
      <c r="B12" s="50"/>
    </row>
    <row r="13" spans="1:2" ht="23.25" customHeight="1" x14ac:dyDescent="0.35">
      <c r="A13" s="47"/>
      <c r="B13" s="50"/>
    </row>
    <row r="14" spans="1:2" ht="23.25" customHeight="1" x14ac:dyDescent="0.35">
      <c r="A14" s="47"/>
      <c r="B14" s="50"/>
    </row>
    <row r="15" spans="1:2" ht="44.4" customHeight="1" thickBot="1" x14ac:dyDescent="0.4">
      <c r="A15" s="48"/>
      <c r="B15" s="51"/>
    </row>
    <row r="16" spans="1:2" ht="19.5" customHeight="1" x14ac:dyDescent="0.35">
      <c r="A16" s="52" t="s">
        <v>11</v>
      </c>
      <c r="B16" s="7" t="s">
        <v>12</v>
      </c>
    </row>
    <row r="17" spans="1:2" ht="19.5" customHeight="1" x14ac:dyDescent="0.35">
      <c r="A17" s="53"/>
      <c r="B17" s="8" t="s">
        <v>13</v>
      </c>
    </row>
    <row r="18" spans="1:2" ht="19.25" customHeight="1" thickBot="1" x14ac:dyDescent="0.4">
      <c r="A18" s="54"/>
      <c r="B18" s="9" t="s">
        <v>14</v>
      </c>
    </row>
    <row r="19" spans="1:2" ht="15" customHeight="1" thickBot="1" x14ac:dyDescent="0.4">
      <c r="A19" s="10" t="s">
        <v>1</v>
      </c>
      <c r="B19" s="11"/>
    </row>
    <row r="20" spans="1:2" ht="15" customHeight="1" thickBot="1" x14ac:dyDescent="0.4">
      <c r="A20" s="12" t="s">
        <v>16</v>
      </c>
      <c r="B20" s="13" t="s">
        <v>3</v>
      </c>
    </row>
    <row r="21" spans="1:2" ht="15" customHeight="1" thickBot="1" x14ac:dyDescent="0.4">
      <c r="A21" s="9" t="s">
        <v>17</v>
      </c>
      <c r="B21" s="38" t="s">
        <v>18</v>
      </c>
    </row>
    <row r="22" spans="1:2" ht="43.25" customHeight="1" thickBot="1" x14ac:dyDescent="0.4">
      <c r="A22" s="9" t="s">
        <v>19</v>
      </c>
      <c r="B22" s="38" t="s">
        <v>20</v>
      </c>
    </row>
    <row r="23" spans="1:2" ht="15" customHeight="1" thickBot="1" x14ac:dyDescent="0.4">
      <c r="A23" s="9" t="s">
        <v>21</v>
      </c>
      <c r="B23" s="38" t="s">
        <v>22</v>
      </c>
    </row>
    <row r="24" spans="1:2" ht="15" customHeight="1" x14ac:dyDescent="0.35">
      <c r="A24" s="14"/>
      <c r="B24" s="14"/>
    </row>
    <row r="25" spans="1:2" ht="15" customHeight="1" x14ac:dyDescent="0.35">
      <c r="A25" s="14"/>
      <c r="B25" s="14"/>
    </row>
    <row r="26" spans="1:2" ht="15" customHeight="1" x14ac:dyDescent="0.35">
      <c r="A26" s="14"/>
      <c r="B26" s="14"/>
    </row>
    <row r="27" spans="1:2" ht="15" customHeight="1" x14ac:dyDescent="0.35">
      <c r="A27" s="14"/>
      <c r="B27" s="14"/>
    </row>
    <row r="28" spans="1:2" ht="15" customHeight="1" x14ac:dyDescent="0.35">
      <c r="A28" s="14"/>
      <c r="B28" s="14"/>
    </row>
    <row r="29" spans="1:2" x14ac:dyDescent="0.35">
      <c r="A29" s="15"/>
      <c r="B29" s="16"/>
    </row>
    <row r="30" spans="1:2" x14ac:dyDescent="0.35">
      <c r="A30" s="16"/>
      <c r="B30" s="16"/>
    </row>
    <row r="31" spans="1:2" x14ac:dyDescent="0.35">
      <c r="A31" s="15"/>
      <c r="B31" s="16"/>
    </row>
    <row r="32" spans="1:2" x14ac:dyDescent="0.35">
      <c r="A32" s="16"/>
      <c r="B32" s="16"/>
    </row>
    <row r="33" spans="1:2" x14ac:dyDescent="0.35">
      <c r="A33" s="16"/>
      <c r="B33" s="16"/>
    </row>
    <row r="34" spans="1:2" x14ac:dyDescent="0.35">
      <c r="A34" s="16"/>
      <c r="B34" s="16"/>
    </row>
    <row r="35" spans="1:2" x14ac:dyDescent="0.35">
      <c r="A35" s="16"/>
      <c r="B35" s="16"/>
    </row>
    <row r="36" spans="1:2" x14ac:dyDescent="0.35">
      <c r="A36" s="16"/>
      <c r="B36" s="16"/>
    </row>
    <row r="37" spans="1:2" x14ac:dyDescent="0.35">
      <c r="A37" s="16"/>
      <c r="B37" s="16"/>
    </row>
  </sheetData>
  <mergeCells count="4">
    <mergeCell ref="A1:B1"/>
    <mergeCell ref="A7:A15"/>
    <mergeCell ref="B7:B15"/>
    <mergeCell ref="A16:A18"/>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1755"/>
  <sheetViews>
    <sheetView tabSelected="1" topLeftCell="A106" zoomScale="85" zoomScaleNormal="60" workbookViewId="0">
      <selection activeCell="D31" sqref="D31"/>
    </sheetView>
  </sheetViews>
  <sheetFormatPr defaultColWidth="9.08984375" defaultRowHeight="14.5" x14ac:dyDescent="0.35"/>
  <cols>
    <col min="1" max="1" width="10.54296875" style="22" customWidth="1"/>
    <col min="2" max="2" width="39.54296875" style="22" customWidth="1"/>
    <col min="3" max="3" width="51.6328125" style="22" customWidth="1"/>
    <col min="4" max="4" width="54.453125" style="22" customWidth="1"/>
    <col min="5" max="5" width="8.54296875" customWidth="1"/>
    <col min="6" max="6" width="80.36328125" customWidth="1"/>
    <col min="7" max="7" width="25.36328125" style="22" customWidth="1"/>
    <col min="8" max="8" width="5" style="22" bestFit="1" customWidth="1"/>
    <col min="9" max="9" width="48.90625" style="22" customWidth="1"/>
    <col min="10" max="11" width="8.90625" style="22"/>
    <col min="12" max="12" width="15" style="22" customWidth="1"/>
    <col min="13" max="19" width="8.90625" style="22" customWidth="1"/>
    <col min="20" max="16384" width="9.08984375" style="22"/>
  </cols>
  <sheetData>
    <row r="1" spans="2:15" ht="44" customHeight="1" x14ac:dyDescent="0.35">
      <c r="C1" s="35" t="s">
        <v>0</v>
      </c>
      <c r="D1" s="31"/>
      <c r="E1" s="31"/>
      <c r="F1" s="31"/>
      <c r="G1" s="31"/>
      <c r="H1" s="31"/>
      <c r="I1" s="31"/>
      <c r="J1" s="23"/>
      <c r="K1" s="23"/>
    </row>
    <row r="2" spans="2:15" ht="18.5" x14ac:dyDescent="0.45">
      <c r="B2" s="37" t="s">
        <v>23</v>
      </c>
      <c r="E2" s="22"/>
      <c r="F2" s="22"/>
      <c r="G2" s="25"/>
      <c r="H2" s="25"/>
      <c r="I2" s="25"/>
      <c r="J2" s="25"/>
      <c r="K2" s="25"/>
    </row>
    <row r="3" spans="2:15" x14ac:dyDescent="0.35">
      <c r="B3" s="24" t="s">
        <v>24</v>
      </c>
      <c r="C3" s="24" t="s">
        <v>25</v>
      </c>
      <c r="D3" s="34"/>
      <c r="E3" s="34"/>
      <c r="F3" s="24" t="s">
        <v>26</v>
      </c>
      <c r="G3" s="24"/>
      <c r="H3" s="24"/>
      <c r="I3" s="24"/>
      <c r="J3" s="24"/>
      <c r="K3" s="24"/>
      <c r="L3" s="33"/>
      <c r="M3" s="33"/>
      <c r="N3" s="33"/>
      <c r="O3" s="33"/>
    </row>
    <row r="4" spans="2:15" x14ac:dyDescent="0.35">
      <c r="C4" s="36" t="s">
        <v>27</v>
      </c>
      <c r="D4" s="36"/>
      <c r="E4" s="36"/>
      <c r="F4" s="36" t="s">
        <v>28</v>
      </c>
      <c r="G4" s="36"/>
      <c r="H4" s="36"/>
      <c r="I4" s="36"/>
      <c r="J4" s="36"/>
      <c r="K4" s="36"/>
      <c r="L4" s="32"/>
      <c r="M4" s="32"/>
      <c r="N4" s="32"/>
      <c r="O4" s="32"/>
    </row>
    <row r="5" spans="2:15" x14ac:dyDescent="0.35">
      <c r="E5" s="22"/>
      <c r="F5" s="22"/>
    </row>
    <row r="6" spans="2:15" x14ac:dyDescent="0.35">
      <c r="E6" s="22"/>
      <c r="F6" s="22"/>
    </row>
    <row r="7" spans="2:15" x14ac:dyDescent="0.35">
      <c r="E7" s="22"/>
      <c r="F7" s="22"/>
    </row>
    <row r="8" spans="2:15" x14ac:dyDescent="0.35">
      <c r="E8" s="22"/>
      <c r="F8" s="22"/>
    </row>
    <row r="9" spans="2:15" x14ac:dyDescent="0.35">
      <c r="E9" s="22"/>
      <c r="F9" s="22"/>
    </row>
    <row r="10" spans="2:15" x14ac:dyDescent="0.35">
      <c r="E10" s="22"/>
      <c r="F10" s="22"/>
    </row>
    <row r="11" spans="2:15" x14ac:dyDescent="0.35">
      <c r="E11" s="22"/>
      <c r="F11" s="22"/>
    </row>
    <row r="12" spans="2:15" x14ac:dyDescent="0.35">
      <c r="E12" s="22"/>
      <c r="F12" s="22"/>
    </row>
    <row r="13" spans="2:15" x14ac:dyDescent="0.35">
      <c r="E13" s="22"/>
      <c r="F13" s="22"/>
    </row>
    <row r="14" spans="2:15" x14ac:dyDescent="0.35">
      <c r="E14" s="22"/>
      <c r="F14" s="22"/>
    </row>
    <row r="15" spans="2:15" x14ac:dyDescent="0.35">
      <c r="E15" s="22"/>
      <c r="F15" s="22"/>
    </row>
    <row r="16" spans="2:15" x14ac:dyDescent="0.35">
      <c r="E16" s="22"/>
      <c r="F16" s="22"/>
    </row>
    <row r="17" spans="2:6" x14ac:dyDescent="0.35">
      <c r="E17" s="22"/>
      <c r="F17" s="22"/>
    </row>
    <row r="18" spans="2:6" x14ac:dyDescent="0.35">
      <c r="E18" s="22"/>
      <c r="F18" s="22"/>
    </row>
    <row r="19" spans="2:6" x14ac:dyDescent="0.35">
      <c r="E19" s="22"/>
      <c r="F19" s="22"/>
    </row>
    <row r="20" spans="2:6" ht="15.5" x14ac:dyDescent="0.35">
      <c r="B20" s="17" t="s">
        <v>29</v>
      </c>
      <c r="C20" s="18" t="s">
        <v>30</v>
      </c>
      <c r="D20" s="18" t="s">
        <v>31</v>
      </c>
      <c r="E20" s="19" t="s">
        <v>32</v>
      </c>
      <c r="F20" s="20" t="s">
        <v>33</v>
      </c>
    </row>
    <row r="21" spans="2:6" x14ac:dyDescent="0.35">
      <c r="B21" t="s">
        <v>34</v>
      </c>
      <c r="C21" t="s">
        <v>35</v>
      </c>
      <c r="D21" t="s">
        <v>36</v>
      </c>
      <c r="E21" s="43">
        <v>1</v>
      </c>
      <c r="F21" s="21" t="str">
        <f>HYPERLINK("#'Data'!A2", "Household members by age group on the admin of macroregion perc")</f>
        <v>Household members by age group on the admin of macroregion perc</v>
      </c>
    </row>
    <row r="22" spans="2:6" x14ac:dyDescent="0.35">
      <c r="B22" t="s">
        <v>34</v>
      </c>
      <c r="C22" t="s">
        <v>37</v>
      </c>
      <c r="D22" t="s">
        <v>36</v>
      </c>
      <c r="E22" s="43">
        <v>2</v>
      </c>
      <c r="F22" s="21" t="str">
        <f>HYPERLINK("#'Data'!A11", "Household members by gender on the admin of macroregion perc")</f>
        <v>Household members by gender on the admin of macroregion perc</v>
      </c>
    </row>
    <row r="23" spans="2:6" x14ac:dyDescent="0.35">
      <c r="B23" t="s">
        <v>34</v>
      </c>
      <c r="C23" t="s">
        <v>38</v>
      </c>
      <c r="D23" t="s">
        <v>36</v>
      </c>
      <c r="E23" s="43">
        <v>3</v>
      </c>
      <c r="F23" s="21" t="str">
        <f>HYPERLINK("#'Data'!A20", "Households by urbanity (urban, rural location) on the admin of macroregion perc")</f>
        <v>Households by urbanity (urban, rural location) on the admin of macroregion perc</v>
      </c>
    </row>
    <row r="24" spans="2:6" x14ac:dyDescent="0.35">
      <c r="B24" t="s">
        <v>34</v>
      </c>
      <c r="C24" t="s">
        <v>39</v>
      </c>
      <c r="D24" t="s">
        <v>36</v>
      </c>
      <c r="E24" s="43">
        <v>4</v>
      </c>
      <c r="F24" s="21" t="str">
        <f>HYPERLINK("#'Data'!A29", "Households with at least one member with a registered or reported disability on the admin of macroregion perc")</f>
        <v>Households with at least one member with a registered or reported disability on the admin of macroregion perc</v>
      </c>
    </row>
    <row r="25" spans="2:6" x14ac:dyDescent="0.35">
      <c r="B25" t="s">
        <v>34</v>
      </c>
      <c r="C25" t="s">
        <v>40</v>
      </c>
      <c r="D25" t="s">
        <v>36</v>
      </c>
      <c r="E25" s="43">
        <v>5</v>
      </c>
      <c r="F25" s="21" t="str">
        <f>HYPERLINK("#'Data'!A38", "Households by size on the admin of macroregion perc")</f>
        <v>Households by size on the admin of macroregion perc</v>
      </c>
    </row>
    <row r="26" spans="2:6" x14ac:dyDescent="0.35">
      <c r="B26" t="s">
        <v>34</v>
      </c>
      <c r="C26" t="s">
        <v>41</v>
      </c>
      <c r="D26" t="s">
        <v>36</v>
      </c>
      <c r="E26" s="43">
        <v>6</v>
      </c>
      <c r="F26" s="21" t="str">
        <f>HYPERLINK("#'Data'!A47", "Households by presence of children (&lt;18 y.o.) on the admin of macroregion perc")</f>
        <v>Households by presence of children (&lt;18 y.o.) on the admin of macroregion perc</v>
      </c>
    </row>
    <row r="27" spans="2:6" x14ac:dyDescent="0.35">
      <c r="B27" t="s">
        <v>34</v>
      </c>
      <c r="C27" t="s">
        <v>42</v>
      </c>
      <c r="D27" t="s">
        <v>36</v>
      </c>
      <c r="E27" s="43">
        <v>7</v>
      </c>
      <c r="F27" s="21" t="str">
        <f>HYPERLINK("#'Data'!A56", "Households by age of adults in the households on the admin of macroregion perc")</f>
        <v>Households by age of adults in the households on the admin of macroregion perc</v>
      </c>
    </row>
    <row r="28" spans="2:6" x14ac:dyDescent="0.35">
      <c r="B28" t="s">
        <v>34</v>
      </c>
      <c r="C28" t="s">
        <v>43</v>
      </c>
      <c r="D28" t="s">
        <v>36</v>
      </c>
      <c r="E28" s="43">
        <v>8</v>
      </c>
      <c r="F28" s="21" t="str">
        <f>HYPERLINK("#'Data'!A65", "Households by caregiving status on the admin of macroregion perc")</f>
        <v>Households by caregiving status on the admin of macroregion perc</v>
      </c>
    </row>
    <row r="29" spans="2:6" x14ac:dyDescent="0.35">
      <c r="B29" t="s">
        <v>34</v>
      </c>
      <c r="C29" t="s">
        <v>44</v>
      </c>
      <c r="D29" t="s">
        <v>36</v>
      </c>
      <c r="E29" s="43">
        <v>9</v>
      </c>
      <c r="F29" s="21" t="str">
        <f>HYPERLINK("#'Data'!A74", "Households by displacement status of head of household on the admin of macroregion perc")</f>
        <v>Households by displacement status of head of household on the admin of macroregion perc</v>
      </c>
    </row>
    <row r="30" spans="2:6" x14ac:dyDescent="0.35">
      <c r="B30" t="s">
        <v>34</v>
      </c>
      <c r="C30" t="s">
        <v>45</v>
      </c>
      <c r="D30" t="s">
        <v>36</v>
      </c>
      <c r="E30" s="43">
        <v>10</v>
      </c>
      <c r="F30" s="21" t="str">
        <f>HYPERLINK("#'Data'!A83", "Households by gender of head of household on the admin of macroregion perc")</f>
        <v>Households by gender of head of household on the admin of macroregion perc</v>
      </c>
    </row>
    <row r="31" spans="2:6" x14ac:dyDescent="0.35">
      <c r="B31" t="s">
        <v>34</v>
      </c>
      <c r="C31" t="s">
        <v>46</v>
      </c>
      <c r="D31" t="s">
        <v>36</v>
      </c>
      <c r="E31" s="43">
        <v>11</v>
      </c>
      <c r="F31" s="21" t="str">
        <f>HYPERLINK("#'Data'!A92", "Percentage of households by marital status of head of household on the admin of macroregion perc")</f>
        <v>Percentage of households by marital status of head of household on the admin of macroregion perc</v>
      </c>
    </row>
    <row r="32" spans="2:6" x14ac:dyDescent="0.35">
      <c r="B32" t="s">
        <v>34</v>
      </c>
      <c r="C32" t="s">
        <v>47</v>
      </c>
      <c r="D32" t="s">
        <v>36</v>
      </c>
      <c r="E32" s="43">
        <v>12</v>
      </c>
      <c r="F32" s="21" t="str">
        <f>HYPERLINK("#'Data'!A101", "Percentage of households by education level of head of household on the admin of macroregion perc")</f>
        <v>Percentage of households by education level of head of household on the admin of macroregion perc</v>
      </c>
    </row>
    <row r="33" spans="2:6" x14ac:dyDescent="0.35">
      <c r="B33" t="s">
        <v>48</v>
      </c>
      <c r="C33" t="s">
        <v>49</v>
      </c>
      <c r="D33" t="s">
        <v>36</v>
      </c>
      <c r="E33" s="43">
        <v>13</v>
      </c>
      <c r="F33" s="21" t="str">
        <f>HYPERLINK("#'Data'!A110", "Employment status of household members (&gt;15 y.o.) in the past four weeks on the admin of macroregion perc")</f>
        <v>Employment status of household members (&gt;15 y.o.) in the past four weeks on the admin of macroregion perc</v>
      </c>
    </row>
    <row r="34" spans="2:6" x14ac:dyDescent="0.35">
      <c r="B34" t="s">
        <v>48</v>
      </c>
      <c r="C34" t="s">
        <v>50</v>
      </c>
      <c r="D34" t="s">
        <v>36</v>
      </c>
      <c r="E34" s="43">
        <v>14</v>
      </c>
      <c r="F34" s="21" t="str">
        <f>HYPERLINK("#'Data'!A119", "Percentage of household members (&gt;15 y.o. and &lt;75) who sought a job in the past 4 weeks on the admin of macroregion perc")</f>
        <v>Percentage of household members (&gt;15 y.o. and &lt;75) who sought a job in the past 4 weeks on the admin of macroregion perc</v>
      </c>
    </row>
    <row r="35" spans="2:6" x14ac:dyDescent="0.35">
      <c r="B35" t="s">
        <v>48</v>
      </c>
      <c r="C35" t="s">
        <v>50</v>
      </c>
      <c r="D35" t="s">
        <v>51</v>
      </c>
      <c r="E35" s="43">
        <v>15</v>
      </c>
      <c r="F35" s="21" t="str">
        <f>HYPERLINK("#'Data'!A128", "Percentage of household members (&gt;15 y.o. and &lt;75) who sought a job in the past 4 weeks broken down by employment age of household members on the admi...")</f>
        <v>Percentage of household members (&gt;15 y.o. and &lt;75) who sought a job in the past 4 weeks broken down by employment age of household members on the admi...</v>
      </c>
    </row>
    <row r="36" spans="2:6" x14ac:dyDescent="0.35">
      <c r="B36" t="s">
        <v>48</v>
      </c>
      <c r="C36" t="s">
        <v>50</v>
      </c>
      <c r="D36" t="s">
        <v>52</v>
      </c>
      <c r="E36" s="43">
        <v>16</v>
      </c>
      <c r="F36" s="21" t="str">
        <f>HYPERLINK("#'Data'!A157", "Percentage of household members (&gt;15 y.o. and &lt;75) who sought a job in the past 4 weeks broken down by gender of household members on the admin of mac...")</f>
        <v>Percentage of household members (&gt;15 y.o. and &lt;75) who sought a job in the past 4 weeks broken down by gender of household members on the admin of mac...</v>
      </c>
    </row>
    <row r="37" spans="2:6" x14ac:dyDescent="0.35">
      <c r="B37" t="s">
        <v>48</v>
      </c>
      <c r="C37" t="s">
        <v>53</v>
      </c>
      <c r="D37" t="s">
        <v>36</v>
      </c>
      <c r="E37" s="43">
        <v>17</v>
      </c>
      <c r="F37" s="21" t="str">
        <f>HYPERLINK("#'Data'!A176", "Employment barriers faced by household members (&gt;15 y.o. and &lt; 75 y.o.) that sought a job in the past 4 weeks, by type on the admin of macroregion per...")</f>
        <v>Employment barriers faced by household members (&gt;15 y.o. and &lt; 75 y.o.) that sought a job in the past 4 weeks, by type on the admin of macroregion per...</v>
      </c>
    </row>
    <row r="38" spans="2:6" x14ac:dyDescent="0.35">
      <c r="B38" t="s">
        <v>48</v>
      </c>
      <c r="C38" t="s">
        <v>53</v>
      </c>
      <c r="D38" t="s">
        <v>51</v>
      </c>
      <c r="E38" s="43">
        <v>18</v>
      </c>
      <c r="F38" s="21" t="str">
        <f>HYPERLINK("#'Data'!A185", "Employment barriers faced by household members (&gt;15 y.o. and &lt; 75 y.o.) that sought a job in the past 4 weeks, by type broken down by employment age o...")</f>
        <v>Employment barriers faced by household members (&gt;15 y.o. and &lt; 75 y.o.) that sought a job in the past 4 weeks, by type broken down by employment age o...</v>
      </c>
    </row>
    <row r="39" spans="2:6" x14ac:dyDescent="0.35">
      <c r="B39" t="s">
        <v>48</v>
      </c>
      <c r="C39" t="s">
        <v>53</v>
      </c>
      <c r="D39" t="s">
        <v>52</v>
      </c>
      <c r="E39" s="43">
        <v>19</v>
      </c>
      <c r="F39" s="21" t="str">
        <f>HYPERLINK("#'Data'!A213", "Employment barriers faced by household members (&gt;15 y.o. and &lt; 75 y.o.) that sought a job in the past 4 weeks, by type broken down by gender of househ...")</f>
        <v>Employment barriers faced by household members (&gt;15 y.o. and &lt; 75 y.o.) that sought a job in the past 4 weeks, by type broken down by gender of househ...</v>
      </c>
    </row>
    <row r="40" spans="2:6" x14ac:dyDescent="0.35">
      <c r="B40" t="s">
        <v>48</v>
      </c>
      <c r="C40" t="s">
        <v>53</v>
      </c>
      <c r="D40" t="s">
        <v>54</v>
      </c>
      <c r="E40" s="43">
        <v>20</v>
      </c>
      <c r="F40" s="21" t="str">
        <f>HYPERLINK("#'Data'!A228", "Employment barriers faced by household members (&gt;15 y.o. and &lt; 75 y.o.) that sought a job in the past 4 weeks, by type broken down by gender and age o...")</f>
        <v>Employment barriers faced by household members (&gt;15 y.o. and &lt; 75 y.o.) that sought a job in the past 4 weeks, by type broken down by gender and age o...</v>
      </c>
    </row>
    <row r="41" spans="2:6" x14ac:dyDescent="0.35">
      <c r="B41" t="s">
        <v>55</v>
      </c>
      <c r="C41" t="s">
        <v>56</v>
      </c>
      <c r="D41" t="s">
        <v>36</v>
      </c>
      <c r="E41" s="43">
        <v>21</v>
      </c>
      <c r="F41" s="21" t="str">
        <f>HYPERLINK("#'Data'!A278", "School-aged children (3-17 y.o.) attending school or early education program during 2024-2025 school year on the admin of macroregion perc")</f>
        <v>School-aged children (3-17 y.o.) attending school or early education program during 2024-2025 school year on the admin of macroregion perc</v>
      </c>
    </row>
    <row r="42" spans="2:6" x14ac:dyDescent="0.35">
      <c r="B42" t="s">
        <v>55</v>
      </c>
      <c r="C42" t="s">
        <v>56</v>
      </c>
      <c r="D42" t="s">
        <v>57</v>
      </c>
      <c r="E42" s="43">
        <v>22</v>
      </c>
      <c r="F42" s="21" t="str">
        <f>HYPERLINK("#'Data'!A287", "School-aged children (3-17 y.o.) attending school or early education program during 2024-2025 school year broken down by households with at least one ...")</f>
        <v>School-aged children (3-17 y.o.) attending school or early education program during 2024-2025 school year broken down by households with at least one ...</v>
      </c>
    </row>
    <row r="43" spans="2:6" x14ac:dyDescent="0.35">
      <c r="B43" t="s">
        <v>55</v>
      </c>
      <c r="C43" t="s">
        <v>56</v>
      </c>
      <c r="D43" t="s">
        <v>58</v>
      </c>
      <c r="E43" s="43">
        <v>23</v>
      </c>
      <c r="F43" s="21" t="str">
        <f>HYPERLINK("#'Data'!A301", "School-aged children (3-17 y.o.) attending school or early education program during 2024-2025 school year broken down by urbanity on the admin of macr...")</f>
        <v>School-aged children (3-17 y.o.) attending school or early education program during 2024-2025 school year broken down by urbanity on the admin of macr...</v>
      </c>
    </row>
    <row r="44" spans="2:6" x14ac:dyDescent="0.35">
      <c r="B44" t="s">
        <v>55</v>
      </c>
      <c r="C44" t="s">
        <v>56</v>
      </c>
      <c r="D44" t="s">
        <v>59</v>
      </c>
      <c r="E44" s="43">
        <v>24</v>
      </c>
      <c r="F44" s="21" t="str">
        <f>HYPERLINK("#'Data'!A315", "School-aged children (3-17 y.o.) attending school or early education program during 2024-2025 school year broken down by household size on the admin o...")</f>
        <v>School-aged children (3-17 y.o.) attending school or early education program during 2024-2025 school year broken down by household size on the admin o...</v>
      </c>
    </row>
    <row r="45" spans="2:6" x14ac:dyDescent="0.35">
      <c r="B45" t="s">
        <v>55</v>
      </c>
      <c r="C45" t="s">
        <v>56</v>
      </c>
      <c r="D45" t="s">
        <v>60</v>
      </c>
      <c r="E45" s="43">
        <v>25</v>
      </c>
      <c r="F45" s="21" t="str">
        <f>HYPERLINK("#'Data'!A329", "School-aged children (3-17 y.o.) attending school or early education program during 2024-2025 school year broken down by income per capita (quartiles)...")</f>
        <v>School-aged children (3-17 y.o.) attending school or early education program during 2024-2025 school year broken down by income per capita (quartiles)...</v>
      </c>
    </row>
    <row r="46" spans="2:6" x14ac:dyDescent="0.35">
      <c r="B46" t="s">
        <v>55</v>
      </c>
      <c r="C46" t="s">
        <v>56</v>
      </c>
      <c r="D46" t="s">
        <v>61</v>
      </c>
      <c r="E46" s="43">
        <v>26</v>
      </c>
      <c r="F46" s="21" t="str">
        <f>HYPERLINK("#'Data'!A353", "School-aged children (3-17 y.o.) attending school or early education program during 2024-2025 school year broken down by gender of head of household o...")</f>
        <v>School-aged children (3-17 y.o.) attending school or early education program during 2024-2025 school year broken down by gender of head of household o...</v>
      </c>
    </row>
    <row r="47" spans="2:6" x14ac:dyDescent="0.35">
      <c r="B47" t="s">
        <v>55</v>
      </c>
      <c r="C47" t="s">
        <v>56</v>
      </c>
      <c r="D47" t="s">
        <v>62</v>
      </c>
      <c r="E47" s="43">
        <v>27</v>
      </c>
      <c r="F47" s="21" t="str">
        <f>HYPERLINK("#'Data'!A372", "School-aged children (3-17 y.o.) attending school or early education program during 2024-2025 school year broken down by age of adults in the househol...")</f>
        <v>School-aged children (3-17 y.o.) attending school or early education program during 2024-2025 school year broken down by age of adults in the househol...</v>
      </c>
    </row>
    <row r="48" spans="2:6" x14ac:dyDescent="0.35">
      <c r="B48" t="s">
        <v>55</v>
      </c>
      <c r="C48" t="s">
        <v>56</v>
      </c>
      <c r="D48" t="s">
        <v>63</v>
      </c>
      <c r="E48" s="43">
        <v>28</v>
      </c>
      <c r="F48" s="21" t="str">
        <f>HYPERLINK("#'Data'!A390", "School-aged children (3-17 y.o.) attending school or early education program during 2024-2025 school year broken down by displacement status of head o...")</f>
        <v>School-aged children (3-17 y.o.) attending school or early education program during 2024-2025 school year broken down by displacement status of head o...</v>
      </c>
    </row>
    <row r="49" spans="2:6" x14ac:dyDescent="0.35">
      <c r="B49" t="s">
        <v>55</v>
      </c>
      <c r="C49" t="s">
        <v>56</v>
      </c>
      <c r="D49" t="s">
        <v>64</v>
      </c>
      <c r="E49" s="43">
        <v>29</v>
      </c>
      <c r="F49" s="21" t="str">
        <f>HYPERLINK("#'Data'!A415", "School-aged children (3-17 y.o.) attending school or early education program during 2024-2025 school year broken down by IDP household on the admin of...")</f>
        <v>School-aged children (3-17 y.o.) attending school or early education program during 2024-2025 school year broken down by IDP household on the admin of...</v>
      </c>
    </row>
    <row r="50" spans="2:6" x14ac:dyDescent="0.35">
      <c r="B50" t="s">
        <v>55</v>
      </c>
      <c r="C50" t="s">
        <v>56</v>
      </c>
      <c r="D50" t="s">
        <v>65</v>
      </c>
      <c r="E50" s="43">
        <v>30</v>
      </c>
      <c r="F50" s="21" t="str">
        <f>HYPERLINK("#'Data'!A429", "School-aged children (3-17 y.o.) attending school or early education program during 2024-2025 school year broken down by proximity to frontline/border...")</f>
        <v>School-aged children (3-17 y.o.) attending school or early education program during 2024-2025 school year broken down by proximity to frontline/border...</v>
      </c>
    </row>
    <row r="51" spans="2:6" x14ac:dyDescent="0.35">
      <c r="B51" t="s">
        <v>55</v>
      </c>
      <c r="C51" t="s">
        <v>56</v>
      </c>
      <c r="D51" t="s">
        <v>66</v>
      </c>
      <c r="E51" s="43">
        <v>31</v>
      </c>
      <c r="F51" s="21" t="str">
        <f>HYPERLINK("#'Data'!A444", "School-aged children (3-17 y.o.) attending school or early education program during 2024-2025 school year broken down by age of school-aged children o...")</f>
        <v>School-aged children (3-17 y.o.) attending school or early education program during 2024-2025 school year broken down by age of school-aged children o...</v>
      </c>
    </row>
    <row r="52" spans="2:6" x14ac:dyDescent="0.35">
      <c r="B52" t="s">
        <v>55</v>
      </c>
      <c r="C52" t="s">
        <v>56</v>
      </c>
      <c r="D52" t="s">
        <v>67</v>
      </c>
      <c r="E52" s="43">
        <v>32</v>
      </c>
      <c r="F52" s="21" t="str">
        <f>HYPERLINK("#'Data'!A468", "School-aged children (3-17 y.o.) attending school or early education program during 2024-2025 school year broken down by gender of school-aged childre...")</f>
        <v>School-aged children (3-17 y.o.) attending school or early education program during 2024-2025 school year broken down by gender of school-aged childre...</v>
      </c>
    </row>
    <row r="53" spans="2:6" x14ac:dyDescent="0.35">
      <c r="B53" t="s">
        <v>55</v>
      </c>
      <c r="C53" t="s">
        <v>56</v>
      </c>
      <c r="D53" t="s">
        <v>68</v>
      </c>
      <c r="E53" s="43">
        <v>33</v>
      </c>
      <c r="F53" s="21" t="str">
        <f>HYPERLINK("#'Data'!A483", "School-aged children (3-17 y.o.) attending school or early education program during 2024-2025 school year broken down by gender and age of school-aged...")</f>
        <v>School-aged children (3-17 y.o.) attending school or early education program during 2024-2025 school year broken down by gender and age of school-aged...</v>
      </c>
    </row>
    <row r="54" spans="2:6" x14ac:dyDescent="0.35">
      <c r="B54" t="s">
        <v>55</v>
      </c>
      <c r="C54" t="s">
        <v>69</v>
      </c>
      <c r="D54" t="s">
        <v>36</v>
      </c>
      <c r="E54" s="43">
        <v>34</v>
      </c>
      <c r="F54" s="21" t="str">
        <f>HYPERLINK("#'Data'!A528", "School-aged children (3-17 y.o.) attending school or early education program by main education modality during 2024-2025 school year on the admin of m...")</f>
        <v>School-aged children (3-17 y.o.) attending school or early education program by main education modality during 2024-2025 school year on the admin of m...</v>
      </c>
    </row>
    <row r="55" spans="2:6" x14ac:dyDescent="0.35">
      <c r="B55" t="s">
        <v>55</v>
      </c>
      <c r="C55" t="s">
        <v>69</v>
      </c>
      <c r="D55" t="s">
        <v>57</v>
      </c>
      <c r="E55" s="43">
        <v>35</v>
      </c>
      <c r="F55" s="21" t="str">
        <f>HYPERLINK("#'Data'!A537", "School-aged children (3-17 y.o.) attending school or early education program by main education modality during 2024-2025 school year broken down by ho...")</f>
        <v>School-aged children (3-17 y.o.) attending school or early education program by main education modality during 2024-2025 school year broken down by ho...</v>
      </c>
    </row>
    <row r="56" spans="2:6" x14ac:dyDescent="0.35">
      <c r="B56" t="s">
        <v>55</v>
      </c>
      <c r="C56" t="s">
        <v>69</v>
      </c>
      <c r="D56" t="s">
        <v>58</v>
      </c>
      <c r="E56" s="43">
        <v>36</v>
      </c>
      <c r="F56" s="21" t="str">
        <f>HYPERLINK("#'Data'!A551", "School-aged children (3-17 y.o.) attending school or early education program by main education modality during 2024-2025 school year broken down by ur...")</f>
        <v>School-aged children (3-17 y.o.) attending school or early education program by main education modality during 2024-2025 school year broken down by ur...</v>
      </c>
    </row>
    <row r="57" spans="2:6" x14ac:dyDescent="0.35">
      <c r="B57" t="s">
        <v>55</v>
      </c>
      <c r="C57" t="s">
        <v>69</v>
      </c>
      <c r="D57" t="s">
        <v>59</v>
      </c>
      <c r="E57" s="43">
        <v>37</v>
      </c>
      <c r="F57" s="21" t="str">
        <f>HYPERLINK("#'Data'!A565", "School-aged children (3-17 y.o.) attending school or early education program by main education modality during 2024-2025 school year broken down by ho...")</f>
        <v>School-aged children (3-17 y.o.) attending school or early education program by main education modality during 2024-2025 school year broken down by ho...</v>
      </c>
    </row>
    <row r="58" spans="2:6" x14ac:dyDescent="0.35">
      <c r="B58" t="s">
        <v>55</v>
      </c>
      <c r="C58" t="s">
        <v>69</v>
      </c>
      <c r="D58" t="s">
        <v>60</v>
      </c>
      <c r="E58" s="43">
        <v>38</v>
      </c>
      <c r="F58" s="21" t="str">
        <f>HYPERLINK("#'Data'!A579", "School-aged children (3-17 y.o.) attending school or early education program by main education modality during 2024-2025 school year broken down by in...")</f>
        <v>School-aged children (3-17 y.o.) attending school or early education program by main education modality during 2024-2025 school year broken down by in...</v>
      </c>
    </row>
    <row r="59" spans="2:6" x14ac:dyDescent="0.35">
      <c r="B59" t="s">
        <v>55</v>
      </c>
      <c r="C59" t="s">
        <v>69</v>
      </c>
      <c r="D59" t="s">
        <v>61</v>
      </c>
      <c r="E59" s="43">
        <v>39</v>
      </c>
      <c r="F59" s="21" t="str">
        <f>HYPERLINK("#'Data'!A603", "School-aged children (3-17 y.o.) attending school or early education program by main education modality during 2024-2025 school year broken down by ge...")</f>
        <v>School-aged children (3-17 y.o.) attending school or early education program by main education modality during 2024-2025 school year broken down by ge...</v>
      </c>
    </row>
    <row r="60" spans="2:6" x14ac:dyDescent="0.35">
      <c r="B60" t="s">
        <v>55</v>
      </c>
      <c r="C60" t="s">
        <v>69</v>
      </c>
      <c r="D60" t="s">
        <v>62</v>
      </c>
      <c r="E60" s="43">
        <v>40</v>
      </c>
      <c r="F60" s="21" t="str">
        <f>HYPERLINK("#'Data'!A622", "School-aged children (3-17 y.o.) attending school or early education program by main education modality during 2024-2025 school year broken down by ag...")</f>
        <v>School-aged children (3-17 y.o.) attending school or early education program by main education modality during 2024-2025 school year broken down by ag...</v>
      </c>
    </row>
    <row r="61" spans="2:6" x14ac:dyDescent="0.35">
      <c r="B61" t="s">
        <v>55</v>
      </c>
      <c r="C61" t="s">
        <v>69</v>
      </c>
      <c r="D61" t="s">
        <v>63</v>
      </c>
      <c r="E61" s="43">
        <v>41</v>
      </c>
      <c r="F61" s="21" t="str">
        <f>HYPERLINK("#'Data'!A640", "School-aged children (3-17 y.o.) attending school or early education program by main education modality during 2024-2025 school year broken down by di...")</f>
        <v>School-aged children (3-17 y.o.) attending school or early education program by main education modality during 2024-2025 school year broken down by di...</v>
      </c>
    </row>
    <row r="62" spans="2:6" x14ac:dyDescent="0.35">
      <c r="B62" t="s">
        <v>55</v>
      </c>
      <c r="C62" t="s">
        <v>69</v>
      </c>
      <c r="D62" t="s">
        <v>64</v>
      </c>
      <c r="E62" s="43">
        <v>42</v>
      </c>
      <c r="F62" s="21" t="str">
        <f>HYPERLINK("#'Data'!A665", "School-aged children (3-17 y.o.) attending school or early education program by main education modality during 2024-2025 school year broken down by ID...")</f>
        <v>School-aged children (3-17 y.o.) attending school or early education program by main education modality during 2024-2025 school year broken down by ID...</v>
      </c>
    </row>
    <row r="63" spans="2:6" x14ac:dyDescent="0.35">
      <c r="B63" t="s">
        <v>55</v>
      </c>
      <c r="C63" t="s">
        <v>69</v>
      </c>
      <c r="D63" t="s">
        <v>65</v>
      </c>
      <c r="E63" s="43">
        <v>43</v>
      </c>
      <c r="F63" s="21" t="str">
        <f>HYPERLINK("#'Data'!A679", "School-aged children (3-17 y.o.) attending school or early education program by main education modality during 2024-2025 school year broken down by pr...")</f>
        <v>School-aged children (3-17 y.o.) attending school or early education program by main education modality during 2024-2025 school year broken down by pr...</v>
      </c>
    </row>
    <row r="64" spans="2:6" x14ac:dyDescent="0.35">
      <c r="B64" t="s">
        <v>55</v>
      </c>
      <c r="C64" t="s">
        <v>69</v>
      </c>
      <c r="D64" t="s">
        <v>66</v>
      </c>
      <c r="E64" s="43">
        <v>44</v>
      </c>
      <c r="F64" s="21" t="str">
        <f>HYPERLINK("#'Data'!A694", "School-aged children (3-17 y.o.) attending school or early education program by main education modality during 2024-2025 school year broken down by ag...")</f>
        <v>School-aged children (3-17 y.o.) attending school or early education program by main education modality during 2024-2025 school year broken down by ag...</v>
      </c>
    </row>
    <row r="65" spans="2:6" x14ac:dyDescent="0.35">
      <c r="B65" t="s">
        <v>55</v>
      </c>
      <c r="C65" t="s">
        <v>69</v>
      </c>
      <c r="D65" t="s">
        <v>67</v>
      </c>
      <c r="E65" s="43">
        <v>45</v>
      </c>
      <c r="F65" s="21" t="str">
        <f>HYPERLINK("#'Data'!A718", "School-aged children (3-17 y.o.) attending school or early education program by main education modality during 2024-2025 school year broken down by ge...")</f>
        <v>School-aged children (3-17 y.o.) attending school or early education program by main education modality during 2024-2025 school year broken down by ge...</v>
      </c>
    </row>
    <row r="66" spans="2:6" x14ac:dyDescent="0.35">
      <c r="B66" t="s">
        <v>55</v>
      </c>
      <c r="C66" t="s">
        <v>69</v>
      </c>
      <c r="D66" t="s">
        <v>68</v>
      </c>
      <c r="E66" s="43">
        <v>46</v>
      </c>
      <c r="F66" s="21" t="str">
        <f>HYPERLINK("#'Data'!A733", "School-aged children (3-17 y.o.) attending school or early education program by main education modality during 2024-2025 school year broken down by ge...")</f>
        <v>School-aged children (3-17 y.o.) attending school or early education program by main education modality during 2024-2025 school year broken down by ge...</v>
      </c>
    </row>
    <row r="67" spans="2:6" x14ac:dyDescent="0.35">
      <c r="B67" t="s">
        <v>55</v>
      </c>
      <c r="C67" t="s">
        <v>70</v>
      </c>
      <c r="D67" t="s">
        <v>36</v>
      </c>
      <c r="E67" s="43">
        <v>47</v>
      </c>
      <c r="F67" s="21" t="str">
        <f>HYPERLINK("#'Data'!A778", "School-aged children (3-17 y.o.) attending school or early education program by grade during 2024-2025 school year on the admin of macroregion perc")</f>
        <v>School-aged children (3-17 y.o.) attending school or early education program by grade during 2024-2025 school year on the admin of macroregion perc</v>
      </c>
    </row>
    <row r="68" spans="2:6" x14ac:dyDescent="0.35">
      <c r="B68" t="s">
        <v>55</v>
      </c>
      <c r="C68" t="s">
        <v>70</v>
      </c>
      <c r="D68" t="s">
        <v>57</v>
      </c>
      <c r="E68" s="43">
        <v>48</v>
      </c>
      <c r="F68" s="21" t="str">
        <f>HYPERLINK("#'Data'!A787", "School-aged children (3-17 y.o.) attending school or early education program by grade during 2024-2025 school year broken down by households with at l...")</f>
        <v>School-aged children (3-17 y.o.) attending school or early education program by grade during 2024-2025 school year broken down by households with at l...</v>
      </c>
    </row>
    <row r="69" spans="2:6" x14ac:dyDescent="0.35">
      <c r="B69" t="s">
        <v>55</v>
      </c>
      <c r="C69" t="s">
        <v>70</v>
      </c>
      <c r="D69" t="s">
        <v>58</v>
      </c>
      <c r="E69" s="43">
        <v>49</v>
      </c>
      <c r="F69" s="21" t="str">
        <f>HYPERLINK("#'Data'!A801", "School-aged children (3-17 y.o.) attending school or early education program by grade during 2024-2025 school year broken down by urbanity on the admi...")</f>
        <v>School-aged children (3-17 y.o.) attending school or early education program by grade during 2024-2025 school year broken down by urbanity on the admi...</v>
      </c>
    </row>
    <row r="70" spans="2:6" x14ac:dyDescent="0.35">
      <c r="B70" t="s">
        <v>55</v>
      </c>
      <c r="C70" t="s">
        <v>70</v>
      </c>
      <c r="D70" t="s">
        <v>59</v>
      </c>
      <c r="E70" s="43">
        <v>50</v>
      </c>
      <c r="F70" s="21" t="str">
        <f>HYPERLINK("#'Data'!A815", "School-aged children (3-17 y.o.) attending school or early education program by grade during 2024-2025 school year broken down by household size on th...")</f>
        <v>School-aged children (3-17 y.o.) attending school or early education program by grade during 2024-2025 school year broken down by household size on th...</v>
      </c>
    </row>
    <row r="71" spans="2:6" x14ac:dyDescent="0.35">
      <c r="B71" t="s">
        <v>55</v>
      </c>
      <c r="C71" t="s">
        <v>70</v>
      </c>
      <c r="D71" t="s">
        <v>60</v>
      </c>
      <c r="E71" s="43">
        <v>51</v>
      </c>
      <c r="F71" s="21" t="str">
        <f>HYPERLINK("#'Data'!A829", "School-aged children (3-17 y.o.) attending school or early education program by grade during 2024-2025 school year broken down by income per capita (q...")</f>
        <v>School-aged children (3-17 y.o.) attending school or early education program by grade during 2024-2025 school year broken down by income per capita (q...</v>
      </c>
    </row>
    <row r="72" spans="2:6" x14ac:dyDescent="0.35">
      <c r="B72" t="s">
        <v>55</v>
      </c>
      <c r="C72" t="s">
        <v>70</v>
      </c>
      <c r="D72" t="s">
        <v>61</v>
      </c>
      <c r="E72" s="43">
        <v>52</v>
      </c>
      <c r="F72" s="21" t="str">
        <f>HYPERLINK("#'Data'!A853", "School-aged children (3-17 y.o.) attending school or early education program by grade during 2024-2025 school year broken down by gender of head of ho...")</f>
        <v>School-aged children (3-17 y.o.) attending school or early education program by grade during 2024-2025 school year broken down by gender of head of ho...</v>
      </c>
    </row>
    <row r="73" spans="2:6" x14ac:dyDescent="0.35">
      <c r="B73" t="s">
        <v>55</v>
      </c>
      <c r="C73" t="s">
        <v>70</v>
      </c>
      <c r="D73" t="s">
        <v>62</v>
      </c>
      <c r="E73" s="43">
        <v>53</v>
      </c>
      <c r="F73" s="21" t="str">
        <f>HYPERLINK("#'Data'!A872", "School-aged children (3-17 y.o.) attending school or early education program by grade during 2024-2025 school year broken down by age of adults in the...")</f>
        <v>School-aged children (3-17 y.o.) attending school or early education program by grade during 2024-2025 school year broken down by age of adults in the...</v>
      </c>
    </row>
    <row r="74" spans="2:6" x14ac:dyDescent="0.35">
      <c r="B74" t="s">
        <v>55</v>
      </c>
      <c r="C74" t="s">
        <v>70</v>
      </c>
      <c r="D74" t="s">
        <v>63</v>
      </c>
      <c r="E74" s="43">
        <v>54</v>
      </c>
      <c r="F74" s="21" t="str">
        <f>HYPERLINK("#'Data'!A890", "School-aged children (3-17 y.o.) attending school or early education program by grade during 2024-2025 school year broken down by displacement status ...")</f>
        <v>School-aged children (3-17 y.o.) attending school or early education program by grade during 2024-2025 school year broken down by displacement status ...</v>
      </c>
    </row>
    <row r="75" spans="2:6" x14ac:dyDescent="0.35">
      <c r="B75" t="s">
        <v>55</v>
      </c>
      <c r="C75" t="s">
        <v>70</v>
      </c>
      <c r="D75" t="s">
        <v>64</v>
      </c>
      <c r="E75" s="43">
        <v>55</v>
      </c>
      <c r="F75" s="21" t="str">
        <f>HYPERLINK("#'Data'!A915", "School-aged children (3-17 y.o.) attending school or early education program by grade during 2024-2025 school year broken down by IDP household on the...")</f>
        <v>School-aged children (3-17 y.o.) attending school or early education program by grade during 2024-2025 school year broken down by IDP household on the...</v>
      </c>
    </row>
    <row r="76" spans="2:6" x14ac:dyDescent="0.35">
      <c r="B76" t="s">
        <v>55</v>
      </c>
      <c r="C76" t="s">
        <v>70</v>
      </c>
      <c r="D76" t="s">
        <v>65</v>
      </c>
      <c r="E76" s="43">
        <v>56</v>
      </c>
      <c r="F76" s="21" t="str">
        <f>HYPERLINK("#'Data'!A929", "School-aged children (3-17 y.o.) attending school or early education program by grade during 2024-2025 school year broken down by proximity to frontli...")</f>
        <v>School-aged children (3-17 y.o.) attending school or early education program by grade during 2024-2025 school year broken down by proximity to frontli...</v>
      </c>
    </row>
    <row r="77" spans="2:6" x14ac:dyDescent="0.35">
      <c r="B77" t="s">
        <v>55</v>
      </c>
      <c r="C77" t="s">
        <v>70</v>
      </c>
      <c r="D77" t="s">
        <v>66</v>
      </c>
      <c r="E77" s="43">
        <v>57</v>
      </c>
      <c r="F77" s="21" t="str">
        <f>HYPERLINK("#'Data'!A944", "School-aged children (3-17 y.o.) attending school or early education program by grade during 2024-2025 school year broken down by age of school-aged c...")</f>
        <v>School-aged children (3-17 y.o.) attending school or early education program by grade during 2024-2025 school year broken down by age of school-aged c...</v>
      </c>
    </row>
    <row r="78" spans="2:6" x14ac:dyDescent="0.35">
      <c r="B78" t="s">
        <v>55</v>
      </c>
      <c r="C78" t="s">
        <v>70</v>
      </c>
      <c r="D78" t="s">
        <v>67</v>
      </c>
      <c r="E78" s="43">
        <v>58</v>
      </c>
      <c r="F78" s="21" t="str">
        <f>HYPERLINK("#'Data'!A968", "School-aged children (3-17 y.o.) attending school or early education program by grade during 2024-2025 school year broken down by gender of school-age...")</f>
        <v>School-aged children (3-17 y.o.) attending school or early education program by grade during 2024-2025 school year broken down by gender of school-age...</v>
      </c>
    </row>
    <row r="79" spans="2:6" x14ac:dyDescent="0.35">
      <c r="B79" t="s">
        <v>55</v>
      </c>
      <c r="C79" t="s">
        <v>70</v>
      </c>
      <c r="D79" t="s">
        <v>68</v>
      </c>
      <c r="E79" s="43">
        <v>59</v>
      </c>
      <c r="F79" s="21" t="str">
        <f>HYPERLINK("#'Data'!A983", "School-aged children (3-17 y.o.) attending school or early education program by grade during 2024-2025 school year broken down by gender and age of sc...")</f>
        <v>School-aged children (3-17 y.o.) attending school or early education program by grade during 2024-2025 school year broken down by gender and age of sc...</v>
      </c>
    </row>
    <row r="80" spans="2:6" x14ac:dyDescent="0.35">
      <c r="B80" t="s">
        <v>55</v>
      </c>
      <c r="C80" t="s">
        <v>71</v>
      </c>
      <c r="D80" t="s">
        <v>36</v>
      </c>
      <c r="E80" s="43">
        <v>60</v>
      </c>
      <c r="F80" s="21" t="str">
        <f>HYPERLINK("#'Data'!A1028", "Percentage of school-aged children (3-17 y.o.) by reasons for not attending school in 2024-2025 school year on the admin of macroregion perc")</f>
        <v>Percentage of school-aged children (3-17 y.o.) by reasons for not attending school in 2024-2025 school year on the admin of macroregion perc</v>
      </c>
    </row>
    <row r="81" spans="2:6" x14ac:dyDescent="0.35">
      <c r="B81" t="s">
        <v>55</v>
      </c>
      <c r="C81" t="s">
        <v>71</v>
      </c>
      <c r="D81" t="s">
        <v>57</v>
      </c>
      <c r="E81" s="43">
        <v>61</v>
      </c>
      <c r="F81" s="21" t="str">
        <f>HYPERLINK("#'Data'!A1037", "Percentage of school-aged children (3-17 y.o.) by reasons for not attending school in 2024-2025 school year broken down by households with at least on...")</f>
        <v>Percentage of school-aged children (3-17 y.o.) by reasons for not attending school in 2024-2025 school year broken down by households with at least on...</v>
      </c>
    </row>
    <row r="82" spans="2:6" x14ac:dyDescent="0.35">
      <c r="B82" t="s">
        <v>55</v>
      </c>
      <c r="C82" t="s">
        <v>71</v>
      </c>
      <c r="D82" t="s">
        <v>58</v>
      </c>
      <c r="E82" s="43">
        <v>62</v>
      </c>
      <c r="F82" s="21" t="str">
        <f>HYPERLINK("#'Data'!A1050", "Percentage of school-aged children (3-17 y.o.) by reasons for not attending school in 2024-2025 school year broken down by urbanity on the admin of ma...")</f>
        <v>Percentage of school-aged children (3-17 y.o.) by reasons for not attending school in 2024-2025 school year broken down by urbanity on the admin of ma...</v>
      </c>
    </row>
    <row r="83" spans="2:6" x14ac:dyDescent="0.35">
      <c r="B83" t="s">
        <v>55</v>
      </c>
      <c r="C83" t="s">
        <v>71</v>
      </c>
      <c r="D83" t="s">
        <v>59</v>
      </c>
      <c r="E83" s="43">
        <v>63</v>
      </c>
      <c r="F83" s="21" t="str">
        <f>HYPERLINK("#'Data'!A1062", "Percentage of school-aged children (3-17 y.o.) by reasons for not attending school in 2024-2025 school year broken down by household size on the admin...")</f>
        <v>Percentage of school-aged children (3-17 y.o.) by reasons for not attending school in 2024-2025 school year broken down by household size on the admin...</v>
      </c>
    </row>
    <row r="84" spans="2:6" x14ac:dyDescent="0.35">
      <c r="B84" t="s">
        <v>55</v>
      </c>
      <c r="C84" t="s">
        <v>71</v>
      </c>
      <c r="D84" t="s">
        <v>60</v>
      </c>
      <c r="E84" s="43">
        <v>64</v>
      </c>
      <c r="F84" s="21" t="str">
        <f>HYPERLINK("#'Data'!A1075", "Percentage of school-aged children (3-17 y.o.) by reasons for not attending school in 2024-2025 school year broken down by income per capita (quartile...")</f>
        <v>Percentage of school-aged children (3-17 y.o.) by reasons for not attending school in 2024-2025 school year broken down by income per capita (quartile...</v>
      </c>
    </row>
    <row r="85" spans="2:6" x14ac:dyDescent="0.35">
      <c r="B85" t="s">
        <v>55</v>
      </c>
      <c r="C85" t="s">
        <v>71</v>
      </c>
      <c r="D85" t="s">
        <v>61</v>
      </c>
      <c r="E85" s="43">
        <v>65</v>
      </c>
      <c r="F85" s="21" t="str">
        <f>HYPERLINK("#'Data'!A1094", "Percentage of school-aged children (3-17 y.o.) by reasons for not attending school in 2024-2025 school year broken down by gender of head of household...")</f>
        <v>Percentage of school-aged children (3-17 y.o.) by reasons for not attending school in 2024-2025 school year broken down by gender of head of household...</v>
      </c>
    </row>
    <row r="86" spans="2:6" x14ac:dyDescent="0.35">
      <c r="B86" t="s">
        <v>55</v>
      </c>
      <c r="C86" t="s">
        <v>71</v>
      </c>
      <c r="D86" t="s">
        <v>62</v>
      </c>
      <c r="E86" s="43">
        <v>66</v>
      </c>
      <c r="F86" s="21" t="str">
        <f>HYPERLINK("#'Data'!A1111", "Percentage of school-aged children (3-17 y.o.) by reasons for not attending school in 2024-2025 school year broken down by age of adults in the househ...")</f>
        <v>Percentage of school-aged children (3-17 y.o.) by reasons for not attending school in 2024-2025 school year broken down by age of adults in the househ...</v>
      </c>
    </row>
    <row r="87" spans="2:6" x14ac:dyDescent="0.35">
      <c r="B87" t="s">
        <v>55</v>
      </c>
      <c r="C87" t="s">
        <v>71</v>
      </c>
      <c r="D87" t="s">
        <v>63</v>
      </c>
      <c r="E87" s="43">
        <v>67</v>
      </c>
      <c r="F87" s="21" t="str">
        <f>HYPERLINK("#'Data'!A1124", "Percentage of school-aged children (3-17 y.o.) by reasons for not attending school in 2024-2025 school year broken down by displacement status of head...")</f>
        <v>Percentage of school-aged children (3-17 y.o.) by reasons for not attending school in 2024-2025 school year broken down by displacement status of head...</v>
      </c>
    </row>
    <row r="88" spans="2:6" x14ac:dyDescent="0.35">
      <c r="B88" t="s">
        <v>55</v>
      </c>
      <c r="C88" t="s">
        <v>71</v>
      </c>
      <c r="D88" t="s">
        <v>64</v>
      </c>
      <c r="E88" s="43">
        <v>68</v>
      </c>
      <c r="F88" s="21" t="str">
        <f>HYPERLINK("#'Data'!A1140", "Percentage of school-aged children (3-17 y.o.) by reasons for not attending school in 2024-2025 school year broken down by IDP household on the admin ...")</f>
        <v>Percentage of school-aged children (3-17 y.o.) by reasons for not attending school in 2024-2025 school year broken down by IDP household on the admin ...</v>
      </c>
    </row>
    <row r="89" spans="2:6" x14ac:dyDescent="0.35">
      <c r="B89" t="s">
        <v>55</v>
      </c>
      <c r="C89" t="s">
        <v>71</v>
      </c>
      <c r="D89" t="s">
        <v>65</v>
      </c>
      <c r="E89" s="43">
        <v>69</v>
      </c>
      <c r="F89" s="21" t="str">
        <f>HYPERLINK("#'Data'!A1152", "Percentage of school-aged children (3-17 y.o.) by reasons for not attending school in 2024-2025 school year broken down by proximity to frontline/bord...")</f>
        <v>Percentage of school-aged children (3-17 y.o.) by reasons for not attending school in 2024-2025 school year broken down by proximity to frontline/bord...</v>
      </c>
    </row>
    <row r="90" spans="2:6" x14ac:dyDescent="0.35">
      <c r="B90" t="s">
        <v>55</v>
      </c>
      <c r="C90" t="s">
        <v>71</v>
      </c>
      <c r="D90" t="s">
        <v>66</v>
      </c>
      <c r="E90" s="43">
        <v>70</v>
      </c>
      <c r="F90" s="21" t="str">
        <f>HYPERLINK("#'Data'!A1167", "Percentage of school-aged children (3-17 y.o.) by reasons for not attending school in 2024-2025 school year broken down by age of school-aged children...")</f>
        <v>Percentage of school-aged children (3-17 y.o.) by reasons for not attending school in 2024-2025 school year broken down by age of school-aged children...</v>
      </c>
    </row>
    <row r="91" spans="2:6" x14ac:dyDescent="0.35">
      <c r="B91" t="s">
        <v>55</v>
      </c>
      <c r="C91" t="s">
        <v>71</v>
      </c>
      <c r="D91" t="s">
        <v>67</v>
      </c>
      <c r="E91" s="43">
        <v>71</v>
      </c>
      <c r="F91" s="21" t="str">
        <f>HYPERLINK("#'Data'!A1183", "Percentage of school-aged children (3-17 y.o.) by reasons for not attending school in 2024-2025 school year broken down by gender of school-aged child...")</f>
        <v>Percentage of school-aged children (3-17 y.o.) by reasons for not attending school in 2024-2025 school year broken down by gender of school-aged child...</v>
      </c>
    </row>
    <row r="92" spans="2:6" x14ac:dyDescent="0.35">
      <c r="B92" t="s">
        <v>55</v>
      </c>
      <c r="C92" t="s">
        <v>71</v>
      </c>
      <c r="D92" t="s">
        <v>68</v>
      </c>
      <c r="E92" s="43">
        <v>72</v>
      </c>
      <c r="F92" s="21" t="str">
        <f>HYPERLINK("#'Data'!A1196", "Percentage of school-aged children (3-17 y.o.) by reasons for not attending school in 2024-2025 school year broken down by gender and age of school-ag...")</f>
        <v>Percentage of school-aged children (3-17 y.o.) by reasons for not attending school in 2024-2025 school year broken down by gender and age of school-ag...</v>
      </c>
    </row>
    <row r="93" spans="2:6" x14ac:dyDescent="0.35">
      <c r="B93" t="s">
        <v>55</v>
      </c>
      <c r="C93" t="s">
        <v>72</v>
      </c>
      <c r="D93" t="s">
        <v>36</v>
      </c>
      <c r="E93" s="43">
        <v>73</v>
      </c>
      <c r="F93" s="21" t="str">
        <f>HYPERLINK("#'Data'!A1218", "Percentage of school-aged children (3-17 y.o.) whose education was disrupted due to school damage on the admin of macroregion perc")</f>
        <v>Percentage of school-aged children (3-17 y.o.) whose education was disrupted due to school damage on the admin of macroregion perc</v>
      </c>
    </row>
    <row r="94" spans="2:6" x14ac:dyDescent="0.35">
      <c r="B94" t="s">
        <v>55</v>
      </c>
      <c r="C94" t="s">
        <v>72</v>
      </c>
      <c r="D94" t="s">
        <v>57</v>
      </c>
      <c r="E94" s="43">
        <v>74</v>
      </c>
      <c r="F94" s="21" t="str">
        <f>HYPERLINK("#'Data'!A1227", "Percentage of school-aged children (3-17 y.o.) whose education was disrupted due to school damage broken down by households with at least one member w...")</f>
        <v>Percentage of school-aged children (3-17 y.o.) whose education was disrupted due to school damage broken down by households with at least one member w...</v>
      </c>
    </row>
    <row r="95" spans="2:6" x14ac:dyDescent="0.35">
      <c r="B95" t="s">
        <v>55</v>
      </c>
      <c r="C95" t="s">
        <v>72</v>
      </c>
      <c r="D95" t="s">
        <v>58</v>
      </c>
      <c r="E95" s="43">
        <v>75</v>
      </c>
      <c r="F95" s="21" t="str">
        <f>HYPERLINK("#'Data'!A1241", "Percentage of school-aged children (3-17 y.o.) whose education was disrupted due to school damage broken down by urbanity on the admin of macroregion ...")</f>
        <v>Percentage of school-aged children (3-17 y.o.) whose education was disrupted due to school damage broken down by urbanity on the admin of macroregion ...</v>
      </c>
    </row>
    <row r="96" spans="2:6" x14ac:dyDescent="0.35">
      <c r="B96" t="s">
        <v>55</v>
      </c>
      <c r="C96" t="s">
        <v>72</v>
      </c>
      <c r="D96" t="s">
        <v>59</v>
      </c>
      <c r="E96" s="43">
        <v>76</v>
      </c>
      <c r="F96" s="21" t="str">
        <f>HYPERLINK("#'Data'!A1255", "Percentage of school-aged children (3-17 y.o.) whose education was disrupted due to school damage broken down by household size on the admin of macror...")</f>
        <v>Percentage of school-aged children (3-17 y.o.) whose education was disrupted due to school damage broken down by household size on the admin of macror...</v>
      </c>
    </row>
    <row r="97" spans="2:6" x14ac:dyDescent="0.35">
      <c r="B97" t="s">
        <v>55</v>
      </c>
      <c r="C97" t="s">
        <v>72</v>
      </c>
      <c r="D97" t="s">
        <v>60</v>
      </c>
      <c r="E97" s="43">
        <v>77</v>
      </c>
      <c r="F97" s="21" t="str">
        <f>HYPERLINK("#'Data'!A1269", "Percentage of school-aged children (3-17 y.o.) whose education was disrupted due to school damage broken down by income per capita (quartiles) on the ...")</f>
        <v>Percentage of school-aged children (3-17 y.o.) whose education was disrupted due to school damage broken down by income per capita (quartiles) on the ...</v>
      </c>
    </row>
    <row r="98" spans="2:6" x14ac:dyDescent="0.35">
      <c r="B98" t="s">
        <v>55</v>
      </c>
      <c r="C98" t="s">
        <v>72</v>
      </c>
      <c r="D98" t="s">
        <v>61</v>
      </c>
      <c r="E98" s="43">
        <v>78</v>
      </c>
      <c r="F98" s="21" t="str">
        <f>HYPERLINK("#'Data'!A1293", "Percentage of school-aged children (3-17 y.o.) whose education was disrupted due to school damage broken down by gender of head of household on the ad...")</f>
        <v>Percentage of school-aged children (3-17 y.o.) whose education was disrupted due to school damage broken down by gender of head of household on the ad...</v>
      </c>
    </row>
    <row r="99" spans="2:6" x14ac:dyDescent="0.35">
      <c r="B99" t="s">
        <v>55</v>
      </c>
      <c r="C99" t="s">
        <v>72</v>
      </c>
      <c r="D99" t="s">
        <v>62</v>
      </c>
      <c r="E99" s="43">
        <v>79</v>
      </c>
      <c r="F99" s="21" t="str">
        <f>HYPERLINK("#'Data'!A1312", "Percentage of school-aged children (3-17 y.o.) whose education was disrupted due to school damage broken down by age of adults in the households on th...")</f>
        <v>Percentage of school-aged children (3-17 y.o.) whose education was disrupted due to school damage broken down by age of adults in the households on th...</v>
      </c>
    </row>
    <row r="100" spans="2:6" x14ac:dyDescent="0.35">
      <c r="B100" t="s">
        <v>55</v>
      </c>
      <c r="C100" t="s">
        <v>72</v>
      </c>
      <c r="D100" t="s">
        <v>63</v>
      </c>
      <c r="E100" s="43">
        <v>80</v>
      </c>
      <c r="F100" s="21" t="str">
        <f>HYPERLINK("#'Data'!A1330", "Percentage of school-aged children (3-17 y.o.) whose education was disrupted due to school damage broken down by displacement status of head of househ...")</f>
        <v>Percentage of school-aged children (3-17 y.o.) whose education was disrupted due to school damage broken down by displacement status of head of househ...</v>
      </c>
    </row>
    <row r="101" spans="2:6" x14ac:dyDescent="0.35">
      <c r="B101" t="s">
        <v>55</v>
      </c>
      <c r="C101" t="s">
        <v>72</v>
      </c>
      <c r="D101" t="s">
        <v>64</v>
      </c>
      <c r="E101" s="43">
        <v>81</v>
      </c>
      <c r="F101" s="21" t="str">
        <f>HYPERLINK("#'Data'!A1355", "Percentage of school-aged children (3-17 y.o.) whose education was disrupted due to school damage broken down by IDP household on the admin of macrore...")</f>
        <v>Percentage of school-aged children (3-17 y.o.) whose education was disrupted due to school damage broken down by IDP household on the admin of macrore...</v>
      </c>
    </row>
    <row r="102" spans="2:6" x14ac:dyDescent="0.35">
      <c r="B102" t="s">
        <v>55</v>
      </c>
      <c r="C102" t="s">
        <v>72</v>
      </c>
      <c r="D102" t="s">
        <v>65</v>
      </c>
      <c r="E102" s="43">
        <v>82</v>
      </c>
      <c r="F102" s="21" t="str">
        <f>HYPERLINK("#'Data'!A1369", "Percentage of school-aged children (3-17 y.o.) whose education was disrupted due to school damage broken down by proximity to frontline/border with Ru...")</f>
        <v>Percentage of school-aged children (3-17 y.o.) whose education was disrupted due to school damage broken down by proximity to frontline/border with Ru...</v>
      </c>
    </row>
    <row r="103" spans="2:6" x14ac:dyDescent="0.35">
      <c r="B103" t="s">
        <v>55</v>
      </c>
      <c r="C103" t="s">
        <v>72</v>
      </c>
      <c r="D103" t="s">
        <v>66</v>
      </c>
      <c r="E103" s="43">
        <v>83</v>
      </c>
      <c r="F103" s="21" t="str">
        <f>HYPERLINK("#'Data'!A1384", "Percentage of school-aged children (3-17 y.o.) whose education was disrupted due to school damage broken down by age of school-aged children on the ad...")</f>
        <v>Percentage of school-aged children (3-17 y.o.) whose education was disrupted due to school damage broken down by age of school-aged children on the ad...</v>
      </c>
    </row>
    <row r="104" spans="2:6" x14ac:dyDescent="0.35">
      <c r="B104" t="s">
        <v>55</v>
      </c>
      <c r="C104" t="s">
        <v>72</v>
      </c>
      <c r="D104" t="s">
        <v>67</v>
      </c>
      <c r="E104" s="43">
        <v>84</v>
      </c>
      <c r="F104" s="21" t="str">
        <f>HYPERLINK("#'Data'!A1408", "Percentage of school-aged children (3-17 y.o.) whose education was disrupted due to school damage broken down by gender of school-aged children on the...")</f>
        <v>Percentage of school-aged children (3-17 y.o.) whose education was disrupted due to school damage broken down by gender of school-aged children on the...</v>
      </c>
    </row>
    <row r="105" spans="2:6" x14ac:dyDescent="0.35">
      <c r="B105" t="s">
        <v>55</v>
      </c>
      <c r="C105" t="s">
        <v>72</v>
      </c>
      <c r="D105" t="s">
        <v>68</v>
      </c>
      <c r="E105" s="43">
        <v>85</v>
      </c>
      <c r="F105" s="21" t="str">
        <f>HYPERLINK("#'Data'!A1423", "Percentage of school-aged children (3-17 y.o.) whose education was disrupted due to school damage broken down by gender and age of school-aged childre...")</f>
        <v>Percentage of school-aged children (3-17 y.o.) whose education was disrupted due to school damage broken down by gender and age of school-aged childre...</v>
      </c>
    </row>
    <row r="106" spans="2:6" x14ac:dyDescent="0.35">
      <c r="B106" t="s">
        <v>55</v>
      </c>
      <c r="C106" t="s">
        <v>73</v>
      </c>
      <c r="D106" t="s">
        <v>36</v>
      </c>
      <c r="E106" s="43">
        <v>86</v>
      </c>
      <c r="F106" s="21" t="str">
        <f>HYPERLINK("#'Data'!A1468", "Percentage of school-aged children (3-17 y.o.) whose education was disrupted due to displacement/evacuation/return  on the admin of macroregion perc")</f>
        <v>Percentage of school-aged children (3-17 y.o.) whose education was disrupted due to displacement/evacuation/return  on the admin of macroregion perc</v>
      </c>
    </row>
    <row r="107" spans="2:6" x14ac:dyDescent="0.35">
      <c r="B107" t="s">
        <v>55</v>
      </c>
      <c r="C107" t="s">
        <v>73</v>
      </c>
      <c r="D107" t="s">
        <v>57</v>
      </c>
      <c r="E107" s="43">
        <v>87</v>
      </c>
      <c r="F107" s="21" t="str">
        <f>HYPERLINK("#'Data'!A1477", "Percentage of school-aged children (3-17 y.o.) whose education was disrupted due to displacement/evacuation/return  broken down by households with at ...")</f>
        <v>Percentage of school-aged children (3-17 y.o.) whose education was disrupted due to displacement/evacuation/return  broken down by households with at ...</v>
      </c>
    </row>
    <row r="108" spans="2:6" x14ac:dyDescent="0.35">
      <c r="B108" t="s">
        <v>55</v>
      </c>
      <c r="C108" t="s">
        <v>73</v>
      </c>
      <c r="D108" t="s">
        <v>58</v>
      </c>
      <c r="E108" s="43">
        <v>88</v>
      </c>
      <c r="F108" s="21" t="str">
        <f>HYPERLINK("#'Data'!A1491", "Percentage of school-aged children (3-17 y.o.) whose education was disrupted due to displacement/evacuation/return  broken down by urbanity on the adm...")</f>
        <v>Percentage of school-aged children (3-17 y.o.) whose education was disrupted due to displacement/evacuation/return  broken down by urbanity on the adm...</v>
      </c>
    </row>
    <row r="109" spans="2:6" x14ac:dyDescent="0.35">
      <c r="B109" t="s">
        <v>55</v>
      </c>
      <c r="C109" t="s">
        <v>73</v>
      </c>
      <c r="D109" t="s">
        <v>59</v>
      </c>
      <c r="E109" s="43">
        <v>89</v>
      </c>
      <c r="F109" s="21" t="str">
        <f>HYPERLINK("#'Data'!A1505", "Percentage of school-aged children (3-17 y.o.) whose education was disrupted due to displacement/evacuation/return  broken down by household size on t...")</f>
        <v>Percentage of school-aged children (3-17 y.o.) whose education was disrupted due to displacement/evacuation/return  broken down by household size on t...</v>
      </c>
    </row>
    <row r="110" spans="2:6" x14ac:dyDescent="0.35">
      <c r="B110" t="s">
        <v>55</v>
      </c>
      <c r="C110" t="s">
        <v>73</v>
      </c>
      <c r="D110" t="s">
        <v>60</v>
      </c>
      <c r="E110" s="43">
        <v>90</v>
      </c>
      <c r="F110" s="21" t="str">
        <f>HYPERLINK("#'Data'!A1519", "Percentage of school-aged children (3-17 y.o.) whose education was disrupted due to displacement/evacuation/return  broken down by income per capita (...")</f>
        <v>Percentage of school-aged children (3-17 y.o.) whose education was disrupted due to displacement/evacuation/return  broken down by income per capita (...</v>
      </c>
    </row>
    <row r="111" spans="2:6" x14ac:dyDescent="0.35">
      <c r="B111" t="s">
        <v>55</v>
      </c>
      <c r="C111" t="s">
        <v>73</v>
      </c>
      <c r="D111" t="s">
        <v>61</v>
      </c>
      <c r="E111" s="43">
        <v>91</v>
      </c>
      <c r="F111" s="21" t="str">
        <f>HYPERLINK("#'Data'!A1543", "Percentage of school-aged children (3-17 y.o.) whose education was disrupted due to displacement/evacuation/return  broken down by gender of head of h...")</f>
        <v>Percentage of school-aged children (3-17 y.o.) whose education was disrupted due to displacement/evacuation/return  broken down by gender of head of h...</v>
      </c>
    </row>
    <row r="112" spans="2:6" x14ac:dyDescent="0.35">
      <c r="B112" t="s">
        <v>55</v>
      </c>
      <c r="C112" t="s">
        <v>73</v>
      </c>
      <c r="D112" t="s">
        <v>62</v>
      </c>
      <c r="E112" s="43">
        <v>92</v>
      </c>
      <c r="F112" s="21" t="str">
        <f>HYPERLINK("#'Data'!A1562", "Percentage of school-aged children (3-17 y.o.) whose education was disrupted due to displacement/evacuation/return  broken down by age of adults in th...")</f>
        <v>Percentage of school-aged children (3-17 y.o.) whose education was disrupted due to displacement/evacuation/return  broken down by age of adults in th...</v>
      </c>
    </row>
    <row r="113" spans="2:6" x14ac:dyDescent="0.35">
      <c r="B113" t="s">
        <v>55</v>
      </c>
      <c r="C113" t="s">
        <v>73</v>
      </c>
      <c r="D113" t="s">
        <v>63</v>
      </c>
      <c r="E113" s="43">
        <v>93</v>
      </c>
      <c r="F113" s="21" t="str">
        <f>HYPERLINK("#'Data'!A1580", "Percentage of school-aged children (3-17 y.o.) whose education was disrupted due to displacement/evacuation/return  broken down by displacement status...")</f>
        <v>Percentage of school-aged children (3-17 y.o.) whose education was disrupted due to displacement/evacuation/return  broken down by displacement status...</v>
      </c>
    </row>
    <row r="114" spans="2:6" x14ac:dyDescent="0.35">
      <c r="B114" t="s">
        <v>55</v>
      </c>
      <c r="C114" t="s">
        <v>73</v>
      </c>
      <c r="D114" t="s">
        <v>64</v>
      </c>
      <c r="E114" s="43">
        <v>94</v>
      </c>
      <c r="F114" s="21" t="str">
        <f>HYPERLINK("#'Data'!A1605", "Percentage of school-aged children (3-17 y.o.) whose education was disrupted due to displacement/evacuation/return  broken down by IDP household on th...")</f>
        <v>Percentage of school-aged children (3-17 y.o.) whose education was disrupted due to displacement/evacuation/return  broken down by IDP household on th...</v>
      </c>
    </row>
    <row r="115" spans="2:6" x14ac:dyDescent="0.35">
      <c r="B115" t="s">
        <v>55</v>
      </c>
      <c r="C115" t="s">
        <v>73</v>
      </c>
      <c r="D115" t="s">
        <v>65</v>
      </c>
      <c r="E115" s="43">
        <v>95</v>
      </c>
      <c r="F115" s="21" t="str">
        <f>HYPERLINK("#'Data'!A1619", "Percentage of school-aged children (3-17 y.o.) whose education was disrupted due to displacement/evacuation/return  broken down by proximity to frontl...")</f>
        <v>Percentage of school-aged children (3-17 y.o.) whose education was disrupted due to displacement/evacuation/return  broken down by proximity to frontl...</v>
      </c>
    </row>
    <row r="116" spans="2:6" x14ac:dyDescent="0.35">
      <c r="B116" t="s">
        <v>55</v>
      </c>
      <c r="C116" t="s">
        <v>73</v>
      </c>
      <c r="D116" t="s">
        <v>66</v>
      </c>
      <c r="E116" s="43">
        <v>96</v>
      </c>
      <c r="F116" s="21" t="str">
        <f>HYPERLINK("#'Data'!A1634", "Percentage of school-aged children (3-17 y.o.) whose education was disrupted due to displacement/evacuation/return  broken down by age of school-aged ...")</f>
        <v>Percentage of school-aged children (3-17 y.o.) whose education was disrupted due to displacement/evacuation/return  broken down by age of school-aged ...</v>
      </c>
    </row>
    <row r="117" spans="2:6" x14ac:dyDescent="0.35">
      <c r="B117" t="s">
        <v>55</v>
      </c>
      <c r="C117" t="s">
        <v>73</v>
      </c>
      <c r="D117" t="s">
        <v>67</v>
      </c>
      <c r="E117" s="43">
        <v>97</v>
      </c>
      <c r="F117" s="21" t="str">
        <f>HYPERLINK("#'Data'!A1658", "Percentage of school-aged children (3-17 y.o.) whose education was disrupted due to displacement/evacuation/return  broken down by gender of school-ag...")</f>
        <v>Percentage of school-aged children (3-17 y.o.) whose education was disrupted due to displacement/evacuation/return  broken down by gender of school-ag...</v>
      </c>
    </row>
    <row r="118" spans="2:6" x14ac:dyDescent="0.35">
      <c r="B118" t="s">
        <v>55</v>
      </c>
      <c r="C118" t="s">
        <v>73</v>
      </c>
      <c r="D118" t="s">
        <v>68</v>
      </c>
      <c r="E118" s="43">
        <v>98</v>
      </c>
      <c r="F118" s="21" t="str">
        <f>HYPERLINK("#'Data'!A1673", "Percentage of school-aged children (3-17 y.o.) whose education was disrupted due to displacement/evacuation/return  broken down by gender and age of s...")</f>
        <v>Percentage of school-aged children (3-17 y.o.) whose education was disrupted due to displacement/evacuation/return  broken down by gender and age of s...</v>
      </c>
    </row>
    <row r="119" spans="2:6" x14ac:dyDescent="0.35">
      <c r="B119" t="s">
        <v>74</v>
      </c>
      <c r="C119" t="s">
        <v>75</v>
      </c>
      <c r="D119" t="s">
        <v>36</v>
      </c>
      <c r="E119" s="43">
        <v>99</v>
      </c>
      <c r="F119" s="21" t="str">
        <f>HYPERLINK("#'Data'!A1718", "Percentage of household members who needed to access healthcare in the past 3 months on the admin of macroregion perc")</f>
        <v>Percentage of household members who needed to access healthcare in the past 3 months on the admin of macroregion perc</v>
      </c>
    </row>
    <row r="120" spans="2:6" x14ac:dyDescent="0.35">
      <c r="B120" t="s">
        <v>74</v>
      </c>
      <c r="C120" t="s">
        <v>75</v>
      </c>
      <c r="D120" t="s">
        <v>57</v>
      </c>
      <c r="E120" s="43">
        <v>100</v>
      </c>
      <c r="F120" s="21" t="str">
        <f>HYPERLINK("#'Data'!A1727", "Percentage of household members who needed to access healthcare in the past 3 months broken down by households with at least one member with a reporte...")</f>
        <v>Percentage of household members who needed to access healthcare in the past 3 months broken down by households with at least one member with a reporte...</v>
      </c>
    </row>
    <row r="121" spans="2:6" x14ac:dyDescent="0.35">
      <c r="B121" t="s">
        <v>74</v>
      </c>
      <c r="C121" t="s">
        <v>75</v>
      </c>
      <c r="D121" t="s">
        <v>58</v>
      </c>
      <c r="E121" s="43">
        <v>101</v>
      </c>
      <c r="F121" s="21" t="str">
        <f>HYPERLINK("#'Data'!A1741", "Percentage of household members who needed to access healthcare in the past 3 months broken down by urbanity on the admin of macroregion perc")</f>
        <v>Percentage of household members who needed to access healthcare in the past 3 months broken down by urbanity on the admin of macroregion perc</v>
      </c>
    </row>
    <row r="122" spans="2:6" x14ac:dyDescent="0.35">
      <c r="B122" t="s">
        <v>74</v>
      </c>
      <c r="C122" t="s">
        <v>75</v>
      </c>
      <c r="D122" t="s">
        <v>59</v>
      </c>
      <c r="E122" s="43">
        <v>102</v>
      </c>
      <c r="F122" s="21" t="str">
        <f>HYPERLINK("#'Data'!A1755", "Percentage of household members who needed to access healthcare in the past 3 months broken down by household size on the admin of macroregion perc")</f>
        <v>Percentage of household members who needed to access healthcare in the past 3 months broken down by household size on the admin of macroregion perc</v>
      </c>
    </row>
    <row r="123" spans="2:6" x14ac:dyDescent="0.35">
      <c r="B123" t="s">
        <v>74</v>
      </c>
      <c r="C123" t="s">
        <v>75</v>
      </c>
      <c r="D123" t="s">
        <v>60</v>
      </c>
      <c r="E123" s="43">
        <v>103</v>
      </c>
      <c r="F123" s="21" t="str">
        <f>HYPERLINK("#'Data'!A1774", "Percentage of household members who needed to access healthcare in the past 3 months broken down by income per capita (quartiles) on the admin of macr...")</f>
        <v>Percentage of household members who needed to access healthcare in the past 3 months broken down by income per capita (quartiles) on the admin of macr...</v>
      </c>
    </row>
    <row r="124" spans="2:6" x14ac:dyDescent="0.35">
      <c r="B124" t="s">
        <v>74</v>
      </c>
      <c r="C124" t="s">
        <v>75</v>
      </c>
      <c r="D124" t="s">
        <v>61</v>
      </c>
      <c r="E124" s="43">
        <v>104</v>
      </c>
      <c r="F124" s="21" t="str">
        <f>HYPERLINK("#'Data'!A1798", "Percentage of household members who needed to access healthcare in the past 3 months broken down by gender of head of household on the admin of macror...")</f>
        <v>Percentage of household members who needed to access healthcare in the past 3 months broken down by gender of head of household on the admin of macror...</v>
      </c>
    </row>
    <row r="125" spans="2:6" x14ac:dyDescent="0.35">
      <c r="B125" t="s">
        <v>74</v>
      </c>
      <c r="C125" t="s">
        <v>75</v>
      </c>
      <c r="D125" t="s">
        <v>62</v>
      </c>
      <c r="E125" s="43">
        <v>105</v>
      </c>
      <c r="F125" s="21" t="str">
        <f>HYPERLINK("#'Data'!A1818", "Percentage of household members who needed to access healthcare in the past 3 months broken down by age of adults in the households on the admin of ma...")</f>
        <v>Percentage of household members who needed to access healthcare in the past 3 months broken down by age of adults in the households on the admin of ma...</v>
      </c>
    </row>
    <row r="126" spans="2:6" x14ac:dyDescent="0.35">
      <c r="B126" t="s">
        <v>74</v>
      </c>
      <c r="C126" t="s">
        <v>75</v>
      </c>
      <c r="D126" t="s">
        <v>76</v>
      </c>
      <c r="E126" s="43">
        <v>106</v>
      </c>
      <c r="F126" s="21" t="str">
        <f>HYPERLINK("#'Data'!A1837", "Percentage of household members who needed to access healthcare in the past 3 months broken down by households with at least one child (&lt;18 y.o.) on t...")</f>
        <v>Percentage of household members who needed to access healthcare in the past 3 months broken down by households with at least one child (&lt;18 y.o.) on t...</v>
      </c>
    </row>
    <row r="127" spans="2:6" x14ac:dyDescent="0.35">
      <c r="B127" t="s">
        <v>74</v>
      </c>
      <c r="C127" t="s">
        <v>75</v>
      </c>
      <c r="D127" t="s">
        <v>63</v>
      </c>
      <c r="E127" s="43">
        <v>107</v>
      </c>
      <c r="F127" s="21" t="str">
        <f>HYPERLINK("#'Data'!A1851", "Percentage of household members who needed to access healthcare in the past 3 months broken down by displacement status of head of household on the ad...")</f>
        <v>Percentage of household members who needed to access healthcare in the past 3 months broken down by displacement status of head of household on the ad...</v>
      </c>
    </row>
    <row r="128" spans="2:6" x14ac:dyDescent="0.35">
      <c r="B128" t="s">
        <v>74</v>
      </c>
      <c r="C128" t="s">
        <v>75</v>
      </c>
      <c r="D128" t="s">
        <v>64</v>
      </c>
      <c r="E128" s="43">
        <v>108</v>
      </c>
      <c r="F128" s="21" t="str">
        <f>HYPERLINK("#'Data'!A1878", "Percentage of household members who needed to access healthcare in the past 3 months broken down by IDP household on the admin of macroregion perc")</f>
        <v>Percentage of household members who needed to access healthcare in the past 3 months broken down by IDP household on the admin of macroregion perc</v>
      </c>
    </row>
    <row r="129" spans="2:6" x14ac:dyDescent="0.35">
      <c r="B129" t="s">
        <v>74</v>
      </c>
      <c r="C129" t="s">
        <v>75</v>
      </c>
      <c r="D129" t="s">
        <v>65</v>
      </c>
      <c r="E129" s="43">
        <v>109</v>
      </c>
      <c r="F129" s="21" t="str">
        <f>HYPERLINK("#'Data'!A1892", "Percentage of household members who needed to access healthcare in the past 3 months broken down by proximity to frontline/border with Russian Federat...")</f>
        <v>Percentage of household members who needed to access healthcare in the past 3 months broken down by proximity to frontline/border with Russian Federat...</v>
      </c>
    </row>
    <row r="130" spans="2:6" x14ac:dyDescent="0.35">
      <c r="B130" t="s">
        <v>74</v>
      </c>
      <c r="C130" t="s">
        <v>75</v>
      </c>
      <c r="D130" t="s">
        <v>77</v>
      </c>
      <c r="E130" s="43">
        <v>110</v>
      </c>
      <c r="F130" s="21" t="str">
        <f>HYPERLINK("#'Data'!A1907", "Percentage of household members who needed to access healthcare in the past 3 months broken down by caregiving status  on the admin of macroregion per...")</f>
        <v>Percentage of household members who needed to access healthcare in the past 3 months broken down by caregiving status  on the admin of macroregion per...</v>
      </c>
    </row>
    <row r="131" spans="2:6" x14ac:dyDescent="0.35">
      <c r="B131" t="s">
        <v>74</v>
      </c>
      <c r="C131" t="s">
        <v>75</v>
      </c>
      <c r="D131" t="s">
        <v>78</v>
      </c>
      <c r="E131" s="43">
        <v>111</v>
      </c>
      <c r="F131" s="21" t="str">
        <f>HYPERLINK("#'Data'!A1929", "Percentage of household members who needed to access healthcare in the past 3 months broken down by age of household members on the admin of macroregi...")</f>
        <v>Percentage of household members who needed to access healthcare in the past 3 months broken down by age of household members on the admin of macroregi...</v>
      </c>
    </row>
    <row r="132" spans="2:6" x14ac:dyDescent="0.35">
      <c r="B132" t="s">
        <v>74</v>
      </c>
      <c r="C132" t="s">
        <v>75</v>
      </c>
      <c r="D132" t="s">
        <v>52</v>
      </c>
      <c r="E132" s="43">
        <v>112</v>
      </c>
      <c r="F132" s="21" t="str">
        <f>HYPERLINK("#'Data'!A1963", "Percentage of household members who needed to access healthcare in the past 3 months broken down by gender of household members on the admin of macror...")</f>
        <v>Percentage of household members who needed to access healthcare in the past 3 months broken down by gender of household members on the admin of macror...</v>
      </c>
    </row>
    <row r="133" spans="2:6" x14ac:dyDescent="0.35">
      <c r="B133" t="s">
        <v>74</v>
      </c>
      <c r="C133" t="s">
        <v>75</v>
      </c>
      <c r="D133" t="s">
        <v>79</v>
      </c>
      <c r="E133" s="43">
        <v>113</v>
      </c>
      <c r="F133" s="21" t="str">
        <f>HYPERLINK("#'Data'!A1982", "Percentage of household members who needed to access healthcare in the past 3 months broken down by age and gender of household members on the admin o...")</f>
        <v>Percentage of household members who needed to access healthcare in the past 3 months broken down by age and gender of household members on the admin o...</v>
      </c>
    </row>
    <row r="134" spans="2:6" x14ac:dyDescent="0.35">
      <c r="B134" t="s">
        <v>74</v>
      </c>
      <c r="C134" t="s">
        <v>80</v>
      </c>
      <c r="D134" t="s">
        <v>36</v>
      </c>
      <c r="E134" s="43">
        <v>114</v>
      </c>
      <c r="F134" s="21" t="str">
        <f>HYPERLINK("#'Data'!A2055", "Percentage of household members able to obtain all healthcare in the past 3 months  on the admin of macroregion perc")</f>
        <v>Percentage of household members able to obtain all healthcare in the past 3 months  on the admin of macroregion perc</v>
      </c>
    </row>
    <row r="135" spans="2:6" x14ac:dyDescent="0.35">
      <c r="B135" t="s">
        <v>74</v>
      </c>
      <c r="C135" t="s">
        <v>80</v>
      </c>
      <c r="D135" t="s">
        <v>57</v>
      </c>
      <c r="E135" s="43">
        <v>115</v>
      </c>
      <c r="F135" s="21" t="str">
        <f>HYPERLINK("#'Data'!A2064", "Percentage of household members able to obtain all healthcare in the past 3 months  broken down by households with at least one member with a reported...")</f>
        <v>Percentage of household members able to obtain all healthcare in the past 3 months  broken down by households with at least one member with a reported...</v>
      </c>
    </row>
    <row r="136" spans="2:6" x14ac:dyDescent="0.35">
      <c r="B136" t="s">
        <v>74</v>
      </c>
      <c r="C136" t="s">
        <v>80</v>
      </c>
      <c r="D136" t="s">
        <v>58</v>
      </c>
      <c r="E136" s="43">
        <v>116</v>
      </c>
      <c r="F136" s="21" t="str">
        <f>HYPERLINK("#'Data'!A2078", "Percentage of household members able to obtain all healthcare in the past 3 months  broken down by urbanity on the admin of macroregion perc")</f>
        <v>Percentage of household members able to obtain all healthcare in the past 3 months  broken down by urbanity on the admin of macroregion perc</v>
      </c>
    </row>
    <row r="137" spans="2:6" x14ac:dyDescent="0.35">
      <c r="B137" t="s">
        <v>74</v>
      </c>
      <c r="C137" t="s">
        <v>80</v>
      </c>
      <c r="D137" t="s">
        <v>59</v>
      </c>
      <c r="E137" s="43">
        <v>117</v>
      </c>
      <c r="F137" s="21" t="str">
        <f>HYPERLINK("#'Data'!A2092", "Percentage of household members able to obtain all healthcare in the past 3 months  broken down by household size on the admin of macroregion perc")</f>
        <v>Percentage of household members able to obtain all healthcare in the past 3 months  broken down by household size on the admin of macroregion perc</v>
      </c>
    </row>
    <row r="138" spans="2:6" x14ac:dyDescent="0.35">
      <c r="B138" t="s">
        <v>74</v>
      </c>
      <c r="C138" t="s">
        <v>80</v>
      </c>
      <c r="D138" t="s">
        <v>60</v>
      </c>
      <c r="E138" s="43">
        <v>118</v>
      </c>
      <c r="F138" s="21" t="str">
        <f>HYPERLINK("#'Data'!A2111", "Percentage of household members able to obtain all healthcare in the past 3 months  broken down by income per capita (quartiles) on the admin of macro...")</f>
        <v>Percentage of household members able to obtain all healthcare in the past 3 months  broken down by income per capita (quartiles) on the admin of macro...</v>
      </c>
    </row>
    <row r="139" spans="2:6" x14ac:dyDescent="0.35">
      <c r="B139" t="s">
        <v>74</v>
      </c>
      <c r="C139" t="s">
        <v>80</v>
      </c>
      <c r="D139" t="s">
        <v>61</v>
      </c>
      <c r="E139" s="43">
        <v>119</v>
      </c>
      <c r="F139" s="21" t="str">
        <f>HYPERLINK("#'Data'!A2135", "Percentage of household members able to obtain all healthcare in the past 3 months  broken down by gender of head of household on the admin of macrore...")</f>
        <v>Percentage of household members able to obtain all healthcare in the past 3 months  broken down by gender of head of household on the admin of macrore...</v>
      </c>
    </row>
    <row r="140" spans="2:6" x14ac:dyDescent="0.35">
      <c r="B140" t="s">
        <v>74</v>
      </c>
      <c r="C140" t="s">
        <v>80</v>
      </c>
      <c r="D140" t="s">
        <v>62</v>
      </c>
      <c r="E140" s="43">
        <v>120</v>
      </c>
      <c r="F140" s="21" t="str">
        <f>HYPERLINK("#'Data'!A2155", "Percentage of household members able to obtain all healthcare in the past 3 months  broken down by age of adults in the households on the admin of mac...")</f>
        <v>Percentage of household members able to obtain all healthcare in the past 3 months  broken down by age of adults in the households on the admin of mac...</v>
      </c>
    </row>
    <row r="141" spans="2:6" x14ac:dyDescent="0.35">
      <c r="B141" t="s">
        <v>74</v>
      </c>
      <c r="C141" t="s">
        <v>80</v>
      </c>
      <c r="D141" t="s">
        <v>76</v>
      </c>
      <c r="E141" s="43">
        <v>121</v>
      </c>
      <c r="F141" s="21" t="str">
        <f>HYPERLINK("#'Data'!A2174", "Percentage of household members able to obtain all healthcare in the past 3 months  broken down by households with at least one child (&lt;18 y.o.) on th...")</f>
        <v>Percentage of household members able to obtain all healthcare in the past 3 months  broken down by households with at least one child (&lt;18 y.o.) on th...</v>
      </c>
    </row>
    <row r="142" spans="2:6" x14ac:dyDescent="0.35">
      <c r="B142" t="s">
        <v>74</v>
      </c>
      <c r="C142" t="s">
        <v>80</v>
      </c>
      <c r="D142" t="s">
        <v>63</v>
      </c>
      <c r="E142" s="43">
        <v>122</v>
      </c>
      <c r="F142" s="21" t="str">
        <f>HYPERLINK("#'Data'!A2188", "Percentage of household members able to obtain all healthcare in the past 3 months  broken down by displacement status of head of household on the adm...")</f>
        <v>Percentage of household members able to obtain all healthcare in the past 3 months  broken down by displacement status of head of household on the adm...</v>
      </c>
    </row>
    <row r="143" spans="2:6" x14ac:dyDescent="0.35">
      <c r="B143" t="s">
        <v>74</v>
      </c>
      <c r="C143" t="s">
        <v>80</v>
      </c>
      <c r="D143" t="s">
        <v>64</v>
      </c>
      <c r="E143" s="43">
        <v>123</v>
      </c>
      <c r="F143" s="21" t="str">
        <f>HYPERLINK("#'Data'!A2215", "Percentage of household members able to obtain all healthcare in the past 3 months  broken down by IDP household on the admin of macroregion perc")</f>
        <v>Percentage of household members able to obtain all healthcare in the past 3 months  broken down by IDP household on the admin of macroregion perc</v>
      </c>
    </row>
    <row r="144" spans="2:6" x14ac:dyDescent="0.35">
      <c r="B144" t="s">
        <v>74</v>
      </c>
      <c r="C144" t="s">
        <v>80</v>
      </c>
      <c r="D144" t="s">
        <v>65</v>
      </c>
      <c r="E144" s="43">
        <v>124</v>
      </c>
      <c r="F144" s="21" t="str">
        <f>HYPERLINK("#'Data'!A2229", "Percentage of household members able to obtain all healthcare in the past 3 months  broken down by proximity to frontline/border with Russian Federati...")</f>
        <v>Percentage of household members able to obtain all healthcare in the past 3 months  broken down by proximity to frontline/border with Russian Federati...</v>
      </c>
    </row>
    <row r="145" spans="2:6" x14ac:dyDescent="0.35">
      <c r="B145" t="s">
        <v>74</v>
      </c>
      <c r="C145" t="s">
        <v>80</v>
      </c>
      <c r="D145" t="s">
        <v>77</v>
      </c>
      <c r="E145" s="43">
        <v>125</v>
      </c>
      <c r="F145" s="21" t="str">
        <f>HYPERLINK("#'Data'!A2244", "Percentage of household members able to obtain all healthcare in the past 3 months  broken down by caregiving status  on the admin of macroregion perc")</f>
        <v>Percentage of household members able to obtain all healthcare in the past 3 months  broken down by caregiving status  on the admin of macroregion perc</v>
      </c>
    </row>
    <row r="146" spans="2:6" x14ac:dyDescent="0.35">
      <c r="B146" t="s">
        <v>74</v>
      </c>
      <c r="C146" t="s">
        <v>80</v>
      </c>
      <c r="D146" t="s">
        <v>78</v>
      </c>
      <c r="E146" s="43">
        <v>126</v>
      </c>
      <c r="F146" s="21" t="str">
        <f>HYPERLINK("#'Data'!A2266", "Percentage of household members able to obtain all healthcare in the past 3 months  broken down by age of household members on the admin of macroregio...")</f>
        <v>Percentage of household members able to obtain all healthcare in the past 3 months  broken down by age of household members on the admin of macroregio...</v>
      </c>
    </row>
    <row r="147" spans="2:6" x14ac:dyDescent="0.35">
      <c r="B147" t="s">
        <v>74</v>
      </c>
      <c r="C147" t="s">
        <v>80</v>
      </c>
      <c r="D147" t="s">
        <v>52</v>
      </c>
      <c r="E147" s="43">
        <v>127</v>
      </c>
      <c r="F147" s="21" t="str">
        <f>HYPERLINK("#'Data'!A2300", "Percentage of household members able to obtain all healthcare in the past 3 months  broken down by gender of household members on the admin of macrore...")</f>
        <v>Percentage of household members able to obtain all healthcare in the past 3 months  broken down by gender of household members on the admin of macrore...</v>
      </c>
    </row>
    <row r="148" spans="2:6" x14ac:dyDescent="0.35">
      <c r="B148" t="s">
        <v>74</v>
      </c>
      <c r="C148" t="s">
        <v>80</v>
      </c>
      <c r="D148" t="s">
        <v>79</v>
      </c>
      <c r="E148" s="43">
        <v>128</v>
      </c>
      <c r="F148" s="21" t="str">
        <f>HYPERLINK("#'Data'!A2317", "Percentage of household members able to obtain all healthcare in the past 3 months  broken down by age and gender of household members on the admin of...")</f>
        <v>Percentage of household members able to obtain all healthcare in the past 3 months  broken down by age and gender of household members on the admin of...</v>
      </c>
    </row>
    <row r="149" spans="2:6" x14ac:dyDescent="0.35">
      <c r="B149" t="s">
        <v>74</v>
      </c>
      <c r="C149" t="s">
        <v>81</v>
      </c>
      <c r="D149" t="s">
        <v>36</v>
      </c>
      <c r="E149" s="43">
        <v>129</v>
      </c>
      <c r="F149" s="21" t="str">
        <f>HYPERLINK("#'Data'!A2385", "Percentage of household members unable to obtain all healthcare in the past 3 months, by type of need on the admin of macroregion perc")</f>
        <v>Percentage of household members unable to obtain all healthcare in the past 3 months, by type of need on the admin of macroregion perc</v>
      </c>
    </row>
    <row r="150" spans="2:6" x14ac:dyDescent="0.35">
      <c r="B150" t="s">
        <v>74</v>
      </c>
      <c r="C150" t="s">
        <v>81</v>
      </c>
      <c r="D150" t="s">
        <v>57</v>
      </c>
      <c r="E150" s="43">
        <v>130</v>
      </c>
      <c r="F150" s="21" t="str">
        <f>HYPERLINK("#'Data'!A2394", "Percentage of household members unable to obtain all healthcare in the past 3 months, by type of need broken down by households with at least one memb...")</f>
        <v>Percentage of household members unable to obtain all healthcare in the past 3 months, by type of need broken down by households with at least one memb...</v>
      </c>
    </row>
    <row r="151" spans="2:6" x14ac:dyDescent="0.35">
      <c r="B151" t="s">
        <v>74</v>
      </c>
      <c r="C151" t="s">
        <v>81</v>
      </c>
      <c r="D151" t="s">
        <v>58</v>
      </c>
      <c r="E151" s="43">
        <v>131</v>
      </c>
      <c r="F151" s="21" t="str">
        <f>HYPERLINK("#'Data'!A2408", "Percentage of household members unable to obtain all healthcare in the past 3 months, by type of need broken down by urbanity on the admin of macroreg...")</f>
        <v>Percentage of household members unable to obtain all healthcare in the past 3 months, by type of need broken down by urbanity on the admin of macroreg...</v>
      </c>
    </row>
    <row r="152" spans="2:6" x14ac:dyDescent="0.35">
      <c r="B152" t="s">
        <v>74</v>
      </c>
      <c r="C152" t="s">
        <v>81</v>
      </c>
      <c r="D152" t="s">
        <v>59</v>
      </c>
      <c r="E152" s="43">
        <v>132</v>
      </c>
      <c r="F152" s="21" t="str">
        <f>HYPERLINK("#'Data'!A2422", "Percentage of household members unable to obtain all healthcare in the past 3 months, by type of need broken down by household size on the admin of ma...")</f>
        <v>Percentage of household members unable to obtain all healthcare in the past 3 months, by type of need broken down by household size on the admin of ma...</v>
      </c>
    </row>
    <row r="153" spans="2:6" x14ac:dyDescent="0.35">
      <c r="B153" t="s">
        <v>74</v>
      </c>
      <c r="C153" t="s">
        <v>81</v>
      </c>
      <c r="D153" t="s">
        <v>60</v>
      </c>
      <c r="E153" s="43">
        <v>133</v>
      </c>
      <c r="F153" s="21" t="str">
        <f>HYPERLINK("#'Data'!A2441", "Percentage of household members unable to obtain all healthcare in the past 3 months, by type of need broken down by income per capita (quartiles) on ...")</f>
        <v>Percentage of household members unable to obtain all healthcare in the past 3 months, by type of need broken down by income per capita (quartiles) on ...</v>
      </c>
    </row>
    <row r="154" spans="2:6" x14ac:dyDescent="0.35">
      <c r="B154" t="s">
        <v>74</v>
      </c>
      <c r="C154" t="s">
        <v>81</v>
      </c>
      <c r="D154" t="s">
        <v>61</v>
      </c>
      <c r="E154" s="43">
        <v>134</v>
      </c>
      <c r="F154" s="21" t="str">
        <f>HYPERLINK("#'Data'!A2465", "Percentage of household members unable to obtain all healthcare in the past 3 months, by type of need broken down by gender of head of household on th...")</f>
        <v>Percentage of household members unable to obtain all healthcare in the past 3 months, by type of need broken down by gender of head of household on th...</v>
      </c>
    </row>
    <row r="155" spans="2:6" x14ac:dyDescent="0.35">
      <c r="B155" t="s">
        <v>74</v>
      </c>
      <c r="C155" t="s">
        <v>81</v>
      </c>
      <c r="D155" t="s">
        <v>62</v>
      </c>
      <c r="E155" s="43">
        <v>135</v>
      </c>
      <c r="F155" s="21" t="str">
        <f>HYPERLINK("#'Data'!A2484", "Percentage of household members unable to obtain all healthcare in the past 3 months, by type of need broken down by age of adults in the households o...")</f>
        <v>Percentage of household members unable to obtain all healthcare in the past 3 months, by type of need broken down by age of adults in the households o...</v>
      </c>
    </row>
    <row r="156" spans="2:6" x14ac:dyDescent="0.35">
      <c r="B156" t="s">
        <v>74</v>
      </c>
      <c r="C156" t="s">
        <v>81</v>
      </c>
      <c r="D156" t="s">
        <v>76</v>
      </c>
      <c r="E156" s="43">
        <v>136</v>
      </c>
      <c r="F156" s="21" t="str">
        <f>HYPERLINK("#'Data'!A2503", "Percentage of household members unable to obtain all healthcare in the past 3 months, by type of need broken down by households with at least one chil...")</f>
        <v>Percentage of household members unable to obtain all healthcare in the past 3 months, by type of need broken down by households with at least one chil...</v>
      </c>
    </row>
    <row r="157" spans="2:6" x14ac:dyDescent="0.35">
      <c r="B157" t="s">
        <v>74</v>
      </c>
      <c r="C157" t="s">
        <v>81</v>
      </c>
      <c r="D157" t="s">
        <v>63</v>
      </c>
      <c r="E157" s="43">
        <v>137</v>
      </c>
      <c r="F157" s="21" t="str">
        <f>HYPERLINK("#'Data'!A2517", "Percentage of household members unable to obtain all healthcare in the past 3 months, by type of need broken down by displacement status of head of ho...")</f>
        <v>Percentage of household members unable to obtain all healthcare in the past 3 months, by type of need broken down by displacement status of head of ho...</v>
      </c>
    </row>
    <row r="158" spans="2:6" x14ac:dyDescent="0.35">
      <c r="B158" t="s">
        <v>74</v>
      </c>
      <c r="C158" t="s">
        <v>81</v>
      </c>
      <c r="D158" t="s">
        <v>64</v>
      </c>
      <c r="E158" s="43">
        <v>138</v>
      </c>
      <c r="F158" s="21" t="str">
        <f>HYPERLINK("#'Data'!A2539", "Percentage of household members unable to obtain all healthcare in the past 3 months, by type of need broken down by IDP household on the admin of mac...")</f>
        <v>Percentage of household members unable to obtain all healthcare in the past 3 months, by type of need broken down by IDP household on the admin of mac...</v>
      </c>
    </row>
    <row r="159" spans="2:6" x14ac:dyDescent="0.35">
      <c r="B159" t="s">
        <v>74</v>
      </c>
      <c r="C159" t="s">
        <v>81</v>
      </c>
      <c r="D159" t="s">
        <v>65</v>
      </c>
      <c r="E159" s="43">
        <v>139</v>
      </c>
      <c r="F159" s="21" t="str">
        <f>HYPERLINK("#'Data'!A2553", "Percentage of household members unable to obtain all healthcare in the past 3 months, by type of need broken down by proximity to frontline/border wit...")</f>
        <v>Percentage of household members unable to obtain all healthcare in the past 3 months, by type of need broken down by proximity to frontline/border wit...</v>
      </c>
    </row>
    <row r="160" spans="2:6" x14ac:dyDescent="0.35">
      <c r="B160" t="s">
        <v>74</v>
      </c>
      <c r="C160" t="s">
        <v>81</v>
      </c>
      <c r="D160" t="s">
        <v>77</v>
      </c>
      <c r="E160" s="43">
        <v>140</v>
      </c>
      <c r="F160" s="21" t="str">
        <f>HYPERLINK("#'Data'!A2568", "Percentage of household members unable to obtain all healthcare in the past 3 months, by type of need broken down by caregiving status  on the admin o...")</f>
        <v>Percentage of household members unable to obtain all healthcare in the past 3 months, by type of need broken down by caregiving status  on the admin o...</v>
      </c>
    </row>
    <row r="161" spans="2:6" x14ac:dyDescent="0.35">
      <c r="B161" t="s">
        <v>74</v>
      </c>
      <c r="C161" t="s">
        <v>81</v>
      </c>
      <c r="D161" t="s">
        <v>78</v>
      </c>
      <c r="E161" s="43">
        <v>141</v>
      </c>
      <c r="F161" s="21" t="str">
        <f>HYPERLINK("#'Data'!A2586", "Percentage of household members unable to obtain all healthcare in the past 3 months, by type of need broken down by age of household members on the a...")</f>
        <v>Percentage of household members unable to obtain all healthcare in the past 3 months, by type of need broken down by age of household members on the a...</v>
      </c>
    </row>
    <row r="162" spans="2:6" x14ac:dyDescent="0.35">
      <c r="B162" t="s">
        <v>74</v>
      </c>
      <c r="C162" t="s">
        <v>81</v>
      </c>
      <c r="D162" t="s">
        <v>52</v>
      </c>
      <c r="E162" s="43">
        <v>142</v>
      </c>
      <c r="F162" s="21" t="str">
        <f>HYPERLINK("#'Data'!A2617", "Percentage of household members unable to obtain all healthcare in the past 3 months, by type of need broken down by gender of household members on th...")</f>
        <v>Percentage of household members unable to obtain all healthcare in the past 3 months, by type of need broken down by gender of household members on th...</v>
      </c>
    </row>
    <row r="163" spans="2:6" x14ac:dyDescent="0.35">
      <c r="B163" t="s">
        <v>74</v>
      </c>
      <c r="C163" t="s">
        <v>81</v>
      </c>
      <c r="D163" t="s">
        <v>79</v>
      </c>
      <c r="E163" s="43">
        <v>143</v>
      </c>
      <c r="F163" s="21" t="str">
        <f>HYPERLINK("#'Data'!A2631", "Percentage of household members unable to obtain all healthcare in the past 3 months, by type of need broken down by age and gender of household membe...")</f>
        <v>Percentage of household members unable to obtain all healthcare in the past 3 months, by type of need broken down by age and gender of household membe...</v>
      </c>
    </row>
    <row r="164" spans="2:6" x14ac:dyDescent="0.35">
      <c r="B164" t="s">
        <v>74</v>
      </c>
      <c r="C164" t="s">
        <v>82</v>
      </c>
      <c r="D164" t="s">
        <v>36</v>
      </c>
      <c r="E164" s="43">
        <v>144</v>
      </c>
      <c r="F164" s="21" t="str">
        <f>HYPERLINK("#'Data'!A2681", "Average travel time to nearest functioning health facility (minutes) on the admin of macroregion mean")</f>
        <v>Average travel time to nearest functioning health facility (minutes) on the admin of macroregion mean</v>
      </c>
    </row>
    <row r="165" spans="2:6" x14ac:dyDescent="0.35">
      <c r="B165" t="s">
        <v>74</v>
      </c>
      <c r="C165" t="s">
        <v>82</v>
      </c>
      <c r="D165" t="s">
        <v>57</v>
      </c>
      <c r="E165" s="43">
        <v>145</v>
      </c>
      <c r="F165" s="21" t="str">
        <f>HYPERLINK("#'Data'!A2690", "Average travel time to nearest functioning health facility (minutes) broken down by households with at least one member with a reported and/or registe...")</f>
        <v>Average travel time to nearest functioning health facility (minutes) broken down by households with at least one member with a reported and/or registe...</v>
      </c>
    </row>
    <row r="166" spans="2:6" x14ac:dyDescent="0.35">
      <c r="B166" t="s">
        <v>74</v>
      </c>
      <c r="C166" t="s">
        <v>82</v>
      </c>
      <c r="D166" t="s">
        <v>58</v>
      </c>
      <c r="E166" s="43">
        <v>146</v>
      </c>
      <c r="F166" s="21" t="str">
        <f>HYPERLINK("#'Data'!A2704", "Average travel time to nearest functioning health facility (minutes) broken down by urbanity on the admin of macroregion mean")</f>
        <v>Average travel time to nearest functioning health facility (minutes) broken down by urbanity on the admin of macroregion mean</v>
      </c>
    </row>
    <row r="167" spans="2:6" x14ac:dyDescent="0.35">
      <c r="B167" t="s">
        <v>74</v>
      </c>
      <c r="C167" t="s">
        <v>82</v>
      </c>
      <c r="D167" t="s">
        <v>59</v>
      </c>
      <c r="E167" s="43">
        <v>147</v>
      </c>
      <c r="F167" s="21" t="str">
        <f>HYPERLINK("#'Data'!A2718", "Average travel time to nearest functioning health facility (minutes) broken down by household size on the admin of macroregion mean")</f>
        <v>Average travel time to nearest functioning health facility (minutes) broken down by household size on the admin of macroregion mean</v>
      </c>
    </row>
    <row r="168" spans="2:6" x14ac:dyDescent="0.35">
      <c r="B168" t="s">
        <v>74</v>
      </c>
      <c r="C168" t="s">
        <v>82</v>
      </c>
      <c r="D168" t="s">
        <v>60</v>
      </c>
      <c r="E168" s="43">
        <v>148</v>
      </c>
      <c r="F168" s="21" t="str">
        <f>HYPERLINK("#'Data'!A2737", "Average travel time to nearest functioning health facility (minutes) broken down by income per capita (quartiles) on the admin of macroregion mean")</f>
        <v>Average travel time to nearest functioning health facility (minutes) broken down by income per capita (quartiles) on the admin of macroregion mean</v>
      </c>
    </row>
    <row r="169" spans="2:6" x14ac:dyDescent="0.35">
      <c r="B169" t="s">
        <v>74</v>
      </c>
      <c r="C169" t="s">
        <v>82</v>
      </c>
      <c r="D169" t="s">
        <v>61</v>
      </c>
      <c r="E169" s="43">
        <v>149</v>
      </c>
      <c r="F169" s="21" t="str">
        <f>HYPERLINK("#'Data'!A2761", "Average travel time to nearest functioning health facility (minutes) broken down by gender of head of household on the admin of macroregion mean")</f>
        <v>Average travel time to nearest functioning health facility (minutes) broken down by gender of head of household on the admin of macroregion mean</v>
      </c>
    </row>
    <row r="170" spans="2:6" x14ac:dyDescent="0.35">
      <c r="B170" t="s">
        <v>74</v>
      </c>
      <c r="C170" t="s">
        <v>82</v>
      </c>
      <c r="D170" t="s">
        <v>62</v>
      </c>
      <c r="E170" s="43">
        <v>150</v>
      </c>
      <c r="F170" s="21" t="str">
        <f>HYPERLINK("#'Data'!A2781", "Average travel time to nearest functioning health facility (minutes) broken down by age of adults in the households on the admin of macroregion mean")</f>
        <v>Average travel time to nearest functioning health facility (minutes) broken down by age of adults in the households on the admin of macroregion mean</v>
      </c>
    </row>
    <row r="171" spans="2:6" x14ac:dyDescent="0.35">
      <c r="B171" t="s">
        <v>74</v>
      </c>
      <c r="C171" t="s">
        <v>82</v>
      </c>
      <c r="D171" t="s">
        <v>76</v>
      </c>
      <c r="E171" s="43">
        <v>151</v>
      </c>
      <c r="F171" s="21" t="str">
        <f>HYPERLINK("#'Data'!A2800", "Average travel time to nearest functioning health facility (minutes) broken down by households with at least one child (&lt;18 y.o.) on the admin of macr...")</f>
        <v>Average travel time to nearest functioning health facility (minutes) broken down by households with at least one child (&lt;18 y.o.) on the admin of macr...</v>
      </c>
    </row>
    <row r="172" spans="2:6" x14ac:dyDescent="0.35">
      <c r="B172" t="s">
        <v>74</v>
      </c>
      <c r="C172" t="s">
        <v>82</v>
      </c>
      <c r="D172" t="s">
        <v>63</v>
      </c>
      <c r="E172" s="43">
        <v>152</v>
      </c>
      <c r="F172" s="21" t="str">
        <f>HYPERLINK("#'Data'!A2814", "Average travel time to nearest functioning health facility (minutes) broken down by displacement status of head of household on the admin of macroregi...")</f>
        <v>Average travel time to nearest functioning health facility (minutes) broken down by displacement status of head of household on the admin of macroregi...</v>
      </c>
    </row>
    <row r="173" spans="2:6" x14ac:dyDescent="0.35">
      <c r="B173" t="s">
        <v>74</v>
      </c>
      <c r="C173" t="s">
        <v>82</v>
      </c>
      <c r="D173" t="s">
        <v>64</v>
      </c>
      <c r="E173" s="43">
        <v>153</v>
      </c>
      <c r="F173" s="21" t="str">
        <f>HYPERLINK("#'Data'!A2841", "Average travel time to nearest functioning health facility (minutes) broken down by IDP household on the admin of macroregion mean")</f>
        <v>Average travel time to nearest functioning health facility (minutes) broken down by IDP household on the admin of macroregion mean</v>
      </c>
    </row>
    <row r="174" spans="2:6" x14ac:dyDescent="0.35">
      <c r="B174" t="s">
        <v>74</v>
      </c>
      <c r="C174" t="s">
        <v>82</v>
      </c>
      <c r="D174" t="s">
        <v>65</v>
      </c>
      <c r="E174" s="43">
        <v>154</v>
      </c>
      <c r="F174" s="21" t="str">
        <f>HYPERLINK("#'Data'!A2855", "Average travel time to nearest functioning health facility (minutes) broken down by proximity to frontline/border with Russian Federation on the admin...")</f>
        <v>Average travel time to nearest functioning health facility (minutes) broken down by proximity to frontline/border with Russian Federation on the admin...</v>
      </c>
    </row>
    <row r="175" spans="2:6" x14ac:dyDescent="0.35">
      <c r="B175" t="s">
        <v>74</v>
      </c>
      <c r="C175" t="s">
        <v>82</v>
      </c>
      <c r="D175" t="s">
        <v>77</v>
      </c>
      <c r="E175" s="43">
        <v>155</v>
      </c>
      <c r="F175" s="21" t="str">
        <f>HYPERLINK("#'Data'!A2870", "Average travel time to nearest functioning health facility (minutes) broken down by caregiving status  on the admin of macroregion mean")</f>
        <v>Average travel time to nearest functioning health facility (minutes) broken down by caregiving status  on the admin of macroregion mean</v>
      </c>
    </row>
    <row r="176" spans="2:6" x14ac:dyDescent="0.35">
      <c r="B176" t="s">
        <v>74</v>
      </c>
      <c r="C176" t="s">
        <v>83</v>
      </c>
      <c r="D176" t="s">
        <v>36</v>
      </c>
      <c r="E176" s="43">
        <v>156</v>
      </c>
      <c r="F176" s="21" t="str">
        <f>HYPERLINK("#'Data'!A2892", "Households with members with chronic conditions requiring regular medication on the admin of macroregion perc")</f>
        <v>Households with members with chronic conditions requiring regular medication on the admin of macroregion perc</v>
      </c>
    </row>
    <row r="177" spans="2:6" x14ac:dyDescent="0.35">
      <c r="B177" t="s">
        <v>74</v>
      </c>
      <c r="C177" t="s">
        <v>83</v>
      </c>
      <c r="D177" t="s">
        <v>57</v>
      </c>
      <c r="E177" s="43">
        <v>157</v>
      </c>
      <c r="F177" s="21" t="str">
        <f>HYPERLINK("#'Data'!A2901", "Households with members with chronic conditions requiring regular medication broken down by households with at least one member with a reported and/or...")</f>
        <v>Households with members with chronic conditions requiring regular medication broken down by households with at least one member with a reported and/or...</v>
      </c>
    </row>
    <row r="178" spans="2:6" x14ac:dyDescent="0.35">
      <c r="B178" t="s">
        <v>74</v>
      </c>
      <c r="C178" t="s">
        <v>83</v>
      </c>
      <c r="D178" t="s">
        <v>58</v>
      </c>
      <c r="E178" s="43">
        <v>158</v>
      </c>
      <c r="F178" s="21" t="str">
        <f>HYPERLINK("#'Data'!A2915", "Households with members with chronic conditions requiring regular medication broken down by urbanity on the admin of macroregion perc")</f>
        <v>Households with members with chronic conditions requiring regular medication broken down by urbanity on the admin of macroregion perc</v>
      </c>
    </row>
    <row r="179" spans="2:6" x14ac:dyDescent="0.35">
      <c r="B179" t="s">
        <v>74</v>
      </c>
      <c r="C179" t="s">
        <v>83</v>
      </c>
      <c r="D179" t="s">
        <v>59</v>
      </c>
      <c r="E179" s="43">
        <v>159</v>
      </c>
      <c r="F179" s="21" t="str">
        <f>HYPERLINK("#'Data'!A2929", "Households with members with chronic conditions requiring regular medication broken down by household size on the admin of macroregion perc")</f>
        <v>Households with members with chronic conditions requiring regular medication broken down by household size on the admin of macroregion perc</v>
      </c>
    </row>
    <row r="180" spans="2:6" x14ac:dyDescent="0.35">
      <c r="B180" t="s">
        <v>74</v>
      </c>
      <c r="C180" t="s">
        <v>83</v>
      </c>
      <c r="D180" t="s">
        <v>60</v>
      </c>
      <c r="E180" s="43">
        <v>160</v>
      </c>
      <c r="F180" s="21" t="str">
        <f>HYPERLINK("#'Data'!A2948", "Households with members with chronic conditions requiring regular medication broken down by income per capita (quartiles) on the admin of macroregion ...")</f>
        <v>Households with members with chronic conditions requiring regular medication broken down by income per capita (quartiles) on the admin of macroregion ...</v>
      </c>
    </row>
    <row r="181" spans="2:6" x14ac:dyDescent="0.35">
      <c r="B181" t="s">
        <v>74</v>
      </c>
      <c r="C181" t="s">
        <v>83</v>
      </c>
      <c r="D181" t="s">
        <v>61</v>
      </c>
      <c r="E181" s="43">
        <v>161</v>
      </c>
      <c r="F181" s="21" t="str">
        <f>HYPERLINK("#'Data'!A2972", "Households with members with chronic conditions requiring regular medication broken down by gender of head of household on the admin of macroregion pe...")</f>
        <v>Households with members with chronic conditions requiring regular medication broken down by gender of head of household on the admin of macroregion pe...</v>
      </c>
    </row>
    <row r="182" spans="2:6" x14ac:dyDescent="0.35">
      <c r="B182" t="s">
        <v>74</v>
      </c>
      <c r="C182" t="s">
        <v>83</v>
      </c>
      <c r="D182" t="s">
        <v>62</v>
      </c>
      <c r="E182" s="43">
        <v>162</v>
      </c>
      <c r="F182" s="21" t="str">
        <f>HYPERLINK("#'Data'!A2992", "Households with members with chronic conditions requiring regular medication broken down by age of adults in the households on the admin of macroregio...")</f>
        <v>Households with members with chronic conditions requiring regular medication broken down by age of adults in the households on the admin of macroregio...</v>
      </c>
    </row>
    <row r="183" spans="2:6" x14ac:dyDescent="0.35">
      <c r="B183" t="s">
        <v>74</v>
      </c>
      <c r="C183" t="s">
        <v>83</v>
      </c>
      <c r="D183" t="s">
        <v>76</v>
      </c>
      <c r="E183" s="43">
        <v>163</v>
      </c>
      <c r="F183" s="21" t="str">
        <f>HYPERLINK("#'Data'!A3011", "Households with members with chronic conditions requiring regular medication broken down by households with at least one child (&lt;18 y.o.) on the admin...")</f>
        <v>Households with members with chronic conditions requiring regular medication broken down by households with at least one child (&lt;18 y.o.) on the admin...</v>
      </c>
    </row>
    <row r="184" spans="2:6" x14ac:dyDescent="0.35">
      <c r="B184" t="s">
        <v>74</v>
      </c>
      <c r="C184" t="s">
        <v>83</v>
      </c>
      <c r="D184" t="s">
        <v>63</v>
      </c>
      <c r="E184" s="43">
        <v>164</v>
      </c>
      <c r="F184" s="21" t="str">
        <f>HYPERLINK("#'Data'!A3025", "Households with members with chronic conditions requiring regular medication broken down by displacement status of head of household on the admin of m...")</f>
        <v>Households with members with chronic conditions requiring regular medication broken down by displacement status of head of household on the admin of m...</v>
      </c>
    </row>
    <row r="185" spans="2:6" x14ac:dyDescent="0.35">
      <c r="B185" t="s">
        <v>74</v>
      </c>
      <c r="C185" t="s">
        <v>83</v>
      </c>
      <c r="D185" t="s">
        <v>64</v>
      </c>
      <c r="E185" s="43">
        <v>165</v>
      </c>
      <c r="F185" s="21" t="str">
        <f>HYPERLINK("#'Data'!A3052", "Households with members with chronic conditions requiring regular medication broken down by IDP household on the admin of macroregion perc")</f>
        <v>Households with members with chronic conditions requiring regular medication broken down by IDP household on the admin of macroregion perc</v>
      </c>
    </row>
    <row r="186" spans="2:6" x14ac:dyDescent="0.35">
      <c r="B186" t="s">
        <v>74</v>
      </c>
      <c r="C186" t="s">
        <v>83</v>
      </c>
      <c r="D186" t="s">
        <v>65</v>
      </c>
      <c r="E186" s="43">
        <v>166</v>
      </c>
      <c r="F186" s="21" t="str">
        <f>HYPERLINK("#'Data'!A3066", "Households with members with chronic conditions requiring regular medication broken down by proximity to frontline/border with Russian Federation on t...")</f>
        <v>Households with members with chronic conditions requiring regular medication broken down by proximity to frontline/border with Russian Federation on t...</v>
      </c>
    </row>
    <row r="187" spans="2:6" x14ac:dyDescent="0.35">
      <c r="B187" t="s">
        <v>74</v>
      </c>
      <c r="C187" t="s">
        <v>83</v>
      </c>
      <c r="D187" t="s">
        <v>77</v>
      </c>
      <c r="E187" s="43">
        <v>167</v>
      </c>
      <c r="F187" s="21" t="str">
        <f>HYPERLINK("#'Data'!A3081", "Households with members with chronic conditions requiring regular medication broken down by caregiving status  on the admin of macroregion perc")</f>
        <v>Households with members with chronic conditions requiring regular medication broken down by caregiving status  on the admin of macroregion perc</v>
      </c>
    </row>
    <row r="188" spans="2:6" x14ac:dyDescent="0.35">
      <c r="B188" t="s">
        <v>74</v>
      </c>
      <c r="C188" t="s">
        <v>84</v>
      </c>
      <c r="D188" t="s">
        <v>36</v>
      </c>
      <c r="E188" s="43">
        <v>168</v>
      </c>
      <c r="F188" s="21" t="str">
        <f>HYPERLINK("#'Data'!A3103",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89" spans="2:6" x14ac:dyDescent="0.35">
      <c r="B189" t="s">
        <v>74</v>
      </c>
      <c r="C189" t="s">
        <v>84</v>
      </c>
      <c r="D189" t="s">
        <v>57</v>
      </c>
      <c r="E189" s="43">
        <v>169</v>
      </c>
      <c r="F189" s="21" t="str">
        <f>HYPERLINK("#'Data'!A3112",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0" spans="2:6" x14ac:dyDescent="0.35">
      <c r="B190" t="s">
        <v>74</v>
      </c>
      <c r="C190" t="s">
        <v>84</v>
      </c>
      <c r="D190" t="s">
        <v>58</v>
      </c>
      <c r="E190" s="43">
        <v>170</v>
      </c>
      <c r="F190" s="21" t="str">
        <f>HYPERLINK("#'Data'!A3126",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1" spans="2:6" x14ac:dyDescent="0.35">
      <c r="B191" t="s">
        <v>74</v>
      </c>
      <c r="C191" t="s">
        <v>84</v>
      </c>
      <c r="D191" t="s">
        <v>59</v>
      </c>
      <c r="E191" s="43">
        <v>171</v>
      </c>
      <c r="F191" s="21" t="str">
        <f>HYPERLINK("#'Data'!A3140",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2" spans="2:6" x14ac:dyDescent="0.35">
      <c r="B192" t="s">
        <v>74</v>
      </c>
      <c r="C192" t="s">
        <v>84</v>
      </c>
      <c r="D192" t="s">
        <v>60</v>
      </c>
      <c r="E192" s="43">
        <v>172</v>
      </c>
      <c r="F192" s="21" t="str">
        <f>HYPERLINK("#'Data'!A3159",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3" spans="2:6" x14ac:dyDescent="0.35">
      <c r="B193" t="s">
        <v>74</v>
      </c>
      <c r="C193" t="s">
        <v>84</v>
      </c>
      <c r="D193" t="s">
        <v>61</v>
      </c>
      <c r="E193" s="43">
        <v>173</v>
      </c>
      <c r="F193" s="21" t="str">
        <f>HYPERLINK("#'Data'!A3183",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4" spans="2:6" x14ac:dyDescent="0.35">
      <c r="B194" t="s">
        <v>74</v>
      </c>
      <c r="C194" t="s">
        <v>84</v>
      </c>
      <c r="D194" t="s">
        <v>62</v>
      </c>
      <c r="E194" s="43">
        <v>174</v>
      </c>
      <c r="F194" s="21" t="str">
        <f>HYPERLINK("#'Data'!A3203",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5" spans="2:6" x14ac:dyDescent="0.35">
      <c r="B195" t="s">
        <v>74</v>
      </c>
      <c r="C195" t="s">
        <v>84</v>
      </c>
      <c r="D195" t="s">
        <v>76</v>
      </c>
      <c r="E195" s="43">
        <v>175</v>
      </c>
      <c r="F195" s="21" t="str">
        <f>HYPERLINK("#'Data'!A3222",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6" spans="2:6" x14ac:dyDescent="0.35">
      <c r="B196" t="s">
        <v>74</v>
      </c>
      <c r="C196" t="s">
        <v>84</v>
      </c>
      <c r="D196" t="s">
        <v>63</v>
      </c>
      <c r="E196" s="43">
        <v>176</v>
      </c>
      <c r="F196" s="21" t="str">
        <f>HYPERLINK("#'Data'!A3236",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7" spans="2:6" x14ac:dyDescent="0.35">
      <c r="B197" t="s">
        <v>74</v>
      </c>
      <c r="C197" t="s">
        <v>84</v>
      </c>
      <c r="D197" t="s">
        <v>64</v>
      </c>
      <c r="E197" s="43">
        <v>177</v>
      </c>
      <c r="F197" s="21" t="str">
        <f>HYPERLINK("#'Data'!A3262",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8" spans="2:6" x14ac:dyDescent="0.35">
      <c r="B198" t="s">
        <v>74</v>
      </c>
      <c r="C198" t="s">
        <v>84</v>
      </c>
      <c r="D198" t="s">
        <v>65</v>
      </c>
      <c r="E198" s="43">
        <v>178</v>
      </c>
      <c r="F198" s="21" t="str">
        <f>HYPERLINK("#'Data'!A3276",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99" spans="2:6" x14ac:dyDescent="0.35">
      <c r="B199" t="s">
        <v>74</v>
      </c>
      <c r="C199" t="s">
        <v>84</v>
      </c>
      <c r="D199" t="s">
        <v>77</v>
      </c>
      <c r="E199" s="43">
        <v>179</v>
      </c>
      <c r="F199" s="21" t="str">
        <f>HYPERLINK("#'Data'!A3291",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200" spans="2:6" x14ac:dyDescent="0.35">
      <c r="B200" t="s">
        <v>74</v>
      </c>
      <c r="C200" t="s">
        <v>85</v>
      </c>
      <c r="D200" t="s">
        <v>36</v>
      </c>
      <c r="E200" s="43">
        <v>180</v>
      </c>
      <c r="F200" s="21" t="str">
        <f>HYPERLINK("#'Data'!A3311", "Percentage of households by barriers preventing access to health care in the past 3 months on the admin of macroregion perc")</f>
        <v>Percentage of households by barriers preventing access to health care in the past 3 months on the admin of macroregion perc</v>
      </c>
    </row>
    <row r="201" spans="2:6" x14ac:dyDescent="0.35">
      <c r="B201" t="s">
        <v>74</v>
      </c>
      <c r="C201" t="s">
        <v>85</v>
      </c>
      <c r="D201" t="s">
        <v>57</v>
      </c>
      <c r="E201" s="43">
        <v>181</v>
      </c>
      <c r="F201" s="21" t="str">
        <f>HYPERLINK("#'Data'!A3320", "Percentage of households by barriers preventing access to health care in the past 3 months broken down by households with at least one member with a r...")</f>
        <v>Percentage of households by barriers preventing access to health care in the past 3 months broken down by households with at least one member with a r...</v>
      </c>
    </row>
    <row r="202" spans="2:6" x14ac:dyDescent="0.35">
      <c r="B202" t="s">
        <v>74</v>
      </c>
      <c r="C202" t="s">
        <v>85</v>
      </c>
      <c r="D202" t="s">
        <v>58</v>
      </c>
      <c r="E202" s="43">
        <v>182</v>
      </c>
      <c r="F202" s="21" t="str">
        <f>HYPERLINK("#'Data'!A3334", "Percentage of households by barriers preventing access to health care in the past 3 months broken down by urbanity on the admin of macroregion perc")</f>
        <v>Percentage of households by barriers preventing access to health care in the past 3 months broken down by urbanity on the admin of macroregion perc</v>
      </c>
    </row>
    <row r="203" spans="2:6" x14ac:dyDescent="0.35">
      <c r="B203" t="s">
        <v>74</v>
      </c>
      <c r="C203" t="s">
        <v>85</v>
      </c>
      <c r="D203" t="s">
        <v>59</v>
      </c>
      <c r="E203" s="43">
        <v>183</v>
      </c>
      <c r="F203" s="21" t="str">
        <f>HYPERLINK("#'Data'!A3348", "Percentage of households by barriers preventing access to health care in the past 3 months broken down by household size on the admin of macroregion p...")</f>
        <v>Percentage of households by barriers preventing access to health care in the past 3 months broken down by household size on the admin of macroregion p...</v>
      </c>
    </row>
    <row r="204" spans="2:6" x14ac:dyDescent="0.35">
      <c r="B204" t="s">
        <v>74</v>
      </c>
      <c r="C204" t="s">
        <v>85</v>
      </c>
      <c r="D204" t="s">
        <v>60</v>
      </c>
      <c r="E204" s="43">
        <v>184</v>
      </c>
      <c r="F204" s="21" t="str">
        <f>HYPERLINK("#'Data'!A3367", "Percentage of households by barriers preventing access to health care in the past 3 months broken down by income per capita (quartiles) on the admin o...")</f>
        <v>Percentage of households by barriers preventing access to health care in the past 3 months broken down by income per capita (quartiles) on the admin o...</v>
      </c>
    </row>
    <row r="205" spans="2:6" x14ac:dyDescent="0.35">
      <c r="B205" t="s">
        <v>74</v>
      </c>
      <c r="C205" t="s">
        <v>85</v>
      </c>
      <c r="D205" t="s">
        <v>61</v>
      </c>
      <c r="E205" s="43">
        <v>185</v>
      </c>
      <c r="F205" s="21" t="str">
        <f>HYPERLINK("#'Data'!A3391", "Percentage of households by barriers preventing access to health care in the past 3 months broken down by gender of head of household on the admin of ...")</f>
        <v>Percentage of households by barriers preventing access to health care in the past 3 months broken down by gender of head of household on the admin of ...</v>
      </c>
    </row>
    <row r="206" spans="2:6" x14ac:dyDescent="0.35">
      <c r="B206" t="s">
        <v>74</v>
      </c>
      <c r="C206" t="s">
        <v>85</v>
      </c>
      <c r="D206" t="s">
        <v>62</v>
      </c>
      <c r="E206" s="43">
        <v>186</v>
      </c>
      <c r="F206" s="21" t="str">
        <f>HYPERLINK("#'Data'!A3411", "Percentage of households by barriers preventing access to health care in the past 3 months broken down by age of adults in the households on the admin...")</f>
        <v>Percentage of households by barriers preventing access to health care in the past 3 months broken down by age of adults in the households on the admin...</v>
      </c>
    </row>
    <row r="207" spans="2:6" x14ac:dyDescent="0.35">
      <c r="B207" t="s">
        <v>74</v>
      </c>
      <c r="C207" t="s">
        <v>85</v>
      </c>
      <c r="D207" t="s">
        <v>76</v>
      </c>
      <c r="E207" s="43">
        <v>187</v>
      </c>
      <c r="F207" s="21" t="str">
        <f>HYPERLINK("#'Data'!A3430", "Percentage of households by barriers preventing access to health care in the past 3 months broken down by households with at least one child (&lt;18 y.o....")</f>
        <v>Percentage of households by barriers preventing access to health care in the past 3 months broken down by households with at least one child (&lt;18 y.o....</v>
      </c>
    </row>
    <row r="208" spans="2:6" x14ac:dyDescent="0.35">
      <c r="B208" t="s">
        <v>74</v>
      </c>
      <c r="C208" t="s">
        <v>85</v>
      </c>
      <c r="D208" t="s">
        <v>63</v>
      </c>
      <c r="E208" s="43">
        <v>188</v>
      </c>
      <c r="F208" s="21" t="str">
        <f>HYPERLINK("#'Data'!A3444", "Percentage of households by barriers preventing access to health care in the past 3 months broken down by displacement status of head of household on ...")</f>
        <v>Percentage of households by barriers preventing access to health care in the past 3 months broken down by displacement status of head of household on ...</v>
      </c>
    </row>
    <row r="209" spans="2:6" x14ac:dyDescent="0.35">
      <c r="B209" t="s">
        <v>74</v>
      </c>
      <c r="C209" t="s">
        <v>85</v>
      </c>
      <c r="D209" t="s">
        <v>64</v>
      </c>
      <c r="E209" s="43">
        <v>189</v>
      </c>
      <c r="F209" s="21" t="str">
        <f>HYPERLINK("#'Data'!A3471", "Percentage of households by barriers preventing access to health care in the past 3 months broken down by IDP household on the admin of macroregion pe...")</f>
        <v>Percentage of households by barriers preventing access to health care in the past 3 months broken down by IDP household on the admin of macroregion pe...</v>
      </c>
    </row>
    <row r="210" spans="2:6" x14ac:dyDescent="0.35">
      <c r="B210" t="s">
        <v>74</v>
      </c>
      <c r="C210" t="s">
        <v>85</v>
      </c>
      <c r="D210" t="s">
        <v>65</v>
      </c>
      <c r="E210" s="43">
        <v>190</v>
      </c>
      <c r="F210" s="21" t="str">
        <f>HYPERLINK("#'Data'!A3485", "Percentage of households by barriers preventing access to health care in the past 3 months broken down by proximity to frontline/border with Russian F...")</f>
        <v>Percentage of households by barriers preventing access to health care in the past 3 months broken down by proximity to frontline/border with Russian F...</v>
      </c>
    </row>
    <row r="211" spans="2:6" x14ac:dyDescent="0.35">
      <c r="B211" t="s">
        <v>74</v>
      </c>
      <c r="C211" t="s">
        <v>85</v>
      </c>
      <c r="D211" t="s">
        <v>77</v>
      </c>
      <c r="E211" s="43">
        <v>191</v>
      </c>
      <c r="F211" s="21" t="str">
        <f>HYPERLINK("#'Data'!A3500", "Percentage of households by barriers preventing access to health care in the past 3 months broken down by caregiving status  on the admin of macroregi...")</f>
        <v>Percentage of households by barriers preventing access to health care in the past 3 months broken down by caregiving status  on the admin of macroregi...</v>
      </c>
    </row>
    <row r="212" spans="2:6" x14ac:dyDescent="0.35">
      <c r="B212" t="s">
        <v>86</v>
      </c>
      <c r="C212" t="s">
        <v>87</v>
      </c>
      <c r="D212" t="s">
        <v>36</v>
      </c>
      <c r="E212" s="43">
        <v>192</v>
      </c>
      <c r="F212" s="21" t="str">
        <f>HYPERLINK("#'Data'!A3522", "Percentage of households feeling emotionally unwell (2+ weeks in the past 6 months) on the admin of macroregion perc")</f>
        <v>Percentage of households feeling emotionally unwell (2+ weeks in the past 6 months) on the admin of macroregion perc</v>
      </c>
    </row>
    <row r="213" spans="2:6" x14ac:dyDescent="0.35">
      <c r="B213" t="s">
        <v>86</v>
      </c>
      <c r="C213" t="s">
        <v>87</v>
      </c>
      <c r="D213" t="s">
        <v>57</v>
      </c>
      <c r="E213" s="43">
        <v>193</v>
      </c>
      <c r="F213" s="21" t="str">
        <f>HYPERLINK("#'Data'!A3531", "Percentage of households feeling emotionally unwell (2+ weeks in the past 6 months) broken down by households with at least one member with a reported...")</f>
        <v>Percentage of households feeling emotionally unwell (2+ weeks in the past 6 months) broken down by households with at least one member with a reported...</v>
      </c>
    </row>
    <row r="214" spans="2:6" x14ac:dyDescent="0.35">
      <c r="B214" t="s">
        <v>86</v>
      </c>
      <c r="C214" t="s">
        <v>87</v>
      </c>
      <c r="D214" t="s">
        <v>58</v>
      </c>
      <c r="E214" s="43">
        <v>194</v>
      </c>
      <c r="F214" s="21" t="str">
        <f>HYPERLINK("#'Data'!A3545", "Percentage of households feeling emotionally unwell (2+ weeks in the past 6 months) broken down by urbanity on the admin of macroregion perc")</f>
        <v>Percentage of households feeling emotionally unwell (2+ weeks in the past 6 months) broken down by urbanity on the admin of macroregion perc</v>
      </c>
    </row>
    <row r="215" spans="2:6" x14ac:dyDescent="0.35">
      <c r="B215" t="s">
        <v>86</v>
      </c>
      <c r="C215" t="s">
        <v>87</v>
      </c>
      <c r="D215" t="s">
        <v>59</v>
      </c>
      <c r="E215" s="43">
        <v>195</v>
      </c>
      <c r="F215" s="21" t="str">
        <f>HYPERLINK("#'Data'!A3559", "Percentage of households feeling emotionally unwell (2+ weeks in the past 6 months) broken down by household size on the admin of macroregion perc")</f>
        <v>Percentage of households feeling emotionally unwell (2+ weeks in the past 6 months) broken down by household size on the admin of macroregion perc</v>
      </c>
    </row>
    <row r="216" spans="2:6" x14ac:dyDescent="0.35">
      <c r="B216" t="s">
        <v>86</v>
      </c>
      <c r="C216" t="s">
        <v>87</v>
      </c>
      <c r="D216" t="s">
        <v>60</v>
      </c>
      <c r="E216" s="43">
        <v>196</v>
      </c>
      <c r="F216" s="21" t="str">
        <f>HYPERLINK("#'Data'!A3578", "Percentage of households feeling emotionally unwell (2+ weeks in the past 6 months) broken down by income per capita (quartiles) on the admin of macro...")</f>
        <v>Percentage of households feeling emotionally unwell (2+ weeks in the past 6 months) broken down by income per capita (quartiles) on the admin of macro...</v>
      </c>
    </row>
    <row r="217" spans="2:6" x14ac:dyDescent="0.35">
      <c r="B217" t="s">
        <v>86</v>
      </c>
      <c r="C217" t="s">
        <v>87</v>
      </c>
      <c r="D217" t="s">
        <v>61</v>
      </c>
      <c r="E217" s="43">
        <v>197</v>
      </c>
      <c r="F217" s="21" t="str">
        <f>HYPERLINK("#'Data'!A3602", "Percentage of households feeling emotionally unwell (2+ weeks in the past 6 months) broken down by gender of head of household on the admin of macrore...")</f>
        <v>Percentage of households feeling emotionally unwell (2+ weeks in the past 6 months) broken down by gender of head of household on the admin of macrore...</v>
      </c>
    </row>
    <row r="218" spans="2:6" x14ac:dyDescent="0.35">
      <c r="B218" t="s">
        <v>86</v>
      </c>
      <c r="C218" t="s">
        <v>87</v>
      </c>
      <c r="D218" t="s">
        <v>62</v>
      </c>
      <c r="E218" s="43">
        <v>198</v>
      </c>
      <c r="F218" s="21" t="str">
        <f>HYPERLINK("#'Data'!A3622", "Percentage of households feeling emotionally unwell (2+ weeks in the past 6 months) broken down by age of adults in the households on the admin of mac...")</f>
        <v>Percentage of households feeling emotionally unwell (2+ weeks in the past 6 months) broken down by age of adults in the households on the admin of mac...</v>
      </c>
    </row>
    <row r="219" spans="2:6" x14ac:dyDescent="0.35">
      <c r="B219" t="s">
        <v>86</v>
      </c>
      <c r="C219" t="s">
        <v>87</v>
      </c>
      <c r="D219" t="s">
        <v>76</v>
      </c>
      <c r="E219" s="43">
        <v>199</v>
      </c>
      <c r="F219" s="21" t="str">
        <f>HYPERLINK("#'Data'!A3641", "Percentage of households feeling emotionally unwell (2+ weeks in the past 6 months) broken down by households with at least one child (&lt;18 y.o.) on th...")</f>
        <v>Percentage of households feeling emotionally unwell (2+ weeks in the past 6 months) broken down by households with at least one child (&lt;18 y.o.) on th...</v>
      </c>
    </row>
    <row r="220" spans="2:6" x14ac:dyDescent="0.35">
      <c r="B220" t="s">
        <v>86</v>
      </c>
      <c r="C220" t="s">
        <v>87</v>
      </c>
      <c r="D220" t="s">
        <v>63</v>
      </c>
      <c r="E220" s="43">
        <v>200</v>
      </c>
      <c r="F220" s="21" t="str">
        <f>HYPERLINK("#'Data'!A3655", "Percentage of households feeling emotionally unwell (2+ weeks in the past 6 months) broken down by displacement status of head of household on the adm...")</f>
        <v>Percentage of households feeling emotionally unwell (2+ weeks in the past 6 months) broken down by displacement status of head of household on the adm...</v>
      </c>
    </row>
    <row r="221" spans="2:6" x14ac:dyDescent="0.35">
      <c r="B221" t="s">
        <v>86</v>
      </c>
      <c r="C221" t="s">
        <v>87</v>
      </c>
      <c r="D221" t="s">
        <v>64</v>
      </c>
      <c r="E221" s="43">
        <v>201</v>
      </c>
      <c r="F221" s="21" t="str">
        <f>HYPERLINK("#'Data'!A3682", "Percentage of households feeling emotionally unwell (2+ weeks in the past 6 months) broken down by IDP household on the admin of macroregion perc")</f>
        <v>Percentage of households feeling emotionally unwell (2+ weeks in the past 6 months) broken down by IDP household on the admin of macroregion perc</v>
      </c>
    </row>
    <row r="222" spans="2:6" x14ac:dyDescent="0.35">
      <c r="B222" t="s">
        <v>86</v>
      </c>
      <c r="C222" t="s">
        <v>87</v>
      </c>
      <c r="D222" t="s">
        <v>65</v>
      </c>
      <c r="E222" s="43">
        <v>202</v>
      </c>
      <c r="F222" s="21" t="str">
        <f>HYPERLINK("#'Data'!A3696", "Percentage of households feeling emotionally unwell (2+ weeks in the past 6 months) broken down by proximity to frontline/border with Russian Federati...")</f>
        <v>Percentage of households feeling emotionally unwell (2+ weeks in the past 6 months) broken down by proximity to frontline/border with Russian Federati...</v>
      </c>
    </row>
    <row r="223" spans="2:6" x14ac:dyDescent="0.35">
      <c r="B223" t="s">
        <v>86</v>
      </c>
      <c r="C223" t="s">
        <v>87</v>
      </c>
      <c r="D223" t="s">
        <v>77</v>
      </c>
      <c r="E223" s="43">
        <v>203</v>
      </c>
      <c r="F223" s="21" t="str">
        <f>HYPERLINK("#'Data'!A3711", "Percentage of households feeling emotionally unwell (2+ weeks in the past 6 months) broken down by caregiving status  on the admin of macroregion perc")</f>
        <v>Percentage of households feeling emotionally unwell (2+ weeks in the past 6 months) broken down by caregiving status  on the admin of macroregion perc</v>
      </c>
    </row>
    <row r="224" spans="2:6" x14ac:dyDescent="0.35">
      <c r="B224" t="s">
        <v>86</v>
      </c>
      <c r="C224" t="s">
        <v>88</v>
      </c>
      <c r="D224" t="s">
        <v>36</v>
      </c>
      <c r="E224" s="43">
        <v>204</v>
      </c>
      <c r="F224" s="21" t="str">
        <f>HYPERLINK("#'Data'!A3733", "Percentage of households feeling emotionally unwell (2+ weeks in the past 6 months), by experienced difficulty in completing day-to-day activities on ...")</f>
        <v>Percentage of households feeling emotionally unwell (2+ weeks in the past 6 months), by experienced difficulty in completing day-to-day activities on ...</v>
      </c>
    </row>
    <row r="225" spans="2:6" x14ac:dyDescent="0.35">
      <c r="B225" t="s">
        <v>86</v>
      </c>
      <c r="C225" t="s">
        <v>88</v>
      </c>
      <c r="D225" t="s">
        <v>57</v>
      </c>
      <c r="E225" s="43">
        <v>205</v>
      </c>
      <c r="F225" s="21" t="str">
        <f>HYPERLINK("#'Data'!A3742",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6" spans="2:6" x14ac:dyDescent="0.35">
      <c r="B226" t="s">
        <v>86</v>
      </c>
      <c r="C226" t="s">
        <v>88</v>
      </c>
      <c r="D226" t="s">
        <v>58</v>
      </c>
      <c r="E226" s="43">
        <v>206</v>
      </c>
      <c r="F226" s="21" t="str">
        <f>HYPERLINK("#'Data'!A3756",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7" spans="2:6" x14ac:dyDescent="0.35">
      <c r="B227" t="s">
        <v>86</v>
      </c>
      <c r="C227" t="s">
        <v>88</v>
      </c>
      <c r="D227" t="s">
        <v>59</v>
      </c>
      <c r="E227" s="43">
        <v>207</v>
      </c>
      <c r="F227" s="21" t="str">
        <f>HYPERLINK("#'Data'!A3770",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8" spans="2:6" x14ac:dyDescent="0.35">
      <c r="B228" t="s">
        <v>86</v>
      </c>
      <c r="C228" t="s">
        <v>88</v>
      </c>
      <c r="D228" t="s">
        <v>60</v>
      </c>
      <c r="E228" s="43">
        <v>208</v>
      </c>
      <c r="F228" s="21" t="str">
        <f>HYPERLINK("#'Data'!A3789",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9" spans="2:6" x14ac:dyDescent="0.35">
      <c r="B229" t="s">
        <v>86</v>
      </c>
      <c r="C229" t="s">
        <v>88</v>
      </c>
      <c r="D229" t="s">
        <v>61</v>
      </c>
      <c r="E229" s="43">
        <v>209</v>
      </c>
      <c r="F229" s="21" t="str">
        <f>HYPERLINK("#'Data'!A3813",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0" spans="2:6" x14ac:dyDescent="0.35">
      <c r="B230" t="s">
        <v>86</v>
      </c>
      <c r="C230" t="s">
        <v>88</v>
      </c>
      <c r="D230" t="s">
        <v>62</v>
      </c>
      <c r="E230" s="43">
        <v>210</v>
      </c>
      <c r="F230" s="21" t="str">
        <f>HYPERLINK("#'Data'!A3833",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1" spans="2:6" x14ac:dyDescent="0.35">
      <c r="B231" t="s">
        <v>86</v>
      </c>
      <c r="C231" t="s">
        <v>88</v>
      </c>
      <c r="D231" t="s">
        <v>76</v>
      </c>
      <c r="E231" s="43">
        <v>211</v>
      </c>
      <c r="F231" s="21" t="str">
        <f>HYPERLINK("#'Data'!A3852",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2" spans="2:6" x14ac:dyDescent="0.35">
      <c r="B232" t="s">
        <v>86</v>
      </c>
      <c r="C232" t="s">
        <v>88</v>
      </c>
      <c r="D232" t="s">
        <v>63</v>
      </c>
      <c r="E232" s="43">
        <v>212</v>
      </c>
      <c r="F232" s="21" t="str">
        <f>HYPERLINK("#'Data'!A3866",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3" spans="2:6" x14ac:dyDescent="0.35">
      <c r="B233" t="s">
        <v>86</v>
      </c>
      <c r="C233" t="s">
        <v>88</v>
      </c>
      <c r="D233" t="s">
        <v>64</v>
      </c>
      <c r="E233" s="43">
        <v>213</v>
      </c>
      <c r="F233" s="21" t="str">
        <f>HYPERLINK("#'Data'!A3892",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4" spans="2:6" x14ac:dyDescent="0.35">
      <c r="B234" t="s">
        <v>86</v>
      </c>
      <c r="C234" t="s">
        <v>88</v>
      </c>
      <c r="D234" t="s">
        <v>65</v>
      </c>
      <c r="E234" s="43">
        <v>214</v>
      </c>
      <c r="F234" s="21" t="str">
        <f>HYPERLINK("#'Data'!A3906",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5" spans="2:6" x14ac:dyDescent="0.35">
      <c r="B235" t="s">
        <v>86</v>
      </c>
      <c r="C235" t="s">
        <v>88</v>
      </c>
      <c r="D235" t="s">
        <v>77</v>
      </c>
      <c r="E235" s="43">
        <v>215</v>
      </c>
      <c r="F235" s="21" t="str">
        <f>HYPERLINK("#'Data'!A3921",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36" spans="2:6" x14ac:dyDescent="0.35">
      <c r="B236" t="s">
        <v>86</v>
      </c>
      <c r="C236" t="s">
        <v>89</v>
      </c>
      <c r="D236" t="s">
        <v>36</v>
      </c>
      <c r="E236" s="43">
        <v>216</v>
      </c>
      <c r="F236" s="21" t="str">
        <f>HYPERLINK("#'Data'!A3941", "Percentage of households feeling emotionally unwell that received mental health or psychosocial support/services, by type on the admin of macroregion ...")</f>
        <v>Percentage of households feeling emotionally unwell that received mental health or psychosocial support/services, by type on the admin of macroregion ...</v>
      </c>
    </row>
    <row r="237" spans="2:6" x14ac:dyDescent="0.35">
      <c r="B237" t="s">
        <v>86</v>
      </c>
      <c r="C237" t="s">
        <v>89</v>
      </c>
      <c r="D237" t="s">
        <v>57</v>
      </c>
      <c r="E237" s="43">
        <v>217</v>
      </c>
      <c r="F237" s="21" t="str">
        <f>HYPERLINK("#'Data'!A3950", "Percentage of households feeling emotionally unwell that received mental health or psychosocial support/services, by type broken down by households wi...")</f>
        <v>Percentage of households feeling emotionally unwell that received mental health or psychosocial support/services, by type broken down by households wi...</v>
      </c>
    </row>
    <row r="238" spans="2:6" x14ac:dyDescent="0.35">
      <c r="B238" t="s">
        <v>86</v>
      </c>
      <c r="C238" t="s">
        <v>89</v>
      </c>
      <c r="D238" t="s">
        <v>58</v>
      </c>
      <c r="E238" s="43">
        <v>218</v>
      </c>
      <c r="F238" s="21" t="str">
        <f>HYPERLINK("#'Data'!A3964", "Percentage of households feeling emotionally unwell that received mental health or psychosocial support/services, by type broken down by urbanity on t...")</f>
        <v>Percentage of households feeling emotionally unwell that received mental health or psychosocial support/services, by type broken down by urbanity on t...</v>
      </c>
    </row>
    <row r="239" spans="2:6" x14ac:dyDescent="0.35">
      <c r="B239" t="s">
        <v>86</v>
      </c>
      <c r="C239" t="s">
        <v>89</v>
      </c>
      <c r="D239" t="s">
        <v>59</v>
      </c>
      <c r="E239" s="43">
        <v>219</v>
      </c>
      <c r="F239" s="21" t="str">
        <f>HYPERLINK("#'Data'!A3978", "Percentage of households feeling emotionally unwell that received mental health or psychosocial support/services, by type broken down by household siz...")</f>
        <v>Percentage of households feeling emotionally unwell that received mental health or psychosocial support/services, by type broken down by household siz...</v>
      </c>
    </row>
    <row r="240" spans="2:6" x14ac:dyDescent="0.35">
      <c r="B240" t="s">
        <v>86</v>
      </c>
      <c r="C240" t="s">
        <v>89</v>
      </c>
      <c r="D240" t="s">
        <v>60</v>
      </c>
      <c r="E240" s="43">
        <v>220</v>
      </c>
      <c r="F240" s="21" t="str">
        <f>HYPERLINK("#'Data'!A3997", "Percentage of households feeling emotionally unwell that received mental health or psychosocial support/services, by type broken down by income per ca...")</f>
        <v>Percentage of households feeling emotionally unwell that received mental health or psychosocial support/services, by type broken down by income per ca...</v>
      </c>
    </row>
    <row r="241" spans="2:6" x14ac:dyDescent="0.35">
      <c r="B241" t="s">
        <v>86</v>
      </c>
      <c r="C241" t="s">
        <v>89</v>
      </c>
      <c r="D241" t="s">
        <v>61</v>
      </c>
      <c r="E241" s="43">
        <v>221</v>
      </c>
      <c r="F241" s="21" t="str">
        <f>HYPERLINK("#'Data'!A4021", "Percentage of households feeling emotionally unwell that received mental health or psychosocial support/services, by type broken down by gender of hea...")</f>
        <v>Percentage of households feeling emotionally unwell that received mental health or psychosocial support/services, by type broken down by gender of hea...</v>
      </c>
    </row>
    <row r="242" spans="2:6" x14ac:dyDescent="0.35">
      <c r="B242" t="s">
        <v>86</v>
      </c>
      <c r="C242" t="s">
        <v>89</v>
      </c>
      <c r="D242" t="s">
        <v>62</v>
      </c>
      <c r="E242" s="43">
        <v>222</v>
      </c>
      <c r="F242" s="21" t="str">
        <f>HYPERLINK("#'Data'!A4041", "Percentage of households feeling emotionally unwell that received mental health or psychosocial support/services, by type broken down by age of adults...")</f>
        <v>Percentage of households feeling emotionally unwell that received mental health or psychosocial support/services, by type broken down by age of adults...</v>
      </c>
    </row>
    <row r="243" spans="2:6" x14ac:dyDescent="0.35">
      <c r="B243" t="s">
        <v>86</v>
      </c>
      <c r="C243" t="s">
        <v>89</v>
      </c>
      <c r="D243" t="s">
        <v>76</v>
      </c>
      <c r="E243" s="43">
        <v>223</v>
      </c>
      <c r="F243" s="21" t="str">
        <f>HYPERLINK("#'Data'!A4060", "Percentage of households feeling emotionally unwell that received mental health or psychosocial support/services, by type broken down by households wi...")</f>
        <v>Percentage of households feeling emotionally unwell that received mental health or psychosocial support/services, by type broken down by households wi...</v>
      </c>
    </row>
    <row r="244" spans="2:6" x14ac:dyDescent="0.35">
      <c r="B244" t="s">
        <v>86</v>
      </c>
      <c r="C244" t="s">
        <v>89</v>
      </c>
      <c r="D244" t="s">
        <v>63</v>
      </c>
      <c r="E244" s="43">
        <v>224</v>
      </c>
      <c r="F244" s="21" t="str">
        <f>HYPERLINK("#'Data'!A4074", "Percentage of households feeling emotionally unwell that received mental health or psychosocial support/services, by type broken down by displacement ...")</f>
        <v>Percentage of households feeling emotionally unwell that received mental health or psychosocial support/services, by type broken down by displacement ...</v>
      </c>
    </row>
    <row r="245" spans="2:6" x14ac:dyDescent="0.35">
      <c r="B245" t="s">
        <v>86</v>
      </c>
      <c r="C245" t="s">
        <v>89</v>
      </c>
      <c r="D245" t="s">
        <v>64</v>
      </c>
      <c r="E245" s="43">
        <v>225</v>
      </c>
      <c r="F245" s="21" t="str">
        <f>HYPERLINK("#'Data'!A4100", "Percentage of households feeling emotionally unwell that received mental health or psychosocial support/services, by type broken down by IDP household...")</f>
        <v>Percentage of households feeling emotionally unwell that received mental health or psychosocial support/services, by type broken down by IDP household...</v>
      </c>
    </row>
    <row r="246" spans="2:6" x14ac:dyDescent="0.35">
      <c r="B246" t="s">
        <v>86</v>
      </c>
      <c r="C246" t="s">
        <v>89</v>
      </c>
      <c r="D246" t="s">
        <v>65</v>
      </c>
      <c r="E246" s="43">
        <v>226</v>
      </c>
      <c r="F246" s="21" t="str">
        <f>HYPERLINK("#'Data'!A4114", "Percentage of households feeling emotionally unwell that received mental health or psychosocial support/services, by type broken down by proximity to ...")</f>
        <v>Percentage of households feeling emotionally unwell that received mental health or psychosocial support/services, by type broken down by proximity to ...</v>
      </c>
    </row>
    <row r="247" spans="2:6" x14ac:dyDescent="0.35">
      <c r="B247" t="s">
        <v>86</v>
      </c>
      <c r="C247" t="s">
        <v>89</v>
      </c>
      <c r="D247" t="s">
        <v>77</v>
      </c>
      <c r="E247" s="43">
        <v>227</v>
      </c>
      <c r="F247" s="21" t="str">
        <f>HYPERLINK("#'Data'!A4129", "Percentage of households feeling emotionally unwell that received mental health or psychosocial support/services, by type broken down by caregiving st...")</f>
        <v>Percentage of households feeling emotionally unwell that received mental health or psychosocial support/services, by type broken down by caregiving st...</v>
      </c>
    </row>
    <row r="248" spans="2:6" x14ac:dyDescent="0.35">
      <c r="B248" t="s">
        <v>74</v>
      </c>
      <c r="C248" t="s">
        <v>90</v>
      </c>
      <c r="D248" t="s">
        <v>36</v>
      </c>
      <c r="E248" s="43">
        <v>228</v>
      </c>
      <c r="F248" s="21" t="str">
        <f>HYPERLINK("#'Data'!A4149", "Percentage of households with at least one member with registered disability, by type on the admin of macroregion perc")</f>
        <v>Percentage of households with at least one member with registered disability, by type on the admin of macroregion perc</v>
      </c>
    </row>
    <row r="249" spans="2:6" x14ac:dyDescent="0.35">
      <c r="B249" t="s">
        <v>74</v>
      </c>
      <c r="C249" t="s">
        <v>90</v>
      </c>
      <c r="D249" t="s">
        <v>57</v>
      </c>
      <c r="E249" s="43">
        <v>229</v>
      </c>
      <c r="F249" s="21" t="str">
        <f>HYPERLINK("#'Data'!A4158", "Percentage of households with at least one member with registered disability, by type broken down by households with at least one member with a report...")</f>
        <v>Percentage of households with at least one member with registered disability, by type broken down by households with at least one member with a report...</v>
      </c>
    </row>
    <row r="250" spans="2:6" x14ac:dyDescent="0.35">
      <c r="B250" t="s">
        <v>74</v>
      </c>
      <c r="C250" t="s">
        <v>90</v>
      </c>
      <c r="D250" t="s">
        <v>58</v>
      </c>
      <c r="E250" s="43">
        <v>230</v>
      </c>
      <c r="F250" s="21" t="str">
        <f>HYPERLINK("#'Data'!A4172", "Percentage of households with at least one member with registered disability, by type broken down by urbanity on the admin of macroregion perc")</f>
        <v>Percentage of households with at least one member with registered disability, by type broken down by urbanity on the admin of macroregion perc</v>
      </c>
    </row>
    <row r="251" spans="2:6" x14ac:dyDescent="0.35">
      <c r="B251" t="s">
        <v>74</v>
      </c>
      <c r="C251" t="s">
        <v>90</v>
      </c>
      <c r="D251" t="s">
        <v>59</v>
      </c>
      <c r="E251" s="43">
        <v>231</v>
      </c>
      <c r="F251" s="21" t="str">
        <f>HYPERLINK("#'Data'!A4186", "Percentage of households with at least one member with registered disability, by type broken down by household size on the admin of macroregion perc")</f>
        <v>Percentage of households with at least one member with registered disability, by type broken down by household size on the admin of macroregion perc</v>
      </c>
    </row>
    <row r="252" spans="2:6" x14ac:dyDescent="0.35">
      <c r="B252" t="s">
        <v>74</v>
      </c>
      <c r="C252" t="s">
        <v>90</v>
      </c>
      <c r="D252" t="s">
        <v>60</v>
      </c>
      <c r="E252" s="43">
        <v>232</v>
      </c>
      <c r="F252" s="21" t="str">
        <f>HYPERLINK("#'Data'!A4205", "Percentage of households with at least one member with registered disability, by type broken down by income per capita (quartiles) on the admin of mac...")</f>
        <v>Percentage of households with at least one member with registered disability, by type broken down by income per capita (quartiles) on the admin of mac...</v>
      </c>
    </row>
    <row r="253" spans="2:6" x14ac:dyDescent="0.35">
      <c r="B253" t="s">
        <v>74</v>
      </c>
      <c r="C253" t="s">
        <v>90</v>
      </c>
      <c r="D253" t="s">
        <v>61</v>
      </c>
      <c r="E253" s="43">
        <v>233</v>
      </c>
      <c r="F253" s="21" t="str">
        <f>HYPERLINK("#'Data'!A4229", "Percentage of households with at least one member with registered disability, by type broken down by gender of head of household on the admin of macro...")</f>
        <v>Percentage of households with at least one member with registered disability, by type broken down by gender of head of household on the admin of macro...</v>
      </c>
    </row>
    <row r="254" spans="2:6" x14ac:dyDescent="0.35">
      <c r="B254" t="s">
        <v>74</v>
      </c>
      <c r="C254" t="s">
        <v>90</v>
      </c>
      <c r="D254" t="s">
        <v>62</v>
      </c>
      <c r="E254" s="43">
        <v>234</v>
      </c>
      <c r="F254" s="21" t="str">
        <f>HYPERLINK("#'Data'!A4249", "Percentage of households with at least one member with registered disability, by type broken down by age of adults in the households on the admin of m...")</f>
        <v>Percentage of households with at least one member with registered disability, by type broken down by age of adults in the households on the admin of m...</v>
      </c>
    </row>
    <row r="255" spans="2:6" x14ac:dyDescent="0.35">
      <c r="B255" t="s">
        <v>74</v>
      </c>
      <c r="C255" t="s">
        <v>90</v>
      </c>
      <c r="D255" t="s">
        <v>76</v>
      </c>
      <c r="E255" s="43">
        <v>235</v>
      </c>
      <c r="F255" s="21" t="str">
        <f>HYPERLINK("#'Data'!A4268", "Percentage of households with at least one member with registered disability, by type broken down by households with at least one child (&lt;18 y.o.) on ...")</f>
        <v>Percentage of households with at least one member with registered disability, by type broken down by households with at least one child (&lt;18 y.o.) on ...</v>
      </c>
    </row>
    <row r="256" spans="2:6" x14ac:dyDescent="0.35">
      <c r="B256" t="s">
        <v>74</v>
      </c>
      <c r="C256" t="s">
        <v>90</v>
      </c>
      <c r="D256" t="s">
        <v>63</v>
      </c>
      <c r="E256" s="43">
        <v>236</v>
      </c>
      <c r="F256" s="21" t="str">
        <f>HYPERLINK("#'Data'!A4282", "Percentage of households with at least one member with registered disability, by type broken down by displacement status of head of household on the a...")</f>
        <v>Percentage of households with at least one member with registered disability, by type broken down by displacement status of head of household on the a...</v>
      </c>
    </row>
    <row r="257" spans="2:6" x14ac:dyDescent="0.35">
      <c r="B257" t="s">
        <v>74</v>
      </c>
      <c r="C257" t="s">
        <v>90</v>
      </c>
      <c r="D257" t="s">
        <v>64</v>
      </c>
      <c r="E257" s="43">
        <v>237</v>
      </c>
      <c r="F257" s="21" t="str">
        <f>HYPERLINK("#'Data'!A4309", "Percentage of households with at least one member with registered disability, by type broken down by IDP household on the admin of macroregion perc")</f>
        <v>Percentage of households with at least one member with registered disability, by type broken down by IDP household on the admin of macroregion perc</v>
      </c>
    </row>
    <row r="258" spans="2:6" x14ac:dyDescent="0.35">
      <c r="B258" t="s">
        <v>74</v>
      </c>
      <c r="C258" t="s">
        <v>90</v>
      </c>
      <c r="D258" t="s">
        <v>65</v>
      </c>
      <c r="E258" s="43">
        <v>238</v>
      </c>
      <c r="F258" s="21" t="str">
        <f>HYPERLINK("#'Data'!A4323", "Percentage of households with at least one member with registered disability, by type broken down by proximity to frontline/border with Russian Federa...")</f>
        <v>Percentage of households with at least one member with registered disability, by type broken down by proximity to frontline/border with Russian Federa...</v>
      </c>
    </row>
    <row r="259" spans="2:6" x14ac:dyDescent="0.35">
      <c r="B259" t="s">
        <v>74</v>
      </c>
      <c r="C259" t="s">
        <v>90</v>
      </c>
      <c r="D259" t="s">
        <v>77</v>
      </c>
      <c r="E259" s="43">
        <v>239</v>
      </c>
      <c r="F259" s="21" t="str">
        <f>HYPERLINK("#'Data'!A4338", "Percentage of households with at least one member with registered disability, by type broken down by caregiving status  on the admin of macroregion pe...")</f>
        <v>Percentage of households with at least one member with registered disability, by type broken down by caregiving status  on the admin of macroregion pe...</v>
      </c>
    </row>
    <row r="260" spans="2:6" x14ac:dyDescent="0.35">
      <c r="B260" t="s">
        <v>74</v>
      </c>
      <c r="C260" t="s">
        <v>91</v>
      </c>
      <c r="D260" t="s">
        <v>36</v>
      </c>
      <c r="E260" s="43">
        <v>240</v>
      </c>
      <c r="F260" s="21" t="str">
        <f>HYPERLINK("#'Data'!A4360", "Percentage of households with at least one member that has difficulties seeing on the admin of macroregion perc")</f>
        <v>Percentage of households with at least one member that has difficulties seeing on the admin of macroregion perc</v>
      </c>
    </row>
    <row r="261" spans="2:6" x14ac:dyDescent="0.35">
      <c r="B261" t="s">
        <v>74</v>
      </c>
      <c r="C261" t="s">
        <v>91</v>
      </c>
      <c r="D261" t="s">
        <v>57</v>
      </c>
      <c r="E261" s="43">
        <v>241</v>
      </c>
      <c r="F261" s="21" t="str">
        <f>HYPERLINK("#'Data'!A4369", "Percentage of households with at least one member that has difficulties seeing broken down by households with at least one member with a reported and/...")</f>
        <v>Percentage of households with at least one member that has difficulties seeing broken down by households with at least one member with a reported and/...</v>
      </c>
    </row>
    <row r="262" spans="2:6" x14ac:dyDescent="0.35">
      <c r="B262" t="s">
        <v>74</v>
      </c>
      <c r="C262" t="s">
        <v>91</v>
      </c>
      <c r="D262" t="s">
        <v>58</v>
      </c>
      <c r="E262" s="43">
        <v>242</v>
      </c>
      <c r="F262" s="21" t="str">
        <f>HYPERLINK("#'Data'!A4383", "Percentage of households with at least one member that has difficulties seeing broken down by urbanity on the admin of macroregion perc")</f>
        <v>Percentage of households with at least one member that has difficulties seeing broken down by urbanity on the admin of macroregion perc</v>
      </c>
    </row>
    <row r="263" spans="2:6" x14ac:dyDescent="0.35">
      <c r="B263" t="s">
        <v>74</v>
      </c>
      <c r="C263" t="s">
        <v>91</v>
      </c>
      <c r="D263" t="s">
        <v>59</v>
      </c>
      <c r="E263" s="43">
        <v>243</v>
      </c>
      <c r="F263" s="21" t="str">
        <f>HYPERLINK("#'Data'!A4397", "Percentage of households with at least one member that has difficulties seeing broken down by household size on the admin of macroregion perc")</f>
        <v>Percentage of households with at least one member that has difficulties seeing broken down by household size on the admin of macroregion perc</v>
      </c>
    </row>
    <row r="264" spans="2:6" x14ac:dyDescent="0.35">
      <c r="B264" t="s">
        <v>74</v>
      </c>
      <c r="C264" t="s">
        <v>91</v>
      </c>
      <c r="D264" t="s">
        <v>60</v>
      </c>
      <c r="E264" s="43">
        <v>244</v>
      </c>
      <c r="F264" s="21" t="str">
        <f>HYPERLINK("#'Data'!A4416", "Percentage of households with at least one member that has difficulties seeing broken down by income per capita (quartiles) on the admin of macroregio...")</f>
        <v>Percentage of households with at least one member that has difficulties seeing broken down by income per capita (quartiles) on the admin of macroregio...</v>
      </c>
    </row>
    <row r="265" spans="2:6" x14ac:dyDescent="0.35">
      <c r="B265" t="s">
        <v>74</v>
      </c>
      <c r="C265" t="s">
        <v>91</v>
      </c>
      <c r="D265" t="s">
        <v>61</v>
      </c>
      <c r="E265" s="43">
        <v>245</v>
      </c>
      <c r="F265" s="21" t="str">
        <f>HYPERLINK("#'Data'!A4440", "Percentage of households with at least one member that has difficulties seeing broken down by gender of head of household on the admin of macroregion ...")</f>
        <v>Percentage of households with at least one member that has difficulties seeing broken down by gender of head of household on the admin of macroregion ...</v>
      </c>
    </row>
    <row r="266" spans="2:6" x14ac:dyDescent="0.35">
      <c r="B266" t="s">
        <v>74</v>
      </c>
      <c r="C266" t="s">
        <v>91</v>
      </c>
      <c r="D266" t="s">
        <v>62</v>
      </c>
      <c r="E266" s="43">
        <v>246</v>
      </c>
      <c r="F266" s="21" t="str">
        <f>HYPERLINK("#'Data'!A4460", "Percentage of households with at least one member that has difficulties seeing broken down by age of adults in the households on the admin of macroreg...")</f>
        <v>Percentage of households with at least one member that has difficulties seeing broken down by age of adults in the households on the admin of macroreg...</v>
      </c>
    </row>
    <row r="267" spans="2:6" x14ac:dyDescent="0.35">
      <c r="B267" t="s">
        <v>74</v>
      </c>
      <c r="C267" t="s">
        <v>91</v>
      </c>
      <c r="D267" t="s">
        <v>76</v>
      </c>
      <c r="E267" s="43">
        <v>247</v>
      </c>
      <c r="F267" s="21" t="str">
        <f>HYPERLINK("#'Data'!A4479", "Percentage of households with at least one member that has difficulties seeing broken down by households with at least one child (&lt;18 y.o.) on the adm...")</f>
        <v>Percentage of households with at least one member that has difficulties seeing broken down by households with at least one child (&lt;18 y.o.) on the adm...</v>
      </c>
    </row>
    <row r="268" spans="2:6" x14ac:dyDescent="0.35">
      <c r="B268" t="s">
        <v>74</v>
      </c>
      <c r="C268" t="s">
        <v>91</v>
      </c>
      <c r="D268" t="s">
        <v>63</v>
      </c>
      <c r="E268" s="43">
        <v>248</v>
      </c>
      <c r="F268" s="21" t="str">
        <f>HYPERLINK("#'Data'!A4493", "Percentage of households with at least one member that has difficulties seeing broken down by displacement status of head of household on the admin of...")</f>
        <v>Percentage of households with at least one member that has difficulties seeing broken down by displacement status of head of household on the admin of...</v>
      </c>
    </row>
    <row r="269" spans="2:6" x14ac:dyDescent="0.35">
      <c r="B269" t="s">
        <v>74</v>
      </c>
      <c r="C269" t="s">
        <v>91</v>
      </c>
      <c r="D269" t="s">
        <v>64</v>
      </c>
      <c r="E269" s="43">
        <v>249</v>
      </c>
      <c r="F269" s="21" t="str">
        <f>HYPERLINK("#'Data'!A4520", "Percentage of households with at least one member that has difficulties seeing broken down by IDP household on the admin of macroregion perc")</f>
        <v>Percentage of households with at least one member that has difficulties seeing broken down by IDP household on the admin of macroregion perc</v>
      </c>
    </row>
    <row r="270" spans="2:6" x14ac:dyDescent="0.35">
      <c r="B270" t="s">
        <v>74</v>
      </c>
      <c r="C270" t="s">
        <v>91</v>
      </c>
      <c r="D270" t="s">
        <v>65</v>
      </c>
      <c r="E270" s="43">
        <v>250</v>
      </c>
      <c r="F270" s="21" t="str">
        <f>HYPERLINK("#'Data'!A4534", "Percentage of households with at least one member that has difficulties seeing broken down by proximity to frontline/border with Russian Federation on...")</f>
        <v>Percentage of households with at least one member that has difficulties seeing broken down by proximity to frontline/border with Russian Federation on...</v>
      </c>
    </row>
    <row r="271" spans="2:6" x14ac:dyDescent="0.35">
      <c r="B271" t="s">
        <v>74</v>
      </c>
      <c r="C271" t="s">
        <v>91</v>
      </c>
      <c r="D271" t="s">
        <v>77</v>
      </c>
      <c r="E271" s="43">
        <v>251</v>
      </c>
      <c r="F271" s="21" t="str">
        <f>HYPERLINK("#'Data'!A4549", "Percentage of households with at least one member that has difficulties seeing broken down by caregiving status  on the admin of macroregion perc")</f>
        <v>Percentage of households with at least one member that has difficulties seeing broken down by caregiving status  on the admin of macroregion perc</v>
      </c>
    </row>
    <row r="272" spans="2:6" x14ac:dyDescent="0.35">
      <c r="B272" t="s">
        <v>74</v>
      </c>
      <c r="C272" t="s">
        <v>92</v>
      </c>
      <c r="D272" t="s">
        <v>36</v>
      </c>
      <c r="E272" s="43">
        <v>252</v>
      </c>
      <c r="F272" s="21" t="str">
        <f>HYPERLINK("#'Data'!A4571", "Percentage of households with at least one member that has difficulties hearing on the admin of macroregion perc")</f>
        <v>Percentage of households with at least one member that has difficulties hearing on the admin of macroregion perc</v>
      </c>
    </row>
    <row r="273" spans="2:6" x14ac:dyDescent="0.35">
      <c r="B273" t="s">
        <v>74</v>
      </c>
      <c r="C273" t="s">
        <v>92</v>
      </c>
      <c r="D273" t="s">
        <v>57</v>
      </c>
      <c r="E273" s="43">
        <v>253</v>
      </c>
      <c r="F273" s="21" t="str">
        <f>HYPERLINK("#'Data'!A4580", "Percentage of households with at least one member that has difficulties hearing broken down by households with at least one member with a reported and...")</f>
        <v>Percentage of households with at least one member that has difficulties hearing broken down by households with at least one member with a reported and...</v>
      </c>
    </row>
    <row r="274" spans="2:6" x14ac:dyDescent="0.35">
      <c r="B274" t="s">
        <v>74</v>
      </c>
      <c r="C274" t="s">
        <v>92</v>
      </c>
      <c r="D274" t="s">
        <v>58</v>
      </c>
      <c r="E274" s="43">
        <v>254</v>
      </c>
      <c r="F274" s="21" t="str">
        <f>HYPERLINK("#'Data'!A4594", "Percentage of households with at least one member that has difficulties hearing broken down by urbanity on the admin of macroregion perc")</f>
        <v>Percentage of households with at least one member that has difficulties hearing broken down by urbanity on the admin of macroregion perc</v>
      </c>
    </row>
    <row r="275" spans="2:6" x14ac:dyDescent="0.35">
      <c r="B275" t="s">
        <v>74</v>
      </c>
      <c r="C275" t="s">
        <v>92</v>
      </c>
      <c r="D275" t="s">
        <v>59</v>
      </c>
      <c r="E275" s="43">
        <v>255</v>
      </c>
      <c r="F275" s="21" t="str">
        <f>HYPERLINK("#'Data'!A4608", "Percentage of households with at least one member that has difficulties hearing broken down by household size on the admin of macroregion perc")</f>
        <v>Percentage of households with at least one member that has difficulties hearing broken down by household size on the admin of macroregion perc</v>
      </c>
    </row>
    <row r="276" spans="2:6" x14ac:dyDescent="0.35">
      <c r="B276" t="s">
        <v>74</v>
      </c>
      <c r="C276" t="s">
        <v>92</v>
      </c>
      <c r="D276" t="s">
        <v>60</v>
      </c>
      <c r="E276" s="43">
        <v>256</v>
      </c>
      <c r="F276" s="21" t="str">
        <f>HYPERLINK("#'Data'!A4627", "Percentage of households with at least one member that has difficulties hearing broken down by income per capita (quartiles) on the admin of macroregi...")</f>
        <v>Percentage of households with at least one member that has difficulties hearing broken down by income per capita (quartiles) on the admin of macroregi...</v>
      </c>
    </row>
    <row r="277" spans="2:6" x14ac:dyDescent="0.35">
      <c r="B277" t="s">
        <v>74</v>
      </c>
      <c r="C277" t="s">
        <v>92</v>
      </c>
      <c r="D277" t="s">
        <v>61</v>
      </c>
      <c r="E277" s="43">
        <v>257</v>
      </c>
      <c r="F277" s="21" t="str">
        <f>HYPERLINK("#'Data'!A4651", "Percentage of households with at least one member that has difficulties hearing broken down by gender of head of household on the admin of macroregion...")</f>
        <v>Percentage of households with at least one member that has difficulties hearing broken down by gender of head of household on the admin of macroregion...</v>
      </c>
    </row>
    <row r="278" spans="2:6" x14ac:dyDescent="0.35">
      <c r="B278" t="s">
        <v>74</v>
      </c>
      <c r="C278" t="s">
        <v>92</v>
      </c>
      <c r="D278" t="s">
        <v>62</v>
      </c>
      <c r="E278" s="43">
        <v>258</v>
      </c>
      <c r="F278" s="21" t="str">
        <f>HYPERLINK("#'Data'!A4671", "Percentage of households with at least one member that has difficulties hearing broken down by age of adults in the households on the admin of macrore...")</f>
        <v>Percentage of households with at least one member that has difficulties hearing broken down by age of adults in the households on the admin of macrore...</v>
      </c>
    </row>
    <row r="279" spans="2:6" x14ac:dyDescent="0.35">
      <c r="B279" t="s">
        <v>74</v>
      </c>
      <c r="C279" t="s">
        <v>92</v>
      </c>
      <c r="D279" t="s">
        <v>76</v>
      </c>
      <c r="E279" s="43">
        <v>259</v>
      </c>
      <c r="F279" s="21" t="str">
        <f>HYPERLINK("#'Data'!A4690", "Percentage of households with at least one member that has difficulties hearing broken down by households with at least one child (&lt;18 y.o.) on the ad...")</f>
        <v>Percentage of households with at least one member that has difficulties hearing broken down by households with at least one child (&lt;18 y.o.) on the ad...</v>
      </c>
    </row>
    <row r="280" spans="2:6" x14ac:dyDescent="0.35">
      <c r="B280" t="s">
        <v>74</v>
      </c>
      <c r="C280" t="s">
        <v>92</v>
      </c>
      <c r="D280" t="s">
        <v>63</v>
      </c>
      <c r="E280" s="43">
        <v>260</v>
      </c>
      <c r="F280" s="21" t="str">
        <f>HYPERLINK("#'Data'!A4704", "Percentage of households with at least one member that has difficulties hearing broken down by displacement status of head of household on the admin o...")</f>
        <v>Percentage of households with at least one member that has difficulties hearing broken down by displacement status of head of household on the admin o...</v>
      </c>
    </row>
    <row r="281" spans="2:6" x14ac:dyDescent="0.35">
      <c r="B281" t="s">
        <v>74</v>
      </c>
      <c r="C281" t="s">
        <v>92</v>
      </c>
      <c r="D281" t="s">
        <v>64</v>
      </c>
      <c r="E281" s="43">
        <v>261</v>
      </c>
      <c r="F281" s="21" t="str">
        <f>HYPERLINK("#'Data'!A4731", "Percentage of households with at least one member that has difficulties hearing broken down by IDP household on the admin of macroregion perc")</f>
        <v>Percentage of households with at least one member that has difficulties hearing broken down by IDP household on the admin of macroregion perc</v>
      </c>
    </row>
    <row r="282" spans="2:6" x14ac:dyDescent="0.35">
      <c r="B282" t="s">
        <v>74</v>
      </c>
      <c r="C282" t="s">
        <v>92</v>
      </c>
      <c r="D282" t="s">
        <v>65</v>
      </c>
      <c r="E282" s="43">
        <v>262</v>
      </c>
      <c r="F282" s="21" t="str">
        <f>HYPERLINK("#'Data'!A4745", "Percentage of households with at least one member that has difficulties hearing broken down by proximity to frontline/border with Russian Federation o...")</f>
        <v>Percentage of households with at least one member that has difficulties hearing broken down by proximity to frontline/border with Russian Federation o...</v>
      </c>
    </row>
    <row r="283" spans="2:6" x14ac:dyDescent="0.35">
      <c r="B283" t="s">
        <v>74</v>
      </c>
      <c r="C283" t="s">
        <v>92</v>
      </c>
      <c r="D283" t="s">
        <v>77</v>
      </c>
      <c r="E283" s="43">
        <v>263</v>
      </c>
      <c r="F283" s="21" t="str">
        <f>HYPERLINK("#'Data'!A4760", "Percentage of households with at least one member that has difficulties hearing broken down by caregiving status  on the admin of macroregion perc")</f>
        <v>Percentage of households with at least one member that has difficulties hearing broken down by caregiving status  on the admin of macroregion perc</v>
      </c>
    </row>
    <row r="284" spans="2:6" x14ac:dyDescent="0.35">
      <c r="B284" t="s">
        <v>74</v>
      </c>
      <c r="C284" t="s">
        <v>93</v>
      </c>
      <c r="D284" t="s">
        <v>36</v>
      </c>
      <c r="E284" s="43">
        <v>264</v>
      </c>
      <c r="F284" s="21" t="str">
        <f>HYPERLINK("#'Data'!A4782", "Percentage of households with at least one member that has difficulties walking on the admin of macroregion perc")</f>
        <v>Percentage of households with at least one member that has difficulties walking on the admin of macroregion perc</v>
      </c>
    </row>
    <row r="285" spans="2:6" x14ac:dyDescent="0.35">
      <c r="B285" t="s">
        <v>74</v>
      </c>
      <c r="C285" t="s">
        <v>93</v>
      </c>
      <c r="D285" t="s">
        <v>57</v>
      </c>
      <c r="E285" s="43">
        <v>265</v>
      </c>
      <c r="F285" s="21" t="str">
        <f>HYPERLINK("#'Data'!A4791", "Percentage of households with at least one member that has difficulties walking broken down by households with at least one member with a reported and...")</f>
        <v>Percentage of households with at least one member that has difficulties walking broken down by households with at least one member with a reported and...</v>
      </c>
    </row>
    <row r="286" spans="2:6" x14ac:dyDescent="0.35">
      <c r="B286" t="s">
        <v>74</v>
      </c>
      <c r="C286" t="s">
        <v>93</v>
      </c>
      <c r="D286" t="s">
        <v>58</v>
      </c>
      <c r="E286" s="43">
        <v>266</v>
      </c>
      <c r="F286" s="21" t="str">
        <f>HYPERLINK("#'Data'!A4805", "Percentage of households with at least one member that has difficulties walking broken down by urbanity on the admin of macroregion perc")</f>
        <v>Percentage of households with at least one member that has difficulties walking broken down by urbanity on the admin of macroregion perc</v>
      </c>
    </row>
    <row r="287" spans="2:6" x14ac:dyDescent="0.35">
      <c r="B287" t="s">
        <v>74</v>
      </c>
      <c r="C287" t="s">
        <v>93</v>
      </c>
      <c r="D287" t="s">
        <v>59</v>
      </c>
      <c r="E287" s="43">
        <v>267</v>
      </c>
      <c r="F287" s="21" t="str">
        <f>HYPERLINK("#'Data'!A4819", "Percentage of households with at least one member that has difficulties walking broken down by household size on the admin of macroregion perc")</f>
        <v>Percentage of households with at least one member that has difficulties walking broken down by household size on the admin of macroregion perc</v>
      </c>
    </row>
    <row r="288" spans="2:6" x14ac:dyDescent="0.35">
      <c r="B288" t="s">
        <v>74</v>
      </c>
      <c r="C288" t="s">
        <v>93</v>
      </c>
      <c r="D288" t="s">
        <v>60</v>
      </c>
      <c r="E288" s="43">
        <v>268</v>
      </c>
      <c r="F288" s="21" t="str">
        <f>HYPERLINK("#'Data'!A4838", "Percentage of households with at least one member that has difficulties walking broken down by income per capita (quartiles) on the admin of macroregi...")</f>
        <v>Percentage of households with at least one member that has difficulties walking broken down by income per capita (quartiles) on the admin of macroregi...</v>
      </c>
    </row>
    <row r="289" spans="2:6" x14ac:dyDescent="0.35">
      <c r="B289" t="s">
        <v>74</v>
      </c>
      <c r="C289" t="s">
        <v>93</v>
      </c>
      <c r="D289" t="s">
        <v>61</v>
      </c>
      <c r="E289" s="43">
        <v>269</v>
      </c>
      <c r="F289" s="21" t="str">
        <f>HYPERLINK("#'Data'!A4862", "Percentage of households with at least one member that has difficulties walking broken down by gender of head of household on the admin of macroregion...")</f>
        <v>Percentage of households with at least one member that has difficulties walking broken down by gender of head of household on the admin of macroregion...</v>
      </c>
    </row>
    <row r="290" spans="2:6" x14ac:dyDescent="0.35">
      <c r="B290" t="s">
        <v>74</v>
      </c>
      <c r="C290" t="s">
        <v>93</v>
      </c>
      <c r="D290" t="s">
        <v>62</v>
      </c>
      <c r="E290" s="43">
        <v>270</v>
      </c>
      <c r="F290" s="21" t="str">
        <f>HYPERLINK("#'Data'!A4882", "Percentage of households with at least one member that has difficulties walking broken down by age of adults in the households on the admin of macrore...")</f>
        <v>Percentage of households with at least one member that has difficulties walking broken down by age of adults in the households on the admin of macrore...</v>
      </c>
    </row>
    <row r="291" spans="2:6" x14ac:dyDescent="0.35">
      <c r="B291" t="s">
        <v>74</v>
      </c>
      <c r="C291" t="s">
        <v>93</v>
      </c>
      <c r="D291" t="s">
        <v>76</v>
      </c>
      <c r="E291" s="43">
        <v>271</v>
      </c>
      <c r="F291" s="21" t="str">
        <f>HYPERLINK("#'Data'!A4901", "Percentage of households with at least one member that has difficulties walking broken down by households with at least one child (&lt;18 y.o.) on the ad...")</f>
        <v>Percentage of households with at least one member that has difficulties walking broken down by households with at least one child (&lt;18 y.o.) on the ad...</v>
      </c>
    </row>
    <row r="292" spans="2:6" x14ac:dyDescent="0.35">
      <c r="B292" t="s">
        <v>74</v>
      </c>
      <c r="C292" t="s">
        <v>93</v>
      </c>
      <c r="D292" t="s">
        <v>63</v>
      </c>
      <c r="E292" s="43">
        <v>272</v>
      </c>
      <c r="F292" s="21" t="str">
        <f>HYPERLINK("#'Data'!A4915", "Percentage of households with at least one member that has difficulties walking broken down by displacement status of head of household on the admin o...")</f>
        <v>Percentage of households with at least one member that has difficulties walking broken down by displacement status of head of household on the admin o...</v>
      </c>
    </row>
    <row r="293" spans="2:6" x14ac:dyDescent="0.35">
      <c r="B293" t="s">
        <v>74</v>
      </c>
      <c r="C293" t="s">
        <v>93</v>
      </c>
      <c r="D293" t="s">
        <v>64</v>
      </c>
      <c r="E293" s="43">
        <v>273</v>
      </c>
      <c r="F293" s="21" t="str">
        <f>HYPERLINK("#'Data'!A4942", "Percentage of households with at least one member that has difficulties walking broken down by IDP household on the admin of macroregion perc")</f>
        <v>Percentage of households with at least one member that has difficulties walking broken down by IDP household on the admin of macroregion perc</v>
      </c>
    </row>
    <row r="294" spans="2:6" x14ac:dyDescent="0.35">
      <c r="B294" t="s">
        <v>74</v>
      </c>
      <c r="C294" t="s">
        <v>93</v>
      </c>
      <c r="D294" t="s">
        <v>65</v>
      </c>
      <c r="E294" s="43">
        <v>274</v>
      </c>
      <c r="F294" s="21" t="str">
        <f>HYPERLINK("#'Data'!A4956", "Percentage of households with at least one member that has difficulties walking broken down by proximity to frontline/border with Russian Federation o...")</f>
        <v>Percentage of households with at least one member that has difficulties walking broken down by proximity to frontline/border with Russian Federation o...</v>
      </c>
    </row>
    <row r="295" spans="2:6" x14ac:dyDescent="0.35">
      <c r="B295" t="s">
        <v>74</v>
      </c>
      <c r="C295" t="s">
        <v>93</v>
      </c>
      <c r="D295" t="s">
        <v>77</v>
      </c>
      <c r="E295" s="43">
        <v>275</v>
      </c>
      <c r="F295" s="21" t="str">
        <f>HYPERLINK("#'Data'!A4971", "Percentage of households with at least one member that has difficulties walking broken down by caregiving status  on the admin of macroregion perc")</f>
        <v>Percentage of households with at least one member that has difficulties walking broken down by caregiving status  on the admin of macroregion perc</v>
      </c>
    </row>
    <row r="296" spans="2:6" x14ac:dyDescent="0.35">
      <c r="B296" t="s">
        <v>74</v>
      </c>
      <c r="C296" t="s">
        <v>94</v>
      </c>
      <c r="D296" t="s">
        <v>36</v>
      </c>
      <c r="E296" s="43">
        <v>276</v>
      </c>
      <c r="F296" s="21" t="str">
        <f>HYPERLINK("#'Data'!A4993", "Percentage of households with at least one member that has difficulties concentrating on the admin of macroregion perc")</f>
        <v>Percentage of households with at least one member that has difficulties concentrating on the admin of macroregion perc</v>
      </c>
    </row>
    <row r="297" spans="2:6" x14ac:dyDescent="0.35">
      <c r="B297" t="s">
        <v>74</v>
      </c>
      <c r="C297" t="s">
        <v>94</v>
      </c>
      <c r="D297" t="s">
        <v>57</v>
      </c>
      <c r="E297" s="43">
        <v>277</v>
      </c>
      <c r="F297" s="21" t="str">
        <f>HYPERLINK("#'Data'!A5002", "Percentage of households with at least one member that has difficulties concentrating broken down by households with at least one member with a report...")</f>
        <v>Percentage of households with at least one member that has difficulties concentrating broken down by households with at least one member with a report...</v>
      </c>
    </row>
    <row r="298" spans="2:6" x14ac:dyDescent="0.35">
      <c r="B298" t="s">
        <v>74</v>
      </c>
      <c r="C298" t="s">
        <v>94</v>
      </c>
      <c r="D298" t="s">
        <v>58</v>
      </c>
      <c r="E298" s="43">
        <v>278</v>
      </c>
      <c r="F298" s="21" t="str">
        <f>HYPERLINK("#'Data'!A5016", "Percentage of households with at least one member that has difficulties concentrating broken down by urbanity on the admin of macroregion perc")</f>
        <v>Percentage of households with at least one member that has difficulties concentrating broken down by urbanity on the admin of macroregion perc</v>
      </c>
    </row>
    <row r="299" spans="2:6" x14ac:dyDescent="0.35">
      <c r="B299" t="s">
        <v>74</v>
      </c>
      <c r="C299" t="s">
        <v>94</v>
      </c>
      <c r="D299" t="s">
        <v>59</v>
      </c>
      <c r="E299" s="43">
        <v>279</v>
      </c>
      <c r="F299" s="21" t="str">
        <f>HYPERLINK("#'Data'!A5030", "Percentage of households with at least one member that has difficulties concentrating broken down by household size on the admin of macroregion perc")</f>
        <v>Percentage of households with at least one member that has difficulties concentrating broken down by household size on the admin of macroregion perc</v>
      </c>
    </row>
    <row r="300" spans="2:6" x14ac:dyDescent="0.35">
      <c r="B300" t="s">
        <v>74</v>
      </c>
      <c r="C300" t="s">
        <v>94</v>
      </c>
      <c r="D300" t="s">
        <v>60</v>
      </c>
      <c r="E300" s="43">
        <v>280</v>
      </c>
      <c r="F300" s="21" t="str">
        <f>HYPERLINK("#'Data'!A5049", "Percentage of households with at least one member that has difficulties concentrating broken down by income per capita (quartiles) on the admin of mac...")</f>
        <v>Percentage of households with at least one member that has difficulties concentrating broken down by income per capita (quartiles) on the admin of mac...</v>
      </c>
    </row>
    <row r="301" spans="2:6" x14ac:dyDescent="0.35">
      <c r="B301" t="s">
        <v>74</v>
      </c>
      <c r="C301" t="s">
        <v>94</v>
      </c>
      <c r="D301" t="s">
        <v>61</v>
      </c>
      <c r="E301" s="43">
        <v>281</v>
      </c>
      <c r="F301" s="21" t="str">
        <f>HYPERLINK("#'Data'!A5073", "Percentage of households with at least one member that has difficulties concentrating broken down by gender of head of household on the admin of macro...")</f>
        <v>Percentage of households with at least one member that has difficulties concentrating broken down by gender of head of household on the admin of macro...</v>
      </c>
    </row>
    <row r="302" spans="2:6" x14ac:dyDescent="0.35">
      <c r="B302" t="s">
        <v>74</v>
      </c>
      <c r="C302" t="s">
        <v>94</v>
      </c>
      <c r="D302" t="s">
        <v>62</v>
      </c>
      <c r="E302" s="43">
        <v>282</v>
      </c>
      <c r="F302" s="21" t="str">
        <f>HYPERLINK("#'Data'!A5093", "Percentage of households with at least one member that has difficulties concentrating broken down by age of adults in the households on the admin of m...")</f>
        <v>Percentage of households with at least one member that has difficulties concentrating broken down by age of adults in the households on the admin of m...</v>
      </c>
    </row>
    <row r="303" spans="2:6" x14ac:dyDescent="0.35">
      <c r="B303" t="s">
        <v>74</v>
      </c>
      <c r="C303" t="s">
        <v>94</v>
      </c>
      <c r="D303" t="s">
        <v>76</v>
      </c>
      <c r="E303" s="43">
        <v>283</v>
      </c>
      <c r="F303" s="21" t="str">
        <f>HYPERLINK("#'Data'!A5112", "Percentage of households with at least one member that has difficulties concentrating broken down by households with at least one child (&lt;18 y.o.) on ...")</f>
        <v>Percentage of households with at least one member that has difficulties concentrating broken down by households with at least one child (&lt;18 y.o.) on ...</v>
      </c>
    </row>
    <row r="304" spans="2:6" x14ac:dyDescent="0.35">
      <c r="B304" t="s">
        <v>74</v>
      </c>
      <c r="C304" t="s">
        <v>94</v>
      </c>
      <c r="D304" t="s">
        <v>63</v>
      </c>
      <c r="E304" s="43">
        <v>284</v>
      </c>
      <c r="F304" s="21" t="str">
        <f>HYPERLINK("#'Data'!A5126", "Percentage of households with at least one member that has difficulties concentrating broken down by displacement status of head of household on the a...")</f>
        <v>Percentage of households with at least one member that has difficulties concentrating broken down by displacement status of head of household on the a...</v>
      </c>
    </row>
    <row r="305" spans="2:6" x14ac:dyDescent="0.35">
      <c r="B305" t="s">
        <v>74</v>
      </c>
      <c r="C305" t="s">
        <v>94</v>
      </c>
      <c r="D305" t="s">
        <v>64</v>
      </c>
      <c r="E305" s="43">
        <v>285</v>
      </c>
      <c r="F305" s="21" t="str">
        <f>HYPERLINK("#'Data'!A5153", "Percentage of households with at least one member that has difficulties concentrating broken down by IDP household on the admin of macroregion perc")</f>
        <v>Percentage of households with at least one member that has difficulties concentrating broken down by IDP household on the admin of macroregion perc</v>
      </c>
    </row>
    <row r="306" spans="2:6" x14ac:dyDescent="0.35">
      <c r="B306" t="s">
        <v>74</v>
      </c>
      <c r="C306" t="s">
        <v>94</v>
      </c>
      <c r="D306" t="s">
        <v>65</v>
      </c>
      <c r="E306" s="43">
        <v>286</v>
      </c>
      <c r="F306" s="21" t="str">
        <f>HYPERLINK("#'Data'!A5167", "Percentage of households with at least one member that has difficulties concentrating broken down by proximity to frontline/border with Russian Federa...")</f>
        <v>Percentage of households with at least one member that has difficulties concentrating broken down by proximity to frontline/border with Russian Federa...</v>
      </c>
    </row>
    <row r="307" spans="2:6" x14ac:dyDescent="0.35">
      <c r="B307" t="s">
        <v>74</v>
      </c>
      <c r="C307" t="s">
        <v>94</v>
      </c>
      <c r="D307" t="s">
        <v>77</v>
      </c>
      <c r="E307" s="43">
        <v>287</v>
      </c>
      <c r="F307" s="21" t="str">
        <f>HYPERLINK("#'Data'!A5182", "Percentage of households with at least one member that has difficulties concentrating broken down by caregiving status  on the admin of macroregion pe...")</f>
        <v>Percentage of households with at least one member that has difficulties concentrating broken down by caregiving status  on the admin of macroregion pe...</v>
      </c>
    </row>
    <row r="308" spans="2:6" x14ac:dyDescent="0.35">
      <c r="B308" t="s">
        <v>74</v>
      </c>
      <c r="C308" t="s">
        <v>95</v>
      </c>
      <c r="D308" t="s">
        <v>36</v>
      </c>
      <c r="E308" s="43">
        <v>288</v>
      </c>
      <c r="F308" s="21" t="str">
        <f>HYPERLINK("#'Data'!A5204", "Percentage of households with at least one member that has difficulties performing self-care on the admin of macroregion perc")</f>
        <v>Percentage of households with at least one member that has difficulties performing self-care on the admin of macroregion perc</v>
      </c>
    </row>
    <row r="309" spans="2:6" x14ac:dyDescent="0.35">
      <c r="B309" t="s">
        <v>74</v>
      </c>
      <c r="C309" t="s">
        <v>95</v>
      </c>
      <c r="D309" t="s">
        <v>57</v>
      </c>
      <c r="E309" s="43">
        <v>289</v>
      </c>
      <c r="F309" s="21" t="str">
        <f>HYPERLINK("#'Data'!A5213", "Percentage of households with at least one member that has difficulties performing self-care broken down by households with at least one member with a...")</f>
        <v>Percentage of households with at least one member that has difficulties performing self-care broken down by households with at least one member with a...</v>
      </c>
    </row>
    <row r="310" spans="2:6" x14ac:dyDescent="0.35">
      <c r="B310" t="s">
        <v>74</v>
      </c>
      <c r="C310" t="s">
        <v>95</v>
      </c>
      <c r="D310" t="s">
        <v>58</v>
      </c>
      <c r="E310" s="43">
        <v>290</v>
      </c>
      <c r="F310" s="21" t="str">
        <f>HYPERLINK("#'Data'!A5227", "Percentage of households with at least one member that has difficulties performing self-care broken down by urbanity on the admin of macroregion perc")</f>
        <v>Percentage of households with at least one member that has difficulties performing self-care broken down by urbanity on the admin of macroregion perc</v>
      </c>
    </row>
    <row r="311" spans="2:6" x14ac:dyDescent="0.35">
      <c r="B311" t="s">
        <v>74</v>
      </c>
      <c r="C311" t="s">
        <v>95</v>
      </c>
      <c r="D311" t="s">
        <v>59</v>
      </c>
      <c r="E311" s="43">
        <v>291</v>
      </c>
      <c r="F311" s="21" t="str">
        <f>HYPERLINK("#'Data'!A5241", "Percentage of households with at least one member that has difficulties performing self-care broken down by household size on the admin of macroregion...")</f>
        <v>Percentage of households with at least one member that has difficulties performing self-care broken down by household size on the admin of macroregion...</v>
      </c>
    </row>
    <row r="312" spans="2:6" x14ac:dyDescent="0.35">
      <c r="B312" t="s">
        <v>74</v>
      </c>
      <c r="C312" t="s">
        <v>95</v>
      </c>
      <c r="D312" t="s">
        <v>60</v>
      </c>
      <c r="E312" s="43">
        <v>292</v>
      </c>
      <c r="F312" s="21" t="str">
        <f>HYPERLINK("#'Data'!A5260", "Percentage of households with at least one member that has difficulties performing self-care broken down by income per capita (quartiles) on the admin...")</f>
        <v>Percentage of households with at least one member that has difficulties performing self-care broken down by income per capita (quartiles) on the admin...</v>
      </c>
    </row>
    <row r="313" spans="2:6" x14ac:dyDescent="0.35">
      <c r="B313" t="s">
        <v>74</v>
      </c>
      <c r="C313" t="s">
        <v>95</v>
      </c>
      <c r="D313" t="s">
        <v>61</v>
      </c>
      <c r="E313" s="43">
        <v>293</v>
      </c>
      <c r="F313" s="21" t="str">
        <f>HYPERLINK("#'Data'!A5284", "Percentage of households with at least one member that has difficulties performing self-care broken down by gender of head of household on the admin o...")</f>
        <v>Percentage of households with at least one member that has difficulties performing self-care broken down by gender of head of household on the admin o...</v>
      </c>
    </row>
    <row r="314" spans="2:6" x14ac:dyDescent="0.35">
      <c r="B314" t="s">
        <v>74</v>
      </c>
      <c r="C314" t="s">
        <v>95</v>
      </c>
      <c r="D314" t="s">
        <v>62</v>
      </c>
      <c r="E314" s="43">
        <v>294</v>
      </c>
      <c r="F314" s="21" t="str">
        <f>HYPERLINK("#'Data'!A5304", "Percentage of households with at least one member that has difficulties performing self-care broken down by age of adults in the households on the adm...")</f>
        <v>Percentage of households with at least one member that has difficulties performing self-care broken down by age of adults in the households on the adm...</v>
      </c>
    </row>
    <row r="315" spans="2:6" x14ac:dyDescent="0.35">
      <c r="B315" t="s">
        <v>74</v>
      </c>
      <c r="C315" t="s">
        <v>95</v>
      </c>
      <c r="D315" t="s">
        <v>76</v>
      </c>
      <c r="E315" s="43">
        <v>295</v>
      </c>
      <c r="F315" s="21" t="str">
        <f>HYPERLINK("#'Data'!A5323", "Percentage of households with at least one member that has difficulties performing self-care broken down by households with at least one child (&lt;18 y....")</f>
        <v>Percentage of households with at least one member that has difficulties performing self-care broken down by households with at least one child (&lt;18 y....</v>
      </c>
    </row>
    <row r="316" spans="2:6" x14ac:dyDescent="0.35">
      <c r="B316" t="s">
        <v>74</v>
      </c>
      <c r="C316" t="s">
        <v>95</v>
      </c>
      <c r="D316" t="s">
        <v>63</v>
      </c>
      <c r="E316" s="43">
        <v>296</v>
      </c>
      <c r="F316" s="21" t="str">
        <f>HYPERLINK("#'Data'!A5337", "Percentage of households with at least one member that has difficulties performing self-care broken down by displacement status of head of household o...")</f>
        <v>Percentage of households with at least one member that has difficulties performing self-care broken down by displacement status of head of household o...</v>
      </c>
    </row>
    <row r="317" spans="2:6" x14ac:dyDescent="0.35">
      <c r="B317" t="s">
        <v>74</v>
      </c>
      <c r="C317" t="s">
        <v>95</v>
      </c>
      <c r="D317" t="s">
        <v>64</v>
      </c>
      <c r="E317" s="43">
        <v>297</v>
      </c>
      <c r="F317" s="21" t="str">
        <f>HYPERLINK("#'Data'!A5364", "Percentage of households with at least one member that has difficulties performing self-care broken down by IDP household on the admin of macroregion ...")</f>
        <v>Percentage of households with at least one member that has difficulties performing self-care broken down by IDP household on the admin of macroregion ...</v>
      </c>
    </row>
    <row r="318" spans="2:6" x14ac:dyDescent="0.35">
      <c r="B318" t="s">
        <v>74</v>
      </c>
      <c r="C318" t="s">
        <v>95</v>
      </c>
      <c r="D318" t="s">
        <v>65</v>
      </c>
      <c r="E318" s="43">
        <v>298</v>
      </c>
      <c r="F318" s="21" t="str">
        <f>HYPERLINK("#'Data'!A5378", "Percentage of households with at least one member that has difficulties performing self-care broken down by proximity to frontline/border with Russian...")</f>
        <v>Percentage of households with at least one member that has difficulties performing self-care broken down by proximity to frontline/border with Russian...</v>
      </c>
    </row>
    <row r="319" spans="2:6" x14ac:dyDescent="0.35">
      <c r="B319" t="s">
        <v>74</v>
      </c>
      <c r="C319" t="s">
        <v>95</v>
      </c>
      <c r="D319" t="s">
        <v>77</v>
      </c>
      <c r="E319" s="43">
        <v>299</v>
      </c>
      <c r="F319" s="21" t="str">
        <f>HYPERLINK("#'Data'!A5393", "Percentage of households with at least one member that has difficulties performing self-care broken down by caregiving status  on the admin of macrore...")</f>
        <v>Percentage of households with at least one member that has difficulties performing self-care broken down by caregiving status  on the admin of macrore...</v>
      </c>
    </row>
    <row r="320" spans="2:6" x14ac:dyDescent="0.35">
      <c r="B320" t="s">
        <v>74</v>
      </c>
      <c r="C320" t="s">
        <v>96</v>
      </c>
      <c r="D320" t="s">
        <v>36</v>
      </c>
      <c r="E320" s="43">
        <v>300</v>
      </c>
      <c r="F320" s="21" t="str">
        <f>HYPERLINK("#'Data'!A5415", "Percentage of households with at least one member that has difficulties communicating on the admin of macroregion perc")</f>
        <v>Percentage of households with at least one member that has difficulties communicating on the admin of macroregion perc</v>
      </c>
    </row>
    <row r="321" spans="2:6" x14ac:dyDescent="0.35">
      <c r="B321" t="s">
        <v>74</v>
      </c>
      <c r="C321" t="s">
        <v>96</v>
      </c>
      <c r="D321" t="s">
        <v>57</v>
      </c>
      <c r="E321" s="43">
        <v>301</v>
      </c>
      <c r="F321" s="21" t="str">
        <f>HYPERLINK("#'Data'!A5424", "Percentage of households with at least one member that has difficulties communicating broken down by households with at least one member with a report...")</f>
        <v>Percentage of households with at least one member that has difficulties communicating broken down by households with at least one member with a report...</v>
      </c>
    </row>
    <row r="322" spans="2:6" x14ac:dyDescent="0.35">
      <c r="B322" t="s">
        <v>74</v>
      </c>
      <c r="C322" t="s">
        <v>96</v>
      </c>
      <c r="D322" t="s">
        <v>58</v>
      </c>
      <c r="E322" s="43">
        <v>302</v>
      </c>
      <c r="F322" s="21" t="str">
        <f>HYPERLINK("#'Data'!A5438", "Percentage of households with at least one member that has difficulties communicating broken down by urbanity on the admin of macroregion perc")</f>
        <v>Percentage of households with at least one member that has difficulties communicating broken down by urbanity on the admin of macroregion perc</v>
      </c>
    </row>
    <row r="323" spans="2:6" x14ac:dyDescent="0.35">
      <c r="B323" t="s">
        <v>74</v>
      </c>
      <c r="C323" t="s">
        <v>96</v>
      </c>
      <c r="D323" t="s">
        <v>59</v>
      </c>
      <c r="E323" s="43">
        <v>303</v>
      </c>
      <c r="F323" s="21" t="str">
        <f>HYPERLINK("#'Data'!A5452", "Percentage of households with at least one member that has difficulties communicating broken down by household size on the admin of macroregion perc")</f>
        <v>Percentage of households with at least one member that has difficulties communicating broken down by household size on the admin of macroregion perc</v>
      </c>
    </row>
    <row r="324" spans="2:6" x14ac:dyDescent="0.35">
      <c r="B324" t="s">
        <v>74</v>
      </c>
      <c r="C324" t="s">
        <v>96</v>
      </c>
      <c r="D324" t="s">
        <v>60</v>
      </c>
      <c r="E324" s="43">
        <v>304</v>
      </c>
      <c r="F324" s="21" t="str">
        <f>HYPERLINK("#'Data'!A5471", "Percentage of households with at least one member that has difficulties communicating broken down by income per capita (quartiles) on the admin of mac...")</f>
        <v>Percentage of households with at least one member that has difficulties communicating broken down by income per capita (quartiles) on the admin of mac...</v>
      </c>
    </row>
    <row r="325" spans="2:6" x14ac:dyDescent="0.35">
      <c r="B325" t="s">
        <v>74</v>
      </c>
      <c r="C325" t="s">
        <v>96</v>
      </c>
      <c r="D325" t="s">
        <v>61</v>
      </c>
      <c r="E325" s="43">
        <v>305</v>
      </c>
      <c r="F325" s="21" t="str">
        <f>HYPERLINK("#'Data'!A5495", "Percentage of households with at least one member that has difficulties communicating broken down by gender of head of household on the admin of macro...")</f>
        <v>Percentage of households with at least one member that has difficulties communicating broken down by gender of head of household on the admin of macro...</v>
      </c>
    </row>
    <row r="326" spans="2:6" x14ac:dyDescent="0.35">
      <c r="B326" t="s">
        <v>74</v>
      </c>
      <c r="C326" t="s">
        <v>96</v>
      </c>
      <c r="D326" t="s">
        <v>62</v>
      </c>
      <c r="E326" s="43">
        <v>306</v>
      </c>
      <c r="F326" s="21" t="str">
        <f>HYPERLINK("#'Data'!A5515", "Percentage of households with at least one member that has difficulties communicating broken down by age of adults in the households on the admin of m...")</f>
        <v>Percentage of households with at least one member that has difficulties communicating broken down by age of adults in the households on the admin of m...</v>
      </c>
    </row>
    <row r="327" spans="2:6" x14ac:dyDescent="0.35">
      <c r="B327" t="s">
        <v>74</v>
      </c>
      <c r="C327" t="s">
        <v>96</v>
      </c>
      <c r="D327" t="s">
        <v>76</v>
      </c>
      <c r="E327" s="43">
        <v>307</v>
      </c>
      <c r="F327" s="21" t="str">
        <f>HYPERLINK("#'Data'!A5534", "Percentage of households with at least one member that has difficulties communicating broken down by households with at least one child (&lt;18 y.o.) on ...")</f>
        <v>Percentage of households with at least one member that has difficulties communicating broken down by households with at least one child (&lt;18 y.o.) on ...</v>
      </c>
    </row>
    <row r="328" spans="2:6" x14ac:dyDescent="0.35">
      <c r="B328" t="s">
        <v>74</v>
      </c>
      <c r="C328" t="s">
        <v>96</v>
      </c>
      <c r="D328" t="s">
        <v>63</v>
      </c>
      <c r="E328" s="43">
        <v>308</v>
      </c>
      <c r="F328" s="21" t="str">
        <f>HYPERLINK("#'Data'!A5548", "Percentage of households with at least one member that has difficulties communicating broken down by displacement status of head of household on the a...")</f>
        <v>Percentage of households with at least one member that has difficulties communicating broken down by displacement status of head of household on the a...</v>
      </c>
    </row>
    <row r="329" spans="2:6" x14ac:dyDescent="0.35">
      <c r="B329" t="s">
        <v>74</v>
      </c>
      <c r="C329" t="s">
        <v>96</v>
      </c>
      <c r="D329" t="s">
        <v>64</v>
      </c>
      <c r="E329" s="43">
        <v>309</v>
      </c>
      <c r="F329" s="21" t="str">
        <f>HYPERLINK("#'Data'!A5575", "Percentage of households with at least one member that has difficulties communicating broken down by IDP household on the admin of macroregion perc")</f>
        <v>Percentage of households with at least one member that has difficulties communicating broken down by IDP household on the admin of macroregion perc</v>
      </c>
    </row>
    <row r="330" spans="2:6" x14ac:dyDescent="0.35">
      <c r="B330" t="s">
        <v>74</v>
      </c>
      <c r="C330" t="s">
        <v>96</v>
      </c>
      <c r="D330" t="s">
        <v>65</v>
      </c>
      <c r="E330" s="43">
        <v>310</v>
      </c>
      <c r="F330" s="21" t="str">
        <f>HYPERLINK("#'Data'!A5589", "Percentage of households with at least one member that has difficulties communicating broken down by proximity to frontline/border with Russian Federa...")</f>
        <v>Percentage of households with at least one member that has difficulties communicating broken down by proximity to frontline/border with Russian Federa...</v>
      </c>
    </row>
    <row r="331" spans="2:6" x14ac:dyDescent="0.35">
      <c r="B331" t="s">
        <v>74</v>
      </c>
      <c r="C331" t="s">
        <v>96</v>
      </c>
      <c r="D331" t="s">
        <v>77</v>
      </c>
      <c r="E331" s="43">
        <v>311</v>
      </c>
      <c r="F331" s="21" t="str">
        <f>HYPERLINK("#'Data'!A5604", "Percentage of households with at least one member that has difficulties communicating broken down by caregiving status  on the admin of macroregion pe...")</f>
        <v>Percentage of households with at least one member that has difficulties communicating broken down by caregiving status  on the admin of macroregion pe...</v>
      </c>
    </row>
    <row r="332" spans="2:6" x14ac:dyDescent="0.35">
      <c r="B332" t="s">
        <v>55</v>
      </c>
      <c r="C332" t="s">
        <v>97</v>
      </c>
      <c r="D332" t="s">
        <v>36</v>
      </c>
      <c r="E332" s="43">
        <v>312</v>
      </c>
      <c r="F332" s="21" t="str">
        <f>HYPERLINK("#'Data'!A5626",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3" spans="2:6" x14ac:dyDescent="0.35">
      <c r="B333" t="s">
        <v>55</v>
      </c>
      <c r="C333" t="s">
        <v>97</v>
      </c>
      <c r="D333" t="s">
        <v>57</v>
      </c>
      <c r="E333" s="43">
        <v>313</v>
      </c>
      <c r="F333" s="21" t="str">
        <f>HYPERLINK("#'Data'!A5635",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4" spans="2:6" x14ac:dyDescent="0.35">
      <c r="B334" t="s">
        <v>55</v>
      </c>
      <c r="C334" t="s">
        <v>97</v>
      </c>
      <c r="D334" t="s">
        <v>58</v>
      </c>
      <c r="E334" s="43">
        <v>314</v>
      </c>
      <c r="F334" s="21" t="str">
        <f>HYPERLINK("#'Data'!A5649",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5" spans="2:6" x14ac:dyDescent="0.35">
      <c r="B335" t="s">
        <v>55</v>
      </c>
      <c r="C335" t="s">
        <v>97</v>
      </c>
      <c r="D335" t="s">
        <v>59</v>
      </c>
      <c r="E335" s="43">
        <v>315</v>
      </c>
      <c r="F335" s="21" t="str">
        <f>HYPERLINK("#'Data'!A5663",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6" spans="2:6" x14ac:dyDescent="0.35">
      <c r="B336" t="s">
        <v>55</v>
      </c>
      <c r="C336" t="s">
        <v>97</v>
      </c>
      <c r="D336" t="s">
        <v>60</v>
      </c>
      <c r="E336" s="43">
        <v>316</v>
      </c>
      <c r="F336" s="21" t="str">
        <f>HYPERLINK("#'Data'!A5677",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7" spans="2:6" x14ac:dyDescent="0.35">
      <c r="B337" t="s">
        <v>55</v>
      </c>
      <c r="C337" t="s">
        <v>97</v>
      </c>
      <c r="D337" t="s">
        <v>61</v>
      </c>
      <c r="E337" s="43">
        <v>317</v>
      </c>
      <c r="F337" s="21" t="str">
        <f>HYPERLINK("#'Data'!A5701",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8" spans="2:6" x14ac:dyDescent="0.35">
      <c r="B338" t="s">
        <v>55</v>
      </c>
      <c r="C338" t="s">
        <v>97</v>
      </c>
      <c r="D338" t="s">
        <v>62</v>
      </c>
      <c r="E338" s="43">
        <v>318</v>
      </c>
      <c r="F338" s="21" t="str">
        <f>HYPERLINK("#'Data'!A5720",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39" spans="2:6" x14ac:dyDescent="0.35">
      <c r="B339" t="s">
        <v>55</v>
      </c>
      <c r="C339" t="s">
        <v>97</v>
      </c>
      <c r="D339" t="s">
        <v>63</v>
      </c>
      <c r="E339" s="43">
        <v>319</v>
      </c>
      <c r="F339" s="21" t="str">
        <f>HYPERLINK("#'Data'!A5738",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40" spans="2:6" x14ac:dyDescent="0.35">
      <c r="B340" t="s">
        <v>55</v>
      </c>
      <c r="C340" t="s">
        <v>97</v>
      </c>
      <c r="D340" t="s">
        <v>64</v>
      </c>
      <c r="E340" s="43">
        <v>320</v>
      </c>
      <c r="F340" s="21" t="str">
        <f>HYPERLINK("#'Data'!A5763",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41" spans="2:6" x14ac:dyDescent="0.35">
      <c r="B341" t="s">
        <v>55</v>
      </c>
      <c r="C341" t="s">
        <v>97</v>
      </c>
      <c r="D341" t="s">
        <v>65</v>
      </c>
      <c r="E341" s="43">
        <v>321</v>
      </c>
      <c r="F341" s="21" t="str">
        <f>HYPERLINK("#'Data'!A5777",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42" spans="2:6" x14ac:dyDescent="0.35">
      <c r="B342" t="s">
        <v>55</v>
      </c>
      <c r="C342" t="s">
        <v>98</v>
      </c>
      <c r="D342" t="s">
        <v>36</v>
      </c>
      <c r="E342" s="43">
        <v>322</v>
      </c>
      <c r="F342" s="21" t="str">
        <f>HYPERLINK("#'Data'!A5792", "Percentage of households by time adults spend on supporting children's education on the admin of macroregion perc")</f>
        <v>Percentage of households by time adults spend on supporting children's education on the admin of macroregion perc</v>
      </c>
    </row>
    <row r="343" spans="2:6" x14ac:dyDescent="0.35">
      <c r="B343" t="s">
        <v>55</v>
      </c>
      <c r="C343" t="s">
        <v>98</v>
      </c>
      <c r="D343" t="s">
        <v>57</v>
      </c>
      <c r="E343" s="43">
        <v>323</v>
      </c>
      <c r="F343" s="21" t="str">
        <f>HYPERLINK("#'Data'!A5801", "Percentage of households by time adults spend on supporting children's education broken down by households with at least one member with a reported an...")</f>
        <v>Percentage of households by time adults spend on supporting children's education broken down by households with at least one member with a reported an...</v>
      </c>
    </row>
    <row r="344" spans="2:6" x14ac:dyDescent="0.35">
      <c r="B344" t="s">
        <v>55</v>
      </c>
      <c r="C344" t="s">
        <v>98</v>
      </c>
      <c r="D344" t="s">
        <v>58</v>
      </c>
      <c r="E344" s="43">
        <v>324</v>
      </c>
      <c r="F344" s="21" t="str">
        <f>HYPERLINK("#'Data'!A5815", "Percentage of households by time adults spend on supporting children's education broken down by urbanity on the admin of macroregion perc")</f>
        <v>Percentage of households by time adults spend on supporting children's education broken down by urbanity on the admin of macroregion perc</v>
      </c>
    </row>
    <row r="345" spans="2:6" x14ac:dyDescent="0.35">
      <c r="B345" t="s">
        <v>55</v>
      </c>
      <c r="C345" t="s">
        <v>98</v>
      </c>
      <c r="D345" t="s">
        <v>59</v>
      </c>
      <c r="E345" s="43">
        <v>325</v>
      </c>
      <c r="F345" s="21" t="str">
        <f>HYPERLINK("#'Data'!A5829", "Percentage of households by time adults spend on supporting children's education broken down by household size on the admin of macroregion perc")</f>
        <v>Percentage of households by time adults spend on supporting children's education broken down by household size on the admin of macroregion perc</v>
      </c>
    </row>
    <row r="346" spans="2:6" x14ac:dyDescent="0.35">
      <c r="B346" t="s">
        <v>55</v>
      </c>
      <c r="C346" t="s">
        <v>98</v>
      </c>
      <c r="D346" t="s">
        <v>60</v>
      </c>
      <c r="E346" s="43">
        <v>326</v>
      </c>
      <c r="F346" s="21" t="str">
        <f>HYPERLINK("#'Data'!A5843", "Percentage of households by time adults spend on supporting children's education broken down by income per capita (quartiles) on the admin of macroreg...")</f>
        <v>Percentage of households by time adults spend on supporting children's education broken down by income per capita (quartiles) on the admin of macroreg...</v>
      </c>
    </row>
    <row r="347" spans="2:6" x14ac:dyDescent="0.35">
      <c r="B347" t="s">
        <v>55</v>
      </c>
      <c r="C347" t="s">
        <v>98</v>
      </c>
      <c r="D347" t="s">
        <v>61</v>
      </c>
      <c r="E347" s="43">
        <v>327</v>
      </c>
      <c r="F347" s="21" t="str">
        <f>HYPERLINK("#'Data'!A5867", "Percentage of households by time adults spend on supporting children's education broken down by gender of head of household on the admin of macroregio...")</f>
        <v>Percentage of households by time adults spend on supporting children's education broken down by gender of head of household on the admin of macroregio...</v>
      </c>
    </row>
    <row r="348" spans="2:6" x14ac:dyDescent="0.35">
      <c r="B348" t="s">
        <v>55</v>
      </c>
      <c r="C348" t="s">
        <v>98</v>
      </c>
      <c r="D348" t="s">
        <v>62</v>
      </c>
      <c r="E348" s="43">
        <v>328</v>
      </c>
      <c r="F348" s="21" t="str">
        <f>HYPERLINK("#'Data'!A5886", "Percentage of households by time adults spend on supporting children's education broken down by age of adults in the households on the admin of macror...")</f>
        <v>Percentage of households by time adults spend on supporting children's education broken down by age of adults in the households on the admin of macror...</v>
      </c>
    </row>
    <row r="349" spans="2:6" x14ac:dyDescent="0.35">
      <c r="B349" t="s">
        <v>55</v>
      </c>
      <c r="C349" t="s">
        <v>98</v>
      </c>
      <c r="D349" t="s">
        <v>63</v>
      </c>
      <c r="E349" s="43">
        <v>329</v>
      </c>
      <c r="F349" s="21" t="str">
        <f>HYPERLINK("#'Data'!A5904", "Percentage of households by time adults spend on supporting children's education broken down by displacement status of head of household on the admin ...")</f>
        <v>Percentage of households by time adults spend on supporting children's education broken down by displacement status of head of household on the admin ...</v>
      </c>
    </row>
    <row r="350" spans="2:6" x14ac:dyDescent="0.35">
      <c r="B350" t="s">
        <v>55</v>
      </c>
      <c r="C350" t="s">
        <v>98</v>
      </c>
      <c r="D350" t="s">
        <v>64</v>
      </c>
      <c r="E350" s="43">
        <v>330</v>
      </c>
      <c r="F350" s="21" t="str">
        <f>HYPERLINK("#'Data'!A5929", "Percentage of households by time adults spend on supporting children's education broken down by IDP household on the admin of macroregion perc")</f>
        <v>Percentage of households by time adults spend on supporting children's education broken down by IDP household on the admin of macroregion perc</v>
      </c>
    </row>
    <row r="351" spans="2:6" x14ac:dyDescent="0.35">
      <c r="B351" t="s">
        <v>55</v>
      </c>
      <c r="C351" t="s">
        <v>98</v>
      </c>
      <c r="D351" t="s">
        <v>65</v>
      </c>
      <c r="E351" s="43">
        <v>331</v>
      </c>
      <c r="F351" s="21" t="str">
        <f>HYPERLINK("#'Data'!A5943", "Percentage of households by time adults spend on supporting children's education broken down by proximity to frontline/border with Russian Federation ...")</f>
        <v>Percentage of households by time adults spend on supporting children's education broken down by proximity to frontline/border with Russian Federation ...</v>
      </c>
    </row>
    <row r="352" spans="2:6" x14ac:dyDescent="0.35">
      <c r="B352" t="s">
        <v>99</v>
      </c>
      <c r="C352" t="s">
        <v>100</v>
      </c>
      <c r="D352" t="s">
        <v>36</v>
      </c>
      <c r="E352" s="43">
        <v>332</v>
      </c>
      <c r="F352" s="21" t="str">
        <f>HYPERLINK("#'Data'!A5958", "Percentage of households by displacement status of head of household on the admin of macroregion perc")</f>
        <v>Percentage of households by displacement status of head of household on the admin of macroregion perc</v>
      </c>
    </row>
    <row r="353" spans="2:6" x14ac:dyDescent="0.35">
      <c r="B353" t="s">
        <v>99</v>
      </c>
      <c r="C353" t="s">
        <v>100</v>
      </c>
      <c r="D353" t="s">
        <v>57</v>
      </c>
      <c r="E353" s="43">
        <v>333</v>
      </c>
      <c r="F353" s="21" t="str">
        <f>HYPERLINK("#'Data'!A5967", "Percentage of households by displacement status of head of household broken down by households with at least one member with a reported and/or registe...")</f>
        <v>Percentage of households by displacement status of head of household broken down by households with at least one member with a reported and/or registe...</v>
      </c>
    </row>
    <row r="354" spans="2:6" x14ac:dyDescent="0.35">
      <c r="B354" t="s">
        <v>99</v>
      </c>
      <c r="C354" t="s">
        <v>100</v>
      </c>
      <c r="D354" t="s">
        <v>58</v>
      </c>
      <c r="E354" s="43">
        <v>334</v>
      </c>
      <c r="F354" s="21" t="str">
        <f>HYPERLINK("#'Data'!A5981", "Percentage of households by displacement status of head of household broken down by urbanity on the admin of macroregion perc")</f>
        <v>Percentage of households by displacement status of head of household broken down by urbanity on the admin of macroregion perc</v>
      </c>
    </row>
    <row r="355" spans="2:6" x14ac:dyDescent="0.35">
      <c r="B355" t="s">
        <v>99</v>
      </c>
      <c r="C355" t="s">
        <v>100</v>
      </c>
      <c r="D355" t="s">
        <v>59</v>
      </c>
      <c r="E355" s="43">
        <v>335</v>
      </c>
      <c r="F355" s="21" t="str">
        <f>HYPERLINK("#'Data'!A5995", "Percentage of households by displacement status of head of household broken down by household size on the admin of macroregion perc")</f>
        <v>Percentage of households by displacement status of head of household broken down by household size on the admin of macroregion perc</v>
      </c>
    </row>
    <row r="356" spans="2:6" x14ac:dyDescent="0.35">
      <c r="B356" t="s">
        <v>99</v>
      </c>
      <c r="C356" t="s">
        <v>100</v>
      </c>
      <c r="D356" t="s">
        <v>60</v>
      </c>
      <c r="E356" s="43">
        <v>336</v>
      </c>
      <c r="F356" s="21" t="str">
        <f>HYPERLINK("#'Data'!A6014", "Percentage of households by displacement status of head of household broken down by income per capita (quartiles) on the admin of macroregion perc")</f>
        <v>Percentage of households by displacement status of head of household broken down by income per capita (quartiles) on the admin of macroregion perc</v>
      </c>
    </row>
    <row r="357" spans="2:6" x14ac:dyDescent="0.35">
      <c r="B357" t="s">
        <v>99</v>
      </c>
      <c r="C357" t="s">
        <v>100</v>
      </c>
      <c r="D357" t="s">
        <v>61</v>
      </c>
      <c r="E357" s="43">
        <v>337</v>
      </c>
      <c r="F357" s="21" t="str">
        <f>HYPERLINK("#'Data'!A6038", "Percentage of households by displacement status of head of household broken down by gender of head of household on the admin of macroregion perc")</f>
        <v>Percentage of households by displacement status of head of household broken down by gender of head of household on the admin of macroregion perc</v>
      </c>
    </row>
    <row r="358" spans="2:6" x14ac:dyDescent="0.35">
      <c r="B358" t="s">
        <v>99</v>
      </c>
      <c r="C358" t="s">
        <v>100</v>
      </c>
      <c r="D358" t="s">
        <v>62</v>
      </c>
      <c r="E358" s="43">
        <v>338</v>
      </c>
      <c r="F358" s="21" t="str">
        <f>HYPERLINK("#'Data'!A6058", "Percentage of households by displacement status of head of household broken down by age of adults in the households on the admin of macroregion perc")</f>
        <v>Percentage of households by displacement status of head of household broken down by age of adults in the households on the admin of macroregion perc</v>
      </c>
    </row>
    <row r="359" spans="2:6" x14ac:dyDescent="0.35">
      <c r="B359" t="s">
        <v>99</v>
      </c>
      <c r="C359" t="s">
        <v>100</v>
      </c>
      <c r="D359" t="s">
        <v>76</v>
      </c>
      <c r="E359" s="43">
        <v>339</v>
      </c>
      <c r="F359" s="21" t="str">
        <f>HYPERLINK("#'Data'!A6077", "Percentage of households by displacement status of head of household broken down by households with at least one child (&lt;18 y.o.) on the admin of macr...")</f>
        <v>Percentage of households by displacement status of head of household broken down by households with at least one child (&lt;18 y.o.) on the admin of macr...</v>
      </c>
    </row>
    <row r="360" spans="2:6" x14ac:dyDescent="0.35">
      <c r="B360" t="s">
        <v>99</v>
      </c>
      <c r="C360" t="s">
        <v>100</v>
      </c>
      <c r="D360" t="s">
        <v>65</v>
      </c>
      <c r="E360" s="43">
        <v>340</v>
      </c>
      <c r="F360" s="21" t="str">
        <f>HYPERLINK("#'Data'!A6091", "Percentage of households by displacement status of head of household broken down by proximity to frontline/border with Russian Federation on the admin...")</f>
        <v>Percentage of households by displacement status of head of household broken down by proximity to frontline/border with Russian Federation on the admin...</v>
      </c>
    </row>
    <row r="361" spans="2:6" x14ac:dyDescent="0.35">
      <c r="B361" t="s">
        <v>99</v>
      </c>
      <c r="C361" t="s">
        <v>100</v>
      </c>
      <c r="D361" t="s">
        <v>77</v>
      </c>
      <c r="E361" s="43">
        <v>341</v>
      </c>
      <c r="F361" s="21" t="str">
        <f>HYPERLINK("#'Data'!A6106", "Percentage of households by displacement status of head of household broken down by caregiving status  on the admin of macroregion perc")</f>
        <v>Percentage of households by displacement status of head of household broken down by caregiving status  on the admin of macroregion perc</v>
      </c>
    </row>
    <row r="362" spans="2:6" x14ac:dyDescent="0.35">
      <c r="B362" t="s">
        <v>99</v>
      </c>
      <c r="C362" t="s">
        <v>101</v>
      </c>
      <c r="D362" t="s">
        <v>36</v>
      </c>
      <c r="E362" s="43">
        <v>342</v>
      </c>
      <c r="F362" s="21" t="str">
        <f>HYPERLINK("#'Data'!A6128", "Households which are IDPs, by duration of most recent displacement (months) on the admin of macroregion perc")</f>
        <v>Households which are IDPs, by duration of most recent displacement (months) on the admin of macroregion perc</v>
      </c>
    </row>
    <row r="363" spans="2:6" x14ac:dyDescent="0.35">
      <c r="B363" t="s">
        <v>99</v>
      </c>
      <c r="C363" t="s">
        <v>102</v>
      </c>
      <c r="D363" t="s">
        <v>36</v>
      </c>
      <c r="E363" s="43">
        <v>343</v>
      </c>
      <c r="F363" s="21" t="str">
        <f>HYPERLINK("#'Data'!A6137", "Households which are returnees, by duration of displacement before return (months) on the admin of macroregion perc")</f>
        <v>Households which are returnees, by duration of displacement before return (months) on the admin of macroregion perc</v>
      </c>
    </row>
    <row r="364" spans="2:6" x14ac:dyDescent="0.35">
      <c r="B364" t="s">
        <v>99</v>
      </c>
      <c r="C364" t="s">
        <v>103</v>
      </c>
      <c r="D364" t="s">
        <v>36</v>
      </c>
      <c r="E364" s="43">
        <v>344</v>
      </c>
      <c r="F364" s="21" t="str">
        <f>HYPERLINK("#'Data'!A6146", "Households which are returnees, by length since most recent return (months) on the admin of macroregion perc")</f>
        <v>Households which are returnees, by length since most recent return (months) on the admin of macroregion perc</v>
      </c>
    </row>
    <row r="365" spans="2:6" x14ac:dyDescent="0.35">
      <c r="B365" t="s">
        <v>99</v>
      </c>
      <c r="C365" t="s">
        <v>104</v>
      </c>
      <c r="D365" t="s">
        <v>36</v>
      </c>
      <c r="E365" s="43">
        <v>345</v>
      </c>
      <c r="F365" s="21" t="str">
        <f>HYPERLINK("#'Data'!A6155", "Households which are IDPs, by duration in current place of residence (months) on the admin of macroregion perc")</f>
        <v>Households which are IDPs, by duration in current place of residence (months) on the admin of macroregion perc</v>
      </c>
    </row>
    <row r="366" spans="2:6" x14ac:dyDescent="0.35">
      <c r="B366" t="s">
        <v>99</v>
      </c>
      <c r="C366" t="s">
        <v>105</v>
      </c>
      <c r="D366" t="s">
        <v>36</v>
      </c>
      <c r="E366" s="43">
        <v>346</v>
      </c>
      <c r="F366" s="21" t="str">
        <f>HYPERLINK("#'Data'!A6164", "Households which are displaced within settlements, by duration of most recent displacement (months) on the admin of macroregion perc")</f>
        <v>Households which are displaced within settlements, by duration of most recent displacement (months) on the admin of macroregion perc</v>
      </c>
    </row>
    <row r="367" spans="2:6" x14ac:dyDescent="0.35">
      <c r="B367" t="s">
        <v>99</v>
      </c>
      <c r="C367" t="s">
        <v>106</v>
      </c>
      <c r="D367" t="s">
        <v>36</v>
      </c>
      <c r="E367" s="43">
        <v>347</v>
      </c>
      <c r="F367" s="21" t="str">
        <f>HYPERLINK("#'Data'!A6173", "Percentage of displaced households by oblast of origin on the admin of macroregion perc")</f>
        <v>Percentage of displaced households by oblast of origin on the admin of macroregion perc</v>
      </c>
    </row>
    <row r="368" spans="2:6" x14ac:dyDescent="0.35">
      <c r="B368" t="s">
        <v>99</v>
      </c>
      <c r="C368" t="s">
        <v>107</v>
      </c>
      <c r="D368" t="s">
        <v>36</v>
      </c>
      <c r="E368" s="43">
        <v>348</v>
      </c>
      <c r="F368" s="21" t="str">
        <f>HYPERLINK("#'Data'!A6182", "Percentage of households with at least one member with IDP certificate/receiving IDP payments on the admin of macroregion perc")</f>
        <v>Percentage of households with at least one member with IDP certificate/receiving IDP payments on the admin of macroregion perc</v>
      </c>
    </row>
    <row r="369" spans="2:6" x14ac:dyDescent="0.35">
      <c r="B369" t="s">
        <v>99</v>
      </c>
      <c r="C369" t="s">
        <v>108</v>
      </c>
      <c r="D369" t="s">
        <v>36</v>
      </c>
      <c r="E369" s="43">
        <v>349</v>
      </c>
      <c r="F369" s="21" t="str">
        <f>HYPERLINK("#'Data'!A6191", "Percentage of returnee households by reasons for return to their habitual place of residence on the admin of macroregion perc")</f>
        <v>Percentage of returnee households by reasons for return to their habitual place of residence on the admin of macroregion perc</v>
      </c>
    </row>
    <row r="370" spans="2:6" x14ac:dyDescent="0.35">
      <c r="B370" t="s">
        <v>99</v>
      </c>
      <c r="C370" t="s">
        <v>108</v>
      </c>
      <c r="D370" t="s">
        <v>57</v>
      </c>
      <c r="E370" s="43">
        <v>350</v>
      </c>
      <c r="F370" s="21" t="str">
        <f>HYPERLINK("#'Data'!A6200", "Percentage of returnee households by reasons for return to their habitual place of residence broken down by households with at least one member with a...")</f>
        <v>Percentage of returnee households by reasons for return to their habitual place of residence broken down by households with at least one member with a...</v>
      </c>
    </row>
    <row r="371" spans="2:6" x14ac:dyDescent="0.35">
      <c r="B371" t="s">
        <v>99</v>
      </c>
      <c r="C371" t="s">
        <v>108</v>
      </c>
      <c r="D371" t="s">
        <v>58</v>
      </c>
      <c r="E371" s="43">
        <v>351</v>
      </c>
      <c r="F371" s="21" t="str">
        <f>HYPERLINK("#'Data'!A6214", "Percentage of returnee households by reasons for return to their habitual place of residence broken down by urbanity on the admin of macroregion perc")</f>
        <v>Percentage of returnee households by reasons for return to their habitual place of residence broken down by urbanity on the admin of macroregion perc</v>
      </c>
    </row>
    <row r="372" spans="2:6" x14ac:dyDescent="0.35">
      <c r="B372" t="s">
        <v>99</v>
      </c>
      <c r="C372" t="s">
        <v>108</v>
      </c>
      <c r="D372" t="s">
        <v>59</v>
      </c>
      <c r="E372" s="43">
        <v>352</v>
      </c>
      <c r="F372" s="21" t="str">
        <f>HYPERLINK("#'Data'!A6227", "Percentage of returnee households by reasons for return to their habitual place of residence broken down by household size on the admin of macroregion...")</f>
        <v>Percentage of returnee households by reasons for return to their habitual place of residence broken down by household size on the admin of macroregion...</v>
      </c>
    </row>
    <row r="373" spans="2:6" x14ac:dyDescent="0.35">
      <c r="B373" t="s">
        <v>99</v>
      </c>
      <c r="C373" t="s">
        <v>108</v>
      </c>
      <c r="D373" t="s">
        <v>60</v>
      </c>
      <c r="E373" s="43">
        <v>353</v>
      </c>
      <c r="F373" s="21" t="str">
        <f>HYPERLINK("#'Data'!A6245", "Percentage of returnee households by reasons for return to their habitual place of residence broken down by income per capita (quartiles) on the admin...")</f>
        <v>Percentage of returnee households by reasons for return to their habitual place of residence broken down by income per capita (quartiles) on the admin...</v>
      </c>
    </row>
    <row r="374" spans="2:6" x14ac:dyDescent="0.35">
      <c r="B374" t="s">
        <v>99</v>
      </c>
      <c r="C374" t="s">
        <v>108</v>
      </c>
      <c r="D374" t="s">
        <v>61</v>
      </c>
      <c r="E374" s="43">
        <v>354</v>
      </c>
      <c r="F374" s="21" t="str">
        <f>HYPERLINK("#'Data'!A6268", "Percentage of returnee households by reasons for return to their habitual place of residence broken down by gender of head of household on the admin o...")</f>
        <v>Percentage of returnee households by reasons for return to their habitual place of residence broken down by gender of head of household on the admin o...</v>
      </c>
    </row>
    <row r="375" spans="2:6" x14ac:dyDescent="0.35">
      <c r="B375" t="s">
        <v>99</v>
      </c>
      <c r="C375" t="s">
        <v>108</v>
      </c>
      <c r="D375" t="s">
        <v>62</v>
      </c>
      <c r="E375" s="43">
        <v>355</v>
      </c>
      <c r="F375" s="21" t="str">
        <f>HYPERLINK("#'Data'!A6286", "Percentage of returnee households by reasons for return to their habitual place of residence broken down by age of adults in the households on the adm...")</f>
        <v>Percentage of returnee households by reasons for return to their habitual place of residence broken down by age of adults in the households on the adm...</v>
      </c>
    </row>
    <row r="376" spans="2:6" x14ac:dyDescent="0.35">
      <c r="B376" t="s">
        <v>99</v>
      </c>
      <c r="C376" t="s">
        <v>108</v>
      </c>
      <c r="D376" t="s">
        <v>76</v>
      </c>
      <c r="E376" s="43">
        <v>356</v>
      </c>
      <c r="F376" s="21" t="str">
        <f>HYPERLINK("#'Data'!A6303", "Percentage of returnee households by reasons for return to their habitual place of residence broken down by households with at least one child (&lt;18 y....")</f>
        <v>Percentage of returnee households by reasons for return to their habitual place of residence broken down by households with at least one child (&lt;18 y....</v>
      </c>
    </row>
    <row r="377" spans="2:6" x14ac:dyDescent="0.35">
      <c r="B377" t="s">
        <v>99</v>
      </c>
      <c r="C377" t="s">
        <v>108</v>
      </c>
      <c r="D377" t="s">
        <v>63</v>
      </c>
      <c r="E377" s="43">
        <v>357</v>
      </c>
      <c r="F377" s="21" t="str">
        <f>HYPERLINK("#'Data'!A6317", "Percentage of returnee households by reasons for return to their habitual place of residence broken down by displacement status of head of household o...")</f>
        <v>Percentage of returnee households by reasons for return to their habitual place of residence broken down by displacement status of head of household o...</v>
      </c>
    </row>
    <row r="378" spans="2:6" x14ac:dyDescent="0.35">
      <c r="B378" t="s">
        <v>99</v>
      </c>
      <c r="C378" t="s">
        <v>108</v>
      </c>
      <c r="D378" t="s">
        <v>64</v>
      </c>
      <c r="E378" s="43">
        <v>358</v>
      </c>
      <c r="F378" s="21" t="str">
        <f>HYPERLINK("#'Data'!A6326", "Percentage of returnee households by reasons for return to their habitual place of residence broken down by IDP household on the admin of macroregion ...")</f>
        <v>Percentage of returnee households by reasons for return to their habitual place of residence broken down by IDP household on the admin of macroregion ...</v>
      </c>
    </row>
    <row r="379" spans="2:6" x14ac:dyDescent="0.35">
      <c r="B379" t="s">
        <v>99</v>
      </c>
      <c r="C379" t="s">
        <v>108</v>
      </c>
      <c r="D379" t="s">
        <v>65</v>
      </c>
      <c r="E379" s="43">
        <v>359</v>
      </c>
      <c r="F379" s="21" t="str">
        <f>HYPERLINK("#'Data'!A6335", "Percentage of returnee households by reasons for return to their habitual place of residence broken down by proximity to frontline/border with Russian...")</f>
        <v>Percentage of returnee households by reasons for return to their habitual place of residence broken down by proximity to frontline/border with Russian...</v>
      </c>
    </row>
    <row r="380" spans="2:6" x14ac:dyDescent="0.35">
      <c r="B380" t="s">
        <v>99</v>
      </c>
      <c r="C380" t="s">
        <v>108</v>
      </c>
      <c r="D380" t="s">
        <v>77</v>
      </c>
      <c r="E380" s="43">
        <v>360</v>
      </c>
      <c r="F380" s="21" t="str">
        <f>HYPERLINK("#'Data'!A6350", "Percentage of returnee households by reasons for return to their habitual place of residence broken down by caregiving status  on the admin of macrore...")</f>
        <v>Percentage of returnee households by reasons for return to their habitual place of residence broken down by caregiving status  on the admin of macrore...</v>
      </c>
    </row>
    <row r="381" spans="2:6" x14ac:dyDescent="0.35">
      <c r="B381" t="s">
        <v>99</v>
      </c>
      <c r="C381" t="s">
        <v>109</v>
      </c>
      <c r="D381" t="s">
        <v>36</v>
      </c>
      <c r="E381" s="43">
        <v>361</v>
      </c>
      <c r="F381" s="21" t="str">
        <f>HYPERLINK("#'Data'!A6369", "Percentage of households who were evacuated in the past 6 months on the admin of macroregion perc")</f>
        <v>Percentage of households who were evacuated in the past 6 months on the admin of macroregion perc</v>
      </c>
    </row>
    <row r="382" spans="2:6" x14ac:dyDescent="0.35">
      <c r="B382" t="s">
        <v>99</v>
      </c>
      <c r="C382" t="s">
        <v>109</v>
      </c>
      <c r="D382" t="s">
        <v>57</v>
      </c>
      <c r="E382" s="43">
        <v>362</v>
      </c>
      <c r="F382" s="21" t="str">
        <f>HYPERLINK("#'Data'!A6378", "Percentage of households who were evacuated in the past 6 months broken down by households with at least one member with a reported and/or registered ...")</f>
        <v>Percentage of households who were evacuated in the past 6 months broken down by households with at least one member with a reported and/or registered ...</v>
      </c>
    </row>
    <row r="383" spans="2:6" x14ac:dyDescent="0.35">
      <c r="B383" t="s">
        <v>99</v>
      </c>
      <c r="C383" t="s">
        <v>109</v>
      </c>
      <c r="D383" t="s">
        <v>58</v>
      </c>
      <c r="E383" s="43">
        <v>363</v>
      </c>
      <c r="F383" s="21" t="str">
        <f>HYPERLINK("#'Data'!A6392", "Percentage of households who were evacuated in the past 6 months broken down by urbanity on the admin of macroregion perc")</f>
        <v>Percentage of households who were evacuated in the past 6 months broken down by urbanity on the admin of macroregion perc</v>
      </c>
    </row>
    <row r="384" spans="2:6" x14ac:dyDescent="0.35">
      <c r="B384" t="s">
        <v>99</v>
      </c>
      <c r="C384" t="s">
        <v>109</v>
      </c>
      <c r="D384" t="s">
        <v>59</v>
      </c>
      <c r="E384" s="43">
        <v>364</v>
      </c>
      <c r="F384" s="21" t="str">
        <f>HYPERLINK("#'Data'!A6404", "Percentage of households who were evacuated in the past 6 months broken down by household size on the admin of macroregion perc")</f>
        <v>Percentage of households who were evacuated in the past 6 months broken down by household size on the admin of macroregion perc</v>
      </c>
    </row>
    <row r="385" spans="2:6" x14ac:dyDescent="0.35">
      <c r="B385" t="s">
        <v>99</v>
      </c>
      <c r="C385" t="s">
        <v>109</v>
      </c>
      <c r="D385" t="s">
        <v>60</v>
      </c>
      <c r="E385" s="43">
        <v>365</v>
      </c>
      <c r="F385" s="21" t="str">
        <f>HYPERLINK("#'Data'!A6418", "Percentage of households who were evacuated in the past 6 months broken down by income per capita (quartiles) on the admin of macroregion perc")</f>
        <v>Percentage of households who were evacuated in the past 6 months broken down by income per capita (quartiles) on the admin of macroregion perc</v>
      </c>
    </row>
    <row r="386" spans="2:6" x14ac:dyDescent="0.35">
      <c r="B386" t="s">
        <v>99</v>
      </c>
      <c r="C386" t="s">
        <v>109</v>
      </c>
      <c r="D386" t="s">
        <v>61</v>
      </c>
      <c r="E386" s="43">
        <v>366</v>
      </c>
      <c r="F386" s="21" t="str">
        <f>HYPERLINK("#'Data'!A6432", "Percentage of households who were evacuated in the past 6 months broken down by gender of head of household on the admin of macroregion perc")</f>
        <v>Percentage of households who were evacuated in the past 6 months broken down by gender of head of household on the admin of macroregion perc</v>
      </c>
    </row>
    <row r="387" spans="2:6" x14ac:dyDescent="0.35">
      <c r="B387" t="s">
        <v>99</v>
      </c>
      <c r="C387" t="s">
        <v>109</v>
      </c>
      <c r="D387" t="s">
        <v>62</v>
      </c>
      <c r="E387" s="43">
        <v>367</v>
      </c>
      <c r="F387" s="21" t="str">
        <f>HYPERLINK("#'Data'!A6448", "Percentage of households who were evacuated in the past 6 months broken down by age of adults in the households on the admin of macroregion perc")</f>
        <v>Percentage of households who were evacuated in the past 6 months broken down by age of adults in the households on the admin of macroregion perc</v>
      </c>
    </row>
    <row r="388" spans="2:6" x14ac:dyDescent="0.35">
      <c r="B388" t="s">
        <v>99</v>
      </c>
      <c r="C388" t="s">
        <v>109</v>
      </c>
      <c r="D388" t="s">
        <v>76</v>
      </c>
      <c r="E388" s="43">
        <v>368</v>
      </c>
      <c r="F388" s="21" t="str">
        <f>HYPERLINK("#'Data'!A6464", "Percentage of households who were evacuated in the past 6 months broken down by households with at least one child (&lt;18 y.o.) on the admin of macroreg...")</f>
        <v>Percentage of households who were evacuated in the past 6 months broken down by households with at least one child (&lt;18 y.o.) on the admin of macroreg...</v>
      </c>
    </row>
    <row r="389" spans="2:6" x14ac:dyDescent="0.35">
      <c r="B389" t="s">
        <v>99</v>
      </c>
      <c r="C389" t="s">
        <v>109</v>
      </c>
      <c r="D389" t="s">
        <v>65</v>
      </c>
      <c r="E389" s="43">
        <v>369</v>
      </c>
      <c r="F389" s="21" t="str">
        <f>HYPERLINK("#'Data'!A6476", "Percentage of households who were evacuated in the past 6 months broken down by proximity to frontline/border with Russian Federation on the admin of ...")</f>
        <v>Percentage of households who were evacuated in the past 6 months broken down by proximity to frontline/border with Russian Federation on the admin of ...</v>
      </c>
    </row>
    <row r="390" spans="2:6" x14ac:dyDescent="0.35">
      <c r="B390" t="s">
        <v>99</v>
      </c>
      <c r="C390" t="s">
        <v>109</v>
      </c>
      <c r="D390" t="s">
        <v>77</v>
      </c>
      <c r="E390" s="43">
        <v>370</v>
      </c>
      <c r="F390" s="21" t="str">
        <f>HYPERLINK("#'Data'!A6489", "Percentage of households who were evacuated in the past 6 months broken down by caregiving status  on the admin of macroregion perc")</f>
        <v>Percentage of households who were evacuated in the past 6 months broken down by caregiving status  on the admin of macroregion perc</v>
      </c>
    </row>
    <row r="391" spans="2:6" x14ac:dyDescent="0.35">
      <c r="B391" t="s">
        <v>110</v>
      </c>
      <c r="C391" t="s">
        <v>111</v>
      </c>
      <c r="D391" t="s">
        <v>36</v>
      </c>
      <c r="E391" s="43">
        <v>371</v>
      </c>
      <c r="F391" s="21" t="str">
        <f>HYPERLINK("#'Data'!A6502", "Households reporting expenditures in the last 30 days, by type on the admin of macroregion perc")</f>
        <v>Households reporting expenditures in the last 30 days, by type on the admin of macroregion perc</v>
      </c>
    </row>
    <row r="392" spans="2:6" x14ac:dyDescent="0.35">
      <c r="B392" t="s">
        <v>110</v>
      </c>
      <c r="C392" t="s">
        <v>111</v>
      </c>
      <c r="D392" t="s">
        <v>57</v>
      </c>
      <c r="E392" s="43">
        <v>372</v>
      </c>
      <c r="F392" s="21" t="str">
        <f>HYPERLINK("#'Data'!A6511", "Households reporting expenditures in the last 30 days, by type broken down by households with at least one member with a reported and/or registered di...")</f>
        <v>Households reporting expenditures in the last 30 days, by type broken down by households with at least one member with a reported and/or registered di...</v>
      </c>
    </row>
    <row r="393" spans="2:6" x14ac:dyDescent="0.35">
      <c r="B393" t="s">
        <v>110</v>
      </c>
      <c r="C393" t="s">
        <v>111</v>
      </c>
      <c r="D393" t="s">
        <v>58</v>
      </c>
      <c r="E393" s="43">
        <v>373</v>
      </c>
      <c r="F393" s="21" t="str">
        <f>HYPERLINK("#'Data'!A6525", "Households reporting expenditures in the last 30 days, by type broken down by urbanity on the admin of macroregion perc")</f>
        <v>Households reporting expenditures in the last 30 days, by type broken down by urbanity on the admin of macroregion perc</v>
      </c>
    </row>
    <row r="394" spans="2:6" x14ac:dyDescent="0.35">
      <c r="B394" t="s">
        <v>110</v>
      </c>
      <c r="C394" t="s">
        <v>111</v>
      </c>
      <c r="D394" t="s">
        <v>59</v>
      </c>
      <c r="E394" s="43">
        <v>374</v>
      </c>
      <c r="F394" s="21" t="str">
        <f>HYPERLINK("#'Data'!A6539", "Households reporting expenditures in the last 30 days, by type broken down by household size on the admin of macroregion perc")</f>
        <v>Households reporting expenditures in the last 30 days, by type broken down by household size on the admin of macroregion perc</v>
      </c>
    </row>
    <row r="395" spans="2:6" x14ac:dyDescent="0.35">
      <c r="B395" t="s">
        <v>110</v>
      </c>
      <c r="C395" t="s">
        <v>111</v>
      </c>
      <c r="D395" t="s">
        <v>60</v>
      </c>
      <c r="E395" s="43">
        <v>375</v>
      </c>
      <c r="F395" s="21" t="str">
        <f>HYPERLINK("#'Data'!A6558", "Households reporting expenditures in the last 30 days, by type broken down by income per capita (quartiles) on the admin of macroregion perc")</f>
        <v>Households reporting expenditures in the last 30 days, by type broken down by income per capita (quartiles) on the admin of macroregion perc</v>
      </c>
    </row>
    <row r="396" spans="2:6" x14ac:dyDescent="0.35">
      <c r="B396" t="s">
        <v>110</v>
      </c>
      <c r="C396" t="s">
        <v>111</v>
      </c>
      <c r="D396" t="s">
        <v>61</v>
      </c>
      <c r="E396" s="43">
        <v>376</v>
      </c>
      <c r="F396" s="21" t="str">
        <f>HYPERLINK("#'Data'!A6582", "Households reporting expenditures in the last 30 days, by type broken down by gender of head of household on the admin of macroregion perc")</f>
        <v>Households reporting expenditures in the last 30 days, by type broken down by gender of head of household on the admin of macroregion perc</v>
      </c>
    </row>
    <row r="397" spans="2:6" x14ac:dyDescent="0.35">
      <c r="B397" t="s">
        <v>110</v>
      </c>
      <c r="C397" t="s">
        <v>111</v>
      </c>
      <c r="D397" t="s">
        <v>62</v>
      </c>
      <c r="E397" s="43">
        <v>377</v>
      </c>
      <c r="F397" s="21" t="str">
        <f>HYPERLINK("#'Data'!A6602", "Households reporting expenditures in the last 30 days, by type broken down by age of adults in the households on the admin of macroregion perc")</f>
        <v>Households reporting expenditures in the last 30 days, by type broken down by age of adults in the households on the admin of macroregion perc</v>
      </c>
    </row>
    <row r="398" spans="2:6" x14ac:dyDescent="0.35">
      <c r="B398" t="s">
        <v>110</v>
      </c>
      <c r="C398" t="s">
        <v>111</v>
      </c>
      <c r="D398" t="s">
        <v>76</v>
      </c>
      <c r="E398" s="43">
        <v>378</v>
      </c>
      <c r="F398" s="21" t="str">
        <f>HYPERLINK("#'Data'!A6621", "Households reporting expenditures in the last 30 days, by type broken down by households with at least one child (&lt;18 y.o.) on the admin of macroregio...")</f>
        <v>Households reporting expenditures in the last 30 days, by type broken down by households with at least one child (&lt;18 y.o.) on the admin of macroregio...</v>
      </c>
    </row>
    <row r="399" spans="2:6" x14ac:dyDescent="0.35">
      <c r="B399" t="s">
        <v>110</v>
      </c>
      <c r="C399" t="s">
        <v>111</v>
      </c>
      <c r="D399" t="s">
        <v>63</v>
      </c>
      <c r="E399" s="43">
        <v>379</v>
      </c>
      <c r="F399" s="21" t="str">
        <f>HYPERLINK("#'Data'!A6635", "Households reporting expenditures in the last 30 days, by type broken down by displacement status of head of household on the admin of macroregion per...")</f>
        <v>Households reporting expenditures in the last 30 days, by type broken down by displacement status of head of household on the admin of macroregion per...</v>
      </c>
    </row>
    <row r="400" spans="2:6" x14ac:dyDescent="0.35">
      <c r="B400" t="s">
        <v>110</v>
      </c>
      <c r="C400" t="s">
        <v>111</v>
      </c>
      <c r="D400" t="s">
        <v>64</v>
      </c>
      <c r="E400" s="43">
        <v>380</v>
      </c>
      <c r="F400" s="21" t="str">
        <f>HYPERLINK("#'Data'!A6662", "Households reporting expenditures in the last 30 days, by type broken down by IDP household on the admin of macroregion perc")</f>
        <v>Households reporting expenditures in the last 30 days, by type broken down by IDP household on the admin of macroregion perc</v>
      </c>
    </row>
    <row r="401" spans="2:6" x14ac:dyDescent="0.35">
      <c r="B401" t="s">
        <v>110</v>
      </c>
      <c r="C401" t="s">
        <v>111</v>
      </c>
      <c r="D401" t="s">
        <v>65</v>
      </c>
      <c r="E401" s="43">
        <v>381</v>
      </c>
      <c r="F401" s="21" t="str">
        <f>HYPERLINK("#'Data'!A6676", "Households reporting expenditures in the last 30 days, by type broken down by proximity to frontline/border with Russian Federation on the admin of ma...")</f>
        <v>Households reporting expenditures in the last 30 days, by type broken down by proximity to frontline/border with Russian Federation on the admin of ma...</v>
      </c>
    </row>
    <row r="402" spans="2:6" x14ac:dyDescent="0.35">
      <c r="B402" t="s">
        <v>110</v>
      </c>
      <c r="C402" t="s">
        <v>111</v>
      </c>
      <c r="D402" t="s">
        <v>77</v>
      </c>
      <c r="E402" s="43">
        <v>382</v>
      </c>
      <c r="F402" s="21" t="str">
        <f>HYPERLINK("#'Data'!A6691", "Households reporting expenditures in the last 30 days, by type broken down by caregiving status  on the admin of macroregion perc")</f>
        <v>Households reporting expenditures in the last 30 days, by type broken down by caregiving status  on the admin of macroregion perc</v>
      </c>
    </row>
    <row r="403" spans="2:6" x14ac:dyDescent="0.35">
      <c r="B403" t="s">
        <v>110</v>
      </c>
      <c r="C403" t="s">
        <v>112</v>
      </c>
      <c r="D403" t="s">
        <v>36</v>
      </c>
      <c r="E403" s="43">
        <v>383</v>
      </c>
      <c r="F403" s="21" t="str">
        <f>HYPERLINK("#'Data'!A6713", "Household Domestic Expenditure over the last 30 days, by type and amount ")</f>
        <v xml:space="preserve">Household Domestic Expenditure over the last 30 days, by type and amount </v>
      </c>
    </row>
    <row r="404" spans="2:6" x14ac:dyDescent="0.35">
      <c r="B404" t="s">
        <v>110</v>
      </c>
      <c r="C404" t="s">
        <v>112</v>
      </c>
      <c r="D404" t="s">
        <v>57</v>
      </c>
      <c r="E404" s="43">
        <v>398</v>
      </c>
      <c r="F404" s="21" t="str">
        <f>HYPERLINK("#'Data'!A6722", "Household Domestic Expenditure over the last 30 days, by type and amount by households with at least one member with a reported and/or registered disa...")</f>
        <v>Household Domestic Expenditure over the last 30 days, by type and amount by households with at least one member with a reported and/or registered disa...</v>
      </c>
    </row>
    <row r="405" spans="2:6" x14ac:dyDescent="0.35">
      <c r="B405" t="s">
        <v>110</v>
      </c>
      <c r="C405" t="s">
        <v>112</v>
      </c>
      <c r="D405" t="s">
        <v>58</v>
      </c>
      <c r="E405" s="43">
        <v>413</v>
      </c>
      <c r="F405" s="21" t="str">
        <f>HYPERLINK("#'Data'!A6736", "Household Domestic Expenditure over the last 30 days, by type and amount by urbanity ")</f>
        <v xml:space="preserve">Household Domestic Expenditure over the last 30 days, by type and amount by urbanity </v>
      </c>
    </row>
    <row r="406" spans="2:6" x14ac:dyDescent="0.35">
      <c r="B406" t="s">
        <v>110</v>
      </c>
      <c r="C406" t="s">
        <v>112</v>
      </c>
      <c r="D406" t="s">
        <v>59</v>
      </c>
      <c r="E406" s="43">
        <v>428</v>
      </c>
      <c r="F406" s="21" t="str">
        <f>HYPERLINK("#'Data'!A6750", "Household Domestic Expenditure over the last 30 days, by type and amount by household size ")</f>
        <v xml:space="preserve">Household Domestic Expenditure over the last 30 days, by type and amount by household size </v>
      </c>
    </row>
    <row r="407" spans="2:6" x14ac:dyDescent="0.35">
      <c r="B407" t="s">
        <v>110</v>
      </c>
      <c r="C407" t="s">
        <v>112</v>
      </c>
      <c r="D407" t="s">
        <v>61</v>
      </c>
      <c r="E407" s="43">
        <v>443</v>
      </c>
      <c r="F407" s="21" t="str">
        <f>HYPERLINK("#'Data'!A6769", "Household Domestic Expenditure over the last 30 days, by type and amount by gender of head of household ")</f>
        <v xml:space="preserve">Household Domestic Expenditure over the last 30 days, by type and amount by gender of head of household </v>
      </c>
    </row>
    <row r="408" spans="2:6" x14ac:dyDescent="0.35">
      <c r="B408" t="s">
        <v>110</v>
      </c>
      <c r="C408" t="s">
        <v>112</v>
      </c>
      <c r="D408" t="s">
        <v>62</v>
      </c>
      <c r="E408" s="43">
        <v>458</v>
      </c>
      <c r="F408" s="21" t="str">
        <f>HYPERLINK("#'Data'!A6789", "Household Domestic Expenditure over the last 30 days, by type and amount by age of adults in the households ")</f>
        <v xml:space="preserve">Household Domestic Expenditure over the last 30 days, by type and amount by age of adults in the households </v>
      </c>
    </row>
    <row r="409" spans="2:6" x14ac:dyDescent="0.35">
      <c r="B409" t="s">
        <v>110</v>
      </c>
      <c r="C409" t="s">
        <v>112</v>
      </c>
      <c r="D409" t="s">
        <v>76</v>
      </c>
      <c r="E409" s="43">
        <v>473</v>
      </c>
      <c r="F409" s="21" t="str">
        <f>HYPERLINK("#'Data'!A6808", "Household Domestic Expenditure over the last 30 days, by type and amount by households with at least one child (&lt;18 y.o.) ")</f>
        <v xml:space="preserve">Household Domestic Expenditure over the last 30 days, by type and amount by households with at least one child (&lt;18 y.o.) </v>
      </c>
    </row>
    <row r="410" spans="2:6" x14ac:dyDescent="0.35">
      <c r="B410" t="s">
        <v>110</v>
      </c>
      <c r="C410" t="s">
        <v>112</v>
      </c>
      <c r="D410" t="s">
        <v>63</v>
      </c>
      <c r="E410" s="43">
        <v>488</v>
      </c>
      <c r="F410" s="21" t="str">
        <f>HYPERLINK("#'Data'!A6822", "Household Domestic Expenditure over the last 30 days, by type and amount by displacement status of head of household ")</f>
        <v xml:space="preserve">Household Domestic Expenditure over the last 30 days, by type and amount by displacement status of head of household </v>
      </c>
    </row>
    <row r="411" spans="2:6" x14ac:dyDescent="0.35">
      <c r="B411" t="s">
        <v>110</v>
      </c>
      <c r="C411" t="s">
        <v>112</v>
      </c>
      <c r="D411" t="s">
        <v>64</v>
      </c>
      <c r="E411" s="43">
        <v>503</v>
      </c>
      <c r="F411" s="21" t="str">
        <f>HYPERLINK("#'Data'!A6848", "Household Domestic Expenditure over the last 30 days, by type and amount by IDP household ")</f>
        <v xml:space="preserve">Household Domestic Expenditure over the last 30 days, by type and amount by IDP household </v>
      </c>
    </row>
    <row r="412" spans="2:6" x14ac:dyDescent="0.35">
      <c r="B412" t="s">
        <v>110</v>
      </c>
      <c r="C412" t="s">
        <v>112</v>
      </c>
      <c r="D412" t="s">
        <v>65</v>
      </c>
      <c r="E412" s="43">
        <v>518</v>
      </c>
      <c r="F412" s="21" t="str">
        <f>HYPERLINK("#'Data'!A6862", "Household Domestic Expenditure over the last 30 days, by type and amount by proximity to frontline/border with Russian Federation ")</f>
        <v xml:space="preserve">Household Domestic Expenditure over the last 30 days, by type and amount by proximity to frontline/border with Russian Federation </v>
      </c>
    </row>
    <row r="413" spans="2:6" x14ac:dyDescent="0.35">
      <c r="B413" t="s">
        <v>110</v>
      </c>
      <c r="C413" t="s">
        <v>112</v>
      </c>
      <c r="D413" t="s">
        <v>77</v>
      </c>
      <c r="E413" s="43">
        <v>533</v>
      </c>
      <c r="F413" s="21" t="str">
        <f>HYPERLINK("#'Data'!A6877", "Household Domestic Expenditure over the last 30 days, by type and amount by caregiving status  ")</f>
        <v xml:space="preserve">Household Domestic Expenditure over the last 30 days, by type and amount by caregiving status  </v>
      </c>
    </row>
    <row r="414" spans="2:6" x14ac:dyDescent="0.35">
      <c r="B414" t="s">
        <v>110</v>
      </c>
      <c r="C414" t="s">
        <v>113</v>
      </c>
      <c r="D414" t="s">
        <v>36</v>
      </c>
      <c r="E414" s="43">
        <v>548</v>
      </c>
      <c r="F414" s="21" t="str">
        <f>HYPERLINK("#'Data'!A6899", "Monthly household expenditures on heating last winter on the admin of macroregion mean")</f>
        <v>Monthly household expenditures on heating last winter on the admin of macroregion mean</v>
      </c>
    </row>
    <row r="415" spans="2:6" x14ac:dyDescent="0.35">
      <c r="B415" t="s">
        <v>110</v>
      </c>
      <c r="C415" t="s">
        <v>113</v>
      </c>
      <c r="D415" t="s">
        <v>57</v>
      </c>
      <c r="E415" s="43">
        <v>549</v>
      </c>
      <c r="F415" s="21" t="str">
        <f>HYPERLINK("#'Data'!A6908", "Monthly household expenditures on heating last winter broken down by households with at least one member with a reported and/or registered disability ...")</f>
        <v>Monthly household expenditures on heating last winter broken down by households with at least one member with a reported and/or registered disability ...</v>
      </c>
    </row>
    <row r="416" spans="2:6" x14ac:dyDescent="0.35">
      <c r="B416" t="s">
        <v>110</v>
      </c>
      <c r="C416" t="s">
        <v>113</v>
      </c>
      <c r="D416" t="s">
        <v>58</v>
      </c>
      <c r="E416" s="43">
        <v>550</v>
      </c>
      <c r="F416" s="21" t="str">
        <f>HYPERLINK("#'Data'!A6922", "Monthly household expenditures on heating last winter broken down by urbanity on the admin of macroregion mean")</f>
        <v>Monthly household expenditures on heating last winter broken down by urbanity on the admin of macroregion mean</v>
      </c>
    </row>
    <row r="417" spans="2:6" x14ac:dyDescent="0.35">
      <c r="B417" t="s">
        <v>110</v>
      </c>
      <c r="C417" t="s">
        <v>113</v>
      </c>
      <c r="D417" t="s">
        <v>59</v>
      </c>
      <c r="E417" s="43">
        <v>551</v>
      </c>
      <c r="F417" s="21" t="str">
        <f>HYPERLINK("#'Data'!A6936", "Monthly household expenditures on heating last winter broken down by household size on the admin of macroregion mean")</f>
        <v>Monthly household expenditures on heating last winter broken down by household size on the admin of macroregion mean</v>
      </c>
    </row>
    <row r="418" spans="2:6" x14ac:dyDescent="0.35">
      <c r="B418" t="s">
        <v>110</v>
      </c>
      <c r="C418" t="s">
        <v>113</v>
      </c>
      <c r="D418" t="s">
        <v>60</v>
      </c>
      <c r="E418" s="43">
        <v>552</v>
      </c>
      <c r="F418" s="21" t="str">
        <f>HYPERLINK("#'Data'!A6955", "Monthly household expenditures on heating last winter broken down by income per capita (quartiles) on the admin of macroregion mean")</f>
        <v>Monthly household expenditures on heating last winter broken down by income per capita (quartiles) on the admin of macroregion mean</v>
      </c>
    </row>
    <row r="419" spans="2:6" x14ac:dyDescent="0.35">
      <c r="B419" t="s">
        <v>110</v>
      </c>
      <c r="C419" t="s">
        <v>113</v>
      </c>
      <c r="D419" t="s">
        <v>61</v>
      </c>
      <c r="E419" s="43">
        <v>553</v>
      </c>
      <c r="F419" s="21" t="str">
        <f>HYPERLINK("#'Data'!A6979", "Monthly household expenditures on heating last winter broken down by gender of head of household on the admin of macroregion mean")</f>
        <v>Monthly household expenditures on heating last winter broken down by gender of head of household on the admin of macroregion mean</v>
      </c>
    </row>
    <row r="420" spans="2:6" x14ac:dyDescent="0.35">
      <c r="B420" t="s">
        <v>110</v>
      </c>
      <c r="C420" t="s">
        <v>113</v>
      </c>
      <c r="D420" t="s">
        <v>62</v>
      </c>
      <c r="E420" s="43">
        <v>554</v>
      </c>
      <c r="F420" s="21" t="str">
        <f>HYPERLINK("#'Data'!A6999", "Monthly household expenditures on heating last winter broken down by age of adults in the households on the admin of macroregion mean")</f>
        <v>Monthly household expenditures on heating last winter broken down by age of adults in the households on the admin of macroregion mean</v>
      </c>
    </row>
    <row r="421" spans="2:6" x14ac:dyDescent="0.35">
      <c r="B421" t="s">
        <v>110</v>
      </c>
      <c r="C421" t="s">
        <v>113</v>
      </c>
      <c r="D421" t="s">
        <v>76</v>
      </c>
      <c r="E421" s="43">
        <v>555</v>
      </c>
      <c r="F421" s="21" t="str">
        <f>HYPERLINK("#'Data'!A7018", "Monthly household expenditures on heating last winter broken down by households with at least one child (&lt;18 y.o.) on the admin of macroregion mean")</f>
        <v>Monthly household expenditures on heating last winter broken down by households with at least one child (&lt;18 y.o.) on the admin of macroregion mean</v>
      </c>
    </row>
    <row r="422" spans="2:6" x14ac:dyDescent="0.35">
      <c r="B422" t="s">
        <v>110</v>
      </c>
      <c r="C422" t="s">
        <v>113</v>
      </c>
      <c r="D422" t="s">
        <v>63</v>
      </c>
      <c r="E422" s="43">
        <v>556</v>
      </c>
      <c r="F422" s="21" t="str">
        <f>HYPERLINK("#'Data'!A7032", "Monthly household expenditures on heating last winter broken down by displacement status of head of household on the admin of macroregion mean")</f>
        <v>Monthly household expenditures on heating last winter broken down by displacement status of head of household on the admin of macroregion mean</v>
      </c>
    </row>
    <row r="423" spans="2:6" x14ac:dyDescent="0.35">
      <c r="B423" t="s">
        <v>110</v>
      </c>
      <c r="C423" t="s">
        <v>113</v>
      </c>
      <c r="D423" t="s">
        <v>64</v>
      </c>
      <c r="E423" s="43">
        <v>557</v>
      </c>
      <c r="F423" s="21" t="str">
        <f>HYPERLINK("#'Data'!A7058", "Monthly household expenditures on heating last winter broken down by IDP household on the admin of macroregion mean")</f>
        <v>Monthly household expenditures on heating last winter broken down by IDP household on the admin of macroregion mean</v>
      </c>
    </row>
    <row r="424" spans="2:6" x14ac:dyDescent="0.35">
      <c r="B424" t="s">
        <v>110</v>
      </c>
      <c r="C424" t="s">
        <v>113</v>
      </c>
      <c r="D424" t="s">
        <v>65</v>
      </c>
      <c r="E424" s="43">
        <v>558</v>
      </c>
      <c r="F424" s="21" t="str">
        <f>HYPERLINK("#'Data'!A7072", "Monthly household expenditures on heating last winter broken down by proximity to frontline/border with Russian Federation on the admin of macroregion...")</f>
        <v>Monthly household expenditures on heating last winter broken down by proximity to frontline/border with Russian Federation on the admin of macroregion...</v>
      </c>
    </row>
    <row r="425" spans="2:6" x14ac:dyDescent="0.35">
      <c r="B425" t="s">
        <v>110</v>
      </c>
      <c r="C425" t="s">
        <v>113</v>
      </c>
      <c r="D425" t="s">
        <v>77</v>
      </c>
      <c r="E425" s="43">
        <v>559</v>
      </c>
      <c r="F425" s="21" t="str">
        <f>HYPERLINK("#'Data'!A7087", "Monthly household expenditures on heating last winter broken down by caregiving status  on the admin of macroregion mean")</f>
        <v>Monthly household expenditures on heating last winter broken down by caregiving status  on the admin of macroregion mean</v>
      </c>
    </row>
    <row r="426" spans="2:6" x14ac:dyDescent="0.35">
      <c r="B426" t="s">
        <v>110</v>
      </c>
      <c r="C426" t="s">
        <v>114</v>
      </c>
      <c r="D426" t="s">
        <v>36</v>
      </c>
      <c r="E426" s="43">
        <v>560</v>
      </c>
      <c r="F426" s="21" t="str">
        <f>HYPERLINK("#'Data'!A7109", "Households reporting  long term expenditures in the past 6 months, by type on the admin of macroregion perc")</f>
        <v>Households reporting  long term expenditures in the past 6 months, by type on the admin of macroregion perc</v>
      </c>
    </row>
    <row r="427" spans="2:6" x14ac:dyDescent="0.35">
      <c r="B427" t="s">
        <v>110</v>
      </c>
      <c r="C427" t="s">
        <v>115</v>
      </c>
      <c r="D427" t="s">
        <v>36</v>
      </c>
      <c r="E427" s="43">
        <v>561</v>
      </c>
      <c r="F427" s="21" t="str">
        <f>HYPERLINK("#'Data'!A7118", "Household Domestic Expenditure over the last 6 months, by type and amount ")</f>
        <v xml:space="preserve">Household Domestic Expenditure over the last 6 months, by type and amount </v>
      </c>
    </row>
    <row r="428" spans="2:6" x14ac:dyDescent="0.35">
      <c r="B428" t="s">
        <v>110</v>
      </c>
      <c r="C428" t="s">
        <v>114</v>
      </c>
      <c r="D428" t="s">
        <v>57</v>
      </c>
      <c r="E428" s="43">
        <v>567</v>
      </c>
      <c r="F428" s="21" t="str">
        <f>HYPERLINK("#'Data'!A7127", "Households reporting  long term expenditures in the past 6 months, by type broken down by households with at least one member with a reported and/or r...")</f>
        <v>Households reporting  long term expenditures in the past 6 months, by type broken down by households with at least one member with a reported and/or r...</v>
      </c>
    </row>
    <row r="429" spans="2:6" x14ac:dyDescent="0.35">
      <c r="B429" t="s">
        <v>110</v>
      </c>
      <c r="C429" t="s">
        <v>115</v>
      </c>
      <c r="D429" t="s">
        <v>57</v>
      </c>
      <c r="E429" s="43">
        <v>568</v>
      </c>
      <c r="F429" s="21" t="str">
        <f>HYPERLINK("#'Data'!A7141", "Household Domestic Expenditure over the last 6 months, by type and amount by households with at least one member with a reported and/or registered dis...")</f>
        <v>Household Domestic Expenditure over the last 6 months, by type and amount by households with at least one member with a reported and/or registered dis...</v>
      </c>
    </row>
    <row r="430" spans="2:6" x14ac:dyDescent="0.35">
      <c r="B430" t="s">
        <v>110</v>
      </c>
      <c r="C430" t="s">
        <v>114</v>
      </c>
      <c r="D430" t="s">
        <v>58</v>
      </c>
      <c r="E430" s="43">
        <v>574</v>
      </c>
      <c r="F430" s="21" t="str">
        <f>HYPERLINK("#'Data'!A7155", "Households reporting  long term expenditures in the past 6 months, by type broken down by urbanity on the admin of macroregion perc")</f>
        <v>Households reporting  long term expenditures in the past 6 months, by type broken down by urbanity on the admin of macroregion perc</v>
      </c>
    </row>
    <row r="431" spans="2:6" x14ac:dyDescent="0.35">
      <c r="B431" t="s">
        <v>110</v>
      </c>
      <c r="C431" t="s">
        <v>115</v>
      </c>
      <c r="D431" t="s">
        <v>58</v>
      </c>
      <c r="E431" s="43">
        <v>575</v>
      </c>
      <c r="F431" s="21" t="str">
        <f>HYPERLINK("#'Data'!A7169", "Household Domestic Expenditure over the last 6 months, by type and amount by urbanity ")</f>
        <v xml:space="preserve">Household Domestic Expenditure over the last 6 months, by type and amount by urbanity </v>
      </c>
    </row>
    <row r="432" spans="2:6" x14ac:dyDescent="0.35">
      <c r="B432" t="s">
        <v>110</v>
      </c>
      <c r="C432" t="s">
        <v>114</v>
      </c>
      <c r="D432" t="s">
        <v>59</v>
      </c>
      <c r="E432" s="43">
        <v>581</v>
      </c>
      <c r="F432" s="21" t="str">
        <f>HYPERLINK("#'Data'!A7183", "Households reporting  long term expenditures in the past 6 months, by type broken down by household size on the admin of macroregion perc")</f>
        <v>Households reporting  long term expenditures in the past 6 months, by type broken down by household size on the admin of macroregion perc</v>
      </c>
    </row>
    <row r="433" spans="2:6" x14ac:dyDescent="0.35">
      <c r="B433" t="s">
        <v>110</v>
      </c>
      <c r="C433" t="s">
        <v>115</v>
      </c>
      <c r="D433" t="s">
        <v>59</v>
      </c>
      <c r="E433" s="43">
        <v>582</v>
      </c>
      <c r="F433" s="21" t="str">
        <f>HYPERLINK("#'Data'!A7202", "Household Domestic Expenditure over the last 6 months, by type and amount by household size ")</f>
        <v xml:space="preserve">Household Domestic Expenditure over the last 6 months, by type and amount by household size </v>
      </c>
    </row>
    <row r="434" spans="2:6" x14ac:dyDescent="0.35">
      <c r="B434" t="s">
        <v>110</v>
      </c>
      <c r="C434" t="s">
        <v>114</v>
      </c>
      <c r="D434" t="s">
        <v>61</v>
      </c>
      <c r="E434" s="43">
        <v>588</v>
      </c>
      <c r="F434" s="21" t="str">
        <f>HYPERLINK("#'Data'!A7221", "Households reporting  long term expenditures in the past 6 months, by type broken down by gender of head of household on the admin of macroregion perc")</f>
        <v>Households reporting  long term expenditures in the past 6 months, by type broken down by gender of head of household on the admin of macroregion perc</v>
      </c>
    </row>
    <row r="435" spans="2:6" x14ac:dyDescent="0.35">
      <c r="B435" t="s">
        <v>110</v>
      </c>
      <c r="C435" t="s">
        <v>115</v>
      </c>
      <c r="D435" t="s">
        <v>61</v>
      </c>
      <c r="E435" s="43">
        <v>589</v>
      </c>
      <c r="F435" s="21" t="str">
        <f>HYPERLINK("#'Data'!A7241", "Household Domestic Expenditure over the last 6 months, by type and amount by gender of head of household ")</f>
        <v xml:space="preserve">Household Domestic Expenditure over the last 6 months, by type and amount by gender of head of household </v>
      </c>
    </row>
    <row r="436" spans="2:6" x14ac:dyDescent="0.35">
      <c r="B436" t="s">
        <v>110</v>
      </c>
      <c r="C436" t="s">
        <v>114</v>
      </c>
      <c r="D436" t="s">
        <v>62</v>
      </c>
      <c r="E436" s="43">
        <v>595</v>
      </c>
      <c r="F436" s="21" t="str">
        <f>HYPERLINK("#'Data'!A7260", "Households reporting  long term expenditures in the past 6 months, by type broken down by age of adults in the households on the admin of macroregion ...")</f>
        <v>Households reporting  long term expenditures in the past 6 months, by type broken down by age of adults in the households on the admin of macroregion ...</v>
      </c>
    </row>
    <row r="437" spans="2:6" x14ac:dyDescent="0.35">
      <c r="B437" t="s">
        <v>110</v>
      </c>
      <c r="C437" t="s">
        <v>115</v>
      </c>
      <c r="D437" t="s">
        <v>62</v>
      </c>
      <c r="E437" s="43">
        <v>596</v>
      </c>
      <c r="F437" s="21" t="str">
        <f>HYPERLINK("#'Data'!A7279", "Household Domestic Expenditure over the last 6 months, by type and amount by age of adults in the households ")</f>
        <v xml:space="preserve">Household Domestic Expenditure over the last 6 months, by type and amount by age of adults in the households </v>
      </c>
    </row>
    <row r="438" spans="2:6" x14ac:dyDescent="0.35">
      <c r="B438" t="s">
        <v>110</v>
      </c>
      <c r="C438" t="s">
        <v>114</v>
      </c>
      <c r="D438" t="s">
        <v>76</v>
      </c>
      <c r="E438" s="43">
        <v>602</v>
      </c>
      <c r="F438" s="21" t="str">
        <f>HYPERLINK("#'Data'!A7298", "Households reporting  long term expenditures in the past 6 months, by type broken down by households with at least one child (&lt;18 y.o.) on the admin o...")</f>
        <v>Households reporting  long term expenditures in the past 6 months, by type broken down by households with at least one child (&lt;18 y.o.) on the admin o...</v>
      </c>
    </row>
    <row r="439" spans="2:6" x14ac:dyDescent="0.35">
      <c r="B439" t="s">
        <v>110</v>
      </c>
      <c r="C439" t="s">
        <v>115</v>
      </c>
      <c r="D439" t="s">
        <v>76</v>
      </c>
      <c r="E439" s="43">
        <v>603</v>
      </c>
      <c r="F439" s="21" t="str">
        <f>HYPERLINK("#'Data'!A7312", "Household Domestic Expenditure over the last 6 months, by type and amount by households with at least one child (&lt;18 y.o.) ")</f>
        <v xml:space="preserve">Household Domestic Expenditure over the last 6 months, by type and amount by households with at least one child (&lt;18 y.o.) </v>
      </c>
    </row>
    <row r="440" spans="2:6" x14ac:dyDescent="0.35">
      <c r="B440" t="s">
        <v>110</v>
      </c>
      <c r="C440" t="s">
        <v>114</v>
      </c>
      <c r="D440" t="s">
        <v>63</v>
      </c>
      <c r="E440" s="43">
        <v>609</v>
      </c>
      <c r="F440" s="21" t="str">
        <f>HYPERLINK("#'Data'!A7326", "Households reporting  long term expenditures in the past 6 months, by type broken down by displacement status of head of household on the admin of mac...")</f>
        <v>Households reporting  long term expenditures in the past 6 months, by type broken down by displacement status of head of household on the admin of mac...</v>
      </c>
    </row>
    <row r="441" spans="2:6" x14ac:dyDescent="0.35">
      <c r="B441" t="s">
        <v>110</v>
      </c>
      <c r="C441" t="s">
        <v>115</v>
      </c>
      <c r="D441" t="s">
        <v>63</v>
      </c>
      <c r="E441" s="43">
        <v>610</v>
      </c>
      <c r="F441" s="21" t="str">
        <f>HYPERLINK("#'Data'!A7353", "Household Domestic Expenditure over the last 6 months, by type and amount by displacement status of head of household ")</f>
        <v xml:space="preserve">Household Domestic Expenditure over the last 6 months, by type and amount by displacement status of head of household </v>
      </c>
    </row>
    <row r="442" spans="2:6" x14ac:dyDescent="0.35">
      <c r="B442" t="s">
        <v>110</v>
      </c>
      <c r="C442" t="s">
        <v>114</v>
      </c>
      <c r="D442" t="s">
        <v>64</v>
      </c>
      <c r="E442" s="43">
        <v>616</v>
      </c>
      <c r="F442" s="21" t="str">
        <f>HYPERLINK("#'Data'!A7375", "Households reporting  long term expenditures in the past 6 months, by type broken down by IDP household on the admin of macroregion perc")</f>
        <v>Households reporting  long term expenditures in the past 6 months, by type broken down by IDP household on the admin of macroregion perc</v>
      </c>
    </row>
    <row r="443" spans="2:6" x14ac:dyDescent="0.35">
      <c r="B443" t="s">
        <v>110</v>
      </c>
      <c r="C443" t="s">
        <v>115</v>
      </c>
      <c r="D443" t="s">
        <v>64</v>
      </c>
      <c r="E443" s="43">
        <v>617</v>
      </c>
      <c r="F443" s="21" t="str">
        <f>HYPERLINK("#'Data'!A7389", "Household Domestic Expenditure over the last 6 months, by type and amount by IDP household ")</f>
        <v xml:space="preserve">Household Domestic Expenditure over the last 6 months, by type and amount by IDP household </v>
      </c>
    </row>
    <row r="444" spans="2:6" x14ac:dyDescent="0.35">
      <c r="B444" t="s">
        <v>110</v>
      </c>
      <c r="C444" t="s">
        <v>114</v>
      </c>
      <c r="D444" t="s">
        <v>65</v>
      </c>
      <c r="E444" s="43">
        <v>623</v>
      </c>
      <c r="F444" s="21" t="str">
        <f>HYPERLINK("#'Data'!A7403", "Households reporting  long term expenditures in the past 6 months, by type broken down by proximity to frontline/border with Russian Federation on the...")</f>
        <v>Households reporting  long term expenditures in the past 6 months, by type broken down by proximity to frontline/border with Russian Federation on the...</v>
      </c>
    </row>
    <row r="445" spans="2:6" x14ac:dyDescent="0.35">
      <c r="B445" t="s">
        <v>110</v>
      </c>
      <c r="C445" t="s">
        <v>115</v>
      </c>
      <c r="D445" t="s">
        <v>65</v>
      </c>
      <c r="E445" s="43">
        <v>624</v>
      </c>
      <c r="F445" s="21" t="str">
        <f>HYPERLINK("#'Data'!A7418", "Household Domestic Expenditure over the last 6 months, by type and amount by proximity to frontline/border with Russian Federation ")</f>
        <v xml:space="preserve">Household Domestic Expenditure over the last 6 months, by type and amount by proximity to frontline/border with Russian Federation </v>
      </c>
    </row>
    <row r="446" spans="2:6" x14ac:dyDescent="0.35">
      <c r="B446" t="s">
        <v>110</v>
      </c>
      <c r="C446" t="s">
        <v>114</v>
      </c>
      <c r="D446" t="s">
        <v>77</v>
      </c>
      <c r="E446" s="43">
        <v>630</v>
      </c>
      <c r="F446" s="21" t="str">
        <f>HYPERLINK("#'Data'!A7433", "Households reporting  long term expenditures in the past 6 months, by type broken down by caregiving status  on the admin of macroregion perc")</f>
        <v>Households reporting  long term expenditures in the past 6 months, by type broken down by caregiving status  on the admin of macroregion perc</v>
      </c>
    </row>
    <row r="447" spans="2:6" x14ac:dyDescent="0.35">
      <c r="B447" t="s">
        <v>110</v>
      </c>
      <c r="C447" t="s">
        <v>115</v>
      </c>
      <c r="D447" t="s">
        <v>77</v>
      </c>
      <c r="E447" s="43">
        <v>631</v>
      </c>
      <c r="F447" s="21" t="str">
        <f>HYPERLINK("#'Data'!A7455", "Household Domestic Expenditure over the last 6 months, by type and amount by caregiving status  ")</f>
        <v xml:space="preserve">Household Domestic Expenditure over the last 6 months, by type and amount by caregiving status  </v>
      </c>
    </row>
    <row r="448" spans="2:6" x14ac:dyDescent="0.35">
      <c r="B448" t="s">
        <v>110</v>
      </c>
      <c r="C448" t="s">
        <v>116</v>
      </c>
      <c r="D448" t="s">
        <v>36</v>
      </c>
      <c r="E448" s="43">
        <v>637</v>
      </c>
      <c r="F448" s="21" t="str">
        <f>HYPERLINK("#'Data'!A7477", "Total monthly expenditures per capita on the admin of macroregion mean")</f>
        <v>Total monthly expenditures per capita on the admin of macroregion mean</v>
      </c>
    </row>
    <row r="449" spans="2:6" x14ac:dyDescent="0.35">
      <c r="B449" t="s">
        <v>110</v>
      </c>
      <c r="C449" t="s">
        <v>116</v>
      </c>
      <c r="D449" t="s">
        <v>57</v>
      </c>
      <c r="E449" s="43">
        <v>638</v>
      </c>
      <c r="F449" s="21" t="str">
        <f>HYPERLINK("#'Data'!A7486", "Total monthly expenditures per capita broken down by households with at least one member with a reported and/or registered disability on the admin of ...")</f>
        <v>Total monthly expenditures per capita broken down by households with at least one member with a reported and/or registered disability on the admin of ...</v>
      </c>
    </row>
    <row r="450" spans="2:6" x14ac:dyDescent="0.35">
      <c r="B450" t="s">
        <v>110</v>
      </c>
      <c r="C450" t="s">
        <v>116</v>
      </c>
      <c r="D450" t="s">
        <v>58</v>
      </c>
      <c r="E450" s="43">
        <v>639</v>
      </c>
      <c r="F450" s="21" t="str">
        <f>HYPERLINK("#'Data'!A7500", "Total monthly expenditures per capita broken down by urbanity on the admin of macroregion mean")</f>
        <v>Total monthly expenditures per capita broken down by urbanity on the admin of macroregion mean</v>
      </c>
    </row>
    <row r="451" spans="2:6" x14ac:dyDescent="0.35">
      <c r="B451" t="s">
        <v>110</v>
      </c>
      <c r="C451" t="s">
        <v>116</v>
      </c>
      <c r="D451" t="s">
        <v>59</v>
      </c>
      <c r="E451" s="43">
        <v>640</v>
      </c>
      <c r="F451" s="21" t="str">
        <f>HYPERLINK("#'Data'!A7514", "Total monthly expenditures per capita broken down by household size on the admin of macroregion mean")</f>
        <v>Total monthly expenditures per capita broken down by household size on the admin of macroregion mean</v>
      </c>
    </row>
    <row r="452" spans="2:6" x14ac:dyDescent="0.35">
      <c r="B452" t="s">
        <v>110</v>
      </c>
      <c r="C452" t="s">
        <v>116</v>
      </c>
      <c r="D452" t="s">
        <v>60</v>
      </c>
      <c r="E452" s="43">
        <v>641</v>
      </c>
      <c r="F452" s="21" t="str">
        <f>HYPERLINK("#'Data'!A7533", "Total monthly expenditures per capita broken down by income per capita (quartiles) on the admin of macroregion mean")</f>
        <v>Total monthly expenditures per capita broken down by income per capita (quartiles) on the admin of macroregion mean</v>
      </c>
    </row>
    <row r="453" spans="2:6" x14ac:dyDescent="0.35">
      <c r="B453" t="s">
        <v>110</v>
      </c>
      <c r="C453" t="s">
        <v>116</v>
      </c>
      <c r="D453" t="s">
        <v>61</v>
      </c>
      <c r="E453" s="43">
        <v>642</v>
      </c>
      <c r="F453" s="21" t="str">
        <f>HYPERLINK("#'Data'!A7557", "Total monthly expenditures per capita broken down by gender of head of household on the admin of macroregion mean")</f>
        <v>Total monthly expenditures per capita broken down by gender of head of household on the admin of macroregion mean</v>
      </c>
    </row>
    <row r="454" spans="2:6" x14ac:dyDescent="0.35">
      <c r="B454" t="s">
        <v>110</v>
      </c>
      <c r="C454" t="s">
        <v>116</v>
      </c>
      <c r="D454" t="s">
        <v>62</v>
      </c>
      <c r="E454" s="43">
        <v>643</v>
      </c>
      <c r="F454" s="21" t="str">
        <f>HYPERLINK("#'Data'!A7577", "Total monthly expenditures per capita broken down by age of adults in the households on the admin of macroregion mean")</f>
        <v>Total monthly expenditures per capita broken down by age of adults in the households on the admin of macroregion mean</v>
      </c>
    </row>
    <row r="455" spans="2:6" x14ac:dyDescent="0.35">
      <c r="B455" t="s">
        <v>110</v>
      </c>
      <c r="C455" t="s">
        <v>116</v>
      </c>
      <c r="D455" t="s">
        <v>76</v>
      </c>
      <c r="E455" s="43">
        <v>644</v>
      </c>
      <c r="F455" s="21" t="str">
        <f>HYPERLINK("#'Data'!A7596", "Total monthly expenditures per capita broken down by households with at least one child (&lt;18 y.o.) on the admin of macroregion mean")</f>
        <v>Total monthly expenditures per capita broken down by households with at least one child (&lt;18 y.o.) on the admin of macroregion mean</v>
      </c>
    </row>
    <row r="456" spans="2:6" x14ac:dyDescent="0.35">
      <c r="B456" t="s">
        <v>110</v>
      </c>
      <c r="C456" t="s">
        <v>116</v>
      </c>
      <c r="D456" t="s">
        <v>63</v>
      </c>
      <c r="E456" s="43">
        <v>645</v>
      </c>
      <c r="F456" s="21" t="str">
        <f>HYPERLINK("#'Data'!A7610", "Total monthly expenditures per capita broken down by displacement status of head of household on the admin of macroregion mean")</f>
        <v>Total monthly expenditures per capita broken down by displacement status of head of household on the admin of macroregion mean</v>
      </c>
    </row>
    <row r="457" spans="2:6" x14ac:dyDescent="0.35">
      <c r="B457" t="s">
        <v>110</v>
      </c>
      <c r="C457" t="s">
        <v>116</v>
      </c>
      <c r="D457" t="s">
        <v>64</v>
      </c>
      <c r="E457" s="43">
        <v>646</v>
      </c>
      <c r="F457" s="21" t="str">
        <f>HYPERLINK("#'Data'!A7636", "Total monthly expenditures per capita broken down by IDP household on the admin of macroregion mean")</f>
        <v>Total monthly expenditures per capita broken down by IDP household on the admin of macroregion mean</v>
      </c>
    </row>
    <row r="458" spans="2:6" x14ac:dyDescent="0.35">
      <c r="B458" t="s">
        <v>110</v>
      </c>
      <c r="C458" t="s">
        <v>116</v>
      </c>
      <c r="D458" t="s">
        <v>65</v>
      </c>
      <c r="E458" s="43">
        <v>647</v>
      </c>
      <c r="F458" s="21" t="str">
        <f>HYPERLINK("#'Data'!A7650", "Total monthly expenditures per capita broken down by proximity to frontline/border with Russian Federation on the admin of macroregion mean")</f>
        <v>Total monthly expenditures per capita broken down by proximity to frontline/border with Russian Federation on the admin of macroregion mean</v>
      </c>
    </row>
    <row r="459" spans="2:6" x14ac:dyDescent="0.35">
      <c r="B459" t="s">
        <v>110</v>
      </c>
      <c r="C459" t="s">
        <v>116</v>
      </c>
      <c r="D459" t="s">
        <v>77</v>
      </c>
      <c r="E459" s="43">
        <v>648</v>
      </c>
      <c r="F459" s="21" t="str">
        <f>HYPERLINK("#'Data'!A7665", "Total monthly expenditures per capita broken down by caregiving status  on the admin of macroregion mean")</f>
        <v>Total monthly expenditures per capita broken down by caregiving status  on the admin of macroregion mean</v>
      </c>
    </row>
    <row r="460" spans="2:6" x14ac:dyDescent="0.35">
      <c r="B460" t="s">
        <v>117</v>
      </c>
      <c r="C460" t="s">
        <v>118</v>
      </c>
      <c r="D460" t="s">
        <v>36</v>
      </c>
      <c r="E460" s="43">
        <v>649</v>
      </c>
      <c r="F460" s="21" t="str">
        <f>HYPERLINK("#'Data'!A7687", "Percentage of households reporting completely lacking essential non-food items in the last 3 months, by type on the admin of macroregion perc")</f>
        <v>Percentage of households reporting completely lacking essential non-food items in the last 3 months, by type on the admin of macroregion perc</v>
      </c>
    </row>
    <row r="461" spans="2:6" x14ac:dyDescent="0.35">
      <c r="B461" t="s">
        <v>117</v>
      </c>
      <c r="C461" t="s">
        <v>118</v>
      </c>
      <c r="D461" t="s">
        <v>57</v>
      </c>
      <c r="E461" s="43">
        <v>650</v>
      </c>
      <c r="F461" s="21" t="str">
        <f>HYPERLINK("#'Data'!A7696", "Percentage of households reporting completely lacking essential non-food items in the last 3 months, by type broken down by households with at least o...")</f>
        <v>Percentage of households reporting completely lacking essential non-food items in the last 3 months, by type broken down by households with at least o...</v>
      </c>
    </row>
    <row r="462" spans="2:6" x14ac:dyDescent="0.35">
      <c r="B462" t="s">
        <v>117</v>
      </c>
      <c r="C462" t="s">
        <v>118</v>
      </c>
      <c r="D462" t="s">
        <v>58</v>
      </c>
      <c r="E462" s="43">
        <v>651</v>
      </c>
      <c r="F462" s="21" t="str">
        <f>HYPERLINK("#'Data'!A7710", "Percentage of households reporting completely lacking essential non-food items in the last 3 months, by type broken down by urbanity on the admin of m...")</f>
        <v>Percentage of households reporting completely lacking essential non-food items in the last 3 months, by type broken down by urbanity on the admin of m...</v>
      </c>
    </row>
    <row r="463" spans="2:6" x14ac:dyDescent="0.35">
      <c r="B463" t="s">
        <v>117</v>
      </c>
      <c r="C463" t="s">
        <v>118</v>
      </c>
      <c r="D463" t="s">
        <v>59</v>
      </c>
      <c r="E463" s="43">
        <v>652</v>
      </c>
      <c r="F463" s="21" t="str">
        <f>HYPERLINK("#'Data'!A7724", "Percentage of households reporting completely lacking essential non-food items in the last 3 months, by type broken down by household size on the admi...")</f>
        <v>Percentage of households reporting completely lacking essential non-food items in the last 3 months, by type broken down by household size on the admi...</v>
      </c>
    </row>
    <row r="464" spans="2:6" x14ac:dyDescent="0.35">
      <c r="B464" t="s">
        <v>117</v>
      </c>
      <c r="C464" t="s">
        <v>118</v>
      </c>
      <c r="D464" t="s">
        <v>60</v>
      </c>
      <c r="E464" s="43">
        <v>653</v>
      </c>
      <c r="F464" s="21" t="str">
        <f>HYPERLINK("#'Data'!A7743", "Percentage of households reporting completely lacking essential non-food items in the last 3 months, by type broken down by income per capita (quartil...")</f>
        <v>Percentage of households reporting completely lacking essential non-food items in the last 3 months, by type broken down by income per capita (quartil...</v>
      </c>
    </row>
    <row r="465" spans="2:6" x14ac:dyDescent="0.35">
      <c r="B465" t="s">
        <v>117</v>
      </c>
      <c r="C465" t="s">
        <v>118</v>
      </c>
      <c r="D465" t="s">
        <v>61</v>
      </c>
      <c r="E465" s="43">
        <v>654</v>
      </c>
      <c r="F465" s="21" t="str">
        <f>HYPERLINK("#'Data'!A7767", "Percentage of households reporting completely lacking essential non-food items in the last 3 months, by type broken down by gender of head of househol...")</f>
        <v>Percentage of households reporting completely lacking essential non-food items in the last 3 months, by type broken down by gender of head of househol...</v>
      </c>
    </row>
    <row r="466" spans="2:6" x14ac:dyDescent="0.35">
      <c r="B466" t="s">
        <v>117</v>
      </c>
      <c r="C466" t="s">
        <v>118</v>
      </c>
      <c r="D466" t="s">
        <v>62</v>
      </c>
      <c r="E466" s="43">
        <v>655</v>
      </c>
      <c r="F466" s="21" t="str">
        <f>HYPERLINK("#'Data'!A7787", "Percentage of households reporting completely lacking essential non-food items in the last 3 months, by type broken down by age of adults in the house...")</f>
        <v>Percentage of households reporting completely lacking essential non-food items in the last 3 months, by type broken down by age of adults in the house...</v>
      </c>
    </row>
    <row r="467" spans="2:6" x14ac:dyDescent="0.35">
      <c r="B467" t="s">
        <v>117</v>
      </c>
      <c r="C467" t="s">
        <v>118</v>
      </c>
      <c r="D467" t="s">
        <v>76</v>
      </c>
      <c r="E467" s="43">
        <v>656</v>
      </c>
      <c r="F467" s="21" t="str">
        <f>HYPERLINK("#'Data'!A7806", "Percentage of households reporting completely lacking essential non-food items in the last 3 months, by type broken down by households with at least o...")</f>
        <v>Percentage of households reporting completely lacking essential non-food items in the last 3 months, by type broken down by households with at least o...</v>
      </c>
    </row>
    <row r="468" spans="2:6" x14ac:dyDescent="0.35">
      <c r="B468" t="s">
        <v>117</v>
      </c>
      <c r="C468" t="s">
        <v>118</v>
      </c>
      <c r="D468" t="s">
        <v>63</v>
      </c>
      <c r="E468" s="43">
        <v>657</v>
      </c>
      <c r="F468" s="21" t="str">
        <f>HYPERLINK("#'Data'!A7820", "Percentage of households reporting completely lacking essential non-food items in the last 3 months, by type broken down by displacement status of hea...")</f>
        <v>Percentage of households reporting completely lacking essential non-food items in the last 3 months, by type broken down by displacement status of hea...</v>
      </c>
    </row>
    <row r="469" spans="2:6" x14ac:dyDescent="0.35">
      <c r="B469" t="s">
        <v>117</v>
      </c>
      <c r="C469" t="s">
        <v>118</v>
      </c>
      <c r="D469" t="s">
        <v>64</v>
      </c>
      <c r="E469" s="43">
        <v>658</v>
      </c>
      <c r="F469" s="21" t="str">
        <f>HYPERLINK("#'Data'!A7847", "Percentage of households reporting completely lacking essential non-food items in the last 3 months, by type broken down by IDP household on the admin...")</f>
        <v>Percentage of households reporting completely lacking essential non-food items in the last 3 months, by type broken down by IDP household on the admin...</v>
      </c>
    </row>
    <row r="470" spans="2:6" x14ac:dyDescent="0.35">
      <c r="B470" t="s">
        <v>117</v>
      </c>
      <c r="C470" t="s">
        <v>118</v>
      </c>
      <c r="D470" t="s">
        <v>65</v>
      </c>
      <c r="E470" s="43">
        <v>659</v>
      </c>
      <c r="F470" s="21" t="str">
        <f>HYPERLINK("#'Data'!A7861", "Percentage of households reporting completely lacking essential non-food items in the last 3 months, by type broken down by proximity to frontline/bor...")</f>
        <v>Percentage of households reporting completely lacking essential non-food items in the last 3 months, by type broken down by proximity to frontline/bor...</v>
      </c>
    </row>
    <row r="471" spans="2:6" x14ac:dyDescent="0.35">
      <c r="B471" t="s">
        <v>117</v>
      </c>
      <c r="C471" t="s">
        <v>118</v>
      </c>
      <c r="D471" t="s">
        <v>77</v>
      </c>
      <c r="E471" s="43">
        <v>660</v>
      </c>
      <c r="F471" s="21" t="str">
        <f>HYPERLINK("#'Data'!A7876", "Percentage of households reporting completely lacking essential non-food items in the last 3 months, by type broken down by caregiving status  on the ...")</f>
        <v>Percentage of households reporting completely lacking essential non-food items in the last 3 months, by type broken down by caregiving status  on the ...</v>
      </c>
    </row>
    <row r="472" spans="2:6" x14ac:dyDescent="0.35">
      <c r="B472" t="s">
        <v>110</v>
      </c>
      <c r="C472" t="s">
        <v>119</v>
      </c>
      <c r="D472" t="s">
        <v>36</v>
      </c>
      <c r="E472" s="43">
        <v>661</v>
      </c>
      <c r="F472" s="21" t="str">
        <f>HYPERLINK("#'Data'!A7898", "Households reporting primary income sources over the last 30 days, by type of income source on the admin of macroregion perc")</f>
        <v>Households reporting primary income sources over the last 30 days, by type of income source on the admin of macroregion perc</v>
      </c>
    </row>
    <row r="473" spans="2:6" x14ac:dyDescent="0.35">
      <c r="B473" t="s">
        <v>110</v>
      </c>
      <c r="C473" t="s">
        <v>119</v>
      </c>
      <c r="D473" t="s">
        <v>57</v>
      </c>
      <c r="E473" s="43">
        <v>662</v>
      </c>
      <c r="F473" s="21" t="str">
        <f>HYPERLINK("#'Data'!A7907", "Households reporting primary income sources over the last 30 days, by type of income source broken down by households with at least one member with a ...")</f>
        <v>Households reporting primary income sources over the last 30 days, by type of income source broken down by households with at least one member with a ...</v>
      </c>
    </row>
    <row r="474" spans="2:6" x14ac:dyDescent="0.35">
      <c r="B474" t="s">
        <v>110</v>
      </c>
      <c r="C474" t="s">
        <v>119</v>
      </c>
      <c r="D474" t="s">
        <v>58</v>
      </c>
      <c r="E474" s="43">
        <v>663</v>
      </c>
      <c r="F474" s="21" t="str">
        <f>HYPERLINK("#'Data'!A7921", "Households reporting primary income sources over the last 30 days, by type of income source broken down by urbanity on the admin of macroregion perc")</f>
        <v>Households reporting primary income sources over the last 30 days, by type of income source broken down by urbanity on the admin of macroregion perc</v>
      </c>
    </row>
    <row r="475" spans="2:6" x14ac:dyDescent="0.35">
      <c r="B475" t="s">
        <v>110</v>
      </c>
      <c r="C475" t="s">
        <v>119</v>
      </c>
      <c r="D475" t="s">
        <v>59</v>
      </c>
      <c r="E475" s="43">
        <v>664</v>
      </c>
      <c r="F475" s="21" t="str">
        <f>HYPERLINK("#'Data'!A7935", "Households reporting primary income sources over the last 30 days, by type of income source broken down by household size on the admin of macroregion ...")</f>
        <v>Households reporting primary income sources over the last 30 days, by type of income source broken down by household size on the admin of macroregion ...</v>
      </c>
    </row>
    <row r="476" spans="2:6" x14ac:dyDescent="0.35">
      <c r="B476" t="s">
        <v>110</v>
      </c>
      <c r="C476" t="s">
        <v>119</v>
      </c>
      <c r="D476" t="s">
        <v>60</v>
      </c>
      <c r="E476" s="43">
        <v>665</v>
      </c>
      <c r="F476" s="21" t="str">
        <f>HYPERLINK("#'Data'!A7954", "Households reporting primary income sources over the last 30 days, by type of income source broken down by income per capita (quartiles) on the admin ...")</f>
        <v>Households reporting primary income sources over the last 30 days, by type of income source broken down by income per capita (quartiles) on the admin ...</v>
      </c>
    </row>
    <row r="477" spans="2:6" x14ac:dyDescent="0.35">
      <c r="B477" t="s">
        <v>110</v>
      </c>
      <c r="C477" t="s">
        <v>119</v>
      </c>
      <c r="D477" t="s">
        <v>61</v>
      </c>
      <c r="E477" s="43">
        <v>666</v>
      </c>
      <c r="F477" s="21" t="str">
        <f>HYPERLINK("#'Data'!A7978", "Households reporting primary income sources over the last 30 days, by type of income source broken down by gender of head of household on the admin of...")</f>
        <v>Households reporting primary income sources over the last 30 days, by type of income source broken down by gender of head of household on the admin of...</v>
      </c>
    </row>
    <row r="478" spans="2:6" x14ac:dyDescent="0.35">
      <c r="B478" t="s">
        <v>110</v>
      </c>
      <c r="C478" t="s">
        <v>119</v>
      </c>
      <c r="D478" t="s">
        <v>62</v>
      </c>
      <c r="E478" s="43">
        <v>667</v>
      </c>
      <c r="F478" s="21" t="str">
        <f>HYPERLINK("#'Data'!A7998", "Households reporting primary income sources over the last 30 days, by type of income source broken down by age of adults in the households on the admi...")</f>
        <v>Households reporting primary income sources over the last 30 days, by type of income source broken down by age of adults in the households on the admi...</v>
      </c>
    </row>
    <row r="479" spans="2:6" x14ac:dyDescent="0.35">
      <c r="B479" t="s">
        <v>110</v>
      </c>
      <c r="C479" t="s">
        <v>119</v>
      </c>
      <c r="D479" t="s">
        <v>76</v>
      </c>
      <c r="E479" s="43">
        <v>668</v>
      </c>
      <c r="F479" s="21" t="str">
        <f>HYPERLINK("#'Data'!A8017", "Households reporting primary income sources over the last 30 days, by type of income source broken down by households with at least one child (&lt;18 y.o...")</f>
        <v>Households reporting primary income sources over the last 30 days, by type of income source broken down by households with at least one child (&lt;18 y.o...</v>
      </c>
    </row>
    <row r="480" spans="2:6" x14ac:dyDescent="0.35">
      <c r="B480" t="s">
        <v>110</v>
      </c>
      <c r="C480" t="s">
        <v>119</v>
      </c>
      <c r="D480" t="s">
        <v>63</v>
      </c>
      <c r="E480" s="43">
        <v>669</v>
      </c>
      <c r="F480" s="21" t="str">
        <f>HYPERLINK("#'Data'!A8031", "Households reporting primary income sources over the last 30 days, by type of income source broken down by displacement status of head of household on...")</f>
        <v>Households reporting primary income sources over the last 30 days, by type of income source broken down by displacement status of head of household on...</v>
      </c>
    </row>
    <row r="481" spans="2:6" x14ac:dyDescent="0.35">
      <c r="B481" t="s">
        <v>110</v>
      </c>
      <c r="C481" t="s">
        <v>119</v>
      </c>
      <c r="D481" t="s">
        <v>64</v>
      </c>
      <c r="E481" s="43">
        <v>670</v>
      </c>
      <c r="F481" s="21" t="str">
        <f>HYPERLINK("#'Data'!A8058", "Households reporting primary income sources over the last 30 days, by type of income source broken down by IDP household on the admin of macroregion p...")</f>
        <v>Households reporting primary income sources over the last 30 days, by type of income source broken down by IDP household on the admin of macroregion p...</v>
      </c>
    </row>
    <row r="482" spans="2:6" x14ac:dyDescent="0.35">
      <c r="B482" t="s">
        <v>110</v>
      </c>
      <c r="C482" t="s">
        <v>119</v>
      </c>
      <c r="D482" t="s">
        <v>65</v>
      </c>
      <c r="E482" s="43">
        <v>671</v>
      </c>
      <c r="F482" s="21" t="str">
        <f>HYPERLINK("#'Data'!A8072", "Households reporting primary income sources over the last 30 days, by type of income source broken down by proximity to frontline/border with Russian ...")</f>
        <v>Households reporting primary income sources over the last 30 days, by type of income source broken down by proximity to frontline/border with Russian ...</v>
      </c>
    </row>
    <row r="483" spans="2:6" x14ac:dyDescent="0.35">
      <c r="B483" t="s">
        <v>110</v>
      </c>
      <c r="C483" t="s">
        <v>119</v>
      </c>
      <c r="D483" t="s">
        <v>77</v>
      </c>
      <c r="E483" s="43">
        <v>672</v>
      </c>
      <c r="F483" s="21" t="str">
        <f>HYPERLINK("#'Data'!A8087", "Households reporting primary income sources over the last 30 days, by type of income source broken down by caregiving status  on the admin of macroreg...")</f>
        <v>Households reporting primary income sources over the last 30 days, by type of income source broken down by caregiving status  on the admin of macroreg...</v>
      </c>
    </row>
    <row r="484" spans="2:6" x14ac:dyDescent="0.35">
      <c r="B484" t="s">
        <v>110</v>
      </c>
      <c r="C484" t="s">
        <v>120</v>
      </c>
      <c r="D484" t="s">
        <v>36</v>
      </c>
      <c r="E484" s="43">
        <v>673</v>
      </c>
      <c r="F484" s="21" t="str">
        <f>HYPERLINK("#'Data'!A8109", "Household income per capita over the 30 days prior to data collection, by types of income source ")</f>
        <v xml:space="preserve">Household income per capita over the 30 days prior to data collection, by types of income source </v>
      </c>
    </row>
    <row r="485" spans="2:6" x14ac:dyDescent="0.35">
      <c r="B485" t="s">
        <v>110</v>
      </c>
      <c r="C485" t="s">
        <v>120</v>
      </c>
      <c r="D485" t="s">
        <v>57</v>
      </c>
      <c r="E485" s="43">
        <v>687</v>
      </c>
      <c r="F485" s="21" t="str">
        <f>HYPERLINK("#'Data'!A8118", "Household income per capita over the 30 days prior to data collection, by types of income source by households with at least one member with a reporte...")</f>
        <v>Household income per capita over the 30 days prior to data collection, by types of income source by households with at least one member with a reporte...</v>
      </c>
    </row>
    <row r="486" spans="2:6" x14ac:dyDescent="0.35">
      <c r="B486" t="s">
        <v>110</v>
      </c>
      <c r="C486" t="s">
        <v>120</v>
      </c>
      <c r="D486" t="s">
        <v>58</v>
      </c>
      <c r="E486" s="43">
        <v>701</v>
      </c>
      <c r="F486" s="21" t="str">
        <f>HYPERLINK("#'Data'!A8132", "Household income per capita over the 30 days prior to data collection, by types of income source by urbanity ")</f>
        <v xml:space="preserve">Household income per capita over the 30 days prior to data collection, by types of income source by urbanity </v>
      </c>
    </row>
    <row r="487" spans="2:6" x14ac:dyDescent="0.35">
      <c r="B487" t="s">
        <v>110</v>
      </c>
      <c r="C487" t="s">
        <v>120</v>
      </c>
      <c r="D487" t="s">
        <v>59</v>
      </c>
      <c r="E487" s="43">
        <v>715</v>
      </c>
      <c r="F487" s="21" t="str">
        <f>HYPERLINK("#'Data'!A8146", "Household income per capita over the 30 days prior to data collection, by types of income source by household size ")</f>
        <v xml:space="preserve">Household income per capita over the 30 days prior to data collection, by types of income source by household size </v>
      </c>
    </row>
    <row r="488" spans="2:6" x14ac:dyDescent="0.35">
      <c r="B488" t="s">
        <v>110</v>
      </c>
      <c r="C488" t="s">
        <v>120</v>
      </c>
      <c r="D488" t="s">
        <v>61</v>
      </c>
      <c r="E488" s="43">
        <v>729</v>
      </c>
      <c r="F488" s="21" t="str">
        <f>HYPERLINK("#'Data'!A8165", "Household income per capita over the 30 days prior to data collection, by types of income source by gender of head of household ")</f>
        <v xml:space="preserve">Household income per capita over the 30 days prior to data collection, by types of income source by gender of head of household </v>
      </c>
    </row>
    <row r="489" spans="2:6" x14ac:dyDescent="0.35">
      <c r="B489" t="s">
        <v>110</v>
      </c>
      <c r="C489" t="s">
        <v>120</v>
      </c>
      <c r="D489" t="s">
        <v>62</v>
      </c>
      <c r="E489" s="43">
        <v>743</v>
      </c>
      <c r="F489" s="21" t="str">
        <f>HYPERLINK("#'Data'!A8185", "Household income per capita over the 30 days prior to data collection, by types of income source by age of adults in the households ")</f>
        <v xml:space="preserve">Household income per capita over the 30 days prior to data collection, by types of income source by age of adults in the households </v>
      </c>
    </row>
    <row r="490" spans="2:6" x14ac:dyDescent="0.35">
      <c r="B490" t="s">
        <v>110</v>
      </c>
      <c r="C490" t="s">
        <v>120</v>
      </c>
      <c r="D490" t="s">
        <v>76</v>
      </c>
      <c r="E490" s="43">
        <v>757</v>
      </c>
      <c r="F490" s="21" t="str">
        <f>HYPERLINK("#'Data'!A8204", "Household income per capita over the 30 days prior to data collection, by types of income source by households with at least one child (&lt;18 y.o.) ")</f>
        <v xml:space="preserve">Household income per capita over the 30 days prior to data collection, by types of income source by households with at least one child (&lt;18 y.o.) </v>
      </c>
    </row>
    <row r="491" spans="2:6" x14ac:dyDescent="0.35">
      <c r="B491" t="s">
        <v>110</v>
      </c>
      <c r="C491" t="s">
        <v>120</v>
      </c>
      <c r="D491" t="s">
        <v>63</v>
      </c>
      <c r="E491" s="43">
        <v>771</v>
      </c>
      <c r="F491" s="21" t="str">
        <f>HYPERLINK("#'Data'!A8218", "Household income per capita over the 30 days prior to data collection, by types of income source by displacement status of head of household ")</f>
        <v xml:space="preserve">Household income per capita over the 30 days prior to data collection, by types of income source by displacement status of head of household </v>
      </c>
    </row>
    <row r="492" spans="2:6" x14ac:dyDescent="0.35">
      <c r="B492" t="s">
        <v>110</v>
      </c>
      <c r="C492" t="s">
        <v>120</v>
      </c>
      <c r="D492" t="s">
        <v>64</v>
      </c>
      <c r="E492" s="43">
        <v>785</v>
      </c>
      <c r="F492" s="21" t="str">
        <f>HYPERLINK("#'Data'!A8243", "Household income per capita over the 30 days prior to data collection, by types of income source by IDP household ")</f>
        <v xml:space="preserve">Household income per capita over the 30 days prior to data collection, by types of income source by IDP household </v>
      </c>
    </row>
    <row r="493" spans="2:6" x14ac:dyDescent="0.35">
      <c r="B493" t="s">
        <v>110</v>
      </c>
      <c r="C493" t="s">
        <v>120</v>
      </c>
      <c r="D493" t="s">
        <v>65</v>
      </c>
      <c r="E493" s="43">
        <v>799</v>
      </c>
      <c r="F493" s="21" t="str">
        <f>HYPERLINK("#'Data'!A8257", "Household income per capita over the 30 days prior to data collection, by types of income source by proximity to frontline/border with Russian Federat...")</f>
        <v>Household income per capita over the 30 days prior to data collection, by types of income source by proximity to frontline/border with Russian Federat...</v>
      </c>
    </row>
    <row r="494" spans="2:6" x14ac:dyDescent="0.35">
      <c r="B494" t="s">
        <v>110</v>
      </c>
      <c r="C494" t="s">
        <v>120</v>
      </c>
      <c r="D494" t="s">
        <v>77</v>
      </c>
      <c r="E494" s="43">
        <v>813</v>
      </c>
      <c r="F494" s="21" t="str">
        <f>HYPERLINK("#'Data'!A8272", "Household income per capita over the 30 days prior to data collection, by types of income source by caregiving status  ")</f>
        <v xml:space="preserve">Household income per capita over the 30 days prior to data collection, by types of income source by caregiving status  </v>
      </c>
    </row>
    <row r="495" spans="2:6" x14ac:dyDescent="0.35">
      <c r="B495" t="s">
        <v>110</v>
      </c>
      <c r="C495" t="s">
        <v>121</v>
      </c>
      <c r="D495" t="s">
        <v>36</v>
      </c>
      <c r="E495" s="43">
        <v>827</v>
      </c>
      <c r="F495" s="21" t="str">
        <f>HYPERLINK("#'Data'!A8294", "Total monthly income per capita on the admin of macroregion mean")</f>
        <v>Total monthly income per capita on the admin of macroregion mean</v>
      </c>
    </row>
    <row r="496" spans="2:6" x14ac:dyDescent="0.35">
      <c r="B496" t="s">
        <v>110</v>
      </c>
      <c r="C496" t="s">
        <v>121</v>
      </c>
      <c r="D496" t="s">
        <v>57</v>
      </c>
      <c r="E496" s="43">
        <v>828</v>
      </c>
      <c r="F496" s="21" t="str">
        <f>HYPERLINK("#'Data'!A8303", "Total monthly income per capita broken down by households with at least one member with a reported and/or registered disability on the admin of macror...")</f>
        <v>Total monthly income per capita broken down by households with at least one member with a reported and/or registered disability on the admin of macror...</v>
      </c>
    </row>
    <row r="497" spans="2:6" x14ac:dyDescent="0.35">
      <c r="B497" t="s">
        <v>110</v>
      </c>
      <c r="C497" t="s">
        <v>121</v>
      </c>
      <c r="D497" t="s">
        <v>58</v>
      </c>
      <c r="E497" s="43">
        <v>829</v>
      </c>
      <c r="F497" s="21" t="str">
        <f>HYPERLINK("#'Data'!A8317", "Total monthly income per capita broken down by urbanity on the admin of macroregion mean")</f>
        <v>Total monthly income per capita broken down by urbanity on the admin of macroregion mean</v>
      </c>
    </row>
    <row r="498" spans="2:6" x14ac:dyDescent="0.35">
      <c r="B498" t="s">
        <v>110</v>
      </c>
      <c r="C498" t="s">
        <v>121</v>
      </c>
      <c r="D498" t="s">
        <v>59</v>
      </c>
      <c r="E498" s="43">
        <v>830</v>
      </c>
      <c r="F498" s="21" t="str">
        <f>HYPERLINK("#'Data'!A8331", "Total monthly income per capita broken down by household size on the admin of macroregion mean")</f>
        <v>Total monthly income per capita broken down by household size on the admin of macroregion mean</v>
      </c>
    </row>
    <row r="499" spans="2:6" x14ac:dyDescent="0.35">
      <c r="B499" t="s">
        <v>110</v>
      </c>
      <c r="C499" t="s">
        <v>121</v>
      </c>
      <c r="D499" t="s">
        <v>61</v>
      </c>
      <c r="E499" s="43">
        <v>831</v>
      </c>
      <c r="F499" s="21" t="str">
        <f>HYPERLINK("#'Data'!A8350", "Total monthly income per capita broken down by gender of head of household on the admin of macroregion mean")</f>
        <v>Total monthly income per capita broken down by gender of head of household on the admin of macroregion mean</v>
      </c>
    </row>
    <row r="500" spans="2:6" x14ac:dyDescent="0.35">
      <c r="B500" t="s">
        <v>110</v>
      </c>
      <c r="C500" t="s">
        <v>121</v>
      </c>
      <c r="D500" t="s">
        <v>62</v>
      </c>
      <c r="E500" s="43">
        <v>832</v>
      </c>
      <c r="F500" s="21" t="str">
        <f>HYPERLINK("#'Data'!A8370", "Total monthly income per capita broken down by age of adults in the households on the admin of macroregion mean")</f>
        <v>Total monthly income per capita broken down by age of adults in the households on the admin of macroregion mean</v>
      </c>
    </row>
    <row r="501" spans="2:6" x14ac:dyDescent="0.35">
      <c r="B501" t="s">
        <v>110</v>
      </c>
      <c r="C501" t="s">
        <v>121</v>
      </c>
      <c r="D501" t="s">
        <v>76</v>
      </c>
      <c r="E501" s="43">
        <v>833</v>
      </c>
      <c r="F501" s="21" t="str">
        <f>HYPERLINK("#'Data'!A8389", "Total monthly income per capita broken down by households with at least one child (&lt;18 y.o.) on the admin of macroregion mean")</f>
        <v>Total monthly income per capita broken down by households with at least one child (&lt;18 y.o.) on the admin of macroregion mean</v>
      </c>
    </row>
    <row r="502" spans="2:6" x14ac:dyDescent="0.35">
      <c r="B502" t="s">
        <v>110</v>
      </c>
      <c r="C502" t="s">
        <v>121</v>
      </c>
      <c r="D502" t="s">
        <v>63</v>
      </c>
      <c r="E502" s="43">
        <v>834</v>
      </c>
      <c r="F502" s="21" t="str">
        <f>HYPERLINK("#'Data'!A8403", "Total monthly income per capita broken down by displacement status of head of household on the admin of macroregion mean")</f>
        <v>Total monthly income per capita broken down by displacement status of head of household on the admin of macroregion mean</v>
      </c>
    </row>
    <row r="503" spans="2:6" x14ac:dyDescent="0.35">
      <c r="B503" t="s">
        <v>110</v>
      </c>
      <c r="C503" t="s">
        <v>121</v>
      </c>
      <c r="D503" t="s">
        <v>64</v>
      </c>
      <c r="E503" s="43">
        <v>835</v>
      </c>
      <c r="F503" s="21" t="str">
        <f>HYPERLINK("#'Data'!A8429", "Total monthly income per capita broken down by IDP household on the admin of macroregion mean")</f>
        <v>Total monthly income per capita broken down by IDP household on the admin of macroregion mean</v>
      </c>
    </row>
    <row r="504" spans="2:6" x14ac:dyDescent="0.35">
      <c r="B504" t="s">
        <v>110</v>
      </c>
      <c r="C504" t="s">
        <v>121</v>
      </c>
      <c r="D504" t="s">
        <v>65</v>
      </c>
      <c r="E504" s="43">
        <v>836</v>
      </c>
      <c r="F504" s="21" t="str">
        <f>HYPERLINK("#'Data'!A8443", "Total monthly income per capita broken down by proximity to frontline/border with Russian Federation on the admin of macroregion mean")</f>
        <v>Total monthly income per capita broken down by proximity to frontline/border with Russian Federation on the admin of macroregion mean</v>
      </c>
    </row>
    <row r="505" spans="2:6" x14ac:dyDescent="0.35">
      <c r="B505" t="s">
        <v>110</v>
      </c>
      <c r="C505" t="s">
        <v>121</v>
      </c>
      <c r="D505" t="s">
        <v>77</v>
      </c>
      <c r="E505" s="43">
        <v>837</v>
      </c>
      <c r="F505" s="21" t="str">
        <f>HYPERLINK("#'Data'!A8458", "Total monthly income per capita broken down by caregiving status  on the admin of macroregion mean")</f>
        <v>Total monthly income per capita broken down by caregiving status  on the admin of macroregion mean</v>
      </c>
    </row>
    <row r="506" spans="2:6" x14ac:dyDescent="0.35">
      <c r="B506" t="s">
        <v>110</v>
      </c>
      <c r="C506" t="s">
        <v>122</v>
      </c>
      <c r="D506" t="s">
        <v>36</v>
      </c>
      <c r="E506" s="43">
        <v>838</v>
      </c>
      <c r="F506" s="21" t="str">
        <f>HYPERLINK("#'Data'!A8480", "Households receiving income from remittances/family and friends in Ukraine/community members, by regularity on the admin of macroregion perc")</f>
        <v>Households receiving income from remittances/family and friends in Ukraine/community members, by regularity on the admin of macroregion perc</v>
      </c>
    </row>
    <row r="507" spans="2:6" x14ac:dyDescent="0.35">
      <c r="B507" t="s">
        <v>110</v>
      </c>
      <c r="C507" t="s">
        <v>122</v>
      </c>
      <c r="D507" t="s">
        <v>57</v>
      </c>
      <c r="E507" s="43">
        <v>839</v>
      </c>
      <c r="F507" s="21" t="str">
        <f>HYPERLINK("#'Data'!A8489", "Households receiving income from remittances/family and friends in Ukraine/community members, by regularity broken down by households with at least on...")</f>
        <v>Households receiving income from remittances/family and friends in Ukraine/community members, by regularity broken down by households with at least on...</v>
      </c>
    </row>
    <row r="508" spans="2:6" x14ac:dyDescent="0.35">
      <c r="B508" t="s">
        <v>110</v>
      </c>
      <c r="C508" t="s">
        <v>122</v>
      </c>
      <c r="D508" t="s">
        <v>58</v>
      </c>
      <c r="E508" s="43">
        <v>840</v>
      </c>
      <c r="F508" s="21" t="str">
        <f>HYPERLINK("#'Data'!A8503", "Households receiving income from remittances/family and friends in Ukraine/community members, by regularity broken down by urbanity on the admin of ma...")</f>
        <v>Households receiving income from remittances/family and friends in Ukraine/community members, by regularity broken down by urbanity on the admin of ma...</v>
      </c>
    </row>
    <row r="509" spans="2:6" x14ac:dyDescent="0.35">
      <c r="B509" t="s">
        <v>110</v>
      </c>
      <c r="C509" t="s">
        <v>122</v>
      </c>
      <c r="D509" t="s">
        <v>59</v>
      </c>
      <c r="E509" s="43">
        <v>841</v>
      </c>
      <c r="F509" s="21" t="str">
        <f>HYPERLINK("#'Data'!A8517", "Households receiving income from remittances/family and friends in Ukraine/community members, by regularity broken down by household size on the admin...")</f>
        <v>Households receiving income from remittances/family and friends in Ukraine/community members, by regularity broken down by household size on the admin...</v>
      </c>
    </row>
    <row r="510" spans="2:6" x14ac:dyDescent="0.35">
      <c r="B510" t="s">
        <v>110</v>
      </c>
      <c r="C510" t="s">
        <v>122</v>
      </c>
      <c r="D510" t="s">
        <v>61</v>
      </c>
      <c r="E510" s="43">
        <v>842</v>
      </c>
      <c r="F510" s="21" t="str">
        <f>HYPERLINK("#'Data'!A8535", "Households receiving income from remittances/family and friends in Ukraine/community members, by regularity broken down by gender of head of household...")</f>
        <v>Households receiving income from remittances/family and friends in Ukraine/community members, by regularity broken down by gender of head of household...</v>
      </c>
    </row>
    <row r="511" spans="2:6" x14ac:dyDescent="0.35">
      <c r="B511" t="s">
        <v>110</v>
      </c>
      <c r="C511" t="s">
        <v>122</v>
      </c>
      <c r="D511" t="s">
        <v>62</v>
      </c>
      <c r="E511" s="43">
        <v>843</v>
      </c>
      <c r="F511" s="21" t="str">
        <f>HYPERLINK("#'Data'!A8554", "Households receiving income from remittances/family and friends in Ukraine/community members, by regularity broken down by age of adults in the househ...")</f>
        <v>Households receiving income from remittances/family and friends in Ukraine/community members, by regularity broken down by age of adults in the househ...</v>
      </c>
    </row>
    <row r="512" spans="2:6" x14ac:dyDescent="0.35">
      <c r="B512" t="s">
        <v>110</v>
      </c>
      <c r="C512" t="s">
        <v>122</v>
      </c>
      <c r="D512" t="s">
        <v>76</v>
      </c>
      <c r="E512" s="43">
        <v>844</v>
      </c>
      <c r="F512" s="21" t="str">
        <f>HYPERLINK("#'Data'!A8573", "Households receiving income from remittances/family and friends in Ukraine/community members, by regularity broken down by households with at least on...")</f>
        <v>Households receiving income from remittances/family and friends in Ukraine/community members, by regularity broken down by households with at least on...</v>
      </c>
    </row>
    <row r="513" spans="2:6" x14ac:dyDescent="0.35">
      <c r="B513" t="s">
        <v>110</v>
      </c>
      <c r="C513" t="s">
        <v>122</v>
      </c>
      <c r="D513" t="s">
        <v>63</v>
      </c>
      <c r="E513" s="43">
        <v>845</v>
      </c>
      <c r="F513" s="21" t="str">
        <f>HYPERLINK("#'Data'!A8587", "Households receiving income from remittances/family and friends in Ukraine/community members, by regularity broken down by displacement status of head...")</f>
        <v>Households receiving income from remittances/family and friends in Ukraine/community members, by regularity broken down by displacement status of head...</v>
      </c>
    </row>
    <row r="514" spans="2:6" x14ac:dyDescent="0.35">
      <c r="B514" t="s">
        <v>110</v>
      </c>
      <c r="C514" t="s">
        <v>122</v>
      </c>
      <c r="D514" t="s">
        <v>64</v>
      </c>
      <c r="E514" s="43">
        <v>846</v>
      </c>
      <c r="F514" s="21" t="str">
        <f>HYPERLINK("#'Data'!A8611", "Households receiving income from remittances/family and friends in Ukraine/community members, by regularity broken down by IDP household on the admin ...")</f>
        <v>Households receiving income from remittances/family and friends in Ukraine/community members, by regularity broken down by IDP household on the admin ...</v>
      </c>
    </row>
    <row r="515" spans="2:6" x14ac:dyDescent="0.35">
      <c r="B515" t="s">
        <v>110</v>
      </c>
      <c r="C515" t="s">
        <v>122</v>
      </c>
      <c r="D515" t="s">
        <v>65</v>
      </c>
      <c r="E515" s="43">
        <v>847</v>
      </c>
      <c r="F515" s="21" t="str">
        <f>HYPERLINK("#'Data'!A8625", "Households receiving income from remittances/family and friends in Ukraine/community members, by regularity broken down by proximity to frontline/bord...")</f>
        <v>Households receiving income from remittances/family and friends in Ukraine/community members, by regularity broken down by proximity to frontline/bord...</v>
      </c>
    </row>
    <row r="516" spans="2:6" x14ac:dyDescent="0.35">
      <c r="B516" t="s">
        <v>110</v>
      </c>
      <c r="C516" t="s">
        <v>122</v>
      </c>
      <c r="D516" t="s">
        <v>77</v>
      </c>
      <c r="E516" s="43">
        <v>848</v>
      </c>
      <c r="F516" s="21" t="str">
        <f>HYPERLINK("#'Data'!A8640", "Households receiving income from remittances/family and friends in Ukraine/community members, by regularity broken down by caregiving status  on the a...")</f>
        <v>Households receiving income from remittances/family and friends in Ukraine/community members, by regularity broken down by caregiving status  on the a...</v>
      </c>
    </row>
    <row r="517" spans="2:6" x14ac:dyDescent="0.35">
      <c r="B517" t="s">
        <v>110</v>
      </c>
      <c r="C517" t="s">
        <v>123</v>
      </c>
      <c r="D517" t="s">
        <v>36</v>
      </c>
      <c r="E517" s="43">
        <v>849</v>
      </c>
      <c r="F517" s="21" t="str">
        <f>HYPERLINK("#'Data'!A8660", "Percentage of households who have become indebted since 2024 on the admin of macroregion perc")</f>
        <v>Percentage of households who have become indebted since 2024 on the admin of macroregion perc</v>
      </c>
    </row>
    <row r="518" spans="2:6" x14ac:dyDescent="0.35">
      <c r="B518" t="s">
        <v>110</v>
      </c>
      <c r="C518" t="s">
        <v>123</v>
      </c>
      <c r="D518" t="s">
        <v>57</v>
      </c>
      <c r="E518" s="43">
        <v>850</v>
      </c>
      <c r="F518" s="21" t="str">
        <f>HYPERLINK("#'Data'!A8669", "Percentage of households who have become indebted since 2024 broken down by households with at least one member with a reported and/or registered disa...")</f>
        <v>Percentage of households who have become indebted since 2024 broken down by households with at least one member with a reported and/or registered disa...</v>
      </c>
    </row>
    <row r="519" spans="2:6" x14ac:dyDescent="0.35">
      <c r="B519" t="s">
        <v>110</v>
      </c>
      <c r="C519" t="s">
        <v>123</v>
      </c>
      <c r="D519" t="s">
        <v>58</v>
      </c>
      <c r="E519" s="43">
        <v>851</v>
      </c>
      <c r="F519" s="21" t="str">
        <f>HYPERLINK("#'Data'!A8683", "Percentage of households who have become indebted since 2024 broken down by urbanity on the admin of macroregion perc")</f>
        <v>Percentage of households who have become indebted since 2024 broken down by urbanity on the admin of macroregion perc</v>
      </c>
    </row>
    <row r="520" spans="2:6" x14ac:dyDescent="0.35">
      <c r="B520" t="s">
        <v>110</v>
      </c>
      <c r="C520" t="s">
        <v>123</v>
      </c>
      <c r="D520" t="s">
        <v>59</v>
      </c>
      <c r="E520" s="43">
        <v>852</v>
      </c>
      <c r="F520" s="21" t="str">
        <f>HYPERLINK("#'Data'!A8697", "Percentage of households who have become indebted since 2024 broken down by household size on the admin of macroregion perc")</f>
        <v>Percentage of households who have become indebted since 2024 broken down by household size on the admin of macroregion perc</v>
      </c>
    </row>
    <row r="521" spans="2:6" x14ac:dyDescent="0.35">
      <c r="B521" t="s">
        <v>110</v>
      </c>
      <c r="C521" t="s">
        <v>123</v>
      </c>
      <c r="D521" t="s">
        <v>60</v>
      </c>
      <c r="E521" s="43">
        <v>853</v>
      </c>
      <c r="F521" s="21" t="str">
        <f>HYPERLINK("#'Data'!A8716", "Percentage of households who have become indebted since 2024 broken down by income per capita (quartiles) on the admin of macroregion perc")</f>
        <v>Percentage of households who have become indebted since 2024 broken down by income per capita (quartiles) on the admin of macroregion perc</v>
      </c>
    </row>
    <row r="522" spans="2:6" x14ac:dyDescent="0.35">
      <c r="B522" t="s">
        <v>110</v>
      </c>
      <c r="C522" t="s">
        <v>123</v>
      </c>
      <c r="D522" t="s">
        <v>61</v>
      </c>
      <c r="E522" s="43">
        <v>854</v>
      </c>
      <c r="F522" s="21" t="str">
        <f>HYPERLINK("#'Data'!A8740", "Percentage of households who have become indebted since 2024 broken down by gender of head of household on the admin of macroregion perc")</f>
        <v>Percentage of households who have become indebted since 2024 broken down by gender of head of household on the admin of macroregion perc</v>
      </c>
    </row>
    <row r="523" spans="2:6" x14ac:dyDescent="0.35">
      <c r="B523" t="s">
        <v>110</v>
      </c>
      <c r="C523" t="s">
        <v>123</v>
      </c>
      <c r="D523" t="s">
        <v>62</v>
      </c>
      <c r="E523" s="43">
        <v>855</v>
      </c>
      <c r="F523" s="21" t="str">
        <f>HYPERLINK("#'Data'!A8760", "Percentage of households who have become indebted since 2024 broken down by age of adults in the households on the admin of macroregion perc")</f>
        <v>Percentage of households who have become indebted since 2024 broken down by age of adults in the households on the admin of macroregion perc</v>
      </c>
    </row>
    <row r="524" spans="2:6" x14ac:dyDescent="0.35">
      <c r="B524" t="s">
        <v>110</v>
      </c>
      <c r="C524" t="s">
        <v>123</v>
      </c>
      <c r="D524" t="s">
        <v>76</v>
      </c>
      <c r="E524" s="43">
        <v>856</v>
      </c>
      <c r="F524" s="21" t="str">
        <f>HYPERLINK("#'Data'!A8779", "Percentage of households who have become indebted since 2024 broken down by households with at least one child (&lt;18 y.o.) on the admin of macroregion ...")</f>
        <v>Percentage of households who have become indebted since 2024 broken down by households with at least one child (&lt;18 y.o.) on the admin of macroregion ...</v>
      </c>
    </row>
    <row r="525" spans="2:6" x14ac:dyDescent="0.35">
      <c r="B525" t="s">
        <v>110</v>
      </c>
      <c r="C525" t="s">
        <v>123</v>
      </c>
      <c r="D525" t="s">
        <v>63</v>
      </c>
      <c r="E525" s="43">
        <v>857</v>
      </c>
      <c r="F525" s="21" t="str">
        <f>HYPERLINK("#'Data'!A8793", "Percentage of households who have become indebted since 2024 broken down by displacement status of head of household on the admin of macroregion perc")</f>
        <v>Percentage of households who have become indebted since 2024 broken down by displacement status of head of household on the admin of macroregion perc</v>
      </c>
    </row>
    <row r="526" spans="2:6" x14ac:dyDescent="0.35">
      <c r="B526" t="s">
        <v>110</v>
      </c>
      <c r="C526" t="s">
        <v>123</v>
      </c>
      <c r="D526" t="s">
        <v>64</v>
      </c>
      <c r="E526" s="43">
        <v>858</v>
      </c>
      <c r="F526" s="21" t="str">
        <f>HYPERLINK("#'Data'!A8820", "Percentage of households who have become indebted since 2024 broken down by IDP household on the admin of macroregion perc")</f>
        <v>Percentage of households who have become indebted since 2024 broken down by IDP household on the admin of macroregion perc</v>
      </c>
    </row>
    <row r="527" spans="2:6" x14ac:dyDescent="0.35">
      <c r="B527" t="s">
        <v>110</v>
      </c>
      <c r="C527" t="s">
        <v>123</v>
      </c>
      <c r="D527" t="s">
        <v>65</v>
      </c>
      <c r="E527" s="43">
        <v>859</v>
      </c>
      <c r="F527" s="21" t="str">
        <f>HYPERLINK("#'Data'!A8834", "Percentage of households who have become indebted since 2024 broken down by proximity to frontline/border with Russian Federation on the admin of macr...")</f>
        <v>Percentage of households who have become indebted since 2024 broken down by proximity to frontline/border with Russian Federation on the admin of macr...</v>
      </c>
    </row>
    <row r="528" spans="2:6" x14ac:dyDescent="0.35">
      <c r="B528" t="s">
        <v>110</v>
      </c>
      <c r="C528" t="s">
        <v>123</v>
      </c>
      <c r="D528" t="s">
        <v>77</v>
      </c>
      <c r="E528" s="43">
        <v>860</v>
      </c>
      <c r="F528" s="21" t="str">
        <f>HYPERLINK("#'Data'!A8849", "Percentage of households who have become indebted since 2024 broken down by caregiving status  on the admin of macroregion perc")</f>
        <v>Percentage of households who have become indebted since 2024 broken down by caregiving status  on the admin of macroregion perc</v>
      </c>
    </row>
    <row r="529" spans="2:6" x14ac:dyDescent="0.35">
      <c r="B529" t="s">
        <v>110</v>
      </c>
      <c r="C529" t="s">
        <v>124</v>
      </c>
      <c r="D529" t="s">
        <v>36</v>
      </c>
      <c r="E529" s="43">
        <v>861</v>
      </c>
      <c r="F529" s="21" t="str">
        <f>HYPERLINK("#'Data'!A8871", "Percentage of households who are currently indebted, by reason on the admin of macroregion perc")</f>
        <v>Percentage of households who are currently indebted, by reason on the admin of macroregion perc</v>
      </c>
    </row>
    <row r="530" spans="2:6" x14ac:dyDescent="0.35">
      <c r="B530" t="s">
        <v>110</v>
      </c>
      <c r="C530" t="s">
        <v>124</v>
      </c>
      <c r="D530" t="s">
        <v>57</v>
      </c>
      <c r="E530" s="43">
        <v>862</v>
      </c>
      <c r="F530" s="21" t="str">
        <f>HYPERLINK("#'Data'!A8880", "Percentage of households who are currently indebted, by reason broken down by households with at least one member with a reported and/or registered di...")</f>
        <v>Percentage of households who are currently indebted, by reason broken down by households with at least one member with a reported and/or registered di...</v>
      </c>
    </row>
    <row r="531" spans="2:6" x14ac:dyDescent="0.35">
      <c r="B531" t="s">
        <v>110</v>
      </c>
      <c r="C531" t="s">
        <v>124</v>
      </c>
      <c r="D531" t="s">
        <v>58</v>
      </c>
      <c r="E531" s="43">
        <v>863</v>
      </c>
      <c r="F531" s="21" t="str">
        <f>HYPERLINK("#'Data'!A8894", "Percentage of households who are currently indebted, by reason broken down by urbanity on the admin of macroregion perc")</f>
        <v>Percentage of households who are currently indebted, by reason broken down by urbanity on the admin of macroregion perc</v>
      </c>
    </row>
    <row r="532" spans="2:6" x14ac:dyDescent="0.35">
      <c r="B532" t="s">
        <v>110</v>
      </c>
      <c r="C532" t="s">
        <v>124</v>
      </c>
      <c r="D532" t="s">
        <v>59</v>
      </c>
      <c r="E532" s="43">
        <v>864</v>
      </c>
      <c r="F532" s="21" t="str">
        <f>HYPERLINK("#'Data'!A8908", "Percentage of households who are currently indebted, by reason broken down by household size on the admin of macroregion perc")</f>
        <v>Percentage of households who are currently indebted, by reason broken down by household size on the admin of macroregion perc</v>
      </c>
    </row>
    <row r="533" spans="2:6" x14ac:dyDescent="0.35">
      <c r="B533" t="s">
        <v>110</v>
      </c>
      <c r="C533" t="s">
        <v>124</v>
      </c>
      <c r="D533" t="s">
        <v>60</v>
      </c>
      <c r="E533" s="43">
        <v>865</v>
      </c>
      <c r="F533" s="21" t="str">
        <f>HYPERLINK("#'Data'!A8927", "Percentage of households who are currently indebted, by reason broken down by income per capita (quartiles) on the admin of macroregion perc")</f>
        <v>Percentage of households who are currently indebted, by reason broken down by income per capita (quartiles) on the admin of macroregion perc</v>
      </c>
    </row>
    <row r="534" spans="2:6" x14ac:dyDescent="0.35">
      <c r="B534" t="s">
        <v>110</v>
      </c>
      <c r="C534" t="s">
        <v>124</v>
      </c>
      <c r="D534" t="s">
        <v>61</v>
      </c>
      <c r="E534" s="43">
        <v>866</v>
      </c>
      <c r="F534" s="21" t="str">
        <f>HYPERLINK("#'Data'!A8951", "Percentage of households who are currently indebted, by reason broken down by gender of head of household on the admin of macroregion perc")</f>
        <v>Percentage of households who are currently indebted, by reason broken down by gender of head of household on the admin of macroregion perc</v>
      </c>
    </row>
    <row r="535" spans="2:6" x14ac:dyDescent="0.35">
      <c r="B535" t="s">
        <v>110</v>
      </c>
      <c r="C535" t="s">
        <v>124</v>
      </c>
      <c r="D535" t="s">
        <v>62</v>
      </c>
      <c r="E535" s="43">
        <v>867</v>
      </c>
      <c r="F535" s="21" t="str">
        <f>HYPERLINK("#'Data'!A8971", "Percentage of households who are currently indebted, by reason broken down by age of adults in the households on the admin of macroregion perc")</f>
        <v>Percentage of households who are currently indebted, by reason broken down by age of adults in the households on the admin of macroregion perc</v>
      </c>
    </row>
    <row r="536" spans="2:6" x14ac:dyDescent="0.35">
      <c r="B536" t="s">
        <v>110</v>
      </c>
      <c r="C536" t="s">
        <v>124</v>
      </c>
      <c r="D536" t="s">
        <v>76</v>
      </c>
      <c r="E536" s="43">
        <v>868</v>
      </c>
      <c r="F536" s="21" t="str">
        <f>HYPERLINK("#'Data'!A8990", "Percentage of households who are currently indebted, by reason broken down by households with at least one child (&lt;18 y.o.) on the admin of macroregio...")</f>
        <v>Percentage of households who are currently indebted, by reason broken down by households with at least one child (&lt;18 y.o.) on the admin of macroregio...</v>
      </c>
    </row>
    <row r="537" spans="2:6" x14ac:dyDescent="0.35">
      <c r="B537" t="s">
        <v>110</v>
      </c>
      <c r="C537" t="s">
        <v>124</v>
      </c>
      <c r="D537" t="s">
        <v>63</v>
      </c>
      <c r="E537" s="43">
        <v>869</v>
      </c>
      <c r="F537" s="21" t="str">
        <f>HYPERLINK("#'Data'!A9004", "Percentage of households who are currently indebted, by reason broken down by displacement status of head of household on the admin of macroregion per...")</f>
        <v>Percentage of households who are currently indebted, by reason broken down by displacement status of head of household on the admin of macroregion per...</v>
      </c>
    </row>
    <row r="538" spans="2:6" x14ac:dyDescent="0.35">
      <c r="B538" t="s">
        <v>110</v>
      </c>
      <c r="C538" t="s">
        <v>124</v>
      </c>
      <c r="D538" t="s">
        <v>64</v>
      </c>
      <c r="E538" s="43">
        <v>870</v>
      </c>
      <c r="F538" s="21" t="str">
        <f>HYPERLINK("#'Data'!A9027", "Percentage of households who are currently indebted, by reason broken down by IDP household on the admin of macroregion perc")</f>
        <v>Percentage of households who are currently indebted, by reason broken down by IDP household on the admin of macroregion perc</v>
      </c>
    </row>
    <row r="539" spans="2:6" x14ac:dyDescent="0.35">
      <c r="B539" t="s">
        <v>110</v>
      </c>
      <c r="C539" t="s">
        <v>124</v>
      </c>
      <c r="D539" t="s">
        <v>65</v>
      </c>
      <c r="E539" s="43">
        <v>871</v>
      </c>
      <c r="F539" s="21" t="str">
        <f>HYPERLINK("#'Data'!A9041", "Percentage of households who are currently indebted, by reason broken down by proximity to frontline/border with Russian Federation on the admin of ma...")</f>
        <v>Percentage of households who are currently indebted, by reason broken down by proximity to frontline/border with Russian Federation on the admin of ma...</v>
      </c>
    </row>
    <row r="540" spans="2:6" x14ac:dyDescent="0.35">
      <c r="B540" t="s">
        <v>110</v>
      </c>
      <c r="C540" t="s">
        <v>124</v>
      </c>
      <c r="D540" t="s">
        <v>77</v>
      </c>
      <c r="E540" s="43">
        <v>872</v>
      </c>
      <c r="F540" s="21" t="str">
        <f>HYPERLINK("#'Data'!A9056", "Percentage of households who are currently indebted, by reason broken down by caregiving status  on the admin of macroregion perc")</f>
        <v>Percentage of households who are currently indebted, by reason broken down by caregiving status  on the admin of macroregion perc</v>
      </c>
    </row>
    <row r="541" spans="2:6" x14ac:dyDescent="0.35">
      <c r="B541" t="s">
        <v>48</v>
      </c>
      <c r="C541" t="s">
        <v>125</v>
      </c>
      <c r="D541" t="s">
        <v>36</v>
      </c>
      <c r="E541" s="43">
        <v>873</v>
      </c>
      <c r="F541" s="21" t="str">
        <f>HYPERLINK("#'Data'!A9077", "Percentage of households earning an income from own production, by challenges experienced on the admin of macroregion perc")</f>
        <v>Percentage of households earning an income from own production, by challenges experienced on the admin of macroregion perc</v>
      </c>
    </row>
    <row r="542" spans="2:6" x14ac:dyDescent="0.35">
      <c r="B542" t="s">
        <v>48</v>
      </c>
      <c r="C542" t="s">
        <v>125</v>
      </c>
      <c r="D542" t="s">
        <v>57</v>
      </c>
      <c r="E542" s="43">
        <v>874</v>
      </c>
      <c r="F542" s="21" t="str">
        <f>HYPERLINK("#'Data'!A9086", "Percentage of households earning an income from own production, by challenges experienced broken down by households with at least one member with a re...")</f>
        <v>Percentage of households earning an income from own production, by challenges experienced broken down by households with at least one member with a re...</v>
      </c>
    </row>
    <row r="543" spans="2:6" x14ac:dyDescent="0.35">
      <c r="B543" t="s">
        <v>48</v>
      </c>
      <c r="C543" t="s">
        <v>125</v>
      </c>
      <c r="D543" t="s">
        <v>58</v>
      </c>
      <c r="E543" s="43">
        <v>875</v>
      </c>
      <c r="F543" s="21" t="str">
        <f>HYPERLINK("#'Data'!A9100", "Percentage of households earning an income from own production, by challenges experienced broken down by urbanity on the admin of macroregion perc")</f>
        <v>Percentage of households earning an income from own production, by challenges experienced broken down by urbanity on the admin of macroregion perc</v>
      </c>
    </row>
    <row r="544" spans="2:6" x14ac:dyDescent="0.35">
      <c r="B544" t="s">
        <v>48</v>
      </c>
      <c r="C544" t="s">
        <v>125</v>
      </c>
      <c r="D544" t="s">
        <v>59</v>
      </c>
      <c r="E544" s="43">
        <v>876</v>
      </c>
      <c r="F544" s="21" t="str">
        <f>HYPERLINK("#'Data'!A9114", "Percentage of households earning an income from own production, by challenges experienced broken down by household size on the admin of macroregion pe...")</f>
        <v>Percentage of households earning an income from own production, by challenges experienced broken down by household size on the admin of macroregion pe...</v>
      </c>
    </row>
    <row r="545" spans="2:6" x14ac:dyDescent="0.35">
      <c r="B545" t="s">
        <v>48</v>
      </c>
      <c r="C545" t="s">
        <v>125</v>
      </c>
      <c r="D545" t="s">
        <v>60</v>
      </c>
      <c r="E545" s="43">
        <v>877</v>
      </c>
      <c r="F545" s="21" t="str">
        <f>HYPERLINK("#'Data'!A9131", "Percentage of households earning an income from own production, by challenges experienced broken down by income per capita (quartiles) on the admin of...")</f>
        <v>Percentage of households earning an income from own production, by challenges experienced broken down by income per capita (quartiles) on the admin of...</v>
      </c>
    </row>
    <row r="546" spans="2:6" x14ac:dyDescent="0.35">
      <c r="B546" t="s">
        <v>48</v>
      </c>
      <c r="C546" t="s">
        <v>125</v>
      </c>
      <c r="D546" t="s">
        <v>61</v>
      </c>
      <c r="E546" s="43">
        <v>878</v>
      </c>
      <c r="F546" s="21" t="str">
        <f>HYPERLINK("#'Data'!A9155", "Percentage of households earning an income from own production, by challenges experienced broken down by gender of head of household on the admin of m...")</f>
        <v>Percentage of households earning an income from own production, by challenges experienced broken down by gender of head of household on the admin of m...</v>
      </c>
    </row>
    <row r="547" spans="2:6" x14ac:dyDescent="0.35">
      <c r="B547" t="s">
        <v>48</v>
      </c>
      <c r="C547" t="s">
        <v>125</v>
      </c>
      <c r="D547" t="s">
        <v>62</v>
      </c>
      <c r="E547" s="43">
        <v>879</v>
      </c>
      <c r="F547" s="21" t="str">
        <f>HYPERLINK("#'Data'!A9173", "Percentage of households earning an income from own production, by challenges experienced broken down by age of adults in the households on the admin ...")</f>
        <v>Percentage of households earning an income from own production, by challenges experienced broken down by age of adults in the households on the admin ...</v>
      </c>
    </row>
    <row r="548" spans="2:6" x14ac:dyDescent="0.35">
      <c r="B548" t="s">
        <v>48</v>
      </c>
      <c r="C548" t="s">
        <v>125</v>
      </c>
      <c r="D548" t="s">
        <v>76</v>
      </c>
      <c r="E548" s="43">
        <v>880</v>
      </c>
      <c r="F548" s="21" t="str">
        <f>HYPERLINK("#'Data'!A9191", "Percentage of households earning an income from own production, by challenges experienced broken down by households with at least one child (&lt;18 y.o.)...")</f>
        <v>Percentage of households earning an income from own production, by challenges experienced broken down by households with at least one child (&lt;18 y.o.)...</v>
      </c>
    </row>
    <row r="549" spans="2:6" x14ac:dyDescent="0.35">
      <c r="B549" t="s">
        <v>48</v>
      </c>
      <c r="C549" t="s">
        <v>125</v>
      </c>
      <c r="D549" t="s">
        <v>63</v>
      </c>
      <c r="E549" s="43">
        <v>881</v>
      </c>
      <c r="F549" s="21" t="str">
        <f>HYPERLINK("#'Data'!A9204", "Percentage of households earning an income from own production, by challenges experienced broken down by displacement status of head of household on t...")</f>
        <v>Percentage of households earning an income from own production, by challenges experienced broken down by displacement status of head of household on t...</v>
      </c>
    </row>
    <row r="550" spans="2:6" x14ac:dyDescent="0.35">
      <c r="B550" t="s">
        <v>48</v>
      </c>
      <c r="C550" t="s">
        <v>125</v>
      </c>
      <c r="D550" t="s">
        <v>64</v>
      </c>
      <c r="E550" s="43">
        <v>882</v>
      </c>
      <c r="F550" s="21" t="str">
        <f>HYPERLINK("#'Data'!A9223", "Percentage of households earning an income from own production, by challenges experienced broken down by IDP household on the admin of macroregion per...")</f>
        <v>Percentage of households earning an income from own production, by challenges experienced broken down by IDP household on the admin of macroregion per...</v>
      </c>
    </row>
    <row r="551" spans="2:6" x14ac:dyDescent="0.35">
      <c r="B551" t="s">
        <v>48</v>
      </c>
      <c r="C551" t="s">
        <v>125</v>
      </c>
      <c r="D551" t="s">
        <v>65</v>
      </c>
      <c r="E551" s="43">
        <v>883</v>
      </c>
      <c r="F551" s="21" t="str">
        <f>HYPERLINK("#'Data'!A9236", "Percentage of households earning an income from own production, by challenges experienced broken down by proximity to frontline/border with Russian Fe...")</f>
        <v>Percentage of households earning an income from own production, by challenges experienced broken down by proximity to frontline/border with Russian Fe...</v>
      </c>
    </row>
    <row r="552" spans="2:6" x14ac:dyDescent="0.35">
      <c r="B552" t="s">
        <v>48</v>
      </c>
      <c r="C552" t="s">
        <v>125</v>
      </c>
      <c r="D552" t="s">
        <v>77</v>
      </c>
      <c r="E552" s="43">
        <v>884</v>
      </c>
      <c r="F552" s="21" t="str">
        <f>HYPERLINK("#'Data'!A9251", "Percentage of households earning an income from own production, by challenges experienced broken down by caregiving status  on the admin of macroregio...")</f>
        <v>Percentage of households earning an income from own production, by challenges experienced broken down by caregiving status  on the admin of macroregio...</v>
      </c>
    </row>
    <row r="553" spans="2:6" x14ac:dyDescent="0.35">
      <c r="B553" t="s">
        <v>48</v>
      </c>
      <c r="C553" t="s">
        <v>126</v>
      </c>
      <c r="D553" t="s">
        <v>36</v>
      </c>
      <c r="E553" s="43">
        <v>885</v>
      </c>
      <c r="F553" s="21" t="str">
        <f>HYPERLINK("#'Data'!A9267", "Households adopting Livelihood Coping Strategies, by strategy ")</f>
        <v xml:space="preserve">Households adopting Livelihood Coping Strategies, by strategy </v>
      </c>
    </row>
    <row r="554" spans="2:6" x14ac:dyDescent="0.35">
      <c r="B554" t="s">
        <v>48</v>
      </c>
      <c r="C554" t="s">
        <v>127</v>
      </c>
      <c r="D554" t="s">
        <v>36</v>
      </c>
      <c r="E554" s="43">
        <v>895</v>
      </c>
      <c r="F554" s="21" t="str">
        <f>HYPERLINK("#'Data'!A9294", "Households using Livelihood Coping Strategies, by main reason on the admin of macroregion perc")</f>
        <v>Households using Livelihood Coping Strategies, by main reason on the admin of macroregion perc</v>
      </c>
    </row>
    <row r="555" spans="2:6" x14ac:dyDescent="0.35">
      <c r="B555" t="s">
        <v>48</v>
      </c>
      <c r="C555" t="s">
        <v>126</v>
      </c>
      <c r="D555" t="s">
        <v>57</v>
      </c>
      <c r="E555" s="43">
        <v>896</v>
      </c>
      <c r="F555" s="21" t="str">
        <f>HYPERLINK("#'Data'!A9303", "Households adopting Livelihood Coping Strategies, by strategy by households with at least one member with a reported and/or registered disability ")</f>
        <v xml:space="preserve">Households adopting Livelihood Coping Strategies, by strategy by households with at least one member with a reported and/or registered disability </v>
      </c>
    </row>
    <row r="556" spans="2:6" x14ac:dyDescent="0.35">
      <c r="B556" t="s">
        <v>48</v>
      </c>
      <c r="C556" t="s">
        <v>127</v>
      </c>
      <c r="D556" t="s">
        <v>57</v>
      </c>
      <c r="E556" s="43">
        <v>906</v>
      </c>
      <c r="F556" s="21" t="str">
        <f>HYPERLINK("#'Data'!A9349", "Households using Livelihood Coping Strategies, by main reason broken down by households with at least one member with a reported and/or registered dis...")</f>
        <v>Households using Livelihood Coping Strategies, by main reason broken down by households with at least one member with a reported and/or registered dis...</v>
      </c>
    </row>
    <row r="557" spans="2:6" x14ac:dyDescent="0.35">
      <c r="B557" t="s">
        <v>48</v>
      </c>
      <c r="C557" t="s">
        <v>126</v>
      </c>
      <c r="D557" t="s">
        <v>58</v>
      </c>
      <c r="E557" s="43">
        <v>907</v>
      </c>
      <c r="F557" s="21" t="str">
        <f>HYPERLINK("#'Data'!A9363", "Households adopting Livelihood Coping Strategies, by strategy by urbanity ")</f>
        <v xml:space="preserve">Households adopting Livelihood Coping Strategies, by strategy by urbanity </v>
      </c>
    </row>
    <row r="558" spans="2:6" x14ac:dyDescent="0.35">
      <c r="B558" t="s">
        <v>48</v>
      </c>
      <c r="C558" t="s">
        <v>127</v>
      </c>
      <c r="D558" t="s">
        <v>58</v>
      </c>
      <c r="E558" s="43">
        <v>917</v>
      </c>
      <c r="F558" s="21" t="str">
        <f>HYPERLINK("#'Data'!A9409", "Households using Livelihood Coping Strategies, by main reason broken down by urbanity on the admin of macroregion perc")</f>
        <v>Households using Livelihood Coping Strategies, by main reason broken down by urbanity on the admin of macroregion perc</v>
      </c>
    </row>
    <row r="559" spans="2:6" x14ac:dyDescent="0.35">
      <c r="B559" t="s">
        <v>48</v>
      </c>
      <c r="C559" t="s">
        <v>126</v>
      </c>
      <c r="D559" t="s">
        <v>59</v>
      </c>
      <c r="E559" s="43">
        <v>918</v>
      </c>
      <c r="F559" s="21" t="str">
        <f>HYPERLINK("#'Data'!A9423", "Households adopting Livelihood Coping Strategies, by strategy by household size ")</f>
        <v xml:space="preserve">Households adopting Livelihood Coping Strategies, by strategy by household size </v>
      </c>
    </row>
    <row r="560" spans="2:6" x14ac:dyDescent="0.35">
      <c r="B560" t="s">
        <v>48</v>
      </c>
      <c r="C560" t="s">
        <v>127</v>
      </c>
      <c r="D560" t="s">
        <v>59</v>
      </c>
      <c r="E560" s="43">
        <v>928</v>
      </c>
      <c r="F560" s="21" t="str">
        <f>HYPERLINK("#'Data'!A9484", "Households using Livelihood Coping Strategies, by main reason broken down by household size on the admin of macroregion perc")</f>
        <v>Households using Livelihood Coping Strategies, by main reason broken down by household size on the admin of macroregion perc</v>
      </c>
    </row>
    <row r="561" spans="2:6" x14ac:dyDescent="0.35">
      <c r="B561" t="s">
        <v>48</v>
      </c>
      <c r="C561" t="s">
        <v>126</v>
      </c>
      <c r="D561" t="s">
        <v>60</v>
      </c>
      <c r="E561" s="43">
        <v>929</v>
      </c>
      <c r="F561" s="21" t="str">
        <f>HYPERLINK("#'Data'!A9503", "Households adopting Livelihood Coping Strategies, by strategy by income per capita (quartiles) ")</f>
        <v xml:space="preserve">Households adopting Livelihood Coping Strategies, by strategy by income per capita (quartiles) </v>
      </c>
    </row>
    <row r="562" spans="2:6" x14ac:dyDescent="0.35">
      <c r="B562" t="s">
        <v>48</v>
      </c>
      <c r="C562" t="s">
        <v>127</v>
      </c>
      <c r="D562" t="s">
        <v>60</v>
      </c>
      <c r="E562" s="43">
        <v>939</v>
      </c>
      <c r="F562" s="21" t="str">
        <f>HYPERLINK("#'Data'!A9582", "Households using Livelihood Coping Strategies, by main reason broken down by income per capita (quartiles) on the admin of macroregion perc")</f>
        <v>Households using Livelihood Coping Strategies, by main reason broken down by income per capita (quartiles) on the admin of macroregion perc</v>
      </c>
    </row>
    <row r="563" spans="2:6" x14ac:dyDescent="0.35">
      <c r="B563" t="s">
        <v>48</v>
      </c>
      <c r="C563" t="s">
        <v>126</v>
      </c>
      <c r="D563" t="s">
        <v>61</v>
      </c>
      <c r="E563" s="43">
        <v>940</v>
      </c>
      <c r="F563" s="21" t="str">
        <f>HYPERLINK("#'Data'!A9606", "Households adopting Livelihood Coping Strategies, by strategy by gender of head of household ")</f>
        <v xml:space="preserve">Households adopting Livelihood Coping Strategies, by strategy by gender of head of household </v>
      </c>
    </row>
    <row r="564" spans="2:6" x14ac:dyDescent="0.35">
      <c r="B564" t="s">
        <v>48</v>
      </c>
      <c r="C564" t="s">
        <v>127</v>
      </c>
      <c r="D564" t="s">
        <v>61</v>
      </c>
      <c r="E564" s="43">
        <v>950</v>
      </c>
      <c r="F564" s="21" t="str">
        <f>HYPERLINK("#'Data'!A9670", "Households using Livelihood Coping Strategies, by main reason broken down by gender of head of household on the admin of macroregion perc")</f>
        <v>Households using Livelihood Coping Strategies, by main reason broken down by gender of head of household on the admin of macroregion perc</v>
      </c>
    </row>
    <row r="565" spans="2:6" x14ac:dyDescent="0.35">
      <c r="B565" t="s">
        <v>48</v>
      </c>
      <c r="C565" t="s">
        <v>126</v>
      </c>
      <c r="D565" t="s">
        <v>62</v>
      </c>
      <c r="E565" s="43">
        <v>951</v>
      </c>
      <c r="F565" s="21" t="str">
        <f>HYPERLINK("#'Data'!A9690", "Households adopting Livelihood Coping Strategies, by strategy by age of adults in the households ")</f>
        <v xml:space="preserve">Households adopting Livelihood Coping Strategies, by strategy by age of adults in the households </v>
      </c>
    </row>
    <row r="566" spans="2:6" x14ac:dyDescent="0.35">
      <c r="B566" t="s">
        <v>48</v>
      </c>
      <c r="C566" t="s">
        <v>127</v>
      </c>
      <c r="D566" t="s">
        <v>62</v>
      </c>
      <c r="E566" s="43">
        <v>961</v>
      </c>
      <c r="F566" s="21" t="str">
        <f>HYPERLINK("#'Data'!A9752", "Households using Livelihood Coping Strategies, by main reason broken down by age of adults in the households on the admin of macroregion perc")</f>
        <v>Households using Livelihood Coping Strategies, by main reason broken down by age of adults in the households on the admin of macroregion perc</v>
      </c>
    </row>
    <row r="567" spans="2:6" x14ac:dyDescent="0.35">
      <c r="B567" t="s">
        <v>48</v>
      </c>
      <c r="C567" t="s">
        <v>126</v>
      </c>
      <c r="D567" t="s">
        <v>76</v>
      </c>
      <c r="E567" s="43">
        <v>962</v>
      </c>
      <c r="F567" s="21" t="str">
        <f>HYPERLINK("#'Data'!A9771", "Households adopting Livelihood Coping Strategies, by strategy by households with at least one child (&lt;18 y.o.) ")</f>
        <v xml:space="preserve">Households adopting Livelihood Coping Strategies, by strategy by households with at least one child (&lt;18 y.o.) </v>
      </c>
    </row>
    <row r="568" spans="2:6" x14ac:dyDescent="0.35">
      <c r="B568" t="s">
        <v>48</v>
      </c>
      <c r="C568" t="s">
        <v>127</v>
      </c>
      <c r="D568" t="s">
        <v>76</v>
      </c>
      <c r="E568" s="43">
        <v>972</v>
      </c>
      <c r="F568" s="21" t="str">
        <f>HYPERLINK("#'Data'!A9817", "Households using Livelihood Coping Strategies, by main reason broken down by households with at least one child (&lt;18 y.o.) on the admin of macroregion...")</f>
        <v>Households using Livelihood Coping Strategies, by main reason broken down by households with at least one child (&lt;18 y.o.) on the admin of macroregion...</v>
      </c>
    </row>
    <row r="569" spans="2:6" x14ac:dyDescent="0.35">
      <c r="B569" t="s">
        <v>48</v>
      </c>
      <c r="C569" t="s">
        <v>126</v>
      </c>
      <c r="D569" t="s">
        <v>63</v>
      </c>
      <c r="E569" s="43">
        <v>973</v>
      </c>
      <c r="F569" s="21" t="str">
        <f>HYPERLINK("#'Data'!A9831", "Households adopting Livelihood Coping Strategies, by strategy by displacement status of head of household ")</f>
        <v xml:space="preserve">Households adopting Livelihood Coping Strategies, by strategy by displacement status of head of household </v>
      </c>
    </row>
    <row r="570" spans="2:6" x14ac:dyDescent="0.35">
      <c r="B570" t="s">
        <v>48</v>
      </c>
      <c r="C570" t="s">
        <v>127</v>
      </c>
      <c r="D570" t="s">
        <v>63</v>
      </c>
      <c r="E570" s="43">
        <v>983</v>
      </c>
      <c r="F570" s="21" t="str">
        <f>HYPERLINK("#'Data'!A9906", "Households using Livelihood Coping Strategies, by main reason broken down by displacement status of head of household on the admin of macroregion perc")</f>
        <v>Households using Livelihood Coping Strategies, by main reason broken down by displacement status of head of household on the admin of macroregion perc</v>
      </c>
    </row>
    <row r="571" spans="2:6" x14ac:dyDescent="0.35">
      <c r="B571" t="s">
        <v>48</v>
      </c>
      <c r="C571" t="s">
        <v>126</v>
      </c>
      <c r="D571" t="s">
        <v>64</v>
      </c>
      <c r="E571" s="43">
        <v>984</v>
      </c>
      <c r="F571" s="21" t="str">
        <f>HYPERLINK("#'Data'!A9932", "Households adopting Livelihood Coping Strategies, by strategy by IDP household ")</f>
        <v xml:space="preserve">Households adopting Livelihood Coping Strategies, by strategy by IDP household </v>
      </c>
    </row>
    <row r="572" spans="2:6" x14ac:dyDescent="0.35">
      <c r="B572" t="s">
        <v>48</v>
      </c>
      <c r="C572" t="s">
        <v>127</v>
      </c>
      <c r="D572" t="s">
        <v>64</v>
      </c>
      <c r="E572" s="43">
        <v>994</v>
      </c>
      <c r="F572" s="21" t="str">
        <f>HYPERLINK("#'Data'!A9977", "Households using Livelihood Coping Strategies, by main reason broken down by IDP household on the admin of macroregion perc")</f>
        <v>Households using Livelihood Coping Strategies, by main reason broken down by IDP household on the admin of macroregion perc</v>
      </c>
    </row>
    <row r="573" spans="2:6" x14ac:dyDescent="0.35">
      <c r="B573" t="s">
        <v>48</v>
      </c>
      <c r="C573" t="s">
        <v>126</v>
      </c>
      <c r="D573" t="s">
        <v>65</v>
      </c>
      <c r="E573" s="43">
        <v>995</v>
      </c>
      <c r="F573" s="21" t="str">
        <f>HYPERLINK("#'Data'!A9991", "Households adopting Livelihood Coping Strategies, by strategy by proximity to frontline/border with Russian Federation ")</f>
        <v xml:space="preserve">Households adopting Livelihood Coping Strategies, by strategy by proximity to frontline/border with Russian Federation </v>
      </c>
    </row>
    <row r="574" spans="2:6" x14ac:dyDescent="0.35">
      <c r="B574" t="s">
        <v>48</v>
      </c>
      <c r="C574" t="s">
        <v>127</v>
      </c>
      <c r="D574" t="s">
        <v>65</v>
      </c>
      <c r="E574" s="43">
        <v>1005</v>
      </c>
      <c r="F574" s="21" t="str">
        <f>HYPERLINK("#'Data'!A10040", "Households using Livelihood Coping Strategies, by main reason broken down by proximity to frontline/border with Russian Federation on the admin of mac...")</f>
        <v>Households using Livelihood Coping Strategies, by main reason broken down by proximity to frontline/border with Russian Federation on the admin of mac...</v>
      </c>
    </row>
    <row r="575" spans="2:6" x14ac:dyDescent="0.35">
      <c r="B575" t="s">
        <v>48</v>
      </c>
      <c r="C575" t="s">
        <v>126</v>
      </c>
      <c r="D575" t="s">
        <v>77</v>
      </c>
      <c r="E575" s="43">
        <v>1006</v>
      </c>
      <c r="F575" s="21" t="str">
        <f>HYPERLINK("#'Data'!A10055", "Households adopting Livelihood Coping Strategies, by strategy by caregiving status  ")</f>
        <v xml:space="preserve">Households adopting Livelihood Coping Strategies, by strategy by caregiving status  </v>
      </c>
    </row>
    <row r="576" spans="2:6" x14ac:dyDescent="0.35">
      <c r="B576" t="s">
        <v>48</v>
      </c>
      <c r="C576" t="s">
        <v>127</v>
      </c>
      <c r="D576" t="s">
        <v>77</v>
      </c>
      <c r="E576" s="43">
        <v>1016</v>
      </c>
      <c r="F576" s="21" t="str">
        <f>HYPERLINK("#'Data'!A10120", "Households using Livelihood Coping Strategies, by main reason broken down by caregiving status  on the admin of macroregion perc")</f>
        <v>Households using Livelihood Coping Strategies, by main reason broken down by caregiving status  on the admin of macroregion perc</v>
      </c>
    </row>
    <row r="577" spans="2:6" x14ac:dyDescent="0.35">
      <c r="B577" t="s">
        <v>48</v>
      </c>
      <c r="C577" t="s">
        <v>128</v>
      </c>
      <c r="D577" t="s">
        <v>36</v>
      </c>
      <c r="E577" s="43">
        <v>1017</v>
      </c>
      <c r="F577" s="21" t="str">
        <f>HYPERLINK("#'Data'!A10142", "Livelihood Coping Strategy - Essential Needs (LCS-EN) on the admin of macroregion perc")</f>
        <v>Livelihood Coping Strategy - Essential Needs (LCS-EN) on the admin of macroregion perc</v>
      </c>
    </row>
    <row r="578" spans="2:6" x14ac:dyDescent="0.35">
      <c r="B578" t="s">
        <v>48</v>
      </c>
      <c r="C578" t="s">
        <v>128</v>
      </c>
      <c r="D578" t="s">
        <v>57</v>
      </c>
      <c r="E578" s="43">
        <v>1018</v>
      </c>
      <c r="F578" s="21" t="str">
        <f>HYPERLINK("#'Data'!A10151", "Livelihood Coping Strategy - Essential Needs (LCS-EN) broken down by households with at least one member with a reported and/or registered disability ...")</f>
        <v>Livelihood Coping Strategy - Essential Needs (LCS-EN) broken down by households with at least one member with a reported and/or registered disability ...</v>
      </c>
    </row>
    <row r="579" spans="2:6" x14ac:dyDescent="0.35">
      <c r="B579" t="s">
        <v>48</v>
      </c>
      <c r="C579" t="s">
        <v>128</v>
      </c>
      <c r="D579" t="s">
        <v>58</v>
      </c>
      <c r="E579" s="43">
        <v>1019</v>
      </c>
      <c r="F579" s="21" t="str">
        <f>HYPERLINK("#'Data'!A10165", "Livelihood Coping Strategy - Essential Needs (LCS-EN) broken down by urbanity on the admin of macroregion perc")</f>
        <v>Livelihood Coping Strategy - Essential Needs (LCS-EN) broken down by urbanity on the admin of macroregion perc</v>
      </c>
    </row>
    <row r="580" spans="2:6" x14ac:dyDescent="0.35">
      <c r="B580" t="s">
        <v>48</v>
      </c>
      <c r="C580" t="s">
        <v>128</v>
      </c>
      <c r="D580" t="s">
        <v>59</v>
      </c>
      <c r="E580" s="43">
        <v>1020</v>
      </c>
      <c r="F580" s="21" t="str">
        <f>HYPERLINK("#'Data'!A10179", "Livelihood Coping Strategy - Essential Needs (LCS-EN) broken down by household size on the admin of macroregion perc")</f>
        <v>Livelihood Coping Strategy - Essential Needs (LCS-EN) broken down by household size on the admin of macroregion perc</v>
      </c>
    </row>
    <row r="581" spans="2:6" x14ac:dyDescent="0.35">
      <c r="B581" t="s">
        <v>48</v>
      </c>
      <c r="C581" t="s">
        <v>128</v>
      </c>
      <c r="D581" t="s">
        <v>60</v>
      </c>
      <c r="E581" s="43">
        <v>1021</v>
      </c>
      <c r="F581" s="21" t="str">
        <f>HYPERLINK("#'Data'!A10198", "Livelihood Coping Strategy - Essential Needs (LCS-EN) broken down by income per capita (quartiles) on the admin of macroregion perc")</f>
        <v>Livelihood Coping Strategy - Essential Needs (LCS-EN) broken down by income per capita (quartiles) on the admin of macroregion perc</v>
      </c>
    </row>
    <row r="582" spans="2:6" x14ac:dyDescent="0.35">
      <c r="B582" t="s">
        <v>48</v>
      </c>
      <c r="C582" t="s">
        <v>128</v>
      </c>
      <c r="D582" t="s">
        <v>61</v>
      </c>
      <c r="E582" s="43">
        <v>1022</v>
      </c>
      <c r="F582" s="21" t="str">
        <f>HYPERLINK("#'Data'!A10222", "Livelihood Coping Strategy - Essential Needs (LCS-EN) broken down by gender of head of household on the admin of macroregion perc")</f>
        <v>Livelihood Coping Strategy - Essential Needs (LCS-EN) broken down by gender of head of household on the admin of macroregion perc</v>
      </c>
    </row>
    <row r="583" spans="2:6" x14ac:dyDescent="0.35">
      <c r="B583" t="s">
        <v>48</v>
      </c>
      <c r="C583" t="s">
        <v>128</v>
      </c>
      <c r="D583" t="s">
        <v>62</v>
      </c>
      <c r="E583" s="43">
        <v>1023</v>
      </c>
      <c r="F583" s="21" t="str">
        <f>HYPERLINK("#'Data'!A10242", "Livelihood Coping Strategy - Essential Needs (LCS-EN) broken down by age of adults in the households on the admin of macroregion perc")</f>
        <v>Livelihood Coping Strategy - Essential Needs (LCS-EN) broken down by age of adults in the households on the admin of macroregion perc</v>
      </c>
    </row>
    <row r="584" spans="2:6" x14ac:dyDescent="0.35">
      <c r="B584" t="s">
        <v>48</v>
      </c>
      <c r="C584" t="s">
        <v>128</v>
      </c>
      <c r="D584" t="s">
        <v>76</v>
      </c>
      <c r="E584" s="43">
        <v>1024</v>
      </c>
      <c r="F584" s="21" t="str">
        <f>HYPERLINK("#'Data'!A10261", "Livelihood Coping Strategy - Essential Needs (LCS-EN) broken down by households with at least one child (&lt;18 y.o.) on the admin of macroregion perc")</f>
        <v>Livelihood Coping Strategy - Essential Needs (LCS-EN) broken down by households with at least one child (&lt;18 y.o.) on the admin of macroregion perc</v>
      </c>
    </row>
    <row r="585" spans="2:6" x14ac:dyDescent="0.35">
      <c r="B585" t="s">
        <v>48</v>
      </c>
      <c r="C585" t="s">
        <v>128</v>
      </c>
      <c r="D585" t="s">
        <v>63</v>
      </c>
      <c r="E585" s="43">
        <v>1025</v>
      </c>
      <c r="F585" s="21" t="str">
        <f>HYPERLINK("#'Data'!A10275", "Livelihood Coping Strategy - Essential Needs (LCS-EN) broken down by displacement status of head of household on the admin of macroregion perc")</f>
        <v>Livelihood Coping Strategy - Essential Needs (LCS-EN) broken down by displacement status of head of household on the admin of macroregion perc</v>
      </c>
    </row>
    <row r="586" spans="2:6" x14ac:dyDescent="0.35">
      <c r="B586" t="s">
        <v>48</v>
      </c>
      <c r="C586" t="s">
        <v>128</v>
      </c>
      <c r="D586" t="s">
        <v>64</v>
      </c>
      <c r="E586" s="43">
        <v>1026</v>
      </c>
      <c r="F586" s="21" t="str">
        <f>HYPERLINK("#'Data'!A10302", "Livelihood Coping Strategy - Essential Needs (LCS-EN) broken down by IDP household on the admin of macroregion perc")</f>
        <v>Livelihood Coping Strategy - Essential Needs (LCS-EN) broken down by IDP household on the admin of macroregion perc</v>
      </c>
    </row>
    <row r="587" spans="2:6" x14ac:dyDescent="0.35">
      <c r="B587" t="s">
        <v>48</v>
      </c>
      <c r="C587" t="s">
        <v>128</v>
      </c>
      <c r="D587" t="s">
        <v>65</v>
      </c>
      <c r="E587" s="43">
        <v>1027</v>
      </c>
      <c r="F587" s="21" t="str">
        <f>HYPERLINK("#'Data'!A10316", "Livelihood Coping Strategy - Essential Needs (LCS-EN) broken down by proximity to frontline/border with Russian Federation on the admin of macroregion...")</f>
        <v>Livelihood Coping Strategy - Essential Needs (LCS-EN) broken down by proximity to frontline/border with Russian Federation on the admin of macroregion...</v>
      </c>
    </row>
    <row r="588" spans="2:6" x14ac:dyDescent="0.35">
      <c r="B588" t="s">
        <v>48</v>
      </c>
      <c r="C588" t="s">
        <v>128</v>
      </c>
      <c r="D588" t="s">
        <v>77</v>
      </c>
      <c r="E588" s="43">
        <v>1028</v>
      </c>
      <c r="F588" s="21" t="str">
        <f>HYPERLINK("#'Data'!A10331", "Livelihood Coping Strategy - Essential Needs (LCS-EN) broken down by caregiving status  on the admin of macroregion perc")</f>
        <v>Livelihood Coping Strategy - Essential Needs (LCS-EN) broken down by caregiving status  on the admin of macroregion perc</v>
      </c>
    </row>
    <row r="589" spans="2:6" x14ac:dyDescent="0.35">
      <c r="B589" t="s">
        <v>129</v>
      </c>
      <c r="C589" t="s">
        <v>130</v>
      </c>
      <c r="D589" t="s">
        <v>36</v>
      </c>
      <c r="E589" s="43">
        <v>1029</v>
      </c>
      <c r="F589" s="21" t="str">
        <f>HYPERLINK("#'Data'!A10353", "Households exposed to armed violence/artillery shelling in the last 3 months on the admin of macroregion perc")</f>
        <v>Households exposed to armed violence/artillery shelling in the last 3 months on the admin of macroregion perc</v>
      </c>
    </row>
    <row r="590" spans="2:6" x14ac:dyDescent="0.35">
      <c r="B590" t="s">
        <v>129</v>
      </c>
      <c r="C590" t="s">
        <v>130</v>
      </c>
      <c r="D590" t="s">
        <v>57</v>
      </c>
      <c r="E590" s="43">
        <v>1030</v>
      </c>
      <c r="F590" s="21" t="str">
        <f>HYPERLINK("#'Data'!A10362", "Households exposed to armed violence/artillery shelling in the last 3 months broken down by households with at least one member with a reported and/or...")</f>
        <v>Households exposed to armed violence/artillery shelling in the last 3 months broken down by households with at least one member with a reported and/or...</v>
      </c>
    </row>
    <row r="591" spans="2:6" x14ac:dyDescent="0.35">
      <c r="B591" t="s">
        <v>129</v>
      </c>
      <c r="C591" t="s">
        <v>130</v>
      </c>
      <c r="D591" t="s">
        <v>58</v>
      </c>
      <c r="E591" s="43">
        <v>1031</v>
      </c>
      <c r="F591" s="21" t="str">
        <f>HYPERLINK("#'Data'!A10376", "Households exposed to armed violence/artillery shelling in the last 3 months broken down by urbanity on the admin of macroregion perc")</f>
        <v>Households exposed to armed violence/artillery shelling in the last 3 months broken down by urbanity on the admin of macroregion perc</v>
      </c>
    </row>
    <row r="592" spans="2:6" x14ac:dyDescent="0.35">
      <c r="B592" t="s">
        <v>129</v>
      </c>
      <c r="C592" t="s">
        <v>130</v>
      </c>
      <c r="D592" t="s">
        <v>59</v>
      </c>
      <c r="E592" s="43">
        <v>1032</v>
      </c>
      <c r="F592" s="21" t="str">
        <f>HYPERLINK("#'Data'!A10390", "Households exposed to armed violence/artillery shelling in the last 3 months broken down by household size on the admin of macroregion perc")</f>
        <v>Households exposed to armed violence/artillery shelling in the last 3 months broken down by household size on the admin of macroregion perc</v>
      </c>
    </row>
    <row r="593" spans="2:6" x14ac:dyDescent="0.35">
      <c r="B593" t="s">
        <v>129</v>
      </c>
      <c r="C593" t="s">
        <v>130</v>
      </c>
      <c r="D593" t="s">
        <v>60</v>
      </c>
      <c r="E593" s="43">
        <v>1033</v>
      </c>
      <c r="F593" s="21" t="str">
        <f>HYPERLINK("#'Data'!A10409", "Households exposed to armed violence/artillery shelling in the last 3 months broken down by income per capita (quartiles) on the admin of macroregion ...")</f>
        <v>Households exposed to armed violence/artillery shelling in the last 3 months broken down by income per capita (quartiles) on the admin of macroregion ...</v>
      </c>
    </row>
    <row r="594" spans="2:6" x14ac:dyDescent="0.35">
      <c r="B594" t="s">
        <v>129</v>
      </c>
      <c r="C594" t="s">
        <v>130</v>
      </c>
      <c r="D594" t="s">
        <v>61</v>
      </c>
      <c r="E594" s="43">
        <v>1034</v>
      </c>
      <c r="F594" s="21" t="str">
        <f>HYPERLINK("#'Data'!A10433", "Households exposed to armed violence/artillery shelling in the last 3 months broken down by gender of head of household on the admin of macroregion pe...")</f>
        <v>Households exposed to armed violence/artillery shelling in the last 3 months broken down by gender of head of household on the admin of macroregion pe...</v>
      </c>
    </row>
    <row r="595" spans="2:6" x14ac:dyDescent="0.35">
      <c r="B595" t="s">
        <v>129</v>
      </c>
      <c r="C595" t="s">
        <v>130</v>
      </c>
      <c r="D595" t="s">
        <v>62</v>
      </c>
      <c r="E595" s="43">
        <v>1035</v>
      </c>
      <c r="F595" s="21" t="str">
        <f>HYPERLINK("#'Data'!A10453", "Households exposed to armed violence/artillery shelling in the last 3 months broken down by age of adults in the households on the admin of macroregio...")</f>
        <v>Households exposed to armed violence/artillery shelling in the last 3 months broken down by age of adults in the households on the admin of macroregio...</v>
      </c>
    </row>
    <row r="596" spans="2:6" x14ac:dyDescent="0.35">
      <c r="B596" t="s">
        <v>129</v>
      </c>
      <c r="C596" t="s">
        <v>130</v>
      </c>
      <c r="D596" t="s">
        <v>76</v>
      </c>
      <c r="E596" s="43">
        <v>1036</v>
      </c>
      <c r="F596" s="21" t="str">
        <f>HYPERLINK("#'Data'!A10472", "Households exposed to armed violence/artillery shelling in the last 3 months broken down by households with at least one child (&lt;18 y.o.) on the admin...")</f>
        <v>Households exposed to armed violence/artillery shelling in the last 3 months broken down by households with at least one child (&lt;18 y.o.) on the admin...</v>
      </c>
    </row>
    <row r="597" spans="2:6" x14ac:dyDescent="0.35">
      <c r="B597" t="s">
        <v>129</v>
      </c>
      <c r="C597" t="s">
        <v>130</v>
      </c>
      <c r="D597" t="s">
        <v>63</v>
      </c>
      <c r="E597" s="43">
        <v>1037</v>
      </c>
      <c r="F597" s="21" t="str">
        <f>HYPERLINK("#'Data'!A10486", "Households exposed to armed violence/artillery shelling in the last 3 months broken down by displacement status of head of household on the admin of m...")</f>
        <v>Households exposed to armed violence/artillery shelling in the last 3 months broken down by displacement status of head of household on the admin of m...</v>
      </c>
    </row>
    <row r="598" spans="2:6" x14ac:dyDescent="0.35">
      <c r="B598" t="s">
        <v>129</v>
      </c>
      <c r="C598" t="s">
        <v>130</v>
      </c>
      <c r="D598" t="s">
        <v>64</v>
      </c>
      <c r="E598" s="43">
        <v>1038</v>
      </c>
      <c r="F598" s="21" t="str">
        <f>HYPERLINK("#'Data'!A10513", "Households exposed to armed violence/artillery shelling in the last 3 months broken down by IDP household on the admin of macroregion perc")</f>
        <v>Households exposed to armed violence/artillery shelling in the last 3 months broken down by IDP household on the admin of macroregion perc</v>
      </c>
    </row>
    <row r="599" spans="2:6" x14ac:dyDescent="0.35">
      <c r="B599" t="s">
        <v>129</v>
      </c>
      <c r="C599" t="s">
        <v>130</v>
      </c>
      <c r="D599" t="s">
        <v>65</v>
      </c>
      <c r="E599" s="43">
        <v>1039</v>
      </c>
      <c r="F599" s="21" t="str">
        <f>HYPERLINK("#'Data'!A10527", "Households exposed to armed violence/artillery shelling in the last 3 months broken down by proximity to frontline/border with Russian Federation on t...")</f>
        <v>Households exposed to armed violence/artillery shelling in the last 3 months broken down by proximity to frontline/border with Russian Federation on t...</v>
      </c>
    </row>
    <row r="600" spans="2:6" x14ac:dyDescent="0.35">
      <c r="B600" t="s">
        <v>129</v>
      </c>
      <c r="C600" t="s">
        <v>130</v>
      </c>
      <c r="D600" t="s">
        <v>77</v>
      </c>
      <c r="E600" s="43">
        <v>1040</v>
      </c>
      <c r="F600" s="21" t="str">
        <f>HYPERLINK("#'Data'!A10542", "Households exposed to armed violence/artillery shelling in the last 3 months broken down by caregiving status  on the admin of macroregion perc")</f>
        <v>Households exposed to armed violence/artillery shelling in the last 3 months broken down by caregiving status  on the admin of macroregion perc</v>
      </c>
    </row>
    <row r="601" spans="2:6" x14ac:dyDescent="0.35">
      <c r="B601" t="s">
        <v>129</v>
      </c>
      <c r="C601" t="s">
        <v>130</v>
      </c>
      <c r="D601" t="s">
        <v>131</v>
      </c>
      <c r="E601" s="43">
        <v>1041</v>
      </c>
      <c r="F601" s="21" t="str">
        <f>HYPERLINK("#'Data'!A10564", "Households exposed to armed violence/artillery shelling in the last 3 months broken down by gender of respondent on the admin of macroregion perc")</f>
        <v>Households exposed to armed violence/artillery shelling in the last 3 months broken down by gender of respondent on the admin of macroregion perc</v>
      </c>
    </row>
    <row r="602" spans="2:6" x14ac:dyDescent="0.35">
      <c r="B602" t="s">
        <v>129</v>
      </c>
      <c r="C602" t="s">
        <v>130</v>
      </c>
      <c r="D602" t="s">
        <v>132</v>
      </c>
      <c r="E602" s="43">
        <v>1042</v>
      </c>
      <c r="F602" s="21" t="str">
        <f>HYPERLINK("#'Data'!A10580", "Households exposed to armed violence/artillery shelling in the last 3 months broken down by age of respondents on the admin of macroregion perc")</f>
        <v>Households exposed to armed violence/artillery shelling in the last 3 months broken down by age of respondents on the admin of macroregion perc</v>
      </c>
    </row>
    <row r="603" spans="2:6" x14ac:dyDescent="0.35">
      <c r="B603" t="s">
        <v>129</v>
      </c>
      <c r="C603" t="s">
        <v>130</v>
      </c>
      <c r="D603" t="s">
        <v>133</v>
      </c>
      <c r="E603" s="43">
        <v>1043</v>
      </c>
      <c r="F603" s="21" t="str">
        <f>HYPERLINK("#'Data'!A10604", "Households exposed to armed violence/artillery shelling in the last 3 months broken down by gender and age of respondents on the admin of macroregion ...")</f>
        <v>Households exposed to armed violence/artillery shelling in the last 3 months broken down by gender and age of respondents on the admin of macroregion ...</v>
      </c>
    </row>
    <row r="604" spans="2:6" x14ac:dyDescent="0.35">
      <c r="B604" t="s">
        <v>129</v>
      </c>
      <c r="C604" t="s">
        <v>134</v>
      </c>
      <c r="D604" t="s">
        <v>36</v>
      </c>
      <c r="E604" s="43">
        <v>1044</v>
      </c>
      <c r="F604" s="21" t="str">
        <f>HYPERLINK("#'Data'!A10650", "Households exposed to armed violence/artillery shelling in the last 3 months, by frequency  on the admin of macroregion perc")</f>
        <v>Households exposed to armed violence/artillery shelling in the last 3 months, by frequency  on the admin of macroregion perc</v>
      </c>
    </row>
    <row r="605" spans="2:6" x14ac:dyDescent="0.35">
      <c r="B605" t="s">
        <v>129</v>
      </c>
      <c r="C605" t="s">
        <v>134</v>
      </c>
      <c r="D605" t="s">
        <v>57</v>
      </c>
      <c r="E605" s="43">
        <v>1045</v>
      </c>
      <c r="F605" s="21" t="str">
        <f>HYPERLINK("#'Data'!A10657", "Households exposed to armed violence/artillery shelling in the last 3 months, by frequency  broken down by households with at least one member with a ...")</f>
        <v>Households exposed to armed violence/artillery shelling in the last 3 months, by frequency  broken down by households with at least one member with a ...</v>
      </c>
    </row>
    <row r="606" spans="2:6" x14ac:dyDescent="0.35">
      <c r="B606" t="s">
        <v>129</v>
      </c>
      <c r="C606" t="s">
        <v>134</v>
      </c>
      <c r="D606" t="s">
        <v>58</v>
      </c>
      <c r="E606" s="43">
        <v>1046</v>
      </c>
      <c r="F606" s="21" t="str">
        <f>HYPERLINK("#'Data'!A10667", "Households exposed to armed violence/artillery shelling in the last 3 months, by frequency  broken down by urbanity on the admin of macroregion perc")</f>
        <v>Households exposed to armed violence/artillery shelling in the last 3 months, by frequency  broken down by urbanity on the admin of macroregion perc</v>
      </c>
    </row>
    <row r="607" spans="2:6" x14ac:dyDescent="0.35">
      <c r="B607" t="s">
        <v>129</v>
      </c>
      <c r="C607" t="s">
        <v>134</v>
      </c>
      <c r="D607" t="s">
        <v>59</v>
      </c>
      <c r="E607" s="43">
        <v>1047</v>
      </c>
      <c r="F607" s="21" t="str">
        <f>HYPERLINK("#'Data'!A10677", "Households exposed to armed violence/artillery shelling in the last 3 months, by frequency  broken down by household size on the admin of macroregion ...")</f>
        <v>Households exposed to armed violence/artillery shelling in the last 3 months, by frequency  broken down by household size on the admin of macroregion ...</v>
      </c>
    </row>
    <row r="608" spans="2:6" x14ac:dyDescent="0.35">
      <c r="B608" t="s">
        <v>129</v>
      </c>
      <c r="C608" t="s">
        <v>134</v>
      </c>
      <c r="D608" t="s">
        <v>60</v>
      </c>
      <c r="E608" s="43">
        <v>1048</v>
      </c>
      <c r="F608" s="21" t="str">
        <f>HYPERLINK("#'Data'!A10690", "Households exposed to armed violence/artillery shelling in the last 3 months, by frequency  broken down by income per capita (quartiles) on the admin ...")</f>
        <v>Households exposed to armed violence/artillery shelling in the last 3 months, by frequency  broken down by income per capita (quartiles) on the admin ...</v>
      </c>
    </row>
    <row r="609" spans="2:6" x14ac:dyDescent="0.35">
      <c r="B609" t="s">
        <v>129</v>
      </c>
      <c r="C609" t="s">
        <v>134</v>
      </c>
      <c r="D609" t="s">
        <v>61</v>
      </c>
      <c r="E609" s="43">
        <v>1049</v>
      </c>
      <c r="F609" s="21" t="str">
        <f>HYPERLINK("#'Data'!A10706", "Households exposed to armed violence/artillery shelling in the last 3 months, by frequency  broken down by gender of head of household on the admin of...")</f>
        <v>Households exposed to armed violence/artillery shelling in the last 3 months, by frequency  broken down by gender of head of household on the admin of...</v>
      </c>
    </row>
    <row r="610" spans="2:6" x14ac:dyDescent="0.35">
      <c r="B610" t="s">
        <v>129</v>
      </c>
      <c r="C610" t="s">
        <v>134</v>
      </c>
      <c r="D610" t="s">
        <v>62</v>
      </c>
      <c r="E610" s="43">
        <v>1050</v>
      </c>
      <c r="F610" s="21" t="str">
        <f>HYPERLINK("#'Data'!A10720", "Households exposed to armed violence/artillery shelling in the last 3 months, by frequency  broken down by age of adults in the households on the admi...")</f>
        <v>Households exposed to armed violence/artillery shelling in the last 3 months, by frequency  broken down by age of adults in the households on the admi...</v>
      </c>
    </row>
    <row r="611" spans="2:6" x14ac:dyDescent="0.35">
      <c r="B611" t="s">
        <v>129</v>
      </c>
      <c r="C611" t="s">
        <v>134</v>
      </c>
      <c r="D611" t="s">
        <v>76</v>
      </c>
      <c r="E611" s="43">
        <v>1051</v>
      </c>
      <c r="F611" s="21" t="str">
        <f>HYPERLINK("#'Data'!A10733", "Households exposed to armed violence/artillery shelling in the last 3 months, by frequency  broken down by households with at least one child (&lt;18 y.o...")</f>
        <v>Households exposed to armed violence/artillery shelling in the last 3 months, by frequency  broken down by households with at least one child (&lt;18 y.o...</v>
      </c>
    </row>
    <row r="612" spans="2:6" x14ac:dyDescent="0.35">
      <c r="B612" t="s">
        <v>129</v>
      </c>
      <c r="C612" t="s">
        <v>134</v>
      </c>
      <c r="D612" t="s">
        <v>63</v>
      </c>
      <c r="E612" s="43">
        <v>1052</v>
      </c>
      <c r="F612" s="21" t="str">
        <f>HYPERLINK("#'Data'!A10743", "Households exposed to armed violence/artillery shelling in the last 3 months, by frequency  broken down by displacement status of head of household on...")</f>
        <v>Households exposed to armed violence/artillery shelling in the last 3 months, by frequency  broken down by displacement status of head of household on...</v>
      </c>
    </row>
    <row r="613" spans="2:6" x14ac:dyDescent="0.35">
      <c r="B613" t="s">
        <v>129</v>
      </c>
      <c r="C613" t="s">
        <v>134</v>
      </c>
      <c r="D613" t="s">
        <v>64</v>
      </c>
      <c r="E613" s="43">
        <v>1053</v>
      </c>
      <c r="F613" s="21" t="str">
        <f>HYPERLINK("#'Data'!A10762", "Households exposed to armed violence/artillery shelling in the last 3 months, by frequency  broken down by IDP household on the admin of macroregion p...")</f>
        <v>Households exposed to armed violence/artillery shelling in the last 3 months, by frequency  broken down by IDP household on the admin of macroregion p...</v>
      </c>
    </row>
    <row r="614" spans="2:6" x14ac:dyDescent="0.35">
      <c r="B614" t="s">
        <v>129</v>
      </c>
      <c r="C614" t="s">
        <v>134</v>
      </c>
      <c r="D614" t="s">
        <v>65</v>
      </c>
      <c r="E614" s="43">
        <v>1054</v>
      </c>
      <c r="F614" s="21" t="str">
        <f>HYPERLINK("#'Data'!A10772", "Households exposed to armed violence/artillery shelling in the last 3 months, by frequency  broken down by proximity to frontline/border with Russian ...")</f>
        <v>Households exposed to armed violence/artillery shelling in the last 3 months, by frequency  broken down by proximity to frontline/border with Russian ...</v>
      </c>
    </row>
    <row r="615" spans="2:6" x14ac:dyDescent="0.35">
      <c r="B615" t="s">
        <v>129</v>
      </c>
      <c r="C615" t="s">
        <v>134</v>
      </c>
      <c r="D615" t="s">
        <v>77</v>
      </c>
      <c r="E615" s="43">
        <v>1055</v>
      </c>
      <c r="F615" s="21" t="str">
        <f>HYPERLINK("#'Data'!A10785", "Households exposed to armed violence/artillery shelling in the last 3 months, by frequency  broken down by caregiving status  on the admin of macroreg...")</f>
        <v>Households exposed to armed violence/artillery shelling in the last 3 months, by frequency  broken down by caregiving status  on the admin of macroreg...</v>
      </c>
    </row>
    <row r="616" spans="2:6" x14ac:dyDescent="0.35">
      <c r="B616" t="s">
        <v>129</v>
      </c>
      <c r="C616" t="s">
        <v>134</v>
      </c>
      <c r="D616" t="s">
        <v>131</v>
      </c>
      <c r="E616" s="43">
        <v>1056</v>
      </c>
      <c r="F616" s="21" t="str">
        <f>HYPERLINK("#'Data'!A10801", "Households exposed to armed violence/artillery shelling in the last 3 months, by frequency  broken down by gender of respondent on the admin of macror...")</f>
        <v>Households exposed to armed violence/artillery shelling in the last 3 months, by frequency  broken down by gender of respondent on the admin of macror...</v>
      </c>
    </row>
    <row r="617" spans="2:6" x14ac:dyDescent="0.35">
      <c r="B617" t="s">
        <v>129</v>
      </c>
      <c r="C617" t="s">
        <v>134</v>
      </c>
      <c r="D617" t="s">
        <v>132</v>
      </c>
      <c r="E617" s="43">
        <v>1057</v>
      </c>
      <c r="F617" s="21" t="str">
        <f>HYPERLINK("#'Data'!A10812", "Households exposed to armed violence/artillery shelling in the last 3 months, by frequency  broken down by age of respondents on the admin of macroreg...")</f>
        <v>Households exposed to armed violence/artillery shelling in the last 3 months, by frequency  broken down by age of respondents on the admin of macroreg...</v>
      </c>
    </row>
    <row r="618" spans="2:6" x14ac:dyDescent="0.35">
      <c r="B618" t="s">
        <v>129</v>
      </c>
      <c r="C618" t="s">
        <v>134</v>
      </c>
      <c r="D618" t="s">
        <v>133</v>
      </c>
      <c r="E618" s="43">
        <v>1058</v>
      </c>
      <c r="F618" s="21" t="str">
        <f>HYPERLINK("#'Data'!A10828", "Households exposed to armed violence/artillery shelling in the last 3 months, by frequency  broken down by gender and age of respondents on the admin ...")</f>
        <v>Households exposed to armed violence/artillery shelling in the last 3 months, by frequency  broken down by gender and age of respondents on the admin ...</v>
      </c>
    </row>
    <row r="619" spans="2:6" x14ac:dyDescent="0.35">
      <c r="B619" t="s">
        <v>129</v>
      </c>
      <c r="C619" t="s">
        <v>135</v>
      </c>
      <c r="D619" t="s">
        <v>36</v>
      </c>
      <c r="E619" s="43">
        <v>1059</v>
      </c>
      <c r="F619" s="21" t="str">
        <f>HYPERLINK("#'Data'!A10857", "Households exposed to drone/missile attacks in last 3 months on the admin of macroregion perc")</f>
        <v>Households exposed to drone/missile attacks in last 3 months on the admin of macroregion perc</v>
      </c>
    </row>
    <row r="620" spans="2:6" x14ac:dyDescent="0.35">
      <c r="B620" t="s">
        <v>129</v>
      </c>
      <c r="C620" t="s">
        <v>135</v>
      </c>
      <c r="D620" t="s">
        <v>57</v>
      </c>
      <c r="E620" s="43">
        <v>1060</v>
      </c>
      <c r="F620" s="21" t="str">
        <f>HYPERLINK("#'Data'!A10866", "Households exposed to drone/missile attacks in last 3 months broken down by households with at least one member with a reported and/or registered disa...")</f>
        <v>Households exposed to drone/missile attacks in last 3 months broken down by households with at least one member with a reported and/or registered disa...</v>
      </c>
    </row>
    <row r="621" spans="2:6" x14ac:dyDescent="0.35">
      <c r="B621" t="s">
        <v>129</v>
      </c>
      <c r="C621" t="s">
        <v>135</v>
      </c>
      <c r="D621" t="s">
        <v>58</v>
      </c>
      <c r="E621" s="43">
        <v>1061</v>
      </c>
      <c r="F621" s="21" t="str">
        <f>HYPERLINK("#'Data'!A10880", "Households exposed to drone/missile attacks in last 3 months broken down by urbanity on the admin of macroregion perc")</f>
        <v>Households exposed to drone/missile attacks in last 3 months broken down by urbanity on the admin of macroregion perc</v>
      </c>
    </row>
    <row r="622" spans="2:6" x14ac:dyDescent="0.35">
      <c r="B622" t="s">
        <v>129</v>
      </c>
      <c r="C622" t="s">
        <v>135</v>
      </c>
      <c r="D622" t="s">
        <v>59</v>
      </c>
      <c r="E622" s="43">
        <v>1062</v>
      </c>
      <c r="F622" s="21" t="str">
        <f>HYPERLINK("#'Data'!A10894", "Households exposed to drone/missile attacks in last 3 months broken down by household size on the admin of macroregion perc")</f>
        <v>Households exposed to drone/missile attacks in last 3 months broken down by household size on the admin of macroregion perc</v>
      </c>
    </row>
    <row r="623" spans="2:6" x14ac:dyDescent="0.35">
      <c r="B623" t="s">
        <v>129</v>
      </c>
      <c r="C623" t="s">
        <v>135</v>
      </c>
      <c r="D623" t="s">
        <v>60</v>
      </c>
      <c r="E623" s="43">
        <v>1063</v>
      </c>
      <c r="F623" s="21" t="str">
        <f>HYPERLINK("#'Data'!A10913", "Households exposed to drone/missile attacks in last 3 months broken down by income per capita (quartiles) on the admin of macroregion perc")</f>
        <v>Households exposed to drone/missile attacks in last 3 months broken down by income per capita (quartiles) on the admin of macroregion perc</v>
      </c>
    </row>
    <row r="624" spans="2:6" x14ac:dyDescent="0.35">
      <c r="B624" t="s">
        <v>129</v>
      </c>
      <c r="C624" t="s">
        <v>135</v>
      </c>
      <c r="D624" t="s">
        <v>61</v>
      </c>
      <c r="E624" s="43">
        <v>1064</v>
      </c>
      <c r="F624" s="21" t="str">
        <f>HYPERLINK("#'Data'!A10937", "Households exposed to drone/missile attacks in last 3 months broken down by gender of head of household on the admin of macroregion perc")</f>
        <v>Households exposed to drone/missile attacks in last 3 months broken down by gender of head of household on the admin of macroregion perc</v>
      </c>
    </row>
    <row r="625" spans="2:6" x14ac:dyDescent="0.35">
      <c r="B625" t="s">
        <v>129</v>
      </c>
      <c r="C625" t="s">
        <v>135</v>
      </c>
      <c r="D625" t="s">
        <v>62</v>
      </c>
      <c r="E625" s="43">
        <v>1065</v>
      </c>
      <c r="F625" s="21" t="str">
        <f>HYPERLINK("#'Data'!A10957", "Households exposed to drone/missile attacks in last 3 months broken down by age of adults in the households on the admin of macroregion perc")</f>
        <v>Households exposed to drone/missile attacks in last 3 months broken down by age of adults in the households on the admin of macroregion perc</v>
      </c>
    </row>
    <row r="626" spans="2:6" x14ac:dyDescent="0.35">
      <c r="B626" t="s">
        <v>129</v>
      </c>
      <c r="C626" t="s">
        <v>135</v>
      </c>
      <c r="D626" t="s">
        <v>76</v>
      </c>
      <c r="E626" s="43">
        <v>1066</v>
      </c>
      <c r="F626" s="21" t="str">
        <f>HYPERLINK("#'Data'!A10976", "Households exposed to drone/missile attacks in last 3 months broken down by households with at least one child (&lt;18 y.o.) on the admin of macroregion ...")</f>
        <v>Households exposed to drone/missile attacks in last 3 months broken down by households with at least one child (&lt;18 y.o.) on the admin of macroregion ...</v>
      </c>
    </row>
    <row r="627" spans="2:6" x14ac:dyDescent="0.35">
      <c r="B627" t="s">
        <v>129</v>
      </c>
      <c r="C627" t="s">
        <v>135</v>
      </c>
      <c r="D627" t="s">
        <v>63</v>
      </c>
      <c r="E627" s="43">
        <v>1067</v>
      </c>
      <c r="F627" s="21" t="str">
        <f>HYPERLINK("#'Data'!A10990", "Households exposed to drone/missile attacks in last 3 months broken down by displacement status of head of household on the admin of macroregion perc")</f>
        <v>Households exposed to drone/missile attacks in last 3 months broken down by displacement status of head of household on the admin of macroregion perc</v>
      </c>
    </row>
    <row r="628" spans="2:6" x14ac:dyDescent="0.35">
      <c r="B628" t="s">
        <v>129</v>
      </c>
      <c r="C628" t="s">
        <v>135</v>
      </c>
      <c r="D628" t="s">
        <v>64</v>
      </c>
      <c r="E628" s="43">
        <v>1068</v>
      </c>
      <c r="F628" s="21" t="str">
        <f>HYPERLINK("#'Data'!A11017", "Households exposed to drone/missile attacks in last 3 months broken down by IDP household on the admin of macroregion perc")</f>
        <v>Households exposed to drone/missile attacks in last 3 months broken down by IDP household on the admin of macroregion perc</v>
      </c>
    </row>
    <row r="629" spans="2:6" x14ac:dyDescent="0.35">
      <c r="B629" t="s">
        <v>129</v>
      </c>
      <c r="C629" t="s">
        <v>135</v>
      </c>
      <c r="D629" t="s">
        <v>65</v>
      </c>
      <c r="E629" s="43">
        <v>1069</v>
      </c>
      <c r="F629" s="21" t="str">
        <f>HYPERLINK("#'Data'!A11031", "Households exposed to drone/missile attacks in last 3 months broken down by proximity to frontline/border with Russian Federation on the admin of macr...")</f>
        <v>Households exposed to drone/missile attacks in last 3 months broken down by proximity to frontline/border with Russian Federation on the admin of macr...</v>
      </c>
    </row>
    <row r="630" spans="2:6" x14ac:dyDescent="0.35">
      <c r="B630" t="s">
        <v>129</v>
      </c>
      <c r="C630" t="s">
        <v>135</v>
      </c>
      <c r="D630" t="s">
        <v>77</v>
      </c>
      <c r="E630" s="43">
        <v>1070</v>
      </c>
      <c r="F630" s="21" t="str">
        <f>HYPERLINK("#'Data'!A11046", "Households exposed to drone/missile attacks in last 3 months broken down by caregiving status  on the admin of macroregion perc")</f>
        <v>Households exposed to drone/missile attacks in last 3 months broken down by caregiving status  on the admin of macroregion perc</v>
      </c>
    </row>
    <row r="631" spans="2:6" x14ac:dyDescent="0.35">
      <c r="B631" t="s">
        <v>129</v>
      </c>
      <c r="C631" t="s">
        <v>135</v>
      </c>
      <c r="D631" t="s">
        <v>131</v>
      </c>
      <c r="E631" s="43">
        <v>1071</v>
      </c>
      <c r="F631" s="21" t="str">
        <f>HYPERLINK("#'Data'!A11068", "Households exposed to drone/missile attacks in last 3 months broken down by gender of respondent on the admin of macroregion perc")</f>
        <v>Households exposed to drone/missile attacks in last 3 months broken down by gender of respondent on the admin of macroregion perc</v>
      </c>
    </row>
    <row r="632" spans="2:6" x14ac:dyDescent="0.35">
      <c r="B632" t="s">
        <v>129</v>
      </c>
      <c r="C632" t="s">
        <v>135</v>
      </c>
      <c r="D632" t="s">
        <v>132</v>
      </c>
      <c r="E632" s="43">
        <v>1072</v>
      </c>
      <c r="F632" s="21" t="str">
        <f>HYPERLINK("#'Data'!A11084", "Households exposed to drone/missile attacks in last 3 months broken down by age of respondents on the admin of macroregion perc")</f>
        <v>Households exposed to drone/missile attacks in last 3 months broken down by age of respondents on the admin of macroregion perc</v>
      </c>
    </row>
    <row r="633" spans="2:6" x14ac:dyDescent="0.35">
      <c r="B633" t="s">
        <v>129</v>
      </c>
      <c r="C633" t="s">
        <v>135</v>
      </c>
      <c r="D633" t="s">
        <v>133</v>
      </c>
      <c r="E633" s="43">
        <v>1073</v>
      </c>
      <c r="F633" s="21" t="str">
        <f>HYPERLINK("#'Data'!A11108", "Households exposed to drone/missile attacks in last 3 months broken down by gender and age of respondents on the admin of macroregion perc")</f>
        <v>Households exposed to drone/missile attacks in last 3 months broken down by gender and age of respondents on the admin of macroregion perc</v>
      </c>
    </row>
    <row r="634" spans="2:6" x14ac:dyDescent="0.35">
      <c r="B634" t="s">
        <v>129</v>
      </c>
      <c r="C634" t="s">
        <v>136</v>
      </c>
      <c r="D634" t="s">
        <v>36</v>
      </c>
      <c r="E634" s="43">
        <v>1074</v>
      </c>
      <c r="F634" s="21" t="str">
        <f>HYPERLINK("#'Data'!A11153", "Households exposed to drone/missile attacks in past 3 months, by frequency on the admin of macroregion perc")</f>
        <v>Households exposed to drone/missile attacks in past 3 months, by frequency on the admin of macroregion perc</v>
      </c>
    </row>
    <row r="635" spans="2:6" x14ac:dyDescent="0.35">
      <c r="B635" t="s">
        <v>129</v>
      </c>
      <c r="C635" t="s">
        <v>136</v>
      </c>
      <c r="D635" t="s">
        <v>57</v>
      </c>
      <c r="E635" s="43">
        <v>1075</v>
      </c>
      <c r="F635" s="21" t="str">
        <f>HYPERLINK("#'Data'!A11162", "Households exposed to drone/missile attacks in past 3 months, by frequency broken down by households with at least one member with a reported and/or r...")</f>
        <v>Households exposed to drone/missile attacks in past 3 months, by frequency broken down by households with at least one member with a reported and/or r...</v>
      </c>
    </row>
    <row r="636" spans="2:6" x14ac:dyDescent="0.35">
      <c r="B636" t="s">
        <v>129</v>
      </c>
      <c r="C636" t="s">
        <v>136</v>
      </c>
      <c r="D636" t="s">
        <v>58</v>
      </c>
      <c r="E636" s="43">
        <v>1076</v>
      </c>
      <c r="F636" s="21" t="str">
        <f>HYPERLINK("#'Data'!A11176", "Households exposed to drone/missile attacks in past 3 months, by frequency broken down by urbanity on the admin of macroregion perc")</f>
        <v>Households exposed to drone/missile attacks in past 3 months, by frequency broken down by urbanity on the admin of macroregion perc</v>
      </c>
    </row>
    <row r="637" spans="2:6" x14ac:dyDescent="0.35">
      <c r="B637" t="s">
        <v>129</v>
      </c>
      <c r="C637" t="s">
        <v>136</v>
      </c>
      <c r="D637" t="s">
        <v>59</v>
      </c>
      <c r="E637" s="43">
        <v>1077</v>
      </c>
      <c r="F637" s="21" t="str">
        <f>HYPERLINK("#'Data'!A11190", "Households exposed to drone/missile attacks in past 3 months, by frequency broken down by household size on the admin of macroregion perc")</f>
        <v>Households exposed to drone/missile attacks in past 3 months, by frequency broken down by household size on the admin of macroregion perc</v>
      </c>
    </row>
    <row r="638" spans="2:6" x14ac:dyDescent="0.35">
      <c r="B638" t="s">
        <v>129</v>
      </c>
      <c r="C638" t="s">
        <v>136</v>
      </c>
      <c r="D638" t="s">
        <v>60</v>
      </c>
      <c r="E638" s="43">
        <v>1078</v>
      </c>
      <c r="F638" s="21" t="str">
        <f>HYPERLINK("#'Data'!A11209", "Households exposed to drone/missile attacks in past 3 months, by frequency broken down by income per capita (quartiles) on the admin of macroregion pe...")</f>
        <v>Households exposed to drone/missile attacks in past 3 months, by frequency broken down by income per capita (quartiles) on the admin of macroregion pe...</v>
      </c>
    </row>
    <row r="639" spans="2:6" x14ac:dyDescent="0.35">
      <c r="B639" t="s">
        <v>129</v>
      </c>
      <c r="C639" t="s">
        <v>136</v>
      </c>
      <c r="D639" t="s">
        <v>61</v>
      </c>
      <c r="E639" s="43">
        <v>1079</v>
      </c>
      <c r="F639" s="21" t="str">
        <f>HYPERLINK("#'Data'!A11233", "Households exposed to drone/missile attacks in past 3 months, by frequency broken down by gender of head of household on the admin of macroregion perc")</f>
        <v>Households exposed to drone/missile attacks in past 3 months, by frequency broken down by gender of head of household on the admin of macroregion perc</v>
      </c>
    </row>
    <row r="640" spans="2:6" x14ac:dyDescent="0.35">
      <c r="B640" t="s">
        <v>129</v>
      </c>
      <c r="C640" t="s">
        <v>136</v>
      </c>
      <c r="D640" t="s">
        <v>62</v>
      </c>
      <c r="E640" s="43">
        <v>1080</v>
      </c>
      <c r="F640" s="21" t="str">
        <f>HYPERLINK("#'Data'!A11253", "Households exposed to drone/missile attacks in past 3 months, by frequency broken down by age of adults in the households on the admin of macroregion ...")</f>
        <v>Households exposed to drone/missile attacks in past 3 months, by frequency broken down by age of adults in the households on the admin of macroregion ...</v>
      </c>
    </row>
    <row r="641" spans="2:6" x14ac:dyDescent="0.35">
      <c r="B641" t="s">
        <v>129</v>
      </c>
      <c r="C641" t="s">
        <v>136</v>
      </c>
      <c r="D641" t="s">
        <v>76</v>
      </c>
      <c r="E641" s="43">
        <v>1081</v>
      </c>
      <c r="F641" s="21" t="str">
        <f>HYPERLINK("#'Data'!A11272", "Households exposed to drone/missile attacks in past 3 months, by frequency broken down by households with at least one child (&lt;18 y.o.) on the admin o...")</f>
        <v>Households exposed to drone/missile attacks in past 3 months, by frequency broken down by households with at least one child (&lt;18 y.o.) on the admin o...</v>
      </c>
    </row>
    <row r="642" spans="2:6" x14ac:dyDescent="0.35">
      <c r="B642" t="s">
        <v>129</v>
      </c>
      <c r="C642" t="s">
        <v>136</v>
      </c>
      <c r="D642" t="s">
        <v>63</v>
      </c>
      <c r="E642" s="43">
        <v>1082</v>
      </c>
      <c r="F642" s="21" t="str">
        <f>HYPERLINK("#'Data'!A11286", "Households exposed to drone/missile attacks in past 3 months, by frequency broken down by displacement status of head of household on the admin of mac...")</f>
        <v>Households exposed to drone/missile attacks in past 3 months, by frequency broken down by displacement status of head of household on the admin of mac...</v>
      </c>
    </row>
    <row r="643" spans="2:6" x14ac:dyDescent="0.35">
      <c r="B643" t="s">
        <v>129</v>
      </c>
      <c r="C643" t="s">
        <v>136</v>
      </c>
      <c r="D643" t="s">
        <v>64</v>
      </c>
      <c r="E643" s="43">
        <v>1083</v>
      </c>
      <c r="F643" s="21" t="str">
        <f>HYPERLINK("#'Data'!A11312", "Households exposed to drone/missile attacks in past 3 months, by frequency broken down by IDP household on the admin of macroregion perc")</f>
        <v>Households exposed to drone/missile attacks in past 3 months, by frequency broken down by IDP household on the admin of macroregion perc</v>
      </c>
    </row>
    <row r="644" spans="2:6" x14ac:dyDescent="0.35">
      <c r="B644" t="s">
        <v>129</v>
      </c>
      <c r="C644" t="s">
        <v>136</v>
      </c>
      <c r="D644" t="s">
        <v>65</v>
      </c>
      <c r="E644" s="43">
        <v>1084</v>
      </c>
      <c r="F644" s="21" t="str">
        <f>HYPERLINK("#'Data'!A11326", "Households exposed to drone/missile attacks in past 3 months, by frequency broken down by proximity to frontline/border with Russian Federation on the...")</f>
        <v>Households exposed to drone/missile attacks in past 3 months, by frequency broken down by proximity to frontline/border with Russian Federation on the...</v>
      </c>
    </row>
    <row r="645" spans="2:6" x14ac:dyDescent="0.35">
      <c r="B645" t="s">
        <v>129</v>
      </c>
      <c r="C645" t="s">
        <v>136</v>
      </c>
      <c r="D645" t="s">
        <v>77</v>
      </c>
      <c r="E645" s="43">
        <v>1085</v>
      </c>
      <c r="F645" s="21" t="str">
        <f>HYPERLINK("#'Data'!A11341", "Households exposed to drone/missile attacks in past 3 months, by frequency broken down by caregiving status  on the admin of macroregion perc")</f>
        <v>Households exposed to drone/missile attacks in past 3 months, by frequency broken down by caregiving status  on the admin of macroregion perc</v>
      </c>
    </row>
    <row r="646" spans="2:6" x14ac:dyDescent="0.35">
      <c r="B646" t="s">
        <v>129</v>
      </c>
      <c r="C646" t="s">
        <v>136</v>
      </c>
      <c r="D646" t="s">
        <v>131</v>
      </c>
      <c r="E646" s="43">
        <v>1086</v>
      </c>
      <c r="F646" s="21" t="str">
        <f>HYPERLINK("#'Data'!A11362", "Households exposed to drone/missile attacks in past 3 months, by frequency broken down by gender of respondent on the admin of macroregion perc")</f>
        <v>Households exposed to drone/missile attacks in past 3 months, by frequency broken down by gender of respondent on the admin of macroregion perc</v>
      </c>
    </row>
    <row r="647" spans="2:6" x14ac:dyDescent="0.35">
      <c r="B647" t="s">
        <v>129</v>
      </c>
      <c r="C647" t="s">
        <v>136</v>
      </c>
      <c r="D647" t="s">
        <v>132</v>
      </c>
      <c r="E647" s="43">
        <v>1087</v>
      </c>
      <c r="F647" s="21" t="str">
        <f>HYPERLINK("#'Data'!A11377", "Households exposed to drone/missile attacks in past 3 months, by frequency broken down by age of respondents on the admin of macroregion perc")</f>
        <v>Households exposed to drone/missile attacks in past 3 months, by frequency broken down by age of respondents on the admin of macroregion perc</v>
      </c>
    </row>
    <row r="648" spans="2:6" x14ac:dyDescent="0.35">
      <c r="B648" t="s">
        <v>129</v>
      </c>
      <c r="C648" t="s">
        <v>136</v>
      </c>
      <c r="D648" t="s">
        <v>133</v>
      </c>
      <c r="E648" s="43">
        <v>1088</v>
      </c>
      <c r="F648" s="21" t="str">
        <f>HYPERLINK("#'Data'!A11400", "Households exposed to drone/missile attacks in past 3 months, by frequency broken down by gender and age of respondents on the admin of macroregion pe...")</f>
        <v>Households exposed to drone/missile attacks in past 3 months, by frequency broken down by gender and age of respondents on the admin of macroregion pe...</v>
      </c>
    </row>
    <row r="649" spans="2:6" x14ac:dyDescent="0.35">
      <c r="B649" t="s">
        <v>129</v>
      </c>
      <c r="C649" t="s">
        <v>137</v>
      </c>
      <c r="D649" t="s">
        <v>36</v>
      </c>
      <c r="E649" s="43">
        <v>1089</v>
      </c>
      <c r="F649" s="21" t="str">
        <f>HYPERLINK("#'Data'!A11442", "Households exposed to other safety and security incidents in the last 3 months, by type on the admin of macroregion perc")</f>
        <v>Households exposed to other safety and security incidents in the last 3 months, by type on the admin of macroregion perc</v>
      </c>
    </row>
    <row r="650" spans="2:6" x14ac:dyDescent="0.35">
      <c r="B650" t="s">
        <v>129</v>
      </c>
      <c r="C650" t="s">
        <v>137</v>
      </c>
      <c r="D650" t="s">
        <v>57</v>
      </c>
      <c r="E650" s="43">
        <v>1090</v>
      </c>
      <c r="F650" s="21" t="str">
        <f>HYPERLINK("#'Data'!A11451", "Households exposed to other safety and security incidents in the last 3 months, by type broken down by households with at least one member with a repo...")</f>
        <v>Households exposed to other safety and security incidents in the last 3 months, by type broken down by households with at least one member with a repo...</v>
      </c>
    </row>
    <row r="651" spans="2:6" x14ac:dyDescent="0.35">
      <c r="B651" t="s">
        <v>129</v>
      </c>
      <c r="C651" t="s">
        <v>137</v>
      </c>
      <c r="D651" t="s">
        <v>58</v>
      </c>
      <c r="E651" s="43">
        <v>1091</v>
      </c>
      <c r="F651" s="21" t="str">
        <f>HYPERLINK("#'Data'!A11465", "Households exposed to other safety and security incidents in the last 3 months, by type broken down by urbanity on the admin of macroregion perc")</f>
        <v>Households exposed to other safety and security incidents in the last 3 months, by type broken down by urbanity on the admin of macroregion perc</v>
      </c>
    </row>
    <row r="652" spans="2:6" x14ac:dyDescent="0.35">
      <c r="B652" t="s">
        <v>129</v>
      </c>
      <c r="C652" t="s">
        <v>137</v>
      </c>
      <c r="D652" t="s">
        <v>59</v>
      </c>
      <c r="E652" s="43">
        <v>1092</v>
      </c>
      <c r="F652" s="21" t="str">
        <f>HYPERLINK("#'Data'!A11479", "Households exposed to other safety and security incidents in the last 3 months, by type broken down by household size on the admin of macroregion perc")</f>
        <v>Households exposed to other safety and security incidents in the last 3 months, by type broken down by household size on the admin of macroregion perc</v>
      </c>
    </row>
    <row r="653" spans="2:6" x14ac:dyDescent="0.35">
      <c r="B653" t="s">
        <v>129</v>
      </c>
      <c r="C653" t="s">
        <v>137</v>
      </c>
      <c r="D653" t="s">
        <v>60</v>
      </c>
      <c r="E653" s="43">
        <v>1093</v>
      </c>
      <c r="F653" s="21" t="str">
        <f>HYPERLINK("#'Data'!A11498", "Households exposed to other safety and security incidents in the last 3 months, by type broken down by income per capita (quartiles) on the admin of m...")</f>
        <v>Households exposed to other safety and security incidents in the last 3 months, by type broken down by income per capita (quartiles) on the admin of m...</v>
      </c>
    </row>
    <row r="654" spans="2:6" x14ac:dyDescent="0.35">
      <c r="B654" t="s">
        <v>129</v>
      </c>
      <c r="C654" t="s">
        <v>137</v>
      </c>
      <c r="D654" t="s">
        <v>61</v>
      </c>
      <c r="E654" s="43">
        <v>1094</v>
      </c>
      <c r="F654" s="21" t="str">
        <f>HYPERLINK("#'Data'!A11522", "Households exposed to other safety and security incidents in the last 3 months, by type broken down by gender of head of household on the admin of mac...")</f>
        <v>Households exposed to other safety and security incidents in the last 3 months, by type broken down by gender of head of household on the admin of mac...</v>
      </c>
    </row>
    <row r="655" spans="2:6" x14ac:dyDescent="0.35">
      <c r="B655" t="s">
        <v>129</v>
      </c>
      <c r="C655" t="s">
        <v>137</v>
      </c>
      <c r="D655" t="s">
        <v>62</v>
      </c>
      <c r="E655" s="43">
        <v>1095</v>
      </c>
      <c r="F655" s="21" t="str">
        <f>HYPERLINK("#'Data'!A11542", "Households exposed to other safety and security incidents in the last 3 months, by type broken down by age of adults in the households on the admin of...")</f>
        <v>Households exposed to other safety and security incidents in the last 3 months, by type broken down by age of adults in the households on the admin of...</v>
      </c>
    </row>
    <row r="656" spans="2:6" x14ac:dyDescent="0.35">
      <c r="B656" t="s">
        <v>129</v>
      </c>
      <c r="C656" t="s">
        <v>137</v>
      </c>
      <c r="D656" t="s">
        <v>76</v>
      </c>
      <c r="E656" s="43">
        <v>1096</v>
      </c>
      <c r="F656" s="21" t="str">
        <f>HYPERLINK("#'Data'!A11561", "Households exposed to other safety and security incidents in the last 3 months, by type broken down by households with at least one child (&lt;18 y.o.) o...")</f>
        <v>Households exposed to other safety and security incidents in the last 3 months, by type broken down by households with at least one child (&lt;18 y.o.) o...</v>
      </c>
    </row>
    <row r="657" spans="2:6" x14ac:dyDescent="0.35">
      <c r="B657" t="s">
        <v>129</v>
      </c>
      <c r="C657" t="s">
        <v>137</v>
      </c>
      <c r="D657" t="s">
        <v>63</v>
      </c>
      <c r="E657" s="43">
        <v>1097</v>
      </c>
      <c r="F657" s="21" t="str">
        <f>HYPERLINK("#'Data'!A11575", "Households exposed to other safety and security incidents in the last 3 months, by type broken down by displacement status of head of household on the...")</f>
        <v>Households exposed to other safety and security incidents in the last 3 months, by type broken down by displacement status of head of household on the...</v>
      </c>
    </row>
    <row r="658" spans="2:6" x14ac:dyDescent="0.35">
      <c r="B658" t="s">
        <v>129</v>
      </c>
      <c r="C658" t="s">
        <v>137</v>
      </c>
      <c r="D658" t="s">
        <v>64</v>
      </c>
      <c r="E658" s="43">
        <v>1098</v>
      </c>
      <c r="F658" s="21" t="str">
        <f>HYPERLINK("#'Data'!A11602", "Households exposed to other safety and security incidents in the last 3 months, by type broken down by IDP household on the admin of macroregion perc")</f>
        <v>Households exposed to other safety and security incidents in the last 3 months, by type broken down by IDP household on the admin of macroregion perc</v>
      </c>
    </row>
    <row r="659" spans="2:6" x14ac:dyDescent="0.35">
      <c r="B659" t="s">
        <v>129</v>
      </c>
      <c r="C659" t="s">
        <v>137</v>
      </c>
      <c r="D659" t="s">
        <v>65</v>
      </c>
      <c r="E659" s="43">
        <v>1099</v>
      </c>
      <c r="F659" s="21" t="str">
        <f>HYPERLINK("#'Data'!A11616", "Households exposed to other safety and security incidents in the last 3 months, by type broken down by proximity to frontline/border with Russian Fede...")</f>
        <v>Households exposed to other safety and security incidents in the last 3 months, by type broken down by proximity to frontline/border with Russian Fede...</v>
      </c>
    </row>
    <row r="660" spans="2:6" x14ac:dyDescent="0.35">
      <c r="B660" t="s">
        <v>129</v>
      </c>
      <c r="C660" t="s">
        <v>137</v>
      </c>
      <c r="D660" t="s">
        <v>77</v>
      </c>
      <c r="E660" s="43">
        <v>1100</v>
      </c>
      <c r="F660" s="21" t="str">
        <f>HYPERLINK("#'Data'!A11631", "Households exposed to other safety and security incidents in the last 3 months, by type broken down by caregiving status  on the admin of macroregion ...")</f>
        <v>Households exposed to other safety and security incidents in the last 3 months, by type broken down by caregiving status  on the admin of macroregion ...</v>
      </c>
    </row>
    <row r="661" spans="2:6" x14ac:dyDescent="0.35">
      <c r="B661" t="s">
        <v>129</v>
      </c>
      <c r="C661" t="s">
        <v>137</v>
      </c>
      <c r="D661" t="s">
        <v>131</v>
      </c>
      <c r="E661" s="43">
        <v>1101</v>
      </c>
      <c r="F661" s="21" t="str">
        <f>HYPERLINK("#'Data'!A11653", "Households exposed to other safety and security incidents in the last 3 months, by type broken down by gender of respondent on the admin of macroregio...")</f>
        <v>Households exposed to other safety and security incidents in the last 3 months, by type broken down by gender of respondent on the admin of macroregio...</v>
      </c>
    </row>
    <row r="662" spans="2:6" x14ac:dyDescent="0.35">
      <c r="B662" t="s">
        <v>129</v>
      </c>
      <c r="C662" t="s">
        <v>137</v>
      </c>
      <c r="D662" t="s">
        <v>132</v>
      </c>
      <c r="E662" s="43">
        <v>1102</v>
      </c>
      <c r="F662" s="21" t="str">
        <f>HYPERLINK("#'Data'!A11669", "Households exposed to other safety and security incidents in the last 3 months, by type broken down by age of respondents on the admin of macroregion ...")</f>
        <v>Households exposed to other safety and security incidents in the last 3 months, by type broken down by age of respondents on the admin of macroregion ...</v>
      </c>
    </row>
    <row r="663" spans="2:6" x14ac:dyDescent="0.35">
      <c r="B663" t="s">
        <v>129</v>
      </c>
      <c r="C663" t="s">
        <v>137</v>
      </c>
      <c r="D663" t="s">
        <v>133</v>
      </c>
      <c r="E663" s="43">
        <v>1103</v>
      </c>
      <c r="F663" s="21" t="str">
        <f>HYPERLINK("#'Data'!A11693", "Households exposed to other safety and security incidents in the last 3 months, by type broken down by gender and age of respondents on the admin of m...")</f>
        <v>Households exposed to other safety and security incidents in the last 3 months, by type broken down by gender and age of respondents on the admin of m...</v>
      </c>
    </row>
    <row r="664" spans="2:6" x14ac:dyDescent="0.35">
      <c r="B664" t="s">
        <v>129</v>
      </c>
      <c r="C664" t="s">
        <v>138</v>
      </c>
      <c r="D664" t="s">
        <v>36</v>
      </c>
      <c r="E664" s="43">
        <v>1104</v>
      </c>
      <c r="F664" s="21" t="str">
        <f>HYPERLINK("#'Data'!A11739", "Households reporting being concerned about having any HH member engaging in risky activities due to economic needs, by frequency on the admin of macro...")</f>
        <v>Households reporting being concerned about having any HH member engaging in risky activities due to economic needs, by frequency on the admin of macro...</v>
      </c>
    </row>
    <row r="665" spans="2:6" x14ac:dyDescent="0.35">
      <c r="B665" t="s">
        <v>129</v>
      </c>
      <c r="C665" t="s">
        <v>138</v>
      </c>
      <c r="D665" t="s">
        <v>57</v>
      </c>
      <c r="E665" s="43">
        <v>1105</v>
      </c>
      <c r="F665" s="21" t="str">
        <f>HYPERLINK("#'Data'!A11748", "Households reporting being concerned about having any HH member engaging in risky activities due to economic needs, by frequency broken down by househ...")</f>
        <v>Households reporting being concerned about having any HH member engaging in risky activities due to economic needs, by frequency broken down by househ...</v>
      </c>
    </row>
    <row r="666" spans="2:6" x14ac:dyDescent="0.35">
      <c r="B666" t="s">
        <v>129</v>
      </c>
      <c r="C666" t="s">
        <v>138</v>
      </c>
      <c r="D666" t="s">
        <v>58</v>
      </c>
      <c r="E666" s="43">
        <v>1106</v>
      </c>
      <c r="F666" s="21" t="str">
        <f>HYPERLINK("#'Data'!A11762", "Households reporting being concerned about having any HH member engaging in risky activities due to economic needs, by frequency broken down by urbani...")</f>
        <v>Households reporting being concerned about having any HH member engaging in risky activities due to economic needs, by frequency broken down by urbani...</v>
      </c>
    </row>
    <row r="667" spans="2:6" x14ac:dyDescent="0.35">
      <c r="B667" t="s">
        <v>129</v>
      </c>
      <c r="C667" t="s">
        <v>138</v>
      </c>
      <c r="D667" t="s">
        <v>59</v>
      </c>
      <c r="E667" s="43">
        <v>1107</v>
      </c>
      <c r="F667" s="21" t="str">
        <f>HYPERLINK("#'Data'!A11776", "Households reporting being concerned about having any HH member engaging in risky activities due to economic needs, by frequency broken down by househ...")</f>
        <v>Households reporting being concerned about having any HH member engaging in risky activities due to economic needs, by frequency broken down by househ...</v>
      </c>
    </row>
    <row r="668" spans="2:6" x14ac:dyDescent="0.35">
      <c r="B668" t="s">
        <v>129</v>
      </c>
      <c r="C668" t="s">
        <v>138</v>
      </c>
      <c r="D668" t="s">
        <v>60</v>
      </c>
      <c r="E668" s="43">
        <v>1108</v>
      </c>
      <c r="F668" s="21" t="str">
        <f>HYPERLINK("#'Data'!A11795", "Households reporting being concerned about having any HH member engaging in risky activities due to economic needs, by frequency broken down by income...")</f>
        <v>Households reporting being concerned about having any HH member engaging in risky activities due to economic needs, by frequency broken down by income...</v>
      </c>
    </row>
    <row r="669" spans="2:6" x14ac:dyDescent="0.35">
      <c r="B669" t="s">
        <v>129</v>
      </c>
      <c r="C669" t="s">
        <v>138</v>
      </c>
      <c r="D669" t="s">
        <v>61</v>
      </c>
      <c r="E669" s="43">
        <v>1109</v>
      </c>
      <c r="F669" s="21" t="str">
        <f>HYPERLINK("#'Data'!A11819", "Households reporting being concerned about having any HH member engaging in risky activities due to economic needs, by frequency broken down by gender...")</f>
        <v>Households reporting being concerned about having any HH member engaging in risky activities due to economic needs, by frequency broken down by gender...</v>
      </c>
    </row>
    <row r="670" spans="2:6" x14ac:dyDescent="0.35">
      <c r="B670" t="s">
        <v>129</v>
      </c>
      <c r="C670" t="s">
        <v>138</v>
      </c>
      <c r="D670" t="s">
        <v>62</v>
      </c>
      <c r="E670" s="43">
        <v>1110</v>
      </c>
      <c r="F670" s="21" t="str">
        <f>HYPERLINK("#'Data'!A11839", "Households reporting being concerned about having any HH member engaging in risky activities due to economic needs, by frequency broken down by age of...")</f>
        <v>Households reporting being concerned about having any HH member engaging in risky activities due to economic needs, by frequency broken down by age of...</v>
      </c>
    </row>
    <row r="671" spans="2:6" x14ac:dyDescent="0.35">
      <c r="B671" t="s">
        <v>129</v>
      </c>
      <c r="C671" t="s">
        <v>138</v>
      </c>
      <c r="D671" t="s">
        <v>76</v>
      </c>
      <c r="E671" s="43">
        <v>1111</v>
      </c>
      <c r="F671" s="21" t="str">
        <f>HYPERLINK("#'Data'!A11858", "Households reporting being concerned about having any HH member engaging in risky activities due to economic needs, by frequency broken down by househ...")</f>
        <v>Households reporting being concerned about having any HH member engaging in risky activities due to economic needs, by frequency broken down by househ...</v>
      </c>
    </row>
    <row r="672" spans="2:6" x14ac:dyDescent="0.35">
      <c r="B672" t="s">
        <v>129</v>
      </c>
      <c r="C672" t="s">
        <v>138</v>
      </c>
      <c r="D672" t="s">
        <v>63</v>
      </c>
      <c r="E672" s="43">
        <v>1112</v>
      </c>
      <c r="F672" s="21" t="str">
        <f>HYPERLINK("#'Data'!A11872", "Households reporting being concerned about having any HH member engaging in risky activities due to economic needs, by frequency broken down by displa...")</f>
        <v>Households reporting being concerned about having any HH member engaging in risky activities due to economic needs, by frequency broken down by displa...</v>
      </c>
    </row>
    <row r="673" spans="2:6" x14ac:dyDescent="0.35">
      <c r="B673" t="s">
        <v>129</v>
      </c>
      <c r="C673" t="s">
        <v>138</v>
      </c>
      <c r="D673" t="s">
        <v>64</v>
      </c>
      <c r="E673" s="43">
        <v>1113</v>
      </c>
      <c r="F673" s="21" t="str">
        <f>HYPERLINK("#'Data'!A11899", "Households reporting being concerned about having any HH member engaging in risky activities due to economic needs, by frequency broken down by IDP ho...")</f>
        <v>Households reporting being concerned about having any HH member engaging in risky activities due to economic needs, by frequency broken down by IDP ho...</v>
      </c>
    </row>
    <row r="674" spans="2:6" x14ac:dyDescent="0.35">
      <c r="B674" t="s">
        <v>129</v>
      </c>
      <c r="C674" t="s">
        <v>138</v>
      </c>
      <c r="D674" t="s">
        <v>65</v>
      </c>
      <c r="E674" s="43">
        <v>1114</v>
      </c>
      <c r="F674" s="21" t="str">
        <f>HYPERLINK("#'Data'!A11913", "Households reporting being concerned about having any HH member engaging in risky activities due to economic needs, by frequency broken down by proxim...")</f>
        <v>Households reporting being concerned about having any HH member engaging in risky activities due to economic needs, by frequency broken down by proxim...</v>
      </c>
    </row>
    <row r="675" spans="2:6" x14ac:dyDescent="0.35">
      <c r="B675" t="s">
        <v>129</v>
      </c>
      <c r="C675" t="s">
        <v>138</v>
      </c>
      <c r="D675" t="s">
        <v>77</v>
      </c>
      <c r="E675" s="43">
        <v>1115</v>
      </c>
      <c r="F675" s="21" t="str">
        <f>HYPERLINK("#'Data'!A11928", "Households reporting being concerned about having any HH member engaging in risky activities due to economic needs, by frequency broken down by caregi...")</f>
        <v>Households reporting being concerned about having any HH member engaging in risky activities due to economic needs, by frequency broken down by caregi...</v>
      </c>
    </row>
    <row r="676" spans="2:6" x14ac:dyDescent="0.35">
      <c r="B676" t="s">
        <v>129</v>
      </c>
      <c r="C676" t="s">
        <v>138</v>
      </c>
      <c r="D676" t="s">
        <v>131</v>
      </c>
      <c r="E676" s="43">
        <v>1116</v>
      </c>
      <c r="F676" s="21" t="str">
        <f>HYPERLINK("#'Data'!A11950", "Households reporting being concerned about having any HH member engaging in risky activities due to economic needs, by frequency broken down by gender...")</f>
        <v>Households reporting being concerned about having any HH member engaging in risky activities due to economic needs, by frequency broken down by gender...</v>
      </c>
    </row>
    <row r="677" spans="2:6" x14ac:dyDescent="0.35">
      <c r="B677" t="s">
        <v>129</v>
      </c>
      <c r="C677" t="s">
        <v>138</v>
      </c>
      <c r="D677" t="s">
        <v>132</v>
      </c>
      <c r="E677" s="43">
        <v>1117</v>
      </c>
      <c r="F677" s="21" t="str">
        <f>HYPERLINK("#'Data'!A11966", "Households reporting being concerned about having any HH member engaging in risky activities due to economic needs, by frequency broken down by age of...")</f>
        <v>Households reporting being concerned about having any HH member engaging in risky activities due to economic needs, by frequency broken down by age of...</v>
      </c>
    </row>
    <row r="678" spans="2:6" x14ac:dyDescent="0.35">
      <c r="B678" t="s">
        <v>129</v>
      </c>
      <c r="C678" t="s">
        <v>138</v>
      </c>
      <c r="D678" t="s">
        <v>133</v>
      </c>
      <c r="E678" s="43">
        <v>1118</v>
      </c>
      <c r="F678" s="21" t="str">
        <f>HYPERLINK("#'Data'!A11990", "Households reporting being concerned about having any HH member engaging in risky activities due to economic needs, by frequency broken down by gender...")</f>
        <v>Households reporting being concerned about having any HH member engaging in risky activities due to economic needs, by frequency broken down by gender...</v>
      </c>
    </row>
    <row r="679" spans="2:6" x14ac:dyDescent="0.35">
      <c r="B679" t="s">
        <v>129</v>
      </c>
      <c r="C679" t="s">
        <v>139</v>
      </c>
      <c r="D679" t="s">
        <v>36</v>
      </c>
      <c r="E679" s="43">
        <v>1119</v>
      </c>
      <c r="F679" s="21" t="str">
        <f>HYPERLINK("#'Data'!A12036", "Households reporting being concerned about being forced to flee, by frequency on the admin of macroregion perc")</f>
        <v>Households reporting being concerned about being forced to flee, by frequency on the admin of macroregion perc</v>
      </c>
    </row>
    <row r="680" spans="2:6" x14ac:dyDescent="0.35">
      <c r="B680" t="s">
        <v>129</v>
      </c>
      <c r="C680" t="s">
        <v>139</v>
      </c>
      <c r="D680" t="s">
        <v>57</v>
      </c>
      <c r="E680" s="43">
        <v>1120</v>
      </c>
      <c r="F680" s="21" t="str">
        <f>HYPERLINK("#'Data'!A12045", "Households reporting being concerned about being forced to flee, by frequency broken down by households with at least one member with a reported and/o...")</f>
        <v>Households reporting being concerned about being forced to flee, by frequency broken down by households with at least one member with a reported and/o...</v>
      </c>
    </row>
    <row r="681" spans="2:6" x14ac:dyDescent="0.35">
      <c r="B681" t="s">
        <v>129</v>
      </c>
      <c r="C681" t="s">
        <v>139</v>
      </c>
      <c r="D681" t="s">
        <v>58</v>
      </c>
      <c r="E681" s="43">
        <v>1121</v>
      </c>
      <c r="F681" s="21" t="str">
        <f>HYPERLINK("#'Data'!A12059", "Households reporting being concerned about being forced to flee, by frequency broken down by urbanity on the admin of macroregion perc")</f>
        <v>Households reporting being concerned about being forced to flee, by frequency broken down by urbanity on the admin of macroregion perc</v>
      </c>
    </row>
    <row r="682" spans="2:6" x14ac:dyDescent="0.35">
      <c r="B682" t="s">
        <v>129</v>
      </c>
      <c r="C682" t="s">
        <v>139</v>
      </c>
      <c r="D682" t="s">
        <v>59</v>
      </c>
      <c r="E682" s="43">
        <v>1122</v>
      </c>
      <c r="F682" s="21" t="str">
        <f>HYPERLINK("#'Data'!A12073", "Households reporting being concerned about being forced to flee, by frequency broken down by household size on the admin of macroregion perc")</f>
        <v>Households reporting being concerned about being forced to flee, by frequency broken down by household size on the admin of macroregion perc</v>
      </c>
    </row>
    <row r="683" spans="2:6" x14ac:dyDescent="0.35">
      <c r="B683" t="s">
        <v>129</v>
      </c>
      <c r="C683" t="s">
        <v>139</v>
      </c>
      <c r="D683" t="s">
        <v>60</v>
      </c>
      <c r="E683" s="43">
        <v>1123</v>
      </c>
      <c r="F683" s="21" t="str">
        <f>HYPERLINK("#'Data'!A12092", "Households reporting being concerned about being forced to flee, by frequency broken down by income per capita (quartiles) on the admin of macroregion...")</f>
        <v>Households reporting being concerned about being forced to flee, by frequency broken down by income per capita (quartiles) on the admin of macroregion...</v>
      </c>
    </row>
    <row r="684" spans="2:6" x14ac:dyDescent="0.35">
      <c r="B684" t="s">
        <v>129</v>
      </c>
      <c r="C684" t="s">
        <v>139</v>
      </c>
      <c r="D684" t="s">
        <v>61</v>
      </c>
      <c r="E684" s="43">
        <v>1124</v>
      </c>
      <c r="F684" s="21" t="str">
        <f>HYPERLINK("#'Data'!A12116", "Households reporting being concerned about being forced to flee, by frequency broken down by gender of head of household on the admin of macroregion p...")</f>
        <v>Households reporting being concerned about being forced to flee, by frequency broken down by gender of head of household on the admin of macroregion p...</v>
      </c>
    </row>
    <row r="685" spans="2:6" x14ac:dyDescent="0.35">
      <c r="B685" t="s">
        <v>129</v>
      </c>
      <c r="C685" t="s">
        <v>139</v>
      </c>
      <c r="D685" t="s">
        <v>62</v>
      </c>
      <c r="E685" s="43">
        <v>1125</v>
      </c>
      <c r="F685" s="21" t="str">
        <f>HYPERLINK("#'Data'!A12136", "Households reporting being concerned about being forced to flee, by frequency broken down by age of adults in the households on the admin of macroregi...")</f>
        <v>Households reporting being concerned about being forced to flee, by frequency broken down by age of adults in the households on the admin of macroregi...</v>
      </c>
    </row>
    <row r="686" spans="2:6" x14ac:dyDescent="0.35">
      <c r="B686" t="s">
        <v>129</v>
      </c>
      <c r="C686" t="s">
        <v>139</v>
      </c>
      <c r="D686" t="s">
        <v>76</v>
      </c>
      <c r="E686" s="43">
        <v>1126</v>
      </c>
      <c r="F686" s="21" t="str">
        <f>HYPERLINK("#'Data'!A12155", "Households reporting being concerned about being forced to flee, by frequency broken down by households with at least one child (&lt;18 y.o.) on the admi...")</f>
        <v>Households reporting being concerned about being forced to flee, by frequency broken down by households with at least one child (&lt;18 y.o.) on the admi...</v>
      </c>
    </row>
    <row r="687" spans="2:6" x14ac:dyDescent="0.35">
      <c r="B687" t="s">
        <v>129</v>
      </c>
      <c r="C687" t="s">
        <v>139</v>
      </c>
      <c r="D687" t="s">
        <v>63</v>
      </c>
      <c r="E687" s="43">
        <v>1127</v>
      </c>
      <c r="F687" s="21" t="str">
        <f>HYPERLINK("#'Data'!A12169", "Households reporting being concerned about being forced to flee, by frequency broken down by displacement status of head of household on the admin of ...")</f>
        <v>Households reporting being concerned about being forced to flee, by frequency broken down by displacement status of head of household on the admin of ...</v>
      </c>
    </row>
    <row r="688" spans="2:6" x14ac:dyDescent="0.35">
      <c r="B688" t="s">
        <v>129</v>
      </c>
      <c r="C688" t="s">
        <v>139</v>
      </c>
      <c r="D688" t="s">
        <v>64</v>
      </c>
      <c r="E688" s="43">
        <v>1128</v>
      </c>
      <c r="F688" s="21" t="str">
        <f>HYPERLINK("#'Data'!A12196", "Households reporting being concerned about being forced to flee, by frequency broken down by IDP household on the admin of macroregion perc")</f>
        <v>Households reporting being concerned about being forced to flee, by frequency broken down by IDP household on the admin of macroregion perc</v>
      </c>
    </row>
    <row r="689" spans="2:6" x14ac:dyDescent="0.35">
      <c r="B689" t="s">
        <v>129</v>
      </c>
      <c r="C689" t="s">
        <v>139</v>
      </c>
      <c r="D689" t="s">
        <v>65</v>
      </c>
      <c r="E689" s="43">
        <v>1129</v>
      </c>
      <c r="F689" s="21" t="str">
        <f>HYPERLINK("#'Data'!A12210", "Households reporting being concerned about being forced to flee, by frequency broken down by proximity to frontline/border with Russian Federation on ...")</f>
        <v>Households reporting being concerned about being forced to flee, by frequency broken down by proximity to frontline/border with Russian Federation on ...</v>
      </c>
    </row>
    <row r="690" spans="2:6" x14ac:dyDescent="0.35">
      <c r="B690" t="s">
        <v>129</v>
      </c>
      <c r="C690" t="s">
        <v>139</v>
      </c>
      <c r="D690" t="s">
        <v>77</v>
      </c>
      <c r="E690" s="43">
        <v>1130</v>
      </c>
      <c r="F690" s="21" t="str">
        <f>HYPERLINK("#'Data'!A12225", "Households reporting being concerned about being forced to flee, by frequency broken down by caregiving status  on the admin of macroregion perc")</f>
        <v>Households reporting being concerned about being forced to flee, by frequency broken down by caregiving status  on the admin of macroregion perc</v>
      </c>
    </row>
    <row r="691" spans="2:6" x14ac:dyDescent="0.35">
      <c r="B691" t="s">
        <v>129</v>
      </c>
      <c r="C691" t="s">
        <v>139</v>
      </c>
      <c r="D691" t="s">
        <v>131</v>
      </c>
      <c r="E691" s="43">
        <v>1131</v>
      </c>
      <c r="F691" s="21" t="str">
        <f>HYPERLINK("#'Data'!A12247", "Households reporting being concerned about being forced to flee, by frequency broken down by gender of respondent on the admin of macroregion perc")</f>
        <v>Households reporting being concerned about being forced to flee, by frequency broken down by gender of respondent on the admin of macroregion perc</v>
      </c>
    </row>
    <row r="692" spans="2:6" x14ac:dyDescent="0.35">
      <c r="B692" t="s">
        <v>129</v>
      </c>
      <c r="C692" t="s">
        <v>139</v>
      </c>
      <c r="D692" t="s">
        <v>132</v>
      </c>
      <c r="E692" s="43">
        <v>1132</v>
      </c>
      <c r="F692" s="21" t="str">
        <f>HYPERLINK("#'Data'!A12263", "Households reporting being concerned about being forced to flee, by frequency broken down by age of respondents on the admin of macroregion perc")</f>
        <v>Households reporting being concerned about being forced to flee, by frequency broken down by age of respondents on the admin of macroregion perc</v>
      </c>
    </row>
    <row r="693" spans="2:6" x14ac:dyDescent="0.35">
      <c r="B693" t="s">
        <v>129</v>
      </c>
      <c r="C693" t="s">
        <v>139</v>
      </c>
      <c r="D693" t="s">
        <v>133</v>
      </c>
      <c r="E693" s="43">
        <v>1133</v>
      </c>
      <c r="F693" s="21" t="str">
        <f>HYPERLINK("#'Data'!A12287", "Households reporting being concerned about being forced to flee, by frequency broken down by gender and age of respondents on the admin of macroregion...")</f>
        <v>Households reporting being concerned about being forced to flee, by frequency broken down by gender and age of respondents on the admin of macroregion...</v>
      </c>
    </row>
    <row r="694" spans="2:6" x14ac:dyDescent="0.35">
      <c r="B694" t="s">
        <v>129</v>
      </c>
      <c r="C694" t="s">
        <v>140</v>
      </c>
      <c r="D694" t="s">
        <v>36</v>
      </c>
      <c r="E694" s="43">
        <v>1134</v>
      </c>
      <c r="F694" s="21" t="str">
        <f>HYPERLINK("#'Data'!A12333", "Households reporting being concerned about violence in the community, not related to the conflict, by frequency on the admin of macroregion perc")</f>
        <v>Households reporting being concerned about violence in the community, not related to the conflict, by frequency on the admin of macroregion perc</v>
      </c>
    </row>
    <row r="695" spans="2:6" x14ac:dyDescent="0.35">
      <c r="B695" t="s">
        <v>129</v>
      </c>
      <c r="C695" t="s">
        <v>140</v>
      </c>
      <c r="D695" t="s">
        <v>57</v>
      </c>
      <c r="E695" s="43">
        <v>1135</v>
      </c>
      <c r="F695" s="21" t="str">
        <f>HYPERLINK("#'Data'!A12342", "Households reporting being concerned about violence in the community, not related to the conflict, by frequency broken down by households with at leas...")</f>
        <v>Households reporting being concerned about violence in the community, not related to the conflict, by frequency broken down by households with at leas...</v>
      </c>
    </row>
    <row r="696" spans="2:6" x14ac:dyDescent="0.35">
      <c r="B696" t="s">
        <v>129</v>
      </c>
      <c r="C696" t="s">
        <v>140</v>
      </c>
      <c r="D696" t="s">
        <v>58</v>
      </c>
      <c r="E696" s="43">
        <v>1136</v>
      </c>
      <c r="F696" s="21" t="str">
        <f>HYPERLINK("#'Data'!A12356", "Households reporting being concerned about violence in the community, not related to the conflict, by frequency broken down by urbanity on the admin o...")</f>
        <v>Households reporting being concerned about violence in the community, not related to the conflict, by frequency broken down by urbanity on the admin o...</v>
      </c>
    </row>
    <row r="697" spans="2:6" x14ac:dyDescent="0.35">
      <c r="B697" t="s">
        <v>129</v>
      </c>
      <c r="C697" t="s">
        <v>140</v>
      </c>
      <c r="D697" t="s">
        <v>59</v>
      </c>
      <c r="E697" s="43">
        <v>1137</v>
      </c>
      <c r="F697" s="21" t="str">
        <f>HYPERLINK("#'Data'!A12370", "Households reporting being concerned about violence in the community, not related to the conflict, by frequency broken down by household size on the a...")</f>
        <v>Households reporting being concerned about violence in the community, not related to the conflict, by frequency broken down by household size on the a...</v>
      </c>
    </row>
    <row r="698" spans="2:6" x14ac:dyDescent="0.35">
      <c r="B698" t="s">
        <v>129</v>
      </c>
      <c r="C698" t="s">
        <v>140</v>
      </c>
      <c r="D698" t="s">
        <v>60</v>
      </c>
      <c r="E698" s="43">
        <v>1138</v>
      </c>
      <c r="F698" s="21" t="str">
        <f>HYPERLINK("#'Data'!A12389", "Households reporting being concerned about violence in the community, not related to the conflict, by frequency broken down by income per capita (quar...")</f>
        <v>Households reporting being concerned about violence in the community, not related to the conflict, by frequency broken down by income per capita (quar...</v>
      </c>
    </row>
    <row r="699" spans="2:6" x14ac:dyDescent="0.35">
      <c r="B699" t="s">
        <v>129</v>
      </c>
      <c r="C699" t="s">
        <v>140</v>
      </c>
      <c r="D699" t="s">
        <v>61</v>
      </c>
      <c r="E699" s="43">
        <v>1139</v>
      </c>
      <c r="F699" s="21" t="str">
        <f>HYPERLINK("#'Data'!A12413", "Households reporting being concerned about violence in the community, not related to the conflict, by frequency broken down by gender of head of house...")</f>
        <v>Households reporting being concerned about violence in the community, not related to the conflict, by frequency broken down by gender of head of house...</v>
      </c>
    </row>
    <row r="700" spans="2:6" x14ac:dyDescent="0.35">
      <c r="B700" t="s">
        <v>129</v>
      </c>
      <c r="C700" t="s">
        <v>140</v>
      </c>
      <c r="D700" t="s">
        <v>62</v>
      </c>
      <c r="E700" s="43">
        <v>1140</v>
      </c>
      <c r="F700" s="21" t="str">
        <f>HYPERLINK("#'Data'!A12433", "Households reporting being concerned about violence in the community, not related to the conflict, by frequency broken down by age of adults in the ho...")</f>
        <v>Households reporting being concerned about violence in the community, not related to the conflict, by frequency broken down by age of adults in the ho...</v>
      </c>
    </row>
    <row r="701" spans="2:6" x14ac:dyDescent="0.35">
      <c r="B701" t="s">
        <v>129</v>
      </c>
      <c r="C701" t="s">
        <v>140</v>
      </c>
      <c r="D701" t="s">
        <v>76</v>
      </c>
      <c r="E701" s="43">
        <v>1141</v>
      </c>
      <c r="F701" s="21" t="str">
        <f>HYPERLINK("#'Data'!A12452", "Households reporting being concerned about violence in the community, not related to the conflict, by frequency broken down by households with at leas...")</f>
        <v>Households reporting being concerned about violence in the community, not related to the conflict, by frequency broken down by households with at leas...</v>
      </c>
    </row>
    <row r="702" spans="2:6" x14ac:dyDescent="0.35">
      <c r="B702" t="s">
        <v>129</v>
      </c>
      <c r="C702" t="s">
        <v>140</v>
      </c>
      <c r="D702" t="s">
        <v>63</v>
      </c>
      <c r="E702" s="43">
        <v>1142</v>
      </c>
      <c r="F702" s="21" t="str">
        <f>HYPERLINK("#'Data'!A12466", "Households reporting being concerned about violence in the community, not related to the conflict, by frequency broken down by displacement status of ...")</f>
        <v>Households reporting being concerned about violence in the community, not related to the conflict, by frequency broken down by displacement status of ...</v>
      </c>
    </row>
    <row r="703" spans="2:6" x14ac:dyDescent="0.35">
      <c r="B703" t="s">
        <v>129</v>
      </c>
      <c r="C703" t="s">
        <v>140</v>
      </c>
      <c r="D703" t="s">
        <v>64</v>
      </c>
      <c r="E703" s="43">
        <v>1143</v>
      </c>
      <c r="F703" s="21" t="str">
        <f>HYPERLINK("#'Data'!A12493", "Households reporting being concerned about violence in the community, not related to the conflict, by frequency broken down by IDP household on the ad...")</f>
        <v>Households reporting being concerned about violence in the community, not related to the conflict, by frequency broken down by IDP household on the ad...</v>
      </c>
    </row>
    <row r="704" spans="2:6" x14ac:dyDescent="0.35">
      <c r="B704" t="s">
        <v>129</v>
      </c>
      <c r="C704" t="s">
        <v>140</v>
      </c>
      <c r="D704" t="s">
        <v>65</v>
      </c>
      <c r="E704" s="43">
        <v>1144</v>
      </c>
      <c r="F704" s="21" t="str">
        <f>HYPERLINK("#'Data'!A12507", "Households reporting being concerned about violence in the community, not related to the conflict, by frequency broken down by proximity to frontline/...")</f>
        <v>Households reporting being concerned about violence in the community, not related to the conflict, by frequency broken down by proximity to frontline/...</v>
      </c>
    </row>
    <row r="705" spans="2:6" x14ac:dyDescent="0.35">
      <c r="B705" t="s">
        <v>129</v>
      </c>
      <c r="C705" t="s">
        <v>140</v>
      </c>
      <c r="D705" t="s">
        <v>77</v>
      </c>
      <c r="E705" s="43">
        <v>1145</v>
      </c>
      <c r="F705" s="21" t="str">
        <f>HYPERLINK("#'Data'!A12522", "Households reporting being concerned about violence in the community, not related to the conflict, by frequency broken down by caregiving status  on t...")</f>
        <v>Households reporting being concerned about violence in the community, not related to the conflict, by frequency broken down by caregiving status  on t...</v>
      </c>
    </row>
    <row r="706" spans="2:6" x14ac:dyDescent="0.35">
      <c r="B706" t="s">
        <v>129</v>
      </c>
      <c r="C706" t="s">
        <v>140</v>
      </c>
      <c r="D706" t="s">
        <v>131</v>
      </c>
      <c r="E706" s="43">
        <v>1146</v>
      </c>
      <c r="F706" s="21" t="str">
        <f>HYPERLINK("#'Data'!A12544", "Households reporting being concerned about violence in the community, not related to the conflict, by frequency broken down by gender of respondent on...")</f>
        <v>Households reporting being concerned about violence in the community, not related to the conflict, by frequency broken down by gender of respondent on...</v>
      </c>
    </row>
    <row r="707" spans="2:6" x14ac:dyDescent="0.35">
      <c r="B707" t="s">
        <v>129</v>
      </c>
      <c r="C707" t="s">
        <v>140</v>
      </c>
      <c r="D707" t="s">
        <v>132</v>
      </c>
      <c r="E707" s="43">
        <v>1147</v>
      </c>
      <c r="F707" s="21" t="str">
        <f>HYPERLINK("#'Data'!A12560", "Households reporting being concerned about violence in the community, not related to the conflict, by frequency broken down by age of respondents on t...")</f>
        <v>Households reporting being concerned about violence in the community, not related to the conflict, by frequency broken down by age of respondents on t...</v>
      </c>
    </row>
    <row r="708" spans="2:6" x14ac:dyDescent="0.35">
      <c r="B708" t="s">
        <v>129</v>
      </c>
      <c r="C708" t="s">
        <v>140</v>
      </c>
      <c r="D708" t="s">
        <v>133</v>
      </c>
      <c r="E708" s="43">
        <v>1148</v>
      </c>
      <c r="F708" s="21" t="str">
        <f>HYPERLINK("#'Data'!A12584", "Households reporting being concerned about violence in the community, not related to the conflict, by frequency broken down by gender and age of respo...")</f>
        <v>Households reporting being concerned about violence in the community, not related to the conflict, by frequency broken down by gender and age of respo...</v>
      </c>
    </row>
    <row r="709" spans="2:6" x14ac:dyDescent="0.35">
      <c r="B709" t="s">
        <v>129</v>
      </c>
      <c r="C709" t="s">
        <v>141</v>
      </c>
      <c r="D709" t="s">
        <v>36</v>
      </c>
      <c r="E709" s="43">
        <v>1149</v>
      </c>
      <c r="F709" s="21" t="str">
        <f>HYPERLINK("#'Data'!A12630", "Households reporting being concerned about persecution/discrimination, by frequency on the admin of macroregion perc")</f>
        <v>Households reporting being concerned about persecution/discrimination, by frequency on the admin of macroregion perc</v>
      </c>
    </row>
    <row r="710" spans="2:6" x14ac:dyDescent="0.35">
      <c r="B710" t="s">
        <v>129</v>
      </c>
      <c r="C710" t="s">
        <v>141</v>
      </c>
      <c r="D710" t="s">
        <v>57</v>
      </c>
      <c r="E710" s="43">
        <v>1150</v>
      </c>
      <c r="F710" s="21" t="str">
        <f>HYPERLINK("#'Data'!A12639", "Households reporting being concerned about persecution/discrimination, by frequency broken down by households with at least one member with a reported...")</f>
        <v>Households reporting being concerned about persecution/discrimination, by frequency broken down by households with at least one member with a reported...</v>
      </c>
    </row>
    <row r="711" spans="2:6" x14ac:dyDescent="0.35">
      <c r="B711" t="s">
        <v>129</v>
      </c>
      <c r="C711" t="s">
        <v>141</v>
      </c>
      <c r="D711" t="s">
        <v>58</v>
      </c>
      <c r="E711" s="43">
        <v>1151</v>
      </c>
      <c r="F711" s="21" t="str">
        <f>HYPERLINK("#'Data'!A12653", "Households reporting being concerned about persecution/discrimination, by frequency broken down by urbanity on the admin of macroregion perc")</f>
        <v>Households reporting being concerned about persecution/discrimination, by frequency broken down by urbanity on the admin of macroregion perc</v>
      </c>
    </row>
    <row r="712" spans="2:6" x14ac:dyDescent="0.35">
      <c r="B712" t="s">
        <v>129</v>
      </c>
      <c r="C712" t="s">
        <v>141</v>
      </c>
      <c r="D712" t="s">
        <v>59</v>
      </c>
      <c r="E712" s="43">
        <v>1152</v>
      </c>
      <c r="F712" s="21" t="str">
        <f>HYPERLINK("#'Data'!A12667", "Households reporting being concerned about persecution/discrimination, by frequency broken down by household size on the admin of macroregion perc")</f>
        <v>Households reporting being concerned about persecution/discrimination, by frequency broken down by household size on the admin of macroregion perc</v>
      </c>
    </row>
    <row r="713" spans="2:6" x14ac:dyDescent="0.35">
      <c r="B713" t="s">
        <v>129</v>
      </c>
      <c r="C713" t="s">
        <v>141</v>
      </c>
      <c r="D713" t="s">
        <v>60</v>
      </c>
      <c r="E713" s="43">
        <v>1153</v>
      </c>
      <c r="F713" s="21" t="str">
        <f>HYPERLINK("#'Data'!A12686", "Households reporting being concerned about persecution/discrimination, by frequency broken down by income per capita (quartiles) on the admin of macro...")</f>
        <v>Households reporting being concerned about persecution/discrimination, by frequency broken down by income per capita (quartiles) on the admin of macro...</v>
      </c>
    </row>
    <row r="714" spans="2:6" x14ac:dyDescent="0.35">
      <c r="B714" t="s">
        <v>129</v>
      </c>
      <c r="C714" t="s">
        <v>141</v>
      </c>
      <c r="D714" t="s">
        <v>61</v>
      </c>
      <c r="E714" s="43">
        <v>1154</v>
      </c>
      <c r="F714" s="21" t="str">
        <f>HYPERLINK("#'Data'!A12710", "Households reporting being concerned about persecution/discrimination, by frequency broken down by gender of head of household on the admin of macrore...")</f>
        <v>Households reporting being concerned about persecution/discrimination, by frequency broken down by gender of head of household on the admin of macrore...</v>
      </c>
    </row>
    <row r="715" spans="2:6" x14ac:dyDescent="0.35">
      <c r="B715" t="s">
        <v>129</v>
      </c>
      <c r="C715" t="s">
        <v>141</v>
      </c>
      <c r="D715" t="s">
        <v>62</v>
      </c>
      <c r="E715" s="43">
        <v>1155</v>
      </c>
      <c r="F715" s="21" t="str">
        <f>HYPERLINK("#'Data'!A12730", "Households reporting being concerned about persecution/discrimination, by frequency broken down by age of adults in the households on the admin of mac...")</f>
        <v>Households reporting being concerned about persecution/discrimination, by frequency broken down by age of adults in the households on the admin of mac...</v>
      </c>
    </row>
    <row r="716" spans="2:6" x14ac:dyDescent="0.35">
      <c r="B716" t="s">
        <v>129</v>
      </c>
      <c r="C716" t="s">
        <v>141</v>
      </c>
      <c r="D716" t="s">
        <v>76</v>
      </c>
      <c r="E716" s="43">
        <v>1156</v>
      </c>
      <c r="F716" s="21" t="str">
        <f>HYPERLINK("#'Data'!A12749", "Households reporting being concerned about persecution/discrimination, by frequency broken down by households with at least one child (&lt;18 y.o.) on th...")</f>
        <v>Households reporting being concerned about persecution/discrimination, by frequency broken down by households with at least one child (&lt;18 y.o.) on th...</v>
      </c>
    </row>
    <row r="717" spans="2:6" x14ac:dyDescent="0.35">
      <c r="B717" t="s">
        <v>129</v>
      </c>
      <c r="C717" t="s">
        <v>141</v>
      </c>
      <c r="D717" t="s">
        <v>63</v>
      </c>
      <c r="E717" s="43">
        <v>1157</v>
      </c>
      <c r="F717" s="21" t="str">
        <f>HYPERLINK("#'Data'!A12763", "Households reporting being concerned about persecution/discrimination, by frequency broken down by displacement status of head of household on the adm...")</f>
        <v>Households reporting being concerned about persecution/discrimination, by frequency broken down by displacement status of head of household on the adm...</v>
      </c>
    </row>
    <row r="718" spans="2:6" x14ac:dyDescent="0.35">
      <c r="B718" t="s">
        <v>129</v>
      </c>
      <c r="C718" t="s">
        <v>141</v>
      </c>
      <c r="D718" t="s">
        <v>64</v>
      </c>
      <c r="E718" s="43">
        <v>1158</v>
      </c>
      <c r="F718" s="21" t="str">
        <f>HYPERLINK("#'Data'!A12790", "Households reporting being concerned about persecution/discrimination, by frequency broken down by IDP household on the admin of macroregion perc")</f>
        <v>Households reporting being concerned about persecution/discrimination, by frequency broken down by IDP household on the admin of macroregion perc</v>
      </c>
    </row>
    <row r="719" spans="2:6" x14ac:dyDescent="0.35">
      <c r="B719" t="s">
        <v>129</v>
      </c>
      <c r="C719" t="s">
        <v>141</v>
      </c>
      <c r="D719" t="s">
        <v>65</v>
      </c>
      <c r="E719" s="43">
        <v>1159</v>
      </c>
      <c r="F719" s="21" t="str">
        <f>HYPERLINK("#'Data'!A12804", "Households reporting being concerned about persecution/discrimination, by frequency broken down by proximity to frontline/border with Russian Federati...")</f>
        <v>Households reporting being concerned about persecution/discrimination, by frequency broken down by proximity to frontline/border with Russian Federati...</v>
      </c>
    </row>
    <row r="720" spans="2:6" x14ac:dyDescent="0.35">
      <c r="B720" t="s">
        <v>129</v>
      </c>
      <c r="C720" t="s">
        <v>141</v>
      </c>
      <c r="D720" t="s">
        <v>77</v>
      </c>
      <c r="E720" s="43">
        <v>1160</v>
      </c>
      <c r="F720" s="21" t="str">
        <f>HYPERLINK("#'Data'!A12819", "Households reporting being concerned about persecution/discrimination, by frequency broken down by caregiving status  on the admin of macroregion perc")</f>
        <v>Households reporting being concerned about persecution/discrimination, by frequency broken down by caregiving status  on the admin of macroregion perc</v>
      </c>
    </row>
    <row r="721" spans="2:6" x14ac:dyDescent="0.35">
      <c r="B721" t="s">
        <v>129</v>
      </c>
      <c r="C721" t="s">
        <v>141</v>
      </c>
      <c r="D721" t="s">
        <v>131</v>
      </c>
      <c r="E721" s="43">
        <v>1161</v>
      </c>
      <c r="F721" s="21" t="str">
        <f>HYPERLINK("#'Data'!A12841", "Households reporting being concerned about persecution/discrimination, by frequency broken down by gender of respondent on the admin of macroregion pe...")</f>
        <v>Households reporting being concerned about persecution/discrimination, by frequency broken down by gender of respondent on the admin of macroregion pe...</v>
      </c>
    </row>
    <row r="722" spans="2:6" x14ac:dyDescent="0.35">
      <c r="B722" t="s">
        <v>129</v>
      </c>
      <c r="C722" t="s">
        <v>141</v>
      </c>
      <c r="D722" t="s">
        <v>132</v>
      </c>
      <c r="E722" s="43">
        <v>1162</v>
      </c>
      <c r="F722" s="21" t="str">
        <f>HYPERLINK("#'Data'!A12857", "Households reporting being concerned about persecution/discrimination, by frequency broken down by age of respondents on the admin of macroregion perc")</f>
        <v>Households reporting being concerned about persecution/discrimination, by frequency broken down by age of respondents on the admin of macroregion perc</v>
      </c>
    </row>
    <row r="723" spans="2:6" x14ac:dyDescent="0.35">
      <c r="B723" t="s">
        <v>129</v>
      </c>
      <c r="C723" t="s">
        <v>141</v>
      </c>
      <c r="D723" t="s">
        <v>133</v>
      </c>
      <c r="E723" s="43">
        <v>1163</v>
      </c>
      <c r="F723" s="21" t="str">
        <f>HYPERLINK("#'Data'!A12881", "Households reporting being concerned about persecution/discrimination, by frequency broken down by gender and age of respondents on the admin of macro...")</f>
        <v>Households reporting being concerned about persecution/discrimination, by frequency broken down by gender and age of respondents on the admin of macro...</v>
      </c>
    </row>
    <row r="724" spans="2:6" x14ac:dyDescent="0.35">
      <c r="B724" t="s">
        <v>129</v>
      </c>
      <c r="C724" t="s">
        <v>142</v>
      </c>
      <c r="D724" t="s">
        <v>36</v>
      </c>
      <c r="E724" s="43">
        <v>1164</v>
      </c>
      <c r="F724" s="21" t="str">
        <f>HYPERLINK("#'Data'!A12927", "Households reporting being concerned about kidnapping/detention/abduction, by frequency on the admin of macroregion perc")</f>
        <v>Households reporting being concerned about kidnapping/detention/abduction, by frequency on the admin of macroregion perc</v>
      </c>
    </row>
    <row r="725" spans="2:6" x14ac:dyDescent="0.35">
      <c r="B725" t="s">
        <v>129</v>
      </c>
      <c r="C725" t="s">
        <v>142</v>
      </c>
      <c r="D725" t="s">
        <v>57</v>
      </c>
      <c r="E725" s="43">
        <v>1165</v>
      </c>
      <c r="F725" s="21" t="str">
        <f>HYPERLINK("#'Data'!A12936", "Households reporting being concerned about kidnapping/detention/abduction, by frequency broken down by households with at least one member with a repo...")</f>
        <v>Households reporting being concerned about kidnapping/detention/abduction, by frequency broken down by households with at least one member with a repo...</v>
      </c>
    </row>
    <row r="726" spans="2:6" x14ac:dyDescent="0.35">
      <c r="B726" t="s">
        <v>129</v>
      </c>
      <c r="C726" t="s">
        <v>142</v>
      </c>
      <c r="D726" t="s">
        <v>58</v>
      </c>
      <c r="E726" s="43">
        <v>1166</v>
      </c>
      <c r="F726" s="21" t="str">
        <f>HYPERLINK("#'Data'!A12950", "Households reporting being concerned about kidnapping/detention/abduction, by frequency broken down by urbanity on the admin of macroregion perc")</f>
        <v>Households reporting being concerned about kidnapping/detention/abduction, by frequency broken down by urbanity on the admin of macroregion perc</v>
      </c>
    </row>
    <row r="727" spans="2:6" x14ac:dyDescent="0.35">
      <c r="B727" t="s">
        <v>129</v>
      </c>
      <c r="C727" t="s">
        <v>142</v>
      </c>
      <c r="D727" t="s">
        <v>59</v>
      </c>
      <c r="E727" s="43">
        <v>1167</v>
      </c>
      <c r="F727" s="21" t="str">
        <f>HYPERLINK("#'Data'!A12964", "Households reporting being concerned about kidnapping/detention/abduction, by frequency broken down by household size on the admin of macroregion perc")</f>
        <v>Households reporting being concerned about kidnapping/detention/abduction, by frequency broken down by household size on the admin of macroregion perc</v>
      </c>
    </row>
    <row r="728" spans="2:6" x14ac:dyDescent="0.35">
      <c r="B728" t="s">
        <v>129</v>
      </c>
      <c r="C728" t="s">
        <v>142</v>
      </c>
      <c r="D728" t="s">
        <v>60</v>
      </c>
      <c r="E728" s="43">
        <v>1168</v>
      </c>
      <c r="F728" s="21" t="str">
        <f>HYPERLINK("#'Data'!A12983", "Households reporting being concerned about kidnapping/detention/abduction, by frequency broken down by income per capita (quartiles) on the admin of m...")</f>
        <v>Households reporting being concerned about kidnapping/detention/abduction, by frequency broken down by income per capita (quartiles) on the admin of m...</v>
      </c>
    </row>
    <row r="729" spans="2:6" x14ac:dyDescent="0.35">
      <c r="B729" t="s">
        <v>129</v>
      </c>
      <c r="C729" t="s">
        <v>142</v>
      </c>
      <c r="D729" t="s">
        <v>61</v>
      </c>
      <c r="E729" s="43">
        <v>1169</v>
      </c>
      <c r="F729" s="21" t="str">
        <f>HYPERLINK("#'Data'!A13007", "Households reporting being concerned about kidnapping/detention/abduction, by frequency broken down by gender of head of household on the admin of mac...")</f>
        <v>Households reporting being concerned about kidnapping/detention/abduction, by frequency broken down by gender of head of household on the admin of mac...</v>
      </c>
    </row>
    <row r="730" spans="2:6" x14ac:dyDescent="0.35">
      <c r="B730" t="s">
        <v>129</v>
      </c>
      <c r="C730" t="s">
        <v>142</v>
      </c>
      <c r="D730" t="s">
        <v>62</v>
      </c>
      <c r="E730" s="43">
        <v>1170</v>
      </c>
      <c r="F730" s="21" t="str">
        <f>HYPERLINK("#'Data'!A13027", "Households reporting being concerned about kidnapping/detention/abduction, by frequency broken down by age of adults in the households on the admin of...")</f>
        <v>Households reporting being concerned about kidnapping/detention/abduction, by frequency broken down by age of adults in the households on the admin of...</v>
      </c>
    </row>
    <row r="731" spans="2:6" x14ac:dyDescent="0.35">
      <c r="B731" t="s">
        <v>129</v>
      </c>
      <c r="C731" t="s">
        <v>142</v>
      </c>
      <c r="D731" t="s">
        <v>76</v>
      </c>
      <c r="E731" s="43">
        <v>1171</v>
      </c>
      <c r="F731" s="21" t="str">
        <f>HYPERLINK("#'Data'!A13046", "Households reporting being concerned about kidnapping/detention/abduction, by frequency broken down by households with at least one child (&lt;18 y.o.) o...")</f>
        <v>Households reporting being concerned about kidnapping/detention/abduction, by frequency broken down by households with at least one child (&lt;18 y.o.) o...</v>
      </c>
    </row>
    <row r="732" spans="2:6" x14ac:dyDescent="0.35">
      <c r="B732" t="s">
        <v>129</v>
      </c>
      <c r="C732" t="s">
        <v>142</v>
      </c>
      <c r="D732" t="s">
        <v>63</v>
      </c>
      <c r="E732" s="43">
        <v>1172</v>
      </c>
      <c r="F732" s="21" t="str">
        <f>HYPERLINK("#'Data'!A13060", "Households reporting being concerned about kidnapping/detention/abduction, by frequency broken down by displacement status of head of household on the...")</f>
        <v>Households reporting being concerned about kidnapping/detention/abduction, by frequency broken down by displacement status of head of household on the...</v>
      </c>
    </row>
    <row r="733" spans="2:6" x14ac:dyDescent="0.35">
      <c r="B733" t="s">
        <v>129</v>
      </c>
      <c r="C733" t="s">
        <v>142</v>
      </c>
      <c r="D733" t="s">
        <v>64</v>
      </c>
      <c r="E733" s="43">
        <v>1173</v>
      </c>
      <c r="F733" s="21" t="str">
        <f>HYPERLINK("#'Data'!A13087", "Households reporting being concerned about kidnapping/detention/abduction, by frequency broken down by IDP household on the admin of macroregion perc")</f>
        <v>Households reporting being concerned about kidnapping/detention/abduction, by frequency broken down by IDP household on the admin of macroregion perc</v>
      </c>
    </row>
    <row r="734" spans="2:6" x14ac:dyDescent="0.35">
      <c r="B734" t="s">
        <v>129</v>
      </c>
      <c r="C734" t="s">
        <v>142</v>
      </c>
      <c r="D734" t="s">
        <v>65</v>
      </c>
      <c r="E734" s="43">
        <v>1174</v>
      </c>
      <c r="F734" s="21" t="str">
        <f>HYPERLINK("#'Data'!A13101", "Households reporting being concerned about kidnapping/detention/abduction, by frequency broken down by proximity to frontline/border with Russian Fede...")</f>
        <v>Households reporting being concerned about kidnapping/detention/abduction, by frequency broken down by proximity to frontline/border with Russian Fede...</v>
      </c>
    </row>
    <row r="735" spans="2:6" x14ac:dyDescent="0.35">
      <c r="B735" t="s">
        <v>129</v>
      </c>
      <c r="C735" t="s">
        <v>142</v>
      </c>
      <c r="D735" t="s">
        <v>77</v>
      </c>
      <c r="E735" s="43">
        <v>1175</v>
      </c>
      <c r="F735" s="21" t="str">
        <f>HYPERLINK("#'Data'!A13116", "Households reporting being concerned about kidnapping/detention/abduction, by frequency broken down by caregiving status  on the admin of macroregion ...")</f>
        <v>Households reporting being concerned about kidnapping/detention/abduction, by frequency broken down by caregiving status  on the admin of macroregion ...</v>
      </c>
    </row>
    <row r="736" spans="2:6" x14ac:dyDescent="0.35">
      <c r="B736" t="s">
        <v>129</v>
      </c>
      <c r="C736" t="s">
        <v>142</v>
      </c>
      <c r="D736" t="s">
        <v>131</v>
      </c>
      <c r="E736" s="43">
        <v>1176</v>
      </c>
      <c r="F736" s="21" t="str">
        <f>HYPERLINK("#'Data'!A13138", "Households reporting being concerned about kidnapping/detention/abduction, by frequency broken down by gender of respondent on the admin of macroregio...")</f>
        <v>Households reporting being concerned about kidnapping/detention/abduction, by frequency broken down by gender of respondent on the admin of macroregio...</v>
      </c>
    </row>
    <row r="737" spans="2:6" x14ac:dyDescent="0.35">
      <c r="B737" t="s">
        <v>129</v>
      </c>
      <c r="C737" t="s">
        <v>142</v>
      </c>
      <c r="D737" t="s">
        <v>132</v>
      </c>
      <c r="E737" s="43">
        <v>1177</v>
      </c>
      <c r="F737" s="21" t="str">
        <f>HYPERLINK("#'Data'!A13154", "Households reporting being concerned about kidnapping/detention/abduction, by frequency broken down by age of respondents on the admin of macroregion ...")</f>
        <v>Households reporting being concerned about kidnapping/detention/abduction, by frequency broken down by age of respondents on the admin of macroregion ...</v>
      </c>
    </row>
    <row r="738" spans="2:6" x14ac:dyDescent="0.35">
      <c r="B738" t="s">
        <v>129</v>
      </c>
      <c r="C738" t="s">
        <v>142</v>
      </c>
      <c r="D738" t="s">
        <v>133</v>
      </c>
      <c r="E738" s="43">
        <v>1178</v>
      </c>
      <c r="F738" s="21" t="str">
        <f>HYPERLINK("#'Data'!A13178", "Households reporting being concerned about kidnapping/detention/abduction, by frequency broken down by gender and age of respondents on the admin of m...")</f>
        <v>Households reporting being concerned about kidnapping/detention/abduction, by frequency broken down by gender and age of respondents on the admin of m...</v>
      </c>
    </row>
    <row r="739" spans="2:6" x14ac:dyDescent="0.35">
      <c r="B739" t="s">
        <v>129</v>
      </c>
      <c r="C739" t="s">
        <v>143</v>
      </c>
      <c r="D739" t="s">
        <v>36</v>
      </c>
      <c r="E739" s="43">
        <v>1179</v>
      </c>
      <c r="F739" s="21" t="str">
        <f>HYPERLINK("#'Data'!A13224", "Households by reported safety and security concerns for WOMEN in the area, by concern on the admin of macroregion perc")</f>
        <v>Households by reported safety and security concerns for WOMEN in the area, by concern on the admin of macroregion perc</v>
      </c>
    </row>
    <row r="740" spans="2:6" x14ac:dyDescent="0.35">
      <c r="B740" t="s">
        <v>129</v>
      </c>
      <c r="C740" t="s">
        <v>143</v>
      </c>
      <c r="D740" t="s">
        <v>57</v>
      </c>
      <c r="E740" s="43">
        <v>1180</v>
      </c>
      <c r="F740" s="21" t="str">
        <f>HYPERLINK("#'Data'!A13233", "Households by reported safety and security concerns for WOMEN in the area, by concern broken down by households with at least one member with a report...")</f>
        <v>Households by reported safety and security concerns for WOMEN in the area, by concern broken down by households with at least one member with a report...</v>
      </c>
    </row>
    <row r="741" spans="2:6" x14ac:dyDescent="0.35">
      <c r="B741" t="s">
        <v>129</v>
      </c>
      <c r="C741" t="s">
        <v>143</v>
      </c>
      <c r="D741" t="s">
        <v>58</v>
      </c>
      <c r="E741" s="43">
        <v>1181</v>
      </c>
      <c r="F741" s="21" t="str">
        <f>HYPERLINK("#'Data'!A13247", "Households by reported safety and security concerns for WOMEN in the area, by concern broken down by urbanity on the admin of macroregion perc")</f>
        <v>Households by reported safety and security concerns for WOMEN in the area, by concern broken down by urbanity on the admin of macroregion perc</v>
      </c>
    </row>
    <row r="742" spans="2:6" x14ac:dyDescent="0.35">
      <c r="B742" t="s">
        <v>129</v>
      </c>
      <c r="C742" t="s">
        <v>143</v>
      </c>
      <c r="D742" t="s">
        <v>59</v>
      </c>
      <c r="E742" s="43">
        <v>1182</v>
      </c>
      <c r="F742" s="21" t="str">
        <f>HYPERLINK("#'Data'!A13261", "Households by reported safety and security concerns for WOMEN in the area, by concern broken down by household size on the admin of macroregion perc")</f>
        <v>Households by reported safety and security concerns for WOMEN in the area, by concern broken down by household size on the admin of macroregion perc</v>
      </c>
    </row>
    <row r="743" spans="2:6" x14ac:dyDescent="0.35">
      <c r="B743" t="s">
        <v>129</v>
      </c>
      <c r="C743" t="s">
        <v>143</v>
      </c>
      <c r="D743" t="s">
        <v>60</v>
      </c>
      <c r="E743" s="43">
        <v>1183</v>
      </c>
      <c r="F743" s="21" t="str">
        <f>HYPERLINK("#'Data'!A13280", "Households by reported safety and security concerns for WOMEN in the area, by concern broken down by income per capita (quartiles) on the admin of mac...")</f>
        <v>Households by reported safety and security concerns for WOMEN in the area, by concern broken down by income per capita (quartiles) on the admin of mac...</v>
      </c>
    </row>
    <row r="744" spans="2:6" x14ac:dyDescent="0.35">
      <c r="B744" t="s">
        <v>129</v>
      </c>
      <c r="C744" t="s">
        <v>143</v>
      </c>
      <c r="D744" t="s">
        <v>61</v>
      </c>
      <c r="E744" s="43">
        <v>1184</v>
      </c>
      <c r="F744" s="21" t="str">
        <f>HYPERLINK("#'Data'!A13304", "Households by reported safety and security concerns for WOMEN in the area, by concern broken down by gender of head of household on the admin of macro...")</f>
        <v>Households by reported safety and security concerns for WOMEN in the area, by concern broken down by gender of head of household on the admin of macro...</v>
      </c>
    </row>
    <row r="745" spans="2:6" x14ac:dyDescent="0.35">
      <c r="B745" t="s">
        <v>129</v>
      </c>
      <c r="C745" t="s">
        <v>143</v>
      </c>
      <c r="D745" t="s">
        <v>62</v>
      </c>
      <c r="E745" s="43">
        <v>1185</v>
      </c>
      <c r="F745" s="21" t="str">
        <f>HYPERLINK("#'Data'!A13324", "Households by reported safety and security concerns for WOMEN in the area, by concern broken down by age of adults in the households on the admin of m...")</f>
        <v>Households by reported safety and security concerns for WOMEN in the area, by concern broken down by age of adults in the households on the admin of m...</v>
      </c>
    </row>
    <row r="746" spans="2:6" x14ac:dyDescent="0.35">
      <c r="B746" t="s">
        <v>129</v>
      </c>
      <c r="C746" t="s">
        <v>143</v>
      </c>
      <c r="D746" t="s">
        <v>76</v>
      </c>
      <c r="E746" s="43">
        <v>1186</v>
      </c>
      <c r="F746" s="21" t="str">
        <f>HYPERLINK("#'Data'!A13343", "Households by reported safety and security concerns for WOMEN in the area, by concern broken down by households with at least one child (&lt;18 y.o.) on ...")</f>
        <v>Households by reported safety and security concerns for WOMEN in the area, by concern broken down by households with at least one child (&lt;18 y.o.) on ...</v>
      </c>
    </row>
    <row r="747" spans="2:6" x14ac:dyDescent="0.35">
      <c r="B747" t="s">
        <v>129</v>
      </c>
      <c r="C747" t="s">
        <v>143</v>
      </c>
      <c r="D747" t="s">
        <v>63</v>
      </c>
      <c r="E747" s="43">
        <v>1187</v>
      </c>
      <c r="F747" s="21" t="str">
        <f>HYPERLINK("#'Data'!A13357", "Households by reported safety and security concerns for WOMEN in the area, by concern broken down by displacement status of head of household on the a...")</f>
        <v>Households by reported safety and security concerns for WOMEN in the area, by concern broken down by displacement status of head of household on the a...</v>
      </c>
    </row>
    <row r="748" spans="2:6" x14ac:dyDescent="0.35">
      <c r="B748" t="s">
        <v>129</v>
      </c>
      <c r="C748" t="s">
        <v>143</v>
      </c>
      <c r="D748" t="s">
        <v>64</v>
      </c>
      <c r="E748" s="43">
        <v>1188</v>
      </c>
      <c r="F748" s="21" t="str">
        <f>HYPERLINK("#'Data'!A13384", "Households by reported safety and security concerns for WOMEN in the area, by concern broken down by IDP household on the admin of macroregion perc")</f>
        <v>Households by reported safety and security concerns for WOMEN in the area, by concern broken down by IDP household on the admin of macroregion perc</v>
      </c>
    </row>
    <row r="749" spans="2:6" x14ac:dyDescent="0.35">
      <c r="B749" t="s">
        <v>129</v>
      </c>
      <c r="C749" t="s">
        <v>143</v>
      </c>
      <c r="D749" t="s">
        <v>65</v>
      </c>
      <c r="E749" s="43">
        <v>1189</v>
      </c>
      <c r="F749" s="21" t="str">
        <f>HYPERLINK("#'Data'!A13398", "Households by reported safety and security concerns for WOMEN in the area, by concern broken down by proximity to frontline/border with Russian Federa...")</f>
        <v>Households by reported safety and security concerns for WOMEN in the area, by concern broken down by proximity to frontline/border with Russian Federa...</v>
      </c>
    </row>
    <row r="750" spans="2:6" x14ac:dyDescent="0.35">
      <c r="B750" t="s">
        <v>129</v>
      </c>
      <c r="C750" t="s">
        <v>143</v>
      </c>
      <c r="D750" t="s">
        <v>77</v>
      </c>
      <c r="E750" s="43">
        <v>1190</v>
      </c>
      <c r="F750" s="21" t="str">
        <f>HYPERLINK("#'Data'!A13413", "Households by reported safety and security concerns for WOMEN in the area, by concern broken down by caregiving status  on the admin of macroregion pe...")</f>
        <v>Households by reported safety and security concerns for WOMEN in the area, by concern broken down by caregiving status  on the admin of macroregion pe...</v>
      </c>
    </row>
    <row r="751" spans="2:6" x14ac:dyDescent="0.35">
      <c r="B751" t="s">
        <v>129</v>
      </c>
      <c r="C751" t="s">
        <v>143</v>
      </c>
      <c r="D751" t="s">
        <v>131</v>
      </c>
      <c r="E751" s="43">
        <v>1191</v>
      </c>
      <c r="F751" s="21" t="str">
        <f>HYPERLINK("#'Data'!A13435", "Households by reported safety and security concerns for WOMEN in the area, by concern broken down by gender of respondent on the admin of macroregion ...")</f>
        <v>Households by reported safety and security concerns for WOMEN in the area, by concern broken down by gender of respondent on the admin of macroregion ...</v>
      </c>
    </row>
    <row r="752" spans="2:6" x14ac:dyDescent="0.35">
      <c r="B752" t="s">
        <v>129</v>
      </c>
      <c r="C752" t="s">
        <v>143</v>
      </c>
      <c r="D752" t="s">
        <v>132</v>
      </c>
      <c r="E752" s="43">
        <v>1192</v>
      </c>
      <c r="F752" s="21" t="str">
        <f>HYPERLINK("#'Data'!A13451", "Households by reported safety and security concerns for WOMEN in the area, by concern broken down by age of respondents on the admin of macroregion pe...")</f>
        <v>Households by reported safety and security concerns for WOMEN in the area, by concern broken down by age of respondents on the admin of macroregion pe...</v>
      </c>
    </row>
    <row r="753" spans="2:6" x14ac:dyDescent="0.35">
      <c r="B753" t="s">
        <v>129</v>
      </c>
      <c r="C753" t="s">
        <v>143</v>
      </c>
      <c r="D753" t="s">
        <v>133</v>
      </c>
      <c r="E753" s="43">
        <v>1193</v>
      </c>
      <c r="F753" s="21" t="str">
        <f>HYPERLINK("#'Data'!A13475", "Households by reported safety and security concerns for WOMEN in the area, by concern broken down by gender and age of respondents on the admin of mac...")</f>
        <v>Households by reported safety and security concerns for WOMEN in the area, by concern broken down by gender and age of respondents on the admin of mac...</v>
      </c>
    </row>
    <row r="754" spans="2:6" x14ac:dyDescent="0.35">
      <c r="B754" t="s">
        <v>129</v>
      </c>
      <c r="C754" t="s">
        <v>144</v>
      </c>
      <c r="D754" t="s">
        <v>36</v>
      </c>
      <c r="E754" s="43">
        <v>1194</v>
      </c>
      <c r="F754" s="21" t="str">
        <f>HYPERLINK("#'Data'!A13521", "Percentage of female respondents reporting that at least one female member of their household felt unsafe walking in their community, by frequency on ...")</f>
        <v>Percentage of female respondents reporting that at least one female member of their household felt unsafe walking in their community, by frequency on ...</v>
      </c>
    </row>
    <row r="755" spans="2:6" x14ac:dyDescent="0.35">
      <c r="B755" t="s">
        <v>129</v>
      </c>
      <c r="C755" t="s">
        <v>144</v>
      </c>
      <c r="D755" t="s">
        <v>57</v>
      </c>
      <c r="E755" s="43">
        <v>1195</v>
      </c>
      <c r="F755" s="21" t="str">
        <f>HYPERLINK("#'Data'!A13530",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56" spans="2:6" x14ac:dyDescent="0.35">
      <c r="B756" t="s">
        <v>129</v>
      </c>
      <c r="C756" t="s">
        <v>144</v>
      </c>
      <c r="D756" t="s">
        <v>58</v>
      </c>
      <c r="E756" s="43">
        <v>1196</v>
      </c>
      <c r="F756" s="21" t="str">
        <f>HYPERLINK("#'Data'!A13544",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57" spans="2:6" x14ac:dyDescent="0.35">
      <c r="B757" t="s">
        <v>129</v>
      </c>
      <c r="C757" t="s">
        <v>144</v>
      </c>
      <c r="D757" t="s">
        <v>59</v>
      </c>
      <c r="E757" s="43">
        <v>1197</v>
      </c>
      <c r="F757" s="21" t="str">
        <f>HYPERLINK("#'Data'!A13558",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58" spans="2:6" x14ac:dyDescent="0.35">
      <c r="B758" t="s">
        <v>129</v>
      </c>
      <c r="C758" t="s">
        <v>144</v>
      </c>
      <c r="D758" t="s">
        <v>60</v>
      </c>
      <c r="E758" s="43">
        <v>1198</v>
      </c>
      <c r="F758" s="21" t="str">
        <f>HYPERLINK("#'Data'!A13577",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59" spans="2:6" x14ac:dyDescent="0.35">
      <c r="B759" t="s">
        <v>129</v>
      </c>
      <c r="C759" t="s">
        <v>144</v>
      </c>
      <c r="D759" t="s">
        <v>61</v>
      </c>
      <c r="E759" s="43">
        <v>1199</v>
      </c>
      <c r="F759" s="21" t="str">
        <f>HYPERLINK("#'Data'!A13601",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0" spans="2:6" x14ac:dyDescent="0.35">
      <c r="B760" t="s">
        <v>129</v>
      </c>
      <c r="C760" t="s">
        <v>144</v>
      </c>
      <c r="D760" t="s">
        <v>62</v>
      </c>
      <c r="E760" s="43">
        <v>1200</v>
      </c>
      <c r="F760" s="21" t="str">
        <f>HYPERLINK("#'Data'!A13621",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1" spans="2:6" x14ac:dyDescent="0.35">
      <c r="B761" t="s">
        <v>129</v>
      </c>
      <c r="C761" t="s">
        <v>144</v>
      </c>
      <c r="D761" t="s">
        <v>76</v>
      </c>
      <c r="E761" s="43">
        <v>1201</v>
      </c>
      <c r="F761" s="21" t="str">
        <f>HYPERLINK("#'Data'!A13640",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2" spans="2:6" x14ac:dyDescent="0.35">
      <c r="B762" t="s">
        <v>129</v>
      </c>
      <c r="C762" t="s">
        <v>144</v>
      </c>
      <c r="D762" t="s">
        <v>63</v>
      </c>
      <c r="E762" s="43">
        <v>1202</v>
      </c>
      <c r="F762" s="21" t="str">
        <f>HYPERLINK("#'Data'!A13654",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3" spans="2:6" x14ac:dyDescent="0.35">
      <c r="B763" t="s">
        <v>129</v>
      </c>
      <c r="C763" t="s">
        <v>144</v>
      </c>
      <c r="D763" t="s">
        <v>64</v>
      </c>
      <c r="E763" s="43">
        <v>1203</v>
      </c>
      <c r="F763" s="21" t="str">
        <f>HYPERLINK("#'Data'!A13680",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4" spans="2:6" x14ac:dyDescent="0.35">
      <c r="B764" t="s">
        <v>129</v>
      </c>
      <c r="C764" t="s">
        <v>144</v>
      </c>
      <c r="D764" t="s">
        <v>65</v>
      </c>
      <c r="E764" s="43">
        <v>1204</v>
      </c>
      <c r="F764" s="21" t="str">
        <f>HYPERLINK("#'Data'!A13694",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5" spans="2:6" x14ac:dyDescent="0.35">
      <c r="B765" t="s">
        <v>129</v>
      </c>
      <c r="C765" t="s">
        <v>144</v>
      </c>
      <c r="D765" t="s">
        <v>77</v>
      </c>
      <c r="E765" s="43">
        <v>1205</v>
      </c>
      <c r="F765" s="21" t="str">
        <f>HYPERLINK("#'Data'!A13709",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6" spans="2:6" x14ac:dyDescent="0.35">
      <c r="B766" t="s">
        <v>129</v>
      </c>
      <c r="C766" t="s">
        <v>144</v>
      </c>
      <c r="D766" t="s">
        <v>132</v>
      </c>
      <c r="E766" s="43">
        <v>1207</v>
      </c>
      <c r="F766" s="21" t="str">
        <f>HYPERLINK("#'Data'!A13728",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767" spans="2:6" x14ac:dyDescent="0.35">
      <c r="B767" t="s">
        <v>129</v>
      </c>
      <c r="C767" t="s">
        <v>145</v>
      </c>
      <c r="D767" t="s">
        <v>36</v>
      </c>
      <c r="E767" s="43">
        <v>1209</v>
      </c>
      <c r="F767" s="21" t="str">
        <f>HYPERLINK("#'Data'!A13752", "Percentage of households reporting areas/places that women and girls usually avoid, by type on the admin of macroregion perc")</f>
        <v>Percentage of households reporting areas/places that women and girls usually avoid, by type on the admin of macroregion perc</v>
      </c>
    </row>
    <row r="768" spans="2:6" x14ac:dyDescent="0.35">
      <c r="B768" t="s">
        <v>129</v>
      </c>
      <c r="C768" t="s">
        <v>145</v>
      </c>
      <c r="D768" t="s">
        <v>57</v>
      </c>
      <c r="E768" s="43">
        <v>1210</v>
      </c>
      <c r="F768" s="21" t="str">
        <f>HYPERLINK("#'Data'!A13761", "Percentage of households reporting areas/places that women and girls usually avoid, by type broken down by households with at least one member with a ...")</f>
        <v>Percentage of households reporting areas/places that women and girls usually avoid, by type broken down by households with at least one member with a ...</v>
      </c>
    </row>
    <row r="769" spans="2:6" x14ac:dyDescent="0.35">
      <c r="B769" t="s">
        <v>129</v>
      </c>
      <c r="C769" t="s">
        <v>145</v>
      </c>
      <c r="D769" t="s">
        <v>58</v>
      </c>
      <c r="E769" s="43">
        <v>1211</v>
      </c>
      <c r="F769" s="21" t="str">
        <f>HYPERLINK("#'Data'!A13775", "Percentage of households reporting areas/places that women and girls usually avoid, by type broken down by urbanity on the admin of macroregion perc")</f>
        <v>Percentage of households reporting areas/places that women and girls usually avoid, by type broken down by urbanity on the admin of macroregion perc</v>
      </c>
    </row>
    <row r="770" spans="2:6" x14ac:dyDescent="0.35">
      <c r="B770" t="s">
        <v>129</v>
      </c>
      <c r="C770" t="s">
        <v>145</v>
      </c>
      <c r="D770" t="s">
        <v>59</v>
      </c>
      <c r="E770" s="43">
        <v>1212</v>
      </c>
      <c r="F770" s="21" t="str">
        <f>HYPERLINK("#'Data'!A13789", "Percentage of households reporting areas/places that women and girls usually avoid, by type broken down by household size on the admin of macroregion ...")</f>
        <v>Percentage of households reporting areas/places that women and girls usually avoid, by type broken down by household size on the admin of macroregion ...</v>
      </c>
    </row>
    <row r="771" spans="2:6" x14ac:dyDescent="0.35">
      <c r="B771" t="s">
        <v>129</v>
      </c>
      <c r="C771" t="s">
        <v>145</v>
      </c>
      <c r="D771" t="s">
        <v>60</v>
      </c>
      <c r="E771" s="43">
        <v>1213</v>
      </c>
      <c r="F771" s="21" t="str">
        <f>HYPERLINK("#'Data'!A13808", "Percentage of households reporting areas/places that women and girls usually avoid, by type broken down by income per capita (quartiles) on the admin ...")</f>
        <v>Percentage of households reporting areas/places that women and girls usually avoid, by type broken down by income per capita (quartiles) on the admin ...</v>
      </c>
    </row>
    <row r="772" spans="2:6" x14ac:dyDescent="0.35">
      <c r="B772" t="s">
        <v>129</v>
      </c>
      <c r="C772" t="s">
        <v>145</v>
      </c>
      <c r="D772" t="s">
        <v>61</v>
      </c>
      <c r="E772" s="43">
        <v>1214</v>
      </c>
      <c r="F772" s="21" t="str">
        <f>HYPERLINK("#'Data'!A13832", "Percentage of households reporting areas/places that women and girls usually avoid, by type broken down by gender of head of household on the admin of...")</f>
        <v>Percentage of households reporting areas/places that women and girls usually avoid, by type broken down by gender of head of household on the admin of...</v>
      </c>
    </row>
    <row r="773" spans="2:6" x14ac:dyDescent="0.35">
      <c r="B773" t="s">
        <v>129</v>
      </c>
      <c r="C773" t="s">
        <v>145</v>
      </c>
      <c r="D773" t="s">
        <v>62</v>
      </c>
      <c r="E773" s="43">
        <v>1215</v>
      </c>
      <c r="F773" s="21" t="str">
        <f>HYPERLINK("#'Data'!A13852", "Percentage of households reporting areas/places that women and girls usually avoid, by type broken down by age of adults in the households on the admi...")</f>
        <v>Percentage of households reporting areas/places that women and girls usually avoid, by type broken down by age of adults in the households on the admi...</v>
      </c>
    </row>
    <row r="774" spans="2:6" x14ac:dyDescent="0.35">
      <c r="B774" t="s">
        <v>129</v>
      </c>
      <c r="C774" t="s">
        <v>145</v>
      </c>
      <c r="D774" t="s">
        <v>76</v>
      </c>
      <c r="E774" s="43">
        <v>1216</v>
      </c>
      <c r="F774" s="21" t="str">
        <f>HYPERLINK("#'Data'!A13871", "Percentage of households reporting areas/places that women and girls usually avoid, by type broken down by households with at least one child (&lt;18 y.o...")</f>
        <v>Percentage of households reporting areas/places that women and girls usually avoid, by type broken down by households with at least one child (&lt;18 y.o...</v>
      </c>
    </row>
    <row r="775" spans="2:6" x14ac:dyDescent="0.35">
      <c r="B775" t="s">
        <v>129</v>
      </c>
      <c r="C775" t="s">
        <v>145</v>
      </c>
      <c r="D775" t="s">
        <v>63</v>
      </c>
      <c r="E775" s="43">
        <v>1217</v>
      </c>
      <c r="F775" s="21" t="str">
        <f>HYPERLINK("#'Data'!A13885", "Percentage of households reporting areas/places that women and girls usually avoid, by type broken down by displacement status of head of household on...")</f>
        <v>Percentage of households reporting areas/places that women and girls usually avoid, by type broken down by displacement status of head of household on...</v>
      </c>
    </row>
    <row r="776" spans="2:6" x14ac:dyDescent="0.35">
      <c r="B776" t="s">
        <v>129</v>
      </c>
      <c r="C776" t="s">
        <v>145</v>
      </c>
      <c r="D776" t="s">
        <v>64</v>
      </c>
      <c r="E776" s="43">
        <v>1218</v>
      </c>
      <c r="F776" s="21" t="str">
        <f>HYPERLINK("#'Data'!A13910", "Percentage of households reporting areas/places that women and girls usually avoid, by type broken down by IDP household on the admin of macroregion p...")</f>
        <v>Percentage of households reporting areas/places that women and girls usually avoid, by type broken down by IDP household on the admin of macroregion p...</v>
      </c>
    </row>
    <row r="777" spans="2:6" x14ac:dyDescent="0.35">
      <c r="B777" t="s">
        <v>129</v>
      </c>
      <c r="C777" t="s">
        <v>145</v>
      </c>
      <c r="D777" t="s">
        <v>65</v>
      </c>
      <c r="E777" s="43">
        <v>1219</v>
      </c>
      <c r="F777" s="21" t="str">
        <f>HYPERLINK("#'Data'!A13924", "Percentage of households reporting areas/places that women and girls usually avoid, by type broken down by proximity to frontline/border with Russian ...")</f>
        <v>Percentage of households reporting areas/places that women and girls usually avoid, by type broken down by proximity to frontline/border with Russian ...</v>
      </c>
    </row>
    <row r="778" spans="2:6" x14ac:dyDescent="0.35">
      <c r="B778" t="s">
        <v>129</v>
      </c>
      <c r="C778" t="s">
        <v>145</v>
      </c>
      <c r="D778" t="s">
        <v>77</v>
      </c>
      <c r="E778" s="43">
        <v>1220</v>
      </c>
      <c r="F778" s="21" t="str">
        <f>HYPERLINK("#'Data'!A13939", "Percentage of households reporting areas/places that women and girls usually avoid, by type broken down by caregiving status  on the admin of macroreg...")</f>
        <v>Percentage of households reporting areas/places that women and girls usually avoid, by type broken down by caregiving status  on the admin of macroreg...</v>
      </c>
    </row>
    <row r="779" spans="2:6" x14ac:dyDescent="0.35">
      <c r="B779" t="s">
        <v>129</v>
      </c>
      <c r="C779" t="s">
        <v>145</v>
      </c>
      <c r="D779" t="s">
        <v>131</v>
      </c>
      <c r="E779" s="43">
        <v>1221</v>
      </c>
      <c r="F779" s="21" t="str">
        <f>HYPERLINK("#'Data'!A13959", "Percentage of households reporting areas/places that women and girls usually avoid, by type broken down by gender of respondent on the admin of macror...")</f>
        <v>Percentage of households reporting areas/places that women and girls usually avoid, by type broken down by gender of respondent on the admin of macror...</v>
      </c>
    </row>
    <row r="780" spans="2:6" x14ac:dyDescent="0.35">
      <c r="B780" t="s">
        <v>129</v>
      </c>
      <c r="C780" t="s">
        <v>145</v>
      </c>
      <c r="D780" t="s">
        <v>132</v>
      </c>
      <c r="E780" s="43">
        <v>1222</v>
      </c>
      <c r="F780" s="21" t="str">
        <f>HYPERLINK("#'Data'!A13973", "Percentage of households reporting areas/places that women and girls usually avoid, by type broken down by age of respondents on the admin of macroreg...")</f>
        <v>Percentage of households reporting areas/places that women and girls usually avoid, by type broken down by age of respondents on the admin of macroreg...</v>
      </c>
    </row>
    <row r="781" spans="2:6" x14ac:dyDescent="0.35">
      <c r="B781" t="s">
        <v>129</v>
      </c>
      <c r="C781" t="s">
        <v>145</v>
      </c>
      <c r="D781" t="s">
        <v>133</v>
      </c>
      <c r="E781" s="43">
        <v>1223</v>
      </c>
      <c r="F781" s="21" t="str">
        <f>HYPERLINK("#'Data'!A13996", "Percentage of households reporting areas/places that women and girls usually avoid, by type broken down by gender and age of respondents on the admin ...")</f>
        <v>Percentage of households reporting areas/places that women and girls usually avoid, by type broken down by gender and age of respondents on the admin ...</v>
      </c>
    </row>
    <row r="782" spans="2:6" x14ac:dyDescent="0.35">
      <c r="B782" t="s">
        <v>129</v>
      </c>
      <c r="C782" t="s">
        <v>146</v>
      </c>
      <c r="D782" t="s">
        <v>36</v>
      </c>
      <c r="E782" s="43">
        <v>1224</v>
      </c>
      <c r="F782" s="21" t="str">
        <f>HYPERLINK("#'Data'!A14037", "Households by reported safety and security concerns for MEN in the area, by concern on the admin of macroregion perc")</f>
        <v>Households by reported safety and security concerns for MEN in the area, by concern on the admin of macroregion perc</v>
      </c>
    </row>
    <row r="783" spans="2:6" x14ac:dyDescent="0.35">
      <c r="B783" t="s">
        <v>129</v>
      </c>
      <c r="C783" t="s">
        <v>146</v>
      </c>
      <c r="D783" t="s">
        <v>57</v>
      </c>
      <c r="E783" s="43">
        <v>1225</v>
      </c>
      <c r="F783" s="21" t="str">
        <f>HYPERLINK("#'Data'!A14046", "Households by reported safety and security concerns for MEN in the area, by concern broken down by households with at least one member with a reported...")</f>
        <v>Households by reported safety and security concerns for MEN in the area, by concern broken down by households with at least one member with a reported...</v>
      </c>
    </row>
    <row r="784" spans="2:6" x14ac:dyDescent="0.35">
      <c r="B784" t="s">
        <v>129</v>
      </c>
      <c r="C784" t="s">
        <v>146</v>
      </c>
      <c r="D784" t="s">
        <v>58</v>
      </c>
      <c r="E784" s="43">
        <v>1226</v>
      </c>
      <c r="F784" s="21" t="str">
        <f>HYPERLINK("#'Data'!A14060", "Households by reported safety and security concerns for MEN in the area, by concern broken down by urbanity on the admin of macroregion perc")</f>
        <v>Households by reported safety and security concerns for MEN in the area, by concern broken down by urbanity on the admin of macroregion perc</v>
      </c>
    </row>
    <row r="785" spans="2:6" x14ac:dyDescent="0.35">
      <c r="B785" t="s">
        <v>129</v>
      </c>
      <c r="C785" t="s">
        <v>146</v>
      </c>
      <c r="D785" t="s">
        <v>59</v>
      </c>
      <c r="E785" s="43">
        <v>1227</v>
      </c>
      <c r="F785" s="21" t="str">
        <f>HYPERLINK("#'Data'!A14074", "Households by reported safety and security concerns for MEN in the area, by concern broken down by household size on the admin of macroregion perc")</f>
        <v>Households by reported safety and security concerns for MEN in the area, by concern broken down by household size on the admin of macroregion perc</v>
      </c>
    </row>
    <row r="786" spans="2:6" x14ac:dyDescent="0.35">
      <c r="B786" t="s">
        <v>129</v>
      </c>
      <c r="C786" t="s">
        <v>146</v>
      </c>
      <c r="D786" t="s">
        <v>60</v>
      </c>
      <c r="E786" s="43">
        <v>1228</v>
      </c>
      <c r="F786" s="21" t="str">
        <f>HYPERLINK("#'Data'!A14093", "Households by reported safety and security concerns for MEN in the area, by concern broken down by income per capita (quartiles) on the admin of macro...")</f>
        <v>Households by reported safety and security concerns for MEN in the area, by concern broken down by income per capita (quartiles) on the admin of macro...</v>
      </c>
    </row>
    <row r="787" spans="2:6" x14ac:dyDescent="0.35">
      <c r="B787" t="s">
        <v>129</v>
      </c>
      <c r="C787" t="s">
        <v>146</v>
      </c>
      <c r="D787" t="s">
        <v>61</v>
      </c>
      <c r="E787" s="43">
        <v>1229</v>
      </c>
      <c r="F787" s="21" t="str">
        <f>HYPERLINK("#'Data'!A14117", "Households by reported safety and security concerns for MEN in the area, by concern broken down by gender of head of household on the admin of macrore...")</f>
        <v>Households by reported safety and security concerns for MEN in the area, by concern broken down by gender of head of household on the admin of macrore...</v>
      </c>
    </row>
    <row r="788" spans="2:6" x14ac:dyDescent="0.35">
      <c r="B788" t="s">
        <v>129</v>
      </c>
      <c r="C788" t="s">
        <v>146</v>
      </c>
      <c r="D788" t="s">
        <v>62</v>
      </c>
      <c r="E788" s="43">
        <v>1230</v>
      </c>
      <c r="F788" s="21" t="str">
        <f>HYPERLINK("#'Data'!A14137", "Households by reported safety and security concerns for MEN in the area, by concern broken down by age of adults in the households on the admin of mac...")</f>
        <v>Households by reported safety and security concerns for MEN in the area, by concern broken down by age of adults in the households on the admin of mac...</v>
      </c>
    </row>
    <row r="789" spans="2:6" x14ac:dyDescent="0.35">
      <c r="B789" t="s">
        <v>129</v>
      </c>
      <c r="C789" t="s">
        <v>146</v>
      </c>
      <c r="D789" t="s">
        <v>76</v>
      </c>
      <c r="E789" s="43">
        <v>1231</v>
      </c>
      <c r="F789" s="21" t="str">
        <f>HYPERLINK("#'Data'!A14156", "Households by reported safety and security concerns for MEN in the area, by concern broken down by households with at least one child (&lt;18 y.o.) on th...")</f>
        <v>Households by reported safety and security concerns for MEN in the area, by concern broken down by households with at least one child (&lt;18 y.o.) on th...</v>
      </c>
    </row>
    <row r="790" spans="2:6" x14ac:dyDescent="0.35">
      <c r="B790" t="s">
        <v>129</v>
      </c>
      <c r="C790" t="s">
        <v>146</v>
      </c>
      <c r="D790" t="s">
        <v>63</v>
      </c>
      <c r="E790" s="43">
        <v>1232</v>
      </c>
      <c r="F790" s="21" t="str">
        <f>HYPERLINK("#'Data'!A14170", "Households by reported safety and security concerns for MEN in the area, by concern broken down by displacement status of head of household on the adm...")</f>
        <v>Households by reported safety and security concerns for MEN in the area, by concern broken down by displacement status of head of household on the adm...</v>
      </c>
    </row>
    <row r="791" spans="2:6" x14ac:dyDescent="0.35">
      <c r="B791" t="s">
        <v>129</v>
      </c>
      <c r="C791" t="s">
        <v>146</v>
      </c>
      <c r="D791" t="s">
        <v>64</v>
      </c>
      <c r="E791" s="43">
        <v>1233</v>
      </c>
      <c r="F791" s="21" t="str">
        <f>HYPERLINK("#'Data'!A14197", "Households by reported safety and security concerns for MEN in the area, by concern broken down by IDP household on the admin of macroregion perc")</f>
        <v>Households by reported safety and security concerns for MEN in the area, by concern broken down by IDP household on the admin of macroregion perc</v>
      </c>
    </row>
    <row r="792" spans="2:6" x14ac:dyDescent="0.35">
      <c r="B792" t="s">
        <v>129</v>
      </c>
      <c r="C792" t="s">
        <v>146</v>
      </c>
      <c r="D792" t="s">
        <v>65</v>
      </c>
      <c r="E792" s="43">
        <v>1234</v>
      </c>
      <c r="F792" s="21" t="str">
        <f>HYPERLINK("#'Data'!A14211", "Households by reported safety and security concerns for MEN in the area, by concern broken down by proximity to frontline/border with Russian Federati...")</f>
        <v>Households by reported safety and security concerns for MEN in the area, by concern broken down by proximity to frontline/border with Russian Federati...</v>
      </c>
    </row>
    <row r="793" spans="2:6" x14ac:dyDescent="0.35">
      <c r="B793" t="s">
        <v>129</v>
      </c>
      <c r="C793" t="s">
        <v>146</v>
      </c>
      <c r="D793" t="s">
        <v>77</v>
      </c>
      <c r="E793" s="43">
        <v>1235</v>
      </c>
      <c r="F793" s="21" t="str">
        <f>HYPERLINK("#'Data'!A14226", "Households by reported safety and security concerns for MEN in the area, by concern broken down by caregiving status  on the admin of macroregion perc")</f>
        <v>Households by reported safety and security concerns for MEN in the area, by concern broken down by caregiving status  on the admin of macroregion perc</v>
      </c>
    </row>
    <row r="794" spans="2:6" x14ac:dyDescent="0.35">
      <c r="B794" t="s">
        <v>129</v>
      </c>
      <c r="C794" t="s">
        <v>146</v>
      </c>
      <c r="D794" t="s">
        <v>131</v>
      </c>
      <c r="E794" s="43">
        <v>1236</v>
      </c>
      <c r="F794" s="21" t="str">
        <f>HYPERLINK("#'Data'!A14248", "Households by reported safety and security concerns for MEN in the area, by concern broken down by gender of respondent on the admin of macroregion pe...")</f>
        <v>Households by reported safety and security concerns for MEN in the area, by concern broken down by gender of respondent on the admin of macroregion pe...</v>
      </c>
    </row>
    <row r="795" spans="2:6" x14ac:dyDescent="0.35">
      <c r="B795" t="s">
        <v>129</v>
      </c>
      <c r="C795" t="s">
        <v>146</v>
      </c>
      <c r="D795" t="s">
        <v>132</v>
      </c>
      <c r="E795" s="43">
        <v>1237</v>
      </c>
      <c r="F795" s="21" t="str">
        <f>HYPERLINK("#'Data'!A14264", "Households by reported safety and security concerns for MEN in the area, by concern broken down by age of respondents on the admin of macroregion perc")</f>
        <v>Households by reported safety and security concerns for MEN in the area, by concern broken down by age of respondents on the admin of macroregion perc</v>
      </c>
    </row>
    <row r="796" spans="2:6" x14ac:dyDescent="0.35">
      <c r="B796" t="s">
        <v>129</v>
      </c>
      <c r="C796" t="s">
        <v>146</v>
      </c>
      <c r="D796" t="s">
        <v>133</v>
      </c>
      <c r="E796" s="43">
        <v>1238</v>
      </c>
      <c r="F796" s="21" t="str">
        <f>HYPERLINK("#'Data'!A14288", "Households by reported safety and security concerns for MEN in the area, by concern broken down by gender and age of respondents on the admin of macro...")</f>
        <v>Households by reported safety and security concerns for MEN in the area, by concern broken down by gender and age of respondents on the admin of macro...</v>
      </c>
    </row>
    <row r="797" spans="2:6" x14ac:dyDescent="0.35">
      <c r="B797" t="s">
        <v>129</v>
      </c>
      <c r="C797" t="s">
        <v>147</v>
      </c>
      <c r="D797" t="s">
        <v>36</v>
      </c>
      <c r="E797" s="43">
        <v>1239</v>
      </c>
      <c r="F797" s="21" t="str">
        <f>HYPERLINK("#'Data'!A14334", "Households by reported safety and security concerns for CHILDREN in the area, by concern on the admin of macroregion perc")</f>
        <v>Households by reported safety and security concerns for CHILDREN in the area, by concern on the admin of macroregion perc</v>
      </c>
    </row>
    <row r="798" spans="2:6" x14ac:dyDescent="0.35">
      <c r="B798" t="s">
        <v>129</v>
      </c>
      <c r="C798" t="s">
        <v>147</v>
      </c>
      <c r="D798" t="s">
        <v>57</v>
      </c>
      <c r="E798" s="43">
        <v>1240</v>
      </c>
      <c r="F798" s="21" t="str">
        <f>HYPERLINK("#'Data'!A14343", "Households by reported safety and security concerns for CHILDREN in the area, by concern broken down by households with at least one member with a rep...")</f>
        <v>Households by reported safety and security concerns for CHILDREN in the area, by concern broken down by households with at least one member with a rep...</v>
      </c>
    </row>
    <row r="799" spans="2:6" x14ac:dyDescent="0.35">
      <c r="B799" t="s">
        <v>129</v>
      </c>
      <c r="C799" t="s">
        <v>147</v>
      </c>
      <c r="D799" t="s">
        <v>58</v>
      </c>
      <c r="E799" s="43">
        <v>1241</v>
      </c>
      <c r="F799" s="21" t="str">
        <f>HYPERLINK("#'Data'!A14357", "Households by reported safety and security concerns for CHILDREN in the area, by concern broken down by urbanity on the admin of macroregion perc")</f>
        <v>Households by reported safety and security concerns for CHILDREN in the area, by concern broken down by urbanity on the admin of macroregion perc</v>
      </c>
    </row>
    <row r="800" spans="2:6" x14ac:dyDescent="0.35">
      <c r="B800" t="s">
        <v>129</v>
      </c>
      <c r="C800" t="s">
        <v>147</v>
      </c>
      <c r="D800" t="s">
        <v>59</v>
      </c>
      <c r="E800" s="43">
        <v>1242</v>
      </c>
      <c r="F800" s="21" t="str">
        <f>HYPERLINK("#'Data'!A14371", "Households by reported safety and security concerns for CHILDREN in the area, by concern broken down by household size on the admin of macroregion per...")</f>
        <v>Households by reported safety and security concerns for CHILDREN in the area, by concern broken down by household size on the admin of macroregion per...</v>
      </c>
    </row>
    <row r="801" spans="2:6" x14ac:dyDescent="0.35">
      <c r="B801" t="s">
        <v>129</v>
      </c>
      <c r="C801" t="s">
        <v>147</v>
      </c>
      <c r="D801" t="s">
        <v>60</v>
      </c>
      <c r="E801" s="43">
        <v>1243</v>
      </c>
      <c r="F801" s="21" t="str">
        <f>HYPERLINK("#'Data'!A14390", "Households by reported safety and security concerns for CHILDREN in the area, by concern broken down by income per capita (quartiles) on the admin of ...")</f>
        <v>Households by reported safety and security concerns for CHILDREN in the area, by concern broken down by income per capita (quartiles) on the admin of ...</v>
      </c>
    </row>
    <row r="802" spans="2:6" x14ac:dyDescent="0.35">
      <c r="B802" t="s">
        <v>129</v>
      </c>
      <c r="C802" t="s">
        <v>147</v>
      </c>
      <c r="D802" t="s">
        <v>61</v>
      </c>
      <c r="E802" s="43">
        <v>1244</v>
      </c>
      <c r="F802" s="21" t="str">
        <f>HYPERLINK("#'Data'!A14414", "Households by reported safety and security concerns for CHILDREN in the area, by concern broken down by gender of head of household on the admin of ma...")</f>
        <v>Households by reported safety and security concerns for CHILDREN in the area, by concern broken down by gender of head of household on the admin of ma...</v>
      </c>
    </row>
    <row r="803" spans="2:6" x14ac:dyDescent="0.35">
      <c r="B803" t="s">
        <v>129</v>
      </c>
      <c r="C803" t="s">
        <v>147</v>
      </c>
      <c r="D803" t="s">
        <v>62</v>
      </c>
      <c r="E803" s="43">
        <v>1245</v>
      </c>
      <c r="F803" s="21" t="str">
        <f>HYPERLINK("#'Data'!A14434", "Households by reported safety and security concerns for CHILDREN in the area, by concern broken down by age of adults in the households on the admin o...")</f>
        <v>Households by reported safety and security concerns for CHILDREN in the area, by concern broken down by age of adults in the households on the admin o...</v>
      </c>
    </row>
    <row r="804" spans="2:6" x14ac:dyDescent="0.35">
      <c r="B804" t="s">
        <v>129</v>
      </c>
      <c r="C804" t="s">
        <v>147</v>
      </c>
      <c r="D804" t="s">
        <v>76</v>
      </c>
      <c r="E804" s="43">
        <v>1246</v>
      </c>
      <c r="F804" s="21" t="str">
        <f>HYPERLINK("#'Data'!A14453", "Households by reported safety and security concerns for CHILDREN in the area, by concern broken down by households with at least one child (&lt;18 y.o.) ...")</f>
        <v>Households by reported safety and security concerns for CHILDREN in the area, by concern broken down by households with at least one child (&lt;18 y.o.) ...</v>
      </c>
    </row>
    <row r="805" spans="2:6" x14ac:dyDescent="0.35">
      <c r="B805" t="s">
        <v>129</v>
      </c>
      <c r="C805" t="s">
        <v>147</v>
      </c>
      <c r="D805" t="s">
        <v>63</v>
      </c>
      <c r="E805" s="43">
        <v>1247</v>
      </c>
      <c r="F805" s="21" t="str">
        <f>HYPERLINK("#'Data'!A14467", "Households by reported safety and security concerns for CHILDREN in the area, by concern broken down by displacement status of head of household on th...")</f>
        <v>Households by reported safety and security concerns for CHILDREN in the area, by concern broken down by displacement status of head of household on th...</v>
      </c>
    </row>
    <row r="806" spans="2:6" x14ac:dyDescent="0.35">
      <c r="B806" t="s">
        <v>129</v>
      </c>
      <c r="C806" t="s">
        <v>147</v>
      </c>
      <c r="D806" t="s">
        <v>64</v>
      </c>
      <c r="E806" s="43">
        <v>1248</v>
      </c>
      <c r="F806" s="21" t="str">
        <f>HYPERLINK("#'Data'!A14494", "Households by reported safety and security concerns for CHILDREN in the area, by concern broken down by IDP household on the admin of macroregion perc")</f>
        <v>Households by reported safety and security concerns for CHILDREN in the area, by concern broken down by IDP household on the admin of macroregion perc</v>
      </c>
    </row>
    <row r="807" spans="2:6" x14ac:dyDescent="0.35">
      <c r="B807" t="s">
        <v>129</v>
      </c>
      <c r="C807" t="s">
        <v>147</v>
      </c>
      <c r="D807" t="s">
        <v>65</v>
      </c>
      <c r="E807" s="43">
        <v>1249</v>
      </c>
      <c r="F807" s="21" t="str">
        <f>HYPERLINK("#'Data'!A14508", "Households by reported safety and security concerns for CHILDREN in the area, by concern broken down by proximity to frontline/border with Russian Fed...")</f>
        <v>Households by reported safety and security concerns for CHILDREN in the area, by concern broken down by proximity to frontline/border with Russian Fed...</v>
      </c>
    </row>
    <row r="808" spans="2:6" x14ac:dyDescent="0.35">
      <c r="B808" t="s">
        <v>129</v>
      </c>
      <c r="C808" t="s">
        <v>147</v>
      </c>
      <c r="D808" t="s">
        <v>77</v>
      </c>
      <c r="E808" s="43">
        <v>1250</v>
      </c>
      <c r="F808" s="21" t="str">
        <f>HYPERLINK("#'Data'!A14523", "Households by reported safety and security concerns for CHILDREN in the area, by concern broken down by caregiving status  on the admin of macroregion...")</f>
        <v>Households by reported safety and security concerns for CHILDREN in the area, by concern broken down by caregiving status  on the admin of macroregion...</v>
      </c>
    </row>
    <row r="809" spans="2:6" x14ac:dyDescent="0.35">
      <c r="B809" t="s">
        <v>129</v>
      </c>
      <c r="C809" t="s">
        <v>147</v>
      </c>
      <c r="D809" t="s">
        <v>131</v>
      </c>
      <c r="E809" s="43">
        <v>1251</v>
      </c>
      <c r="F809" s="21" t="str">
        <f>HYPERLINK("#'Data'!A14545", "Households by reported safety and security concerns for CHILDREN in the area, by concern broken down by gender of respondent on the admin of macroregi...")</f>
        <v>Households by reported safety and security concerns for CHILDREN in the area, by concern broken down by gender of respondent on the admin of macroregi...</v>
      </c>
    </row>
    <row r="810" spans="2:6" x14ac:dyDescent="0.35">
      <c r="B810" t="s">
        <v>129</v>
      </c>
      <c r="C810" t="s">
        <v>147</v>
      </c>
      <c r="D810" t="s">
        <v>132</v>
      </c>
      <c r="E810" s="43">
        <v>1252</v>
      </c>
      <c r="F810" s="21" t="str">
        <f>HYPERLINK("#'Data'!A14561", "Households by reported safety and security concerns for CHILDREN in the area, by concern broken down by age of respondents on the admin of macroregion...")</f>
        <v>Households by reported safety and security concerns for CHILDREN in the area, by concern broken down by age of respondents on the admin of macroregion...</v>
      </c>
    </row>
    <row r="811" spans="2:6" x14ac:dyDescent="0.35">
      <c r="B811" t="s">
        <v>129</v>
      </c>
      <c r="C811" t="s">
        <v>147</v>
      </c>
      <c r="D811" t="s">
        <v>133</v>
      </c>
      <c r="E811" s="43">
        <v>1253</v>
      </c>
      <c r="F811" s="21" t="str">
        <f>HYPERLINK("#'Data'!A14585", "Households by reported safety and security concerns for CHILDREN in the area, by concern broken down by gender and age of respondents on the admin of ...")</f>
        <v>Households by reported safety and security concerns for CHILDREN in the area, by concern broken down by gender and age of respondents on the admin of ...</v>
      </c>
    </row>
    <row r="812" spans="2:6" x14ac:dyDescent="0.35">
      <c r="B812" t="s">
        <v>129</v>
      </c>
      <c r="C812" t="s">
        <v>148</v>
      </c>
      <c r="D812" t="s">
        <v>36</v>
      </c>
      <c r="E812" s="43">
        <v>1254</v>
      </c>
      <c r="F812" s="21" t="str">
        <f>HYPERLINK("#'Data'!A14631", "Housing/land/property (HLP) concerns of households, by concern on the admin of macroregion perc")</f>
        <v>Housing/land/property (HLP) concerns of households, by concern on the admin of macroregion perc</v>
      </c>
    </row>
    <row r="813" spans="2:6" x14ac:dyDescent="0.35">
      <c r="B813" t="s">
        <v>129</v>
      </c>
      <c r="C813" t="s">
        <v>148</v>
      </c>
      <c r="D813" t="s">
        <v>57</v>
      </c>
      <c r="E813" s="43">
        <v>1255</v>
      </c>
      <c r="F813" s="21" t="str">
        <f>HYPERLINK("#'Data'!A14640", "Housing/land/property (HLP) concerns of households, by concern broken down by households with at least one member with a reported and/or registered di...")</f>
        <v>Housing/land/property (HLP) concerns of households, by concern broken down by households with at least one member with a reported and/or registered di...</v>
      </c>
    </row>
    <row r="814" spans="2:6" x14ac:dyDescent="0.35">
      <c r="B814" t="s">
        <v>129</v>
      </c>
      <c r="C814" t="s">
        <v>148</v>
      </c>
      <c r="D814" t="s">
        <v>58</v>
      </c>
      <c r="E814" s="43">
        <v>1256</v>
      </c>
      <c r="F814" s="21" t="str">
        <f>HYPERLINK("#'Data'!A14654", "Housing/land/property (HLP) concerns of households, by concern broken down by urbanity on the admin of macroregion perc")</f>
        <v>Housing/land/property (HLP) concerns of households, by concern broken down by urbanity on the admin of macroregion perc</v>
      </c>
    </row>
    <row r="815" spans="2:6" x14ac:dyDescent="0.35">
      <c r="B815" t="s">
        <v>129</v>
      </c>
      <c r="C815" t="s">
        <v>148</v>
      </c>
      <c r="D815" t="s">
        <v>59</v>
      </c>
      <c r="E815" s="43">
        <v>1257</v>
      </c>
      <c r="F815" s="21" t="str">
        <f>HYPERLINK("#'Data'!A14668", "Housing/land/property (HLP) concerns of households, by concern broken down by household size on the admin of macroregion perc")</f>
        <v>Housing/land/property (HLP) concerns of households, by concern broken down by household size on the admin of macroregion perc</v>
      </c>
    </row>
    <row r="816" spans="2:6" x14ac:dyDescent="0.35">
      <c r="B816" t="s">
        <v>129</v>
      </c>
      <c r="C816" t="s">
        <v>148</v>
      </c>
      <c r="D816" t="s">
        <v>60</v>
      </c>
      <c r="E816" s="43">
        <v>1258</v>
      </c>
      <c r="F816" s="21" t="str">
        <f>HYPERLINK("#'Data'!A14687", "Housing/land/property (HLP) concerns of households, by concern broken down by income per capita (quartiles) on the admin of macroregion perc")</f>
        <v>Housing/land/property (HLP) concerns of households, by concern broken down by income per capita (quartiles) on the admin of macroregion perc</v>
      </c>
    </row>
    <row r="817" spans="2:6" x14ac:dyDescent="0.35">
      <c r="B817" t="s">
        <v>129</v>
      </c>
      <c r="C817" t="s">
        <v>148</v>
      </c>
      <c r="D817" t="s">
        <v>61</v>
      </c>
      <c r="E817" s="43">
        <v>1259</v>
      </c>
      <c r="F817" s="21" t="str">
        <f>HYPERLINK("#'Data'!A14711", "Housing/land/property (HLP) concerns of households, by concern broken down by gender of head of household on the admin of macroregion perc")</f>
        <v>Housing/land/property (HLP) concerns of households, by concern broken down by gender of head of household on the admin of macroregion perc</v>
      </c>
    </row>
    <row r="818" spans="2:6" x14ac:dyDescent="0.35">
      <c r="B818" t="s">
        <v>129</v>
      </c>
      <c r="C818" t="s">
        <v>148</v>
      </c>
      <c r="D818" t="s">
        <v>62</v>
      </c>
      <c r="E818" s="43">
        <v>1260</v>
      </c>
      <c r="F818" s="21" t="str">
        <f>HYPERLINK("#'Data'!A14731", "Housing/land/property (HLP) concerns of households, by concern broken down by age of adults in the households on the admin of macroregion perc")</f>
        <v>Housing/land/property (HLP) concerns of households, by concern broken down by age of adults in the households on the admin of macroregion perc</v>
      </c>
    </row>
    <row r="819" spans="2:6" x14ac:dyDescent="0.35">
      <c r="B819" t="s">
        <v>129</v>
      </c>
      <c r="C819" t="s">
        <v>148</v>
      </c>
      <c r="D819" t="s">
        <v>76</v>
      </c>
      <c r="E819" s="43">
        <v>1261</v>
      </c>
      <c r="F819" s="21" t="str">
        <f>HYPERLINK("#'Data'!A14750", "Housing/land/property (HLP) concerns of households, by concern broken down by households with at least one child (&lt;18 y.o.) on the admin of macroregio...")</f>
        <v>Housing/land/property (HLP) concerns of households, by concern broken down by households with at least one child (&lt;18 y.o.) on the admin of macroregio...</v>
      </c>
    </row>
    <row r="820" spans="2:6" x14ac:dyDescent="0.35">
      <c r="B820" t="s">
        <v>129</v>
      </c>
      <c r="C820" t="s">
        <v>148</v>
      </c>
      <c r="D820" t="s">
        <v>63</v>
      </c>
      <c r="E820" s="43">
        <v>1262</v>
      </c>
      <c r="F820" s="21" t="str">
        <f>HYPERLINK("#'Data'!A14764", "Housing/land/property (HLP) concerns of households, by concern broken down by displacement status of head of household on the admin of macroregion per...")</f>
        <v>Housing/land/property (HLP) concerns of households, by concern broken down by displacement status of head of household on the admin of macroregion per...</v>
      </c>
    </row>
    <row r="821" spans="2:6" x14ac:dyDescent="0.35">
      <c r="B821" t="s">
        <v>129</v>
      </c>
      <c r="C821" t="s">
        <v>148</v>
      </c>
      <c r="D821" t="s">
        <v>64</v>
      </c>
      <c r="E821" s="43">
        <v>1263</v>
      </c>
      <c r="F821" s="21" t="str">
        <f>HYPERLINK("#'Data'!A14791", "Housing/land/property (HLP) concerns of households, by concern broken down by IDP household on the admin of macroregion perc")</f>
        <v>Housing/land/property (HLP) concerns of households, by concern broken down by IDP household on the admin of macroregion perc</v>
      </c>
    </row>
    <row r="822" spans="2:6" x14ac:dyDescent="0.35">
      <c r="B822" t="s">
        <v>129</v>
      </c>
      <c r="C822" t="s">
        <v>148</v>
      </c>
      <c r="D822" t="s">
        <v>65</v>
      </c>
      <c r="E822" s="43">
        <v>1264</v>
      </c>
      <c r="F822" s="21" t="str">
        <f>HYPERLINK("#'Data'!A14805", "Housing/land/property (HLP) concerns of households, by concern broken down by proximity to frontline/border with Russian Federation on the admin of ma...")</f>
        <v>Housing/land/property (HLP) concerns of households, by concern broken down by proximity to frontline/border with Russian Federation on the admin of ma...</v>
      </c>
    </row>
    <row r="823" spans="2:6" x14ac:dyDescent="0.35">
      <c r="B823" t="s">
        <v>129</v>
      </c>
      <c r="C823" t="s">
        <v>148</v>
      </c>
      <c r="D823" t="s">
        <v>77</v>
      </c>
      <c r="E823" s="43">
        <v>1265</v>
      </c>
      <c r="F823" s="21" t="str">
        <f>HYPERLINK("#'Data'!A14820", "Housing/land/property (HLP) concerns of households, by concern broken down by caregiving status  on the admin of macroregion perc")</f>
        <v>Housing/land/property (HLP) concerns of households, by concern broken down by caregiving status  on the admin of macroregion perc</v>
      </c>
    </row>
    <row r="824" spans="2:6" x14ac:dyDescent="0.35">
      <c r="B824" t="s">
        <v>129</v>
      </c>
      <c r="C824" t="s">
        <v>148</v>
      </c>
      <c r="D824" t="s">
        <v>131</v>
      </c>
      <c r="E824" s="43">
        <v>1266</v>
      </c>
      <c r="F824" s="21" t="str">
        <f>HYPERLINK("#'Data'!A14842", "Housing/land/property (HLP) concerns of households, by concern broken down by gender of respondent on the admin of macroregion perc")</f>
        <v>Housing/land/property (HLP) concerns of households, by concern broken down by gender of respondent on the admin of macroregion perc</v>
      </c>
    </row>
    <row r="825" spans="2:6" x14ac:dyDescent="0.35">
      <c r="B825" t="s">
        <v>129</v>
      </c>
      <c r="C825" t="s">
        <v>148</v>
      </c>
      <c r="D825" t="s">
        <v>132</v>
      </c>
      <c r="E825" s="43">
        <v>1267</v>
      </c>
      <c r="F825" s="21" t="str">
        <f>HYPERLINK("#'Data'!A14858", "Housing/land/property (HLP) concerns of households, by concern broken down by age of respondents on the admin of macroregion perc")</f>
        <v>Housing/land/property (HLP) concerns of households, by concern broken down by age of respondents on the admin of macroregion perc</v>
      </c>
    </row>
    <row r="826" spans="2:6" x14ac:dyDescent="0.35">
      <c r="B826" t="s">
        <v>129</v>
      </c>
      <c r="C826" t="s">
        <v>148</v>
      </c>
      <c r="D826" t="s">
        <v>133</v>
      </c>
      <c r="E826" s="43">
        <v>1268</v>
      </c>
      <c r="F826" s="21" t="str">
        <f>HYPERLINK("#'Data'!A14882", "Housing/land/property (HLP) concerns of households, by concern broken down by gender and age of respondents on the admin of macroregion perc")</f>
        <v>Housing/land/property (HLP) concerns of households, by concern broken down by gender and age of respondents on the admin of macroregion perc</v>
      </c>
    </row>
    <row r="827" spans="2:6" x14ac:dyDescent="0.35">
      <c r="B827" t="s">
        <v>129</v>
      </c>
      <c r="C827" t="s">
        <v>149</v>
      </c>
      <c r="D827" t="s">
        <v>36</v>
      </c>
      <c r="E827" s="43">
        <v>1269</v>
      </c>
      <c r="F827" s="21" t="str">
        <f>HYPERLINK("#'Data'!A14928", "Households by presence of explosive ordnance present in community on the admin of macroregion perc")</f>
        <v>Households by presence of explosive ordnance present in community on the admin of macroregion perc</v>
      </c>
    </row>
    <row r="828" spans="2:6" x14ac:dyDescent="0.35">
      <c r="B828" t="s">
        <v>129</v>
      </c>
      <c r="C828" t="s">
        <v>149</v>
      </c>
      <c r="D828" t="s">
        <v>57</v>
      </c>
      <c r="E828" s="43">
        <v>1270</v>
      </c>
      <c r="F828" s="21" t="str">
        <f>HYPERLINK("#'Data'!A14937", "Households by presence of explosive ordnance present in community broken down by households with at least one member with a reported and/or registered...")</f>
        <v>Households by presence of explosive ordnance present in community broken down by households with at least one member with a reported and/or registered...</v>
      </c>
    </row>
    <row r="829" spans="2:6" x14ac:dyDescent="0.35">
      <c r="B829" t="s">
        <v>129</v>
      </c>
      <c r="C829" t="s">
        <v>149</v>
      </c>
      <c r="D829" t="s">
        <v>58</v>
      </c>
      <c r="E829" s="43">
        <v>1271</v>
      </c>
      <c r="F829" s="21" t="str">
        <f>HYPERLINK("#'Data'!A14951", "Households by presence of explosive ordnance present in community broken down by urbanity on the admin of macroregion perc")</f>
        <v>Households by presence of explosive ordnance present in community broken down by urbanity on the admin of macroregion perc</v>
      </c>
    </row>
    <row r="830" spans="2:6" x14ac:dyDescent="0.35">
      <c r="B830" t="s">
        <v>129</v>
      </c>
      <c r="C830" t="s">
        <v>149</v>
      </c>
      <c r="D830" t="s">
        <v>59</v>
      </c>
      <c r="E830" s="43">
        <v>1272</v>
      </c>
      <c r="F830" s="21" t="str">
        <f>HYPERLINK("#'Data'!A14965", "Households by presence of explosive ordnance present in community broken down by household size on the admin of macroregion perc")</f>
        <v>Households by presence of explosive ordnance present in community broken down by household size on the admin of macroregion perc</v>
      </c>
    </row>
    <row r="831" spans="2:6" x14ac:dyDescent="0.35">
      <c r="B831" t="s">
        <v>129</v>
      </c>
      <c r="C831" t="s">
        <v>149</v>
      </c>
      <c r="D831" t="s">
        <v>60</v>
      </c>
      <c r="E831" s="43">
        <v>1273</v>
      </c>
      <c r="F831" s="21" t="str">
        <f>HYPERLINK("#'Data'!A14984", "Households by presence of explosive ordnance present in community broken down by income per capita (quartiles) on the admin of macroregion perc")</f>
        <v>Households by presence of explosive ordnance present in community broken down by income per capita (quartiles) on the admin of macroregion perc</v>
      </c>
    </row>
    <row r="832" spans="2:6" x14ac:dyDescent="0.35">
      <c r="B832" t="s">
        <v>129</v>
      </c>
      <c r="C832" t="s">
        <v>149</v>
      </c>
      <c r="D832" t="s">
        <v>61</v>
      </c>
      <c r="E832" s="43">
        <v>1274</v>
      </c>
      <c r="F832" s="21" t="str">
        <f>HYPERLINK("#'Data'!A15008", "Households by presence of explosive ordnance present in community broken down by gender of head of household on the admin of macroregion perc")</f>
        <v>Households by presence of explosive ordnance present in community broken down by gender of head of household on the admin of macroregion perc</v>
      </c>
    </row>
    <row r="833" spans="2:6" x14ac:dyDescent="0.35">
      <c r="B833" t="s">
        <v>129</v>
      </c>
      <c r="C833" t="s">
        <v>149</v>
      </c>
      <c r="D833" t="s">
        <v>62</v>
      </c>
      <c r="E833" s="43">
        <v>1275</v>
      </c>
      <c r="F833" s="21" t="str">
        <f>HYPERLINK("#'Data'!A15028", "Households by presence of explosive ordnance present in community broken down by age of adults in the households on the admin of macroregion perc")</f>
        <v>Households by presence of explosive ordnance present in community broken down by age of adults in the households on the admin of macroregion perc</v>
      </c>
    </row>
    <row r="834" spans="2:6" x14ac:dyDescent="0.35">
      <c r="B834" t="s">
        <v>129</v>
      </c>
      <c r="C834" t="s">
        <v>149</v>
      </c>
      <c r="D834" t="s">
        <v>76</v>
      </c>
      <c r="E834" s="43">
        <v>1276</v>
      </c>
      <c r="F834" s="21" t="str">
        <f>HYPERLINK("#'Data'!A15047", "Households by presence of explosive ordnance present in community broken down by households with at least one child (&lt;18 y.o.) on the admin of macrore...")</f>
        <v>Households by presence of explosive ordnance present in community broken down by households with at least one child (&lt;18 y.o.) on the admin of macrore...</v>
      </c>
    </row>
    <row r="835" spans="2:6" x14ac:dyDescent="0.35">
      <c r="B835" t="s">
        <v>129</v>
      </c>
      <c r="C835" t="s">
        <v>149</v>
      </c>
      <c r="D835" t="s">
        <v>63</v>
      </c>
      <c r="E835" s="43">
        <v>1277</v>
      </c>
      <c r="F835" s="21" t="str">
        <f>HYPERLINK("#'Data'!A15061", "Households by presence of explosive ordnance present in community broken down by displacement status of head of household on the admin of macroregion ...")</f>
        <v>Households by presence of explosive ordnance present in community broken down by displacement status of head of household on the admin of macroregion ...</v>
      </c>
    </row>
    <row r="836" spans="2:6" x14ac:dyDescent="0.35">
      <c r="B836" t="s">
        <v>129</v>
      </c>
      <c r="C836" t="s">
        <v>149</v>
      </c>
      <c r="D836" t="s">
        <v>64</v>
      </c>
      <c r="E836" s="43">
        <v>1278</v>
      </c>
      <c r="F836" s="21" t="str">
        <f>HYPERLINK("#'Data'!A15088", "Households by presence of explosive ordnance present in community broken down by IDP household on the admin of macroregion perc")</f>
        <v>Households by presence of explosive ordnance present in community broken down by IDP household on the admin of macroregion perc</v>
      </c>
    </row>
    <row r="837" spans="2:6" x14ac:dyDescent="0.35">
      <c r="B837" t="s">
        <v>129</v>
      </c>
      <c r="C837" t="s">
        <v>149</v>
      </c>
      <c r="D837" t="s">
        <v>65</v>
      </c>
      <c r="E837" s="43">
        <v>1279</v>
      </c>
      <c r="F837" s="21" t="str">
        <f>HYPERLINK("#'Data'!A15102", "Households by presence of explosive ordnance present in community broken down by proximity to frontline/border with Russian Federation on the admin of...")</f>
        <v>Households by presence of explosive ordnance present in community broken down by proximity to frontline/border with Russian Federation on the admin of...</v>
      </c>
    </row>
    <row r="838" spans="2:6" x14ac:dyDescent="0.35">
      <c r="B838" t="s">
        <v>129</v>
      </c>
      <c r="C838" t="s">
        <v>149</v>
      </c>
      <c r="D838" t="s">
        <v>77</v>
      </c>
      <c r="E838" s="43">
        <v>1280</v>
      </c>
      <c r="F838" s="21" t="str">
        <f>HYPERLINK("#'Data'!A15117", "Households by presence of explosive ordnance present in community broken down by caregiving status  on the admin of macroregion perc")</f>
        <v>Households by presence of explosive ordnance present in community broken down by caregiving status  on the admin of macroregion perc</v>
      </c>
    </row>
    <row r="839" spans="2:6" x14ac:dyDescent="0.35">
      <c r="B839" t="s">
        <v>129</v>
      </c>
      <c r="C839" t="s">
        <v>149</v>
      </c>
      <c r="D839" t="s">
        <v>131</v>
      </c>
      <c r="E839" s="43">
        <v>1281</v>
      </c>
      <c r="F839" s="21" t="str">
        <f>HYPERLINK("#'Data'!A15139", "Households by presence of explosive ordnance present in community broken down by gender of respondent on the admin of macroregion perc")</f>
        <v>Households by presence of explosive ordnance present in community broken down by gender of respondent on the admin of macroregion perc</v>
      </c>
    </row>
    <row r="840" spans="2:6" x14ac:dyDescent="0.35">
      <c r="B840" t="s">
        <v>129</v>
      </c>
      <c r="C840" t="s">
        <v>149</v>
      </c>
      <c r="D840" t="s">
        <v>132</v>
      </c>
      <c r="E840" s="43">
        <v>1282</v>
      </c>
      <c r="F840" s="21" t="str">
        <f>HYPERLINK("#'Data'!A15155", "Households by presence of explosive ordnance present in community broken down by age of respondents on the admin of macroregion perc")</f>
        <v>Households by presence of explosive ordnance present in community broken down by age of respondents on the admin of macroregion perc</v>
      </c>
    </row>
    <row r="841" spans="2:6" x14ac:dyDescent="0.35">
      <c r="B841" t="s">
        <v>129</v>
      </c>
      <c r="C841" t="s">
        <v>149</v>
      </c>
      <c r="D841" t="s">
        <v>133</v>
      </c>
      <c r="E841" s="43">
        <v>1283</v>
      </c>
      <c r="F841" s="21" t="str">
        <f>HYPERLINK("#'Data'!A15179", "Households by presence of explosive ordnance present in community broken down by gender and age of respondents on the admin of macroregion perc")</f>
        <v>Households by presence of explosive ordnance present in community broken down by gender and age of respondents on the admin of macroregion perc</v>
      </c>
    </row>
    <row r="842" spans="2:6" x14ac:dyDescent="0.35">
      <c r="B842" t="s">
        <v>129</v>
      </c>
      <c r="C842" t="s">
        <v>150</v>
      </c>
      <c r="D842" t="s">
        <v>36</v>
      </c>
      <c r="E842" s="43">
        <v>1284</v>
      </c>
      <c r="F842" s="21" t="str">
        <f>HYPERLINK("#'Data'!A15224", "Households reporting that explosive ordnances affect the livelihoods of people in the community on the admin of macroregion perc")</f>
        <v>Households reporting that explosive ordnances affect the livelihoods of people in the community on the admin of macroregion perc</v>
      </c>
    </row>
    <row r="843" spans="2:6" x14ac:dyDescent="0.35">
      <c r="B843" t="s">
        <v>129</v>
      </c>
      <c r="C843" t="s">
        <v>150</v>
      </c>
      <c r="D843" t="s">
        <v>57</v>
      </c>
      <c r="E843" s="43">
        <v>1285</v>
      </c>
      <c r="F843" s="21" t="str">
        <f>HYPERLINK("#'Data'!A15233", "Households reporting that explosive ordnances affect the livelihoods of people in the community broken down by households with at least one member wit...")</f>
        <v>Households reporting that explosive ordnances affect the livelihoods of people in the community broken down by households with at least one member wit...</v>
      </c>
    </row>
    <row r="844" spans="2:6" x14ac:dyDescent="0.35">
      <c r="B844" t="s">
        <v>129</v>
      </c>
      <c r="C844" t="s">
        <v>150</v>
      </c>
      <c r="D844" t="s">
        <v>58</v>
      </c>
      <c r="E844" s="43">
        <v>1286</v>
      </c>
      <c r="F844" s="21" t="str">
        <f>HYPERLINK("#'Data'!A15246", "Households reporting that explosive ordnances affect the livelihoods of people in the community broken down by urbanity on the admin of macroregion pe...")</f>
        <v>Households reporting that explosive ordnances affect the livelihoods of people in the community broken down by urbanity on the admin of macroregion pe...</v>
      </c>
    </row>
    <row r="845" spans="2:6" x14ac:dyDescent="0.35">
      <c r="B845" t="s">
        <v>129</v>
      </c>
      <c r="C845" t="s">
        <v>150</v>
      </c>
      <c r="D845" t="s">
        <v>59</v>
      </c>
      <c r="E845" s="43">
        <v>1287</v>
      </c>
      <c r="F845" s="21" t="str">
        <f>HYPERLINK("#'Data'!A15258", "Households reporting that explosive ordnances affect the livelihoods of people in the community broken down by household size on the admin of macroreg...")</f>
        <v>Households reporting that explosive ordnances affect the livelihoods of people in the community broken down by household size on the admin of macroreg...</v>
      </c>
    </row>
    <row r="846" spans="2:6" x14ac:dyDescent="0.35">
      <c r="B846" t="s">
        <v>129</v>
      </c>
      <c r="C846" t="s">
        <v>150</v>
      </c>
      <c r="D846" t="s">
        <v>60</v>
      </c>
      <c r="E846" s="43">
        <v>1288</v>
      </c>
      <c r="F846" s="21" t="str">
        <f>HYPERLINK("#'Data'!A15274", "Households reporting that explosive ordnances affect the livelihoods of people in the community broken down by income per capita (quartiles) on the ad...")</f>
        <v>Households reporting that explosive ordnances affect the livelihoods of people in the community broken down by income per capita (quartiles) on the ad...</v>
      </c>
    </row>
    <row r="847" spans="2:6" x14ac:dyDescent="0.35">
      <c r="B847" t="s">
        <v>129</v>
      </c>
      <c r="C847" t="s">
        <v>150</v>
      </c>
      <c r="D847" t="s">
        <v>61</v>
      </c>
      <c r="E847" s="43">
        <v>1289</v>
      </c>
      <c r="F847" s="21" t="str">
        <f>HYPERLINK("#'Data'!A15293", "Households reporting that explosive ordnances affect the livelihoods of people in the community broken down by gender of head of household on the admi...")</f>
        <v>Households reporting that explosive ordnances affect the livelihoods of people in the community broken down by gender of head of household on the admi...</v>
      </c>
    </row>
    <row r="848" spans="2:6" x14ac:dyDescent="0.35">
      <c r="B848" t="s">
        <v>129</v>
      </c>
      <c r="C848" t="s">
        <v>150</v>
      </c>
      <c r="D848" t="s">
        <v>62</v>
      </c>
      <c r="E848" s="43">
        <v>1290</v>
      </c>
      <c r="F848" s="21" t="str">
        <f>HYPERLINK("#'Data'!A15310", "Households reporting that explosive ordnances affect the livelihoods of people in the community broken down by age of adults in the households on the ...")</f>
        <v>Households reporting that explosive ordnances affect the livelihoods of people in the community broken down by age of adults in the households on the ...</v>
      </c>
    </row>
    <row r="849" spans="2:6" x14ac:dyDescent="0.35">
      <c r="B849" t="s">
        <v>129</v>
      </c>
      <c r="C849" t="s">
        <v>150</v>
      </c>
      <c r="D849" t="s">
        <v>76</v>
      </c>
      <c r="E849" s="43">
        <v>1291</v>
      </c>
      <c r="F849" s="21" t="str">
        <f>HYPERLINK("#'Data'!A15327", "Households reporting that explosive ordnances affect the livelihoods of people in the community broken down by households with at least one child (&lt;18...")</f>
        <v>Households reporting that explosive ordnances affect the livelihoods of people in the community broken down by households with at least one child (&lt;18...</v>
      </c>
    </row>
    <row r="850" spans="2:6" x14ac:dyDescent="0.35">
      <c r="B850" t="s">
        <v>129</v>
      </c>
      <c r="C850" t="s">
        <v>150</v>
      </c>
      <c r="D850" t="s">
        <v>63</v>
      </c>
      <c r="E850" s="43">
        <v>1292</v>
      </c>
      <c r="F850" s="21" t="str">
        <f>HYPERLINK("#'Data'!A15340", "Households reporting that explosive ordnances affect the livelihoods of people in the community broken down by displacement status of head of househol...")</f>
        <v>Households reporting that explosive ordnances affect the livelihoods of people in the community broken down by displacement status of head of househol...</v>
      </c>
    </row>
    <row r="851" spans="2:6" x14ac:dyDescent="0.35">
      <c r="B851" t="s">
        <v>129</v>
      </c>
      <c r="C851" t="s">
        <v>150</v>
      </c>
      <c r="D851" t="s">
        <v>64</v>
      </c>
      <c r="E851" s="43">
        <v>1293</v>
      </c>
      <c r="F851" s="21" t="str">
        <f>HYPERLINK("#'Data'!A15360", "Households reporting that explosive ordnances affect the livelihoods of people in the community broken down by IDP household on the admin of macroregi...")</f>
        <v>Households reporting that explosive ordnances affect the livelihoods of people in the community broken down by IDP household on the admin of macroregi...</v>
      </c>
    </row>
    <row r="852" spans="2:6" x14ac:dyDescent="0.35">
      <c r="B852" t="s">
        <v>129</v>
      </c>
      <c r="C852" t="s">
        <v>150</v>
      </c>
      <c r="D852" t="s">
        <v>65</v>
      </c>
      <c r="E852" s="43">
        <v>1294</v>
      </c>
      <c r="F852" s="21" t="str">
        <f>HYPERLINK("#'Data'!A15372", "Households reporting that explosive ordnances affect the livelihoods of people in the community broken down by proximity to frontline/border with Russ...")</f>
        <v>Households reporting that explosive ordnances affect the livelihoods of people in the community broken down by proximity to frontline/border with Russ...</v>
      </c>
    </row>
    <row r="853" spans="2:6" x14ac:dyDescent="0.35">
      <c r="B853" t="s">
        <v>129</v>
      </c>
      <c r="C853" t="s">
        <v>150</v>
      </c>
      <c r="D853" t="s">
        <v>77</v>
      </c>
      <c r="E853" s="43">
        <v>1295</v>
      </c>
      <c r="F853" s="21" t="str">
        <f>HYPERLINK("#'Data'!A15387", "Households reporting that explosive ordnances affect the livelihoods of people in the community broken down by caregiving status  on the admin of macr...")</f>
        <v>Households reporting that explosive ordnances affect the livelihoods of people in the community broken down by caregiving status  on the admin of macr...</v>
      </c>
    </row>
    <row r="854" spans="2:6" x14ac:dyDescent="0.35">
      <c r="B854" t="s">
        <v>129</v>
      </c>
      <c r="C854" t="s">
        <v>150</v>
      </c>
      <c r="D854" t="s">
        <v>131</v>
      </c>
      <c r="E854" s="43">
        <v>1296</v>
      </c>
      <c r="F854" s="21" t="str">
        <f>HYPERLINK("#'Data'!A15405", "Households reporting that explosive ordnances affect the livelihoods of people in the community broken down by gender of respondent on the admin of ma...")</f>
        <v>Households reporting that explosive ordnances affect the livelihoods of people in the community broken down by gender of respondent on the admin of ma...</v>
      </c>
    </row>
    <row r="855" spans="2:6" x14ac:dyDescent="0.35">
      <c r="B855" t="s">
        <v>129</v>
      </c>
      <c r="C855" t="s">
        <v>150</v>
      </c>
      <c r="D855" t="s">
        <v>132</v>
      </c>
      <c r="E855" s="43">
        <v>1297</v>
      </c>
      <c r="F855" s="21" t="str">
        <f>HYPERLINK("#'Data'!A15418", "Households reporting that explosive ordnances affect the livelihoods of people in the community broken down by age of respondents on the admin of macr...")</f>
        <v>Households reporting that explosive ordnances affect the livelihoods of people in the community broken down by age of respondents on the admin of macr...</v>
      </c>
    </row>
    <row r="856" spans="2:6" x14ac:dyDescent="0.35">
      <c r="B856" t="s">
        <v>129</v>
      </c>
      <c r="C856" t="s">
        <v>150</v>
      </c>
      <c r="D856" t="s">
        <v>133</v>
      </c>
      <c r="E856" s="43">
        <v>1298</v>
      </c>
      <c r="F856" s="21" t="str">
        <f>HYPERLINK("#'Data'!A15437", "Households reporting that explosive ordnances affect the livelihoods of people in the community broken down by gender and age of respondents on the ad...")</f>
        <v>Households reporting that explosive ordnances affect the livelihoods of people in the community broken down by gender and age of respondents on the ad...</v>
      </c>
    </row>
    <row r="857" spans="2:6" x14ac:dyDescent="0.35">
      <c r="B857" t="s">
        <v>129</v>
      </c>
      <c r="C857" t="s">
        <v>151</v>
      </c>
      <c r="D857" t="s">
        <v>36</v>
      </c>
      <c r="E857" s="43">
        <v>1299</v>
      </c>
      <c r="F857" s="21" t="str">
        <f>HYPERLINK("#'Data'!A15467", "Households by frequency of training/awareness on safe behaviours towards Explosive Ordnances on the admin of macroregion mean")</f>
        <v>Households by frequency of training/awareness on safe behaviours towards Explosive Ordnances on the admin of macroregion mean</v>
      </c>
    </row>
    <row r="858" spans="2:6" x14ac:dyDescent="0.35">
      <c r="B858" t="s">
        <v>129</v>
      </c>
      <c r="C858" t="s">
        <v>151</v>
      </c>
      <c r="D858" t="s">
        <v>57</v>
      </c>
      <c r="E858" s="43">
        <v>1300</v>
      </c>
      <c r="F858" s="21" t="str">
        <f>HYPERLINK("#'Data'!A15476", "Households by frequency of training/awareness on safe behaviours towards Explosive Ordnances broken down by households with at least one member with a...")</f>
        <v>Households by frequency of training/awareness on safe behaviours towards Explosive Ordnances broken down by households with at least one member with a...</v>
      </c>
    </row>
    <row r="859" spans="2:6" x14ac:dyDescent="0.35">
      <c r="B859" t="s">
        <v>129</v>
      </c>
      <c r="C859" t="s">
        <v>151</v>
      </c>
      <c r="D859" t="s">
        <v>58</v>
      </c>
      <c r="E859" s="43">
        <v>1301</v>
      </c>
      <c r="F859" s="21" t="str">
        <f>HYPERLINK("#'Data'!A15490", "Households by frequency of training/awareness on safe behaviours towards Explosive Ordnances broken down by urbanity on the admin of macroregion mean")</f>
        <v>Households by frequency of training/awareness on safe behaviours towards Explosive Ordnances broken down by urbanity on the admin of macroregion mean</v>
      </c>
    </row>
    <row r="860" spans="2:6" x14ac:dyDescent="0.35">
      <c r="B860" t="s">
        <v>129</v>
      </c>
      <c r="C860" t="s">
        <v>151</v>
      </c>
      <c r="D860" t="s">
        <v>59</v>
      </c>
      <c r="E860" s="43">
        <v>1302</v>
      </c>
      <c r="F860" s="21" t="str">
        <f>HYPERLINK("#'Data'!A15504", "Households by frequency of training/awareness on safe behaviours towards Explosive Ordnances broken down by household size on the admin of macroregion...")</f>
        <v>Households by frequency of training/awareness on safe behaviours towards Explosive Ordnances broken down by household size on the admin of macroregion...</v>
      </c>
    </row>
    <row r="861" spans="2:6" x14ac:dyDescent="0.35">
      <c r="B861" t="s">
        <v>129</v>
      </c>
      <c r="C861" t="s">
        <v>151</v>
      </c>
      <c r="D861" t="s">
        <v>60</v>
      </c>
      <c r="E861" s="43">
        <v>1303</v>
      </c>
      <c r="F861" s="21" t="str">
        <f>HYPERLINK("#'Data'!A15523", "Households by frequency of training/awareness on safe behaviours towards Explosive Ordnances broken down by income per capita (quartiles) on the admin...")</f>
        <v>Households by frequency of training/awareness on safe behaviours towards Explosive Ordnances broken down by income per capita (quartiles) on the admin...</v>
      </c>
    </row>
    <row r="862" spans="2:6" x14ac:dyDescent="0.35">
      <c r="B862" t="s">
        <v>129</v>
      </c>
      <c r="C862" t="s">
        <v>151</v>
      </c>
      <c r="D862" t="s">
        <v>61</v>
      </c>
      <c r="E862" s="43">
        <v>1304</v>
      </c>
      <c r="F862" s="21" t="str">
        <f>HYPERLINK("#'Data'!A15547", "Households by frequency of training/awareness on safe behaviours towards Explosive Ordnances broken down by gender of head of household on the admin o...")</f>
        <v>Households by frequency of training/awareness on safe behaviours towards Explosive Ordnances broken down by gender of head of household on the admin o...</v>
      </c>
    </row>
    <row r="863" spans="2:6" x14ac:dyDescent="0.35">
      <c r="B863" t="s">
        <v>129</v>
      </c>
      <c r="C863" t="s">
        <v>151</v>
      </c>
      <c r="D863" t="s">
        <v>62</v>
      </c>
      <c r="E863" s="43">
        <v>1305</v>
      </c>
      <c r="F863" s="21" t="str">
        <f>HYPERLINK("#'Data'!A15567", "Households by frequency of training/awareness on safe behaviours towards Explosive Ordnances broken down by age of adults in the households on the adm...")</f>
        <v>Households by frequency of training/awareness on safe behaviours towards Explosive Ordnances broken down by age of adults in the households on the adm...</v>
      </c>
    </row>
    <row r="864" spans="2:6" x14ac:dyDescent="0.35">
      <c r="B864" t="s">
        <v>129</v>
      </c>
      <c r="C864" t="s">
        <v>151</v>
      </c>
      <c r="D864" t="s">
        <v>76</v>
      </c>
      <c r="E864" s="43">
        <v>1306</v>
      </c>
      <c r="F864" s="21" t="str">
        <f>HYPERLINK("#'Data'!A15586", "Households by frequency of training/awareness on safe behaviours towards Explosive Ordnances broken down by households with at least one child (&lt;18 y....")</f>
        <v>Households by frequency of training/awareness on safe behaviours towards Explosive Ordnances broken down by households with at least one child (&lt;18 y....</v>
      </c>
    </row>
    <row r="865" spans="2:6" x14ac:dyDescent="0.35">
      <c r="B865" t="s">
        <v>129</v>
      </c>
      <c r="C865" t="s">
        <v>151</v>
      </c>
      <c r="D865" t="s">
        <v>63</v>
      </c>
      <c r="E865" s="43">
        <v>1307</v>
      </c>
      <c r="F865" s="21" t="str">
        <f>HYPERLINK("#'Data'!A15600", "Households by frequency of training/awareness on safe behaviours towards Explosive Ordnances broken down by displacement status of head of household o...")</f>
        <v>Households by frequency of training/awareness on safe behaviours towards Explosive Ordnances broken down by displacement status of head of household o...</v>
      </c>
    </row>
    <row r="866" spans="2:6" x14ac:dyDescent="0.35">
      <c r="B866" t="s">
        <v>129</v>
      </c>
      <c r="C866" t="s">
        <v>151</v>
      </c>
      <c r="D866" t="s">
        <v>64</v>
      </c>
      <c r="E866" s="43">
        <v>1308</v>
      </c>
      <c r="F866" s="21" t="str">
        <f>HYPERLINK("#'Data'!A15627", "Households by frequency of training/awareness on safe behaviours towards Explosive Ordnances broken down by IDP household on the admin of macroregion ...")</f>
        <v>Households by frequency of training/awareness on safe behaviours towards Explosive Ordnances broken down by IDP household on the admin of macroregion ...</v>
      </c>
    </row>
    <row r="867" spans="2:6" x14ac:dyDescent="0.35">
      <c r="B867" t="s">
        <v>129</v>
      </c>
      <c r="C867" t="s">
        <v>151</v>
      </c>
      <c r="D867" t="s">
        <v>65</v>
      </c>
      <c r="E867" s="43">
        <v>1309</v>
      </c>
      <c r="F867" s="21" t="str">
        <f>HYPERLINK("#'Data'!A15641", "Households by frequency of training/awareness on safe behaviours towards Explosive Ordnances broken down by proximity to frontline/border with Russian...")</f>
        <v>Households by frequency of training/awareness on safe behaviours towards Explosive Ordnances broken down by proximity to frontline/border with Russian...</v>
      </c>
    </row>
    <row r="868" spans="2:6" x14ac:dyDescent="0.35">
      <c r="B868" t="s">
        <v>129</v>
      </c>
      <c r="C868" t="s">
        <v>151</v>
      </c>
      <c r="D868" t="s">
        <v>77</v>
      </c>
      <c r="E868" s="43">
        <v>1310</v>
      </c>
      <c r="F868" s="21" t="str">
        <f>HYPERLINK("#'Data'!A15656", "Households by frequency of training/awareness on safe behaviours towards Explosive Ordnances broken down by caregiving status  on the admin of macrore...")</f>
        <v>Households by frequency of training/awareness on safe behaviours towards Explosive Ordnances broken down by caregiving status  on the admin of macrore...</v>
      </c>
    </row>
    <row r="869" spans="2:6" x14ac:dyDescent="0.35">
      <c r="B869" t="s">
        <v>129</v>
      </c>
      <c r="C869" t="s">
        <v>151</v>
      </c>
      <c r="D869" t="s">
        <v>131</v>
      </c>
      <c r="E869" s="43">
        <v>1311</v>
      </c>
      <c r="F869" s="21" t="str">
        <f>HYPERLINK("#'Data'!A15678", "Households by frequency of training/awareness on safe behaviours towards Explosive Ordnances broken down by gender of respondent on the admin of macro...")</f>
        <v>Households by frequency of training/awareness on safe behaviours towards Explosive Ordnances broken down by gender of respondent on the admin of macro...</v>
      </c>
    </row>
    <row r="870" spans="2:6" x14ac:dyDescent="0.35">
      <c r="B870" t="s">
        <v>129</v>
      </c>
      <c r="C870" t="s">
        <v>151</v>
      </c>
      <c r="D870" t="s">
        <v>132</v>
      </c>
      <c r="E870" s="43">
        <v>1312</v>
      </c>
      <c r="F870" s="21" t="str">
        <f>HYPERLINK("#'Data'!A15694", "Households by frequency of training/awareness on safe behaviours towards Explosive Ordnances broken down by age of respondents on the admin of macrore...")</f>
        <v>Households by frequency of training/awareness on safe behaviours towards Explosive Ordnances broken down by age of respondents on the admin of macrore...</v>
      </c>
    </row>
    <row r="871" spans="2:6" x14ac:dyDescent="0.35">
      <c r="B871" t="s">
        <v>129</v>
      </c>
      <c r="C871" t="s">
        <v>151</v>
      </c>
      <c r="D871" t="s">
        <v>133</v>
      </c>
      <c r="E871" s="43">
        <v>1313</v>
      </c>
      <c r="F871" s="21" t="str">
        <f>HYPERLINK("#'Data'!A15718", "Households by frequency of training/awareness on safe behaviours towards Explosive Ordnances broken down by gender and age of respondents on the admin...")</f>
        <v>Households by frequency of training/awareness on safe behaviours towards Explosive Ordnances broken down by gender and age of respondents on the admin...</v>
      </c>
    </row>
    <row r="872" spans="2:6" x14ac:dyDescent="0.35">
      <c r="B872" t="s">
        <v>117</v>
      </c>
      <c r="C872" t="s">
        <v>152</v>
      </c>
      <c r="D872" t="s">
        <v>36</v>
      </c>
      <c r="E872" s="43">
        <v>1314</v>
      </c>
      <c r="F872" s="21" t="str">
        <f>HYPERLINK("#'Data'!A15764", "Percentage of households by current shelter situation on the admin of macroregion perc")</f>
        <v>Percentage of households by current shelter situation on the admin of macroregion perc</v>
      </c>
    </row>
    <row r="873" spans="2:6" x14ac:dyDescent="0.35">
      <c r="B873" t="s">
        <v>117</v>
      </c>
      <c r="C873" t="s">
        <v>152</v>
      </c>
      <c r="D873" t="s">
        <v>57</v>
      </c>
      <c r="E873" s="43">
        <v>1315</v>
      </c>
      <c r="F873" s="21" t="str">
        <f>HYPERLINK("#'Data'!A15773", "Percentage of households by current shelter situation broken down by households with at least one member with a reported and/or registered disability ...")</f>
        <v>Percentage of households by current shelter situation broken down by households with at least one member with a reported and/or registered disability ...</v>
      </c>
    </row>
    <row r="874" spans="2:6" x14ac:dyDescent="0.35">
      <c r="B874" t="s">
        <v>117</v>
      </c>
      <c r="C874" t="s">
        <v>152</v>
      </c>
      <c r="D874" t="s">
        <v>58</v>
      </c>
      <c r="E874" s="43">
        <v>1316</v>
      </c>
      <c r="F874" s="21" t="str">
        <f>HYPERLINK("#'Data'!A15787", "Percentage of households by current shelter situation broken down by urbanity on the admin of macroregion perc")</f>
        <v>Percentage of households by current shelter situation broken down by urbanity on the admin of macroregion perc</v>
      </c>
    </row>
    <row r="875" spans="2:6" x14ac:dyDescent="0.35">
      <c r="B875" t="s">
        <v>117</v>
      </c>
      <c r="C875" t="s">
        <v>152</v>
      </c>
      <c r="D875" t="s">
        <v>59</v>
      </c>
      <c r="E875" s="43">
        <v>1317</v>
      </c>
      <c r="F875" s="21" t="str">
        <f>HYPERLINK("#'Data'!A15801", "Percentage of households by current shelter situation broken down by household size on the admin of macroregion perc")</f>
        <v>Percentage of households by current shelter situation broken down by household size on the admin of macroregion perc</v>
      </c>
    </row>
    <row r="876" spans="2:6" x14ac:dyDescent="0.35">
      <c r="B876" t="s">
        <v>117</v>
      </c>
      <c r="C876" t="s">
        <v>152</v>
      </c>
      <c r="D876" t="s">
        <v>60</v>
      </c>
      <c r="E876" s="43">
        <v>1318</v>
      </c>
      <c r="F876" s="21" t="str">
        <f>HYPERLINK("#'Data'!A15820", "Percentage of households by current shelter situation broken down by income per capita (quartiles) on the admin of macroregion perc")</f>
        <v>Percentage of households by current shelter situation broken down by income per capita (quartiles) on the admin of macroregion perc</v>
      </c>
    </row>
    <row r="877" spans="2:6" x14ac:dyDescent="0.35">
      <c r="B877" t="s">
        <v>117</v>
      </c>
      <c r="C877" t="s">
        <v>152</v>
      </c>
      <c r="D877" t="s">
        <v>61</v>
      </c>
      <c r="E877" s="43">
        <v>1319</v>
      </c>
      <c r="F877" s="21" t="str">
        <f>HYPERLINK("#'Data'!A15844", "Percentage of households by current shelter situation broken down by gender of head of household on the admin of macroregion perc")</f>
        <v>Percentage of households by current shelter situation broken down by gender of head of household on the admin of macroregion perc</v>
      </c>
    </row>
    <row r="878" spans="2:6" x14ac:dyDescent="0.35">
      <c r="B878" t="s">
        <v>117</v>
      </c>
      <c r="C878" t="s">
        <v>152</v>
      </c>
      <c r="D878" t="s">
        <v>62</v>
      </c>
      <c r="E878" s="43">
        <v>1320</v>
      </c>
      <c r="F878" s="21" t="str">
        <f>HYPERLINK("#'Data'!A15864", "Percentage of households by current shelter situation broken down by age of adults in the households on the admin of macroregion perc")</f>
        <v>Percentage of households by current shelter situation broken down by age of adults in the households on the admin of macroregion perc</v>
      </c>
    </row>
    <row r="879" spans="2:6" x14ac:dyDescent="0.35">
      <c r="B879" t="s">
        <v>117</v>
      </c>
      <c r="C879" t="s">
        <v>152</v>
      </c>
      <c r="D879" t="s">
        <v>76</v>
      </c>
      <c r="E879" s="43">
        <v>1321</v>
      </c>
      <c r="F879" s="21" t="str">
        <f>HYPERLINK("#'Data'!A15883", "Percentage of households by current shelter situation broken down by households with at least one child (&lt;18 y.o.) on the admin of macroregion perc")</f>
        <v>Percentage of households by current shelter situation broken down by households with at least one child (&lt;18 y.o.) on the admin of macroregion perc</v>
      </c>
    </row>
    <row r="880" spans="2:6" x14ac:dyDescent="0.35">
      <c r="B880" t="s">
        <v>117</v>
      </c>
      <c r="C880" t="s">
        <v>152</v>
      </c>
      <c r="D880" t="s">
        <v>63</v>
      </c>
      <c r="E880" s="43">
        <v>1322</v>
      </c>
      <c r="F880" s="21" t="str">
        <f>HYPERLINK("#'Data'!A15897", "Percentage of households by current shelter situation broken down by displacement status of head of household on the admin of macroregion perc")</f>
        <v>Percentage of households by current shelter situation broken down by displacement status of head of household on the admin of macroregion perc</v>
      </c>
    </row>
    <row r="881" spans="2:6" x14ac:dyDescent="0.35">
      <c r="B881" t="s">
        <v>117</v>
      </c>
      <c r="C881" t="s">
        <v>152</v>
      </c>
      <c r="D881" t="s">
        <v>64</v>
      </c>
      <c r="E881" s="43">
        <v>1323</v>
      </c>
      <c r="F881" s="21" t="str">
        <f>HYPERLINK("#'Data'!A15924", "Percentage of households by current shelter situation broken down by IDP household on the admin of macroregion perc")</f>
        <v>Percentage of households by current shelter situation broken down by IDP household on the admin of macroregion perc</v>
      </c>
    </row>
    <row r="882" spans="2:6" x14ac:dyDescent="0.35">
      <c r="B882" t="s">
        <v>117</v>
      </c>
      <c r="C882" t="s">
        <v>152</v>
      </c>
      <c r="D882" t="s">
        <v>65</v>
      </c>
      <c r="E882" s="43">
        <v>1324</v>
      </c>
      <c r="F882" s="21" t="str">
        <f>HYPERLINK("#'Data'!A15938", "Percentage of households by current shelter situation broken down by proximity to frontline/border with Russian Federation on the admin of macroregion...")</f>
        <v>Percentage of households by current shelter situation broken down by proximity to frontline/border with Russian Federation on the admin of macroregion...</v>
      </c>
    </row>
    <row r="883" spans="2:6" x14ac:dyDescent="0.35">
      <c r="B883" t="s">
        <v>117</v>
      </c>
      <c r="C883" t="s">
        <v>152</v>
      </c>
      <c r="D883" t="s">
        <v>77</v>
      </c>
      <c r="E883" s="43">
        <v>1325</v>
      </c>
      <c r="F883" s="21" t="str">
        <f>HYPERLINK("#'Data'!A15953", "Percentage of households by current shelter situation broken down by caregiving status  on the admin of macroregion perc")</f>
        <v>Percentage of households by current shelter situation broken down by caregiving status  on the admin of macroregion perc</v>
      </c>
    </row>
    <row r="884" spans="2:6" x14ac:dyDescent="0.35">
      <c r="B884" t="s">
        <v>117</v>
      </c>
      <c r="C884" t="s">
        <v>153</v>
      </c>
      <c r="D884" t="s">
        <v>36</v>
      </c>
      <c r="E884" s="43">
        <v>1326</v>
      </c>
      <c r="F884" s="21" t="str">
        <f>HYPERLINK("#'Data'!A15975", "Percentage of households by current shelter type  on the admin of macroregion perc")</f>
        <v>Percentage of households by current shelter type  on the admin of macroregion perc</v>
      </c>
    </row>
    <row r="885" spans="2:6" x14ac:dyDescent="0.35">
      <c r="B885" t="s">
        <v>117</v>
      </c>
      <c r="C885" t="s">
        <v>153</v>
      </c>
      <c r="D885" t="s">
        <v>57</v>
      </c>
      <c r="E885" s="43">
        <v>1327</v>
      </c>
      <c r="F885" s="21" t="str">
        <f>HYPERLINK("#'Data'!A15984", "Percentage of households by current shelter type  broken down by households with at least one member with a reported and/or registered disability on t...")</f>
        <v>Percentage of households by current shelter type  broken down by households with at least one member with a reported and/or registered disability on t...</v>
      </c>
    </row>
    <row r="886" spans="2:6" x14ac:dyDescent="0.35">
      <c r="B886" t="s">
        <v>117</v>
      </c>
      <c r="C886" t="s">
        <v>153</v>
      </c>
      <c r="D886" t="s">
        <v>58</v>
      </c>
      <c r="E886" s="43">
        <v>1328</v>
      </c>
      <c r="F886" s="21" t="str">
        <f>HYPERLINK("#'Data'!A15998", "Percentage of households by current shelter type  broken down by urbanity on the admin of macroregion perc")</f>
        <v>Percentage of households by current shelter type  broken down by urbanity on the admin of macroregion perc</v>
      </c>
    </row>
    <row r="887" spans="2:6" x14ac:dyDescent="0.35">
      <c r="B887" t="s">
        <v>117</v>
      </c>
      <c r="C887" t="s">
        <v>153</v>
      </c>
      <c r="D887" t="s">
        <v>59</v>
      </c>
      <c r="E887" s="43">
        <v>1329</v>
      </c>
      <c r="F887" s="21" t="str">
        <f>HYPERLINK("#'Data'!A16012", "Percentage of households by current shelter type  broken down by household size on the admin of macroregion perc")</f>
        <v>Percentage of households by current shelter type  broken down by household size on the admin of macroregion perc</v>
      </c>
    </row>
    <row r="888" spans="2:6" x14ac:dyDescent="0.35">
      <c r="B888" t="s">
        <v>117</v>
      </c>
      <c r="C888" t="s">
        <v>153</v>
      </c>
      <c r="D888" t="s">
        <v>60</v>
      </c>
      <c r="E888" s="43">
        <v>1330</v>
      </c>
      <c r="F888" s="21" t="str">
        <f>HYPERLINK("#'Data'!A16031", "Percentage of households by current shelter type  broken down by income per capita (quartiles) on the admin of macroregion perc")</f>
        <v>Percentage of households by current shelter type  broken down by income per capita (quartiles) on the admin of macroregion perc</v>
      </c>
    </row>
    <row r="889" spans="2:6" x14ac:dyDescent="0.35">
      <c r="B889" t="s">
        <v>117</v>
      </c>
      <c r="C889" t="s">
        <v>153</v>
      </c>
      <c r="D889" t="s">
        <v>61</v>
      </c>
      <c r="E889" s="43">
        <v>1331</v>
      </c>
      <c r="F889" s="21" t="str">
        <f>HYPERLINK("#'Data'!A16055", "Percentage of households by current shelter type  broken down by gender of head of household on the admin of macroregion perc")</f>
        <v>Percentage of households by current shelter type  broken down by gender of head of household on the admin of macroregion perc</v>
      </c>
    </row>
    <row r="890" spans="2:6" x14ac:dyDescent="0.35">
      <c r="B890" t="s">
        <v>117</v>
      </c>
      <c r="C890" t="s">
        <v>153</v>
      </c>
      <c r="D890" t="s">
        <v>62</v>
      </c>
      <c r="E890" s="43">
        <v>1332</v>
      </c>
      <c r="F890" s="21" t="str">
        <f>HYPERLINK("#'Data'!A16075", "Percentage of households by current shelter type  broken down by age of adults in the households on the admin of macroregion perc")</f>
        <v>Percentage of households by current shelter type  broken down by age of adults in the households on the admin of macroregion perc</v>
      </c>
    </row>
    <row r="891" spans="2:6" x14ac:dyDescent="0.35">
      <c r="B891" t="s">
        <v>117</v>
      </c>
      <c r="C891" t="s">
        <v>153</v>
      </c>
      <c r="D891" t="s">
        <v>76</v>
      </c>
      <c r="E891" s="43">
        <v>1333</v>
      </c>
      <c r="F891" s="21" t="str">
        <f>HYPERLINK("#'Data'!A16094", "Percentage of households by current shelter type  broken down by households with at least one child (&lt;18 y.o.) on the admin of macroregion perc")</f>
        <v>Percentage of households by current shelter type  broken down by households with at least one child (&lt;18 y.o.) on the admin of macroregion perc</v>
      </c>
    </row>
    <row r="892" spans="2:6" x14ac:dyDescent="0.35">
      <c r="B892" t="s">
        <v>117</v>
      </c>
      <c r="C892" t="s">
        <v>153</v>
      </c>
      <c r="D892" t="s">
        <v>63</v>
      </c>
      <c r="E892" s="43">
        <v>1334</v>
      </c>
      <c r="F892" s="21" t="str">
        <f>HYPERLINK("#'Data'!A16108", "Percentage of households by current shelter type  broken down by displacement status of head of household on the admin of macroregion perc")</f>
        <v>Percentage of households by current shelter type  broken down by displacement status of head of household on the admin of macroregion perc</v>
      </c>
    </row>
    <row r="893" spans="2:6" x14ac:dyDescent="0.35">
      <c r="B893" t="s">
        <v>117</v>
      </c>
      <c r="C893" t="s">
        <v>153</v>
      </c>
      <c r="D893" t="s">
        <v>64</v>
      </c>
      <c r="E893" s="43">
        <v>1335</v>
      </c>
      <c r="F893" s="21" t="str">
        <f>HYPERLINK("#'Data'!A16135", "Percentage of households by current shelter type  broken down by IDP household on the admin of macroregion perc")</f>
        <v>Percentage of households by current shelter type  broken down by IDP household on the admin of macroregion perc</v>
      </c>
    </row>
    <row r="894" spans="2:6" x14ac:dyDescent="0.35">
      <c r="B894" t="s">
        <v>117</v>
      </c>
      <c r="C894" t="s">
        <v>153</v>
      </c>
      <c r="D894" t="s">
        <v>65</v>
      </c>
      <c r="E894" s="43">
        <v>1336</v>
      </c>
      <c r="F894" s="21" t="str">
        <f>HYPERLINK("#'Data'!A16149", "Percentage of households by current shelter type  broken down by proximity to frontline/border with Russian Federation on the admin of macroregion per...")</f>
        <v>Percentage of households by current shelter type  broken down by proximity to frontline/border with Russian Federation on the admin of macroregion per...</v>
      </c>
    </row>
    <row r="895" spans="2:6" x14ac:dyDescent="0.35">
      <c r="B895" t="s">
        <v>117</v>
      </c>
      <c r="C895" t="s">
        <v>153</v>
      </c>
      <c r="D895" t="s">
        <v>77</v>
      </c>
      <c r="E895" s="43">
        <v>1337</v>
      </c>
      <c r="F895" s="21" t="str">
        <f>HYPERLINK("#'Data'!A16164", "Percentage of households by current shelter type  broken down by caregiving status  on the admin of macroregion perc")</f>
        <v>Percentage of households by current shelter type  broken down by caregiving status  on the admin of macroregion perc</v>
      </c>
    </row>
    <row r="896" spans="2:6" x14ac:dyDescent="0.35">
      <c r="B896" t="s">
        <v>117</v>
      </c>
      <c r="C896" t="s">
        <v>154</v>
      </c>
      <c r="D896" t="s">
        <v>36</v>
      </c>
      <c r="E896" s="43">
        <v>1338</v>
      </c>
      <c r="F896" s="21" t="str">
        <f>HYPERLINK("#'Data'!A16186", "Shelter size (squared meters) on the admin of macroregion mean")</f>
        <v>Shelter size (squared meters) on the admin of macroregion mean</v>
      </c>
    </row>
    <row r="897" spans="2:6" x14ac:dyDescent="0.35">
      <c r="B897" t="s">
        <v>117</v>
      </c>
      <c r="C897" t="s">
        <v>154</v>
      </c>
      <c r="D897" t="s">
        <v>57</v>
      </c>
      <c r="E897" s="43">
        <v>1339</v>
      </c>
      <c r="F897" s="21" t="str">
        <f>HYPERLINK("#'Data'!A16195", "Shelter size (squared meters) broken down by households with at least one member with a reported and/or registered disability on the admin of macroreg...")</f>
        <v>Shelter size (squared meters) broken down by households with at least one member with a reported and/or registered disability on the admin of macroreg...</v>
      </c>
    </row>
    <row r="898" spans="2:6" x14ac:dyDescent="0.35">
      <c r="B898" t="s">
        <v>117</v>
      </c>
      <c r="C898" t="s">
        <v>154</v>
      </c>
      <c r="D898" t="s">
        <v>58</v>
      </c>
      <c r="E898" s="43">
        <v>1340</v>
      </c>
      <c r="F898" s="21" t="str">
        <f>HYPERLINK("#'Data'!A16209", "Shelter size (squared meters) broken down by urbanity on the admin of macroregion mean")</f>
        <v>Shelter size (squared meters) broken down by urbanity on the admin of macroregion mean</v>
      </c>
    </row>
    <row r="899" spans="2:6" x14ac:dyDescent="0.35">
      <c r="B899" t="s">
        <v>117</v>
      </c>
      <c r="C899" t="s">
        <v>154</v>
      </c>
      <c r="D899" t="s">
        <v>59</v>
      </c>
      <c r="E899" s="43">
        <v>1341</v>
      </c>
      <c r="F899" s="21" t="str">
        <f>HYPERLINK("#'Data'!A16223", "Shelter size (squared meters) broken down by household size on the admin of macroregion mean")</f>
        <v>Shelter size (squared meters) broken down by household size on the admin of macroregion mean</v>
      </c>
    </row>
    <row r="900" spans="2:6" x14ac:dyDescent="0.35">
      <c r="B900" t="s">
        <v>117</v>
      </c>
      <c r="C900" t="s">
        <v>154</v>
      </c>
      <c r="D900" t="s">
        <v>60</v>
      </c>
      <c r="E900" s="43">
        <v>1342</v>
      </c>
      <c r="F900" s="21" t="str">
        <f>HYPERLINK("#'Data'!A16242", "Shelter size (squared meters) broken down by income per capita (quartiles) on the admin of macroregion mean")</f>
        <v>Shelter size (squared meters) broken down by income per capita (quartiles) on the admin of macroregion mean</v>
      </c>
    </row>
    <row r="901" spans="2:6" x14ac:dyDescent="0.35">
      <c r="B901" t="s">
        <v>117</v>
      </c>
      <c r="C901" t="s">
        <v>154</v>
      </c>
      <c r="D901" t="s">
        <v>61</v>
      </c>
      <c r="E901" s="43">
        <v>1343</v>
      </c>
      <c r="F901" s="21" t="str">
        <f>HYPERLINK("#'Data'!A16266", "Shelter size (squared meters) broken down by gender of head of household on the admin of macroregion mean")</f>
        <v>Shelter size (squared meters) broken down by gender of head of household on the admin of macroregion mean</v>
      </c>
    </row>
    <row r="902" spans="2:6" x14ac:dyDescent="0.35">
      <c r="B902" t="s">
        <v>117</v>
      </c>
      <c r="C902" t="s">
        <v>154</v>
      </c>
      <c r="D902" t="s">
        <v>62</v>
      </c>
      <c r="E902" s="43">
        <v>1344</v>
      </c>
      <c r="F902" s="21" t="str">
        <f>HYPERLINK("#'Data'!A16286", "Shelter size (squared meters) broken down by age of adults in the households on the admin of macroregion mean")</f>
        <v>Shelter size (squared meters) broken down by age of adults in the households on the admin of macroregion mean</v>
      </c>
    </row>
    <row r="903" spans="2:6" x14ac:dyDescent="0.35">
      <c r="B903" t="s">
        <v>117</v>
      </c>
      <c r="C903" t="s">
        <v>154</v>
      </c>
      <c r="D903" t="s">
        <v>76</v>
      </c>
      <c r="E903" s="43">
        <v>1345</v>
      </c>
      <c r="F903" s="21" t="str">
        <f>HYPERLINK("#'Data'!A16305", "Shelter size (squared meters) broken down by households with at least one child (&lt;18 y.o.) on the admin of macroregion mean")</f>
        <v>Shelter size (squared meters) broken down by households with at least one child (&lt;18 y.o.) on the admin of macroregion mean</v>
      </c>
    </row>
    <row r="904" spans="2:6" x14ac:dyDescent="0.35">
      <c r="B904" t="s">
        <v>117</v>
      </c>
      <c r="C904" t="s">
        <v>154</v>
      </c>
      <c r="D904" t="s">
        <v>63</v>
      </c>
      <c r="E904" s="43">
        <v>1346</v>
      </c>
      <c r="F904" s="21" t="str">
        <f>HYPERLINK("#'Data'!A16319", "Shelter size (squared meters) broken down by displacement status of head of household on the admin of macroregion mean")</f>
        <v>Shelter size (squared meters) broken down by displacement status of head of household on the admin of macroregion mean</v>
      </c>
    </row>
    <row r="905" spans="2:6" x14ac:dyDescent="0.35">
      <c r="B905" t="s">
        <v>117</v>
      </c>
      <c r="C905" t="s">
        <v>154</v>
      </c>
      <c r="D905" t="s">
        <v>64</v>
      </c>
      <c r="E905" s="43">
        <v>1347</v>
      </c>
      <c r="F905" s="21" t="str">
        <f>HYPERLINK("#'Data'!A16344", "Shelter size (squared meters) broken down by IDP household on the admin of macroregion mean")</f>
        <v>Shelter size (squared meters) broken down by IDP household on the admin of macroregion mean</v>
      </c>
    </row>
    <row r="906" spans="2:6" x14ac:dyDescent="0.35">
      <c r="B906" t="s">
        <v>117</v>
      </c>
      <c r="C906" t="s">
        <v>154</v>
      </c>
      <c r="D906" t="s">
        <v>65</v>
      </c>
      <c r="E906" s="43">
        <v>1348</v>
      </c>
      <c r="F906" s="21" t="str">
        <f>HYPERLINK("#'Data'!A16358", "Shelter size (squared meters) broken down by proximity to frontline/border with Russian Federation on the admin of macroregion mean")</f>
        <v>Shelter size (squared meters) broken down by proximity to frontline/border with Russian Federation on the admin of macroregion mean</v>
      </c>
    </row>
    <row r="907" spans="2:6" x14ac:dyDescent="0.35">
      <c r="B907" t="s">
        <v>117</v>
      </c>
      <c r="C907" t="s">
        <v>154</v>
      </c>
      <c r="D907" t="s">
        <v>77</v>
      </c>
      <c r="E907" s="43">
        <v>1349</v>
      </c>
      <c r="F907" s="21" t="str">
        <f>HYPERLINK("#'Data'!A16373", "Shelter size (squared meters) broken down by caregiving status  on the admin of macroregion mean")</f>
        <v>Shelter size (squared meters) broken down by caregiving status  on the admin of macroregion mean</v>
      </c>
    </row>
    <row r="908" spans="2:6" x14ac:dyDescent="0.35">
      <c r="B908" t="s">
        <v>117</v>
      </c>
      <c r="C908" t="s">
        <v>155</v>
      </c>
      <c r="D908" t="s">
        <v>36</v>
      </c>
      <c r="E908" s="43">
        <v>1350</v>
      </c>
      <c r="F908" s="21" t="str">
        <f>HYPERLINK("#'Data'!A16395", "Number of individuals sharing a shelter on the admin of macroregion mean")</f>
        <v>Number of individuals sharing a shelter on the admin of macroregion mean</v>
      </c>
    </row>
    <row r="909" spans="2:6" x14ac:dyDescent="0.35">
      <c r="B909" t="s">
        <v>117</v>
      </c>
      <c r="C909" t="s">
        <v>155</v>
      </c>
      <c r="D909" t="s">
        <v>57</v>
      </c>
      <c r="E909" s="43">
        <v>1351</v>
      </c>
      <c r="F909" s="21" t="str">
        <f>HYPERLINK("#'Data'!A16404", "Number of individuals sharing a shelter broken down by households with at least one member with a reported and/or registered disability on the admin o...")</f>
        <v>Number of individuals sharing a shelter broken down by households with at least one member with a reported and/or registered disability on the admin o...</v>
      </c>
    </row>
    <row r="910" spans="2:6" x14ac:dyDescent="0.35">
      <c r="B910" t="s">
        <v>117</v>
      </c>
      <c r="C910" t="s">
        <v>155</v>
      </c>
      <c r="D910" t="s">
        <v>58</v>
      </c>
      <c r="E910" s="43">
        <v>1352</v>
      </c>
      <c r="F910" s="21" t="str">
        <f>HYPERLINK("#'Data'!A16418", "Number of individuals sharing a shelter broken down by urbanity on the admin of macroregion mean")</f>
        <v>Number of individuals sharing a shelter broken down by urbanity on the admin of macroregion mean</v>
      </c>
    </row>
    <row r="911" spans="2:6" x14ac:dyDescent="0.35">
      <c r="B911" t="s">
        <v>117</v>
      </c>
      <c r="C911" t="s">
        <v>155</v>
      </c>
      <c r="D911" t="s">
        <v>59</v>
      </c>
      <c r="E911" s="43">
        <v>1353</v>
      </c>
      <c r="F911" s="21" t="str">
        <f>HYPERLINK("#'Data'!A16432", "Number of individuals sharing a shelter broken down by household size on the admin of macroregion mean")</f>
        <v>Number of individuals sharing a shelter broken down by household size on the admin of macroregion mean</v>
      </c>
    </row>
    <row r="912" spans="2:6" x14ac:dyDescent="0.35">
      <c r="B912" t="s">
        <v>117</v>
      </c>
      <c r="C912" t="s">
        <v>155</v>
      </c>
      <c r="D912" t="s">
        <v>60</v>
      </c>
      <c r="E912" s="43">
        <v>1354</v>
      </c>
      <c r="F912" s="21" t="str">
        <f>HYPERLINK("#'Data'!A16451", "Number of individuals sharing a shelter broken down by income per capita (quartiles) on the admin of macroregion mean")</f>
        <v>Number of individuals sharing a shelter broken down by income per capita (quartiles) on the admin of macroregion mean</v>
      </c>
    </row>
    <row r="913" spans="2:6" x14ac:dyDescent="0.35">
      <c r="B913" t="s">
        <v>117</v>
      </c>
      <c r="C913" t="s">
        <v>155</v>
      </c>
      <c r="D913" t="s">
        <v>61</v>
      </c>
      <c r="E913" s="43">
        <v>1355</v>
      </c>
      <c r="F913" s="21" t="str">
        <f>HYPERLINK("#'Data'!A16475", "Number of individuals sharing a shelter broken down by gender of head of household on the admin of macroregion mean")</f>
        <v>Number of individuals sharing a shelter broken down by gender of head of household on the admin of macroregion mean</v>
      </c>
    </row>
    <row r="914" spans="2:6" x14ac:dyDescent="0.35">
      <c r="B914" t="s">
        <v>117</v>
      </c>
      <c r="C914" t="s">
        <v>155</v>
      </c>
      <c r="D914" t="s">
        <v>62</v>
      </c>
      <c r="E914" s="43">
        <v>1356</v>
      </c>
      <c r="F914" s="21" t="str">
        <f>HYPERLINK("#'Data'!A16495", "Number of individuals sharing a shelter broken down by age of adults in the households on the admin of macroregion mean")</f>
        <v>Number of individuals sharing a shelter broken down by age of adults in the households on the admin of macroregion mean</v>
      </c>
    </row>
    <row r="915" spans="2:6" x14ac:dyDescent="0.35">
      <c r="B915" t="s">
        <v>117</v>
      </c>
      <c r="C915" t="s">
        <v>155</v>
      </c>
      <c r="D915" t="s">
        <v>76</v>
      </c>
      <c r="E915" s="43">
        <v>1357</v>
      </c>
      <c r="F915" s="21" t="str">
        <f>HYPERLINK("#'Data'!A16514", "Number of individuals sharing a shelter broken down by households with at least one child (&lt;18 y.o.) on the admin of macroregion mean")</f>
        <v>Number of individuals sharing a shelter broken down by households with at least one child (&lt;18 y.o.) on the admin of macroregion mean</v>
      </c>
    </row>
    <row r="916" spans="2:6" x14ac:dyDescent="0.35">
      <c r="B916" t="s">
        <v>117</v>
      </c>
      <c r="C916" t="s">
        <v>155</v>
      </c>
      <c r="D916" t="s">
        <v>63</v>
      </c>
      <c r="E916" s="43">
        <v>1358</v>
      </c>
      <c r="F916" s="21" t="str">
        <f>HYPERLINK("#'Data'!A16528", "Number of individuals sharing a shelter broken down by displacement status of head of household on the admin of macroregion mean")</f>
        <v>Number of individuals sharing a shelter broken down by displacement status of head of household on the admin of macroregion mean</v>
      </c>
    </row>
    <row r="917" spans="2:6" x14ac:dyDescent="0.35">
      <c r="B917" t="s">
        <v>117</v>
      </c>
      <c r="C917" t="s">
        <v>155</v>
      </c>
      <c r="D917" t="s">
        <v>64</v>
      </c>
      <c r="E917" s="43">
        <v>1359</v>
      </c>
      <c r="F917" s="21" t="str">
        <f>HYPERLINK("#'Data'!A16555", "Number of individuals sharing a shelter broken down by IDP household on the admin of macroregion mean")</f>
        <v>Number of individuals sharing a shelter broken down by IDP household on the admin of macroregion mean</v>
      </c>
    </row>
    <row r="918" spans="2:6" x14ac:dyDescent="0.35">
      <c r="B918" t="s">
        <v>117</v>
      </c>
      <c r="C918" t="s">
        <v>155</v>
      </c>
      <c r="D918" t="s">
        <v>65</v>
      </c>
      <c r="E918" s="43">
        <v>1360</v>
      </c>
      <c r="F918" s="21" t="str">
        <f>HYPERLINK("#'Data'!A16569", "Number of individuals sharing a shelter broken down by proximity to frontline/border with Russian Federation on the admin of macroregion mean")</f>
        <v>Number of individuals sharing a shelter broken down by proximity to frontline/border with Russian Federation on the admin of macroregion mean</v>
      </c>
    </row>
    <row r="919" spans="2:6" x14ac:dyDescent="0.35">
      <c r="B919" t="s">
        <v>117</v>
      </c>
      <c r="C919" t="s">
        <v>155</v>
      </c>
      <c r="D919" t="s">
        <v>77</v>
      </c>
      <c r="E919" s="43">
        <v>1361</v>
      </c>
      <c r="F919" s="21" t="str">
        <f>HYPERLINK("#'Data'!A16584", "Number of individuals sharing a shelter broken down by caregiving status  on the admin of macroregion mean")</f>
        <v>Number of individuals sharing a shelter broken down by caregiving status  on the admin of macroregion mean</v>
      </c>
    </row>
    <row r="920" spans="2:6" x14ac:dyDescent="0.35">
      <c r="B920" t="s">
        <v>117</v>
      </c>
      <c r="C920" t="s">
        <v>156</v>
      </c>
      <c r="D920" t="s">
        <v>36</v>
      </c>
      <c r="E920" s="43">
        <v>1362</v>
      </c>
      <c r="F920" s="21" t="str">
        <f>HYPERLINK("#'Data'!A16606", "Percentage of households by occupancy arrangement of current shelter on the admin of macroregion perc")</f>
        <v>Percentage of households by occupancy arrangement of current shelter on the admin of macroregion perc</v>
      </c>
    </row>
    <row r="921" spans="2:6" x14ac:dyDescent="0.35">
      <c r="B921" t="s">
        <v>117</v>
      </c>
      <c r="C921" t="s">
        <v>156</v>
      </c>
      <c r="D921" t="s">
        <v>57</v>
      </c>
      <c r="E921" s="43">
        <v>1363</v>
      </c>
      <c r="F921" s="21" t="str">
        <f>HYPERLINK("#'Data'!A16615", "Percentage of households by occupancy arrangement of current shelter broken down by households with at least one member with a reported and/or registe...")</f>
        <v>Percentage of households by occupancy arrangement of current shelter broken down by households with at least one member with a reported and/or registe...</v>
      </c>
    </row>
    <row r="922" spans="2:6" x14ac:dyDescent="0.35">
      <c r="B922" t="s">
        <v>117</v>
      </c>
      <c r="C922" t="s">
        <v>156</v>
      </c>
      <c r="D922" t="s">
        <v>58</v>
      </c>
      <c r="E922" s="43">
        <v>1364</v>
      </c>
      <c r="F922" s="21" t="str">
        <f>HYPERLINK("#'Data'!A16629", "Percentage of households by occupancy arrangement of current shelter broken down by urbanity on the admin of macroregion perc")</f>
        <v>Percentage of households by occupancy arrangement of current shelter broken down by urbanity on the admin of macroregion perc</v>
      </c>
    </row>
    <row r="923" spans="2:6" x14ac:dyDescent="0.35">
      <c r="B923" t="s">
        <v>117</v>
      </c>
      <c r="C923" t="s">
        <v>156</v>
      </c>
      <c r="D923" t="s">
        <v>59</v>
      </c>
      <c r="E923" s="43">
        <v>1365</v>
      </c>
      <c r="F923" s="21" t="str">
        <f>HYPERLINK("#'Data'!A16643", "Percentage of households by occupancy arrangement of current shelter broken down by household size on the admin of macroregion perc")</f>
        <v>Percentage of households by occupancy arrangement of current shelter broken down by household size on the admin of macroregion perc</v>
      </c>
    </row>
    <row r="924" spans="2:6" x14ac:dyDescent="0.35">
      <c r="B924" t="s">
        <v>117</v>
      </c>
      <c r="C924" t="s">
        <v>156</v>
      </c>
      <c r="D924" t="s">
        <v>60</v>
      </c>
      <c r="E924" s="43">
        <v>1366</v>
      </c>
      <c r="F924" s="21" t="str">
        <f>HYPERLINK("#'Data'!A16662", "Percentage of households by occupancy arrangement of current shelter broken down by income per capita (quartiles) on the admin of macroregion perc")</f>
        <v>Percentage of households by occupancy arrangement of current shelter broken down by income per capita (quartiles) on the admin of macroregion perc</v>
      </c>
    </row>
    <row r="925" spans="2:6" x14ac:dyDescent="0.35">
      <c r="B925" t="s">
        <v>117</v>
      </c>
      <c r="C925" t="s">
        <v>156</v>
      </c>
      <c r="D925" t="s">
        <v>61</v>
      </c>
      <c r="E925" s="43">
        <v>1367</v>
      </c>
      <c r="F925" s="21" t="str">
        <f>HYPERLINK("#'Data'!A16686", "Percentage of households by occupancy arrangement of current shelter broken down by gender of head of household on the admin of macroregion perc")</f>
        <v>Percentage of households by occupancy arrangement of current shelter broken down by gender of head of household on the admin of macroregion perc</v>
      </c>
    </row>
    <row r="926" spans="2:6" x14ac:dyDescent="0.35">
      <c r="B926" t="s">
        <v>117</v>
      </c>
      <c r="C926" t="s">
        <v>156</v>
      </c>
      <c r="D926" t="s">
        <v>62</v>
      </c>
      <c r="E926" s="43">
        <v>1368</v>
      </c>
      <c r="F926" s="21" t="str">
        <f>HYPERLINK("#'Data'!A16706", "Percentage of households by occupancy arrangement of current shelter broken down by age of adults in the households on the admin of macroregion perc")</f>
        <v>Percentage of households by occupancy arrangement of current shelter broken down by age of adults in the households on the admin of macroregion perc</v>
      </c>
    </row>
    <row r="927" spans="2:6" x14ac:dyDescent="0.35">
      <c r="B927" t="s">
        <v>117</v>
      </c>
      <c r="C927" t="s">
        <v>156</v>
      </c>
      <c r="D927" t="s">
        <v>76</v>
      </c>
      <c r="E927" s="43">
        <v>1369</v>
      </c>
      <c r="F927" s="21" t="str">
        <f>HYPERLINK("#'Data'!A16725", "Percentage of households by occupancy arrangement of current shelter broken down by households with at least one child (&lt;18 y.o.) on the admin of macr...")</f>
        <v>Percentage of households by occupancy arrangement of current shelter broken down by households with at least one child (&lt;18 y.o.) on the admin of macr...</v>
      </c>
    </row>
    <row r="928" spans="2:6" x14ac:dyDescent="0.35">
      <c r="B928" t="s">
        <v>117</v>
      </c>
      <c r="C928" t="s">
        <v>156</v>
      </c>
      <c r="D928" t="s">
        <v>63</v>
      </c>
      <c r="E928" s="43">
        <v>1370</v>
      </c>
      <c r="F928" s="21" t="str">
        <f>HYPERLINK("#'Data'!A16739", "Percentage of households by occupancy arrangement of current shelter broken down by displacement status of head of household on the admin of macroregi...")</f>
        <v>Percentage of households by occupancy arrangement of current shelter broken down by displacement status of head of household on the admin of macroregi...</v>
      </c>
    </row>
    <row r="929" spans="2:6" x14ac:dyDescent="0.35">
      <c r="B929" t="s">
        <v>117</v>
      </c>
      <c r="C929" t="s">
        <v>156</v>
      </c>
      <c r="D929" t="s">
        <v>64</v>
      </c>
      <c r="E929" s="43">
        <v>1371</v>
      </c>
      <c r="F929" s="21" t="str">
        <f>HYPERLINK("#'Data'!A16766", "Percentage of households by occupancy arrangement of current shelter broken down by IDP household on the admin of macroregion perc")</f>
        <v>Percentage of households by occupancy arrangement of current shelter broken down by IDP household on the admin of macroregion perc</v>
      </c>
    </row>
    <row r="930" spans="2:6" x14ac:dyDescent="0.35">
      <c r="B930" t="s">
        <v>117</v>
      </c>
      <c r="C930" t="s">
        <v>156</v>
      </c>
      <c r="D930" t="s">
        <v>65</v>
      </c>
      <c r="E930" s="43">
        <v>1372</v>
      </c>
      <c r="F930" s="21" t="str">
        <f>HYPERLINK("#'Data'!A16780", "Percentage of households by occupancy arrangement of current shelter broken down by proximity to frontline/border with Russian Federation on the admin...")</f>
        <v>Percentage of households by occupancy arrangement of current shelter broken down by proximity to frontline/border with Russian Federation on the admin...</v>
      </c>
    </row>
    <row r="931" spans="2:6" x14ac:dyDescent="0.35">
      <c r="B931" t="s">
        <v>117</v>
      </c>
      <c r="C931" t="s">
        <v>156</v>
      </c>
      <c r="D931" t="s">
        <v>77</v>
      </c>
      <c r="E931" s="43">
        <v>1373</v>
      </c>
      <c r="F931" s="21" t="str">
        <f>HYPERLINK("#'Data'!A16795", "Percentage of households by occupancy arrangement of current shelter broken down by caregiving status  on the admin of macroregion perc")</f>
        <v>Percentage of households by occupancy arrangement of current shelter broken down by caregiving status  on the admin of macroregion perc</v>
      </c>
    </row>
    <row r="932" spans="2:6" x14ac:dyDescent="0.35">
      <c r="B932" t="s">
        <v>117</v>
      </c>
      <c r="C932" t="s">
        <v>157</v>
      </c>
      <c r="D932" t="s">
        <v>36</v>
      </c>
      <c r="E932" s="43">
        <v>1374</v>
      </c>
      <c r="F932" s="21" t="str">
        <f>HYPERLINK("#'Data'!A16817", "Percentage of households feeling at risk of eviction within the next 6 months on the admin of macroregion perc")</f>
        <v>Percentage of households feeling at risk of eviction within the next 6 months on the admin of macroregion perc</v>
      </c>
    </row>
    <row r="933" spans="2:6" x14ac:dyDescent="0.35">
      <c r="B933" t="s">
        <v>117</v>
      </c>
      <c r="C933" t="s">
        <v>157</v>
      </c>
      <c r="D933" t="s">
        <v>57</v>
      </c>
      <c r="E933" s="43">
        <v>1375</v>
      </c>
      <c r="F933" s="21" t="str">
        <f>HYPERLINK("#'Data'!A16826", "Percentage of households feeling at risk of eviction within the next 6 months broken down by households with at least one member with a reported and/o...")</f>
        <v>Percentage of households feeling at risk of eviction within the next 6 months broken down by households with at least one member with a reported and/o...</v>
      </c>
    </row>
    <row r="934" spans="2:6" x14ac:dyDescent="0.35">
      <c r="B934" t="s">
        <v>117</v>
      </c>
      <c r="C934" t="s">
        <v>157</v>
      </c>
      <c r="D934" t="s">
        <v>58</v>
      </c>
      <c r="E934" s="43">
        <v>1376</v>
      </c>
      <c r="F934" s="21" t="str">
        <f>HYPERLINK("#'Data'!A16840", "Percentage of households feeling at risk of eviction within the next 6 months broken down by urbanity on the admin of macroregion perc")</f>
        <v>Percentage of households feeling at risk of eviction within the next 6 months broken down by urbanity on the admin of macroregion perc</v>
      </c>
    </row>
    <row r="935" spans="2:6" x14ac:dyDescent="0.35">
      <c r="B935" t="s">
        <v>117</v>
      </c>
      <c r="C935" t="s">
        <v>157</v>
      </c>
      <c r="D935" t="s">
        <v>59</v>
      </c>
      <c r="E935" s="43">
        <v>1377</v>
      </c>
      <c r="F935" s="21" t="str">
        <f>HYPERLINK("#'Data'!A16854", "Percentage of households feeling at risk of eviction within the next 6 months broken down by household size on the admin of macroregion perc")</f>
        <v>Percentage of households feeling at risk of eviction within the next 6 months broken down by household size on the admin of macroregion perc</v>
      </c>
    </row>
    <row r="936" spans="2:6" x14ac:dyDescent="0.35">
      <c r="B936" t="s">
        <v>117</v>
      </c>
      <c r="C936" t="s">
        <v>157</v>
      </c>
      <c r="D936" t="s">
        <v>60</v>
      </c>
      <c r="E936" s="43">
        <v>1378</v>
      </c>
      <c r="F936" s="21" t="str">
        <f>HYPERLINK("#'Data'!A16873", "Percentage of households feeling at risk of eviction within the next 6 months broken down by income per capita (quartiles) on the admin of macroregion...")</f>
        <v>Percentage of households feeling at risk of eviction within the next 6 months broken down by income per capita (quartiles) on the admin of macroregion...</v>
      </c>
    </row>
    <row r="937" spans="2:6" x14ac:dyDescent="0.35">
      <c r="B937" t="s">
        <v>117</v>
      </c>
      <c r="C937" t="s">
        <v>157</v>
      </c>
      <c r="D937" t="s">
        <v>61</v>
      </c>
      <c r="E937" s="43">
        <v>1379</v>
      </c>
      <c r="F937" s="21" t="str">
        <f>HYPERLINK("#'Data'!A16897", "Percentage of households feeling at risk of eviction within the next 6 months broken down by gender of head of household on the admin of macroregion p...")</f>
        <v>Percentage of households feeling at risk of eviction within the next 6 months broken down by gender of head of household on the admin of macroregion p...</v>
      </c>
    </row>
    <row r="938" spans="2:6" x14ac:dyDescent="0.35">
      <c r="B938" t="s">
        <v>117</v>
      </c>
      <c r="C938" t="s">
        <v>157</v>
      </c>
      <c r="D938" t="s">
        <v>62</v>
      </c>
      <c r="E938" s="43">
        <v>1380</v>
      </c>
      <c r="F938" s="21" t="str">
        <f>HYPERLINK("#'Data'!A16917", "Percentage of households feeling at risk of eviction within the next 6 months broken down by age of adults in the households on the admin of macroregi...")</f>
        <v>Percentage of households feeling at risk of eviction within the next 6 months broken down by age of adults in the households on the admin of macroregi...</v>
      </c>
    </row>
    <row r="939" spans="2:6" x14ac:dyDescent="0.35">
      <c r="B939" t="s">
        <v>117</v>
      </c>
      <c r="C939" t="s">
        <v>157</v>
      </c>
      <c r="D939" t="s">
        <v>76</v>
      </c>
      <c r="E939" s="43">
        <v>1381</v>
      </c>
      <c r="F939" s="21" t="str">
        <f>HYPERLINK("#'Data'!A16936", "Percentage of households feeling at risk of eviction within the next 6 months broken down by households with at least one child (&lt;18 y.o.) on the admi...")</f>
        <v>Percentage of households feeling at risk of eviction within the next 6 months broken down by households with at least one child (&lt;18 y.o.) on the admi...</v>
      </c>
    </row>
    <row r="940" spans="2:6" x14ac:dyDescent="0.35">
      <c r="B940" t="s">
        <v>117</v>
      </c>
      <c r="C940" t="s">
        <v>157</v>
      </c>
      <c r="D940" t="s">
        <v>63</v>
      </c>
      <c r="E940" s="43">
        <v>1382</v>
      </c>
      <c r="F940" s="21" t="str">
        <f>HYPERLINK("#'Data'!A16950", "Percentage of households feeling at risk of eviction within the next 6 months broken down by displacement status of head of household on the admin of ...")</f>
        <v>Percentage of households feeling at risk of eviction within the next 6 months broken down by displacement status of head of household on the admin of ...</v>
      </c>
    </row>
    <row r="941" spans="2:6" x14ac:dyDescent="0.35">
      <c r="B941" t="s">
        <v>117</v>
      </c>
      <c r="C941" t="s">
        <v>157</v>
      </c>
      <c r="D941" t="s">
        <v>64</v>
      </c>
      <c r="E941" s="43">
        <v>1383</v>
      </c>
      <c r="F941" s="21" t="str">
        <f>HYPERLINK("#'Data'!A16977", "Percentage of households feeling at risk of eviction within the next 6 months broken down by IDP household on the admin of macroregion perc")</f>
        <v>Percentage of households feeling at risk of eviction within the next 6 months broken down by IDP household on the admin of macroregion perc</v>
      </c>
    </row>
    <row r="942" spans="2:6" x14ac:dyDescent="0.35">
      <c r="B942" t="s">
        <v>117</v>
      </c>
      <c r="C942" t="s">
        <v>157</v>
      </c>
      <c r="D942" t="s">
        <v>65</v>
      </c>
      <c r="E942" s="43">
        <v>1384</v>
      </c>
      <c r="F942" s="21" t="str">
        <f>HYPERLINK("#'Data'!A16991", "Percentage of households feeling at risk of eviction within the next 6 months broken down by proximity to frontline/border with Russian Federation on ...")</f>
        <v>Percentage of households feeling at risk of eviction within the next 6 months broken down by proximity to frontline/border with Russian Federation on ...</v>
      </c>
    </row>
    <row r="943" spans="2:6" x14ac:dyDescent="0.35">
      <c r="B943" t="s">
        <v>117</v>
      </c>
      <c r="C943" t="s">
        <v>157</v>
      </c>
      <c r="D943" t="s">
        <v>77</v>
      </c>
      <c r="E943" s="43">
        <v>1385</v>
      </c>
      <c r="F943" s="21" t="str">
        <f>HYPERLINK("#'Data'!A17006", "Percentage of households feeling at risk of eviction within the next 6 months broken down by caregiving status  on the admin of macroregion perc")</f>
        <v>Percentage of households feeling at risk of eviction within the next 6 months broken down by caregiving status  on the admin of macroregion perc</v>
      </c>
    </row>
    <row r="944" spans="2:6" x14ac:dyDescent="0.35">
      <c r="B944" t="s">
        <v>117</v>
      </c>
      <c r="C944" t="s">
        <v>158</v>
      </c>
      <c r="D944" t="s">
        <v>36</v>
      </c>
      <c r="E944" s="43">
        <v>1386</v>
      </c>
      <c r="F944" s="21" t="str">
        <f>HYPERLINK("#'Data'!A17028", "Percentage of households currently threatened with eviction on the admin of macroregion perc")</f>
        <v>Percentage of households currently threatened with eviction on the admin of macroregion perc</v>
      </c>
    </row>
    <row r="945" spans="2:6" x14ac:dyDescent="0.35">
      <c r="B945" t="s">
        <v>117</v>
      </c>
      <c r="C945" t="s">
        <v>158</v>
      </c>
      <c r="D945" t="s">
        <v>57</v>
      </c>
      <c r="E945" s="43">
        <v>1387</v>
      </c>
      <c r="F945" s="21" t="str">
        <f>HYPERLINK("#'Data'!A17037", "Percentage of households currently threatened with eviction broken down by households with at least one member with a reported and/or registered disab...")</f>
        <v>Percentage of households currently threatened with eviction broken down by households with at least one member with a reported and/or registered disab...</v>
      </c>
    </row>
    <row r="946" spans="2:6" x14ac:dyDescent="0.35">
      <c r="B946" t="s">
        <v>117</v>
      </c>
      <c r="C946" t="s">
        <v>158</v>
      </c>
      <c r="D946" t="s">
        <v>58</v>
      </c>
      <c r="E946" s="43">
        <v>1388</v>
      </c>
      <c r="F946" s="21" t="str">
        <f>HYPERLINK("#'Data'!A17051", "Percentage of households currently threatened with eviction broken down by urbanity on the admin of macroregion perc")</f>
        <v>Percentage of households currently threatened with eviction broken down by urbanity on the admin of macroregion perc</v>
      </c>
    </row>
    <row r="947" spans="2:6" x14ac:dyDescent="0.35">
      <c r="B947" t="s">
        <v>117</v>
      </c>
      <c r="C947" t="s">
        <v>158</v>
      </c>
      <c r="D947" t="s">
        <v>59</v>
      </c>
      <c r="E947" s="43">
        <v>1389</v>
      </c>
      <c r="F947" s="21" t="str">
        <f>HYPERLINK("#'Data'!A17065", "Percentage of households currently threatened with eviction broken down by household size on the admin of macroregion perc")</f>
        <v>Percentage of households currently threatened with eviction broken down by household size on the admin of macroregion perc</v>
      </c>
    </row>
    <row r="948" spans="2:6" x14ac:dyDescent="0.35">
      <c r="B948" t="s">
        <v>117</v>
      </c>
      <c r="C948" t="s">
        <v>158</v>
      </c>
      <c r="D948" t="s">
        <v>60</v>
      </c>
      <c r="E948" s="43">
        <v>1390</v>
      </c>
      <c r="F948" s="21" t="str">
        <f>HYPERLINK("#'Data'!A17081", "Percentage of households currently threatened with eviction broken down by income per capita (quartiles) on the admin of macroregion perc")</f>
        <v>Percentage of households currently threatened with eviction broken down by income per capita (quartiles) on the admin of macroregion perc</v>
      </c>
    </row>
    <row r="949" spans="2:6" x14ac:dyDescent="0.35">
      <c r="B949" t="s">
        <v>117</v>
      </c>
      <c r="C949" t="s">
        <v>158</v>
      </c>
      <c r="D949" t="s">
        <v>61</v>
      </c>
      <c r="E949" s="43">
        <v>1391</v>
      </c>
      <c r="F949" s="21" t="str">
        <f>HYPERLINK("#'Data'!A17103", "Percentage of households currently threatened with eviction broken down by gender of head of household on the admin of macroregion perc")</f>
        <v>Percentage of households currently threatened with eviction broken down by gender of head of household on the admin of macroregion perc</v>
      </c>
    </row>
    <row r="950" spans="2:6" x14ac:dyDescent="0.35">
      <c r="B950" t="s">
        <v>117</v>
      </c>
      <c r="C950" t="s">
        <v>158</v>
      </c>
      <c r="D950" t="s">
        <v>62</v>
      </c>
      <c r="E950" s="43">
        <v>1392</v>
      </c>
      <c r="F950" s="21" t="str">
        <f>HYPERLINK("#'Data'!A17121", "Percentage of households currently threatened with eviction broken down by age of adults in the households on the admin of macroregion perc")</f>
        <v>Percentage of households currently threatened with eviction broken down by age of adults in the households on the admin of macroregion perc</v>
      </c>
    </row>
    <row r="951" spans="2:6" x14ac:dyDescent="0.35">
      <c r="B951" t="s">
        <v>117</v>
      </c>
      <c r="C951" t="s">
        <v>158</v>
      </c>
      <c r="D951" t="s">
        <v>76</v>
      </c>
      <c r="E951" s="43">
        <v>1393</v>
      </c>
      <c r="F951" s="21" t="str">
        <f>HYPERLINK("#'Data'!A17140", "Percentage of households currently threatened with eviction broken down by households with at least one child (&lt;18 y.o.) on the admin of macroregion p...")</f>
        <v>Percentage of households currently threatened with eviction broken down by households with at least one child (&lt;18 y.o.) on the admin of macroregion p...</v>
      </c>
    </row>
    <row r="952" spans="2:6" x14ac:dyDescent="0.35">
      <c r="B952" t="s">
        <v>117</v>
      </c>
      <c r="C952" t="s">
        <v>158</v>
      </c>
      <c r="D952" t="s">
        <v>63</v>
      </c>
      <c r="E952" s="43">
        <v>1394</v>
      </c>
      <c r="F952" s="21" t="str">
        <f>HYPERLINK("#'Data'!A17154", "Percentage of households currently threatened with eviction broken down by displacement status of head of household on the admin of macroregion perc")</f>
        <v>Percentage of households currently threatened with eviction broken down by displacement status of head of household on the admin of macroregion perc</v>
      </c>
    </row>
    <row r="953" spans="2:6" x14ac:dyDescent="0.35">
      <c r="B953" t="s">
        <v>117</v>
      </c>
      <c r="C953" t="s">
        <v>158</v>
      </c>
      <c r="D953" t="s">
        <v>64</v>
      </c>
      <c r="E953" s="43">
        <v>1395</v>
      </c>
      <c r="F953" s="21" t="str">
        <f>HYPERLINK("#'Data'!A17174", "Percentage of households currently threatened with eviction broken down by IDP household on the admin of macroregion perc")</f>
        <v>Percentage of households currently threatened with eviction broken down by IDP household on the admin of macroregion perc</v>
      </c>
    </row>
    <row r="954" spans="2:6" x14ac:dyDescent="0.35">
      <c r="B954" t="s">
        <v>117</v>
      </c>
      <c r="C954" t="s">
        <v>158</v>
      </c>
      <c r="D954" t="s">
        <v>65</v>
      </c>
      <c r="E954" s="43">
        <v>1396</v>
      </c>
      <c r="F954" s="21" t="str">
        <f>HYPERLINK("#'Data'!A17188", "Percentage of households currently threatened with eviction broken down by proximity to frontline/border with Russian Federation on the admin of macro...")</f>
        <v>Percentage of households currently threatened with eviction broken down by proximity to frontline/border with Russian Federation on the admin of macro...</v>
      </c>
    </row>
    <row r="955" spans="2:6" x14ac:dyDescent="0.35">
      <c r="B955" t="s">
        <v>117</v>
      </c>
      <c r="C955" t="s">
        <v>158</v>
      </c>
      <c r="D955" t="s">
        <v>77</v>
      </c>
      <c r="E955" s="43">
        <v>1397</v>
      </c>
      <c r="F955" s="21" t="str">
        <f>HYPERLINK("#'Data'!A17203", "Percentage of households currently threatened with eviction broken down by caregiving status  on the admin of macroregion perc")</f>
        <v>Percentage of households currently threatened with eviction broken down by caregiving status  on the admin of macroregion perc</v>
      </c>
    </row>
    <row r="956" spans="2:6" x14ac:dyDescent="0.35">
      <c r="B956" t="s">
        <v>117</v>
      </c>
      <c r="C956" t="s">
        <v>159</v>
      </c>
      <c r="D956" t="s">
        <v>36</v>
      </c>
      <c r="E956" s="43">
        <v>1398</v>
      </c>
      <c r="F956" s="21" t="str">
        <f>HYPERLINK("#'Data'!A17220", "Percentage of households by current shelter issues that were NOT caused by the war, by issue on the admin of macroregion perc")</f>
        <v>Percentage of households by current shelter issues that were NOT caused by the war, by issue on the admin of macroregion perc</v>
      </c>
    </row>
    <row r="957" spans="2:6" x14ac:dyDescent="0.35">
      <c r="B957" t="s">
        <v>117</v>
      </c>
      <c r="C957" t="s">
        <v>159</v>
      </c>
      <c r="D957" t="s">
        <v>57</v>
      </c>
      <c r="E957" s="43">
        <v>1399</v>
      </c>
      <c r="F957" s="21" t="str">
        <f>HYPERLINK("#'Data'!A17229", "Percentage of households by current shelter issues that were NOT caused by the war, by issue broken down by households with at least one member with a...")</f>
        <v>Percentage of households by current shelter issues that were NOT caused by the war, by issue broken down by households with at least one member with a...</v>
      </c>
    </row>
    <row r="958" spans="2:6" x14ac:dyDescent="0.35">
      <c r="B958" t="s">
        <v>117</v>
      </c>
      <c r="C958" t="s">
        <v>159</v>
      </c>
      <c r="D958" t="s">
        <v>58</v>
      </c>
      <c r="E958" s="43">
        <v>1400</v>
      </c>
      <c r="F958" s="21" t="str">
        <f>HYPERLINK("#'Data'!A17243", "Percentage of households by current shelter issues that were NOT caused by the war, by issue broken down by urbanity on the admin of macroregion perc")</f>
        <v>Percentage of households by current shelter issues that were NOT caused by the war, by issue broken down by urbanity on the admin of macroregion perc</v>
      </c>
    </row>
    <row r="959" spans="2:6" x14ac:dyDescent="0.35">
      <c r="B959" t="s">
        <v>117</v>
      </c>
      <c r="C959" t="s">
        <v>159</v>
      </c>
      <c r="D959" t="s">
        <v>59</v>
      </c>
      <c r="E959" s="43">
        <v>1401</v>
      </c>
      <c r="F959" s="21" t="str">
        <f>HYPERLINK("#'Data'!A17257", "Percentage of households by current shelter issues that were NOT caused by the war, by issue broken down by household size on the admin of macroregion...")</f>
        <v>Percentage of households by current shelter issues that were NOT caused by the war, by issue broken down by household size on the admin of macroregion...</v>
      </c>
    </row>
    <row r="960" spans="2:6" x14ac:dyDescent="0.35">
      <c r="B960" t="s">
        <v>117</v>
      </c>
      <c r="C960" t="s">
        <v>159</v>
      </c>
      <c r="D960" t="s">
        <v>60</v>
      </c>
      <c r="E960" s="43">
        <v>1402</v>
      </c>
      <c r="F960" s="21" t="str">
        <f>HYPERLINK("#'Data'!A17276", "Percentage of households by current shelter issues that were NOT caused by the war, by issue broken down by income per capita (quartiles) on the admin...")</f>
        <v>Percentage of households by current shelter issues that were NOT caused by the war, by issue broken down by income per capita (quartiles) on the admin...</v>
      </c>
    </row>
    <row r="961" spans="2:6" x14ac:dyDescent="0.35">
      <c r="B961" t="s">
        <v>117</v>
      </c>
      <c r="C961" t="s">
        <v>159</v>
      </c>
      <c r="D961" t="s">
        <v>61</v>
      </c>
      <c r="E961" s="43">
        <v>1403</v>
      </c>
      <c r="F961" s="21" t="str">
        <f>HYPERLINK("#'Data'!A17300", "Percentage of households by current shelter issues that were NOT caused by the war, by issue broken down by gender of head of household on the admin o...")</f>
        <v>Percentage of households by current shelter issues that were NOT caused by the war, by issue broken down by gender of head of household on the admin o...</v>
      </c>
    </row>
    <row r="962" spans="2:6" x14ac:dyDescent="0.35">
      <c r="B962" t="s">
        <v>117</v>
      </c>
      <c r="C962" t="s">
        <v>159</v>
      </c>
      <c r="D962" t="s">
        <v>62</v>
      </c>
      <c r="E962" s="43">
        <v>1404</v>
      </c>
      <c r="F962" s="21" t="str">
        <f>HYPERLINK("#'Data'!A17320", "Percentage of households by current shelter issues that were NOT caused by the war, by issue broken down by age of adults in the households on the adm...")</f>
        <v>Percentage of households by current shelter issues that were NOT caused by the war, by issue broken down by age of adults in the households on the adm...</v>
      </c>
    </row>
    <row r="963" spans="2:6" x14ac:dyDescent="0.35">
      <c r="B963" t="s">
        <v>117</v>
      </c>
      <c r="C963" t="s">
        <v>159</v>
      </c>
      <c r="D963" t="s">
        <v>76</v>
      </c>
      <c r="E963" s="43">
        <v>1405</v>
      </c>
      <c r="F963" s="21" t="str">
        <f>HYPERLINK("#'Data'!A17339", "Percentage of households by current shelter issues that were NOT caused by the war, by issue broken down by households with at least one child (&lt;18 y....")</f>
        <v>Percentage of households by current shelter issues that were NOT caused by the war, by issue broken down by households with at least one child (&lt;18 y....</v>
      </c>
    </row>
    <row r="964" spans="2:6" x14ac:dyDescent="0.35">
      <c r="B964" t="s">
        <v>117</v>
      </c>
      <c r="C964" t="s">
        <v>159</v>
      </c>
      <c r="D964" t="s">
        <v>63</v>
      </c>
      <c r="E964" s="43">
        <v>1406</v>
      </c>
      <c r="F964" s="21" t="str">
        <f>HYPERLINK("#'Data'!A17353", "Percentage of households by current shelter issues that were NOT caused by the war, by issue broken down by displacement status of head of household o...")</f>
        <v>Percentage of households by current shelter issues that were NOT caused by the war, by issue broken down by displacement status of head of household o...</v>
      </c>
    </row>
    <row r="965" spans="2:6" x14ac:dyDescent="0.35">
      <c r="B965" t="s">
        <v>117</v>
      </c>
      <c r="C965" t="s">
        <v>159</v>
      </c>
      <c r="D965" t="s">
        <v>64</v>
      </c>
      <c r="E965" s="43">
        <v>1407</v>
      </c>
      <c r="F965" s="21" t="str">
        <f>HYPERLINK("#'Data'!A17380", "Percentage of households by current shelter issues that were NOT caused by the war, by issue broken down by IDP household on the admin of macroregion ...")</f>
        <v>Percentage of households by current shelter issues that were NOT caused by the war, by issue broken down by IDP household on the admin of macroregion ...</v>
      </c>
    </row>
    <row r="966" spans="2:6" x14ac:dyDescent="0.35">
      <c r="B966" t="s">
        <v>117</v>
      </c>
      <c r="C966" t="s">
        <v>159</v>
      </c>
      <c r="D966" t="s">
        <v>65</v>
      </c>
      <c r="E966" s="43">
        <v>1408</v>
      </c>
      <c r="F966" s="21" t="str">
        <f>HYPERLINK("#'Data'!A17394", "Percentage of households by current shelter issues that were NOT caused by the war, by issue broken down by proximity to frontline/border with Russian...")</f>
        <v>Percentage of households by current shelter issues that were NOT caused by the war, by issue broken down by proximity to frontline/border with Russian...</v>
      </c>
    </row>
    <row r="967" spans="2:6" x14ac:dyDescent="0.35">
      <c r="B967" t="s">
        <v>117</v>
      </c>
      <c r="C967" t="s">
        <v>159</v>
      </c>
      <c r="D967" t="s">
        <v>77</v>
      </c>
      <c r="E967" s="43">
        <v>1409</v>
      </c>
      <c r="F967" s="21" t="str">
        <f>HYPERLINK("#'Data'!A17409", "Percentage of households by current shelter issues that were NOT caused by the war, by issue broken down by caregiving status  on the admin of macrore...")</f>
        <v>Percentage of households by current shelter issues that were NOT caused by the war, by issue broken down by caregiving status  on the admin of macrore...</v>
      </c>
    </row>
    <row r="968" spans="2:6" x14ac:dyDescent="0.35">
      <c r="B968" t="s">
        <v>117</v>
      </c>
      <c r="C968" t="s">
        <v>160</v>
      </c>
      <c r="D968" t="s">
        <v>36</v>
      </c>
      <c r="E968" s="43">
        <v>1410</v>
      </c>
      <c r="F968" s="21" t="str">
        <f>HYPERLINK("#'Data'!A17431", "Percentage of households reporting damage to current shelter caused by the war since February 2022 on the admin of macroregion perc")</f>
        <v>Percentage of households reporting damage to current shelter caused by the war since February 2022 on the admin of macroregion perc</v>
      </c>
    </row>
    <row r="969" spans="2:6" x14ac:dyDescent="0.35">
      <c r="B969" t="s">
        <v>117</v>
      </c>
      <c r="C969" t="s">
        <v>160</v>
      </c>
      <c r="D969" t="s">
        <v>57</v>
      </c>
      <c r="E969" s="43">
        <v>1411</v>
      </c>
      <c r="F969" s="21" t="str">
        <f>HYPERLINK("#'Data'!A17440", "Percentage of households reporting damage to current shelter caused by the war since February 2022 broken down by households with at least one member ...")</f>
        <v>Percentage of households reporting damage to current shelter caused by the war since February 2022 broken down by households with at least one member ...</v>
      </c>
    </row>
    <row r="970" spans="2:6" x14ac:dyDescent="0.35">
      <c r="B970" t="s">
        <v>117</v>
      </c>
      <c r="C970" t="s">
        <v>160</v>
      </c>
      <c r="D970" t="s">
        <v>58</v>
      </c>
      <c r="E970" s="43">
        <v>1412</v>
      </c>
      <c r="F970" s="21" t="str">
        <f>HYPERLINK("#'Data'!A17454", "Percentage of households reporting damage to current shelter caused by the war since February 2022 broken down by urbanity on the admin of macroregion...")</f>
        <v>Percentage of households reporting damage to current shelter caused by the war since February 2022 broken down by urbanity on the admin of macroregion...</v>
      </c>
    </row>
    <row r="971" spans="2:6" x14ac:dyDescent="0.35">
      <c r="B971" t="s">
        <v>117</v>
      </c>
      <c r="C971" t="s">
        <v>160</v>
      </c>
      <c r="D971" t="s">
        <v>59</v>
      </c>
      <c r="E971" s="43">
        <v>1413</v>
      </c>
      <c r="F971" s="21" t="str">
        <f>HYPERLINK("#'Data'!A17468", "Percentage of households reporting damage to current shelter caused by the war since February 2022 broken down by household size on the admin of macro...")</f>
        <v>Percentage of households reporting damage to current shelter caused by the war since February 2022 broken down by household size on the admin of macro...</v>
      </c>
    </row>
    <row r="972" spans="2:6" x14ac:dyDescent="0.35">
      <c r="B972" t="s">
        <v>117</v>
      </c>
      <c r="C972" t="s">
        <v>160</v>
      </c>
      <c r="D972" t="s">
        <v>60</v>
      </c>
      <c r="E972" s="43">
        <v>1414</v>
      </c>
      <c r="F972" s="21" t="str">
        <f>HYPERLINK("#'Data'!A17487", "Percentage of households reporting damage to current shelter caused by the war since February 2022 broken down by income per capita (quartiles) on the...")</f>
        <v>Percentage of households reporting damage to current shelter caused by the war since February 2022 broken down by income per capita (quartiles) on the...</v>
      </c>
    </row>
    <row r="973" spans="2:6" x14ac:dyDescent="0.35">
      <c r="B973" t="s">
        <v>117</v>
      </c>
      <c r="C973" t="s">
        <v>160</v>
      </c>
      <c r="D973" t="s">
        <v>61</v>
      </c>
      <c r="E973" s="43">
        <v>1415</v>
      </c>
      <c r="F973" s="21" t="str">
        <f>HYPERLINK("#'Data'!A17511", "Percentage of households reporting damage to current shelter caused by the war since February 2022 broken down by gender of head of household on the a...")</f>
        <v>Percentage of households reporting damage to current shelter caused by the war since February 2022 broken down by gender of head of household on the a...</v>
      </c>
    </row>
    <row r="974" spans="2:6" x14ac:dyDescent="0.35">
      <c r="B974" t="s">
        <v>117</v>
      </c>
      <c r="C974" t="s">
        <v>160</v>
      </c>
      <c r="D974" t="s">
        <v>62</v>
      </c>
      <c r="E974" s="43">
        <v>1416</v>
      </c>
      <c r="F974" s="21" t="str">
        <f>HYPERLINK("#'Data'!A17531", "Percentage of households reporting damage to current shelter caused by the war since February 2022 broken down by age of adults in the households on t...")</f>
        <v>Percentage of households reporting damage to current shelter caused by the war since February 2022 broken down by age of adults in the households on t...</v>
      </c>
    </row>
    <row r="975" spans="2:6" x14ac:dyDescent="0.35">
      <c r="B975" t="s">
        <v>117</v>
      </c>
      <c r="C975" t="s">
        <v>160</v>
      </c>
      <c r="D975" t="s">
        <v>76</v>
      </c>
      <c r="E975" s="43">
        <v>1417</v>
      </c>
      <c r="F975" s="21" t="str">
        <f>HYPERLINK("#'Data'!A17550", "Percentage of households reporting damage to current shelter caused by the war since February 2022 broken down by households with at least one child (...")</f>
        <v>Percentage of households reporting damage to current shelter caused by the war since February 2022 broken down by households with at least one child (...</v>
      </c>
    </row>
    <row r="976" spans="2:6" x14ac:dyDescent="0.35">
      <c r="B976" t="s">
        <v>117</v>
      </c>
      <c r="C976" t="s">
        <v>160</v>
      </c>
      <c r="D976" t="s">
        <v>63</v>
      </c>
      <c r="E976" s="43">
        <v>1418</v>
      </c>
      <c r="F976" s="21" t="str">
        <f>HYPERLINK("#'Data'!A17564", "Percentage of households reporting damage to current shelter caused by the war since February 2022 broken down by displacement status of head of house...")</f>
        <v>Percentage of households reporting damage to current shelter caused by the war since February 2022 broken down by displacement status of head of house...</v>
      </c>
    </row>
    <row r="977" spans="2:6" x14ac:dyDescent="0.35">
      <c r="B977" t="s">
        <v>117</v>
      </c>
      <c r="C977" t="s">
        <v>160</v>
      </c>
      <c r="D977" t="s">
        <v>64</v>
      </c>
      <c r="E977" s="43">
        <v>1419</v>
      </c>
      <c r="F977" s="21" t="str">
        <f>HYPERLINK("#'Data'!A17591", "Percentage of households reporting damage to current shelter caused by the war since February 2022 broken down by IDP household on the admin of macror...")</f>
        <v>Percentage of households reporting damage to current shelter caused by the war since February 2022 broken down by IDP household on the admin of macror...</v>
      </c>
    </row>
    <row r="978" spans="2:6" x14ac:dyDescent="0.35">
      <c r="B978" t="s">
        <v>117</v>
      </c>
      <c r="C978" t="s">
        <v>160</v>
      </c>
      <c r="D978" t="s">
        <v>65</v>
      </c>
      <c r="E978" s="43">
        <v>1420</v>
      </c>
      <c r="F978" s="21" t="str">
        <f>HYPERLINK("#'Data'!A17605", "Percentage of households reporting damage to current shelter caused by the war since February 2022 broken down by proximity to frontline/border with R...")</f>
        <v>Percentage of households reporting damage to current shelter caused by the war since February 2022 broken down by proximity to frontline/border with R...</v>
      </c>
    </row>
    <row r="979" spans="2:6" x14ac:dyDescent="0.35">
      <c r="B979" t="s">
        <v>117</v>
      </c>
      <c r="C979" t="s">
        <v>160</v>
      </c>
      <c r="D979" t="s">
        <v>77</v>
      </c>
      <c r="E979" s="43">
        <v>1421</v>
      </c>
      <c r="F979" s="21" t="str">
        <f>HYPERLINK("#'Data'!A17620", "Percentage of households reporting damage to current shelter caused by the war since February 2022 broken down by caregiving status  on the admin of m...")</f>
        <v>Percentage of households reporting damage to current shelter caused by the war since February 2022 broken down by caregiving status  on the admin of m...</v>
      </c>
    </row>
    <row r="980" spans="2:6" x14ac:dyDescent="0.35">
      <c r="B980" t="s">
        <v>117</v>
      </c>
      <c r="C980" t="s">
        <v>161</v>
      </c>
      <c r="D980" t="s">
        <v>36</v>
      </c>
      <c r="E980" s="43">
        <v>1422</v>
      </c>
      <c r="F980" s="21" t="str">
        <f>HYPERLINK("#'Data'!A17642", "Percentage of households reporting that the damage to the current shelter caused by the war was REPAIRED on the admin of macroregion perc")</f>
        <v>Percentage of households reporting that the damage to the current shelter caused by the war was REPAIRED on the admin of macroregion perc</v>
      </c>
    </row>
    <row r="981" spans="2:6" x14ac:dyDescent="0.35">
      <c r="B981" t="s">
        <v>117</v>
      </c>
      <c r="C981" t="s">
        <v>161</v>
      </c>
      <c r="D981" t="s">
        <v>57</v>
      </c>
      <c r="E981" s="43">
        <v>1423</v>
      </c>
      <c r="F981" s="21" t="str">
        <f>HYPERLINK("#'Data'!A17651", "Percentage of households reporting that the damage to the current shelter caused by the war was REPAIRED broken down by households with at least one m...")</f>
        <v>Percentage of households reporting that the damage to the current shelter caused by the war was REPAIRED broken down by households with at least one m...</v>
      </c>
    </row>
    <row r="982" spans="2:6" x14ac:dyDescent="0.35">
      <c r="B982" t="s">
        <v>117</v>
      </c>
      <c r="C982" t="s">
        <v>161</v>
      </c>
      <c r="D982" t="s">
        <v>58</v>
      </c>
      <c r="E982" s="43">
        <v>1424</v>
      </c>
      <c r="F982" s="21" t="str">
        <f>HYPERLINK("#'Data'!A17664", "Percentage of households reporting that the damage to the current shelter caused by the war was REPAIRED broken down by urbanity on the admin of macro...")</f>
        <v>Percentage of households reporting that the damage to the current shelter caused by the war was REPAIRED broken down by urbanity on the admin of macro...</v>
      </c>
    </row>
    <row r="983" spans="2:6" x14ac:dyDescent="0.35">
      <c r="B983" t="s">
        <v>117</v>
      </c>
      <c r="C983" t="s">
        <v>161</v>
      </c>
      <c r="D983" t="s">
        <v>59</v>
      </c>
      <c r="E983" s="43">
        <v>1425</v>
      </c>
      <c r="F983" s="21" t="str">
        <f>HYPERLINK("#'Data'!A17678", "Percentage of households reporting that the damage to the current shelter caused by the war was REPAIRED broken down by household size on the admin of...")</f>
        <v>Percentage of households reporting that the damage to the current shelter caused by the war was REPAIRED broken down by household size on the admin of...</v>
      </c>
    </row>
    <row r="984" spans="2:6" x14ac:dyDescent="0.35">
      <c r="B984" t="s">
        <v>117</v>
      </c>
      <c r="C984" t="s">
        <v>161</v>
      </c>
      <c r="D984" t="s">
        <v>60</v>
      </c>
      <c r="E984" s="43">
        <v>1426</v>
      </c>
      <c r="F984" s="21" t="str">
        <f>HYPERLINK("#'Data'!A17695", "Percentage of households reporting that the damage to the current shelter caused by the war was REPAIRED broken down by income per capita (quartiles) ...")</f>
        <v>Percentage of households reporting that the damage to the current shelter caused by the war was REPAIRED broken down by income per capita (quartiles) ...</v>
      </c>
    </row>
    <row r="985" spans="2:6" x14ac:dyDescent="0.35">
      <c r="B985" t="s">
        <v>117</v>
      </c>
      <c r="C985" t="s">
        <v>161</v>
      </c>
      <c r="D985" t="s">
        <v>61</v>
      </c>
      <c r="E985" s="43">
        <v>1427</v>
      </c>
      <c r="F985" s="21" t="str">
        <f>HYPERLINK("#'Data'!A17715", "Percentage of households reporting that the damage to the current shelter caused by the war was REPAIRED broken down by gender of head of household on...")</f>
        <v>Percentage of households reporting that the damage to the current shelter caused by the war was REPAIRED broken down by gender of head of household on...</v>
      </c>
    </row>
    <row r="986" spans="2:6" x14ac:dyDescent="0.35">
      <c r="B986" t="s">
        <v>117</v>
      </c>
      <c r="C986" t="s">
        <v>161</v>
      </c>
      <c r="D986" t="s">
        <v>62</v>
      </c>
      <c r="E986" s="43">
        <v>1428</v>
      </c>
      <c r="F986" s="21" t="str">
        <f>HYPERLINK("#'Data'!A17733", "Percentage of households reporting that the damage to the current shelter caused by the war was REPAIRED broken down by age of adults in the household...")</f>
        <v>Percentage of households reporting that the damage to the current shelter caused by the war was REPAIRED broken down by age of adults in the household...</v>
      </c>
    </row>
    <row r="987" spans="2:6" x14ac:dyDescent="0.35">
      <c r="B987" t="s">
        <v>117</v>
      </c>
      <c r="C987" t="s">
        <v>161</v>
      </c>
      <c r="D987" t="s">
        <v>76</v>
      </c>
      <c r="E987" s="43">
        <v>1429</v>
      </c>
      <c r="F987" s="21" t="str">
        <f>HYPERLINK("#'Data'!A17751", "Percentage of households reporting that the damage to the current shelter caused by the war was REPAIRED broken down by households with at least one c...")</f>
        <v>Percentage of households reporting that the damage to the current shelter caused by the war was REPAIRED broken down by households with at least one c...</v>
      </c>
    </row>
    <row r="988" spans="2:6" x14ac:dyDescent="0.35">
      <c r="B988" t="s">
        <v>117</v>
      </c>
      <c r="C988" t="s">
        <v>161</v>
      </c>
      <c r="D988" t="s">
        <v>63</v>
      </c>
      <c r="E988" s="43">
        <v>1430</v>
      </c>
      <c r="F988" s="21" t="str">
        <f>HYPERLINK("#'Data'!A17765", "Percentage of households reporting that the damage to the current shelter caused by the war was REPAIRED broken down by displacement status of head of...")</f>
        <v>Percentage of households reporting that the damage to the current shelter caused by the war was REPAIRED broken down by displacement status of head of...</v>
      </c>
    </row>
    <row r="989" spans="2:6" x14ac:dyDescent="0.35">
      <c r="B989" t="s">
        <v>117</v>
      </c>
      <c r="C989" t="s">
        <v>161</v>
      </c>
      <c r="D989" t="s">
        <v>64</v>
      </c>
      <c r="E989" s="43">
        <v>1431</v>
      </c>
      <c r="F989" s="21" t="str">
        <f>HYPERLINK("#'Data'!A17786", "Percentage of households reporting that the damage to the current shelter caused by the war was REPAIRED broken down by IDP household on the admin of ...")</f>
        <v>Percentage of households reporting that the damage to the current shelter caused by the war was REPAIRED broken down by IDP household on the admin of ...</v>
      </c>
    </row>
    <row r="990" spans="2:6" x14ac:dyDescent="0.35">
      <c r="B990" t="s">
        <v>117</v>
      </c>
      <c r="C990" t="s">
        <v>161</v>
      </c>
      <c r="D990" t="s">
        <v>65</v>
      </c>
      <c r="E990" s="43">
        <v>1432</v>
      </c>
      <c r="F990" s="21" t="str">
        <f>HYPERLINK("#'Data'!A17799", "Percentage of households reporting that the damage to the current shelter caused by the war was REPAIRED broken down by proximity to frontline/border ...")</f>
        <v>Percentage of households reporting that the damage to the current shelter caused by the war was REPAIRED broken down by proximity to frontline/border ...</v>
      </c>
    </row>
    <row r="991" spans="2:6" x14ac:dyDescent="0.35">
      <c r="B991" t="s">
        <v>117</v>
      </c>
      <c r="C991" t="s">
        <v>161</v>
      </c>
      <c r="D991" t="s">
        <v>77</v>
      </c>
      <c r="E991" s="43">
        <v>1433</v>
      </c>
      <c r="F991" s="21" t="str">
        <f>HYPERLINK("#'Data'!A17814", "Percentage of households reporting that the damage to the current shelter caused by the war was REPAIRED broken down by caregiving status  on the admi...")</f>
        <v>Percentage of households reporting that the damage to the current shelter caused by the war was REPAIRED broken down by caregiving status  on the admi...</v>
      </c>
    </row>
    <row r="992" spans="2:6" x14ac:dyDescent="0.35">
      <c r="B992" t="s">
        <v>117</v>
      </c>
      <c r="C992" t="s">
        <v>162</v>
      </c>
      <c r="D992" t="s">
        <v>36</v>
      </c>
      <c r="E992" s="43">
        <v>1434</v>
      </c>
      <c r="F992" s="21" t="str">
        <f>HYPERLINK("#'Data'!A17834", "Percentage of households reporting that the damage to current shelter was not repaired, by reason  on the admin of macroregion perc")</f>
        <v>Percentage of households reporting that the damage to current shelter was not repaired, by reason  on the admin of macroregion perc</v>
      </c>
    </row>
    <row r="993" spans="2:6" x14ac:dyDescent="0.35">
      <c r="B993" t="s">
        <v>117</v>
      </c>
      <c r="C993" t="s">
        <v>162</v>
      </c>
      <c r="D993" t="s">
        <v>57</v>
      </c>
      <c r="E993" s="43">
        <v>1435</v>
      </c>
      <c r="F993" s="21" t="str">
        <f>HYPERLINK("#'Data'!A17842", "Percentage of households reporting that the damage to current shelter was not repaired, by reason  broken down by households with at least one member ...")</f>
        <v>Percentage of households reporting that the damage to current shelter was not repaired, by reason  broken down by households with at least one member ...</v>
      </c>
    </row>
    <row r="994" spans="2:6" x14ac:dyDescent="0.35">
      <c r="B994" t="s">
        <v>117</v>
      </c>
      <c r="C994" t="s">
        <v>162</v>
      </c>
      <c r="D994" t="s">
        <v>58</v>
      </c>
      <c r="E994" s="43">
        <v>1436</v>
      </c>
      <c r="F994" s="21" t="str">
        <f>HYPERLINK("#'Data'!A17853", "Percentage of households reporting that the damage to current shelter was not repaired, by reason  broken down by urbanity on the admin of macroregion...")</f>
        <v>Percentage of households reporting that the damage to current shelter was not repaired, by reason  broken down by urbanity on the admin of macroregion...</v>
      </c>
    </row>
    <row r="995" spans="2:6" x14ac:dyDescent="0.35">
      <c r="B995" t="s">
        <v>117</v>
      </c>
      <c r="C995" t="s">
        <v>162</v>
      </c>
      <c r="D995" t="s">
        <v>59</v>
      </c>
      <c r="E995" s="43">
        <v>1437</v>
      </c>
      <c r="F995" s="21" t="str">
        <f>HYPERLINK("#'Data'!A17865", "Percentage of households reporting that the damage to current shelter was not repaired, by reason  broken down by household size on the admin of macro...")</f>
        <v>Percentage of households reporting that the damage to current shelter was not repaired, by reason  broken down by household size on the admin of macro...</v>
      </c>
    </row>
    <row r="996" spans="2:6" x14ac:dyDescent="0.35">
      <c r="B996" t="s">
        <v>117</v>
      </c>
      <c r="C996" t="s">
        <v>162</v>
      </c>
      <c r="D996" t="s">
        <v>60</v>
      </c>
      <c r="E996" s="43">
        <v>1438</v>
      </c>
      <c r="F996" s="21" t="str">
        <f>HYPERLINK("#'Data'!A17880", "Percentage of households reporting that the damage to current shelter was not repaired, by reason  broken down by income per capita (quartiles) on the...")</f>
        <v>Percentage of households reporting that the damage to current shelter was not repaired, by reason  broken down by income per capita (quartiles) on the...</v>
      </c>
    </row>
    <row r="997" spans="2:6" x14ac:dyDescent="0.35">
      <c r="B997" t="s">
        <v>117</v>
      </c>
      <c r="C997" t="s">
        <v>162</v>
      </c>
      <c r="D997" t="s">
        <v>61</v>
      </c>
      <c r="E997" s="43">
        <v>1439</v>
      </c>
      <c r="F997" s="21" t="str">
        <f>HYPERLINK("#'Data'!A17897", "Percentage of households reporting that the damage to current shelter was not repaired, by reason  broken down by gender of head of household on the a...")</f>
        <v>Percentage of households reporting that the damage to current shelter was not repaired, by reason  broken down by gender of head of household on the a...</v>
      </c>
    </row>
    <row r="998" spans="2:6" x14ac:dyDescent="0.35">
      <c r="B998" t="s">
        <v>117</v>
      </c>
      <c r="C998" t="s">
        <v>162</v>
      </c>
      <c r="D998" t="s">
        <v>62</v>
      </c>
      <c r="E998" s="43">
        <v>1440</v>
      </c>
      <c r="F998" s="21" t="str">
        <f>HYPERLINK("#'Data'!A17911", "Percentage of households reporting that the damage to current shelter was not repaired, by reason  broken down by age of adults in the households on t...")</f>
        <v>Percentage of households reporting that the damage to current shelter was not repaired, by reason  broken down by age of adults in the households on t...</v>
      </c>
    </row>
    <row r="999" spans="2:6" x14ac:dyDescent="0.35">
      <c r="B999" t="s">
        <v>117</v>
      </c>
      <c r="C999" t="s">
        <v>162</v>
      </c>
      <c r="D999" t="s">
        <v>76</v>
      </c>
      <c r="E999" s="43">
        <v>1441</v>
      </c>
      <c r="F999" s="21" t="str">
        <f>HYPERLINK("#'Data'!A17926", "Percentage of households reporting that the damage to current shelter was not repaired, by reason  broken down by households with at least one child (...")</f>
        <v>Percentage of households reporting that the damage to current shelter was not repaired, by reason  broken down by households with at least one child (...</v>
      </c>
    </row>
    <row r="1000" spans="2:6" x14ac:dyDescent="0.35">
      <c r="B1000" t="s">
        <v>117</v>
      </c>
      <c r="C1000" t="s">
        <v>162</v>
      </c>
      <c r="D1000" t="s">
        <v>63</v>
      </c>
      <c r="E1000" s="43">
        <v>1442</v>
      </c>
      <c r="F1000" s="21" t="str">
        <f>HYPERLINK("#'Data'!A17937", "Percentage of households reporting that the damage to current shelter was not repaired, by reason  broken down by displacement status of head of house...")</f>
        <v>Percentage of households reporting that the damage to current shelter was not repaired, by reason  broken down by displacement status of head of house...</v>
      </c>
    </row>
    <row r="1001" spans="2:6" x14ac:dyDescent="0.35">
      <c r="B1001" t="s">
        <v>117</v>
      </c>
      <c r="C1001" t="s">
        <v>162</v>
      </c>
      <c r="D1001" t="s">
        <v>64</v>
      </c>
      <c r="E1001" s="43">
        <v>1443</v>
      </c>
      <c r="F1001" s="21" t="str">
        <f>HYPERLINK("#'Data'!A17956", "Percentage of households reporting that the damage to current shelter was not repaired, by reason  broken down by IDP household on the admin of macror...")</f>
        <v>Percentage of households reporting that the damage to current shelter was not repaired, by reason  broken down by IDP household on the admin of macror...</v>
      </c>
    </row>
    <row r="1002" spans="2:6" x14ac:dyDescent="0.35">
      <c r="B1002" t="s">
        <v>117</v>
      </c>
      <c r="C1002" t="s">
        <v>162</v>
      </c>
      <c r="D1002" t="s">
        <v>65</v>
      </c>
      <c r="E1002" s="43">
        <v>1444</v>
      </c>
      <c r="F1002" s="21" t="str">
        <f>HYPERLINK("#'Data'!A17967", "Percentage of households reporting that the damage to current shelter was not repaired, by reason  broken down by proximity to frontline/border with R...")</f>
        <v>Percentage of households reporting that the damage to current shelter was not repaired, by reason  broken down by proximity to frontline/border with R...</v>
      </c>
    </row>
    <row r="1003" spans="2:6" x14ac:dyDescent="0.35">
      <c r="B1003" t="s">
        <v>117</v>
      </c>
      <c r="C1003" t="s">
        <v>162</v>
      </c>
      <c r="D1003" t="s">
        <v>77</v>
      </c>
      <c r="E1003" s="43">
        <v>1445</v>
      </c>
      <c r="F1003" s="21" t="str">
        <f>HYPERLINK("#'Data'!A17981", "Percentage of households reporting that the damage to current shelter was not repaired, by reason  broken down by caregiving status  on the admin of m...")</f>
        <v>Percentage of households reporting that the damage to current shelter was not repaired, by reason  broken down by caregiving status  on the admin of m...</v>
      </c>
    </row>
    <row r="1004" spans="2:6" x14ac:dyDescent="0.35">
      <c r="B1004" t="s">
        <v>117</v>
      </c>
      <c r="C1004" t="s">
        <v>163</v>
      </c>
      <c r="D1004" t="s">
        <v>36</v>
      </c>
      <c r="E1004" s="43">
        <v>1446</v>
      </c>
      <c r="F1004" s="21" t="str">
        <f>HYPERLINK("#'Data'!A17997", "Percentage of households reporting damage to current shelter caused by the war, by severity on the admin of macroregion perc")</f>
        <v>Percentage of households reporting damage to current shelter caused by the war, by severity on the admin of macroregion perc</v>
      </c>
    </row>
    <row r="1005" spans="2:6" x14ac:dyDescent="0.35">
      <c r="B1005" t="s">
        <v>117</v>
      </c>
      <c r="C1005" t="s">
        <v>163</v>
      </c>
      <c r="D1005" t="s">
        <v>57</v>
      </c>
      <c r="E1005" s="43">
        <v>1447</v>
      </c>
      <c r="F1005" s="21" t="str">
        <f>HYPERLINK("#'Data'!A18006", "Percentage of households reporting damage to current shelter caused by the war, by severity broken down by households with at least one member with a ...")</f>
        <v>Percentage of households reporting damage to current shelter caused by the war, by severity broken down by households with at least one member with a ...</v>
      </c>
    </row>
    <row r="1006" spans="2:6" x14ac:dyDescent="0.35">
      <c r="B1006" t="s">
        <v>117</v>
      </c>
      <c r="C1006" t="s">
        <v>163</v>
      </c>
      <c r="D1006" t="s">
        <v>58</v>
      </c>
      <c r="E1006" s="43">
        <v>1448</v>
      </c>
      <c r="F1006" s="21" t="str">
        <f>HYPERLINK("#'Data'!A18019", "Percentage of households reporting damage to current shelter caused by the war, by severity broken down by urbanity on the admin of macroregion perc")</f>
        <v>Percentage of households reporting damage to current shelter caused by the war, by severity broken down by urbanity on the admin of macroregion perc</v>
      </c>
    </row>
    <row r="1007" spans="2:6" x14ac:dyDescent="0.35">
      <c r="B1007" t="s">
        <v>117</v>
      </c>
      <c r="C1007" t="s">
        <v>163</v>
      </c>
      <c r="D1007" t="s">
        <v>59</v>
      </c>
      <c r="E1007" s="43">
        <v>1449</v>
      </c>
      <c r="F1007" s="21" t="str">
        <f>HYPERLINK("#'Data'!A18033", "Percentage of households reporting damage to current shelter caused by the war, by severity broken down by household size on the admin of macroregion ...")</f>
        <v>Percentage of households reporting damage to current shelter caused by the war, by severity broken down by household size on the admin of macroregion ...</v>
      </c>
    </row>
    <row r="1008" spans="2:6" x14ac:dyDescent="0.35">
      <c r="B1008" t="s">
        <v>117</v>
      </c>
      <c r="C1008" t="s">
        <v>163</v>
      </c>
      <c r="D1008" t="s">
        <v>60</v>
      </c>
      <c r="E1008" s="43">
        <v>1450</v>
      </c>
      <c r="F1008" s="21" t="str">
        <f>HYPERLINK("#'Data'!A18050", "Percentage of households reporting damage to current shelter caused by the war, by severity broken down by income per capita (quartiles) on the admin ...")</f>
        <v>Percentage of households reporting damage to current shelter caused by the war, by severity broken down by income per capita (quartiles) on the admin ...</v>
      </c>
    </row>
    <row r="1009" spans="2:6" x14ac:dyDescent="0.35">
      <c r="B1009" t="s">
        <v>117</v>
      </c>
      <c r="C1009" t="s">
        <v>163</v>
      </c>
      <c r="D1009" t="s">
        <v>61</v>
      </c>
      <c r="E1009" s="43">
        <v>1451</v>
      </c>
      <c r="F1009" s="21" t="str">
        <f>HYPERLINK("#'Data'!A18070", "Percentage of households reporting damage to current shelter caused by the war, by severity broken down by gender of head of household on the admin of...")</f>
        <v>Percentage of households reporting damage to current shelter caused by the war, by severity broken down by gender of head of household on the admin of...</v>
      </c>
    </row>
    <row r="1010" spans="2:6" x14ac:dyDescent="0.35">
      <c r="B1010" t="s">
        <v>117</v>
      </c>
      <c r="C1010" t="s">
        <v>163</v>
      </c>
      <c r="D1010" t="s">
        <v>62</v>
      </c>
      <c r="E1010" s="43">
        <v>1452</v>
      </c>
      <c r="F1010" s="21" t="str">
        <f>HYPERLINK("#'Data'!A18088", "Percentage of households reporting damage to current shelter caused by the war, by severity broken down by age of adults in the households on the admi...")</f>
        <v>Percentage of households reporting damage to current shelter caused by the war, by severity broken down by age of adults in the households on the admi...</v>
      </c>
    </row>
    <row r="1011" spans="2:6" x14ac:dyDescent="0.35">
      <c r="B1011" t="s">
        <v>117</v>
      </c>
      <c r="C1011" t="s">
        <v>163</v>
      </c>
      <c r="D1011" t="s">
        <v>76</v>
      </c>
      <c r="E1011" s="43">
        <v>1453</v>
      </c>
      <c r="F1011" s="21" t="str">
        <f>HYPERLINK("#'Data'!A18106", "Percentage of households reporting damage to current shelter caused by the war, by severity broken down by households with at least one child (&lt;18 y.o...")</f>
        <v>Percentage of households reporting damage to current shelter caused by the war, by severity broken down by households with at least one child (&lt;18 y.o...</v>
      </c>
    </row>
    <row r="1012" spans="2:6" x14ac:dyDescent="0.35">
      <c r="B1012" t="s">
        <v>117</v>
      </c>
      <c r="C1012" t="s">
        <v>163</v>
      </c>
      <c r="D1012" t="s">
        <v>63</v>
      </c>
      <c r="E1012" s="43">
        <v>1454</v>
      </c>
      <c r="F1012" s="21" t="str">
        <f>HYPERLINK("#'Data'!A18120", "Percentage of households reporting damage to current shelter caused by the war, by severity broken down by displacement status of head of household on...")</f>
        <v>Percentage of households reporting damage to current shelter caused by the war, by severity broken down by displacement status of head of household on...</v>
      </c>
    </row>
    <row r="1013" spans="2:6" x14ac:dyDescent="0.35">
      <c r="B1013" t="s">
        <v>117</v>
      </c>
      <c r="C1013" t="s">
        <v>163</v>
      </c>
      <c r="D1013" t="s">
        <v>64</v>
      </c>
      <c r="E1013" s="43">
        <v>1455</v>
      </c>
      <c r="F1013" s="21" t="str">
        <f>HYPERLINK("#'Data'!A18141", "Percentage of households reporting damage to current shelter caused by the war, by severity broken down by IDP household on the admin of macroregion p...")</f>
        <v>Percentage of households reporting damage to current shelter caused by the war, by severity broken down by IDP household on the admin of macroregion p...</v>
      </c>
    </row>
    <row r="1014" spans="2:6" x14ac:dyDescent="0.35">
      <c r="B1014" t="s">
        <v>117</v>
      </c>
      <c r="C1014" t="s">
        <v>163</v>
      </c>
      <c r="D1014" t="s">
        <v>65</v>
      </c>
      <c r="E1014" s="43">
        <v>1456</v>
      </c>
      <c r="F1014" s="21" t="str">
        <f>HYPERLINK("#'Data'!A18154", "Percentage of households reporting damage to current shelter caused by the war, by severity broken down by proximity to frontline/border with Russian ...")</f>
        <v>Percentage of households reporting damage to current shelter caused by the war, by severity broken down by proximity to frontline/border with Russian ...</v>
      </c>
    </row>
    <row r="1015" spans="2:6" x14ac:dyDescent="0.35">
      <c r="B1015" t="s">
        <v>117</v>
      </c>
      <c r="C1015" t="s">
        <v>163</v>
      </c>
      <c r="D1015" t="s">
        <v>77</v>
      </c>
      <c r="E1015" s="43">
        <v>1457</v>
      </c>
      <c r="F1015" s="21" t="str">
        <f>HYPERLINK("#'Data'!A18169", "Percentage of households reporting damage to current shelter caused by the war, by severity broken down by caregiving status  on the admin of macroreg...")</f>
        <v>Percentage of households reporting damage to current shelter caused by the war, by severity broken down by caregiving status  on the admin of macroreg...</v>
      </c>
    </row>
    <row r="1016" spans="2:6" x14ac:dyDescent="0.35">
      <c r="B1016" t="s">
        <v>117</v>
      </c>
      <c r="C1016" t="s">
        <v>164</v>
      </c>
      <c r="D1016" t="s">
        <v>36</v>
      </c>
      <c r="E1016" s="43">
        <v>1458</v>
      </c>
      <c r="F1016" s="21" t="str">
        <f>HYPERLINK("#'Data'!A18189", "Percentage of households reporting enough space/essential items so that the members of the households can cook on the admin of macroregion perc")</f>
        <v>Percentage of households reporting enough space/essential items so that the members of the households can cook on the admin of macroregion perc</v>
      </c>
    </row>
    <row r="1017" spans="2:6" x14ac:dyDescent="0.35">
      <c r="B1017" t="s">
        <v>117</v>
      </c>
      <c r="C1017" t="s">
        <v>164</v>
      </c>
      <c r="D1017" t="s">
        <v>57</v>
      </c>
      <c r="E1017" s="43">
        <v>1459</v>
      </c>
      <c r="F1017" s="21" t="str">
        <f>HYPERLINK("#'Data'!A18198", "Percentage of households reporting enough space/essential items so that the members of the households can cook broken down by households with at least...")</f>
        <v>Percentage of households reporting enough space/essential items so that the members of the households can cook broken down by households with at least...</v>
      </c>
    </row>
    <row r="1018" spans="2:6" x14ac:dyDescent="0.35">
      <c r="B1018" t="s">
        <v>117</v>
      </c>
      <c r="C1018" t="s">
        <v>164</v>
      </c>
      <c r="D1018" t="s">
        <v>58</v>
      </c>
      <c r="E1018" s="43">
        <v>1460</v>
      </c>
      <c r="F1018" s="21" t="str">
        <f>HYPERLINK("#'Data'!A18212", "Percentage of households reporting enough space/essential items so that the members of the households can cook broken down by urbanity on the admin of...")</f>
        <v>Percentage of households reporting enough space/essential items so that the members of the households can cook broken down by urbanity on the admin of...</v>
      </c>
    </row>
    <row r="1019" spans="2:6" x14ac:dyDescent="0.35">
      <c r="B1019" t="s">
        <v>117</v>
      </c>
      <c r="C1019" t="s">
        <v>164</v>
      </c>
      <c r="D1019" t="s">
        <v>59</v>
      </c>
      <c r="E1019" s="43">
        <v>1461</v>
      </c>
      <c r="F1019" s="21" t="str">
        <f>HYPERLINK("#'Data'!A18226", "Percentage of households reporting enough space/essential items so that the members of the households can cook broken down by household size on the ad...")</f>
        <v>Percentage of households reporting enough space/essential items so that the members of the households can cook broken down by household size on the ad...</v>
      </c>
    </row>
    <row r="1020" spans="2:6" x14ac:dyDescent="0.35">
      <c r="B1020" t="s">
        <v>117</v>
      </c>
      <c r="C1020" t="s">
        <v>164</v>
      </c>
      <c r="D1020" t="s">
        <v>60</v>
      </c>
      <c r="E1020" s="43">
        <v>1462</v>
      </c>
      <c r="F1020" s="21" t="str">
        <f>HYPERLINK("#'Data'!A18245", "Percentage of households reporting enough space/essential items so that the members of the households can cook broken down by income per capita (quart...")</f>
        <v>Percentage of households reporting enough space/essential items so that the members of the households can cook broken down by income per capita (quart...</v>
      </c>
    </row>
    <row r="1021" spans="2:6" x14ac:dyDescent="0.35">
      <c r="B1021" t="s">
        <v>117</v>
      </c>
      <c r="C1021" t="s">
        <v>164</v>
      </c>
      <c r="D1021" t="s">
        <v>61</v>
      </c>
      <c r="E1021" s="43">
        <v>1463</v>
      </c>
      <c r="F1021" s="21" t="str">
        <f>HYPERLINK("#'Data'!A18269", "Percentage of households reporting enough space/essential items so that the members of the households can cook broken down by gender of head of househ...")</f>
        <v>Percentage of households reporting enough space/essential items so that the members of the households can cook broken down by gender of head of househ...</v>
      </c>
    </row>
    <row r="1022" spans="2:6" x14ac:dyDescent="0.35">
      <c r="B1022" t="s">
        <v>117</v>
      </c>
      <c r="C1022" t="s">
        <v>164</v>
      </c>
      <c r="D1022" t="s">
        <v>62</v>
      </c>
      <c r="E1022" s="43">
        <v>1464</v>
      </c>
      <c r="F1022" s="21" t="str">
        <f>HYPERLINK("#'Data'!A18289", "Percentage of households reporting enough space/essential items so that the members of the households can cook broken down by age of adults in the hou...")</f>
        <v>Percentage of households reporting enough space/essential items so that the members of the households can cook broken down by age of adults in the hou...</v>
      </c>
    </row>
    <row r="1023" spans="2:6" x14ac:dyDescent="0.35">
      <c r="B1023" t="s">
        <v>117</v>
      </c>
      <c r="C1023" t="s">
        <v>164</v>
      </c>
      <c r="D1023" t="s">
        <v>76</v>
      </c>
      <c r="E1023" s="43">
        <v>1465</v>
      </c>
      <c r="F1023" s="21" t="str">
        <f>HYPERLINK("#'Data'!A18308", "Percentage of households reporting enough space/essential items so that the members of the households can cook broken down by households with at least...")</f>
        <v>Percentage of households reporting enough space/essential items so that the members of the households can cook broken down by households with at least...</v>
      </c>
    </row>
    <row r="1024" spans="2:6" x14ac:dyDescent="0.35">
      <c r="B1024" t="s">
        <v>117</v>
      </c>
      <c r="C1024" t="s">
        <v>164</v>
      </c>
      <c r="D1024" t="s">
        <v>63</v>
      </c>
      <c r="E1024" s="43">
        <v>1466</v>
      </c>
      <c r="F1024" s="21" t="str">
        <f>HYPERLINK("#'Data'!A18322", "Percentage of households reporting enough space/essential items so that the members of the households can cook broken down by displacement status of h...")</f>
        <v>Percentage of households reporting enough space/essential items so that the members of the households can cook broken down by displacement status of h...</v>
      </c>
    </row>
    <row r="1025" spans="2:6" x14ac:dyDescent="0.35">
      <c r="B1025" t="s">
        <v>117</v>
      </c>
      <c r="C1025" t="s">
        <v>164</v>
      </c>
      <c r="D1025" t="s">
        <v>64</v>
      </c>
      <c r="E1025" s="43">
        <v>1467</v>
      </c>
      <c r="F1025" s="21" t="str">
        <f>HYPERLINK("#'Data'!A18349", "Percentage of households reporting enough space/essential items so that the members of the households can cook broken down by IDP household on the adm...")</f>
        <v>Percentage of households reporting enough space/essential items so that the members of the households can cook broken down by IDP household on the adm...</v>
      </c>
    </row>
    <row r="1026" spans="2:6" x14ac:dyDescent="0.35">
      <c r="B1026" t="s">
        <v>117</v>
      </c>
      <c r="C1026" t="s">
        <v>164</v>
      </c>
      <c r="D1026" t="s">
        <v>65</v>
      </c>
      <c r="E1026" s="43">
        <v>1468</v>
      </c>
      <c r="F1026" s="21" t="str">
        <f>HYPERLINK("#'Data'!A18363", "Percentage of households reporting enough space/essential items so that the members of the households can cook broken down by proximity to frontline/b...")</f>
        <v>Percentage of households reporting enough space/essential items so that the members of the households can cook broken down by proximity to frontline/b...</v>
      </c>
    </row>
    <row r="1027" spans="2:6" x14ac:dyDescent="0.35">
      <c r="B1027" t="s">
        <v>117</v>
      </c>
      <c r="C1027" t="s">
        <v>164</v>
      </c>
      <c r="D1027" t="s">
        <v>77</v>
      </c>
      <c r="E1027" s="43">
        <v>1469</v>
      </c>
      <c r="F1027" s="21" t="str">
        <f>HYPERLINK("#'Data'!A18378", "Percentage of households reporting enough space/essential items so that the members of the households can cook broken down by caregiving status  on th...")</f>
        <v>Percentage of households reporting enough space/essential items so that the members of the households can cook broken down by caregiving status  on th...</v>
      </c>
    </row>
    <row r="1028" spans="2:6" x14ac:dyDescent="0.35">
      <c r="B1028" t="s">
        <v>117</v>
      </c>
      <c r="C1028" t="s">
        <v>165</v>
      </c>
      <c r="D1028" t="s">
        <v>36</v>
      </c>
      <c r="E1028" s="43">
        <v>1470</v>
      </c>
      <c r="F1028" s="21" t="str">
        <f>HYPERLINK("#'Data'!A18400", "Percentage of households reporting enough space/essential items so that the members of the households can sleep on the admin of macroregion perc")</f>
        <v>Percentage of households reporting enough space/essential items so that the members of the households can sleep on the admin of macroregion perc</v>
      </c>
    </row>
    <row r="1029" spans="2:6" x14ac:dyDescent="0.35">
      <c r="B1029" t="s">
        <v>117</v>
      </c>
      <c r="C1029" t="s">
        <v>165</v>
      </c>
      <c r="D1029" t="s">
        <v>57</v>
      </c>
      <c r="E1029" s="43">
        <v>1471</v>
      </c>
      <c r="F1029" s="21" t="str">
        <f>HYPERLINK("#'Data'!A18409", "Percentage of households reporting enough space/essential items so that the members of the households can sleep broken down by households with at leas...")</f>
        <v>Percentage of households reporting enough space/essential items so that the members of the households can sleep broken down by households with at leas...</v>
      </c>
    </row>
    <row r="1030" spans="2:6" x14ac:dyDescent="0.35">
      <c r="B1030" t="s">
        <v>117</v>
      </c>
      <c r="C1030" t="s">
        <v>165</v>
      </c>
      <c r="D1030" t="s">
        <v>58</v>
      </c>
      <c r="E1030" s="43">
        <v>1472</v>
      </c>
      <c r="F1030" s="21" t="str">
        <f>HYPERLINK("#'Data'!A18423", "Percentage of households reporting enough space/essential items so that the members of the households can sleep broken down by urbanity on the admin o...")</f>
        <v>Percentage of households reporting enough space/essential items so that the members of the households can sleep broken down by urbanity on the admin o...</v>
      </c>
    </row>
    <row r="1031" spans="2:6" x14ac:dyDescent="0.35">
      <c r="B1031" t="s">
        <v>117</v>
      </c>
      <c r="C1031" t="s">
        <v>165</v>
      </c>
      <c r="D1031" t="s">
        <v>59</v>
      </c>
      <c r="E1031" s="43">
        <v>1473</v>
      </c>
      <c r="F1031" s="21" t="str">
        <f>HYPERLINK("#'Data'!A18437", "Percentage of households reporting enough space/essential items so that the members of the households can sleep broken down by household size on the a...")</f>
        <v>Percentage of households reporting enough space/essential items so that the members of the households can sleep broken down by household size on the a...</v>
      </c>
    </row>
    <row r="1032" spans="2:6" x14ac:dyDescent="0.35">
      <c r="B1032" t="s">
        <v>117</v>
      </c>
      <c r="C1032" t="s">
        <v>165</v>
      </c>
      <c r="D1032" t="s">
        <v>60</v>
      </c>
      <c r="E1032" s="43">
        <v>1474</v>
      </c>
      <c r="F1032" s="21" t="str">
        <f>HYPERLINK("#'Data'!A18456", "Percentage of households reporting enough space/essential items so that the members of the households can sleep broken down by income per capita (quar...")</f>
        <v>Percentage of households reporting enough space/essential items so that the members of the households can sleep broken down by income per capita (quar...</v>
      </c>
    </row>
    <row r="1033" spans="2:6" x14ac:dyDescent="0.35">
      <c r="B1033" t="s">
        <v>117</v>
      </c>
      <c r="C1033" t="s">
        <v>165</v>
      </c>
      <c r="D1033" t="s">
        <v>61</v>
      </c>
      <c r="E1033" s="43">
        <v>1475</v>
      </c>
      <c r="F1033" s="21" t="str">
        <f>HYPERLINK("#'Data'!A18480", "Percentage of households reporting enough space/essential items so that the members of the households can sleep broken down by gender of head of house...")</f>
        <v>Percentage of households reporting enough space/essential items so that the members of the households can sleep broken down by gender of head of house...</v>
      </c>
    </row>
    <row r="1034" spans="2:6" x14ac:dyDescent="0.35">
      <c r="B1034" t="s">
        <v>117</v>
      </c>
      <c r="C1034" t="s">
        <v>165</v>
      </c>
      <c r="D1034" t="s">
        <v>62</v>
      </c>
      <c r="E1034" s="43">
        <v>1476</v>
      </c>
      <c r="F1034" s="21" t="str">
        <f>HYPERLINK("#'Data'!A18500", "Percentage of households reporting enough space/essential items so that the members of the households can sleep broken down by age of adults in the ho...")</f>
        <v>Percentage of households reporting enough space/essential items so that the members of the households can sleep broken down by age of adults in the ho...</v>
      </c>
    </row>
    <row r="1035" spans="2:6" x14ac:dyDescent="0.35">
      <c r="B1035" t="s">
        <v>117</v>
      </c>
      <c r="C1035" t="s">
        <v>165</v>
      </c>
      <c r="D1035" t="s">
        <v>76</v>
      </c>
      <c r="E1035" s="43">
        <v>1477</v>
      </c>
      <c r="F1035" s="21" t="str">
        <f>HYPERLINK("#'Data'!A18519", "Percentage of households reporting enough space/essential items so that the members of the households can sleep broken down by households with at leas...")</f>
        <v>Percentage of households reporting enough space/essential items so that the members of the households can sleep broken down by households with at leas...</v>
      </c>
    </row>
    <row r="1036" spans="2:6" x14ac:dyDescent="0.35">
      <c r="B1036" t="s">
        <v>117</v>
      </c>
      <c r="C1036" t="s">
        <v>165</v>
      </c>
      <c r="D1036" t="s">
        <v>63</v>
      </c>
      <c r="E1036" s="43">
        <v>1478</v>
      </c>
      <c r="F1036" s="21" t="str">
        <f>HYPERLINK("#'Data'!A18533", "Percentage of households reporting enough space/essential items so that the members of the households can sleep broken down by displacement status of ...")</f>
        <v>Percentage of households reporting enough space/essential items so that the members of the households can sleep broken down by displacement status of ...</v>
      </c>
    </row>
    <row r="1037" spans="2:6" x14ac:dyDescent="0.35">
      <c r="B1037" t="s">
        <v>117</v>
      </c>
      <c r="C1037" t="s">
        <v>165</v>
      </c>
      <c r="D1037" t="s">
        <v>64</v>
      </c>
      <c r="E1037" s="43">
        <v>1479</v>
      </c>
      <c r="F1037" s="21" t="str">
        <f>HYPERLINK("#'Data'!A18560", "Percentage of households reporting enough space/essential items so that the members of the households can sleep broken down by IDP household on the ad...")</f>
        <v>Percentage of households reporting enough space/essential items so that the members of the households can sleep broken down by IDP household on the ad...</v>
      </c>
    </row>
    <row r="1038" spans="2:6" x14ac:dyDescent="0.35">
      <c r="B1038" t="s">
        <v>117</v>
      </c>
      <c r="C1038" t="s">
        <v>165</v>
      </c>
      <c r="D1038" t="s">
        <v>65</v>
      </c>
      <c r="E1038" s="43">
        <v>1480</v>
      </c>
      <c r="F1038" s="21" t="str">
        <f>HYPERLINK("#'Data'!A18574", "Percentage of households reporting enough space/essential items so that the members of the households can sleep broken down by proximity to frontline/...")</f>
        <v>Percentage of households reporting enough space/essential items so that the members of the households can sleep broken down by proximity to frontline/...</v>
      </c>
    </row>
    <row r="1039" spans="2:6" x14ac:dyDescent="0.35">
      <c r="B1039" t="s">
        <v>117</v>
      </c>
      <c r="C1039" t="s">
        <v>165</v>
      </c>
      <c r="D1039" t="s">
        <v>77</v>
      </c>
      <c r="E1039" s="43">
        <v>1481</v>
      </c>
      <c r="F1039" s="21" t="str">
        <f>HYPERLINK("#'Data'!A18589", "Percentage of households reporting enough space/essential items so that the members of the households can sleep broken down by caregiving status  on t...")</f>
        <v>Percentage of households reporting enough space/essential items so that the members of the households can sleep broken down by caregiving status  on t...</v>
      </c>
    </row>
    <row r="1040" spans="2:6" x14ac:dyDescent="0.35">
      <c r="B1040" t="s">
        <v>117</v>
      </c>
      <c r="C1040" t="s">
        <v>166</v>
      </c>
      <c r="D1040" t="s">
        <v>36</v>
      </c>
      <c r="E1040" s="43">
        <v>1482</v>
      </c>
      <c r="F1040" s="21" t="str">
        <f>HYPERLINK("#'Data'!A18611", "Percentage of households reporting enough space/essential items so that the members of the households can store food on the admin of macroregion perc")</f>
        <v>Percentage of households reporting enough space/essential items so that the members of the households can store food on the admin of macroregion perc</v>
      </c>
    </row>
    <row r="1041" spans="2:6" x14ac:dyDescent="0.35">
      <c r="B1041" t="s">
        <v>117</v>
      </c>
      <c r="C1041" t="s">
        <v>166</v>
      </c>
      <c r="D1041" t="s">
        <v>57</v>
      </c>
      <c r="E1041" s="43">
        <v>1483</v>
      </c>
      <c r="F1041" s="21" t="str">
        <f>HYPERLINK("#'Data'!A18620", "Percentage of households reporting enough space/essential items so that the members of the households can store food broken down by households with at...")</f>
        <v>Percentage of households reporting enough space/essential items so that the members of the households can store food broken down by households with at...</v>
      </c>
    </row>
    <row r="1042" spans="2:6" x14ac:dyDescent="0.35">
      <c r="B1042" t="s">
        <v>117</v>
      </c>
      <c r="C1042" t="s">
        <v>166</v>
      </c>
      <c r="D1042" t="s">
        <v>58</v>
      </c>
      <c r="E1042" s="43">
        <v>1484</v>
      </c>
      <c r="F1042" s="21" t="str">
        <f>HYPERLINK("#'Data'!A18634", "Percentage of households reporting enough space/essential items so that the members of the households can store food broken down by urbanity on the ad...")</f>
        <v>Percentage of households reporting enough space/essential items so that the members of the households can store food broken down by urbanity on the ad...</v>
      </c>
    </row>
    <row r="1043" spans="2:6" x14ac:dyDescent="0.35">
      <c r="B1043" t="s">
        <v>117</v>
      </c>
      <c r="C1043" t="s">
        <v>166</v>
      </c>
      <c r="D1043" t="s">
        <v>59</v>
      </c>
      <c r="E1043" s="43">
        <v>1485</v>
      </c>
      <c r="F1043" s="21" t="str">
        <f>HYPERLINK("#'Data'!A18648", "Percentage of households reporting enough space/essential items so that the members of the households can store food broken down by household size on ...")</f>
        <v>Percentage of households reporting enough space/essential items so that the members of the households can store food broken down by household size on ...</v>
      </c>
    </row>
    <row r="1044" spans="2:6" x14ac:dyDescent="0.35">
      <c r="B1044" t="s">
        <v>117</v>
      </c>
      <c r="C1044" t="s">
        <v>166</v>
      </c>
      <c r="D1044" t="s">
        <v>60</v>
      </c>
      <c r="E1044" s="43">
        <v>1486</v>
      </c>
      <c r="F1044" s="21" t="str">
        <f>HYPERLINK("#'Data'!A18667", "Percentage of households reporting enough space/essential items so that the members of the households can store food broken down by income per capita ...")</f>
        <v>Percentage of households reporting enough space/essential items so that the members of the households can store food broken down by income per capita ...</v>
      </c>
    </row>
    <row r="1045" spans="2:6" x14ac:dyDescent="0.35">
      <c r="B1045" t="s">
        <v>117</v>
      </c>
      <c r="C1045" t="s">
        <v>166</v>
      </c>
      <c r="D1045" t="s">
        <v>61</v>
      </c>
      <c r="E1045" s="43">
        <v>1487</v>
      </c>
      <c r="F1045" s="21" t="str">
        <f>HYPERLINK("#'Data'!A18691", "Percentage of households reporting enough space/essential items so that the members of the households can store food broken down by gender of head of ...")</f>
        <v>Percentage of households reporting enough space/essential items so that the members of the households can store food broken down by gender of head of ...</v>
      </c>
    </row>
    <row r="1046" spans="2:6" x14ac:dyDescent="0.35">
      <c r="B1046" t="s">
        <v>117</v>
      </c>
      <c r="C1046" t="s">
        <v>166</v>
      </c>
      <c r="D1046" t="s">
        <v>62</v>
      </c>
      <c r="E1046" s="43">
        <v>1488</v>
      </c>
      <c r="F1046" s="21" t="str">
        <f>HYPERLINK("#'Data'!A18711", "Percentage of households reporting enough space/essential items so that the members of the households can store food broken down by age of adults in t...")</f>
        <v>Percentage of households reporting enough space/essential items so that the members of the households can store food broken down by age of adults in t...</v>
      </c>
    </row>
    <row r="1047" spans="2:6" x14ac:dyDescent="0.35">
      <c r="B1047" t="s">
        <v>117</v>
      </c>
      <c r="C1047" t="s">
        <v>166</v>
      </c>
      <c r="D1047" t="s">
        <v>76</v>
      </c>
      <c r="E1047" s="43">
        <v>1489</v>
      </c>
      <c r="F1047" s="21" t="str">
        <f>HYPERLINK("#'Data'!A18730", "Percentage of households reporting enough space/essential items so that the members of the households can store food broken down by households with at...")</f>
        <v>Percentage of households reporting enough space/essential items so that the members of the households can store food broken down by households with at...</v>
      </c>
    </row>
    <row r="1048" spans="2:6" x14ac:dyDescent="0.35">
      <c r="B1048" t="s">
        <v>117</v>
      </c>
      <c r="C1048" t="s">
        <v>166</v>
      </c>
      <c r="D1048" t="s">
        <v>63</v>
      </c>
      <c r="E1048" s="43">
        <v>1490</v>
      </c>
      <c r="F1048" s="21" t="str">
        <f>HYPERLINK("#'Data'!A18744", "Percentage of households reporting enough space/essential items so that the members of the households can store food broken down by displacement statu...")</f>
        <v>Percentage of households reporting enough space/essential items so that the members of the households can store food broken down by displacement statu...</v>
      </c>
    </row>
    <row r="1049" spans="2:6" x14ac:dyDescent="0.35">
      <c r="B1049" t="s">
        <v>117</v>
      </c>
      <c r="C1049" t="s">
        <v>166</v>
      </c>
      <c r="D1049" t="s">
        <v>64</v>
      </c>
      <c r="E1049" s="43">
        <v>1491</v>
      </c>
      <c r="F1049" s="21" t="str">
        <f>HYPERLINK("#'Data'!A18771", "Percentage of households reporting enough space/essential items so that the members of the households can store food broken down by IDP household on t...")</f>
        <v>Percentage of households reporting enough space/essential items so that the members of the households can store food broken down by IDP household on t...</v>
      </c>
    </row>
    <row r="1050" spans="2:6" x14ac:dyDescent="0.35">
      <c r="B1050" t="s">
        <v>117</v>
      </c>
      <c r="C1050" t="s">
        <v>166</v>
      </c>
      <c r="D1050" t="s">
        <v>65</v>
      </c>
      <c r="E1050" s="43">
        <v>1492</v>
      </c>
      <c r="F1050" s="21" t="str">
        <f>HYPERLINK("#'Data'!A18785", "Percentage of households reporting enough space/essential items so that the members of the households can store food broken down by proximity to front...")</f>
        <v>Percentage of households reporting enough space/essential items so that the members of the households can store food broken down by proximity to front...</v>
      </c>
    </row>
    <row r="1051" spans="2:6" x14ac:dyDescent="0.35">
      <c r="B1051" t="s">
        <v>117</v>
      </c>
      <c r="C1051" t="s">
        <v>166</v>
      </c>
      <c r="D1051" t="s">
        <v>77</v>
      </c>
      <c r="E1051" s="43">
        <v>1493</v>
      </c>
      <c r="F1051" s="21" t="str">
        <f>HYPERLINK("#'Data'!A18800", "Percentage of households reporting enough space/essential items so that the members of the households can store food broken down by caregiving status ...")</f>
        <v>Percentage of households reporting enough space/essential items so that the members of the households can store food broken down by caregiving status ...</v>
      </c>
    </row>
    <row r="1052" spans="2:6" x14ac:dyDescent="0.35">
      <c r="B1052" t="s">
        <v>117</v>
      </c>
      <c r="C1052" t="s">
        <v>167</v>
      </c>
      <c r="D1052" t="s">
        <v>36</v>
      </c>
      <c r="E1052" s="43">
        <v>1494</v>
      </c>
      <c r="F1052" s="21" t="str">
        <f>HYPERLINK("#'Data'!A18822", "Households by main heating source in 2024-2025 winter season on the admin of macroregion perc")</f>
        <v>Households by main heating source in 2024-2025 winter season on the admin of macroregion perc</v>
      </c>
    </row>
    <row r="1053" spans="2:6" x14ac:dyDescent="0.35">
      <c r="B1053" t="s">
        <v>117</v>
      </c>
      <c r="C1053" t="s">
        <v>167</v>
      </c>
      <c r="D1053" t="s">
        <v>57</v>
      </c>
      <c r="E1053" s="43">
        <v>1495</v>
      </c>
      <c r="F1053" s="21" t="str">
        <f>HYPERLINK("#'Data'!A18831", "Households by main heating source in 2024-2025 winter season broken down by households with at least one member with a reported and/or registered disa...")</f>
        <v>Households by main heating source in 2024-2025 winter season broken down by households with at least one member with a reported and/or registered disa...</v>
      </c>
    </row>
    <row r="1054" spans="2:6" x14ac:dyDescent="0.35">
      <c r="B1054" t="s">
        <v>117</v>
      </c>
      <c r="C1054" t="s">
        <v>167</v>
      </c>
      <c r="D1054" t="s">
        <v>58</v>
      </c>
      <c r="E1054" s="43">
        <v>1496</v>
      </c>
      <c r="F1054" s="21" t="str">
        <f>HYPERLINK("#'Data'!A18845", "Households by main heating source in 2024-2025 winter season broken down by urbanity on the admin of macroregion perc")</f>
        <v>Households by main heating source in 2024-2025 winter season broken down by urbanity on the admin of macroregion perc</v>
      </c>
    </row>
    <row r="1055" spans="2:6" x14ac:dyDescent="0.35">
      <c r="B1055" t="s">
        <v>117</v>
      </c>
      <c r="C1055" t="s">
        <v>167</v>
      </c>
      <c r="D1055" t="s">
        <v>59</v>
      </c>
      <c r="E1055" s="43">
        <v>1497</v>
      </c>
      <c r="F1055" s="21" t="str">
        <f>HYPERLINK("#'Data'!A18859", "Households by main heating source in 2024-2025 winter season broken down by household size on the admin of macroregion perc")</f>
        <v>Households by main heating source in 2024-2025 winter season broken down by household size on the admin of macroregion perc</v>
      </c>
    </row>
    <row r="1056" spans="2:6" x14ac:dyDescent="0.35">
      <c r="B1056" t="s">
        <v>117</v>
      </c>
      <c r="C1056" t="s">
        <v>167</v>
      </c>
      <c r="D1056" t="s">
        <v>60</v>
      </c>
      <c r="E1056" s="43">
        <v>1498</v>
      </c>
      <c r="F1056" s="21" t="str">
        <f>HYPERLINK("#'Data'!A18878", "Households by main heating source in 2024-2025 winter season broken down by income per capita (quartiles) on the admin of macroregion perc")</f>
        <v>Households by main heating source in 2024-2025 winter season broken down by income per capita (quartiles) on the admin of macroregion perc</v>
      </c>
    </row>
    <row r="1057" spans="2:6" x14ac:dyDescent="0.35">
      <c r="B1057" t="s">
        <v>117</v>
      </c>
      <c r="C1057" t="s">
        <v>167</v>
      </c>
      <c r="D1057" t="s">
        <v>61</v>
      </c>
      <c r="E1057" s="43">
        <v>1499</v>
      </c>
      <c r="F1057" s="21" t="str">
        <f>HYPERLINK("#'Data'!A18902", "Households by main heating source in 2024-2025 winter season broken down by gender of head of household on the admin of macroregion perc")</f>
        <v>Households by main heating source in 2024-2025 winter season broken down by gender of head of household on the admin of macroregion perc</v>
      </c>
    </row>
    <row r="1058" spans="2:6" x14ac:dyDescent="0.35">
      <c r="B1058" t="s">
        <v>117</v>
      </c>
      <c r="C1058" t="s">
        <v>167</v>
      </c>
      <c r="D1058" t="s">
        <v>62</v>
      </c>
      <c r="E1058" s="43">
        <v>1500</v>
      </c>
      <c r="F1058" s="21" t="str">
        <f>HYPERLINK("#'Data'!A18922", "Households by main heating source in 2024-2025 winter season broken down by age of adults in the households on the admin of macroregion perc")</f>
        <v>Households by main heating source in 2024-2025 winter season broken down by age of adults in the households on the admin of macroregion perc</v>
      </c>
    </row>
    <row r="1059" spans="2:6" x14ac:dyDescent="0.35">
      <c r="B1059" t="s">
        <v>117</v>
      </c>
      <c r="C1059" t="s">
        <v>167</v>
      </c>
      <c r="D1059" t="s">
        <v>76</v>
      </c>
      <c r="E1059" s="43">
        <v>1501</v>
      </c>
      <c r="F1059" s="21" t="str">
        <f>HYPERLINK("#'Data'!A18941", "Households by main heating source in 2024-2025 winter season broken down by households with at least one child (&lt;18 y.o.) on the admin of macroregion ...")</f>
        <v>Households by main heating source in 2024-2025 winter season broken down by households with at least one child (&lt;18 y.o.) on the admin of macroregion ...</v>
      </c>
    </row>
    <row r="1060" spans="2:6" x14ac:dyDescent="0.35">
      <c r="B1060" t="s">
        <v>117</v>
      </c>
      <c r="C1060" t="s">
        <v>167</v>
      </c>
      <c r="D1060" t="s">
        <v>63</v>
      </c>
      <c r="E1060" s="43">
        <v>1502</v>
      </c>
      <c r="F1060" s="21" t="str">
        <f>HYPERLINK("#'Data'!A18955", "Households by main heating source in 2024-2025 winter season broken down by displacement status of head of household on the admin of macroregion perc")</f>
        <v>Households by main heating source in 2024-2025 winter season broken down by displacement status of head of household on the admin of macroregion perc</v>
      </c>
    </row>
    <row r="1061" spans="2:6" x14ac:dyDescent="0.35">
      <c r="B1061" t="s">
        <v>117</v>
      </c>
      <c r="C1061" t="s">
        <v>167</v>
      </c>
      <c r="D1061" t="s">
        <v>64</v>
      </c>
      <c r="E1061" s="43">
        <v>1503</v>
      </c>
      <c r="F1061" s="21" t="str">
        <f>HYPERLINK("#'Data'!A18982", "Households by main heating source in 2024-2025 winter season broken down by IDP household on the admin of macroregion perc")</f>
        <v>Households by main heating source in 2024-2025 winter season broken down by IDP household on the admin of macroregion perc</v>
      </c>
    </row>
    <row r="1062" spans="2:6" x14ac:dyDescent="0.35">
      <c r="B1062" t="s">
        <v>117</v>
      </c>
      <c r="C1062" t="s">
        <v>167</v>
      </c>
      <c r="D1062" t="s">
        <v>65</v>
      </c>
      <c r="E1062" s="43">
        <v>1504</v>
      </c>
      <c r="F1062" s="21" t="str">
        <f>HYPERLINK("#'Data'!A18996", "Households by main heating source in 2024-2025 winter season broken down by proximity to frontline/border with Russian Federation on the admin of macr...")</f>
        <v>Households by main heating source in 2024-2025 winter season broken down by proximity to frontline/border with Russian Federation on the admin of macr...</v>
      </c>
    </row>
    <row r="1063" spans="2:6" x14ac:dyDescent="0.35">
      <c r="B1063" t="s">
        <v>117</v>
      </c>
      <c r="C1063" t="s">
        <v>167</v>
      </c>
      <c r="D1063" t="s">
        <v>77</v>
      </c>
      <c r="E1063" s="43">
        <v>1505</v>
      </c>
      <c r="F1063" s="21" t="str">
        <f>HYPERLINK("#'Data'!A19011", "Households by main heating source in 2024-2025 winter season broken down by caregiving status  on the admin of macroregion perc")</f>
        <v>Households by main heating source in 2024-2025 winter season broken down by caregiving status  on the admin of macroregion perc</v>
      </c>
    </row>
    <row r="1064" spans="2:6" x14ac:dyDescent="0.35">
      <c r="B1064" t="s">
        <v>117</v>
      </c>
      <c r="C1064" t="s">
        <v>168</v>
      </c>
      <c r="D1064" t="s">
        <v>36</v>
      </c>
      <c r="E1064" s="43">
        <v>1506</v>
      </c>
      <c r="F1064" s="21" t="str">
        <f>HYPERLINK("#'Data'!A19033", "Households by main source of lighting on the admin of macroregion perc")</f>
        <v>Households by main source of lighting on the admin of macroregion perc</v>
      </c>
    </row>
    <row r="1065" spans="2:6" x14ac:dyDescent="0.35">
      <c r="B1065" t="s">
        <v>117</v>
      </c>
      <c r="C1065" t="s">
        <v>168</v>
      </c>
      <c r="D1065" t="s">
        <v>57</v>
      </c>
      <c r="E1065" s="43">
        <v>1507</v>
      </c>
      <c r="F1065" s="21" t="str">
        <f>HYPERLINK("#'Data'!A19042", "Households by main source of lighting broken down by households with at least one member with a reported and/or registered disability on the admin of ...")</f>
        <v>Households by main source of lighting broken down by households with at least one member with a reported and/or registered disability on the admin of ...</v>
      </c>
    </row>
    <row r="1066" spans="2:6" x14ac:dyDescent="0.35">
      <c r="B1066" t="s">
        <v>117</v>
      </c>
      <c r="C1066" t="s">
        <v>168</v>
      </c>
      <c r="D1066" t="s">
        <v>58</v>
      </c>
      <c r="E1066" s="43">
        <v>1508</v>
      </c>
      <c r="F1066" s="21" t="str">
        <f>HYPERLINK("#'Data'!A19056", "Households by main source of lighting broken down by urbanity on the admin of macroregion perc")</f>
        <v>Households by main source of lighting broken down by urbanity on the admin of macroregion perc</v>
      </c>
    </row>
    <row r="1067" spans="2:6" x14ac:dyDescent="0.35">
      <c r="B1067" t="s">
        <v>117</v>
      </c>
      <c r="C1067" t="s">
        <v>168</v>
      </c>
      <c r="D1067" t="s">
        <v>59</v>
      </c>
      <c r="E1067" s="43">
        <v>1509</v>
      </c>
      <c r="F1067" s="21" t="str">
        <f>HYPERLINK("#'Data'!A19070", "Households by main source of lighting broken down by household size on the admin of macroregion perc")</f>
        <v>Households by main source of lighting broken down by household size on the admin of macroregion perc</v>
      </c>
    </row>
    <row r="1068" spans="2:6" x14ac:dyDescent="0.35">
      <c r="B1068" t="s">
        <v>117</v>
      </c>
      <c r="C1068" t="s">
        <v>168</v>
      </c>
      <c r="D1068" t="s">
        <v>60</v>
      </c>
      <c r="E1068" s="43">
        <v>1510</v>
      </c>
      <c r="F1068" s="21" t="str">
        <f>HYPERLINK("#'Data'!A19089", "Households by main source of lighting broken down by income per capita (quartiles) on the admin of macroregion perc")</f>
        <v>Households by main source of lighting broken down by income per capita (quartiles) on the admin of macroregion perc</v>
      </c>
    </row>
    <row r="1069" spans="2:6" x14ac:dyDescent="0.35">
      <c r="B1069" t="s">
        <v>117</v>
      </c>
      <c r="C1069" t="s">
        <v>168</v>
      </c>
      <c r="D1069" t="s">
        <v>61</v>
      </c>
      <c r="E1069" s="43">
        <v>1511</v>
      </c>
      <c r="F1069" s="21" t="str">
        <f>HYPERLINK("#'Data'!A19113", "Households by main source of lighting broken down by gender of head of household on the admin of macroregion perc")</f>
        <v>Households by main source of lighting broken down by gender of head of household on the admin of macroregion perc</v>
      </c>
    </row>
    <row r="1070" spans="2:6" x14ac:dyDescent="0.35">
      <c r="B1070" t="s">
        <v>117</v>
      </c>
      <c r="C1070" t="s">
        <v>168</v>
      </c>
      <c r="D1070" t="s">
        <v>62</v>
      </c>
      <c r="E1070" s="43">
        <v>1512</v>
      </c>
      <c r="F1070" s="21" t="str">
        <f>HYPERLINK("#'Data'!A19133", "Households by main source of lighting broken down by age of adults in the households on the admin of macroregion perc")</f>
        <v>Households by main source of lighting broken down by age of adults in the households on the admin of macroregion perc</v>
      </c>
    </row>
    <row r="1071" spans="2:6" x14ac:dyDescent="0.35">
      <c r="B1071" t="s">
        <v>117</v>
      </c>
      <c r="C1071" t="s">
        <v>168</v>
      </c>
      <c r="D1071" t="s">
        <v>76</v>
      </c>
      <c r="E1071" s="43">
        <v>1513</v>
      </c>
      <c r="F1071" s="21" t="str">
        <f>HYPERLINK("#'Data'!A19152", "Households by main source of lighting broken down by households with at least one child (&lt;18 y.o.) on the admin of macroregion perc")</f>
        <v>Households by main source of lighting broken down by households with at least one child (&lt;18 y.o.) on the admin of macroregion perc</v>
      </c>
    </row>
    <row r="1072" spans="2:6" x14ac:dyDescent="0.35">
      <c r="B1072" t="s">
        <v>117</v>
      </c>
      <c r="C1072" t="s">
        <v>168</v>
      </c>
      <c r="D1072" t="s">
        <v>63</v>
      </c>
      <c r="E1072" s="43">
        <v>1514</v>
      </c>
      <c r="F1072" s="21" t="str">
        <f>HYPERLINK("#'Data'!A19166", "Households by main source of lighting broken down by displacement status of head of household on the admin of macroregion perc")</f>
        <v>Households by main source of lighting broken down by displacement status of head of household on the admin of macroregion perc</v>
      </c>
    </row>
    <row r="1073" spans="2:6" x14ac:dyDescent="0.35">
      <c r="B1073" t="s">
        <v>117</v>
      </c>
      <c r="C1073" t="s">
        <v>168</v>
      </c>
      <c r="D1073" t="s">
        <v>64</v>
      </c>
      <c r="E1073" s="43">
        <v>1515</v>
      </c>
      <c r="F1073" s="21" t="str">
        <f>HYPERLINK("#'Data'!A19193", "Households by main source of lighting broken down by IDP household on the admin of macroregion perc")</f>
        <v>Households by main source of lighting broken down by IDP household on the admin of macroregion perc</v>
      </c>
    </row>
    <row r="1074" spans="2:6" x14ac:dyDescent="0.35">
      <c r="B1074" t="s">
        <v>117</v>
      </c>
      <c r="C1074" t="s">
        <v>168</v>
      </c>
      <c r="D1074" t="s">
        <v>65</v>
      </c>
      <c r="E1074" s="43">
        <v>1516</v>
      </c>
      <c r="F1074" s="21" t="str">
        <f>HYPERLINK("#'Data'!A19207", "Households by main source of lighting broken down by proximity to frontline/border with Russian Federation on the admin of macroregion perc")</f>
        <v>Households by main source of lighting broken down by proximity to frontline/border with Russian Federation on the admin of macroregion perc</v>
      </c>
    </row>
    <row r="1075" spans="2:6" x14ac:dyDescent="0.35">
      <c r="B1075" t="s">
        <v>117</v>
      </c>
      <c r="C1075" t="s">
        <v>168</v>
      </c>
      <c r="D1075" t="s">
        <v>77</v>
      </c>
      <c r="E1075" s="43">
        <v>1517</v>
      </c>
      <c r="F1075" s="21" t="str">
        <f>HYPERLINK("#'Data'!A19222", "Households by main source of lighting broken down by caregiving status  on the admin of macroregion perc")</f>
        <v>Households by main source of lighting broken down by caregiving status  on the admin of macroregion perc</v>
      </c>
    </row>
    <row r="1076" spans="2:6" x14ac:dyDescent="0.35">
      <c r="B1076" t="s">
        <v>117</v>
      </c>
      <c r="C1076" t="s">
        <v>169</v>
      </c>
      <c r="D1076" t="s">
        <v>36</v>
      </c>
      <c r="E1076" s="43">
        <v>1518</v>
      </c>
      <c r="F1076" s="21" t="str">
        <f>HYPERLINK("#'Data'!A19244", "Households by issue faced with electricity on the admin of macroregion perc")</f>
        <v>Households by issue faced with electricity on the admin of macroregion perc</v>
      </c>
    </row>
    <row r="1077" spans="2:6" x14ac:dyDescent="0.35">
      <c r="B1077" t="s">
        <v>117</v>
      </c>
      <c r="C1077" t="s">
        <v>169</v>
      </c>
      <c r="D1077" t="s">
        <v>57</v>
      </c>
      <c r="E1077" s="43">
        <v>1519</v>
      </c>
      <c r="F1077" s="21" t="str">
        <f>HYPERLINK("#'Data'!A19253", "Households by issue faced with electricity broken down by households with at least one member with a reported and/or registered disability on the admi...")</f>
        <v>Households by issue faced with electricity broken down by households with at least one member with a reported and/or registered disability on the admi...</v>
      </c>
    </row>
    <row r="1078" spans="2:6" x14ac:dyDescent="0.35">
      <c r="B1078" t="s">
        <v>117</v>
      </c>
      <c r="C1078" t="s">
        <v>169</v>
      </c>
      <c r="D1078" t="s">
        <v>58</v>
      </c>
      <c r="E1078" s="43">
        <v>1520</v>
      </c>
      <c r="F1078" s="21" t="str">
        <f>HYPERLINK("#'Data'!A19267", "Households by issue faced with electricity broken down by urbanity on the admin of macroregion perc")</f>
        <v>Households by issue faced with electricity broken down by urbanity on the admin of macroregion perc</v>
      </c>
    </row>
    <row r="1079" spans="2:6" x14ac:dyDescent="0.35">
      <c r="B1079" t="s">
        <v>117</v>
      </c>
      <c r="C1079" t="s">
        <v>169</v>
      </c>
      <c r="D1079" t="s">
        <v>59</v>
      </c>
      <c r="E1079" s="43">
        <v>1521</v>
      </c>
      <c r="F1079" s="21" t="str">
        <f>HYPERLINK("#'Data'!A19281", "Households by issue faced with electricity broken down by household size on the admin of macroregion perc")</f>
        <v>Households by issue faced with electricity broken down by household size on the admin of macroregion perc</v>
      </c>
    </row>
    <row r="1080" spans="2:6" x14ac:dyDescent="0.35">
      <c r="B1080" t="s">
        <v>117</v>
      </c>
      <c r="C1080" t="s">
        <v>169</v>
      </c>
      <c r="D1080" t="s">
        <v>60</v>
      </c>
      <c r="E1080" s="43">
        <v>1522</v>
      </c>
      <c r="F1080" s="21" t="str">
        <f>HYPERLINK("#'Data'!A19300", "Households by issue faced with electricity broken down by income per capita (quartiles) on the admin of macroregion perc")</f>
        <v>Households by issue faced with electricity broken down by income per capita (quartiles) on the admin of macroregion perc</v>
      </c>
    </row>
    <row r="1081" spans="2:6" x14ac:dyDescent="0.35">
      <c r="B1081" t="s">
        <v>117</v>
      </c>
      <c r="C1081" t="s">
        <v>169</v>
      </c>
      <c r="D1081" t="s">
        <v>61</v>
      </c>
      <c r="E1081" s="43">
        <v>1523</v>
      </c>
      <c r="F1081" s="21" t="str">
        <f>HYPERLINK("#'Data'!A19324", "Households by issue faced with electricity broken down by gender of head of household on the admin of macroregion perc")</f>
        <v>Households by issue faced with electricity broken down by gender of head of household on the admin of macroregion perc</v>
      </c>
    </row>
    <row r="1082" spans="2:6" x14ac:dyDescent="0.35">
      <c r="B1082" t="s">
        <v>117</v>
      </c>
      <c r="C1082" t="s">
        <v>169</v>
      </c>
      <c r="D1082" t="s">
        <v>62</v>
      </c>
      <c r="E1082" s="43">
        <v>1524</v>
      </c>
      <c r="F1082" s="21" t="str">
        <f>HYPERLINK("#'Data'!A19344", "Households by issue faced with electricity broken down by age of adults in the households on the admin of macroregion perc")</f>
        <v>Households by issue faced with electricity broken down by age of adults in the households on the admin of macroregion perc</v>
      </c>
    </row>
    <row r="1083" spans="2:6" x14ac:dyDescent="0.35">
      <c r="B1083" t="s">
        <v>117</v>
      </c>
      <c r="C1083" t="s">
        <v>169</v>
      </c>
      <c r="D1083" t="s">
        <v>76</v>
      </c>
      <c r="E1083" s="43">
        <v>1525</v>
      </c>
      <c r="F1083" s="21" t="str">
        <f>HYPERLINK("#'Data'!A19363", "Households by issue faced with electricity broken down by households with at least one child (&lt;18 y.o.) on the admin of macroregion perc")</f>
        <v>Households by issue faced with electricity broken down by households with at least one child (&lt;18 y.o.) on the admin of macroregion perc</v>
      </c>
    </row>
    <row r="1084" spans="2:6" x14ac:dyDescent="0.35">
      <c r="B1084" t="s">
        <v>117</v>
      </c>
      <c r="C1084" t="s">
        <v>169</v>
      </c>
      <c r="D1084" t="s">
        <v>63</v>
      </c>
      <c r="E1084" s="43">
        <v>1526</v>
      </c>
      <c r="F1084" s="21" t="str">
        <f>HYPERLINK("#'Data'!A19377", "Households by issue faced with electricity broken down by displacement status of head of household on the admin of macroregion perc")</f>
        <v>Households by issue faced with electricity broken down by displacement status of head of household on the admin of macroregion perc</v>
      </c>
    </row>
    <row r="1085" spans="2:6" x14ac:dyDescent="0.35">
      <c r="B1085" t="s">
        <v>117</v>
      </c>
      <c r="C1085" t="s">
        <v>169</v>
      </c>
      <c r="D1085" t="s">
        <v>64</v>
      </c>
      <c r="E1085" s="43">
        <v>1527</v>
      </c>
      <c r="F1085" s="21" t="str">
        <f>HYPERLINK("#'Data'!A19404", "Households by issue faced with electricity broken down by IDP household on the admin of macroregion perc")</f>
        <v>Households by issue faced with electricity broken down by IDP household on the admin of macroregion perc</v>
      </c>
    </row>
    <row r="1086" spans="2:6" x14ac:dyDescent="0.35">
      <c r="B1086" t="s">
        <v>117</v>
      </c>
      <c r="C1086" t="s">
        <v>169</v>
      </c>
      <c r="D1086" t="s">
        <v>65</v>
      </c>
      <c r="E1086" s="43">
        <v>1528</v>
      </c>
      <c r="F1086" s="21" t="str">
        <f>HYPERLINK("#'Data'!A19418", "Households by issue faced with electricity broken down by proximity to frontline/border with Russian Federation on the admin of macroregion perc")</f>
        <v>Households by issue faced with electricity broken down by proximity to frontline/border with Russian Federation on the admin of macroregion perc</v>
      </c>
    </row>
    <row r="1087" spans="2:6" x14ac:dyDescent="0.35">
      <c r="B1087" t="s">
        <v>117</v>
      </c>
      <c r="C1087" t="s">
        <v>169</v>
      </c>
      <c r="D1087" t="s">
        <v>77</v>
      </c>
      <c r="E1087" s="43">
        <v>1529</v>
      </c>
      <c r="F1087" s="21" t="str">
        <f>HYPERLINK("#'Data'!A19433", "Households by issue faced with electricity broken down by caregiving status  on the admin of macroregion perc")</f>
        <v>Households by issue faced with electricity broken down by caregiving status  on the admin of macroregion perc</v>
      </c>
    </row>
    <row r="1088" spans="2:6" x14ac:dyDescent="0.35">
      <c r="B1088" t="s">
        <v>117</v>
      </c>
      <c r="C1088" t="s">
        <v>170</v>
      </c>
      <c r="D1088" t="s">
        <v>36</v>
      </c>
      <c r="E1088" s="43">
        <v>1530</v>
      </c>
      <c r="F1088" s="21" t="str">
        <f>HYPERLINK("#'Data'!A19455", "Households experiencing utility interruptions in the past three months, by utility type on the admin of macroregion perc")</f>
        <v>Households experiencing utility interruptions in the past three months, by utility type on the admin of macroregion perc</v>
      </c>
    </row>
    <row r="1089" spans="2:6" x14ac:dyDescent="0.35">
      <c r="B1089" t="s">
        <v>117</v>
      </c>
      <c r="C1089" t="s">
        <v>170</v>
      </c>
      <c r="D1089" t="s">
        <v>57</v>
      </c>
      <c r="E1089" s="43">
        <v>1531</v>
      </c>
      <c r="F1089" s="21" t="str">
        <f>HYPERLINK("#'Data'!A19464", "Households experiencing utility interruptions in the past three months, by utility type broken down by households with at least one member with a repo...")</f>
        <v>Households experiencing utility interruptions in the past three months, by utility type broken down by households with at least one member with a repo...</v>
      </c>
    </row>
    <row r="1090" spans="2:6" x14ac:dyDescent="0.35">
      <c r="B1090" t="s">
        <v>117</v>
      </c>
      <c r="C1090" t="s">
        <v>170</v>
      </c>
      <c r="D1090" t="s">
        <v>58</v>
      </c>
      <c r="E1090" s="43">
        <v>1532</v>
      </c>
      <c r="F1090" s="21" t="str">
        <f>HYPERLINK("#'Data'!A19478", "Households experiencing utility interruptions in the past three months, by utility type broken down by urbanity on the admin of macroregion perc")</f>
        <v>Households experiencing utility interruptions in the past three months, by utility type broken down by urbanity on the admin of macroregion perc</v>
      </c>
    </row>
    <row r="1091" spans="2:6" x14ac:dyDescent="0.35">
      <c r="B1091" t="s">
        <v>117</v>
      </c>
      <c r="C1091" t="s">
        <v>170</v>
      </c>
      <c r="D1091" t="s">
        <v>59</v>
      </c>
      <c r="E1091" s="43">
        <v>1533</v>
      </c>
      <c r="F1091" s="21" t="str">
        <f>HYPERLINK("#'Data'!A19492", "Households experiencing utility interruptions in the past three months, by utility type broken down by household size on the admin of macroregion perc")</f>
        <v>Households experiencing utility interruptions in the past three months, by utility type broken down by household size on the admin of macroregion perc</v>
      </c>
    </row>
    <row r="1092" spans="2:6" x14ac:dyDescent="0.35">
      <c r="B1092" t="s">
        <v>117</v>
      </c>
      <c r="C1092" t="s">
        <v>170</v>
      </c>
      <c r="D1092" t="s">
        <v>60</v>
      </c>
      <c r="E1092" s="43">
        <v>1534</v>
      </c>
      <c r="F1092" s="21" t="str">
        <f>HYPERLINK("#'Data'!A19511", "Households experiencing utility interruptions in the past three months, by utility type broken down by income per capita (quartiles) on the admin of m...")</f>
        <v>Households experiencing utility interruptions in the past three months, by utility type broken down by income per capita (quartiles) on the admin of m...</v>
      </c>
    </row>
    <row r="1093" spans="2:6" x14ac:dyDescent="0.35">
      <c r="B1093" t="s">
        <v>117</v>
      </c>
      <c r="C1093" t="s">
        <v>170</v>
      </c>
      <c r="D1093" t="s">
        <v>61</v>
      </c>
      <c r="E1093" s="43">
        <v>1535</v>
      </c>
      <c r="F1093" s="21" t="str">
        <f>HYPERLINK("#'Data'!A19535", "Households experiencing utility interruptions in the past three months, by utility type broken down by gender of head of household on the admin of mac...")</f>
        <v>Households experiencing utility interruptions in the past three months, by utility type broken down by gender of head of household on the admin of mac...</v>
      </c>
    </row>
    <row r="1094" spans="2:6" x14ac:dyDescent="0.35">
      <c r="B1094" t="s">
        <v>117</v>
      </c>
      <c r="C1094" t="s">
        <v>170</v>
      </c>
      <c r="D1094" t="s">
        <v>62</v>
      </c>
      <c r="E1094" s="43">
        <v>1536</v>
      </c>
      <c r="F1094" s="21" t="str">
        <f>HYPERLINK("#'Data'!A19555", "Households experiencing utility interruptions in the past three months, by utility type broken down by age of adults in the households on the admin of...")</f>
        <v>Households experiencing utility interruptions in the past three months, by utility type broken down by age of adults in the households on the admin of...</v>
      </c>
    </row>
    <row r="1095" spans="2:6" x14ac:dyDescent="0.35">
      <c r="B1095" t="s">
        <v>117</v>
      </c>
      <c r="C1095" t="s">
        <v>170</v>
      </c>
      <c r="D1095" t="s">
        <v>76</v>
      </c>
      <c r="E1095" s="43">
        <v>1537</v>
      </c>
      <c r="F1095" s="21" t="str">
        <f>HYPERLINK("#'Data'!A19574", "Households experiencing utility interruptions in the past three months, by utility type broken down by households with at least one child (&lt;18 y.o.) o...")</f>
        <v>Households experiencing utility interruptions in the past three months, by utility type broken down by households with at least one child (&lt;18 y.o.) o...</v>
      </c>
    </row>
    <row r="1096" spans="2:6" x14ac:dyDescent="0.35">
      <c r="B1096" t="s">
        <v>117</v>
      </c>
      <c r="C1096" t="s">
        <v>170</v>
      </c>
      <c r="D1096" t="s">
        <v>63</v>
      </c>
      <c r="E1096" s="43">
        <v>1538</v>
      </c>
      <c r="F1096" s="21" t="str">
        <f>HYPERLINK("#'Data'!A19588", "Households experiencing utility interruptions in the past three months, by utility type broken down by displacement status of head of household on the...")</f>
        <v>Households experiencing utility interruptions in the past three months, by utility type broken down by displacement status of head of household on the...</v>
      </c>
    </row>
    <row r="1097" spans="2:6" x14ac:dyDescent="0.35">
      <c r="B1097" t="s">
        <v>117</v>
      </c>
      <c r="C1097" t="s">
        <v>170</v>
      </c>
      <c r="D1097" t="s">
        <v>64</v>
      </c>
      <c r="E1097" s="43">
        <v>1539</v>
      </c>
      <c r="F1097" s="21" t="str">
        <f>HYPERLINK("#'Data'!A19615", "Households experiencing utility interruptions in the past three months, by utility type broken down by IDP household on the admin of macroregion perc")</f>
        <v>Households experiencing utility interruptions in the past three months, by utility type broken down by IDP household on the admin of macroregion perc</v>
      </c>
    </row>
    <row r="1098" spans="2:6" x14ac:dyDescent="0.35">
      <c r="B1098" t="s">
        <v>117</v>
      </c>
      <c r="C1098" t="s">
        <v>170</v>
      </c>
      <c r="D1098" t="s">
        <v>65</v>
      </c>
      <c r="E1098" s="43">
        <v>1540</v>
      </c>
      <c r="F1098" s="21" t="str">
        <f>HYPERLINK("#'Data'!A19629", "Households experiencing utility interruptions in the past three months, by utility type broken down by proximity to frontline/border with Russian Fede...")</f>
        <v>Households experiencing utility interruptions in the past three months, by utility type broken down by proximity to frontline/border with Russian Fede...</v>
      </c>
    </row>
    <row r="1099" spans="2:6" x14ac:dyDescent="0.35">
      <c r="B1099" t="s">
        <v>117</v>
      </c>
      <c r="C1099" t="s">
        <v>170</v>
      </c>
      <c r="D1099" t="s">
        <v>77</v>
      </c>
      <c r="E1099" s="43">
        <v>1541</v>
      </c>
      <c r="F1099" s="21" t="str">
        <f>HYPERLINK("#'Data'!A19644", "Households experiencing utility interruptions in the past three months, by utility type broken down by caregiving status  on the admin of macroregion ...")</f>
        <v>Households experiencing utility interruptions in the past three months, by utility type broken down by caregiving status  on the admin of macroregion ...</v>
      </c>
    </row>
    <row r="1100" spans="2:6" x14ac:dyDescent="0.35">
      <c r="B1100" t="s">
        <v>117</v>
      </c>
      <c r="C1100" t="s">
        <v>171</v>
      </c>
      <c r="D1100" t="s">
        <v>36</v>
      </c>
      <c r="E1100" s="43">
        <v>1542</v>
      </c>
      <c r="F1100" s="21" t="str">
        <f>HYPERLINK("#'Data'!A19666", "Households by access to alternative source of power on the admin of macroregion perc")</f>
        <v>Households by access to alternative source of power on the admin of macroregion perc</v>
      </c>
    </row>
    <row r="1101" spans="2:6" x14ac:dyDescent="0.35">
      <c r="B1101" t="s">
        <v>117</v>
      </c>
      <c r="C1101" t="s">
        <v>171</v>
      </c>
      <c r="D1101" t="s">
        <v>57</v>
      </c>
      <c r="E1101" s="43">
        <v>1543</v>
      </c>
      <c r="F1101" s="21" t="str">
        <f>HYPERLINK("#'Data'!A19675", "Households by access to alternative source of power broken down by households with at least one member with a reported and/or registered disability on...")</f>
        <v>Households by access to alternative source of power broken down by households with at least one member with a reported and/or registered disability on...</v>
      </c>
    </row>
    <row r="1102" spans="2:6" x14ac:dyDescent="0.35">
      <c r="B1102" t="s">
        <v>117</v>
      </c>
      <c r="C1102" t="s">
        <v>171</v>
      </c>
      <c r="D1102" t="s">
        <v>58</v>
      </c>
      <c r="E1102" s="43">
        <v>1544</v>
      </c>
      <c r="F1102" s="21" t="str">
        <f>HYPERLINK("#'Data'!A19689", "Households by access to alternative source of power broken down by urbanity on the admin of macroregion perc")</f>
        <v>Households by access to alternative source of power broken down by urbanity on the admin of macroregion perc</v>
      </c>
    </row>
    <row r="1103" spans="2:6" x14ac:dyDescent="0.35">
      <c r="B1103" t="s">
        <v>117</v>
      </c>
      <c r="C1103" t="s">
        <v>171</v>
      </c>
      <c r="D1103" t="s">
        <v>59</v>
      </c>
      <c r="E1103" s="43">
        <v>1545</v>
      </c>
      <c r="F1103" s="21" t="str">
        <f>HYPERLINK("#'Data'!A19703", "Households by access to alternative source of power broken down by household size on the admin of macroregion perc")</f>
        <v>Households by access to alternative source of power broken down by household size on the admin of macroregion perc</v>
      </c>
    </row>
    <row r="1104" spans="2:6" x14ac:dyDescent="0.35">
      <c r="B1104" t="s">
        <v>117</v>
      </c>
      <c r="C1104" t="s">
        <v>171</v>
      </c>
      <c r="D1104" t="s">
        <v>60</v>
      </c>
      <c r="E1104" s="43">
        <v>1546</v>
      </c>
      <c r="F1104" s="21" t="str">
        <f>HYPERLINK("#'Data'!A19722", "Households by access to alternative source of power broken down by income per capita (quartiles) on the admin of macroregion perc")</f>
        <v>Households by access to alternative source of power broken down by income per capita (quartiles) on the admin of macroregion perc</v>
      </c>
    </row>
    <row r="1105" spans="2:6" x14ac:dyDescent="0.35">
      <c r="B1105" t="s">
        <v>117</v>
      </c>
      <c r="C1105" t="s">
        <v>171</v>
      </c>
      <c r="D1105" t="s">
        <v>61</v>
      </c>
      <c r="E1105" s="43">
        <v>1547</v>
      </c>
      <c r="F1105" s="21" t="str">
        <f>HYPERLINK("#'Data'!A19746", "Households by access to alternative source of power broken down by gender of head of household on the admin of macroregion perc")</f>
        <v>Households by access to alternative source of power broken down by gender of head of household on the admin of macroregion perc</v>
      </c>
    </row>
    <row r="1106" spans="2:6" x14ac:dyDescent="0.35">
      <c r="B1106" t="s">
        <v>117</v>
      </c>
      <c r="C1106" t="s">
        <v>171</v>
      </c>
      <c r="D1106" t="s">
        <v>62</v>
      </c>
      <c r="E1106" s="43">
        <v>1548</v>
      </c>
      <c r="F1106" s="21" t="str">
        <f>HYPERLINK("#'Data'!A19766", "Households by access to alternative source of power broken down by age of adults in the households on the admin of macroregion perc")</f>
        <v>Households by access to alternative source of power broken down by age of adults in the households on the admin of macroregion perc</v>
      </c>
    </row>
    <row r="1107" spans="2:6" x14ac:dyDescent="0.35">
      <c r="B1107" t="s">
        <v>117</v>
      </c>
      <c r="C1107" t="s">
        <v>171</v>
      </c>
      <c r="D1107" t="s">
        <v>76</v>
      </c>
      <c r="E1107" s="43">
        <v>1549</v>
      </c>
      <c r="F1107" s="21" t="str">
        <f>HYPERLINK("#'Data'!A19785", "Households by access to alternative source of power broken down by households with at least one child (&lt;18 y.o.) on the admin of macroregion perc")</f>
        <v>Households by access to alternative source of power broken down by households with at least one child (&lt;18 y.o.) on the admin of macroregion perc</v>
      </c>
    </row>
    <row r="1108" spans="2:6" x14ac:dyDescent="0.35">
      <c r="B1108" t="s">
        <v>117</v>
      </c>
      <c r="C1108" t="s">
        <v>171</v>
      </c>
      <c r="D1108" t="s">
        <v>63</v>
      </c>
      <c r="E1108" s="43">
        <v>1550</v>
      </c>
      <c r="F1108" s="21" t="str">
        <f>HYPERLINK("#'Data'!A19799", "Households by access to alternative source of power broken down by displacement status of head of household on the admin of macroregion perc")</f>
        <v>Households by access to alternative source of power broken down by displacement status of head of household on the admin of macroregion perc</v>
      </c>
    </row>
    <row r="1109" spans="2:6" x14ac:dyDescent="0.35">
      <c r="B1109" t="s">
        <v>117</v>
      </c>
      <c r="C1109" t="s">
        <v>171</v>
      </c>
      <c r="D1109" t="s">
        <v>64</v>
      </c>
      <c r="E1109" s="43">
        <v>1551</v>
      </c>
      <c r="F1109" s="21" t="str">
        <f>HYPERLINK("#'Data'!A19826", "Households by access to alternative source of power broken down by IDP household on the admin of macroregion perc")</f>
        <v>Households by access to alternative source of power broken down by IDP household on the admin of macroregion perc</v>
      </c>
    </row>
    <row r="1110" spans="2:6" x14ac:dyDescent="0.35">
      <c r="B1110" t="s">
        <v>117</v>
      </c>
      <c r="C1110" t="s">
        <v>171</v>
      </c>
      <c r="D1110" t="s">
        <v>65</v>
      </c>
      <c r="E1110" s="43">
        <v>1552</v>
      </c>
      <c r="F1110" s="21" t="str">
        <f>HYPERLINK("#'Data'!A19840", "Households by access to alternative source of power broken down by proximity to frontline/border with Russian Federation on the admin of macroregion p...")</f>
        <v>Households by access to alternative source of power broken down by proximity to frontline/border with Russian Federation on the admin of macroregion p...</v>
      </c>
    </row>
    <row r="1111" spans="2:6" x14ac:dyDescent="0.35">
      <c r="B1111" t="s">
        <v>117</v>
      </c>
      <c r="C1111" t="s">
        <v>171</v>
      </c>
      <c r="D1111" t="s">
        <v>77</v>
      </c>
      <c r="E1111" s="43">
        <v>1553</v>
      </c>
      <c r="F1111" s="21" t="str">
        <f>HYPERLINK("#'Data'!A19855", "Households by access to alternative source of power broken down by caregiving status  on the admin of macroregion perc")</f>
        <v>Households by access to alternative source of power broken down by caregiving status  on the admin of macroregion perc</v>
      </c>
    </row>
    <row r="1112" spans="2:6" x14ac:dyDescent="0.35">
      <c r="B1112" t="s">
        <v>117</v>
      </c>
      <c r="C1112" t="s">
        <v>172</v>
      </c>
      <c r="D1112" t="s">
        <v>36</v>
      </c>
      <c r="E1112" s="43">
        <v>1554</v>
      </c>
      <c r="F1112" s="21" t="str">
        <f>HYPERLINK("#'Data'!A19877", "Households with access to the internet in the past 4 weeks, by frequency on the admin of macroregion perc")</f>
        <v>Households with access to the internet in the past 4 weeks, by frequency on the admin of macroregion perc</v>
      </c>
    </row>
    <row r="1113" spans="2:6" x14ac:dyDescent="0.35">
      <c r="B1113" t="s">
        <v>117</v>
      </c>
      <c r="C1113" t="s">
        <v>172</v>
      </c>
      <c r="D1113" t="s">
        <v>57</v>
      </c>
      <c r="E1113" s="43">
        <v>1555</v>
      </c>
      <c r="F1113" s="21" t="str">
        <f>HYPERLINK("#'Data'!A19886", "Households with access to the internet in the past 4 weeks, by frequency broken down by households with at least one member with a reported and/or reg...")</f>
        <v>Households with access to the internet in the past 4 weeks, by frequency broken down by households with at least one member with a reported and/or reg...</v>
      </c>
    </row>
    <row r="1114" spans="2:6" x14ac:dyDescent="0.35">
      <c r="B1114" t="s">
        <v>117</v>
      </c>
      <c r="C1114" t="s">
        <v>172</v>
      </c>
      <c r="D1114" t="s">
        <v>58</v>
      </c>
      <c r="E1114" s="43">
        <v>1556</v>
      </c>
      <c r="F1114" s="21" t="str">
        <f>HYPERLINK("#'Data'!A19900", "Households with access to the internet in the past 4 weeks, by frequency broken down by urbanity on the admin of macroregion perc")</f>
        <v>Households with access to the internet in the past 4 weeks, by frequency broken down by urbanity on the admin of macroregion perc</v>
      </c>
    </row>
    <row r="1115" spans="2:6" x14ac:dyDescent="0.35">
      <c r="B1115" t="s">
        <v>117</v>
      </c>
      <c r="C1115" t="s">
        <v>172</v>
      </c>
      <c r="D1115" t="s">
        <v>59</v>
      </c>
      <c r="E1115" s="43">
        <v>1557</v>
      </c>
      <c r="F1115" s="21" t="str">
        <f>HYPERLINK("#'Data'!A19914", "Households with access to the internet in the past 4 weeks, by frequency broken down by household size on the admin of macroregion perc")</f>
        <v>Households with access to the internet in the past 4 weeks, by frequency broken down by household size on the admin of macroregion perc</v>
      </c>
    </row>
    <row r="1116" spans="2:6" x14ac:dyDescent="0.35">
      <c r="B1116" t="s">
        <v>117</v>
      </c>
      <c r="C1116" t="s">
        <v>172</v>
      </c>
      <c r="D1116" t="s">
        <v>60</v>
      </c>
      <c r="E1116" s="43">
        <v>1558</v>
      </c>
      <c r="F1116" s="21" t="str">
        <f>HYPERLINK("#'Data'!A19933", "Households with access to the internet in the past 4 weeks, by frequency broken down by income per capita (quartiles) on the admin of macroregion perc")</f>
        <v>Households with access to the internet in the past 4 weeks, by frequency broken down by income per capita (quartiles) on the admin of macroregion perc</v>
      </c>
    </row>
    <row r="1117" spans="2:6" x14ac:dyDescent="0.35">
      <c r="B1117" t="s">
        <v>117</v>
      </c>
      <c r="C1117" t="s">
        <v>172</v>
      </c>
      <c r="D1117" t="s">
        <v>61</v>
      </c>
      <c r="E1117" s="43">
        <v>1559</v>
      </c>
      <c r="F1117" s="21" t="str">
        <f>HYPERLINK("#'Data'!A19957", "Households with access to the internet in the past 4 weeks, by frequency broken down by gender of head of household on the admin of macroregion perc")</f>
        <v>Households with access to the internet in the past 4 weeks, by frequency broken down by gender of head of household on the admin of macroregion perc</v>
      </c>
    </row>
    <row r="1118" spans="2:6" x14ac:dyDescent="0.35">
      <c r="B1118" t="s">
        <v>117</v>
      </c>
      <c r="C1118" t="s">
        <v>172</v>
      </c>
      <c r="D1118" t="s">
        <v>62</v>
      </c>
      <c r="E1118" s="43">
        <v>1560</v>
      </c>
      <c r="F1118" s="21" t="str">
        <f>HYPERLINK("#'Data'!A19977", "Households with access to the internet in the past 4 weeks, by frequency broken down by age of adults in the households on the admin of macroregion pe...")</f>
        <v>Households with access to the internet in the past 4 weeks, by frequency broken down by age of adults in the households on the admin of macroregion pe...</v>
      </c>
    </row>
    <row r="1119" spans="2:6" x14ac:dyDescent="0.35">
      <c r="B1119" t="s">
        <v>117</v>
      </c>
      <c r="C1119" t="s">
        <v>172</v>
      </c>
      <c r="D1119" t="s">
        <v>76</v>
      </c>
      <c r="E1119" s="43">
        <v>1561</v>
      </c>
      <c r="F1119" s="21" t="str">
        <f>HYPERLINK("#'Data'!A19996", "Households with access to the internet in the past 4 weeks, by frequency broken down by households with at least one child (&lt;18 y.o.) on the admin of ...")</f>
        <v>Households with access to the internet in the past 4 weeks, by frequency broken down by households with at least one child (&lt;18 y.o.) on the admin of ...</v>
      </c>
    </row>
    <row r="1120" spans="2:6" x14ac:dyDescent="0.35">
      <c r="B1120" t="s">
        <v>117</v>
      </c>
      <c r="C1120" t="s">
        <v>172</v>
      </c>
      <c r="D1120" t="s">
        <v>63</v>
      </c>
      <c r="E1120" s="43">
        <v>1562</v>
      </c>
      <c r="F1120" s="21" t="str">
        <f>HYPERLINK("#'Data'!A20010", "Households with access to the internet in the past 4 weeks, by frequency broken down by displacement status of head of household on the admin of macro...")</f>
        <v>Households with access to the internet in the past 4 weeks, by frequency broken down by displacement status of head of household on the admin of macro...</v>
      </c>
    </row>
    <row r="1121" spans="2:6" x14ac:dyDescent="0.35">
      <c r="B1121" t="s">
        <v>117</v>
      </c>
      <c r="C1121" t="s">
        <v>172</v>
      </c>
      <c r="D1121" t="s">
        <v>64</v>
      </c>
      <c r="E1121" s="43">
        <v>1563</v>
      </c>
      <c r="F1121" s="21" t="str">
        <f>HYPERLINK("#'Data'!A20037", "Households with access to the internet in the past 4 weeks, by frequency broken down by IDP household on the admin of macroregion perc")</f>
        <v>Households with access to the internet in the past 4 weeks, by frequency broken down by IDP household on the admin of macroregion perc</v>
      </c>
    </row>
    <row r="1122" spans="2:6" x14ac:dyDescent="0.35">
      <c r="B1122" t="s">
        <v>117</v>
      </c>
      <c r="C1122" t="s">
        <v>172</v>
      </c>
      <c r="D1122" t="s">
        <v>65</v>
      </c>
      <c r="E1122" s="43">
        <v>1564</v>
      </c>
      <c r="F1122" s="21" t="str">
        <f>HYPERLINK("#'Data'!A20051", "Households with access to the internet in the past 4 weeks, by frequency broken down by proximity to frontline/border with Russian Federation on the a...")</f>
        <v>Households with access to the internet in the past 4 weeks, by frequency broken down by proximity to frontline/border with Russian Federation on the a...</v>
      </c>
    </row>
    <row r="1123" spans="2:6" x14ac:dyDescent="0.35">
      <c r="B1123" t="s">
        <v>117</v>
      </c>
      <c r="C1123" t="s">
        <v>172</v>
      </c>
      <c r="D1123" t="s">
        <v>77</v>
      </c>
      <c r="E1123" s="43">
        <v>1565</v>
      </c>
      <c r="F1123" s="21" t="str">
        <f>HYPERLINK("#'Data'!A20066", "Households with access to the internet in the past 4 weeks, by frequency broken down by caregiving status  on the admin of macroregion perc")</f>
        <v>Households with access to the internet in the past 4 weeks, by frequency broken down by caregiving status  on the admin of macroregion perc</v>
      </c>
    </row>
    <row r="1124" spans="2:6" x14ac:dyDescent="0.35">
      <c r="B1124" t="s">
        <v>173</v>
      </c>
      <c r="C1124" t="s">
        <v>174</v>
      </c>
      <c r="D1124" t="s">
        <v>36</v>
      </c>
      <c r="E1124" s="43">
        <v>1566</v>
      </c>
      <c r="F1124" s="21" t="str">
        <f>HYPERLINK("#'Data'!A20088", "Households by main source of drinking water, by source on the admin of macroregion perc")</f>
        <v>Households by main source of drinking water, by source on the admin of macroregion perc</v>
      </c>
    </row>
    <row r="1125" spans="2:6" x14ac:dyDescent="0.35">
      <c r="B1125" t="s">
        <v>173</v>
      </c>
      <c r="C1125" t="s">
        <v>174</v>
      </c>
      <c r="D1125" t="s">
        <v>57</v>
      </c>
      <c r="E1125" s="43">
        <v>1567</v>
      </c>
      <c r="F1125" s="21" t="str">
        <f>HYPERLINK("#'Data'!A20097", "Households by main source of drinking water, by source broken down by households with at least one member with a reported and/or registered disability...")</f>
        <v>Households by main source of drinking water, by source broken down by households with at least one member with a reported and/or registered disability...</v>
      </c>
    </row>
    <row r="1126" spans="2:6" x14ac:dyDescent="0.35">
      <c r="B1126" t="s">
        <v>173</v>
      </c>
      <c r="C1126" t="s">
        <v>174</v>
      </c>
      <c r="D1126" t="s">
        <v>58</v>
      </c>
      <c r="E1126" s="43">
        <v>1568</v>
      </c>
      <c r="F1126" s="21" t="str">
        <f>HYPERLINK("#'Data'!A20111", "Households by main source of drinking water, by source broken down by urbanity on the admin of macroregion perc")</f>
        <v>Households by main source of drinking water, by source broken down by urbanity on the admin of macroregion perc</v>
      </c>
    </row>
    <row r="1127" spans="2:6" x14ac:dyDescent="0.35">
      <c r="B1127" t="s">
        <v>173</v>
      </c>
      <c r="C1127" t="s">
        <v>174</v>
      </c>
      <c r="D1127" t="s">
        <v>59</v>
      </c>
      <c r="E1127" s="43">
        <v>1569</v>
      </c>
      <c r="F1127" s="21" t="str">
        <f>HYPERLINK("#'Data'!A20125", "Households by main source of drinking water, by source broken down by household size on the admin of macroregion perc")</f>
        <v>Households by main source of drinking water, by source broken down by household size on the admin of macroregion perc</v>
      </c>
    </row>
    <row r="1128" spans="2:6" x14ac:dyDescent="0.35">
      <c r="B1128" t="s">
        <v>173</v>
      </c>
      <c r="C1128" t="s">
        <v>174</v>
      </c>
      <c r="D1128" t="s">
        <v>60</v>
      </c>
      <c r="E1128" s="43">
        <v>1570</v>
      </c>
      <c r="F1128" s="21" t="str">
        <f>HYPERLINK("#'Data'!A20144", "Households by main source of drinking water, by source broken down by income per capita (quartiles) on the admin of macroregion perc")</f>
        <v>Households by main source of drinking water, by source broken down by income per capita (quartiles) on the admin of macroregion perc</v>
      </c>
    </row>
    <row r="1129" spans="2:6" x14ac:dyDescent="0.35">
      <c r="B1129" t="s">
        <v>173</v>
      </c>
      <c r="C1129" t="s">
        <v>174</v>
      </c>
      <c r="D1129" t="s">
        <v>61</v>
      </c>
      <c r="E1129" s="43">
        <v>1571</v>
      </c>
      <c r="F1129" s="21" t="str">
        <f>HYPERLINK("#'Data'!A20168", "Households by main source of drinking water, by source broken down by gender of head of household on the admin of macroregion perc")</f>
        <v>Households by main source of drinking water, by source broken down by gender of head of household on the admin of macroregion perc</v>
      </c>
    </row>
    <row r="1130" spans="2:6" x14ac:dyDescent="0.35">
      <c r="B1130" t="s">
        <v>173</v>
      </c>
      <c r="C1130" t="s">
        <v>174</v>
      </c>
      <c r="D1130" t="s">
        <v>62</v>
      </c>
      <c r="E1130" s="43">
        <v>1572</v>
      </c>
      <c r="F1130" s="21" t="str">
        <f>HYPERLINK("#'Data'!A20188", "Households by main source of drinking water, by source broken down by age of adults in the households on the admin of macroregion perc")</f>
        <v>Households by main source of drinking water, by source broken down by age of adults in the households on the admin of macroregion perc</v>
      </c>
    </row>
    <row r="1131" spans="2:6" x14ac:dyDescent="0.35">
      <c r="B1131" t="s">
        <v>173</v>
      </c>
      <c r="C1131" t="s">
        <v>174</v>
      </c>
      <c r="D1131" t="s">
        <v>76</v>
      </c>
      <c r="E1131" s="43">
        <v>1573</v>
      </c>
      <c r="F1131" s="21" t="str">
        <f>HYPERLINK("#'Data'!A20207", "Households by main source of drinking water, by source broken down by households with at least one child (&lt;18 y.o.) on the admin of macroregion perc")</f>
        <v>Households by main source of drinking water, by source broken down by households with at least one child (&lt;18 y.o.) on the admin of macroregion perc</v>
      </c>
    </row>
    <row r="1132" spans="2:6" x14ac:dyDescent="0.35">
      <c r="B1132" t="s">
        <v>173</v>
      </c>
      <c r="C1132" t="s">
        <v>174</v>
      </c>
      <c r="D1132" t="s">
        <v>63</v>
      </c>
      <c r="E1132" s="43">
        <v>1574</v>
      </c>
      <c r="F1132" s="21" t="str">
        <f>HYPERLINK("#'Data'!A20221", "Households by main source of drinking water, by source broken down by displacement status of head of household on the admin of macroregion perc")</f>
        <v>Households by main source of drinking water, by source broken down by displacement status of head of household on the admin of macroregion perc</v>
      </c>
    </row>
    <row r="1133" spans="2:6" x14ac:dyDescent="0.35">
      <c r="B1133" t="s">
        <v>173</v>
      </c>
      <c r="C1133" t="s">
        <v>174</v>
      </c>
      <c r="D1133" t="s">
        <v>64</v>
      </c>
      <c r="E1133" s="43">
        <v>1575</v>
      </c>
      <c r="F1133" s="21" t="str">
        <f>HYPERLINK("#'Data'!A20248", "Households by main source of drinking water, by source broken down by IDP household on the admin of macroregion perc")</f>
        <v>Households by main source of drinking water, by source broken down by IDP household on the admin of macroregion perc</v>
      </c>
    </row>
    <row r="1134" spans="2:6" x14ac:dyDescent="0.35">
      <c r="B1134" t="s">
        <v>173</v>
      </c>
      <c r="C1134" t="s">
        <v>174</v>
      </c>
      <c r="D1134" t="s">
        <v>65</v>
      </c>
      <c r="E1134" s="43">
        <v>1576</v>
      </c>
      <c r="F1134" s="21" t="str">
        <f>HYPERLINK("#'Data'!A20262", "Households by main source of drinking water, by source broken down by proximity to frontline/border with Russian Federation on the admin of macroregio...")</f>
        <v>Households by main source of drinking water, by source broken down by proximity to frontline/border with Russian Federation on the admin of macroregio...</v>
      </c>
    </row>
    <row r="1135" spans="2:6" x14ac:dyDescent="0.35">
      <c r="B1135" t="s">
        <v>173</v>
      </c>
      <c r="C1135" t="s">
        <v>174</v>
      </c>
      <c r="D1135" t="s">
        <v>77</v>
      </c>
      <c r="E1135" s="43">
        <v>1577</v>
      </c>
      <c r="F1135" s="21" t="str">
        <f>HYPERLINK("#'Data'!A20277", "Households by main source of drinking water, by source broken down by caregiving status  on the admin of macroregion perc")</f>
        <v>Households by main source of drinking water, by source broken down by caregiving status  on the admin of macroregion perc</v>
      </c>
    </row>
    <row r="1136" spans="2:6" x14ac:dyDescent="0.35">
      <c r="B1136" t="s">
        <v>173</v>
      </c>
      <c r="C1136" t="s">
        <v>175</v>
      </c>
      <c r="D1136" t="s">
        <v>36</v>
      </c>
      <c r="E1136" s="43">
        <v>1578</v>
      </c>
      <c r="F1136" s="21" t="str">
        <f>HYPERLINK("#'Data'!A20299", "Households where main source of drinking water is off premises, by  time taken to fetch water from main source of drinking water in minutes on the adm...")</f>
        <v>Households where main source of drinking water is off premises, by  time taken to fetch water from main source of drinking water in minutes on the adm...</v>
      </c>
    </row>
    <row r="1137" spans="2:6" x14ac:dyDescent="0.35">
      <c r="B1137" t="s">
        <v>173</v>
      </c>
      <c r="C1137" t="s">
        <v>175</v>
      </c>
      <c r="D1137" t="s">
        <v>57</v>
      </c>
      <c r="E1137" s="43">
        <v>1579</v>
      </c>
      <c r="F1137" s="21" t="str">
        <f>HYPERLINK("#'Data'!A20308",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38" spans="2:6" x14ac:dyDescent="0.35">
      <c r="B1138" t="s">
        <v>173</v>
      </c>
      <c r="C1138" t="s">
        <v>175</v>
      </c>
      <c r="D1138" t="s">
        <v>58</v>
      </c>
      <c r="E1138" s="43">
        <v>1580</v>
      </c>
      <c r="F1138" s="21" t="str">
        <f>HYPERLINK("#'Data'!A20322",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39" spans="2:6" x14ac:dyDescent="0.35">
      <c r="B1139" t="s">
        <v>173</v>
      </c>
      <c r="C1139" t="s">
        <v>175</v>
      </c>
      <c r="D1139" t="s">
        <v>59</v>
      </c>
      <c r="E1139" s="43">
        <v>1581</v>
      </c>
      <c r="F1139" s="21" t="str">
        <f>HYPERLINK("#'Data'!A20336",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0" spans="2:6" x14ac:dyDescent="0.35">
      <c r="B1140" t="s">
        <v>173</v>
      </c>
      <c r="C1140" t="s">
        <v>175</v>
      </c>
      <c r="D1140" t="s">
        <v>60</v>
      </c>
      <c r="E1140" s="43">
        <v>1582</v>
      </c>
      <c r="F1140" s="21" t="str">
        <f>HYPERLINK("#'Data'!A20355",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1" spans="2:6" x14ac:dyDescent="0.35">
      <c r="B1141" t="s">
        <v>173</v>
      </c>
      <c r="C1141" t="s">
        <v>175</v>
      </c>
      <c r="D1141" t="s">
        <v>61</v>
      </c>
      <c r="E1141" s="43">
        <v>1583</v>
      </c>
      <c r="F1141" s="21" t="str">
        <f>HYPERLINK("#'Data'!A20379",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2" spans="2:6" x14ac:dyDescent="0.35">
      <c r="B1142" t="s">
        <v>173</v>
      </c>
      <c r="C1142" t="s">
        <v>175</v>
      </c>
      <c r="D1142" t="s">
        <v>62</v>
      </c>
      <c r="E1142" s="43">
        <v>1584</v>
      </c>
      <c r="F1142" s="21" t="str">
        <f>HYPERLINK("#'Data'!A20399",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3" spans="2:6" x14ac:dyDescent="0.35">
      <c r="B1143" t="s">
        <v>173</v>
      </c>
      <c r="C1143" t="s">
        <v>175</v>
      </c>
      <c r="D1143" t="s">
        <v>76</v>
      </c>
      <c r="E1143" s="43">
        <v>1585</v>
      </c>
      <c r="F1143" s="21" t="str">
        <f>HYPERLINK("#'Data'!A20418",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4" spans="2:6" x14ac:dyDescent="0.35">
      <c r="B1144" t="s">
        <v>173</v>
      </c>
      <c r="C1144" t="s">
        <v>175</v>
      </c>
      <c r="D1144" t="s">
        <v>63</v>
      </c>
      <c r="E1144" s="43">
        <v>1586</v>
      </c>
      <c r="F1144" s="21" t="str">
        <f>HYPERLINK("#'Data'!A20432",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5" spans="2:6" x14ac:dyDescent="0.35">
      <c r="B1145" t="s">
        <v>173</v>
      </c>
      <c r="C1145" t="s">
        <v>175</v>
      </c>
      <c r="D1145" t="s">
        <v>64</v>
      </c>
      <c r="E1145" s="43">
        <v>1587</v>
      </c>
      <c r="F1145" s="21" t="str">
        <f>HYPERLINK("#'Data'!A20457",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6" spans="2:6" x14ac:dyDescent="0.35">
      <c r="B1146" t="s">
        <v>173</v>
      </c>
      <c r="C1146" t="s">
        <v>175</v>
      </c>
      <c r="D1146" t="s">
        <v>65</v>
      </c>
      <c r="E1146" s="43">
        <v>1588</v>
      </c>
      <c r="F1146" s="21" t="str">
        <f>HYPERLINK("#'Data'!A20471",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7" spans="2:6" x14ac:dyDescent="0.35">
      <c r="B1147" t="s">
        <v>173</v>
      </c>
      <c r="C1147" t="s">
        <v>175</v>
      </c>
      <c r="D1147" t="s">
        <v>77</v>
      </c>
      <c r="E1147" s="43">
        <v>1589</v>
      </c>
      <c r="F1147" s="21" t="str">
        <f>HYPERLINK("#'Data'!A20486",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48" spans="2:6" x14ac:dyDescent="0.35">
      <c r="B1148" t="s">
        <v>173</v>
      </c>
      <c r="C1148" t="s">
        <v>176</v>
      </c>
      <c r="D1148" t="s">
        <v>36</v>
      </c>
      <c r="E1148" s="43">
        <v>1590</v>
      </c>
      <c r="F1148" s="21" t="str">
        <f>HYPERLINK("#'Data'!A20507", "Households by acceptability of water in the past 4 weeks (prior to treatment) on the admin of macroregion perc")</f>
        <v>Households by acceptability of water in the past 4 weeks (prior to treatment) on the admin of macroregion perc</v>
      </c>
    </row>
    <row r="1149" spans="2:6" x14ac:dyDescent="0.35">
      <c r="B1149" t="s">
        <v>173</v>
      </c>
      <c r="C1149" t="s">
        <v>176</v>
      </c>
      <c r="D1149" t="s">
        <v>57</v>
      </c>
      <c r="E1149" s="43">
        <v>1591</v>
      </c>
      <c r="F1149" s="21" t="str">
        <f>HYPERLINK("#'Data'!A20516", "Households by acceptability of water in the past 4 weeks (prior to treatment) broken down by households with at least one member with a reported and/o...")</f>
        <v>Households by acceptability of water in the past 4 weeks (prior to treatment) broken down by households with at least one member with a reported and/o...</v>
      </c>
    </row>
    <row r="1150" spans="2:6" x14ac:dyDescent="0.35">
      <c r="B1150" t="s">
        <v>173</v>
      </c>
      <c r="C1150" t="s">
        <v>176</v>
      </c>
      <c r="D1150" t="s">
        <v>58</v>
      </c>
      <c r="E1150" s="43">
        <v>1592</v>
      </c>
      <c r="F1150" s="21" t="str">
        <f>HYPERLINK("#'Data'!A20530", "Households by acceptability of water in the past 4 weeks (prior to treatment) broken down by urbanity on the admin of macroregion perc")</f>
        <v>Households by acceptability of water in the past 4 weeks (prior to treatment) broken down by urbanity on the admin of macroregion perc</v>
      </c>
    </row>
    <row r="1151" spans="2:6" x14ac:dyDescent="0.35">
      <c r="B1151" t="s">
        <v>173</v>
      </c>
      <c r="C1151" t="s">
        <v>176</v>
      </c>
      <c r="D1151" t="s">
        <v>59</v>
      </c>
      <c r="E1151" s="43">
        <v>1593</v>
      </c>
      <c r="F1151" s="21" t="str">
        <f>HYPERLINK("#'Data'!A20544", "Households by acceptability of water in the past 4 weeks (prior to treatment) broken down by household size on the admin of macroregion perc")</f>
        <v>Households by acceptability of water in the past 4 weeks (prior to treatment) broken down by household size on the admin of macroregion perc</v>
      </c>
    </row>
    <row r="1152" spans="2:6" x14ac:dyDescent="0.35">
      <c r="B1152" t="s">
        <v>173</v>
      </c>
      <c r="C1152" t="s">
        <v>176</v>
      </c>
      <c r="D1152" t="s">
        <v>60</v>
      </c>
      <c r="E1152" s="43">
        <v>1594</v>
      </c>
      <c r="F1152" s="21" t="str">
        <f>HYPERLINK("#'Data'!A20563", "Households by acceptability of water in the past 4 weeks (prior to treatment) broken down by income per capita (quartiles) on the admin of macroregion...")</f>
        <v>Households by acceptability of water in the past 4 weeks (prior to treatment) broken down by income per capita (quartiles) on the admin of macroregion...</v>
      </c>
    </row>
    <row r="1153" spans="2:6" x14ac:dyDescent="0.35">
      <c r="B1153" t="s">
        <v>173</v>
      </c>
      <c r="C1153" t="s">
        <v>176</v>
      </c>
      <c r="D1153" t="s">
        <v>61</v>
      </c>
      <c r="E1153" s="43">
        <v>1595</v>
      </c>
      <c r="F1153" s="21" t="str">
        <f>HYPERLINK("#'Data'!A20587", "Households by acceptability of water in the past 4 weeks (prior to treatment) broken down by gender of head of household on the admin of macroregion p...")</f>
        <v>Households by acceptability of water in the past 4 weeks (prior to treatment) broken down by gender of head of household on the admin of macroregion p...</v>
      </c>
    </row>
    <row r="1154" spans="2:6" x14ac:dyDescent="0.35">
      <c r="B1154" t="s">
        <v>173</v>
      </c>
      <c r="C1154" t="s">
        <v>176</v>
      </c>
      <c r="D1154" t="s">
        <v>62</v>
      </c>
      <c r="E1154" s="43">
        <v>1596</v>
      </c>
      <c r="F1154" s="21" t="str">
        <f>HYPERLINK("#'Data'!A20607", "Households by acceptability of water in the past 4 weeks (prior to treatment) broken down by age of adults in the households on the admin of macroregi...")</f>
        <v>Households by acceptability of water in the past 4 weeks (prior to treatment) broken down by age of adults in the households on the admin of macroregi...</v>
      </c>
    </row>
    <row r="1155" spans="2:6" x14ac:dyDescent="0.35">
      <c r="B1155" t="s">
        <v>173</v>
      </c>
      <c r="C1155" t="s">
        <v>176</v>
      </c>
      <c r="D1155" t="s">
        <v>76</v>
      </c>
      <c r="E1155" s="43">
        <v>1597</v>
      </c>
      <c r="F1155" s="21" t="str">
        <f>HYPERLINK("#'Data'!A20626", "Households by acceptability of water in the past 4 weeks (prior to treatment) broken down by households with at least one child (&lt;18 y.o.) on the admi...")</f>
        <v>Households by acceptability of water in the past 4 weeks (prior to treatment) broken down by households with at least one child (&lt;18 y.o.) on the admi...</v>
      </c>
    </row>
    <row r="1156" spans="2:6" x14ac:dyDescent="0.35">
      <c r="B1156" t="s">
        <v>173</v>
      </c>
      <c r="C1156" t="s">
        <v>176</v>
      </c>
      <c r="D1156" t="s">
        <v>63</v>
      </c>
      <c r="E1156" s="43">
        <v>1598</v>
      </c>
      <c r="F1156" s="21" t="str">
        <f>HYPERLINK("#'Data'!A20640", "Households by acceptability of water in the past 4 weeks (prior to treatment) broken down by displacement status of head of household on the admin of ...")</f>
        <v>Households by acceptability of water in the past 4 weeks (prior to treatment) broken down by displacement status of head of household on the admin of ...</v>
      </c>
    </row>
    <row r="1157" spans="2:6" x14ac:dyDescent="0.35">
      <c r="B1157" t="s">
        <v>173</v>
      </c>
      <c r="C1157" t="s">
        <v>176</v>
      </c>
      <c r="D1157" t="s">
        <v>64</v>
      </c>
      <c r="E1157" s="43">
        <v>1599</v>
      </c>
      <c r="F1157" s="21" t="str">
        <f>HYPERLINK("#'Data'!A20667", "Households by acceptability of water in the past 4 weeks (prior to treatment) broken down by IDP household on the admin of macroregion perc")</f>
        <v>Households by acceptability of water in the past 4 weeks (prior to treatment) broken down by IDP household on the admin of macroregion perc</v>
      </c>
    </row>
    <row r="1158" spans="2:6" x14ac:dyDescent="0.35">
      <c r="B1158" t="s">
        <v>173</v>
      </c>
      <c r="C1158" t="s">
        <v>176</v>
      </c>
      <c r="D1158" t="s">
        <v>65</v>
      </c>
      <c r="E1158" s="43">
        <v>1600</v>
      </c>
      <c r="F1158" s="21" t="str">
        <f>HYPERLINK("#'Data'!A20681", "Households by acceptability of water in the past 4 weeks (prior to treatment) broken down by proximity to frontline/border with Russian Federation on ...")</f>
        <v>Households by acceptability of water in the past 4 weeks (prior to treatment) broken down by proximity to frontline/border with Russian Federation on ...</v>
      </c>
    </row>
    <row r="1159" spans="2:6" x14ac:dyDescent="0.35">
      <c r="B1159" t="s">
        <v>173</v>
      </c>
      <c r="C1159" t="s">
        <v>176</v>
      </c>
      <c r="D1159" t="s">
        <v>77</v>
      </c>
      <c r="E1159" s="43">
        <v>1601</v>
      </c>
      <c r="F1159" s="21" t="str">
        <f>HYPERLINK("#'Data'!A20696", "Households by acceptability of water in the past 4 weeks (prior to treatment) broken down by caregiving status  on the admin of macroregion perc")</f>
        <v>Households by acceptability of water in the past 4 weeks (prior to treatment) broken down by caregiving status  on the admin of macroregion perc</v>
      </c>
    </row>
    <row r="1160" spans="2:6" x14ac:dyDescent="0.35">
      <c r="B1160" t="s">
        <v>173</v>
      </c>
      <c r="C1160" t="s">
        <v>177</v>
      </c>
      <c r="D1160" t="s">
        <v>36</v>
      </c>
      <c r="E1160" s="43">
        <v>1602</v>
      </c>
      <c r="F1160" s="21" t="str">
        <f>HYPERLINK("#'Data'!A20718", "Households who treat drinking water from the main source on the admin of macroregion perc")</f>
        <v>Households who treat drinking water from the main source on the admin of macroregion perc</v>
      </c>
    </row>
    <row r="1161" spans="2:6" x14ac:dyDescent="0.35">
      <c r="B1161" t="s">
        <v>173</v>
      </c>
      <c r="C1161" t="s">
        <v>177</v>
      </c>
      <c r="D1161" t="s">
        <v>57</v>
      </c>
      <c r="E1161" s="43">
        <v>1603</v>
      </c>
      <c r="F1161" s="21" t="str">
        <f>HYPERLINK("#'Data'!A20727", "Households who treat drinking water from the main source broken down by households with at least one member with a reported and/or registered disabili...")</f>
        <v>Households who treat drinking water from the main source broken down by households with at least one member with a reported and/or registered disabili...</v>
      </c>
    </row>
    <row r="1162" spans="2:6" x14ac:dyDescent="0.35">
      <c r="B1162" t="s">
        <v>173</v>
      </c>
      <c r="C1162" t="s">
        <v>177</v>
      </c>
      <c r="D1162" t="s">
        <v>58</v>
      </c>
      <c r="E1162" s="43">
        <v>1604</v>
      </c>
      <c r="F1162" s="21" t="str">
        <f>HYPERLINK("#'Data'!A20741", "Households who treat drinking water from the main source broken down by urbanity on the admin of macroregion perc")</f>
        <v>Households who treat drinking water from the main source broken down by urbanity on the admin of macroregion perc</v>
      </c>
    </row>
    <row r="1163" spans="2:6" x14ac:dyDescent="0.35">
      <c r="B1163" t="s">
        <v>173</v>
      </c>
      <c r="C1163" t="s">
        <v>177</v>
      </c>
      <c r="D1163" t="s">
        <v>59</v>
      </c>
      <c r="E1163" s="43">
        <v>1605</v>
      </c>
      <c r="F1163" s="21" t="str">
        <f>HYPERLINK("#'Data'!A20755", "Households who treat drinking water from the main source broken down by household size on the admin of macroregion perc")</f>
        <v>Households who treat drinking water from the main source broken down by household size on the admin of macroregion perc</v>
      </c>
    </row>
    <row r="1164" spans="2:6" x14ac:dyDescent="0.35">
      <c r="B1164" t="s">
        <v>173</v>
      </c>
      <c r="C1164" t="s">
        <v>177</v>
      </c>
      <c r="D1164" t="s">
        <v>60</v>
      </c>
      <c r="E1164" s="43">
        <v>1606</v>
      </c>
      <c r="F1164" s="21" t="str">
        <f>HYPERLINK("#'Data'!A20774", "Households who treat drinking water from the main source broken down by income per capita (quartiles) on the admin of macroregion perc")</f>
        <v>Households who treat drinking water from the main source broken down by income per capita (quartiles) on the admin of macroregion perc</v>
      </c>
    </row>
    <row r="1165" spans="2:6" x14ac:dyDescent="0.35">
      <c r="B1165" t="s">
        <v>173</v>
      </c>
      <c r="C1165" t="s">
        <v>177</v>
      </c>
      <c r="D1165" t="s">
        <v>61</v>
      </c>
      <c r="E1165" s="43">
        <v>1607</v>
      </c>
      <c r="F1165" s="21" t="str">
        <f>HYPERLINK("#'Data'!A20798", "Households who treat drinking water from the main source broken down by gender of head of household on the admin of macroregion perc")</f>
        <v>Households who treat drinking water from the main source broken down by gender of head of household on the admin of macroregion perc</v>
      </c>
    </row>
    <row r="1166" spans="2:6" x14ac:dyDescent="0.35">
      <c r="B1166" t="s">
        <v>173</v>
      </c>
      <c r="C1166" t="s">
        <v>177</v>
      </c>
      <c r="D1166" t="s">
        <v>62</v>
      </c>
      <c r="E1166" s="43">
        <v>1608</v>
      </c>
      <c r="F1166" s="21" t="str">
        <f>HYPERLINK("#'Data'!A20818", "Households who treat drinking water from the main source broken down by age of adults in the households on the admin of macroregion perc")</f>
        <v>Households who treat drinking water from the main source broken down by age of adults in the households on the admin of macroregion perc</v>
      </c>
    </row>
    <row r="1167" spans="2:6" x14ac:dyDescent="0.35">
      <c r="B1167" t="s">
        <v>173</v>
      </c>
      <c r="C1167" t="s">
        <v>177</v>
      </c>
      <c r="D1167" t="s">
        <v>76</v>
      </c>
      <c r="E1167" s="43">
        <v>1609</v>
      </c>
      <c r="F1167" s="21" t="str">
        <f>HYPERLINK("#'Data'!A20837", "Households who treat drinking water from the main source broken down by households with at least one child (&lt;18 y.o.) on the admin of macroregion perc")</f>
        <v>Households who treat drinking water from the main source broken down by households with at least one child (&lt;18 y.o.) on the admin of macroregion perc</v>
      </c>
    </row>
    <row r="1168" spans="2:6" x14ac:dyDescent="0.35">
      <c r="B1168" t="s">
        <v>173</v>
      </c>
      <c r="C1168" t="s">
        <v>177</v>
      </c>
      <c r="D1168" t="s">
        <v>63</v>
      </c>
      <c r="E1168" s="43">
        <v>1610</v>
      </c>
      <c r="F1168" s="21" t="str">
        <f>HYPERLINK("#'Data'!A20851", "Households who treat drinking water from the main source broken down by displacement status of head of household on the admin of macroregion perc")</f>
        <v>Households who treat drinking water from the main source broken down by displacement status of head of household on the admin of macroregion perc</v>
      </c>
    </row>
    <row r="1169" spans="2:6" x14ac:dyDescent="0.35">
      <c r="B1169" t="s">
        <v>173</v>
      </c>
      <c r="C1169" t="s">
        <v>177</v>
      </c>
      <c r="D1169" t="s">
        <v>64</v>
      </c>
      <c r="E1169" s="43">
        <v>1611</v>
      </c>
      <c r="F1169" s="21" t="str">
        <f>HYPERLINK("#'Data'!A20878", "Households who treat drinking water from the main source broken down by IDP household on the admin of macroregion perc")</f>
        <v>Households who treat drinking water from the main source broken down by IDP household on the admin of macroregion perc</v>
      </c>
    </row>
    <row r="1170" spans="2:6" x14ac:dyDescent="0.35">
      <c r="B1170" t="s">
        <v>173</v>
      </c>
      <c r="C1170" t="s">
        <v>177</v>
      </c>
      <c r="D1170" t="s">
        <v>65</v>
      </c>
      <c r="E1170" s="43">
        <v>1612</v>
      </c>
      <c r="F1170" s="21" t="str">
        <f>HYPERLINK("#'Data'!A20892", "Households who treat drinking water from the main source broken down by proximity to frontline/border with Russian Federation on the admin of macroreg...")</f>
        <v>Households who treat drinking water from the main source broken down by proximity to frontline/border with Russian Federation on the admin of macroreg...</v>
      </c>
    </row>
    <row r="1171" spans="2:6" x14ac:dyDescent="0.35">
      <c r="B1171" t="s">
        <v>173</v>
      </c>
      <c r="C1171" t="s">
        <v>177</v>
      </c>
      <c r="D1171" t="s">
        <v>77</v>
      </c>
      <c r="E1171" s="43">
        <v>1613</v>
      </c>
      <c r="F1171" s="21" t="str">
        <f>HYPERLINK("#'Data'!A20907", "Households who treat drinking water from the main source broken down by caregiving status  on the admin of macroregion perc")</f>
        <v>Households who treat drinking water from the main source broken down by caregiving status  on the admin of macroregion perc</v>
      </c>
    </row>
    <row r="1172" spans="2:6" x14ac:dyDescent="0.35">
      <c r="B1172" t="s">
        <v>173</v>
      </c>
      <c r="C1172" t="s">
        <v>178</v>
      </c>
      <c r="D1172" t="s">
        <v>36</v>
      </c>
      <c r="E1172" s="43">
        <v>1614</v>
      </c>
      <c r="F1172" s="21" t="str">
        <f>HYPERLINK("#'Data'!A20929", "Households by days without sufficient drinking water quantity in the past 4 weeks on the admin of macroregion perc")</f>
        <v>Households by days without sufficient drinking water quantity in the past 4 weeks on the admin of macroregion perc</v>
      </c>
    </row>
    <row r="1173" spans="2:6" x14ac:dyDescent="0.35">
      <c r="B1173" t="s">
        <v>173</v>
      </c>
      <c r="C1173" t="s">
        <v>178</v>
      </c>
      <c r="D1173" t="s">
        <v>57</v>
      </c>
      <c r="E1173" s="43">
        <v>1615</v>
      </c>
      <c r="F1173" s="21" t="str">
        <f>HYPERLINK("#'Data'!A20938", "Households by days without sufficient drinking water quantity in the past 4 weeks broken down by households with at least one member with a reported a...")</f>
        <v>Households by days without sufficient drinking water quantity in the past 4 weeks broken down by households with at least one member with a reported a...</v>
      </c>
    </row>
    <row r="1174" spans="2:6" x14ac:dyDescent="0.35">
      <c r="B1174" t="s">
        <v>173</v>
      </c>
      <c r="C1174" t="s">
        <v>178</v>
      </c>
      <c r="D1174" t="s">
        <v>58</v>
      </c>
      <c r="E1174" s="43">
        <v>1616</v>
      </c>
      <c r="F1174" s="21" t="str">
        <f>HYPERLINK("#'Data'!A20952", "Households by days without sufficient drinking water quantity in the past 4 weeks broken down by urbanity on the admin of macroregion perc")</f>
        <v>Households by days without sufficient drinking water quantity in the past 4 weeks broken down by urbanity on the admin of macroregion perc</v>
      </c>
    </row>
    <row r="1175" spans="2:6" x14ac:dyDescent="0.35">
      <c r="B1175" t="s">
        <v>173</v>
      </c>
      <c r="C1175" t="s">
        <v>178</v>
      </c>
      <c r="D1175" t="s">
        <v>59</v>
      </c>
      <c r="E1175" s="43">
        <v>1617</v>
      </c>
      <c r="F1175" s="21" t="str">
        <f>HYPERLINK("#'Data'!A20966", "Households by days without sufficient drinking water quantity in the past 4 weeks broken down by household size on the admin of macroregion perc")</f>
        <v>Households by days without sufficient drinking water quantity in the past 4 weeks broken down by household size on the admin of macroregion perc</v>
      </c>
    </row>
    <row r="1176" spans="2:6" x14ac:dyDescent="0.35">
      <c r="B1176" t="s">
        <v>173</v>
      </c>
      <c r="C1176" t="s">
        <v>178</v>
      </c>
      <c r="D1176" t="s">
        <v>60</v>
      </c>
      <c r="E1176" s="43">
        <v>1618</v>
      </c>
      <c r="F1176" s="21" t="str">
        <f>HYPERLINK("#'Data'!A20985", "Households by days without sufficient drinking water quantity in the past 4 weeks broken down by income per capita (quartiles) on the admin of macrore...")</f>
        <v>Households by days without sufficient drinking water quantity in the past 4 weeks broken down by income per capita (quartiles) on the admin of macrore...</v>
      </c>
    </row>
    <row r="1177" spans="2:6" x14ac:dyDescent="0.35">
      <c r="B1177" t="s">
        <v>173</v>
      </c>
      <c r="C1177" t="s">
        <v>178</v>
      </c>
      <c r="D1177" t="s">
        <v>61</v>
      </c>
      <c r="E1177" s="43">
        <v>1619</v>
      </c>
      <c r="F1177" s="21" t="str">
        <f>HYPERLINK("#'Data'!A21009", "Households by days without sufficient drinking water quantity in the past 4 weeks broken down by gender of head of household on the admin of macroregi...")</f>
        <v>Households by days without sufficient drinking water quantity in the past 4 weeks broken down by gender of head of household on the admin of macroregi...</v>
      </c>
    </row>
    <row r="1178" spans="2:6" x14ac:dyDescent="0.35">
      <c r="B1178" t="s">
        <v>173</v>
      </c>
      <c r="C1178" t="s">
        <v>178</v>
      </c>
      <c r="D1178" t="s">
        <v>62</v>
      </c>
      <c r="E1178" s="43">
        <v>1620</v>
      </c>
      <c r="F1178" s="21" t="str">
        <f>HYPERLINK("#'Data'!A21029", "Households by days without sufficient drinking water quantity in the past 4 weeks broken down by age of adults in the households on the admin of macro...")</f>
        <v>Households by days without sufficient drinking water quantity in the past 4 weeks broken down by age of adults in the households on the admin of macro...</v>
      </c>
    </row>
    <row r="1179" spans="2:6" x14ac:dyDescent="0.35">
      <c r="B1179" t="s">
        <v>173</v>
      </c>
      <c r="C1179" t="s">
        <v>178</v>
      </c>
      <c r="D1179" t="s">
        <v>76</v>
      </c>
      <c r="E1179" s="43">
        <v>1621</v>
      </c>
      <c r="F1179" s="21" t="str">
        <f>HYPERLINK("#'Data'!A21048", "Households by days without sufficient drinking water quantity in the past 4 weeks broken down by households with at least one child (&lt;18 y.o.) on the ...")</f>
        <v>Households by days without sufficient drinking water quantity in the past 4 weeks broken down by households with at least one child (&lt;18 y.o.) on the ...</v>
      </c>
    </row>
    <row r="1180" spans="2:6" x14ac:dyDescent="0.35">
      <c r="B1180" t="s">
        <v>173</v>
      </c>
      <c r="C1180" t="s">
        <v>178</v>
      </c>
      <c r="D1180" t="s">
        <v>63</v>
      </c>
      <c r="E1180" s="43">
        <v>1622</v>
      </c>
      <c r="F1180" s="21" t="str">
        <f>HYPERLINK("#'Data'!A21062", "Households by days without sufficient drinking water quantity in the past 4 weeks broken down by displacement status of head of household on the admin...")</f>
        <v>Households by days without sufficient drinking water quantity in the past 4 weeks broken down by displacement status of head of household on the admin...</v>
      </c>
    </row>
    <row r="1181" spans="2:6" x14ac:dyDescent="0.35">
      <c r="B1181" t="s">
        <v>173</v>
      </c>
      <c r="C1181" t="s">
        <v>178</v>
      </c>
      <c r="D1181" t="s">
        <v>64</v>
      </c>
      <c r="E1181" s="43">
        <v>1623</v>
      </c>
      <c r="F1181" s="21" t="str">
        <f>HYPERLINK("#'Data'!A21089", "Households by days without sufficient drinking water quantity in the past 4 weeks broken down by IDP household on the admin of macroregion perc")</f>
        <v>Households by days without sufficient drinking water quantity in the past 4 weeks broken down by IDP household on the admin of macroregion perc</v>
      </c>
    </row>
    <row r="1182" spans="2:6" x14ac:dyDescent="0.35">
      <c r="B1182" t="s">
        <v>173</v>
      </c>
      <c r="C1182" t="s">
        <v>178</v>
      </c>
      <c r="D1182" t="s">
        <v>65</v>
      </c>
      <c r="E1182" s="43">
        <v>1624</v>
      </c>
      <c r="F1182" s="21" t="str">
        <f>HYPERLINK("#'Data'!A21103", "Households by days without sufficient drinking water quantity in the past 4 weeks broken down by proximity to frontline/border with Russian Federation...")</f>
        <v>Households by days without sufficient drinking water quantity in the past 4 weeks broken down by proximity to frontline/border with Russian Federation...</v>
      </c>
    </row>
    <row r="1183" spans="2:6" x14ac:dyDescent="0.35">
      <c r="B1183" t="s">
        <v>173</v>
      </c>
      <c r="C1183" t="s">
        <v>178</v>
      </c>
      <c r="D1183" t="s">
        <v>77</v>
      </c>
      <c r="E1183" s="43">
        <v>1625</v>
      </c>
      <c r="F1183" s="21" t="str">
        <f>HYPERLINK("#'Data'!A21118", "Households by days without sufficient drinking water quantity in the past 4 weeks broken down by caregiving status  on the admin of macroregion perc")</f>
        <v>Households by days without sufficient drinking water quantity in the past 4 weeks broken down by caregiving status  on the admin of macroregion perc</v>
      </c>
    </row>
    <row r="1184" spans="2:6" x14ac:dyDescent="0.35">
      <c r="B1184" t="s">
        <v>173</v>
      </c>
      <c r="C1184" t="s">
        <v>179</v>
      </c>
      <c r="D1184" t="s">
        <v>36</v>
      </c>
      <c r="E1184" s="43">
        <v>1626</v>
      </c>
      <c r="F1184" s="21" t="str">
        <f>HYPERLINK("#'Data'!A21140", "Households by main source of water for domestic purposes on the admin of macroregion perc")</f>
        <v>Households by main source of water for domestic purposes on the admin of macroregion perc</v>
      </c>
    </row>
    <row r="1185" spans="2:6" x14ac:dyDescent="0.35">
      <c r="B1185" t="s">
        <v>173</v>
      </c>
      <c r="C1185" t="s">
        <v>179</v>
      </c>
      <c r="D1185" t="s">
        <v>57</v>
      </c>
      <c r="E1185" s="43">
        <v>1627</v>
      </c>
      <c r="F1185" s="21" t="str">
        <f>HYPERLINK("#'Data'!A21149", "Households by main source of water for domestic purposes broken down by households with at least one member with a reported and/or registered disabili...")</f>
        <v>Households by main source of water for domestic purposes broken down by households with at least one member with a reported and/or registered disabili...</v>
      </c>
    </row>
    <row r="1186" spans="2:6" x14ac:dyDescent="0.35">
      <c r="B1186" t="s">
        <v>173</v>
      </c>
      <c r="C1186" t="s">
        <v>179</v>
      </c>
      <c r="D1186" t="s">
        <v>58</v>
      </c>
      <c r="E1186" s="43">
        <v>1628</v>
      </c>
      <c r="F1186" s="21" t="str">
        <f>HYPERLINK("#'Data'!A21163", "Households by main source of water for domestic purposes broken down by urbanity on the admin of macroregion perc")</f>
        <v>Households by main source of water for domestic purposes broken down by urbanity on the admin of macroregion perc</v>
      </c>
    </row>
    <row r="1187" spans="2:6" x14ac:dyDescent="0.35">
      <c r="B1187" t="s">
        <v>173</v>
      </c>
      <c r="C1187" t="s">
        <v>179</v>
      </c>
      <c r="D1187" t="s">
        <v>59</v>
      </c>
      <c r="E1187" s="43">
        <v>1629</v>
      </c>
      <c r="F1187" s="21" t="str">
        <f>HYPERLINK("#'Data'!A21177", "Households by main source of water for domestic purposes broken down by household size on the admin of macroregion perc")</f>
        <v>Households by main source of water for domestic purposes broken down by household size on the admin of macroregion perc</v>
      </c>
    </row>
    <row r="1188" spans="2:6" x14ac:dyDescent="0.35">
      <c r="B1188" t="s">
        <v>173</v>
      </c>
      <c r="C1188" t="s">
        <v>179</v>
      </c>
      <c r="D1188" t="s">
        <v>60</v>
      </c>
      <c r="E1188" s="43">
        <v>1630</v>
      </c>
      <c r="F1188" s="21" t="str">
        <f>HYPERLINK("#'Data'!A21196", "Households by main source of water for domestic purposes broken down by income per capita (quartiles) on the admin of macroregion perc")</f>
        <v>Households by main source of water for domestic purposes broken down by income per capita (quartiles) on the admin of macroregion perc</v>
      </c>
    </row>
    <row r="1189" spans="2:6" x14ac:dyDescent="0.35">
      <c r="B1189" t="s">
        <v>173</v>
      </c>
      <c r="C1189" t="s">
        <v>179</v>
      </c>
      <c r="D1189" t="s">
        <v>61</v>
      </c>
      <c r="E1189" s="43">
        <v>1631</v>
      </c>
      <c r="F1189" s="21" t="str">
        <f>HYPERLINK("#'Data'!A21220", "Households by main source of water for domestic purposes broken down by gender of head of household on the admin of macroregion perc")</f>
        <v>Households by main source of water for domestic purposes broken down by gender of head of household on the admin of macroregion perc</v>
      </c>
    </row>
    <row r="1190" spans="2:6" x14ac:dyDescent="0.35">
      <c r="B1190" t="s">
        <v>173</v>
      </c>
      <c r="C1190" t="s">
        <v>179</v>
      </c>
      <c r="D1190" t="s">
        <v>62</v>
      </c>
      <c r="E1190" s="43">
        <v>1632</v>
      </c>
      <c r="F1190" s="21" t="str">
        <f>HYPERLINK("#'Data'!A21240", "Households by main source of water for domestic purposes broken down by age of adults in the households on the admin of macroregion perc")</f>
        <v>Households by main source of water for domestic purposes broken down by age of adults in the households on the admin of macroregion perc</v>
      </c>
    </row>
    <row r="1191" spans="2:6" x14ac:dyDescent="0.35">
      <c r="B1191" t="s">
        <v>173</v>
      </c>
      <c r="C1191" t="s">
        <v>179</v>
      </c>
      <c r="D1191" t="s">
        <v>76</v>
      </c>
      <c r="E1191" s="43">
        <v>1633</v>
      </c>
      <c r="F1191" s="21" t="str">
        <f>HYPERLINK("#'Data'!A21259", "Households by main source of water for domestic purposes broken down by households with at least one child (&lt;18 y.o.) on the admin of macroregion perc")</f>
        <v>Households by main source of water for domestic purposes broken down by households with at least one child (&lt;18 y.o.) on the admin of macroregion perc</v>
      </c>
    </row>
    <row r="1192" spans="2:6" x14ac:dyDescent="0.35">
      <c r="B1192" t="s">
        <v>173</v>
      </c>
      <c r="C1192" t="s">
        <v>179</v>
      </c>
      <c r="D1192" t="s">
        <v>63</v>
      </c>
      <c r="E1192" s="43">
        <v>1634</v>
      </c>
      <c r="F1192" s="21" t="str">
        <f>HYPERLINK("#'Data'!A21273", "Households by main source of water for domestic purposes broken down by displacement status of head of household on the admin of macroregion perc")</f>
        <v>Households by main source of water for domestic purposes broken down by displacement status of head of household on the admin of macroregion perc</v>
      </c>
    </row>
    <row r="1193" spans="2:6" x14ac:dyDescent="0.35">
      <c r="B1193" t="s">
        <v>173</v>
      </c>
      <c r="C1193" t="s">
        <v>179</v>
      </c>
      <c r="D1193" t="s">
        <v>64</v>
      </c>
      <c r="E1193" s="43">
        <v>1635</v>
      </c>
      <c r="F1193" s="21" t="str">
        <f>HYPERLINK("#'Data'!A21300", "Households by main source of water for domestic purposes broken down by IDP household on the admin of macroregion perc")</f>
        <v>Households by main source of water for domestic purposes broken down by IDP household on the admin of macroregion perc</v>
      </c>
    </row>
    <row r="1194" spans="2:6" x14ac:dyDescent="0.35">
      <c r="B1194" t="s">
        <v>173</v>
      </c>
      <c r="C1194" t="s">
        <v>179</v>
      </c>
      <c r="D1194" t="s">
        <v>65</v>
      </c>
      <c r="E1194" s="43">
        <v>1636</v>
      </c>
      <c r="F1194" s="21" t="str">
        <f>HYPERLINK("#'Data'!A21314", "Households by main source of water for domestic purposes broken down by proximity to frontline/border with Russian Federation on the admin of macroreg...")</f>
        <v>Households by main source of water for domestic purposes broken down by proximity to frontline/border with Russian Federation on the admin of macroreg...</v>
      </c>
    </row>
    <row r="1195" spans="2:6" x14ac:dyDescent="0.35">
      <c r="B1195" t="s">
        <v>173</v>
      </c>
      <c r="C1195" t="s">
        <v>179</v>
      </c>
      <c r="D1195" t="s">
        <v>77</v>
      </c>
      <c r="E1195" s="43">
        <v>1637</v>
      </c>
      <c r="F1195" s="21" t="str">
        <f>HYPERLINK("#'Data'!A21329", "Households by main source of water for domestic purposes broken down by caregiving status  on the admin of macroregion perc")</f>
        <v>Households by main source of water for domestic purposes broken down by caregiving status  on the admin of macroregion perc</v>
      </c>
    </row>
    <row r="1196" spans="2:6" x14ac:dyDescent="0.35">
      <c r="B1196" t="s">
        <v>173</v>
      </c>
      <c r="C1196" t="s">
        <v>180</v>
      </c>
      <c r="D1196" t="s">
        <v>36</v>
      </c>
      <c r="E1196" s="43">
        <v>1638</v>
      </c>
      <c r="F1196" s="21" t="str">
        <f>HYPERLINK("#'Data'!A21351", "Households by days without sufficient water for domestic purposes quantity in the past 4 weeks on the admin of macroregion perc")</f>
        <v>Households by days without sufficient water for domestic purposes quantity in the past 4 weeks on the admin of macroregion perc</v>
      </c>
    </row>
    <row r="1197" spans="2:6" x14ac:dyDescent="0.35">
      <c r="B1197" t="s">
        <v>173</v>
      </c>
      <c r="C1197" t="s">
        <v>180</v>
      </c>
      <c r="D1197" t="s">
        <v>57</v>
      </c>
      <c r="E1197" s="43">
        <v>1639</v>
      </c>
      <c r="F1197" s="21" t="str">
        <f>HYPERLINK("#'Data'!A21360", "Households by days without sufficient water for domestic purposes quantity in the past 4 weeks broken down by households with at least one member with...")</f>
        <v>Households by days without sufficient water for domestic purposes quantity in the past 4 weeks broken down by households with at least one member with...</v>
      </c>
    </row>
    <row r="1198" spans="2:6" x14ac:dyDescent="0.35">
      <c r="B1198" t="s">
        <v>173</v>
      </c>
      <c r="C1198" t="s">
        <v>180</v>
      </c>
      <c r="D1198" t="s">
        <v>58</v>
      </c>
      <c r="E1198" s="43">
        <v>1640</v>
      </c>
      <c r="F1198" s="21" t="str">
        <f>HYPERLINK("#'Data'!A21374", "Households by days without sufficient water for domestic purposes quantity in the past 4 weeks broken down by urbanity on the admin of macroregion per...")</f>
        <v>Households by days without sufficient water for domestic purposes quantity in the past 4 weeks broken down by urbanity on the admin of macroregion per...</v>
      </c>
    </row>
    <row r="1199" spans="2:6" x14ac:dyDescent="0.35">
      <c r="B1199" t="s">
        <v>173</v>
      </c>
      <c r="C1199" t="s">
        <v>180</v>
      </c>
      <c r="D1199" t="s">
        <v>59</v>
      </c>
      <c r="E1199" s="43">
        <v>1641</v>
      </c>
      <c r="F1199" s="21" t="str">
        <f>HYPERLINK("#'Data'!A21388", "Households by days without sufficient water for domestic purposes quantity in the past 4 weeks broken down by household size on the admin of macroregi...")</f>
        <v>Households by days without sufficient water for domestic purposes quantity in the past 4 weeks broken down by household size on the admin of macroregi...</v>
      </c>
    </row>
    <row r="1200" spans="2:6" x14ac:dyDescent="0.35">
      <c r="B1200" t="s">
        <v>173</v>
      </c>
      <c r="C1200" t="s">
        <v>180</v>
      </c>
      <c r="D1200" t="s">
        <v>60</v>
      </c>
      <c r="E1200" s="43">
        <v>1642</v>
      </c>
      <c r="F1200" s="21" t="str">
        <f>HYPERLINK("#'Data'!A21407", "Households by days without sufficient water for domestic purposes quantity in the past 4 weeks broken down by income per capita (quartiles) on the adm...")</f>
        <v>Households by days without sufficient water for domestic purposes quantity in the past 4 weeks broken down by income per capita (quartiles) on the adm...</v>
      </c>
    </row>
    <row r="1201" spans="2:6" x14ac:dyDescent="0.35">
      <c r="B1201" t="s">
        <v>173</v>
      </c>
      <c r="C1201" t="s">
        <v>180</v>
      </c>
      <c r="D1201" t="s">
        <v>61</v>
      </c>
      <c r="E1201" s="43">
        <v>1643</v>
      </c>
      <c r="F1201" s="21" t="str">
        <f>HYPERLINK("#'Data'!A21431", "Households by days without sufficient water for domestic purposes quantity in the past 4 weeks broken down by gender of head of household on the admin...")</f>
        <v>Households by days without sufficient water for domestic purposes quantity in the past 4 weeks broken down by gender of head of household on the admin...</v>
      </c>
    </row>
    <row r="1202" spans="2:6" x14ac:dyDescent="0.35">
      <c r="B1202" t="s">
        <v>173</v>
      </c>
      <c r="C1202" t="s">
        <v>180</v>
      </c>
      <c r="D1202" t="s">
        <v>62</v>
      </c>
      <c r="E1202" s="43">
        <v>1644</v>
      </c>
      <c r="F1202" s="21" t="str">
        <f>HYPERLINK("#'Data'!A21451", "Households by days without sufficient water for domestic purposes quantity in the past 4 weeks broken down by age of adults in the households on the a...")</f>
        <v>Households by days without sufficient water for domestic purposes quantity in the past 4 weeks broken down by age of adults in the households on the a...</v>
      </c>
    </row>
    <row r="1203" spans="2:6" x14ac:dyDescent="0.35">
      <c r="B1203" t="s">
        <v>173</v>
      </c>
      <c r="C1203" t="s">
        <v>180</v>
      </c>
      <c r="D1203" t="s">
        <v>76</v>
      </c>
      <c r="E1203" s="43">
        <v>1645</v>
      </c>
      <c r="F1203" s="21" t="str">
        <f>HYPERLINK("#'Data'!A21470", "Households by days without sufficient water for domestic purposes quantity in the past 4 weeks broken down by households with at least one child (&lt;18 ...")</f>
        <v>Households by days without sufficient water for domestic purposes quantity in the past 4 weeks broken down by households with at least one child (&lt;18 ...</v>
      </c>
    </row>
    <row r="1204" spans="2:6" x14ac:dyDescent="0.35">
      <c r="B1204" t="s">
        <v>173</v>
      </c>
      <c r="C1204" t="s">
        <v>180</v>
      </c>
      <c r="D1204" t="s">
        <v>63</v>
      </c>
      <c r="E1204" s="43">
        <v>1646</v>
      </c>
      <c r="F1204" s="21" t="str">
        <f>HYPERLINK("#'Data'!A21484", "Households by days without sufficient water for domestic purposes quantity in the past 4 weeks broken down by displacement status of head of household...")</f>
        <v>Households by days without sufficient water for domestic purposes quantity in the past 4 weeks broken down by displacement status of head of household...</v>
      </c>
    </row>
    <row r="1205" spans="2:6" x14ac:dyDescent="0.35">
      <c r="B1205" t="s">
        <v>173</v>
      </c>
      <c r="C1205" t="s">
        <v>180</v>
      </c>
      <c r="D1205" t="s">
        <v>64</v>
      </c>
      <c r="E1205" s="43">
        <v>1647</v>
      </c>
      <c r="F1205" s="21" t="str">
        <f>HYPERLINK("#'Data'!A21511", "Households by days without sufficient water for domestic purposes quantity in the past 4 weeks broken down by IDP household on the admin of macroregio...")</f>
        <v>Households by days without sufficient water for domestic purposes quantity in the past 4 weeks broken down by IDP household on the admin of macroregio...</v>
      </c>
    </row>
    <row r="1206" spans="2:6" x14ac:dyDescent="0.35">
      <c r="B1206" t="s">
        <v>173</v>
      </c>
      <c r="C1206" t="s">
        <v>180</v>
      </c>
      <c r="D1206" t="s">
        <v>65</v>
      </c>
      <c r="E1206" s="43">
        <v>1648</v>
      </c>
      <c r="F1206" s="21" t="str">
        <f>HYPERLINK("#'Data'!A21525", "Households by days without sufficient water for domestic purposes quantity in the past 4 weeks broken down by proximity to frontline/border with Russi...")</f>
        <v>Households by days without sufficient water for domestic purposes quantity in the past 4 weeks broken down by proximity to frontline/border with Russi...</v>
      </c>
    </row>
    <row r="1207" spans="2:6" x14ac:dyDescent="0.35">
      <c r="B1207" t="s">
        <v>173</v>
      </c>
      <c r="C1207" t="s">
        <v>180</v>
      </c>
      <c r="D1207" t="s">
        <v>77</v>
      </c>
      <c r="E1207" s="43">
        <v>1649</v>
      </c>
      <c r="F1207" s="21" t="str">
        <f>HYPERLINK("#'Data'!A21540", "Households by days without sufficient water for domestic purposes quantity in the past 4 weeks broken down by caregiving status  on the admin of macro...")</f>
        <v>Households by days without sufficient water for domestic purposes quantity in the past 4 weeks broken down by caregiving status  on the admin of macro...</v>
      </c>
    </row>
    <row r="1208" spans="2:6" x14ac:dyDescent="0.35">
      <c r="B1208" t="s">
        <v>173</v>
      </c>
      <c r="C1208" t="s">
        <v>181</v>
      </c>
      <c r="D1208" t="s">
        <v>36</v>
      </c>
      <c r="E1208" s="43">
        <v>1650</v>
      </c>
      <c r="F1208" s="21" t="str">
        <f>HYPERLINK("#'Data'!A21562", "Percentage of households reporting enough space/essential items so that the members of the households can perform personal hygiene on the admin of mac...")</f>
        <v>Percentage of households reporting enough space/essential items so that the members of the households can perform personal hygiene on the admin of mac...</v>
      </c>
    </row>
    <row r="1209" spans="2:6" x14ac:dyDescent="0.35">
      <c r="B1209" t="s">
        <v>173</v>
      </c>
      <c r="C1209" t="s">
        <v>181</v>
      </c>
      <c r="D1209" t="s">
        <v>57</v>
      </c>
      <c r="E1209" s="43">
        <v>1651</v>
      </c>
      <c r="F1209" s="21" t="str">
        <f>HYPERLINK("#'Data'!A21571", "Percentage of households reporting enough space/essential items so that the members of the households can perform personal hygiene broken down by hous...")</f>
        <v>Percentage of households reporting enough space/essential items so that the members of the households can perform personal hygiene broken down by hous...</v>
      </c>
    </row>
    <row r="1210" spans="2:6" x14ac:dyDescent="0.35">
      <c r="B1210" t="s">
        <v>173</v>
      </c>
      <c r="C1210" t="s">
        <v>181</v>
      </c>
      <c r="D1210" t="s">
        <v>58</v>
      </c>
      <c r="E1210" s="43">
        <v>1652</v>
      </c>
      <c r="F1210" s="21" t="str">
        <f>HYPERLINK("#'Data'!A21585", "Percentage of households reporting enough space/essential items so that the members of the households can perform personal hygiene broken down by urba...")</f>
        <v>Percentage of households reporting enough space/essential items so that the members of the households can perform personal hygiene broken down by urba...</v>
      </c>
    </row>
    <row r="1211" spans="2:6" x14ac:dyDescent="0.35">
      <c r="B1211" t="s">
        <v>173</v>
      </c>
      <c r="C1211" t="s">
        <v>181</v>
      </c>
      <c r="D1211" t="s">
        <v>59</v>
      </c>
      <c r="E1211" s="43">
        <v>1653</v>
      </c>
      <c r="F1211" s="21" t="str">
        <f>HYPERLINK("#'Data'!A21599", "Percentage of households reporting enough space/essential items so that the members of the households can perform personal hygiene broken down by hous...")</f>
        <v>Percentage of households reporting enough space/essential items so that the members of the households can perform personal hygiene broken down by hous...</v>
      </c>
    </row>
    <row r="1212" spans="2:6" x14ac:dyDescent="0.35">
      <c r="B1212" t="s">
        <v>173</v>
      </c>
      <c r="C1212" t="s">
        <v>181</v>
      </c>
      <c r="D1212" t="s">
        <v>60</v>
      </c>
      <c r="E1212" s="43">
        <v>1654</v>
      </c>
      <c r="F1212" s="21" t="str">
        <f>HYPERLINK("#'Data'!A21618", "Percentage of households reporting enough space/essential items so that the members of the households can perform personal hygiene broken down by inco...")</f>
        <v>Percentage of households reporting enough space/essential items so that the members of the households can perform personal hygiene broken down by inco...</v>
      </c>
    </row>
    <row r="1213" spans="2:6" x14ac:dyDescent="0.35">
      <c r="B1213" t="s">
        <v>173</v>
      </c>
      <c r="C1213" t="s">
        <v>181</v>
      </c>
      <c r="D1213" t="s">
        <v>61</v>
      </c>
      <c r="E1213" s="43">
        <v>1655</v>
      </c>
      <c r="F1213" s="21" t="str">
        <f>HYPERLINK("#'Data'!A21642", "Percentage of households reporting enough space/essential items so that the members of the households can perform personal hygiene broken down by gend...")</f>
        <v>Percentage of households reporting enough space/essential items so that the members of the households can perform personal hygiene broken down by gend...</v>
      </c>
    </row>
    <row r="1214" spans="2:6" x14ac:dyDescent="0.35">
      <c r="B1214" t="s">
        <v>173</v>
      </c>
      <c r="C1214" t="s">
        <v>181</v>
      </c>
      <c r="D1214" t="s">
        <v>62</v>
      </c>
      <c r="E1214" s="43">
        <v>1656</v>
      </c>
      <c r="F1214" s="21" t="str">
        <f>HYPERLINK("#'Data'!A21662", "Percentage of households reporting enough space/essential items so that the members of the households can perform personal hygiene broken down by age ...")</f>
        <v>Percentage of households reporting enough space/essential items so that the members of the households can perform personal hygiene broken down by age ...</v>
      </c>
    </row>
    <row r="1215" spans="2:6" x14ac:dyDescent="0.35">
      <c r="B1215" t="s">
        <v>173</v>
      </c>
      <c r="C1215" t="s">
        <v>181</v>
      </c>
      <c r="D1215" t="s">
        <v>76</v>
      </c>
      <c r="E1215" s="43">
        <v>1657</v>
      </c>
      <c r="F1215" s="21" t="str">
        <f>HYPERLINK("#'Data'!A21681", "Percentage of households reporting enough space/essential items so that the members of the households can perform personal hygiene broken down by hous...")</f>
        <v>Percentage of households reporting enough space/essential items so that the members of the households can perform personal hygiene broken down by hous...</v>
      </c>
    </row>
    <row r="1216" spans="2:6" x14ac:dyDescent="0.35">
      <c r="B1216" t="s">
        <v>173</v>
      </c>
      <c r="C1216" t="s">
        <v>181</v>
      </c>
      <c r="D1216" t="s">
        <v>63</v>
      </c>
      <c r="E1216" s="43">
        <v>1658</v>
      </c>
      <c r="F1216" s="21" t="str">
        <f>HYPERLINK("#'Data'!A21695", "Percentage of households reporting enough space/essential items so that the members of the households can perform personal hygiene broken down by disp...")</f>
        <v>Percentage of households reporting enough space/essential items so that the members of the households can perform personal hygiene broken down by disp...</v>
      </c>
    </row>
    <row r="1217" spans="2:6" x14ac:dyDescent="0.35">
      <c r="B1217" t="s">
        <v>173</v>
      </c>
      <c r="C1217" t="s">
        <v>181</v>
      </c>
      <c r="D1217" t="s">
        <v>64</v>
      </c>
      <c r="E1217" s="43">
        <v>1659</v>
      </c>
      <c r="F1217" s="21" t="str">
        <f>HYPERLINK("#'Data'!A21722", "Percentage of households reporting enough space/essential items so that the members of the households can perform personal hygiene broken down by IDP ...")</f>
        <v>Percentage of households reporting enough space/essential items so that the members of the households can perform personal hygiene broken down by IDP ...</v>
      </c>
    </row>
    <row r="1218" spans="2:6" x14ac:dyDescent="0.35">
      <c r="B1218" t="s">
        <v>173</v>
      </c>
      <c r="C1218" t="s">
        <v>181</v>
      </c>
      <c r="D1218" t="s">
        <v>65</v>
      </c>
      <c r="E1218" s="43">
        <v>1660</v>
      </c>
      <c r="F1218" s="21" t="str">
        <f>HYPERLINK("#'Data'!A21736", "Percentage of households reporting enough space/essential items so that the members of the households can perform personal hygiene broken down by prox...")</f>
        <v>Percentage of households reporting enough space/essential items so that the members of the households can perform personal hygiene broken down by prox...</v>
      </c>
    </row>
    <row r="1219" spans="2:6" x14ac:dyDescent="0.35">
      <c r="B1219" t="s">
        <v>173</v>
      </c>
      <c r="C1219" t="s">
        <v>181</v>
      </c>
      <c r="D1219" t="s">
        <v>77</v>
      </c>
      <c r="E1219" s="43">
        <v>1661</v>
      </c>
      <c r="F1219" s="21" t="str">
        <f>HYPERLINK("#'Data'!A21751", "Percentage of households reporting enough space/essential items so that the members of the households can perform personal hygiene broken down by care...")</f>
        <v>Percentage of households reporting enough space/essential items so that the members of the households can perform personal hygiene broken down by care...</v>
      </c>
    </row>
    <row r="1220" spans="2:6" x14ac:dyDescent="0.35">
      <c r="B1220" t="s">
        <v>173</v>
      </c>
      <c r="C1220" t="s">
        <v>182</v>
      </c>
      <c r="D1220" t="s">
        <v>36</v>
      </c>
      <c r="E1220" s="43">
        <v>1662</v>
      </c>
      <c r="F1220" s="21" t="str">
        <f>HYPERLINK("#'Data'!A21773", "Households by main handwashing facility on the admin of macroregion perc")</f>
        <v>Households by main handwashing facility on the admin of macroregion perc</v>
      </c>
    </row>
    <row r="1221" spans="2:6" x14ac:dyDescent="0.35">
      <c r="B1221" t="s">
        <v>173</v>
      </c>
      <c r="C1221" t="s">
        <v>182</v>
      </c>
      <c r="D1221" t="s">
        <v>57</v>
      </c>
      <c r="E1221" s="43">
        <v>1663</v>
      </c>
      <c r="F1221" s="21" t="str">
        <f>HYPERLINK("#'Data'!A21782", "Households by main handwashing facility broken down by households with at least one member with a reported and/or registered disability on the admin o...")</f>
        <v>Households by main handwashing facility broken down by households with at least one member with a reported and/or registered disability on the admin o...</v>
      </c>
    </row>
    <row r="1222" spans="2:6" x14ac:dyDescent="0.35">
      <c r="B1222" t="s">
        <v>173</v>
      </c>
      <c r="C1222" t="s">
        <v>182</v>
      </c>
      <c r="D1222" t="s">
        <v>58</v>
      </c>
      <c r="E1222" s="43">
        <v>1664</v>
      </c>
      <c r="F1222" s="21" t="str">
        <f>HYPERLINK("#'Data'!A21796", "Households by main handwashing facility broken down by urbanity on the admin of macroregion perc")</f>
        <v>Households by main handwashing facility broken down by urbanity on the admin of macroregion perc</v>
      </c>
    </row>
    <row r="1223" spans="2:6" x14ac:dyDescent="0.35">
      <c r="B1223" t="s">
        <v>173</v>
      </c>
      <c r="C1223" t="s">
        <v>182</v>
      </c>
      <c r="D1223" t="s">
        <v>59</v>
      </c>
      <c r="E1223" s="43">
        <v>1665</v>
      </c>
      <c r="F1223" s="21" t="str">
        <f>HYPERLINK("#'Data'!A21810", "Households by main handwashing facility broken down by household size on the admin of macroregion perc")</f>
        <v>Households by main handwashing facility broken down by household size on the admin of macroregion perc</v>
      </c>
    </row>
    <row r="1224" spans="2:6" x14ac:dyDescent="0.35">
      <c r="B1224" t="s">
        <v>173</v>
      </c>
      <c r="C1224" t="s">
        <v>182</v>
      </c>
      <c r="D1224" t="s">
        <v>60</v>
      </c>
      <c r="E1224" s="43">
        <v>1666</v>
      </c>
      <c r="F1224" s="21" t="str">
        <f>HYPERLINK("#'Data'!A21829", "Households by main handwashing facility broken down by income per capita (quartiles) on the admin of macroregion perc")</f>
        <v>Households by main handwashing facility broken down by income per capita (quartiles) on the admin of macroregion perc</v>
      </c>
    </row>
    <row r="1225" spans="2:6" x14ac:dyDescent="0.35">
      <c r="B1225" t="s">
        <v>173</v>
      </c>
      <c r="C1225" t="s">
        <v>182</v>
      </c>
      <c r="D1225" t="s">
        <v>61</v>
      </c>
      <c r="E1225" s="43">
        <v>1667</v>
      </c>
      <c r="F1225" s="21" t="str">
        <f>HYPERLINK("#'Data'!A21853", "Households by main handwashing facility broken down by gender of head of household on the admin of macroregion perc")</f>
        <v>Households by main handwashing facility broken down by gender of head of household on the admin of macroregion perc</v>
      </c>
    </row>
    <row r="1226" spans="2:6" x14ac:dyDescent="0.35">
      <c r="B1226" t="s">
        <v>173</v>
      </c>
      <c r="C1226" t="s">
        <v>182</v>
      </c>
      <c r="D1226" t="s">
        <v>62</v>
      </c>
      <c r="E1226" s="43">
        <v>1668</v>
      </c>
      <c r="F1226" s="21" t="str">
        <f>HYPERLINK("#'Data'!A21873", "Households by main handwashing facility broken down by age of adults in the households on the admin of macroregion perc")</f>
        <v>Households by main handwashing facility broken down by age of adults in the households on the admin of macroregion perc</v>
      </c>
    </row>
    <row r="1227" spans="2:6" x14ac:dyDescent="0.35">
      <c r="B1227" t="s">
        <v>173</v>
      </c>
      <c r="C1227" t="s">
        <v>182</v>
      </c>
      <c r="D1227" t="s">
        <v>76</v>
      </c>
      <c r="E1227" s="43">
        <v>1669</v>
      </c>
      <c r="F1227" s="21" t="str">
        <f>HYPERLINK("#'Data'!A21892", "Households by main handwashing facility broken down by households with at least one child (&lt;18 y.o.) on the admin of macroregion perc")</f>
        <v>Households by main handwashing facility broken down by households with at least one child (&lt;18 y.o.) on the admin of macroregion perc</v>
      </c>
    </row>
    <row r="1228" spans="2:6" x14ac:dyDescent="0.35">
      <c r="B1228" t="s">
        <v>173</v>
      </c>
      <c r="C1228" t="s">
        <v>182</v>
      </c>
      <c r="D1228" t="s">
        <v>63</v>
      </c>
      <c r="E1228" s="43">
        <v>1670</v>
      </c>
      <c r="F1228" s="21" t="str">
        <f>HYPERLINK("#'Data'!A21906", "Households by main handwashing facility broken down by displacement status of head of household on the admin of macroregion perc")</f>
        <v>Households by main handwashing facility broken down by displacement status of head of household on the admin of macroregion perc</v>
      </c>
    </row>
    <row r="1229" spans="2:6" x14ac:dyDescent="0.35">
      <c r="B1229" t="s">
        <v>173</v>
      </c>
      <c r="C1229" t="s">
        <v>182</v>
      </c>
      <c r="D1229" t="s">
        <v>64</v>
      </c>
      <c r="E1229" s="43">
        <v>1671</v>
      </c>
      <c r="F1229" s="21" t="str">
        <f>HYPERLINK("#'Data'!A21933", "Households by main handwashing facility broken down by IDP household on the admin of macroregion perc")</f>
        <v>Households by main handwashing facility broken down by IDP household on the admin of macroregion perc</v>
      </c>
    </row>
    <row r="1230" spans="2:6" x14ac:dyDescent="0.35">
      <c r="B1230" t="s">
        <v>173</v>
      </c>
      <c r="C1230" t="s">
        <v>182</v>
      </c>
      <c r="D1230" t="s">
        <v>65</v>
      </c>
      <c r="E1230" s="43">
        <v>1672</v>
      </c>
      <c r="F1230" s="21" t="str">
        <f>HYPERLINK("#'Data'!A21947", "Households by main handwashing facility broken down by proximity to frontline/border with Russian Federation on the admin of macroregion perc")</f>
        <v>Households by main handwashing facility broken down by proximity to frontline/border with Russian Federation on the admin of macroregion perc</v>
      </c>
    </row>
    <row r="1231" spans="2:6" x14ac:dyDescent="0.35">
      <c r="B1231" t="s">
        <v>173</v>
      </c>
      <c r="C1231" t="s">
        <v>182</v>
      </c>
      <c r="D1231" t="s">
        <v>77</v>
      </c>
      <c r="E1231" s="43">
        <v>1673</v>
      </c>
      <c r="F1231" s="21" t="str">
        <f>HYPERLINK("#'Data'!A21962", "Households by main handwashing facility broken down by caregiving status  on the admin of macroregion perc")</f>
        <v>Households by main handwashing facility broken down by caregiving status  on the admin of macroregion perc</v>
      </c>
    </row>
    <row r="1232" spans="2:6" x14ac:dyDescent="0.35">
      <c r="B1232" t="s">
        <v>173</v>
      </c>
      <c r="C1232" t="s">
        <v>183</v>
      </c>
      <c r="D1232" t="s">
        <v>36</v>
      </c>
      <c r="E1232" s="43">
        <v>1674</v>
      </c>
      <c r="F1232" s="21" t="str">
        <f>HYPERLINK("#'Data'!A21984", "Households having access to soap for washing hands on the admin of macroregion perc")</f>
        <v>Households having access to soap for washing hands on the admin of macroregion perc</v>
      </c>
    </row>
    <row r="1233" spans="2:6" x14ac:dyDescent="0.35">
      <c r="B1233" t="s">
        <v>173</v>
      </c>
      <c r="C1233" t="s">
        <v>183</v>
      </c>
      <c r="D1233" t="s">
        <v>57</v>
      </c>
      <c r="E1233" s="43">
        <v>1675</v>
      </c>
      <c r="F1233" s="21" t="str">
        <f>HYPERLINK("#'Data'!A21993", "Households having access to soap for washing hands broken down by households with at least one member with a reported and/or registered disability on ...")</f>
        <v>Households having access to soap for washing hands broken down by households with at least one member with a reported and/or registered disability on ...</v>
      </c>
    </row>
    <row r="1234" spans="2:6" x14ac:dyDescent="0.35">
      <c r="B1234" t="s">
        <v>173</v>
      </c>
      <c r="C1234" t="s">
        <v>183</v>
      </c>
      <c r="D1234" t="s">
        <v>58</v>
      </c>
      <c r="E1234" s="43">
        <v>1676</v>
      </c>
      <c r="F1234" s="21" t="str">
        <f>HYPERLINK("#'Data'!A22007", "Households having access to soap for washing hands broken down by urbanity on the admin of macroregion perc")</f>
        <v>Households having access to soap for washing hands broken down by urbanity on the admin of macroregion perc</v>
      </c>
    </row>
    <row r="1235" spans="2:6" x14ac:dyDescent="0.35">
      <c r="B1235" t="s">
        <v>173</v>
      </c>
      <c r="C1235" t="s">
        <v>183</v>
      </c>
      <c r="D1235" t="s">
        <v>59</v>
      </c>
      <c r="E1235" s="43">
        <v>1677</v>
      </c>
      <c r="F1235" s="21" t="str">
        <f>HYPERLINK("#'Data'!A22021", "Households having access to soap for washing hands broken down by household size on the admin of macroregion perc")</f>
        <v>Households having access to soap for washing hands broken down by household size on the admin of macroregion perc</v>
      </c>
    </row>
    <row r="1236" spans="2:6" x14ac:dyDescent="0.35">
      <c r="B1236" t="s">
        <v>173</v>
      </c>
      <c r="C1236" t="s">
        <v>183</v>
      </c>
      <c r="D1236" t="s">
        <v>60</v>
      </c>
      <c r="E1236" s="43">
        <v>1678</v>
      </c>
      <c r="F1236" s="21" t="str">
        <f>HYPERLINK("#'Data'!A22040", "Households having access to soap for washing hands broken down by income per capita (quartiles) on the admin of macroregion perc")</f>
        <v>Households having access to soap for washing hands broken down by income per capita (quartiles) on the admin of macroregion perc</v>
      </c>
    </row>
    <row r="1237" spans="2:6" x14ac:dyDescent="0.35">
      <c r="B1237" t="s">
        <v>173</v>
      </c>
      <c r="C1237" t="s">
        <v>183</v>
      </c>
      <c r="D1237" t="s">
        <v>61</v>
      </c>
      <c r="E1237" s="43">
        <v>1679</v>
      </c>
      <c r="F1237" s="21" t="str">
        <f>HYPERLINK("#'Data'!A22064", "Households having access to soap for washing hands broken down by gender of head of household on the admin of macroregion perc")</f>
        <v>Households having access to soap for washing hands broken down by gender of head of household on the admin of macroregion perc</v>
      </c>
    </row>
    <row r="1238" spans="2:6" x14ac:dyDescent="0.35">
      <c r="B1238" t="s">
        <v>173</v>
      </c>
      <c r="C1238" t="s">
        <v>183</v>
      </c>
      <c r="D1238" t="s">
        <v>62</v>
      </c>
      <c r="E1238" s="43">
        <v>1680</v>
      </c>
      <c r="F1238" s="21" t="str">
        <f>HYPERLINK("#'Data'!A22084", "Households having access to soap for washing hands broken down by age of adults in the households on the admin of macroregion perc")</f>
        <v>Households having access to soap for washing hands broken down by age of adults in the households on the admin of macroregion perc</v>
      </c>
    </row>
    <row r="1239" spans="2:6" x14ac:dyDescent="0.35">
      <c r="B1239" t="s">
        <v>173</v>
      </c>
      <c r="C1239" t="s">
        <v>183</v>
      </c>
      <c r="D1239" t="s">
        <v>76</v>
      </c>
      <c r="E1239" s="43">
        <v>1681</v>
      </c>
      <c r="F1239" s="21" t="str">
        <f>HYPERLINK("#'Data'!A22103", "Households having access to soap for washing hands broken down by households with at least one child (&lt;18 y.o.) on the admin of macroregion perc")</f>
        <v>Households having access to soap for washing hands broken down by households with at least one child (&lt;18 y.o.) on the admin of macroregion perc</v>
      </c>
    </row>
    <row r="1240" spans="2:6" x14ac:dyDescent="0.35">
      <c r="B1240" t="s">
        <v>173</v>
      </c>
      <c r="C1240" t="s">
        <v>183</v>
      </c>
      <c r="D1240" t="s">
        <v>63</v>
      </c>
      <c r="E1240" s="43">
        <v>1682</v>
      </c>
      <c r="F1240" s="21" t="str">
        <f>HYPERLINK("#'Data'!A22117", "Households having access to soap for washing hands broken down by displacement status of head of household on the admin of macroregion perc")</f>
        <v>Households having access to soap for washing hands broken down by displacement status of head of household on the admin of macroregion perc</v>
      </c>
    </row>
    <row r="1241" spans="2:6" x14ac:dyDescent="0.35">
      <c r="B1241" t="s">
        <v>173</v>
      </c>
      <c r="C1241" t="s">
        <v>183</v>
      </c>
      <c r="D1241" t="s">
        <v>64</v>
      </c>
      <c r="E1241" s="43">
        <v>1683</v>
      </c>
      <c r="F1241" s="21" t="str">
        <f>HYPERLINK("#'Data'!A22144", "Households having access to soap for washing hands broken down by IDP household on the admin of macroregion perc")</f>
        <v>Households having access to soap for washing hands broken down by IDP household on the admin of macroregion perc</v>
      </c>
    </row>
    <row r="1242" spans="2:6" x14ac:dyDescent="0.35">
      <c r="B1242" t="s">
        <v>173</v>
      </c>
      <c r="C1242" t="s">
        <v>183</v>
      </c>
      <c r="D1242" t="s">
        <v>65</v>
      </c>
      <c r="E1242" s="43">
        <v>1684</v>
      </c>
      <c r="F1242" s="21" t="str">
        <f>HYPERLINK("#'Data'!A22158", "Households having access to soap for washing hands broken down by proximity to frontline/border with Russian Federation on the admin of macroregion pe...")</f>
        <v>Households having access to soap for washing hands broken down by proximity to frontline/border with Russian Federation on the admin of macroregion pe...</v>
      </c>
    </row>
    <row r="1243" spans="2:6" x14ac:dyDescent="0.35">
      <c r="B1243" t="s">
        <v>173</v>
      </c>
      <c r="C1243" t="s">
        <v>183</v>
      </c>
      <c r="D1243" t="s">
        <v>77</v>
      </c>
      <c r="E1243" s="43">
        <v>1685</v>
      </c>
      <c r="F1243" s="21" t="str">
        <f>HYPERLINK("#'Data'!A22173", "Households having access to soap for washing hands broken down by caregiving status  on the admin of macroregion perc")</f>
        <v>Households having access to soap for washing hands broken down by caregiving status  on the admin of macroregion perc</v>
      </c>
    </row>
    <row r="1244" spans="2:6" x14ac:dyDescent="0.35">
      <c r="B1244" t="s">
        <v>173</v>
      </c>
      <c r="C1244" t="s">
        <v>184</v>
      </c>
      <c r="D1244" t="s">
        <v>36</v>
      </c>
      <c r="E1244" s="43">
        <v>1686</v>
      </c>
      <c r="F1244" s="21" t="str">
        <f>HYPERLINK("#'Data'!A22195", "Households by main toilet facility on the admin of macroregion perc")</f>
        <v>Households by main toilet facility on the admin of macroregion perc</v>
      </c>
    </row>
    <row r="1245" spans="2:6" x14ac:dyDescent="0.35">
      <c r="B1245" t="s">
        <v>173</v>
      </c>
      <c r="C1245" t="s">
        <v>184</v>
      </c>
      <c r="D1245" t="s">
        <v>57</v>
      </c>
      <c r="E1245" s="43">
        <v>1687</v>
      </c>
      <c r="F1245" s="21" t="str">
        <f>HYPERLINK("#'Data'!A22204", "Households by main toilet facility broken down by households with at least one member with a reported and/or registered disability on the admin of mac...")</f>
        <v>Households by main toilet facility broken down by households with at least one member with a reported and/or registered disability on the admin of mac...</v>
      </c>
    </row>
    <row r="1246" spans="2:6" x14ac:dyDescent="0.35">
      <c r="B1246" t="s">
        <v>173</v>
      </c>
      <c r="C1246" t="s">
        <v>184</v>
      </c>
      <c r="D1246" t="s">
        <v>58</v>
      </c>
      <c r="E1246" s="43">
        <v>1688</v>
      </c>
      <c r="F1246" s="21" t="str">
        <f>HYPERLINK("#'Data'!A22218", "Households by main toilet facility broken down by urbanity on the admin of macroregion perc")</f>
        <v>Households by main toilet facility broken down by urbanity on the admin of macroregion perc</v>
      </c>
    </row>
    <row r="1247" spans="2:6" x14ac:dyDescent="0.35">
      <c r="B1247" t="s">
        <v>173</v>
      </c>
      <c r="C1247" t="s">
        <v>184</v>
      </c>
      <c r="D1247" t="s">
        <v>59</v>
      </c>
      <c r="E1247" s="43">
        <v>1689</v>
      </c>
      <c r="F1247" s="21" t="str">
        <f>HYPERLINK("#'Data'!A22232", "Households by main toilet facility broken down by household size on the admin of macroregion perc")</f>
        <v>Households by main toilet facility broken down by household size on the admin of macroregion perc</v>
      </c>
    </row>
    <row r="1248" spans="2:6" x14ac:dyDescent="0.35">
      <c r="B1248" t="s">
        <v>173</v>
      </c>
      <c r="C1248" t="s">
        <v>184</v>
      </c>
      <c r="D1248" t="s">
        <v>60</v>
      </c>
      <c r="E1248" s="43">
        <v>1690</v>
      </c>
      <c r="F1248" s="21" t="str">
        <f>HYPERLINK("#'Data'!A22251", "Households by main toilet facility broken down by income per capita (quartiles) on the admin of macroregion perc")</f>
        <v>Households by main toilet facility broken down by income per capita (quartiles) on the admin of macroregion perc</v>
      </c>
    </row>
    <row r="1249" spans="2:6" x14ac:dyDescent="0.35">
      <c r="B1249" t="s">
        <v>173</v>
      </c>
      <c r="C1249" t="s">
        <v>184</v>
      </c>
      <c r="D1249" t="s">
        <v>61</v>
      </c>
      <c r="E1249" s="43">
        <v>1691</v>
      </c>
      <c r="F1249" s="21" t="str">
        <f>HYPERLINK("#'Data'!A22275", "Households by main toilet facility broken down by gender of head of household on the admin of macroregion perc")</f>
        <v>Households by main toilet facility broken down by gender of head of household on the admin of macroregion perc</v>
      </c>
    </row>
    <row r="1250" spans="2:6" x14ac:dyDescent="0.35">
      <c r="B1250" t="s">
        <v>173</v>
      </c>
      <c r="C1250" t="s">
        <v>184</v>
      </c>
      <c r="D1250" t="s">
        <v>62</v>
      </c>
      <c r="E1250" s="43">
        <v>1692</v>
      </c>
      <c r="F1250" s="21" t="str">
        <f>HYPERLINK("#'Data'!A22295", "Households by main toilet facility broken down by age of adults in the households on the admin of macroregion perc")</f>
        <v>Households by main toilet facility broken down by age of adults in the households on the admin of macroregion perc</v>
      </c>
    </row>
    <row r="1251" spans="2:6" x14ac:dyDescent="0.35">
      <c r="B1251" t="s">
        <v>173</v>
      </c>
      <c r="C1251" t="s">
        <v>184</v>
      </c>
      <c r="D1251" t="s">
        <v>76</v>
      </c>
      <c r="E1251" s="43">
        <v>1693</v>
      </c>
      <c r="F1251" s="21" t="str">
        <f>HYPERLINK("#'Data'!A22314", "Households by main toilet facility broken down by households with at least one child (&lt;18 y.o.) on the admin of macroregion perc")</f>
        <v>Households by main toilet facility broken down by households with at least one child (&lt;18 y.o.) on the admin of macroregion perc</v>
      </c>
    </row>
    <row r="1252" spans="2:6" x14ac:dyDescent="0.35">
      <c r="B1252" t="s">
        <v>173</v>
      </c>
      <c r="C1252" t="s">
        <v>184</v>
      </c>
      <c r="D1252" t="s">
        <v>63</v>
      </c>
      <c r="E1252" s="43">
        <v>1694</v>
      </c>
      <c r="F1252" s="21" t="str">
        <f>HYPERLINK("#'Data'!A22328", "Households by main toilet facility broken down by displacement status of head of household on the admin of macroregion perc")</f>
        <v>Households by main toilet facility broken down by displacement status of head of household on the admin of macroregion perc</v>
      </c>
    </row>
    <row r="1253" spans="2:6" x14ac:dyDescent="0.35">
      <c r="B1253" t="s">
        <v>173</v>
      </c>
      <c r="C1253" t="s">
        <v>184</v>
      </c>
      <c r="D1253" t="s">
        <v>64</v>
      </c>
      <c r="E1253" s="43">
        <v>1695</v>
      </c>
      <c r="F1253" s="21" t="str">
        <f>HYPERLINK("#'Data'!A22355", "Households by main toilet facility broken down by IDP household on the admin of macroregion perc")</f>
        <v>Households by main toilet facility broken down by IDP household on the admin of macroregion perc</v>
      </c>
    </row>
    <row r="1254" spans="2:6" x14ac:dyDescent="0.35">
      <c r="B1254" t="s">
        <v>173</v>
      </c>
      <c r="C1254" t="s">
        <v>184</v>
      </c>
      <c r="D1254" t="s">
        <v>65</v>
      </c>
      <c r="E1254" s="43">
        <v>1696</v>
      </c>
      <c r="F1254" s="21" t="str">
        <f>HYPERLINK("#'Data'!A22369", "Households by main toilet facility broken down by proximity to frontline/border with Russian Federation on the admin of macroregion perc")</f>
        <v>Households by main toilet facility broken down by proximity to frontline/border with Russian Federation on the admin of macroregion perc</v>
      </c>
    </row>
    <row r="1255" spans="2:6" x14ac:dyDescent="0.35">
      <c r="B1255" t="s">
        <v>173</v>
      </c>
      <c r="C1255" t="s">
        <v>184</v>
      </c>
      <c r="D1255" t="s">
        <v>77</v>
      </c>
      <c r="E1255" s="43">
        <v>1697</v>
      </c>
      <c r="F1255" s="21" t="str">
        <f>HYPERLINK("#'Data'!A22384", "Households by main toilet facility broken down by caregiving status  on the admin of macroregion perc")</f>
        <v>Households by main toilet facility broken down by caregiving status  on the admin of macroregion perc</v>
      </c>
    </row>
    <row r="1256" spans="2:6" x14ac:dyDescent="0.35">
      <c r="B1256" t="s">
        <v>173</v>
      </c>
      <c r="C1256" t="s">
        <v>185</v>
      </c>
      <c r="D1256" t="s">
        <v>36</v>
      </c>
      <c r="E1256" s="43">
        <v>1698</v>
      </c>
      <c r="F1256" s="21" t="str">
        <f>HYPERLINK("#'Data'!A22406", "Households sharing main toilet facility on the admin of macroregion perc")</f>
        <v>Households sharing main toilet facility on the admin of macroregion perc</v>
      </c>
    </row>
    <row r="1257" spans="2:6" x14ac:dyDescent="0.35">
      <c r="B1257" t="s">
        <v>173</v>
      </c>
      <c r="C1257" t="s">
        <v>185</v>
      </c>
      <c r="D1257" t="s">
        <v>57</v>
      </c>
      <c r="E1257" s="43">
        <v>1699</v>
      </c>
      <c r="F1257" s="21" t="str">
        <f>HYPERLINK("#'Data'!A22415", "Households sharing main toilet facility broken down by households with at least one member with a reported and/or registered disability on the admin o...")</f>
        <v>Households sharing main toilet facility broken down by households with at least one member with a reported and/or registered disability on the admin o...</v>
      </c>
    </row>
    <row r="1258" spans="2:6" x14ac:dyDescent="0.35">
      <c r="B1258" t="s">
        <v>173</v>
      </c>
      <c r="C1258" t="s">
        <v>185</v>
      </c>
      <c r="D1258" t="s">
        <v>58</v>
      </c>
      <c r="E1258" s="43">
        <v>1700</v>
      </c>
      <c r="F1258" s="21" t="str">
        <f>HYPERLINK("#'Data'!A22429", "Households sharing main toilet facility broken down by urbanity on the admin of macroregion perc")</f>
        <v>Households sharing main toilet facility broken down by urbanity on the admin of macroregion perc</v>
      </c>
    </row>
    <row r="1259" spans="2:6" x14ac:dyDescent="0.35">
      <c r="B1259" t="s">
        <v>173</v>
      </c>
      <c r="C1259" t="s">
        <v>185</v>
      </c>
      <c r="D1259" t="s">
        <v>59</v>
      </c>
      <c r="E1259" s="43">
        <v>1701</v>
      </c>
      <c r="F1259" s="21" t="str">
        <f>HYPERLINK("#'Data'!A22443", "Households sharing main toilet facility broken down by household size on the admin of macroregion perc")</f>
        <v>Households sharing main toilet facility broken down by household size on the admin of macroregion perc</v>
      </c>
    </row>
    <row r="1260" spans="2:6" x14ac:dyDescent="0.35">
      <c r="B1260" t="s">
        <v>173</v>
      </c>
      <c r="C1260" t="s">
        <v>185</v>
      </c>
      <c r="D1260" t="s">
        <v>60</v>
      </c>
      <c r="E1260" s="43">
        <v>1702</v>
      </c>
      <c r="F1260" s="21" t="str">
        <f>HYPERLINK("#'Data'!A22462", "Households sharing main toilet facility broken down by income per capita (quartiles) on the admin of macroregion perc")</f>
        <v>Households sharing main toilet facility broken down by income per capita (quartiles) on the admin of macroregion perc</v>
      </c>
    </row>
    <row r="1261" spans="2:6" x14ac:dyDescent="0.35">
      <c r="B1261" t="s">
        <v>173</v>
      </c>
      <c r="C1261" t="s">
        <v>185</v>
      </c>
      <c r="D1261" t="s">
        <v>61</v>
      </c>
      <c r="E1261" s="43">
        <v>1703</v>
      </c>
      <c r="F1261" s="21" t="str">
        <f>HYPERLINK("#'Data'!A22486", "Households sharing main toilet facility broken down by gender of head of household on the admin of macroregion perc")</f>
        <v>Households sharing main toilet facility broken down by gender of head of household on the admin of macroregion perc</v>
      </c>
    </row>
    <row r="1262" spans="2:6" x14ac:dyDescent="0.35">
      <c r="B1262" t="s">
        <v>173</v>
      </c>
      <c r="C1262" t="s">
        <v>185</v>
      </c>
      <c r="D1262" t="s">
        <v>62</v>
      </c>
      <c r="E1262" s="43">
        <v>1704</v>
      </c>
      <c r="F1262" s="21" t="str">
        <f>HYPERLINK("#'Data'!A22506", "Households sharing main toilet facility broken down by age of adults in the households on the admin of macroregion perc")</f>
        <v>Households sharing main toilet facility broken down by age of adults in the households on the admin of macroregion perc</v>
      </c>
    </row>
    <row r="1263" spans="2:6" x14ac:dyDescent="0.35">
      <c r="B1263" t="s">
        <v>173</v>
      </c>
      <c r="C1263" t="s">
        <v>185</v>
      </c>
      <c r="D1263" t="s">
        <v>76</v>
      </c>
      <c r="E1263" s="43">
        <v>1705</v>
      </c>
      <c r="F1263" s="21" t="str">
        <f>HYPERLINK("#'Data'!A22525", "Households sharing main toilet facility broken down by households with at least one child (&lt;18 y.o.) on the admin of macroregion perc")</f>
        <v>Households sharing main toilet facility broken down by households with at least one child (&lt;18 y.o.) on the admin of macroregion perc</v>
      </c>
    </row>
    <row r="1264" spans="2:6" x14ac:dyDescent="0.35">
      <c r="B1264" t="s">
        <v>173</v>
      </c>
      <c r="C1264" t="s">
        <v>185</v>
      </c>
      <c r="D1264" t="s">
        <v>63</v>
      </c>
      <c r="E1264" s="43">
        <v>1706</v>
      </c>
      <c r="F1264" s="21" t="str">
        <f>HYPERLINK("#'Data'!A22539", "Households sharing main toilet facility broken down by displacement status of head of household on the admin of macroregion perc")</f>
        <v>Households sharing main toilet facility broken down by displacement status of head of household on the admin of macroregion perc</v>
      </c>
    </row>
    <row r="1265" spans="2:6" x14ac:dyDescent="0.35">
      <c r="B1265" t="s">
        <v>173</v>
      </c>
      <c r="C1265" t="s">
        <v>185</v>
      </c>
      <c r="D1265" t="s">
        <v>64</v>
      </c>
      <c r="E1265" s="43">
        <v>1707</v>
      </c>
      <c r="F1265" s="21" t="str">
        <f>HYPERLINK("#'Data'!A22566", "Households sharing main toilet facility broken down by IDP household on the admin of macroregion perc")</f>
        <v>Households sharing main toilet facility broken down by IDP household on the admin of macroregion perc</v>
      </c>
    </row>
    <row r="1266" spans="2:6" x14ac:dyDescent="0.35">
      <c r="B1266" t="s">
        <v>173</v>
      </c>
      <c r="C1266" t="s">
        <v>185</v>
      </c>
      <c r="D1266" t="s">
        <v>65</v>
      </c>
      <c r="E1266" s="43">
        <v>1708</v>
      </c>
      <c r="F1266" s="21" t="str">
        <f>HYPERLINK("#'Data'!A22580", "Households sharing main toilet facility broken down by proximity to frontline/border with Russian Federation on the admin of macroregion perc")</f>
        <v>Households sharing main toilet facility broken down by proximity to frontline/border with Russian Federation on the admin of macroregion perc</v>
      </c>
    </row>
    <row r="1267" spans="2:6" x14ac:dyDescent="0.35">
      <c r="B1267" t="s">
        <v>173</v>
      </c>
      <c r="C1267" t="s">
        <v>185</v>
      </c>
      <c r="D1267" t="s">
        <v>77</v>
      </c>
      <c r="E1267" s="43">
        <v>1709</v>
      </c>
      <c r="F1267" s="21" t="str">
        <f>HYPERLINK("#'Data'!A22595", "Households sharing main toilet facility broken down by caregiving status  on the admin of macroregion perc")</f>
        <v>Households sharing main toilet facility broken down by caregiving status  on the admin of macroregion perc</v>
      </c>
    </row>
    <row r="1268" spans="2:6" x14ac:dyDescent="0.35">
      <c r="B1268" t="s">
        <v>173</v>
      </c>
      <c r="C1268" t="s">
        <v>186</v>
      </c>
      <c r="D1268" t="s">
        <v>36</v>
      </c>
      <c r="E1268" s="43">
        <v>1710</v>
      </c>
      <c r="F1268" s="21" t="str">
        <f>HYPERLINK("#'Data'!A22617", "Households sharing main toilet facility by number of households sharing that facility on the admin of macroregion mean")</f>
        <v>Households sharing main toilet facility by number of households sharing that facility on the admin of macroregion mean</v>
      </c>
    </row>
    <row r="1269" spans="2:6" x14ac:dyDescent="0.35">
      <c r="B1269" t="s">
        <v>173</v>
      </c>
      <c r="C1269" t="s">
        <v>186</v>
      </c>
      <c r="D1269" t="s">
        <v>57</v>
      </c>
      <c r="E1269" s="43">
        <v>1711</v>
      </c>
      <c r="F1269" s="21" t="str">
        <f>HYPERLINK("#'Data'!A22626", "Households sharing main toilet facility by number of households sharing that facility broken down by households with at least one member with a report...")</f>
        <v>Households sharing main toilet facility by number of households sharing that facility broken down by households with at least one member with a report...</v>
      </c>
    </row>
    <row r="1270" spans="2:6" x14ac:dyDescent="0.35">
      <c r="B1270" t="s">
        <v>173</v>
      </c>
      <c r="C1270" t="s">
        <v>186</v>
      </c>
      <c r="D1270" t="s">
        <v>58</v>
      </c>
      <c r="E1270" s="43">
        <v>1712</v>
      </c>
      <c r="F1270" s="21" t="str">
        <f>HYPERLINK("#'Data'!A22640", "Households sharing main toilet facility by number of households sharing that facility broken down by urbanity on the admin of macroregion mean")</f>
        <v>Households sharing main toilet facility by number of households sharing that facility broken down by urbanity on the admin of macroregion mean</v>
      </c>
    </row>
    <row r="1271" spans="2:6" x14ac:dyDescent="0.35">
      <c r="B1271" t="s">
        <v>173</v>
      </c>
      <c r="C1271" t="s">
        <v>186</v>
      </c>
      <c r="D1271" t="s">
        <v>59</v>
      </c>
      <c r="E1271" s="43">
        <v>1713</v>
      </c>
      <c r="F1271" s="21" t="str">
        <f>HYPERLINK("#'Data'!A22654", "Households sharing main toilet facility by number of households sharing that facility broken down by household size on the admin of macroregion mean")</f>
        <v>Households sharing main toilet facility by number of households sharing that facility broken down by household size on the admin of macroregion mean</v>
      </c>
    </row>
    <row r="1272" spans="2:6" x14ac:dyDescent="0.35">
      <c r="B1272" t="s">
        <v>173</v>
      </c>
      <c r="C1272" t="s">
        <v>186</v>
      </c>
      <c r="D1272" t="s">
        <v>60</v>
      </c>
      <c r="E1272" s="43">
        <v>1714</v>
      </c>
      <c r="F1272" s="21" t="str">
        <f>HYPERLINK("#'Data'!A22670", "Households sharing main toilet facility by number of households sharing that facility broken down by income per capita (quartiles) on the admin of mac...")</f>
        <v>Households sharing main toilet facility by number of households sharing that facility broken down by income per capita (quartiles) on the admin of mac...</v>
      </c>
    </row>
    <row r="1273" spans="2:6" x14ac:dyDescent="0.35">
      <c r="B1273" t="s">
        <v>173</v>
      </c>
      <c r="C1273" t="s">
        <v>186</v>
      </c>
      <c r="D1273" t="s">
        <v>61</v>
      </c>
      <c r="E1273" s="43">
        <v>1715</v>
      </c>
      <c r="F1273" s="21" t="str">
        <f>HYPERLINK("#'Data'!A22691", "Households sharing main toilet facility by number of households sharing that facility broken down by gender of head of household on the admin of macro...")</f>
        <v>Households sharing main toilet facility by number of households sharing that facility broken down by gender of head of household on the admin of macro...</v>
      </c>
    </row>
    <row r="1274" spans="2:6" x14ac:dyDescent="0.35">
      <c r="B1274" t="s">
        <v>173</v>
      </c>
      <c r="C1274" t="s">
        <v>186</v>
      </c>
      <c r="D1274" t="s">
        <v>62</v>
      </c>
      <c r="E1274" s="43">
        <v>1716</v>
      </c>
      <c r="F1274" s="21" t="str">
        <f>HYPERLINK("#'Data'!A22709", "Households sharing main toilet facility by number of households sharing that facility broken down by age of adults in the households on the admin of m...")</f>
        <v>Households sharing main toilet facility by number of households sharing that facility broken down by age of adults in the households on the admin of m...</v>
      </c>
    </row>
    <row r="1275" spans="2:6" x14ac:dyDescent="0.35">
      <c r="B1275" t="s">
        <v>173</v>
      </c>
      <c r="C1275" t="s">
        <v>186</v>
      </c>
      <c r="D1275" t="s">
        <v>76</v>
      </c>
      <c r="E1275" s="43">
        <v>1717</v>
      </c>
      <c r="F1275" s="21" t="str">
        <f>HYPERLINK("#'Data'!A22727", "Households sharing main toilet facility by number of households sharing that facility broken down by households with at least one child (&lt;18 y.o.) on ...")</f>
        <v>Households sharing main toilet facility by number of households sharing that facility broken down by households with at least one child (&lt;18 y.o.) on ...</v>
      </c>
    </row>
    <row r="1276" spans="2:6" x14ac:dyDescent="0.35">
      <c r="B1276" t="s">
        <v>173</v>
      </c>
      <c r="C1276" t="s">
        <v>186</v>
      </c>
      <c r="D1276" t="s">
        <v>63</v>
      </c>
      <c r="E1276" s="43">
        <v>1718</v>
      </c>
      <c r="F1276" s="21" t="str">
        <f>HYPERLINK("#'Data'!A22741", "Households sharing main toilet facility by number of households sharing that facility broken down by displacement status of head of household on the a...")</f>
        <v>Households sharing main toilet facility by number of households sharing that facility broken down by displacement status of head of household on the a...</v>
      </c>
    </row>
    <row r="1277" spans="2:6" x14ac:dyDescent="0.35">
      <c r="B1277" t="s">
        <v>173</v>
      </c>
      <c r="C1277" t="s">
        <v>186</v>
      </c>
      <c r="D1277" t="s">
        <v>64</v>
      </c>
      <c r="E1277" s="43">
        <v>1719</v>
      </c>
      <c r="F1277" s="21" t="str">
        <f>HYPERLINK("#'Data'!A22759", "Households sharing main toilet facility by number of households sharing that facility broken down by IDP household on the admin of macroregion mean")</f>
        <v>Households sharing main toilet facility by number of households sharing that facility broken down by IDP household on the admin of macroregion mean</v>
      </c>
    </row>
    <row r="1278" spans="2:6" x14ac:dyDescent="0.35">
      <c r="B1278" t="s">
        <v>173</v>
      </c>
      <c r="C1278" t="s">
        <v>186</v>
      </c>
      <c r="D1278" t="s">
        <v>65</v>
      </c>
      <c r="E1278" s="43">
        <v>1720</v>
      </c>
      <c r="F1278" s="21" t="str">
        <f>HYPERLINK("#'Data'!A22773", "Households sharing main toilet facility by number of households sharing that facility broken down by proximity to frontline/border with Russian Federa...")</f>
        <v>Households sharing main toilet facility by number of households sharing that facility broken down by proximity to frontline/border with Russian Federa...</v>
      </c>
    </row>
    <row r="1279" spans="2:6" x14ac:dyDescent="0.35">
      <c r="B1279" t="s">
        <v>173</v>
      </c>
      <c r="C1279" t="s">
        <v>186</v>
      </c>
      <c r="D1279" t="s">
        <v>77</v>
      </c>
      <c r="E1279" s="43">
        <v>1721</v>
      </c>
      <c r="F1279" s="21" t="str">
        <f>HYPERLINK("#'Data'!A22788", "Households sharing main toilet facility by number of households sharing that facility broken down by caregiving status  on the admin of macroregion me...")</f>
        <v>Households sharing main toilet facility by number of households sharing that facility broken down by caregiving status  on the admin of macroregion me...</v>
      </c>
    </row>
    <row r="1280" spans="2:6" x14ac:dyDescent="0.35">
      <c r="B1280" t="s">
        <v>173</v>
      </c>
      <c r="C1280" t="s">
        <v>187</v>
      </c>
      <c r="D1280" t="s">
        <v>36</v>
      </c>
      <c r="E1280" s="43">
        <v>1722</v>
      </c>
      <c r="F1280" s="21" t="str">
        <f>HYPERLINK("#'Data'!A22805", "Households facing issues with pumping off sewage/septic tank in the past 12 months, by issue on the admin of macroregion perc")</f>
        <v>Households facing issues with pumping off sewage/septic tank in the past 12 months, by issue on the admin of macroregion perc</v>
      </c>
    </row>
    <row r="1281" spans="2:6" x14ac:dyDescent="0.35">
      <c r="B1281" t="s">
        <v>173</v>
      </c>
      <c r="C1281" t="s">
        <v>187</v>
      </c>
      <c r="D1281" t="s">
        <v>57</v>
      </c>
      <c r="E1281" s="43">
        <v>1723</v>
      </c>
      <c r="F1281" s="21" t="str">
        <f>HYPERLINK("#'Data'!A22814", "Households facing issues with pumping off sewage/septic tank in the past 12 months, by issue broken down by households with at least one member with a...")</f>
        <v>Households facing issues with pumping off sewage/septic tank in the past 12 months, by issue broken down by households with at least one member with a...</v>
      </c>
    </row>
    <row r="1282" spans="2:6" x14ac:dyDescent="0.35">
      <c r="B1282" t="s">
        <v>173</v>
      </c>
      <c r="C1282" t="s">
        <v>187</v>
      </c>
      <c r="D1282" t="s">
        <v>58</v>
      </c>
      <c r="E1282" s="43">
        <v>1724</v>
      </c>
      <c r="F1282" s="21" t="str">
        <f>HYPERLINK("#'Data'!A22828", "Households facing issues with pumping off sewage/septic tank in the past 12 months, by issue broken down by urbanity on the admin of macroregion perc")</f>
        <v>Households facing issues with pumping off sewage/septic tank in the past 12 months, by issue broken down by urbanity on the admin of macroregion perc</v>
      </c>
    </row>
    <row r="1283" spans="2:6" x14ac:dyDescent="0.35">
      <c r="B1283" t="s">
        <v>173</v>
      </c>
      <c r="C1283" t="s">
        <v>187</v>
      </c>
      <c r="D1283" t="s">
        <v>59</v>
      </c>
      <c r="E1283" s="43">
        <v>1725</v>
      </c>
      <c r="F1283" s="21" t="str">
        <f>HYPERLINK("#'Data'!A22842", "Households facing issues with pumping off sewage/septic tank in the past 12 months, by issue broken down by household size on the admin of macroregion...")</f>
        <v>Households facing issues with pumping off sewage/septic tank in the past 12 months, by issue broken down by household size on the admin of macroregion...</v>
      </c>
    </row>
    <row r="1284" spans="2:6" x14ac:dyDescent="0.35">
      <c r="B1284" t="s">
        <v>173</v>
      </c>
      <c r="C1284" t="s">
        <v>187</v>
      </c>
      <c r="D1284" t="s">
        <v>60</v>
      </c>
      <c r="E1284" s="43">
        <v>1726</v>
      </c>
      <c r="F1284" s="21" t="str">
        <f>HYPERLINK("#'Data'!A22861", "Households facing issues with pumping off sewage/septic tank in the past 12 months, by issue broken down by income per capita (quartiles) on the admin...")</f>
        <v>Households facing issues with pumping off sewage/septic tank in the past 12 months, by issue broken down by income per capita (quartiles) on the admin...</v>
      </c>
    </row>
    <row r="1285" spans="2:6" x14ac:dyDescent="0.35">
      <c r="B1285" t="s">
        <v>173</v>
      </c>
      <c r="C1285" t="s">
        <v>187</v>
      </c>
      <c r="D1285" t="s">
        <v>61</v>
      </c>
      <c r="E1285" s="43">
        <v>1727</v>
      </c>
      <c r="F1285" s="21" t="str">
        <f>HYPERLINK("#'Data'!A22885", "Households facing issues with pumping off sewage/septic tank in the past 12 months, by issue broken down by gender of head of household on the admin o...")</f>
        <v>Households facing issues with pumping off sewage/septic tank in the past 12 months, by issue broken down by gender of head of household on the admin o...</v>
      </c>
    </row>
    <row r="1286" spans="2:6" x14ac:dyDescent="0.35">
      <c r="B1286" t="s">
        <v>173</v>
      </c>
      <c r="C1286" t="s">
        <v>187</v>
      </c>
      <c r="D1286" t="s">
        <v>62</v>
      </c>
      <c r="E1286" s="43">
        <v>1728</v>
      </c>
      <c r="F1286" s="21" t="str">
        <f>HYPERLINK("#'Data'!A22905", "Households facing issues with pumping off sewage/septic tank in the past 12 months, by issue broken down by age of adults in the households on the adm...")</f>
        <v>Households facing issues with pumping off sewage/septic tank in the past 12 months, by issue broken down by age of adults in the households on the adm...</v>
      </c>
    </row>
    <row r="1287" spans="2:6" x14ac:dyDescent="0.35">
      <c r="B1287" t="s">
        <v>173</v>
      </c>
      <c r="C1287" t="s">
        <v>187</v>
      </c>
      <c r="D1287" t="s">
        <v>76</v>
      </c>
      <c r="E1287" s="43">
        <v>1729</v>
      </c>
      <c r="F1287" s="21" t="str">
        <f>HYPERLINK("#'Data'!A22924", "Households facing issues with pumping off sewage/septic tank in the past 12 months, by issue broken down by households with at least one child (&lt;18 y....")</f>
        <v>Households facing issues with pumping off sewage/septic tank in the past 12 months, by issue broken down by households with at least one child (&lt;18 y....</v>
      </c>
    </row>
    <row r="1288" spans="2:6" x14ac:dyDescent="0.35">
      <c r="B1288" t="s">
        <v>173</v>
      </c>
      <c r="C1288" t="s">
        <v>187</v>
      </c>
      <c r="D1288" t="s">
        <v>63</v>
      </c>
      <c r="E1288" s="43">
        <v>1730</v>
      </c>
      <c r="F1288" s="21" t="str">
        <f>HYPERLINK("#'Data'!A22938", "Households facing issues with pumping off sewage/septic tank in the past 12 months, by issue broken down by displacement status of head of household o...")</f>
        <v>Households facing issues with pumping off sewage/septic tank in the past 12 months, by issue broken down by displacement status of head of household o...</v>
      </c>
    </row>
    <row r="1289" spans="2:6" x14ac:dyDescent="0.35">
      <c r="B1289" t="s">
        <v>173</v>
      </c>
      <c r="C1289" t="s">
        <v>187</v>
      </c>
      <c r="D1289" t="s">
        <v>64</v>
      </c>
      <c r="E1289" s="43">
        <v>1731</v>
      </c>
      <c r="F1289" s="21" t="str">
        <f>HYPERLINK("#'Data'!A22963", "Households facing issues with pumping off sewage/septic tank in the past 12 months, by issue broken down by IDP household on the admin of macroregion ...")</f>
        <v>Households facing issues with pumping off sewage/septic tank in the past 12 months, by issue broken down by IDP household on the admin of macroregion ...</v>
      </c>
    </row>
    <row r="1290" spans="2:6" x14ac:dyDescent="0.35">
      <c r="B1290" t="s">
        <v>173</v>
      </c>
      <c r="C1290" t="s">
        <v>187</v>
      </c>
      <c r="D1290" t="s">
        <v>65</v>
      </c>
      <c r="E1290" s="43">
        <v>1732</v>
      </c>
      <c r="F1290" s="21" t="str">
        <f>HYPERLINK("#'Data'!A22977", "Households facing issues with pumping off sewage/septic tank in the past 12 months, by issue broken down by proximity to frontline/border with Russian...")</f>
        <v>Households facing issues with pumping off sewage/septic tank in the past 12 months, by issue broken down by proximity to frontline/border with Russian...</v>
      </c>
    </row>
    <row r="1291" spans="2:6" x14ac:dyDescent="0.35">
      <c r="B1291" t="s">
        <v>173</v>
      </c>
      <c r="C1291" t="s">
        <v>187</v>
      </c>
      <c r="D1291" t="s">
        <v>77</v>
      </c>
      <c r="E1291" s="43">
        <v>1733</v>
      </c>
      <c r="F1291" s="21" t="str">
        <f>HYPERLINK("#'Data'!A22992", "Households facing issues with pumping off sewage/septic tank in the past 12 months, by issue broken down by caregiving status  on the admin of macrore...")</f>
        <v>Households facing issues with pumping off sewage/septic tank in the past 12 months, by issue broken down by caregiving status  on the admin of macrore...</v>
      </c>
    </row>
    <row r="1292" spans="2:6" x14ac:dyDescent="0.35">
      <c r="B1292" t="s">
        <v>173</v>
      </c>
      <c r="C1292" t="s">
        <v>188</v>
      </c>
      <c r="D1292" t="s">
        <v>36</v>
      </c>
      <c r="E1292" s="43">
        <v>1734</v>
      </c>
      <c r="F1292" s="21" t="str">
        <f>HYPERLINK("#'Data'!A23014", "Percentage of households who had to go without washing hands after dirty activities in the past 4 weeks, by frequency on the admin of macroregion perc")</f>
        <v>Percentage of households who had to go without washing hands after dirty activities in the past 4 weeks, by frequency on the admin of macroregion perc</v>
      </c>
    </row>
    <row r="1293" spans="2:6" x14ac:dyDescent="0.35">
      <c r="B1293" t="s">
        <v>173</v>
      </c>
      <c r="C1293" t="s">
        <v>188</v>
      </c>
      <c r="D1293" t="s">
        <v>57</v>
      </c>
      <c r="E1293" s="43">
        <v>1735</v>
      </c>
      <c r="F1293" s="21" t="str">
        <f>HYPERLINK("#'Data'!A23023", "Percentage of households who had to go without washing hands after dirty activities in the past 4 weeks, by frequency broken down by households with a...")</f>
        <v>Percentage of households who had to go without washing hands after dirty activities in the past 4 weeks, by frequency broken down by households with a...</v>
      </c>
    </row>
    <row r="1294" spans="2:6" x14ac:dyDescent="0.35">
      <c r="B1294" t="s">
        <v>173</v>
      </c>
      <c r="C1294" t="s">
        <v>188</v>
      </c>
      <c r="D1294" t="s">
        <v>58</v>
      </c>
      <c r="E1294" s="43">
        <v>1736</v>
      </c>
      <c r="F1294" s="21" t="str">
        <f>HYPERLINK("#'Data'!A23037", "Percentage of households who had to go without washing hands after dirty activities in the past 4 weeks, by frequency broken down by urbanity on the a...")</f>
        <v>Percentage of households who had to go without washing hands after dirty activities in the past 4 weeks, by frequency broken down by urbanity on the a...</v>
      </c>
    </row>
    <row r="1295" spans="2:6" x14ac:dyDescent="0.35">
      <c r="B1295" t="s">
        <v>173</v>
      </c>
      <c r="C1295" t="s">
        <v>188</v>
      </c>
      <c r="D1295" t="s">
        <v>59</v>
      </c>
      <c r="E1295" s="43">
        <v>1737</v>
      </c>
      <c r="F1295" s="21" t="str">
        <f>HYPERLINK("#'Data'!A23051", "Percentage of households who had to go without washing hands after dirty activities in the past 4 weeks, by frequency broken down by household size on...")</f>
        <v>Percentage of households who had to go without washing hands after dirty activities in the past 4 weeks, by frequency broken down by household size on...</v>
      </c>
    </row>
    <row r="1296" spans="2:6" x14ac:dyDescent="0.35">
      <c r="B1296" t="s">
        <v>173</v>
      </c>
      <c r="C1296" t="s">
        <v>188</v>
      </c>
      <c r="D1296" t="s">
        <v>60</v>
      </c>
      <c r="E1296" s="43">
        <v>1738</v>
      </c>
      <c r="F1296" s="21" t="str">
        <f>HYPERLINK("#'Data'!A23070", "Percentage of households who had to go without washing hands after dirty activities in the past 4 weeks, by frequency broken down by income per capita...")</f>
        <v>Percentage of households who had to go without washing hands after dirty activities in the past 4 weeks, by frequency broken down by income per capita...</v>
      </c>
    </row>
    <row r="1297" spans="2:6" x14ac:dyDescent="0.35">
      <c r="B1297" t="s">
        <v>173</v>
      </c>
      <c r="C1297" t="s">
        <v>188</v>
      </c>
      <c r="D1297" t="s">
        <v>61</v>
      </c>
      <c r="E1297" s="43">
        <v>1739</v>
      </c>
      <c r="F1297" s="21" t="str">
        <f>HYPERLINK("#'Data'!A23094", "Percentage of households who had to go without washing hands after dirty activities in the past 4 weeks, by frequency broken down by gender of head of...")</f>
        <v>Percentage of households who had to go without washing hands after dirty activities in the past 4 weeks, by frequency broken down by gender of head of...</v>
      </c>
    </row>
    <row r="1298" spans="2:6" x14ac:dyDescent="0.35">
      <c r="B1298" t="s">
        <v>173</v>
      </c>
      <c r="C1298" t="s">
        <v>188</v>
      </c>
      <c r="D1298" t="s">
        <v>62</v>
      </c>
      <c r="E1298" s="43">
        <v>1740</v>
      </c>
      <c r="F1298" s="21" t="str">
        <f>HYPERLINK("#'Data'!A23114", "Percentage of households who had to go without washing hands after dirty activities in the past 4 weeks, by frequency broken down by age of adults in ...")</f>
        <v>Percentage of households who had to go without washing hands after dirty activities in the past 4 weeks, by frequency broken down by age of adults in ...</v>
      </c>
    </row>
    <row r="1299" spans="2:6" x14ac:dyDescent="0.35">
      <c r="B1299" t="s">
        <v>173</v>
      </c>
      <c r="C1299" t="s">
        <v>188</v>
      </c>
      <c r="D1299" t="s">
        <v>76</v>
      </c>
      <c r="E1299" s="43">
        <v>1741</v>
      </c>
      <c r="F1299" s="21" t="str">
        <f>HYPERLINK("#'Data'!A23133", "Percentage of households who had to go without washing hands after dirty activities in the past 4 weeks, by frequency broken down by households with a...")</f>
        <v>Percentage of households who had to go without washing hands after dirty activities in the past 4 weeks, by frequency broken down by households with a...</v>
      </c>
    </row>
    <row r="1300" spans="2:6" x14ac:dyDescent="0.35">
      <c r="B1300" t="s">
        <v>173</v>
      </c>
      <c r="C1300" t="s">
        <v>188</v>
      </c>
      <c r="D1300" t="s">
        <v>63</v>
      </c>
      <c r="E1300" s="43">
        <v>1742</v>
      </c>
      <c r="F1300" s="21" t="str">
        <f>HYPERLINK("#'Data'!A23147", "Percentage of households who had to go without washing hands after dirty activities in the past 4 weeks, by frequency broken down by displacement stat...")</f>
        <v>Percentage of households who had to go without washing hands after dirty activities in the past 4 weeks, by frequency broken down by displacement stat...</v>
      </c>
    </row>
    <row r="1301" spans="2:6" x14ac:dyDescent="0.35">
      <c r="B1301" t="s">
        <v>173</v>
      </c>
      <c r="C1301" t="s">
        <v>188</v>
      </c>
      <c r="D1301" t="s">
        <v>64</v>
      </c>
      <c r="E1301" s="43">
        <v>1743</v>
      </c>
      <c r="F1301" s="21" t="str">
        <f>HYPERLINK("#'Data'!A23174", "Percentage of households who had to go without washing hands after dirty activities in the past 4 weeks, by frequency broken down by IDP household on ...")</f>
        <v>Percentage of households who had to go without washing hands after dirty activities in the past 4 weeks, by frequency broken down by IDP household on ...</v>
      </c>
    </row>
    <row r="1302" spans="2:6" x14ac:dyDescent="0.35">
      <c r="B1302" t="s">
        <v>173</v>
      </c>
      <c r="C1302" t="s">
        <v>188</v>
      </c>
      <c r="D1302" t="s">
        <v>65</v>
      </c>
      <c r="E1302" s="43">
        <v>1744</v>
      </c>
      <c r="F1302" s="21" t="str">
        <f>HYPERLINK("#'Data'!A23188", "Percentage of households who had to go without washing hands after dirty activities in the past 4 weeks, by frequency broken down by proximity to fron...")</f>
        <v>Percentage of households who had to go without washing hands after dirty activities in the past 4 weeks, by frequency broken down by proximity to fron...</v>
      </c>
    </row>
    <row r="1303" spans="2:6" x14ac:dyDescent="0.35">
      <c r="B1303" t="s">
        <v>173</v>
      </c>
      <c r="C1303" t="s">
        <v>188</v>
      </c>
      <c r="D1303" t="s">
        <v>77</v>
      </c>
      <c r="E1303" s="43">
        <v>1745</v>
      </c>
      <c r="F1303" s="21" t="str">
        <f>HYPERLINK("#'Data'!A23203", "Percentage of households who had to go without washing hands after dirty activities in the past 4 weeks, by frequency broken down by caregiving status...")</f>
        <v>Percentage of households who had to go without washing hands after dirty activities in the past 4 weeks, by frequency broken down by caregiving status...</v>
      </c>
    </row>
    <row r="1304" spans="2:6" x14ac:dyDescent="0.35">
      <c r="B1304" t="s">
        <v>173</v>
      </c>
      <c r="C1304" t="s">
        <v>189</v>
      </c>
      <c r="D1304" t="s">
        <v>36</v>
      </c>
      <c r="E1304" s="43">
        <v>1746</v>
      </c>
      <c r="F1304" s="21" t="str">
        <f>HYPERLINK("#'Data'!A23225", "Percentage of households who worried about not having enough water to cover all needs in the past 4 weeks, by frequency on the admin of macroregion pe...")</f>
        <v>Percentage of households who worried about not having enough water to cover all needs in the past 4 weeks, by frequency on the admin of macroregion pe...</v>
      </c>
    </row>
    <row r="1305" spans="2:6" x14ac:dyDescent="0.35">
      <c r="B1305" t="s">
        <v>173</v>
      </c>
      <c r="C1305" t="s">
        <v>189</v>
      </c>
      <c r="D1305" t="s">
        <v>57</v>
      </c>
      <c r="E1305" s="43">
        <v>1747</v>
      </c>
      <c r="F1305" s="21" t="str">
        <f>HYPERLINK("#'Data'!A23234", "Percentage of households who worried about not having enough water to cover all needs in the past 4 weeks, by frequency broken down by households with...")</f>
        <v>Percentage of households who worried about not having enough water to cover all needs in the past 4 weeks, by frequency broken down by households with...</v>
      </c>
    </row>
    <row r="1306" spans="2:6" x14ac:dyDescent="0.35">
      <c r="B1306" t="s">
        <v>173</v>
      </c>
      <c r="C1306" t="s">
        <v>189</v>
      </c>
      <c r="D1306" t="s">
        <v>58</v>
      </c>
      <c r="E1306" s="43">
        <v>1748</v>
      </c>
      <c r="F1306" s="21" t="str">
        <f>HYPERLINK("#'Data'!A23248", "Percentage of households who worried about not having enough water to cover all needs in the past 4 weeks, by frequency broken down by urbanity on the...")</f>
        <v>Percentage of households who worried about not having enough water to cover all needs in the past 4 weeks, by frequency broken down by urbanity on the...</v>
      </c>
    </row>
    <row r="1307" spans="2:6" x14ac:dyDescent="0.35">
      <c r="B1307" t="s">
        <v>173</v>
      </c>
      <c r="C1307" t="s">
        <v>189</v>
      </c>
      <c r="D1307" t="s">
        <v>59</v>
      </c>
      <c r="E1307" s="43">
        <v>1749</v>
      </c>
      <c r="F1307" s="21" t="str">
        <f>HYPERLINK("#'Data'!A23262", "Percentage of households who worried about not having enough water to cover all needs in the past 4 weeks, by frequency broken down by household size ...")</f>
        <v>Percentage of households who worried about not having enough water to cover all needs in the past 4 weeks, by frequency broken down by household size ...</v>
      </c>
    </row>
    <row r="1308" spans="2:6" x14ac:dyDescent="0.35">
      <c r="B1308" t="s">
        <v>173</v>
      </c>
      <c r="C1308" t="s">
        <v>189</v>
      </c>
      <c r="D1308" t="s">
        <v>60</v>
      </c>
      <c r="E1308" s="43">
        <v>1750</v>
      </c>
      <c r="F1308" s="21" t="str">
        <f>HYPERLINK("#'Data'!A23281", "Percentage of households who worried about not having enough water to cover all needs in the past 4 weeks, by frequency broken down by income per capi...")</f>
        <v>Percentage of households who worried about not having enough water to cover all needs in the past 4 weeks, by frequency broken down by income per capi...</v>
      </c>
    </row>
    <row r="1309" spans="2:6" x14ac:dyDescent="0.35">
      <c r="B1309" t="s">
        <v>173</v>
      </c>
      <c r="C1309" t="s">
        <v>189</v>
      </c>
      <c r="D1309" t="s">
        <v>61</v>
      </c>
      <c r="E1309" s="43">
        <v>1751</v>
      </c>
      <c r="F1309" s="21" t="str">
        <f>HYPERLINK("#'Data'!A23305", "Percentage of households who worried about not having enough water to cover all needs in the past 4 weeks, by frequency broken down by gender of head ...")</f>
        <v>Percentage of households who worried about not having enough water to cover all needs in the past 4 weeks, by frequency broken down by gender of head ...</v>
      </c>
    </row>
    <row r="1310" spans="2:6" x14ac:dyDescent="0.35">
      <c r="B1310" t="s">
        <v>173</v>
      </c>
      <c r="C1310" t="s">
        <v>189</v>
      </c>
      <c r="D1310" t="s">
        <v>62</v>
      </c>
      <c r="E1310" s="43">
        <v>1752</v>
      </c>
      <c r="F1310" s="21" t="str">
        <f>HYPERLINK("#'Data'!A23325", "Percentage of households who worried about not having enough water to cover all needs in the past 4 weeks, by frequency broken down by age of adults i...")</f>
        <v>Percentage of households who worried about not having enough water to cover all needs in the past 4 weeks, by frequency broken down by age of adults i...</v>
      </c>
    </row>
    <row r="1311" spans="2:6" x14ac:dyDescent="0.35">
      <c r="B1311" t="s">
        <v>173</v>
      </c>
      <c r="C1311" t="s">
        <v>189</v>
      </c>
      <c r="D1311" t="s">
        <v>76</v>
      </c>
      <c r="E1311" s="43">
        <v>1753</v>
      </c>
      <c r="F1311" s="21" t="str">
        <f>HYPERLINK("#'Data'!A23344", "Percentage of households who worried about not having enough water to cover all needs in the past 4 weeks, by frequency broken down by households with...")</f>
        <v>Percentage of households who worried about not having enough water to cover all needs in the past 4 weeks, by frequency broken down by households with...</v>
      </c>
    </row>
    <row r="1312" spans="2:6" x14ac:dyDescent="0.35">
      <c r="B1312" t="s">
        <v>173</v>
      </c>
      <c r="C1312" t="s">
        <v>189</v>
      </c>
      <c r="D1312" t="s">
        <v>63</v>
      </c>
      <c r="E1312" s="43">
        <v>1754</v>
      </c>
      <c r="F1312" s="21" t="str">
        <f>HYPERLINK("#'Data'!A23358", "Percentage of households who worried about not having enough water to cover all needs in the past 4 weeks, by frequency broken down by displacement st...")</f>
        <v>Percentage of households who worried about not having enough water to cover all needs in the past 4 weeks, by frequency broken down by displacement st...</v>
      </c>
    </row>
    <row r="1313" spans="2:6" x14ac:dyDescent="0.35">
      <c r="B1313" t="s">
        <v>173</v>
      </c>
      <c r="C1313" t="s">
        <v>189</v>
      </c>
      <c r="D1313" t="s">
        <v>64</v>
      </c>
      <c r="E1313" s="43">
        <v>1755</v>
      </c>
      <c r="F1313" s="21" t="str">
        <f>HYPERLINK("#'Data'!A23385", "Percentage of households who worried about not having enough water to cover all needs in the past 4 weeks, by frequency broken down by IDP household o...")</f>
        <v>Percentage of households who worried about not having enough water to cover all needs in the past 4 weeks, by frequency broken down by IDP household o...</v>
      </c>
    </row>
    <row r="1314" spans="2:6" x14ac:dyDescent="0.35">
      <c r="B1314" t="s">
        <v>173</v>
      </c>
      <c r="C1314" t="s">
        <v>189</v>
      </c>
      <c r="D1314" t="s">
        <v>65</v>
      </c>
      <c r="E1314" s="43">
        <v>1756</v>
      </c>
      <c r="F1314" s="21" t="str">
        <f>HYPERLINK("#'Data'!A23399", "Percentage of households who worried about not having enough water to cover all needs in the past 4 weeks, by frequency broken down by proximity to fr...")</f>
        <v>Percentage of households who worried about not having enough water to cover all needs in the past 4 weeks, by frequency broken down by proximity to fr...</v>
      </c>
    </row>
    <row r="1315" spans="2:6" x14ac:dyDescent="0.35">
      <c r="B1315" t="s">
        <v>173</v>
      </c>
      <c r="C1315" t="s">
        <v>189</v>
      </c>
      <c r="D1315" t="s">
        <v>77</v>
      </c>
      <c r="E1315" s="43">
        <v>1757</v>
      </c>
      <c r="F1315" s="21" t="str">
        <f>HYPERLINK("#'Data'!A23414", "Percentage of households who worried about not having enough water to cover all needs in the past 4 weeks, by frequency broken down by caregiving stat...")</f>
        <v>Percentage of households who worried about not having enough water to cover all needs in the past 4 weeks, by frequency broken down by caregiving stat...</v>
      </c>
    </row>
    <row r="1316" spans="2:6" x14ac:dyDescent="0.35">
      <c r="B1316" t="s">
        <v>173</v>
      </c>
      <c r="C1316" t="s">
        <v>190</v>
      </c>
      <c r="D1316" t="s">
        <v>36</v>
      </c>
      <c r="E1316" s="43">
        <v>1758</v>
      </c>
      <c r="F1316" s="21" t="str">
        <f>HYPERLINK("#'Data'!A23436", "Percentage of households who had to change plans due to problems with water in the past 4 weeks, by frequency on the admin of macroregion perc")</f>
        <v>Percentage of households who had to change plans due to problems with water in the past 4 weeks, by frequency on the admin of macroregion perc</v>
      </c>
    </row>
    <row r="1317" spans="2:6" x14ac:dyDescent="0.35">
      <c r="B1317" t="s">
        <v>173</v>
      </c>
      <c r="C1317" t="s">
        <v>190</v>
      </c>
      <c r="D1317" t="s">
        <v>57</v>
      </c>
      <c r="E1317" s="43">
        <v>1759</v>
      </c>
      <c r="F1317" s="21" t="str">
        <f>HYPERLINK("#'Data'!A23445", "Percentage of households who had to change plans due to problems with water in the past 4 weeks, by frequency broken down by households with at least ...")</f>
        <v>Percentage of households who had to change plans due to problems with water in the past 4 weeks, by frequency broken down by households with at least ...</v>
      </c>
    </row>
    <row r="1318" spans="2:6" x14ac:dyDescent="0.35">
      <c r="B1318" t="s">
        <v>173</v>
      </c>
      <c r="C1318" t="s">
        <v>190</v>
      </c>
      <c r="D1318" t="s">
        <v>58</v>
      </c>
      <c r="E1318" s="43">
        <v>1760</v>
      </c>
      <c r="F1318" s="21" t="str">
        <f>HYPERLINK("#'Data'!A23459", "Percentage of households who had to change plans due to problems with water in the past 4 weeks, by frequency broken down by urbanity on the admin of ...")</f>
        <v>Percentage of households who had to change plans due to problems with water in the past 4 weeks, by frequency broken down by urbanity on the admin of ...</v>
      </c>
    </row>
    <row r="1319" spans="2:6" x14ac:dyDescent="0.35">
      <c r="B1319" t="s">
        <v>173</v>
      </c>
      <c r="C1319" t="s">
        <v>190</v>
      </c>
      <c r="D1319" t="s">
        <v>59</v>
      </c>
      <c r="E1319" s="43">
        <v>1761</v>
      </c>
      <c r="F1319" s="21" t="str">
        <f>HYPERLINK("#'Data'!A23473", "Percentage of households who had to change plans due to problems with water in the past 4 weeks, by frequency broken down by household size on the adm...")</f>
        <v>Percentage of households who had to change plans due to problems with water in the past 4 weeks, by frequency broken down by household size on the adm...</v>
      </c>
    </row>
    <row r="1320" spans="2:6" x14ac:dyDescent="0.35">
      <c r="B1320" t="s">
        <v>173</v>
      </c>
      <c r="C1320" t="s">
        <v>190</v>
      </c>
      <c r="D1320" t="s">
        <v>60</v>
      </c>
      <c r="E1320" s="43">
        <v>1762</v>
      </c>
      <c r="F1320" s="21" t="str">
        <f>HYPERLINK("#'Data'!A23492", "Percentage of households who had to change plans due to problems with water in the past 4 weeks, by frequency broken down by income per capita (quarti...")</f>
        <v>Percentage of households who had to change plans due to problems with water in the past 4 weeks, by frequency broken down by income per capita (quarti...</v>
      </c>
    </row>
    <row r="1321" spans="2:6" x14ac:dyDescent="0.35">
      <c r="B1321" t="s">
        <v>173</v>
      </c>
      <c r="C1321" t="s">
        <v>190</v>
      </c>
      <c r="D1321" t="s">
        <v>61</v>
      </c>
      <c r="E1321" s="43">
        <v>1763</v>
      </c>
      <c r="F1321" s="21" t="str">
        <f>HYPERLINK("#'Data'!A23516", "Percentage of households who had to change plans due to problems with water in the past 4 weeks, by frequency broken down by gender of head of househo...")</f>
        <v>Percentage of households who had to change plans due to problems with water in the past 4 weeks, by frequency broken down by gender of head of househo...</v>
      </c>
    </row>
    <row r="1322" spans="2:6" x14ac:dyDescent="0.35">
      <c r="B1322" t="s">
        <v>173</v>
      </c>
      <c r="C1322" t="s">
        <v>190</v>
      </c>
      <c r="D1322" t="s">
        <v>62</v>
      </c>
      <c r="E1322" s="43">
        <v>1764</v>
      </c>
      <c r="F1322" s="21" t="str">
        <f>HYPERLINK("#'Data'!A23536", "Percentage of households who had to change plans due to problems with water in the past 4 weeks, by frequency broken down by age of adults in the hous...")</f>
        <v>Percentage of households who had to change plans due to problems with water in the past 4 weeks, by frequency broken down by age of adults in the hous...</v>
      </c>
    </row>
    <row r="1323" spans="2:6" x14ac:dyDescent="0.35">
      <c r="B1323" t="s">
        <v>173</v>
      </c>
      <c r="C1323" t="s">
        <v>190</v>
      </c>
      <c r="D1323" t="s">
        <v>76</v>
      </c>
      <c r="E1323" s="43">
        <v>1765</v>
      </c>
      <c r="F1323" s="21" t="str">
        <f>HYPERLINK("#'Data'!A23555", "Percentage of households who had to change plans due to problems with water in the past 4 weeks, by frequency broken down by households with at least ...")</f>
        <v>Percentage of households who had to change plans due to problems with water in the past 4 weeks, by frequency broken down by households with at least ...</v>
      </c>
    </row>
    <row r="1324" spans="2:6" x14ac:dyDescent="0.35">
      <c r="B1324" t="s">
        <v>173</v>
      </c>
      <c r="C1324" t="s">
        <v>190</v>
      </c>
      <c r="D1324" t="s">
        <v>63</v>
      </c>
      <c r="E1324" s="43">
        <v>1766</v>
      </c>
      <c r="F1324" s="21" t="str">
        <f>HYPERLINK("#'Data'!A23569", "Percentage of households who had to change plans due to problems with water in the past 4 weeks, by frequency broken down by displacement status of he...")</f>
        <v>Percentage of households who had to change plans due to problems with water in the past 4 weeks, by frequency broken down by displacement status of he...</v>
      </c>
    </row>
    <row r="1325" spans="2:6" x14ac:dyDescent="0.35">
      <c r="B1325" t="s">
        <v>173</v>
      </c>
      <c r="C1325" t="s">
        <v>190</v>
      </c>
      <c r="D1325" t="s">
        <v>64</v>
      </c>
      <c r="E1325" s="43">
        <v>1767</v>
      </c>
      <c r="F1325" s="21" t="str">
        <f>HYPERLINK("#'Data'!A23596", "Percentage of households who had to change plans due to problems with water in the past 4 weeks, by frequency broken down by IDP household on the admi...")</f>
        <v>Percentage of households who had to change plans due to problems with water in the past 4 weeks, by frequency broken down by IDP household on the admi...</v>
      </c>
    </row>
    <row r="1326" spans="2:6" x14ac:dyDescent="0.35">
      <c r="B1326" t="s">
        <v>173</v>
      </c>
      <c r="C1326" t="s">
        <v>190</v>
      </c>
      <c r="D1326" t="s">
        <v>65</v>
      </c>
      <c r="E1326" s="43">
        <v>1768</v>
      </c>
      <c r="F1326" s="21" t="str">
        <f>HYPERLINK("#'Data'!A23610", "Percentage of households who had to change plans due to problems with water in the past 4 weeks, by frequency broken down by proximity to frontline/bo...")</f>
        <v>Percentage of households who had to change plans due to problems with water in the past 4 weeks, by frequency broken down by proximity to frontline/bo...</v>
      </c>
    </row>
    <row r="1327" spans="2:6" x14ac:dyDescent="0.35">
      <c r="B1327" t="s">
        <v>173</v>
      </c>
      <c r="C1327" t="s">
        <v>190</v>
      </c>
      <c r="D1327" t="s">
        <v>77</v>
      </c>
      <c r="E1327" s="43">
        <v>1769</v>
      </c>
      <c r="F1327" s="21" t="str">
        <f>HYPERLINK("#'Data'!A23625", "Percentage of households who had to change plans due to problems with water in the past 4 weeks, by frequency broken down by caregiving status  on the...")</f>
        <v>Percentage of households who had to change plans due to problems with water in the past 4 weeks, by frequency broken down by caregiving status  on the...</v>
      </c>
    </row>
    <row r="1328" spans="2:6" x14ac:dyDescent="0.35">
      <c r="B1328" t="s">
        <v>191</v>
      </c>
      <c r="C1328" t="s">
        <v>192</v>
      </c>
      <c r="D1328" t="s">
        <v>36</v>
      </c>
      <c r="E1328" s="43">
        <v>1770</v>
      </c>
      <c r="F1328" s="21" t="str">
        <f>HYPERLINK("#'Data'!A23647", "Reduced Coping Strategies Index (rCSI) on the admin of macroregion perc")</f>
        <v>Reduced Coping Strategies Index (rCSI) on the admin of macroregion perc</v>
      </c>
    </row>
    <row r="1329" spans="2:6" x14ac:dyDescent="0.35">
      <c r="B1329" t="s">
        <v>191</v>
      </c>
      <c r="C1329" t="s">
        <v>192</v>
      </c>
      <c r="D1329" t="s">
        <v>57</v>
      </c>
      <c r="E1329" s="43">
        <v>1771</v>
      </c>
      <c r="F1329" s="21" t="str">
        <f>HYPERLINK("#'Data'!A23656", "Reduced Coping Strategies Index (rCSI) broken down by households with at least one member with a reported and/or registered disability on the admin of...")</f>
        <v>Reduced Coping Strategies Index (rCSI) broken down by households with at least one member with a reported and/or registered disability on the admin of...</v>
      </c>
    </row>
    <row r="1330" spans="2:6" x14ac:dyDescent="0.35">
      <c r="B1330" t="s">
        <v>191</v>
      </c>
      <c r="C1330" t="s">
        <v>192</v>
      </c>
      <c r="D1330" t="s">
        <v>58</v>
      </c>
      <c r="E1330" s="43">
        <v>1772</v>
      </c>
      <c r="F1330" s="21" t="str">
        <f>HYPERLINK("#'Data'!A23670", "Reduced Coping Strategies Index (rCSI) broken down by urbanity on the admin of macroregion perc")</f>
        <v>Reduced Coping Strategies Index (rCSI) broken down by urbanity on the admin of macroregion perc</v>
      </c>
    </row>
    <row r="1331" spans="2:6" x14ac:dyDescent="0.35">
      <c r="B1331" t="s">
        <v>191</v>
      </c>
      <c r="C1331" t="s">
        <v>192</v>
      </c>
      <c r="D1331" t="s">
        <v>59</v>
      </c>
      <c r="E1331" s="43">
        <v>1773</v>
      </c>
      <c r="F1331" s="21" t="str">
        <f>HYPERLINK("#'Data'!A23684", "Reduced Coping Strategies Index (rCSI) broken down by household size on the admin of macroregion perc")</f>
        <v>Reduced Coping Strategies Index (rCSI) broken down by household size on the admin of macroregion perc</v>
      </c>
    </row>
    <row r="1332" spans="2:6" x14ac:dyDescent="0.35">
      <c r="B1332" t="s">
        <v>191</v>
      </c>
      <c r="C1332" t="s">
        <v>192</v>
      </c>
      <c r="D1332" t="s">
        <v>60</v>
      </c>
      <c r="E1332" s="43">
        <v>1774</v>
      </c>
      <c r="F1332" s="21" t="str">
        <f>HYPERLINK("#'Data'!A23703", "Reduced Coping Strategies Index (rCSI) broken down by income per capita (quartiles) on the admin of macroregion perc")</f>
        <v>Reduced Coping Strategies Index (rCSI) broken down by income per capita (quartiles) on the admin of macroregion perc</v>
      </c>
    </row>
    <row r="1333" spans="2:6" x14ac:dyDescent="0.35">
      <c r="B1333" t="s">
        <v>191</v>
      </c>
      <c r="C1333" t="s">
        <v>192</v>
      </c>
      <c r="D1333" t="s">
        <v>61</v>
      </c>
      <c r="E1333" s="43">
        <v>1775</v>
      </c>
      <c r="F1333" s="21" t="str">
        <f>HYPERLINK("#'Data'!A23727", "Reduced Coping Strategies Index (rCSI) broken down by gender of head of household on the admin of macroregion perc")</f>
        <v>Reduced Coping Strategies Index (rCSI) broken down by gender of head of household on the admin of macroregion perc</v>
      </c>
    </row>
    <row r="1334" spans="2:6" x14ac:dyDescent="0.35">
      <c r="B1334" t="s">
        <v>191</v>
      </c>
      <c r="C1334" t="s">
        <v>192</v>
      </c>
      <c r="D1334" t="s">
        <v>62</v>
      </c>
      <c r="E1334" s="43">
        <v>1776</v>
      </c>
      <c r="F1334" s="21" t="str">
        <f>HYPERLINK("#'Data'!A23747", "Reduced Coping Strategies Index (rCSI) broken down by age of adults in the households on the admin of macroregion perc")</f>
        <v>Reduced Coping Strategies Index (rCSI) broken down by age of adults in the households on the admin of macroregion perc</v>
      </c>
    </row>
    <row r="1335" spans="2:6" x14ac:dyDescent="0.35">
      <c r="B1335" t="s">
        <v>191</v>
      </c>
      <c r="C1335" t="s">
        <v>192</v>
      </c>
      <c r="D1335" t="s">
        <v>76</v>
      </c>
      <c r="E1335" s="43">
        <v>1777</v>
      </c>
      <c r="F1335" s="21" t="str">
        <f>HYPERLINK("#'Data'!A23766", "Reduced Coping Strategies Index (rCSI) broken down by households with at least one child (&lt;18 y.o.) on the admin of macroregion perc")</f>
        <v>Reduced Coping Strategies Index (rCSI) broken down by households with at least one child (&lt;18 y.o.) on the admin of macroregion perc</v>
      </c>
    </row>
    <row r="1336" spans="2:6" x14ac:dyDescent="0.35">
      <c r="B1336" t="s">
        <v>191</v>
      </c>
      <c r="C1336" t="s">
        <v>192</v>
      </c>
      <c r="D1336" t="s">
        <v>63</v>
      </c>
      <c r="E1336" s="43">
        <v>1778</v>
      </c>
      <c r="F1336" s="21" t="str">
        <f>HYPERLINK("#'Data'!A23780", "Reduced Coping Strategies Index (rCSI) broken down by displacement status of head of household on the admin of macroregion perc")</f>
        <v>Reduced Coping Strategies Index (rCSI) broken down by displacement status of head of household on the admin of macroregion perc</v>
      </c>
    </row>
    <row r="1337" spans="2:6" x14ac:dyDescent="0.35">
      <c r="B1337" t="s">
        <v>191</v>
      </c>
      <c r="C1337" t="s">
        <v>192</v>
      </c>
      <c r="D1337" t="s">
        <v>64</v>
      </c>
      <c r="E1337" s="43">
        <v>1779</v>
      </c>
      <c r="F1337" s="21" t="str">
        <f>HYPERLINK("#'Data'!A23807", "Reduced Coping Strategies Index (rCSI) broken down by IDP household on the admin of macroregion perc")</f>
        <v>Reduced Coping Strategies Index (rCSI) broken down by IDP household on the admin of macroregion perc</v>
      </c>
    </row>
    <row r="1338" spans="2:6" x14ac:dyDescent="0.35">
      <c r="B1338" t="s">
        <v>191</v>
      </c>
      <c r="C1338" t="s">
        <v>192</v>
      </c>
      <c r="D1338" t="s">
        <v>65</v>
      </c>
      <c r="E1338" s="43">
        <v>1780</v>
      </c>
      <c r="F1338" s="21" t="str">
        <f>HYPERLINK("#'Data'!A23821", "Reduced Coping Strategies Index (rCSI) broken down by proximity to frontline/border with Russian Federation on the admin of macroregion perc")</f>
        <v>Reduced Coping Strategies Index (rCSI) broken down by proximity to frontline/border with Russian Federation on the admin of macroregion perc</v>
      </c>
    </row>
    <row r="1339" spans="2:6" x14ac:dyDescent="0.35">
      <c r="B1339" t="s">
        <v>191</v>
      </c>
      <c r="C1339" t="s">
        <v>192</v>
      </c>
      <c r="D1339" t="s">
        <v>77</v>
      </c>
      <c r="E1339" s="43">
        <v>1781</v>
      </c>
      <c r="F1339" s="21" t="str">
        <f>HYPERLINK("#'Data'!A23836", "Reduced Coping Strategies Index (rCSI) broken down by caregiving status  on the admin of macroregion perc")</f>
        <v>Reduced Coping Strategies Index (rCSI) broken down by caregiving status  on the admin of macroregion perc</v>
      </c>
    </row>
    <row r="1340" spans="2:6" x14ac:dyDescent="0.35">
      <c r="B1340" t="s">
        <v>191</v>
      </c>
      <c r="C1340" t="s">
        <v>193</v>
      </c>
      <c r="D1340" t="s">
        <v>36</v>
      </c>
      <c r="E1340" s="43">
        <v>1782</v>
      </c>
      <c r="F1340" s="21" t="str">
        <f>HYPERLINK("#'Data'!A23858", "Food Consumption Score on the admin of macroregion perc")</f>
        <v>Food Consumption Score on the admin of macroregion perc</v>
      </c>
    </row>
    <row r="1341" spans="2:6" x14ac:dyDescent="0.35">
      <c r="B1341" t="s">
        <v>191</v>
      </c>
      <c r="C1341" t="s">
        <v>193</v>
      </c>
      <c r="D1341" t="s">
        <v>57</v>
      </c>
      <c r="E1341" s="43">
        <v>1783</v>
      </c>
      <c r="F1341" s="21" t="str">
        <f>HYPERLINK("#'Data'!A23867", "Food Consumption Score broken down by households with at least one member with a reported and/or registered disability on the admin of macroregion per...")</f>
        <v>Food Consumption Score broken down by households with at least one member with a reported and/or registered disability on the admin of macroregion per...</v>
      </c>
    </row>
    <row r="1342" spans="2:6" x14ac:dyDescent="0.35">
      <c r="B1342" t="s">
        <v>191</v>
      </c>
      <c r="C1342" t="s">
        <v>193</v>
      </c>
      <c r="D1342" t="s">
        <v>58</v>
      </c>
      <c r="E1342" s="43">
        <v>1784</v>
      </c>
      <c r="F1342" s="21" t="str">
        <f>HYPERLINK("#'Data'!A23881", "Food Consumption Score broken down by urbanity on the admin of macroregion perc")</f>
        <v>Food Consumption Score broken down by urbanity on the admin of macroregion perc</v>
      </c>
    </row>
    <row r="1343" spans="2:6" x14ac:dyDescent="0.35">
      <c r="B1343" t="s">
        <v>191</v>
      </c>
      <c r="C1343" t="s">
        <v>193</v>
      </c>
      <c r="D1343" t="s">
        <v>59</v>
      </c>
      <c r="E1343" s="43">
        <v>1785</v>
      </c>
      <c r="F1343" s="21" t="str">
        <f>HYPERLINK("#'Data'!A23895", "Food Consumption Score broken down by household size on the admin of macroregion perc")</f>
        <v>Food Consumption Score broken down by household size on the admin of macroregion perc</v>
      </c>
    </row>
    <row r="1344" spans="2:6" x14ac:dyDescent="0.35">
      <c r="B1344" t="s">
        <v>191</v>
      </c>
      <c r="C1344" t="s">
        <v>193</v>
      </c>
      <c r="D1344" t="s">
        <v>60</v>
      </c>
      <c r="E1344" s="43">
        <v>1786</v>
      </c>
      <c r="F1344" s="21" t="str">
        <f>HYPERLINK("#'Data'!A23914", "Food Consumption Score broken down by income per capita (quartiles) on the admin of macroregion perc")</f>
        <v>Food Consumption Score broken down by income per capita (quartiles) on the admin of macroregion perc</v>
      </c>
    </row>
    <row r="1345" spans="2:6" x14ac:dyDescent="0.35">
      <c r="B1345" t="s">
        <v>191</v>
      </c>
      <c r="C1345" t="s">
        <v>193</v>
      </c>
      <c r="D1345" t="s">
        <v>61</v>
      </c>
      <c r="E1345" s="43">
        <v>1787</v>
      </c>
      <c r="F1345" s="21" t="str">
        <f>HYPERLINK("#'Data'!A23938", "Food Consumption Score broken down by gender of head of household on the admin of macroregion perc")</f>
        <v>Food Consumption Score broken down by gender of head of household on the admin of macroregion perc</v>
      </c>
    </row>
    <row r="1346" spans="2:6" x14ac:dyDescent="0.35">
      <c r="B1346" t="s">
        <v>191</v>
      </c>
      <c r="C1346" t="s">
        <v>193</v>
      </c>
      <c r="D1346" t="s">
        <v>62</v>
      </c>
      <c r="E1346" s="43">
        <v>1788</v>
      </c>
      <c r="F1346" s="21" t="str">
        <f>HYPERLINK("#'Data'!A23958", "Food Consumption Score broken down by age of adults in the households on the admin of macroregion perc")</f>
        <v>Food Consumption Score broken down by age of adults in the households on the admin of macroregion perc</v>
      </c>
    </row>
    <row r="1347" spans="2:6" x14ac:dyDescent="0.35">
      <c r="B1347" t="s">
        <v>191</v>
      </c>
      <c r="C1347" t="s">
        <v>193</v>
      </c>
      <c r="D1347" t="s">
        <v>76</v>
      </c>
      <c r="E1347" s="43">
        <v>1789</v>
      </c>
      <c r="F1347" s="21" t="str">
        <f>HYPERLINK("#'Data'!A23977", "Food Consumption Score broken down by households with at least one child (&lt;18 y.o.) on the admin of macroregion perc")</f>
        <v>Food Consumption Score broken down by households with at least one child (&lt;18 y.o.) on the admin of macroregion perc</v>
      </c>
    </row>
    <row r="1348" spans="2:6" x14ac:dyDescent="0.35">
      <c r="B1348" t="s">
        <v>191</v>
      </c>
      <c r="C1348" t="s">
        <v>193</v>
      </c>
      <c r="D1348" t="s">
        <v>63</v>
      </c>
      <c r="E1348" s="43">
        <v>1790</v>
      </c>
      <c r="F1348" s="21" t="str">
        <f>HYPERLINK("#'Data'!A23991", "Food Consumption Score broken down by displacement status of head of household on the admin of macroregion perc")</f>
        <v>Food Consumption Score broken down by displacement status of head of household on the admin of macroregion perc</v>
      </c>
    </row>
    <row r="1349" spans="2:6" x14ac:dyDescent="0.35">
      <c r="B1349" t="s">
        <v>191</v>
      </c>
      <c r="C1349" t="s">
        <v>193</v>
      </c>
      <c r="D1349" t="s">
        <v>64</v>
      </c>
      <c r="E1349" s="43">
        <v>1791</v>
      </c>
      <c r="F1349" s="21" t="str">
        <f>HYPERLINK("#'Data'!A24018", "Food Consumption Score broken down by IDP household on the admin of macroregion perc")</f>
        <v>Food Consumption Score broken down by IDP household on the admin of macroregion perc</v>
      </c>
    </row>
    <row r="1350" spans="2:6" x14ac:dyDescent="0.35">
      <c r="B1350" t="s">
        <v>191</v>
      </c>
      <c r="C1350" t="s">
        <v>193</v>
      </c>
      <c r="D1350" t="s">
        <v>65</v>
      </c>
      <c r="E1350" s="43">
        <v>1792</v>
      </c>
      <c r="F1350" s="21" t="str">
        <f>HYPERLINK("#'Data'!A24032", "Food Consumption Score broken down by proximity to frontline/border with Russian Federation on the admin of macroregion perc")</f>
        <v>Food Consumption Score broken down by proximity to frontline/border with Russian Federation on the admin of macroregion perc</v>
      </c>
    </row>
    <row r="1351" spans="2:6" x14ac:dyDescent="0.35">
      <c r="B1351" t="s">
        <v>191</v>
      </c>
      <c r="C1351" t="s">
        <v>193</v>
      </c>
      <c r="D1351" t="s">
        <v>77</v>
      </c>
      <c r="E1351" s="43">
        <v>1793</v>
      </c>
      <c r="F1351" s="21" t="str">
        <f>HYPERLINK("#'Data'!A24047", "Food Consumption Score broken down by caregiving status  on the admin of macroregion perc")</f>
        <v>Food Consumption Score broken down by caregiving status  on the admin of macroregion perc</v>
      </c>
    </row>
    <row r="1352" spans="2:6" x14ac:dyDescent="0.35">
      <c r="B1352" t="s">
        <v>191</v>
      </c>
      <c r="C1352" t="s">
        <v>194</v>
      </c>
      <c r="D1352" t="s">
        <v>36</v>
      </c>
      <c r="E1352" s="43">
        <v>1794</v>
      </c>
      <c r="F1352" s="21" t="str">
        <f>HYPERLINK("#'Data'!A24069", "Households adopting Consumption-based Coping Strategies, by strategy ")</f>
        <v xml:space="preserve">Households adopting Consumption-based Coping Strategies, by strategy </v>
      </c>
    </row>
    <row r="1353" spans="2:6" x14ac:dyDescent="0.35">
      <c r="B1353" t="s">
        <v>191</v>
      </c>
      <c r="C1353" t="s">
        <v>194</v>
      </c>
      <c r="D1353" t="s">
        <v>57</v>
      </c>
      <c r="E1353" s="43">
        <v>1799</v>
      </c>
      <c r="F1353" s="21" t="str">
        <f>HYPERLINK("#'Data'!A24117", "Households adopting Consumption-based Coping Strategies, by strategy by households with at least one member with a reported and/or registered disabili...")</f>
        <v>Households adopting Consumption-based Coping Strategies, by strategy by households with at least one member with a reported and/or registered disabili...</v>
      </c>
    </row>
    <row r="1354" spans="2:6" x14ac:dyDescent="0.35">
      <c r="B1354" t="s">
        <v>191</v>
      </c>
      <c r="C1354" t="s">
        <v>194</v>
      </c>
      <c r="D1354" t="s">
        <v>58</v>
      </c>
      <c r="E1354" s="43">
        <v>1804</v>
      </c>
      <c r="F1354" s="21" t="str">
        <f>HYPERLINK("#'Data'!A24200", "Households adopting Consumption-based Coping Strategies, by strategy by urbanity ")</f>
        <v xml:space="preserve">Households adopting Consumption-based Coping Strategies, by strategy by urbanity </v>
      </c>
    </row>
    <row r="1355" spans="2:6" x14ac:dyDescent="0.35">
      <c r="B1355" t="s">
        <v>191</v>
      </c>
      <c r="C1355" t="s">
        <v>194</v>
      </c>
      <c r="D1355" t="s">
        <v>59</v>
      </c>
      <c r="E1355" s="43">
        <v>1809</v>
      </c>
      <c r="F1355" s="21" t="str">
        <f>HYPERLINK("#'Data'!A24283", "Households adopting Consumption-based Coping Strategies, by strategy by household size ")</f>
        <v xml:space="preserve">Households adopting Consumption-based Coping Strategies, by strategy by household size </v>
      </c>
    </row>
    <row r="1356" spans="2:6" x14ac:dyDescent="0.35">
      <c r="B1356" t="s">
        <v>191</v>
      </c>
      <c r="C1356" t="s">
        <v>194</v>
      </c>
      <c r="D1356" t="s">
        <v>60</v>
      </c>
      <c r="E1356" s="43">
        <v>1814</v>
      </c>
      <c r="F1356" s="21" t="str">
        <f>HYPERLINK("#'Data'!A24390", "Households adopting Consumption-based Coping Strategies, by strategy by income per capita (quartiles) ")</f>
        <v xml:space="preserve">Households adopting Consumption-based Coping Strategies, by strategy by income per capita (quartiles) </v>
      </c>
    </row>
    <row r="1357" spans="2:6" x14ac:dyDescent="0.35">
      <c r="B1357" t="s">
        <v>191</v>
      </c>
      <c r="C1357" t="s">
        <v>194</v>
      </c>
      <c r="D1357" t="s">
        <v>61</v>
      </c>
      <c r="E1357" s="43">
        <v>1819</v>
      </c>
      <c r="F1357" s="21" t="str">
        <f>HYPERLINK("#'Data'!A24526", "Households adopting Consumption-based Coping Strategies, by strategy by gender of head of household ")</f>
        <v xml:space="preserve">Households adopting Consumption-based Coping Strategies, by strategy by gender of head of household </v>
      </c>
    </row>
    <row r="1358" spans="2:6" x14ac:dyDescent="0.35">
      <c r="B1358" t="s">
        <v>191</v>
      </c>
      <c r="C1358" t="s">
        <v>194</v>
      </c>
      <c r="D1358" t="s">
        <v>62</v>
      </c>
      <c r="E1358" s="43">
        <v>1824</v>
      </c>
      <c r="F1358" s="21" t="str">
        <f>HYPERLINK("#'Data'!A24643", "Households adopting Consumption-based Coping Strategies, by strategy by age of adults in the households ")</f>
        <v xml:space="preserve">Households adopting Consumption-based Coping Strategies, by strategy by age of adults in the households </v>
      </c>
    </row>
    <row r="1359" spans="2:6" x14ac:dyDescent="0.35">
      <c r="B1359" t="s">
        <v>191</v>
      </c>
      <c r="C1359" t="s">
        <v>194</v>
      </c>
      <c r="D1359" t="s">
        <v>76</v>
      </c>
      <c r="E1359" s="43">
        <v>1829</v>
      </c>
      <c r="F1359" s="21" t="str">
        <f>HYPERLINK("#'Data'!A24757", "Households adopting Consumption-based Coping Strategies, by strategy by households with at least one child (&lt;18 y.o.) ")</f>
        <v xml:space="preserve">Households adopting Consumption-based Coping Strategies, by strategy by households with at least one child (&lt;18 y.o.) </v>
      </c>
    </row>
    <row r="1360" spans="2:6" x14ac:dyDescent="0.35">
      <c r="B1360" t="s">
        <v>191</v>
      </c>
      <c r="C1360" t="s">
        <v>194</v>
      </c>
      <c r="D1360" t="s">
        <v>63</v>
      </c>
      <c r="E1360" s="43">
        <v>1834</v>
      </c>
      <c r="F1360" s="21" t="str">
        <f>HYPERLINK("#'Data'!A24840", "Households adopting Consumption-based Coping Strategies, by strategy by displacement status of head of household ")</f>
        <v xml:space="preserve">Households adopting Consumption-based Coping Strategies, by strategy by displacement status of head of household </v>
      </c>
    </row>
    <row r="1361" spans="2:6" x14ac:dyDescent="0.35">
      <c r="B1361" t="s">
        <v>191</v>
      </c>
      <c r="C1361" t="s">
        <v>194</v>
      </c>
      <c r="D1361" t="s">
        <v>64</v>
      </c>
      <c r="E1361" s="43">
        <v>1839</v>
      </c>
      <c r="F1361" s="21" t="str">
        <f>HYPERLINK("#'Data'!A24971", "Households adopting Consumption-based Coping Strategies, by strategy by IDP household ")</f>
        <v xml:space="preserve">Households adopting Consumption-based Coping Strategies, by strategy by IDP household </v>
      </c>
    </row>
    <row r="1362" spans="2:6" x14ac:dyDescent="0.35">
      <c r="B1362" t="s">
        <v>191</v>
      </c>
      <c r="C1362" t="s">
        <v>194</v>
      </c>
      <c r="D1362" t="s">
        <v>65</v>
      </c>
      <c r="E1362" s="43">
        <v>1844</v>
      </c>
      <c r="F1362" s="21" t="str">
        <f>HYPERLINK("#'Data'!A25051", "Households adopting Consumption-based Coping Strategies, by strategy by proximity to frontline/border with Russian Federation ")</f>
        <v xml:space="preserve">Households adopting Consumption-based Coping Strategies, by strategy by proximity to frontline/border with Russian Federation </v>
      </c>
    </row>
    <row r="1363" spans="2:6" x14ac:dyDescent="0.35">
      <c r="B1363" t="s">
        <v>191</v>
      </c>
      <c r="C1363" t="s">
        <v>194</v>
      </c>
      <c r="D1363" t="s">
        <v>77</v>
      </c>
      <c r="E1363" s="43">
        <v>1849</v>
      </c>
      <c r="F1363" s="21" t="str">
        <f>HYPERLINK("#'Data'!A25141", "Households adopting Consumption-based Coping Strategies, by strategy by caregiving status  ")</f>
        <v xml:space="preserve">Households adopting Consumption-based Coping Strategies, by strategy by caregiving status  </v>
      </c>
    </row>
    <row r="1364" spans="2:6" x14ac:dyDescent="0.35">
      <c r="B1364" t="s">
        <v>195</v>
      </c>
      <c r="C1364" t="s">
        <v>196</v>
      </c>
      <c r="D1364" t="s">
        <v>36</v>
      </c>
      <c r="E1364" s="43">
        <v>1854</v>
      </c>
      <c r="F1364" s="21" t="str">
        <f>HYPERLINK("#'Data'!A25255", "Households reporting most significant challenges their household currently faces on the admin of macroregion perc")</f>
        <v>Households reporting most significant challenges their household currently faces on the admin of macroregion perc</v>
      </c>
    </row>
    <row r="1365" spans="2:6" x14ac:dyDescent="0.35">
      <c r="B1365" t="s">
        <v>195</v>
      </c>
      <c r="C1365" t="s">
        <v>196</v>
      </c>
      <c r="D1365" t="s">
        <v>57</v>
      </c>
      <c r="E1365" s="43">
        <v>1855</v>
      </c>
      <c r="F1365" s="21" t="str">
        <f>HYPERLINK("#'Data'!A25264", "Households reporting most significant challenges their household currently faces broken down by households with at least one member with a reported an...")</f>
        <v>Households reporting most significant challenges their household currently faces broken down by households with at least one member with a reported an...</v>
      </c>
    </row>
    <row r="1366" spans="2:6" x14ac:dyDescent="0.35">
      <c r="B1366" t="s">
        <v>195</v>
      </c>
      <c r="C1366" t="s">
        <v>196</v>
      </c>
      <c r="D1366" t="s">
        <v>58</v>
      </c>
      <c r="E1366" s="43">
        <v>1856</v>
      </c>
      <c r="F1366" s="21" t="str">
        <f>HYPERLINK("#'Data'!A25278", "Households reporting most significant challenges their household currently faces broken down by urbanity on the admin of macroregion perc")</f>
        <v>Households reporting most significant challenges their household currently faces broken down by urbanity on the admin of macroregion perc</v>
      </c>
    </row>
    <row r="1367" spans="2:6" x14ac:dyDescent="0.35">
      <c r="B1367" t="s">
        <v>195</v>
      </c>
      <c r="C1367" t="s">
        <v>196</v>
      </c>
      <c r="D1367" t="s">
        <v>59</v>
      </c>
      <c r="E1367" s="43">
        <v>1857</v>
      </c>
      <c r="F1367" s="21" t="str">
        <f>HYPERLINK("#'Data'!A25292", "Households reporting most significant challenges their household currently faces broken down by household size on the admin of macroregion perc")</f>
        <v>Households reporting most significant challenges their household currently faces broken down by household size on the admin of macroregion perc</v>
      </c>
    </row>
    <row r="1368" spans="2:6" x14ac:dyDescent="0.35">
      <c r="B1368" t="s">
        <v>195</v>
      </c>
      <c r="C1368" t="s">
        <v>196</v>
      </c>
      <c r="D1368" t="s">
        <v>60</v>
      </c>
      <c r="E1368" s="43">
        <v>1858</v>
      </c>
      <c r="F1368" s="21" t="str">
        <f>HYPERLINK("#'Data'!A25311", "Households reporting most significant challenges their household currently faces broken down by income per capita (quartiles) on the admin of macroreg...")</f>
        <v>Households reporting most significant challenges their household currently faces broken down by income per capita (quartiles) on the admin of macroreg...</v>
      </c>
    </row>
    <row r="1369" spans="2:6" x14ac:dyDescent="0.35">
      <c r="B1369" t="s">
        <v>195</v>
      </c>
      <c r="C1369" t="s">
        <v>196</v>
      </c>
      <c r="D1369" t="s">
        <v>61</v>
      </c>
      <c r="E1369" s="43">
        <v>1859</v>
      </c>
      <c r="F1369" s="21" t="str">
        <f>HYPERLINK("#'Data'!A25335", "Households reporting most significant challenges their household currently faces broken down by gender of head of household on the admin of macroregio...")</f>
        <v>Households reporting most significant challenges their household currently faces broken down by gender of head of household on the admin of macroregio...</v>
      </c>
    </row>
    <row r="1370" spans="2:6" x14ac:dyDescent="0.35">
      <c r="B1370" t="s">
        <v>195</v>
      </c>
      <c r="C1370" t="s">
        <v>196</v>
      </c>
      <c r="D1370" t="s">
        <v>62</v>
      </c>
      <c r="E1370" s="43">
        <v>1860</v>
      </c>
      <c r="F1370" s="21" t="str">
        <f>HYPERLINK("#'Data'!A25355", "Households reporting most significant challenges their household currently faces broken down by age of adults in the households on the admin of macror...")</f>
        <v>Households reporting most significant challenges their household currently faces broken down by age of adults in the households on the admin of macror...</v>
      </c>
    </row>
    <row r="1371" spans="2:6" x14ac:dyDescent="0.35">
      <c r="B1371" t="s">
        <v>195</v>
      </c>
      <c r="C1371" t="s">
        <v>196</v>
      </c>
      <c r="D1371" t="s">
        <v>76</v>
      </c>
      <c r="E1371" s="43">
        <v>1861</v>
      </c>
      <c r="F1371" s="21" t="str">
        <f>HYPERLINK("#'Data'!A25374", "Households reporting most significant challenges their household currently faces broken down by households with at least one child (&lt;18 y.o.) on the a...")</f>
        <v>Households reporting most significant challenges their household currently faces broken down by households with at least one child (&lt;18 y.o.) on the a...</v>
      </c>
    </row>
    <row r="1372" spans="2:6" x14ac:dyDescent="0.35">
      <c r="B1372" t="s">
        <v>195</v>
      </c>
      <c r="C1372" t="s">
        <v>196</v>
      </c>
      <c r="D1372" t="s">
        <v>63</v>
      </c>
      <c r="E1372" s="43">
        <v>1862</v>
      </c>
      <c r="F1372" s="21" t="str">
        <f>HYPERLINK("#'Data'!A25388", "Households reporting most significant challenges their household currently faces broken down by displacement status of head of household on the admin ...")</f>
        <v>Households reporting most significant challenges their household currently faces broken down by displacement status of head of household on the admin ...</v>
      </c>
    </row>
    <row r="1373" spans="2:6" x14ac:dyDescent="0.35">
      <c r="B1373" t="s">
        <v>195</v>
      </c>
      <c r="C1373" t="s">
        <v>196</v>
      </c>
      <c r="D1373" t="s">
        <v>64</v>
      </c>
      <c r="E1373" s="43">
        <v>1863</v>
      </c>
      <c r="F1373" s="21" t="str">
        <f>HYPERLINK("#'Data'!A25415", "Households reporting most significant challenges their household currently faces broken down by IDP household on the admin of macroregion perc")</f>
        <v>Households reporting most significant challenges their household currently faces broken down by IDP household on the admin of macroregion perc</v>
      </c>
    </row>
    <row r="1374" spans="2:6" x14ac:dyDescent="0.35">
      <c r="B1374" t="s">
        <v>195</v>
      </c>
      <c r="C1374" t="s">
        <v>196</v>
      </c>
      <c r="D1374" t="s">
        <v>65</v>
      </c>
      <c r="E1374" s="43">
        <v>1864</v>
      </c>
      <c r="F1374" s="21" t="str">
        <f>HYPERLINK("#'Data'!A25429", "Households reporting most significant challenges their household currently faces broken down by proximity to frontline/border with Russian Federation ...")</f>
        <v>Households reporting most significant challenges their household currently faces broken down by proximity to frontline/border with Russian Federation ...</v>
      </c>
    </row>
    <row r="1375" spans="2:6" x14ac:dyDescent="0.35">
      <c r="B1375" t="s">
        <v>195</v>
      </c>
      <c r="C1375" t="s">
        <v>196</v>
      </c>
      <c r="D1375" t="s">
        <v>77</v>
      </c>
      <c r="E1375" s="43">
        <v>1865</v>
      </c>
      <c r="F1375" s="21" t="str">
        <f>HYPERLINK("#'Data'!A25444", "Households reporting most significant challenges their household currently faces broken down by caregiving status  on the admin of macroregion perc")</f>
        <v>Households reporting most significant challenges their household currently faces broken down by caregiving status  on the admin of macroregion perc</v>
      </c>
    </row>
    <row r="1376" spans="2:6" x14ac:dyDescent="0.35">
      <c r="B1376" t="s">
        <v>195</v>
      </c>
      <c r="C1376" t="s">
        <v>196</v>
      </c>
      <c r="D1376" t="s">
        <v>131</v>
      </c>
      <c r="E1376" s="43">
        <v>1866</v>
      </c>
      <c r="F1376" s="21" t="str">
        <f>HYPERLINK("#'Data'!A25466", "Households reporting most significant challenges their household currently faces broken down by gender of respondent on the admin of macroregion perc")</f>
        <v>Households reporting most significant challenges their household currently faces broken down by gender of respondent on the admin of macroregion perc</v>
      </c>
    </row>
    <row r="1377" spans="2:6" x14ac:dyDescent="0.35">
      <c r="B1377" t="s">
        <v>195</v>
      </c>
      <c r="C1377" t="s">
        <v>196</v>
      </c>
      <c r="D1377" t="s">
        <v>132</v>
      </c>
      <c r="E1377" s="43">
        <v>1867</v>
      </c>
      <c r="F1377" s="21" t="str">
        <f>HYPERLINK("#'Data'!A25482", "Households reporting most significant challenges their household currently faces broken down by age of respondents on the admin of macroregion perc")</f>
        <v>Households reporting most significant challenges their household currently faces broken down by age of respondents on the admin of macroregion perc</v>
      </c>
    </row>
    <row r="1378" spans="2:6" x14ac:dyDescent="0.35">
      <c r="B1378" t="s">
        <v>195</v>
      </c>
      <c r="C1378" t="s">
        <v>196</v>
      </c>
      <c r="D1378" t="s">
        <v>133</v>
      </c>
      <c r="E1378" s="43">
        <v>1868</v>
      </c>
      <c r="F1378" s="21" t="str">
        <f>HYPERLINK("#'Data'!A25506", "Households reporting most significant challenges their household currently faces broken down by gender and age of respondents on the admin of macroreg...")</f>
        <v>Households reporting most significant challenges their household currently faces broken down by gender and age of respondents on the admin of macroreg...</v>
      </c>
    </row>
    <row r="1379" spans="2:6" x14ac:dyDescent="0.35">
      <c r="B1379" t="s">
        <v>195</v>
      </c>
      <c r="C1379" t="s">
        <v>197</v>
      </c>
      <c r="D1379" t="s">
        <v>36</v>
      </c>
      <c r="E1379" s="43">
        <v>1869</v>
      </c>
      <c r="F1379" s="21" t="str">
        <f>HYPERLINK("#'Data'!A25552", "Households reporting challenges, by type of support they would like to receive on the admin of macroregion perc")</f>
        <v>Households reporting challenges, by type of support they would like to receive on the admin of macroregion perc</v>
      </c>
    </row>
    <row r="1380" spans="2:6" x14ac:dyDescent="0.35">
      <c r="B1380" t="s">
        <v>195</v>
      </c>
      <c r="C1380" t="s">
        <v>197</v>
      </c>
      <c r="D1380" t="s">
        <v>57</v>
      </c>
      <c r="E1380" s="43">
        <v>1870</v>
      </c>
      <c r="F1380" s="21" t="str">
        <f>HYPERLINK("#'Data'!A25561", "Households reporting challenges, by type of support they would like to receive broken down by households with at least one member with a reported and/...")</f>
        <v>Households reporting challenges, by type of support they would like to receive broken down by households with at least one member with a reported and/...</v>
      </c>
    </row>
    <row r="1381" spans="2:6" x14ac:dyDescent="0.35">
      <c r="B1381" t="s">
        <v>195</v>
      </c>
      <c r="C1381" t="s">
        <v>197</v>
      </c>
      <c r="D1381" t="s">
        <v>58</v>
      </c>
      <c r="E1381" s="43">
        <v>1871</v>
      </c>
      <c r="F1381" s="21" t="str">
        <f>HYPERLINK("#'Data'!A25575", "Households reporting challenges, by type of support they would like to receive broken down by urbanity on the admin of macroregion perc")</f>
        <v>Households reporting challenges, by type of support they would like to receive broken down by urbanity on the admin of macroregion perc</v>
      </c>
    </row>
    <row r="1382" spans="2:6" x14ac:dyDescent="0.35">
      <c r="B1382" t="s">
        <v>195</v>
      </c>
      <c r="C1382" t="s">
        <v>197</v>
      </c>
      <c r="D1382" t="s">
        <v>59</v>
      </c>
      <c r="E1382" s="43">
        <v>1872</v>
      </c>
      <c r="F1382" s="21" t="str">
        <f>HYPERLINK("#'Data'!A25589", "Households reporting challenges, by type of support they would like to receive broken down by household size on the admin of macroregion perc")</f>
        <v>Households reporting challenges, by type of support they would like to receive broken down by household size on the admin of macroregion perc</v>
      </c>
    </row>
    <row r="1383" spans="2:6" x14ac:dyDescent="0.35">
      <c r="B1383" t="s">
        <v>195</v>
      </c>
      <c r="C1383" t="s">
        <v>197</v>
      </c>
      <c r="D1383" t="s">
        <v>60</v>
      </c>
      <c r="E1383" s="43">
        <v>1873</v>
      </c>
      <c r="F1383" s="21" t="str">
        <f>HYPERLINK("#'Data'!A25608", "Households reporting challenges, by type of support they would like to receive broken down by income per capita (quartiles) on the admin of macroregio...")</f>
        <v>Households reporting challenges, by type of support they would like to receive broken down by income per capita (quartiles) on the admin of macroregio...</v>
      </c>
    </row>
    <row r="1384" spans="2:6" x14ac:dyDescent="0.35">
      <c r="B1384" t="s">
        <v>195</v>
      </c>
      <c r="C1384" t="s">
        <v>197</v>
      </c>
      <c r="D1384" t="s">
        <v>61</v>
      </c>
      <c r="E1384" s="43">
        <v>1874</v>
      </c>
      <c r="F1384" s="21" t="str">
        <f>HYPERLINK("#'Data'!A25632", "Households reporting challenges, by type of support they would like to receive broken down by gender of head of household on the admin of macroregion ...")</f>
        <v>Households reporting challenges, by type of support they would like to receive broken down by gender of head of household on the admin of macroregion ...</v>
      </c>
    </row>
    <row r="1385" spans="2:6" x14ac:dyDescent="0.35">
      <c r="B1385" t="s">
        <v>195</v>
      </c>
      <c r="C1385" t="s">
        <v>197</v>
      </c>
      <c r="D1385" t="s">
        <v>62</v>
      </c>
      <c r="E1385" s="43">
        <v>1875</v>
      </c>
      <c r="F1385" s="21" t="str">
        <f>HYPERLINK("#'Data'!A25652", "Households reporting challenges, by type of support they would like to receive broken down by age of adults in the households on the admin of macroreg...")</f>
        <v>Households reporting challenges, by type of support they would like to receive broken down by age of adults in the households on the admin of macroreg...</v>
      </c>
    </row>
    <row r="1386" spans="2:6" x14ac:dyDescent="0.35">
      <c r="B1386" t="s">
        <v>195</v>
      </c>
      <c r="C1386" t="s">
        <v>197</v>
      </c>
      <c r="D1386" t="s">
        <v>76</v>
      </c>
      <c r="E1386" s="43">
        <v>1876</v>
      </c>
      <c r="F1386" s="21" t="str">
        <f>HYPERLINK("#'Data'!A25671", "Households reporting challenges, by type of support they would like to receive broken down by households with at least one child (&lt;18 y.o.) on the adm...")</f>
        <v>Households reporting challenges, by type of support they would like to receive broken down by households with at least one child (&lt;18 y.o.) on the adm...</v>
      </c>
    </row>
    <row r="1387" spans="2:6" x14ac:dyDescent="0.35">
      <c r="B1387" t="s">
        <v>195</v>
      </c>
      <c r="C1387" t="s">
        <v>197</v>
      </c>
      <c r="D1387" t="s">
        <v>63</v>
      </c>
      <c r="E1387" s="43">
        <v>1877</v>
      </c>
      <c r="F1387" s="21" t="str">
        <f>HYPERLINK("#'Data'!A25685", "Households reporting challenges, by type of support they would like to receive broken down by displacement status of head of household on the admin of...")</f>
        <v>Households reporting challenges, by type of support they would like to receive broken down by displacement status of head of household on the admin of...</v>
      </c>
    </row>
    <row r="1388" spans="2:6" x14ac:dyDescent="0.35">
      <c r="B1388" t="s">
        <v>195</v>
      </c>
      <c r="C1388" t="s">
        <v>197</v>
      </c>
      <c r="D1388" t="s">
        <v>64</v>
      </c>
      <c r="E1388" s="43">
        <v>1878</v>
      </c>
      <c r="F1388" s="21" t="str">
        <f>HYPERLINK("#'Data'!A25711", "Households reporting challenges, by type of support they would like to receive broken down by IDP household on the admin of macroregion perc")</f>
        <v>Households reporting challenges, by type of support they would like to receive broken down by IDP household on the admin of macroregion perc</v>
      </c>
    </row>
    <row r="1389" spans="2:6" x14ac:dyDescent="0.35">
      <c r="B1389" t="s">
        <v>195</v>
      </c>
      <c r="C1389" t="s">
        <v>197</v>
      </c>
      <c r="D1389" t="s">
        <v>65</v>
      </c>
      <c r="E1389" s="43">
        <v>1879</v>
      </c>
      <c r="F1389" s="21" t="str">
        <f>HYPERLINK("#'Data'!A25725", "Households reporting challenges, by type of support they would like to receive broken down by proximity to frontline/border with Russian Federation on...")</f>
        <v>Households reporting challenges, by type of support they would like to receive broken down by proximity to frontline/border with Russian Federation on...</v>
      </c>
    </row>
    <row r="1390" spans="2:6" x14ac:dyDescent="0.35">
      <c r="B1390" t="s">
        <v>195</v>
      </c>
      <c r="C1390" t="s">
        <v>197</v>
      </c>
      <c r="D1390" t="s">
        <v>77</v>
      </c>
      <c r="E1390" s="43">
        <v>1880</v>
      </c>
      <c r="F1390" s="21" t="str">
        <f>HYPERLINK("#'Data'!A25740", "Households reporting challenges, by type of support they would like to receive broken down by caregiving status  on the admin of macroregion perc")</f>
        <v>Households reporting challenges, by type of support they would like to receive broken down by caregiving status  on the admin of macroregion perc</v>
      </c>
    </row>
    <row r="1391" spans="2:6" x14ac:dyDescent="0.35">
      <c r="B1391" t="s">
        <v>195</v>
      </c>
      <c r="C1391" t="s">
        <v>197</v>
      </c>
      <c r="D1391" t="s">
        <v>131</v>
      </c>
      <c r="E1391" s="43">
        <v>1881</v>
      </c>
      <c r="F1391" s="21" t="str">
        <f>HYPERLINK("#'Data'!A25762", "Households reporting challenges, by type of support they would like to receive broken down by gender of respondent on the admin of macroregion perc")</f>
        <v>Households reporting challenges, by type of support they would like to receive broken down by gender of respondent on the admin of macroregion perc</v>
      </c>
    </row>
    <row r="1392" spans="2:6" x14ac:dyDescent="0.35">
      <c r="B1392" t="s">
        <v>195</v>
      </c>
      <c r="C1392" t="s">
        <v>197</v>
      </c>
      <c r="D1392" t="s">
        <v>132</v>
      </c>
      <c r="E1392" s="43">
        <v>1882</v>
      </c>
      <c r="F1392" s="21" t="str">
        <f>HYPERLINK("#'Data'!A25777", "Households reporting challenges, by type of support they would like to receive broken down by age of respondents on the admin of macroregion perc")</f>
        <v>Households reporting challenges, by type of support they would like to receive broken down by age of respondents on the admin of macroregion perc</v>
      </c>
    </row>
    <row r="1393" spans="2:6" x14ac:dyDescent="0.35">
      <c r="B1393" t="s">
        <v>195</v>
      </c>
      <c r="C1393" t="s">
        <v>197</v>
      </c>
      <c r="D1393" t="s">
        <v>133</v>
      </c>
      <c r="E1393" s="43">
        <v>1883</v>
      </c>
      <c r="F1393" s="21" t="str">
        <f>HYPERLINK("#'Data'!A25800", "Households reporting challenges, by type of support they would like to receive broken down by gender and age of respondents on the admin of macroregio...")</f>
        <v>Households reporting challenges, by type of support they would like to receive broken down by gender and age of respondents on the admin of macroregio...</v>
      </c>
    </row>
    <row r="1394" spans="2:6" x14ac:dyDescent="0.35">
      <c r="B1394" t="s">
        <v>195</v>
      </c>
      <c r="C1394" t="s">
        <v>198</v>
      </c>
      <c r="D1394" t="s">
        <v>36</v>
      </c>
      <c r="E1394" s="43">
        <v>1884</v>
      </c>
      <c r="F1394" s="21" t="str">
        <f>HYPERLINK("#'Data'!A25842", "Households reporting challenges, by modality of assistance they would like to receive on the admin of macroregion perc")</f>
        <v>Households reporting challenges, by modality of assistance they would like to receive on the admin of macroregion perc</v>
      </c>
    </row>
    <row r="1395" spans="2:6" x14ac:dyDescent="0.35">
      <c r="B1395" t="s">
        <v>195</v>
      </c>
      <c r="C1395" t="s">
        <v>198</v>
      </c>
      <c r="D1395" t="s">
        <v>57</v>
      </c>
      <c r="E1395" s="43">
        <v>1885</v>
      </c>
      <c r="F1395" s="21" t="str">
        <f>HYPERLINK("#'Data'!A25851", "Households reporting challenges, by modality of assistance they would like to receive broken down by households with at least one member with a report...")</f>
        <v>Households reporting challenges, by modality of assistance they would like to receive broken down by households with at least one member with a report...</v>
      </c>
    </row>
    <row r="1396" spans="2:6" x14ac:dyDescent="0.35">
      <c r="B1396" t="s">
        <v>195</v>
      </c>
      <c r="C1396" t="s">
        <v>198</v>
      </c>
      <c r="D1396" t="s">
        <v>58</v>
      </c>
      <c r="E1396" s="43">
        <v>1886</v>
      </c>
      <c r="F1396" s="21" t="str">
        <f>HYPERLINK("#'Data'!A25865", "Households reporting challenges, by modality of assistance they would like to receive broken down by urbanity on the admin of macroregion perc")</f>
        <v>Households reporting challenges, by modality of assistance they would like to receive broken down by urbanity on the admin of macroregion perc</v>
      </c>
    </row>
    <row r="1397" spans="2:6" x14ac:dyDescent="0.35">
      <c r="B1397" t="s">
        <v>195</v>
      </c>
      <c r="C1397" t="s">
        <v>198</v>
      </c>
      <c r="D1397" t="s">
        <v>59</v>
      </c>
      <c r="E1397" s="43">
        <v>1887</v>
      </c>
      <c r="F1397" s="21" t="str">
        <f>HYPERLINK("#'Data'!A25879", "Households reporting challenges, by modality of assistance they would like to receive broken down by household size on the admin of macroregion perc")</f>
        <v>Households reporting challenges, by modality of assistance they would like to receive broken down by household size on the admin of macroregion perc</v>
      </c>
    </row>
    <row r="1398" spans="2:6" x14ac:dyDescent="0.35">
      <c r="B1398" t="s">
        <v>195</v>
      </c>
      <c r="C1398" t="s">
        <v>198</v>
      </c>
      <c r="D1398" t="s">
        <v>60</v>
      </c>
      <c r="E1398" s="43">
        <v>1888</v>
      </c>
      <c r="F1398" s="21" t="str">
        <f>HYPERLINK("#'Data'!A25898", "Households reporting challenges, by modality of assistance they would like to receive broken down by income per capita (quartiles) on the admin of mac...")</f>
        <v>Households reporting challenges, by modality of assistance they would like to receive broken down by income per capita (quartiles) on the admin of mac...</v>
      </c>
    </row>
    <row r="1399" spans="2:6" x14ac:dyDescent="0.35">
      <c r="B1399" t="s">
        <v>195</v>
      </c>
      <c r="C1399" t="s">
        <v>198</v>
      </c>
      <c r="D1399" t="s">
        <v>61</v>
      </c>
      <c r="E1399" s="43">
        <v>1889</v>
      </c>
      <c r="F1399" s="21" t="str">
        <f>HYPERLINK("#'Data'!A25922", "Households reporting challenges, by modality of assistance they would like to receive broken down by gender of head of household on the admin of macro...")</f>
        <v>Households reporting challenges, by modality of assistance they would like to receive broken down by gender of head of household on the admin of macro...</v>
      </c>
    </row>
    <row r="1400" spans="2:6" x14ac:dyDescent="0.35">
      <c r="B1400" t="s">
        <v>195</v>
      </c>
      <c r="C1400" t="s">
        <v>198</v>
      </c>
      <c r="D1400" t="s">
        <v>62</v>
      </c>
      <c r="E1400" s="43">
        <v>1890</v>
      </c>
      <c r="F1400" s="21" t="str">
        <f>HYPERLINK("#'Data'!A25942", "Households reporting challenges, by modality of assistance they would like to receive broken down by age of adults in the households on the admin of m...")</f>
        <v>Households reporting challenges, by modality of assistance they would like to receive broken down by age of adults in the households on the admin of m...</v>
      </c>
    </row>
    <row r="1401" spans="2:6" x14ac:dyDescent="0.35">
      <c r="B1401" t="s">
        <v>195</v>
      </c>
      <c r="C1401" t="s">
        <v>198</v>
      </c>
      <c r="D1401" t="s">
        <v>76</v>
      </c>
      <c r="E1401" s="43">
        <v>1891</v>
      </c>
      <c r="F1401" s="21" t="str">
        <f>HYPERLINK("#'Data'!A25961", "Households reporting challenges, by modality of assistance they would like to receive broken down by households with at least one child (&lt;18 y.o.) on ...")</f>
        <v>Households reporting challenges, by modality of assistance they would like to receive broken down by households with at least one child (&lt;18 y.o.) on ...</v>
      </c>
    </row>
    <row r="1402" spans="2:6" x14ac:dyDescent="0.35">
      <c r="B1402" t="s">
        <v>195</v>
      </c>
      <c r="C1402" t="s">
        <v>198</v>
      </c>
      <c r="D1402" t="s">
        <v>63</v>
      </c>
      <c r="E1402" s="43">
        <v>1892</v>
      </c>
      <c r="F1402" s="21" t="str">
        <f>HYPERLINK("#'Data'!A25975", "Households reporting challenges, by modality of assistance they would like to receive broken down by displacement status of head of household on the a...")</f>
        <v>Households reporting challenges, by modality of assistance they would like to receive broken down by displacement status of head of household on the a...</v>
      </c>
    </row>
    <row r="1403" spans="2:6" x14ac:dyDescent="0.35">
      <c r="B1403" t="s">
        <v>195</v>
      </c>
      <c r="C1403" t="s">
        <v>198</v>
      </c>
      <c r="D1403" t="s">
        <v>64</v>
      </c>
      <c r="E1403" s="43">
        <v>1893</v>
      </c>
      <c r="F1403" s="21" t="str">
        <f>HYPERLINK("#'Data'!A26001", "Households reporting challenges, by modality of assistance they would like to receive broken down by IDP household on the admin of macroregion perc")</f>
        <v>Households reporting challenges, by modality of assistance they would like to receive broken down by IDP household on the admin of macroregion perc</v>
      </c>
    </row>
    <row r="1404" spans="2:6" x14ac:dyDescent="0.35">
      <c r="B1404" t="s">
        <v>195</v>
      </c>
      <c r="C1404" t="s">
        <v>198</v>
      </c>
      <c r="D1404" t="s">
        <v>65</v>
      </c>
      <c r="E1404" s="43">
        <v>1894</v>
      </c>
      <c r="F1404" s="21" t="str">
        <f>HYPERLINK("#'Data'!A26015", "Households reporting challenges, by modality of assistance they would like to receive broken down by proximity to frontline/border with Russian Federa...")</f>
        <v>Households reporting challenges, by modality of assistance they would like to receive broken down by proximity to frontline/border with Russian Federa...</v>
      </c>
    </row>
    <row r="1405" spans="2:6" x14ac:dyDescent="0.35">
      <c r="B1405" t="s">
        <v>195</v>
      </c>
      <c r="C1405" t="s">
        <v>198</v>
      </c>
      <c r="D1405" t="s">
        <v>77</v>
      </c>
      <c r="E1405" s="43">
        <v>1895</v>
      </c>
      <c r="F1405" s="21" t="str">
        <f>HYPERLINK("#'Data'!A26030", "Households reporting challenges, by modality of assistance they would like to receive broken down by caregiving status  on the admin of macroregion pe...")</f>
        <v>Households reporting challenges, by modality of assistance they would like to receive broken down by caregiving status  on the admin of macroregion pe...</v>
      </c>
    </row>
    <row r="1406" spans="2:6" x14ac:dyDescent="0.35">
      <c r="B1406" t="s">
        <v>195</v>
      </c>
      <c r="C1406" t="s">
        <v>198</v>
      </c>
      <c r="D1406" t="s">
        <v>131</v>
      </c>
      <c r="E1406" s="43">
        <v>1896</v>
      </c>
      <c r="F1406" s="21" t="str">
        <f>HYPERLINK("#'Data'!A26052", "Households reporting challenges, by modality of assistance they would like to receive broken down by gender of respondent on the admin of macroregion ...")</f>
        <v>Households reporting challenges, by modality of assistance they would like to receive broken down by gender of respondent on the admin of macroregion ...</v>
      </c>
    </row>
    <row r="1407" spans="2:6" x14ac:dyDescent="0.35">
      <c r="B1407" t="s">
        <v>195</v>
      </c>
      <c r="C1407" t="s">
        <v>198</v>
      </c>
      <c r="D1407" t="s">
        <v>132</v>
      </c>
      <c r="E1407" s="43">
        <v>1897</v>
      </c>
      <c r="F1407" s="21" t="str">
        <f>HYPERLINK("#'Data'!A26067", "Households reporting challenges, by modality of assistance they would like to receive broken down by age of respondents on the admin of macroregion pe...")</f>
        <v>Households reporting challenges, by modality of assistance they would like to receive broken down by age of respondents on the admin of macroregion pe...</v>
      </c>
    </row>
    <row r="1408" spans="2:6" x14ac:dyDescent="0.35">
      <c r="B1408" t="s">
        <v>195</v>
      </c>
      <c r="C1408" t="s">
        <v>198</v>
      </c>
      <c r="D1408" t="s">
        <v>133</v>
      </c>
      <c r="E1408" s="43">
        <v>1898</v>
      </c>
      <c r="F1408" s="21" t="str">
        <f>HYPERLINK("#'Data'!A26090", "Households reporting challenges, by modality of assistance they would like to receive broken down by gender and age of respondents on the admin of mac...")</f>
        <v>Households reporting challenges, by modality of assistance they would like to receive broken down by gender and age of respondents on the admin of mac...</v>
      </c>
    </row>
    <row r="1409" spans="2:6" x14ac:dyDescent="0.35">
      <c r="B1409" t="s">
        <v>195</v>
      </c>
      <c r="C1409" t="s">
        <v>199</v>
      </c>
      <c r="D1409" t="s">
        <v>36</v>
      </c>
      <c r="E1409" s="43">
        <v>1899</v>
      </c>
      <c r="F1409" s="21" t="str">
        <f>HYPERLINK("#'Data'!A26131", "Households by last time aid was received on the admin of macroregion perc")</f>
        <v>Households by last time aid was received on the admin of macroregion perc</v>
      </c>
    </row>
    <row r="1410" spans="2:6" x14ac:dyDescent="0.35">
      <c r="B1410" t="s">
        <v>195</v>
      </c>
      <c r="C1410" t="s">
        <v>199</v>
      </c>
      <c r="D1410" t="s">
        <v>57</v>
      </c>
      <c r="E1410" s="43">
        <v>1900</v>
      </c>
      <c r="F1410" s="21" t="str">
        <f>HYPERLINK("#'Data'!A26140", "Households by last time aid was received broken down by households with at least one member with a reported and/or registered disability on the admin ...")</f>
        <v>Households by last time aid was received broken down by households with at least one member with a reported and/or registered disability on the admin ...</v>
      </c>
    </row>
    <row r="1411" spans="2:6" x14ac:dyDescent="0.35">
      <c r="B1411" t="s">
        <v>195</v>
      </c>
      <c r="C1411" t="s">
        <v>199</v>
      </c>
      <c r="D1411" t="s">
        <v>58</v>
      </c>
      <c r="E1411" s="43">
        <v>1901</v>
      </c>
      <c r="F1411" s="21" t="str">
        <f>HYPERLINK("#'Data'!A26154", "Households by last time aid was received broken down by urbanity on the admin of macroregion perc")</f>
        <v>Households by last time aid was received broken down by urbanity on the admin of macroregion perc</v>
      </c>
    </row>
    <row r="1412" spans="2:6" x14ac:dyDescent="0.35">
      <c r="B1412" t="s">
        <v>195</v>
      </c>
      <c r="C1412" t="s">
        <v>199</v>
      </c>
      <c r="D1412" t="s">
        <v>59</v>
      </c>
      <c r="E1412" s="43">
        <v>1902</v>
      </c>
      <c r="F1412" s="21" t="str">
        <f>HYPERLINK("#'Data'!A26168", "Households by last time aid was received broken down by household size on the admin of macroregion perc")</f>
        <v>Households by last time aid was received broken down by household size on the admin of macroregion perc</v>
      </c>
    </row>
    <row r="1413" spans="2:6" x14ac:dyDescent="0.35">
      <c r="B1413" t="s">
        <v>195</v>
      </c>
      <c r="C1413" t="s">
        <v>199</v>
      </c>
      <c r="D1413" t="s">
        <v>60</v>
      </c>
      <c r="E1413" s="43">
        <v>1903</v>
      </c>
      <c r="F1413" s="21" t="str">
        <f>HYPERLINK("#'Data'!A26187", "Households by last time aid was received broken down by income per capita (quartiles) on the admin of macroregion perc")</f>
        <v>Households by last time aid was received broken down by income per capita (quartiles) on the admin of macroregion perc</v>
      </c>
    </row>
    <row r="1414" spans="2:6" x14ac:dyDescent="0.35">
      <c r="B1414" t="s">
        <v>195</v>
      </c>
      <c r="C1414" t="s">
        <v>199</v>
      </c>
      <c r="D1414" t="s">
        <v>61</v>
      </c>
      <c r="E1414" s="43">
        <v>1904</v>
      </c>
      <c r="F1414" s="21" t="str">
        <f>HYPERLINK("#'Data'!A26211", "Households by last time aid was received broken down by gender of head of household on the admin of macroregion perc")</f>
        <v>Households by last time aid was received broken down by gender of head of household on the admin of macroregion perc</v>
      </c>
    </row>
    <row r="1415" spans="2:6" x14ac:dyDescent="0.35">
      <c r="B1415" t="s">
        <v>195</v>
      </c>
      <c r="C1415" t="s">
        <v>199</v>
      </c>
      <c r="D1415" t="s">
        <v>62</v>
      </c>
      <c r="E1415" s="43">
        <v>1905</v>
      </c>
      <c r="F1415" s="21" t="str">
        <f>HYPERLINK("#'Data'!A26231", "Households by last time aid was received broken down by age of adults in the households on the admin of macroregion perc")</f>
        <v>Households by last time aid was received broken down by age of adults in the households on the admin of macroregion perc</v>
      </c>
    </row>
    <row r="1416" spans="2:6" x14ac:dyDescent="0.35">
      <c r="B1416" t="s">
        <v>195</v>
      </c>
      <c r="C1416" t="s">
        <v>199</v>
      </c>
      <c r="D1416" t="s">
        <v>76</v>
      </c>
      <c r="E1416" s="43">
        <v>1906</v>
      </c>
      <c r="F1416" s="21" t="str">
        <f>HYPERLINK("#'Data'!A26250", "Households by last time aid was received broken down by households with at least one child (&lt;18 y.o.) on the admin of macroregion perc")</f>
        <v>Households by last time aid was received broken down by households with at least one child (&lt;18 y.o.) on the admin of macroregion perc</v>
      </c>
    </row>
    <row r="1417" spans="2:6" x14ac:dyDescent="0.35">
      <c r="B1417" t="s">
        <v>195</v>
      </c>
      <c r="C1417" t="s">
        <v>199</v>
      </c>
      <c r="D1417" t="s">
        <v>63</v>
      </c>
      <c r="E1417" s="43">
        <v>1907</v>
      </c>
      <c r="F1417" s="21" t="str">
        <f>HYPERLINK("#'Data'!A26264", "Households by last time aid was received broken down by displacement status of head of household on the admin of macroregion perc")</f>
        <v>Households by last time aid was received broken down by displacement status of head of household on the admin of macroregion perc</v>
      </c>
    </row>
    <row r="1418" spans="2:6" x14ac:dyDescent="0.35">
      <c r="B1418" t="s">
        <v>195</v>
      </c>
      <c r="C1418" t="s">
        <v>199</v>
      </c>
      <c r="D1418" t="s">
        <v>64</v>
      </c>
      <c r="E1418" s="43">
        <v>1908</v>
      </c>
      <c r="F1418" s="21" t="str">
        <f>HYPERLINK("#'Data'!A26291", "Households by last time aid was received broken down by IDP household on the admin of macroregion perc")</f>
        <v>Households by last time aid was received broken down by IDP household on the admin of macroregion perc</v>
      </c>
    </row>
    <row r="1419" spans="2:6" x14ac:dyDescent="0.35">
      <c r="B1419" t="s">
        <v>195</v>
      </c>
      <c r="C1419" t="s">
        <v>199</v>
      </c>
      <c r="D1419" t="s">
        <v>65</v>
      </c>
      <c r="E1419" s="43">
        <v>1909</v>
      </c>
      <c r="F1419" s="21" t="str">
        <f>HYPERLINK("#'Data'!A26305", "Households by last time aid was received broken down by proximity to frontline/border with Russian Federation on the admin of macroregion perc")</f>
        <v>Households by last time aid was received broken down by proximity to frontline/border with Russian Federation on the admin of macroregion perc</v>
      </c>
    </row>
    <row r="1420" spans="2:6" x14ac:dyDescent="0.35">
      <c r="B1420" t="s">
        <v>195</v>
      </c>
      <c r="C1420" t="s">
        <v>199</v>
      </c>
      <c r="D1420" t="s">
        <v>77</v>
      </c>
      <c r="E1420" s="43">
        <v>1910</v>
      </c>
      <c r="F1420" s="21" t="str">
        <f>HYPERLINK("#'Data'!A26320", "Households by last time aid was received broken down by caregiving status  on the admin of macroregion perc")</f>
        <v>Households by last time aid was received broken down by caregiving status  on the admin of macroregion perc</v>
      </c>
    </row>
    <row r="1421" spans="2:6" x14ac:dyDescent="0.35">
      <c r="B1421" t="s">
        <v>195</v>
      </c>
      <c r="C1421" t="s">
        <v>199</v>
      </c>
      <c r="D1421" t="s">
        <v>131</v>
      </c>
      <c r="E1421" s="43">
        <v>1911</v>
      </c>
      <c r="F1421" s="21" t="str">
        <f>HYPERLINK("#'Data'!A26342", "Households by last time aid was received broken down by gender of respondent on the admin of macroregion perc")</f>
        <v>Households by last time aid was received broken down by gender of respondent on the admin of macroregion perc</v>
      </c>
    </row>
    <row r="1422" spans="2:6" x14ac:dyDescent="0.35">
      <c r="B1422" t="s">
        <v>195</v>
      </c>
      <c r="C1422" t="s">
        <v>199</v>
      </c>
      <c r="D1422" t="s">
        <v>132</v>
      </c>
      <c r="E1422" s="43">
        <v>1912</v>
      </c>
      <c r="F1422" s="21" t="str">
        <f>HYPERLINK("#'Data'!A26358", "Households by last time aid was received broken down by age of respondents on the admin of macroregion perc")</f>
        <v>Households by last time aid was received broken down by age of respondents on the admin of macroregion perc</v>
      </c>
    </row>
    <row r="1423" spans="2:6" x14ac:dyDescent="0.35">
      <c r="B1423" t="s">
        <v>195</v>
      </c>
      <c r="C1423" t="s">
        <v>199</v>
      </c>
      <c r="D1423" t="s">
        <v>133</v>
      </c>
      <c r="E1423" s="43">
        <v>1913</v>
      </c>
      <c r="F1423" s="21" t="str">
        <f>HYPERLINK("#'Data'!A26382", "Households by last time aid was received broken down by gender and age of respondents on the admin of macroregion perc")</f>
        <v>Households by last time aid was received broken down by gender and age of respondents on the admin of macroregion perc</v>
      </c>
    </row>
    <row r="1424" spans="2:6" x14ac:dyDescent="0.35">
      <c r="B1424" t="s">
        <v>195</v>
      </c>
      <c r="C1424" t="s">
        <v>200</v>
      </c>
      <c r="D1424" t="s">
        <v>36</v>
      </c>
      <c r="E1424" s="43">
        <v>1914</v>
      </c>
      <c r="F1424" s="21" t="str">
        <f>HYPERLINK("#'Data'!A26428", "Households reporting barriers in accessing to aid in the past 12 months, by barrier on the admin of macroregion perc")</f>
        <v>Households reporting barriers in accessing to aid in the past 12 months, by barrier on the admin of macroregion perc</v>
      </c>
    </row>
    <row r="1425" spans="2:6" x14ac:dyDescent="0.35">
      <c r="B1425" t="s">
        <v>195</v>
      </c>
      <c r="C1425" t="s">
        <v>200</v>
      </c>
      <c r="D1425" t="s">
        <v>57</v>
      </c>
      <c r="E1425" s="43">
        <v>1915</v>
      </c>
      <c r="F1425" s="21" t="str">
        <f>HYPERLINK("#'Data'!A26437", "Households reporting barriers in accessing to aid in the past 12 months, by barrier broken down by households with at least one member with a reported...")</f>
        <v>Households reporting barriers in accessing to aid in the past 12 months, by barrier broken down by households with at least one member with a reported...</v>
      </c>
    </row>
    <row r="1426" spans="2:6" x14ac:dyDescent="0.35">
      <c r="B1426" t="s">
        <v>195</v>
      </c>
      <c r="C1426" t="s">
        <v>200</v>
      </c>
      <c r="D1426" t="s">
        <v>58</v>
      </c>
      <c r="E1426" s="43">
        <v>1916</v>
      </c>
      <c r="F1426" s="21" t="str">
        <f>HYPERLINK("#'Data'!A26451", "Households reporting barriers in accessing to aid in the past 12 months, by barrier broken down by urbanity on the admin of macroregion perc")</f>
        <v>Households reporting barriers in accessing to aid in the past 12 months, by barrier broken down by urbanity on the admin of macroregion perc</v>
      </c>
    </row>
    <row r="1427" spans="2:6" x14ac:dyDescent="0.35">
      <c r="B1427" t="s">
        <v>195</v>
      </c>
      <c r="C1427" t="s">
        <v>200</v>
      </c>
      <c r="D1427" t="s">
        <v>59</v>
      </c>
      <c r="E1427" s="43">
        <v>1917</v>
      </c>
      <c r="F1427" s="21" t="str">
        <f>HYPERLINK("#'Data'!A26465", "Households reporting barriers in accessing to aid in the past 12 months, by barrier broken down by household size on the admin of macroregion perc")</f>
        <v>Households reporting barriers in accessing to aid in the past 12 months, by barrier broken down by household size on the admin of macroregion perc</v>
      </c>
    </row>
    <row r="1428" spans="2:6" x14ac:dyDescent="0.35">
      <c r="B1428" t="s">
        <v>195</v>
      </c>
      <c r="C1428" t="s">
        <v>200</v>
      </c>
      <c r="D1428" t="s">
        <v>60</v>
      </c>
      <c r="E1428" s="43">
        <v>1918</v>
      </c>
      <c r="F1428" s="21" t="str">
        <f>HYPERLINK("#'Data'!A26484", "Households reporting barriers in accessing to aid in the past 12 months, by barrier broken down by income per capita (quartiles) on the admin of macro...")</f>
        <v>Households reporting barriers in accessing to aid in the past 12 months, by barrier broken down by income per capita (quartiles) on the admin of macro...</v>
      </c>
    </row>
    <row r="1429" spans="2:6" x14ac:dyDescent="0.35">
      <c r="B1429" t="s">
        <v>195</v>
      </c>
      <c r="C1429" t="s">
        <v>200</v>
      </c>
      <c r="D1429" t="s">
        <v>61</v>
      </c>
      <c r="E1429" s="43">
        <v>1919</v>
      </c>
      <c r="F1429" s="21" t="str">
        <f>HYPERLINK("#'Data'!A26508", "Households reporting barriers in accessing to aid in the past 12 months, by barrier broken down by gender of head of household on the admin of macrore...")</f>
        <v>Households reporting barriers in accessing to aid in the past 12 months, by barrier broken down by gender of head of household on the admin of macrore...</v>
      </c>
    </row>
    <row r="1430" spans="2:6" x14ac:dyDescent="0.35">
      <c r="B1430" t="s">
        <v>195</v>
      </c>
      <c r="C1430" t="s">
        <v>200</v>
      </c>
      <c r="D1430" t="s">
        <v>62</v>
      </c>
      <c r="E1430" s="43">
        <v>1920</v>
      </c>
      <c r="F1430" s="21" t="str">
        <f>HYPERLINK("#'Data'!A26528", "Households reporting barriers in accessing to aid in the past 12 months, by barrier broken down by age of adults in the households on the admin of mac...")</f>
        <v>Households reporting barriers in accessing to aid in the past 12 months, by barrier broken down by age of adults in the households on the admin of mac...</v>
      </c>
    </row>
    <row r="1431" spans="2:6" x14ac:dyDescent="0.35">
      <c r="B1431" t="s">
        <v>195</v>
      </c>
      <c r="C1431" t="s">
        <v>200</v>
      </c>
      <c r="D1431" t="s">
        <v>76</v>
      </c>
      <c r="E1431" s="43">
        <v>1921</v>
      </c>
      <c r="F1431" s="21" t="str">
        <f>HYPERLINK("#'Data'!A26547", "Households reporting barriers in accessing to aid in the past 12 months, by barrier broken down by households with at least one child (&lt;18 y.o.) on th...")</f>
        <v>Households reporting barriers in accessing to aid in the past 12 months, by barrier broken down by households with at least one child (&lt;18 y.o.) on th...</v>
      </c>
    </row>
    <row r="1432" spans="2:6" x14ac:dyDescent="0.35">
      <c r="B1432" t="s">
        <v>195</v>
      </c>
      <c r="C1432" t="s">
        <v>200</v>
      </c>
      <c r="D1432" t="s">
        <v>63</v>
      </c>
      <c r="E1432" s="43">
        <v>1922</v>
      </c>
      <c r="F1432" s="21" t="str">
        <f>HYPERLINK("#'Data'!A26561", "Households reporting barriers in accessing to aid in the past 12 months, by barrier broken down by displacement status of head of household on the adm...")</f>
        <v>Households reporting barriers in accessing to aid in the past 12 months, by barrier broken down by displacement status of head of household on the adm...</v>
      </c>
    </row>
    <row r="1433" spans="2:6" x14ac:dyDescent="0.35">
      <c r="B1433" t="s">
        <v>195</v>
      </c>
      <c r="C1433" t="s">
        <v>200</v>
      </c>
      <c r="D1433" t="s">
        <v>64</v>
      </c>
      <c r="E1433" s="43">
        <v>1923</v>
      </c>
      <c r="F1433" s="21" t="str">
        <f>HYPERLINK("#'Data'!A26588", "Households reporting barriers in accessing to aid in the past 12 months, by barrier broken down by IDP household on the admin of macroregion perc")</f>
        <v>Households reporting barriers in accessing to aid in the past 12 months, by barrier broken down by IDP household on the admin of macroregion perc</v>
      </c>
    </row>
    <row r="1434" spans="2:6" x14ac:dyDescent="0.35">
      <c r="B1434" t="s">
        <v>195</v>
      </c>
      <c r="C1434" t="s">
        <v>200</v>
      </c>
      <c r="D1434" t="s">
        <v>65</v>
      </c>
      <c r="E1434" s="43">
        <v>1924</v>
      </c>
      <c r="F1434" s="21" t="str">
        <f>HYPERLINK("#'Data'!A26602", "Households reporting barriers in accessing to aid in the past 12 months, by barrier broken down by proximity to frontline/border with Russian Federati...")</f>
        <v>Households reporting barriers in accessing to aid in the past 12 months, by barrier broken down by proximity to frontline/border with Russian Federati...</v>
      </c>
    </row>
    <row r="1435" spans="2:6" x14ac:dyDescent="0.35">
      <c r="B1435" t="s">
        <v>195</v>
      </c>
      <c r="C1435" t="s">
        <v>200</v>
      </c>
      <c r="D1435" t="s">
        <v>77</v>
      </c>
      <c r="E1435" s="43">
        <v>1925</v>
      </c>
      <c r="F1435" s="21" t="str">
        <f>HYPERLINK("#'Data'!A26617", "Households reporting barriers in accessing to aid in the past 12 months, by barrier broken down by caregiving status  on the admin of macroregion perc")</f>
        <v>Households reporting barriers in accessing to aid in the past 12 months, by barrier broken down by caregiving status  on the admin of macroregion perc</v>
      </c>
    </row>
    <row r="1436" spans="2:6" x14ac:dyDescent="0.35">
      <c r="B1436" t="s">
        <v>195</v>
      </c>
      <c r="C1436" t="s">
        <v>200</v>
      </c>
      <c r="D1436" t="s">
        <v>131</v>
      </c>
      <c r="E1436" s="43">
        <v>1926</v>
      </c>
      <c r="F1436" s="21" t="str">
        <f>HYPERLINK("#'Data'!A26639", "Households reporting barriers in accessing to aid in the past 12 months, by barrier broken down by gender of respondent on the admin of macroregion pe...")</f>
        <v>Households reporting barriers in accessing to aid in the past 12 months, by barrier broken down by gender of respondent on the admin of macroregion pe...</v>
      </c>
    </row>
    <row r="1437" spans="2:6" x14ac:dyDescent="0.35">
      <c r="B1437" t="s">
        <v>195</v>
      </c>
      <c r="C1437" t="s">
        <v>200</v>
      </c>
      <c r="D1437" t="s">
        <v>132</v>
      </c>
      <c r="E1437" s="43">
        <v>1927</v>
      </c>
      <c r="F1437" s="21" t="str">
        <f>HYPERLINK("#'Data'!A26655", "Households reporting barriers in accessing to aid in the past 12 months, by barrier broken down by age of respondents on the admin of macroregion perc")</f>
        <v>Households reporting barriers in accessing to aid in the past 12 months, by barrier broken down by age of respondents on the admin of macroregion perc</v>
      </c>
    </row>
    <row r="1438" spans="2:6" x14ac:dyDescent="0.35">
      <c r="B1438" t="s">
        <v>195</v>
      </c>
      <c r="C1438" t="s">
        <v>200</v>
      </c>
      <c r="D1438" t="s">
        <v>133</v>
      </c>
      <c r="E1438" s="43">
        <v>1928</v>
      </c>
      <c r="F1438" s="21" t="str">
        <f>HYPERLINK("#'Data'!A26679", "Households reporting barriers in accessing to aid in the past 12 months, by barrier broken down by gender and age of respondents on the admin of macro...")</f>
        <v>Households reporting barriers in accessing to aid in the past 12 months, by barrier broken down by gender and age of respondents on the admin of macro...</v>
      </c>
    </row>
    <row r="1439" spans="2:6" x14ac:dyDescent="0.35">
      <c r="B1439" t="s">
        <v>195</v>
      </c>
      <c r="C1439" t="s">
        <v>201</v>
      </c>
      <c r="D1439" t="s">
        <v>36</v>
      </c>
      <c r="E1439" s="43">
        <v>1929</v>
      </c>
      <c r="F1439" s="21" t="str">
        <f>HYPERLINK("#'Data'!A26725", "Households who received aid, by aid satisfaction in the past 12 months on the admin of macroregion perc")</f>
        <v>Households who received aid, by aid satisfaction in the past 12 months on the admin of macroregion perc</v>
      </c>
    </row>
    <row r="1440" spans="2:6" x14ac:dyDescent="0.35">
      <c r="B1440" t="s">
        <v>195</v>
      </c>
      <c r="C1440" t="s">
        <v>201</v>
      </c>
      <c r="D1440" t="s">
        <v>57</v>
      </c>
      <c r="E1440" s="43">
        <v>1930</v>
      </c>
      <c r="F1440" s="21" t="str">
        <f>HYPERLINK("#'Data'!A26734", "Households who received aid, by aid satisfaction in the past 12 months broken down by households with at least one member with a reported and/or regis...")</f>
        <v>Households who received aid, by aid satisfaction in the past 12 months broken down by households with at least one member with a reported and/or regis...</v>
      </c>
    </row>
    <row r="1441" spans="2:6" x14ac:dyDescent="0.35">
      <c r="B1441" t="s">
        <v>195</v>
      </c>
      <c r="C1441" t="s">
        <v>201</v>
      </c>
      <c r="D1441" t="s">
        <v>58</v>
      </c>
      <c r="E1441" s="43">
        <v>1931</v>
      </c>
      <c r="F1441" s="21" t="str">
        <f>HYPERLINK("#'Data'!A26748", "Households who received aid, by aid satisfaction in the past 12 months broken down by urbanity on the admin of macroregion perc")</f>
        <v>Households who received aid, by aid satisfaction in the past 12 months broken down by urbanity on the admin of macroregion perc</v>
      </c>
    </row>
    <row r="1442" spans="2:6" x14ac:dyDescent="0.35">
      <c r="B1442" t="s">
        <v>195</v>
      </c>
      <c r="C1442" t="s">
        <v>201</v>
      </c>
      <c r="D1442" t="s">
        <v>59</v>
      </c>
      <c r="E1442" s="43">
        <v>1932</v>
      </c>
      <c r="F1442" s="21" t="str">
        <f>HYPERLINK("#'Data'!A26762", "Households who received aid, by aid satisfaction in the past 12 months broken down by household size on the admin of macroregion perc")</f>
        <v>Households who received aid, by aid satisfaction in the past 12 months broken down by household size on the admin of macroregion perc</v>
      </c>
    </row>
    <row r="1443" spans="2:6" x14ac:dyDescent="0.35">
      <c r="B1443" t="s">
        <v>195</v>
      </c>
      <c r="C1443" t="s">
        <v>201</v>
      </c>
      <c r="D1443" t="s">
        <v>60</v>
      </c>
      <c r="E1443" s="43">
        <v>1933</v>
      </c>
      <c r="F1443" s="21" t="str">
        <f>HYPERLINK("#'Data'!A26781", "Households who received aid, by aid satisfaction in the past 12 months broken down by income per capita (quartiles) on the admin of macroregion perc")</f>
        <v>Households who received aid, by aid satisfaction in the past 12 months broken down by income per capita (quartiles) on the admin of macroregion perc</v>
      </c>
    </row>
    <row r="1444" spans="2:6" x14ac:dyDescent="0.35">
      <c r="B1444" t="s">
        <v>195</v>
      </c>
      <c r="C1444" t="s">
        <v>201</v>
      </c>
      <c r="D1444" t="s">
        <v>61</v>
      </c>
      <c r="E1444" s="43">
        <v>1934</v>
      </c>
      <c r="F1444" s="21" t="str">
        <f>HYPERLINK("#'Data'!A26805", "Households who received aid, by aid satisfaction in the past 12 months broken down by gender of head of household on the admin of macroregion perc")</f>
        <v>Households who received aid, by aid satisfaction in the past 12 months broken down by gender of head of household on the admin of macroregion perc</v>
      </c>
    </row>
    <row r="1445" spans="2:6" x14ac:dyDescent="0.35">
      <c r="B1445" t="s">
        <v>195</v>
      </c>
      <c r="C1445" t="s">
        <v>201</v>
      </c>
      <c r="D1445" t="s">
        <v>62</v>
      </c>
      <c r="E1445" s="43">
        <v>1935</v>
      </c>
      <c r="F1445" s="21" t="str">
        <f>HYPERLINK("#'Data'!A26825", "Households who received aid, by aid satisfaction in the past 12 months broken down by age of adults in the households on the admin of macroregion perc")</f>
        <v>Households who received aid, by aid satisfaction in the past 12 months broken down by age of adults in the households on the admin of macroregion perc</v>
      </c>
    </row>
    <row r="1446" spans="2:6" x14ac:dyDescent="0.35">
      <c r="B1446" t="s">
        <v>195</v>
      </c>
      <c r="C1446" t="s">
        <v>201</v>
      </c>
      <c r="D1446" t="s">
        <v>76</v>
      </c>
      <c r="E1446" s="43">
        <v>1936</v>
      </c>
      <c r="F1446" s="21" t="str">
        <f>HYPERLINK("#'Data'!A26844", "Households who received aid, by aid satisfaction in the past 12 months broken down by households with at least one child (&lt;18 y.o.) on the admin of ma...")</f>
        <v>Households who received aid, by aid satisfaction in the past 12 months broken down by households with at least one child (&lt;18 y.o.) on the admin of ma...</v>
      </c>
    </row>
    <row r="1447" spans="2:6" x14ac:dyDescent="0.35">
      <c r="B1447" t="s">
        <v>195</v>
      </c>
      <c r="C1447" t="s">
        <v>201</v>
      </c>
      <c r="D1447" t="s">
        <v>63</v>
      </c>
      <c r="E1447" s="43">
        <v>1937</v>
      </c>
      <c r="F1447" s="21" t="str">
        <f>HYPERLINK("#'Data'!A26858", "Households who received aid, by aid satisfaction in the past 12 months broken down by displacement status of head of household on the admin of macrore...")</f>
        <v>Households who received aid, by aid satisfaction in the past 12 months broken down by displacement status of head of household on the admin of macrore...</v>
      </c>
    </row>
    <row r="1448" spans="2:6" x14ac:dyDescent="0.35">
      <c r="B1448" t="s">
        <v>195</v>
      </c>
      <c r="C1448" t="s">
        <v>201</v>
      </c>
      <c r="D1448" t="s">
        <v>64</v>
      </c>
      <c r="E1448" s="43">
        <v>1938</v>
      </c>
      <c r="F1448" s="21" t="str">
        <f>HYPERLINK("#'Data'!A26881", "Households who received aid, by aid satisfaction in the past 12 months broken down by IDP household on the admin of macroregion perc")</f>
        <v>Households who received aid, by aid satisfaction in the past 12 months broken down by IDP household on the admin of macroregion perc</v>
      </c>
    </row>
    <row r="1449" spans="2:6" x14ac:dyDescent="0.35">
      <c r="B1449" t="s">
        <v>195</v>
      </c>
      <c r="C1449" t="s">
        <v>201</v>
      </c>
      <c r="D1449" t="s">
        <v>65</v>
      </c>
      <c r="E1449" s="43">
        <v>1939</v>
      </c>
      <c r="F1449" s="21" t="str">
        <f>HYPERLINK("#'Data'!A26895", "Households who received aid, by aid satisfaction in the past 12 months broken down by proximity to frontline/border with Russian Federation on the adm...")</f>
        <v>Households who received aid, by aid satisfaction in the past 12 months broken down by proximity to frontline/border with Russian Federation on the adm...</v>
      </c>
    </row>
    <row r="1450" spans="2:6" x14ac:dyDescent="0.35">
      <c r="B1450" t="s">
        <v>195</v>
      </c>
      <c r="C1450" t="s">
        <v>201</v>
      </c>
      <c r="D1450" t="s">
        <v>77</v>
      </c>
      <c r="E1450" s="43">
        <v>1940</v>
      </c>
      <c r="F1450" s="21" t="str">
        <f>HYPERLINK("#'Data'!A26910", "Households who received aid, by aid satisfaction in the past 12 months broken down by caregiving status  on the admin of macroregion perc")</f>
        <v>Households who received aid, by aid satisfaction in the past 12 months broken down by caregiving status  on the admin of macroregion perc</v>
      </c>
    </row>
    <row r="1451" spans="2:6" x14ac:dyDescent="0.35">
      <c r="B1451" t="s">
        <v>195</v>
      </c>
      <c r="C1451" t="s">
        <v>201</v>
      </c>
      <c r="D1451" t="s">
        <v>131</v>
      </c>
      <c r="E1451" s="43">
        <v>1941</v>
      </c>
      <c r="F1451" s="21" t="str">
        <f>HYPERLINK("#'Data'!A26932", "Households who received aid, by aid satisfaction in the past 12 months broken down by gender of respondent on the admin of macroregion perc")</f>
        <v>Households who received aid, by aid satisfaction in the past 12 months broken down by gender of respondent on the admin of macroregion perc</v>
      </c>
    </row>
    <row r="1452" spans="2:6" x14ac:dyDescent="0.35">
      <c r="B1452" t="s">
        <v>195</v>
      </c>
      <c r="C1452" t="s">
        <v>201</v>
      </c>
      <c r="D1452" t="s">
        <v>132</v>
      </c>
      <c r="E1452" s="43">
        <v>1942</v>
      </c>
      <c r="F1452" s="21" t="str">
        <f>HYPERLINK("#'Data'!A26947", "Households who received aid, by aid satisfaction in the past 12 months broken down by age of respondents on the admin of macroregion perc")</f>
        <v>Households who received aid, by aid satisfaction in the past 12 months broken down by age of respondents on the admin of macroregion perc</v>
      </c>
    </row>
    <row r="1453" spans="2:6" x14ac:dyDescent="0.35">
      <c r="B1453" t="s">
        <v>195</v>
      </c>
      <c r="C1453" t="s">
        <v>201</v>
      </c>
      <c r="D1453" t="s">
        <v>133</v>
      </c>
      <c r="E1453" s="43">
        <v>1943</v>
      </c>
      <c r="F1453" s="21" t="str">
        <f>HYPERLINK("#'Data'!A26969", "Households who received aid, by aid satisfaction in the past 12 months broken down by gender and age of respondents on the admin of macroregion perc")</f>
        <v>Households who received aid, by aid satisfaction in the past 12 months broken down by gender and age of respondents on the admin of macroregion perc</v>
      </c>
    </row>
    <row r="1454" spans="2:6" x14ac:dyDescent="0.35">
      <c r="B1454" t="s">
        <v>195</v>
      </c>
      <c r="C1454" t="s">
        <v>202</v>
      </c>
      <c r="D1454" t="s">
        <v>36</v>
      </c>
      <c r="E1454" s="43">
        <v>1944</v>
      </c>
      <c r="F1454" s="21" t="str">
        <f>HYPERLINK("#'Data'!A27010", "Households dissatisfied with aid received, by reason on the admin of macroregion perc")</f>
        <v>Households dissatisfied with aid received, by reason on the admin of macroregion perc</v>
      </c>
    </row>
    <row r="1455" spans="2:6" x14ac:dyDescent="0.35">
      <c r="B1455" t="s">
        <v>195</v>
      </c>
      <c r="C1455" t="s">
        <v>202</v>
      </c>
      <c r="D1455" t="s">
        <v>57</v>
      </c>
      <c r="E1455" s="43">
        <v>1945</v>
      </c>
      <c r="F1455" s="21" t="str">
        <f>HYPERLINK("#'Data'!A27019", "Households dissatisfied with aid received, by reason broken down by households with at least one member with a reported and/or registered disability o...")</f>
        <v>Households dissatisfied with aid received, by reason broken down by households with at least one member with a reported and/or registered disability o...</v>
      </c>
    </row>
    <row r="1456" spans="2:6" x14ac:dyDescent="0.35">
      <c r="B1456" t="s">
        <v>195</v>
      </c>
      <c r="C1456" t="s">
        <v>202</v>
      </c>
      <c r="D1456" t="s">
        <v>58</v>
      </c>
      <c r="E1456" s="43">
        <v>1946</v>
      </c>
      <c r="F1456" s="21" t="str">
        <f>HYPERLINK("#'Data'!A27033", "Households dissatisfied with aid received, by reason broken down by urbanity on the admin of macroregion perc")</f>
        <v>Households dissatisfied with aid received, by reason broken down by urbanity on the admin of macroregion perc</v>
      </c>
    </row>
    <row r="1457" spans="2:6" x14ac:dyDescent="0.35">
      <c r="B1457" t="s">
        <v>195</v>
      </c>
      <c r="C1457" t="s">
        <v>202</v>
      </c>
      <c r="D1457" t="s">
        <v>59</v>
      </c>
      <c r="E1457" s="43">
        <v>1947</v>
      </c>
      <c r="F1457" s="21" t="str">
        <f>HYPERLINK("#'Data'!A27046", "Households dissatisfied with aid received, by reason broken down by household size on the admin of macroregion perc")</f>
        <v>Households dissatisfied with aid received, by reason broken down by household size on the admin of macroregion perc</v>
      </c>
    </row>
    <row r="1458" spans="2:6" x14ac:dyDescent="0.35">
      <c r="B1458" t="s">
        <v>195</v>
      </c>
      <c r="C1458" t="s">
        <v>202</v>
      </c>
      <c r="D1458" t="s">
        <v>60</v>
      </c>
      <c r="E1458" s="43">
        <v>1948</v>
      </c>
      <c r="F1458" s="21" t="str">
        <f>HYPERLINK("#'Data'!A27062", "Households dissatisfied with aid received, by reason broken down by income per capita (quartiles) on the admin of macroregion perc")</f>
        <v>Households dissatisfied with aid received, by reason broken down by income per capita (quartiles) on the admin of macroregion perc</v>
      </c>
    </row>
    <row r="1459" spans="2:6" x14ac:dyDescent="0.35">
      <c r="B1459" t="s">
        <v>195</v>
      </c>
      <c r="C1459" t="s">
        <v>202</v>
      </c>
      <c r="D1459" t="s">
        <v>61</v>
      </c>
      <c r="E1459" s="43">
        <v>1949</v>
      </c>
      <c r="F1459" s="21" t="str">
        <f>HYPERLINK("#'Data'!A27084", "Households dissatisfied with aid received, by reason broken down by gender of head of household on the admin of macroregion perc")</f>
        <v>Households dissatisfied with aid received, by reason broken down by gender of head of household on the admin of macroregion perc</v>
      </c>
    </row>
    <row r="1460" spans="2:6" x14ac:dyDescent="0.35">
      <c r="B1460" t="s">
        <v>195</v>
      </c>
      <c r="C1460" t="s">
        <v>202</v>
      </c>
      <c r="D1460" t="s">
        <v>62</v>
      </c>
      <c r="E1460" s="43">
        <v>1950</v>
      </c>
      <c r="F1460" s="21" t="str">
        <f>HYPERLINK("#'Data'!A27102", "Households dissatisfied with aid received, by reason broken down by age of adults in the households on the admin of macroregion perc")</f>
        <v>Households dissatisfied with aid received, by reason broken down by age of adults in the households on the admin of macroregion perc</v>
      </c>
    </row>
    <row r="1461" spans="2:6" x14ac:dyDescent="0.35">
      <c r="B1461" t="s">
        <v>195</v>
      </c>
      <c r="C1461" t="s">
        <v>202</v>
      </c>
      <c r="D1461" t="s">
        <v>76</v>
      </c>
      <c r="E1461" s="43">
        <v>1951</v>
      </c>
      <c r="F1461" s="21" t="str">
        <f>HYPERLINK("#'Data'!A27119", "Households dissatisfied with aid received, by reason broken down by households with at least one child (&lt;18 y.o.) on the admin of macroregion perc")</f>
        <v>Households dissatisfied with aid received, by reason broken down by households with at least one child (&lt;18 y.o.) on the admin of macroregion perc</v>
      </c>
    </row>
    <row r="1462" spans="2:6" x14ac:dyDescent="0.35">
      <c r="B1462" t="s">
        <v>195</v>
      </c>
      <c r="C1462" t="s">
        <v>202</v>
      </c>
      <c r="D1462" t="s">
        <v>63</v>
      </c>
      <c r="E1462" s="43">
        <v>1952</v>
      </c>
      <c r="F1462" s="21" t="str">
        <f>HYPERLINK("#'Data'!A27133", "Households dissatisfied with aid received, by reason broken down by displacement status of head of household on the admin of macroregion perc")</f>
        <v>Households dissatisfied with aid received, by reason broken down by displacement status of head of household on the admin of macroregion perc</v>
      </c>
    </row>
    <row r="1463" spans="2:6" x14ac:dyDescent="0.35">
      <c r="B1463" t="s">
        <v>195</v>
      </c>
      <c r="C1463" t="s">
        <v>202</v>
      </c>
      <c r="D1463" t="s">
        <v>64</v>
      </c>
      <c r="E1463" s="43">
        <v>1953</v>
      </c>
      <c r="F1463" s="21" t="str">
        <f>HYPERLINK("#'Data'!A27149", "Households dissatisfied with aid received, by reason broken down by IDP household on the admin of macroregion perc")</f>
        <v>Households dissatisfied with aid received, by reason broken down by IDP household on the admin of macroregion perc</v>
      </c>
    </row>
    <row r="1464" spans="2:6" x14ac:dyDescent="0.35">
      <c r="B1464" t="s">
        <v>195</v>
      </c>
      <c r="C1464" t="s">
        <v>202</v>
      </c>
      <c r="D1464" t="s">
        <v>65</v>
      </c>
      <c r="E1464" s="43">
        <v>1954</v>
      </c>
      <c r="F1464" s="21" t="str">
        <f>HYPERLINK("#'Data'!A27162", "Households dissatisfied with aid received, by reason broken down by proximity to frontline/border with Russian Federation on the admin of macroregion ...")</f>
        <v>Households dissatisfied with aid received, by reason broken down by proximity to frontline/border with Russian Federation on the admin of macroregion ...</v>
      </c>
    </row>
    <row r="1465" spans="2:6" x14ac:dyDescent="0.35">
      <c r="B1465" t="s">
        <v>195</v>
      </c>
      <c r="C1465" t="s">
        <v>202</v>
      </c>
      <c r="D1465" t="s">
        <v>77</v>
      </c>
      <c r="E1465" s="43">
        <v>1955</v>
      </c>
      <c r="F1465" s="21" t="str">
        <f>HYPERLINK("#'Data'!A27176", "Households dissatisfied with aid received, by reason broken down by caregiving status  on the admin of macroregion perc")</f>
        <v>Households dissatisfied with aid received, by reason broken down by caregiving status  on the admin of macroregion perc</v>
      </c>
    </row>
    <row r="1466" spans="2:6" x14ac:dyDescent="0.35">
      <c r="B1466" t="s">
        <v>195</v>
      </c>
      <c r="C1466" t="s">
        <v>202</v>
      </c>
      <c r="D1466" t="s">
        <v>131</v>
      </c>
      <c r="E1466" s="43">
        <v>1956</v>
      </c>
      <c r="F1466" s="21" t="str">
        <f>HYPERLINK("#'Data'!A27193", "Households dissatisfied with aid received, by reason broken down by gender of respondent on the admin of macroregion perc")</f>
        <v>Households dissatisfied with aid received, by reason broken down by gender of respondent on the admin of macroregion perc</v>
      </c>
    </row>
    <row r="1467" spans="2:6" x14ac:dyDescent="0.35">
      <c r="B1467" t="s">
        <v>195</v>
      </c>
      <c r="C1467" t="s">
        <v>202</v>
      </c>
      <c r="D1467" t="s">
        <v>132</v>
      </c>
      <c r="E1467" s="43">
        <v>1957</v>
      </c>
      <c r="F1467" s="21" t="str">
        <f>HYPERLINK("#'Data'!A27207", "Households dissatisfied with aid received, by reason broken down by age of respondents on the admin of macroregion perc")</f>
        <v>Households dissatisfied with aid received, by reason broken down by age of respondents on the admin of macroregion perc</v>
      </c>
    </row>
    <row r="1468" spans="2:6" x14ac:dyDescent="0.35">
      <c r="B1468" t="s">
        <v>195</v>
      </c>
      <c r="C1468" t="s">
        <v>202</v>
      </c>
      <c r="D1468" t="s">
        <v>133</v>
      </c>
      <c r="E1468" s="43">
        <v>1958</v>
      </c>
      <c r="F1468" s="21" t="str">
        <f>HYPERLINK("#'Data'!A27224", "Households dissatisfied with aid received, by reason broken down by gender and age of respondents on the admin of macroregion perc")</f>
        <v>Households dissatisfied with aid received, by reason broken down by gender and age of respondents on the admin of macroregion perc</v>
      </c>
    </row>
    <row r="1469" spans="2:6" x14ac:dyDescent="0.35">
      <c r="B1469" t="s">
        <v>195</v>
      </c>
      <c r="C1469" t="s">
        <v>203</v>
      </c>
      <c r="D1469" t="s">
        <v>36</v>
      </c>
      <c r="E1469" s="43">
        <v>1959</v>
      </c>
      <c r="F1469" s="21" t="str">
        <f>HYPERLINK("#'Data'!A27247", "Percentage of households reporting reliable information channels to get information about aid, by channel on the admin of macroregion perc")</f>
        <v>Percentage of households reporting reliable information channels to get information about aid, by channel on the admin of macroregion perc</v>
      </c>
    </row>
    <row r="1470" spans="2:6" x14ac:dyDescent="0.35">
      <c r="B1470" t="s">
        <v>195</v>
      </c>
      <c r="C1470" t="s">
        <v>203</v>
      </c>
      <c r="D1470" t="s">
        <v>57</v>
      </c>
      <c r="E1470" s="43">
        <v>1960</v>
      </c>
      <c r="F1470" s="21" t="str">
        <f>HYPERLINK("#'Data'!A27256", "Percentage of households reporting reliable information channels to get information about aid, by channel broken down by households with at least one ...")</f>
        <v>Percentage of households reporting reliable information channels to get information about aid, by channel broken down by households with at least one ...</v>
      </c>
    </row>
    <row r="1471" spans="2:6" x14ac:dyDescent="0.35">
      <c r="B1471" t="s">
        <v>195</v>
      </c>
      <c r="C1471" t="s">
        <v>203</v>
      </c>
      <c r="D1471" t="s">
        <v>58</v>
      </c>
      <c r="E1471" s="43">
        <v>1961</v>
      </c>
      <c r="F1471" s="21" t="str">
        <f>HYPERLINK("#'Data'!A27270", "Percentage of households reporting reliable information channels to get information about aid, by channel broken down by urbanity on the admin of macr...")</f>
        <v>Percentage of households reporting reliable information channels to get information about aid, by channel broken down by urbanity on the admin of macr...</v>
      </c>
    </row>
    <row r="1472" spans="2:6" x14ac:dyDescent="0.35">
      <c r="B1472" t="s">
        <v>195</v>
      </c>
      <c r="C1472" t="s">
        <v>203</v>
      </c>
      <c r="D1472" t="s">
        <v>59</v>
      </c>
      <c r="E1472" s="43">
        <v>1962</v>
      </c>
      <c r="F1472" s="21" t="str">
        <f>HYPERLINK("#'Data'!A27284", "Percentage of households reporting reliable information channels to get information about aid, by channel broken down by household size on the admin o...")</f>
        <v>Percentage of households reporting reliable information channels to get information about aid, by channel broken down by household size on the admin o...</v>
      </c>
    </row>
    <row r="1473" spans="2:6" x14ac:dyDescent="0.35">
      <c r="B1473" t="s">
        <v>195</v>
      </c>
      <c r="C1473" t="s">
        <v>203</v>
      </c>
      <c r="D1473" t="s">
        <v>60</v>
      </c>
      <c r="E1473" s="43">
        <v>1963</v>
      </c>
      <c r="F1473" s="21" t="str">
        <f>HYPERLINK("#'Data'!A27303", "Percentage of households reporting reliable information channels to get information about aid, by channel broken down by income per capita (quartiles)...")</f>
        <v>Percentage of households reporting reliable information channels to get information about aid, by channel broken down by income per capita (quartiles)...</v>
      </c>
    </row>
    <row r="1474" spans="2:6" x14ac:dyDescent="0.35">
      <c r="B1474" t="s">
        <v>195</v>
      </c>
      <c r="C1474" t="s">
        <v>203</v>
      </c>
      <c r="D1474" t="s">
        <v>61</v>
      </c>
      <c r="E1474" s="43">
        <v>1964</v>
      </c>
      <c r="F1474" s="21" t="str">
        <f>HYPERLINK("#'Data'!A27327", "Percentage of households reporting reliable information channels to get information about aid, by channel broken down by gender of head of household o...")</f>
        <v>Percentage of households reporting reliable information channels to get information about aid, by channel broken down by gender of head of household o...</v>
      </c>
    </row>
    <row r="1475" spans="2:6" x14ac:dyDescent="0.35">
      <c r="B1475" t="s">
        <v>195</v>
      </c>
      <c r="C1475" t="s">
        <v>203</v>
      </c>
      <c r="D1475" t="s">
        <v>62</v>
      </c>
      <c r="E1475" s="43">
        <v>1965</v>
      </c>
      <c r="F1475" s="21" t="str">
        <f>HYPERLINK("#'Data'!A27347", "Percentage of households reporting reliable information channels to get information about aid, by channel broken down by age of adults in the househol...")</f>
        <v>Percentage of households reporting reliable information channels to get information about aid, by channel broken down by age of adults in the househol...</v>
      </c>
    </row>
    <row r="1476" spans="2:6" x14ac:dyDescent="0.35">
      <c r="B1476" t="s">
        <v>195</v>
      </c>
      <c r="C1476" t="s">
        <v>203</v>
      </c>
      <c r="D1476" t="s">
        <v>76</v>
      </c>
      <c r="E1476" s="43">
        <v>1966</v>
      </c>
      <c r="F1476" s="21" t="str">
        <f>HYPERLINK("#'Data'!A27366", "Percentage of households reporting reliable information channels to get information about aid, by channel broken down by households with at least one ...")</f>
        <v>Percentage of households reporting reliable information channels to get information about aid, by channel broken down by households with at least one ...</v>
      </c>
    </row>
    <row r="1477" spans="2:6" x14ac:dyDescent="0.35">
      <c r="B1477" t="s">
        <v>195</v>
      </c>
      <c r="C1477" t="s">
        <v>203</v>
      </c>
      <c r="D1477" t="s">
        <v>63</v>
      </c>
      <c r="E1477" s="43">
        <v>1967</v>
      </c>
      <c r="F1477" s="21" t="str">
        <f>HYPERLINK("#'Data'!A27380", "Percentage of households reporting reliable information channels to get information about aid, by channel broken down by displacement status of head o...")</f>
        <v>Percentage of households reporting reliable information channels to get information about aid, by channel broken down by displacement status of head o...</v>
      </c>
    </row>
    <row r="1478" spans="2:6" x14ac:dyDescent="0.35">
      <c r="B1478" t="s">
        <v>195</v>
      </c>
      <c r="C1478" t="s">
        <v>203</v>
      </c>
      <c r="D1478" t="s">
        <v>64</v>
      </c>
      <c r="E1478" s="43">
        <v>1968</v>
      </c>
      <c r="F1478" s="21" t="str">
        <f>HYPERLINK("#'Data'!A27407", "Percentage of households reporting reliable information channels to get information about aid, by channel broken down by IDP household on the admin of...")</f>
        <v>Percentage of households reporting reliable information channels to get information about aid, by channel broken down by IDP household on the admin of...</v>
      </c>
    </row>
    <row r="1479" spans="2:6" x14ac:dyDescent="0.35">
      <c r="B1479" t="s">
        <v>195</v>
      </c>
      <c r="C1479" t="s">
        <v>203</v>
      </c>
      <c r="D1479" t="s">
        <v>65</v>
      </c>
      <c r="E1479" s="43">
        <v>1969</v>
      </c>
      <c r="F1479" s="21" t="str">
        <f>HYPERLINK("#'Data'!A27421", "Percentage of households reporting reliable information channels to get information about aid, by channel broken down by proximity to frontline/border...")</f>
        <v>Percentage of households reporting reliable information channels to get information about aid, by channel broken down by proximity to frontline/border...</v>
      </c>
    </row>
    <row r="1480" spans="2:6" x14ac:dyDescent="0.35">
      <c r="B1480" t="s">
        <v>195</v>
      </c>
      <c r="C1480" t="s">
        <v>203</v>
      </c>
      <c r="D1480" t="s">
        <v>77</v>
      </c>
      <c r="E1480" s="43">
        <v>1970</v>
      </c>
      <c r="F1480" s="21" t="str">
        <f>HYPERLINK("#'Data'!A27436", "Percentage of households reporting reliable information channels to get information about aid, by channel broken down by caregiving status  on the adm...")</f>
        <v>Percentage of households reporting reliable information channels to get information about aid, by channel broken down by caregiving status  on the adm...</v>
      </c>
    </row>
    <row r="1481" spans="2:6" x14ac:dyDescent="0.35">
      <c r="B1481" t="s">
        <v>195</v>
      </c>
      <c r="C1481" t="s">
        <v>203</v>
      </c>
      <c r="D1481" t="s">
        <v>131</v>
      </c>
      <c r="E1481" s="43">
        <v>1971</v>
      </c>
      <c r="F1481" s="21" t="str">
        <f>HYPERLINK("#'Data'!A27458", "Percentage of households reporting reliable information channels to get information about aid, by channel broken down by gender of respondent on the a...")</f>
        <v>Percentage of households reporting reliable information channels to get information about aid, by channel broken down by gender of respondent on the a...</v>
      </c>
    </row>
    <row r="1482" spans="2:6" x14ac:dyDescent="0.35">
      <c r="B1482" t="s">
        <v>195</v>
      </c>
      <c r="C1482" t="s">
        <v>203</v>
      </c>
      <c r="D1482" t="s">
        <v>132</v>
      </c>
      <c r="E1482" s="43">
        <v>1972</v>
      </c>
      <c r="F1482" s="21" t="str">
        <f>HYPERLINK("#'Data'!A27474", "Percentage of households reporting reliable information channels to get information about aid, by channel broken down by age of respondents on the adm...")</f>
        <v>Percentage of households reporting reliable information channels to get information about aid, by channel broken down by age of respondents on the adm...</v>
      </c>
    </row>
    <row r="1483" spans="2:6" x14ac:dyDescent="0.35">
      <c r="B1483" t="s">
        <v>195</v>
      </c>
      <c r="C1483" t="s">
        <v>203</v>
      </c>
      <c r="D1483" t="s">
        <v>133</v>
      </c>
      <c r="E1483" s="43">
        <v>1973</v>
      </c>
      <c r="F1483" s="21" t="str">
        <f>HYPERLINK("#'Data'!A27498", "Percentage of households reporting reliable information channels to get information about aid, by channel broken down by gender and age of respondents...")</f>
        <v>Percentage of households reporting reliable information channels to get information about aid, by channel broken down by gender and age of respondents...</v>
      </c>
    </row>
    <row r="1484" spans="2:6" x14ac:dyDescent="0.35">
      <c r="B1484" t="s">
        <v>195</v>
      </c>
      <c r="C1484" t="s">
        <v>204</v>
      </c>
      <c r="D1484" t="s">
        <v>36</v>
      </c>
      <c r="E1484" s="43">
        <v>1974</v>
      </c>
      <c r="F1484" s="21" t="str">
        <f>HYPERLINK("#'Data'!A27544", "Percentage of households utilizing complaint and feedback channels, by type on the admin of macroregion perc")</f>
        <v>Percentage of households utilizing complaint and feedback channels, by type on the admin of macroregion perc</v>
      </c>
    </row>
    <row r="1485" spans="2:6" x14ac:dyDescent="0.35">
      <c r="B1485" t="s">
        <v>195</v>
      </c>
      <c r="C1485" t="s">
        <v>204</v>
      </c>
      <c r="D1485" t="s">
        <v>57</v>
      </c>
      <c r="E1485" s="43">
        <v>1975</v>
      </c>
      <c r="F1485" s="21" t="str">
        <f>HYPERLINK("#'Data'!A27553", "Percentage of households utilizing complaint and feedback channels, by type broken down by households with at least one member with a reported and/or ...")</f>
        <v>Percentage of households utilizing complaint and feedback channels, by type broken down by households with at least one member with a reported and/or ...</v>
      </c>
    </row>
    <row r="1486" spans="2:6" x14ac:dyDescent="0.35">
      <c r="B1486" t="s">
        <v>195</v>
      </c>
      <c r="C1486" t="s">
        <v>204</v>
      </c>
      <c r="D1486" t="s">
        <v>58</v>
      </c>
      <c r="E1486" s="43">
        <v>1976</v>
      </c>
      <c r="F1486" s="21" t="str">
        <f>HYPERLINK("#'Data'!A27567", "Percentage of households utilizing complaint and feedback channels, by type broken down by urbanity on the admin of macroregion perc")</f>
        <v>Percentage of households utilizing complaint and feedback channels, by type broken down by urbanity on the admin of macroregion perc</v>
      </c>
    </row>
    <row r="1487" spans="2:6" x14ac:dyDescent="0.35">
      <c r="B1487" t="s">
        <v>195</v>
      </c>
      <c r="C1487" t="s">
        <v>204</v>
      </c>
      <c r="D1487" t="s">
        <v>59</v>
      </c>
      <c r="E1487" s="43">
        <v>1977</v>
      </c>
      <c r="F1487" s="21" t="str">
        <f>HYPERLINK("#'Data'!A27581", "Percentage of households utilizing complaint and feedback channels, by type broken down by household size on the admin of macroregion perc")</f>
        <v>Percentage of households utilizing complaint and feedback channels, by type broken down by household size on the admin of macroregion perc</v>
      </c>
    </row>
    <row r="1488" spans="2:6" x14ac:dyDescent="0.35">
      <c r="B1488" t="s">
        <v>195</v>
      </c>
      <c r="C1488" t="s">
        <v>204</v>
      </c>
      <c r="D1488" t="s">
        <v>60</v>
      </c>
      <c r="E1488" s="43">
        <v>1978</v>
      </c>
      <c r="F1488" s="21" t="str">
        <f>HYPERLINK("#'Data'!A27600", "Percentage of households utilizing complaint and feedback channels, by type broken down by income per capita (quartiles) on the admin of macroregion p...")</f>
        <v>Percentage of households utilizing complaint and feedback channels, by type broken down by income per capita (quartiles) on the admin of macroregion p...</v>
      </c>
    </row>
    <row r="1489" spans="2:6" x14ac:dyDescent="0.35">
      <c r="B1489" t="s">
        <v>195</v>
      </c>
      <c r="C1489" t="s">
        <v>204</v>
      </c>
      <c r="D1489" t="s">
        <v>61</v>
      </c>
      <c r="E1489" s="43">
        <v>1979</v>
      </c>
      <c r="F1489" s="21" t="str">
        <f>HYPERLINK("#'Data'!A27624", "Percentage of households utilizing complaint and feedback channels, by type broken down by gender of head of household on the admin of macroregion per...")</f>
        <v>Percentage of households utilizing complaint and feedback channels, by type broken down by gender of head of household on the admin of macroregion per...</v>
      </c>
    </row>
    <row r="1490" spans="2:6" x14ac:dyDescent="0.35">
      <c r="B1490" t="s">
        <v>195</v>
      </c>
      <c r="C1490" t="s">
        <v>204</v>
      </c>
      <c r="D1490" t="s">
        <v>62</v>
      </c>
      <c r="E1490" s="43">
        <v>1980</v>
      </c>
      <c r="F1490" s="21" t="str">
        <f>HYPERLINK("#'Data'!A27644", "Percentage of households utilizing complaint and feedback channels, by type broken down by age of adults in the households on the admin of macroregion...")</f>
        <v>Percentage of households utilizing complaint and feedback channels, by type broken down by age of adults in the households on the admin of macroregion...</v>
      </c>
    </row>
    <row r="1491" spans="2:6" x14ac:dyDescent="0.35">
      <c r="B1491" t="s">
        <v>195</v>
      </c>
      <c r="C1491" t="s">
        <v>204</v>
      </c>
      <c r="D1491" t="s">
        <v>76</v>
      </c>
      <c r="E1491" s="43">
        <v>1981</v>
      </c>
      <c r="F1491" s="21" t="str">
        <f>HYPERLINK("#'Data'!A27663", "Percentage of households utilizing complaint and feedback channels, by type broken down by households with at least one child (&lt;18 y.o.) on the admin ...")</f>
        <v>Percentage of households utilizing complaint and feedback channels, by type broken down by households with at least one child (&lt;18 y.o.) on the admin ...</v>
      </c>
    </row>
    <row r="1492" spans="2:6" x14ac:dyDescent="0.35">
      <c r="B1492" t="s">
        <v>195</v>
      </c>
      <c r="C1492" t="s">
        <v>204</v>
      </c>
      <c r="D1492" t="s">
        <v>63</v>
      </c>
      <c r="E1492" s="43">
        <v>1982</v>
      </c>
      <c r="F1492" s="21" t="str">
        <f>HYPERLINK("#'Data'!A27677", "Percentage of households utilizing complaint and feedback channels, by type broken down by displacement status of head of household on the admin of ma...")</f>
        <v>Percentage of households utilizing complaint and feedback channels, by type broken down by displacement status of head of household on the admin of ma...</v>
      </c>
    </row>
    <row r="1493" spans="2:6" x14ac:dyDescent="0.35">
      <c r="B1493" t="s">
        <v>195</v>
      </c>
      <c r="C1493" t="s">
        <v>204</v>
      </c>
      <c r="D1493" t="s">
        <v>64</v>
      </c>
      <c r="E1493" s="43">
        <v>1983</v>
      </c>
      <c r="F1493" s="21" t="str">
        <f>HYPERLINK("#'Data'!A27704", "Percentage of households utilizing complaint and feedback channels, by type broken down by IDP household on the admin of macroregion perc")</f>
        <v>Percentage of households utilizing complaint and feedback channels, by type broken down by IDP household on the admin of macroregion perc</v>
      </c>
    </row>
    <row r="1494" spans="2:6" x14ac:dyDescent="0.35">
      <c r="B1494" t="s">
        <v>195</v>
      </c>
      <c r="C1494" t="s">
        <v>204</v>
      </c>
      <c r="D1494" t="s">
        <v>65</v>
      </c>
      <c r="E1494" s="43">
        <v>1984</v>
      </c>
      <c r="F1494" s="21" t="str">
        <f>HYPERLINK("#'Data'!A27718", "Percentage of households utilizing complaint and feedback channels, by type broken down by proximity to frontline/border with Russian Federation on th...")</f>
        <v>Percentage of households utilizing complaint and feedback channels, by type broken down by proximity to frontline/border with Russian Federation on th...</v>
      </c>
    </row>
    <row r="1495" spans="2:6" x14ac:dyDescent="0.35">
      <c r="B1495" t="s">
        <v>195</v>
      </c>
      <c r="C1495" t="s">
        <v>204</v>
      </c>
      <c r="D1495" t="s">
        <v>77</v>
      </c>
      <c r="E1495" s="43">
        <v>1985</v>
      </c>
      <c r="F1495" s="21" t="str">
        <f>HYPERLINK("#'Data'!A27733", "Percentage of households utilizing complaint and feedback channels, by type broken down by caregiving status  on the admin of macroregion perc")</f>
        <v>Percentage of households utilizing complaint and feedback channels, by type broken down by caregiving status  on the admin of macroregion perc</v>
      </c>
    </row>
    <row r="1496" spans="2:6" x14ac:dyDescent="0.35">
      <c r="B1496" t="s">
        <v>195</v>
      </c>
      <c r="C1496" t="s">
        <v>204</v>
      </c>
      <c r="D1496" t="s">
        <v>131</v>
      </c>
      <c r="E1496" s="43">
        <v>1986</v>
      </c>
      <c r="F1496" s="21" t="str">
        <f>HYPERLINK("#'Data'!A27755", "Percentage of households utilizing complaint and feedback channels, by type broken down by gender of respondent on the admin of macroregion perc")</f>
        <v>Percentage of households utilizing complaint and feedback channels, by type broken down by gender of respondent on the admin of macroregion perc</v>
      </c>
    </row>
    <row r="1497" spans="2:6" x14ac:dyDescent="0.35">
      <c r="B1497" t="s">
        <v>195</v>
      </c>
      <c r="C1497" t="s">
        <v>204</v>
      </c>
      <c r="D1497" t="s">
        <v>132</v>
      </c>
      <c r="E1497" s="43">
        <v>1987</v>
      </c>
      <c r="F1497" s="21" t="str">
        <f>HYPERLINK("#'Data'!A27771", "Percentage of households utilizing complaint and feedback channels, by type broken down by age of respondents on the admin of macroregion perc")</f>
        <v>Percentage of households utilizing complaint and feedback channels, by type broken down by age of respondents on the admin of macroregion perc</v>
      </c>
    </row>
    <row r="1498" spans="2:6" x14ac:dyDescent="0.35">
      <c r="B1498" t="s">
        <v>195</v>
      </c>
      <c r="C1498" t="s">
        <v>204</v>
      </c>
      <c r="D1498" t="s">
        <v>133</v>
      </c>
      <c r="E1498" s="43">
        <v>1988</v>
      </c>
      <c r="F1498" s="21" t="str">
        <f>HYPERLINK("#'Data'!A27795", "Percentage of households utilizing complaint and feedback channels, by type broken down by gender and age of respondents on the admin of macroregion p...")</f>
        <v>Percentage of households utilizing complaint and feedback channels, by type broken down by gender and age of respondents on the admin of macroregion p...</v>
      </c>
    </row>
    <row r="1499" spans="2:6" x14ac:dyDescent="0.35">
      <c r="B1499" t="s">
        <v>195</v>
      </c>
      <c r="C1499" t="s">
        <v>205</v>
      </c>
      <c r="D1499" t="s">
        <v>36</v>
      </c>
      <c r="E1499" s="43">
        <v>1989</v>
      </c>
      <c r="F1499" s="21" t="str">
        <f>HYPERLINK("#'Data'!A27841", "Percentage of households receiving a response through complaint and feedback channels on the admin of macroregion perc")</f>
        <v>Percentage of households receiving a response through complaint and feedback channels on the admin of macroregion perc</v>
      </c>
    </row>
    <row r="1500" spans="2:6" x14ac:dyDescent="0.35">
      <c r="B1500" t="s">
        <v>195</v>
      </c>
      <c r="C1500" t="s">
        <v>205</v>
      </c>
      <c r="D1500" t="s">
        <v>57</v>
      </c>
      <c r="E1500" s="43">
        <v>1990</v>
      </c>
      <c r="F1500" s="21" t="str">
        <f>HYPERLINK("#'Data'!A27850", "Percentage of households receiving a response through complaint and feedback channels broken down by households with at least one member with a report...")</f>
        <v>Percentage of households receiving a response through complaint and feedback channels broken down by households with at least one member with a report...</v>
      </c>
    </row>
    <row r="1501" spans="2:6" x14ac:dyDescent="0.35">
      <c r="B1501" t="s">
        <v>195</v>
      </c>
      <c r="C1501" t="s">
        <v>205</v>
      </c>
      <c r="D1501" t="s">
        <v>58</v>
      </c>
      <c r="E1501" s="43">
        <v>1991</v>
      </c>
      <c r="F1501" s="21" t="str">
        <f>HYPERLINK("#'Data'!A27864", "Percentage of households receiving a response through complaint and feedback channels broken down by urbanity on the admin of macroregion perc")</f>
        <v>Percentage of households receiving a response through complaint and feedback channels broken down by urbanity on the admin of macroregion perc</v>
      </c>
    </row>
    <row r="1502" spans="2:6" x14ac:dyDescent="0.35">
      <c r="B1502" t="s">
        <v>195</v>
      </c>
      <c r="C1502" t="s">
        <v>205</v>
      </c>
      <c r="D1502" t="s">
        <v>59</v>
      </c>
      <c r="E1502" s="43">
        <v>1992</v>
      </c>
      <c r="F1502" s="21" t="str">
        <f>HYPERLINK("#'Data'!A27878", "Percentage of households receiving a response through complaint and feedback channels broken down by household size on the admin of macroregion perc")</f>
        <v>Percentage of households receiving a response through complaint and feedback channels broken down by household size on the admin of macroregion perc</v>
      </c>
    </row>
    <row r="1503" spans="2:6" x14ac:dyDescent="0.35">
      <c r="B1503" t="s">
        <v>195</v>
      </c>
      <c r="C1503" t="s">
        <v>205</v>
      </c>
      <c r="D1503" t="s">
        <v>60</v>
      </c>
      <c r="E1503" s="43">
        <v>1993</v>
      </c>
      <c r="F1503" s="21" t="str">
        <f>HYPERLINK("#'Data'!A27896", "Percentage of households receiving a response through complaint and feedback channels broken down by income per capita (quartiles) on the admin of mac...")</f>
        <v>Percentage of households receiving a response through complaint and feedback channels broken down by income per capita (quartiles) on the admin of mac...</v>
      </c>
    </row>
    <row r="1504" spans="2:6" x14ac:dyDescent="0.35">
      <c r="B1504" t="s">
        <v>195</v>
      </c>
      <c r="C1504" t="s">
        <v>205</v>
      </c>
      <c r="D1504" t="s">
        <v>61</v>
      </c>
      <c r="E1504" s="43">
        <v>1994</v>
      </c>
      <c r="F1504" s="21" t="str">
        <f>HYPERLINK("#'Data'!A27920", "Percentage of households receiving a response through complaint and feedback channels broken down by gender of head of household on the admin of macro...")</f>
        <v>Percentage of households receiving a response through complaint and feedback channels broken down by gender of head of household on the admin of macro...</v>
      </c>
    </row>
    <row r="1505" spans="2:6" x14ac:dyDescent="0.35">
      <c r="B1505" t="s">
        <v>195</v>
      </c>
      <c r="C1505" t="s">
        <v>205</v>
      </c>
      <c r="D1505" t="s">
        <v>62</v>
      </c>
      <c r="E1505" s="43">
        <v>1995</v>
      </c>
      <c r="F1505" s="21" t="str">
        <f>HYPERLINK("#'Data'!A27940", "Percentage of households receiving a response through complaint and feedback channels broken down by age of adults in the households on the admin of m...")</f>
        <v>Percentage of households receiving a response through complaint and feedback channels broken down by age of adults in the households on the admin of m...</v>
      </c>
    </row>
    <row r="1506" spans="2:6" x14ac:dyDescent="0.35">
      <c r="B1506" t="s">
        <v>195</v>
      </c>
      <c r="C1506" t="s">
        <v>205</v>
      </c>
      <c r="D1506" t="s">
        <v>76</v>
      </c>
      <c r="E1506" s="43">
        <v>1996</v>
      </c>
      <c r="F1506" s="21" t="str">
        <f>HYPERLINK("#'Data'!A27959", "Percentage of households receiving a response through complaint and feedback channels broken down by households with at least one child (&lt;18 y.o.) on ...")</f>
        <v>Percentage of households receiving a response through complaint and feedback channels broken down by households with at least one child (&lt;18 y.o.) on ...</v>
      </c>
    </row>
    <row r="1507" spans="2:6" x14ac:dyDescent="0.35">
      <c r="B1507" t="s">
        <v>195</v>
      </c>
      <c r="C1507" t="s">
        <v>205</v>
      </c>
      <c r="D1507" t="s">
        <v>63</v>
      </c>
      <c r="E1507" s="43">
        <v>1997</v>
      </c>
      <c r="F1507" s="21" t="str">
        <f>HYPERLINK("#'Data'!A27973", "Percentage of households receiving a response through complaint and feedback channels broken down by displacement status of head of household on the a...")</f>
        <v>Percentage of households receiving a response through complaint and feedback channels broken down by displacement status of head of household on the a...</v>
      </c>
    </row>
    <row r="1508" spans="2:6" x14ac:dyDescent="0.35">
      <c r="B1508" t="s">
        <v>195</v>
      </c>
      <c r="C1508" t="s">
        <v>205</v>
      </c>
      <c r="D1508" t="s">
        <v>64</v>
      </c>
      <c r="E1508" s="43">
        <v>1998</v>
      </c>
      <c r="F1508" s="21" t="str">
        <f>HYPERLINK("#'Data'!A27997", "Percentage of households receiving a response through complaint and feedback channels broken down by IDP household on the admin of macroregion perc")</f>
        <v>Percentage of households receiving a response through complaint and feedback channels broken down by IDP household on the admin of macroregion perc</v>
      </c>
    </row>
    <row r="1509" spans="2:6" x14ac:dyDescent="0.35">
      <c r="B1509" t="s">
        <v>195</v>
      </c>
      <c r="C1509" t="s">
        <v>205</v>
      </c>
      <c r="D1509" t="s">
        <v>65</v>
      </c>
      <c r="E1509" s="43">
        <v>1999</v>
      </c>
      <c r="F1509" s="21" t="str">
        <f>HYPERLINK("#'Data'!A28011", "Percentage of households receiving a response through complaint and feedback channels broken down by proximity to frontline/border with Russian Federa...")</f>
        <v>Percentage of households receiving a response through complaint and feedback channels broken down by proximity to frontline/border with Russian Federa...</v>
      </c>
    </row>
    <row r="1510" spans="2:6" x14ac:dyDescent="0.35">
      <c r="B1510" t="s">
        <v>195</v>
      </c>
      <c r="C1510" t="s">
        <v>205</v>
      </c>
      <c r="D1510" t="s">
        <v>77</v>
      </c>
      <c r="E1510" s="43">
        <v>2000</v>
      </c>
      <c r="F1510" s="21" t="str">
        <f>HYPERLINK("#'Data'!A28026", "Percentage of households receiving a response through complaint and feedback channels broken down by caregiving status  on the admin of macroregion pe...")</f>
        <v>Percentage of households receiving a response through complaint and feedback channels broken down by caregiving status  on the admin of macroregion pe...</v>
      </c>
    </row>
    <row r="1511" spans="2:6" x14ac:dyDescent="0.35">
      <c r="B1511" t="s">
        <v>195</v>
      </c>
      <c r="C1511" t="s">
        <v>205</v>
      </c>
      <c r="D1511" t="s">
        <v>131</v>
      </c>
      <c r="E1511" s="43">
        <v>2001</v>
      </c>
      <c r="F1511" s="21" t="str">
        <f>HYPERLINK("#'Data'!A28044", "Percentage of households receiving a response through complaint and feedback channels broken down by gender of respondent on the admin of macroregion ...")</f>
        <v>Percentage of households receiving a response through complaint and feedback channels broken down by gender of respondent on the admin of macroregion ...</v>
      </c>
    </row>
    <row r="1512" spans="2:6" x14ac:dyDescent="0.35">
      <c r="B1512" t="s">
        <v>195</v>
      </c>
      <c r="C1512" t="s">
        <v>205</v>
      </c>
      <c r="D1512" t="s">
        <v>132</v>
      </c>
      <c r="E1512" s="43">
        <v>2002</v>
      </c>
      <c r="F1512" s="21" t="str">
        <f>HYPERLINK("#'Data'!A28059", "Percentage of households receiving a response through complaint and feedback channels broken down by age of respondents on the admin of macroregion pe...")</f>
        <v>Percentage of households receiving a response through complaint and feedback channels broken down by age of respondents on the admin of macroregion pe...</v>
      </c>
    </row>
    <row r="1513" spans="2:6" x14ac:dyDescent="0.35">
      <c r="B1513" t="s">
        <v>195</v>
      </c>
      <c r="C1513" t="s">
        <v>205</v>
      </c>
      <c r="D1513" t="s">
        <v>133</v>
      </c>
      <c r="E1513" s="43">
        <v>2003</v>
      </c>
      <c r="F1513" s="21" t="str">
        <f>HYPERLINK("#'Data'!A28079", "Percentage of households receiving a response through complaint and feedback channels broken down by gender and age of respondents on the admin of mac...")</f>
        <v>Percentage of households receiving a response through complaint and feedback channels broken down by gender and age of respondents on the admin of mac...</v>
      </c>
    </row>
    <row r="1514" spans="2:6" x14ac:dyDescent="0.35">
      <c r="B1514" t="s">
        <v>129</v>
      </c>
      <c r="C1514" t="s">
        <v>206</v>
      </c>
      <c r="D1514" t="s">
        <v>36</v>
      </c>
      <c r="E1514" s="43">
        <v>2004</v>
      </c>
      <c r="F1514" s="21" t="str">
        <f>HYPERLINK("#'Data'!A28115", "Percentage of household who have experienced cuts in  government assistance in the past 6 months on the admin of macroregion perc")</f>
        <v>Percentage of household who have experienced cuts in  government assistance in the past 6 months on the admin of macroregion perc</v>
      </c>
    </row>
    <row r="1515" spans="2:6" x14ac:dyDescent="0.35">
      <c r="B1515" t="s">
        <v>129</v>
      </c>
      <c r="C1515" t="s">
        <v>206</v>
      </c>
      <c r="D1515" t="s">
        <v>57</v>
      </c>
      <c r="E1515" s="43">
        <v>2005</v>
      </c>
      <c r="F1515" s="21" t="str">
        <f>HYPERLINK("#'Data'!A28124", "Percentage of household who have experienced cuts in  government assistance in the past 6 months broken down by households with at least one member wi...")</f>
        <v>Percentage of household who have experienced cuts in  government assistance in the past 6 months broken down by households with at least one member wi...</v>
      </c>
    </row>
    <row r="1516" spans="2:6" x14ac:dyDescent="0.35">
      <c r="B1516" t="s">
        <v>129</v>
      </c>
      <c r="C1516" t="s">
        <v>206</v>
      </c>
      <c r="D1516" t="s">
        <v>58</v>
      </c>
      <c r="E1516" s="43">
        <v>2006</v>
      </c>
      <c r="F1516" s="21" t="str">
        <f>HYPERLINK("#'Data'!A28138", "Percentage of household who have experienced cuts in  government assistance in the past 6 months broken down by urbanity on the admin of macroregion p...")</f>
        <v>Percentage of household who have experienced cuts in  government assistance in the past 6 months broken down by urbanity on the admin of macroregion p...</v>
      </c>
    </row>
    <row r="1517" spans="2:6" x14ac:dyDescent="0.35">
      <c r="B1517" t="s">
        <v>129</v>
      </c>
      <c r="C1517" t="s">
        <v>206</v>
      </c>
      <c r="D1517" t="s">
        <v>59</v>
      </c>
      <c r="E1517" s="43">
        <v>2007</v>
      </c>
      <c r="F1517" s="21" t="str">
        <f>HYPERLINK("#'Data'!A28152", "Percentage of household who have experienced cuts in  government assistance in the past 6 months broken down by household size on the admin of macrore...")</f>
        <v>Percentage of household who have experienced cuts in  government assistance in the past 6 months broken down by household size on the admin of macrore...</v>
      </c>
    </row>
    <row r="1518" spans="2:6" x14ac:dyDescent="0.35">
      <c r="B1518" t="s">
        <v>129</v>
      </c>
      <c r="C1518" t="s">
        <v>206</v>
      </c>
      <c r="D1518" t="s">
        <v>60</v>
      </c>
      <c r="E1518" s="43">
        <v>2008</v>
      </c>
      <c r="F1518" s="21" t="str">
        <f>HYPERLINK("#'Data'!A28171", "Percentage of household who have experienced cuts in  government assistance in the past 6 months broken down by income per capita (quartiles) on the a...")</f>
        <v>Percentage of household who have experienced cuts in  government assistance in the past 6 months broken down by income per capita (quartiles) on the a...</v>
      </c>
    </row>
    <row r="1519" spans="2:6" x14ac:dyDescent="0.35">
      <c r="B1519" t="s">
        <v>129</v>
      </c>
      <c r="C1519" t="s">
        <v>206</v>
      </c>
      <c r="D1519" t="s">
        <v>61</v>
      </c>
      <c r="E1519" s="43">
        <v>2009</v>
      </c>
      <c r="F1519" s="21" t="str">
        <f>HYPERLINK("#'Data'!A28195", "Percentage of household who have experienced cuts in  government assistance in the past 6 months broken down by gender of head of household on the adm...")</f>
        <v>Percentage of household who have experienced cuts in  government assistance in the past 6 months broken down by gender of head of household on the adm...</v>
      </c>
    </row>
    <row r="1520" spans="2:6" x14ac:dyDescent="0.35">
      <c r="B1520" t="s">
        <v>129</v>
      </c>
      <c r="C1520" t="s">
        <v>206</v>
      </c>
      <c r="D1520" t="s">
        <v>62</v>
      </c>
      <c r="E1520" s="43">
        <v>2010</v>
      </c>
      <c r="F1520" s="21" t="str">
        <f>HYPERLINK("#'Data'!A28215", "Percentage of household who have experienced cuts in  government assistance in the past 6 months broken down by age of adults in the households on the...")</f>
        <v>Percentage of household who have experienced cuts in  government assistance in the past 6 months broken down by age of adults in the households on the...</v>
      </c>
    </row>
    <row r="1521" spans="2:6" x14ac:dyDescent="0.35">
      <c r="B1521" t="s">
        <v>129</v>
      </c>
      <c r="C1521" t="s">
        <v>206</v>
      </c>
      <c r="D1521" t="s">
        <v>76</v>
      </c>
      <c r="E1521" s="43">
        <v>2011</v>
      </c>
      <c r="F1521" s="21" t="str">
        <f>HYPERLINK("#'Data'!A28234", "Percentage of household who have experienced cuts in  government assistance in the past 6 months broken down by households with at least one child (&lt;1...")</f>
        <v>Percentage of household who have experienced cuts in  government assistance in the past 6 months broken down by households with at least one child (&lt;1...</v>
      </c>
    </row>
    <row r="1522" spans="2:6" x14ac:dyDescent="0.35">
      <c r="B1522" t="s">
        <v>129</v>
      </c>
      <c r="C1522" t="s">
        <v>206</v>
      </c>
      <c r="D1522" t="s">
        <v>63</v>
      </c>
      <c r="E1522" s="43">
        <v>2012</v>
      </c>
      <c r="F1522" s="21" t="str">
        <f>HYPERLINK("#'Data'!A28248", "Percentage of household who have experienced cuts in  government assistance in the past 6 months broken down by displacement status of head of househo...")</f>
        <v>Percentage of household who have experienced cuts in  government assistance in the past 6 months broken down by displacement status of head of househo...</v>
      </c>
    </row>
    <row r="1523" spans="2:6" x14ac:dyDescent="0.35">
      <c r="B1523" t="s">
        <v>129</v>
      </c>
      <c r="C1523" t="s">
        <v>206</v>
      </c>
      <c r="D1523" t="s">
        <v>64</v>
      </c>
      <c r="E1523" s="43">
        <v>2013</v>
      </c>
      <c r="F1523" s="21" t="str">
        <f>HYPERLINK("#'Data'!A28275", "Percentage of household who have experienced cuts in  government assistance in the past 6 months broken down by IDP household on the admin of macroreg...")</f>
        <v>Percentage of household who have experienced cuts in  government assistance in the past 6 months broken down by IDP household on the admin of macroreg...</v>
      </c>
    </row>
    <row r="1524" spans="2:6" x14ac:dyDescent="0.35">
      <c r="B1524" t="s">
        <v>129</v>
      </c>
      <c r="C1524" t="s">
        <v>206</v>
      </c>
      <c r="D1524" t="s">
        <v>65</v>
      </c>
      <c r="E1524" s="43">
        <v>2014</v>
      </c>
      <c r="F1524" s="21" t="str">
        <f>HYPERLINK("#'Data'!A28289", "Percentage of household who have experienced cuts in  government assistance in the past 6 months broken down by proximity to frontline/border with Rus...")</f>
        <v>Percentage of household who have experienced cuts in  government assistance in the past 6 months broken down by proximity to frontline/border with Rus...</v>
      </c>
    </row>
    <row r="1525" spans="2:6" x14ac:dyDescent="0.35">
      <c r="B1525" t="s">
        <v>129</v>
      </c>
      <c r="C1525" t="s">
        <v>206</v>
      </c>
      <c r="D1525" t="s">
        <v>77</v>
      </c>
      <c r="E1525" s="43">
        <v>2015</v>
      </c>
      <c r="F1525" s="21" t="str">
        <f>HYPERLINK("#'Data'!A28304", "Percentage of household who have experienced cuts in  government assistance in the past 6 months broken down by caregiving status  on the admin of mac...")</f>
        <v>Percentage of household who have experienced cuts in  government assistance in the past 6 months broken down by caregiving status  on the admin of mac...</v>
      </c>
    </row>
    <row r="1526" spans="2:6" x14ac:dyDescent="0.35">
      <c r="B1526" t="s">
        <v>129</v>
      </c>
      <c r="C1526" t="s">
        <v>206</v>
      </c>
      <c r="D1526" t="s">
        <v>131</v>
      </c>
      <c r="E1526" s="43">
        <v>2016</v>
      </c>
      <c r="F1526" s="21" t="str">
        <f>HYPERLINK("#'Data'!A28326", "Percentage of household who have experienced cuts in  government assistance in the past 6 months broken down by gender of respondent on the admin of m...")</f>
        <v>Percentage of household who have experienced cuts in  government assistance in the past 6 months broken down by gender of respondent on the admin of m...</v>
      </c>
    </row>
    <row r="1527" spans="2:6" x14ac:dyDescent="0.35">
      <c r="B1527" t="s">
        <v>129</v>
      </c>
      <c r="C1527" t="s">
        <v>206</v>
      </c>
      <c r="D1527" t="s">
        <v>132</v>
      </c>
      <c r="E1527" s="43">
        <v>2017</v>
      </c>
      <c r="F1527" s="21" t="str">
        <f>HYPERLINK("#'Data'!A28342", "Percentage of household who have experienced cuts in  government assistance in the past 6 months broken down by age of respondents on the admin of mac...")</f>
        <v>Percentage of household who have experienced cuts in  government assistance in the past 6 months broken down by age of respondents on the admin of mac...</v>
      </c>
    </row>
    <row r="1528" spans="2:6" x14ac:dyDescent="0.35">
      <c r="B1528" t="s">
        <v>129</v>
      </c>
      <c r="C1528" t="s">
        <v>206</v>
      </c>
      <c r="D1528" t="s">
        <v>133</v>
      </c>
      <c r="E1528" s="43">
        <v>2018</v>
      </c>
      <c r="F1528" s="21" t="str">
        <f>HYPERLINK("#'Data'!A28366", "Percentage of household who have experienced cuts in  government assistance in the past 6 months broken down by gender and age of respondents on the a...")</f>
        <v>Percentage of household who have experienced cuts in  government assistance in the past 6 months broken down by gender and age of respondents on the a...</v>
      </c>
    </row>
    <row r="1529" spans="2:6" x14ac:dyDescent="0.35">
      <c r="B1529" t="s">
        <v>129</v>
      </c>
      <c r="C1529" t="s">
        <v>207</v>
      </c>
      <c r="D1529" t="s">
        <v>36</v>
      </c>
      <c r="E1529" s="43">
        <v>2019</v>
      </c>
      <c r="F1529" s="21" t="str">
        <f>HYPERLINK("#'Data'!A28412", "Percentage of households unable to obtain needed legal assistance, by type of assistance on the admin of macroregion perc")</f>
        <v>Percentage of households unable to obtain needed legal assistance, by type of assistance on the admin of macroregion perc</v>
      </c>
    </row>
    <row r="1530" spans="2:6" x14ac:dyDescent="0.35">
      <c r="B1530" t="s">
        <v>129</v>
      </c>
      <c r="C1530" t="s">
        <v>207</v>
      </c>
      <c r="D1530" t="s">
        <v>57</v>
      </c>
      <c r="E1530" s="43">
        <v>2020</v>
      </c>
      <c r="F1530" s="21" t="str">
        <f>HYPERLINK("#'Data'!A28421", "Percentage of households unable to obtain needed legal assistance, by type of assistance broken down by households with at least one member with a rep...")</f>
        <v>Percentage of households unable to obtain needed legal assistance, by type of assistance broken down by households with at least one member with a rep...</v>
      </c>
    </row>
    <row r="1531" spans="2:6" x14ac:dyDescent="0.35">
      <c r="B1531" t="s">
        <v>129</v>
      </c>
      <c r="C1531" t="s">
        <v>207</v>
      </c>
      <c r="D1531" t="s">
        <v>58</v>
      </c>
      <c r="E1531" s="43">
        <v>2021</v>
      </c>
      <c r="F1531" s="21" t="str">
        <f>HYPERLINK("#'Data'!A28435", "Percentage of households unable to obtain needed legal assistance, by type of assistance broken down by urbanity on the admin of macroregion perc")</f>
        <v>Percentage of households unable to obtain needed legal assistance, by type of assistance broken down by urbanity on the admin of macroregion perc</v>
      </c>
    </row>
    <row r="1532" spans="2:6" x14ac:dyDescent="0.35">
      <c r="B1532" t="s">
        <v>129</v>
      </c>
      <c r="C1532" t="s">
        <v>207</v>
      </c>
      <c r="D1532" t="s">
        <v>59</v>
      </c>
      <c r="E1532" s="43">
        <v>2022</v>
      </c>
      <c r="F1532" s="21" t="str">
        <f>HYPERLINK("#'Data'!A28449", "Percentage of households unable to obtain needed legal assistance, by type of assistance broken down by household size on the admin of macroregion per...")</f>
        <v>Percentage of households unable to obtain needed legal assistance, by type of assistance broken down by household size on the admin of macroregion per...</v>
      </c>
    </row>
    <row r="1533" spans="2:6" x14ac:dyDescent="0.35">
      <c r="B1533" t="s">
        <v>129</v>
      </c>
      <c r="C1533" t="s">
        <v>207</v>
      </c>
      <c r="D1533" t="s">
        <v>60</v>
      </c>
      <c r="E1533" s="43">
        <v>2023</v>
      </c>
      <c r="F1533" s="21" t="str">
        <f>HYPERLINK("#'Data'!A28468", "Percentage of households unable to obtain needed legal assistance, by type of assistance broken down by income per capita (quartiles) on the admin of ...")</f>
        <v>Percentage of households unable to obtain needed legal assistance, by type of assistance broken down by income per capita (quartiles) on the admin of ...</v>
      </c>
    </row>
    <row r="1534" spans="2:6" x14ac:dyDescent="0.35">
      <c r="B1534" t="s">
        <v>129</v>
      </c>
      <c r="C1534" t="s">
        <v>207</v>
      </c>
      <c r="D1534" t="s">
        <v>61</v>
      </c>
      <c r="E1534" s="43">
        <v>2024</v>
      </c>
      <c r="F1534" s="21" t="str">
        <f>HYPERLINK("#'Data'!A28492", "Percentage of households unable to obtain needed legal assistance, by type of assistance broken down by gender of head of household on the admin of ma...")</f>
        <v>Percentage of households unable to obtain needed legal assistance, by type of assistance broken down by gender of head of household on the admin of ma...</v>
      </c>
    </row>
    <row r="1535" spans="2:6" x14ac:dyDescent="0.35">
      <c r="B1535" t="s">
        <v>129</v>
      </c>
      <c r="C1535" t="s">
        <v>207</v>
      </c>
      <c r="D1535" t="s">
        <v>62</v>
      </c>
      <c r="E1535" s="43">
        <v>2025</v>
      </c>
      <c r="F1535" s="21" t="str">
        <f>HYPERLINK("#'Data'!A28512", "Percentage of households unable to obtain needed legal assistance, by type of assistance broken down by age of adults in the households on the admin o...")</f>
        <v>Percentage of households unable to obtain needed legal assistance, by type of assistance broken down by age of adults in the households on the admin o...</v>
      </c>
    </row>
    <row r="1536" spans="2:6" x14ac:dyDescent="0.35">
      <c r="B1536" t="s">
        <v>129</v>
      </c>
      <c r="C1536" t="s">
        <v>207</v>
      </c>
      <c r="D1536" t="s">
        <v>76</v>
      </c>
      <c r="E1536" s="43">
        <v>2026</v>
      </c>
      <c r="F1536" s="21" t="str">
        <f>HYPERLINK("#'Data'!A28531", "Percentage of households unable to obtain needed legal assistance, by type of assistance broken down by households with at least one child (&lt;18 y.o.) ...")</f>
        <v>Percentage of households unable to obtain needed legal assistance, by type of assistance broken down by households with at least one child (&lt;18 y.o.) ...</v>
      </c>
    </row>
    <row r="1537" spans="2:6" x14ac:dyDescent="0.35">
      <c r="B1537" t="s">
        <v>129</v>
      </c>
      <c r="C1537" t="s">
        <v>207</v>
      </c>
      <c r="D1537" t="s">
        <v>63</v>
      </c>
      <c r="E1537" s="43">
        <v>2027</v>
      </c>
      <c r="F1537" s="21" t="str">
        <f>HYPERLINK("#'Data'!A28545", "Percentage of households unable to obtain needed legal assistance, by type of assistance broken down by displacement status of head of household on th...")</f>
        <v>Percentage of households unable to obtain needed legal assistance, by type of assistance broken down by displacement status of head of household on th...</v>
      </c>
    </row>
    <row r="1538" spans="2:6" x14ac:dyDescent="0.35">
      <c r="B1538" t="s">
        <v>129</v>
      </c>
      <c r="C1538" t="s">
        <v>207</v>
      </c>
      <c r="D1538" t="s">
        <v>64</v>
      </c>
      <c r="E1538" s="43">
        <v>2028</v>
      </c>
      <c r="F1538" s="21" t="str">
        <f>HYPERLINK("#'Data'!A28572", "Percentage of households unable to obtain needed legal assistance, by type of assistance broken down by IDP household on the admin of macroregion perc")</f>
        <v>Percentage of households unable to obtain needed legal assistance, by type of assistance broken down by IDP household on the admin of macroregion perc</v>
      </c>
    </row>
    <row r="1539" spans="2:6" x14ac:dyDescent="0.35">
      <c r="B1539" t="s">
        <v>129</v>
      </c>
      <c r="C1539" t="s">
        <v>207</v>
      </c>
      <c r="D1539" t="s">
        <v>65</v>
      </c>
      <c r="E1539" s="43">
        <v>2029</v>
      </c>
      <c r="F1539" s="21" t="str">
        <f>HYPERLINK("#'Data'!A28586", "Percentage of households unable to obtain needed legal assistance, by type of assistance broken down by proximity to frontline/border with Russian Fed...")</f>
        <v>Percentage of households unable to obtain needed legal assistance, by type of assistance broken down by proximity to frontline/border with Russian Fed...</v>
      </c>
    </row>
    <row r="1540" spans="2:6" x14ac:dyDescent="0.35">
      <c r="B1540" t="s">
        <v>129</v>
      </c>
      <c r="C1540" t="s">
        <v>207</v>
      </c>
      <c r="D1540" t="s">
        <v>77</v>
      </c>
      <c r="E1540" s="43">
        <v>2030</v>
      </c>
      <c r="F1540" s="21" t="str">
        <f>HYPERLINK("#'Data'!A28601", "Percentage of households unable to obtain needed legal assistance, by type of assistance broken down by caregiving status  on the admin of macroregion...")</f>
        <v>Percentage of households unable to obtain needed legal assistance, by type of assistance broken down by caregiving status  on the admin of macroregion...</v>
      </c>
    </row>
    <row r="1541" spans="2:6" x14ac:dyDescent="0.35">
      <c r="B1541" t="s">
        <v>129</v>
      </c>
      <c r="C1541" t="s">
        <v>207</v>
      </c>
      <c r="D1541" t="s">
        <v>131</v>
      </c>
      <c r="E1541" s="43">
        <v>2031</v>
      </c>
      <c r="F1541" s="21" t="str">
        <f>HYPERLINK("#'Data'!A28623", "Percentage of households unable to obtain needed legal assistance, by type of assistance broken down by gender of respondent on the admin of macroregi...")</f>
        <v>Percentage of households unable to obtain needed legal assistance, by type of assistance broken down by gender of respondent on the admin of macroregi...</v>
      </c>
    </row>
    <row r="1542" spans="2:6" x14ac:dyDescent="0.35">
      <c r="B1542" t="s">
        <v>129</v>
      </c>
      <c r="C1542" t="s">
        <v>207</v>
      </c>
      <c r="D1542" t="s">
        <v>132</v>
      </c>
      <c r="E1542" s="43">
        <v>2032</v>
      </c>
      <c r="F1542" s="21" t="str">
        <f>HYPERLINK("#'Data'!A28639", "Percentage of households unable to obtain needed legal assistance, by type of assistance broken down by age of respondents on the admin of macroregion...")</f>
        <v>Percentage of households unable to obtain needed legal assistance, by type of assistance broken down by age of respondents on the admin of macroregion...</v>
      </c>
    </row>
    <row r="1543" spans="2:6" x14ac:dyDescent="0.35">
      <c r="B1543" t="s">
        <v>129</v>
      </c>
      <c r="C1543" t="s">
        <v>207</v>
      </c>
      <c r="D1543" t="s">
        <v>133</v>
      </c>
      <c r="E1543" s="43">
        <v>2033</v>
      </c>
      <c r="F1543" s="21" t="str">
        <f>HYPERLINK("#'Data'!A28663", "Percentage of households unable to obtain needed legal assistance, by type of assistance broken down by gender and age of respondents on the admin of ...")</f>
        <v>Percentage of households unable to obtain needed legal assistance, by type of assistance broken down by gender and age of respondents on the admin of ...</v>
      </c>
    </row>
    <row r="1544" spans="2:6" x14ac:dyDescent="0.35">
      <c r="B1544" t="s">
        <v>129</v>
      </c>
      <c r="C1544" t="s">
        <v>208</v>
      </c>
      <c r="D1544" t="s">
        <v>36</v>
      </c>
      <c r="E1544" s="43">
        <v>2034</v>
      </c>
      <c r="F1544" s="21" t="str">
        <f>HYPERLINK("#'Data'!A28709", "Percentage of households unable to obtain needed social and administrative services, by type of services on the admin of macroregion perc")</f>
        <v>Percentage of households unable to obtain needed social and administrative services, by type of services on the admin of macroregion perc</v>
      </c>
    </row>
    <row r="1545" spans="2:6" x14ac:dyDescent="0.35">
      <c r="B1545" t="s">
        <v>129</v>
      </c>
      <c r="C1545" t="s">
        <v>208</v>
      </c>
      <c r="D1545" t="s">
        <v>57</v>
      </c>
      <c r="E1545" s="43">
        <v>2035</v>
      </c>
      <c r="F1545" s="21" t="str">
        <f>HYPERLINK("#'Data'!A28718", "Percentage of households unable to obtain needed social and administrative services, by type of services broken down by households with at least one m...")</f>
        <v>Percentage of households unable to obtain needed social and administrative services, by type of services broken down by households with at least one m...</v>
      </c>
    </row>
    <row r="1546" spans="2:6" x14ac:dyDescent="0.35">
      <c r="B1546" t="s">
        <v>129</v>
      </c>
      <c r="C1546" t="s">
        <v>208</v>
      </c>
      <c r="D1546" t="s">
        <v>58</v>
      </c>
      <c r="E1546" s="43">
        <v>2036</v>
      </c>
      <c r="F1546" s="21" t="str">
        <f>HYPERLINK("#'Data'!A28732", "Percentage of households unable to obtain needed social and administrative services, by type of services broken down by urbanity on the admin of macro...")</f>
        <v>Percentage of households unable to obtain needed social and administrative services, by type of services broken down by urbanity on the admin of macro...</v>
      </c>
    </row>
    <row r="1547" spans="2:6" x14ac:dyDescent="0.35">
      <c r="B1547" t="s">
        <v>129</v>
      </c>
      <c r="C1547" t="s">
        <v>208</v>
      </c>
      <c r="D1547" t="s">
        <v>59</v>
      </c>
      <c r="E1547" s="43">
        <v>2037</v>
      </c>
      <c r="F1547" s="21" t="str">
        <f>HYPERLINK("#'Data'!A28746", "Percentage of households unable to obtain needed social and administrative services, by type of services broken down by household size on the admin of...")</f>
        <v>Percentage of households unable to obtain needed social and administrative services, by type of services broken down by household size on the admin of...</v>
      </c>
    </row>
    <row r="1548" spans="2:6" x14ac:dyDescent="0.35">
      <c r="B1548" t="s">
        <v>129</v>
      </c>
      <c r="C1548" t="s">
        <v>208</v>
      </c>
      <c r="D1548" t="s">
        <v>60</v>
      </c>
      <c r="E1548" s="43">
        <v>2038</v>
      </c>
      <c r="F1548" s="21" t="str">
        <f>HYPERLINK("#'Data'!A28765", "Percentage of households unable to obtain needed social and administrative services, by type of services broken down by income per capita (quartiles) ...")</f>
        <v>Percentage of households unable to obtain needed social and administrative services, by type of services broken down by income per capita (quartiles) ...</v>
      </c>
    </row>
    <row r="1549" spans="2:6" x14ac:dyDescent="0.35">
      <c r="B1549" t="s">
        <v>129</v>
      </c>
      <c r="C1549" t="s">
        <v>208</v>
      </c>
      <c r="D1549" t="s">
        <v>61</v>
      </c>
      <c r="E1549" s="43">
        <v>2039</v>
      </c>
      <c r="F1549" s="21" t="str">
        <f>HYPERLINK("#'Data'!A28789", "Percentage of households unable to obtain needed social and administrative services, by type of services broken down by gender of head of household on...")</f>
        <v>Percentage of households unable to obtain needed social and administrative services, by type of services broken down by gender of head of household on...</v>
      </c>
    </row>
    <row r="1550" spans="2:6" x14ac:dyDescent="0.35">
      <c r="B1550" t="s">
        <v>129</v>
      </c>
      <c r="C1550" t="s">
        <v>208</v>
      </c>
      <c r="D1550" t="s">
        <v>62</v>
      </c>
      <c r="E1550" s="43">
        <v>2040</v>
      </c>
      <c r="F1550" s="21" t="str">
        <f>HYPERLINK("#'Data'!A28809", "Percentage of households unable to obtain needed social and administrative services, by type of services broken down by age of adults in the household...")</f>
        <v>Percentage of households unable to obtain needed social and administrative services, by type of services broken down by age of adults in the household...</v>
      </c>
    </row>
    <row r="1551" spans="2:6" x14ac:dyDescent="0.35">
      <c r="B1551" t="s">
        <v>129</v>
      </c>
      <c r="C1551" t="s">
        <v>208</v>
      </c>
      <c r="D1551" t="s">
        <v>76</v>
      </c>
      <c r="E1551" s="43">
        <v>2041</v>
      </c>
      <c r="F1551" s="21" t="str">
        <f>HYPERLINK("#'Data'!A28828", "Percentage of households unable to obtain needed social and administrative services, by type of services broken down by households with at least one c...")</f>
        <v>Percentage of households unable to obtain needed social and administrative services, by type of services broken down by households with at least one c...</v>
      </c>
    </row>
    <row r="1552" spans="2:6" x14ac:dyDescent="0.35">
      <c r="B1552" t="s">
        <v>129</v>
      </c>
      <c r="C1552" t="s">
        <v>208</v>
      </c>
      <c r="D1552" t="s">
        <v>63</v>
      </c>
      <c r="E1552" s="43">
        <v>2042</v>
      </c>
      <c r="F1552" s="21" t="str">
        <f>HYPERLINK("#'Data'!A28842", "Percentage of households unable to obtain needed social and administrative services, by type of services broken down by displacement status of head of...")</f>
        <v>Percentage of households unable to obtain needed social and administrative services, by type of services broken down by displacement status of head of...</v>
      </c>
    </row>
    <row r="1553" spans="2:6" x14ac:dyDescent="0.35">
      <c r="B1553" t="s">
        <v>129</v>
      </c>
      <c r="C1553" t="s">
        <v>208</v>
      </c>
      <c r="D1553" t="s">
        <v>64</v>
      </c>
      <c r="E1553" s="43">
        <v>2043</v>
      </c>
      <c r="F1553" s="21" t="str">
        <f>HYPERLINK("#'Data'!A28869", "Percentage of households unable to obtain needed social and administrative services, by type of services broken down by IDP household on the admin of ...")</f>
        <v>Percentage of households unable to obtain needed social and administrative services, by type of services broken down by IDP household on the admin of ...</v>
      </c>
    </row>
    <row r="1554" spans="2:6" x14ac:dyDescent="0.35">
      <c r="B1554" t="s">
        <v>129</v>
      </c>
      <c r="C1554" t="s">
        <v>208</v>
      </c>
      <c r="D1554" t="s">
        <v>65</v>
      </c>
      <c r="E1554" s="43">
        <v>2044</v>
      </c>
      <c r="F1554" s="21" t="str">
        <f>HYPERLINK("#'Data'!A28883", "Percentage of households unable to obtain needed social and administrative services, by type of services broken down by proximity to frontline/border ...")</f>
        <v>Percentage of households unable to obtain needed social and administrative services, by type of services broken down by proximity to frontline/border ...</v>
      </c>
    </row>
    <row r="1555" spans="2:6" x14ac:dyDescent="0.35">
      <c r="B1555" t="s">
        <v>129</v>
      </c>
      <c r="C1555" t="s">
        <v>208</v>
      </c>
      <c r="D1555" t="s">
        <v>77</v>
      </c>
      <c r="E1555" s="43">
        <v>2045</v>
      </c>
      <c r="F1555" s="21" t="str">
        <f>HYPERLINK("#'Data'!A28898", "Percentage of households unable to obtain needed social and administrative services, by type of services broken down by caregiving status  on the admi...")</f>
        <v>Percentage of households unable to obtain needed social and administrative services, by type of services broken down by caregiving status  on the admi...</v>
      </c>
    </row>
    <row r="1556" spans="2:6" x14ac:dyDescent="0.35">
      <c r="B1556" t="s">
        <v>129</v>
      </c>
      <c r="C1556" t="s">
        <v>208</v>
      </c>
      <c r="D1556" t="s">
        <v>131</v>
      </c>
      <c r="E1556" s="43">
        <v>2046</v>
      </c>
      <c r="F1556" s="21" t="str">
        <f>HYPERLINK("#'Data'!A28920", "Percentage of households unable to obtain needed social and administrative services, by type of services broken down by gender of respondent on the ad...")</f>
        <v>Percentage of households unable to obtain needed social and administrative services, by type of services broken down by gender of respondent on the ad...</v>
      </c>
    </row>
    <row r="1557" spans="2:6" x14ac:dyDescent="0.35">
      <c r="B1557" t="s">
        <v>129</v>
      </c>
      <c r="C1557" t="s">
        <v>208</v>
      </c>
      <c r="D1557" t="s">
        <v>132</v>
      </c>
      <c r="E1557" s="43">
        <v>2047</v>
      </c>
      <c r="F1557" s="21" t="str">
        <f>HYPERLINK("#'Data'!A28936", "Percentage of households unable to obtain needed social and administrative services, by type of services broken down by age of respondents on the admi...")</f>
        <v>Percentage of households unable to obtain needed social and administrative services, by type of services broken down by age of respondents on the admi...</v>
      </c>
    </row>
    <row r="1558" spans="2:6" x14ac:dyDescent="0.35">
      <c r="B1558" t="s">
        <v>129</v>
      </c>
      <c r="C1558" t="s">
        <v>208</v>
      </c>
      <c r="D1558" t="s">
        <v>133</v>
      </c>
      <c r="E1558" s="43">
        <v>2048</v>
      </c>
      <c r="F1558" s="21" t="str">
        <f>HYPERLINK("#'Data'!A28960", "Percentage of households unable to obtain needed social and administrative services, by type of services broken down by gender and age of respondents ...")</f>
        <v>Percentage of households unable to obtain needed social and administrative services, by type of services broken down by gender and age of respondents ...</v>
      </c>
    </row>
    <row r="1559" spans="2:6" x14ac:dyDescent="0.35">
      <c r="B1559" t="s">
        <v>129</v>
      </c>
      <c r="C1559" t="s">
        <v>209</v>
      </c>
      <c r="D1559" t="s">
        <v>36</v>
      </c>
      <c r="E1559" s="43">
        <v>2049</v>
      </c>
      <c r="F1559" s="21" t="str">
        <f>HYPERLINK("#'Data'!A29006", "Percentage of households reporting services for women/girls are needed but not available in the area, by type of services on the admin of macroregion ...")</f>
        <v>Percentage of households reporting services for women/girls are needed but not available in the area, by type of services on the admin of macroregion ...</v>
      </c>
    </row>
    <row r="1560" spans="2:6" x14ac:dyDescent="0.35">
      <c r="B1560" t="s">
        <v>129</v>
      </c>
      <c r="C1560" t="s">
        <v>209</v>
      </c>
      <c r="D1560" t="s">
        <v>57</v>
      </c>
      <c r="E1560" s="43">
        <v>2050</v>
      </c>
      <c r="F1560" s="21" t="str">
        <f>HYPERLINK("#'Data'!A29015", "Percentage of households reporting services for women/girls are needed but not available in the area, by type of services broken down by households wi...")</f>
        <v>Percentage of households reporting services for women/girls are needed but not available in the area, by type of services broken down by households wi...</v>
      </c>
    </row>
    <row r="1561" spans="2:6" x14ac:dyDescent="0.35">
      <c r="B1561" t="s">
        <v>129</v>
      </c>
      <c r="C1561" t="s">
        <v>209</v>
      </c>
      <c r="D1561" t="s">
        <v>58</v>
      </c>
      <c r="E1561" s="43">
        <v>2051</v>
      </c>
      <c r="F1561" s="21" t="str">
        <f>HYPERLINK("#'Data'!A29029", "Percentage of households reporting services for women/girls are needed but not available in the area, by type of services broken down by urbanity on t...")</f>
        <v>Percentage of households reporting services for women/girls are needed but not available in the area, by type of services broken down by urbanity on t...</v>
      </c>
    </row>
    <row r="1562" spans="2:6" x14ac:dyDescent="0.35">
      <c r="B1562" t="s">
        <v>129</v>
      </c>
      <c r="C1562" t="s">
        <v>209</v>
      </c>
      <c r="D1562" t="s">
        <v>59</v>
      </c>
      <c r="E1562" s="43">
        <v>2052</v>
      </c>
      <c r="F1562" s="21" t="str">
        <f>HYPERLINK("#'Data'!A29043", "Percentage of households reporting services for women/girls are needed but not available in the area, by type of services broken down by household siz...")</f>
        <v>Percentage of households reporting services for women/girls are needed but not available in the area, by type of services broken down by household siz...</v>
      </c>
    </row>
    <row r="1563" spans="2:6" x14ac:dyDescent="0.35">
      <c r="B1563" t="s">
        <v>129</v>
      </c>
      <c r="C1563" t="s">
        <v>209</v>
      </c>
      <c r="D1563" t="s">
        <v>60</v>
      </c>
      <c r="E1563" s="43">
        <v>2053</v>
      </c>
      <c r="F1563" s="21" t="str">
        <f>HYPERLINK("#'Data'!A29062", "Percentage of households reporting services for women/girls are needed but not available in the area, by type of services broken down by income per ca...")</f>
        <v>Percentage of households reporting services for women/girls are needed but not available in the area, by type of services broken down by income per ca...</v>
      </c>
    </row>
    <row r="1564" spans="2:6" x14ac:dyDescent="0.35">
      <c r="B1564" t="s">
        <v>129</v>
      </c>
      <c r="C1564" t="s">
        <v>209</v>
      </c>
      <c r="D1564" t="s">
        <v>61</v>
      </c>
      <c r="E1564" s="43">
        <v>2054</v>
      </c>
      <c r="F1564" s="21" t="str">
        <f>HYPERLINK("#'Data'!A29086", "Percentage of households reporting services for women/girls are needed but not available in the area, by type of services broken down by gender of hea...")</f>
        <v>Percentage of households reporting services for women/girls are needed but not available in the area, by type of services broken down by gender of hea...</v>
      </c>
    </row>
    <row r="1565" spans="2:6" x14ac:dyDescent="0.35">
      <c r="B1565" t="s">
        <v>129</v>
      </c>
      <c r="C1565" t="s">
        <v>209</v>
      </c>
      <c r="D1565" t="s">
        <v>62</v>
      </c>
      <c r="E1565" s="43">
        <v>2055</v>
      </c>
      <c r="F1565" s="21" t="str">
        <f>HYPERLINK("#'Data'!A29106", "Percentage of households reporting services for women/girls are needed but not available in the area, by type of services broken down by age of adults...")</f>
        <v>Percentage of households reporting services for women/girls are needed but not available in the area, by type of services broken down by age of adults...</v>
      </c>
    </row>
    <row r="1566" spans="2:6" x14ac:dyDescent="0.35">
      <c r="B1566" t="s">
        <v>129</v>
      </c>
      <c r="C1566" t="s">
        <v>209</v>
      </c>
      <c r="D1566" t="s">
        <v>76</v>
      </c>
      <c r="E1566" s="43">
        <v>2056</v>
      </c>
      <c r="F1566" s="21" t="str">
        <f>HYPERLINK("#'Data'!A29125", "Percentage of households reporting services for women/girls are needed but not available in the area, by type of services broken down by households wi...")</f>
        <v>Percentage of households reporting services for women/girls are needed but not available in the area, by type of services broken down by households wi...</v>
      </c>
    </row>
    <row r="1567" spans="2:6" x14ac:dyDescent="0.35">
      <c r="B1567" t="s">
        <v>129</v>
      </c>
      <c r="C1567" t="s">
        <v>209</v>
      </c>
      <c r="D1567" t="s">
        <v>63</v>
      </c>
      <c r="E1567" s="43">
        <v>2057</v>
      </c>
      <c r="F1567" s="21" t="str">
        <f>HYPERLINK("#'Data'!A29139", "Percentage of households reporting services for women/girls are needed but not available in the area, by type of services broken down by displacement ...")</f>
        <v>Percentage of households reporting services for women/girls are needed but not available in the area, by type of services broken down by displacement ...</v>
      </c>
    </row>
    <row r="1568" spans="2:6" x14ac:dyDescent="0.35">
      <c r="B1568" t="s">
        <v>129</v>
      </c>
      <c r="C1568" t="s">
        <v>209</v>
      </c>
      <c r="D1568" t="s">
        <v>64</v>
      </c>
      <c r="E1568" s="43">
        <v>2058</v>
      </c>
      <c r="F1568" s="21" t="str">
        <f>HYPERLINK("#'Data'!A29166", "Percentage of households reporting services for women/girls are needed but not available in the area, by type of services broken down by IDP household...")</f>
        <v>Percentage of households reporting services for women/girls are needed but not available in the area, by type of services broken down by IDP household...</v>
      </c>
    </row>
    <row r="1569" spans="2:6" x14ac:dyDescent="0.35">
      <c r="B1569" t="s">
        <v>129</v>
      </c>
      <c r="C1569" t="s">
        <v>209</v>
      </c>
      <c r="D1569" t="s">
        <v>65</v>
      </c>
      <c r="E1569" s="43">
        <v>2059</v>
      </c>
      <c r="F1569" s="21" t="str">
        <f>HYPERLINK("#'Data'!A29180", "Percentage of households reporting services for women/girls are needed but not available in the area, by type of services broken down by proximity to ...")</f>
        <v>Percentage of households reporting services for women/girls are needed but not available in the area, by type of services broken down by proximity to ...</v>
      </c>
    </row>
    <row r="1570" spans="2:6" x14ac:dyDescent="0.35">
      <c r="B1570" t="s">
        <v>129</v>
      </c>
      <c r="C1570" t="s">
        <v>209</v>
      </c>
      <c r="D1570" t="s">
        <v>77</v>
      </c>
      <c r="E1570" s="43">
        <v>2060</v>
      </c>
      <c r="F1570" s="21" t="str">
        <f>HYPERLINK("#'Data'!A29195", "Percentage of households reporting services for women/girls are needed but not available in the area, by type of services broken down by caregiving st...")</f>
        <v>Percentage of households reporting services for women/girls are needed but not available in the area, by type of services broken down by caregiving st...</v>
      </c>
    </row>
    <row r="1571" spans="2:6" x14ac:dyDescent="0.35">
      <c r="B1571" t="s">
        <v>129</v>
      </c>
      <c r="C1571" t="s">
        <v>209</v>
      </c>
      <c r="D1571" t="s">
        <v>131</v>
      </c>
      <c r="E1571" s="43">
        <v>2061</v>
      </c>
      <c r="F1571" s="21" t="str">
        <f>HYPERLINK("#'Data'!A29217", "Percentage of households reporting services for women/girls are needed but not available in the area, by type of services broken down by gender of res...")</f>
        <v>Percentage of households reporting services for women/girls are needed but not available in the area, by type of services broken down by gender of res...</v>
      </c>
    </row>
    <row r="1572" spans="2:6" x14ac:dyDescent="0.35">
      <c r="B1572" t="s">
        <v>129</v>
      </c>
      <c r="C1572" t="s">
        <v>209</v>
      </c>
      <c r="D1572" t="s">
        <v>132</v>
      </c>
      <c r="E1572" s="43">
        <v>2062</v>
      </c>
      <c r="F1572" s="21" t="str">
        <f>HYPERLINK("#'Data'!A29233", "Percentage of households reporting services for women/girls are needed but not available in the area, by type of services broken down by age of respon...")</f>
        <v>Percentage of households reporting services for women/girls are needed but not available in the area, by type of services broken down by age of respon...</v>
      </c>
    </row>
    <row r="1573" spans="2:6" x14ac:dyDescent="0.35">
      <c r="B1573" t="s">
        <v>129</v>
      </c>
      <c r="C1573" t="s">
        <v>209</v>
      </c>
      <c r="D1573" t="s">
        <v>133</v>
      </c>
      <c r="E1573" s="43">
        <v>2063</v>
      </c>
      <c r="F1573" s="21" t="str">
        <f>HYPERLINK("#'Data'!A29257", "Percentage of households reporting services for women/girls are needed but not available in the area, by type of services broken down by gender and ag...")</f>
        <v>Percentage of households reporting services for women/girls are needed but not available in the area, by type of services broken down by gender and ag...</v>
      </c>
    </row>
    <row r="1574" spans="2:6" x14ac:dyDescent="0.35">
      <c r="B1574" t="s">
        <v>129</v>
      </c>
      <c r="C1574" t="s">
        <v>210</v>
      </c>
      <c r="D1574" t="s">
        <v>36</v>
      </c>
      <c r="E1574" s="43">
        <v>2064</v>
      </c>
      <c r="F1574" s="21" t="str">
        <f>HYPERLINK("#'Data'!A29303", "Percentage of household reporting services for children are needed but not available in the area, by type of service on the admin of macroregion perc")</f>
        <v>Percentage of household reporting services for children are needed but not available in the area, by type of service on the admin of macroregion perc</v>
      </c>
    </row>
    <row r="1575" spans="2:6" x14ac:dyDescent="0.35">
      <c r="B1575" t="s">
        <v>129</v>
      </c>
      <c r="C1575" t="s">
        <v>210</v>
      </c>
      <c r="D1575" t="s">
        <v>57</v>
      </c>
      <c r="E1575" s="43">
        <v>2065</v>
      </c>
      <c r="F1575" s="21" t="str">
        <f>HYPERLINK("#'Data'!A29312", "Percentage of household reporting services for children are needed but not available in the area, by type of service broken down by households with at...")</f>
        <v>Percentage of household reporting services for children are needed but not available in the area, by type of service broken down by households with at...</v>
      </c>
    </row>
    <row r="1576" spans="2:6" x14ac:dyDescent="0.35">
      <c r="B1576" t="s">
        <v>129</v>
      </c>
      <c r="C1576" t="s">
        <v>210</v>
      </c>
      <c r="D1576" t="s">
        <v>58</v>
      </c>
      <c r="E1576" s="43">
        <v>2066</v>
      </c>
      <c r="F1576" s="21" t="str">
        <f>HYPERLINK("#'Data'!A29326", "Percentage of household reporting services for children are needed but not available in the area, by type of service broken down by urbanity on the ad...")</f>
        <v>Percentage of household reporting services for children are needed but not available in the area, by type of service broken down by urbanity on the ad...</v>
      </c>
    </row>
    <row r="1577" spans="2:6" x14ac:dyDescent="0.35">
      <c r="B1577" t="s">
        <v>129</v>
      </c>
      <c r="C1577" t="s">
        <v>210</v>
      </c>
      <c r="D1577" t="s">
        <v>59</v>
      </c>
      <c r="E1577" s="43">
        <v>2067</v>
      </c>
      <c r="F1577" s="21" t="str">
        <f>HYPERLINK("#'Data'!A29340", "Percentage of household reporting services for children are needed but not available in the area, by type of service broken down by household size on ...")</f>
        <v>Percentage of household reporting services for children are needed but not available in the area, by type of service broken down by household size on ...</v>
      </c>
    </row>
    <row r="1578" spans="2:6" x14ac:dyDescent="0.35">
      <c r="B1578" t="s">
        <v>129</v>
      </c>
      <c r="C1578" t="s">
        <v>210</v>
      </c>
      <c r="D1578" t="s">
        <v>60</v>
      </c>
      <c r="E1578" s="43">
        <v>2068</v>
      </c>
      <c r="F1578" s="21" t="str">
        <f>HYPERLINK("#'Data'!A29359", "Percentage of household reporting services for children are needed but not available in the area, by type of service broken down by income per capita ...")</f>
        <v>Percentage of household reporting services for children are needed but not available in the area, by type of service broken down by income per capita ...</v>
      </c>
    </row>
    <row r="1579" spans="2:6" x14ac:dyDescent="0.35">
      <c r="B1579" t="s">
        <v>129</v>
      </c>
      <c r="C1579" t="s">
        <v>210</v>
      </c>
      <c r="D1579" t="s">
        <v>61</v>
      </c>
      <c r="E1579" s="43">
        <v>2069</v>
      </c>
      <c r="F1579" s="21" t="str">
        <f>HYPERLINK("#'Data'!A29383", "Percentage of household reporting services for children are needed but not available in the area, by type of service broken down by gender of head of ...")</f>
        <v>Percentage of household reporting services for children are needed but not available in the area, by type of service broken down by gender of head of ...</v>
      </c>
    </row>
    <row r="1580" spans="2:6" x14ac:dyDescent="0.35">
      <c r="B1580" t="s">
        <v>129</v>
      </c>
      <c r="C1580" t="s">
        <v>210</v>
      </c>
      <c r="D1580" t="s">
        <v>62</v>
      </c>
      <c r="E1580" s="43">
        <v>2070</v>
      </c>
      <c r="F1580" s="21" t="str">
        <f>HYPERLINK("#'Data'!A29403", "Percentage of household reporting services for children are needed but not available in the area, by type of service broken down by age of adults in t...")</f>
        <v>Percentage of household reporting services for children are needed but not available in the area, by type of service broken down by age of adults in t...</v>
      </c>
    </row>
    <row r="1581" spans="2:6" x14ac:dyDescent="0.35">
      <c r="B1581" t="s">
        <v>129</v>
      </c>
      <c r="C1581" t="s">
        <v>210</v>
      </c>
      <c r="D1581" t="s">
        <v>76</v>
      </c>
      <c r="E1581" s="43">
        <v>2071</v>
      </c>
      <c r="F1581" s="21" t="str">
        <f>HYPERLINK("#'Data'!A29422", "Percentage of household reporting services for children are needed but not available in the area, by type of service broken down by households with at...")</f>
        <v>Percentage of household reporting services for children are needed but not available in the area, by type of service broken down by households with at...</v>
      </c>
    </row>
    <row r="1582" spans="2:6" x14ac:dyDescent="0.35">
      <c r="B1582" t="s">
        <v>129</v>
      </c>
      <c r="C1582" t="s">
        <v>210</v>
      </c>
      <c r="D1582" t="s">
        <v>63</v>
      </c>
      <c r="E1582" s="43">
        <v>2072</v>
      </c>
      <c r="F1582" s="21" t="str">
        <f>HYPERLINK("#'Data'!A29436", "Percentage of household reporting services for children are needed but not available in the area, by type of service broken down by displacement statu...")</f>
        <v>Percentage of household reporting services for children are needed but not available in the area, by type of service broken down by displacement statu...</v>
      </c>
    </row>
    <row r="1583" spans="2:6" x14ac:dyDescent="0.35">
      <c r="B1583" t="s">
        <v>129</v>
      </c>
      <c r="C1583" t="s">
        <v>210</v>
      </c>
      <c r="D1583" t="s">
        <v>64</v>
      </c>
      <c r="E1583" s="43">
        <v>2073</v>
      </c>
      <c r="F1583" s="21" t="str">
        <f>HYPERLINK("#'Data'!A29463", "Percentage of household reporting services for children are needed but not available in the area, by type of service broken down by IDP household on t...")</f>
        <v>Percentage of household reporting services for children are needed but not available in the area, by type of service broken down by IDP household on t...</v>
      </c>
    </row>
    <row r="1584" spans="2:6" x14ac:dyDescent="0.35">
      <c r="B1584" t="s">
        <v>129</v>
      </c>
      <c r="C1584" t="s">
        <v>210</v>
      </c>
      <c r="D1584" t="s">
        <v>65</v>
      </c>
      <c r="E1584" s="43">
        <v>2074</v>
      </c>
      <c r="F1584" s="21" t="str">
        <f>HYPERLINK("#'Data'!A29477", "Percentage of household reporting services for children are needed but not available in the area, by type of service broken down by proximity to front...")</f>
        <v>Percentage of household reporting services for children are needed but not available in the area, by type of service broken down by proximity to front...</v>
      </c>
    </row>
    <row r="1585" spans="2:6" x14ac:dyDescent="0.35">
      <c r="B1585" t="s">
        <v>129</v>
      </c>
      <c r="C1585" t="s">
        <v>210</v>
      </c>
      <c r="D1585" t="s">
        <v>77</v>
      </c>
      <c r="E1585" s="43">
        <v>2075</v>
      </c>
      <c r="F1585" s="21" t="str">
        <f>HYPERLINK("#'Data'!A29492", "Percentage of household reporting services for children are needed but not available in the area, by type of service broken down by caregiving status ...")</f>
        <v>Percentage of household reporting services for children are needed but not available in the area, by type of service broken down by caregiving status ...</v>
      </c>
    </row>
    <row r="1586" spans="2:6" x14ac:dyDescent="0.35">
      <c r="B1586" t="s">
        <v>129</v>
      </c>
      <c r="C1586" t="s">
        <v>210</v>
      </c>
      <c r="D1586" t="s">
        <v>131</v>
      </c>
      <c r="E1586" s="43">
        <v>2076</v>
      </c>
      <c r="F1586" s="21" t="str">
        <f>HYPERLINK("#'Data'!A29514", "Percentage of household reporting services for children are needed but not available in the area, by type of service broken down by gender of responde...")</f>
        <v>Percentage of household reporting services for children are needed but not available in the area, by type of service broken down by gender of responde...</v>
      </c>
    </row>
    <row r="1587" spans="2:6" x14ac:dyDescent="0.35">
      <c r="B1587" t="s">
        <v>129</v>
      </c>
      <c r="C1587" t="s">
        <v>210</v>
      </c>
      <c r="D1587" t="s">
        <v>132</v>
      </c>
      <c r="E1587" s="43">
        <v>2077</v>
      </c>
      <c r="F1587" s="21" t="str">
        <f>HYPERLINK("#'Data'!A29530", "Percentage of household reporting services for children are needed but not available in the area, by type of service broken down by age of respondents...")</f>
        <v>Percentage of household reporting services for children are needed but not available in the area, by type of service broken down by age of respondents...</v>
      </c>
    </row>
    <row r="1588" spans="2:6" x14ac:dyDescent="0.35">
      <c r="B1588" t="s">
        <v>129</v>
      </c>
      <c r="C1588" t="s">
        <v>210</v>
      </c>
      <c r="D1588" t="s">
        <v>133</v>
      </c>
      <c r="E1588" s="43">
        <v>2078</v>
      </c>
      <c r="F1588" s="21" t="str">
        <f>HYPERLINK("#'Data'!A29554", "Percentage of household reporting services for children are needed but not available in the area, by type of service broken down by gender and age of ...")</f>
        <v>Percentage of household reporting services for children are needed but not available in the area, by type of service broken down by gender and age of ...</v>
      </c>
    </row>
    <row r="1589" spans="2:6" x14ac:dyDescent="0.35">
      <c r="B1589" t="s">
        <v>129</v>
      </c>
      <c r="C1589" t="s">
        <v>211</v>
      </c>
      <c r="D1589" t="s">
        <v>36</v>
      </c>
      <c r="E1589" s="43">
        <v>2079</v>
      </c>
      <c r="F1589" s="21" t="str">
        <f>HYPERLINK("#'Data'!A29600", "Percentage of households whose ability to work/access resources was affected by threats in the past 3 months on the admin of macroregion perc")</f>
        <v>Percentage of households whose ability to work/access resources was affected by threats in the past 3 months on the admin of macroregion perc</v>
      </c>
    </row>
    <row r="1590" spans="2:6" x14ac:dyDescent="0.35">
      <c r="B1590" t="s">
        <v>129</v>
      </c>
      <c r="C1590" t="s">
        <v>211</v>
      </c>
      <c r="D1590" t="s">
        <v>57</v>
      </c>
      <c r="E1590" s="43">
        <v>2080</v>
      </c>
      <c r="F1590" s="21" t="str">
        <f>HYPERLINK("#'Data'!A29609", "Percentage of households whose ability to work/access resources was affected by threats in the past 3 months broken down by households with at least o...")</f>
        <v>Percentage of households whose ability to work/access resources was affected by threats in the past 3 months broken down by households with at least o...</v>
      </c>
    </row>
    <row r="1591" spans="2:6" x14ac:dyDescent="0.35">
      <c r="B1591" t="s">
        <v>129</v>
      </c>
      <c r="C1591" t="s">
        <v>211</v>
      </c>
      <c r="D1591" t="s">
        <v>58</v>
      </c>
      <c r="E1591" s="43">
        <v>2081</v>
      </c>
      <c r="F1591" s="21" t="str">
        <f>HYPERLINK("#'Data'!A29623", "Percentage of households whose ability to work/access resources was affected by threats in the past 3 months broken down by urbanity on the admin of m...")</f>
        <v>Percentage of households whose ability to work/access resources was affected by threats in the past 3 months broken down by urbanity on the admin of m...</v>
      </c>
    </row>
    <row r="1592" spans="2:6" x14ac:dyDescent="0.35">
      <c r="B1592" t="s">
        <v>129</v>
      </c>
      <c r="C1592" t="s">
        <v>211</v>
      </c>
      <c r="D1592" t="s">
        <v>59</v>
      </c>
      <c r="E1592" s="43">
        <v>2082</v>
      </c>
      <c r="F1592" s="21" t="str">
        <f>HYPERLINK("#'Data'!A29637", "Percentage of households whose ability to work/access resources was affected by threats in the past 3 months broken down by household size on the admi...")</f>
        <v>Percentage of households whose ability to work/access resources was affected by threats in the past 3 months broken down by household size on the admi...</v>
      </c>
    </row>
    <row r="1593" spans="2:6" x14ac:dyDescent="0.35">
      <c r="B1593" t="s">
        <v>129</v>
      </c>
      <c r="C1593" t="s">
        <v>211</v>
      </c>
      <c r="D1593" t="s">
        <v>60</v>
      </c>
      <c r="E1593" s="43">
        <v>2083</v>
      </c>
      <c r="F1593" s="21" t="str">
        <f>HYPERLINK("#'Data'!A29656", "Percentage of households whose ability to work/access resources was affected by threats in the past 3 months broken down by income per capita (quartil...")</f>
        <v>Percentage of households whose ability to work/access resources was affected by threats in the past 3 months broken down by income per capita (quartil...</v>
      </c>
    </row>
    <row r="1594" spans="2:6" x14ac:dyDescent="0.35">
      <c r="B1594" t="s">
        <v>129</v>
      </c>
      <c r="C1594" t="s">
        <v>211</v>
      </c>
      <c r="D1594" t="s">
        <v>61</v>
      </c>
      <c r="E1594" s="43">
        <v>2084</v>
      </c>
      <c r="F1594" s="21" t="str">
        <f>HYPERLINK("#'Data'!A29680", "Percentage of households whose ability to work/access resources was affected by threats in the past 3 months broken down by gender of head of househol...")</f>
        <v>Percentage of households whose ability to work/access resources was affected by threats in the past 3 months broken down by gender of head of househol...</v>
      </c>
    </row>
    <row r="1595" spans="2:6" x14ac:dyDescent="0.35">
      <c r="B1595" t="s">
        <v>129</v>
      </c>
      <c r="C1595" t="s">
        <v>211</v>
      </c>
      <c r="D1595" t="s">
        <v>62</v>
      </c>
      <c r="E1595" s="43">
        <v>2085</v>
      </c>
      <c r="F1595" s="21" t="str">
        <f>HYPERLINK("#'Data'!A29700", "Percentage of households whose ability to work/access resources was affected by threats in the past 3 months broken down by age of adults in the house...")</f>
        <v>Percentage of households whose ability to work/access resources was affected by threats in the past 3 months broken down by age of adults in the house...</v>
      </c>
    </row>
    <row r="1596" spans="2:6" x14ac:dyDescent="0.35">
      <c r="B1596" t="s">
        <v>129</v>
      </c>
      <c r="C1596" t="s">
        <v>211</v>
      </c>
      <c r="D1596" t="s">
        <v>76</v>
      </c>
      <c r="E1596" s="43">
        <v>2086</v>
      </c>
      <c r="F1596" s="21" t="str">
        <f>HYPERLINK("#'Data'!A29719", "Percentage of households whose ability to work/access resources was affected by threats in the past 3 months broken down by households with at least o...")</f>
        <v>Percentage of households whose ability to work/access resources was affected by threats in the past 3 months broken down by households with at least o...</v>
      </c>
    </row>
    <row r="1597" spans="2:6" x14ac:dyDescent="0.35">
      <c r="B1597" t="s">
        <v>129</v>
      </c>
      <c r="C1597" t="s">
        <v>211</v>
      </c>
      <c r="D1597" t="s">
        <v>63</v>
      </c>
      <c r="E1597" s="43">
        <v>2087</v>
      </c>
      <c r="F1597" s="21" t="str">
        <f>HYPERLINK("#'Data'!A29733", "Percentage of households whose ability to work/access resources was affected by threats in the past 3 months broken down by displacement status of hea...")</f>
        <v>Percentage of households whose ability to work/access resources was affected by threats in the past 3 months broken down by displacement status of hea...</v>
      </c>
    </row>
    <row r="1598" spans="2:6" x14ac:dyDescent="0.35">
      <c r="B1598" t="s">
        <v>129</v>
      </c>
      <c r="C1598" t="s">
        <v>211</v>
      </c>
      <c r="D1598" t="s">
        <v>64</v>
      </c>
      <c r="E1598" s="43">
        <v>2088</v>
      </c>
      <c r="F1598" s="21" t="str">
        <f>HYPERLINK("#'Data'!A29760", "Percentage of households whose ability to work/access resources was affected by threats in the past 3 months broken down by IDP household on the admin...")</f>
        <v>Percentage of households whose ability to work/access resources was affected by threats in the past 3 months broken down by IDP household on the admin...</v>
      </c>
    </row>
    <row r="1599" spans="2:6" x14ac:dyDescent="0.35">
      <c r="B1599" t="s">
        <v>129</v>
      </c>
      <c r="C1599" t="s">
        <v>211</v>
      </c>
      <c r="D1599" t="s">
        <v>65</v>
      </c>
      <c r="E1599" s="43">
        <v>2089</v>
      </c>
      <c r="F1599" s="21" t="str">
        <f>HYPERLINK("#'Data'!A29774", "Percentage of households whose ability to work/access resources was affected by threats in the past 3 months broken down by proximity to frontline/bor...")</f>
        <v>Percentage of households whose ability to work/access resources was affected by threats in the past 3 months broken down by proximity to frontline/bor...</v>
      </c>
    </row>
    <row r="1600" spans="2:6" x14ac:dyDescent="0.35">
      <c r="B1600" t="s">
        <v>129</v>
      </c>
      <c r="C1600" t="s">
        <v>211</v>
      </c>
      <c r="D1600" t="s">
        <v>77</v>
      </c>
      <c r="E1600" s="43">
        <v>2090</v>
      </c>
      <c r="F1600" s="21" t="str">
        <f>HYPERLINK("#'Data'!A29789", "Percentage of households whose ability to work/access resources was affected by threats in the past 3 months broken down by caregiving status  on the ...")</f>
        <v>Percentage of households whose ability to work/access resources was affected by threats in the past 3 months broken down by caregiving status  on the ...</v>
      </c>
    </row>
    <row r="1601" spans="2:6" x14ac:dyDescent="0.35">
      <c r="B1601" t="s">
        <v>129</v>
      </c>
      <c r="C1601" t="s">
        <v>211</v>
      </c>
      <c r="D1601" t="s">
        <v>131</v>
      </c>
      <c r="E1601" s="43">
        <v>2091</v>
      </c>
      <c r="F1601" s="21" t="str">
        <f>HYPERLINK("#'Data'!A29811", "Percentage of households whose ability to work/access resources was affected by threats in the past 3 months broken down by gender of respondent on th...")</f>
        <v>Percentage of households whose ability to work/access resources was affected by threats in the past 3 months broken down by gender of respondent on th...</v>
      </c>
    </row>
    <row r="1602" spans="2:6" x14ac:dyDescent="0.35">
      <c r="B1602" t="s">
        <v>129</v>
      </c>
      <c r="C1602" t="s">
        <v>211</v>
      </c>
      <c r="D1602" t="s">
        <v>132</v>
      </c>
      <c r="E1602" s="43">
        <v>2092</v>
      </c>
      <c r="F1602" s="21" t="str">
        <f>HYPERLINK("#'Data'!A29827", "Percentage of households whose ability to work/access resources was affected by threats in the past 3 months broken down by age of respondents on the ...")</f>
        <v>Percentage of households whose ability to work/access resources was affected by threats in the past 3 months broken down by age of respondents on the ...</v>
      </c>
    </row>
    <row r="1603" spans="2:6" x14ac:dyDescent="0.35">
      <c r="B1603" t="s">
        <v>129</v>
      </c>
      <c r="C1603" t="s">
        <v>211</v>
      </c>
      <c r="D1603" t="s">
        <v>133</v>
      </c>
      <c r="E1603" s="43">
        <v>2093</v>
      </c>
      <c r="F1603" s="21" t="str">
        <f>HYPERLINK("#'Data'!A29851", "Percentage of households whose ability to work/access resources was affected by threats in the past 3 months broken down by gender and age of responde...")</f>
        <v>Percentage of households whose ability to work/access resources was affected by threats in the past 3 months broken down by gender and age of responde...</v>
      </c>
    </row>
    <row r="1604" spans="2:6" x14ac:dyDescent="0.35">
      <c r="B1604" t="s">
        <v>129</v>
      </c>
      <c r="C1604" t="s">
        <v>212</v>
      </c>
      <c r="D1604" t="s">
        <v>36</v>
      </c>
      <c r="E1604" s="43">
        <v>2094</v>
      </c>
      <c r="F1604" s="21" t="str">
        <f>HYPERLINK("#'Data'!A29897", "Percentage of households whose social interactions/participation were limited by threats in the past 3 months on the admin of macroregion perc")</f>
        <v>Percentage of households whose social interactions/participation were limited by threats in the past 3 months on the admin of macroregion perc</v>
      </c>
    </row>
    <row r="1605" spans="2:6" x14ac:dyDescent="0.35">
      <c r="B1605" t="s">
        <v>129</v>
      </c>
      <c r="C1605" t="s">
        <v>212</v>
      </c>
      <c r="D1605" t="s">
        <v>57</v>
      </c>
      <c r="E1605" s="43">
        <v>2095</v>
      </c>
      <c r="F1605" s="21" t="str">
        <f>HYPERLINK("#'Data'!A29906", "Percentage of households whose social interactions/participation were limited by threats in the past 3 months broken down by households with at least ...")</f>
        <v>Percentage of households whose social interactions/participation were limited by threats in the past 3 months broken down by households with at least ...</v>
      </c>
    </row>
    <row r="1606" spans="2:6" x14ac:dyDescent="0.35">
      <c r="B1606" t="s">
        <v>129</v>
      </c>
      <c r="C1606" t="s">
        <v>212</v>
      </c>
      <c r="D1606" t="s">
        <v>58</v>
      </c>
      <c r="E1606" s="43">
        <v>2096</v>
      </c>
      <c r="F1606" s="21" t="str">
        <f>HYPERLINK("#'Data'!A29920", "Percentage of households whose social interactions/participation were limited by threats in the past 3 months broken down by urbanity on the admin of ...")</f>
        <v>Percentage of households whose social interactions/participation were limited by threats in the past 3 months broken down by urbanity on the admin of ...</v>
      </c>
    </row>
    <row r="1607" spans="2:6" x14ac:dyDescent="0.35">
      <c r="B1607" t="s">
        <v>129</v>
      </c>
      <c r="C1607" t="s">
        <v>212</v>
      </c>
      <c r="D1607" t="s">
        <v>59</v>
      </c>
      <c r="E1607" s="43">
        <v>2097</v>
      </c>
      <c r="F1607" s="21" t="str">
        <f>HYPERLINK("#'Data'!A29934", "Percentage of households whose social interactions/participation were limited by threats in the past 3 months broken down by household size on the adm...")</f>
        <v>Percentage of households whose social interactions/participation were limited by threats in the past 3 months broken down by household size on the adm...</v>
      </c>
    </row>
    <row r="1608" spans="2:6" x14ac:dyDescent="0.35">
      <c r="B1608" t="s">
        <v>129</v>
      </c>
      <c r="C1608" t="s">
        <v>212</v>
      </c>
      <c r="D1608" t="s">
        <v>60</v>
      </c>
      <c r="E1608" s="43">
        <v>2098</v>
      </c>
      <c r="F1608" s="21" t="str">
        <f>HYPERLINK("#'Data'!A29953", "Percentage of households whose social interactions/participation were limited by threats in the past 3 months broken down by income per capita (quarti...")</f>
        <v>Percentage of households whose social interactions/participation were limited by threats in the past 3 months broken down by income per capita (quarti...</v>
      </c>
    </row>
    <row r="1609" spans="2:6" x14ac:dyDescent="0.35">
      <c r="B1609" t="s">
        <v>129</v>
      </c>
      <c r="C1609" t="s">
        <v>212</v>
      </c>
      <c r="D1609" t="s">
        <v>61</v>
      </c>
      <c r="E1609" s="43">
        <v>2099</v>
      </c>
      <c r="F1609" s="21" t="str">
        <f>HYPERLINK("#'Data'!A29977", "Percentage of households whose social interactions/participation were limited by threats in the past 3 months broken down by gender of head of househo...")</f>
        <v>Percentage of households whose social interactions/participation were limited by threats in the past 3 months broken down by gender of head of househo...</v>
      </c>
    </row>
    <row r="1610" spans="2:6" x14ac:dyDescent="0.35">
      <c r="B1610" t="s">
        <v>129</v>
      </c>
      <c r="C1610" t="s">
        <v>212</v>
      </c>
      <c r="D1610" t="s">
        <v>62</v>
      </c>
      <c r="E1610" s="43">
        <v>2100</v>
      </c>
      <c r="F1610" s="21" t="str">
        <f>HYPERLINK("#'Data'!A29997", "Percentage of households whose social interactions/participation were limited by threats in the past 3 months broken down by age of adults in the hous...")</f>
        <v>Percentage of households whose social interactions/participation were limited by threats in the past 3 months broken down by age of adults in the hous...</v>
      </c>
    </row>
    <row r="1611" spans="2:6" x14ac:dyDescent="0.35">
      <c r="B1611" t="s">
        <v>129</v>
      </c>
      <c r="C1611" t="s">
        <v>212</v>
      </c>
      <c r="D1611" t="s">
        <v>76</v>
      </c>
      <c r="E1611" s="43">
        <v>2101</v>
      </c>
      <c r="F1611" s="21" t="str">
        <f>HYPERLINK("#'Data'!A30016", "Percentage of households whose social interactions/participation were limited by threats in the past 3 months broken down by households with at least ...")</f>
        <v>Percentage of households whose social interactions/participation were limited by threats in the past 3 months broken down by households with at least ...</v>
      </c>
    </row>
    <row r="1612" spans="2:6" x14ac:dyDescent="0.35">
      <c r="B1612" t="s">
        <v>129</v>
      </c>
      <c r="C1612" t="s">
        <v>212</v>
      </c>
      <c r="D1612" t="s">
        <v>63</v>
      </c>
      <c r="E1612" s="43">
        <v>2102</v>
      </c>
      <c r="F1612" s="21" t="str">
        <f>HYPERLINK("#'Data'!A30030", "Percentage of households whose social interactions/participation were limited by threats in the past 3 months broken down by displacement status of he...")</f>
        <v>Percentage of households whose social interactions/participation were limited by threats in the past 3 months broken down by displacement status of he...</v>
      </c>
    </row>
    <row r="1613" spans="2:6" x14ac:dyDescent="0.35">
      <c r="B1613" t="s">
        <v>129</v>
      </c>
      <c r="C1613" t="s">
        <v>212</v>
      </c>
      <c r="D1613" t="s">
        <v>64</v>
      </c>
      <c r="E1613" s="43">
        <v>2103</v>
      </c>
      <c r="F1613" s="21" t="str">
        <f>HYPERLINK("#'Data'!A30057", "Percentage of households whose social interactions/participation were limited by threats in the past 3 months broken down by IDP household on the admi...")</f>
        <v>Percentage of households whose social interactions/participation were limited by threats in the past 3 months broken down by IDP household on the admi...</v>
      </c>
    </row>
    <row r="1614" spans="2:6" x14ac:dyDescent="0.35">
      <c r="B1614" t="s">
        <v>129</v>
      </c>
      <c r="C1614" t="s">
        <v>212</v>
      </c>
      <c r="D1614" t="s">
        <v>65</v>
      </c>
      <c r="E1614" s="43">
        <v>2104</v>
      </c>
      <c r="F1614" s="21" t="str">
        <f>HYPERLINK("#'Data'!A30071", "Percentage of households whose social interactions/participation were limited by threats in the past 3 months broken down by proximity to frontline/bo...")</f>
        <v>Percentage of households whose social interactions/participation were limited by threats in the past 3 months broken down by proximity to frontline/bo...</v>
      </c>
    </row>
    <row r="1615" spans="2:6" x14ac:dyDescent="0.35">
      <c r="B1615" t="s">
        <v>129</v>
      </c>
      <c r="C1615" t="s">
        <v>212</v>
      </c>
      <c r="D1615" t="s">
        <v>77</v>
      </c>
      <c r="E1615" s="43">
        <v>2105</v>
      </c>
      <c r="F1615" s="21" t="str">
        <f>HYPERLINK("#'Data'!A30086", "Percentage of households whose social interactions/participation were limited by threats in the past 3 months broken down by caregiving status  on the...")</f>
        <v>Percentage of households whose social interactions/participation were limited by threats in the past 3 months broken down by caregiving status  on the...</v>
      </c>
    </row>
    <row r="1616" spans="2:6" x14ac:dyDescent="0.35">
      <c r="B1616" t="s">
        <v>129</v>
      </c>
      <c r="C1616" t="s">
        <v>212</v>
      </c>
      <c r="D1616" t="s">
        <v>131</v>
      </c>
      <c r="E1616" s="43">
        <v>2106</v>
      </c>
      <c r="F1616" s="21" t="str">
        <f>HYPERLINK("#'Data'!A30108", "Percentage of households whose social interactions/participation were limited by threats in the past 3 months broken down by gender of respondent on t...")</f>
        <v>Percentage of households whose social interactions/participation were limited by threats in the past 3 months broken down by gender of respondent on t...</v>
      </c>
    </row>
    <row r="1617" spans="2:6" x14ac:dyDescent="0.35">
      <c r="B1617" t="s">
        <v>129</v>
      </c>
      <c r="C1617" t="s">
        <v>212</v>
      </c>
      <c r="D1617" t="s">
        <v>132</v>
      </c>
      <c r="E1617" s="43">
        <v>2107</v>
      </c>
      <c r="F1617" s="21" t="str">
        <f>HYPERLINK("#'Data'!A30124", "Percentage of households whose social interactions/participation were limited by threats in the past 3 months broken down by age of respondents on the...")</f>
        <v>Percentage of households whose social interactions/participation were limited by threats in the past 3 months broken down by age of respondents on the...</v>
      </c>
    </row>
    <row r="1618" spans="2:6" x14ac:dyDescent="0.35">
      <c r="B1618" t="s">
        <v>129</v>
      </c>
      <c r="C1618" t="s">
        <v>212</v>
      </c>
      <c r="D1618" t="s">
        <v>133</v>
      </c>
      <c r="E1618" s="43">
        <v>2108</v>
      </c>
      <c r="F1618" s="21" t="str">
        <f>HYPERLINK("#'Data'!A30148", "Percentage of households whose social interactions/participation were limited by threats in the past 3 months broken down by gender and age of respond...")</f>
        <v>Percentage of households whose social interactions/participation were limited by threats in the past 3 months broken down by gender and age of respond...</v>
      </c>
    </row>
    <row r="1619" spans="2:6" x14ac:dyDescent="0.35">
      <c r="B1619" t="s">
        <v>129</v>
      </c>
      <c r="C1619" t="s">
        <v>213</v>
      </c>
      <c r="D1619" t="s">
        <v>36</v>
      </c>
      <c r="E1619" s="43">
        <v>2109</v>
      </c>
      <c r="F1619" s="21" t="str">
        <f>HYPERLINK("#'Data'!A30194", "Percentage of households whose movement/access to public spaces changed due to threats in the past 3 months on the admin of macroregion perc")</f>
        <v>Percentage of households whose movement/access to public spaces changed due to threats in the past 3 months on the admin of macroregion perc</v>
      </c>
    </row>
    <row r="1620" spans="2:6" x14ac:dyDescent="0.35">
      <c r="B1620" t="s">
        <v>129</v>
      </c>
      <c r="C1620" t="s">
        <v>213</v>
      </c>
      <c r="D1620" t="s">
        <v>57</v>
      </c>
      <c r="E1620" s="43">
        <v>2110</v>
      </c>
      <c r="F1620" s="21" t="str">
        <f>HYPERLINK("#'Data'!A30203", "Percentage of households whose movement/access to public spaces changed due to threats in the past 3 months broken down by households with at least on...")</f>
        <v>Percentage of households whose movement/access to public spaces changed due to threats in the past 3 months broken down by households with at least on...</v>
      </c>
    </row>
    <row r="1621" spans="2:6" x14ac:dyDescent="0.35">
      <c r="B1621" t="s">
        <v>129</v>
      </c>
      <c r="C1621" t="s">
        <v>213</v>
      </c>
      <c r="D1621" t="s">
        <v>58</v>
      </c>
      <c r="E1621" s="43">
        <v>2111</v>
      </c>
      <c r="F1621" s="21" t="str">
        <f>HYPERLINK("#'Data'!A30217", "Percentage of households whose movement/access to public spaces changed due to threats in the past 3 months broken down by urbanity on the admin of ma...")</f>
        <v>Percentage of households whose movement/access to public spaces changed due to threats in the past 3 months broken down by urbanity on the admin of ma...</v>
      </c>
    </row>
    <row r="1622" spans="2:6" x14ac:dyDescent="0.35">
      <c r="B1622" t="s">
        <v>129</v>
      </c>
      <c r="C1622" t="s">
        <v>213</v>
      </c>
      <c r="D1622" t="s">
        <v>59</v>
      </c>
      <c r="E1622" s="43">
        <v>2112</v>
      </c>
      <c r="F1622" s="21" t="str">
        <f>HYPERLINK("#'Data'!A30231", "Percentage of households whose movement/access to public spaces changed due to threats in the past 3 months broken down by household size on the admin...")</f>
        <v>Percentage of households whose movement/access to public spaces changed due to threats in the past 3 months broken down by household size on the admin...</v>
      </c>
    </row>
    <row r="1623" spans="2:6" x14ac:dyDescent="0.35">
      <c r="B1623" t="s">
        <v>129</v>
      </c>
      <c r="C1623" t="s">
        <v>213</v>
      </c>
      <c r="D1623" t="s">
        <v>60</v>
      </c>
      <c r="E1623" s="43">
        <v>2113</v>
      </c>
      <c r="F1623" s="21" t="str">
        <f>HYPERLINK("#'Data'!A30250", "Percentage of households whose movement/access to public spaces changed due to threats in the past 3 months broken down by income per capita (quartile...")</f>
        <v>Percentage of households whose movement/access to public spaces changed due to threats in the past 3 months broken down by income per capita (quartile...</v>
      </c>
    </row>
    <row r="1624" spans="2:6" x14ac:dyDescent="0.35">
      <c r="B1624" t="s">
        <v>129</v>
      </c>
      <c r="C1624" t="s">
        <v>213</v>
      </c>
      <c r="D1624" t="s">
        <v>61</v>
      </c>
      <c r="E1624" s="43">
        <v>2114</v>
      </c>
      <c r="F1624" s="21" t="str">
        <f>HYPERLINK("#'Data'!A30274", "Percentage of households whose movement/access to public spaces changed due to threats in the past 3 months broken down by gender of head of household...")</f>
        <v>Percentage of households whose movement/access to public spaces changed due to threats in the past 3 months broken down by gender of head of household...</v>
      </c>
    </row>
    <row r="1625" spans="2:6" x14ac:dyDescent="0.35">
      <c r="B1625" t="s">
        <v>129</v>
      </c>
      <c r="C1625" t="s">
        <v>213</v>
      </c>
      <c r="D1625" t="s">
        <v>62</v>
      </c>
      <c r="E1625" s="43">
        <v>2115</v>
      </c>
      <c r="F1625" s="21" t="str">
        <f>HYPERLINK("#'Data'!A30294", "Percentage of households whose movement/access to public spaces changed due to threats in the past 3 months broken down by age of adults in the househ...")</f>
        <v>Percentage of households whose movement/access to public spaces changed due to threats in the past 3 months broken down by age of adults in the househ...</v>
      </c>
    </row>
    <row r="1626" spans="2:6" x14ac:dyDescent="0.35">
      <c r="B1626" t="s">
        <v>129</v>
      </c>
      <c r="C1626" t="s">
        <v>213</v>
      </c>
      <c r="D1626" t="s">
        <v>76</v>
      </c>
      <c r="E1626" s="43">
        <v>2116</v>
      </c>
      <c r="F1626" s="21" t="str">
        <f>HYPERLINK("#'Data'!A30313", "Percentage of households whose movement/access to public spaces changed due to threats in the past 3 months broken down by households with at least on...")</f>
        <v>Percentage of households whose movement/access to public spaces changed due to threats in the past 3 months broken down by households with at least on...</v>
      </c>
    </row>
    <row r="1627" spans="2:6" x14ac:dyDescent="0.35">
      <c r="B1627" t="s">
        <v>129</v>
      </c>
      <c r="C1627" t="s">
        <v>213</v>
      </c>
      <c r="D1627" t="s">
        <v>63</v>
      </c>
      <c r="E1627" s="43">
        <v>2117</v>
      </c>
      <c r="F1627" s="21" t="str">
        <f>HYPERLINK("#'Data'!A30327", "Percentage of households whose movement/access to public spaces changed due to threats in the past 3 months broken down by displacement status of head...")</f>
        <v>Percentage of households whose movement/access to public spaces changed due to threats in the past 3 months broken down by displacement status of head...</v>
      </c>
    </row>
    <row r="1628" spans="2:6" x14ac:dyDescent="0.35">
      <c r="B1628" t="s">
        <v>129</v>
      </c>
      <c r="C1628" t="s">
        <v>213</v>
      </c>
      <c r="D1628" t="s">
        <v>64</v>
      </c>
      <c r="E1628" s="43">
        <v>2118</v>
      </c>
      <c r="F1628" s="21" t="str">
        <f>HYPERLINK("#'Data'!A30354", "Percentage of households whose movement/access to public spaces changed due to threats in the past 3 months broken down by IDP household on the admin ...")</f>
        <v>Percentage of households whose movement/access to public spaces changed due to threats in the past 3 months broken down by IDP household on the admin ...</v>
      </c>
    </row>
    <row r="1629" spans="2:6" x14ac:dyDescent="0.35">
      <c r="B1629" t="s">
        <v>129</v>
      </c>
      <c r="C1629" t="s">
        <v>213</v>
      </c>
      <c r="D1629" t="s">
        <v>65</v>
      </c>
      <c r="E1629" s="43">
        <v>2119</v>
      </c>
      <c r="F1629" s="21" t="str">
        <f>HYPERLINK("#'Data'!A30368", "Percentage of households whose movement/access to public spaces changed due to threats in the past 3 months broken down by proximity to frontline/bord...")</f>
        <v>Percentage of households whose movement/access to public spaces changed due to threats in the past 3 months broken down by proximity to frontline/bord...</v>
      </c>
    </row>
    <row r="1630" spans="2:6" x14ac:dyDescent="0.35">
      <c r="B1630" t="s">
        <v>129</v>
      </c>
      <c r="C1630" t="s">
        <v>213</v>
      </c>
      <c r="D1630" t="s">
        <v>77</v>
      </c>
      <c r="E1630" s="43">
        <v>2120</v>
      </c>
      <c r="F1630" s="21" t="str">
        <f>HYPERLINK("#'Data'!A30383", "Percentage of households whose movement/access to public spaces changed due to threats in the past 3 months broken down by caregiving status  on the a...")</f>
        <v>Percentage of households whose movement/access to public spaces changed due to threats in the past 3 months broken down by caregiving status  on the a...</v>
      </c>
    </row>
    <row r="1631" spans="2:6" x14ac:dyDescent="0.35">
      <c r="B1631" t="s">
        <v>129</v>
      </c>
      <c r="C1631" t="s">
        <v>213</v>
      </c>
      <c r="D1631" t="s">
        <v>131</v>
      </c>
      <c r="E1631" s="43">
        <v>2121</v>
      </c>
      <c r="F1631" s="21" t="str">
        <f>HYPERLINK("#'Data'!A30405", "Percentage of households whose movement/access to public spaces changed due to threats in the past 3 months broken down by gender of respondent on the...")</f>
        <v>Percentage of households whose movement/access to public spaces changed due to threats in the past 3 months broken down by gender of respondent on the...</v>
      </c>
    </row>
    <row r="1632" spans="2:6" x14ac:dyDescent="0.35">
      <c r="B1632" t="s">
        <v>129</v>
      </c>
      <c r="C1632" t="s">
        <v>213</v>
      </c>
      <c r="D1632" t="s">
        <v>132</v>
      </c>
      <c r="E1632" s="43">
        <v>2122</v>
      </c>
      <c r="F1632" s="21" t="str">
        <f>HYPERLINK("#'Data'!A30421", "Percentage of households whose movement/access to public spaces changed due to threats in the past 3 months broken down by age of respondents on the a...")</f>
        <v>Percentage of households whose movement/access to public spaces changed due to threats in the past 3 months broken down by age of respondents on the a...</v>
      </c>
    </row>
    <row r="1633" spans="2:6" x14ac:dyDescent="0.35">
      <c r="B1633" t="s">
        <v>129</v>
      </c>
      <c r="C1633" t="s">
        <v>213</v>
      </c>
      <c r="D1633" t="s">
        <v>133</v>
      </c>
      <c r="E1633" s="43">
        <v>2123</v>
      </c>
      <c r="F1633" s="21" t="str">
        <f>HYPERLINK("#'Data'!A30445", "Percentage of households whose movement/access to public spaces changed due to threats in the past 3 months broken down by gender and age of responden...")</f>
        <v>Percentage of households whose movement/access to public spaces changed due to threats in the past 3 months broken down by gender and age of responden...</v>
      </c>
    </row>
    <row r="1634" spans="2:6" x14ac:dyDescent="0.35">
      <c r="B1634" t="s">
        <v>129</v>
      </c>
      <c r="C1634" t="s">
        <v>214</v>
      </c>
      <c r="D1634" t="s">
        <v>36</v>
      </c>
      <c r="E1634" s="43">
        <v>2124</v>
      </c>
      <c r="F1634" s="21" t="str">
        <f>HYPERLINK("#'Data'!A30491", "Percentage of households with children (&lt;18 y.o.) currently not living in the household on the admin of macroregion perc")</f>
        <v>Percentage of households with children (&lt;18 y.o.) currently not living in the household on the admin of macroregion perc</v>
      </c>
    </row>
    <row r="1635" spans="2:6" x14ac:dyDescent="0.35">
      <c r="B1635" t="s">
        <v>129</v>
      </c>
      <c r="C1635" t="s">
        <v>214</v>
      </c>
      <c r="D1635" t="s">
        <v>64</v>
      </c>
      <c r="E1635" s="43">
        <v>2125</v>
      </c>
      <c r="F1635" s="21" t="str">
        <f>HYPERLINK("#'Data'!A30500", "Percentage of households with children (&lt;18 y.o.) currently not living in the household broken down by IDP household on the admin of macroregion perc")</f>
        <v>Percentage of households with children (&lt;18 y.o.) currently not living in the household broken down by IDP household on the admin of macroregion perc</v>
      </c>
    </row>
    <row r="1636" spans="2:6" x14ac:dyDescent="0.35">
      <c r="B1636" t="s">
        <v>129</v>
      </c>
      <c r="C1636" t="s">
        <v>214</v>
      </c>
      <c r="D1636" t="s">
        <v>65</v>
      </c>
      <c r="E1636" s="43">
        <v>2126</v>
      </c>
      <c r="F1636" s="21" t="str">
        <f>HYPERLINK("#'Data'!A30514", "Percentage of households with children (&lt;18 y.o.) currently not living in the household broken down by proximity to frontline/border with Russian Fede...")</f>
        <v>Percentage of households with children (&lt;18 y.o.) currently not living in the household broken down by proximity to frontline/border with Russian Fede...</v>
      </c>
    </row>
    <row r="1637" spans="2:6" x14ac:dyDescent="0.35">
      <c r="B1637" t="s">
        <v>129</v>
      </c>
      <c r="C1637" t="s">
        <v>215</v>
      </c>
      <c r="D1637" t="s">
        <v>36</v>
      </c>
      <c r="E1637" s="43">
        <v>2127</v>
      </c>
      <c r="F1637" s="21" t="str">
        <f>HYPERLINK("#'Data'!A30529", "Percentage of households with children (&lt;18 y.o.) currently not living in the household, by reasons on the admin of macroregion perc")</f>
        <v>Percentage of households with children (&lt;18 y.o.) currently not living in the household, by reasons on the admin of macroregion perc</v>
      </c>
    </row>
    <row r="1638" spans="2:6" x14ac:dyDescent="0.35">
      <c r="B1638" t="s">
        <v>129</v>
      </c>
      <c r="C1638" t="s">
        <v>215</v>
      </c>
      <c r="D1638" t="s">
        <v>64</v>
      </c>
      <c r="E1638" s="43">
        <v>2128</v>
      </c>
      <c r="F1638" s="21" t="str">
        <f>HYPERLINK("#'Data'!A30538", "Percentage of households with children (&lt;18 y.o.) currently not living in the household, by reasons broken down by IDP household on the admin of macro...")</f>
        <v>Percentage of households with children (&lt;18 y.o.) currently not living in the household, by reasons broken down by IDP household on the admin of macro...</v>
      </c>
    </row>
    <row r="1639" spans="2:6" x14ac:dyDescent="0.35">
      <c r="B1639" t="s">
        <v>129</v>
      </c>
      <c r="C1639" t="s">
        <v>215</v>
      </c>
      <c r="D1639" t="s">
        <v>65</v>
      </c>
      <c r="E1639" s="43">
        <v>2129</v>
      </c>
      <c r="F1639" s="21" t="str">
        <f>HYPERLINK("#'Data'!A30550", "Percentage of households with children (&lt;18 y.o.) currently not living in the household, by reasons broken down by proximity to frontline/border with ...")</f>
        <v>Percentage of households with children (&lt;18 y.o.) currently not living in the household, by reasons broken down by proximity to frontline/border with ...</v>
      </c>
    </row>
    <row r="1640" spans="2:6" x14ac:dyDescent="0.35">
      <c r="B1640" t="s">
        <v>74</v>
      </c>
      <c r="C1640" t="s">
        <v>82</v>
      </c>
      <c r="D1640" t="s">
        <v>216</v>
      </c>
      <c r="E1640" s="43">
        <v>2154</v>
      </c>
      <c r="F1640" s="21" t="str">
        <f>HYPERLINK("#'Data'!A30565", "Average travel time to nearest functioning health facility (minutes) broken down by gender composition of household on the admin of macroregion mean")</f>
        <v>Average travel time to nearest functioning health facility (minutes) broken down by gender composition of household on the admin of macroregion mean</v>
      </c>
    </row>
    <row r="1641" spans="2:6" x14ac:dyDescent="0.35">
      <c r="B1641" t="s">
        <v>74</v>
      </c>
      <c r="C1641" t="s">
        <v>83</v>
      </c>
      <c r="D1641" t="s">
        <v>216</v>
      </c>
      <c r="E1641" s="43">
        <v>2155</v>
      </c>
      <c r="F1641" s="21" t="str">
        <f>HYPERLINK("#'Data'!A30584", "Households with members with chronic conditions requiring regular medication broken down by gender composition of household on the admin of macroregio...")</f>
        <v>Households with members with chronic conditions requiring regular medication broken down by gender composition of household on the admin of macroregio...</v>
      </c>
    </row>
    <row r="1642" spans="2:6" x14ac:dyDescent="0.35">
      <c r="B1642" t="s">
        <v>74</v>
      </c>
      <c r="C1642" t="s">
        <v>84</v>
      </c>
      <c r="D1642" t="s">
        <v>216</v>
      </c>
      <c r="E1642" s="43">
        <v>2156</v>
      </c>
      <c r="F1642" s="21" t="str">
        <f>HYPERLINK("#'Data'!A30603",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643" spans="2:6" x14ac:dyDescent="0.35">
      <c r="B1643" t="s">
        <v>74</v>
      </c>
      <c r="C1643" t="s">
        <v>85</v>
      </c>
      <c r="D1643" t="s">
        <v>216</v>
      </c>
      <c r="E1643" s="43">
        <v>2157</v>
      </c>
      <c r="F1643" s="21" t="str">
        <f>HYPERLINK("#'Data'!A30622", "Percentage of households by barriers preventing access to health care in the past 3 months broken down by gender composition of household on the admin...")</f>
        <v>Percentage of households by barriers preventing access to health care in the past 3 months broken down by gender composition of household on the admin...</v>
      </c>
    </row>
    <row r="1644" spans="2:6" x14ac:dyDescent="0.35">
      <c r="B1644" t="s">
        <v>86</v>
      </c>
      <c r="C1644" t="s">
        <v>87</v>
      </c>
      <c r="D1644" t="s">
        <v>216</v>
      </c>
      <c r="E1644" s="43">
        <v>2158</v>
      </c>
      <c r="F1644" s="21" t="str">
        <f>HYPERLINK("#'Data'!A30641", "Percentage of households feeling emotionally unwell (2+ weeks in the past 6 months) broken down by gender composition of household on the admin of mac...")</f>
        <v>Percentage of households feeling emotionally unwell (2+ weeks in the past 6 months) broken down by gender composition of household on the admin of mac...</v>
      </c>
    </row>
    <row r="1645" spans="2:6" x14ac:dyDescent="0.35">
      <c r="B1645" t="s">
        <v>86</v>
      </c>
      <c r="C1645" t="s">
        <v>88</v>
      </c>
      <c r="D1645" t="s">
        <v>216</v>
      </c>
      <c r="E1645" s="43">
        <v>2159</v>
      </c>
      <c r="F1645" s="21" t="str">
        <f>HYPERLINK("#'Data'!A30660",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1646" spans="2:6" x14ac:dyDescent="0.35">
      <c r="B1646" t="s">
        <v>86</v>
      </c>
      <c r="C1646" t="s">
        <v>89</v>
      </c>
      <c r="D1646" t="s">
        <v>216</v>
      </c>
      <c r="E1646" s="43">
        <v>2160</v>
      </c>
      <c r="F1646" s="21" t="str">
        <f>HYPERLINK("#'Data'!A30679", "Percentage of households feeling emotionally unwell that received mental health or psychosocial support/services, by type broken down by gender compos...")</f>
        <v>Percentage of households feeling emotionally unwell that received mental health or psychosocial support/services, by type broken down by gender compos...</v>
      </c>
    </row>
    <row r="1647" spans="2:6" x14ac:dyDescent="0.35">
      <c r="B1647" t="s">
        <v>74</v>
      </c>
      <c r="C1647" t="s">
        <v>90</v>
      </c>
      <c r="D1647" t="s">
        <v>216</v>
      </c>
      <c r="E1647" s="43">
        <v>2161</v>
      </c>
      <c r="F1647" s="21" t="str">
        <f>HYPERLINK("#'Data'!A30698", "Percentage of households with at least one member with registered disability, by type broken down by gender composition of household on the admin of m...")</f>
        <v>Percentage of households with at least one member with registered disability, by type broken down by gender composition of household on the admin of m...</v>
      </c>
    </row>
    <row r="1648" spans="2:6" x14ac:dyDescent="0.35">
      <c r="B1648" t="s">
        <v>74</v>
      </c>
      <c r="C1648" t="s">
        <v>91</v>
      </c>
      <c r="D1648" t="s">
        <v>216</v>
      </c>
      <c r="E1648" s="43">
        <v>2162</v>
      </c>
      <c r="F1648" s="21" t="str">
        <f>HYPERLINK("#'Data'!A30717", "Percentage of households with at least one member that has difficulties seeing broken down by gender composition of household on the admin of macroreg...")</f>
        <v>Percentage of households with at least one member that has difficulties seeing broken down by gender composition of household on the admin of macroreg...</v>
      </c>
    </row>
    <row r="1649" spans="2:6" x14ac:dyDescent="0.35">
      <c r="B1649" t="s">
        <v>74</v>
      </c>
      <c r="C1649" t="s">
        <v>92</v>
      </c>
      <c r="D1649" t="s">
        <v>216</v>
      </c>
      <c r="E1649" s="43">
        <v>2163</v>
      </c>
      <c r="F1649" s="21" t="str">
        <f>HYPERLINK("#'Data'!A30736", "Percentage of households with at least one member that has difficulties hearing broken down by gender composition of household on the admin of macrore...")</f>
        <v>Percentage of households with at least one member that has difficulties hearing broken down by gender composition of household on the admin of macrore...</v>
      </c>
    </row>
    <row r="1650" spans="2:6" x14ac:dyDescent="0.35">
      <c r="B1650" t="s">
        <v>74</v>
      </c>
      <c r="C1650" t="s">
        <v>93</v>
      </c>
      <c r="D1650" t="s">
        <v>216</v>
      </c>
      <c r="E1650" s="43">
        <v>2164</v>
      </c>
      <c r="F1650" s="21" t="str">
        <f>HYPERLINK("#'Data'!A30755", "Percentage of households with at least one member that has difficulties walking broken down by gender composition of household on the admin of macrore...")</f>
        <v>Percentage of households with at least one member that has difficulties walking broken down by gender composition of household on the admin of macrore...</v>
      </c>
    </row>
    <row r="1651" spans="2:6" x14ac:dyDescent="0.35">
      <c r="B1651" t="s">
        <v>74</v>
      </c>
      <c r="C1651" t="s">
        <v>94</v>
      </c>
      <c r="D1651" t="s">
        <v>216</v>
      </c>
      <c r="E1651" s="43">
        <v>2165</v>
      </c>
      <c r="F1651" s="21" t="str">
        <f>HYPERLINK("#'Data'!A30774", "Percentage of households with at least one member that has difficulties concentrating broken down by gender composition of household on the admin of m...")</f>
        <v>Percentage of households with at least one member that has difficulties concentrating broken down by gender composition of household on the admin of m...</v>
      </c>
    </row>
    <row r="1652" spans="2:6" x14ac:dyDescent="0.35">
      <c r="B1652" t="s">
        <v>74</v>
      </c>
      <c r="C1652" t="s">
        <v>95</v>
      </c>
      <c r="D1652" t="s">
        <v>216</v>
      </c>
      <c r="E1652" s="43">
        <v>2166</v>
      </c>
      <c r="F1652" s="21" t="str">
        <f>HYPERLINK("#'Data'!A30793", "Percentage of households with at least one member that has difficulties performing self-care broken down by gender composition of household on the adm...")</f>
        <v>Percentage of households with at least one member that has difficulties performing self-care broken down by gender composition of household on the adm...</v>
      </c>
    </row>
    <row r="1653" spans="2:6" x14ac:dyDescent="0.35">
      <c r="B1653" t="s">
        <v>74</v>
      </c>
      <c r="C1653" t="s">
        <v>96</v>
      </c>
      <c r="D1653" t="s">
        <v>216</v>
      </c>
      <c r="E1653" s="43">
        <v>2167</v>
      </c>
      <c r="F1653" s="21" t="str">
        <f>HYPERLINK("#'Data'!A30812", "Percentage of households with at least one member that has difficulties communicating broken down by gender composition of household on the admin of m...")</f>
        <v>Percentage of households with at least one member that has difficulties communicating broken down by gender composition of household on the admin of m...</v>
      </c>
    </row>
    <row r="1654" spans="2:6" x14ac:dyDescent="0.35">
      <c r="B1654" t="s">
        <v>55</v>
      </c>
      <c r="C1654" t="s">
        <v>97</v>
      </c>
      <c r="D1654" t="s">
        <v>216</v>
      </c>
      <c r="E1654" s="43">
        <v>2168</v>
      </c>
      <c r="F1654" s="21" t="str">
        <f>HYPERLINK("#'Data'!A30831",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1655" spans="2:6" x14ac:dyDescent="0.35">
      <c r="B1655" t="s">
        <v>55</v>
      </c>
      <c r="C1655" t="s">
        <v>98</v>
      </c>
      <c r="D1655" t="s">
        <v>216</v>
      </c>
      <c r="E1655" s="43">
        <v>2169</v>
      </c>
      <c r="F1655" s="21" t="str">
        <f>HYPERLINK("#'Data'!A30848", "Percentage of households by time adults spend on supporting children's education broken down by gender composition of household on the admin of macror...")</f>
        <v>Percentage of households by time adults spend on supporting children's education broken down by gender composition of household on the admin of macror...</v>
      </c>
    </row>
    <row r="1656" spans="2:6" x14ac:dyDescent="0.35">
      <c r="B1656" t="s">
        <v>110</v>
      </c>
      <c r="C1656" t="s">
        <v>111</v>
      </c>
      <c r="D1656" t="s">
        <v>216</v>
      </c>
      <c r="E1656" s="43">
        <v>2179</v>
      </c>
      <c r="F1656" s="21" t="str">
        <f>HYPERLINK("#'Data'!A30865", "Households reporting expenditures in the last 30 days, by type broken down by gender composition of household on the admin of macroregion perc")</f>
        <v>Households reporting expenditures in the last 30 days, by type broken down by gender composition of household on the admin of macroregion perc</v>
      </c>
    </row>
    <row r="1657" spans="2:6" x14ac:dyDescent="0.35">
      <c r="B1657" t="s">
        <v>110</v>
      </c>
      <c r="C1657" t="s">
        <v>112</v>
      </c>
      <c r="D1657" t="s">
        <v>216</v>
      </c>
      <c r="E1657" s="43">
        <v>2180</v>
      </c>
      <c r="F1657" s="21" t="str">
        <f>HYPERLINK("#'Data'!A30884", "Household Domestic Expenditure over the last 3 days, by type and amount by gender composition of household ")</f>
        <v xml:space="preserve">Household Domestic Expenditure over the last 3 days, by type and amount by gender composition of household </v>
      </c>
    </row>
    <row r="1658" spans="2:6" x14ac:dyDescent="0.35">
      <c r="B1658" t="s">
        <v>110</v>
      </c>
      <c r="C1658" t="s">
        <v>113</v>
      </c>
      <c r="D1658" t="s">
        <v>216</v>
      </c>
      <c r="E1658" s="43">
        <v>2195</v>
      </c>
      <c r="F1658" s="21" t="str">
        <f>HYPERLINK("#'Data'!A30903", "Monthly household expenditures on heating last winter broken down by gender composition of household on the admin of macroregion mean")</f>
        <v>Monthly household expenditures on heating last winter broken down by gender composition of household on the admin of macroregion mean</v>
      </c>
    </row>
    <row r="1659" spans="2:6" x14ac:dyDescent="0.35">
      <c r="B1659" t="s">
        <v>110</v>
      </c>
      <c r="C1659" t="s">
        <v>114</v>
      </c>
      <c r="D1659" t="s">
        <v>216</v>
      </c>
      <c r="E1659" s="43">
        <v>2196</v>
      </c>
      <c r="F1659" s="21" t="str">
        <f>HYPERLINK("#'Data'!A30922", "Households reporting  long term expenditures in the past 6 months, by type broken down by gender composition of household on the admin of macroregion ...")</f>
        <v>Households reporting  long term expenditures in the past 6 months, by type broken down by gender composition of household on the admin of macroregion ...</v>
      </c>
    </row>
    <row r="1660" spans="2:6" x14ac:dyDescent="0.35">
      <c r="B1660" t="s">
        <v>110</v>
      </c>
      <c r="C1660" t="s">
        <v>115</v>
      </c>
      <c r="D1660" t="s">
        <v>216</v>
      </c>
      <c r="E1660" s="43">
        <v>2197</v>
      </c>
      <c r="F1660" s="21" t="str">
        <f>HYPERLINK("#'Data'!A30941", "Household Domestic Expenditure over the last 6 months, by type and amount by gender composition of household ")</f>
        <v xml:space="preserve">Household Domestic Expenditure over the last 6 months, by type and amount by gender composition of household </v>
      </c>
    </row>
    <row r="1661" spans="2:6" x14ac:dyDescent="0.35">
      <c r="B1661" t="s">
        <v>110</v>
      </c>
      <c r="C1661" t="s">
        <v>116</v>
      </c>
      <c r="D1661" t="s">
        <v>216</v>
      </c>
      <c r="E1661" s="43">
        <v>2203</v>
      </c>
      <c r="F1661" s="21" t="str">
        <f>HYPERLINK("#'Data'!A30960", "Total monthly expenditures per capita broken down by gender composition of household on the admin of macroregion mean")</f>
        <v>Total monthly expenditures per capita broken down by gender composition of household on the admin of macroregion mean</v>
      </c>
    </row>
    <row r="1662" spans="2:6" x14ac:dyDescent="0.35">
      <c r="B1662" t="s">
        <v>117</v>
      </c>
      <c r="C1662" t="s">
        <v>118</v>
      </c>
      <c r="D1662" t="s">
        <v>216</v>
      </c>
      <c r="E1662" s="43">
        <v>2204</v>
      </c>
      <c r="F1662" s="21" t="str">
        <f>HYPERLINK("#'Data'!A30979", "Percentage of households reporting completely lacking essential non-food items in the last 3 months, by type broken down by gender composition of hous...")</f>
        <v>Percentage of households reporting completely lacking essential non-food items in the last 3 months, by type broken down by gender composition of hous...</v>
      </c>
    </row>
    <row r="1663" spans="2:6" x14ac:dyDescent="0.35">
      <c r="B1663" t="s">
        <v>110</v>
      </c>
      <c r="C1663" t="s">
        <v>119</v>
      </c>
      <c r="D1663" t="s">
        <v>216</v>
      </c>
      <c r="E1663" s="43">
        <v>2205</v>
      </c>
      <c r="F1663" s="21" t="str">
        <f>HYPERLINK("#'Data'!A30998", "Households reporting primary income sources over the last 30 days, by type of income source broken down by gender composition of household on the admi...")</f>
        <v>Households reporting primary income sources over the last 30 days, by type of income source broken down by gender composition of household on the admi...</v>
      </c>
    </row>
    <row r="1664" spans="2:6" x14ac:dyDescent="0.35">
      <c r="B1664" t="s">
        <v>110</v>
      </c>
      <c r="C1664" t="s">
        <v>120</v>
      </c>
      <c r="D1664" t="s">
        <v>216</v>
      </c>
      <c r="E1664" s="43">
        <v>2206</v>
      </c>
      <c r="F1664" s="21" t="str">
        <f>HYPERLINK("#'Data'!A31017", "Household income per capita over the 3 days prior to data collection, by types of income source by gender composition of household ")</f>
        <v xml:space="preserve">Household income per capita over the 3 days prior to data collection, by types of income source by gender composition of household </v>
      </c>
    </row>
    <row r="1665" spans="2:6" x14ac:dyDescent="0.35">
      <c r="B1665" t="s">
        <v>110</v>
      </c>
      <c r="C1665" t="s">
        <v>121</v>
      </c>
      <c r="D1665" t="s">
        <v>216</v>
      </c>
      <c r="E1665" s="43">
        <v>2220</v>
      </c>
      <c r="F1665" s="21" t="str">
        <f>HYPERLINK("#'Data'!A31036", "Total monthly income per capita broken down by gender composition of household on the admin of macroregion mean")</f>
        <v>Total monthly income per capita broken down by gender composition of household on the admin of macroregion mean</v>
      </c>
    </row>
    <row r="1666" spans="2:6" x14ac:dyDescent="0.35">
      <c r="B1666" t="s">
        <v>110</v>
      </c>
      <c r="C1666" t="s">
        <v>122</v>
      </c>
      <c r="D1666" t="s">
        <v>216</v>
      </c>
      <c r="E1666" s="43">
        <v>2221</v>
      </c>
      <c r="F1666" s="21" t="str">
        <f>HYPERLINK("#'Data'!A31055", "Households receiving income from remittances/family and friends in Ukraine/community members, by regularity broken down by gender composition of house...")</f>
        <v>Households receiving income from remittances/family and friends in Ukraine/community members, by regularity broken down by gender composition of house...</v>
      </c>
    </row>
    <row r="1667" spans="2:6" x14ac:dyDescent="0.35">
      <c r="B1667" t="s">
        <v>110</v>
      </c>
      <c r="C1667" t="s">
        <v>123</v>
      </c>
      <c r="D1667" t="s">
        <v>216</v>
      </c>
      <c r="E1667" s="43">
        <v>2222</v>
      </c>
      <c r="F1667" s="21" t="str">
        <f>HYPERLINK("#'Data'!A31072", "Percentage of households who have become indebted since 2024 broken down by gender composition of household on the admin of macroregion perc")</f>
        <v>Percentage of households who have become indebted since 2024 broken down by gender composition of household on the admin of macroregion perc</v>
      </c>
    </row>
    <row r="1668" spans="2:6" x14ac:dyDescent="0.35">
      <c r="B1668" t="s">
        <v>110</v>
      </c>
      <c r="C1668" t="s">
        <v>124</v>
      </c>
      <c r="D1668" t="s">
        <v>216</v>
      </c>
      <c r="E1668" s="43">
        <v>2223</v>
      </c>
      <c r="F1668" s="21" t="str">
        <f>HYPERLINK("#'Data'!A31091", "Percentage of households who are currently indebted, by reason broken down by gender composition of household on the admin of macroregion perc")</f>
        <v>Percentage of households who are currently indebted, by reason broken down by gender composition of household on the admin of macroregion perc</v>
      </c>
    </row>
    <row r="1669" spans="2:6" x14ac:dyDescent="0.35">
      <c r="B1669" t="s">
        <v>48</v>
      </c>
      <c r="C1669" t="s">
        <v>125</v>
      </c>
      <c r="D1669" t="s">
        <v>216</v>
      </c>
      <c r="E1669" s="43">
        <v>2224</v>
      </c>
      <c r="F1669" s="21" t="str">
        <f>HYPERLINK("#'Data'!A31110", "Percentage of households earning an income from own production, by challenges experienced broken down by gender composition of household on the admin ...")</f>
        <v>Percentage of households earning an income from own production, by challenges experienced broken down by gender composition of household on the admin ...</v>
      </c>
    </row>
    <row r="1670" spans="2:6" x14ac:dyDescent="0.35">
      <c r="B1670" t="s">
        <v>48</v>
      </c>
      <c r="C1670" t="s">
        <v>126</v>
      </c>
      <c r="D1670" t="s">
        <v>216</v>
      </c>
      <c r="E1670" s="43">
        <v>2225</v>
      </c>
      <c r="F1670" s="21" t="str">
        <f>HYPERLINK("#'Data'!A31128", "Households adopting Livelihood Coping Strategies, by strategy by gender composition of household ")</f>
        <v xml:space="preserve">Households adopting Livelihood Coping Strategies, by strategy by gender composition of household </v>
      </c>
    </row>
    <row r="1671" spans="2:6" x14ac:dyDescent="0.35">
      <c r="B1671" t="s">
        <v>48</v>
      </c>
      <c r="C1671" t="s">
        <v>127</v>
      </c>
      <c r="D1671" t="s">
        <v>216</v>
      </c>
      <c r="E1671" s="43">
        <v>2235</v>
      </c>
      <c r="F1671" s="21" t="str">
        <f>HYPERLINK("#'Data'!A31190", "Households using Livelihood Coping Strategies, by main reason broken down by gender composition of household on the admin of macroregion perc")</f>
        <v>Households using Livelihood Coping Strategies, by main reason broken down by gender composition of household on the admin of macroregion perc</v>
      </c>
    </row>
    <row r="1672" spans="2:6" x14ac:dyDescent="0.35">
      <c r="B1672" t="s">
        <v>48</v>
      </c>
      <c r="C1672" t="s">
        <v>128</v>
      </c>
      <c r="D1672" t="s">
        <v>216</v>
      </c>
      <c r="E1672" s="43">
        <v>2236</v>
      </c>
      <c r="F1672" s="21" t="str">
        <f>HYPERLINK("#'Data'!A31209", "Livelihood Coping Strategy - Essential Needs (LCS-EN) broken down by gender composition of household on the admin of macroregion perc")</f>
        <v>Livelihood Coping Strategy - Essential Needs (LCS-EN) broken down by gender composition of household on the admin of macroregion perc</v>
      </c>
    </row>
    <row r="1673" spans="2:6" x14ac:dyDescent="0.35">
      <c r="B1673" t="s">
        <v>129</v>
      </c>
      <c r="C1673" t="s">
        <v>130</v>
      </c>
      <c r="D1673" t="s">
        <v>216</v>
      </c>
      <c r="E1673" s="43">
        <v>2237</v>
      </c>
      <c r="F1673" s="21" t="str">
        <f>HYPERLINK("#'Data'!A31228", "Households exposed to armed violence/artillery shelling in the last 3 months broken down by gender composition of household on the admin of macroregio...")</f>
        <v>Households exposed to armed violence/artillery shelling in the last 3 months broken down by gender composition of household on the admin of macroregio...</v>
      </c>
    </row>
    <row r="1674" spans="2:6" x14ac:dyDescent="0.35">
      <c r="B1674" t="s">
        <v>129</v>
      </c>
      <c r="C1674" t="s">
        <v>134</v>
      </c>
      <c r="D1674" t="s">
        <v>216</v>
      </c>
      <c r="E1674" s="43">
        <v>2238</v>
      </c>
      <c r="F1674" s="21" t="str">
        <f>HYPERLINK("#'Data'!A31247", "Households exposed to armed violence/artillery shelling in the last 3 months, by frequency  broken down by gender composition of household on the admi...")</f>
        <v>Households exposed to armed violence/artillery shelling in the last 3 months, by frequency  broken down by gender composition of household on the admi...</v>
      </c>
    </row>
    <row r="1675" spans="2:6" x14ac:dyDescent="0.35">
      <c r="B1675" t="s">
        <v>129</v>
      </c>
      <c r="C1675" t="s">
        <v>135</v>
      </c>
      <c r="D1675" t="s">
        <v>216</v>
      </c>
      <c r="E1675" s="43">
        <v>2239</v>
      </c>
      <c r="F1675" s="21" t="str">
        <f>HYPERLINK("#'Data'!A31260", "Households exposed to drone/missile attacks in last 3 months broken down by gender composition of household on the admin of macroregion perc")</f>
        <v>Households exposed to drone/missile attacks in last 3 months broken down by gender composition of household on the admin of macroregion perc</v>
      </c>
    </row>
    <row r="1676" spans="2:6" x14ac:dyDescent="0.35">
      <c r="B1676" t="s">
        <v>129</v>
      </c>
      <c r="C1676" t="s">
        <v>136</v>
      </c>
      <c r="D1676" t="s">
        <v>216</v>
      </c>
      <c r="E1676" s="43">
        <v>2240</v>
      </c>
      <c r="F1676" s="21" t="str">
        <f>HYPERLINK("#'Data'!A31279", "Households exposed to drone/missile attacks in past 3 months, by frequency broken down by gender composition of household on the admin of macroregion ...")</f>
        <v>Households exposed to drone/missile attacks in past 3 months, by frequency broken down by gender composition of household on the admin of macroregion ...</v>
      </c>
    </row>
    <row r="1677" spans="2:6" x14ac:dyDescent="0.35">
      <c r="B1677" t="s">
        <v>129</v>
      </c>
      <c r="C1677" t="s">
        <v>137</v>
      </c>
      <c r="D1677" t="s">
        <v>216</v>
      </c>
      <c r="E1677" s="43">
        <v>2241</v>
      </c>
      <c r="F1677" s="21" t="str">
        <f>HYPERLINK("#'Data'!A31298", "Households exposed to other safety and security incidents in the last 3 months, by type broken down by gender composition of household on the admin of...")</f>
        <v>Households exposed to other safety and security incidents in the last 3 months, by type broken down by gender composition of household on the admin of...</v>
      </c>
    </row>
    <row r="1678" spans="2:6" x14ac:dyDescent="0.35">
      <c r="B1678" t="s">
        <v>129</v>
      </c>
      <c r="C1678" t="s">
        <v>138</v>
      </c>
      <c r="D1678" t="s">
        <v>216</v>
      </c>
      <c r="E1678" s="43">
        <v>2242</v>
      </c>
      <c r="F1678" s="21" t="str">
        <f>HYPERLINK("#'Data'!A31317", "Households reporting being concerned about having any HH member engaging in risky activities due to economic needs, by frequency broken down by gender...")</f>
        <v>Households reporting being concerned about having any HH member engaging in risky activities due to economic needs, by frequency broken down by gender...</v>
      </c>
    </row>
    <row r="1679" spans="2:6" x14ac:dyDescent="0.35">
      <c r="B1679" t="s">
        <v>129</v>
      </c>
      <c r="C1679" t="s">
        <v>139</v>
      </c>
      <c r="D1679" t="s">
        <v>216</v>
      </c>
      <c r="E1679" s="43">
        <v>2243</v>
      </c>
      <c r="F1679" s="21" t="str">
        <f>HYPERLINK("#'Data'!A31336", "Households reporting being concerned about being forced to flee, by frequency broken down by gender composition of household on the admin of macroregi...")</f>
        <v>Households reporting being concerned about being forced to flee, by frequency broken down by gender composition of household on the admin of macroregi...</v>
      </c>
    </row>
    <row r="1680" spans="2:6" x14ac:dyDescent="0.35">
      <c r="B1680" t="s">
        <v>129</v>
      </c>
      <c r="C1680" t="s">
        <v>140</v>
      </c>
      <c r="D1680" t="s">
        <v>216</v>
      </c>
      <c r="E1680" s="43">
        <v>2244</v>
      </c>
      <c r="F1680" s="21" t="str">
        <f>HYPERLINK("#'Data'!A31355", "Households reporting being concerned about violence in the community, not related to the conflict, by frequency broken down by gender composition of h...")</f>
        <v>Households reporting being concerned about violence in the community, not related to the conflict, by frequency broken down by gender composition of h...</v>
      </c>
    </row>
    <row r="1681" spans="2:6" x14ac:dyDescent="0.35">
      <c r="B1681" t="s">
        <v>129</v>
      </c>
      <c r="C1681" t="s">
        <v>141</v>
      </c>
      <c r="D1681" t="s">
        <v>216</v>
      </c>
      <c r="E1681" s="43">
        <v>2245</v>
      </c>
      <c r="F1681" s="21" t="str">
        <f>HYPERLINK("#'Data'!A31374", "Households reporting being concerned about persecution/discrimination, by frequency broken down by gender composition of household on the admin of mac...")</f>
        <v>Households reporting being concerned about persecution/discrimination, by frequency broken down by gender composition of household on the admin of mac...</v>
      </c>
    </row>
    <row r="1682" spans="2:6" x14ac:dyDescent="0.35">
      <c r="B1682" t="s">
        <v>129</v>
      </c>
      <c r="C1682" t="s">
        <v>142</v>
      </c>
      <c r="D1682" t="s">
        <v>216</v>
      </c>
      <c r="E1682" s="43">
        <v>2246</v>
      </c>
      <c r="F1682" s="21" t="str">
        <f>HYPERLINK("#'Data'!A31393", "Households reporting being concerned about kidnapping/detention/abduction, by frequency broken down by gender composition of household on the admin of...")</f>
        <v>Households reporting being concerned about kidnapping/detention/abduction, by frequency broken down by gender composition of household on the admin of...</v>
      </c>
    </row>
    <row r="1683" spans="2:6" x14ac:dyDescent="0.35">
      <c r="B1683" t="s">
        <v>129</v>
      </c>
      <c r="C1683" t="s">
        <v>143</v>
      </c>
      <c r="D1683" t="s">
        <v>216</v>
      </c>
      <c r="E1683" s="43">
        <v>2247</v>
      </c>
      <c r="F1683" s="21" t="str">
        <f>HYPERLINK("#'Data'!A31412", "Households by reported safety and security concerns for WOMEN in the area, by concern broken down by gender composition of household on the admin of m...")</f>
        <v>Households by reported safety and security concerns for WOMEN in the area, by concern broken down by gender composition of household on the admin of m...</v>
      </c>
    </row>
    <row r="1684" spans="2:6" x14ac:dyDescent="0.35">
      <c r="B1684" t="s">
        <v>129</v>
      </c>
      <c r="C1684" t="s">
        <v>144</v>
      </c>
      <c r="D1684" t="s">
        <v>216</v>
      </c>
      <c r="E1684" s="43">
        <v>2248</v>
      </c>
      <c r="F1684" s="21" t="str">
        <f>HYPERLINK("#'Data'!A31431", "Percentage of female respondents reporting that at least one female member of their household felt unsafe walking in their community, by frequency bro...")</f>
        <v>Percentage of female respondents reporting that at least one female member of their household felt unsafe walking in their community, by frequency bro...</v>
      </c>
    </row>
    <row r="1685" spans="2:6" x14ac:dyDescent="0.35">
      <c r="B1685" t="s">
        <v>129</v>
      </c>
      <c r="C1685" t="s">
        <v>145</v>
      </c>
      <c r="D1685" t="s">
        <v>216</v>
      </c>
      <c r="E1685" s="43">
        <v>2249</v>
      </c>
      <c r="F1685" s="21" t="str">
        <f>HYPERLINK("#'Data'!A31445", "Percentage of households reporting areas/places that women and girls usually avoid, by type broken down by gender composition of household on the admi...")</f>
        <v>Percentage of households reporting areas/places that women and girls usually avoid, by type broken down by gender composition of household on the admi...</v>
      </c>
    </row>
    <row r="1686" spans="2:6" x14ac:dyDescent="0.35">
      <c r="B1686" t="s">
        <v>129</v>
      </c>
      <c r="C1686" t="s">
        <v>146</v>
      </c>
      <c r="D1686" t="s">
        <v>216</v>
      </c>
      <c r="E1686" s="43">
        <v>2250</v>
      </c>
      <c r="F1686" s="21" t="str">
        <f>HYPERLINK("#'Data'!A31464", "Households by reported safety and security concerns for MEN in the area, by concern broken down by gender composition of household on the admin of mac...")</f>
        <v>Households by reported safety and security concerns for MEN in the area, by concern broken down by gender composition of household on the admin of mac...</v>
      </c>
    </row>
    <row r="1687" spans="2:6" x14ac:dyDescent="0.35">
      <c r="B1687" t="s">
        <v>129</v>
      </c>
      <c r="C1687" t="s">
        <v>147</v>
      </c>
      <c r="D1687" t="s">
        <v>216</v>
      </c>
      <c r="E1687" s="43">
        <v>2251</v>
      </c>
      <c r="F1687" s="21" t="str">
        <f>HYPERLINK("#'Data'!A31483", "Households by reported safety and security concerns for CHILDREN in the area, by concern broken down by gender composition of household on the admin o...")</f>
        <v>Households by reported safety and security concerns for CHILDREN in the area, by concern broken down by gender composition of household on the admin o...</v>
      </c>
    </row>
    <row r="1688" spans="2:6" x14ac:dyDescent="0.35">
      <c r="B1688" t="s">
        <v>129</v>
      </c>
      <c r="C1688" t="s">
        <v>148</v>
      </c>
      <c r="D1688" t="s">
        <v>216</v>
      </c>
      <c r="E1688" s="43">
        <v>2252</v>
      </c>
      <c r="F1688" s="21" t="str">
        <f>HYPERLINK("#'Data'!A31502", "Housing/land/property (HLP) concerns of households, by concern broken down by gender composition of household on the admin of macroregion perc")</f>
        <v>Housing/land/property (HLP) concerns of households, by concern broken down by gender composition of household on the admin of macroregion perc</v>
      </c>
    </row>
    <row r="1689" spans="2:6" x14ac:dyDescent="0.35">
      <c r="B1689" t="s">
        <v>129</v>
      </c>
      <c r="C1689" t="s">
        <v>149</v>
      </c>
      <c r="D1689" t="s">
        <v>216</v>
      </c>
      <c r="E1689" s="43">
        <v>2253</v>
      </c>
      <c r="F1689" s="21" t="str">
        <f>HYPERLINK("#'Data'!A31521", "Households by presence of explosive ordnance present in community broken down by gender composition of household on the admin of macroregion perc")</f>
        <v>Households by presence of explosive ordnance present in community broken down by gender composition of household on the admin of macroregion perc</v>
      </c>
    </row>
    <row r="1690" spans="2:6" x14ac:dyDescent="0.35">
      <c r="B1690" t="s">
        <v>129</v>
      </c>
      <c r="C1690" t="s">
        <v>150</v>
      </c>
      <c r="D1690" t="s">
        <v>216</v>
      </c>
      <c r="E1690" s="43">
        <v>2254</v>
      </c>
      <c r="F1690" s="21" t="str">
        <f>HYPERLINK("#'Data'!A31540", "Households reporting that explosive ordnances affect the livelihoods of people in the community broken down by gender composition of household on the ...")</f>
        <v>Households reporting that explosive ordnances affect the livelihoods of people in the community broken down by gender composition of household on the ...</v>
      </c>
    </row>
    <row r="1691" spans="2:6" x14ac:dyDescent="0.35">
      <c r="B1691" t="s">
        <v>129</v>
      </c>
      <c r="C1691" t="s">
        <v>151</v>
      </c>
      <c r="D1691" t="s">
        <v>216</v>
      </c>
      <c r="E1691" s="43">
        <v>2255</v>
      </c>
      <c r="F1691" s="21" t="str">
        <f>HYPERLINK("#'Data'!A31557", "Households by frequency of training/awareness on safe behaviours towards Explosive Ordnances broken down by gender composition of household on the adm...")</f>
        <v>Households by frequency of training/awareness on safe behaviours towards Explosive Ordnances broken down by gender composition of household on the adm...</v>
      </c>
    </row>
    <row r="1692" spans="2:6" x14ac:dyDescent="0.35">
      <c r="B1692" t="s">
        <v>117</v>
      </c>
      <c r="C1692" t="s">
        <v>152</v>
      </c>
      <c r="D1692" t="s">
        <v>216</v>
      </c>
      <c r="E1692" s="43">
        <v>2256</v>
      </c>
      <c r="F1692" s="21" t="str">
        <f>HYPERLINK("#'Data'!A31576", "Percentage of households by current shelter situation broken down by gender composition of household on the admin of macroregion perc")</f>
        <v>Percentage of households by current shelter situation broken down by gender composition of household on the admin of macroregion perc</v>
      </c>
    </row>
    <row r="1693" spans="2:6" x14ac:dyDescent="0.35">
      <c r="B1693" t="s">
        <v>117</v>
      </c>
      <c r="C1693" t="s">
        <v>153</v>
      </c>
      <c r="D1693" t="s">
        <v>216</v>
      </c>
      <c r="E1693" s="43">
        <v>2257</v>
      </c>
      <c r="F1693" s="21" t="str">
        <f>HYPERLINK("#'Data'!A31595", "Percentage of households by current shelter type  broken down by gender composition of household on the admin of macroregion perc")</f>
        <v>Percentage of households by current shelter type  broken down by gender composition of household on the admin of macroregion perc</v>
      </c>
    </row>
    <row r="1694" spans="2:6" x14ac:dyDescent="0.35">
      <c r="B1694" t="s">
        <v>117</v>
      </c>
      <c r="C1694" t="s">
        <v>154</v>
      </c>
      <c r="D1694" t="s">
        <v>216</v>
      </c>
      <c r="E1694" s="43">
        <v>2258</v>
      </c>
      <c r="F1694" s="21" t="str">
        <f>HYPERLINK("#'Data'!A31614", "Shelter size (squared meters) broken down by gender composition of household on the admin of macroregion mean")</f>
        <v>Shelter size (squared meters) broken down by gender composition of household on the admin of macroregion mean</v>
      </c>
    </row>
    <row r="1695" spans="2:6" x14ac:dyDescent="0.35">
      <c r="B1695" t="s">
        <v>117</v>
      </c>
      <c r="C1695" t="s">
        <v>155</v>
      </c>
      <c r="D1695" t="s">
        <v>216</v>
      </c>
      <c r="E1695" s="43">
        <v>2259</v>
      </c>
      <c r="F1695" s="21" t="str">
        <f>HYPERLINK("#'Data'!A31633", "Number of individuals sharing a shelter broken down by gender composition of household on the admin of macroregion mean")</f>
        <v>Number of individuals sharing a shelter broken down by gender composition of household on the admin of macroregion mean</v>
      </c>
    </row>
    <row r="1696" spans="2:6" x14ac:dyDescent="0.35">
      <c r="B1696" t="s">
        <v>117</v>
      </c>
      <c r="C1696" t="s">
        <v>156</v>
      </c>
      <c r="D1696" t="s">
        <v>216</v>
      </c>
      <c r="E1696" s="43">
        <v>2260</v>
      </c>
      <c r="F1696" s="21" t="str">
        <f>HYPERLINK("#'Data'!A31652", "Percentage of households by occupancy arrangement of current shelter broken down by gender composition of household on the admin of macroregion perc")</f>
        <v>Percentage of households by occupancy arrangement of current shelter broken down by gender composition of household on the admin of macroregion perc</v>
      </c>
    </row>
    <row r="1697" spans="2:6" x14ac:dyDescent="0.35">
      <c r="B1697" t="s">
        <v>117</v>
      </c>
      <c r="C1697" t="s">
        <v>157</v>
      </c>
      <c r="D1697" t="s">
        <v>216</v>
      </c>
      <c r="E1697" s="43">
        <v>2261</v>
      </c>
      <c r="F1697" s="21" t="str">
        <f>HYPERLINK("#'Data'!A31671", "Percentage of households feeling at risk of eviction within the next 6 months broken down by gender composition of household on the admin of macroregi...")</f>
        <v>Percentage of households feeling at risk of eviction within the next 6 months broken down by gender composition of household on the admin of macroregi...</v>
      </c>
    </row>
    <row r="1698" spans="2:6" x14ac:dyDescent="0.35">
      <c r="B1698" t="s">
        <v>117</v>
      </c>
      <c r="C1698" t="s">
        <v>158</v>
      </c>
      <c r="D1698" t="s">
        <v>216</v>
      </c>
      <c r="E1698" s="43">
        <v>2262</v>
      </c>
      <c r="F1698" s="21" t="str">
        <f>HYPERLINK("#'Data'!A31690", "Percentage of households currently threatened with eviction broken down by gender composition of household on the admin of macroregion perc")</f>
        <v>Percentage of households currently threatened with eviction broken down by gender composition of household on the admin of macroregion perc</v>
      </c>
    </row>
    <row r="1699" spans="2:6" x14ac:dyDescent="0.35">
      <c r="B1699" t="s">
        <v>117</v>
      </c>
      <c r="C1699" t="s">
        <v>159</v>
      </c>
      <c r="D1699" t="s">
        <v>216</v>
      </c>
      <c r="E1699" s="43">
        <v>2263</v>
      </c>
      <c r="F1699" s="21" t="str">
        <f>HYPERLINK("#'Data'!A31707", "Percentage of households by current shelter issues that were NOT caused by the war, by issue broken down by gender composition of household on the adm...")</f>
        <v>Percentage of households by current shelter issues that were NOT caused by the war, by issue broken down by gender composition of household on the adm...</v>
      </c>
    </row>
    <row r="1700" spans="2:6" x14ac:dyDescent="0.35">
      <c r="B1700" t="s">
        <v>117</v>
      </c>
      <c r="C1700" t="s">
        <v>160</v>
      </c>
      <c r="D1700" t="s">
        <v>216</v>
      </c>
      <c r="E1700" s="43">
        <v>2264</v>
      </c>
      <c r="F1700" s="21" t="str">
        <f>HYPERLINK("#'Data'!A31726", "Percentage of households reporting damage to current shelter caused by the war since February 2022 broken down by gender composition of household on t...")</f>
        <v>Percentage of households reporting damage to current shelter caused by the war since February 2022 broken down by gender composition of household on t...</v>
      </c>
    </row>
    <row r="1701" spans="2:6" x14ac:dyDescent="0.35">
      <c r="B1701" t="s">
        <v>117</v>
      </c>
      <c r="C1701" t="s">
        <v>161</v>
      </c>
      <c r="D1701" t="s">
        <v>216</v>
      </c>
      <c r="E1701" s="43">
        <v>2265</v>
      </c>
      <c r="F1701" s="21" t="str">
        <f>HYPERLINK("#'Data'!A31745", "Percentage of households reporting that the damage to the current shelter caused by the war was REPAIRED broken down by gender composition of househol...")</f>
        <v>Percentage of households reporting that the damage to the current shelter caused by the war was REPAIRED broken down by gender composition of househol...</v>
      </c>
    </row>
    <row r="1702" spans="2:6" x14ac:dyDescent="0.35">
      <c r="B1702" t="s">
        <v>117</v>
      </c>
      <c r="C1702" t="s">
        <v>162</v>
      </c>
      <c r="D1702" t="s">
        <v>216</v>
      </c>
      <c r="E1702" s="43">
        <v>2266</v>
      </c>
      <c r="F1702" s="21" t="str">
        <f>HYPERLINK("#'Data'!A31764", "Percentage of households reporting that the damage to current shelter was not repaired, by reason  broken down by gender composition of household on t...")</f>
        <v>Percentage of households reporting that the damage to current shelter was not repaired, by reason  broken down by gender composition of household on t...</v>
      </c>
    </row>
    <row r="1703" spans="2:6" x14ac:dyDescent="0.35">
      <c r="B1703" t="s">
        <v>117</v>
      </c>
      <c r="C1703" t="s">
        <v>163</v>
      </c>
      <c r="D1703" t="s">
        <v>216</v>
      </c>
      <c r="E1703" s="43">
        <v>2267</v>
      </c>
      <c r="F1703" s="21" t="str">
        <f>HYPERLINK("#'Data'!A31779", "Percentage of households reporting damage to current shelter caused by the war, by severity broken down by gender composition of household on the admi...")</f>
        <v>Percentage of households reporting damage to current shelter caused by the war, by severity broken down by gender composition of household on the admi...</v>
      </c>
    </row>
    <row r="1704" spans="2:6" x14ac:dyDescent="0.35">
      <c r="B1704" t="s">
        <v>117</v>
      </c>
      <c r="C1704" t="s">
        <v>164</v>
      </c>
      <c r="D1704" t="s">
        <v>216</v>
      </c>
      <c r="E1704" s="43">
        <v>2268</v>
      </c>
      <c r="F1704" s="21" t="str">
        <f>HYPERLINK("#'Data'!A31798", "Percentage of households reporting enough space/essential items so that the members of the households can cook broken down by gender composition of ho...")</f>
        <v>Percentage of households reporting enough space/essential items so that the members of the households can cook broken down by gender composition of ho...</v>
      </c>
    </row>
    <row r="1705" spans="2:6" x14ac:dyDescent="0.35">
      <c r="B1705" t="s">
        <v>117</v>
      </c>
      <c r="C1705" t="s">
        <v>165</v>
      </c>
      <c r="D1705" t="s">
        <v>216</v>
      </c>
      <c r="E1705" s="43">
        <v>2269</v>
      </c>
      <c r="F1705" s="21" t="str">
        <f>HYPERLINK("#'Data'!A31817", "Percentage of households reporting enough space/essential items so that the members of the households can sleep broken down by gender composition of h...")</f>
        <v>Percentage of households reporting enough space/essential items so that the members of the households can sleep broken down by gender composition of h...</v>
      </c>
    </row>
    <row r="1706" spans="2:6" x14ac:dyDescent="0.35">
      <c r="B1706" t="s">
        <v>117</v>
      </c>
      <c r="C1706" t="s">
        <v>166</v>
      </c>
      <c r="D1706" t="s">
        <v>216</v>
      </c>
      <c r="E1706" s="43">
        <v>2270</v>
      </c>
      <c r="F1706" s="21" t="str">
        <f>HYPERLINK("#'Data'!A31836", "Percentage of households reporting enough space/essential items so that the members of the households can store food broken down by gender composition...")</f>
        <v>Percentage of households reporting enough space/essential items so that the members of the households can store food broken down by gender composition...</v>
      </c>
    </row>
    <row r="1707" spans="2:6" x14ac:dyDescent="0.35">
      <c r="B1707" t="s">
        <v>117</v>
      </c>
      <c r="C1707" t="s">
        <v>167</v>
      </c>
      <c r="D1707" t="s">
        <v>216</v>
      </c>
      <c r="E1707" s="43">
        <v>2271</v>
      </c>
      <c r="F1707" s="21" t="str">
        <f>HYPERLINK("#'Data'!A31855", "Households by main heating source in 2024-2025 winter season broken down by gender composition of household on the admin of macroregion perc")</f>
        <v>Households by main heating source in 2024-2025 winter season broken down by gender composition of household on the admin of macroregion perc</v>
      </c>
    </row>
    <row r="1708" spans="2:6" x14ac:dyDescent="0.35">
      <c r="B1708" t="s">
        <v>117</v>
      </c>
      <c r="C1708" t="s">
        <v>168</v>
      </c>
      <c r="D1708" t="s">
        <v>216</v>
      </c>
      <c r="E1708" s="43">
        <v>2272</v>
      </c>
      <c r="F1708" s="21" t="str">
        <f>HYPERLINK("#'Data'!A31874", "Households by main source of lighting broken down by gender composition of household on the admin of macroregion perc")</f>
        <v>Households by main source of lighting broken down by gender composition of household on the admin of macroregion perc</v>
      </c>
    </row>
    <row r="1709" spans="2:6" x14ac:dyDescent="0.35">
      <c r="B1709" t="s">
        <v>117</v>
      </c>
      <c r="C1709" t="s">
        <v>169</v>
      </c>
      <c r="D1709" t="s">
        <v>216</v>
      </c>
      <c r="E1709" s="43">
        <v>2273</v>
      </c>
      <c r="F1709" s="21" t="str">
        <f>HYPERLINK("#'Data'!A31893", "Households by issue faced with electricity broken down by gender composition of household on the admin of macroregion perc")</f>
        <v>Households by issue faced with electricity broken down by gender composition of household on the admin of macroregion perc</v>
      </c>
    </row>
    <row r="1710" spans="2:6" x14ac:dyDescent="0.35">
      <c r="B1710" t="s">
        <v>117</v>
      </c>
      <c r="C1710" t="s">
        <v>170</v>
      </c>
      <c r="D1710" t="s">
        <v>216</v>
      </c>
      <c r="E1710" s="43">
        <v>2274</v>
      </c>
      <c r="F1710" s="21" t="str">
        <f>HYPERLINK("#'Data'!A31912", "Households experiencing utility interruptions in the past three months, by utility type broken down by gender composition of household on the admin of...")</f>
        <v>Households experiencing utility interruptions in the past three months, by utility type broken down by gender composition of household on the admin of...</v>
      </c>
    </row>
    <row r="1711" spans="2:6" x14ac:dyDescent="0.35">
      <c r="B1711" t="s">
        <v>117</v>
      </c>
      <c r="C1711" t="s">
        <v>171</v>
      </c>
      <c r="D1711" t="s">
        <v>216</v>
      </c>
      <c r="E1711" s="43">
        <v>2275</v>
      </c>
      <c r="F1711" s="21" t="str">
        <f>HYPERLINK("#'Data'!A31931", "Households by access to alternative source of power broken down by gender composition of household on the admin of macroregion perc")</f>
        <v>Households by access to alternative source of power broken down by gender composition of household on the admin of macroregion perc</v>
      </c>
    </row>
    <row r="1712" spans="2:6" x14ac:dyDescent="0.35">
      <c r="B1712" t="s">
        <v>117</v>
      </c>
      <c r="C1712" t="s">
        <v>172</v>
      </c>
      <c r="D1712" t="s">
        <v>216</v>
      </c>
      <c r="E1712" s="43">
        <v>2276</v>
      </c>
      <c r="F1712" s="21" t="str">
        <f>HYPERLINK("#'Data'!A31950", "Households with access to the internet in the past 4 weeks, by frequency broken down by gender composition of household on the admin of macroregion pe...")</f>
        <v>Households with access to the internet in the past 4 weeks, by frequency broken down by gender composition of household on the admin of macroregion pe...</v>
      </c>
    </row>
    <row r="1713" spans="2:6" x14ac:dyDescent="0.35">
      <c r="B1713" t="s">
        <v>173</v>
      </c>
      <c r="C1713" t="s">
        <v>174</v>
      </c>
      <c r="D1713" t="s">
        <v>216</v>
      </c>
      <c r="E1713" s="43">
        <v>2277</v>
      </c>
      <c r="F1713" s="21" t="str">
        <f>HYPERLINK("#'Data'!A31969", "Households by main source of drinking water, by source broken down by gender composition of household on the admin of macroregion perc")</f>
        <v>Households by main source of drinking water, by source broken down by gender composition of household on the admin of macroregion perc</v>
      </c>
    </row>
    <row r="1714" spans="2:6" x14ac:dyDescent="0.35">
      <c r="B1714" t="s">
        <v>173</v>
      </c>
      <c r="C1714" t="s">
        <v>175</v>
      </c>
      <c r="D1714" t="s">
        <v>216</v>
      </c>
      <c r="E1714" s="43">
        <v>2278</v>
      </c>
      <c r="F1714" s="21" t="str">
        <f>HYPERLINK("#'Data'!A31988",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715" spans="2:6" x14ac:dyDescent="0.35">
      <c r="B1715" t="s">
        <v>173</v>
      </c>
      <c r="C1715" t="s">
        <v>176</v>
      </c>
      <c r="D1715" t="s">
        <v>216</v>
      </c>
      <c r="E1715" s="43">
        <v>2279</v>
      </c>
      <c r="F1715" s="21" t="str">
        <f>HYPERLINK("#'Data'!A32007", "Households by acceptability of water in the past 4 weeks (prior to treatment) broken down by gender composition of household on the admin of macroregi...")</f>
        <v>Households by acceptability of water in the past 4 weeks (prior to treatment) broken down by gender composition of household on the admin of macroregi...</v>
      </c>
    </row>
    <row r="1716" spans="2:6" x14ac:dyDescent="0.35">
      <c r="B1716" t="s">
        <v>173</v>
      </c>
      <c r="C1716" t="s">
        <v>177</v>
      </c>
      <c r="D1716" t="s">
        <v>216</v>
      </c>
      <c r="E1716" s="43">
        <v>2280</v>
      </c>
      <c r="F1716" s="21" t="str">
        <f>HYPERLINK("#'Data'!A32026", "Households who treat drinking water from the main source broken down by gender composition of household on the admin of macroregion perc")</f>
        <v>Households who treat drinking water from the main source broken down by gender composition of household on the admin of macroregion perc</v>
      </c>
    </row>
    <row r="1717" spans="2:6" x14ac:dyDescent="0.35">
      <c r="B1717" t="s">
        <v>173</v>
      </c>
      <c r="C1717" t="s">
        <v>178</v>
      </c>
      <c r="D1717" t="s">
        <v>216</v>
      </c>
      <c r="E1717" s="43">
        <v>2281</v>
      </c>
      <c r="F1717" s="21" t="str">
        <f>HYPERLINK("#'Data'!A32045", "Households by days without sufficient drinking water quantity in the past 4 weeks broken down by gender composition of household on the admin of macro...")</f>
        <v>Households by days without sufficient drinking water quantity in the past 4 weeks broken down by gender composition of household on the admin of macro...</v>
      </c>
    </row>
    <row r="1718" spans="2:6" x14ac:dyDescent="0.35">
      <c r="B1718" t="s">
        <v>173</v>
      </c>
      <c r="C1718" t="s">
        <v>179</v>
      </c>
      <c r="D1718" t="s">
        <v>216</v>
      </c>
      <c r="E1718" s="43">
        <v>2282</v>
      </c>
      <c r="F1718" s="21" t="str">
        <f>HYPERLINK("#'Data'!A32064", "Households by main source of water for domestic purposes broken down by gender composition of household on the admin of macroregion perc")</f>
        <v>Households by main source of water for domestic purposes broken down by gender composition of household on the admin of macroregion perc</v>
      </c>
    </row>
    <row r="1719" spans="2:6" x14ac:dyDescent="0.35">
      <c r="B1719" t="s">
        <v>173</v>
      </c>
      <c r="C1719" t="s">
        <v>180</v>
      </c>
      <c r="D1719" t="s">
        <v>216</v>
      </c>
      <c r="E1719" s="43">
        <v>2283</v>
      </c>
      <c r="F1719" s="21" t="str">
        <f>HYPERLINK("#'Data'!A32083", "Households by days without sufficient water for domestic purposes quantity in the past 4 weeks broken down by gender composition of household on the a...")</f>
        <v>Households by days without sufficient water for domestic purposes quantity in the past 4 weeks broken down by gender composition of household on the a...</v>
      </c>
    </row>
    <row r="1720" spans="2:6" x14ac:dyDescent="0.35">
      <c r="B1720" t="s">
        <v>173</v>
      </c>
      <c r="C1720" t="s">
        <v>181</v>
      </c>
      <c r="D1720" t="s">
        <v>216</v>
      </c>
      <c r="E1720" s="43">
        <v>2284</v>
      </c>
      <c r="F1720" s="21" t="str">
        <f>HYPERLINK("#'Data'!A32102", "Percentage of households reporting enough space/essential items so that the members of the households can perform personal hygiene broken down by gend...")</f>
        <v>Percentage of households reporting enough space/essential items so that the members of the households can perform personal hygiene broken down by gend...</v>
      </c>
    </row>
    <row r="1721" spans="2:6" x14ac:dyDescent="0.35">
      <c r="B1721" t="s">
        <v>173</v>
      </c>
      <c r="C1721" t="s">
        <v>182</v>
      </c>
      <c r="D1721" t="s">
        <v>216</v>
      </c>
      <c r="E1721" s="43">
        <v>2285</v>
      </c>
      <c r="F1721" s="21" t="str">
        <f>HYPERLINK("#'Data'!A32121", "Households by main handwashing facility broken down by gender composition of household on the admin of macroregion perc")</f>
        <v>Households by main handwashing facility broken down by gender composition of household on the admin of macroregion perc</v>
      </c>
    </row>
    <row r="1722" spans="2:6" x14ac:dyDescent="0.35">
      <c r="B1722" t="s">
        <v>173</v>
      </c>
      <c r="C1722" t="s">
        <v>183</v>
      </c>
      <c r="D1722" t="s">
        <v>216</v>
      </c>
      <c r="E1722" s="43">
        <v>2286</v>
      </c>
      <c r="F1722" s="21" t="str">
        <f>HYPERLINK("#'Data'!A32140", "Households having access to soap for washing hands broken down by gender composition of household on the admin of macroregion perc")</f>
        <v>Households having access to soap for washing hands broken down by gender composition of household on the admin of macroregion perc</v>
      </c>
    </row>
    <row r="1723" spans="2:6" x14ac:dyDescent="0.35">
      <c r="B1723" t="s">
        <v>173</v>
      </c>
      <c r="C1723" t="s">
        <v>184</v>
      </c>
      <c r="D1723" t="s">
        <v>216</v>
      </c>
      <c r="E1723" s="43">
        <v>2287</v>
      </c>
      <c r="F1723" s="21" t="str">
        <f>HYPERLINK("#'Data'!A32159", "Households by main toilet facility broken down by gender composition of household on the admin of macroregion perc")</f>
        <v>Households by main toilet facility broken down by gender composition of household on the admin of macroregion perc</v>
      </c>
    </row>
    <row r="1724" spans="2:6" x14ac:dyDescent="0.35">
      <c r="B1724" t="s">
        <v>173</v>
      </c>
      <c r="C1724" t="s">
        <v>185</v>
      </c>
      <c r="D1724" t="s">
        <v>216</v>
      </c>
      <c r="E1724" s="43">
        <v>2288</v>
      </c>
      <c r="F1724" s="21" t="str">
        <f>HYPERLINK("#'Data'!A32178", "Households sharing main toilet facility broken down by gender composition of household on the admin of macroregion perc")</f>
        <v>Households sharing main toilet facility broken down by gender composition of household on the admin of macroregion perc</v>
      </c>
    </row>
    <row r="1725" spans="2:6" x14ac:dyDescent="0.35">
      <c r="B1725" t="s">
        <v>173</v>
      </c>
      <c r="C1725" t="s">
        <v>186</v>
      </c>
      <c r="D1725" t="s">
        <v>216</v>
      </c>
      <c r="E1725" s="43">
        <v>2289</v>
      </c>
      <c r="F1725" s="21" t="str">
        <f>HYPERLINK("#'Data'!A32197", "Households sharing main toilet facility by number of households sharing that facility broken down by gender composition of household on the admin of m...")</f>
        <v>Households sharing main toilet facility by number of households sharing that facility broken down by gender composition of household on the admin of m...</v>
      </c>
    </row>
    <row r="1726" spans="2:6" x14ac:dyDescent="0.35">
      <c r="B1726" t="s">
        <v>173</v>
      </c>
      <c r="C1726" t="s">
        <v>187</v>
      </c>
      <c r="D1726" t="s">
        <v>216</v>
      </c>
      <c r="E1726" s="43">
        <v>2290</v>
      </c>
      <c r="F1726" s="21" t="str">
        <f>HYPERLINK("#'Data'!A32215", "Households facing issues with pumping off sewage/septic tank in the past 12 months, by issue broken down by gender composition of household on the adm...")</f>
        <v>Households facing issues with pumping off sewage/septic tank in the past 12 months, by issue broken down by gender composition of household on the adm...</v>
      </c>
    </row>
    <row r="1727" spans="2:6" x14ac:dyDescent="0.35">
      <c r="B1727" t="s">
        <v>173</v>
      </c>
      <c r="C1727" t="s">
        <v>188</v>
      </c>
      <c r="D1727" t="s">
        <v>216</v>
      </c>
      <c r="E1727" s="43">
        <v>2291</v>
      </c>
      <c r="F1727" s="21" t="str">
        <f>HYPERLINK("#'Data'!A32234", "Percentage of households who had to go without washing hands after dirty activities in the past 4 weeks, by frequency broken down by gender compositio...")</f>
        <v>Percentage of households who had to go without washing hands after dirty activities in the past 4 weeks, by frequency broken down by gender compositio...</v>
      </c>
    </row>
    <row r="1728" spans="2:6" x14ac:dyDescent="0.35">
      <c r="B1728" t="s">
        <v>173</v>
      </c>
      <c r="C1728" t="s">
        <v>189</v>
      </c>
      <c r="D1728" t="s">
        <v>216</v>
      </c>
      <c r="E1728" s="43">
        <v>2292</v>
      </c>
      <c r="F1728" s="21" t="str">
        <f>HYPERLINK("#'Data'!A32253", "Percentage of households who worried about not having enough water to cover all needs in the past 4 weeks, by frequency broken down by gender composit...")</f>
        <v>Percentage of households who worried about not having enough water to cover all needs in the past 4 weeks, by frequency broken down by gender composit...</v>
      </c>
    </row>
    <row r="1729" spans="2:6" x14ac:dyDescent="0.35">
      <c r="B1729" t="s">
        <v>173</v>
      </c>
      <c r="C1729" t="s">
        <v>190</v>
      </c>
      <c r="D1729" t="s">
        <v>216</v>
      </c>
      <c r="E1729" s="43">
        <v>2293</v>
      </c>
      <c r="F1729" s="21" t="str">
        <f>HYPERLINK("#'Data'!A32272", "Percentage of households who had to change plans due to problems with water in the past 4 weeks, by frequency broken down by gender composition of hou...")</f>
        <v>Percentage of households who had to change plans due to problems with water in the past 4 weeks, by frequency broken down by gender composition of hou...</v>
      </c>
    </row>
    <row r="1730" spans="2:6" x14ac:dyDescent="0.35">
      <c r="B1730" t="s">
        <v>191</v>
      </c>
      <c r="C1730" t="s">
        <v>192</v>
      </c>
      <c r="D1730" t="s">
        <v>216</v>
      </c>
      <c r="E1730" s="43">
        <v>2294</v>
      </c>
      <c r="F1730" s="21" t="str">
        <f>HYPERLINK("#'Data'!A32291", "Reduced Coping Strategies Index (rCSI) broken down by gender composition of household on the admin of macroregion perc")</f>
        <v>Reduced Coping Strategies Index (rCSI) broken down by gender composition of household on the admin of macroregion perc</v>
      </c>
    </row>
    <row r="1731" spans="2:6" x14ac:dyDescent="0.35">
      <c r="B1731" t="s">
        <v>191</v>
      </c>
      <c r="C1731" t="s">
        <v>193</v>
      </c>
      <c r="D1731" t="s">
        <v>216</v>
      </c>
      <c r="E1731" s="43">
        <v>2295</v>
      </c>
      <c r="F1731" s="21" t="str">
        <f>HYPERLINK("#'Data'!A32310", "Food Consumption Score broken down by gender composition of household on the admin of macroregion perc")</f>
        <v>Food Consumption Score broken down by gender composition of household on the admin of macroregion perc</v>
      </c>
    </row>
    <row r="1732" spans="2:6" x14ac:dyDescent="0.35">
      <c r="B1732" t="s">
        <v>191</v>
      </c>
      <c r="C1732" t="s">
        <v>194</v>
      </c>
      <c r="D1732" t="s">
        <v>216</v>
      </c>
      <c r="E1732" s="43">
        <v>2296</v>
      </c>
      <c r="F1732" s="21" t="str">
        <f>HYPERLINK("#'Data'!A32329", "Households adopting Consumption-based Coping Strategies, by strategy by gender composition of household ")</f>
        <v xml:space="preserve">Households adopting Consumption-based Coping Strategies, by strategy by gender composition of household </v>
      </c>
    </row>
    <row r="1733" spans="2:6" x14ac:dyDescent="0.35">
      <c r="B1733" t="s">
        <v>195</v>
      </c>
      <c r="C1733" t="s">
        <v>196</v>
      </c>
      <c r="D1733" t="s">
        <v>216</v>
      </c>
      <c r="E1733" s="43">
        <v>2301</v>
      </c>
      <c r="F1733" s="21" t="str">
        <f>HYPERLINK("#'Data'!A32438", "Households reporting most significant challenges their household currently faces broken down by gender composition of household on the admin of macror...")</f>
        <v>Households reporting most significant challenges their household currently faces broken down by gender composition of household on the admin of macror...</v>
      </c>
    </row>
    <row r="1734" spans="2:6" x14ac:dyDescent="0.35">
      <c r="B1734" t="s">
        <v>195</v>
      </c>
      <c r="C1734" t="s">
        <v>197</v>
      </c>
      <c r="D1734" t="s">
        <v>216</v>
      </c>
      <c r="E1734" s="43">
        <v>2302</v>
      </c>
      <c r="F1734" s="21" t="str">
        <f>HYPERLINK("#'Data'!A32457", "Households reporting challenges, by type of support they would like to receive broken down by gender composition of household on the admin of macroreg...")</f>
        <v>Households reporting challenges, by type of support they would like to receive broken down by gender composition of household on the admin of macroreg...</v>
      </c>
    </row>
    <row r="1735" spans="2:6" x14ac:dyDescent="0.35">
      <c r="B1735" t="s">
        <v>195</v>
      </c>
      <c r="C1735" t="s">
        <v>198</v>
      </c>
      <c r="D1735" t="s">
        <v>216</v>
      </c>
      <c r="E1735" s="43">
        <v>2303</v>
      </c>
      <c r="F1735" s="21" t="str">
        <f>HYPERLINK("#'Data'!A32476", "Households reporting challenges, by modality of assistance they would like to receive broken down by gender composition of household on the admin of m...")</f>
        <v>Households reporting challenges, by modality of assistance they would like to receive broken down by gender composition of household on the admin of m...</v>
      </c>
    </row>
    <row r="1736" spans="2:6" x14ac:dyDescent="0.35">
      <c r="B1736" t="s">
        <v>195</v>
      </c>
      <c r="C1736" t="s">
        <v>199</v>
      </c>
      <c r="D1736" t="s">
        <v>216</v>
      </c>
      <c r="E1736" s="43">
        <v>2304</v>
      </c>
      <c r="F1736" s="21" t="str">
        <f>HYPERLINK("#'Data'!A32495", "Households by last time aid was received broken down by gender composition of household on the admin of macroregion perc")</f>
        <v>Households by last time aid was received broken down by gender composition of household on the admin of macroregion perc</v>
      </c>
    </row>
    <row r="1737" spans="2:6" x14ac:dyDescent="0.35">
      <c r="B1737" t="s">
        <v>195</v>
      </c>
      <c r="C1737" t="s">
        <v>200</v>
      </c>
      <c r="D1737" t="s">
        <v>216</v>
      </c>
      <c r="E1737" s="43">
        <v>2305</v>
      </c>
      <c r="F1737" s="21" t="str">
        <f>HYPERLINK("#'Data'!A32514", "Households reporting barriers in accessing to aid in the past 12 months, by barrier broken down by gender composition of household on the admin of mac...")</f>
        <v>Households reporting barriers in accessing to aid in the past 12 months, by barrier broken down by gender composition of household on the admin of mac...</v>
      </c>
    </row>
    <row r="1738" spans="2:6" x14ac:dyDescent="0.35">
      <c r="B1738" t="s">
        <v>195</v>
      </c>
      <c r="C1738" t="s">
        <v>201</v>
      </c>
      <c r="D1738" t="s">
        <v>216</v>
      </c>
      <c r="E1738" s="43">
        <v>2306</v>
      </c>
      <c r="F1738" s="21" t="str">
        <f>HYPERLINK("#'Data'!A32533", "Households who received aid, by aid satisfaction in the past 12 months broken down by gender composition of household on the admin of macroregion perc")</f>
        <v>Households who received aid, by aid satisfaction in the past 12 months broken down by gender composition of household on the admin of macroregion perc</v>
      </c>
    </row>
    <row r="1739" spans="2:6" x14ac:dyDescent="0.35">
      <c r="B1739" t="s">
        <v>195</v>
      </c>
      <c r="C1739" t="s">
        <v>202</v>
      </c>
      <c r="D1739" t="s">
        <v>216</v>
      </c>
      <c r="E1739" s="43">
        <v>2307</v>
      </c>
      <c r="F1739" s="21" t="str">
        <f>HYPERLINK("#'Data'!A32552", "Households dissatisfied with aid received, by reason broken down by gender composition of household on the admin of macroregion perc")</f>
        <v>Households dissatisfied with aid received, by reason broken down by gender composition of household on the admin of macroregion perc</v>
      </c>
    </row>
    <row r="1740" spans="2:6" x14ac:dyDescent="0.35">
      <c r="B1740" t="s">
        <v>195</v>
      </c>
      <c r="C1740" t="s">
        <v>203</v>
      </c>
      <c r="D1740" t="s">
        <v>216</v>
      </c>
      <c r="E1740" s="43">
        <v>2308</v>
      </c>
      <c r="F1740" s="21" t="str">
        <f>HYPERLINK("#'Data'!A32569", "Percentage of households reporting reliable information channels to get information about aid, by channel broken down by gender composition of househo...")</f>
        <v>Percentage of households reporting reliable information channels to get information about aid, by channel broken down by gender composition of househo...</v>
      </c>
    </row>
    <row r="1741" spans="2:6" x14ac:dyDescent="0.35">
      <c r="B1741" t="s">
        <v>195</v>
      </c>
      <c r="C1741" t="s">
        <v>204</v>
      </c>
      <c r="D1741" t="s">
        <v>216</v>
      </c>
      <c r="E1741" s="43">
        <v>2309</v>
      </c>
      <c r="F1741" s="21" t="str">
        <f>HYPERLINK("#'Data'!A32588", "Percentage of households utilizing complaint and feedback channels, by type broken down by gender composition of household on the admin of macroregion...")</f>
        <v>Percentage of households utilizing complaint and feedback channels, by type broken down by gender composition of household on the admin of macroregion...</v>
      </c>
    </row>
    <row r="1742" spans="2:6" x14ac:dyDescent="0.35">
      <c r="B1742" t="s">
        <v>195</v>
      </c>
      <c r="C1742" t="s">
        <v>205</v>
      </c>
      <c r="D1742" t="s">
        <v>216</v>
      </c>
      <c r="E1742" s="43">
        <v>2310</v>
      </c>
      <c r="F1742" s="21" t="str">
        <f>HYPERLINK("#'Data'!A32607", "Percentage of households receiving a response through complaint and feedback channels broken down by gender composition of household on the admin of m...")</f>
        <v>Percentage of households receiving a response through complaint and feedback channels broken down by gender composition of household on the admin of m...</v>
      </c>
    </row>
    <row r="1743" spans="2:6" x14ac:dyDescent="0.35">
      <c r="B1743" t="s">
        <v>129</v>
      </c>
      <c r="C1743" t="s">
        <v>206</v>
      </c>
      <c r="D1743" t="s">
        <v>216</v>
      </c>
      <c r="E1743" s="43">
        <v>2311</v>
      </c>
      <c r="F1743" s="21" t="str">
        <f>HYPERLINK("#'Data'!A32625", "Percentage of household who have experienced cuts in  government assistance in the past 6 months broken down by gender composition of household on the...")</f>
        <v>Percentage of household who have experienced cuts in  government assistance in the past 6 months broken down by gender composition of household on the...</v>
      </c>
    </row>
    <row r="1744" spans="2:6" x14ac:dyDescent="0.35">
      <c r="B1744" t="s">
        <v>129</v>
      </c>
      <c r="C1744" t="s">
        <v>207</v>
      </c>
      <c r="D1744" t="s">
        <v>216</v>
      </c>
      <c r="E1744" s="43">
        <v>2312</v>
      </c>
      <c r="F1744" s="21" t="str">
        <f>HYPERLINK("#'Data'!A32644", "Percentage of households unable to obtain needed legal assistance, by type of assistance broken down by gender composition of household on the admin o...")</f>
        <v>Percentage of households unable to obtain needed legal assistance, by type of assistance broken down by gender composition of household on the admin o...</v>
      </c>
    </row>
    <row r="1745" spans="2:6" x14ac:dyDescent="0.35">
      <c r="B1745" t="s">
        <v>129</v>
      </c>
      <c r="C1745" t="s">
        <v>208</v>
      </c>
      <c r="D1745" t="s">
        <v>216</v>
      </c>
      <c r="E1745" s="43">
        <v>2313</v>
      </c>
      <c r="F1745" s="21" t="str">
        <f>HYPERLINK("#'Data'!A32663", "Percentage of households unable to obtain needed social and administrative services, by type of services broken down by gender composition of househol...")</f>
        <v>Percentage of households unable to obtain needed social and administrative services, by type of services broken down by gender composition of househol...</v>
      </c>
    </row>
    <row r="1746" spans="2:6" x14ac:dyDescent="0.35">
      <c r="B1746" t="s">
        <v>129</v>
      </c>
      <c r="C1746" t="s">
        <v>209</v>
      </c>
      <c r="D1746" t="s">
        <v>216</v>
      </c>
      <c r="E1746" s="43">
        <v>2314</v>
      </c>
      <c r="F1746" s="21" t="str">
        <f>HYPERLINK("#'Data'!A32682", "Percentage of households reporting services for women/girls are needed but not available in the area, by type of services broken down by gender compos...")</f>
        <v>Percentage of households reporting services for women/girls are needed but not available in the area, by type of services broken down by gender compos...</v>
      </c>
    </row>
    <row r="1747" spans="2:6" x14ac:dyDescent="0.35">
      <c r="B1747" t="s">
        <v>129</v>
      </c>
      <c r="C1747" t="s">
        <v>210</v>
      </c>
      <c r="D1747" t="s">
        <v>216</v>
      </c>
      <c r="E1747" s="43">
        <v>2315</v>
      </c>
      <c r="F1747" s="21" t="str">
        <f>HYPERLINK("#'Data'!A32701", "Percentage of household reporting services for children are needed but not available in the area, by type of service broken down by gender composition...")</f>
        <v>Percentage of household reporting services for children are needed but not available in the area, by type of service broken down by gender composition...</v>
      </c>
    </row>
    <row r="1748" spans="2:6" x14ac:dyDescent="0.35">
      <c r="B1748" t="s">
        <v>129</v>
      </c>
      <c r="C1748" t="s">
        <v>211</v>
      </c>
      <c r="D1748" t="s">
        <v>216</v>
      </c>
      <c r="E1748" s="43">
        <v>2316</v>
      </c>
      <c r="F1748" s="21" t="str">
        <f>HYPERLINK("#'Data'!A32720", "Percentage of households whose ability to work/access resources was affected by threats in the past 3 months broken down by gender composition of hous...")</f>
        <v>Percentage of households whose ability to work/access resources was affected by threats in the past 3 months broken down by gender composition of hous...</v>
      </c>
    </row>
    <row r="1749" spans="2:6" x14ac:dyDescent="0.35">
      <c r="B1749" t="s">
        <v>129</v>
      </c>
      <c r="C1749" t="s">
        <v>212</v>
      </c>
      <c r="D1749" t="s">
        <v>216</v>
      </c>
      <c r="E1749" s="43">
        <v>2317</v>
      </c>
      <c r="F1749" s="21" t="str">
        <f>HYPERLINK("#'Data'!A32739", "Percentage of households whose social interactions/participation were limited by threats in the past 3 months broken down by gender composition of hou...")</f>
        <v>Percentage of households whose social interactions/participation were limited by threats in the past 3 months broken down by gender composition of hou...</v>
      </c>
    </row>
    <row r="1750" spans="2:6" x14ac:dyDescent="0.35">
      <c r="B1750" t="s">
        <v>129</v>
      </c>
      <c r="C1750" t="s">
        <v>213</v>
      </c>
      <c r="D1750" t="s">
        <v>216</v>
      </c>
      <c r="E1750" s="43">
        <v>2318</v>
      </c>
      <c r="F1750" s="21" t="str">
        <f>HYPERLINK("#'Data'!A32758", "Percentage of households whose movement/access to public spaces changed due to threats in the past 3 months broken down by gender composition of house...")</f>
        <v>Percentage of households whose movement/access to public spaces changed due to threats in the past 3 months broken down by gender composition of house...</v>
      </c>
    </row>
    <row r="1751" spans="2:6" x14ac:dyDescent="0.35">
      <c r="B1751" t="s">
        <v>129</v>
      </c>
      <c r="C1751" t="s">
        <v>214</v>
      </c>
      <c r="D1751" t="s">
        <v>216</v>
      </c>
      <c r="E1751" s="43">
        <v>2319</v>
      </c>
      <c r="F1751" s="21" t="str">
        <f>HYPERLINK("#'Data'!A32777", "Percentage of households with children (&lt;18 y.o.) currently not living in the household broken down by gender composition of household on the admin of...")</f>
        <v>Percentage of households with children (&lt;18 y.o.) currently not living in the household broken down by gender composition of household on the admin of...</v>
      </c>
    </row>
    <row r="1752" spans="2:6" x14ac:dyDescent="0.35">
      <c r="B1752" t="s">
        <v>129</v>
      </c>
      <c r="C1752" t="s">
        <v>215</v>
      </c>
      <c r="D1752" t="s">
        <v>216</v>
      </c>
      <c r="E1752" s="43">
        <v>2320</v>
      </c>
      <c r="F1752" s="21" t="str">
        <f>HYPERLINK("#'Data'!A32796", "Percentage of households with children (&lt;18 y.o.) currently not living in the household, by reasons broken down by gender composition of household on ...")</f>
        <v>Percentage of households with children (&lt;18 y.o.) currently not living in the household, by reasons broken down by gender composition of household on ...</v>
      </c>
    </row>
    <row r="1753" spans="2:6" x14ac:dyDescent="0.35">
      <c r="B1753" t="s">
        <v>99</v>
      </c>
      <c r="C1753" t="s">
        <v>109</v>
      </c>
      <c r="D1753" t="s">
        <v>216</v>
      </c>
      <c r="E1753" s="43">
        <v>2321</v>
      </c>
      <c r="F1753" s="21" t="str">
        <f>HYPERLINK("#'Data'!A32814", "Percentage of households who were evacuated in the past 6 months broken down by gender composition of household on the admin of macroregion perc")</f>
        <v>Percentage of households who were evacuated in the past 6 months broken down by gender composition of household on the admin of macroregion perc</v>
      </c>
    </row>
    <row r="1754" spans="2:6" x14ac:dyDescent="0.35">
      <c r="B1754" t="s">
        <v>99</v>
      </c>
      <c r="C1754" t="s">
        <v>108</v>
      </c>
      <c r="D1754" t="s">
        <v>216</v>
      </c>
      <c r="E1754" s="43">
        <v>2322</v>
      </c>
      <c r="F1754" s="21" t="str">
        <f>HYPERLINK("#'Data'!A32828", "Percentage of returnee households by reasons for return to their habitual place of residence broken down by gender composition of household on the adm...")</f>
        <v>Percentage of returnee households by reasons for return to their habitual place of residence broken down by gender composition of household on the adm...</v>
      </c>
    </row>
    <row r="1755" spans="2:6" x14ac:dyDescent="0.35">
      <c r="B1755" t="s">
        <v>34</v>
      </c>
      <c r="C1755" t="s">
        <v>217</v>
      </c>
      <c r="D1755" t="s">
        <v>36</v>
      </c>
      <c r="E1755" s="43">
        <v>2323</v>
      </c>
      <c r="F1755" s="21" t="str">
        <f>HYPERLINK("#'Data'!A32846", "Households by gender composition on the admin of macroregion perc")</f>
        <v>Households by gender composition on the admin of macroregion perc</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BZ32853"/>
  <sheetViews>
    <sheetView topLeftCell="A8230" zoomScale="70" zoomScaleNormal="70" workbookViewId="0">
      <selection activeCell="C8253" sqref="C8253"/>
    </sheetView>
  </sheetViews>
  <sheetFormatPr defaultRowHeight="14.5" x14ac:dyDescent="0.35"/>
  <cols>
    <col min="1" max="26" width="30.6328125" customWidth="1"/>
    <col min="27" max="27" width="45" bestFit="1" customWidth="1"/>
    <col min="28" max="29" width="43.36328125" bestFit="1" customWidth="1"/>
    <col min="30" max="30" width="40.36328125" bestFit="1" customWidth="1"/>
    <col min="31" max="31" width="49.36328125" bestFit="1" customWidth="1"/>
    <col min="32" max="32" width="76.90625" bestFit="1" customWidth="1"/>
    <col min="33" max="34" width="78.54296875" bestFit="1" customWidth="1"/>
    <col min="35" max="35" width="75.54296875" bestFit="1" customWidth="1"/>
    <col min="36" max="37" width="84.54296875" bestFit="1" customWidth="1"/>
    <col min="38" max="39" width="16.08984375" bestFit="1" customWidth="1"/>
    <col min="40" max="40" width="13.08984375" bestFit="1" customWidth="1"/>
    <col min="41" max="42" width="22.08984375" bestFit="1" customWidth="1"/>
    <col min="43" max="44" width="21.6328125" bestFit="1" customWidth="1"/>
    <col min="45" max="45" width="18.6328125" bestFit="1" customWidth="1"/>
    <col min="46" max="47" width="27.6328125" bestFit="1" customWidth="1"/>
    <col min="48" max="49" width="29.453125" bestFit="1" customWidth="1"/>
    <col min="50" max="50" width="26.453125" bestFit="1" customWidth="1"/>
    <col min="51" max="51" width="35.453125" bestFit="1" customWidth="1"/>
    <col min="52" max="52" width="52.08984375" bestFit="1" customWidth="1"/>
    <col min="53" max="54" width="53.90625" bestFit="1" customWidth="1"/>
    <col min="55" max="55" width="50.90625" bestFit="1" customWidth="1"/>
    <col min="56" max="56" width="59.90625" bestFit="1" customWidth="1"/>
    <col min="57" max="57" width="65.36328125" bestFit="1" customWidth="1"/>
    <col min="58" max="59" width="67" bestFit="1" customWidth="1"/>
    <col min="60" max="60" width="64" bestFit="1" customWidth="1"/>
    <col min="61" max="61" width="73" bestFit="1" customWidth="1"/>
    <col min="62" max="62" width="93.08984375" bestFit="1" customWidth="1"/>
    <col min="63" max="64" width="94.90625" bestFit="1" customWidth="1"/>
    <col min="65" max="65" width="91.90625" bestFit="1" customWidth="1"/>
    <col min="66" max="67" width="100.90625" bestFit="1" customWidth="1"/>
    <col min="68" max="69" width="39.54296875" bestFit="1" customWidth="1"/>
    <col min="70" max="70" width="36.54296875" bestFit="1" customWidth="1"/>
    <col min="71" max="72" width="45.54296875" bestFit="1" customWidth="1"/>
    <col min="73" max="74" width="37.453125" bestFit="1" customWidth="1"/>
    <col min="75" max="75" width="34.453125" bestFit="1" customWidth="1"/>
    <col min="76" max="77" width="43.453125" bestFit="1" customWidth="1"/>
    <col min="78" max="78" width="18.453125" bestFit="1" customWidth="1"/>
  </cols>
  <sheetData>
    <row r="2" spans="1:8" x14ac:dyDescent="0.35">
      <c r="A2" s="1" t="s">
        <v>218</v>
      </c>
    </row>
    <row r="3" spans="1:8" x14ac:dyDescent="0.35">
      <c r="A3" t="s">
        <v>219</v>
      </c>
      <c r="B3" t="s">
        <v>220</v>
      </c>
      <c r="C3" t="s">
        <v>221</v>
      </c>
      <c r="D3" t="s">
        <v>222</v>
      </c>
      <c r="E3" t="s">
        <v>223</v>
      </c>
      <c r="F3" t="s">
        <v>224</v>
      </c>
      <c r="G3" t="s">
        <v>225</v>
      </c>
      <c r="H3" t="s">
        <v>226</v>
      </c>
    </row>
    <row r="4" spans="1:8" x14ac:dyDescent="0.35">
      <c r="A4" t="s">
        <v>227</v>
      </c>
      <c r="B4" s="26">
        <v>0.26369999999999999</v>
      </c>
      <c r="C4" s="26">
        <v>0.2445</v>
      </c>
      <c r="D4" s="26">
        <v>0.2253</v>
      </c>
      <c r="E4" s="26">
        <v>0.1593</v>
      </c>
      <c r="F4" s="26">
        <v>7.1400000000000005E-2</v>
      </c>
      <c r="G4" s="26">
        <v>3.5700000000000003E-2</v>
      </c>
      <c r="H4">
        <v>364</v>
      </c>
    </row>
    <row r="5" spans="1:8" x14ac:dyDescent="0.35">
      <c r="A5" t="s">
        <v>228</v>
      </c>
      <c r="B5" s="26">
        <v>0.27829999999999999</v>
      </c>
      <c r="C5" s="26">
        <v>0.22140000000000001</v>
      </c>
      <c r="D5" s="26">
        <v>0.22209999999999999</v>
      </c>
      <c r="E5" s="26">
        <v>0.14560000000000001</v>
      </c>
      <c r="F5" s="26">
        <v>0.1002</v>
      </c>
      <c r="G5" s="26">
        <v>3.2399999999999998E-2</v>
      </c>
      <c r="H5">
        <v>2358</v>
      </c>
    </row>
    <row r="6" spans="1:8" x14ac:dyDescent="0.35">
      <c r="A6" t="s">
        <v>229</v>
      </c>
      <c r="B6" s="26">
        <v>0.34350000000000003</v>
      </c>
      <c r="C6" s="26">
        <v>0.17530000000000001</v>
      </c>
      <c r="D6" s="26">
        <v>0.18920000000000001</v>
      </c>
      <c r="E6" s="26">
        <v>0.154</v>
      </c>
      <c r="F6" s="26">
        <v>0.1026</v>
      </c>
      <c r="G6" s="26">
        <v>3.5400000000000001E-2</v>
      </c>
      <c r="H6">
        <v>2016</v>
      </c>
    </row>
    <row r="7" spans="1:8" x14ac:dyDescent="0.35">
      <c r="A7" t="s">
        <v>230</v>
      </c>
      <c r="B7" s="26">
        <v>0.29399999999999998</v>
      </c>
      <c r="C7" s="26">
        <v>0.21460000000000001</v>
      </c>
      <c r="D7" s="26">
        <v>0.17510000000000001</v>
      </c>
      <c r="E7" s="26">
        <v>0.1661</v>
      </c>
      <c r="F7" s="26">
        <v>0.1118</v>
      </c>
      <c r="G7" s="26">
        <v>3.85E-2</v>
      </c>
      <c r="H7">
        <v>1279</v>
      </c>
    </row>
    <row r="8" spans="1:8" x14ac:dyDescent="0.35">
      <c r="A8" t="s">
        <v>231</v>
      </c>
      <c r="B8" s="26">
        <v>0.23949999999999999</v>
      </c>
      <c r="C8" s="26">
        <v>0.2737</v>
      </c>
      <c r="D8" s="26">
        <v>0.2</v>
      </c>
      <c r="E8" s="26">
        <v>0.1263</v>
      </c>
      <c r="F8" s="26">
        <v>0.1079</v>
      </c>
      <c r="G8" s="26">
        <v>5.2600000000000001E-2</v>
      </c>
      <c r="H8">
        <v>380</v>
      </c>
    </row>
    <row r="9" spans="1:8" x14ac:dyDescent="0.35">
      <c r="A9" t="s">
        <v>232</v>
      </c>
      <c r="B9" s="26">
        <v>0.28610000000000002</v>
      </c>
      <c r="C9" s="26">
        <v>0.22489999999999999</v>
      </c>
      <c r="D9" s="26">
        <v>0.20250000000000001</v>
      </c>
      <c r="E9" s="26">
        <v>0.14680000000000001</v>
      </c>
      <c r="F9" s="26">
        <v>9.9900000000000003E-2</v>
      </c>
      <c r="G9" s="26">
        <v>3.9800000000000002E-2</v>
      </c>
      <c r="H9">
        <v>6397</v>
      </c>
    </row>
    <row r="11" spans="1:8" x14ac:dyDescent="0.35">
      <c r="A11" s="1" t="s">
        <v>233</v>
      </c>
    </row>
    <row r="12" spans="1:8" x14ac:dyDescent="0.35">
      <c r="A12" t="s">
        <v>219</v>
      </c>
      <c r="B12" t="s">
        <v>234</v>
      </c>
      <c r="C12" t="s">
        <v>235</v>
      </c>
      <c r="D12" t="s">
        <v>236</v>
      </c>
      <c r="E12" t="s">
        <v>226</v>
      </c>
    </row>
    <row r="13" spans="1:8" x14ac:dyDescent="0.35">
      <c r="A13" t="s">
        <v>227</v>
      </c>
      <c r="B13" s="26">
        <v>0.55769999999999997</v>
      </c>
      <c r="C13" s="26">
        <v>0.43680000000000002</v>
      </c>
      <c r="D13" s="26">
        <v>5.4999999999999997E-3</v>
      </c>
      <c r="E13">
        <v>364</v>
      </c>
    </row>
    <row r="14" spans="1:8" x14ac:dyDescent="0.35">
      <c r="A14" t="s">
        <v>228</v>
      </c>
      <c r="B14" s="26">
        <v>0.5806</v>
      </c>
      <c r="C14" s="26">
        <v>0.41639999999999999</v>
      </c>
      <c r="D14" s="26">
        <v>3.0000000000000001E-3</v>
      </c>
      <c r="E14">
        <v>2358</v>
      </c>
    </row>
    <row r="15" spans="1:8" x14ac:dyDescent="0.35">
      <c r="A15" t="s">
        <v>229</v>
      </c>
      <c r="B15" s="26">
        <v>0.56420000000000003</v>
      </c>
      <c r="C15" s="26">
        <v>0.43430000000000002</v>
      </c>
      <c r="D15" s="26">
        <v>1.5E-3</v>
      </c>
      <c r="E15">
        <v>2016</v>
      </c>
    </row>
    <row r="16" spans="1:8" x14ac:dyDescent="0.35">
      <c r="A16" t="s">
        <v>230</v>
      </c>
      <c r="B16" s="26">
        <v>0.56610000000000005</v>
      </c>
      <c r="C16" s="26">
        <v>0.43280000000000002</v>
      </c>
      <c r="D16" s="26">
        <v>1.1000000000000001E-3</v>
      </c>
      <c r="E16">
        <v>1279</v>
      </c>
    </row>
    <row r="17" spans="1:5" x14ac:dyDescent="0.35">
      <c r="A17" t="s">
        <v>231</v>
      </c>
      <c r="B17" s="26">
        <v>0.56579999999999997</v>
      </c>
      <c r="C17" s="26">
        <v>0.4289</v>
      </c>
      <c r="D17" s="26">
        <v>5.3E-3</v>
      </c>
      <c r="E17">
        <v>380</v>
      </c>
    </row>
    <row r="18" spans="1:5" x14ac:dyDescent="0.35">
      <c r="A18" t="s">
        <v>232</v>
      </c>
      <c r="B18" s="26">
        <v>0.56710000000000005</v>
      </c>
      <c r="C18" s="26">
        <v>0.42949999999999999</v>
      </c>
      <c r="D18" s="26">
        <v>3.3999999999999998E-3</v>
      </c>
      <c r="E18">
        <v>6397</v>
      </c>
    </row>
    <row r="20" spans="1:5" x14ac:dyDescent="0.35">
      <c r="A20" s="1" t="s">
        <v>237</v>
      </c>
    </row>
    <row r="21" spans="1:5" x14ac:dyDescent="0.35">
      <c r="A21" t="s">
        <v>219</v>
      </c>
      <c r="B21" t="s">
        <v>238</v>
      </c>
      <c r="C21" t="s">
        <v>239</v>
      </c>
      <c r="D21" t="s">
        <v>226</v>
      </c>
    </row>
    <row r="22" spans="1:5" x14ac:dyDescent="0.35">
      <c r="A22" t="s">
        <v>227</v>
      </c>
      <c r="B22" s="26">
        <v>0.6149</v>
      </c>
      <c r="C22" s="26">
        <v>0.3851</v>
      </c>
      <c r="D22">
        <v>161</v>
      </c>
    </row>
    <row r="23" spans="1:5" x14ac:dyDescent="0.35">
      <c r="A23" t="s">
        <v>228</v>
      </c>
      <c r="B23" s="26">
        <v>0.79349999999999998</v>
      </c>
      <c r="C23" s="26">
        <v>0.20649999999999999</v>
      </c>
      <c r="D23">
        <v>1033</v>
      </c>
    </row>
    <row r="24" spans="1:5" x14ac:dyDescent="0.35">
      <c r="A24" t="s">
        <v>229</v>
      </c>
      <c r="B24" s="26">
        <v>0.74550000000000005</v>
      </c>
      <c r="C24" s="26">
        <v>0.2545</v>
      </c>
      <c r="D24">
        <v>895</v>
      </c>
    </row>
    <row r="25" spans="1:5" x14ac:dyDescent="0.35">
      <c r="A25" t="s">
        <v>230</v>
      </c>
      <c r="B25" s="26">
        <v>0.69879999999999998</v>
      </c>
      <c r="C25" s="26">
        <v>0.30120000000000002</v>
      </c>
      <c r="D25">
        <v>560</v>
      </c>
    </row>
    <row r="26" spans="1:5" x14ac:dyDescent="0.35">
      <c r="A26" t="s">
        <v>231</v>
      </c>
      <c r="B26" s="26">
        <v>0.65239999999999998</v>
      </c>
      <c r="C26" s="26">
        <v>0.34760000000000002</v>
      </c>
      <c r="D26">
        <v>164</v>
      </c>
    </row>
    <row r="27" spans="1:5" x14ac:dyDescent="0.35">
      <c r="A27" t="s">
        <v>232</v>
      </c>
      <c r="B27" s="26">
        <v>0.70499999999999996</v>
      </c>
      <c r="C27" s="26">
        <v>0.29499999999999998</v>
      </c>
      <c r="D27">
        <v>2813</v>
      </c>
    </row>
    <row r="29" spans="1:5" x14ac:dyDescent="0.35">
      <c r="A29" s="1" t="s">
        <v>240</v>
      </c>
    </row>
    <row r="30" spans="1:5" x14ac:dyDescent="0.35">
      <c r="A30" t="s">
        <v>219</v>
      </c>
      <c r="B30" t="s">
        <v>241</v>
      </c>
      <c r="C30" t="s">
        <v>242</v>
      </c>
      <c r="D30" t="s">
        <v>226</v>
      </c>
    </row>
    <row r="31" spans="1:5" x14ac:dyDescent="0.35">
      <c r="A31" t="s">
        <v>227</v>
      </c>
      <c r="B31" s="26">
        <v>0.5776</v>
      </c>
      <c r="C31" s="26">
        <v>0.4224</v>
      </c>
      <c r="D31">
        <v>161</v>
      </c>
    </row>
    <row r="32" spans="1:5" x14ac:dyDescent="0.35">
      <c r="A32" t="s">
        <v>228</v>
      </c>
      <c r="B32" s="26">
        <v>0.63639999999999997</v>
      </c>
      <c r="C32" s="26">
        <v>0.36359999999999998</v>
      </c>
      <c r="D32">
        <v>1033</v>
      </c>
    </row>
    <row r="33" spans="1:5" x14ac:dyDescent="0.35">
      <c r="A33" t="s">
        <v>229</v>
      </c>
      <c r="B33" s="26">
        <v>0.60970000000000002</v>
      </c>
      <c r="C33" s="26">
        <v>0.39029999999999998</v>
      </c>
      <c r="D33">
        <v>895</v>
      </c>
    </row>
    <row r="34" spans="1:5" x14ac:dyDescent="0.35">
      <c r="A34" t="s">
        <v>230</v>
      </c>
      <c r="B34" s="26">
        <v>0.66190000000000004</v>
      </c>
      <c r="C34" s="26">
        <v>0.33810000000000001</v>
      </c>
      <c r="D34">
        <v>560</v>
      </c>
    </row>
    <row r="35" spans="1:5" x14ac:dyDescent="0.35">
      <c r="A35" t="s">
        <v>231</v>
      </c>
      <c r="B35" s="26">
        <v>0.67069999999999996</v>
      </c>
      <c r="C35" s="26">
        <v>0.32929999999999998</v>
      </c>
      <c r="D35">
        <v>164</v>
      </c>
    </row>
    <row r="36" spans="1:5" x14ac:dyDescent="0.35">
      <c r="A36" t="s">
        <v>232</v>
      </c>
      <c r="B36" s="26">
        <v>0.63180000000000003</v>
      </c>
      <c r="C36" s="26">
        <v>0.36820000000000003</v>
      </c>
      <c r="D36">
        <v>2813</v>
      </c>
    </row>
    <row r="38" spans="1:5" x14ac:dyDescent="0.35">
      <c r="A38" s="1" t="s">
        <v>243</v>
      </c>
    </row>
    <row r="39" spans="1:5" x14ac:dyDescent="0.35">
      <c r="A39" t="s">
        <v>219</v>
      </c>
      <c r="B39" t="s">
        <v>244</v>
      </c>
      <c r="C39" t="s">
        <v>245</v>
      </c>
      <c r="D39" t="s">
        <v>246</v>
      </c>
      <c r="E39" t="s">
        <v>226</v>
      </c>
    </row>
    <row r="40" spans="1:5" x14ac:dyDescent="0.35">
      <c r="A40" t="s">
        <v>227</v>
      </c>
      <c r="B40" s="26">
        <v>0.59630000000000005</v>
      </c>
      <c r="C40" s="26">
        <v>0.32919999999999999</v>
      </c>
      <c r="D40" s="26">
        <v>7.4499999999999997E-2</v>
      </c>
      <c r="E40">
        <v>161</v>
      </c>
    </row>
    <row r="41" spans="1:5" x14ac:dyDescent="0.35">
      <c r="A41" t="s">
        <v>228</v>
      </c>
      <c r="B41" s="26">
        <v>0.6532</v>
      </c>
      <c r="C41" s="26">
        <v>0.27829999999999999</v>
      </c>
      <c r="D41" s="26">
        <v>6.8500000000000005E-2</v>
      </c>
      <c r="E41">
        <v>1033</v>
      </c>
    </row>
    <row r="42" spans="1:5" x14ac:dyDescent="0.35">
      <c r="A42" t="s">
        <v>229</v>
      </c>
      <c r="B42" s="26">
        <v>0.69320000000000004</v>
      </c>
      <c r="C42" s="26">
        <v>0.25359999999999999</v>
      </c>
      <c r="D42" s="26">
        <v>5.3199999999999997E-2</v>
      </c>
      <c r="E42">
        <v>895</v>
      </c>
    </row>
    <row r="43" spans="1:5" x14ac:dyDescent="0.35">
      <c r="A43" t="s">
        <v>230</v>
      </c>
      <c r="B43" s="26">
        <v>0.69189999999999996</v>
      </c>
      <c r="C43" s="26">
        <v>0.2596</v>
      </c>
      <c r="D43" s="26">
        <v>4.8599999999999997E-2</v>
      </c>
      <c r="E43">
        <v>560</v>
      </c>
    </row>
    <row r="44" spans="1:5" x14ac:dyDescent="0.35">
      <c r="A44" t="s">
        <v>231</v>
      </c>
      <c r="B44" s="26">
        <v>0.57930000000000004</v>
      </c>
      <c r="C44" s="26">
        <v>0.34150000000000003</v>
      </c>
      <c r="D44" s="26">
        <v>7.9299999999999995E-2</v>
      </c>
      <c r="E44">
        <v>164</v>
      </c>
    </row>
    <row r="45" spans="1:5" x14ac:dyDescent="0.35">
      <c r="A45" t="s">
        <v>232</v>
      </c>
      <c r="B45" s="26">
        <v>0.63939999999999997</v>
      </c>
      <c r="C45" s="26">
        <v>0.29449999999999998</v>
      </c>
      <c r="D45" s="26">
        <v>6.6100000000000006E-2</v>
      </c>
      <c r="E45">
        <v>2813</v>
      </c>
    </row>
    <row r="47" spans="1:5" x14ac:dyDescent="0.35">
      <c r="A47" s="1" t="s">
        <v>247</v>
      </c>
    </row>
    <row r="48" spans="1:5" x14ac:dyDescent="0.35">
      <c r="A48" t="s">
        <v>219</v>
      </c>
      <c r="B48" t="s">
        <v>248</v>
      </c>
      <c r="C48" t="s">
        <v>249</v>
      </c>
      <c r="D48" t="s">
        <v>226</v>
      </c>
    </row>
    <row r="49" spans="1:5" x14ac:dyDescent="0.35">
      <c r="A49" t="s">
        <v>227</v>
      </c>
      <c r="B49" s="26">
        <v>0.72670000000000001</v>
      </c>
      <c r="C49" s="26">
        <v>0.27329999999999999</v>
      </c>
      <c r="D49">
        <v>161</v>
      </c>
    </row>
    <row r="50" spans="1:5" x14ac:dyDescent="0.35">
      <c r="A50" t="s">
        <v>228</v>
      </c>
      <c r="B50" s="26">
        <v>0.70099999999999996</v>
      </c>
      <c r="C50" s="26">
        <v>0.29899999999999999</v>
      </c>
      <c r="D50">
        <v>1033</v>
      </c>
    </row>
    <row r="51" spans="1:5" x14ac:dyDescent="0.35">
      <c r="A51" t="s">
        <v>229</v>
      </c>
      <c r="B51" s="26">
        <v>0.6714</v>
      </c>
      <c r="C51" s="26">
        <v>0.3286</v>
      </c>
      <c r="D51">
        <v>895</v>
      </c>
    </row>
    <row r="52" spans="1:5" x14ac:dyDescent="0.35">
      <c r="A52" t="s">
        <v>230</v>
      </c>
      <c r="B52" s="26">
        <v>0.66290000000000004</v>
      </c>
      <c r="C52" s="26">
        <v>0.33710000000000001</v>
      </c>
      <c r="D52">
        <v>560</v>
      </c>
    </row>
    <row r="53" spans="1:5" x14ac:dyDescent="0.35">
      <c r="A53" t="s">
        <v>231</v>
      </c>
      <c r="B53" s="26">
        <v>0.78659999999999997</v>
      </c>
      <c r="C53" s="26">
        <v>0.21340000000000001</v>
      </c>
      <c r="D53">
        <v>164</v>
      </c>
    </row>
    <row r="54" spans="1:5" x14ac:dyDescent="0.35">
      <c r="A54" t="s">
        <v>232</v>
      </c>
      <c r="B54" s="26">
        <v>0.71630000000000005</v>
      </c>
      <c r="C54" s="26">
        <v>0.28370000000000001</v>
      </c>
      <c r="D54">
        <v>2813</v>
      </c>
    </row>
    <row r="56" spans="1:5" x14ac:dyDescent="0.35">
      <c r="A56" s="1" t="s">
        <v>250</v>
      </c>
    </row>
    <row r="57" spans="1:5" x14ac:dyDescent="0.35">
      <c r="A57" t="s">
        <v>219</v>
      </c>
      <c r="B57" t="s">
        <v>251</v>
      </c>
      <c r="C57" t="s">
        <v>252</v>
      </c>
      <c r="D57" t="s">
        <v>253</v>
      </c>
      <c r="E57" t="s">
        <v>226</v>
      </c>
    </row>
    <row r="58" spans="1:5" x14ac:dyDescent="0.35">
      <c r="A58" t="s">
        <v>227</v>
      </c>
      <c r="B58" s="26">
        <v>0.50929999999999997</v>
      </c>
      <c r="C58" s="26">
        <v>0.27950000000000003</v>
      </c>
      <c r="D58" s="26">
        <v>0.2112</v>
      </c>
      <c r="E58">
        <v>161</v>
      </c>
    </row>
    <row r="59" spans="1:5" x14ac:dyDescent="0.35">
      <c r="A59" t="s">
        <v>228</v>
      </c>
      <c r="B59" s="26">
        <v>0.47520000000000001</v>
      </c>
      <c r="C59" s="26">
        <v>0.3201</v>
      </c>
      <c r="D59" s="26">
        <v>0.2046</v>
      </c>
      <c r="E59">
        <v>1033</v>
      </c>
    </row>
    <row r="60" spans="1:5" x14ac:dyDescent="0.35">
      <c r="A60" t="s">
        <v>229</v>
      </c>
      <c r="B60" s="26">
        <v>0.58689999999999998</v>
      </c>
      <c r="C60" s="26">
        <v>0.22409999999999999</v>
      </c>
      <c r="D60" s="26">
        <v>0.189</v>
      </c>
      <c r="E60">
        <v>895</v>
      </c>
    </row>
    <row r="61" spans="1:5" x14ac:dyDescent="0.35">
      <c r="A61" t="s">
        <v>230</v>
      </c>
      <c r="B61" s="26">
        <v>0.55520000000000003</v>
      </c>
      <c r="C61" s="26">
        <v>0.25590000000000002</v>
      </c>
      <c r="D61" s="26">
        <v>0.18890000000000001</v>
      </c>
      <c r="E61">
        <v>560</v>
      </c>
    </row>
    <row r="62" spans="1:5" x14ac:dyDescent="0.35">
      <c r="A62" t="s">
        <v>231</v>
      </c>
      <c r="B62" s="26">
        <v>0.51829999999999998</v>
      </c>
      <c r="C62" s="26">
        <v>0.29880000000000001</v>
      </c>
      <c r="D62" s="26">
        <v>0.18290000000000001</v>
      </c>
      <c r="E62">
        <v>164</v>
      </c>
    </row>
    <row r="63" spans="1:5" x14ac:dyDescent="0.35">
      <c r="A63" t="s">
        <v>232</v>
      </c>
      <c r="B63" s="26">
        <v>0.53169999999999995</v>
      </c>
      <c r="C63" s="26">
        <v>0.27460000000000001</v>
      </c>
      <c r="D63" s="26">
        <v>0.19370000000000001</v>
      </c>
      <c r="E63">
        <v>2813</v>
      </c>
    </row>
    <row r="65" spans="1:7" x14ac:dyDescent="0.35">
      <c r="A65" s="1" t="s">
        <v>254</v>
      </c>
    </row>
    <row r="66" spans="1:7" x14ac:dyDescent="0.35">
      <c r="A66" t="s">
        <v>219</v>
      </c>
      <c r="B66" t="s">
        <v>255</v>
      </c>
      <c r="C66" t="s">
        <v>256</v>
      </c>
      <c r="D66" t="s">
        <v>257</v>
      </c>
      <c r="E66" t="s">
        <v>258</v>
      </c>
      <c r="F66" t="s">
        <v>226</v>
      </c>
    </row>
    <row r="67" spans="1:7" x14ac:dyDescent="0.35">
      <c r="A67" t="s">
        <v>227</v>
      </c>
      <c r="B67" s="26">
        <v>0.72670000000000001</v>
      </c>
      <c r="C67" s="26">
        <v>0.21740000000000001</v>
      </c>
      <c r="D67" s="26">
        <v>5.5899999999999998E-2</v>
      </c>
      <c r="F67">
        <v>161</v>
      </c>
    </row>
    <row r="68" spans="1:7" x14ac:dyDescent="0.35">
      <c r="A68" t="s">
        <v>228</v>
      </c>
      <c r="B68" s="26">
        <v>0.70099999999999996</v>
      </c>
      <c r="C68" s="26">
        <v>0.24129999999999999</v>
      </c>
      <c r="D68" s="26">
        <v>5.21E-2</v>
      </c>
      <c r="E68" s="26">
        <v>5.5999999999999999E-3</v>
      </c>
      <c r="F68">
        <v>1033</v>
      </c>
    </row>
    <row r="69" spans="1:7" x14ac:dyDescent="0.35">
      <c r="A69" t="s">
        <v>229</v>
      </c>
      <c r="B69" s="26">
        <v>0.6714</v>
      </c>
      <c r="C69" s="26">
        <v>0.27410000000000001</v>
      </c>
      <c r="D69" s="26">
        <v>5.4100000000000002E-2</v>
      </c>
      <c r="E69" s="26">
        <v>4.0000000000000002E-4</v>
      </c>
      <c r="F69">
        <v>895</v>
      </c>
    </row>
    <row r="70" spans="1:7" x14ac:dyDescent="0.35">
      <c r="A70" t="s">
        <v>230</v>
      </c>
      <c r="B70" s="26">
        <v>0.66290000000000004</v>
      </c>
      <c r="C70" s="26">
        <v>0.25979999999999998</v>
      </c>
      <c r="D70" s="26">
        <v>7.0699999999999999E-2</v>
      </c>
      <c r="E70" s="26">
        <v>6.4999999999999997E-3</v>
      </c>
      <c r="F70">
        <v>560</v>
      </c>
    </row>
    <row r="71" spans="1:7" x14ac:dyDescent="0.35">
      <c r="A71" t="s">
        <v>231</v>
      </c>
      <c r="B71" s="26">
        <v>0.78659999999999997</v>
      </c>
      <c r="C71" s="26">
        <v>0.17069999999999999</v>
      </c>
      <c r="D71" s="26">
        <v>4.2700000000000002E-2</v>
      </c>
      <c r="F71">
        <v>164</v>
      </c>
    </row>
    <row r="72" spans="1:7" x14ac:dyDescent="0.35">
      <c r="A72" t="s">
        <v>232</v>
      </c>
      <c r="B72" s="26">
        <v>0.71630000000000005</v>
      </c>
      <c r="C72" s="26">
        <v>0.22939999999999999</v>
      </c>
      <c r="D72" s="26">
        <v>5.2400000000000002E-2</v>
      </c>
      <c r="E72" s="26">
        <v>1.8E-3</v>
      </c>
      <c r="F72">
        <v>2813</v>
      </c>
    </row>
    <row r="74" spans="1:7" x14ac:dyDescent="0.35">
      <c r="A74" s="1" t="s">
        <v>259</v>
      </c>
    </row>
    <row r="75" spans="1:7" x14ac:dyDescent="0.35">
      <c r="A75" t="s">
        <v>219</v>
      </c>
      <c r="B75" t="s">
        <v>260</v>
      </c>
      <c r="C75" t="s">
        <v>261</v>
      </c>
      <c r="D75" t="s">
        <v>262</v>
      </c>
      <c r="E75" t="s">
        <v>263</v>
      </c>
      <c r="F75" t="s">
        <v>236</v>
      </c>
      <c r="G75" t="s">
        <v>226</v>
      </c>
    </row>
    <row r="76" spans="1:7" x14ac:dyDescent="0.35">
      <c r="A76" t="s">
        <v>227</v>
      </c>
      <c r="B76" s="26">
        <v>0.75780000000000003</v>
      </c>
      <c r="C76" s="26">
        <v>0.20499999999999999</v>
      </c>
      <c r="D76" s="26">
        <v>1.8599999999999998E-2</v>
      </c>
      <c r="E76" s="26">
        <v>1.8599999999999998E-2</v>
      </c>
      <c r="G76">
        <v>161</v>
      </c>
    </row>
    <row r="77" spans="1:7" x14ac:dyDescent="0.35">
      <c r="A77" t="s">
        <v>228</v>
      </c>
      <c r="B77" s="26">
        <v>0.61429999999999996</v>
      </c>
      <c r="C77" s="26">
        <v>0.19470000000000001</v>
      </c>
      <c r="D77" s="26">
        <v>0.1661</v>
      </c>
      <c r="E77" s="26">
        <v>1.8700000000000001E-2</v>
      </c>
      <c r="F77" s="26">
        <v>6.1999999999999998E-3</v>
      </c>
      <c r="G77">
        <v>1033</v>
      </c>
    </row>
    <row r="78" spans="1:7" x14ac:dyDescent="0.35">
      <c r="A78" t="s">
        <v>229</v>
      </c>
      <c r="B78" s="26">
        <v>0.55279999999999996</v>
      </c>
      <c r="C78" s="26">
        <v>0.14860000000000001</v>
      </c>
      <c r="D78" s="26">
        <v>0.27929999999999999</v>
      </c>
      <c r="E78" s="26">
        <v>1.9300000000000001E-2</v>
      </c>
      <c r="F78" s="26">
        <v>2.0000000000000001E-4</v>
      </c>
      <c r="G78">
        <v>895</v>
      </c>
    </row>
    <row r="79" spans="1:7" x14ac:dyDescent="0.35">
      <c r="A79" t="s">
        <v>230</v>
      </c>
      <c r="B79" s="26">
        <v>0.69279999999999997</v>
      </c>
      <c r="C79" s="26">
        <v>0.1333</v>
      </c>
      <c r="D79" s="26">
        <v>0.15010000000000001</v>
      </c>
      <c r="E79" s="26">
        <v>1.6299999999999999E-2</v>
      </c>
      <c r="F79" s="26">
        <v>7.4000000000000003E-3</v>
      </c>
      <c r="G79">
        <v>560</v>
      </c>
    </row>
    <row r="80" spans="1:7" x14ac:dyDescent="0.35">
      <c r="A80" t="s">
        <v>231</v>
      </c>
      <c r="B80" s="26">
        <v>0.75609999999999999</v>
      </c>
      <c r="C80" s="26">
        <v>0.1646</v>
      </c>
      <c r="D80" s="26">
        <v>6.7100000000000007E-2</v>
      </c>
      <c r="E80" s="26">
        <v>1.2200000000000001E-2</v>
      </c>
      <c r="G80">
        <v>164</v>
      </c>
    </row>
    <row r="81" spans="1:8" x14ac:dyDescent="0.35">
      <c r="A81" t="s">
        <v>232</v>
      </c>
      <c r="B81" s="26">
        <v>0.66490000000000005</v>
      </c>
      <c r="C81" s="26">
        <v>0.16900000000000001</v>
      </c>
      <c r="D81" s="26">
        <v>0.14729999999999999</v>
      </c>
      <c r="E81" s="26">
        <v>1.6799999999999999E-2</v>
      </c>
      <c r="F81" s="26">
        <v>2E-3</v>
      </c>
      <c r="G81">
        <v>2813</v>
      </c>
    </row>
    <row r="83" spans="1:8" x14ac:dyDescent="0.35">
      <c r="A83" s="1" t="s">
        <v>264</v>
      </c>
    </row>
    <row r="84" spans="1:8" x14ac:dyDescent="0.35">
      <c r="A84" t="s">
        <v>219</v>
      </c>
      <c r="B84" t="s">
        <v>265</v>
      </c>
      <c r="C84" t="s">
        <v>266</v>
      </c>
      <c r="D84" t="s">
        <v>267</v>
      </c>
      <c r="E84" t="s">
        <v>236</v>
      </c>
      <c r="F84" t="s">
        <v>226</v>
      </c>
    </row>
    <row r="85" spans="1:8" x14ac:dyDescent="0.35">
      <c r="A85" t="s">
        <v>227</v>
      </c>
      <c r="B85" s="26">
        <v>0.40989999999999999</v>
      </c>
      <c r="C85" s="26">
        <v>0.36649999999999999</v>
      </c>
      <c r="D85" s="26">
        <v>0.22359999999999999</v>
      </c>
      <c r="F85">
        <v>161</v>
      </c>
    </row>
    <row r="86" spans="1:8" x14ac:dyDescent="0.35">
      <c r="A86" t="s">
        <v>228</v>
      </c>
      <c r="B86" s="26">
        <v>0.41370000000000001</v>
      </c>
      <c r="C86" s="26">
        <v>0.41049999999999998</v>
      </c>
      <c r="D86" s="26">
        <v>0.16919999999999999</v>
      </c>
      <c r="E86" s="26">
        <v>6.6E-3</v>
      </c>
      <c r="F86">
        <v>1033</v>
      </c>
    </row>
    <row r="87" spans="1:8" x14ac:dyDescent="0.35">
      <c r="A87" t="s">
        <v>229</v>
      </c>
      <c r="B87" s="26">
        <v>0.44969999999999999</v>
      </c>
      <c r="C87" s="26">
        <v>0.32850000000000001</v>
      </c>
      <c r="D87" s="26">
        <v>0.2218</v>
      </c>
      <c r="F87">
        <v>895</v>
      </c>
    </row>
    <row r="88" spans="1:8" x14ac:dyDescent="0.35">
      <c r="A88" t="s">
        <v>230</v>
      </c>
      <c r="B88" s="26">
        <v>0.41880000000000001</v>
      </c>
      <c r="C88" s="26">
        <v>0.36130000000000001</v>
      </c>
      <c r="D88" s="26">
        <v>0.21990000000000001</v>
      </c>
      <c r="F88">
        <v>560</v>
      </c>
    </row>
    <row r="89" spans="1:8" x14ac:dyDescent="0.35">
      <c r="A89" t="s">
        <v>231</v>
      </c>
      <c r="B89" s="26">
        <v>0.41460000000000002</v>
      </c>
      <c r="C89" s="26">
        <v>0.378</v>
      </c>
      <c r="D89" s="26">
        <v>0.20730000000000001</v>
      </c>
      <c r="F89">
        <v>164</v>
      </c>
    </row>
    <row r="90" spans="1:8" x14ac:dyDescent="0.35">
      <c r="A90" t="s">
        <v>232</v>
      </c>
      <c r="B90" s="26">
        <v>0.42409999999999998</v>
      </c>
      <c r="C90" s="26">
        <v>0.3669</v>
      </c>
      <c r="D90" s="26">
        <v>0.2077</v>
      </c>
      <c r="E90" s="26">
        <v>1.2999999999999999E-3</v>
      </c>
      <c r="F90">
        <v>2813</v>
      </c>
    </row>
    <row r="92" spans="1:8" x14ac:dyDescent="0.35">
      <c r="A92" s="1" t="s">
        <v>268</v>
      </c>
    </row>
    <row r="93" spans="1:8" x14ac:dyDescent="0.35">
      <c r="A93" t="s">
        <v>219</v>
      </c>
      <c r="B93" t="s">
        <v>269</v>
      </c>
      <c r="C93" t="s">
        <v>270</v>
      </c>
      <c r="D93" t="s">
        <v>271</v>
      </c>
      <c r="E93" t="s">
        <v>272</v>
      </c>
      <c r="F93" t="s">
        <v>273</v>
      </c>
      <c r="G93" t="s">
        <v>274</v>
      </c>
      <c r="H93" t="s">
        <v>226</v>
      </c>
    </row>
    <row r="94" spans="1:8" x14ac:dyDescent="0.35">
      <c r="A94" t="s">
        <v>227</v>
      </c>
      <c r="B94" s="26">
        <v>0.61229999999999996</v>
      </c>
      <c r="C94" s="26">
        <v>0.1454</v>
      </c>
      <c r="D94" s="26">
        <v>0.14099999999999999</v>
      </c>
      <c r="E94" s="26">
        <v>0.1013</v>
      </c>
      <c r="H94">
        <v>227</v>
      </c>
    </row>
    <row r="95" spans="1:8" x14ac:dyDescent="0.35">
      <c r="A95" t="s">
        <v>228</v>
      </c>
      <c r="B95" s="26">
        <v>0.60619999999999996</v>
      </c>
      <c r="C95" s="26">
        <v>0.1386</v>
      </c>
      <c r="D95" s="26">
        <v>0.13300000000000001</v>
      </c>
      <c r="E95" s="26">
        <v>0.11990000000000001</v>
      </c>
      <c r="F95" s="26">
        <v>2E-3</v>
      </c>
      <c r="G95" s="26">
        <v>2.9999999999999997E-4</v>
      </c>
      <c r="H95">
        <v>1417</v>
      </c>
    </row>
    <row r="96" spans="1:8" x14ac:dyDescent="0.35">
      <c r="A96" t="s">
        <v>229</v>
      </c>
      <c r="B96" s="26">
        <v>0.65539999999999998</v>
      </c>
      <c r="C96" s="26">
        <v>0.13320000000000001</v>
      </c>
      <c r="D96" s="26">
        <v>0.1071</v>
      </c>
      <c r="E96" s="26">
        <v>0.1</v>
      </c>
      <c r="F96" s="26">
        <v>2.3E-3</v>
      </c>
      <c r="G96" s="26">
        <v>2.0999999999999999E-3</v>
      </c>
      <c r="H96">
        <v>1230</v>
      </c>
    </row>
    <row r="97" spans="1:17" x14ac:dyDescent="0.35">
      <c r="A97" t="s">
        <v>230</v>
      </c>
      <c r="B97" s="26">
        <v>0.57820000000000005</v>
      </c>
      <c r="C97" s="26">
        <v>0.20949999999999999</v>
      </c>
      <c r="D97" s="26">
        <v>0.1206</v>
      </c>
      <c r="E97" s="26">
        <v>9.0999999999999998E-2</v>
      </c>
      <c r="F97" s="26">
        <v>5.9999999999999995E-4</v>
      </c>
      <c r="H97">
        <v>769</v>
      </c>
    </row>
    <row r="98" spans="1:17" x14ac:dyDescent="0.35">
      <c r="A98" t="s">
        <v>231</v>
      </c>
      <c r="B98" s="26">
        <v>0.625</v>
      </c>
      <c r="C98" s="26">
        <v>0.13789999999999999</v>
      </c>
      <c r="D98" s="26">
        <v>0.1681</v>
      </c>
      <c r="E98" s="26">
        <v>6.9000000000000006E-2</v>
      </c>
      <c r="H98">
        <v>232</v>
      </c>
    </row>
    <row r="99" spans="1:17" x14ac:dyDescent="0.35">
      <c r="A99" t="s">
        <v>232</v>
      </c>
      <c r="B99" s="26">
        <v>0.62380000000000002</v>
      </c>
      <c r="C99" s="26">
        <v>0.14460000000000001</v>
      </c>
      <c r="D99" s="26">
        <v>0.1351</v>
      </c>
      <c r="E99" s="26">
        <v>9.4700000000000006E-2</v>
      </c>
      <c r="F99" s="26">
        <v>1.1000000000000001E-3</v>
      </c>
      <c r="G99" s="26">
        <v>6.9999999999999999E-4</v>
      </c>
      <c r="H99">
        <v>3875</v>
      </c>
    </row>
    <row r="101" spans="1:17" x14ac:dyDescent="0.35">
      <c r="A101" s="1" t="s">
        <v>275</v>
      </c>
    </row>
    <row r="102" spans="1:17" x14ac:dyDescent="0.35">
      <c r="A102" t="s">
        <v>219</v>
      </c>
      <c r="B102" t="s">
        <v>276</v>
      </c>
      <c r="C102" t="s">
        <v>277</v>
      </c>
      <c r="D102" t="s">
        <v>278</v>
      </c>
      <c r="E102" t="s">
        <v>279</v>
      </c>
      <c r="F102" t="s">
        <v>280</v>
      </c>
      <c r="G102" t="s">
        <v>281</v>
      </c>
      <c r="H102" t="s">
        <v>282</v>
      </c>
      <c r="I102" t="s">
        <v>283</v>
      </c>
      <c r="J102" t="s">
        <v>284</v>
      </c>
      <c r="K102" t="s">
        <v>285</v>
      </c>
      <c r="L102" t="s">
        <v>286</v>
      </c>
      <c r="M102" t="s">
        <v>226</v>
      </c>
    </row>
    <row r="103" spans="1:17" x14ac:dyDescent="0.35">
      <c r="A103" t="s">
        <v>227</v>
      </c>
      <c r="B103" s="26">
        <v>0.35239999999999999</v>
      </c>
      <c r="C103" s="26">
        <v>0.36559999999999998</v>
      </c>
      <c r="D103" s="26">
        <v>0.14099999999999999</v>
      </c>
      <c r="E103" s="26">
        <v>9.69E-2</v>
      </c>
      <c r="F103" s="26">
        <v>8.8000000000000005E-3</v>
      </c>
      <c r="G103" s="26">
        <v>1.32E-2</v>
      </c>
      <c r="H103" s="26">
        <v>8.8000000000000005E-3</v>
      </c>
      <c r="I103" s="26">
        <v>1.32E-2</v>
      </c>
      <c r="M103">
        <v>227</v>
      </c>
    </row>
    <row r="104" spans="1:17" x14ac:dyDescent="0.35">
      <c r="A104" t="s">
        <v>228</v>
      </c>
      <c r="B104" s="26">
        <v>0.35070000000000001</v>
      </c>
      <c r="C104" s="26">
        <v>0.33329999999999999</v>
      </c>
      <c r="D104" s="26">
        <v>0.18290000000000001</v>
      </c>
      <c r="E104" s="26">
        <v>8.7400000000000005E-2</v>
      </c>
      <c r="F104" s="26">
        <v>2.3800000000000002E-2</v>
      </c>
      <c r="G104" s="26">
        <v>1.21E-2</v>
      </c>
      <c r="H104" s="26">
        <v>3.3E-3</v>
      </c>
      <c r="I104" s="26">
        <v>2.0999999999999999E-3</v>
      </c>
      <c r="J104" s="26">
        <v>5.0000000000000001E-4</v>
      </c>
      <c r="K104" s="26">
        <v>2.5000000000000001E-3</v>
      </c>
      <c r="L104" s="26">
        <v>1.4E-3</v>
      </c>
      <c r="M104">
        <v>1417</v>
      </c>
    </row>
    <row r="105" spans="1:17" x14ac:dyDescent="0.35">
      <c r="A105" t="s">
        <v>229</v>
      </c>
      <c r="B105" s="26">
        <v>0.43009999999999998</v>
      </c>
      <c r="C105" s="26">
        <v>0.27579999999999999</v>
      </c>
      <c r="D105" s="26">
        <v>0.1757</v>
      </c>
      <c r="E105" s="26">
        <v>8.0100000000000005E-2</v>
      </c>
      <c r="F105" s="26">
        <v>1.4500000000000001E-2</v>
      </c>
      <c r="G105" s="26">
        <v>6.7000000000000002E-3</v>
      </c>
      <c r="H105" s="26">
        <v>1.24E-2</v>
      </c>
      <c r="I105" s="26">
        <v>2.2000000000000001E-3</v>
      </c>
      <c r="K105" s="26">
        <v>2.3E-3</v>
      </c>
      <c r="L105" s="26">
        <v>2.0000000000000001E-4</v>
      </c>
      <c r="M105">
        <v>1230</v>
      </c>
    </row>
    <row r="106" spans="1:17" x14ac:dyDescent="0.35">
      <c r="A106" t="s">
        <v>230</v>
      </c>
      <c r="B106" s="26">
        <v>0.32769999999999999</v>
      </c>
      <c r="C106" s="26">
        <v>0.30259999999999998</v>
      </c>
      <c r="D106" s="26">
        <v>0.20369999999999999</v>
      </c>
      <c r="E106" s="26">
        <v>0.1205</v>
      </c>
      <c r="F106" s="26">
        <v>2.86E-2</v>
      </c>
      <c r="G106" s="26">
        <v>5.4999999999999997E-3</v>
      </c>
      <c r="H106" s="26">
        <v>1.01E-2</v>
      </c>
      <c r="I106" s="26">
        <v>8.0000000000000004E-4</v>
      </c>
      <c r="L106" s="26">
        <v>5.9999999999999995E-4</v>
      </c>
      <c r="M106">
        <v>769</v>
      </c>
    </row>
    <row r="107" spans="1:17" x14ac:dyDescent="0.35">
      <c r="A107" t="s">
        <v>231</v>
      </c>
      <c r="B107" s="26">
        <v>0.33189999999999997</v>
      </c>
      <c r="C107" s="26">
        <v>0.40089999999999998</v>
      </c>
      <c r="D107" s="26">
        <v>0.1207</v>
      </c>
      <c r="E107" s="26">
        <v>0.10340000000000001</v>
      </c>
      <c r="F107" s="26">
        <v>1.29E-2</v>
      </c>
      <c r="G107" s="26">
        <v>8.6E-3</v>
      </c>
      <c r="H107" s="26">
        <v>8.6E-3</v>
      </c>
      <c r="I107" s="26">
        <v>8.6E-3</v>
      </c>
      <c r="J107" s="26">
        <v>4.3E-3</v>
      </c>
      <c r="M107">
        <v>232</v>
      </c>
    </row>
    <row r="108" spans="1:17" x14ac:dyDescent="0.35">
      <c r="A108" t="s">
        <v>232</v>
      </c>
      <c r="B108" s="26">
        <v>0.36659999999999998</v>
      </c>
      <c r="C108" s="26">
        <v>0.33689999999999998</v>
      </c>
      <c r="D108" s="26">
        <v>0.15959999999999999</v>
      </c>
      <c r="E108" s="26">
        <v>9.4299999999999995E-2</v>
      </c>
      <c r="F108" s="26">
        <v>1.6299999999999999E-2</v>
      </c>
      <c r="G108" s="26">
        <v>9.1000000000000004E-3</v>
      </c>
      <c r="H108" s="26">
        <v>8.8999999999999999E-3</v>
      </c>
      <c r="I108" s="26">
        <v>5.4999999999999997E-3</v>
      </c>
      <c r="J108" s="26">
        <v>1.2999999999999999E-3</v>
      </c>
      <c r="K108" s="26">
        <v>1.1999999999999999E-3</v>
      </c>
      <c r="L108" s="26">
        <v>4.0000000000000002E-4</v>
      </c>
      <c r="M108">
        <v>3875</v>
      </c>
    </row>
    <row r="110" spans="1:17" x14ac:dyDescent="0.35">
      <c r="A110" s="1" t="s">
        <v>287</v>
      </c>
    </row>
    <row r="111" spans="1:17" x14ac:dyDescent="0.35">
      <c r="A111" t="s">
        <v>219</v>
      </c>
      <c r="B111" t="s">
        <v>288</v>
      </c>
      <c r="C111" t="s">
        <v>289</v>
      </c>
      <c r="D111" t="s">
        <v>290</v>
      </c>
      <c r="E111" t="s">
        <v>291</v>
      </c>
      <c r="F111" t="s">
        <v>292</v>
      </c>
      <c r="G111" t="s">
        <v>293</v>
      </c>
      <c r="H111" t="s">
        <v>294</v>
      </c>
      <c r="I111" t="s">
        <v>295</v>
      </c>
      <c r="J111" t="s">
        <v>296</v>
      </c>
      <c r="K111" t="s">
        <v>297</v>
      </c>
      <c r="L111" t="s">
        <v>298</v>
      </c>
      <c r="M111" t="s">
        <v>299</v>
      </c>
      <c r="N111" t="s">
        <v>300</v>
      </c>
      <c r="O111" t="s">
        <v>281</v>
      </c>
      <c r="P111" t="s">
        <v>286</v>
      </c>
      <c r="Q111" t="s">
        <v>226</v>
      </c>
    </row>
    <row r="112" spans="1:17" x14ac:dyDescent="0.35">
      <c r="A112" t="s">
        <v>227</v>
      </c>
      <c r="B112" s="26">
        <v>0.3322</v>
      </c>
      <c r="C112" s="26">
        <v>0.30590000000000001</v>
      </c>
      <c r="D112" s="26">
        <v>5.9200000000000003E-2</v>
      </c>
      <c r="E112" s="26">
        <v>9.5399999999999999E-2</v>
      </c>
      <c r="F112" s="26">
        <v>5.2600000000000001E-2</v>
      </c>
      <c r="G112" s="26">
        <v>2.3E-2</v>
      </c>
      <c r="H112" s="26">
        <v>2.3E-2</v>
      </c>
      <c r="I112" s="26">
        <v>2.3E-2</v>
      </c>
      <c r="J112" s="26">
        <v>3.95E-2</v>
      </c>
      <c r="K112" s="26">
        <v>9.9000000000000008E-3</v>
      </c>
      <c r="L112" s="26">
        <v>1.6400000000000001E-2</v>
      </c>
      <c r="M112" s="26">
        <v>1.6400000000000001E-2</v>
      </c>
      <c r="N112" s="26">
        <v>3.3E-3</v>
      </c>
      <c r="Q112">
        <v>304</v>
      </c>
    </row>
    <row r="113" spans="1:17" x14ac:dyDescent="0.35">
      <c r="A113" t="s">
        <v>228</v>
      </c>
      <c r="B113" s="26">
        <v>0.33529999999999999</v>
      </c>
      <c r="C113" s="26">
        <v>0.30890000000000001</v>
      </c>
      <c r="D113" s="26">
        <v>7.0900000000000005E-2</v>
      </c>
      <c r="E113" s="26">
        <v>6.7799999999999999E-2</v>
      </c>
      <c r="F113" s="26">
        <v>4.0599999999999997E-2</v>
      </c>
      <c r="G113" s="26">
        <v>3.04E-2</v>
      </c>
      <c r="H113" s="26">
        <v>3.8600000000000002E-2</v>
      </c>
      <c r="I113" s="26">
        <v>2.2700000000000001E-2</v>
      </c>
      <c r="J113" s="26">
        <v>3.4099999999999998E-2</v>
      </c>
      <c r="K113" s="26">
        <v>1.1299999999999999E-2</v>
      </c>
      <c r="L113" s="26">
        <v>1.7600000000000001E-2</v>
      </c>
      <c r="M113" s="26">
        <v>1.7899999999999999E-2</v>
      </c>
      <c r="N113" s="26">
        <v>1.8E-3</v>
      </c>
      <c r="O113" s="26">
        <v>1.6999999999999999E-3</v>
      </c>
      <c r="P113" s="26">
        <v>4.0000000000000002E-4</v>
      </c>
      <c r="Q113">
        <v>2001</v>
      </c>
    </row>
    <row r="114" spans="1:17" x14ac:dyDescent="0.35">
      <c r="A114" t="s">
        <v>229</v>
      </c>
      <c r="B114" s="26">
        <v>0.39950000000000002</v>
      </c>
      <c r="C114" s="26">
        <v>0.23899999999999999</v>
      </c>
      <c r="D114" s="26">
        <v>5.8000000000000003E-2</v>
      </c>
      <c r="E114" s="26">
        <v>7.7100000000000002E-2</v>
      </c>
      <c r="F114" s="26">
        <v>3.9300000000000002E-2</v>
      </c>
      <c r="G114" s="26">
        <v>3.5999999999999997E-2</v>
      </c>
      <c r="H114" s="26">
        <v>5.11E-2</v>
      </c>
      <c r="I114" s="26">
        <v>3.5299999999999998E-2</v>
      </c>
      <c r="J114" s="26">
        <v>1.1299999999999999E-2</v>
      </c>
      <c r="K114" s="26">
        <v>1.9800000000000002E-2</v>
      </c>
      <c r="L114" s="26">
        <v>1.7899999999999999E-2</v>
      </c>
      <c r="M114" s="26">
        <v>1.47E-2</v>
      </c>
      <c r="N114" s="26">
        <v>6.9999999999999999E-4</v>
      </c>
      <c r="O114" s="26">
        <v>2.0000000000000001E-4</v>
      </c>
      <c r="Q114">
        <v>1693</v>
      </c>
    </row>
    <row r="115" spans="1:17" x14ac:dyDescent="0.35">
      <c r="A115" t="s">
        <v>230</v>
      </c>
      <c r="B115" s="26">
        <v>0.30690000000000001</v>
      </c>
      <c r="C115" s="26">
        <v>0.2281</v>
      </c>
      <c r="D115" s="26">
        <v>8.2799999999999999E-2</v>
      </c>
      <c r="E115" s="26">
        <v>0.10580000000000001</v>
      </c>
      <c r="F115" s="26">
        <v>4.8899999999999999E-2</v>
      </c>
      <c r="G115" s="26">
        <v>6.2E-2</v>
      </c>
      <c r="H115" s="26">
        <v>3.1399999999999997E-2</v>
      </c>
      <c r="I115" s="26">
        <v>3.2500000000000001E-2</v>
      </c>
      <c r="J115" s="26">
        <v>3.5099999999999999E-2</v>
      </c>
      <c r="K115" s="26">
        <v>2.4899999999999999E-2</v>
      </c>
      <c r="L115" s="26">
        <v>2.01E-2</v>
      </c>
      <c r="M115" s="26">
        <v>1.9300000000000001E-2</v>
      </c>
      <c r="N115" s="26">
        <v>5.9999999999999995E-4</v>
      </c>
      <c r="O115" s="26">
        <v>1.1000000000000001E-3</v>
      </c>
      <c r="P115" s="26">
        <v>5.0000000000000001E-4</v>
      </c>
      <c r="Q115">
        <v>1060</v>
      </c>
    </row>
    <row r="116" spans="1:17" x14ac:dyDescent="0.35">
      <c r="A116" t="s">
        <v>231</v>
      </c>
      <c r="B116" s="26">
        <v>0.3281</v>
      </c>
      <c r="C116" s="26">
        <v>0.26879999999999998</v>
      </c>
      <c r="D116" s="26">
        <v>0.12189999999999999</v>
      </c>
      <c r="E116" s="26">
        <v>2.5000000000000001E-2</v>
      </c>
      <c r="F116" s="26">
        <v>4.0599999999999997E-2</v>
      </c>
      <c r="G116" s="26">
        <v>4.0599999999999997E-2</v>
      </c>
      <c r="H116" s="26">
        <v>2.81E-2</v>
      </c>
      <c r="I116" s="26">
        <v>3.7499999999999999E-2</v>
      </c>
      <c r="J116" s="26">
        <v>4.0599999999999997E-2</v>
      </c>
      <c r="K116" s="26">
        <v>3.44E-2</v>
      </c>
      <c r="L116" s="26">
        <v>1.2500000000000001E-2</v>
      </c>
      <c r="M116" s="26">
        <v>1.5599999999999999E-2</v>
      </c>
      <c r="N116" s="26">
        <v>6.1999999999999998E-3</v>
      </c>
      <c r="Q116">
        <v>320</v>
      </c>
    </row>
    <row r="117" spans="1:17" x14ac:dyDescent="0.35">
      <c r="A117" t="s">
        <v>232</v>
      </c>
      <c r="B117" s="26">
        <v>0.34889999999999999</v>
      </c>
      <c r="C117" s="26">
        <v>0.26960000000000001</v>
      </c>
      <c r="D117" s="26">
        <v>8.0500000000000002E-2</v>
      </c>
      <c r="E117" s="26">
        <v>6.6400000000000001E-2</v>
      </c>
      <c r="F117" s="26">
        <v>4.2799999999999998E-2</v>
      </c>
      <c r="G117" s="26">
        <v>3.6700000000000003E-2</v>
      </c>
      <c r="H117" s="26">
        <v>3.6400000000000002E-2</v>
      </c>
      <c r="I117" s="26">
        <v>3.1399999999999997E-2</v>
      </c>
      <c r="J117" s="26">
        <v>3.0099999999999998E-2</v>
      </c>
      <c r="K117" s="26">
        <v>2.1100000000000001E-2</v>
      </c>
      <c r="L117" s="26">
        <v>1.6400000000000001E-2</v>
      </c>
      <c r="M117" s="26">
        <v>1.6299999999999999E-2</v>
      </c>
      <c r="N117" s="26">
        <v>2.8E-3</v>
      </c>
      <c r="O117" s="26">
        <v>5.0000000000000001E-4</v>
      </c>
      <c r="P117" s="26">
        <v>1E-4</v>
      </c>
      <c r="Q117">
        <v>5378</v>
      </c>
    </row>
    <row r="119" spans="1:17" x14ac:dyDescent="0.35">
      <c r="A119" s="1" t="s">
        <v>301</v>
      </c>
    </row>
    <row r="120" spans="1:17" x14ac:dyDescent="0.35">
      <c r="A120" t="s">
        <v>219</v>
      </c>
      <c r="B120" t="s">
        <v>302</v>
      </c>
      <c r="C120" t="s">
        <v>303</v>
      </c>
      <c r="D120" t="s">
        <v>281</v>
      </c>
      <c r="E120" t="s">
        <v>286</v>
      </c>
      <c r="F120" t="s">
        <v>226</v>
      </c>
    </row>
    <row r="121" spans="1:17" x14ac:dyDescent="0.35">
      <c r="A121" t="s">
        <v>227</v>
      </c>
      <c r="B121" s="26">
        <v>0.90159999999999996</v>
      </c>
      <c r="C121" s="26">
        <v>9.8400000000000001E-2</v>
      </c>
      <c r="F121">
        <v>254</v>
      </c>
    </row>
    <row r="122" spans="1:17" x14ac:dyDescent="0.35">
      <c r="A122" t="s">
        <v>228</v>
      </c>
      <c r="B122" s="26">
        <v>0.87060000000000004</v>
      </c>
      <c r="C122" s="26">
        <v>0.1288</v>
      </c>
      <c r="D122" s="26">
        <v>5.0000000000000001E-4</v>
      </c>
      <c r="E122" s="26">
        <v>2.0000000000000001E-4</v>
      </c>
      <c r="F122">
        <v>1734</v>
      </c>
    </row>
    <row r="123" spans="1:17" x14ac:dyDescent="0.35">
      <c r="A123" t="s">
        <v>229</v>
      </c>
      <c r="B123" s="26">
        <v>0.88090000000000002</v>
      </c>
      <c r="C123" s="26">
        <v>0.1168</v>
      </c>
      <c r="D123" s="26">
        <v>2.0999999999999999E-3</v>
      </c>
      <c r="E123" s="26">
        <v>2.0000000000000001E-4</v>
      </c>
      <c r="F123">
        <v>1493</v>
      </c>
    </row>
    <row r="124" spans="1:17" x14ac:dyDescent="0.35">
      <c r="A124" t="s">
        <v>230</v>
      </c>
      <c r="B124" s="26">
        <v>0.86329999999999996</v>
      </c>
      <c r="C124" s="26">
        <v>0.1366</v>
      </c>
      <c r="D124" s="26">
        <v>2.0000000000000001E-4</v>
      </c>
      <c r="F124">
        <v>913</v>
      </c>
    </row>
    <row r="125" spans="1:17" x14ac:dyDescent="0.35">
      <c r="A125" t="s">
        <v>231</v>
      </c>
      <c r="B125" s="26">
        <v>0.88680000000000003</v>
      </c>
      <c r="C125" s="26">
        <v>0.1132</v>
      </c>
      <c r="F125">
        <v>265</v>
      </c>
    </row>
    <row r="126" spans="1:17" x14ac:dyDescent="0.35">
      <c r="A126" t="s">
        <v>232</v>
      </c>
      <c r="B126" s="26">
        <v>0.88160000000000005</v>
      </c>
      <c r="C126" s="26">
        <v>0.11749999999999999</v>
      </c>
      <c r="D126" s="26">
        <v>6.9999999999999999E-4</v>
      </c>
      <c r="E126" s="26">
        <v>1E-4</v>
      </c>
      <c r="F126">
        <v>4659</v>
      </c>
    </row>
    <row r="128" spans="1:17" x14ac:dyDescent="0.35">
      <c r="A128" s="1" t="s">
        <v>304</v>
      </c>
    </row>
    <row r="129" spans="1:7" x14ac:dyDescent="0.35">
      <c r="A129" t="s">
        <v>219</v>
      </c>
      <c r="B129" t="s">
        <v>305</v>
      </c>
      <c r="C129" t="s">
        <v>302</v>
      </c>
      <c r="D129" t="s">
        <v>303</v>
      </c>
      <c r="E129" t="s">
        <v>281</v>
      </c>
      <c r="F129" t="s">
        <v>286</v>
      </c>
      <c r="G129" t="s">
        <v>226</v>
      </c>
    </row>
    <row r="130" spans="1:7" x14ac:dyDescent="0.35">
      <c r="A130" s="27" t="s">
        <v>227</v>
      </c>
      <c r="B130" s="27" t="s">
        <v>306</v>
      </c>
      <c r="C130" s="28">
        <v>1</v>
      </c>
      <c r="D130" s="29"/>
      <c r="E130" s="29"/>
      <c r="F130" s="29"/>
      <c r="G130" s="29" t="s">
        <v>307</v>
      </c>
    </row>
    <row r="131" spans="1:7" x14ac:dyDescent="0.35">
      <c r="A131" t="s">
        <v>227</v>
      </c>
      <c r="B131" t="s">
        <v>308</v>
      </c>
      <c r="C131" s="26">
        <v>0.85940000000000005</v>
      </c>
      <c r="D131" s="26">
        <v>0.1406</v>
      </c>
      <c r="G131">
        <v>64</v>
      </c>
    </row>
    <row r="132" spans="1:7" x14ac:dyDescent="0.35">
      <c r="A132" t="s">
        <v>227</v>
      </c>
      <c r="B132" t="s">
        <v>309</v>
      </c>
      <c r="C132" s="26">
        <v>0.91139999999999999</v>
      </c>
      <c r="D132" s="26">
        <v>8.8599999999999998E-2</v>
      </c>
      <c r="G132">
        <v>79</v>
      </c>
    </row>
    <row r="133" spans="1:7" x14ac:dyDescent="0.35">
      <c r="A133" s="27" t="s">
        <v>227</v>
      </c>
      <c r="B133" s="27" t="s">
        <v>224</v>
      </c>
      <c r="C133" s="28">
        <v>0.66669999999999996</v>
      </c>
      <c r="D133" s="28">
        <v>0.33329999999999999</v>
      </c>
      <c r="E133" s="29"/>
      <c r="F133" s="29"/>
      <c r="G133" s="29" t="s">
        <v>310</v>
      </c>
    </row>
    <row r="134" spans="1:7" x14ac:dyDescent="0.35">
      <c r="A134" t="s">
        <v>227</v>
      </c>
      <c r="B134" t="s">
        <v>311</v>
      </c>
      <c r="C134" s="26">
        <v>0.98699999999999999</v>
      </c>
      <c r="D134" s="26">
        <v>1.2999999999999999E-2</v>
      </c>
      <c r="G134">
        <v>77</v>
      </c>
    </row>
    <row r="135" spans="1:7" x14ac:dyDescent="0.35">
      <c r="A135" t="s">
        <v>228</v>
      </c>
      <c r="B135" t="s">
        <v>308</v>
      </c>
      <c r="C135" s="26">
        <v>0.87470000000000003</v>
      </c>
      <c r="D135" s="26">
        <v>0.12529999999999999</v>
      </c>
      <c r="G135">
        <v>448</v>
      </c>
    </row>
    <row r="136" spans="1:7" x14ac:dyDescent="0.35">
      <c r="A136" t="s">
        <v>228</v>
      </c>
      <c r="B136" t="s">
        <v>311</v>
      </c>
      <c r="C136" s="26">
        <v>0.92869999999999997</v>
      </c>
      <c r="D136" s="26">
        <v>7.1300000000000002E-2</v>
      </c>
      <c r="G136">
        <v>577</v>
      </c>
    </row>
    <row r="137" spans="1:7" x14ac:dyDescent="0.35">
      <c r="A137" t="s">
        <v>228</v>
      </c>
      <c r="B137" t="s">
        <v>224</v>
      </c>
      <c r="C137" s="26">
        <v>0.79930000000000001</v>
      </c>
      <c r="D137" s="26">
        <v>0.1991</v>
      </c>
      <c r="F137" s="26">
        <v>1.6000000000000001E-3</v>
      </c>
      <c r="G137">
        <v>196</v>
      </c>
    </row>
    <row r="138" spans="1:7" x14ac:dyDescent="0.35">
      <c r="A138" t="s">
        <v>228</v>
      </c>
      <c r="B138" t="s">
        <v>306</v>
      </c>
      <c r="C138" s="26">
        <v>0.84499999999999997</v>
      </c>
      <c r="D138" s="26">
        <v>0.13719999999999999</v>
      </c>
      <c r="E138" s="26">
        <v>1.78E-2</v>
      </c>
      <c r="G138">
        <v>44</v>
      </c>
    </row>
    <row r="139" spans="1:7" x14ac:dyDescent="0.35">
      <c r="A139" t="s">
        <v>228</v>
      </c>
      <c r="B139" t="s">
        <v>309</v>
      </c>
      <c r="C139" s="26">
        <v>0.83289999999999997</v>
      </c>
      <c r="D139" s="26">
        <v>0.1671</v>
      </c>
      <c r="G139">
        <v>469</v>
      </c>
    </row>
    <row r="140" spans="1:7" x14ac:dyDescent="0.35">
      <c r="A140" t="s">
        <v>229</v>
      </c>
      <c r="B140" t="s">
        <v>306</v>
      </c>
      <c r="C140" s="26">
        <v>0.86529999999999996</v>
      </c>
      <c r="D140" s="26">
        <v>0.13469999999999999</v>
      </c>
      <c r="G140">
        <v>48</v>
      </c>
    </row>
    <row r="141" spans="1:7" x14ac:dyDescent="0.35">
      <c r="A141" t="s">
        <v>229</v>
      </c>
      <c r="B141" t="s">
        <v>224</v>
      </c>
      <c r="C141" s="26">
        <v>0.79679999999999995</v>
      </c>
      <c r="D141" s="26">
        <v>0.20180000000000001</v>
      </c>
      <c r="E141" s="26">
        <v>1.4E-3</v>
      </c>
      <c r="G141">
        <v>252</v>
      </c>
    </row>
    <row r="142" spans="1:7" x14ac:dyDescent="0.35">
      <c r="A142" t="s">
        <v>229</v>
      </c>
      <c r="B142" t="s">
        <v>309</v>
      </c>
      <c r="C142" s="26">
        <v>0.86299999999999999</v>
      </c>
      <c r="D142" s="26">
        <v>0.13589999999999999</v>
      </c>
      <c r="E142" s="26">
        <v>8.0000000000000004E-4</v>
      </c>
      <c r="F142" s="26">
        <v>4.0000000000000002E-4</v>
      </c>
      <c r="G142">
        <v>395</v>
      </c>
    </row>
    <row r="143" spans="1:7" x14ac:dyDescent="0.35">
      <c r="A143" t="s">
        <v>229</v>
      </c>
      <c r="B143" t="s">
        <v>311</v>
      </c>
      <c r="C143" s="26">
        <v>0.96120000000000005</v>
      </c>
      <c r="D143" s="26">
        <v>3.85E-2</v>
      </c>
      <c r="F143" s="26">
        <v>2.0000000000000001E-4</v>
      </c>
      <c r="G143">
        <v>339</v>
      </c>
    </row>
    <row r="144" spans="1:7" x14ac:dyDescent="0.35">
      <c r="A144" t="s">
        <v>229</v>
      </c>
      <c r="B144" t="s">
        <v>308</v>
      </c>
      <c r="C144" s="26">
        <v>0.87439999999999996</v>
      </c>
      <c r="D144" s="26">
        <v>0.1206</v>
      </c>
      <c r="E144" s="26">
        <v>5.1000000000000004E-3</v>
      </c>
      <c r="G144">
        <v>459</v>
      </c>
    </row>
    <row r="145" spans="1:7" x14ac:dyDescent="0.35">
      <c r="A145" t="s">
        <v>230</v>
      </c>
      <c r="B145" t="s">
        <v>311</v>
      </c>
      <c r="C145" s="26">
        <v>0.95420000000000005</v>
      </c>
      <c r="D145" s="26">
        <v>4.58E-2</v>
      </c>
      <c r="G145">
        <v>272</v>
      </c>
    </row>
    <row r="146" spans="1:7" x14ac:dyDescent="0.35">
      <c r="A146" t="s">
        <v>230</v>
      </c>
      <c r="B146" t="s">
        <v>309</v>
      </c>
      <c r="C146" s="26">
        <v>0.8327</v>
      </c>
      <c r="D146" s="26">
        <v>0.16669999999999999</v>
      </c>
      <c r="E146" s="26">
        <v>5.9999999999999995E-4</v>
      </c>
      <c r="G146">
        <v>232</v>
      </c>
    </row>
    <row r="147" spans="1:7" x14ac:dyDescent="0.35">
      <c r="A147" t="s">
        <v>230</v>
      </c>
      <c r="B147" t="s">
        <v>308</v>
      </c>
      <c r="C147" s="26">
        <v>0.85650000000000004</v>
      </c>
      <c r="D147" s="26">
        <v>0.14349999999999999</v>
      </c>
      <c r="G147">
        <v>264</v>
      </c>
    </row>
    <row r="148" spans="1:7" x14ac:dyDescent="0.35">
      <c r="A148" t="s">
        <v>230</v>
      </c>
      <c r="B148" t="s">
        <v>224</v>
      </c>
      <c r="C148" s="26">
        <v>0.749</v>
      </c>
      <c r="D148" s="26">
        <v>0.251</v>
      </c>
      <c r="G148">
        <v>120</v>
      </c>
    </row>
    <row r="149" spans="1:7" x14ac:dyDescent="0.35">
      <c r="A149" s="27" t="s">
        <v>230</v>
      </c>
      <c r="B149" s="27" t="s">
        <v>306</v>
      </c>
      <c r="C149" s="28">
        <v>0.96120000000000005</v>
      </c>
      <c r="D149" s="28">
        <v>3.8800000000000001E-2</v>
      </c>
      <c r="E149" s="29"/>
      <c r="F149" s="29"/>
      <c r="G149" s="29" t="s">
        <v>312</v>
      </c>
    </row>
    <row r="150" spans="1:7" x14ac:dyDescent="0.35">
      <c r="A150" t="s">
        <v>231</v>
      </c>
      <c r="B150" t="s">
        <v>308</v>
      </c>
      <c r="C150" s="26">
        <v>0.87270000000000003</v>
      </c>
      <c r="D150" s="26">
        <v>0.1273</v>
      </c>
      <c r="G150">
        <v>55</v>
      </c>
    </row>
    <row r="151" spans="1:7" x14ac:dyDescent="0.35">
      <c r="A151" t="s">
        <v>231</v>
      </c>
      <c r="B151" t="s">
        <v>311</v>
      </c>
      <c r="C151" s="26">
        <v>0.88</v>
      </c>
      <c r="D151" s="26">
        <v>0.12</v>
      </c>
      <c r="G151">
        <v>75</v>
      </c>
    </row>
    <row r="152" spans="1:7" x14ac:dyDescent="0.35">
      <c r="A152" t="s">
        <v>231</v>
      </c>
      <c r="B152" t="s">
        <v>224</v>
      </c>
      <c r="C152" s="26">
        <v>0.89739999999999998</v>
      </c>
      <c r="D152" s="26">
        <v>0.1026</v>
      </c>
      <c r="G152">
        <v>39</v>
      </c>
    </row>
    <row r="153" spans="1:7" x14ac:dyDescent="0.35">
      <c r="A153" s="27" t="s">
        <v>231</v>
      </c>
      <c r="B153" s="27" t="s">
        <v>306</v>
      </c>
      <c r="C153" s="28">
        <v>0.9</v>
      </c>
      <c r="D153" s="28">
        <v>0.1</v>
      </c>
      <c r="E153" s="29"/>
      <c r="F153" s="29"/>
      <c r="G153" s="29" t="s">
        <v>307</v>
      </c>
    </row>
    <row r="154" spans="1:7" x14ac:dyDescent="0.35">
      <c r="A154" t="s">
        <v>231</v>
      </c>
      <c r="B154" t="s">
        <v>309</v>
      </c>
      <c r="C154" s="26">
        <v>0.89529999999999998</v>
      </c>
      <c r="D154" s="26">
        <v>0.1047</v>
      </c>
      <c r="G154">
        <v>86</v>
      </c>
    </row>
    <row r="155" spans="1:7" x14ac:dyDescent="0.35">
      <c r="A155" t="s">
        <v>232</v>
      </c>
      <c r="B155" t="s">
        <v>232</v>
      </c>
      <c r="C155" s="26">
        <v>0.88160000000000005</v>
      </c>
      <c r="D155" s="26">
        <v>0.11749999999999999</v>
      </c>
      <c r="E155" s="26">
        <v>6.9999999999999999E-4</v>
      </c>
      <c r="F155" s="26">
        <v>1E-4</v>
      </c>
      <c r="G155">
        <v>4659</v>
      </c>
    </row>
    <row r="157" spans="1:7" x14ac:dyDescent="0.35">
      <c r="A157" s="1" t="s">
        <v>313</v>
      </c>
    </row>
    <row r="158" spans="1:7" x14ac:dyDescent="0.35">
      <c r="A158" t="s">
        <v>219</v>
      </c>
      <c r="B158" t="s">
        <v>305</v>
      </c>
      <c r="C158" t="s">
        <v>302</v>
      </c>
      <c r="D158" t="s">
        <v>303</v>
      </c>
      <c r="E158" t="s">
        <v>281</v>
      </c>
      <c r="F158" t="s">
        <v>286</v>
      </c>
      <c r="G158" t="s">
        <v>226</v>
      </c>
    </row>
    <row r="159" spans="1:7" x14ac:dyDescent="0.35">
      <c r="A159" t="s">
        <v>227</v>
      </c>
      <c r="B159" t="s">
        <v>235</v>
      </c>
      <c r="C159" s="26">
        <v>0.90090000000000003</v>
      </c>
      <c r="D159" s="26">
        <v>9.9099999999999994E-2</v>
      </c>
      <c r="G159">
        <v>111</v>
      </c>
    </row>
    <row r="160" spans="1:7" x14ac:dyDescent="0.35">
      <c r="A160" s="27" t="s">
        <v>227</v>
      </c>
      <c r="B160" s="27" t="s">
        <v>236</v>
      </c>
      <c r="C160" s="28">
        <v>0.5</v>
      </c>
      <c r="D160" s="28">
        <v>0.5</v>
      </c>
      <c r="E160" s="29"/>
      <c r="F160" s="29"/>
      <c r="G160" s="29" t="s">
        <v>314</v>
      </c>
    </row>
    <row r="161" spans="1:7" x14ac:dyDescent="0.35">
      <c r="A161" t="s">
        <v>227</v>
      </c>
      <c r="B161" t="s">
        <v>234</v>
      </c>
      <c r="C161" s="26">
        <v>0.90780000000000005</v>
      </c>
      <c r="D161" s="26">
        <v>9.2200000000000004E-2</v>
      </c>
      <c r="G161">
        <v>141</v>
      </c>
    </row>
    <row r="162" spans="1:7" x14ac:dyDescent="0.35">
      <c r="A162" t="s">
        <v>228</v>
      </c>
      <c r="B162" t="s">
        <v>235</v>
      </c>
      <c r="C162" s="26">
        <v>0.86750000000000005</v>
      </c>
      <c r="D162" s="26">
        <v>0.1308</v>
      </c>
      <c r="E162" s="26">
        <v>1.1999999999999999E-3</v>
      </c>
      <c r="F162" s="26">
        <v>5.0000000000000001E-4</v>
      </c>
      <c r="G162">
        <v>693</v>
      </c>
    </row>
    <row r="163" spans="1:7" x14ac:dyDescent="0.35">
      <c r="A163" s="27" t="s">
        <v>228</v>
      </c>
      <c r="B163" s="27" t="s">
        <v>236</v>
      </c>
      <c r="C163" s="28">
        <v>1</v>
      </c>
      <c r="D163" s="29"/>
      <c r="E163" s="29"/>
      <c r="F163" s="29"/>
      <c r="G163" s="29" t="s">
        <v>315</v>
      </c>
    </row>
    <row r="164" spans="1:7" x14ac:dyDescent="0.35">
      <c r="A164" t="s">
        <v>228</v>
      </c>
      <c r="B164" t="s">
        <v>234</v>
      </c>
      <c r="C164" s="26">
        <v>0.87170000000000003</v>
      </c>
      <c r="D164" s="26">
        <v>0.1283</v>
      </c>
      <c r="G164">
        <v>1038</v>
      </c>
    </row>
    <row r="165" spans="1:7" x14ac:dyDescent="0.35">
      <c r="A165" t="s">
        <v>229</v>
      </c>
      <c r="B165" t="s">
        <v>235</v>
      </c>
      <c r="C165" s="26">
        <v>0.86929999999999996</v>
      </c>
      <c r="D165" s="26">
        <v>0.1298</v>
      </c>
      <c r="E165" s="26">
        <v>5.0000000000000001E-4</v>
      </c>
      <c r="F165" s="26">
        <v>4.0000000000000002E-4</v>
      </c>
      <c r="G165">
        <v>596</v>
      </c>
    </row>
    <row r="166" spans="1:7" x14ac:dyDescent="0.35">
      <c r="A166" s="27" t="s">
        <v>229</v>
      </c>
      <c r="B166" s="27" t="s">
        <v>236</v>
      </c>
      <c r="C166" s="28">
        <v>1</v>
      </c>
      <c r="D166" s="29"/>
      <c r="E166" s="29"/>
      <c r="F166" s="29"/>
      <c r="G166" s="29" t="s">
        <v>314</v>
      </c>
    </row>
    <row r="167" spans="1:7" x14ac:dyDescent="0.35">
      <c r="A167" t="s">
        <v>229</v>
      </c>
      <c r="B167" t="s">
        <v>234</v>
      </c>
      <c r="C167" s="26">
        <v>0.88859999999999995</v>
      </c>
      <c r="D167" s="26">
        <v>0.1081</v>
      </c>
      <c r="E167" s="26">
        <v>3.3E-3</v>
      </c>
      <c r="G167">
        <v>895</v>
      </c>
    </row>
    <row r="168" spans="1:7" x14ac:dyDescent="0.35">
      <c r="A168" t="s">
        <v>230</v>
      </c>
      <c r="B168" t="s">
        <v>235</v>
      </c>
      <c r="C168" s="26">
        <v>0.83220000000000005</v>
      </c>
      <c r="D168" s="26">
        <v>0.16739999999999999</v>
      </c>
      <c r="E168" s="26">
        <v>4.0000000000000002E-4</v>
      </c>
      <c r="G168">
        <v>355</v>
      </c>
    </row>
    <row r="169" spans="1:7" x14ac:dyDescent="0.35">
      <c r="A169" s="27" t="s">
        <v>230</v>
      </c>
      <c r="B169" s="27" t="s">
        <v>236</v>
      </c>
      <c r="C169" s="28">
        <v>1</v>
      </c>
      <c r="D169" s="29"/>
      <c r="E169" s="29"/>
      <c r="F169" s="29"/>
      <c r="G169" s="29" t="s">
        <v>314</v>
      </c>
    </row>
    <row r="170" spans="1:7" x14ac:dyDescent="0.35">
      <c r="A170" t="s">
        <v>230</v>
      </c>
      <c r="B170" t="s">
        <v>234</v>
      </c>
      <c r="C170" s="26">
        <v>0.88460000000000005</v>
      </c>
      <c r="D170" s="26">
        <v>0.1154</v>
      </c>
      <c r="G170">
        <v>556</v>
      </c>
    </row>
    <row r="171" spans="1:7" x14ac:dyDescent="0.35">
      <c r="A171" t="s">
        <v>231</v>
      </c>
      <c r="B171" t="s">
        <v>235</v>
      </c>
      <c r="C171" s="26">
        <v>0.88600000000000001</v>
      </c>
      <c r="D171" s="26">
        <v>0.114</v>
      </c>
      <c r="G171">
        <v>114</v>
      </c>
    </row>
    <row r="172" spans="1:7" x14ac:dyDescent="0.35">
      <c r="A172" s="27" t="s">
        <v>231</v>
      </c>
      <c r="B172" s="27" t="s">
        <v>236</v>
      </c>
      <c r="C172" s="28">
        <v>1</v>
      </c>
      <c r="D172" s="29"/>
      <c r="E172" s="29"/>
      <c r="F172" s="29"/>
      <c r="G172" s="29" t="s">
        <v>314</v>
      </c>
    </row>
    <row r="173" spans="1:7" x14ac:dyDescent="0.35">
      <c r="A173" t="s">
        <v>231</v>
      </c>
      <c r="B173" t="s">
        <v>234</v>
      </c>
      <c r="C173" s="26">
        <v>0.88590000000000002</v>
      </c>
      <c r="D173" s="26">
        <v>0.11409999999999999</v>
      </c>
      <c r="G173">
        <v>149</v>
      </c>
    </row>
    <row r="174" spans="1:7" x14ac:dyDescent="0.35">
      <c r="A174" t="s">
        <v>232</v>
      </c>
      <c r="B174" t="s">
        <v>232</v>
      </c>
      <c r="C174" s="26">
        <v>0.88160000000000005</v>
      </c>
      <c r="D174" s="26">
        <v>0.11749999999999999</v>
      </c>
      <c r="E174" s="26">
        <v>6.9999999999999999E-4</v>
      </c>
      <c r="F174" s="26">
        <v>1E-4</v>
      </c>
      <c r="G174">
        <v>4659</v>
      </c>
    </row>
    <row r="176" spans="1:7" x14ac:dyDescent="0.35">
      <c r="A176" s="1" t="s">
        <v>316</v>
      </c>
    </row>
    <row r="177" spans="1:16" x14ac:dyDescent="0.35">
      <c r="A177" t="s">
        <v>219</v>
      </c>
      <c r="B177" t="s">
        <v>317</v>
      </c>
      <c r="C177" t="s">
        <v>318</v>
      </c>
      <c r="D177" t="s">
        <v>319</v>
      </c>
      <c r="E177" t="s">
        <v>320</v>
      </c>
      <c r="F177" t="s">
        <v>321</v>
      </c>
      <c r="G177" t="s">
        <v>322</v>
      </c>
      <c r="H177" t="s">
        <v>323</v>
      </c>
      <c r="I177" t="s">
        <v>324</v>
      </c>
      <c r="J177" t="s">
        <v>281</v>
      </c>
      <c r="K177" t="s">
        <v>325</v>
      </c>
      <c r="L177" t="s">
        <v>326</v>
      </c>
      <c r="M177" t="s">
        <v>327</v>
      </c>
      <c r="N177" t="s">
        <v>286</v>
      </c>
      <c r="O177" t="s">
        <v>226</v>
      </c>
    </row>
    <row r="178" spans="1:16" x14ac:dyDescent="0.35">
      <c r="A178" s="27" t="s">
        <v>227</v>
      </c>
      <c r="B178" s="28">
        <v>0.6522</v>
      </c>
      <c r="C178" s="28">
        <v>0.1739</v>
      </c>
      <c r="D178" s="28">
        <v>0.1739</v>
      </c>
      <c r="E178" s="29"/>
      <c r="F178" s="28">
        <v>0.1739</v>
      </c>
      <c r="G178" s="28">
        <v>8.6999999999999994E-2</v>
      </c>
      <c r="H178" s="28">
        <v>4.3499999999999997E-2</v>
      </c>
      <c r="I178" s="29"/>
      <c r="J178" s="29"/>
      <c r="K178" s="28">
        <v>8.6999999999999994E-2</v>
      </c>
      <c r="L178" s="29"/>
      <c r="M178" s="28">
        <v>4.3499999999999997E-2</v>
      </c>
      <c r="N178" s="29"/>
      <c r="O178" s="29" t="s">
        <v>328</v>
      </c>
    </row>
    <row r="179" spans="1:16" x14ac:dyDescent="0.35">
      <c r="A179" t="s">
        <v>228</v>
      </c>
      <c r="B179" s="26">
        <v>0.26550000000000001</v>
      </c>
      <c r="C179" s="26">
        <v>0.20680000000000001</v>
      </c>
      <c r="D179" s="26">
        <v>0.20610000000000001</v>
      </c>
      <c r="E179" s="26">
        <v>0.1489</v>
      </c>
      <c r="F179" s="26">
        <v>8.9499999999999996E-2</v>
      </c>
      <c r="G179" s="26">
        <v>9.8000000000000004E-2</v>
      </c>
      <c r="H179" s="26">
        <v>6.4299999999999996E-2</v>
      </c>
      <c r="I179" s="26">
        <v>4.7100000000000003E-2</v>
      </c>
      <c r="J179" s="26">
        <v>3.6600000000000001E-2</v>
      </c>
      <c r="K179" s="26">
        <v>2.4199999999999999E-2</v>
      </c>
      <c r="L179" s="26">
        <v>8.0000000000000002E-3</v>
      </c>
      <c r="M179" s="26">
        <v>1.5100000000000001E-2</v>
      </c>
      <c r="N179" s="26">
        <v>1.6999999999999999E-3</v>
      </c>
      <c r="O179">
        <v>206</v>
      </c>
    </row>
    <row r="180" spans="1:16" x14ac:dyDescent="0.35">
      <c r="A180" t="s">
        <v>229</v>
      </c>
      <c r="B180" s="26">
        <v>0.36420000000000002</v>
      </c>
      <c r="C180" s="26">
        <v>0.24990000000000001</v>
      </c>
      <c r="D180" s="26">
        <v>0.17080000000000001</v>
      </c>
      <c r="E180" s="26">
        <v>7.6200000000000004E-2</v>
      </c>
      <c r="F180" s="26">
        <v>0.19539999999999999</v>
      </c>
      <c r="G180" s="26">
        <v>9.1899999999999996E-2</v>
      </c>
      <c r="H180" s="26">
        <v>8.1299999999999997E-2</v>
      </c>
      <c r="I180" s="26">
        <v>6.8199999999999997E-2</v>
      </c>
      <c r="J180" s="26">
        <v>3.6400000000000002E-2</v>
      </c>
      <c r="K180" s="26">
        <v>9.1999999999999998E-3</v>
      </c>
      <c r="L180" s="26">
        <v>1.32E-2</v>
      </c>
      <c r="M180" s="26">
        <v>3.5000000000000001E-3</v>
      </c>
      <c r="O180">
        <v>167</v>
      </c>
    </row>
    <row r="181" spans="1:16" x14ac:dyDescent="0.35">
      <c r="A181" t="s">
        <v>230</v>
      </c>
      <c r="B181" s="26">
        <v>0.36509999999999998</v>
      </c>
      <c r="C181" s="26">
        <v>0.184</v>
      </c>
      <c r="D181" s="26">
        <v>0.10589999999999999</v>
      </c>
      <c r="E181" s="26">
        <v>0.1426</v>
      </c>
      <c r="F181" s="26">
        <v>0.1069</v>
      </c>
      <c r="G181" s="26">
        <v>6.3E-2</v>
      </c>
      <c r="H181" s="26">
        <v>0.1206</v>
      </c>
      <c r="I181" s="26">
        <v>6.5799999999999997E-2</v>
      </c>
      <c r="J181" s="26">
        <v>3.3599999999999998E-2</v>
      </c>
      <c r="K181" s="26">
        <v>8.2000000000000007E-3</v>
      </c>
      <c r="L181" s="26">
        <v>3.2399999999999998E-2</v>
      </c>
      <c r="M181" s="26">
        <v>2.4199999999999999E-2</v>
      </c>
      <c r="O181">
        <v>120</v>
      </c>
    </row>
    <row r="182" spans="1:16" x14ac:dyDescent="0.35">
      <c r="A182" s="27" t="s">
        <v>231</v>
      </c>
      <c r="B182" s="28">
        <v>0.3448</v>
      </c>
      <c r="C182" s="28">
        <v>0.3448</v>
      </c>
      <c r="D182" s="28">
        <v>0.1724</v>
      </c>
      <c r="E182" s="28">
        <v>0.1724</v>
      </c>
      <c r="F182" s="29"/>
      <c r="G182" s="28">
        <v>3.4500000000000003E-2</v>
      </c>
      <c r="H182" s="28">
        <v>3.4500000000000003E-2</v>
      </c>
      <c r="I182" s="29"/>
      <c r="J182" s="28">
        <v>3.4500000000000003E-2</v>
      </c>
      <c r="K182" s="28">
        <v>3.4500000000000003E-2</v>
      </c>
      <c r="L182" s="28">
        <v>3.4500000000000003E-2</v>
      </c>
      <c r="M182" s="29"/>
      <c r="N182" s="29"/>
      <c r="O182" s="29" t="s">
        <v>329</v>
      </c>
    </row>
    <row r="183" spans="1:16" x14ac:dyDescent="0.35">
      <c r="A183" t="s">
        <v>232</v>
      </c>
      <c r="B183" s="26">
        <v>0.3705</v>
      </c>
      <c r="C183" s="26">
        <v>0.24859999999999999</v>
      </c>
      <c r="D183" s="26">
        <v>0.1721</v>
      </c>
      <c r="E183" s="26">
        <v>0.11609999999999999</v>
      </c>
      <c r="F183" s="26">
        <v>0.1087</v>
      </c>
      <c r="G183" s="26">
        <v>7.4499999999999997E-2</v>
      </c>
      <c r="H183" s="26">
        <v>6.5500000000000003E-2</v>
      </c>
      <c r="I183" s="26">
        <v>3.7699999999999997E-2</v>
      </c>
      <c r="J183" s="26">
        <v>3.1399999999999997E-2</v>
      </c>
      <c r="K183" s="26">
        <v>2.7900000000000001E-2</v>
      </c>
      <c r="L183" s="26">
        <v>1.8200000000000001E-2</v>
      </c>
      <c r="M183" s="26">
        <v>1.21E-2</v>
      </c>
      <c r="N183" s="26">
        <v>4.0000000000000002E-4</v>
      </c>
      <c r="O183">
        <v>545</v>
      </c>
    </row>
    <row r="185" spans="1:16" x14ac:dyDescent="0.35">
      <c r="A185" s="1" t="s">
        <v>330</v>
      </c>
    </row>
    <row r="186" spans="1:16" x14ac:dyDescent="0.35">
      <c r="A186" t="s">
        <v>219</v>
      </c>
      <c r="B186" t="s">
        <v>305</v>
      </c>
      <c r="C186" t="s">
        <v>317</v>
      </c>
      <c r="D186" t="s">
        <v>318</v>
      </c>
      <c r="E186" t="s">
        <v>319</v>
      </c>
      <c r="F186" t="s">
        <v>320</v>
      </c>
      <c r="G186" t="s">
        <v>321</v>
      </c>
      <c r="H186" t="s">
        <v>322</v>
      </c>
      <c r="I186" t="s">
        <v>323</v>
      </c>
      <c r="J186" t="s">
        <v>324</v>
      </c>
      <c r="K186" t="s">
        <v>281</v>
      </c>
      <c r="L186" t="s">
        <v>325</v>
      </c>
      <c r="M186" t="s">
        <v>326</v>
      </c>
      <c r="N186" t="s">
        <v>327</v>
      </c>
      <c r="O186" t="s">
        <v>286</v>
      </c>
      <c r="P186" t="s">
        <v>226</v>
      </c>
    </row>
    <row r="187" spans="1:16" x14ac:dyDescent="0.35">
      <c r="A187" s="27" t="s">
        <v>227</v>
      </c>
      <c r="B187" s="27" t="s">
        <v>311</v>
      </c>
      <c r="C187" s="29"/>
      <c r="D187" s="29"/>
      <c r="E187" s="28">
        <v>1</v>
      </c>
      <c r="F187" s="29"/>
      <c r="G187" s="29"/>
      <c r="H187" s="29"/>
      <c r="I187" s="29"/>
      <c r="J187" s="29"/>
      <c r="K187" s="29"/>
      <c r="L187" s="29"/>
      <c r="M187" s="29"/>
      <c r="N187" s="29"/>
      <c r="O187" s="29"/>
      <c r="P187" s="29" t="s">
        <v>331</v>
      </c>
    </row>
    <row r="188" spans="1:16" x14ac:dyDescent="0.35">
      <c r="A188" s="27" t="s">
        <v>227</v>
      </c>
      <c r="B188" s="27" t="s">
        <v>309</v>
      </c>
      <c r="C188" s="28">
        <v>0.4</v>
      </c>
      <c r="D188" s="28">
        <v>0.2</v>
      </c>
      <c r="E188" s="28">
        <v>0.4</v>
      </c>
      <c r="F188" s="29"/>
      <c r="G188" s="29"/>
      <c r="H188" s="29"/>
      <c r="I188" s="29"/>
      <c r="J188" s="29"/>
      <c r="K188" s="29"/>
      <c r="L188" s="28">
        <v>0.2</v>
      </c>
      <c r="M188" s="29"/>
      <c r="N188" s="29"/>
      <c r="O188" s="29"/>
      <c r="P188" s="29" t="s">
        <v>332</v>
      </c>
    </row>
    <row r="189" spans="1:16" x14ac:dyDescent="0.35">
      <c r="A189" s="27" t="s">
        <v>227</v>
      </c>
      <c r="B189" s="27" t="s">
        <v>224</v>
      </c>
      <c r="C189" s="28">
        <v>0.875</v>
      </c>
      <c r="D189" s="29"/>
      <c r="E189" s="28">
        <v>0.125</v>
      </c>
      <c r="F189" s="29"/>
      <c r="G189" s="28">
        <v>0.375</v>
      </c>
      <c r="H189" s="29"/>
      <c r="I189" s="29"/>
      <c r="J189" s="29"/>
      <c r="K189" s="29"/>
      <c r="L189" s="28">
        <v>0.125</v>
      </c>
      <c r="M189" s="29"/>
      <c r="N189" s="29"/>
      <c r="O189" s="29"/>
      <c r="P189" s="29" t="s">
        <v>333</v>
      </c>
    </row>
    <row r="190" spans="1:16" x14ac:dyDescent="0.35">
      <c r="A190" s="27" t="s">
        <v>227</v>
      </c>
      <c r="B190" s="27" t="s">
        <v>308</v>
      </c>
      <c r="C190" s="28">
        <v>0.66669999999999996</v>
      </c>
      <c r="D190" s="28">
        <v>0.33329999999999999</v>
      </c>
      <c r="E190" s="29"/>
      <c r="F190" s="29"/>
      <c r="G190" s="28">
        <v>0.1111</v>
      </c>
      <c r="H190" s="28">
        <v>0.22220000000000001</v>
      </c>
      <c r="I190" s="28">
        <v>0.1111</v>
      </c>
      <c r="J190" s="29"/>
      <c r="K190" s="29"/>
      <c r="L190" s="29"/>
      <c r="M190" s="29"/>
      <c r="N190" s="28">
        <v>0.1111</v>
      </c>
      <c r="O190" s="29"/>
      <c r="P190" s="29" t="s">
        <v>334</v>
      </c>
    </row>
    <row r="191" spans="1:16" x14ac:dyDescent="0.35">
      <c r="A191" s="27" t="s">
        <v>228</v>
      </c>
      <c r="B191" s="27" t="s">
        <v>306</v>
      </c>
      <c r="C191" s="29"/>
      <c r="D191" s="29"/>
      <c r="E191" s="28">
        <v>0.69499999999999995</v>
      </c>
      <c r="F191" s="28">
        <v>0.1147</v>
      </c>
      <c r="G191" s="28">
        <v>7.5600000000000001E-2</v>
      </c>
      <c r="H191" s="29"/>
      <c r="I191" s="28">
        <v>7.5600000000000001E-2</v>
      </c>
      <c r="J191" s="29"/>
      <c r="K191" s="28">
        <v>0.1147</v>
      </c>
      <c r="L191" s="29"/>
      <c r="M191" s="29"/>
      <c r="N191" s="29"/>
      <c r="O191" s="29"/>
      <c r="P191" s="29" t="s">
        <v>335</v>
      </c>
    </row>
    <row r="192" spans="1:16" x14ac:dyDescent="0.35">
      <c r="A192" t="s">
        <v>228</v>
      </c>
      <c r="B192" t="s">
        <v>308</v>
      </c>
      <c r="C192" s="26">
        <v>0.27010000000000001</v>
      </c>
      <c r="D192" s="26">
        <v>0.25440000000000002</v>
      </c>
      <c r="E192" s="26">
        <v>2.1600000000000001E-2</v>
      </c>
      <c r="F192" s="26">
        <v>0.2218</v>
      </c>
      <c r="G192" s="26">
        <v>4.4200000000000003E-2</v>
      </c>
      <c r="H192" s="26">
        <v>0.12889999999999999</v>
      </c>
      <c r="I192" s="26">
        <v>5.8099999999999999E-2</v>
      </c>
      <c r="J192" s="26">
        <v>4.4999999999999997E-3</v>
      </c>
      <c r="K192" s="26">
        <v>7.6E-3</v>
      </c>
      <c r="L192" s="26">
        <v>6.13E-2</v>
      </c>
      <c r="M192" s="26">
        <v>3.1699999999999999E-2</v>
      </c>
      <c r="P192">
        <v>61</v>
      </c>
    </row>
    <row r="193" spans="1:16" x14ac:dyDescent="0.35">
      <c r="A193" t="s">
        <v>228</v>
      </c>
      <c r="B193" t="s">
        <v>224</v>
      </c>
      <c r="C193" s="26">
        <v>0.32900000000000001</v>
      </c>
      <c r="D193" s="26">
        <v>0.1479</v>
      </c>
      <c r="E193" s="26">
        <v>2.69E-2</v>
      </c>
      <c r="F193" s="26">
        <v>0.1484</v>
      </c>
      <c r="G193" s="26">
        <v>0.1875</v>
      </c>
      <c r="H193" s="26">
        <v>0.15290000000000001</v>
      </c>
      <c r="I193" s="26">
        <v>6.25E-2</v>
      </c>
      <c r="K193" s="26">
        <v>7.6499999999999999E-2</v>
      </c>
      <c r="L193" s="26">
        <v>2.69E-2</v>
      </c>
      <c r="O193" s="26">
        <v>8.3000000000000001E-3</v>
      </c>
      <c r="P193">
        <v>39</v>
      </c>
    </row>
    <row r="194" spans="1:16" x14ac:dyDescent="0.35">
      <c r="A194" s="27" t="s">
        <v>228</v>
      </c>
      <c r="B194" s="27" t="s">
        <v>311</v>
      </c>
      <c r="C194" s="28">
        <v>0.1371</v>
      </c>
      <c r="D194" s="28">
        <v>0.28789999999999999</v>
      </c>
      <c r="E194" s="28">
        <v>0.3362</v>
      </c>
      <c r="F194" s="28">
        <v>0.20449999999999999</v>
      </c>
      <c r="G194" s="28">
        <v>1.14E-2</v>
      </c>
      <c r="H194" s="28">
        <v>2.29E-2</v>
      </c>
      <c r="I194" s="28">
        <v>2.29E-2</v>
      </c>
      <c r="J194" s="28">
        <v>1.14E-2</v>
      </c>
      <c r="K194" s="29"/>
      <c r="L194" s="29"/>
      <c r="M194" s="29"/>
      <c r="N194" s="29"/>
      <c r="O194" s="29"/>
      <c r="P194" s="29" t="s">
        <v>336</v>
      </c>
    </row>
    <row r="195" spans="1:16" x14ac:dyDescent="0.35">
      <c r="A195" t="s">
        <v>228</v>
      </c>
      <c r="B195" t="s">
        <v>309</v>
      </c>
      <c r="C195" s="26">
        <v>0.314</v>
      </c>
      <c r="D195" s="26">
        <v>0.187</v>
      </c>
      <c r="E195" s="26">
        <v>0.33450000000000002</v>
      </c>
      <c r="F195" s="26">
        <v>7.1900000000000006E-2</v>
      </c>
      <c r="G195" s="26">
        <v>0.10489999999999999</v>
      </c>
      <c r="H195" s="26">
        <v>8.9700000000000002E-2</v>
      </c>
      <c r="I195" s="26">
        <v>8.9200000000000002E-2</v>
      </c>
      <c r="J195" s="26">
        <v>0.12820000000000001</v>
      </c>
      <c r="K195" s="26">
        <v>4.48E-2</v>
      </c>
      <c r="L195" s="26">
        <v>9.7000000000000003E-3</v>
      </c>
      <c r="N195" s="26">
        <v>4.3799999999999999E-2</v>
      </c>
      <c r="P195">
        <v>72</v>
      </c>
    </row>
    <row r="196" spans="1:16" x14ac:dyDescent="0.35">
      <c r="A196" t="s">
        <v>229</v>
      </c>
      <c r="B196" t="s">
        <v>309</v>
      </c>
      <c r="C196" s="26">
        <v>0.38329999999999997</v>
      </c>
      <c r="D196" s="26">
        <v>0.1363</v>
      </c>
      <c r="E196" s="26">
        <v>0.2601</v>
      </c>
      <c r="F196" s="26">
        <v>8.3099999999999993E-2</v>
      </c>
      <c r="G196" s="26">
        <v>0.18990000000000001</v>
      </c>
      <c r="H196" s="26">
        <v>0.1244</v>
      </c>
      <c r="I196" s="26">
        <v>8.0999999999999996E-3</v>
      </c>
      <c r="J196" s="26">
        <v>0.13719999999999999</v>
      </c>
      <c r="K196" s="26">
        <v>1.8E-3</v>
      </c>
      <c r="L196" s="26">
        <v>3.1800000000000002E-2</v>
      </c>
      <c r="P196">
        <v>50</v>
      </c>
    </row>
    <row r="197" spans="1:16" x14ac:dyDescent="0.35">
      <c r="A197" s="27" t="s">
        <v>229</v>
      </c>
      <c r="B197" s="27" t="s">
        <v>311</v>
      </c>
      <c r="C197" s="28">
        <v>0.1711</v>
      </c>
      <c r="D197" s="28">
        <v>0.50209999999999999</v>
      </c>
      <c r="E197" s="28">
        <v>0.48709999999999998</v>
      </c>
      <c r="F197" s="29"/>
      <c r="G197" s="29"/>
      <c r="H197" s="29"/>
      <c r="I197" s="29"/>
      <c r="J197" s="28">
        <v>2.1100000000000001E-2</v>
      </c>
      <c r="K197" s="29"/>
      <c r="L197" s="29"/>
      <c r="M197" s="29"/>
      <c r="N197" s="29"/>
      <c r="O197" s="29"/>
      <c r="P197" s="29" t="s">
        <v>334</v>
      </c>
    </row>
    <row r="198" spans="1:16" x14ac:dyDescent="0.35">
      <c r="A198" t="s">
        <v>229</v>
      </c>
      <c r="B198" t="s">
        <v>308</v>
      </c>
      <c r="C198" s="26">
        <v>0.32869999999999999</v>
      </c>
      <c r="D198" s="26">
        <v>0.3468</v>
      </c>
      <c r="E198" s="26">
        <v>4.1599999999999998E-2</v>
      </c>
      <c r="F198" s="26">
        <v>9.3899999999999997E-2</v>
      </c>
      <c r="G198" s="26">
        <v>0.1103</v>
      </c>
      <c r="H198" s="26">
        <v>0.11119999999999999</v>
      </c>
      <c r="I198" s="26">
        <v>0.1744</v>
      </c>
      <c r="K198" s="26">
        <v>8.5599999999999996E-2</v>
      </c>
      <c r="L198" s="26">
        <v>1.2999999999999999E-3</v>
      </c>
      <c r="N198" s="26">
        <v>9.2999999999999992E-3</v>
      </c>
      <c r="P198">
        <v>58</v>
      </c>
    </row>
    <row r="199" spans="1:16" x14ac:dyDescent="0.35">
      <c r="A199" t="s">
        <v>229</v>
      </c>
      <c r="B199" t="s">
        <v>224</v>
      </c>
      <c r="C199" s="26">
        <v>0.51600000000000001</v>
      </c>
      <c r="D199" s="26">
        <v>0.1157</v>
      </c>
      <c r="E199" s="26">
        <v>6.7299999999999999E-2</v>
      </c>
      <c r="F199" s="26">
        <v>7.6700000000000004E-2</v>
      </c>
      <c r="G199" s="26">
        <v>0.36299999999999999</v>
      </c>
      <c r="H199" s="26">
        <v>6.7199999999999996E-2</v>
      </c>
      <c r="J199" s="26">
        <v>6.7199999999999996E-2</v>
      </c>
      <c r="K199" s="26">
        <v>1.4999999999999999E-2</v>
      </c>
      <c r="M199" s="26">
        <v>5.62E-2</v>
      </c>
      <c r="P199">
        <v>46</v>
      </c>
    </row>
    <row r="200" spans="1:16" x14ac:dyDescent="0.35">
      <c r="A200" s="27" t="s">
        <v>229</v>
      </c>
      <c r="B200" s="27" t="s">
        <v>306</v>
      </c>
      <c r="C200" s="29"/>
      <c r="D200" s="28">
        <v>0.41710000000000003</v>
      </c>
      <c r="E200" s="28">
        <v>0.88890000000000002</v>
      </c>
      <c r="F200" s="29"/>
      <c r="G200" s="28">
        <v>0.5282</v>
      </c>
      <c r="H200" s="29"/>
      <c r="I200" s="28">
        <v>0.41710000000000003</v>
      </c>
      <c r="J200" s="28">
        <v>0.41710000000000003</v>
      </c>
      <c r="K200" s="29"/>
      <c r="L200" s="29"/>
      <c r="M200" s="29"/>
      <c r="N200" s="29"/>
      <c r="O200" s="29"/>
      <c r="P200" s="29" t="s">
        <v>337</v>
      </c>
    </row>
    <row r="201" spans="1:16" x14ac:dyDescent="0.35">
      <c r="A201" s="27" t="s">
        <v>230</v>
      </c>
      <c r="B201" s="27" t="s">
        <v>224</v>
      </c>
      <c r="C201" s="28">
        <v>0.35</v>
      </c>
      <c r="D201" s="28">
        <v>0.24879999999999999</v>
      </c>
      <c r="E201" s="28">
        <v>0.1004</v>
      </c>
      <c r="F201" s="28">
        <v>0.1323</v>
      </c>
      <c r="G201" s="28">
        <v>0.26379999999999998</v>
      </c>
      <c r="H201" s="28">
        <v>4.7999999999999996E-3</v>
      </c>
      <c r="I201" s="28">
        <v>3.15E-2</v>
      </c>
      <c r="J201" s="28">
        <v>9.5500000000000002E-2</v>
      </c>
      <c r="K201" s="28">
        <v>1.61E-2</v>
      </c>
      <c r="L201" s="29"/>
      <c r="M201" s="29"/>
      <c r="N201" s="29"/>
      <c r="O201" s="29"/>
      <c r="P201" s="29" t="s">
        <v>338</v>
      </c>
    </row>
    <row r="202" spans="1:16" x14ac:dyDescent="0.35">
      <c r="A202" s="27" t="s">
        <v>230</v>
      </c>
      <c r="B202" s="27" t="s">
        <v>311</v>
      </c>
      <c r="C202" s="28">
        <v>0.30530000000000002</v>
      </c>
      <c r="D202" s="28">
        <v>2.6599999999999999E-2</v>
      </c>
      <c r="E202" s="28">
        <v>5.7500000000000002E-2</v>
      </c>
      <c r="F202" s="28">
        <v>0.2621</v>
      </c>
      <c r="G202" s="29"/>
      <c r="H202" s="29"/>
      <c r="I202" s="28">
        <v>0.30530000000000002</v>
      </c>
      <c r="J202" s="28">
        <v>4.3200000000000002E-2</v>
      </c>
      <c r="K202" s="29"/>
      <c r="L202" s="29"/>
      <c r="M202" s="29"/>
      <c r="N202" s="29"/>
      <c r="O202" s="29"/>
      <c r="P202" s="29" t="s">
        <v>307</v>
      </c>
    </row>
    <row r="203" spans="1:16" x14ac:dyDescent="0.35">
      <c r="A203" t="s">
        <v>230</v>
      </c>
      <c r="B203" t="s">
        <v>309</v>
      </c>
      <c r="C203" s="26">
        <v>0.33129999999999998</v>
      </c>
      <c r="D203" s="26">
        <v>0.249</v>
      </c>
      <c r="E203" s="26">
        <v>0.19939999999999999</v>
      </c>
      <c r="F203" s="26">
        <v>9.6299999999999997E-2</v>
      </c>
      <c r="G203" s="26">
        <v>3.6200000000000003E-2</v>
      </c>
      <c r="H203" s="26">
        <v>9.6000000000000002E-2</v>
      </c>
      <c r="I203" s="26">
        <v>0.16719999999999999</v>
      </c>
      <c r="J203" s="26">
        <v>0.1118</v>
      </c>
      <c r="L203" s="26">
        <v>1.2200000000000001E-2</v>
      </c>
      <c r="M203" s="26">
        <v>8.4199999999999997E-2</v>
      </c>
      <c r="N203" s="26">
        <v>7.1999999999999995E-2</v>
      </c>
      <c r="P203">
        <v>43</v>
      </c>
    </row>
    <row r="204" spans="1:16" x14ac:dyDescent="0.35">
      <c r="A204" s="27" t="s">
        <v>230</v>
      </c>
      <c r="B204" s="27" t="s">
        <v>306</v>
      </c>
      <c r="C204" s="29"/>
      <c r="D204" s="29"/>
      <c r="E204" s="28">
        <v>0.50590000000000002</v>
      </c>
      <c r="F204" s="28">
        <v>0.49409999999999998</v>
      </c>
      <c r="G204" s="29"/>
      <c r="H204" s="29"/>
      <c r="I204" s="29"/>
      <c r="J204" s="29"/>
      <c r="K204" s="29"/>
      <c r="L204" s="29"/>
      <c r="M204" s="29"/>
      <c r="N204" s="29"/>
      <c r="O204" s="29"/>
      <c r="P204" s="29" t="s">
        <v>314</v>
      </c>
    </row>
    <row r="205" spans="1:16" x14ac:dyDescent="0.35">
      <c r="A205" t="s">
        <v>230</v>
      </c>
      <c r="B205" t="s">
        <v>308</v>
      </c>
      <c r="C205" s="26">
        <v>0.44159999999999999</v>
      </c>
      <c r="D205" s="26">
        <v>0.11219999999999999</v>
      </c>
      <c r="E205" s="26">
        <v>1.29E-2</v>
      </c>
      <c r="F205" s="26">
        <v>0.15640000000000001</v>
      </c>
      <c r="G205" s="26">
        <v>9.01E-2</v>
      </c>
      <c r="H205" s="26">
        <v>9.5100000000000004E-2</v>
      </c>
      <c r="I205" s="26">
        <v>9.11E-2</v>
      </c>
      <c r="K205" s="26">
        <v>9.5399999999999999E-2</v>
      </c>
      <c r="L205" s="26">
        <v>1.32E-2</v>
      </c>
      <c r="M205" s="26">
        <v>1.32E-2</v>
      </c>
      <c r="P205">
        <v>38</v>
      </c>
    </row>
    <row r="206" spans="1:16" x14ac:dyDescent="0.35">
      <c r="A206" s="27" t="s">
        <v>231</v>
      </c>
      <c r="B206" s="27" t="s">
        <v>311</v>
      </c>
      <c r="C206" s="28">
        <v>0.1111</v>
      </c>
      <c r="D206" s="28">
        <v>0.44440000000000002</v>
      </c>
      <c r="E206" s="28">
        <v>0.55559999999999998</v>
      </c>
      <c r="F206" s="28">
        <v>0.1111</v>
      </c>
      <c r="G206" s="29"/>
      <c r="H206" s="29"/>
      <c r="I206" s="29"/>
      <c r="J206" s="29"/>
      <c r="K206" s="29"/>
      <c r="L206" s="29"/>
      <c r="M206" s="29"/>
      <c r="N206" s="29"/>
      <c r="O206" s="29"/>
      <c r="P206" s="29" t="s">
        <v>334</v>
      </c>
    </row>
    <row r="207" spans="1:16" x14ac:dyDescent="0.35">
      <c r="A207" s="27" t="s">
        <v>231</v>
      </c>
      <c r="B207" s="27" t="s">
        <v>306</v>
      </c>
      <c r="C207" s="29"/>
      <c r="D207" s="29"/>
      <c r="E207" s="29"/>
      <c r="F207" s="29"/>
      <c r="G207" s="29"/>
      <c r="H207" s="29"/>
      <c r="I207" s="28">
        <v>1</v>
      </c>
      <c r="J207" s="29"/>
      <c r="K207" s="29"/>
      <c r="L207" s="29"/>
      <c r="M207" s="29"/>
      <c r="N207" s="29"/>
      <c r="O207" s="29"/>
      <c r="P207" s="29" t="s">
        <v>331</v>
      </c>
    </row>
    <row r="208" spans="1:16" x14ac:dyDescent="0.35">
      <c r="A208" s="27" t="s">
        <v>231</v>
      </c>
      <c r="B208" s="27" t="s">
        <v>308</v>
      </c>
      <c r="C208" s="28">
        <v>0.57140000000000002</v>
      </c>
      <c r="D208" s="28">
        <v>0.28570000000000001</v>
      </c>
      <c r="E208" s="29"/>
      <c r="F208" s="28">
        <v>0.1429</v>
      </c>
      <c r="G208" s="29"/>
      <c r="H208" s="28">
        <v>0.1429</v>
      </c>
      <c r="I208" s="29"/>
      <c r="J208" s="29"/>
      <c r="K208" s="28">
        <v>0.1429</v>
      </c>
      <c r="L208" s="28">
        <v>0.1429</v>
      </c>
      <c r="M208" s="29"/>
      <c r="N208" s="29"/>
      <c r="O208" s="29"/>
      <c r="P208" s="29" t="s">
        <v>339</v>
      </c>
    </row>
    <row r="209" spans="1:16" x14ac:dyDescent="0.35">
      <c r="A209" s="27" t="s">
        <v>231</v>
      </c>
      <c r="B209" s="27" t="s">
        <v>224</v>
      </c>
      <c r="C209" s="28">
        <v>1</v>
      </c>
      <c r="D209" s="28">
        <v>0.25</v>
      </c>
      <c r="E209" s="29"/>
      <c r="F209" s="29"/>
      <c r="G209" s="29"/>
      <c r="H209" s="29"/>
      <c r="I209" s="29"/>
      <c r="J209" s="29"/>
      <c r="K209" s="29"/>
      <c r="L209" s="29"/>
      <c r="M209" s="29"/>
      <c r="N209" s="29"/>
      <c r="O209" s="29"/>
      <c r="P209" s="29" t="s">
        <v>337</v>
      </c>
    </row>
    <row r="210" spans="1:16" x14ac:dyDescent="0.35">
      <c r="A210" s="27" t="s">
        <v>231</v>
      </c>
      <c r="B210" s="27" t="s">
        <v>309</v>
      </c>
      <c r="C210" s="28">
        <v>0.125</v>
      </c>
      <c r="D210" s="28">
        <v>0.375</v>
      </c>
      <c r="E210" s="29"/>
      <c r="F210" s="28">
        <v>0.375</v>
      </c>
      <c r="G210" s="29"/>
      <c r="H210" s="29"/>
      <c r="I210" s="29"/>
      <c r="J210" s="29"/>
      <c r="K210" s="29"/>
      <c r="L210" s="29"/>
      <c r="M210" s="28">
        <v>0.125</v>
      </c>
      <c r="N210" s="29"/>
      <c r="O210" s="29"/>
      <c r="P210" s="29" t="s">
        <v>333</v>
      </c>
    </row>
    <row r="211" spans="1:16" x14ac:dyDescent="0.35">
      <c r="A211" t="s">
        <v>232</v>
      </c>
      <c r="B211" t="s">
        <v>232</v>
      </c>
      <c r="C211" s="26">
        <v>0.3705</v>
      </c>
      <c r="D211" s="26">
        <v>0.24859999999999999</v>
      </c>
      <c r="E211" s="26">
        <v>0.1721</v>
      </c>
      <c r="F211" s="26">
        <v>0.11609999999999999</v>
      </c>
      <c r="G211" s="26">
        <v>0.1087</v>
      </c>
      <c r="H211" s="26">
        <v>7.4499999999999997E-2</v>
      </c>
      <c r="I211" s="26">
        <v>6.5500000000000003E-2</v>
      </c>
      <c r="J211" s="26">
        <v>3.7699999999999997E-2</v>
      </c>
      <c r="K211" s="26">
        <v>3.1399999999999997E-2</v>
      </c>
      <c r="L211" s="26">
        <v>2.7900000000000001E-2</v>
      </c>
      <c r="M211" s="26">
        <v>1.8200000000000001E-2</v>
      </c>
      <c r="N211" s="26">
        <v>1.21E-2</v>
      </c>
      <c r="O211" s="26">
        <v>4.0000000000000002E-4</v>
      </c>
      <c r="P211">
        <v>545</v>
      </c>
    </row>
    <row r="213" spans="1:16" x14ac:dyDescent="0.35">
      <c r="A213" s="1" t="s">
        <v>340</v>
      </c>
    </row>
    <row r="214" spans="1:16" x14ac:dyDescent="0.35">
      <c r="A214" t="s">
        <v>219</v>
      </c>
      <c r="B214" t="s">
        <v>305</v>
      </c>
      <c r="C214" t="s">
        <v>317</v>
      </c>
      <c r="D214" t="s">
        <v>318</v>
      </c>
      <c r="E214" t="s">
        <v>319</v>
      </c>
      <c r="F214" t="s">
        <v>320</v>
      </c>
      <c r="G214" t="s">
        <v>321</v>
      </c>
      <c r="H214" t="s">
        <v>322</v>
      </c>
      <c r="I214" t="s">
        <v>323</v>
      </c>
      <c r="J214" t="s">
        <v>324</v>
      </c>
      <c r="K214" t="s">
        <v>281</v>
      </c>
      <c r="L214" t="s">
        <v>325</v>
      </c>
      <c r="M214" t="s">
        <v>326</v>
      </c>
      <c r="N214" t="s">
        <v>327</v>
      </c>
      <c r="O214" t="s">
        <v>286</v>
      </c>
      <c r="P214" t="s">
        <v>226</v>
      </c>
    </row>
    <row r="215" spans="1:16" x14ac:dyDescent="0.35">
      <c r="A215" s="27" t="s">
        <v>227</v>
      </c>
      <c r="B215" s="27" t="s">
        <v>235</v>
      </c>
      <c r="C215" s="28">
        <v>0.77780000000000005</v>
      </c>
      <c r="D215" s="28">
        <v>0.22220000000000001</v>
      </c>
      <c r="E215" s="28">
        <v>0.1111</v>
      </c>
      <c r="F215" s="29"/>
      <c r="G215" s="28">
        <v>0.22220000000000001</v>
      </c>
      <c r="H215" s="29"/>
      <c r="I215" s="28">
        <v>0.1111</v>
      </c>
      <c r="J215" s="29"/>
      <c r="K215" s="29"/>
      <c r="L215" s="28">
        <v>0.1111</v>
      </c>
      <c r="M215" s="29"/>
      <c r="N215" s="29"/>
      <c r="O215" s="29"/>
      <c r="P215" s="29" t="s">
        <v>334</v>
      </c>
    </row>
    <row r="216" spans="1:16" x14ac:dyDescent="0.35">
      <c r="A216" s="27" t="s">
        <v>227</v>
      </c>
      <c r="B216" s="27" t="s">
        <v>236</v>
      </c>
      <c r="C216" s="29"/>
      <c r="D216" s="29"/>
      <c r="E216" s="28">
        <v>1</v>
      </c>
      <c r="F216" s="29"/>
      <c r="G216" s="28">
        <v>1</v>
      </c>
      <c r="H216" s="29"/>
      <c r="I216" s="29"/>
      <c r="J216" s="29"/>
      <c r="K216" s="29"/>
      <c r="L216" s="29"/>
      <c r="M216" s="29"/>
      <c r="N216" s="29"/>
      <c r="O216" s="29"/>
      <c r="P216" s="29" t="s">
        <v>331</v>
      </c>
    </row>
    <row r="217" spans="1:16" x14ac:dyDescent="0.35">
      <c r="A217" s="27" t="s">
        <v>227</v>
      </c>
      <c r="B217" s="27" t="s">
        <v>234</v>
      </c>
      <c r="C217" s="28">
        <v>0.61539999999999995</v>
      </c>
      <c r="D217" s="28">
        <v>0.15379999999999999</v>
      </c>
      <c r="E217" s="28">
        <v>0.15379999999999999</v>
      </c>
      <c r="F217" s="29"/>
      <c r="G217" s="28">
        <v>7.6899999999999996E-2</v>
      </c>
      <c r="H217" s="28">
        <v>0.15379999999999999</v>
      </c>
      <c r="I217" s="29"/>
      <c r="J217" s="29"/>
      <c r="K217" s="29"/>
      <c r="L217" s="28">
        <v>7.6899999999999996E-2</v>
      </c>
      <c r="M217" s="29"/>
      <c r="N217" s="28">
        <v>7.6899999999999996E-2</v>
      </c>
      <c r="O217" s="29"/>
      <c r="P217" s="29" t="s">
        <v>341</v>
      </c>
    </row>
    <row r="218" spans="1:16" x14ac:dyDescent="0.35">
      <c r="A218" t="s">
        <v>228</v>
      </c>
      <c r="B218" t="s">
        <v>235</v>
      </c>
      <c r="C218" s="26">
        <v>0.18240000000000001</v>
      </c>
      <c r="D218" s="26">
        <v>0.2316</v>
      </c>
      <c r="E218" s="26">
        <v>0.16200000000000001</v>
      </c>
      <c r="F218" s="26">
        <v>0.16800000000000001</v>
      </c>
      <c r="G218" s="26">
        <v>9.4600000000000004E-2</v>
      </c>
      <c r="H218" s="26">
        <v>5.4699999999999999E-2</v>
      </c>
      <c r="I218" s="26">
        <v>4.5100000000000001E-2</v>
      </c>
      <c r="J218" s="26">
        <v>5.8299999999999998E-2</v>
      </c>
      <c r="K218" s="26">
        <v>8.2799999999999999E-2</v>
      </c>
      <c r="L218" s="26">
        <v>4.4699999999999997E-2</v>
      </c>
      <c r="M218" s="26">
        <v>1.9E-2</v>
      </c>
      <c r="N218" s="26">
        <v>2.3E-2</v>
      </c>
      <c r="O218" s="26">
        <v>4.0000000000000001E-3</v>
      </c>
      <c r="P218">
        <v>89</v>
      </c>
    </row>
    <row r="219" spans="1:16" x14ac:dyDescent="0.35">
      <c r="A219" t="s">
        <v>228</v>
      </c>
      <c r="B219" t="s">
        <v>234</v>
      </c>
      <c r="C219" s="26">
        <v>0.3256</v>
      </c>
      <c r="D219" s="26">
        <v>0.18890000000000001</v>
      </c>
      <c r="E219" s="26">
        <v>0.2379</v>
      </c>
      <c r="F219" s="26">
        <v>0.1351</v>
      </c>
      <c r="G219" s="26">
        <v>8.5800000000000001E-2</v>
      </c>
      <c r="H219" s="26">
        <v>0.1293</v>
      </c>
      <c r="I219" s="26">
        <v>7.8200000000000006E-2</v>
      </c>
      <c r="J219" s="26">
        <v>3.9100000000000003E-2</v>
      </c>
      <c r="K219" s="26">
        <v>3.3E-3</v>
      </c>
      <c r="L219" s="26">
        <v>9.2999999999999992E-3</v>
      </c>
      <c r="N219" s="26">
        <v>9.2999999999999992E-3</v>
      </c>
      <c r="P219">
        <v>117</v>
      </c>
    </row>
    <row r="220" spans="1:16" x14ac:dyDescent="0.35">
      <c r="A220" t="s">
        <v>229</v>
      </c>
      <c r="B220" t="s">
        <v>235</v>
      </c>
      <c r="C220" s="26">
        <v>0.378</v>
      </c>
      <c r="D220" s="26">
        <v>0.25590000000000002</v>
      </c>
      <c r="E220" s="26">
        <v>0.2576</v>
      </c>
      <c r="F220" s="26">
        <v>5.8000000000000003E-2</v>
      </c>
      <c r="G220" s="26">
        <v>0.2303</v>
      </c>
      <c r="H220" s="26">
        <v>3.39E-2</v>
      </c>
      <c r="I220" s="26">
        <v>7.3200000000000001E-2</v>
      </c>
      <c r="J220" s="26">
        <v>8.5699999999999998E-2</v>
      </c>
      <c r="M220" s="26">
        <v>2.9899999999999999E-2</v>
      </c>
      <c r="N220" s="26">
        <v>8.0000000000000002E-3</v>
      </c>
      <c r="P220">
        <v>71</v>
      </c>
    </row>
    <row r="221" spans="1:16" x14ac:dyDescent="0.35">
      <c r="A221" t="s">
        <v>229</v>
      </c>
      <c r="B221" t="s">
        <v>234</v>
      </c>
      <c r="C221" s="26">
        <v>0.35349999999999998</v>
      </c>
      <c r="D221" s="26">
        <v>0.2452</v>
      </c>
      <c r="E221" s="26">
        <v>0.10290000000000001</v>
      </c>
      <c r="F221" s="26">
        <v>9.0499999999999997E-2</v>
      </c>
      <c r="G221" s="26">
        <v>0.1681</v>
      </c>
      <c r="H221" s="26">
        <v>0.13730000000000001</v>
      </c>
      <c r="I221" s="26">
        <v>8.7599999999999997E-2</v>
      </c>
      <c r="J221" s="26">
        <v>5.4600000000000003E-2</v>
      </c>
      <c r="K221" s="26">
        <v>6.4799999999999996E-2</v>
      </c>
      <c r="L221" s="26">
        <v>1.6500000000000001E-2</v>
      </c>
      <c r="P221">
        <v>96</v>
      </c>
    </row>
    <row r="222" spans="1:16" x14ac:dyDescent="0.35">
      <c r="A222" t="s">
        <v>230</v>
      </c>
      <c r="B222" t="s">
        <v>235</v>
      </c>
      <c r="C222" s="26">
        <v>0.2505</v>
      </c>
      <c r="D222" s="26">
        <v>0.18140000000000001</v>
      </c>
      <c r="E222" s="26">
        <v>0.1198</v>
      </c>
      <c r="F222" s="26">
        <v>0.22389999999999999</v>
      </c>
      <c r="G222" s="26">
        <v>0.12770000000000001</v>
      </c>
      <c r="H222" s="26">
        <v>5.7500000000000002E-2</v>
      </c>
      <c r="I222" s="26">
        <v>6.5600000000000006E-2</v>
      </c>
      <c r="J222" s="26">
        <v>0.115</v>
      </c>
      <c r="K222" s="26">
        <v>1.9099999999999999E-2</v>
      </c>
      <c r="L222" s="26">
        <v>1.66E-2</v>
      </c>
      <c r="M222" s="26">
        <v>6.5799999999999997E-2</v>
      </c>
      <c r="N222" s="26">
        <v>4.9200000000000001E-2</v>
      </c>
      <c r="P222">
        <v>56</v>
      </c>
    </row>
    <row r="223" spans="1:16" x14ac:dyDescent="0.35">
      <c r="A223" t="s">
        <v>230</v>
      </c>
      <c r="B223" t="s">
        <v>234</v>
      </c>
      <c r="C223" s="26">
        <v>0.4763</v>
      </c>
      <c r="D223" s="26">
        <v>0.1865</v>
      </c>
      <c r="E223" s="26">
        <v>9.2399999999999996E-2</v>
      </c>
      <c r="F223" s="26">
        <v>6.3600000000000004E-2</v>
      </c>
      <c r="G223" s="26">
        <v>8.6800000000000002E-2</v>
      </c>
      <c r="H223" s="26">
        <v>6.83E-2</v>
      </c>
      <c r="I223" s="26">
        <v>0.17399999999999999</v>
      </c>
      <c r="J223" s="26">
        <v>1.8100000000000002E-2</v>
      </c>
      <c r="K223" s="26">
        <v>4.7699999999999999E-2</v>
      </c>
      <c r="P223">
        <v>64</v>
      </c>
    </row>
    <row r="224" spans="1:16" x14ac:dyDescent="0.35">
      <c r="A224" s="27" t="s">
        <v>231</v>
      </c>
      <c r="B224" s="27" t="s">
        <v>235</v>
      </c>
      <c r="C224" s="28">
        <v>0.25</v>
      </c>
      <c r="D224" s="28">
        <v>0.41670000000000001</v>
      </c>
      <c r="E224" s="28">
        <v>0.33329999999999999</v>
      </c>
      <c r="F224" s="28">
        <v>0.16669999999999999</v>
      </c>
      <c r="G224" s="29"/>
      <c r="H224" s="28">
        <v>8.3299999999999999E-2</v>
      </c>
      <c r="I224" s="29"/>
      <c r="J224" s="29"/>
      <c r="K224" s="29"/>
      <c r="L224" s="28">
        <v>8.3299999999999999E-2</v>
      </c>
      <c r="M224" s="28">
        <v>8.3299999999999999E-2</v>
      </c>
      <c r="N224" s="29"/>
      <c r="O224" s="29"/>
      <c r="P224" s="29" t="s">
        <v>342</v>
      </c>
    </row>
    <row r="225" spans="1:17" x14ac:dyDescent="0.35">
      <c r="A225" s="27" t="s">
        <v>231</v>
      </c>
      <c r="B225" s="27" t="s">
        <v>234</v>
      </c>
      <c r="C225" s="28">
        <v>0.4118</v>
      </c>
      <c r="D225" s="28">
        <v>0.29409999999999997</v>
      </c>
      <c r="E225" s="28">
        <v>5.8799999999999998E-2</v>
      </c>
      <c r="F225" s="28">
        <v>0.17649999999999999</v>
      </c>
      <c r="G225" s="29"/>
      <c r="H225" s="29"/>
      <c r="I225" s="28">
        <v>5.8799999999999998E-2</v>
      </c>
      <c r="J225" s="29"/>
      <c r="K225" s="28">
        <v>5.8799999999999998E-2</v>
      </c>
      <c r="L225" s="29"/>
      <c r="M225" s="29"/>
      <c r="N225" s="29"/>
      <c r="O225" s="29"/>
      <c r="P225" s="29" t="s">
        <v>343</v>
      </c>
    </row>
    <row r="226" spans="1:17" x14ac:dyDescent="0.35">
      <c r="A226" t="s">
        <v>232</v>
      </c>
      <c r="B226" t="s">
        <v>232</v>
      </c>
      <c r="C226" s="26">
        <v>0.3705</v>
      </c>
      <c r="D226" s="26">
        <v>0.24859999999999999</v>
      </c>
      <c r="E226" s="26">
        <v>0.1721</v>
      </c>
      <c r="F226" s="26">
        <v>0.11609999999999999</v>
      </c>
      <c r="G226" s="26">
        <v>0.1087</v>
      </c>
      <c r="H226" s="26">
        <v>7.4499999999999997E-2</v>
      </c>
      <c r="I226" s="26">
        <v>6.5500000000000003E-2</v>
      </c>
      <c r="J226" s="26">
        <v>3.7699999999999997E-2</v>
      </c>
      <c r="K226" s="26">
        <v>3.1399999999999997E-2</v>
      </c>
      <c r="L226" s="26">
        <v>2.7900000000000001E-2</v>
      </c>
      <c r="M226" s="26">
        <v>1.8200000000000001E-2</v>
      </c>
      <c r="N226" s="26">
        <v>1.21E-2</v>
      </c>
      <c r="O226" s="26">
        <v>4.0000000000000002E-4</v>
      </c>
      <c r="P226">
        <v>545</v>
      </c>
    </row>
    <row r="228" spans="1:17" x14ac:dyDescent="0.35">
      <c r="A228" s="1" t="s">
        <v>344</v>
      </c>
    </row>
    <row r="229" spans="1:17" x14ac:dyDescent="0.35">
      <c r="A229" t="s">
        <v>219</v>
      </c>
      <c r="B229" t="s">
        <v>305</v>
      </c>
      <c r="C229" t="s">
        <v>345</v>
      </c>
      <c r="D229" t="s">
        <v>317</v>
      </c>
      <c r="E229" t="s">
        <v>318</v>
      </c>
      <c r="F229" t="s">
        <v>319</v>
      </c>
      <c r="G229" t="s">
        <v>320</v>
      </c>
      <c r="H229" t="s">
        <v>321</v>
      </c>
      <c r="I229" t="s">
        <v>322</v>
      </c>
      <c r="J229" t="s">
        <v>323</v>
      </c>
      <c r="K229" t="s">
        <v>324</v>
      </c>
      <c r="L229" t="s">
        <v>281</v>
      </c>
      <c r="M229" t="s">
        <v>325</v>
      </c>
      <c r="N229" t="s">
        <v>326</v>
      </c>
      <c r="O229" t="s">
        <v>327</v>
      </c>
      <c r="P229" t="s">
        <v>286</v>
      </c>
      <c r="Q229" t="s">
        <v>226</v>
      </c>
    </row>
    <row r="230" spans="1:17" x14ac:dyDescent="0.35">
      <c r="A230" s="27" t="s">
        <v>227</v>
      </c>
      <c r="B230" s="27" t="s">
        <v>308</v>
      </c>
      <c r="C230" s="27" t="s">
        <v>234</v>
      </c>
      <c r="D230" s="28">
        <v>0.66669999999999996</v>
      </c>
      <c r="E230" s="28">
        <v>0.16669999999999999</v>
      </c>
      <c r="F230" s="29"/>
      <c r="G230" s="29"/>
      <c r="H230" s="28">
        <v>0.16669999999999999</v>
      </c>
      <c r="I230" s="28">
        <v>0.33329999999999999</v>
      </c>
      <c r="J230" s="29"/>
      <c r="K230" s="29"/>
      <c r="L230" s="29"/>
      <c r="M230" s="29"/>
      <c r="N230" s="29"/>
      <c r="O230" s="28">
        <v>0.16669999999999999</v>
      </c>
      <c r="P230" s="29"/>
      <c r="Q230" s="29" t="s">
        <v>335</v>
      </c>
    </row>
    <row r="231" spans="1:17" x14ac:dyDescent="0.35">
      <c r="A231" s="27" t="s">
        <v>227</v>
      </c>
      <c r="B231" s="27" t="s">
        <v>309</v>
      </c>
      <c r="C231" s="27" t="s">
        <v>234</v>
      </c>
      <c r="D231" s="28">
        <v>0.25</v>
      </c>
      <c r="E231" s="28">
        <v>0.25</v>
      </c>
      <c r="F231" s="28">
        <v>0.5</v>
      </c>
      <c r="G231" s="29"/>
      <c r="H231" s="29"/>
      <c r="I231" s="29"/>
      <c r="J231" s="29"/>
      <c r="K231" s="29"/>
      <c r="L231" s="29"/>
      <c r="M231" s="28">
        <v>0.25</v>
      </c>
      <c r="N231" s="29"/>
      <c r="O231" s="29"/>
      <c r="P231" s="29"/>
      <c r="Q231" s="29" t="s">
        <v>337</v>
      </c>
    </row>
    <row r="232" spans="1:17" x14ac:dyDescent="0.35">
      <c r="A232" s="27" t="s">
        <v>227</v>
      </c>
      <c r="B232" s="27" t="s">
        <v>309</v>
      </c>
      <c r="C232" s="27" t="s">
        <v>235</v>
      </c>
      <c r="D232" s="28">
        <v>1</v>
      </c>
      <c r="E232" s="29"/>
      <c r="F232" s="29"/>
      <c r="G232" s="29"/>
      <c r="H232" s="29"/>
      <c r="I232" s="29"/>
      <c r="J232" s="29"/>
      <c r="K232" s="29"/>
      <c r="L232" s="29"/>
      <c r="M232" s="29"/>
      <c r="N232" s="29"/>
      <c r="O232" s="29"/>
      <c r="P232" s="29"/>
      <c r="Q232" s="29" t="s">
        <v>331</v>
      </c>
    </row>
    <row r="233" spans="1:17" x14ac:dyDescent="0.35">
      <c r="A233" s="27" t="s">
        <v>227</v>
      </c>
      <c r="B233" s="27" t="s">
        <v>224</v>
      </c>
      <c r="C233" s="27" t="s">
        <v>235</v>
      </c>
      <c r="D233" s="28">
        <v>1</v>
      </c>
      <c r="E233" s="29"/>
      <c r="F233" s="29"/>
      <c r="G233" s="29"/>
      <c r="H233" s="28">
        <v>0.5</v>
      </c>
      <c r="I233" s="29"/>
      <c r="J233" s="29"/>
      <c r="K233" s="29"/>
      <c r="L233" s="29"/>
      <c r="M233" s="28">
        <v>0.25</v>
      </c>
      <c r="N233" s="29"/>
      <c r="O233" s="29"/>
      <c r="P233" s="29"/>
      <c r="Q233" s="29" t="s">
        <v>337</v>
      </c>
    </row>
    <row r="234" spans="1:17" x14ac:dyDescent="0.35">
      <c r="A234" s="27" t="s">
        <v>227</v>
      </c>
      <c r="B234" s="27" t="s">
        <v>311</v>
      </c>
      <c r="C234" s="27" t="s">
        <v>235</v>
      </c>
      <c r="D234" s="29"/>
      <c r="E234" s="29"/>
      <c r="F234" s="28">
        <v>1</v>
      </c>
      <c r="G234" s="29"/>
      <c r="H234" s="29"/>
      <c r="I234" s="29"/>
      <c r="J234" s="29"/>
      <c r="K234" s="29"/>
      <c r="L234" s="29"/>
      <c r="M234" s="29"/>
      <c r="N234" s="29"/>
      <c r="O234" s="29"/>
      <c r="P234" s="29"/>
      <c r="Q234" s="29" t="s">
        <v>331</v>
      </c>
    </row>
    <row r="235" spans="1:17" x14ac:dyDescent="0.35">
      <c r="A235" s="27" t="s">
        <v>227</v>
      </c>
      <c r="B235" s="27" t="s">
        <v>308</v>
      </c>
      <c r="C235" s="27" t="s">
        <v>235</v>
      </c>
      <c r="D235" s="28">
        <v>0.66669999999999996</v>
      </c>
      <c r="E235" s="28">
        <v>0.66669999999999996</v>
      </c>
      <c r="F235" s="29"/>
      <c r="G235" s="29"/>
      <c r="H235" s="29"/>
      <c r="I235" s="29"/>
      <c r="J235" s="28">
        <v>0.33329999999999999</v>
      </c>
      <c r="K235" s="29"/>
      <c r="L235" s="29"/>
      <c r="M235" s="29"/>
      <c r="N235" s="29"/>
      <c r="O235" s="29"/>
      <c r="P235" s="29"/>
      <c r="Q235" s="29" t="s">
        <v>315</v>
      </c>
    </row>
    <row r="236" spans="1:17" x14ac:dyDescent="0.35">
      <c r="A236" s="27" t="s">
        <v>227</v>
      </c>
      <c r="B236" s="27" t="s">
        <v>224</v>
      </c>
      <c r="C236" s="27" t="s">
        <v>236</v>
      </c>
      <c r="D236" s="29"/>
      <c r="E236" s="29"/>
      <c r="F236" s="28">
        <v>1</v>
      </c>
      <c r="G236" s="29"/>
      <c r="H236" s="28">
        <v>1</v>
      </c>
      <c r="I236" s="29"/>
      <c r="J236" s="29"/>
      <c r="K236" s="29"/>
      <c r="L236" s="29"/>
      <c r="M236" s="29"/>
      <c r="N236" s="29"/>
      <c r="O236" s="29"/>
      <c r="P236" s="29"/>
      <c r="Q236" s="29" t="s">
        <v>331</v>
      </c>
    </row>
    <row r="237" spans="1:17" x14ac:dyDescent="0.35">
      <c r="A237" s="27" t="s">
        <v>227</v>
      </c>
      <c r="B237" s="27" t="s">
        <v>224</v>
      </c>
      <c r="C237" s="27" t="s">
        <v>234</v>
      </c>
      <c r="D237" s="28">
        <v>1</v>
      </c>
      <c r="E237" s="29"/>
      <c r="F237" s="29"/>
      <c r="G237" s="29"/>
      <c r="H237" s="29"/>
      <c r="I237" s="29"/>
      <c r="J237" s="29"/>
      <c r="K237" s="29"/>
      <c r="L237" s="29"/>
      <c r="M237" s="29"/>
      <c r="N237" s="29"/>
      <c r="O237" s="29"/>
      <c r="P237" s="29"/>
      <c r="Q237" s="29" t="s">
        <v>315</v>
      </c>
    </row>
    <row r="238" spans="1:17" x14ac:dyDescent="0.35">
      <c r="A238" t="s">
        <v>228</v>
      </c>
      <c r="B238" t="s">
        <v>308</v>
      </c>
      <c r="C238" t="s">
        <v>234</v>
      </c>
      <c r="D238" s="26">
        <v>0.32240000000000002</v>
      </c>
      <c r="E238" s="26">
        <v>0.1676</v>
      </c>
      <c r="F238" s="26">
        <v>3.2099999999999997E-2</v>
      </c>
      <c r="G238" s="26">
        <v>0.33029999999999998</v>
      </c>
      <c r="H238" s="26">
        <v>3.4200000000000001E-2</v>
      </c>
      <c r="I238" s="26">
        <v>0.17019999999999999</v>
      </c>
      <c r="J238" s="26">
        <v>5.1799999999999999E-2</v>
      </c>
      <c r="K238" s="26">
        <v>6.7000000000000002E-3</v>
      </c>
      <c r="L238" s="26">
        <v>1.14E-2</v>
      </c>
      <c r="Q238">
        <v>39</v>
      </c>
    </row>
    <row r="239" spans="1:17" x14ac:dyDescent="0.35">
      <c r="A239" s="27" t="s">
        <v>228</v>
      </c>
      <c r="B239" s="27" t="s">
        <v>311</v>
      </c>
      <c r="C239" s="27" t="s">
        <v>234</v>
      </c>
      <c r="D239" s="28">
        <v>0.16189999999999999</v>
      </c>
      <c r="E239" s="28">
        <v>0.32800000000000001</v>
      </c>
      <c r="F239" s="28">
        <v>0.4899</v>
      </c>
      <c r="G239" s="29"/>
      <c r="H239" s="28">
        <v>2.0199999999999999E-2</v>
      </c>
      <c r="I239" s="29"/>
      <c r="J239" s="29"/>
      <c r="K239" s="28">
        <v>2.0199999999999999E-2</v>
      </c>
      <c r="L239" s="29"/>
      <c r="M239" s="29"/>
      <c r="N239" s="29"/>
      <c r="O239" s="29"/>
      <c r="P239" s="29"/>
      <c r="Q239" s="29" t="s">
        <v>346</v>
      </c>
    </row>
    <row r="240" spans="1:17" x14ac:dyDescent="0.35">
      <c r="A240" s="27" t="s">
        <v>228</v>
      </c>
      <c r="B240" s="27" t="s">
        <v>308</v>
      </c>
      <c r="C240" s="27" t="s">
        <v>235</v>
      </c>
      <c r="D240" s="28">
        <v>0.16320000000000001</v>
      </c>
      <c r="E240" s="28">
        <v>0.43190000000000001</v>
      </c>
      <c r="F240" s="29"/>
      <c r="G240" s="29"/>
      <c r="H240" s="28">
        <v>6.4500000000000002E-2</v>
      </c>
      <c r="I240" s="28">
        <v>4.4400000000000002E-2</v>
      </c>
      <c r="J240" s="28">
        <v>7.1099999999999997E-2</v>
      </c>
      <c r="K240" s="29"/>
      <c r="L240" s="29"/>
      <c r="M240" s="28">
        <v>0.1865</v>
      </c>
      <c r="N240" s="28">
        <v>9.64E-2</v>
      </c>
      <c r="O240" s="29"/>
      <c r="P240" s="29"/>
      <c r="Q240" s="29" t="s">
        <v>347</v>
      </c>
    </row>
    <row r="241" spans="1:17" x14ac:dyDescent="0.35">
      <c r="A241" t="s">
        <v>228</v>
      </c>
      <c r="B241" t="s">
        <v>309</v>
      </c>
      <c r="C241" t="s">
        <v>234</v>
      </c>
      <c r="D241" s="26">
        <v>0.36699999999999999</v>
      </c>
      <c r="E241" s="26">
        <v>0.1946</v>
      </c>
      <c r="F241" s="26">
        <v>0.35310000000000002</v>
      </c>
      <c r="G241" s="26">
        <v>3.0599999999999999E-2</v>
      </c>
      <c r="H241" s="26">
        <v>0.15459999999999999</v>
      </c>
      <c r="I241" s="26">
        <v>6.9800000000000001E-2</v>
      </c>
      <c r="J241" s="26">
        <v>0.1338</v>
      </c>
      <c r="K241" s="26">
        <v>8.8900000000000007E-2</v>
      </c>
      <c r="O241" s="26">
        <v>2.46E-2</v>
      </c>
      <c r="Q241">
        <v>45</v>
      </c>
    </row>
    <row r="242" spans="1:17" x14ac:dyDescent="0.35">
      <c r="A242" s="27" t="s">
        <v>228</v>
      </c>
      <c r="B242" s="27" t="s">
        <v>309</v>
      </c>
      <c r="C242" s="27" t="s">
        <v>235</v>
      </c>
      <c r="D242" s="28">
        <v>0.21870000000000001</v>
      </c>
      <c r="E242" s="28">
        <v>0.17349999999999999</v>
      </c>
      <c r="F242" s="28">
        <v>0.30120000000000002</v>
      </c>
      <c r="G242" s="28">
        <v>0.14610000000000001</v>
      </c>
      <c r="H242" s="28">
        <v>1.5599999999999999E-2</v>
      </c>
      <c r="I242" s="28">
        <v>0.12540000000000001</v>
      </c>
      <c r="J242" s="28">
        <v>9.1999999999999998E-3</v>
      </c>
      <c r="K242" s="28">
        <v>0.19869999999999999</v>
      </c>
      <c r="L242" s="28">
        <v>0.12540000000000001</v>
      </c>
      <c r="M242" s="28">
        <v>2.7099999999999999E-2</v>
      </c>
      <c r="N242" s="29"/>
      <c r="O242" s="28">
        <v>7.8399999999999997E-2</v>
      </c>
      <c r="P242" s="29"/>
      <c r="Q242" s="29" t="s">
        <v>338</v>
      </c>
    </row>
    <row r="243" spans="1:17" x14ac:dyDescent="0.35">
      <c r="A243" s="27" t="s">
        <v>228</v>
      </c>
      <c r="B243" s="27" t="s">
        <v>224</v>
      </c>
      <c r="C243" s="27" t="s">
        <v>234</v>
      </c>
      <c r="D243" s="28">
        <v>0.4279</v>
      </c>
      <c r="E243" s="28">
        <v>7.9899999999999999E-2</v>
      </c>
      <c r="F243" s="28">
        <v>6.1100000000000002E-2</v>
      </c>
      <c r="G243" s="28">
        <v>0.13489999999999999</v>
      </c>
      <c r="H243" s="28">
        <v>8.9800000000000005E-2</v>
      </c>
      <c r="I243" s="28">
        <v>0.34739999999999999</v>
      </c>
      <c r="J243" s="28">
        <v>7.9899999999999999E-2</v>
      </c>
      <c r="K243" s="29"/>
      <c r="L243" s="29"/>
      <c r="M243" s="28">
        <v>6.1100000000000002E-2</v>
      </c>
      <c r="N243" s="29"/>
      <c r="O243" s="29"/>
      <c r="P243" s="29"/>
      <c r="Q243" s="29" t="s">
        <v>348</v>
      </c>
    </row>
    <row r="244" spans="1:17" x14ac:dyDescent="0.35">
      <c r="A244" s="27" t="s">
        <v>228</v>
      </c>
      <c r="B244" s="27" t="s">
        <v>224</v>
      </c>
      <c r="C244" s="27" t="s">
        <v>235</v>
      </c>
      <c r="D244" s="28">
        <v>0.25119999999999998</v>
      </c>
      <c r="E244" s="28">
        <v>0.20130000000000001</v>
      </c>
      <c r="F244" s="29"/>
      <c r="G244" s="28">
        <v>0.15909999999999999</v>
      </c>
      <c r="H244" s="28">
        <v>0.26440000000000002</v>
      </c>
      <c r="I244" s="29"/>
      <c r="J244" s="28">
        <v>4.8800000000000003E-2</v>
      </c>
      <c r="K244" s="29"/>
      <c r="L244" s="28">
        <v>0.13650000000000001</v>
      </c>
      <c r="M244" s="29"/>
      <c r="N244" s="29"/>
      <c r="O244" s="29"/>
      <c r="P244" s="28">
        <v>1.4800000000000001E-2</v>
      </c>
      <c r="Q244" s="29" t="s">
        <v>328</v>
      </c>
    </row>
    <row r="245" spans="1:17" x14ac:dyDescent="0.35">
      <c r="A245" s="27" t="s">
        <v>228</v>
      </c>
      <c r="B245" s="27" t="s">
        <v>306</v>
      </c>
      <c r="C245" s="27" t="s">
        <v>235</v>
      </c>
      <c r="D245" s="29"/>
      <c r="E245" s="29"/>
      <c r="F245" s="28">
        <v>0.76500000000000001</v>
      </c>
      <c r="G245" s="29"/>
      <c r="H245" s="28">
        <v>9.3299999999999994E-2</v>
      </c>
      <c r="I245" s="29"/>
      <c r="J245" s="28">
        <v>9.3299999999999994E-2</v>
      </c>
      <c r="K245" s="29"/>
      <c r="L245" s="28">
        <v>0.14169999999999999</v>
      </c>
      <c r="M245" s="29"/>
      <c r="N245" s="29"/>
      <c r="O245" s="29"/>
      <c r="P245" s="29"/>
      <c r="Q245" s="29" t="s">
        <v>337</v>
      </c>
    </row>
    <row r="246" spans="1:17" x14ac:dyDescent="0.35">
      <c r="A246" s="27" t="s">
        <v>228</v>
      </c>
      <c r="B246" s="27" t="s">
        <v>311</v>
      </c>
      <c r="C246" s="27" t="s">
        <v>235</v>
      </c>
      <c r="D246" s="28">
        <v>0.105</v>
      </c>
      <c r="E246" s="28">
        <v>0.2359</v>
      </c>
      <c r="F246" s="28">
        <v>0.13700000000000001</v>
      </c>
      <c r="G246" s="28">
        <v>0.46949999999999997</v>
      </c>
      <c r="H246" s="29"/>
      <c r="I246" s="28">
        <v>5.2499999999999998E-2</v>
      </c>
      <c r="J246" s="28">
        <v>5.2499999999999998E-2</v>
      </c>
      <c r="K246" s="29"/>
      <c r="L246" s="29"/>
      <c r="M246" s="29"/>
      <c r="N246" s="29"/>
      <c r="O246" s="29"/>
      <c r="P246" s="29"/>
      <c r="Q246" s="29" t="s">
        <v>341</v>
      </c>
    </row>
    <row r="247" spans="1:17" x14ac:dyDescent="0.35">
      <c r="A247" s="27" t="s">
        <v>228</v>
      </c>
      <c r="B247" s="27" t="s">
        <v>306</v>
      </c>
      <c r="C247" s="27" t="s">
        <v>234</v>
      </c>
      <c r="D247" s="29"/>
      <c r="E247" s="29"/>
      <c r="F247" s="28">
        <v>0.39710000000000001</v>
      </c>
      <c r="G247" s="28">
        <v>0.60289999999999999</v>
      </c>
      <c r="H247" s="29"/>
      <c r="I247" s="29"/>
      <c r="J247" s="29"/>
      <c r="K247" s="29"/>
      <c r="L247" s="29"/>
      <c r="M247" s="29"/>
      <c r="N247" s="29"/>
      <c r="O247" s="29"/>
      <c r="P247" s="29"/>
      <c r="Q247" s="29" t="s">
        <v>314</v>
      </c>
    </row>
    <row r="248" spans="1:17" x14ac:dyDescent="0.35">
      <c r="A248" t="s">
        <v>229</v>
      </c>
      <c r="B248" t="s">
        <v>309</v>
      </c>
      <c r="C248" t="s">
        <v>234</v>
      </c>
      <c r="D248" s="26">
        <v>0.43930000000000002</v>
      </c>
      <c r="E248" s="26">
        <v>7.85E-2</v>
      </c>
      <c r="F248" s="26">
        <v>0.28920000000000001</v>
      </c>
      <c r="G248" s="26">
        <v>0.1103</v>
      </c>
      <c r="H248" s="26">
        <v>0.18820000000000001</v>
      </c>
      <c r="I248" s="26">
        <v>0.10100000000000001</v>
      </c>
      <c r="J248" s="26">
        <v>9.1000000000000004E-3</v>
      </c>
      <c r="K248" s="26">
        <v>0.16070000000000001</v>
      </c>
      <c r="L248" s="26">
        <v>2.5999999999999999E-3</v>
      </c>
      <c r="M248" s="26">
        <v>4.58E-2</v>
      </c>
      <c r="Q248">
        <v>31</v>
      </c>
    </row>
    <row r="249" spans="1:17" x14ac:dyDescent="0.35">
      <c r="A249" s="27" t="s">
        <v>229</v>
      </c>
      <c r="B249" s="27" t="s">
        <v>306</v>
      </c>
      <c r="C249" s="27" t="s">
        <v>235</v>
      </c>
      <c r="D249" s="29"/>
      <c r="E249" s="28">
        <v>0.46920000000000001</v>
      </c>
      <c r="F249" s="28">
        <v>1</v>
      </c>
      <c r="G249" s="29"/>
      <c r="H249" s="28">
        <v>0.46920000000000001</v>
      </c>
      <c r="I249" s="29"/>
      <c r="J249" s="28">
        <v>0.46920000000000001</v>
      </c>
      <c r="K249" s="28">
        <v>0.46920000000000001</v>
      </c>
      <c r="L249" s="29"/>
      <c r="M249" s="29"/>
      <c r="N249" s="29"/>
      <c r="O249" s="29"/>
      <c r="P249" s="29"/>
      <c r="Q249" s="29" t="s">
        <v>315</v>
      </c>
    </row>
    <row r="250" spans="1:17" x14ac:dyDescent="0.35">
      <c r="A250" s="27" t="s">
        <v>229</v>
      </c>
      <c r="B250" s="27" t="s">
        <v>306</v>
      </c>
      <c r="C250" s="27" t="s">
        <v>234</v>
      </c>
      <c r="D250" s="29"/>
      <c r="E250" s="29"/>
      <c r="F250" s="29"/>
      <c r="G250" s="29"/>
      <c r="H250" s="28">
        <v>1</v>
      </c>
      <c r="I250" s="29"/>
      <c r="J250" s="29"/>
      <c r="K250" s="29"/>
      <c r="L250" s="29"/>
      <c r="M250" s="29"/>
      <c r="N250" s="29"/>
      <c r="O250" s="29"/>
      <c r="P250" s="29"/>
      <c r="Q250" s="29" t="s">
        <v>331</v>
      </c>
    </row>
    <row r="251" spans="1:17" x14ac:dyDescent="0.35">
      <c r="A251" t="s">
        <v>229</v>
      </c>
      <c r="B251" t="s">
        <v>308</v>
      </c>
      <c r="C251" t="s">
        <v>234</v>
      </c>
      <c r="D251" s="26">
        <v>0.28410000000000002</v>
      </c>
      <c r="E251" s="26">
        <v>0.36520000000000002</v>
      </c>
      <c r="G251" s="26">
        <v>5.2499999999999998E-2</v>
      </c>
      <c r="H251" s="26">
        <v>8.0600000000000005E-2</v>
      </c>
      <c r="I251" s="26">
        <v>0.15709999999999999</v>
      </c>
      <c r="J251" s="26">
        <v>0.1772</v>
      </c>
      <c r="L251" s="26">
        <v>0.12089999999999999</v>
      </c>
      <c r="M251" s="26">
        <v>1.9E-3</v>
      </c>
      <c r="Q251">
        <v>38</v>
      </c>
    </row>
    <row r="252" spans="1:17" x14ac:dyDescent="0.35">
      <c r="A252" s="27" t="s">
        <v>229</v>
      </c>
      <c r="B252" s="27" t="s">
        <v>309</v>
      </c>
      <c r="C252" s="27" t="s">
        <v>235</v>
      </c>
      <c r="D252" s="28">
        <v>0.25569999999999998</v>
      </c>
      <c r="E252" s="28">
        <v>0.26790000000000003</v>
      </c>
      <c r="F252" s="28">
        <v>0.19389999999999999</v>
      </c>
      <c r="G252" s="28">
        <v>2.12E-2</v>
      </c>
      <c r="H252" s="28">
        <v>0.19389999999999999</v>
      </c>
      <c r="I252" s="28">
        <v>0.1777</v>
      </c>
      <c r="J252" s="28">
        <v>6.0000000000000001E-3</v>
      </c>
      <c r="K252" s="28">
        <v>8.3699999999999997E-2</v>
      </c>
      <c r="L252" s="29"/>
      <c r="M252" s="29"/>
      <c r="N252" s="29"/>
      <c r="O252" s="29"/>
      <c r="P252" s="29"/>
      <c r="Q252" s="29" t="s">
        <v>349</v>
      </c>
    </row>
    <row r="253" spans="1:17" x14ac:dyDescent="0.35">
      <c r="A253" s="27" t="s">
        <v>229</v>
      </c>
      <c r="B253" s="27" t="s">
        <v>311</v>
      </c>
      <c r="C253" s="27" t="s">
        <v>234</v>
      </c>
      <c r="D253" s="28">
        <v>1</v>
      </c>
      <c r="E253" s="29"/>
      <c r="F253" s="29"/>
      <c r="G253" s="29"/>
      <c r="H253" s="29"/>
      <c r="I253" s="29"/>
      <c r="J253" s="29"/>
      <c r="K253" s="29"/>
      <c r="L253" s="29"/>
      <c r="M253" s="29"/>
      <c r="N253" s="29"/>
      <c r="O253" s="29"/>
      <c r="P253" s="29"/>
      <c r="Q253" s="29" t="s">
        <v>331</v>
      </c>
    </row>
    <row r="254" spans="1:17" x14ac:dyDescent="0.35">
      <c r="A254" s="27" t="s">
        <v>229</v>
      </c>
      <c r="B254" s="27" t="s">
        <v>308</v>
      </c>
      <c r="C254" s="27" t="s">
        <v>235</v>
      </c>
      <c r="D254" s="28">
        <v>0.43680000000000002</v>
      </c>
      <c r="E254" s="28">
        <v>0.30209999999999998</v>
      </c>
      <c r="F254" s="28">
        <v>0.1424</v>
      </c>
      <c r="G254" s="28">
        <v>0.19420000000000001</v>
      </c>
      <c r="H254" s="28">
        <v>0.18210000000000001</v>
      </c>
      <c r="I254" s="29"/>
      <c r="J254" s="28">
        <v>0.16750000000000001</v>
      </c>
      <c r="K254" s="29"/>
      <c r="L254" s="29"/>
      <c r="M254" s="29"/>
      <c r="N254" s="29"/>
      <c r="O254" s="28">
        <v>3.1699999999999999E-2</v>
      </c>
      <c r="P254" s="29"/>
      <c r="Q254" s="29" t="s">
        <v>350</v>
      </c>
    </row>
    <row r="255" spans="1:17" x14ac:dyDescent="0.35">
      <c r="A255" s="27" t="s">
        <v>229</v>
      </c>
      <c r="B255" s="27" t="s">
        <v>224</v>
      </c>
      <c r="C255" s="27" t="s">
        <v>235</v>
      </c>
      <c r="D255" s="28">
        <v>0.61250000000000004</v>
      </c>
      <c r="E255" s="28">
        <v>1.6400000000000001E-2</v>
      </c>
      <c r="F255" s="28">
        <v>9.69E-2</v>
      </c>
      <c r="G255" s="28">
        <v>1.6400000000000001E-2</v>
      </c>
      <c r="H255" s="28">
        <v>0.38019999999999998</v>
      </c>
      <c r="I255" s="29"/>
      <c r="J255" s="29"/>
      <c r="K255" s="28">
        <v>0.1159</v>
      </c>
      <c r="L255" s="29"/>
      <c r="M255" s="29"/>
      <c r="N255" s="28">
        <v>9.69E-2</v>
      </c>
      <c r="O255" s="29"/>
      <c r="P255" s="29"/>
      <c r="Q255" s="29" t="s">
        <v>351</v>
      </c>
    </row>
    <row r="256" spans="1:17" x14ac:dyDescent="0.35">
      <c r="A256" s="27" t="s">
        <v>229</v>
      </c>
      <c r="B256" s="27" t="s">
        <v>224</v>
      </c>
      <c r="C256" s="27" t="s">
        <v>234</v>
      </c>
      <c r="D256" s="28">
        <v>0.38290000000000002</v>
      </c>
      <c r="E256" s="28">
        <v>0.25280000000000002</v>
      </c>
      <c r="F256" s="28">
        <v>2.6499999999999999E-2</v>
      </c>
      <c r="G256" s="28">
        <v>0.15989999999999999</v>
      </c>
      <c r="H256" s="28">
        <v>0.3392</v>
      </c>
      <c r="I256" s="28">
        <v>0.15989999999999999</v>
      </c>
      <c r="J256" s="29"/>
      <c r="K256" s="29"/>
      <c r="L256" s="28">
        <v>3.56E-2</v>
      </c>
      <c r="M256" s="29"/>
      <c r="N256" s="29"/>
      <c r="O256" s="29"/>
      <c r="P256" s="29"/>
      <c r="Q256" s="29" t="s">
        <v>312</v>
      </c>
    </row>
    <row r="257" spans="1:17" x14ac:dyDescent="0.35">
      <c r="A257" s="27" t="s">
        <v>229</v>
      </c>
      <c r="B257" s="27" t="s">
        <v>311</v>
      </c>
      <c r="C257" s="27" t="s">
        <v>235</v>
      </c>
      <c r="D257" s="28">
        <v>0.16209999999999999</v>
      </c>
      <c r="E257" s="28">
        <v>0.50760000000000005</v>
      </c>
      <c r="F257" s="28">
        <v>0.4924</v>
      </c>
      <c r="G257" s="29"/>
      <c r="H257" s="29"/>
      <c r="I257" s="29"/>
      <c r="J257" s="29"/>
      <c r="K257" s="28">
        <v>2.1299999999999999E-2</v>
      </c>
      <c r="L257" s="29"/>
      <c r="M257" s="29"/>
      <c r="N257" s="29"/>
      <c r="O257" s="29"/>
      <c r="P257" s="29"/>
      <c r="Q257" s="29" t="s">
        <v>333</v>
      </c>
    </row>
    <row r="258" spans="1:17" x14ac:dyDescent="0.35">
      <c r="A258" s="27" t="s">
        <v>230</v>
      </c>
      <c r="B258" s="27" t="s">
        <v>311</v>
      </c>
      <c r="C258" s="27" t="s">
        <v>234</v>
      </c>
      <c r="D258" s="28">
        <v>0.4194</v>
      </c>
      <c r="E258" s="29"/>
      <c r="F258" s="28">
        <v>9.1999999999999998E-2</v>
      </c>
      <c r="G258" s="29"/>
      <c r="H258" s="29"/>
      <c r="I258" s="29"/>
      <c r="J258" s="28">
        <v>0.4194</v>
      </c>
      <c r="K258" s="28">
        <v>6.9099999999999995E-2</v>
      </c>
      <c r="L258" s="29"/>
      <c r="M258" s="29"/>
      <c r="N258" s="29"/>
      <c r="O258" s="29"/>
      <c r="P258" s="29"/>
      <c r="Q258" s="29" t="s">
        <v>332</v>
      </c>
    </row>
    <row r="259" spans="1:17" x14ac:dyDescent="0.35">
      <c r="A259" s="27" t="s">
        <v>230</v>
      </c>
      <c r="B259" s="27" t="s">
        <v>309</v>
      </c>
      <c r="C259" s="27" t="s">
        <v>234</v>
      </c>
      <c r="D259" s="28">
        <v>0.56820000000000004</v>
      </c>
      <c r="E259" s="28">
        <v>0.22559999999999999</v>
      </c>
      <c r="F259" s="28">
        <v>0.19400000000000001</v>
      </c>
      <c r="G259" s="29"/>
      <c r="H259" s="28">
        <v>4.2099999999999999E-2</v>
      </c>
      <c r="I259" s="28">
        <v>0.14549999999999999</v>
      </c>
      <c r="J259" s="28">
        <v>0.26879999999999998</v>
      </c>
      <c r="K259" s="28">
        <v>2.69E-2</v>
      </c>
      <c r="L259" s="29"/>
      <c r="M259" s="29"/>
      <c r="N259" s="29"/>
      <c r="O259" s="29"/>
      <c r="P259" s="29"/>
      <c r="Q259" s="29" t="s">
        <v>312</v>
      </c>
    </row>
    <row r="260" spans="1:17" x14ac:dyDescent="0.35">
      <c r="A260" s="27" t="s">
        <v>230</v>
      </c>
      <c r="B260" s="27" t="s">
        <v>311</v>
      </c>
      <c r="C260" s="27" t="s">
        <v>235</v>
      </c>
      <c r="D260" s="28">
        <v>0.11509999999999999</v>
      </c>
      <c r="E260" s="28">
        <v>7.0900000000000005E-2</v>
      </c>
      <c r="F260" s="29"/>
      <c r="G260" s="28">
        <v>0.69879999999999998</v>
      </c>
      <c r="H260" s="29"/>
      <c r="I260" s="29"/>
      <c r="J260" s="28">
        <v>0.11509999999999999</v>
      </c>
      <c r="K260" s="29"/>
      <c r="L260" s="29"/>
      <c r="M260" s="29"/>
      <c r="N260" s="29"/>
      <c r="O260" s="29"/>
      <c r="P260" s="29"/>
      <c r="Q260" s="29" t="s">
        <v>332</v>
      </c>
    </row>
    <row r="261" spans="1:17" x14ac:dyDescent="0.35">
      <c r="A261" s="27" t="s">
        <v>230</v>
      </c>
      <c r="B261" s="27" t="s">
        <v>306</v>
      </c>
      <c r="C261" s="27" t="s">
        <v>235</v>
      </c>
      <c r="D261" s="29"/>
      <c r="E261" s="29"/>
      <c r="F261" s="28">
        <v>1</v>
      </c>
      <c r="G261" s="29"/>
      <c r="H261" s="29"/>
      <c r="I261" s="29"/>
      <c r="J261" s="29"/>
      <c r="K261" s="29"/>
      <c r="L261" s="29"/>
      <c r="M261" s="29"/>
      <c r="N261" s="29"/>
      <c r="O261" s="29"/>
      <c r="P261" s="29"/>
      <c r="Q261" s="29" t="s">
        <v>331</v>
      </c>
    </row>
    <row r="262" spans="1:17" x14ac:dyDescent="0.35">
      <c r="A262" s="27" t="s">
        <v>230</v>
      </c>
      <c r="B262" s="27" t="s">
        <v>308</v>
      </c>
      <c r="C262" s="27" t="s">
        <v>234</v>
      </c>
      <c r="D262" s="28">
        <v>0.67710000000000004</v>
      </c>
      <c r="E262" s="28">
        <v>0.12189999999999999</v>
      </c>
      <c r="F262" s="28">
        <v>2.6100000000000002E-2</v>
      </c>
      <c r="G262" s="29"/>
      <c r="H262" s="28">
        <v>1.61E-2</v>
      </c>
      <c r="I262" s="28">
        <v>3.4200000000000001E-2</v>
      </c>
      <c r="J262" s="28">
        <v>2.6100000000000002E-2</v>
      </c>
      <c r="K262" s="29"/>
      <c r="L262" s="28">
        <v>0.15870000000000001</v>
      </c>
      <c r="M262" s="29"/>
      <c r="N262" s="29"/>
      <c r="O262" s="29"/>
      <c r="P262" s="29"/>
      <c r="Q262" s="29" t="s">
        <v>347</v>
      </c>
    </row>
    <row r="263" spans="1:17" x14ac:dyDescent="0.35">
      <c r="A263" s="27" t="s">
        <v>230</v>
      </c>
      <c r="B263" s="27" t="s">
        <v>308</v>
      </c>
      <c r="C263" s="27" t="s">
        <v>235</v>
      </c>
      <c r="D263" s="28">
        <v>0.21279999999999999</v>
      </c>
      <c r="E263" s="28">
        <v>0.1028</v>
      </c>
      <c r="F263" s="29"/>
      <c r="G263" s="28">
        <v>0.30840000000000001</v>
      </c>
      <c r="H263" s="28">
        <v>0.16200000000000001</v>
      </c>
      <c r="I263" s="28">
        <v>0.1542</v>
      </c>
      <c r="J263" s="28">
        <v>0.1542</v>
      </c>
      <c r="K263" s="29"/>
      <c r="L263" s="28">
        <v>3.3799999999999997E-2</v>
      </c>
      <c r="M263" s="28">
        <v>2.5999999999999999E-2</v>
      </c>
      <c r="N263" s="28">
        <v>2.5999999999999999E-2</v>
      </c>
      <c r="O263" s="29"/>
      <c r="P263" s="29"/>
      <c r="Q263" s="29" t="s">
        <v>348</v>
      </c>
    </row>
    <row r="264" spans="1:17" x14ac:dyDescent="0.35">
      <c r="A264" s="27" t="s">
        <v>230</v>
      </c>
      <c r="B264" s="27" t="s">
        <v>224</v>
      </c>
      <c r="C264" s="27" t="s">
        <v>234</v>
      </c>
      <c r="D264" s="28">
        <v>4.02E-2</v>
      </c>
      <c r="E264" s="28">
        <v>0.32540000000000002</v>
      </c>
      <c r="F264" s="29"/>
      <c r="G264" s="28">
        <v>0.28520000000000001</v>
      </c>
      <c r="H264" s="28">
        <v>0.33679999999999999</v>
      </c>
      <c r="I264" s="28">
        <v>1.24E-2</v>
      </c>
      <c r="J264" s="28">
        <v>8.0399999999999999E-2</v>
      </c>
      <c r="K264" s="29"/>
      <c r="L264" s="29"/>
      <c r="M264" s="29"/>
      <c r="N264" s="29"/>
      <c r="O264" s="29"/>
      <c r="P264" s="29"/>
      <c r="Q264" s="29" t="s">
        <v>352</v>
      </c>
    </row>
    <row r="265" spans="1:17" x14ac:dyDescent="0.35">
      <c r="A265" s="27" t="s">
        <v>230</v>
      </c>
      <c r="B265" s="27" t="s">
        <v>224</v>
      </c>
      <c r="C265" s="27" t="s">
        <v>235</v>
      </c>
      <c r="D265" s="28">
        <v>0.54930000000000001</v>
      </c>
      <c r="E265" s="28">
        <v>0.19950000000000001</v>
      </c>
      <c r="F265" s="28">
        <v>0.16500000000000001</v>
      </c>
      <c r="G265" s="28">
        <v>3.3799999999999997E-2</v>
      </c>
      <c r="H265" s="28">
        <v>0.2167</v>
      </c>
      <c r="I265" s="29"/>
      <c r="J265" s="29"/>
      <c r="K265" s="28">
        <v>0.157</v>
      </c>
      <c r="L265" s="28">
        <v>2.6499999999999999E-2</v>
      </c>
      <c r="M265" s="29"/>
      <c r="N265" s="29"/>
      <c r="O265" s="29"/>
      <c r="P265" s="29"/>
      <c r="Q265" s="29" t="s">
        <v>348</v>
      </c>
    </row>
    <row r="266" spans="1:17" x14ac:dyDescent="0.35">
      <c r="A266" s="27" t="s">
        <v>230</v>
      </c>
      <c r="B266" s="27" t="s">
        <v>306</v>
      </c>
      <c r="C266" s="27" t="s">
        <v>234</v>
      </c>
      <c r="D266" s="29"/>
      <c r="E266" s="29"/>
      <c r="F266" s="29"/>
      <c r="G266" s="28">
        <v>1</v>
      </c>
      <c r="H266" s="29"/>
      <c r="I266" s="29"/>
      <c r="J266" s="29"/>
      <c r="K266" s="29"/>
      <c r="L266" s="29"/>
      <c r="M266" s="29"/>
      <c r="N266" s="29"/>
      <c r="O266" s="29"/>
      <c r="P266" s="29"/>
      <c r="Q266" s="29" t="s">
        <v>331</v>
      </c>
    </row>
    <row r="267" spans="1:17" x14ac:dyDescent="0.35">
      <c r="A267" s="27" t="s">
        <v>230</v>
      </c>
      <c r="B267" s="27" t="s">
        <v>309</v>
      </c>
      <c r="C267" s="27" t="s">
        <v>235</v>
      </c>
      <c r="D267" s="28">
        <v>8.6E-3</v>
      </c>
      <c r="E267" s="28">
        <v>0.28079999999999999</v>
      </c>
      <c r="F267" s="28">
        <v>0.20680000000000001</v>
      </c>
      <c r="G267" s="28">
        <v>0.22750000000000001</v>
      </c>
      <c r="H267" s="28">
        <v>2.8000000000000001E-2</v>
      </c>
      <c r="I267" s="28">
        <v>2.87E-2</v>
      </c>
      <c r="J267" s="28">
        <v>2.87E-2</v>
      </c>
      <c r="K267" s="28">
        <v>0.22750000000000001</v>
      </c>
      <c r="L267" s="29"/>
      <c r="M267" s="28">
        <v>2.87E-2</v>
      </c>
      <c r="N267" s="28">
        <v>0.1988</v>
      </c>
      <c r="O267" s="28">
        <v>0.1701</v>
      </c>
      <c r="P267" s="29"/>
      <c r="Q267" s="29" t="s">
        <v>353</v>
      </c>
    </row>
    <row r="268" spans="1:17" x14ac:dyDescent="0.35">
      <c r="A268" s="27" t="s">
        <v>231</v>
      </c>
      <c r="B268" s="27" t="s">
        <v>309</v>
      </c>
      <c r="C268" s="27" t="s">
        <v>235</v>
      </c>
      <c r="D268" s="29"/>
      <c r="E268" s="28">
        <v>0.5</v>
      </c>
      <c r="F268" s="29"/>
      <c r="G268" s="28">
        <v>0.25</v>
      </c>
      <c r="H268" s="29"/>
      <c r="I268" s="29"/>
      <c r="J268" s="29"/>
      <c r="K268" s="29"/>
      <c r="L268" s="29"/>
      <c r="M268" s="29"/>
      <c r="N268" s="28">
        <v>0.25</v>
      </c>
      <c r="O268" s="29"/>
      <c r="P268" s="29"/>
      <c r="Q268" s="29" t="s">
        <v>337</v>
      </c>
    </row>
    <row r="269" spans="1:17" x14ac:dyDescent="0.35">
      <c r="A269" s="27" t="s">
        <v>231</v>
      </c>
      <c r="B269" s="27" t="s">
        <v>309</v>
      </c>
      <c r="C269" s="27" t="s">
        <v>234</v>
      </c>
      <c r="D269" s="28">
        <v>0.25</v>
      </c>
      <c r="E269" s="28">
        <v>0.25</v>
      </c>
      <c r="F269" s="29"/>
      <c r="G269" s="28">
        <v>0.5</v>
      </c>
      <c r="H269" s="29"/>
      <c r="I269" s="29"/>
      <c r="J269" s="29"/>
      <c r="K269" s="29"/>
      <c r="L269" s="29"/>
      <c r="M269" s="29"/>
      <c r="N269" s="29"/>
      <c r="O269" s="29"/>
      <c r="P269" s="29"/>
      <c r="Q269" s="29" t="s">
        <v>337</v>
      </c>
    </row>
    <row r="270" spans="1:17" x14ac:dyDescent="0.35">
      <c r="A270" s="27" t="s">
        <v>231</v>
      </c>
      <c r="B270" s="27" t="s">
        <v>308</v>
      </c>
      <c r="C270" s="27" t="s">
        <v>234</v>
      </c>
      <c r="D270" s="28">
        <v>0.5</v>
      </c>
      <c r="E270" s="29"/>
      <c r="F270" s="29"/>
      <c r="G270" s="28">
        <v>0.25</v>
      </c>
      <c r="H270" s="29"/>
      <c r="I270" s="29"/>
      <c r="J270" s="29"/>
      <c r="K270" s="29"/>
      <c r="L270" s="28">
        <v>0.25</v>
      </c>
      <c r="M270" s="29"/>
      <c r="N270" s="29"/>
      <c r="O270" s="29"/>
      <c r="P270" s="29"/>
      <c r="Q270" s="29" t="s">
        <v>337</v>
      </c>
    </row>
    <row r="271" spans="1:17" x14ac:dyDescent="0.35">
      <c r="A271" s="27" t="s">
        <v>231</v>
      </c>
      <c r="B271" s="27" t="s">
        <v>308</v>
      </c>
      <c r="C271" s="27" t="s">
        <v>235</v>
      </c>
      <c r="D271" s="28">
        <v>0.66669999999999996</v>
      </c>
      <c r="E271" s="28">
        <v>0.66669999999999996</v>
      </c>
      <c r="F271" s="29"/>
      <c r="G271" s="29"/>
      <c r="H271" s="29"/>
      <c r="I271" s="28">
        <v>0.33329999999999999</v>
      </c>
      <c r="J271" s="29"/>
      <c r="K271" s="29"/>
      <c r="L271" s="29"/>
      <c r="M271" s="28">
        <v>0.33329999999999999</v>
      </c>
      <c r="N271" s="29"/>
      <c r="O271" s="29"/>
      <c r="P271" s="29"/>
      <c r="Q271" s="29" t="s">
        <v>315</v>
      </c>
    </row>
    <row r="272" spans="1:17" x14ac:dyDescent="0.35">
      <c r="A272" s="27" t="s">
        <v>231</v>
      </c>
      <c r="B272" s="27" t="s">
        <v>311</v>
      </c>
      <c r="C272" s="27" t="s">
        <v>235</v>
      </c>
      <c r="D272" s="28">
        <v>0.2</v>
      </c>
      <c r="E272" s="28">
        <v>0.2</v>
      </c>
      <c r="F272" s="28">
        <v>0.8</v>
      </c>
      <c r="G272" s="28">
        <v>0.2</v>
      </c>
      <c r="H272" s="29"/>
      <c r="I272" s="29"/>
      <c r="J272" s="29"/>
      <c r="K272" s="29"/>
      <c r="L272" s="29"/>
      <c r="M272" s="29"/>
      <c r="N272" s="29"/>
      <c r="O272" s="29"/>
      <c r="P272" s="29"/>
      <c r="Q272" s="29" t="s">
        <v>332</v>
      </c>
    </row>
    <row r="273" spans="1:17" x14ac:dyDescent="0.35">
      <c r="A273" s="27" t="s">
        <v>231</v>
      </c>
      <c r="B273" s="27" t="s">
        <v>224</v>
      </c>
      <c r="C273" s="27" t="s">
        <v>234</v>
      </c>
      <c r="D273" s="28">
        <v>1</v>
      </c>
      <c r="E273" s="28">
        <v>0.25</v>
      </c>
      <c r="F273" s="29"/>
      <c r="G273" s="29"/>
      <c r="H273" s="29"/>
      <c r="I273" s="29"/>
      <c r="J273" s="29"/>
      <c r="K273" s="29"/>
      <c r="L273" s="29"/>
      <c r="M273" s="29"/>
      <c r="N273" s="29"/>
      <c r="O273" s="29"/>
      <c r="P273" s="29"/>
      <c r="Q273" s="29" t="s">
        <v>337</v>
      </c>
    </row>
    <row r="274" spans="1:17" x14ac:dyDescent="0.35">
      <c r="A274" s="27" t="s">
        <v>231</v>
      </c>
      <c r="B274" s="27" t="s">
        <v>306</v>
      </c>
      <c r="C274" s="27" t="s">
        <v>234</v>
      </c>
      <c r="D274" s="29"/>
      <c r="E274" s="29"/>
      <c r="F274" s="29"/>
      <c r="G274" s="29"/>
      <c r="H274" s="29"/>
      <c r="I274" s="29"/>
      <c r="J274" s="28">
        <v>1</v>
      </c>
      <c r="K274" s="29"/>
      <c r="L274" s="29"/>
      <c r="M274" s="29"/>
      <c r="N274" s="29"/>
      <c r="O274" s="29"/>
      <c r="P274" s="29"/>
      <c r="Q274" s="29" t="s">
        <v>331</v>
      </c>
    </row>
    <row r="275" spans="1:17" x14ac:dyDescent="0.35">
      <c r="A275" s="27" t="s">
        <v>231</v>
      </c>
      <c r="B275" s="27" t="s">
        <v>311</v>
      </c>
      <c r="C275" s="27" t="s">
        <v>234</v>
      </c>
      <c r="D275" s="29"/>
      <c r="E275" s="28">
        <v>0.75</v>
      </c>
      <c r="F275" s="28">
        <v>0.25</v>
      </c>
      <c r="G275" s="29"/>
      <c r="H275" s="29"/>
      <c r="I275" s="29"/>
      <c r="J275" s="29"/>
      <c r="K275" s="29"/>
      <c r="L275" s="29"/>
      <c r="M275" s="29"/>
      <c r="N275" s="29"/>
      <c r="O275" s="29"/>
      <c r="P275" s="29"/>
      <c r="Q275" s="29" t="s">
        <v>337</v>
      </c>
    </row>
    <row r="276" spans="1:17" x14ac:dyDescent="0.35">
      <c r="A276" t="s">
        <v>232</v>
      </c>
      <c r="B276" t="s">
        <v>232</v>
      </c>
      <c r="C276" t="s">
        <v>232</v>
      </c>
      <c r="D276" s="26">
        <v>0.3705</v>
      </c>
      <c r="E276" s="26">
        <v>0.24859999999999999</v>
      </c>
      <c r="F276" s="26">
        <v>0.1721</v>
      </c>
      <c r="G276" s="26">
        <v>0.11609999999999999</v>
      </c>
      <c r="H276" s="26">
        <v>0.1087</v>
      </c>
      <c r="I276" s="26">
        <v>7.4499999999999997E-2</v>
      </c>
      <c r="J276" s="26">
        <v>6.5500000000000003E-2</v>
      </c>
      <c r="K276" s="26">
        <v>3.7699999999999997E-2</v>
      </c>
      <c r="L276" s="26">
        <v>3.1399999999999997E-2</v>
      </c>
      <c r="M276" s="26">
        <v>2.7900000000000001E-2</v>
      </c>
      <c r="N276" s="26">
        <v>1.8200000000000001E-2</v>
      </c>
      <c r="O276" s="26">
        <v>1.21E-2</v>
      </c>
      <c r="P276" s="26">
        <v>4.0000000000000002E-4</v>
      </c>
      <c r="Q276">
        <v>545</v>
      </c>
    </row>
    <row r="278" spans="1:17" x14ac:dyDescent="0.35">
      <c r="A278" s="1" t="s">
        <v>354</v>
      </c>
    </row>
    <row r="279" spans="1:17" x14ac:dyDescent="0.35">
      <c r="A279" t="s">
        <v>219</v>
      </c>
      <c r="B279" t="s">
        <v>303</v>
      </c>
      <c r="C279" t="s">
        <v>302</v>
      </c>
      <c r="D279" t="s">
        <v>281</v>
      </c>
      <c r="E279" t="s">
        <v>226</v>
      </c>
    </row>
    <row r="280" spans="1:17" x14ac:dyDescent="0.35">
      <c r="A280" t="s">
        <v>227</v>
      </c>
      <c r="B280" s="26">
        <v>0.95450000000000002</v>
      </c>
      <c r="C280" s="26">
        <v>4.5499999999999999E-2</v>
      </c>
      <c r="E280">
        <v>66</v>
      </c>
    </row>
    <row r="281" spans="1:17" x14ac:dyDescent="0.35">
      <c r="A281" t="s">
        <v>228</v>
      </c>
      <c r="B281" s="26">
        <v>0.88580000000000003</v>
      </c>
      <c r="C281" s="26">
        <v>0.1111</v>
      </c>
      <c r="D281" s="26">
        <v>3.0000000000000001E-3</v>
      </c>
      <c r="E281">
        <v>360</v>
      </c>
    </row>
    <row r="282" spans="1:17" x14ac:dyDescent="0.35">
      <c r="A282" t="s">
        <v>229</v>
      </c>
      <c r="B282" s="26">
        <v>0.95850000000000002</v>
      </c>
      <c r="C282" s="26">
        <v>4.1500000000000002E-2</v>
      </c>
      <c r="E282">
        <v>352</v>
      </c>
    </row>
    <row r="283" spans="1:17" x14ac:dyDescent="0.35">
      <c r="A283" t="s">
        <v>230</v>
      </c>
      <c r="B283" s="26">
        <v>0.91830000000000001</v>
      </c>
      <c r="C283" s="26">
        <v>8.1699999999999995E-2</v>
      </c>
      <c r="E283">
        <v>219</v>
      </c>
    </row>
    <row r="284" spans="1:17" x14ac:dyDescent="0.35">
      <c r="A284" t="s">
        <v>231</v>
      </c>
      <c r="B284" s="26">
        <v>0.8548</v>
      </c>
      <c r="C284" s="26">
        <v>0.1452</v>
      </c>
      <c r="E284">
        <v>62</v>
      </c>
    </row>
    <row r="285" spans="1:17" x14ac:dyDescent="0.35">
      <c r="A285" t="s">
        <v>232</v>
      </c>
      <c r="B285" s="26">
        <v>0.91400000000000003</v>
      </c>
      <c r="C285" s="26">
        <v>8.5500000000000007E-2</v>
      </c>
      <c r="D285" s="26">
        <v>5.9999999999999995E-4</v>
      </c>
      <c r="E285">
        <v>1059</v>
      </c>
    </row>
    <row r="287" spans="1:17" x14ac:dyDescent="0.35">
      <c r="A287" s="1" t="s">
        <v>355</v>
      </c>
    </row>
    <row r="288" spans="1:17" x14ac:dyDescent="0.35">
      <c r="A288" t="s">
        <v>219</v>
      </c>
      <c r="B288" t="s">
        <v>305</v>
      </c>
      <c r="C288" t="s">
        <v>303</v>
      </c>
      <c r="D288" t="s">
        <v>302</v>
      </c>
      <c r="E288" t="s">
        <v>281</v>
      </c>
      <c r="F288" t="s">
        <v>226</v>
      </c>
    </row>
    <row r="289" spans="1:6" x14ac:dyDescent="0.35">
      <c r="A289" s="27" t="s">
        <v>227</v>
      </c>
      <c r="B289" s="27" t="s">
        <v>242</v>
      </c>
      <c r="C289" s="28">
        <v>0.92</v>
      </c>
      <c r="D289" s="28">
        <v>0.08</v>
      </c>
      <c r="E289" s="29"/>
      <c r="F289" s="29" t="s">
        <v>312</v>
      </c>
    </row>
    <row r="290" spans="1:6" x14ac:dyDescent="0.35">
      <c r="A290" t="s">
        <v>227</v>
      </c>
      <c r="B290" t="s">
        <v>241</v>
      </c>
      <c r="C290" s="26">
        <v>0.97560000000000002</v>
      </c>
      <c r="D290" s="26">
        <v>2.4400000000000002E-2</v>
      </c>
      <c r="F290">
        <v>41</v>
      </c>
    </row>
    <row r="291" spans="1:6" x14ac:dyDescent="0.35">
      <c r="A291" t="s">
        <v>228</v>
      </c>
      <c r="B291" t="s">
        <v>242</v>
      </c>
      <c r="C291" s="26">
        <v>0.87829999999999997</v>
      </c>
      <c r="D291" s="26">
        <v>0.1217</v>
      </c>
      <c r="F291">
        <v>107</v>
      </c>
    </row>
    <row r="292" spans="1:6" x14ac:dyDescent="0.35">
      <c r="A292" t="s">
        <v>228</v>
      </c>
      <c r="B292" t="s">
        <v>241</v>
      </c>
      <c r="C292" s="26">
        <v>0.88900000000000001</v>
      </c>
      <c r="D292" s="26">
        <v>0.1067</v>
      </c>
      <c r="E292" s="26">
        <v>4.3E-3</v>
      </c>
      <c r="F292">
        <v>253</v>
      </c>
    </row>
    <row r="293" spans="1:6" x14ac:dyDescent="0.35">
      <c r="A293" t="s">
        <v>229</v>
      </c>
      <c r="B293" t="s">
        <v>242</v>
      </c>
      <c r="C293" s="26">
        <v>0.95669999999999999</v>
      </c>
      <c r="D293" s="26">
        <v>4.3299999999999998E-2</v>
      </c>
      <c r="F293">
        <v>98</v>
      </c>
    </row>
    <row r="294" spans="1:6" x14ac:dyDescent="0.35">
      <c r="A294" t="s">
        <v>229</v>
      </c>
      <c r="B294" t="s">
        <v>241</v>
      </c>
      <c r="C294" s="26">
        <v>0.95950000000000002</v>
      </c>
      <c r="D294" s="26">
        <v>4.0500000000000001E-2</v>
      </c>
      <c r="F294">
        <v>254</v>
      </c>
    </row>
    <row r="295" spans="1:6" x14ac:dyDescent="0.35">
      <c r="A295" t="s">
        <v>230</v>
      </c>
      <c r="B295" t="s">
        <v>242</v>
      </c>
      <c r="C295" s="26">
        <v>0.94620000000000004</v>
      </c>
      <c r="D295" s="26">
        <v>5.3800000000000001E-2</v>
      </c>
      <c r="F295">
        <v>64</v>
      </c>
    </row>
    <row r="296" spans="1:6" x14ac:dyDescent="0.35">
      <c r="A296" t="s">
        <v>230</v>
      </c>
      <c r="B296" t="s">
        <v>241</v>
      </c>
      <c r="C296" s="26">
        <v>0.90400000000000003</v>
      </c>
      <c r="D296" s="26">
        <v>9.6000000000000002E-2</v>
      </c>
      <c r="F296">
        <v>155</v>
      </c>
    </row>
    <row r="297" spans="1:6" x14ac:dyDescent="0.35">
      <c r="A297" s="27" t="s">
        <v>231</v>
      </c>
      <c r="B297" s="27" t="s">
        <v>242</v>
      </c>
      <c r="C297" s="28">
        <v>1</v>
      </c>
      <c r="D297" s="29"/>
      <c r="E297" s="29"/>
      <c r="F297" s="29" t="s">
        <v>334</v>
      </c>
    </row>
    <row r="298" spans="1:6" x14ac:dyDescent="0.35">
      <c r="A298" t="s">
        <v>231</v>
      </c>
      <c r="B298" t="s">
        <v>241</v>
      </c>
      <c r="C298" s="26">
        <v>0.83020000000000005</v>
      </c>
      <c r="D298" s="26">
        <v>0.16980000000000001</v>
      </c>
      <c r="F298">
        <v>53</v>
      </c>
    </row>
    <row r="299" spans="1:6" x14ac:dyDescent="0.35">
      <c r="A299" t="s">
        <v>232</v>
      </c>
      <c r="B299" t="s">
        <v>232</v>
      </c>
      <c r="C299" s="26">
        <v>0.91400000000000003</v>
      </c>
      <c r="D299" s="26">
        <v>8.5500000000000007E-2</v>
      </c>
      <c r="E299" s="26">
        <v>5.9999999999999995E-4</v>
      </c>
      <c r="F299">
        <v>1059</v>
      </c>
    </row>
    <row r="301" spans="1:6" x14ac:dyDescent="0.35">
      <c r="A301" s="1" t="s">
        <v>356</v>
      </c>
    </row>
    <row r="302" spans="1:6" x14ac:dyDescent="0.35">
      <c r="A302" t="s">
        <v>219</v>
      </c>
      <c r="B302" t="s">
        <v>305</v>
      </c>
      <c r="C302" t="s">
        <v>303</v>
      </c>
      <c r="D302" t="s">
        <v>302</v>
      </c>
      <c r="E302" t="s">
        <v>281</v>
      </c>
      <c r="F302" t="s">
        <v>226</v>
      </c>
    </row>
    <row r="303" spans="1:6" x14ac:dyDescent="0.35">
      <c r="A303" t="s">
        <v>227</v>
      </c>
      <c r="B303" t="s">
        <v>239</v>
      </c>
      <c r="C303" s="26">
        <v>0.90910000000000002</v>
      </c>
      <c r="D303" s="26">
        <v>9.0899999999999995E-2</v>
      </c>
      <c r="F303">
        <v>33</v>
      </c>
    </row>
    <row r="304" spans="1:6" x14ac:dyDescent="0.35">
      <c r="A304" t="s">
        <v>227</v>
      </c>
      <c r="B304" t="s">
        <v>238</v>
      </c>
      <c r="C304" s="26">
        <v>1</v>
      </c>
      <c r="F304">
        <v>33</v>
      </c>
    </row>
    <row r="305" spans="1:6" x14ac:dyDescent="0.35">
      <c r="A305" t="s">
        <v>228</v>
      </c>
      <c r="B305" t="s">
        <v>239</v>
      </c>
      <c r="C305" s="26">
        <v>0.92710000000000004</v>
      </c>
      <c r="D305" s="26">
        <v>7.2900000000000006E-2</v>
      </c>
      <c r="F305">
        <v>133</v>
      </c>
    </row>
    <row r="306" spans="1:6" x14ac:dyDescent="0.35">
      <c r="A306" t="s">
        <v>228</v>
      </c>
      <c r="B306" t="s">
        <v>238</v>
      </c>
      <c r="C306" s="26">
        <v>0.87239999999999995</v>
      </c>
      <c r="D306" s="26">
        <v>0.1236</v>
      </c>
      <c r="E306" s="26">
        <v>4.0000000000000001E-3</v>
      </c>
      <c r="F306">
        <v>227</v>
      </c>
    </row>
    <row r="307" spans="1:6" x14ac:dyDescent="0.35">
      <c r="A307" t="s">
        <v>229</v>
      </c>
      <c r="B307" t="s">
        <v>239</v>
      </c>
      <c r="C307" s="26">
        <v>0.96450000000000002</v>
      </c>
      <c r="D307" s="26">
        <v>3.5499999999999997E-2</v>
      </c>
      <c r="F307">
        <v>137</v>
      </c>
    </row>
    <row r="308" spans="1:6" x14ac:dyDescent="0.35">
      <c r="A308" t="s">
        <v>229</v>
      </c>
      <c r="B308" t="s">
        <v>238</v>
      </c>
      <c r="C308" s="26">
        <v>0.95630000000000004</v>
      </c>
      <c r="D308" s="26">
        <v>4.3700000000000003E-2</v>
      </c>
      <c r="F308">
        <v>215</v>
      </c>
    </row>
    <row r="309" spans="1:6" x14ac:dyDescent="0.35">
      <c r="A309" t="s">
        <v>230</v>
      </c>
      <c r="B309" t="s">
        <v>239</v>
      </c>
      <c r="C309" s="26">
        <v>0.89710000000000001</v>
      </c>
      <c r="D309" s="26">
        <v>0.10290000000000001</v>
      </c>
      <c r="F309">
        <v>115</v>
      </c>
    </row>
    <row r="310" spans="1:6" x14ac:dyDescent="0.35">
      <c r="A310" t="s">
        <v>230</v>
      </c>
      <c r="B310" t="s">
        <v>238</v>
      </c>
      <c r="C310" s="26">
        <v>0.93940000000000001</v>
      </c>
      <c r="D310" s="26">
        <v>6.0600000000000001E-2</v>
      </c>
      <c r="F310">
        <v>104</v>
      </c>
    </row>
    <row r="311" spans="1:6" x14ac:dyDescent="0.35">
      <c r="A311" t="s">
        <v>231</v>
      </c>
      <c r="B311" t="s">
        <v>239</v>
      </c>
      <c r="C311" s="26">
        <v>0.77780000000000005</v>
      </c>
      <c r="D311" s="26">
        <v>0.22220000000000001</v>
      </c>
      <c r="F311">
        <v>36</v>
      </c>
    </row>
    <row r="312" spans="1:6" x14ac:dyDescent="0.35">
      <c r="A312" s="27" t="s">
        <v>231</v>
      </c>
      <c r="B312" s="27" t="s">
        <v>238</v>
      </c>
      <c r="C312" s="28">
        <v>0.96150000000000002</v>
      </c>
      <c r="D312" s="28">
        <v>3.85E-2</v>
      </c>
      <c r="E312" s="29"/>
      <c r="F312" s="29" t="s">
        <v>357</v>
      </c>
    </row>
    <row r="313" spans="1:6" x14ac:dyDescent="0.35">
      <c r="A313" t="s">
        <v>232</v>
      </c>
      <c r="B313" t="s">
        <v>232</v>
      </c>
      <c r="C313" s="26">
        <v>0.91400000000000003</v>
      </c>
      <c r="D313" s="26">
        <v>8.5500000000000007E-2</v>
      </c>
      <c r="E313" s="26">
        <v>5.9999999999999995E-4</v>
      </c>
      <c r="F313">
        <v>1059</v>
      </c>
    </row>
    <row r="315" spans="1:6" x14ac:dyDescent="0.35">
      <c r="A315" s="1" t="s">
        <v>358</v>
      </c>
    </row>
    <row r="316" spans="1:6" x14ac:dyDescent="0.35">
      <c r="A316" t="s">
        <v>219</v>
      </c>
      <c r="B316" t="s">
        <v>305</v>
      </c>
      <c r="C316" t="s">
        <v>303</v>
      </c>
      <c r="D316" t="s">
        <v>302</v>
      </c>
      <c r="E316" t="s">
        <v>281</v>
      </c>
      <c r="F316" t="s">
        <v>226</v>
      </c>
    </row>
    <row r="317" spans="1:6" x14ac:dyDescent="0.35">
      <c r="A317" t="s">
        <v>227</v>
      </c>
      <c r="B317" t="s">
        <v>244</v>
      </c>
      <c r="C317" s="26">
        <v>0.97370000000000001</v>
      </c>
      <c r="D317" s="26">
        <v>2.63E-2</v>
      </c>
      <c r="F317">
        <v>38</v>
      </c>
    </row>
    <row r="318" spans="1:6" x14ac:dyDescent="0.35">
      <c r="A318" s="27" t="s">
        <v>227</v>
      </c>
      <c r="B318" s="27" t="s">
        <v>246</v>
      </c>
      <c r="C318" s="28">
        <v>0.92859999999999998</v>
      </c>
      <c r="D318" s="28">
        <v>7.1400000000000005E-2</v>
      </c>
      <c r="E318" s="29"/>
      <c r="F318" s="29" t="s">
        <v>336</v>
      </c>
    </row>
    <row r="319" spans="1:6" x14ac:dyDescent="0.35">
      <c r="A319" t="s">
        <v>228</v>
      </c>
      <c r="B319" t="s">
        <v>244</v>
      </c>
      <c r="C319" s="26">
        <v>0.91080000000000005</v>
      </c>
      <c r="D319" s="26">
        <v>8.4900000000000003E-2</v>
      </c>
      <c r="E319" s="26">
        <v>4.3E-3</v>
      </c>
      <c r="F319">
        <v>244</v>
      </c>
    </row>
    <row r="320" spans="1:6" x14ac:dyDescent="0.35">
      <c r="A320" t="s">
        <v>228</v>
      </c>
      <c r="B320" t="s">
        <v>246</v>
      </c>
      <c r="C320" s="26">
        <v>0.82830000000000004</v>
      </c>
      <c r="D320" s="26">
        <v>0.17169999999999999</v>
      </c>
      <c r="F320">
        <v>116</v>
      </c>
    </row>
    <row r="321" spans="1:6" x14ac:dyDescent="0.35">
      <c r="A321" t="s">
        <v>229</v>
      </c>
      <c r="B321" t="s">
        <v>244</v>
      </c>
      <c r="C321" s="26">
        <v>0.95879999999999999</v>
      </c>
      <c r="D321" s="26">
        <v>4.1200000000000001E-2</v>
      </c>
      <c r="F321">
        <v>272</v>
      </c>
    </row>
    <row r="322" spans="1:6" x14ac:dyDescent="0.35">
      <c r="A322" t="s">
        <v>229</v>
      </c>
      <c r="B322" t="s">
        <v>246</v>
      </c>
      <c r="C322" s="26">
        <v>0.95740000000000003</v>
      </c>
      <c r="D322" s="26">
        <v>4.2599999999999999E-2</v>
      </c>
      <c r="F322">
        <v>80</v>
      </c>
    </row>
    <row r="323" spans="1:6" x14ac:dyDescent="0.35">
      <c r="A323" t="s">
        <v>230</v>
      </c>
      <c r="B323" t="s">
        <v>244</v>
      </c>
      <c r="C323" s="26">
        <v>0.90690000000000004</v>
      </c>
      <c r="D323" s="26">
        <v>9.3100000000000002E-2</v>
      </c>
      <c r="F323">
        <v>163</v>
      </c>
    </row>
    <row r="324" spans="1:6" x14ac:dyDescent="0.35">
      <c r="A324" t="s">
        <v>230</v>
      </c>
      <c r="B324" t="s">
        <v>246</v>
      </c>
      <c r="C324" s="26">
        <v>0.95189999999999997</v>
      </c>
      <c r="D324" s="26">
        <v>4.8099999999999997E-2</v>
      </c>
      <c r="F324">
        <v>56</v>
      </c>
    </row>
    <row r="325" spans="1:6" x14ac:dyDescent="0.35">
      <c r="A325" t="s">
        <v>231</v>
      </c>
      <c r="B325" t="s">
        <v>244</v>
      </c>
      <c r="C325" s="26">
        <v>0.9677</v>
      </c>
      <c r="D325" s="26">
        <v>3.2300000000000002E-2</v>
      </c>
      <c r="F325">
        <v>31</v>
      </c>
    </row>
    <row r="326" spans="1:6" x14ac:dyDescent="0.35">
      <c r="A326" t="s">
        <v>231</v>
      </c>
      <c r="B326" t="s">
        <v>246</v>
      </c>
      <c r="C326" s="26">
        <v>0.7419</v>
      </c>
      <c r="D326" s="26">
        <v>0.2581</v>
      </c>
      <c r="F326">
        <v>31</v>
      </c>
    </row>
    <row r="327" spans="1:6" x14ac:dyDescent="0.35">
      <c r="A327" t="s">
        <v>232</v>
      </c>
      <c r="B327" t="s">
        <v>232</v>
      </c>
      <c r="C327" s="26">
        <v>0.91400000000000003</v>
      </c>
      <c r="D327" s="26">
        <v>8.5500000000000007E-2</v>
      </c>
      <c r="E327" s="26">
        <v>5.9999999999999995E-4</v>
      </c>
      <c r="F327">
        <v>1059</v>
      </c>
    </row>
    <row r="329" spans="1:6" x14ac:dyDescent="0.35">
      <c r="A329" s="1" t="s">
        <v>359</v>
      </c>
    </row>
    <row r="330" spans="1:6" x14ac:dyDescent="0.35">
      <c r="A330" t="s">
        <v>219</v>
      </c>
      <c r="B330" t="s">
        <v>305</v>
      </c>
      <c r="C330" t="s">
        <v>303</v>
      </c>
      <c r="D330" t="s">
        <v>302</v>
      </c>
      <c r="E330" t="s">
        <v>281</v>
      </c>
      <c r="F330" t="s">
        <v>226</v>
      </c>
    </row>
    <row r="331" spans="1:6" x14ac:dyDescent="0.35">
      <c r="A331" s="27" t="s">
        <v>227</v>
      </c>
      <c r="B331" s="27" t="s">
        <v>360</v>
      </c>
      <c r="C331" s="28">
        <v>0.92859999999999998</v>
      </c>
      <c r="D331" s="28">
        <v>7.1400000000000005E-2</v>
      </c>
      <c r="E331" s="29"/>
      <c r="F331" s="29" t="s">
        <v>336</v>
      </c>
    </row>
    <row r="332" spans="1:6" x14ac:dyDescent="0.35">
      <c r="A332" s="27" t="s">
        <v>227</v>
      </c>
      <c r="B332" s="27" t="s">
        <v>361</v>
      </c>
      <c r="C332" s="28">
        <v>1</v>
      </c>
      <c r="D332" s="29"/>
      <c r="E332" s="29"/>
      <c r="F332" s="29" t="s">
        <v>332</v>
      </c>
    </row>
    <row r="333" spans="1:6" x14ac:dyDescent="0.35">
      <c r="A333" s="27" t="s">
        <v>227</v>
      </c>
      <c r="B333" s="27" t="s">
        <v>362</v>
      </c>
      <c r="C333" s="28">
        <v>1</v>
      </c>
      <c r="D333" s="29"/>
      <c r="E333" s="29"/>
      <c r="F333" s="29" t="s">
        <v>346</v>
      </c>
    </row>
    <row r="334" spans="1:6" x14ac:dyDescent="0.35">
      <c r="A334" s="27" t="s">
        <v>227</v>
      </c>
      <c r="B334" s="27" t="s">
        <v>363</v>
      </c>
      <c r="C334" s="28">
        <v>0.94120000000000004</v>
      </c>
      <c r="D334" s="28">
        <v>5.8799999999999998E-2</v>
      </c>
      <c r="E334" s="29"/>
      <c r="F334" s="29" t="s">
        <v>343</v>
      </c>
    </row>
    <row r="335" spans="1:6" x14ac:dyDescent="0.35">
      <c r="A335" t="s">
        <v>228</v>
      </c>
      <c r="B335" t="s">
        <v>360</v>
      </c>
      <c r="C335" s="26">
        <v>0.86029999999999995</v>
      </c>
      <c r="D335" s="26">
        <v>0.13969999999999999</v>
      </c>
      <c r="F335">
        <v>108</v>
      </c>
    </row>
    <row r="336" spans="1:6" x14ac:dyDescent="0.35">
      <c r="A336" t="s">
        <v>228</v>
      </c>
      <c r="B336" t="s">
        <v>361</v>
      </c>
      <c r="C336" s="26">
        <v>0.97989999999999999</v>
      </c>
      <c r="D336" s="26">
        <v>3.3999999999999998E-3</v>
      </c>
      <c r="E336" s="26">
        <v>1.66E-2</v>
      </c>
      <c r="F336">
        <v>51</v>
      </c>
    </row>
    <row r="337" spans="1:6" x14ac:dyDescent="0.35">
      <c r="A337" t="s">
        <v>228</v>
      </c>
      <c r="B337" t="s">
        <v>363</v>
      </c>
      <c r="C337" s="26">
        <v>0.9073</v>
      </c>
      <c r="D337" s="26">
        <v>9.2700000000000005E-2</v>
      </c>
      <c r="F337">
        <v>68</v>
      </c>
    </row>
    <row r="338" spans="1:6" x14ac:dyDescent="0.35">
      <c r="A338" t="s">
        <v>228</v>
      </c>
      <c r="B338" t="s">
        <v>362</v>
      </c>
      <c r="C338" s="26">
        <v>0.8448</v>
      </c>
      <c r="D338" s="26">
        <v>0.1552</v>
      </c>
      <c r="F338">
        <v>81</v>
      </c>
    </row>
    <row r="339" spans="1:6" x14ac:dyDescent="0.35">
      <c r="A339" t="s">
        <v>229</v>
      </c>
      <c r="B339" t="s">
        <v>363</v>
      </c>
      <c r="C339" s="26">
        <v>0.98260000000000003</v>
      </c>
      <c r="D339" s="26">
        <v>1.7399999999999999E-2</v>
      </c>
      <c r="F339">
        <v>56</v>
      </c>
    </row>
    <row r="340" spans="1:6" x14ac:dyDescent="0.35">
      <c r="A340" t="s">
        <v>229</v>
      </c>
      <c r="B340" t="s">
        <v>360</v>
      </c>
      <c r="C340" s="26">
        <v>0.95840000000000003</v>
      </c>
      <c r="D340" s="26">
        <v>4.1599999999999998E-2</v>
      </c>
      <c r="F340">
        <v>91</v>
      </c>
    </row>
    <row r="341" spans="1:6" x14ac:dyDescent="0.35">
      <c r="A341" t="s">
        <v>229</v>
      </c>
      <c r="B341" t="s">
        <v>361</v>
      </c>
      <c r="C341" s="26">
        <v>0.95679999999999998</v>
      </c>
      <c r="D341" s="26">
        <v>4.3200000000000002E-2</v>
      </c>
      <c r="F341">
        <v>77</v>
      </c>
    </row>
    <row r="342" spans="1:6" x14ac:dyDescent="0.35">
      <c r="A342" t="s">
        <v>229</v>
      </c>
      <c r="B342" t="s">
        <v>362</v>
      </c>
      <c r="C342" s="26">
        <v>0.96309999999999996</v>
      </c>
      <c r="D342" s="26">
        <v>3.6900000000000002E-2</v>
      </c>
      <c r="F342">
        <v>75</v>
      </c>
    </row>
    <row r="343" spans="1:6" x14ac:dyDescent="0.35">
      <c r="A343" t="s">
        <v>230</v>
      </c>
      <c r="B343" t="s">
        <v>360</v>
      </c>
      <c r="C343" s="26">
        <v>0.92620000000000002</v>
      </c>
      <c r="D343" s="26">
        <v>7.3800000000000004E-2</v>
      </c>
      <c r="F343">
        <v>68</v>
      </c>
    </row>
    <row r="344" spans="1:6" x14ac:dyDescent="0.35">
      <c r="A344" t="s">
        <v>230</v>
      </c>
      <c r="B344" t="s">
        <v>363</v>
      </c>
      <c r="C344" s="26">
        <v>1</v>
      </c>
      <c r="F344">
        <v>35</v>
      </c>
    </row>
    <row r="345" spans="1:6" x14ac:dyDescent="0.35">
      <c r="A345" s="27" t="s">
        <v>230</v>
      </c>
      <c r="B345" s="27" t="s">
        <v>361</v>
      </c>
      <c r="C345" s="28">
        <v>0.75229999999999997</v>
      </c>
      <c r="D345" s="28">
        <v>0.2477</v>
      </c>
      <c r="E345" s="29"/>
      <c r="F345" s="29" t="s">
        <v>357</v>
      </c>
    </row>
    <row r="346" spans="1:6" x14ac:dyDescent="0.35">
      <c r="A346" t="s">
        <v>230</v>
      </c>
      <c r="B346" t="s">
        <v>362</v>
      </c>
      <c r="C346" s="26">
        <v>0.93820000000000003</v>
      </c>
      <c r="D346" s="26">
        <v>6.1800000000000001E-2</v>
      </c>
      <c r="F346">
        <v>65</v>
      </c>
    </row>
    <row r="347" spans="1:6" x14ac:dyDescent="0.35">
      <c r="A347" s="27" t="s">
        <v>231</v>
      </c>
      <c r="B347" s="27" t="s">
        <v>362</v>
      </c>
      <c r="C347" s="28">
        <v>1</v>
      </c>
      <c r="D347" s="29"/>
      <c r="E347" s="29"/>
      <c r="F347" s="29" t="s">
        <v>333</v>
      </c>
    </row>
    <row r="348" spans="1:6" x14ac:dyDescent="0.35">
      <c r="A348" s="27" t="s">
        <v>231</v>
      </c>
      <c r="B348" s="27" t="s">
        <v>361</v>
      </c>
      <c r="C348" s="28">
        <v>0.875</v>
      </c>
      <c r="D348" s="28">
        <v>0.125</v>
      </c>
      <c r="E348" s="29"/>
      <c r="F348" s="29" t="s">
        <v>333</v>
      </c>
    </row>
    <row r="349" spans="1:6" x14ac:dyDescent="0.35">
      <c r="A349" t="s">
        <v>231</v>
      </c>
      <c r="B349" t="s">
        <v>360</v>
      </c>
      <c r="C349" s="26">
        <v>0.80559999999999998</v>
      </c>
      <c r="D349" s="26">
        <v>0.19439999999999999</v>
      </c>
      <c r="F349">
        <v>36</v>
      </c>
    </row>
    <row r="350" spans="1:6" x14ac:dyDescent="0.35">
      <c r="A350" s="27" t="s">
        <v>231</v>
      </c>
      <c r="B350" s="27" t="s">
        <v>363</v>
      </c>
      <c r="C350" s="28">
        <v>0.88890000000000002</v>
      </c>
      <c r="D350" s="28">
        <v>0.1111</v>
      </c>
      <c r="E350" s="29"/>
      <c r="F350" s="29" t="s">
        <v>334</v>
      </c>
    </row>
    <row r="351" spans="1:6" x14ac:dyDescent="0.35">
      <c r="A351" t="s">
        <v>232</v>
      </c>
      <c r="B351" t="s">
        <v>232</v>
      </c>
      <c r="C351" s="26">
        <v>0.91400000000000003</v>
      </c>
      <c r="D351" s="26">
        <v>8.5500000000000007E-2</v>
      </c>
      <c r="E351" s="26">
        <v>5.9999999999999995E-4</v>
      </c>
      <c r="F351">
        <v>927</v>
      </c>
    </row>
    <row r="353" spans="1:6" x14ac:dyDescent="0.35">
      <c r="A353" s="1" t="s">
        <v>364</v>
      </c>
    </row>
    <row r="354" spans="1:6" x14ac:dyDescent="0.35">
      <c r="A354" t="s">
        <v>219</v>
      </c>
      <c r="B354" t="s">
        <v>305</v>
      </c>
      <c r="C354" t="s">
        <v>303</v>
      </c>
      <c r="D354" t="s">
        <v>302</v>
      </c>
      <c r="E354" t="s">
        <v>281</v>
      </c>
      <c r="F354" t="s">
        <v>226</v>
      </c>
    </row>
    <row r="355" spans="1:6" x14ac:dyDescent="0.35">
      <c r="A355" s="27" t="s">
        <v>227</v>
      </c>
      <c r="B355" s="27" t="s">
        <v>267</v>
      </c>
      <c r="C355" s="28">
        <v>1</v>
      </c>
      <c r="D355" s="29"/>
      <c r="E355" s="29"/>
      <c r="F355" s="29" t="s">
        <v>339</v>
      </c>
    </row>
    <row r="356" spans="1:6" x14ac:dyDescent="0.35">
      <c r="A356" s="27" t="s">
        <v>227</v>
      </c>
      <c r="B356" s="27" t="s">
        <v>266</v>
      </c>
      <c r="C356" s="28">
        <v>0.88239999999999996</v>
      </c>
      <c r="D356" s="28">
        <v>0.1176</v>
      </c>
      <c r="E356" s="29"/>
      <c r="F356" s="29" t="s">
        <v>343</v>
      </c>
    </row>
    <row r="357" spans="1:6" x14ac:dyDescent="0.35">
      <c r="A357" t="s">
        <v>227</v>
      </c>
      <c r="B357" t="s">
        <v>265</v>
      </c>
      <c r="C357" s="26">
        <v>0.97619999999999996</v>
      </c>
      <c r="D357" s="26">
        <v>2.3800000000000002E-2</v>
      </c>
      <c r="F357">
        <v>42</v>
      </c>
    </row>
    <row r="358" spans="1:6" x14ac:dyDescent="0.35">
      <c r="A358" t="s">
        <v>228</v>
      </c>
      <c r="B358" t="s">
        <v>267</v>
      </c>
      <c r="C358" s="26">
        <v>0.77539999999999998</v>
      </c>
      <c r="D358" s="26">
        <v>0.22459999999999999</v>
      </c>
      <c r="F358">
        <v>50</v>
      </c>
    </row>
    <row r="359" spans="1:6" x14ac:dyDescent="0.35">
      <c r="A359" t="s">
        <v>228</v>
      </c>
      <c r="B359" t="s">
        <v>266</v>
      </c>
      <c r="C359" s="26">
        <v>0.93310000000000004</v>
      </c>
      <c r="D359" s="26">
        <v>6.6900000000000001E-2</v>
      </c>
      <c r="F359">
        <v>128</v>
      </c>
    </row>
    <row r="360" spans="1:6" x14ac:dyDescent="0.35">
      <c r="A360" t="s">
        <v>228</v>
      </c>
      <c r="B360" t="s">
        <v>265</v>
      </c>
      <c r="C360" s="26">
        <v>0.87860000000000005</v>
      </c>
      <c r="D360" s="26">
        <v>0.1158</v>
      </c>
      <c r="E360" s="26">
        <v>5.5999999999999999E-3</v>
      </c>
      <c r="F360">
        <v>182</v>
      </c>
    </row>
    <row r="361" spans="1:6" x14ac:dyDescent="0.35">
      <c r="A361" t="s">
        <v>229</v>
      </c>
      <c r="B361" t="s">
        <v>267</v>
      </c>
      <c r="C361" s="26">
        <v>0.95320000000000005</v>
      </c>
      <c r="D361" s="26">
        <v>4.6800000000000001E-2</v>
      </c>
      <c r="F361">
        <v>56</v>
      </c>
    </row>
    <row r="362" spans="1:6" x14ac:dyDescent="0.35">
      <c r="A362" t="s">
        <v>229</v>
      </c>
      <c r="B362" t="s">
        <v>266</v>
      </c>
      <c r="C362" s="26">
        <v>0.94679999999999997</v>
      </c>
      <c r="D362" s="26">
        <v>5.3199999999999997E-2</v>
      </c>
      <c r="F362">
        <v>112</v>
      </c>
    </row>
    <row r="363" spans="1:6" x14ac:dyDescent="0.35">
      <c r="A363" t="s">
        <v>229</v>
      </c>
      <c r="B363" t="s">
        <v>265</v>
      </c>
      <c r="C363" s="26">
        <v>0.96599999999999997</v>
      </c>
      <c r="D363" s="26">
        <v>3.4000000000000002E-2</v>
      </c>
      <c r="F363">
        <v>184</v>
      </c>
    </row>
    <row r="364" spans="1:6" x14ac:dyDescent="0.35">
      <c r="A364" t="s">
        <v>230</v>
      </c>
      <c r="B364" t="s">
        <v>267</v>
      </c>
      <c r="C364" s="26">
        <v>0.89839999999999998</v>
      </c>
      <c r="D364" s="26">
        <v>0.1016</v>
      </c>
      <c r="F364">
        <v>34</v>
      </c>
    </row>
    <row r="365" spans="1:6" x14ac:dyDescent="0.35">
      <c r="A365" t="s">
        <v>230</v>
      </c>
      <c r="B365" t="s">
        <v>266</v>
      </c>
      <c r="C365" s="26">
        <v>0.96779999999999999</v>
      </c>
      <c r="D365" s="26">
        <v>3.2199999999999999E-2</v>
      </c>
      <c r="F365">
        <v>70</v>
      </c>
    </row>
    <row r="366" spans="1:6" x14ac:dyDescent="0.35">
      <c r="A366" t="s">
        <v>230</v>
      </c>
      <c r="B366" t="s">
        <v>265</v>
      </c>
      <c r="C366" s="26">
        <v>0.90259999999999996</v>
      </c>
      <c r="D366" s="26">
        <v>9.74E-2</v>
      </c>
      <c r="F366">
        <v>115</v>
      </c>
    </row>
    <row r="367" spans="1:6" x14ac:dyDescent="0.35">
      <c r="A367" s="27" t="s">
        <v>231</v>
      </c>
      <c r="B367" s="27" t="s">
        <v>267</v>
      </c>
      <c r="C367" s="28">
        <v>0.88890000000000002</v>
      </c>
      <c r="D367" s="28">
        <v>0.1111</v>
      </c>
      <c r="E367" s="29"/>
      <c r="F367" s="29" t="s">
        <v>334</v>
      </c>
    </row>
    <row r="368" spans="1:6" x14ac:dyDescent="0.35">
      <c r="A368" s="27" t="s">
        <v>231</v>
      </c>
      <c r="B368" s="27" t="s">
        <v>266</v>
      </c>
      <c r="C368" s="28">
        <v>0.93330000000000002</v>
      </c>
      <c r="D368" s="28">
        <v>6.6699999999999995E-2</v>
      </c>
      <c r="E368" s="29"/>
      <c r="F368" s="29" t="s">
        <v>346</v>
      </c>
    </row>
    <row r="369" spans="1:6" x14ac:dyDescent="0.35">
      <c r="A369" t="s">
        <v>231</v>
      </c>
      <c r="B369" t="s">
        <v>265</v>
      </c>
      <c r="C369" s="26">
        <v>0.81579999999999997</v>
      </c>
      <c r="D369" s="26">
        <v>0.1842</v>
      </c>
      <c r="F369">
        <v>38</v>
      </c>
    </row>
    <row r="370" spans="1:6" x14ac:dyDescent="0.35">
      <c r="A370" t="s">
        <v>232</v>
      </c>
      <c r="B370" t="s">
        <v>232</v>
      </c>
      <c r="C370" s="26">
        <v>0.91400000000000003</v>
      </c>
      <c r="D370" s="26">
        <v>8.5500000000000007E-2</v>
      </c>
      <c r="E370" s="26">
        <v>5.9999999999999995E-4</v>
      </c>
      <c r="F370">
        <v>1059</v>
      </c>
    </row>
    <row r="372" spans="1:6" x14ac:dyDescent="0.35">
      <c r="A372" s="1" t="s">
        <v>365</v>
      </c>
    </row>
    <row r="373" spans="1:6" x14ac:dyDescent="0.35">
      <c r="A373" t="s">
        <v>219</v>
      </c>
      <c r="B373" t="s">
        <v>305</v>
      </c>
      <c r="C373" t="s">
        <v>303</v>
      </c>
      <c r="D373" t="s">
        <v>302</v>
      </c>
      <c r="E373" t="s">
        <v>281</v>
      </c>
      <c r="F373" t="s">
        <v>226</v>
      </c>
    </row>
    <row r="374" spans="1:6" x14ac:dyDescent="0.35">
      <c r="A374" s="27" t="s">
        <v>227</v>
      </c>
      <c r="B374" s="27" t="s">
        <v>252</v>
      </c>
      <c r="C374" s="28">
        <v>1</v>
      </c>
      <c r="D374" s="29"/>
      <c r="E374" s="29"/>
      <c r="F374" s="29" t="s">
        <v>331</v>
      </c>
    </row>
    <row r="375" spans="1:6" x14ac:dyDescent="0.35">
      <c r="A375" s="27" t="s">
        <v>227</v>
      </c>
      <c r="B375" s="27" t="s">
        <v>253</v>
      </c>
      <c r="C375" s="28">
        <v>1</v>
      </c>
      <c r="D375" s="29"/>
      <c r="E375" s="29"/>
      <c r="F375" s="29" t="s">
        <v>346</v>
      </c>
    </row>
    <row r="376" spans="1:6" x14ac:dyDescent="0.35">
      <c r="A376" t="s">
        <v>227</v>
      </c>
      <c r="B376" t="s">
        <v>251</v>
      </c>
      <c r="C376" s="26">
        <v>0.94</v>
      </c>
      <c r="D376" s="26">
        <v>0.06</v>
      </c>
      <c r="F376">
        <v>50</v>
      </c>
    </row>
    <row r="377" spans="1:6" x14ac:dyDescent="0.35">
      <c r="A377" s="27" t="s">
        <v>228</v>
      </c>
      <c r="B377" s="27" t="s">
        <v>252</v>
      </c>
      <c r="C377" s="28">
        <v>1</v>
      </c>
      <c r="D377" s="29"/>
      <c r="E377" s="29"/>
      <c r="F377" s="29" t="s">
        <v>331</v>
      </c>
    </row>
    <row r="378" spans="1:6" x14ac:dyDescent="0.35">
      <c r="A378" t="s">
        <v>228</v>
      </c>
      <c r="B378" t="s">
        <v>253</v>
      </c>
      <c r="C378" s="26">
        <v>0.85750000000000004</v>
      </c>
      <c r="D378" s="26">
        <v>0.13139999999999999</v>
      </c>
      <c r="E378" s="26">
        <v>1.11E-2</v>
      </c>
      <c r="F378">
        <v>107</v>
      </c>
    </row>
    <row r="379" spans="1:6" x14ac:dyDescent="0.35">
      <c r="A379" t="s">
        <v>228</v>
      </c>
      <c r="B379" t="s">
        <v>251</v>
      </c>
      <c r="C379" s="26">
        <v>0.8952</v>
      </c>
      <c r="D379" s="26">
        <v>0.1048</v>
      </c>
      <c r="F379">
        <v>252</v>
      </c>
    </row>
    <row r="380" spans="1:6" x14ac:dyDescent="0.35">
      <c r="A380" s="27" t="s">
        <v>229</v>
      </c>
      <c r="B380" s="27" t="s">
        <v>252</v>
      </c>
      <c r="C380" s="28">
        <v>0.66669999999999996</v>
      </c>
      <c r="D380" s="28">
        <v>0.33329999999999999</v>
      </c>
      <c r="E380" s="29"/>
      <c r="F380" s="29" t="s">
        <v>315</v>
      </c>
    </row>
    <row r="381" spans="1:6" x14ac:dyDescent="0.35">
      <c r="A381" t="s">
        <v>229</v>
      </c>
      <c r="B381" t="s">
        <v>253</v>
      </c>
      <c r="C381" s="26">
        <v>0.93300000000000005</v>
      </c>
      <c r="D381" s="26">
        <v>6.7000000000000004E-2</v>
      </c>
      <c r="F381">
        <v>63</v>
      </c>
    </row>
    <row r="382" spans="1:6" x14ac:dyDescent="0.35">
      <c r="A382" t="s">
        <v>229</v>
      </c>
      <c r="B382" t="s">
        <v>251</v>
      </c>
      <c r="C382" s="26">
        <v>0.96550000000000002</v>
      </c>
      <c r="D382" s="26">
        <v>3.4500000000000003E-2</v>
      </c>
      <c r="F382">
        <v>286</v>
      </c>
    </row>
    <row r="383" spans="1:6" x14ac:dyDescent="0.35">
      <c r="A383" t="s">
        <v>230</v>
      </c>
      <c r="B383" t="s">
        <v>253</v>
      </c>
      <c r="C383" s="26">
        <v>0.98719999999999997</v>
      </c>
      <c r="D383" s="26">
        <v>1.2800000000000001E-2</v>
      </c>
      <c r="F383">
        <v>34</v>
      </c>
    </row>
    <row r="384" spans="1:6" x14ac:dyDescent="0.35">
      <c r="A384" t="s">
        <v>230</v>
      </c>
      <c r="B384" t="s">
        <v>251</v>
      </c>
      <c r="C384" s="26">
        <v>0.9052</v>
      </c>
      <c r="D384" s="26">
        <v>9.4799999999999995E-2</v>
      </c>
      <c r="F384">
        <v>185</v>
      </c>
    </row>
    <row r="385" spans="1:6" x14ac:dyDescent="0.35">
      <c r="A385" s="27" t="s">
        <v>231</v>
      </c>
      <c r="B385" s="27" t="s">
        <v>252</v>
      </c>
      <c r="C385" s="28">
        <v>1</v>
      </c>
      <c r="D385" s="29"/>
      <c r="E385" s="29"/>
      <c r="F385" s="29" t="s">
        <v>315</v>
      </c>
    </row>
    <row r="386" spans="1:6" x14ac:dyDescent="0.35">
      <c r="A386" s="27" t="s">
        <v>231</v>
      </c>
      <c r="B386" s="27" t="s">
        <v>253</v>
      </c>
      <c r="C386" s="28">
        <v>1</v>
      </c>
      <c r="D386" s="29"/>
      <c r="E386" s="29"/>
      <c r="F386" s="29" t="s">
        <v>339</v>
      </c>
    </row>
    <row r="387" spans="1:6" x14ac:dyDescent="0.35">
      <c r="A387" t="s">
        <v>231</v>
      </c>
      <c r="B387" t="s">
        <v>251</v>
      </c>
      <c r="C387" s="26">
        <v>0.82689999999999997</v>
      </c>
      <c r="D387" s="26">
        <v>0.1731</v>
      </c>
      <c r="F387">
        <v>52</v>
      </c>
    </row>
    <row r="388" spans="1:6" x14ac:dyDescent="0.35">
      <c r="A388" t="s">
        <v>232</v>
      </c>
      <c r="B388" t="s">
        <v>232</v>
      </c>
      <c r="C388" s="26">
        <v>0.91400000000000003</v>
      </c>
      <c r="D388" s="26">
        <v>8.5500000000000007E-2</v>
      </c>
      <c r="E388" s="26">
        <v>5.9999999999999995E-4</v>
      </c>
      <c r="F388">
        <v>1059</v>
      </c>
    </row>
    <row r="390" spans="1:6" x14ac:dyDescent="0.35">
      <c r="A390" s="1" t="s">
        <v>366</v>
      </c>
    </row>
    <row r="391" spans="1:6" x14ac:dyDescent="0.35">
      <c r="A391" t="s">
        <v>219</v>
      </c>
      <c r="B391" t="s">
        <v>305</v>
      </c>
      <c r="C391" t="s">
        <v>303</v>
      </c>
      <c r="D391" t="s">
        <v>302</v>
      </c>
      <c r="E391" t="s">
        <v>281</v>
      </c>
      <c r="F391" t="s">
        <v>226</v>
      </c>
    </row>
    <row r="392" spans="1:6" x14ac:dyDescent="0.35">
      <c r="A392" t="s">
        <v>227</v>
      </c>
      <c r="B392" t="s">
        <v>260</v>
      </c>
      <c r="C392" s="26">
        <v>0.94550000000000001</v>
      </c>
      <c r="D392" s="26">
        <v>5.45E-2</v>
      </c>
      <c r="F392">
        <v>55</v>
      </c>
    </row>
    <row r="393" spans="1:6" x14ac:dyDescent="0.35">
      <c r="A393" s="27" t="s">
        <v>227</v>
      </c>
      <c r="B393" s="27" t="s">
        <v>261</v>
      </c>
      <c r="C393" s="28">
        <v>1</v>
      </c>
      <c r="D393" s="29"/>
      <c r="E393" s="29"/>
      <c r="F393" s="29" t="s">
        <v>335</v>
      </c>
    </row>
    <row r="394" spans="1:6" x14ac:dyDescent="0.35">
      <c r="A394" s="27" t="s">
        <v>227</v>
      </c>
      <c r="B394" s="27" t="s">
        <v>262</v>
      </c>
      <c r="C394" s="28">
        <v>1</v>
      </c>
      <c r="D394" s="29"/>
      <c r="E394" s="29"/>
      <c r="F394" s="29" t="s">
        <v>332</v>
      </c>
    </row>
    <row r="395" spans="1:6" x14ac:dyDescent="0.35">
      <c r="A395" t="s">
        <v>228</v>
      </c>
      <c r="B395" t="s">
        <v>262</v>
      </c>
      <c r="C395" s="26">
        <v>0.95569999999999999</v>
      </c>
      <c r="D395" s="26">
        <v>4.4299999999999999E-2</v>
      </c>
      <c r="F395">
        <v>101</v>
      </c>
    </row>
    <row r="396" spans="1:6" x14ac:dyDescent="0.35">
      <c r="A396" t="s">
        <v>228</v>
      </c>
      <c r="B396" t="s">
        <v>260</v>
      </c>
      <c r="C396" s="26">
        <v>0.89200000000000002</v>
      </c>
      <c r="D396" s="26">
        <v>0.10150000000000001</v>
      </c>
      <c r="E396" s="26">
        <v>6.4999999999999997E-3</v>
      </c>
      <c r="F396">
        <v>159</v>
      </c>
    </row>
    <row r="397" spans="1:6" x14ac:dyDescent="0.35">
      <c r="A397" s="27" t="s">
        <v>228</v>
      </c>
      <c r="B397" s="27" t="s">
        <v>236</v>
      </c>
      <c r="C397" s="28">
        <v>1</v>
      </c>
      <c r="D397" s="29"/>
      <c r="E397" s="29"/>
      <c r="F397" s="29" t="s">
        <v>314</v>
      </c>
    </row>
    <row r="398" spans="1:6" x14ac:dyDescent="0.35">
      <c r="A398" s="27" t="s">
        <v>228</v>
      </c>
      <c r="B398" s="27" t="s">
        <v>263</v>
      </c>
      <c r="C398" s="28">
        <v>0.94350000000000001</v>
      </c>
      <c r="D398" s="28">
        <v>5.6500000000000002E-2</v>
      </c>
      <c r="E398" s="29"/>
      <c r="F398" s="29" t="s">
        <v>333</v>
      </c>
    </row>
    <row r="399" spans="1:6" x14ac:dyDescent="0.35">
      <c r="A399" t="s">
        <v>228</v>
      </c>
      <c r="B399" t="s">
        <v>261</v>
      </c>
      <c r="C399" s="26">
        <v>0.80169999999999997</v>
      </c>
      <c r="D399" s="26">
        <v>0.1983</v>
      </c>
      <c r="F399">
        <v>90</v>
      </c>
    </row>
    <row r="400" spans="1:6" x14ac:dyDescent="0.35">
      <c r="A400" s="27" t="s">
        <v>229</v>
      </c>
      <c r="B400" s="27" t="s">
        <v>263</v>
      </c>
      <c r="C400" s="28">
        <v>1</v>
      </c>
      <c r="D400" s="29"/>
      <c r="E400" s="29"/>
      <c r="F400" s="29" t="s">
        <v>333</v>
      </c>
    </row>
    <row r="401" spans="1:6" x14ac:dyDescent="0.35">
      <c r="A401" t="s">
        <v>229</v>
      </c>
      <c r="B401" t="s">
        <v>261</v>
      </c>
      <c r="C401" s="26">
        <v>0.98509999999999998</v>
      </c>
      <c r="D401" s="26">
        <v>1.49E-2</v>
      </c>
      <c r="F401">
        <v>45</v>
      </c>
    </row>
    <row r="402" spans="1:6" x14ac:dyDescent="0.35">
      <c r="A402" t="s">
        <v>229</v>
      </c>
      <c r="B402" t="s">
        <v>262</v>
      </c>
      <c r="C402" s="26">
        <v>0.9304</v>
      </c>
      <c r="D402" s="26">
        <v>6.9599999999999995E-2</v>
      </c>
      <c r="F402">
        <v>110</v>
      </c>
    </row>
    <row r="403" spans="1:6" x14ac:dyDescent="0.35">
      <c r="A403" t="s">
        <v>229</v>
      </c>
      <c r="B403" t="s">
        <v>260</v>
      </c>
      <c r="C403" s="26">
        <v>0.97370000000000001</v>
      </c>
      <c r="D403" s="26">
        <v>2.63E-2</v>
      </c>
      <c r="F403">
        <v>189</v>
      </c>
    </row>
    <row r="404" spans="1:6" x14ac:dyDescent="0.35">
      <c r="A404" s="27" t="s">
        <v>230</v>
      </c>
      <c r="B404" s="27" t="s">
        <v>263</v>
      </c>
      <c r="C404" s="28">
        <v>1</v>
      </c>
      <c r="D404" s="29"/>
      <c r="E404" s="29"/>
      <c r="F404" s="29" t="s">
        <v>339</v>
      </c>
    </row>
    <row r="405" spans="1:6" x14ac:dyDescent="0.35">
      <c r="A405" t="s">
        <v>230</v>
      </c>
      <c r="B405" t="s">
        <v>261</v>
      </c>
      <c r="C405" s="26">
        <v>0.98399999999999999</v>
      </c>
      <c r="D405" s="26">
        <v>1.6E-2</v>
      </c>
      <c r="F405">
        <v>31</v>
      </c>
    </row>
    <row r="406" spans="1:6" x14ac:dyDescent="0.35">
      <c r="A406" s="27" t="s">
        <v>230</v>
      </c>
      <c r="B406" s="27" t="s">
        <v>236</v>
      </c>
      <c r="C406" s="28">
        <v>1</v>
      </c>
      <c r="D406" s="29"/>
      <c r="E406" s="29"/>
      <c r="F406" s="29" t="s">
        <v>314</v>
      </c>
    </row>
    <row r="407" spans="1:6" x14ac:dyDescent="0.35">
      <c r="A407" t="s">
        <v>230</v>
      </c>
      <c r="B407" t="s">
        <v>262</v>
      </c>
      <c r="C407" s="26">
        <v>0.84099999999999997</v>
      </c>
      <c r="D407" s="26">
        <v>0.159</v>
      </c>
      <c r="F407">
        <v>62</v>
      </c>
    </row>
    <row r="408" spans="1:6" x14ac:dyDescent="0.35">
      <c r="A408" t="s">
        <v>230</v>
      </c>
      <c r="B408" t="s">
        <v>260</v>
      </c>
      <c r="C408" s="26">
        <v>0.92369999999999997</v>
      </c>
      <c r="D408" s="26">
        <v>7.6300000000000007E-2</v>
      </c>
      <c r="F408">
        <v>117</v>
      </c>
    </row>
    <row r="409" spans="1:6" x14ac:dyDescent="0.35">
      <c r="A409" s="27" t="s">
        <v>231</v>
      </c>
      <c r="B409" s="27" t="s">
        <v>263</v>
      </c>
      <c r="C409" s="28">
        <v>1</v>
      </c>
      <c r="D409" s="29"/>
      <c r="E409" s="29"/>
      <c r="F409" s="29" t="s">
        <v>314</v>
      </c>
    </row>
    <row r="410" spans="1:6" x14ac:dyDescent="0.35">
      <c r="A410" t="s">
        <v>231</v>
      </c>
      <c r="B410" t="s">
        <v>260</v>
      </c>
      <c r="C410" s="26">
        <v>0.8367</v>
      </c>
      <c r="D410" s="26">
        <v>0.1633</v>
      </c>
      <c r="F410">
        <v>49</v>
      </c>
    </row>
    <row r="411" spans="1:6" x14ac:dyDescent="0.35">
      <c r="A411" s="27" t="s">
        <v>231</v>
      </c>
      <c r="B411" s="27" t="s">
        <v>261</v>
      </c>
      <c r="C411" s="28">
        <v>1</v>
      </c>
      <c r="D411" s="29"/>
      <c r="E411" s="29"/>
      <c r="F411" s="29" t="s">
        <v>335</v>
      </c>
    </row>
    <row r="412" spans="1:6" x14ac:dyDescent="0.35">
      <c r="A412" s="27" t="s">
        <v>231</v>
      </c>
      <c r="B412" s="27" t="s">
        <v>262</v>
      </c>
      <c r="C412" s="28">
        <v>0.8</v>
      </c>
      <c r="D412" s="28">
        <v>0.2</v>
      </c>
      <c r="E412" s="29"/>
      <c r="F412" s="29" t="s">
        <v>332</v>
      </c>
    </row>
    <row r="413" spans="1:6" x14ac:dyDescent="0.35">
      <c r="A413" t="s">
        <v>232</v>
      </c>
      <c r="B413" t="s">
        <v>232</v>
      </c>
      <c r="C413" s="26">
        <v>0.91400000000000003</v>
      </c>
      <c r="D413" s="26">
        <v>8.5500000000000007E-2</v>
      </c>
      <c r="E413" s="26">
        <v>5.9999999999999995E-4</v>
      </c>
      <c r="F413">
        <v>1059</v>
      </c>
    </row>
    <row r="415" spans="1:6" x14ac:dyDescent="0.35">
      <c r="A415" s="1" t="s">
        <v>367</v>
      </c>
    </row>
    <row r="416" spans="1:6" x14ac:dyDescent="0.35">
      <c r="A416" t="s">
        <v>219</v>
      </c>
      <c r="B416" t="s">
        <v>305</v>
      </c>
      <c r="C416" t="s">
        <v>303</v>
      </c>
      <c r="D416" t="s">
        <v>302</v>
      </c>
      <c r="E416" t="s">
        <v>281</v>
      </c>
      <c r="F416" t="s">
        <v>226</v>
      </c>
    </row>
    <row r="417" spans="1:6" x14ac:dyDescent="0.35">
      <c r="A417" s="27" t="s">
        <v>227</v>
      </c>
      <c r="B417" s="27" t="s">
        <v>368</v>
      </c>
      <c r="C417" s="28">
        <v>1</v>
      </c>
      <c r="D417" s="29"/>
      <c r="E417" s="29"/>
      <c r="F417" s="29" t="s">
        <v>335</v>
      </c>
    </row>
    <row r="418" spans="1:6" x14ac:dyDescent="0.35">
      <c r="A418" t="s">
        <v>227</v>
      </c>
      <c r="B418" t="s">
        <v>369</v>
      </c>
      <c r="C418" s="26">
        <v>0.95</v>
      </c>
      <c r="D418" s="26">
        <v>0.05</v>
      </c>
      <c r="F418">
        <v>60</v>
      </c>
    </row>
    <row r="419" spans="1:6" x14ac:dyDescent="0.35">
      <c r="A419" t="s">
        <v>228</v>
      </c>
      <c r="B419" t="s">
        <v>368</v>
      </c>
      <c r="C419" s="26">
        <v>0.80169999999999997</v>
      </c>
      <c r="D419" s="26">
        <v>0.1983</v>
      </c>
      <c r="F419">
        <v>90</v>
      </c>
    </row>
    <row r="420" spans="1:6" x14ac:dyDescent="0.35">
      <c r="A420" t="s">
        <v>228</v>
      </c>
      <c r="B420" t="s">
        <v>369</v>
      </c>
      <c r="C420" s="26">
        <v>0.9153</v>
      </c>
      <c r="D420" s="26">
        <v>8.0600000000000005E-2</v>
      </c>
      <c r="E420" s="26">
        <v>4.1000000000000003E-3</v>
      </c>
      <c r="F420">
        <v>270</v>
      </c>
    </row>
    <row r="421" spans="1:6" x14ac:dyDescent="0.35">
      <c r="A421" t="s">
        <v>229</v>
      </c>
      <c r="B421" t="s">
        <v>368</v>
      </c>
      <c r="C421" s="26">
        <v>0.98509999999999998</v>
      </c>
      <c r="D421" s="26">
        <v>1.49E-2</v>
      </c>
      <c r="F421">
        <v>45</v>
      </c>
    </row>
    <row r="422" spans="1:6" x14ac:dyDescent="0.35">
      <c r="A422" t="s">
        <v>229</v>
      </c>
      <c r="B422" t="s">
        <v>369</v>
      </c>
      <c r="C422" s="26">
        <v>0.95379999999999998</v>
      </c>
      <c r="D422" s="26">
        <v>4.6199999999999998E-2</v>
      </c>
      <c r="F422">
        <v>307</v>
      </c>
    </row>
    <row r="423" spans="1:6" x14ac:dyDescent="0.35">
      <c r="A423" t="s">
        <v>230</v>
      </c>
      <c r="B423" t="s">
        <v>368</v>
      </c>
      <c r="C423" s="26">
        <v>0.98399999999999999</v>
      </c>
      <c r="D423" s="26">
        <v>1.6E-2</v>
      </c>
      <c r="F423">
        <v>31</v>
      </c>
    </row>
    <row r="424" spans="1:6" x14ac:dyDescent="0.35">
      <c r="A424" t="s">
        <v>230</v>
      </c>
      <c r="B424" t="s">
        <v>369</v>
      </c>
      <c r="C424" s="26">
        <v>0.90869999999999995</v>
      </c>
      <c r="D424" s="26">
        <v>9.1300000000000006E-2</v>
      </c>
      <c r="F424">
        <v>188</v>
      </c>
    </row>
    <row r="425" spans="1:6" x14ac:dyDescent="0.35">
      <c r="A425" s="27" t="s">
        <v>231</v>
      </c>
      <c r="B425" s="27" t="s">
        <v>368</v>
      </c>
      <c r="C425" s="28">
        <v>1</v>
      </c>
      <c r="D425" s="29"/>
      <c r="E425" s="29"/>
      <c r="F425" s="29" t="s">
        <v>335</v>
      </c>
    </row>
    <row r="426" spans="1:6" x14ac:dyDescent="0.35">
      <c r="A426" t="s">
        <v>231</v>
      </c>
      <c r="B426" t="s">
        <v>369</v>
      </c>
      <c r="C426" s="26">
        <v>0.83930000000000005</v>
      </c>
      <c r="D426" s="26">
        <v>0.16070000000000001</v>
      </c>
      <c r="F426">
        <v>56</v>
      </c>
    </row>
    <row r="427" spans="1:6" x14ac:dyDescent="0.35">
      <c r="A427" t="s">
        <v>232</v>
      </c>
      <c r="B427" t="s">
        <v>232</v>
      </c>
      <c r="C427" s="26">
        <v>0.91400000000000003</v>
      </c>
      <c r="D427" s="26">
        <v>8.5500000000000007E-2</v>
      </c>
      <c r="E427" s="26">
        <v>5.9999999999999995E-4</v>
      </c>
      <c r="F427">
        <v>1059</v>
      </c>
    </row>
    <row r="429" spans="1:6" x14ac:dyDescent="0.35">
      <c r="A429" s="1" t="s">
        <v>370</v>
      </c>
    </row>
    <row r="430" spans="1:6" x14ac:dyDescent="0.35">
      <c r="A430" t="s">
        <v>219</v>
      </c>
      <c r="B430" t="s">
        <v>305</v>
      </c>
      <c r="C430" t="s">
        <v>303</v>
      </c>
      <c r="D430" t="s">
        <v>302</v>
      </c>
      <c r="E430" t="s">
        <v>281</v>
      </c>
      <c r="F430" t="s">
        <v>226</v>
      </c>
    </row>
    <row r="431" spans="1:6" x14ac:dyDescent="0.35">
      <c r="A431" t="s">
        <v>227</v>
      </c>
      <c r="B431" t="s">
        <v>371</v>
      </c>
      <c r="C431" s="26">
        <v>0.95450000000000002</v>
      </c>
      <c r="D431" s="26">
        <v>4.5499999999999999E-2</v>
      </c>
      <c r="F431">
        <v>66</v>
      </c>
    </row>
    <row r="432" spans="1:6" x14ac:dyDescent="0.35">
      <c r="A432" t="s">
        <v>228</v>
      </c>
      <c r="B432" t="s">
        <v>371</v>
      </c>
      <c r="C432" s="26">
        <v>0.88480000000000003</v>
      </c>
      <c r="D432" s="26">
        <v>0.1152</v>
      </c>
      <c r="F432">
        <v>129</v>
      </c>
    </row>
    <row r="433" spans="1:6" x14ac:dyDescent="0.35">
      <c r="A433" t="s">
        <v>228</v>
      </c>
      <c r="B433" t="s">
        <v>372</v>
      </c>
      <c r="C433" s="26">
        <v>0.9224</v>
      </c>
      <c r="D433" s="26">
        <v>7.7600000000000002E-2</v>
      </c>
      <c r="F433">
        <v>56</v>
      </c>
    </row>
    <row r="434" spans="1:6" x14ac:dyDescent="0.35">
      <c r="A434" t="s">
        <v>228</v>
      </c>
      <c r="B434" t="s">
        <v>373</v>
      </c>
      <c r="C434" s="26">
        <v>0.88070000000000004</v>
      </c>
      <c r="D434" s="26">
        <v>0.1099</v>
      </c>
      <c r="E434" s="26">
        <v>9.2999999999999992E-3</v>
      </c>
      <c r="F434">
        <v>175</v>
      </c>
    </row>
    <row r="435" spans="1:6" x14ac:dyDescent="0.35">
      <c r="A435" t="s">
        <v>229</v>
      </c>
      <c r="B435" t="s">
        <v>371</v>
      </c>
      <c r="C435" s="26">
        <v>0.96020000000000005</v>
      </c>
      <c r="D435" s="26">
        <v>3.9800000000000002E-2</v>
      </c>
      <c r="F435">
        <v>240</v>
      </c>
    </row>
    <row r="436" spans="1:6" x14ac:dyDescent="0.35">
      <c r="A436" t="s">
        <v>229</v>
      </c>
      <c r="B436" t="s">
        <v>372</v>
      </c>
      <c r="C436" s="26">
        <v>0.94069999999999998</v>
      </c>
      <c r="D436" s="26">
        <v>5.9299999999999999E-2</v>
      </c>
      <c r="F436">
        <v>81</v>
      </c>
    </row>
    <row r="437" spans="1:6" x14ac:dyDescent="0.35">
      <c r="A437" t="s">
        <v>229</v>
      </c>
      <c r="B437" t="s">
        <v>373</v>
      </c>
      <c r="C437" s="26">
        <v>0.91869999999999996</v>
      </c>
      <c r="D437" s="26">
        <v>8.1299999999999997E-2</v>
      </c>
      <c r="F437">
        <v>31</v>
      </c>
    </row>
    <row r="438" spans="1:6" x14ac:dyDescent="0.35">
      <c r="A438" t="s">
        <v>230</v>
      </c>
      <c r="B438" t="s">
        <v>371</v>
      </c>
      <c r="C438" s="26">
        <v>0.91290000000000004</v>
      </c>
      <c r="D438" s="26">
        <v>8.7099999999999997E-2</v>
      </c>
      <c r="F438">
        <v>125</v>
      </c>
    </row>
    <row r="439" spans="1:6" x14ac:dyDescent="0.35">
      <c r="A439" t="s">
        <v>230</v>
      </c>
      <c r="B439" t="s">
        <v>372</v>
      </c>
      <c r="C439" s="26">
        <v>0.98370000000000002</v>
      </c>
      <c r="D439" s="26">
        <v>1.6299999999999999E-2</v>
      </c>
      <c r="F439">
        <v>41</v>
      </c>
    </row>
    <row r="440" spans="1:6" x14ac:dyDescent="0.35">
      <c r="A440" t="s">
        <v>230</v>
      </c>
      <c r="B440" t="s">
        <v>373</v>
      </c>
      <c r="C440" s="26">
        <v>0.94030000000000002</v>
      </c>
      <c r="D440" s="26">
        <v>5.9700000000000003E-2</v>
      </c>
      <c r="F440">
        <v>53</v>
      </c>
    </row>
    <row r="441" spans="1:6" x14ac:dyDescent="0.35">
      <c r="A441" t="s">
        <v>231</v>
      </c>
      <c r="B441" t="s">
        <v>371</v>
      </c>
      <c r="C441" s="26">
        <v>0.8548</v>
      </c>
      <c r="D441" s="26">
        <v>0.1452</v>
      </c>
      <c r="F441">
        <v>62</v>
      </c>
    </row>
    <row r="442" spans="1:6" x14ac:dyDescent="0.35">
      <c r="A442" t="s">
        <v>232</v>
      </c>
      <c r="B442" t="s">
        <v>232</v>
      </c>
      <c r="C442" s="26">
        <v>0.91400000000000003</v>
      </c>
      <c r="D442" s="26">
        <v>8.5500000000000007E-2</v>
      </c>
      <c r="E442" s="26">
        <v>5.9999999999999995E-4</v>
      </c>
      <c r="F442">
        <v>1059</v>
      </c>
    </row>
    <row r="444" spans="1:6" x14ac:dyDescent="0.35">
      <c r="A444" s="1" t="s">
        <v>374</v>
      </c>
    </row>
    <row r="445" spans="1:6" x14ac:dyDescent="0.35">
      <c r="A445" t="s">
        <v>219</v>
      </c>
      <c r="B445" t="s">
        <v>305</v>
      </c>
      <c r="C445" t="s">
        <v>303</v>
      </c>
      <c r="D445" t="s">
        <v>302</v>
      </c>
      <c r="E445" t="s">
        <v>281</v>
      </c>
      <c r="F445" t="s">
        <v>226</v>
      </c>
    </row>
    <row r="446" spans="1:6" x14ac:dyDescent="0.35">
      <c r="A446" s="27" t="s">
        <v>227</v>
      </c>
      <c r="B446" s="27" t="s">
        <v>375</v>
      </c>
      <c r="C446" s="28">
        <v>1</v>
      </c>
      <c r="D446" s="29"/>
      <c r="E446" s="29"/>
      <c r="F446" s="29" t="s">
        <v>353</v>
      </c>
    </row>
    <row r="447" spans="1:6" x14ac:dyDescent="0.35">
      <c r="A447" s="27" t="s">
        <v>227</v>
      </c>
      <c r="B447" s="27" t="s">
        <v>376</v>
      </c>
      <c r="C447" s="28">
        <v>1</v>
      </c>
      <c r="D447" s="29"/>
      <c r="E447" s="29"/>
      <c r="F447" s="29" t="s">
        <v>351</v>
      </c>
    </row>
    <row r="448" spans="1:6" x14ac:dyDescent="0.35">
      <c r="A448" s="27" t="s">
        <v>227</v>
      </c>
      <c r="B448" s="27" t="s">
        <v>377</v>
      </c>
      <c r="C448" s="28">
        <v>1</v>
      </c>
      <c r="D448" s="29"/>
      <c r="E448" s="29"/>
      <c r="F448" s="29" t="s">
        <v>349</v>
      </c>
    </row>
    <row r="449" spans="1:6" x14ac:dyDescent="0.35">
      <c r="A449" s="27" t="s">
        <v>227</v>
      </c>
      <c r="B449" s="27" t="s">
        <v>378</v>
      </c>
      <c r="C449" s="28">
        <v>0.625</v>
      </c>
      <c r="D449" s="28">
        <v>0.375</v>
      </c>
      <c r="E449" s="29"/>
      <c r="F449" s="29" t="s">
        <v>333</v>
      </c>
    </row>
    <row r="450" spans="1:6" x14ac:dyDescent="0.35">
      <c r="A450" t="s">
        <v>228</v>
      </c>
      <c r="B450" t="s">
        <v>378</v>
      </c>
      <c r="C450" s="26">
        <v>0.29799999999999999</v>
      </c>
      <c r="D450" s="26">
        <v>0.70199999999999996</v>
      </c>
      <c r="F450">
        <v>53</v>
      </c>
    </row>
    <row r="451" spans="1:6" x14ac:dyDescent="0.35">
      <c r="A451" t="s">
        <v>228</v>
      </c>
      <c r="B451" t="s">
        <v>377</v>
      </c>
      <c r="C451" s="26">
        <v>0.99590000000000001</v>
      </c>
      <c r="D451" s="26">
        <v>4.1000000000000003E-3</v>
      </c>
      <c r="F451">
        <v>73</v>
      </c>
    </row>
    <row r="452" spans="1:6" x14ac:dyDescent="0.35">
      <c r="A452" t="s">
        <v>228</v>
      </c>
      <c r="B452" t="s">
        <v>376</v>
      </c>
      <c r="C452" s="26">
        <v>0.86460000000000004</v>
      </c>
      <c r="D452" s="26">
        <v>0.13539999999999999</v>
      </c>
      <c r="F452">
        <v>102</v>
      </c>
    </row>
    <row r="453" spans="1:6" x14ac:dyDescent="0.35">
      <c r="A453" t="s">
        <v>228</v>
      </c>
      <c r="B453" t="s">
        <v>375</v>
      </c>
      <c r="C453" s="26">
        <v>0.99229999999999996</v>
      </c>
      <c r="E453" s="26">
        <v>7.7000000000000002E-3</v>
      </c>
      <c r="F453">
        <v>132</v>
      </c>
    </row>
    <row r="454" spans="1:6" x14ac:dyDescent="0.35">
      <c r="A454" t="s">
        <v>229</v>
      </c>
      <c r="B454" t="s">
        <v>375</v>
      </c>
      <c r="C454" s="26">
        <v>1</v>
      </c>
      <c r="F454">
        <v>138</v>
      </c>
    </row>
    <row r="455" spans="1:6" x14ac:dyDescent="0.35">
      <c r="A455" t="s">
        <v>229</v>
      </c>
      <c r="B455" t="s">
        <v>376</v>
      </c>
      <c r="C455" s="26">
        <v>0.99039999999999995</v>
      </c>
      <c r="D455" s="26">
        <v>9.5999999999999992E-3</v>
      </c>
      <c r="F455">
        <v>81</v>
      </c>
    </row>
    <row r="456" spans="1:6" x14ac:dyDescent="0.35">
      <c r="A456" t="s">
        <v>229</v>
      </c>
      <c r="B456" t="s">
        <v>377</v>
      </c>
      <c r="C456" s="26">
        <v>0.96489999999999998</v>
      </c>
      <c r="D456" s="26">
        <v>3.5099999999999999E-2</v>
      </c>
      <c r="F456">
        <v>82</v>
      </c>
    </row>
    <row r="457" spans="1:6" x14ac:dyDescent="0.35">
      <c r="A457" t="s">
        <v>229</v>
      </c>
      <c r="B457" t="s">
        <v>378</v>
      </c>
      <c r="C457" s="26">
        <v>0.80100000000000005</v>
      </c>
      <c r="D457" s="26">
        <v>0.19900000000000001</v>
      </c>
      <c r="F457">
        <v>51</v>
      </c>
    </row>
    <row r="458" spans="1:6" x14ac:dyDescent="0.35">
      <c r="A458" t="s">
        <v>230</v>
      </c>
      <c r="B458" t="s">
        <v>376</v>
      </c>
      <c r="C458" s="26">
        <v>0.99270000000000003</v>
      </c>
      <c r="D458" s="26">
        <v>7.3000000000000001E-3</v>
      </c>
      <c r="F458">
        <v>58</v>
      </c>
    </row>
    <row r="459" spans="1:6" x14ac:dyDescent="0.35">
      <c r="A459" t="s">
        <v>230</v>
      </c>
      <c r="B459" t="s">
        <v>378</v>
      </c>
      <c r="C459" s="26">
        <v>0.54520000000000002</v>
      </c>
      <c r="D459" s="26">
        <v>0.45479999999999998</v>
      </c>
      <c r="F459">
        <v>30</v>
      </c>
    </row>
    <row r="460" spans="1:6" x14ac:dyDescent="0.35">
      <c r="A460" t="s">
        <v>230</v>
      </c>
      <c r="B460" t="s">
        <v>377</v>
      </c>
      <c r="C460" s="26">
        <v>0.92869999999999997</v>
      </c>
      <c r="D460" s="26">
        <v>7.1300000000000002E-2</v>
      </c>
      <c r="F460">
        <v>39</v>
      </c>
    </row>
    <row r="461" spans="1:6" x14ac:dyDescent="0.35">
      <c r="A461" t="s">
        <v>230</v>
      </c>
      <c r="B461" t="s">
        <v>375</v>
      </c>
      <c r="C461" s="26">
        <v>0.96650000000000003</v>
      </c>
      <c r="D461" s="26">
        <v>3.3500000000000002E-2</v>
      </c>
      <c r="F461">
        <v>92</v>
      </c>
    </row>
    <row r="462" spans="1:6" x14ac:dyDescent="0.35">
      <c r="A462" s="27" t="s">
        <v>231</v>
      </c>
      <c r="B462" s="27" t="s">
        <v>376</v>
      </c>
      <c r="C462" s="28">
        <v>1</v>
      </c>
      <c r="D462" s="29"/>
      <c r="E462" s="29"/>
      <c r="F462" s="29" t="s">
        <v>342</v>
      </c>
    </row>
    <row r="463" spans="1:6" x14ac:dyDescent="0.35">
      <c r="A463" s="27" t="s">
        <v>231</v>
      </c>
      <c r="B463" s="27" t="s">
        <v>375</v>
      </c>
      <c r="C463" s="28">
        <v>1</v>
      </c>
      <c r="D463" s="29"/>
      <c r="E463" s="29"/>
      <c r="F463" s="29" t="s">
        <v>351</v>
      </c>
    </row>
    <row r="464" spans="1:6" x14ac:dyDescent="0.35">
      <c r="A464" s="27" t="s">
        <v>231</v>
      </c>
      <c r="B464" s="27" t="s">
        <v>377</v>
      </c>
      <c r="C464" s="28">
        <v>0.73329999999999995</v>
      </c>
      <c r="D464" s="28">
        <v>0.26669999999999999</v>
      </c>
      <c r="E464" s="29"/>
      <c r="F464" s="29" t="s">
        <v>346</v>
      </c>
    </row>
    <row r="465" spans="1:6" x14ac:dyDescent="0.35">
      <c r="A465" s="27" t="s">
        <v>231</v>
      </c>
      <c r="B465" s="27" t="s">
        <v>378</v>
      </c>
      <c r="C465" s="28">
        <v>0.64290000000000003</v>
      </c>
      <c r="D465" s="28">
        <v>0.35709999999999997</v>
      </c>
      <c r="E465" s="29"/>
      <c r="F465" s="29" t="s">
        <v>379</v>
      </c>
    </row>
    <row r="466" spans="1:6" x14ac:dyDescent="0.35">
      <c r="A466" t="s">
        <v>232</v>
      </c>
      <c r="B466" t="s">
        <v>232</v>
      </c>
      <c r="C466" s="26">
        <v>0.91400000000000003</v>
      </c>
      <c r="D466" s="26">
        <v>8.5500000000000007E-2</v>
      </c>
      <c r="E466" s="26">
        <v>5.9999999999999995E-4</v>
      </c>
      <c r="F466">
        <v>1059</v>
      </c>
    </row>
    <row r="468" spans="1:6" x14ac:dyDescent="0.35">
      <c r="A468" s="1" t="s">
        <v>380</v>
      </c>
    </row>
    <row r="469" spans="1:6" x14ac:dyDescent="0.35">
      <c r="A469" t="s">
        <v>219</v>
      </c>
      <c r="B469" t="s">
        <v>305</v>
      </c>
      <c r="C469" t="s">
        <v>303</v>
      </c>
      <c r="D469" t="s">
        <v>302</v>
      </c>
      <c r="E469" t="s">
        <v>281</v>
      </c>
      <c r="F469" t="s">
        <v>226</v>
      </c>
    </row>
    <row r="470" spans="1:6" x14ac:dyDescent="0.35">
      <c r="A470" t="s">
        <v>227</v>
      </c>
      <c r="B470" t="s">
        <v>235</v>
      </c>
      <c r="C470" s="26">
        <v>1</v>
      </c>
      <c r="F470">
        <v>33</v>
      </c>
    </row>
    <row r="471" spans="1:6" x14ac:dyDescent="0.35">
      <c r="A471" t="s">
        <v>227</v>
      </c>
      <c r="B471" t="s">
        <v>234</v>
      </c>
      <c r="C471" s="26">
        <v>0.90910000000000002</v>
      </c>
      <c r="D471" s="26">
        <v>9.0899999999999995E-2</v>
      </c>
      <c r="F471">
        <v>33</v>
      </c>
    </row>
    <row r="472" spans="1:6" x14ac:dyDescent="0.35">
      <c r="A472" t="s">
        <v>228</v>
      </c>
      <c r="B472" t="s">
        <v>235</v>
      </c>
      <c r="C472" s="26">
        <v>0.88219999999999998</v>
      </c>
      <c r="D472" s="26">
        <v>0.1178</v>
      </c>
      <c r="F472">
        <v>184</v>
      </c>
    </row>
    <row r="473" spans="1:6" x14ac:dyDescent="0.35">
      <c r="A473" t="s">
        <v>228</v>
      </c>
      <c r="B473" t="s">
        <v>234</v>
      </c>
      <c r="C473" s="26">
        <v>0.88929999999999998</v>
      </c>
      <c r="D473" s="26">
        <v>0.1047</v>
      </c>
      <c r="E473" s="26">
        <v>6.0000000000000001E-3</v>
      </c>
      <c r="F473">
        <v>176</v>
      </c>
    </row>
    <row r="474" spans="1:6" x14ac:dyDescent="0.35">
      <c r="A474" t="s">
        <v>229</v>
      </c>
      <c r="B474" t="s">
        <v>235</v>
      </c>
      <c r="C474" s="26">
        <v>0.95609999999999995</v>
      </c>
      <c r="D474" s="26">
        <v>4.3900000000000002E-2</v>
      </c>
      <c r="F474">
        <v>164</v>
      </c>
    </row>
    <row r="475" spans="1:6" x14ac:dyDescent="0.35">
      <c r="A475" t="s">
        <v>229</v>
      </c>
      <c r="B475" t="s">
        <v>234</v>
      </c>
      <c r="C475" s="26">
        <v>0.96099999999999997</v>
      </c>
      <c r="D475" s="26">
        <v>3.9E-2</v>
      </c>
      <c r="F475">
        <v>188</v>
      </c>
    </row>
    <row r="476" spans="1:6" x14ac:dyDescent="0.35">
      <c r="A476" t="s">
        <v>230</v>
      </c>
      <c r="B476" t="s">
        <v>235</v>
      </c>
      <c r="C476" s="26">
        <v>0.90029999999999999</v>
      </c>
      <c r="D476" s="26">
        <v>9.9699999999999997E-2</v>
      </c>
      <c r="F476">
        <v>112</v>
      </c>
    </row>
    <row r="477" spans="1:6" x14ac:dyDescent="0.35">
      <c r="A477" s="27" t="s">
        <v>230</v>
      </c>
      <c r="B477" s="27" t="s">
        <v>236</v>
      </c>
      <c r="C477" s="28">
        <v>1</v>
      </c>
      <c r="D477" s="29"/>
      <c r="E477" s="29"/>
      <c r="F477" s="29" t="s">
        <v>331</v>
      </c>
    </row>
    <row r="478" spans="1:6" x14ac:dyDescent="0.35">
      <c r="A478" t="s">
        <v>230</v>
      </c>
      <c r="B478" t="s">
        <v>234</v>
      </c>
      <c r="C478" s="26">
        <v>0.93300000000000005</v>
      </c>
      <c r="D478" s="26">
        <v>6.7000000000000004E-2</v>
      </c>
      <c r="F478">
        <v>106</v>
      </c>
    </row>
    <row r="479" spans="1:6" x14ac:dyDescent="0.35">
      <c r="A479" t="s">
        <v>231</v>
      </c>
      <c r="B479" t="s">
        <v>235</v>
      </c>
      <c r="C479" s="26">
        <v>0.9032</v>
      </c>
      <c r="D479" s="26">
        <v>9.6799999999999997E-2</v>
      </c>
      <c r="F479">
        <v>31</v>
      </c>
    </row>
    <row r="480" spans="1:6" x14ac:dyDescent="0.35">
      <c r="A480" t="s">
        <v>231</v>
      </c>
      <c r="B480" t="s">
        <v>234</v>
      </c>
      <c r="C480" s="26">
        <v>0.80649999999999999</v>
      </c>
      <c r="D480" s="26">
        <v>0.19350000000000001</v>
      </c>
      <c r="F480">
        <v>31</v>
      </c>
    </row>
    <row r="481" spans="1:7" x14ac:dyDescent="0.35">
      <c r="A481" t="s">
        <v>232</v>
      </c>
      <c r="B481" t="s">
        <v>232</v>
      </c>
      <c r="C481" s="26">
        <v>0.91400000000000003</v>
      </c>
      <c r="D481" s="26">
        <v>8.5500000000000007E-2</v>
      </c>
      <c r="E481" s="26">
        <v>5.9999999999999995E-4</v>
      </c>
      <c r="F481">
        <v>1059</v>
      </c>
    </row>
    <row r="483" spans="1:7" x14ac:dyDescent="0.35">
      <c r="A483" s="1" t="s">
        <v>381</v>
      </c>
    </row>
    <row r="484" spans="1:7" x14ac:dyDescent="0.35">
      <c r="A484" t="s">
        <v>219</v>
      </c>
      <c r="B484" t="s">
        <v>305</v>
      </c>
      <c r="C484" t="s">
        <v>345</v>
      </c>
      <c r="D484" t="s">
        <v>303</v>
      </c>
      <c r="E484" t="s">
        <v>302</v>
      </c>
      <c r="F484" t="s">
        <v>281</v>
      </c>
      <c r="G484" t="s">
        <v>226</v>
      </c>
    </row>
    <row r="485" spans="1:7" x14ac:dyDescent="0.35">
      <c r="A485" s="27" t="s">
        <v>227</v>
      </c>
      <c r="B485" s="27" t="s">
        <v>235</v>
      </c>
      <c r="C485" s="27" t="s">
        <v>375</v>
      </c>
      <c r="D485" s="28">
        <v>1</v>
      </c>
      <c r="E485" s="29"/>
      <c r="F485" s="29"/>
      <c r="G485" s="29" t="s">
        <v>307</v>
      </c>
    </row>
    <row r="486" spans="1:7" x14ac:dyDescent="0.35">
      <c r="A486" s="27" t="s">
        <v>227</v>
      </c>
      <c r="B486" s="27" t="s">
        <v>234</v>
      </c>
      <c r="C486" s="27" t="s">
        <v>376</v>
      </c>
      <c r="D486" s="28">
        <v>1</v>
      </c>
      <c r="E486" s="29"/>
      <c r="F486" s="29"/>
      <c r="G486" s="29" t="s">
        <v>352</v>
      </c>
    </row>
    <row r="487" spans="1:7" x14ac:dyDescent="0.35">
      <c r="A487" s="27" t="s">
        <v>227</v>
      </c>
      <c r="B487" s="27" t="s">
        <v>234</v>
      </c>
      <c r="C487" s="27" t="s">
        <v>378</v>
      </c>
      <c r="D487" s="28">
        <v>0.4</v>
      </c>
      <c r="E487" s="28">
        <v>0.6</v>
      </c>
      <c r="F487" s="29"/>
      <c r="G487" s="29" t="s">
        <v>332</v>
      </c>
    </row>
    <row r="488" spans="1:7" x14ac:dyDescent="0.35">
      <c r="A488" s="27" t="s">
        <v>227</v>
      </c>
      <c r="B488" s="27" t="s">
        <v>234</v>
      </c>
      <c r="C488" s="27" t="s">
        <v>377</v>
      </c>
      <c r="D488" s="28">
        <v>1</v>
      </c>
      <c r="E488" s="29"/>
      <c r="F488" s="29"/>
      <c r="G488" s="29" t="s">
        <v>334</v>
      </c>
    </row>
    <row r="489" spans="1:7" x14ac:dyDescent="0.35">
      <c r="A489" s="27" t="s">
        <v>227</v>
      </c>
      <c r="B489" s="27" t="s">
        <v>235</v>
      </c>
      <c r="C489" s="27" t="s">
        <v>377</v>
      </c>
      <c r="D489" s="28">
        <v>1</v>
      </c>
      <c r="E489" s="29"/>
      <c r="F489" s="29"/>
      <c r="G489" s="29" t="s">
        <v>307</v>
      </c>
    </row>
    <row r="490" spans="1:7" x14ac:dyDescent="0.35">
      <c r="A490" s="27" t="s">
        <v>227</v>
      </c>
      <c r="B490" s="27" t="s">
        <v>234</v>
      </c>
      <c r="C490" s="27" t="s">
        <v>375</v>
      </c>
      <c r="D490" s="28">
        <v>1</v>
      </c>
      <c r="E490" s="29"/>
      <c r="F490" s="29"/>
      <c r="G490" s="29" t="s">
        <v>333</v>
      </c>
    </row>
    <row r="491" spans="1:7" x14ac:dyDescent="0.35">
      <c r="A491" s="27" t="s">
        <v>227</v>
      </c>
      <c r="B491" s="27" t="s">
        <v>235</v>
      </c>
      <c r="C491" s="27" t="s">
        <v>378</v>
      </c>
      <c r="D491" s="28">
        <v>1</v>
      </c>
      <c r="E491" s="29"/>
      <c r="F491" s="29"/>
      <c r="G491" s="29" t="s">
        <v>315</v>
      </c>
    </row>
    <row r="492" spans="1:7" x14ac:dyDescent="0.35">
      <c r="A492" s="27" t="s">
        <v>227</v>
      </c>
      <c r="B492" s="27" t="s">
        <v>235</v>
      </c>
      <c r="C492" s="27" t="s">
        <v>376</v>
      </c>
      <c r="D492" s="28">
        <v>1</v>
      </c>
      <c r="E492" s="29"/>
      <c r="F492" s="29"/>
      <c r="G492" s="29" t="s">
        <v>307</v>
      </c>
    </row>
    <row r="493" spans="1:7" x14ac:dyDescent="0.35">
      <c r="A493" s="27" t="s">
        <v>228</v>
      </c>
      <c r="B493" s="27" t="s">
        <v>234</v>
      </c>
      <c r="C493" s="27" t="s">
        <v>378</v>
      </c>
      <c r="D493" s="28">
        <v>0.36270000000000002</v>
      </c>
      <c r="E493" s="28">
        <v>0.63729999999999998</v>
      </c>
      <c r="F493" s="29"/>
      <c r="G493" s="29" t="s">
        <v>329</v>
      </c>
    </row>
    <row r="494" spans="1:7" x14ac:dyDescent="0.35">
      <c r="A494" t="s">
        <v>228</v>
      </c>
      <c r="B494" t="s">
        <v>234</v>
      </c>
      <c r="C494" t="s">
        <v>377</v>
      </c>
      <c r="D494" s="26">
        <v>0.99160000000000004</v>
      </c>
      <c r="E494" s="26">
        <v>8.3999999999999995E-3</v>
      </c>
      <c r="G494">
        <v>32</v>
      </c>
    </row>
    <row r="495" spans="1:7" x14ac:dyDescent="0.35">
      <c r="A495" t="s">
        <v>228</v>
      </c>
      <c r="B495" t="s">
        <v>234</v>
      </c>
      <c r="C495" t="s">
        <v>375</v>
      </c>
      <c r="D495" s="26">
        <v>0.98270000000000002</v>
      </c>
      <c r="F495" s="26">
        <v>1.7299999999999999E-2</v>
      </c>
      <c r="G495">
        <v>59</v>
      </c>
    </row>
    <row r="496" spans="1:7" x14ac:dyDescent="0.35">
      <c r="A496" t="s">
        <v>228</v>
      </c>
      <c r="B496" t="s">
        <v>235</v>
      </c>
      <c r="C496" t="s">
        <v>376</v>
      </c>
      <c r="D496" s="26">
        <v>0.82499999999999996</v>
      </c>
      <c r="E496" s="26">
        <v>0.17499999999999999</v>
      </c>
      <c r="G496">
        <v>46</v>
      </c>
    </row>
    <row r="497" spans="1:7" x14ac:dyDescent="0.35">
      <c r="A497" s="27" t="s">
        <v>228</v>
      </c>
      <c r="B497" s="27" t="s">
        <v>235</v>
      </c>
      <c r="C497" s="27" t="s">
        <v>378</v>
      </c>
      <c r="D497" s="28">
        <v>0.2324</v>
      </c>
      <c r="E497" s="28">
        <v>0.76759999999999995</v>
      </c>
      <c r="F497" s="29"/>
      <c r="G497" s="29" t="s">
        <v>310</v>
      </c>
    </row>
    <row r="498" spans="1:7" x14ac:dyDescent="0.35">
      <c r="A498" t="s">
        <v>228</v>
      </c>
      <c r="B498" t="s">
        <v>234</v>
      </c>
      <c r="C498" t="s">
        <v>376</v>
      </c>
      <c r="D498" s="26">
        <v>0.88890000000000002</v>
      </c>
      <c r="E498" s="26">
        <v>0.1111</v>
      </c>
      <c r="G498">
        <v>56</v>
      </c>
    </row>
    <row r="499" spans="1:7" x14ac:dyDescent="0.35">
      <c r="A499" t="s">
        <v>228</v>
      </c>
      <c r="B499" t="s">
        <v>235</v>
      </c>
      <c r="C499" t="s">
        <v>377</v>
      </c>
      <c r="D499" s="26">
        <v>1</v>
      </c>
      <c r="G499">
        <v>41</v>
      </c>
    </row>
    <row r="500" spans="1:7" x14ac:dyDescent="0.35">
      <c r="A500" t="s">
        <v>228</v>
      </c>
      <c r="B500" t="s">
        <v>235</v>
      </c>
      <c r="C500" t="s">
        <v>375</v>
      </c>
      <c r="D500" s="26">
        <v>1</v>
      </c>
      <c r="G500">
        <v>73</v>
      </c>
    </row>
    <row r="501" spans="1:7" x14ac:dyDescent="0.35">
      <c r="A501" s="27" t="s">
        <v>229</v>
      </c>
      <c r="B501" s="27" t="s">
        <v>235</v>
      </c>
      <c r="C501" s="27" t="s">
        <v>378</v>
      </c>
      <c r="D501" s="28">
        <v>0.7631</v>
      </c>
      <c r="E501" s="28">
        <v>0.2369</v>
      </c>
      <c r="F501" s="29"/>
      <c r="G501" s="29" t="s">
        <v>312</v>
      </c>
    </row>
    <row r="502" spans="1:7" x14ac:dyDescent="0.35">
      <c r="A502" s="27" t="s">
        <v>229</v>
      </c>
      <c r="B502" s="27" t="s">
        <v>234</v>
      </c>
      <c r="C502" s="27" t="s">
        <v>378</v>
      </c>
      <c r="D502" s="28">
        <v>0.84499999999999997</v>
      </c>
      <c r="E502" s="28">
        <v>0.155</v>
      </c>
      <c r="F502" s="29"/>
      <c r="G502" s="29" t="s">
        <v>357</v>
      </c>
    </row>
    <row r="503" spans="1:7" x14ac:dyDescent="0.35">
      <c r="A503" t="s">
        <v>229</v>
      </c>
      <c r="B503" t="s">
        <v>235</v>
      </c>
      <c r="C503" t="s">
        <v>376</v>
      </c>
      <c r="D503" s="26">
        <v>0.97799999999999998</v>
      </c>
      <c r="E503" s="26">
        <v>2.1999999999999999E-2</v>
      </c>
      <c r="G503">
        <v>34</v>
      </c>
    </row>
    <row r="504" spans="1:7" x14ac:dyDescent="0.35">
      <c r="A504" t="s">
        <v>229</v>
      </c>
      <c r="B504" t="s">
        <v>235</v>
      </c>
      <c r="C504" t="s">
        <v>377</v>
      </c>
      <c r="D504" s="26">
        <v>1</v>
      </c>
      <c r="G504">
        <v>41</v>
      </c>
    </row>
    <row r="505" spans="1:7" x14ac:dyDescent="0.35">
      <c r="A505" t="s">
        <v>229</v>
      </c>
      <c r="B505" t="s">
        <v>234</v>
      </c>
      <c r="C505" t="s">
        <v>376</v>
      </c>
      <c r="D505" s="26">
        <v>1</v>
      </c>
      <c r="G505">
        <v>47</v>
      </c>
    </row>
    <row r="506" spans="1:7" x14ac:dyDescent="0.35">
      <c r="A506" t="s">
        <v>229</v>
      </c>
      <c r="B506" t="s">
        <v>235</v>
      </c>
      <c r="C506" t="s">
        <v>375</v>
      </c>
      <c r="D506" s="26">
        <v>1</v>
      </c>
      <c r="G506">
        <v>64</v>
      </c>
    </row>
    <row r="507" spans="1:7" x14ac:dyDescent="0.35">
      <c r="A507" t="s">
        <v>229</v>
      </c>
      <c r="B507" t="s">
        <v>234</v>
      </c>
      <c r="C507" t="s">
        <v>377</v>
      </c>
      <c r="D507" s="26">
        <v>0.93440000000000001</v>
      </c>
      <c r="E507" s="26">
        <v>6.5600000000000006E-2</v>
      </c>
      <c r="G507">
        <v>41</v>
      </c>
    </row>
    <row r="508" spans="1:7" x14ac:dyDescent="0.35">
      <c r="A508" t="s">
        <v>229</v>
      </c>
      <c r="B508" t="s">
        <v>234</v>
      </c>
      <c r="C508" t="s">
        <v>375</v>
      </c>
      <c r="D508" s="26">
        <v>1</v>
      </c>
      <c r="G508">
        <v>74</v>
      </c>
    </row>
    <row r="509" spans="1:7" x14ac:dyDescent="0.35">
      <c r="A509" t="s">
        <v>230</v>
      </c>
      <c r="B509" t="s">
        <v>234</v>
      </c>
      <c r="C509" t="s">
        <v>376</v>
      </c>
      <c r="D509" s="26">
        <v>1</v>
      </c>
      <c r="G509">
        <v>31</v>
      </c>
    </row>
    <row r="510" spans="1:7" x14ac:dyDescent="0.35">
      <c r="A510" t="s">
        <v>230</v>
      </c>
      <c r="B510" t="s">
        <v>235</v>
      </c>
      <c r="C510" t="s">
        <v>375</v>
      </c>
      <c r="D510" s="26">
        <v>0.9476</v>
      </c>
      <c r="E510" s="26">
        <v>5.2400000000000002E-2</v>
      </c>
      <c r="G510">
        <v>53</v>
      </c>
    </row>
    <row r="511" spans="1:7" x14ac:dyDescent="0.35">
      <c r="A511" s="27" t="s">
        <v>230</v>
      </c>
      <c r="B511" s="27" t="s">
        <v>234</v>
      </c>
      <c r="C511" s="27" t="s">
        <v>378</v>
      </c>
      <c r="D511" s="28">
        <v>0.53469999999999995</v>
      </c>
      <c r="E511" s="28">
        <v>0.46529999999999999</v>
      </c>
      <c r="F511" s="29"/>
      <c r="G511" s="29" t="s">
        <v>353</v>
      </c>
    </row>
    <row r="512" spans="1:7" x14ac:dyDescent="0.35">
      <c r="A512" s="27" t="s">
        <v>230</v>
      </c>
      <c r="B512" s="27" t="s">
        <v>234</v>
      </c>
      <c r="C512" s="27" t="s">
        <v>377</v>
      </c>
      <c r="D512" s="28">
        <v>1</v>
      </c>
      <c r="E512" s="29"/>
      <c r="F512" s="29"/>
      <c r="G512" s="29" t="s">
        <v>349</v>
      </c>
    </row>
    <row r="513" spans="1:7" x14ac:dyDescent="0.35">
      <c r="A513" s="27" t="s">
        <v>230</v>
      </c>
      <c r="B513" s="27" t="s">
        <v>236</v>
      </c>
      <c r="C513" s="27" t="s">
        <v>375</v>
      </c>
      <c r="D513" s="28">
        <v>1</v>
      </c>
      <c r="E513" s="29"/>
      <c r="F513" s="29"/>
      <c r="G513" s="29" t="s">
        <v>331</v>
      </c>
    </row>
    <row r="514" spans="1:7" x14ac:dyDescent="0.35">
      <c r="A514" s="27" t="s">
        <v>230</v>
      </c>
      <c r="B514" s="27" t="s">
        <v>235</v>
      </c>
      <c r="C514" s="27" t="s">
        <v>378</v>
      </c>
      <c r="D514" s="28">
        <v>0.56369999999999998</v>
      </c>
      <c r="E514" s="28">
        <v>0.43630000000000002</v>
      </c>
      <c r="F514" s="29"/>
      <c r="G514" s="29" t="s">
        <v>342</v>
      </c>
    </row>
    <row r="515" spans="1:7" x14ac:dyDescent="0.35">
      <c r="A515" s="27" t="s">
        <v>230</v>
      </c>
      <c r="B515" s="27" t="s">
        <v>235</v>
      </c>
      <c r="C515" s="27" t="s">
        <v>377</v>
      </c>
      <c r="D515" s="28">
        <v>0.8206</v>
      </c>
      <c r="E515" s="28">
        <v>0.1794</v>
      </c>
      <c r="F515" s="29"/>
      <c r="G515" s="29" t="s">
        <v>350</v>
      </c>
    </row>
    <row r="516" spans="1:7" x14ac:dyDescent="0.35">
      <c r="A516" t="s">
        <v>230</v>
      </c>
      <c r="B516" t="s">
        <v>234</v>
      </c>
      <c r="C516" t="s">
        <v>375</v>
      </c>
      <c r="D516" s="26">
        <v>0.98919999999999997</v>
      </c>
      <c r="E516" s="26">
        <v>1.0800000000000001E-2</v>
      </c>
      <c r="G516">
        <v>38</v>
      </c>
    </row>
    <row r="517" spans="1:7" x14ac:dyDescent="0.35">
      <c r="A517" s="27" t="s">
        <v>230</v>
      </c>
      <c r="B517" s="27" t="s">
        <v>235</v>
      </c>
      <c r="C517" s="27" t="s">
        <v>376</v>
      </c>
      <c r="D517" s="28">
        <v>0.98109999999999997</v>
      </c>
      <c r="E517" s="28">
        <v>1.89E-2</v>
      </c>
      <c r="F517" s="29"/>
      <c r="G517" s="29" t="s">
        <v>338</v>
      </c>
    </row>
    <row r="518" spans="1:7" x14ac:dyDescent="0.35">
      <c r="A518" s="27" t="s">
        <v>231</v>
      </c>
      <c r="B518" s="27" t="s">
        <v>234</v>
      </c>
      <c r="C518" s="27" t="s">
        <v>375</v>
      </c>
      <c r="D518" s="28">
        <v>1</v>
      </c>
      <c r="E518" s="29"/>
      <c r="F518" s="29"/>
      <c r="G518" s="29" t="s">
        <v>307</v>
      </c>
    </row>
    <row r="519" spans="1:7" x14ac:dyDescent="0.35">
      <c r="A519" s="27" t="s">
        <v>231</v>
      </c>
      <c r="B519" s="27" t="s">
        <v>234</v>
      </c>
      <c r="C519" s="27" t="s">
        <v>378</v>
      </c>
      <c r="D519" s="28">
        <v>0.66669999999999996</v>
      </c>
      <c r="E519" s="28">
        <v>0.33329999999999999</v>
      </c>
      <c r="F519" s="29"/>
      <c r="G519" s="29" t="s">
        <v>335</v>
      </c>
    </row>
    <row r="520" spans="1:7" x14ac:dyDescent="0.35">
      <c r="A520" s="27" t="s">
        <v>231</v>
      </c>
      <c r="B520" s="27" t="s">
        <v>235</v>
      </c>
      <c r="C520" s="27" t="s">
        <v>378</v>
      </c>
      <c r="D520" s="28">
        <v>0.625</v>
      </c>
      <c r="E520" s="28">
        <v>0.375</v>
      </c>
      <c r="F520" s="29"/>
      <c r="G520" s="29" t="s">
        <v>333</v>
      </c>
    </row>
    <row r="521" spans="1:7" x14ac:dyDescent="0.35">
      <c r="A521" s="27" t="s">
        <v>231</v>
      </c>
      <c r="B521" s="27" t="s">
        <v>234</v>
      </c>
      <c r="C521" s="27" t="s">
        <v>376</v>
      </c>
      <c r="D521" s="28">
        <v>1</v>
      </c>
      <c r="E521" s="29"/>
      <c r="F521" s="29"/>
      <c r="G521" s="29" t="s">
        <v>335</v>
      </c>
    </row>
    <row r="522" spans="1:7" x14ac:dyDescent="0.35">
      <c r="A522" s="27" t="s">
        <v>231</v>
      </c>
      <c r="B522" s="27" t="s">
        <v>235</v>
      </c>
      <c r="C522" s="27" t="s">
        <v>375</v>
      </c>
      <c r="D522" s="28">
        <v>1</v>
      </c>
      <c r="E522" s="29"/>
      <c r="F522" s="29"/>
      <c r="G522" s="29" t="s">
        <v>352</v>
      </c>
    </row>
    <row r="523" spans="1:7" x14ac:dyDescent="0.35">
      <c r="A523" s="27" t="s">
        <v>231</v>
      </c>
      <c r="B523" s="27" t="s">
        <v>235</v>
      </c>
      <c r="C523" s="27" t="s">
        <v>376</v>
      </c>
      <c r="D523" s="28">
        <v>1</v>
      </c>
      <c r="E523" s="29"/>
      <c r="F523" s="29"/>
      <c r="G523" s="29" t="s">
        <v>335</v>
      </c>
    </row>
    <row r="524" spans="1:7" x14ac:dyDescent="0.35">
      <c r="A524" s="27" t="s">
        <v>231</v>
      </c>
      <c r="B524" s="27" t="s">
        <v>234</v>
      </c>
      <c r="C524" s="27" t="s">
        <v>377</v>
      </c>
      <c r="D524" s="28">
        <v>0.55559999999999998</v>
      </c>
      <c r="E524" s="28">
        <v>0.44440000000000002</v>
      </c>
      <c r="F524" s="29"/>
      <c r="G524" s="29" t="s">
        <v>334</v>
      </c>
    </row>
    <row r="525" spans="1:7" x14ac:dyDescent="0.35">
      <c r="A525" s="27" t="s">
        <v>231</v>
      </c>
      <c r="B525" s="27" t="s">
        <v>235</v>
      </c>
      <c r="C525" s="27" t="s">
        <v>377</v>
      </c>
      <c r="D525" s="28">
        <v>1</v>
      </c>
      <c r="E525" s="29"/>
      <c r="F525" s="29"/>
      <c r="G525" s="29" t="s">
        <v>335</v>
      </c>
    </row>
    <row r="526" spans="1:7" x14ac:dyDescent="0.35">
      <c r="A526" t="s">
        <v>232</v>
      </c>
      <c r="B526" t="s">
        <v>232</v>
      </c>
      <c r="C526" t="s">
        <v>232</v>
      </c>
      <c r="D526" s="26">
        <v>0.91400000000000003</v>
      </c>
      <c r="E526" s="26">
        <v>8.5500000000000007E-2</v>
      </c>
      <c r="F526" s="26">
        <v>5.9999999999999995E-4</v>
      </c>
      <c r="G526">
        <v>1059</v>
      </c>
    </row>
    <row r="528" spans="1:7" x14ac:dyDescent="0.35">
      <c r="A528" s="1" t="s">
        <v>382</v>
      </c>
    </row>
    <row r="529" spans="1:6" x14ac:dyDescent="0.35">
      <c r="A529" t="s">
        <v>219</v>
      </c>
      <c r="B529" t="s">
        <v>383</v>
      </c>
      <c r="C529" t="s">
        <v>384</v>
      </c>
      <c r="D529" t="s">
        <v>385</v>
      </c>
      <c r="E529" t="s">
        <v>226</v>
      </c>
    </row>
    <row r="530" spans="1:6" x14ac:dyDescent="0.35">
      <c r="A530" t="s">
        <v>227</v>
      </c>
      <c r="B530" s="26">
        <v>0.61899999999999999</v>
      </c>
      <c r="C530" s="26">
        <v>0.36509999999999998</v>
      </c>
      <c r="D530" s="26">
        <v>1.5900000000000001E-2</v>
      </c>
      <c r="E530">
        <v>63</v>
      </c>
    </row>
    <row r="531" spans="1:6" x14ac:dyDescent="0.35">
      <c r="A531" t="s">
        <v>228</v>
      </c>
      <c r="B531" s="26">
        <v>0.2268</v>
      </c>
      <c r="C531" s="26">
        <v>0.30680000000000002</v>
      </c>
      <c r="D531" s="26">
        <v>0.46639999999999998</v>
      </c>
      <c r="E531">
        <v>314</v>
      </c>
    </row>
    <row r="532" spans="1:6" x14ac:dyDescent="0.35">
      <c r="A532" t="s">
        <v>229</v>
      </c>
      <c r="B532" s="26">
        <v>0.56079999999999997</v>
      </c>
      <c r="C532" s="26">
        <v>0.3513</v>
      </c>
      <c r="D532" s="26">
        <v>8.7900000000000006E-2</v>
      </c>
      <c r="E532">
        <v>335</v>
      </c>
    </row>
    <row r="533" spans="1:6" x14ac:dyDescent="0.35">
      <c r="A533" t="s">
        <v>230</v>
      </c>
      <c r="B533" s="26">
        <v>0.42409999999999998</v>
      </c>
      <c r="C533" s="26">
        <v>0.36890000000000001</v>
      </c>
      <c r="D533" s="26">
        <v>0.20699999999999999</v>
      </c>
      <c r="E533">
        <v>203</v>
      </c>
    </row>
    <row r="534" spans="1:6" x14ac:dyDescent="0.35">
      <c r="A534" t="s">
        <v>231</v>
      </c>
      <c r="B534" s="26">
        <v>0.81130000000000002</v>
      </c>
      <c r="C534" s="26">
        <v>0.18870000000000001</v>
      </c>
      <c r="E534">
        <v>53</v>
      </c>
    </row>
    <row r="535" spans="1:6" x14ac:dyDescent="0.35">
      <c r="A535" t="s">
        <v>232</v>
      </c>
      <c r="B535" s="26">
        <v>0.55589999999999995</v>
      </c>
      <c r="C535" s="26">
        <v>0.30869999999999997</v>
      </c>
      <c r="D535" s="26">
        <v>0.13539999999999999</v>
      </c>
      <c r="E535">
        <v>968</v>
      </c>
    </row>
    <row r="537" spans="1:6" x14ac:dyDescent="0.35">
      <c r="A537" s="1" t="s">
        <v>386</v>
      </c>
    </row>
    <row r="538" spans="1:6" x14ac:dyDescent="0.35">
      <c r="A538" t="s">
        <v>219</v>
      </c>
      <c r="B538" t="s">
        <v>305</v>
      </c>
      <c r="C538" t="s">
        <v>383</v>
      </c>
      <c r="D538" t="s">
        <v>384</v>
      </c>
      <c r="E538" t="s">
        <v>385</v>
      </c>
      <c r="F538" t="s">
        <v>226</v>
      </c>
    </row>
    <row r="539" spans="1:6" x14ac:dyDescent="0.35">
      <c r="A539" s="27" t="s">
        <v>227</v>
      </c>
      <c r="B539" s="27" t="s">
        <v>242</v>
      </c>
      <c r="C539" s="28">
        <v>0.60870000000000002</v>
      </c>
      <c r="D539" s="28">
        <v>0.3478</v>
      </c>
      <c r="E539" s="28">
        <v>4.3499999999999997E-2</v>
      </c>
      <c r="F539" s="29" t="s">
        <v>328</v>
      </c>
    </row>
    <row r="540" spans="1:6" x14ac:dyDescent="0.35">
      <c r="A540" t="s">
        <v>227</v>
      </c>
      <c r="B540" t="s">
        <v>241</v>
      </c>
      <c r="C540" s="26">
        <v>0.625</v>
      </c>
      <c r="D540" s="26">
        <v>0.375</v>
      </c>
      <c r="F540">
        <v>40</v>
      </c>
    </row>
    <row r="541" spans="1:6" x14ac:dyDescent="0.35">
      <c r="A541" t="s">
        <v>228</v>
      </c>
      <c r="B541" t="s">
        <v>242</v>
      </c>
      <c r="C541" s="26">
        <v>0.16200000000000001</v>
      </c>
      <c r="D541" s="26">
        <v>0.2586</v>
      </c>
      <c r="E541" s="26">
        <v>0.57940000000000003</v>
      </c>
      <c r="F541">
        <v>94</v>
      </c>
    </row>
    <row r="542" spans="1:6" x14ac:dyDescent="0.35">
      <c r="A542" t="s">
        <v>228</v>
      </c>
      <c r="B542" t="s">
        <v>241</v>
      </c>
      <c r="C542" s="26">
        <v>0.254</v>
      </c>
      <c r="D542" s="26">
        <v>0.32700000000000001</v>
      </c>
      <c r="E542" s="26">
        <v>0.41899999999999998</v>
      </c>
      <c r="F542">
        <v>220</v>
      </c>
    </row>
    <row r="543" spans="1:6" x14ac:dyDescent="0.35">
      <c r="A543" t="s">
        <v>229</v>
      </c>
      <c r="B543" t="s">
        <v>242</v>
      </c>
      <c r="C543" s="26">
        <v>0.35489999999999999</v>
      </c>
      <c r="D543" s="26">
        <v>0.52300000000000002</v>
      </c>
      <c r="E543" s="26">
        <v>0.1221</v>
      </c>
      <c r="F543">
        <v>94</v>
      </c>
    </row>
    <row r="544" spans="1:6" x14ac:dyDescent="0.35">
      <c r="A544" t="s">
        <v>229</v>
      </c>
      <c r="B544" t="s">
        <v>241</v>
      </c>
      <c r="C544" s="26">
        <v>0.6663</v>
      </c>
      <c r="D544" s="26">
        <v>0.26329999999999998</v>
      </c>
      <c r="E544" s="26">
        <v>7.0400000000000004E-2</v>
      </c>
      <c r="F544">
        <v>241</v>
      </c>
    </row>
    <row r="545" spans="1:6" x14ac:dyDescent="0.35">
      <c r="A545" t="s">
        <v>230</v>
      </c>
      <c r="B545" t="s">
        <v>242</v>
      </c>
      <c r="C545" s="26">
        <v>0.4284</v>
      </c>
      <c r="D545" s="26">
        <v>0.30049999999999999</v>
      </c>
      <c r="E545" s="26">
        <v>0.27110000000000001</v>
      </c>
      <c r="F545">
        <v>60</v>
      </c>
    </row>
    <row r="546" spans="1:6" x14ac:dyDescent="0.35">
      <c r="A546" t="s">
        <v>230</v>
      </c>
      <c r="B546" t="s">
        <v>241</v>
      </c>
      <c r="C546" s="26">
        <v>0.42170000000000002</v>
      </c>
      <c r="D546" s="26">
        <v>0.40579999999999999</v>
      </c>
      <c r="E546" s="26">
        <v>0.17249999999999999</v>
      </c>
      <c r="F546">
        <v>143</v>
      </c>
    </row>
    <row r="547" spans="1:6" x14ac:dyDescent="0.35">
      <c r="A547" s="27" t="s">
        <v>231</v>
      </c>
      <c r="B547" s="27" t="s">
        <v>242</v>
      </c>
      <c r="C547" s="28">
        <v>0.88890000000000002</v>
      </c>
      <c r="D547" s="28">
        <v>0.1111</v>
      </c>
      <c r="E547" s="29"/>
      <c r="F547" s="29" t="s">
        <v>334</v>
      </c>
    </row>
    <row r="548" spans="1:6" x14ac:dyDescent="0.35">
      <c r="A548" t="s">
        <v>231</v>
      </c>
      <c r="B548" t="s">
        <v>241</v>
      </c>
      <c r="C548" s="26">
        <v>0.79549999999999998</v>
      </c>
      <c r="D548" s="26">
        <v>0.20449999999999999</v>
      </c>
      <c r="F548">
        <v>44</v>
      </c>
    </row>
    <row r="549" spans="1:6" x14ac:dyDescent="0.35">
      <c r="A549" t="s">
        <v>232</v>
      </c>
      <c r="B549" t="s">
        <v>232</v>
      </c>
      <c r="C549" s="26">
        <v>0.55589999999999995</v>
      </c>
      <c r="D549" s="26">
        <v>0.30869999999999997</v>
      </c>
      <c r="E549" s="26">
        <v>0.13539999999999999</v>
      </c>
      <c r="F549">
        <v>968</v>
      </c>
    </row>
    <row r="551" spans="1:6" x14ac:dyDescent="0.35">
      <c r="A551" s="1" t="s">
        <v>387</v>
      </c>
    </row>
    <row r="552" spans="1:6" x14ac:dyDescent="0.35">
      <c r="A552" t="s">
        <v>219</v>
      </c>
      <c r="B552" t="s">
        <v>305</v>
      </c>
      <c r="C552" t="s">
        <v>383</v>
      </c>
      <c r="D552" t="s">
        <v>384</v>
      </c>
      <c r="E552" t="s">
        <v>385</v>
      </c>
      <c r="F552" t="s">
        <v>226</v>
      </c>
    </row>
    <row r="553" spans="1:6" x14ac:dyDescent="0.35">
      <c r="A553" t="s">
        <v>227</v>
      </c>
      <c r="B553" t="s">
        <v>239</v>
      </c>
      <c r="C553" s="26">
        <v>0.5333</v>
      </c>
      <c r="D553" s="26">
        <v>0.43330000000000002</v>
      </c>
      <c r="E553" s="26">
        <v>3.3300000000000003E-2</v>
      </c>
      <c r="F553">
        <v>30</v>
      </c>
    </row>
    <row r="554" spans="1:6" x14ac:dyDescent="0.35">
      <c r="A554" t="s">
        <v>227</v>
      </c>
      <c r="B554" t="s">
        <v>238</v>
      </c>
      <c r="C554" s="26">
        <v>0.69699999999999995</v>
      </c>
      <c r="D554" s="26">
        <v>0.30299999999999999</v>
      </c>
      <c r="F554">
        <v>33</v>
      </c>
    </row>
    <row r="555" spans="1:6" x14ac:dyDescent="0.35">
      <c r="A555" t="s">
        <v>228</v>
      </c>
      <c r="B555" t="s">
        <v>239</v>
      </c>
      <c r="C555" s="26">
        <v>0.23830000000000001</v>
      </c>
      <c r="D555" s="26">
        <v>0.20569999999999999</v>
      </c>
      <c r="E555" s="26">
        <v>0.55600000000000005</v>
      </c>
      <c r="F555">
        <v>117</v>
      </c>
    </row>
    <row r="556" spans="1:6" x14ac:dyDescent="0.35">
      <c r="A556" t="s">
        <v>228</v>
      </c>
      <c r="B556" t="s">
        <v>238</v>
      </c>
      <c r="C556" s="26">
        <v>0.2228</v>
      </c>
      <c r="D556" s="26">
        <v>0.34179999999999999</v>
      </c>
      <c r="E556" s="26">
        <v>0.43540000000000001</v>
      </c>
      <c r="F556">
        <v>197</v>
      </c>
    </row>
    <row r="557" spans="1:6" x14ac:dyDescent="0.35">
      <c r="A557" t="s">
        <v>229</v>
      </c>
      <c r="B557" t="s">
        <v>239</v>
      </c>
      <c r="C557" s="26">
        <v>0.52790000000000004</v>
      </c>
      <c r="D557" s="26">
        <v>0.40029999999999999</v>
      </c>
      <c r="E557" s="26">
        <v>7.17E-2</v>
      </c>
      <c r="F557">
        <v>130</v>
      </c>
    </row>
    <row r="558" spans="1:6" x14ac:dyDescent="0.35">
      <c r="A558" t="s">
        <v>229</v>
      </c>
      <c r="B558" t="s">
        <v>238</v>
      </c>
      <c r="C558" s="26">
        <v>0.57310000000000005</v>
      </c>
      <c r="D558" s="26">
        <v>0.33289999999999997</v>
      </c>
      <c r="E558" s="26">
        <v>9.4E-2</v>
      </c>
      <c r="F558">
        <v>205</v>
      </c>
    </row>
    <row r="559" spans="1:6" x14ac:dyDescent="0.35">
      <c r="A559" t="s">
        <v>230</v>
      </c>
      <c r="B559" t="s">
        <v>239</v>
      </c>
      <c r="C559" s="26">
        <v>0.3488</v>
      </c>
      <c r="D559" s="26">
        <v>0.51349999999999996</v>
      </c>
      <c r="E559" s="26">
        <v>0.13780000000000001</v>
      </c>
      <c r="F559">
        <v>104</v>
      </c>
    </row>
    <row r="560" spans="1:6" x14ac:dyDescent="0.35">
      <c r="A560" t="s">
        <v>230</v>
      </c>
      <c r="B560" t="s">
        <v>238</v>
      </c>
      <c r="C560" s="26">
        <v>0.49559999999999998</v>
      </c>
      <c r="D560" s="26">
        <v>0.2316</v>
      </c>
      <c r="E560" s="26">
        <v>0.27279999999999999</v>
      </c>
      <c r="F560">
        <v>99</v>
      </c>
    </row>
    <row r="561" spans="1:6" x14ac:dyDescent="0.35">
      <c r="A561" s="27" t="s">
        <v>231</v>
      </c>
      <c r="B561" s="27" t="s">
        <v>239</v>
      </c>
      <c r="C561" s="28">
        <v>0.85709999999999997</v>
      </c>
      <c r="D561" s="28">
        <v>0.1429</v>
      </c>
      <c r="E561" s="29"/>
      <c r="F561" s="29" t="s">
        <v>336</v>
      </c>
    </row>
    <row r="562" spans="1:6" x14ac:dyDescent="0.35">
      <c r="A562" s="27" t="s">
        <v>231</v>
      </c>
      <c r="B562" s="27" t="s">
        <v>238</v>
      </c>
      <c r="C562" s="28">
        <v>0.76</v>
      </c>
      <c r="D562" s="28">
        <v>0.24</v>
      </c>
      <c r="E562" s="29"/>
      <c r="F562" s="29" t="s">
        <v>312</v>
      </c>
    </row>
    <row r="563" spans="1:6" x14ac:dyDescent="0.35">
      <c r="A563" t="s">
        <v>232</v>
      </c>
      <c r="B563" t="s">
        <v>232</v>
      </c>
      <c r="C563" s="26">
        <v>0.55589999999999995</v>
      </c>
      <c r="D563" s="26">
        <v>0.30869999999999997</v>
      </c>
      <c r="E563" s="26">
        <v>0.13539999999999999</v>
      </c>
      <c r="F563">
        <v>968</v>
      </c>
    </row>
    <row r="565" spans="1:6" x14ac:dyDescent="0.35">
      <c r="A565" s="1" t="s">
        <v>388</v>
      </c>
    </row>
    <row r="566" spans="1:6" x14ac:dyDescent="0.35">
      <c r="A566" t="s">
        <v>219</v>
      </c>
      <c r="B566" t="s">
        <v>305</v>
      </c>
      <c r="C566" t="s">
        <v>383</v>
      </c>
      <c r="D566" t="s">
        <v>384</v>
      </c>
      <c r="E566" t="s">
        <v>385</v>
      </c>
      <c r="F566" t="s">
        <v>226</v>
      </c>
    </row>
    <row r="567" spans="1:6" x14ac:dyDescent="0.35">
      <c r="A567" t="s">
        <v>227</v>
      </c>
      <c r="B567" t="s">
        <v>244</v>
      </c>
      <c r="C567" s="26">
        <v>0.62160000000000004</v>
      </c>
      <c r="D567" s="26">
        <v>0.37840000000000001</v>
      </c>
      <c r="F567">
        <v>37</v>
      </c>
    </row>
    <row r="568" spans="1:6" x14ac:dyDescent="0.35">
      <c r="A568" s="27" t="s">
        <v>227</v>
      </c>
      <c r="B568" s="27" t="s">
        <v>246</v>
      </c>
      <c r="C568" s="28">
        <v>0.61539999999999995</v>
      </c>
      <c r="D568" s="28">
        <v>0.34620000000000001</v>
      </c>
      <c r="E568" s="28">
        <v>3.85E-2</v>
      </c>
      <c r="F568" s="29" t="s">
        <v>357</v>
      </c>
    </row>
    <row r="569" spans="1:6" x14ac:dyDescent="0.35">
      <c r="A569" t="s">
        <v>228</v>
      </c>
      <c r="B569" t="s">
        <v>244</v>
      </c>
      <c r="C569" s="26">
        <v>0.2384</v>
      </c>
      <c r="D569" s="26">
        <v>0.34970000000000001</v>
      </c>
      <c r="E569" s="26">
        <v>0.41189999999999999</v>
      </c>
      <c r="F569">
        <v>215</v>
      </c>
    </row>
    <row r="570" spans="1:6" x14ac:dyDescent="0.35">
      <c r="A570" t="s">
        <v>228</v>
      </c>
      <c r="B570" t="s">
        <v>246</v>
      </c>
      <c r="C570" s="26">
        <v>0.19739999999999999</v>
      </c>
      <c r="D570" s="26">
        <v>0.1983</v>
      </c>
      <c r="E570" s="26">
        <v>0.60429999999999995</v>
      </c>
      <c r="F570">
        <v>99</v>
      </c>
    </row>
    <row r="571" spans="1:6" x14ac:dyDescent="0.35">
      <c r="A571" t="s">
        <v>229</v>
      </c>
      <c r="B571" t="s">
        <v>244</v>
      </c>
      <c r="C571" s="26">
        <v>0.58309999999999995</v>
      </c>
      <c r="D571" s="26">
        <v>0.31890000000000002</v>
      </c>
      <c r="E571" s="26">
        <v>9.7900000000000001E-2</v>
      </c>
      <c r="F571">
        <v>260</v>
      </c>
    </row>
    <row r="572" spans="1:6" x14ac:dyDescent="0.35">
      <c r="A572" t="s">
        <v>229</v>
      </c>
      <c r="B572" t="s">
        <v>246</v>
      </c>
      <c r="C572" s="26">
        <v>0.47720000000000001</v>
      </c>
      <c r="D572" s="26">
        <v>0.47239999999999999</v>
      </c>
      <c r="E572" s="26">
        <v>5.04E-2</v>
      </c>
      <c r="F572">
        <v>75</v>
      </c>
    </row>
    <row r="573" spans="1:6" x14ac:dyDescent="0.35">
      <c r="A573" t="s">
        <v>230</v>
      </c>
      <c r="B573" t="s">
        <v>244</v>
      </c>
      <c r="C573" s="26">
        <v>0.47699999999999998</v>
      </c>
      <c r="D573" s="26">
        <v>0.3054</v>
      </c>
      <c r="E573" s="26">
        <v>0.21759999999999999</v>
      </c>
      <c r="F573">
        <v>153</v>
      </c>
    </row>
    <row r="574" spans="1:6" x14ac:dyDescent="0.35">
      <c r="A574" t="s">
        <v>230</v>
      </c>
      <c r="B574" t="s">
        <v>246</v>
      </c>
      <c r="C574" s="26">
        <v>0.2762</v>
      </c>
      <c r="D574" s="26">
        <v>0.5464</v>
      </c>
      <c r="E574" s="26">
        <v>0.17749999999999999</v>
      </c>
      <c r="F574">
        <v>50</v>
      </c>
    </row>
    <row r="575" spans="1:6" x14ac:dyDescent="0.35">
      <c r="A575" t="s">
        <v>231</v>
      </c>
      <c r="B575" t="s">
        <v>244</v>
      </c>
      <c r="C575" s="26">
        <v>0.76670000000000005</v>
      </c>
      <c r="D575" s="26">
        <v>0.23330000000000001</v>
      </c>
      <c r="F575">
        <v>30</v>
      </c>
    </row>
    <row r="576" spans="1:6" x14ac:dyDescent="0.35">
      <c r="A576" s="27" t="s">
        <v>231</v>
      </c>
      <c r="B576" s="27" t="s">
        <v>246</v>
      </c>
      <c r="C576" s="28">
        <v>0.86960000000000004</v>
      </c>
      <c r="D576" s="28">
        <v>0.13039999999999999</v>
      </c>
      <c r="E576" s="29"/>
      <c r="F576" s="29" t="s">
        <v>328</v>
      </c>
    </row>
    <row r="577" spans="1:6" x14ac:dyDescent="0.35">
      <c r="A577" t="s">
        <v>232</v>
      </c>
      <c r="B577" t="s">
        <v>232</v>
      </c>
      <c r="C577" s="26">
        <v>0.55589999999999995</v>
      </c>
      <c r="D577" s="26">
        <v>0.30869999999999997</v>
      </c>
      <c r="E577" s="26">
        <v>0.13539999999999999</v>
      </c>
      <c r="F577">
        <v>968</v>
      </c>
    </row>
    <row r="579" spans="1:6" x14ac:dyDescent="0.35">
      <c r="A579" s="1" t="s">
        <v>389</v>
      </c>
    </row>
    <row r="580" spans="1:6" x14ac:dyDescent="0.35">
      <c r="A580" t="s">
        <v>219</v>
      </c>
      <c r="B580" t="s">
        <v>305</v>
      </c>
      <c r="C580" t="s">
        <v>383</v>
      </c>
      <c r="D580" t="s">
        <v>384</v>
      </c>
      <c r="E580" t="s">
        <v>385</v>
      </c>
      <c r="F580" t="s">
        <v>226</v>
      </c>
    </row>
    <row r="581" spans="1:6" x14ac:dyDescent="0.35">
      <c r="A581" s="27" t="s">
        <v>227</v>
      </c>
      <c r="B581" s="27" t="s">
        <v>360</v>
      </c>
      <c r="C581" s="28">
        <v>0.65380000000000005</v>
      </c>
      <c r="D581" s="28">
        <v>0.30769999999999997</v>
      </c>
      <c r="E581" s="28">
        <v>3.85E-2</v>
      </c>
      <c r="F581" s="29" t="s">
        <v>357</v>
      </c>
    </row>
    <row r="582" spans="1:6" x14ac:dyDescent="0.35">
      <c r="A582" s="27" t="s">
        <v>227</v>
      </c>
      <c r="B582" s="27" t="s">
        <v>361</v>
      </c>
      <c r="C582" s="28">
        <v>0.6</v>
      </c>
      <c r="D582" s="28">
        <v>0.4</v>
      </c>
      <c r="E582" s="29"/>
      <c r="F582" s="29" t="s">
        <v>332</v>
      </c>
    </row>
    <row r="583" spans="1:6" x14ac:dyDescent="0.35">
      <c r="A583" s="27" t="s">
        <v>227</v>
      </c>
      <c r="B583" s="27" t="s">
        <v>362</v>
      </c>
      <c r="C583" s="28">
        <v>0.5333</v>
      </c>
      <c r="D583" s="28">
        <v>0.4667</v>
      </c>
      <c r="E583" s="29"/>
      <c r="F583" s="29" t="s">
        <v>346</v>
      </c>
    </row>
    <row r="584" spans="1:6" x14ac:dyDescent="0.35">
      <c r="A584" s="27" t="s">
        <v>227</v>
      </c>
      <c r="B584" s="27" t="s">
        <v>363</v>
      </c>
      <c r="C584" s="28">
        <v>0.625</v>
      </c>
      <c r="D584" s="28">
        <v>0.375</v>
      </c>
      <c r="E584" s="29"/>
      <c r="F584" s="29" t="s">
        <v>348</v>
      </c>
    </row>
    <row r="585" spans="1:6" x14ac:dyDescent="0.35">
      <c r="A585" t="s">
        <v>228</v>
      </c>
      <c r="B585" t="s">
        <v>360</v>
      </c>
      <c r="C585" s="26">
        <v>0.21360000000000001</v>
      </c>
      <c r="D585" s="26">
        <v>0.18340000000000001</v>
      </c>
      <c r="E585" s="26">
        <v>0.60309999999999997</v>
      </c>
      <c r="F585">
        <v>88</v>
      </c>
    </row>
    <row r="586" spans="1:6" x14ac:dyDescent="0.35">
      <c r="A586" t="s">
        <v>228</v>
      </c>
      <c r="B586" t="s">
        <v>361</v>
      </c>
      <c r="C586" s="26">
        <v>0.254</v>
      </c>
      <c r="D586" s="26">
        <v>0.37080000000000002</v>
      </c>
      <c r="E586" s="26">
        <v>0.37519999999999998</v>
      </c>
      <c r="F586">
        <v>49</v>
      </c>
    </row>
    <row r="587" spans="1:6" x14ac:dyDescent="0.35">
      <c r="A587" t="s">
        <v>228</v>
      </c>
      <c r="B587" t="s">
        <v>363</v>
      </c>
      <c r="C587" s="26">
        <v>0.39240000000000003</v>
      </c>
      <c r="D587" s="26">
        <v>0.21440000000000001</v>
      </c>
      <c r="E587" s="26">
        <v>0.39319999999999999</v>
      </c>
      <c r="F587">
        <v>60</v>
      </c>
    </row>
    <row r="588" spans="1:6" x14ac:dyDescent="0.35">
      <c r="A588" t="s">
        <v>228</v>
      </c>
      <c r="B588" t="s">
        <v>362</v>
      </c>
      <c r="C588" s="26">
        <v>4.2299999999999997E-2</v>
      </c>
      <c r="D588" s="26">
        <v>0.46160000000000001</v>
      </c>
      <c r="E588" s="26">
        <v>0.49609999999999999</v>
      </c>
      <c r="F588">
        <v>71</v>
      </c>
    </row>
    <row r="589" spans="1:6" x14ac:dyDescent="0.35">
      <c r="A589" t="s">
        <v>229</v>
      </c>
      <c r="B589" t="s">
        <v>363</v>
      </c>
      <c r="C589" s="26">
        <v>0.62229999999999996</v>
      </c>
      <c r="D589" s="26">
        <v>0.24010000000000001</v>
      </c>
      <c r="E589" s="26">
        <v>0.1376</v>
      </c>
      <c r="F589">
        <v>52</v>
      </c>
    </row>
    <row r="590" spans="1:6" x14ac:dyDescent="0.35">
      <c r="A590" t="s">
        <v>229</v>
      </c>
      <c r="B590" t="s">
        <v>360</v>
      </c>
      <c r="C590" s="26">
        <v>0.38750000000000001</v>
      </c>
      <c r="D590" s="26">
        <v>0.504</v>
      </c>
      <c r="E590" s="26">
        <v>0.1085</v>
      </c>
      <c r="F590">
        <v>87</v>
      </c>
    </row>
    <row r="591" spans="1:6" x14ac:dyDescent="0.35">
      <c r="A591" t="s">
        <v>229</v>
      </c>
      <c r="B591" t="s">
        <v>361</v>
      </c>
      <c r="C591" s="26">
        <v>0.65469999999999995</v>
      </c>
      <c r="D591" s="26">
        <v>0.34189999999999998</v>
      </c>
      <c r="E591" s="26">
        <v>3.3999999999999998E-3</v>
      </c>
      <c r="F591">
        <v>74</v>
      </c>
    </row>
    <row r="592" spans="1:6" x14ac:dyDescent="0.35">
      <c r="A592" t="s">
        <v>229</v>
      </c>
      <c r="B592" t="s">
        <v>362</v>
      </c>
      <c r="C592" s="26">
        <v>0.45629999999999998</v>
      </c>
      <c r="D592" s="26">
        <v>0.36909999999999998</v>
      </c>
      <c r="E592" s="26">
        <v>0.17460000000000001</v>
      </c>
      <c r="F592">
        <v>72</v>
      </c>
    </row>
    <row r="593" spans="1:6" x14ac:dyDescent="0.35">
      <c r="A593" t="s">
        <v>230</v>
      </c>
      <c r="B593" t="s">
        <v>360</v>
      </c>
      <c r="C593" s="26">
        <v>0.43219999999999997</v>
      </c>
      <c r="D593" s="26">
        <v>0.27750000000000002</v>
      </c>
      <c r="E593" s="26">
        <v>0.2903</v>
      </c>
      <c r="F593">
        <v>60</v>
      </c>
    </row>
    <row r="594" spans="1:6" x14ac:dyDescent="0.35">
      <c r="A594" t="s">
        <v>230</v>
      </c>
      <c r="B594" t="s">
        <v>363</v>
      </c>
      <c r="C594" s="26">
        <v>0.49919999999999998</v>
      </c>
      <c r="D594" s="26">
        <v>0.27110000000000001</v>
      </c>
      <c r="E594" s="26">
        <v>0.22969999999999999</v>
      </c>
      <c r="F594">
        <v>35</v>
      </c>
    </row>
    <row r="595" spans="1:6" x14ac:dyDescent="0.35">
      <c r="A595" s="27" t="s">
        <v>230</v>
      </c>
      <c r="B595" s="27" t="s">
        <v>361</v>
      </c>
      <c r="C595" s="28">
        <v>0.46689999999999998</v>
      </c>
      <c r="D595" s="28">
        <v>0.4607</v>
      </c>
      <c r="E595" s="28">
        <v>7.2400000000000006E-2</v>
      </c>
      <c r="F595" s="29" t="s">
        <v>347</v>
      </c>
    </row>
    <row r="596" spans="1:6" x14ac:dyDescent="0.35">
      <c r="A596" t="s">
        <v>230</v>
      </c>
      <c r="B596" t="s">
        <v>362</v>
      </c>
      <c r="C596" s="26">
        <v>0.31019999999999998</v>
      </c>
      <c r="D596" s="26">
        <v>0.55120000000000002</v>
      </c>
      <c r="E596" s="26">
        <v>0.1386</v>
      </c>
      <c r="F596">
        <v>61</v>
      </c>
    </row>
    <row r="597" spans="1:6" x14ac:dyDescent="0.35">
      <c r="A597" s="27" t="s">
        <v>231</v>
      </c>
      <c r="B597" s="27" t="s">
        <v>362</v>
      </c>
      <c r="C597" s="28">
        <v>0.75</v>
      </c>
      <c r="D597" s="28">
        <v>0.25</v>
      </c>
      <c r="E597" s="29"/>
      <c r="F597" s="29" t="s">
        <v>333</v>
      </c>
    </row>
    <row r="598" spans="1:6" x14ac:dyDescent="0.35">
      <c r="A598" s="27" t="s">
        <v>231</v>
      </c>
      <c r="B598" s="27" t="s">
        <v>361</v>
      </c>
      <c r="C598" s="28">
        <v>0.71430000000000005</v>
      </c>
      <c r="D598" s="28">
        <v>0.28570000000000001</v>
      </c>
      <c r="E598" s="29"/>
      <c r="F598" s="29" t="s">
        <v>339</v>
      </c>
    </row>
    <row r="599" spans="1:6" x14ac:dyDescent="0.35">
      <c r="A599" s="27" t="s">
        <v>231</v>
      </c>
      <c r="B599" s="27" t="s">
        <v>360</v>
      </c>
      <c r="C599" s="28">
        <v>0.89659999999999995</v>
      </c>
      <c r="D599" s="28">
        <v>0.10340000000000001</v>
      </c>
      <c r="E599" s="29"/>
      <c r="F599" s="29" t="s">
        <v>329</v>
      </c>
    </row>
    <row r="600" spans="1:6" x14ac:dyDescent="0.35">
      <c r="A600" s="27" t="s">
        <v>231</v>
      </c>
      <c r="B600" s="27" t="s">
        <v>363</v>
      </c>
      <c r="C600" s="28">
        <v>0.75</v>
      </c>
      <c r="D600" s="28">
        <v>0.25</v>
      </c>
      <c r="E600" s="29"/>
      <c r="F600" s="29" t="s">
        <v>333</v>
      </c>
    </row>
    <row r="601" spans="1:6" x14ac:dyDescent="0.35">
      <c r="A601" t="s">
        <v>232</v>
      </c>
      <c r="B601" t="s">
        <v>232</v>
      </c>
      <c r="C601" s="26">
        <v>0.55589999999999995</v>
      </c>
      <c r="D601" s="26">
        <v>0.30869999999999997</v>
      </c>
      <c r="E601" s="26">
        <v>0.13539999999999999</v>
      </c>
      <c r="F601">
        <v>845</v>
      </c>
    </row>
    <row r="603" spans="1:6" x14ac:dyDescent="0.35">
      <c r="A603" s="1" t="s">
        <v>390</v>
      </c>
    </row>
    <row r="604" spans="1:6" x14ac:dyDescent="0.35">
      <c r="A604" t="s">
        <v>219</v>
      </c>
      <c r="B604" t="s">
        <v>305</v>
      </c>
      <c r="C604" t="s">
        <v>383</v>
      </c>
      <c r="D604" t="s">
        <v>384</v>
      </c>
      <c r="E604" t="s">
        <v>385</v>
      </c>
      <c r="F604" t="s">
        <v>226</v>
      </c>
    </row>
    <row r="605" spans="1:6" x14ac:dyDescent="0.35">
      <c r="A605" s="27" t="s">
        <v>227</v>
      </c>
      <c r="B605" s="27" t="s">
        <v>267</v>
      </c>
      <c r="C605" s="28">
        <v>0.85709999999999997</v>
      </c>
      <c r="D605" s="28">
        <v>0.1429</v>
      </c>
      <c r="E605" s="29"/>
      <c r="F605" s="29" t="s">
        <v>339</v>
      </c>
    </row>
    <row r="606" spans="1:6" x14ac:dyDescent="0.35">
      <c r="A606" s="27" t="s">
        <v>227</v>
      </c>
      <c r="B606" s="27" t="s">
        <v>266</v>
      </c>
      <c r="C606" s="28">
        <v>0.4</v>
      </c>
      <c r="D606" s="28">
        <v>0.6</v>
      </c>
      <c r="E606" s="29"/>
      <c r="F606" s="29" t="s">
        <v>346</v>
      </c>
    </row>
    <row r="607" spans="1:6" x14ac:dyDescent="0.35">
      <c r="A607" t="s">
        <v>227</v>
      </c>
      <c r="B607" t="s">
        <v>265</v>
      </c>
      <c r="C607" s="26">
        <v>0.65849999999999997</v>
      </c>
      <c r="D607" s="26">
        <v>0.31709999999999999</v>
      </c>
      <c r="E607" s="26">
        <v>2.4400000000000002E-2</v>
      </c>
      <c r="F607">
        <v>41</v>
      </c>
    </row>
    <row r="608" spans="1:6" x14ac:dyDescent="0.35">
      <c r="A608" t="s">
        <v>228</v>
      </c>
      <c r="B608" t="s">
        <v>267</v>
      </c>
      <c r="C608" s="26">
        <v>0.1278</v>
      </c>
      <c r="D608" s="26">
        <v>0.28239999999999998</v>
      </c>
      <c r="E608" s="26">
        <v>0.5897</v>
      </c>
      <c r="F608">
        <v>39</v>
      </c>
    </row>
    <row r="609" spans="1:6" x14ac:dyDescent="0.35">
      <c r="A609" t="s">
        <v>228</v>
      </c>
      <c r="B609" t="s">
        <v>266</v>
      </c>
      <c r="C609" s="26">
        <v>0.1275</v>
      </c>
      <c r="D609" s="26">
        <v>0.32279999999999998</v>
      </c>
      <c r="E609" s="26">
        <v>0.54959999999999998</v>
      </c>
      <c r="F609">
        <v>115</v>
      </c>
    </row>
    <row r="610" spans="1:6" x14ac:dyDescent="0.35">
      <c r="A610" t="s">
        <v>228</v>
      </c>
      <c r="B610" t="s">
        <v>265</v>
      </c>
      <c r="C610" s="26">
        <v>0.31180000000000002</v>
      </c>
      <c r="D610" s="26">
        <v>0.30049999999999999</v>
      </c>
      <c r="E610" s="26">
        <v>0.38769999999999999</v>
      </c>
      <c r="F610">
        <v>160</v>
      </c>
    </row>
    <row r="611" spans="1:6" x14ac:dyDescent="0.35">
      <c r="A611" t="s">
        <v>229</v>
      </c>
      <c r="B611" t="s">
        <v>267</v>
      </c>
      <c r="C611" s="26">
        <v>0.58760000000000001</v>
      </c>
      <c r="D611" s="26">
        <v>0.38550000000000001</v>
      </c>
      <c r="E611" s="26">
        <v>2.7E-2</v>
      </c>
      <c r="F611">
        <v>53</v>
      </c>
    </row>
    <row r="612" spans="1:6" x14ac:dyDescent="0.35">
      <c r="A612" t="s">
        <v>229</v>
      </c>
      <c r="B612" t="s">
        <v>266</v>
      </c>
      <c r="C612" s="26">
        <v>0.68400000000000005</v>
      </c>
      <c r="D612" s="26">
        <v>0.20419999999999999</v>
      </c>
      <c r="E612" s="26">
        <v>0.1119</v>
      </c>
      <c r="F612">
        <v>108</v>
      </c>
    </row>
    <row r="613" spans="1:6" x14ac:dyDescent="0.35">
      <c r="A613" t="s">
        <v>229</v>
      </c>
      <c r="B613" t="s">
        <v>265</v>
      </c>
      <c r="C613" s="26">
        <v>0.49159999999999998</v>
      </c>
      <c r="D613" s="26">
        <v>0.4158</v>
      </c>
      <c r="E613" s="26">
        <v>9.2600000000000002E-2</v>
      </c>
      <c r="F613">
        <v>174</v>
      </c>
    </row>
    <row r="614" spans="1:6" x14ac:dyDescent="0.35">
      <c r="A614" t="s">
        <v>230</v>
      </c>
      <c r="B614" t="s">
        <v>267</v>
      </c>
      <c r="C614" s="26">
        <v>0.42109999999999997</v>
      </c>
      <c r="D614" s="26">
        <v>0.41239999999999999</v>
      </c>
      <c r="E614" s="26">
        <v>0.16650000000000001</v>
      </c>
      <c r="F614">
        <v>30</v>
      </c>
    </row>
    <row r="615" spans="1:6" x14ac:dyDescent="0.35">
      <c r="A615" t="s">
        <v>230</v>
      </c>
      <c r="B615" t="s">
        <v>266</v>
      </c>
      <c r="C615" s="26">
        <v>0.50639999999999996</v>
      </c>
      <c r="D615" s="26">
        <v>0.18579999999999999</v>
      </c>
      <c r="E615" s="26">
        <v>0.30780000000000002</v>
      </c>
      <c r="F615">
        <v>66</v>
      </c>
    </row>
    <row r="616" spans="1:6" x14ac:dyDescent="0.35">
      <c r="A616" t="s">
        <v>230</v>
      </c>
      <c r="B616" t="s">
        <v>265</v>
      </c>
      <c r="C616" s="26">
        <v>0.38669999999999999</v>
      </c>
      <c r="D616" s="26">
        <v>0.4415</v>
      </c>
      <c r="E616" s="26">
        <v>0.17180000000000001</v>
      </c>
      <c r="F616">
        <v>107</v>
      </c>
    </row>
    <row r="617" spans="1:6" x14ac:dyDescent="0.35">
      <c r="A617" s="27" t="s">
        <v>231</v>
      </c>
      <c r="B617" s="27" t="s">
        <v>267</v>
      </c>
      <c r="C617" s="28">
        <v>0.75</v>
      </c>
      <c r="D617" s="28">
        <v>0.25</v>
      </c>
      <c r="E617" s="29"/>
      <c r="F617" s="29" t="s">
        <v>333</v>
      </c>
    </row>
    <row r="618" spans="1:6" x14ac:dyDescent="0.35">
      <c r="A618" s="27" t="s">
        <v>231</v>
      </c>
      <c r="B618" s="27" t="s">
        <v>266</v>
      </c>
      <c r="C618" s="28">
        <v>0.78569999999999995</v>
      </c>
      <c r="D618" s="28">
        <v>0.21429999999999999</v>
      </c>
      <c r="E618" s="29"/>
      <c r="F618" s="29" t="s">
        <v>379</v>
      </c>
    </row>
    <row r="619" spans="1:6" x14ac:dyDescent="0.35">
      <c r="A619" t="s">
        <v>231</v>
      </c>
      <c r="B619" t="s">
        <v>265</v>
      </c>
      <c r="C619" s="26">
        <v>0.8387</v>
      </c>
      <c r="D619" s="26">
        <v>0.1613</v>
      </c>
      <c r="F619">
        <v>31</v>
      </c>
    </row>
    <row r="620" spans="1:6" x14ac:dyDescent="0.35">
      <c r="A620" t="s">
        <v>232</v>
      </c>
      <c r="B620" t="s">
        <v>232</v>
      </c>
      <c r="C620" s="26">
        <v>0.55589999999999995</v>
      </c>
      <c r="D620" s="26">
        <v>0.30869999999999997</v>
      </c>
      <c r="E620" s="26">
        <v>0.13539999999999999</v>
      </c>
      <c r="F620">
        <v>968</v>
      </c>
    </row>
    <row r="622" spans="1:6" x14ac:dyDescent="0.35">
      <c r="A622" s="1" t="s">
        <v>391</v>
      </c>
    </row>
    <row r="623" spans="1:6" x14ac:dyDescent="0.35">
      <c r="A623" t="s">
        <v>219</v>
      </c>
      <c r="B623" t="s">
        <v>305</v>
      </c>
      <c r="C623" t="s">
        <v>383</v>
      </c>
      <c r="D623" t="s">
        <v>384</v>
      </c>
      <c r="E623" t="s">
        <v>385</v>
      </c>
      <c r="F623" t="s">
        <v>226</v>
      </c>
    </row>
    <row r="624" spans="1:6" x14ac:dyDescent="0.35">
      <c r="A624" s="27" t="s">
        <v>227</v>
      </c>
      <c r="B624" s="27" t="s">
        <v>252</v>
      </c>
      <c r="C624" s="29"/>
      <c r="D624" s="28">
        <v>1</v>
      </c>
      <c r="E624" s="29"/>
      <c r="F624" s="29" t="s">
        <v>331</v>
      </c>
    </row>
    <row r="625" spans="1:6" x14ac:dyDescent="0.35">
      <c r="A625" s="27" t="s">
        <v>227</v>
      </c>
      <c r="B625" s="27" t="s">
        <v>253</v>
      </c>
      <c r="C625" s="28">
        <v>0.66669999999999996</v>
      </c>
      <c r="D625" s="28">
        <v>0.33329999999999999</v>
      </c>
      <c r="E625" s="29"/>
      <c r="F625" s="29" t="s">
        <v>346</v>
      </c>
    </row>
    <row r="626" spans="1:6" x14ac:dyDescent="0.35">
      <c r="A626" t="s">
        <v>227</v>
      </c>
      <c r="B626" t="s">
        <v>251</v>
      </c>
      <c r="C626" s="26">
        <v>0.61699999999999999</v>
      </c>
      <c r="D626" s="26">
        <v>0.36170000000000002</v>
      </c>
      <c r="E626" s="26">
        <v>2.1299999999999999E-2</v>
      </c>
      <c r="F626">
        <v>47</v>
      </c>
    </row>
    <row r="627" spans="1:6" x14ac:dyDescent="0.35">
      <c r="A627" s="27" t="s">
        <v>228</v>
      </c>
      <c r="B627" s="27" t="s">
        <v>252</v>
      </c>
      <c r="C627" s="29"/>
      <c r="D627" s="28">
        <v>1</v>
      </c>
      <c r="E627" s="29"/>
      <c r="F627" s="29" t="s">
        <v>331</v>
      </c>
    </row>
    <row r="628" spans="1:6" x14ac:dyDescent="0.35">
      <c r="A628" t="s">
        <v>228</v>
      </c>
      <c r="B628" t="s">
        <v>253</v>
      </c>
      <c r="C628" s="26">
        <v>0.27789999999999998</v>
      </c>
      <c r="D628" s="26">
        <v>0.22409999999999999</v>
      </c>
      <c r="E628" s="26">
        <v>0.498</v>
      </c>
      <c r="F628">
        <v>91</v>
      </c>
    </row>
    <row r="629" spans="1:6" x14ac:dyDescent="0.35">
      <c r="A629" t="s">
        <v>228</v>
      </c>
      <c r="B629" t="s">
        <v>251</v>
      </c>
      <c r="C629" s="26">
        <v>0.2112</v>
      </c>
      <c r="D629" s="26">
        <v>0.32769999999999999</v>
      </c>
      <c r="E629" s="26">
        <v>0.46110000000000001</v>
      </c>
      <c r="F629">
        <v>222</v>
      </c>
    </row>
    <row r="630" spans="1:6" x14ac:dyDescent="0.35">
      <c r="A630" s="27" t="s">
        <v>229</v>
      </c>
      <c r="B630" s="27" t="s">
        <v>252</v>
      </c>
      <c r="C630" s="29"/>
      <c r="D630" s="28">
        <v>1</v>
      </c>
      <c r="E630" s="29"/>
      <c r="F630" s="29" t="s">
        <v>314</v>
      </c>
    </row>
    <row r="631" spans="1:6" x14ac:dyDescent="0.35">
      <c r="A631" t="s">
        <v>229</v>
      </c>
      <c r="B631" t="s">
        <v>253</v>
      </c>
      <c r="C631" s="26">
        <v>0.39340000000000003</v>
      </c>
      <c r="D631" s="26">
        <v>0.56010000000000004</v>
      </c>
      <c r="E631" s="26">
        <v>4.65E-2</v>
      </c>
      <c r="F631">
        <v>59</v>
      </c>
    </row>
    <row r="632" spans="1:6" x14ac:dyDescent="0.35">
      <c r="A632" t="s">
        <v>229</v>
      </c>
      <c r="B632" t="s">
        <v>251</v>
      </c>
      <c r="C632" s="26">
        <v>0.60260000000000002</v>
      </c>
      <c r="D632" s="26">
        <v>0.29920000000000002</v>
      </c>
      <c r="E632" s="26">
        <v>9.8199999999999996E-2</v>
      </c>
      <c r="F632">
        <v>274</v>
      </c>
    </row>
    <row r="633" spans="1:6" x14ac:dyDescent="0.35">
      <c r="A633" t="s">
        <v>230</v>
      </c>
      <c r="B633" t="s">
        <v>253</v>
      </c>
      <c r="C633" s="26">
        <v>0.34589999999999999</v>
      </c>
      <c r="D633" s="26">
        <v>0.52500000000000002</v>
      </c>
      <c r="E633" s="26">
        <v>0.129</v>
      </c>
      <c r="F633">
        <v>33</v>
      </c>
    </row>
    <row r="634" spans="1:6" x14ac:dyDescent="0.35">
      <c r="A634" t="s">
        <v>230</v>
      </c>
      <c r="B634" t="s">
        <v>251</v>
      </c>
      <c r="C634" s="26">
        <v>0.44030000000000002</v>
      </c>
      <c r="D634" s="26">
        <v>0.33639999999999998</v>
      </c>
      <c r="E634" s="26">
        <v>0.22320000000000001</v>
      </c>
      <c r="F634">
        <v>170</v>
      </c>
    </row>
    <row r="635" spans="1:6" x14ac:dyDescent="0.35">
      <c r="A635" s="27" t="s">
        <v>231</v>
      </c>
      <c r="B635" s="27" t="s">
        <v>252</v>
      </c>
      <c r="C635" s="28">
        <v>1</v>
      </c>
      <c r="D635" s="29"/>
      <c r="E635" s="29"/>
      <c r="F635" s="29" t="s">
        <v>315</v>
      </c>
    </row>
    <row r="636" spans="1:6" x14ac:dyDescent="0.35">
      <c r="A636" s="27" t="s">
        <v>231</v>
      </c>
      <c r="B636" s="27" t="s">
        <v>253</v>
      </c>
      <c r="C636" s="28">
        <v>0.71430000000000005</v>
      </c>
      <c r="D636" s="28">
        <v>0.28570000000000001</v>
      </c>
      <c r="E636" s="29"/>
      <c r="F636" s="29" t="s">
        <v>339</v>
      </c>
    </row>
    <row r="637" spans="1:6" x14ac:dyDescent="0.35">
      <c r="A637" t="s">
        <v>231</v>
      </c>
      <c r="B637" t="s">
        <v>251</v>
      </c>
      <c r="C637" s="26">
        <v>0.81399999999999995</v>
      </c>
      <c r="D637" s="26">
        <v>0.186</v>
      </c>
      <c r="F637">
        <v>43</v>
      </c>
    </row>
    <row r="638" spans="1:6" x14ac:dyDescent="0.35">
      <c r="A638" t="s">
        <v>232</v>
      </c>
      <c r="B638" t="s">
        <v>232</v>
      </c>
      <c r="C638" s="26">
        <v>0.55589999999999995</v>
      </c>
      <c r="D638" s="26">
        <v>0.30869999999999997</v>
      </c>
      <c r="E638" s="26">
        <v>0.13539999999999999</v>
      </c>
      <c r="F638">
        <v>968</v>
      </c>
    </row>
    <row r="640" spans="1:6" x14ac:dyDescent="0.35">
      <c r="A640" s="1" t="s">
        <v>392</v>
      </c>
    </row>
    <row r="641" spans="1:6" x14ac:dyDescent="0.35">
      <c r="A641" t="s">
        <v>219</v>
      </c>
      <c r="B641" t="s">
        <v>305</v>
      </c>
      <c r="C641" t="s">
        <v>383</v>
      </c>
      <c r="D641" t="s">
        <v>384</v>
      </c>
      <c r="E641" t="s">
        <v>385</v>
      </c>
      <c r="F641" t="s">
        <v>226</v>
      </c>
    </row>
    <row r="642" spans="1:6" x14ac:dyDescent="0.35">
      <c r="A642" t="s">
        <v>227</v>
      </c>
      <c r="B642" t="s">
        <v>260</v>
      </c>
      <c r="C642" s="26">
        <v>0.65380000000000005</v>
      </c>
      <c r="D642" s="26">
        <v>0.32690000000000002</v>
      </c>
      <c r="E642" s="26">
        <v>1.9199999999999998E-2</v>
      </c>
      <c r="F642">
        <v>52</v>
      </c>
    </row>
    <row r="643" spans="1:6" x14ac:dyDescent="0.35">
      <c r="A643" s="27" t="s">
        <v>227</v>
      </c>
      <c r="B643" s="27" t="s">
        <v>261</v>
      </c>
      <c r="C643" s="28">
        <v>0.33329999999999999</v>
      </c>
      <c r="D643" s="28">
        <v>0.66669999999999996</v>
      </c>
      <c r="E643" s="29"/>
      <c r="F643" s="29" t="s">
        <v>335</v>
      </c>
    </row>
    <row r="644" spans="1:6" x14ac:dyDescent="0.35">
      <c r="A644" s="27" t="s">
        <v>227</v>
      </c>
      <c r="B644" s="27" t="s">
        <v>262</v>
      </c>
      <c r="C644" s="28">
        <v>0.6</v>
      </c>
      <c r="D644" s="28">
        <v>0.4</v>
      </c>
      <c r="E644" s="29"/>
      <c r="F644" s="29" t="s">
        <v>332</v>
      </c>
    </row>
    <row r="645" spans="1:6" x14ac:dyDescent="0.35">
      <c r="A645" s="27" t="s">
        <v>228</v>
      </c>
      <c r="B645" s="27" t="s">
        <v>263</v>
      </c>
      <c r="C645" s="28">
        <v>0.1197</v>
      </c>
      <c r="D645" s="29"/>
      <c r="E645" s="28">
        <v>0.88029999999999997</v>
      </c>
      <c r="F645" s="29" t="s">
        <v>339</v>
      </c>
    </row>
    <row r="646" spans="1:6" x14ac:dyDescent="0.35">
      <c r="A646" t="s">
        <v>228</v>
      </c>
      <c r="B646" t="s">
        <v>262</v>
      </c>
      <c r="C646" s="26">
        <v>0.19270000000000001</v>
      </c>
      <c r="D646" s="26">
        <v>0.3196</v>
      </c>
      <c r="E646" s="26">
        <v>0.48770000000000002</v>
      </c>
      <c r="F646">
        <v>94</v>
      </c>
    </row>
    <row r="647" spans="1:6" x14ac:dyDescent="0.35">
      <c r="A647" t="s">
        <v>228</v>
      </c>
      <c r="B647" t="s">
        <v>260</v>
      </c>
      <c r="C647" s="26">
        <v>0.2898</v>
      </c>
      <c r="D647" s="26">
        <v>0.3866</v>
      </c>
      <c r="E647" s="26">
        <v>0.3236</v>
      </c>
      <c r="F647">
        <v>136</v>
      </c>
    </row>
    <row r="648" spans="1:6" x14ac:dyDescent="0.35">
      <c r="A648" s="27" t="s">
        <v>228</v>
      </c>
      <c r="B648" s="27" t="s">
        <v>236</v>
      </c>
      <c r="C648" s="29"/>
      <c r="D648" s="28">
        <v>0.77429999999999999</v>
      </c>
      <c r="E648" s="28">
        <v>0.22570000000000001</v>
      </c>
      <c r="F648" s="29" t="s">
        <v>314</v>
      </c>
    </row>
    <row r="649" spans="1:6" x14ac:dyDescent="0.35">
      <c r="A649" t="s">
        <v>228</v>
      </c>
      <c r="B649" t="s">
        <v>261</v>
      </c>
      <c r="C649" s="26">
        <v>0.15160000000000001</v>
      </c>
      <c r="D649" s="26">
        <v>0.15179999999999999</v>
      </c>
      <c r="E649" s="26">
        <v>0.69650000000000001</v>
      </c>
      <c r="F649">
        <v>75</v>
      </c>
    </row>
    <row r="650" spans="1:6" x14ac:dyDescent="0.35">
      <c r="A650" s="27" t="s">
        <v>229</v>
      </c>
      <c r="B650" s="27" t="s">
        <v>263</v>
      </c>
      <c r="C650" s="28">
        <v>0.2072</v>
      </c>
      <c r="D650" s="28">
        <v>0.75870000000000004</v>
      </c>
      <c r="E650" s="28">
        <v>3.4099999999999998E-2</v>
      </c>
      <c r="F650" s="29" t="s">
        <v>333</v>
      </c>
    </row>
    <row r="651" spans="1:6" x14ac:dyDescent="0.35">
      <c r="A651" t="s">
        <v>229</v>
      </c>
      <c r="B651" t="s">
        <v>261</v>
      </c>
      <c r="C651" s="26">
        <v>0.60960000000000003</v>
      </c>
      <c r="D651" s="26">
        <v>0.15110000000000001</v>
      </c>
      <c r="E651" s="26">
        <v>0.23930000000000001</v>
      </c>
      <c r="F651">
        <v>42</v>
      </c>
    </row>
    <row r="652" spans="1:6" x14ac:dyDescent="0.35">
      <c r="A652" t="s">
        <v>229</v>
      </c>
      <c r="B652" t="s">
        <v>262</v>
      </c>
      <c r="C652" s="26">
        <v>0.66849999999999998</v>
      </c>
      <c r="D652" s="26">
        <v>0.28649999999999998</v>
      </c>
      <c r="E652" s="26">
        <v>4.4999999999999998E-2</v>
      </c>
      <c r="F652">
        <v>104</v>
      </c>
    </row>
    <row r="653" spans="1:6" x14ac:dyDescent="0.35">
      <c r="A653" t="s">
        <v>229</v>
      </c>
      <c r="B653" t="s">
        <v>260</v>
      </c>
      <c r="C653" s="26">
        <v>0.46389999999999998</v>
      </c>
      <c r="D653" s="26">
        <v>0.46089999999999998</v>
      </c>
      <c r="E653" s="26">
        <v>7.5200000000000003E-2</v>
      </c>
      <c r="F653">
        <v>181</v>
      </c>
    </row>
    <row r="654" spans="1:6" x14ac:dyDescent="0.35">
      <c r="A654" t="s">
        <v>230</v>
      </c>
      <c r="B654" t="s">
        <v>261</v>
      </c>
      <c r="C654" s="26">
        <v>0.16639999999999999</v>
      </c>
      <c r="D654" s="26">
        <v>0.13389999999999999</v>
      </c>
      <c r="E654" s="26">
        <v>0.69979999999999998</v>
      </c>
      <c r="F654">
        <v>30</v>
      </c>
    </row>
    <row r="655" spans="1:6" x14ac:dyDescent="0.35">
      <c r="A655" s="27" t="s">
        <v>230</v>
      </c>
      <c r="B655" s="27" t="s">
        <v>236</v>
      </c>
      <c r="C655" s="29"/>
      <c r="D655" s="29"/>
      <c r="E655" s="28">
        <v>1</v>
      </c>
      <c r="F655" s="29" t="s">
        <v>314</v>
      </c>
    </row>
    <row r="656" spans="1:6" x14ac:dyDescent="0.35">
      <c r="A656" t="s">
        <v>230</v>
      </c>
      <c r="B656" t="s">
        <v>262</v>
      </c>
      <c r="C656" s="26">
        <v>0.67879999999999996</v>
      </c>
      <c r="D656" s="26">
        <v>0.15939999999999999</v>
      </c>
      <c r="E656" s="26">
        <v>0.1618</v>
      </c>
      <c r="F656">
        <v>57</v>
      </c>
    </row>
    <row r="657" spans="1:6" x14ac:dyDescent="0.35">
      <c r="A657" t="s">
        <v>230</v>
      </c>
      <c r="B657" t="s">
        <v>260</v>
      </c>
      <c r="C657" s="26">
        <v>0.43180000000000002</v>
      </c>
      <c r="D657" s="26">
        <v>0.4496</v>
      </c>
      <c r="E657" s="26">
        <v>0.1187</v>
      </c>
      <c r="F657">
        <v>107</v>
      </c>
    </row>
    <row r="658" spans="1:6" x14ac:dyDescent="0.35">
      <c r="A658" s="27" t="s">
        <v>230</v>
      </c>
      <c r="B658" s="27" t="s">
        <v>263</v>
      </c>
      <c r="C658" s="28">
        <v>6.4699999999999994E-2</v>
      </c>
      <c r="D658" s="28">
        <v>0.89639999999999997</v>
      </c>
      <c r="E658" s="28">
        <v>3.8899999999999997E-2</v>
      </c>
      <c r="F658" s="29" t="s">
        <v>339</v>
      </c>
    </row>
    <row r="659" spans="1:6" x14ac:dyDescent="0.35">
      <c r="A659" s="27" t="s">
        <v>231</v>
      </c>
      <c r="B659" s="27" t="s">
        <v>263</v>
      </c>
      <c r="C659" s="28">
        <v>1</v>
      </c>
      <c r="D659" s="29"/>
      <c r="E659" s="29"/>
      <c r="F659" s="29" t="s">
        <v>314</v>
      </c>
    </row>
    <row r="660" spans="1:6" x14ac:dyDescent="0.35">
      <c r="A660" t="s">
        <v>231</v>
      </c>
      <c r="B660" t="s">
        <v>260</v>
      </c>
      <c r="C660" s="26">
        <v>0.78049999999999997</v>
      </c>
      <c r="D660" s="26">
        <v>0.2195</v>
      </c>
      <c r="F660">
        <v>41</v>
      </c>
    </row>
    <row r="661" spans="1:6" x14ac:dyDescent="0.35">
      <c r="A661" s="27" t="s">
        <v>231</v>
      </c>
      <c r="B661" s="27" t="s">
        <v>261</v>
      </c>
      <c r="C661" s="28">
        <v>1</v>
      </c>
      <c r="D661" s="29"/>
      <c r="E661" s="29"/>
      <c r="F661" s="29" t="s">
        <v>335</v>
      </c>
    </row>
    <row r="662" spans="1:6" x14ac:dyDescent="0.35">
      <c r="A662" s="27" t="s">
        <v>231</v>
      </c>
      <c r="B662" s="27" t="s">
        <v>262</v>
      </c>
      <c r="C662" s="28">
        <v>0.75</v>
      </c>
      <c r="D662" s="28">
        <v>0.25</v>
      </c>
      <c r="E662" s="29"/>
      <c r="F662" s="29" t="s">
        <v>337</v>
      </c>
    </row>
    <row r="663" spans="1:6" x14ac:dyDescent="0.35">
      <c r="A663" t="s">
        <v>232</v>
      </c>
      <c r="B663" t="s">
        <v>232</v>
      </c>
      <c r="C663" s="26">
        <v>0.55589999999999995</v>
      </c>
      <c r="D663" s="26">
        <v>0.30869999999999997</v>
      </c>
      <c r="E663" s="26">
        <v>0.13539999999999999</v>
      </c>
      <c r="F663">
        <v>968</v>
      </c>
    </row>
    <row r="665" spans="1:6" x14ac:dyDescent="0.35">
      <c r="A665" s="1" t="s">
        <v>393</v>
      </c>
    </row>
    <row r="666" spans="1:6" x14ac:dyDescent="0.35">
      <c r="A666" t="s">
        <v>219</v>
      </c>
      <c r="B666" t="s">
        <v>305</v>
      </c>
      <c r="C666" t="s">
        <v>383</v>
      </c>
      <c r="D666" t="s">
        <v>384</v>
      </c>
      <c r="E666" t="s">
        <v>385</v>
      </c>
      <c r="F666" t="s">
        <v>226</v>
      </c>
    </row>
    <row r="667" spans="1:6" x14ac:dyDescent="0.35">
      <c r="A667" s="27" t="s">
        <v>227</v>
      </c>
      <c r="B667" s="27" t="s">
        <v>368</v>
      </c>
      <c r="C667" s="28">
        <v>0.33329999999999999</v>
      </c>
      <c r="D667" s="28">
        <v>0.66669999999999996</v>
      </c>
      <c r="E667" s="29"/>
      <c r="F667" s="29" t="s">
        <v>335</v>
      </c>
    </row>
    <row r="668" spans="1:6" x14ac:dyDescent="0.35">
      <c r="A668" t="s">
        <v>227</v>
      </c>
      <c r="B668" t="s">
        <v>369</v>
      </c>
      <c r="C668" s="26">
        <v>0.64910000000000001</v>
      </c>
      <c r="D668" s="26">
        <v>0.33329999999999999</v>
      </c>
      <c r="E668" s="26">
        <v>1.7500000000000002E-2</v>
      </c>
      <c r="F668">
        <v>57</v>
      </c>
    </row>
    <row r="669" spans="1:6" x14ac:dyDescent="0.35">
      <c r="A669" t="s">
        <v>228</v>
      </c>
      <c r="B669" t="s">
        <v>368</v>
      </c>
      <c r="C669" s="26">
        <v>0.15160000000000001</v>
      </c>
      <c r="D669" s="26">
        <v>0.15179999999999999</v>
      </c>
      <c r="E669" s="26">
        <v>0.69650000000000001</v>
      </c>
      <c r="F669">
        <v>75</v>
      </c>
    </row>
    <row r="670" spans="1:6" x14ac:dyDescent="0.35">
      <c r="A670" t="s">
        <v>228</v>
      </c>
      <c r="B670" t="s">
        <v>369</v>
      </c>
      <c r="C670" s="26">
        <v>0.24979999999999999</v>
      </c>
      <c r="D670" s="26">
        <v>0.3543</v>
      </c>
      <c r="E670" s="26">
        <v>0.39579999999999999</v>
      </c>
      <c r="F670">
        <v>239</v>
      </c>
    </row>
    <row r="671" spans="1:6" x14ac:dyDescent="0.35">
      <c r="A671" t="s">
        <v>229</v>
      </c>
      <c r="B671" t="s">
        <v>368</v>
      </c>
      <c r="C671" s="26">
        <v>0.60960000000000003</v>
      </c>
      <c r="D671" s="26">
        <v>0.15110000000000001</v>
      </c>
      <c r="E671" s="26">
        <v>0.23930000000000001</v>
      </c>
      <c r="F671">
        <v>42</v>
      </c>
    </row>
    <row r="672" spans="1:6" x14ac:dyDescent="0.35">
      <c r="A672" t="s">
        <v>229</v>
      </c>
      <c r="B672" t="s">
        <v>369</v>
      </c>
      <c r="C672" s="26">
        <v>0.55179999999999996</v>
      </c>
      <c r="D672" s="26">
        <v>0.3881</v>
      </c>
      <c r="E672" s="26">
        <v>0.06</v>
      </c>
      <c r="F672">
        <v>293</v>
      </c>
    </row>
    <row r="673" spans="1:6" x14ac:dyDescent="0.35">
      <c r="A673" t="s">
        <v>230</v>
      </c>
      <c r="B673" t="s">
        <v>368</v>
      </c>
      <c r="C673" s="26">
        <v>0.16639999999999999</v>
      </c>
      <c r="D673" s="26">
        <v>0.13389999999999999</v>
      </c>
      <c r="E673" s="26">
        <v>0.69979999999999998</v>
      </c>
      <c r="F673">
        <v>30</v>
      </c>
    </row>
    <row r="674" spans="1:6" x14ac:dyDescent="0.35">
      <c r="A674" t="s">
        <v>230</v>
      </c>
      <c r="B674" t="s">
        <v>369</v>
      </c>
      <c r="C674" s="26">
        <v>0.46500000000000002</v>
      </c>
      <c r="D674" s="26">
        <v>0.40629999999999999</v>
      </c>
      <c r="E674" s="26">
        <v>0.12870000000000001</v>
      </c>
      <c r="F674">
        <v>173</v>
      </c>
    </row>
    <row r="675" spans="1:6" x14ac:dyDescent="0.35">
      <c r="A675" s="27" t="s">
        <v>231</v>
      </c>
      <c r="B675" s="27" t="s">
        <v>368</v>
      </c>
      <c r="C675" s="28">
        <v>1</v>
      </c>
      <c r="D675" s="29"/>
      <c r="E675" s="29"/>
      <c r="F675" s="29" t="s">
        <v>335</v>
      </c>
    </row>
    <row r="676" spans="1:6" x14ac:dyDescent="0.35">
      <c r="A676" t="s">
        <v>231</v>
      </c>
      <c r="B676" t="s">
        <v>369</v>
      </c>
      <c r="C676" s="26">
        <v>0.78720000000000001</v>
      </c>
      <c r="D676" s="26">
        <v>0.21279999999999999</v>
      </c>
      <c r="F676">
        <v>47</v>
      </c>
    </row>
    <row r="677" spans="1:6" x14ac:dyDescent="0.35">
      <c r="A677" t="s">
        <v>232</v>
      </c>
      <c r="B677" t="s">
        <v>232</v>
      </c>
      <c r="C677" s="26">
        <v>0.55589999999999995</v>
      </c>
      <c r="D677" s="26">
        <v>0.30869999999999997</v>
      </c>
      <c r="E677" s="26">
        <v>0.13539999999999999</v>
      </c>
      <c r="F677">
        <v>968</v>
      </c>
    </row>
    <row r="679" spans="1:6" x14ac:dyDescent="0.35">
      <c r="A679" s="1" t="s">
        <v>394</v>
      </c>
    </row>
    <row r="680" spans="1:6" x14ac:dyDescent="0.35">
      <c r="A680" t="s">
        <v>219</v>
      </c>
      <c r="B680" t="s">
        <v>305</v>
      </c>
      <c r="C680" t="s">
        <v>383</v>
      </c>
      <c r="D680" t="s">
        <v>384</v>
      </c>
      <c r="E680" t="s">
        <v>385</v>
      </c>
      <c r="F680" t="s">
        <v>226</v>
      </c>
    </row>
    <row r="681" spans="1:6" x14ac:dyDescent="0.35">
      <c r="A681" t="s">
        <v>227</v>
      </c>
      <c r="B681" t="s">
        <v>371</v>
      </c>
      <c r="C681" s="26">
        <v>0.61899999999999999</v>
      </c>
      <c r="D681" s="26">
        <v>0.36509999999999998</v>
      </c>
      <c r="E681" s="26">
        <v>1.5900000000000001E-2</v>
      </c>
      <c r="F681">
        <v>63</v>
      </c>
    </row>
    <row r="682" spans="1:6" x14ac:dyDescent="0.35">
      <c r="A682" t="s">
        <v>228</v>
      </c>
      <c r="B682" t="s">
        <v>371</v>
      </c>
      <c r="C682" s="26">
        <v>0.28620000000000001</v>
      </c>
      <c r="D682" s="26">
        <v>0.33900000000000002</v>
      </c>
      <c r="E682" s="26">
        <v>0.37480000000000002</v>
      </c>
      <c r="F682">
        <v>111</v>
      </c>
    </row>
    <row r="683" spans="1:6" x14ac:dyDescent="0.35">
      <c r="A683" t="s">
        <v>228</v>
      </c>
      <c r="B683" t="s">
        <v>372</v>
      </c>
      <c r="C683" s="26">
        <v>0.18060000000000001</v>
      </c>
      <c r="D683" s="26">
        <v>0.1305</v>
      </c>
      <c r="E683" s="26">
        <v>0.68899999999999995</v>
      </c>
      <c r="F683">
        <v>51</v>
      </c>
    </row>
    <row r="684" spans="1:6" x14ac:dyDescent="0.35">
      <c r="A684" t="s">
        <v>228</v>
      </c>
      <c r="B684" t="s">
        <v>373</v>
      </c>
      <c r="C684" s="26">
        <v>0.1236</v>
      </c>
      <c r="D684" s="26">
        <v>0.28110000000000002</v>
      </c>
      <c r="E684" s="26">
        <v>0.59530000000000005</v>
      </c>
      <c r="F684">
        <v>152</v>
      </c>
    </row>
    <row r="685" spans="1:6" x14ac:dyDescent="0.35">
      <c r="A685" t="s">
        <v>229</v>
      </c>
      <c r="B685" t="s">
        <v>371</v>
      </c>
      <c r="C685" s="26">
        <v>0.58420000000000005</v>
      </c>
      <c r="D685" s="26">
        <v>0.35249999999999998</v>
      </c>
      <c r="E685" s="26">
        <v>6.3299999999999995E-2</v>
      </c>
      <c r="F685">
        <v>230</v>
      </c>
    </row>
    <row r="686" spans="1:6" x14ac:dyDescent="0.35">
      <c r="A686" t="s">
        <v>229</v>
      </c>
      <c r="B686" t="s">
        <v>372</v>
      </c>
      <c r="C686" s="26">
        <v>0.2621</v>
      </c>
      <c r="D686" s="26">
        <v>0.2445</v>
      </c>
      <c r="E686" s="26">
        <v>0.49340000000000001</v>
      </c>
      <c r="F686">
        <v>76</v>
      </c>
    </row>
    <row r="687" spans="1:6" x14ac:dyDescent="0.35">
      <c r="A687" s="27" t="s">
        <v>229</v>
      </c>
      <c r="B687" s="27" t="s">
        <v>373</v>
      </c>
      <c r="C687" s="28">
        <v>7.6700000000000004E-2</v>
      </c>
      <c r="D687" s="28">
        <v>0.55649999999999999</v>
      </c>
      <c r="E687" s="28">
        <v>0.36680000000000001</v>
      </c>
      <c r="F687" s="29" t="s">
        <v>329</v>
      </c>
    </row>
    <row r="688" spans="1:6" x14ac:dyDescent="0.35">
      <c r="A688" t="s">
        <v>230</v>
      </c>
      <c r="B688" t="s">
        <v>371</v>
      </c>
      <c r="C688" s="26">
        <v>0.45610000000000001</v>
      </c>
      <c r="D688" s="26">
        <v>0.39190000000000003</v>
      </c>
      <c r="E688" s="26">
        <v>0.152</v>
      </c>
      <c r="F688">
        <v>113</v>
      </c>
    </row>
    <row r="689" spans="1:6" x14ac:dyDescent="0.35">
      <c r="A689" t="s">
        <v>230</v>
      </c>
      <c r="B689" t="s">
        <v>372</v>
      </c>
      <c r="C689" s="26">
        <v>7.0499999999999993E-2</v>
      </c>
      <c r="D689" s="26">
        <v>0.17430000000000001</v>
      </c>
      <c r="E689" s="26">
        <v>0.75519999999999998</v>
      </c>
      <c r="F689">
        <v>40</v>
      </c>
    </row>
    <row r="690" spans="1:6" x14ac:dyDescent="0.35">
      <c r="A690" t="s">
        <v>230</v>
      </c>
      <c r="B690" t="s">
        <v>373</v>
      </c>
      <c r="C690" s="26">
        <v>0.2964</v>
      </c>
      <c r="D690" s="26">
        <v>0.25409999999999999</v>
      </c>
      <c r="E690" s="26">
        <v>0.44950000000000001</v>
      </c>
      <c r="F690">
        <v>50</v>
      </c>
    </row>
    <row r="691" spans="1:6" x14ac:dyDescent="0.35">
      <c r="A691" t="s">
        <v>231</v>
      </c>
      <c r="B691" t="s">
        <v>371</v>
      </c>
      <c r="C691" s="26">
        <v>0.81130000000000002</v>
      </c>
      <c r="D691" s="26">
        <v>0.18870000000000001</v>
      </c>
      <c r="F691">
        <v>53</v>
      </c>
    </row>
    <row r="692" spans="1:6" x14ac:dyDescent="0.35">
      <c r="A692" t="s">
        <v>232</v>
      </c>
      <c r="B692" t="s">
        <v>232</v>
      </c>
      <c r="C692" s="26">
        <v>0.55589999999999995</v>
      </c>
      <c r="D692" s="26">
        <v>0.30869999999999997</v>
      </c>
      <c r="E692" s="26">
        <v>0.13539999999999999</v>
      </c>
      <c r="F692">
        <v>968</v>
      </c>
    </row>
    <row r="694" spans="1:6" x14ac:dyDescent="0.35">
      <c r="A694" s="1" t="s">
        <v>395</v>
      </c>
    </row>
    <row r="695" spans="1:6" x14ac:dyDescent="0.35">
      <c r="A695" t="s">
        <v>219</v>
      </c>
      <c r="B695" t="s">
        <v>305</v>
      </c>
      <c r="C695" t="s">
        <v>383</v>
      </c>
      <c r="D695" t="s">
        <v>384</v>
      </c>
      <c r="E695" t="s">
        <v>385</v>
      </c>
      <c r="F695" t="s">
        <v>226</v>
      </c>
    </row>
    <row r="696" spans="1:6" x14ac:dyDescent="0.35">
      <c r="A696" s="27" t="s">
        <v>227</v>
      </c>
      <c r="B696" s="27" t="s">
        <v>375</v>
      </c>
      <c r="C696" s="28">
        <v>0.66669999999999996</v>
      </c>
      <c r="D696" s="28">
        <v>0.33329999999999999</v>
      </c>
      <c r="E696" s="29"/>
      <c r="F696" s="29" t="s">
        <v>353</v>
      </c>
    </row>
    <row r="697" spans="1:6" x14ac:dyDescent="0.35">
      <c r="A697" s="27" t="s">
        <v>227</v>
      </c>
      <c r="B697" s="27" t="s">
        <v>376</v>
      </c>
      <c r="C697" s="28">
        <v>0.52380000000000004</v>
      </c>
      <c r="D697" s="28">
        <v>0.47620000000000001</v>
      </c>
      <c r="E697" s="29"/>
      <c r="F697" s="29" t="s">
        <v>351</v>
      </c>
    </row>
    <row r="698" spans="1:6" x14ac:dyDescent="0.35">
      <c r="A698" s="27" t="s">
        <v>227</v>
      </c>
      <c r="B698" s="27" t="s">
        <v>377</v>
      </c>
      <c r="C698" s="28">
        <v>0.63160000000000005</v>
      </c>
      <c r="D698" s="28">
        <v>0.31580000000000003</v>
      </c>
      <c r="E698" s="28">
        <v>5.2600000000000001E-2</v>
      </c>
      <c r="F698" s="29" t="s">
        <v>349</v>
      </c>
    </row>
    <row r="699" spans="1:6" x14ac:dyDescent="0.35">
      <c r="A699" s="27" t="s">
        <v>227</v>
      </c>
      <c r="B699" s="27" t="s">
        <v>378</v>
      </c>
      <c r="C699" s="28">
        <v>0.8</v>
      </c>
      <c r="D699" s="28">
        <v>0.2</v>
      </c>
      <c r="E699" s="29"/>
      <c r="F699" s="29" t="s">
        <v>332</v>
      </c>
    </row>
    <row r="700" spans="1:6" x14ac:dyDescent="0.35">
      <c r="A700" t="s">
        <v>228</v>
      </c>
      <c r="B700" t="s">
        <v>377</v>
      </c>
      <c r="C700" s="26">
        <v>8.4699999999999998E-2</v>
      </c>
      <c r="D700" s="26">
        <v>0.41460000000000002</v>
      </c>
      <c r="E700" s="26">
        <v>0.50060000000000004</v>
      </c>
      <c r="F700">
        <v>72</v>
      </c>
    </row>
    <row r="701" spans="1:6" x14ac:dyDescent="0.35">
      <c r="A701" t="s">
        <v>228</v>
      </c>
      <c r="B701" t="s">
        <v>376</v>
      </c>
      <c r="C701" s="26">
        <v>0.32840000000000003</v>
      </c>
      <c r="D701" s="26">
        <v>0.27789999999999998</v>
      </c>
      <c r="E701" s="26">
        <v>0.39379999999999998</v>
      </c>
      <c r="F701">
        <v>90</v>
      </c>
    </row>
    <row r="702" spans="1:6" x14ac:dyDescent="0.35">
      <c r="A702" s="27" t="s">
        <v>228</v>
      </c>
      <c r="B702" s="27" t="s">
        <v>378</v>
      </c>
      <c r="C702" s="28">
        <v>0.68100000000000005</v>
      </c>
      <c r="D702" s="28">
        <v>9.9599999999999994E-2</v>
      </c>
      <c r="E702" s="28">
        <v>0.2195</v>
      </c>
      <c r="F702" s="29" t="s">
        <v>351</v>
      </c>
    </row>
    <row r="703" spans="1:6" x14ac:dyDescent="0.35">
      <c r="A703" t="s">
        <v>228</v>
      </c>
      <c r="B703" t="s">
        <v>375</v>
      </c>
      <c r="C703" s="26">
        <v>0.2114</v>
      </c>
      <c r="D703" s="26">
        <v>0.27829999999999999</v>
      </c>
      <c r="E703" s="26">
        <v>0.51019999999999999</v>
      </c>
      <c r="F703">
        <v>131</v>
      </c>
    </row>
    <row r="704" spans="1:6" x14ac:dyDescent="0.35">
      <c r="A704" t="s">
        <v>229</v>
      </c>
      <c r="B704" t="s">
        <v>375</v>
      </c>
      <c r="C704" s="26">
        <v>0.45860000000000001</v>
      </c>
      <c r="D704" s="26">
        <v>0.42320000000000002</v>
      </c>
      <c r="E704" s="26">
        <v>0.1182</v>
      </c>
      <c r="F704">
        <v>138</v>
      </c>
    </row>
    <row r="705" spans="1:6" x14ac:dyDescent="0.35">
      <c r="A705" t="s">
        <v>229</v>
      </c>
      <c r="B705" t="s">
        <v>376</v>
      </c>
      <c r="C705" s="26">
        <v>0.65659999999999996</v>
      </c>
      <c r="D705" s="26">
        <v>0.27050000000000002</v>
      </c>
      <c r="E705" s="26">
        <v>7.2800000000000004E-2</v>
      </c>
      <c r="F705">
        <v>79</v>
      </c>
    </row>
    <row r="706" spans="1:6" x14ac:dyDescent="0.35">
      <c r="A706" t="s">
        <v>229</v>
      </c>
      <c r="B706" t="s">
        <v>378</v>
      </c>
      <c r="C706" s="26">
        <v>0.91859999999999997</v>
      </c>
      <c r="D706" s="26">
        <v>7.3599999999999999E-2</v>
      </c>
      <c r="E706" s="26">
        <v>7.7999999999999996E-3</v>
      </c>
      <c r="F706">
        <v>39</v>
      </c>
    </row>
    <row r="707" spans="1:6" x14ac:dyDescent="0.35">
      <c r="A707" t="s">
        <v>229</v>
      </c>
      <c r="B707" t="s">
        <v>377</v>
      </c>
      <c r="C707" s="26">
        <v>0.43390000000000001</v>
      </c>
      <c r="D707" s="26">
        <v>0.46810000000000002</v>
      </c>
      <c r="E707" s="26">
        <v>9.8000000000000004E-2</v>
      </c>
      <c r="F707">
        <v>79</v>
      </c>
    </row>
    <row r="708" spans="1:6" x14ac:dyDescent="0.35">
      <c r="A708" t="s">
        <v>230</v>
      </c>
      <c r="B708" t="s">
        <v>376</v>
      </c>
      <c r="C708" s="26">
        <v>0.62419999999999998</v>
      </c>
      <c r="D708" s="26">
        <v>0.28739999999999999</v>
      </c>
      <c r="E708" s="26">
        <v>8.8300000000000003E-2</v>
      </c>
      <c r="F708">
        <v>57</v>
      </c>
    </row>
    <row r="709" spans="1:6" x14ac:dyDescent="0.35">
      <c r="A709" s="27" t="s">
        <v>230</v>
      </c>
      <c r="B709" s="27" t="s">
        <v>378</v>
      </c>
      <c r="C709" s="28">
        <v>0.93910000000000005</v>
      </c>
      <c r="D709" s="28">
        <v>9.7999999999999997E-3</v>
      </c>
      <c r="E709" s="28">
        <v>5.1200000000000002E-2</v>
      </c>
      <c r="F709" s="29" t="s">
        <v>349</v>
      </c>
    </row>
    <row r="710" spans="1:6" x14ac:dyDescent="0.35">
      <c r="A710" t="s">
        <v>230</v>
      </c>
      <c r="B710" t="s">
        <v>377</v>
      </c>
      <c r="C710" s="26">
        <v>0.26790000000000003</v>
      </c>
      <c r="D710" s="26">
        <v>0.39019999999999999</v>
      </c>
      <c r="E710" s="26">
        <v>0.34189999999999998</v>
      </c>
      <c r="F710">
        <v>37</v>
      </c>
    </row>
    <row r="711" spans="1:6" x14ac:dyDescent="0.35">
      <c r="A711" t="s">
        <v>230</v>
      </c>
      <c r="B711" t="s">
        <v>375</v>
      </c>
      <c r="C711" s="26">
        <v>0.2717</v>
      </c>
      <c r="D711" s="26">
        <v>0.47120000000000001</v>
      </c>
      <c r="E711" s="26">
        <v>0.2571</v>
      </c>
      <c r="F711">
        <v>90</v>
      </c>
    </row>
    <row r="712" spans="1:6" x14ac:dyDescent="0.35">
      <c r="A712" s="27" t="s">
        <v>231</v>
      </c>
      <c r="B712" s="27" t="s">
        <v>376</v>
      </c>
      <c r="C712" s="28">
        <v>0.66669999999999996</v>
      </c>
      <c r="D712" s="28">
        <v>0.33329999999999999</v>
      </c>
      <c r="E712" s="29"/>
      <c r="F712" s="29" t="s">
        <v>342</v>
      </c>
    </row>
    <row r="713" spans="1:6" x14ac:dyDescent="0.35">
      <c r="A713" s="27" t="s">
        <v>231</v>
      </c>
      <c r="B713" s="27" t="s">
        <v>375</v>
      </c>
      <c r="C713" s="28">
        <v>0.76190000000000002</v>
      </c>
      <c r="D713" s="28">
        <v>0.23810000000000001</v>
      </c>
      <c r="E713" s="29"/>
      <c r="F713" s="29" t="s">
        <v>351</v>
      </c>
    </row>
    <row r="714" spans="1:6" x14ac:dyDescent="0.35">
      <c r="A714" s="27" t="s">
        <v>231</v>
      </c>
      <c r="B714" s="27" t="s">
        <v>377</v>
      </c>
      <c r="C714" s="28">
        <v>0.90910000000000002</v>
      </c>
      <c r="D714" s="28">
        <v>9.0899999999999995E-2</v>
      </c>
      <c r="E714" s="29"/>
      <c r="F714" s="29" t="s">
        <v>352</v>
      </c>
    </row>
    <row r="715" spans="1:6" x14ac:dyDescent="0.35">
      <c r="A715" s="27" t="s">
        <v>231</v>
      </c>
      <c r="B715" s="27" t="s">
        <v>378</v>
      </c>
      <c r="C715" s="28">
        <v>1</v>
      </c>
      <c r="D715" s="29"/>
      <c r="E715" s="29"/>
      <c r="F715" s="29" t="s">
        <v>334</v>
      </c>
    </row>
    <row r="716" spans="1:6" x14ac:dyDescent="0.35">
      <c r="A716" t="s">
        <v>232</v>
      </c>
      <c r="B716" t="s">
        <v>232</v>
      </c>
      <c r="C716" s="26">
        <v>0.55589999999999995</v>
      </c>
      <c r="D716" s="26">
        <v>0.30869999999999997</v>
      </c>
      <c r="E716" s="26">
        <v>0.13539999999999999</v>
      </c>
      <c r="F716">
        <v>968</v>
      </c>
    </row>
    <row r="718" spans="1:6" x14ac:dyDescent="0.35">
      <c r="A718" s="1" t="s">
        <v>396</v>
      </c>
    </row>
    <row r="719" spans="1:6" x14ac:dyDescent="0.35">
      <c r="A719" t="s">
        <v>219</v>
      </c>
      <c r="B719" t="s">
        <v>305</v>
      </c>
      <c r="C719" t="s">
        <v>383</v>
      </c>
      <c r="D719" t="s">
        <v>384</v>
      </c>
      <c r="E719" t="s">
        <v>385</v>
      </c>
      <c r="F719" t="s">
        <v>226</v>
      </c>
    </row>
    <row r="720" spans="1:6" x14ac:dyDescent="0.35">
      <c r="A720" t="s">
        <v>227</v>
      </c>
      <c r="B720" t="s">
        <v>235</v>
      </c>
      <c r="C720" s="26">
        <v>0.57579999999999998</v>
      </c>
      <c r="D720" s="26">
        <v>0.39389999999999997</v>
      </c>
      <c r="E720" s="26">
        <v>3.0300000000000001E-2</v>
      </c>
      <c r="F720">
        <v>33</v>
      </c>
    </row>
    <row r="721" spans="1:7" x14ac:dyDescent="0.35">
      <c r="A721" t="s">
        <v>227</v>
      </c>
      <c r="B721" t="s">
        <v>234</v>
      </c>
      <c r="C721" s="26">
        <v>0.66669999999999996</v>
      </c>
      <c r="D721" s="26">
        <v>0.33329999999999999</v>
      </c>
      <c r="F721">
        <v>30</v>
      </c>
    </row>
    <row r="722" spans="1:7" x14ac:dyDescent="0.35">
      <c r="A722" t="s">
        <v>228</v>
      </c>
      <c r="B722" t="s">
        <v>235</v>
      </c>
      <c r="C722" s="26">
        <v>0.17860000000000001</v>
      </c>
      <c r="D722" s="26">
        <v>0.3196</v>
      </c>
      <c r="E722" s="26">
        <v>0.50180000000000002</v>
      </c>
      <c r="F722">
        <v>162</v>
      </c>
    </row>
    <row r="723" spans="1:7" x14ac:dyDescent="0.35">
      <c r="A723" t="s">
        <v>228</v>
      </c>
      <c r="B723" t="s">
        <v>234</v>
      </c>
      <c r="C723" s="26">
        <v>0.27310000000000001</v>
      </c>
      <c r="D723" s="26">
        <v>0.29459999999999997</v>
      </c>
      <c r="E723" s="26">
        <v>0.43230000000000002</v>
      </c>
      <c r="F723">
        <v>152</v>
      </c>
    </row>
    <row r="724" spans="1:7" x14ac:dyDescent="0.35">
      <c r="A724" t="s">
        <v>229</v>
      </c>
      <c r="B724" t="s">
        <v>235</v>
      </c>
      <c r="C724" s="26">
        <v>0.5181</v>
      </c>
      <c r="D724" s="26">
        <v>0.35189999999999999</v>
      </c>
      <c r="E724" s="26">
        <v>0.13</v>
      </c>
      <c r="F724">
        <v>156</v>
      </c>
    </row>
    <row r="725" spans="1:7" x14ac:dyDescent="0.35">
      <c r="A725" t="s">
        <v>229</v>
      </c>
      <c r="B725" t="s">
        <v>234</v>
      </c>
      <c r="C725" s="26">
        <v>0.60329999999999995</v>
      </c>
      <c r="D725" s="26">
        <v>0.35060000000000002</v>
      </c>
      <c r="E725" s="26">
        <v>4.6100000000000002E-2</v>
      </c>
      <c r="F725">
        <v>179</v>
      </c>
    </row>
    <row r="726" spans="1:7" x14ac:dyDescent="0.35">
      <c r="A726" t="s">
        <v>230</v>
      </c>
      <c r="B726" t="s">
        <v>235</v>
      </c>
      <c r="C726" s="26">
        <v>0.34749999999999998</v>
      </c>
      <c r="D726" s="26">
        <v>0.35870000000000002</v>
      </c>
      <c r="E726" s="26">
        <v>0.29380000000000001</v>
      </c>
      <c r="F726">
        <v>104</v>
      </c>
    </row>
    <row r="727" spans="1:7" x14ac:dyDescent="0.35">
      <c r="A727" s="27" t="s">
        <v>230</v>
      </c>
      <c r="B727" s="27" t="s">
        <v>236</v>
      </c>
      <c r="C727" s="29"/>
      <c r="D727" s="28">
        <v>1</v>
      </c>
      <c r="E727" s="29"/>
      <c r="F727" s="29" t="s">
        <v>331</v>
      </c>
    </row>
    <row r="728" spans="1:7" x14ac:dyDescent="0.35">
      <c r="A728" t="s">
        <v>230</v>
      </c>
      <c r="B728" t="s">
        <v>234</v>
      </c>
      <c r="C728" s="26">
        <v>0.48720000000000002</v>
      </c>
      <c r="D728" s="26">
        <v>0.37459999999999999</v>
      </c>
      <c r="E728" s="26">
        <v>0.13819999999999999</v>
      </c>
      <c r="F728">
        <v>98</v>
      </c>
    </row>
    <row r="729" spans="1:7" x14ac:dyDescent="0.35">
      <c r="A729" s="27" t="s">
        <v>231</v>
      </c>
      <c r="B729" s="27" t="s">
        <v>235</v>
      </c>
      <c r="C729" s="28">
        <v>0.75</v>
      </c>
      <c r="D729" s="28">
        <v>0.25</v>
      </c>
      <c r="E729" s="29"/>
      <c r="F729" s="29" t="s">
        <v>336</v>
      </c>
    </row>
    <row r="730" spans="1:7" x14ac:dyDescent="0.35">
      <c r="A730" s="27" t="s">
        <v>231</v>
      </c>
      <c r="B730" s="27" t="s">
        <v>234</v>
      </c>
      <c r="C730" s="28">
        <v>0.88</v>
      </c>
      <c r="D730" s="28">
        <v>0.12</v>
      </c>
      <c r="E730" s="29"/>
      <c r="F730" s="29" t="s">
        <v>312</v>
      </c>
    </row>
    <row r="731" spans="1:7" x14ac:dyDescent="0.35">
      <c r="A731" t="s">
        <v>232</v>
      </c>
      <c r="B731" t="s">
        <v>232</v>
      </c>
      <c r="C731" s="26">
        <v>0.55589999999999995</v>
      </c>
      <c r="D731" s="26">
        <v>0.30869999999999997</v>
      </c>
      <c r="E731" s="26">
        <v>0.13539999999999999</v>
      </c>
      <c r="F731">
        <v>968</v>
      </c>
    </row>
    <row r="733" spans="1:7" x14ac:dyDescent="0.35">
      <c r="A733" s="1" t="s">
        <v>397</v>
      </c>
    </row>
    <row r="734" spans="1:7" x14ac:dyDescent="0.35">
      <c r="A734" t="s">
        <v>219</v>
      </c>
      <c r="B734" t="s">
        <v>305</v>
      </c>
      <c r="C734" t="s">
        <v>345</v>
      </c>
      <c r="D734" t="s">
        <v>383</v>
      </c>
      <c r="E734" t="s">
        <v>384</v>
      </c>
      <c r="F734" t="s">
        <v>385</v>
      </c>
      <c r="G734" t="s">
        <v>226</v>
      </c>
    </row>
    <row r="735" spans="1:7" x14ac:dyDescent="0.35">
      <c r="A735" s="27" t="s">
        <v>227</v>
      </c>
      <c r="B735" s="27" t="s">
        <v>235</v>
      </c>
      <c r="C735" s="27" t="s">
        <v>375</v>
      </c>
      <c r="D735" s="28">
        <v>0.6</v>
      </c>
      <c r="E735" s="28">
        <v>0.4</v>
      </c>
      <c r="F735" s="29"/>
      <c r="G735" s="29" t="s">
        <v>307</v>
      </c>
    </row>
    <row r="736" spans="1:7" x14ac:dyDescent="0.35">
      <c r="A736" s="27" t="s">
        <v>227</v>
      </c>
      <c r="B736" s="27" t="s">
        <v>234</v>
      </c>
      <c r="C736" s="27" t="s">
        <v>376</v>
      </c>
      <c r="D736" s="28">
        <v>0.63639999999999997</v>
      </c>
      <c r="E736" s="28">
        <v>0.36359999999999998</v>
      </c>
      <c r="F736" s="29"/>
      <c r="G736" s="29" t="s">
        <v>352</v>
      </c>
    </row>
    <row r="737" spans="1:7" x14ac:dyDescent="0.35">
      <c r="A737" s="27" t="s">
        <v>227</v>
      </c>
      <c r="B737" s="27" t="s">
        <v>234</v>
      </c>
      <c r="C737" s="27" t="s">
        <v>378</v>
      </c>
      <c r="D737" s="28">
        <v>0.5</v>
      </c>
      <c r="E737" s="28">
        <v>0.5</v>
      </c>
      <c r="F737" s="29"/>
      <c r="G737" s="29" t="s">
        <v>314</v>
      </c>
    </row>
    <row r="738" spans="1:7" x14ac:dyDescent="0.35">
      <c r="A738" s="27" t="s">
        <v>227</v>
      </c>
      <c r="B738" s="27" t="s">
        <v>234</v>
      </c>
      <c r="C738" s="27" t="s">
        <v>377</v>
      </c>
      <c r="D738" s="28">
        <v>0.66669999999999996</v>
      </c>
      <c r="E738" s="28">
        <v>0.33329999999999999</v>
      </c>
      <c r="F738" s="29"/>
      <c r="G738" s="29" t="s">
        <v>334</v>
      </c>
    </row>
    <row r="739" spans="1:7" x14ac:dyDescent="0.35">
      <c r="A739" s="27" t="s">
        <v>227</v>
      </c>
      <c r="B739" s="27" t="s">
        <v>235</v>
      </c>
      <c r="C739" s="27" t="s">
        <v>377</v>
      </c>
      <c r="D739" s="28">
        <v>0.6</v>
      </c>
      <c r="E739" s="28">
        <v>0.3</v>
      </c>
      <c r="F739" s="28">
        <v>0.1</v>
      </c>
      <c r="G739" s="29" t="s">
        <v>307</v>
      </c>
    </row>
    <row r="740" spans="1:7" x14ac:dyDescent="0.35">
      <c r="A740" s="27" t="s">
        <v>227</v>
      </c>
      <c r="B740" s="27" t="s">
        <v>234</v>
      </c>
      <c r="C740" s="27" t="s">
        <v>375</v>
      </c>
      <c r="D740" s="28">
        <v>0.75</v>
      </c>
      <c r="E740" s="28">
        <v>0.25</v>
      </c>
      <c r="F740" s="29"/>
      <c r="G740" s="29" t="s">
        <v>333</v>
      </c>
    </row>
    <row r="741" spans="1:7" x14ac:dyDescent="0.35">
      <c r="A741" s="27" t="s">
        <v>227</v>
      </c>
      <c r="B741" s="27" t="s">
        <v>235</v>
      </c>
      <c r="C741" s="27" t="s">
        <v>378</v>
      </c>
      <c r="D741" s="28">
        <v>1</v>
      </c>
      <c r="E741" s="29"/>
      <c r="F741" s="29"/>
      <c r="G741" s="29" t="s">
        <v>315</v>
      </c>
    </row>
    <row r="742" spans="1:7" x14ac:dyDescent="0.35">
      <c r="A742" s="27" t="s">
        <v>227</v>
      </c>
      <c r="B742" s="27" t="s">
        <v>235</v>
      </c>
      <c r="C742" s="27" t="s">
        <v>376</v>
      </c>
      <c r="D742" s="28">
        <v>0.4</v>
      </c>
      <c r="E742" s="28">
        <v>0.6</v>
      </c>
      <c r="F742" s="29"/>
      <c r="G742" s="29" t="s">
        <v>307</v>
      </c>
    </row>
    <row r="743" spans="1:7" x14ac:dyDescent="0.35">
      <c r="A743" s="27" t="s">
        <v>228</v>
      </c>
      <c r="B743" s="27" t="s">
        <v>234</v>
      </c>
      <c r="C743" s="27" t="s">
        <v>378</v>
      </c>
      <c r="D743" s="28">
        <v>0.5282</v>
      </c>
      <c r="E743" s="28">
        <v>0.1135</v>
      </c>
      <c r="F743" s="28">
        <v>0.35830000000000001</v>
      </c>
      <c r="G743" s="29" t="s">
        <v>352</v>
      </c>
    </row>
    <row r="744" spans="1:7" x14ac:dyDescent="0.35">
      <c r="A744" t="s">
        <v>228</v>
      </c>
      <c r="B744" t="s">
        <v>234</v>
      </c>
      <c r="C744" t="s">
        <v>377</v>
      </c>
      <c r="D744" s="26">
        <v>0.16520000000000001</v>
      </c>
      <c r="E744" s="26">
        <v>0.28720000000000001</v>
      </c>
      <c r="F744" s="26">
        <v>0.54749999999999999</v>
      </c>
      <c r="G744">
        <v>31</v>
      </c>
    </row>
    <row r="745" spans="1:7" x14ac:dyDescent="0.35">
      <c r="A745" t="s">
        <v>228</v>
      </c>
      <c r="B745" t="s">
        <v>234</v>
      </c>
      <c r="C745" t="s">
        <v>375</v>
      </c>
      <c r="D745" s="26">
        <v>0.24829999999999999</v>
      </c>
      <c r="E745" s="26">
        <v>0.33829999999999999</v>
      </c>
      <c r="F745" s="26">
        <v>0.41349999999999998</v>
      </c>
      <c r="G745">
        <v>58</v>
      </c>
    </row>
    <row r="746" spans="1:7" x14ac:dyDescent="0.35">
      <c r="A746" t="s">
        <v>228</v>
      </c>
      <c r="B746" t="s">
        <v>235</v>
      </c>
      <c r="C746" t="s">
        <v>376</v>
      </c>
      <c r="D746" s="26">
        <v>0.29459999999999997</v>
      </c>
      <c r="E746" s="26">
        <v>0.28639999999999999</v>
      </c>
      <c r="F746" s="26">
        <v>0.41899999999999998</v>
      </c>
      <c r="G746">
        <v>38</v>
      </c>
    </row>
    <row r="747" spans="1:7" x14ac:dyDescent="0.35">
      <c r="A747" s="27" t="s">
        <v>228</v>
      </c>
      <c r="B747" s="27" t="s">
        <v>235</v>
      </c>
      <c r="C747" s="27" t="s">
        <v>378</v>
      </c>
      <c r="D747" s="28">
        <v>0.9224</v>
      </c>
      <c r="E747" s="28">
        <v>7.7600000000000002E-2</v>
      </c>
      <c r="F747" s="29"/>
      <c r="G747" s="29" t="s">
        <v>307</v>
      </c>
    </row>
    <row r="748" spans="1:7" x14ac:dyDescent="0.35">
      <c r="A748" t="s">
        <v>228</v>
      </c>
      <c r="B748" t="s">
        <v>234</v>
      </c>
      <c r="C748" t="s">
        <v>376</v>
      </c>
      <c r="D748" s="26">
        <v>0.34760000000000002</v>
      </c>
      <c r="E748" s="26">
        <v>0.27300000000000002</v>
      </c>
      <c r="F748" s="26">
        <v>0.37930000000000003</v>
      </c>
      <c r="G748">
        <v>52</v>
      </c>
    </row>
    <row r="749" spans="1:7" x14ac:dyDescent="0.35">
      <c r="A749" t="s">
        <v>228</v>
      </c>
      <c r="B749" t="s">
        <v>235</v>
      </c>
      <c r="C749" t="s">
        <v>377</v>
      </c>
      <c r="D749" s="26">
        <v>9.1999999999999998E-3</v>
      </c>
      <c r="E749" s="26">
        <v>0.53420000000000001</v>
      </c>
      <c r="F749" s="26">
        <v>0.45660000000000001</v>
      </c>
      <c r="G749">
        <v>41</v>
      </c>
    </row>
    <row r="750" spans="1:7" x14ac:dyDescent="0.35">
      <c r="A750" t="s">
        <v>228</v>
      </c>
      <c r="B750" t="s">
        <v>235</v>
      </c>
      <c r="C750" t="s">
        <v>375</v>
      </c>
      <c r="D750" s="26">
        <v>0.1825</v>
      </c>
      <c r="E750" s="26">
        <v>0.23130000000000001</v>
      </c>
      <c r="F750" s="26">
        <v>0.58620000000000005</v>
      </c>
      <c r="G750">
        <v>73</v>
      </c>
    </row>
    <row r="751" spans="1:7" x14ac:dyDescent="0.35">
      <c r="A751" s="27" t="s">
        <v>229</v>
      </c>
      <c r="B751" s="27" t="s">
        <v>235</v>
      </c>
      <c r="C751" s="27" t="s">
        <v>378</v>
      </c>
      <c r="D751" s="28">
        <v>0.97629999999999995</v>
      </c>
      <c r="E751" s="28">
        <v>2.3699999999999999E-2</v>
      </c>
      <c r="F751" s="29"/>
      <c r="G751" s="29" t="s">
        <v>349</v>
      </c>
    </row>
    <row r="752" spans="1:7" x14ac:dyDescent="0.35">
      <c r="A752" s="27" t="s">
        <v>229</v>
      </c>
      <c r="B752" s="27" t="s">
        <v>234</v>
      </c>
      <c r="C752" s="27" t="s">
        <v>378</v>
      </c>
      <c r="D752" s="28">
        <v>0.85819999999999996</v>
      </c>
      <c r="E752" s="28">
        <v>0.1258</v>
      </c>
      <c r="F752" s="28">
        <v>1.6E-2</v>
      </c>
      <c r="G752" s="29" t="s">
        <v>350</v>
      </c>
    </row>
    <row r="753" spans="1:7" x14ac:dyDescent="0.35">
      <c r="A753" t="s">
        <v>229</v>
      </c>
      <c r="B753" t="s">
        <v>235</v>
      </c>
      <c r="C753" t="s">
        <v>376</v>
      </c>
      <c r="D753" s="26">
        <v>0.61560000000000004</v>
      </c>
      <c r="E753" s="26">
        <v>0.23760000000000001</v>
      </c>
      <c r="F753" s="26">
        <v>0.14680000000000001</v>
      </c>
      <c r="G753">
        <v>32</v>
      </c>
    </row>
    <row r="754" spans="1:7" x14ac:dyDescent="0.35">
      <c r="A754" t="s">
        <v>229</v>
      </c>
      <c r="B754" t="s">
        <v>235</v>
      </c>
      <c r="C754" t="s">
        <v>377</v>
      </c>
      <c r="D754" s="26">
        <v>0.30330000000000001</v>
      </c>
      <c r="E754" s="26">
        <v>0.58109999999999995</v>
      </c>
      <c r="F754" s="26">
        <v>0.11559999999999999</v>
      </c>
      <c r="G754">
        <v>41</v>
      </c>
    </row>
    <row r="755" spans="1:7" x14ac:dyDescent="0.35">
      <c r="A755" t="s">
        <v>229</v>
      </c>
      <c r="B755" t="s">
        <v>234</v>
      </c>
      <c r="C755" t="s">
        <v>376</v>
      </c>
      <c r="D755" s="26">
        <v>0.68769999999999998</v>
      </c>
      <c r="E755" s="26">
        <v>0.2954</v>
      </c>
      <c r="F755" s="26">
        <v>1.6899999999999998E-2</v>
      </c>
      <c r="G755">
        <v>47</v>
      </c>
    </row>
    <row r="756" spans="1:7" x14ac:dyDescent="0.35">
      <c r="A756" t="s">
        <v>229</v>
      </c>
      <c r="B756" t="s">
        <v>235</v>
      </c>
      <c r="C756" t="s">
        <v>375</v>
      </c>
      <c r="D756" s="26">
        <v>0.44359999999999999</v>
      </c>
      <c r="E756" s="26">
        <v>0.38629999999999998</v>
      </c>
      <c r="F756" s="26">
        <v>0.1701</v>
      </c>
      <c r="G756">
        <v>64</v>
      </c>
    </row>
    <row r="757" spans="1:7" x14ac:dyDescent="0.35">
      <c r="A757" t="s">
        <v>229</v>
      </c>
      <c r="B757" t="s">
        <v>234</v>
      </c>
      <c r="C757" t="s">
        <v>377</v>
      </c>
      <c r="D757" s="26">
        <v>0.5554</v>
      </c>
      <c r="E757" s="26">
        <v>0.36299999999999999</v>
      </c>
      <c r="F757" s="26">
        <v>8.1699999999999995E-2</v>
      </c>
      <c r="G757">
        <v>38</v>
      </c>
    </row>
    <row r="758" spans="1:7" x14ac:dyDescent="0.35">
      <c r="A758" t="s">
        <v>229</v>
      </c>
      <c r="B758" t="s">
        <v>234</v>
      </c>
      <c r="C758" t="s">
        <v>375</v>
      </c>
      <c r="D758" s="26">
        <v>0.47699999999999998</v>
      </c>
      <c r="E758" s="26">
        <v>0.46810000000000002</v>
      </c>
      <c r="F758" s="26">
        <v>5.5E-2</v>
      </c>
      <c r="G758">
        <v>74</v>
      </c>
    </row>
    <row r="759" spans="1:7" x14ac:dyDescent="0.35">
      <c r="A759" t="s">
        <v>230</v>
      </c>
      <c r="B759" t="s">
        <v>234</v>
      </c>
      <c r="C759" t="s">
        <v>376</v>
      </c>
      <c r="D759" s="26">
        <v>0.58630000000000004</v>
      </c>
      <c r="E759" s="26">
        <v>0.31640000000000001</v>
      </c>
      <c r="F759" s="26">
        <v>9.7199999999999995E-2</v>
      </c>
      <c r="G759">
        <v>31</v>
      </c>
    </row>
    <row r="760" spans="1:7" x14ac:dyDescent="0.35">
      <c r="A760" s="27" t="s">
        <v>230</v>
      </c>
      <c r="B760" s="27" t="s">
        <v>234</v>
      </c>
      <c r="C760" s="27" t="s">
        <v>378</v>
      </c>
      <c r="D760" s="28">
        <v>0.93389999999999995</v>
      </c>
      <c r="E760" s="29"/>
      <c r="F760" s="28">
        <v>6.6100000000000006E-2</v>
      </c>
      <c r="G760" s="29" t="s">
        <v>352</v>
      </c>
    </row>
    <row r="761" spans="1:7" x14ac:dyDescent="0.35">
      <c r="A761" t="s">
        <v>230</v>
      </c>
      <c r="B761" t="s">
        <v>235</v>
      </c>
      <c r="C761" t="s">
        <v>375</v>
      </c>
      <c r="D761" s="26">
        <v>0.20250000000000001</v>
      </c>
      <c r="E761" s="26">
        <v>0.38090000000000002</v>
      </c>
      <c r="F761" s="26">
        <v>0.41670000000000001</v>
      </c>
      <c r="G761">
        <v>52</v>
      </c>
    </row>
    <row r="762" spans="1:7" x14ac:dyDescent="0.35">
      <c r="A762" s="27" t="s">
        <v>230</v>
      </c>
      <c r="B762" s="27" t="s">
        <v>234</v>
      </c>
      <c r="C762" s="27" t="s">
        <v>377</v>
      </c>
      <c r="D762" s="28">
        <v>0.39379999999999998</v>
      </c>
      <c r="E762" s="28">
        <v>0.2631</v>
      </c>
      <c r="F762" s="28">
        <v>0.34300000000000003</v>
      </c>
      <c r="G762" s="29" t="s">
        <v>349</v>
      </c>
    </row>
    <row r="763" spans="1:7" x14ac:dyDescent="0.35">
      <c r="A763" s="27" t="s">
        <v>230</v>
      </c>
      <c r="B763" s="27" t="s">
        <v>236</v>
      </c>
      <c r="C763" s="27" t="s">
        <v>375</v>
      </c>
      <c r="D763" s="29"/>
      <c r="E763" s="28">
        <v>1</v>
      </c>
      <c r="F763" s="29"/>
      <c r="G763" s="29" t="s">
        <v>331</v>
      </c>
    </row>
    <row r="764" spans="1:7" x14ac:dyDescent="0.35">
      <c r="A764" s="27" t="s">
        <v>230</v>
      </c>
      <c r="B764" s="27" t="s">
        <v>235</v>
      </c>
      <c r="C764" s="27" t="s">
        <v>378</v>
      </c>
      <c r="D764" s="28">
        <v>0.94779999999999998</v>
      </c>
      <c r="E764" s="28">
        <v>2.6100000000000002E-2</v>
      </c>
      <c r="F764" s="28">
        <v>2.6100000000000002E-2</v>
      </c>
      <c r="G764" s="29" t="s">
        <v>333</v>
      </c>
    </row>
    <row r="765" spans="1:7" x14ac:dyDescent="0.35">
      <c r="A765" s="27" t="s">
        <v>230</v>
      </c>
      <c r="B765" s="27" t="s">
        <v>235</v>
      </c>
      <c r="C765" s="27" t="s">
        <v>377</v>
      </c>
      <c r="D765" s="28">
        <v>3.5099999999999999E-2</v>
      </c>
      <c r="E765" s="28">
        <v>0.625</v>
      </c>
      <c r="F765" s="28">
        <v>0.33989999999999998</v>
      </c>
      <c r="G765" s="29" t="s">
        <v>353</v>
      </c>
    </row>
    <row r="766" spans="1:7" x14ac:dyDescent="0.35">
      <c r="A766" t="s">
        <v>230</v>
      </c>
      <c r="B766" t="s">
        <v>234</v>
      </c>
      <c r="C766" t="s">
        <v>375</v>
      </c>
      <c r="D766" s="26">
        <v>0.35560000000000003</v>
      </c>
      <c r="E766" s="26">
        <v>0.57099999999999995</v>
      </c>
      <c r="F766" s="26">
        <v>7.3400000000000007E-2</v>
      </c>
      <c r="G766">
        <v>37</v>
      </c>
    </row>
    <row r="767" spans="1:7" x14ac:dyDescent="0.35">
      <c r="A767" s="27" t="s">
        <v>230</v>
      </c>
      <c r="B767" s="27" t="s">
        <v>235</v>
      </c>
      <c r="C767" s="27" t="s">
        <v>376</v>
      </c>
      <c r="D767" s="28">
        <v>0.68589999999999995</v>
      </c>
      <c r="E767" s="28">
        <v>0.2402</v>
      </c>
      <c r="F767" s="28">
        <v>7.3899999999999993E-2</v>
      </c>
      <c r="G767" s="29" t="s">
        <v>357</v>
      </c>
    </row>
    <row r="768" spans="1:7" x14ac:dyDescent="0.35">
      <c r="A768" s="27" t="s">
        <v>231</v>
      </c>
      <c r="B768" s="27" t="s">
        <v>234</v>
      </c>
      <c r="C768" s="27" t="s">
        <v>375</v>
      </c>
      <c r="D768" s="28">
        <v>0.9</v>
      </c>
      <c r="E768" s="28">
        <v>0.1</v>
      </c>
      <c r="F768" s="29"/>
      <c r="G768" s="29" t="s">
        <v>307</v>
      </c>
    </row>
    <row r="769" spans="1:17" x14ac:dyDescent="0.35">
      <c r="A769" s="27" t="s">
        <v>231</v>
      </c>
      <c r="B769" s="27" t="s">
        <v>234</v>
      </c>
      <c r="C769" s="27" t="s">
        <v>378</v>
      </c>
      <c r="D769" s="28">
        <v>1</v>
      </c>
      <c r="E769" s="29"/>
      <c r="F769" s="29"/>
      <c r="G769" s="29" t="s">
        <v>337</v>
      </c>
    </row>
    <row r="770" spans="1:17" x14ac:dyDescent="0.35">
      <c r="A770" s="27" t="s">
        <v>231</v>
      </c>
      <c r="B770" s="27" t="s">
        <v>235</v>
      </c>
      <c r="C770" s="27" t="s">
        <v>378</v>
      </c>
      <c r="D770" s="28">
        <v>1</v>
      </c>
      <c r="E770" s="29"/>
      <c r="F770" s="29"/>
      <c r="G770" s="29" t="s">
        <v>332</v>
      </c>
    </row>
    <row r="771" spans="1:17" x14ac:dyDescent="0.35">
      <c r="A771" s="27" t="s">
        <v>231</v>
      </c>
      <c r="B771" s="27" t="s">
        <v>234</v>
      </c>
      <c r="C771" s="27" t="s">
        <v>376</v>
      </c>
      <c r="D771" s="28">
        <v>0.83330000000000004</v>
      </c>
      <c r="E771" s="28">
        <v>0.16669999999999999</v>
      </c>
      <c r="F771" s="29"/>
      <c r="G771" s="29" t="s">
        <v>335</v>
      </c>
    </row>
    <row r="772" spans="1:17" x14ac:dyDescent="0.35">
      <c r="A772" s="27" t="s">
        <v>231</v>
      </c>
      <c r="B772" s="27" t="s">
        <v>235</v>
      </c>
      <c r="C772" s="27" t="s">
        <v>375</v>
      </c>
      <c r="D772" s="28">
        <v>0.63639999999999997</v>
      </c>
      <c r="E772" s="28">
        <v>0.36359999999999998</v>
      </c>
      <c r="F772" s="29"/>
      <c r="G772" s="29" t="s">
        <v>352</v>
      </c>
    </row>
    <row r="773" spans="1:17" x14ac:dyDescent="0.35">
      <c r="A773" s="27" t="s">
        <v>231</v>
      </c>
      <c r="B773" s="27" t="s">
        <v>235</v>
      </c>
      <c r="C773" s="27" t="s">
        <v>376</v>
      </c>
      <c r="D773" s="28">
        <v>0.5</v>
      </c>
      <c r="E773" s="28">
        <v>0.5</v>
      </c>
      <c r="F773" s="29"/>
      <c r="G773" s="29" t="s">
        <v>335</v>
      </c>
    </row>
    <row r="774" spans="1:17" x14ac:dyDescent="0.35">
      <c r="A774" s="27" t="s">
        <v>231</v>
      </c>
      <c r="B774" s="27" t="s">
        <v>235</v>
      </c>
      <c r="C774" s="27" t="s">
        <v>377</v>
      </c>
      <c r="D774" s="28">
        <v>1</v>
      </c>
      <c r="E774" s="29"/>
      <c r="F774" s="29"/>
      <c r="G774" s="29" t="s">
        <v>335</v>
      </c>
    </row>
    <row r="775" spans="1:17" x14ac:dyDescent="0.35">
      <c r="A775" s="27" t="s">
        <v>231</v>
      </c>
      <c r="B775" s="27" t="s">
        <v>234</v>
      </c>
      <c r="C775" s="27" t="s">
        <v>377</v>
      </c>
      <c r="D775" s="28">
        <v>0.8</v>
      </c>
      <c r="E775" s="28">
        <v>0.2</v>
      </c>
      <c r="F775" s="29"/>
      <c r="G775" s="29" t="s">
        <v>332</v>
      </c>
    </row>
    <row r="776" spans="1:17" x14ac:dyDescent="0.35">
      <c r="A776" t="s">
        <v>232</v>
      </c>
      <c r="B776" t="s">
        <v>232</v>
      </c>
      <c r="C776" t="s">
        <v>232</v>
      </c>
      <c r="D776" s="26">
        <v>0.55589999999999995</v>
      </c>
      <c r="E776" s="26">
        <v>0.30869999999999997</v>
      </c>
      <c r="F776" s="26">
        <v>0.13539999999999999</v>
      </c>
      <c r="G776">
        <v>968</v>
      </c>
    </row>
    <row r="778" spans="1:17" x14ac:dyDescent="0.35">
      <c r="A778" s="1" t="s">
        <v>398</v>
      </c>
    </row>
    <row r="779" spans="1:17" x14ac:dyDescent="0.35">
      <c r="A779" t="s">
        <v>219</v>
      </c>
      <c r="B779" t="s">
        <v>399</v>
      </c>
      <c r="C779" t="s">
        <v>400</v>
      </c>
      <c r="D779" t="s">
        <v>401</v>
      </c>
      <c r="E779" t="s">
        <v>402</v>
      </c>
      <c r="F779" t="s">
        <v>403</v>
      </c>
      <c r="G779" t="s">
        <v>404</v>
      </c>
      <c r="H779" t="s">
        <v>405</v>
      </c>
      <c r="I779" t="s">
        <v>406</v>
      </c>
      <c r="J779" t="s">
        <v>407</v>
      </c>
      <c r="K779" t="s">
        <v>408</v>
      </c>
      <c r="L779" t="s">
        <v>409</v>
      </c>
      <c r="M779" t="s">
        <v>410</v>
      </c>
      <c r="N779" t="s">
        <v>411</v>
      </c>
      <c r="O779" t="s">
        <v>412</v>
      </c>
      <c r="P779" t="s">
        <v>281</v>
      </c>
      <c r="Q779" t="s">
        <v>226</v>
      </c>
    </row>
    <row r="780" spans="1:17" x14ac:dyDescent="0.35">
      <c r="A780" t="s">
        <v>227</v>
      </c>
      <c r="B780" s="26">
        <v>0.1429</v>
      </c>
      <c r="C780" s="26">
        <v>6.3500000000000001E-2</v>
      </c>
      <c r="D780" s="26">
        <v>0.1111</v>
      </c>
      <c r="E780" s="26">
        <v>0.1111</v>
      </c>
      <c r="F780" s="26">
        <v>4.7600000000000003E-2</v>
      </c>
      <c r="G780" s="26">
        <v>7.9399999999999998E-2</v>
      </c>
      <c r="H780" s="26">
        <v>0.1429</v>
      </c>
      <c r="I780" s="26">
        <v>1.5900000000000001E-2</v>
      </c>
      <c r="J780" s="26">
        <v>6.3500000000000001E-2</v>
      </c>
      <c r="K780" s="26">
        <v>6.3500000000000001E-2</v>
      </c>
      <c r="L780" s="26">
        <v>4.7600000000000003E-2</v>
      </c>
      <c r="M780" s="26">
        <v>1.5900000000000001E-2</v>
      </c>
      <c r="N780" s="26">
        <v>7.9399999999999998E-2</v>
      </c>
      <c r="O780" s="26">
        <v>1.5900000000000001E-2</v>
      </c>
      <c r="Q780">
        <v>63</v>
      </c>
    </row>
    <row r="781" spans="1:17" x14ac:dyDescent="0.35">
      <c r="A781" t="s">
        <v>228</v>
      </c>
      <c r="B781" s="26">
        <v>8.4000000000000005E-2</v>
      </c>
      <c r="C781" s="26">
        <v>0.10489999999999999</v>
      </c>
      <c r="D781" s="26">
        <v>0.1089</v>
      </c>
      <c r="E781" s="26">
        <v>8.6599999999999996E-2</v>
      </c>
      <c r="F781" s="26">
        <v>9.3399999999999997E-2</v>
      </c>
      <c r="G781" s="26">
        <v>8.8900000000000007E-2</v>
      </c>
      <c r="H781" s="26">
        <v>8.8499999999999995E-2</v>
      </c>
      <c r="I781" s="26">
        <v>9.5100000000000004E-2</v>
      </c>
      <c r="J781" s="26">
        <v>6.0199999999999997E-2</v>
      </c>
      <c r="K781" s="26">
        <v>4.1300000000000003E-2</v>
      </c>
      <c r="L781" s="26">
        <v>3.1699999999999999E-2</v>
      </c>
      <c r="M781" s="26">
        <v>2.8199999999999999E-2</v>
      </c>
      <c r="N781" s="26">
        <v>7.5200000000000003E-2</v>
      </c>
      <c r="O781" s="26">
        <v>1.1000000000000001E-3</v>
      </c>
      <c r="P781" s="26">
        <v>1.2E-2</v>
      </c>
      <c r="Q781">
        <v>314</v>
      </c>
    </row>
    <row r="782" spans="1:17" x14ac:dyDescent="0.35">
      <c r="A782" t="s">
        <v>229</v>
      </c>
      <c r="B782" s="26">
        <v>0.1772</v>
      </c>
      <c r="C782" s="26">
        <v>9.0300000000000005E-2</v>
      </c>
      <c r="D782" s="26">
        <v>9.1800000000000007E-2</v>
      </c>
      <c r="E782" s="26">
        <v>8.8099999999999998E-2</v>
      </c>
      <c r="F782" s="26">
        <v>9.8299999999999998E-2</v>
      </c>
      <c r="G782" s="26">
        <v>6.9199999999999998E-2</v>
      </c>
      <c r="H782" s="26">
        <v>4.8000000000000001E-2</v>
      </c>
      <c r="I782" s="26">
        <v>8.8400000000000006E-2</v>
      </c>
      <c r="J782" s="26">
        <v>4.9399999999999999E-2</v>
      </c>
      <c r="K782" s="26">
        <v>4.5600000000000002E-2</v>
      </c>
      <c r="L782" s="26">
        <v>7.51E-2</v>
      </c>
      <c r="M782" s="26">
        <v>3.5299999999999998E-2</v>
      </c>
      <c r="N782" s="26">
        <v>2.4299999999999999E-2</v>
      </c>
      <c r="O782" s="26">
        <v>7.1999999999999998E-3</v>
      </c>
      <c r="P782" s="26">
        <v>1.2E-2</v>
      </c>
      <c r="Q782">
        <v>335</v>
      </c>
    </row>
    <row r="783" spans="1:17" x14ac:dyDescent="0.35">
      <c r="A783" t="s">
        <v>230</v>
      </c>
      <c r="B783" s="26">
        <v>0.13639999999999999</v>
      </c>
      <c r="C783" s="26">
        <v>0.20230000000000001</v>
      </c>
      <c r="D783" s="26">
        <v>3.3099999999999997E-2</v>
      </c>
      <c r="E783" s="26">
        <v>0.13650000000000001</v>
      </c>
      <c r="F783" s="26">
        <v>6.3100000000000003E-2</v>
      </c>
      <c r="G783" s="26">
        <v>6.6699999999999995E-2</v>
      </c>
      <c r="H783" s="26">
        <v>7.7799999999999994E-2</v>
      </c>
      <c r="I783" s="26">
        <v>3.61E-2</v>
      </c>
      <c r="J783" s="26">
        <v>8.2199999999999995E-2</v>
      </c>
      <c r="K783" s="26">
        <v>8.2199999999999995E-2</v>
      </c>
      <c r="L783" s="26">
        <v>2.4299999999999999E-2</v>
      </c>
      <c r="M783" s="26">
        <v>3.5099999999999999E-2</v>
      </c>
      <c r="N783" s="26">
        <v>1.9800000000000002E-2</v>
      </c>
      <c r="O783" s="26">
        <v>2.2000000000000001E-3</v>
      </c>
      <c r="P783" s="26">
        <v>2.2000000000000001E-3</v>
      </c>
      <c r="Q783">
        <v>202</v>
      </c>
    </row>
    <row r="784" spans="1:17" x14ac:dyDescent="0.35">
      <c r="A784" t="s">
        <v>231</v>
      </c>
      <c r="B784" s="26">
        <v>0.18870000000000001</v>
      </c>
      <c r="C784" s="26">
        <v>9.4299999999999995E-2</v>
      </c>
      <c r="D784" s="26">
        <v>9.4299999999999995E-2</v>
      </c>
      <c r="E784" s="26">
        <v>5.6599999999999998E-2</v>
      </c>
      <c r="F784" s="26">
        <v>9.4299999999999995E-2</v>
      </c>
      <c r="G784" s="26">
        <v>9.4299999999999995E-2</v>
      </c>
      <c r="H784" s="26">
        <v>7.5499999999999998E-2</v>
      </c>
      <c r="I784" s="26">
        <v>5.6599999999999998E-2</v>
      </c>
      <c r="J784" s="26">
        <v>5.6599999999999998E-2</v>
      </c>
      <c r="K784" s="26">
        <v>5.6599999999999998E-2</v>
      </c>
      <c r="L784" s="26">
        <v>5.6599999999999998E-2</v>
      </c>
      <c r="M784" s="26">
        <v>5.6599999999999998E-2</v>
      </c>
      <c r="O784" s="26">
        <v>1.89E-2</v>
      </c>
      <c r="Q784">
        <v>53</v>
      </c>
    </row>
    <row r="785" spans="1:18" x14ac:dyDescent="0.35">
      <c r="A785" t="s">
        <v>232</v>
      </c>
      <c r="B785" s="26">
        <v>0.15359999999999999</v>
      </c>
      <c r="C785" s="26">
        <v>0.1013</v>
      </c>
      <c r="D785" s="26">
        <v>9.2399999999999996E-2</v>
      </c>
      <c r="E785" s="26">
        <v>8.9099999999999999E-2</v>
      </c>
      <c r="F785" s="26">
        <v>8.4699999999999998E-2</v>
      </c>
      <c r="G785" s="26">
        <v>0.08</v>
      </c>
      <c r="H785" s="26">
        <v>7.9899999999999999E-2</v>
      </c>
      <c r="I785" s="26">
        <v>6.5000000000000002E-2</v>
      </c>
      <c r="J785" s="26">
        <v>5.8700000000000002E-2</v>
      </c>
      <c r="K785" s="26">
        <v>5.4100000000000002E-2</v>
      </c>
      <c r="L785" s="26">
        <v>5.33E-2</v>
      </c>
      <c r="M785" s="26">
        <v>3.5999999999999997E-2</v>
      </c>
      <c r="N785" s="26">
        <v>3.5900000000000001E-2</v>
      </c>
      <c r="O785" s="26">
        <v>9.7000000000000003E-3</v>
      </c>
      <c r="P785" s="26">
        <v>6.1999999999999998E-3</v>
      </c>
      <c r="Q785">
        <v>967</v>
      </c>
    </row>
    <row r="787" spans="1:18" x14ac:dyDescent="0.35">
      <c r="A787" s="1" t="s">
        <v>413</v>
      </c>
    </row>
    <row r="788" spans="1:18" x14ac:dyDescent="0.35">
      <c r="A788" t="s">
        <v>219</v>
      </c>
      <c r="B788" t="s">
        <v>305</v>
      </c>
      <c r="C788" t="s">
        <v>399</v>
      </c>
      <c r="D788" t="s">
        <v>400</v>
      </c>
      <c r="E788" t="s">
        <v>401</v>
      </c>
      <c r="F788" t="s">
        <v>402</v>
      </c>
      <c r="G788" t="s">
        <v>403</v>
      </c>
      <c r="H788" t="s">
        <v>404</v>
      </c>
      <c r="I788" t="s">
        <v>405</v>
      </c>
      <c r="J788" t="s">
        <v>406</v>
      </c>
      <c r="K788" t="s">
        <v>407</v>
      </c>
      <c r="L788" t="s">
        <v>408</v>
      </c>
      <c r="M788" t="s">
        <v>409</v>
      </c>
      <c r="N788" t="s">
        <v>410</v>
      </c>
      <c r="O788" t="s">
        <v>411</v>
      </c>
      <c r="P788" t="s">
        <v>412</v>
      </c>
      <c r="Q788" t="s">
        <v>281</v>
      </c>
      <c r="R788" t="s">
        <v>226</v>
      </c>
    </row>
    <row r="789" spans="1:18" x14ac:dyDescent="0.35">
      <c r="A789" s="27" t="s">
        <v>227</v>
      </c>
      <c r="B789" s="27" t="s">
        <v>242</v>
      </c>
      <c r="C789" s="28">
        <v>4.3499999999999997E-2</v>
      </c>
      <c r="D789" s="29"/>
      <c r="E789" s="28">
        <v>8.6999999999999994E-2</v>
      </c>
      <c r="F789" s="28">
        <v>0.13039999999999999</v>
      </c>
      <c r="G789" s="28">
        <v>0.13039999999999999</v>
      </c>
      <c r="H789" s="29"/>
      <c r="I789" s="28">
        <v>0.21740000000000001</v>
      </c>
      <c r="J789" s="29"/>
      <c r="K789" s="28">
        <v>4.3499999999999997E-2</v>
      </c>
      <c r="L789" s="28">
        <v>8.6999999999999994E-2</v>
      </c>
      <c r="M789" s="28">
        <v>4.3499999999999997E-2</v>
      </c>
      <c r="N789" s="28">
        <v>4.3499999999999997E-2</v>
      </c>
      <c r="O789" s="28">
        <v>0.13039999999999999</v>
      </c>
      <c r="P789" s="28">
        <v>4.3499999999999997E-2</v>
      </c>
      <c r="Q789" s="29"/>
      <c r="R789" s="29" t="s">
        <v>328</v>
      </c>
    </row>
    <row r="790" spans="1:18" x14ac:dyDescent="0.35">
      <c r="A790" t="s">
        <v>227</v>
      </c>
      <c r="B790" t="s">
        <v>241</v>
      </c>
      <c r="C790" s="26">
        <v>0.2</v>
      </c>
      <c r="D790" s="26">
        <v>0.1</v>
      </c>
      <c r="E790" s="26">
        <v>0.125</v>
      </c>
      <c r="F790" s="26">
        <v>0.1</v>
      </c>
      <c r="H790" s="26">
        <v>0.125</v>
      </c>
      <c r="I790" s="26">
        <v>0.1</v>
      </c>
      <c r="J790" s="26">
        <v>2.5000000000000001E-2</v>
      </c>
      <c r="K790" s="26">
        <v>7.4999999999999997E-2</v>
      </c>
      <c r="L790" s="26">
        <v>0.05</v>
      </c>
      <c r="M790" s="26">
        <v>0.05</v>
      </c>
      <c r="O790" s="26">
        <v>0.05</v>
      </c>
      <c r="R790">
        <v>40</v>
      </c>
    </row>
    <row r="791" spans="1:18" x14ac:dyDescent="0.35">
      <c r="A791" t="s">
        <v>228</v>
      </c>
      <c r="B791" t="s">
        <v>242</v>
      </c>
      <c r="C791" s="26">
        <v>5.5E-2</v>
      </c>
      <c r="D791" s="26">
        <v>9.9500000000000005E-2</v>
      </c>
      <c r="E791" s="26">
        <v>9.7699999999999995E-2</v>
      </c>
      <c r="F791" s="26">
        <v>8.2699999999999996E-2</v>
      </c>
      <c r="G791" s="26">
        <v>0.1104</v>
      </c>
      <c r="H791" s="26">
        <v>0.13519999999999999</v>
      </c>
      <c r="I791" s="26">
        <v>4.07E-2</v>
      </c>
      <c r="J791" s="26">
        <v>0.1104</v>
      </c>
      <c r="K791" s="26">
        <v>5.9200000000000003E-2</v>
      </c>
      <c r="L791" s="26">
        <v>5.2600000000000001E-2</v>
      </c>
      <c r="M791" s="26">
        <v>4.8899999999999999E-2</v>
      </c>
      <c r="N791" s="26">
        <v>1.1599999999999999E-2</v>
      </c>
      <c r="O791" s="26">
        <v>9.3600000000000003E-2</v>
      </c>
      <c r="Q791" s="26">
        <v>2.3999999999999998E-3</v>
      </c>
      <c r="R791">
        <v>94</v>
      </c>
    </row>
    <row r="792" spans="1:18" x14ac:dyDescent="0.35">
      <c r="A792" t="s">
        <v>228</v>
      </c>
      <c r="B792" t="s">
        <v>241</v>
      </c>
      <c r="C792" s="26">
        <v>9.6199999999999994E-2</v>
      </c>
      <c r="D792" s="26">
        <v>0.1071</v>
      </c>
      <c r="E792" s="26">
        <v>0.11360000000000001</v>
      </c>
      <c r="F792" s="26">
        <v>8.8200000000000001E-2</v>
      </c>
      <c r="G792" s="26">
        <v>8.6300000000000002E-2</v>
      </c>
      <c r="H792" s="26">
        <v>6.9500000000000006E-2</v>
      </c>
      <c r="I792" s="26">
        <v>0.1085</v>
      </c>
      <c r="J792" s="26">
        <v>8.8700000000000001E-2</v>
      </c>
      <c r="K792" s="26">
        <v>6.0600000000000001E-2</v>
      </c>
      <c r="L792" s="26">
        <v>3.6499999999999998E-2</v>
      </c>
      <c r="M792" s="26">
        <v>2.4500000000000001E-2</v>
      </c>
      <c r="N792" s="26">
        <v>3.5200000000000002E-2</v>
      </c>
      <c r="O792" s="26">
        <v>6.7500000000000004E-2</v>
      </c>
      <c r="P792" s="26">
        <v>1.5E-3</v>
      </c>
      <c r="Q792" s="26">
        <v>1.61E-2</v>
      </c>
      <c r="R792">
        <v>220</v>
      </c>
    </row>
    <row r="793" spans="1:18" x14ac:dyDescent="0.35">
      <c r="A793" t="s">
        <v>229</v>
      </c>
      <c r="B793" t="s">
        <v>242</v>
      </c>
      <c r="C793" s="26">
        <v>6.4799999999999996E-2</v>
      </c>
      <c r="D793" s="26">
        <v>5.8400000000000001E-2</v>
      </c>
      <c r="E793" s="26">
        <v>8.1199999999999994E-2</v>
      </c>
      <c r="F793" s="26">
        <v>0.1236</v>
      </c>
      <c r="G793" s="26">
        <v>0.11169999999999999</v>
      </c>
      <c r="H793" s="26">
        <v>0.12590000000000001</v>
      </c>
      <c r="I793" s="26">
        <v>3.8300000000000001E-2</v>
      </c>
      <c r="J793" s="26">
        <v>0.11</v>
      </c>
      <c r="K793" s="26">
        <v>5.1200000000000002E-2</v>
      </c>
      <c r="L793" s="26">
        <v>4.1200000000000001E-2</v>
      </c>
      <c r="M793" s="26">
        <v>0.12770000000000001</v>
      </c>
      <c r="N793" s="26">
        <v>4.82E-2</v>
      </c>
      <c r="Q793" s="26">
        <v>1.77E-2</v>
      </c>
      <c r="R793">
        <v>94</v>
      </c>
    </row>
    <row r="794" spans="1:18" x14ac:dyDescent="0.35">
      <c r="A794" t="s">
        <v>229</v>
      </c>
      <c r="B794" t="s">
        <v>241</v>
      </c>
      <c r="C794" s="26">
        <v>0.23480000000000001</v>
      </c>
      <c r="D794" s="26">
        <v>0.1067</v>
      </c>
      <c r="E794" s="26">
        <v>9.7299999999999998E-2</v>
      </c>
      <c r="F794" s="26">
        <v>6.9900000000000004E-2</v>
      </c>
      <c r="G794" s="26">
        <v>9.1399999999999995E-2</v>
      </c>
      <c r="H794" s="26">
        <v>4.0099999999999997E-2</v>
      </c>
      <c r="I794" s="26">
        <v>5.2900000000000003E-2</v>
      </c>
      <c r="J794" s="26">
        <v>7.7200000000000005E-2</v>
      </c>
      <c r="K794" s="26">
        <v>4.8399999999999999E-2</v>
      </c>
      <c r="L794" s="26">
        <v>4.7899999999999998E-2</v>
      </c>
      <c r="M794" s="26">
        <v>4.8099999999999997E-2</v>
      </c>
      <c r="N794" s="26">
        <v>2.86E-2</v>
      </c>
      <c r="O794" s="26">
        <v>3.6700000000000003E-2</v>
      </c>
      <c r="P794" s="26">
        <v>1.0800000000000001E-2</v>
      </c>
      <c r="Q794" s="26">
        <v>9.1000000000000004E-3</v>
      </c>
      <c r="R794">
        <v>241</v>
      </c>
    </row>
    <row r="795" spans="1:18" x14ac:dyDescent="0.35">
      <c r="A795" t="s">
        <v>230</v>
      </c>
      <c r="B795" t="s">
        <v>242</v>
      </c>
      <c r="C795" s="26">
        <v>0.1489</v>
      </c>
      <c r="D795" s="26">
        <v>0.2102</v>
      </c>
      <c r="E795" s="26">
        <v>1.26E-2</v>
      </c>
      <c r="F795" s="26">
        <v>0.16600000000000001</v>
      </c>
      <c r="G795" s="26">
        <v>6.4000000000000003E-3</v>
      </c>
      <c r="H795" s="26">
        <v>9.0300000000000005E-2</v>
      </c>
      <c r="I795" s="26">
        <v>5.2499999999999998E-2</v>
      </c>
      <c r="J795" s="26">
        <v>2.0799999999999999E-2</v>
      </c>
      <c r="K795" s="26">
        <v>8.2000000000000003E-2</v>
      </c>
      <c r="L795" s="26">
        <v>0.1091</v>
      </c>
      <c r="M795" s="26">
        <v>1.2800000000000001E-2</v>
      </c>
      <c r="N795" s="26">
        <v>8.2100000000000006E-2</v>
      </c>
      <c r="O795" s="26">
        <v>6.4000000000000003E-3</v>
      </c>
      <c r="R795">
        <v>59</v>
      </c>
    </row>
    <row r="796" spans="1:18" x14ac:dyDescent="0.35">
      <c r="A796" t="s">
        <v>230</v>
      </c>
      <c r="B796" t="s">
        <v>241</v>
      </c>
      <c r="C796" s="26">
        <v>0.12970000000000001</v>
      </c>
      <c r="D796" s="26">
        <v>0.19800000000000001</v>
      </c>
      <c r="E796" s="26">
        <v>4.41E-2</v>
      </c>
      <c r="F796" s="26">
        <v>0.1207</v>
      </c>
      <c r="G796" s="26">
        <v>9.35E-2</v>
      </c>
      <c r="H796" s="26">
        <v>5.3999999999999999E-2</v>
      </c>
      <c r="I796" s="26">
        <v>9.1399999999999995E-2</v>
      </c>
      <c r="J796" s="26">
        <v>4.4299999999999999E-2</v>
      </c>
      <c r="K796" s="26">
        <v>8.2299999999999998E-2</v>
      </c>
      <c r="L796" s="26">
        <v>6.7699999999999996E-2</v>
      </c>
      <c r="M796" s="26">
        <v>3.0499999999999999E-2</v>
      </c>
      <c r="N796" s="26">
        <v>9.9000000000000008E-3</v>
      </c>
      <c r="O796" s="26">
        <v>2.7099999999999999E-2</v>
      </c>
      <c r="P796" s="26">
        <v>3.3999999999999998E-3</v>
      </c>
      <c r="Q796" s="26">
        <v>3.3999999999999998E-3</v>
      </c>
      <c r="R796">
        <v>143</v>
      </c>
    </row>
    <row r="797" spans="1:18" x14ac:dyDescent="0.35">
      <c r="A797" s="27" t="s">
        <v>231</v>
      </c>
      <c r="B797" s="27" t="s">
        <v>242</v>
      </c>
      <c r="C797" s="28">
        <v>0.44440000000000002</v>
      </c>
      <c r="D797" s="28">
        <v>0.1111</v>
      </c>
      <c r="E797" s="29"/>
      <c r="F797" s="28">
        <v>0.1111</v>
      </c>
      <c r="G797" s="29"/>
      <c r="H797" s="29"/>
      <c r="I797" s="29"/>
      <c r="J797" s="28">
        <v>0.1111</v>
      </c>
      <c r="K797" s="29"/>
      <c r="L797" s="28">
        <v>0.1111</v>
      </c>
      <c r="M797" s="28">
        <v>0.1111</v>
      </c>
      <c r="N797" s="29"/>
      <c r="O797" s="29"/>
      <c r="P797" s="29"/>
      <c r="Q797" s="29"/>
      <c r="R797" s="29" t="s">
        <v>334</v>
      </c>
    </row>
    <row r="798" spans="1:18" x14ac:dyDescent="0.35">
      <c r="A798" t="s">
        <v>231</v>
      </c>
      <c r="B798" t="s">
        <v>241</v>
      </c>
      <c r="C798" s="26">
        <v>0.13639999999999999</v>
      </c>
      <c r="D798" s="26">
        <v>9.0899999999999995E-2</v>
      </c>
      <c r="E798" s="26">
        <v>0.11360000000000001</v>
      </c>
      <c r="F798" s="26">
        <v>4.5499999999999999E-2</v>
      </c>
      <c r="G798" s="26">
        <v>0.11360000000000001</v>
      </c>
      <c r="H798" s="26">
        <v>0.11360000000000001</v>
      </c>
      <c r="I798" s="26">
        <v>9.0899999999999995E-2</v>
      </c>
      <c r="J798" s="26">
        <v>4.5499999999999999E-2</v>
      </c>
      <c r="K798" s="26">
        <v>6.8199999999999997E-2</v>
      </c>
      <c r="L798" s="26">
        <v>4.5499999999999999E-2</v>
      </c>
      <c r="M798" s="26">
        <v>4.5499999999999999E-2</v>
      </c>
      <c r="N798" s="26">
        <v>6.8199999999999997E-2</v>
      </c>
      <c r="P798" s="26">
        <v>2.2700000000000001E-2</v>
      </c>
      <c r="R798">
        <v>44</v>
      </c>
    </row>
    <row r="799" spans="1:18" x14ac:dyDescent="0.35">
      <c r="A799" t="s">
        <v>232</v>
      </c>
      <c r="B799" t="s">
        <v>232</v>
      </c>
      <c r="C799" s="26">
        <v>0.15359999999999999</v>
      </c>
      <c r="D799" s="26">
        <v>0.1013</v>
      </c>
      <c r="E799" s="26">
        <v>9.2399999999999996E-2</v>
      </c>
      <c r="F799" s="26">
        <v>8.9099999999999999E-2</v>
      </c>
      <c r="G799" s="26">
        <v>8.4699999999999998E-2</v>
      </c>
      <c r="H799" s="26">
        <v>0.08</v>
      </c>
      <c r="I799" s="26">
        <v>7.9899999999999999E-2</v>
      </c>
      <c r="J799" s="26">
        <v>6.5000000000000002E-2</v>
      </c>
      <c r="K799" s="26">
        <v>5.8700000000000002E-2</v>
      </c>
      <c r="L799" s="26">
        <v>5.4100000000000002E-2</v>
      </c>
      <c r="M799" s="26">
        <v>5.33E-2</v>
      </c>
      <c r="N799" s="26">
        <v>3.5999999999999997E-2</v>
      </c>
      <c r="O799" s="26">
        <v>3.5900000000000001E-2</v>
      </c>
      <c r="P799" s="26">
        <v>9.7000000000000003E-3</v>
      </c>
      <c r="Q799" s="26">
        <v>6.1999999999999998E-3</v>
      </c>
      <c r="R799">
        <v>967</v>
      </c>
    </row>
    <row r="801" spans="1:18" x14ac:dyDescent="0.35">
      <c r="A801" s="1" t="s">
        <v>414</v>
      </c>
    </row>
    <row r="802" spans="1:18" x14ac:dyDescent="0.35">
      <c r="A802" t="s">
        <v>219</v>
      </c>
      <c r="B802" t="s">
        <v>305</v>
      </c>
      <c r="C802" t="s">
        <v>399</v>
      </c>
      <c r="D802" t="s">
        <v>400</v>
      </c>
      <c r="E802" t="s">
        <v>401</v>
      </c>
      <c r="F802" t="s">
        <v>402</v>
      </c>
      <c r="G802" t="s">
        <v>403</v>
      </c>
      <c r="H802" t="s">
        <v>404</v>
      </c>
      <c r="I802" t="s">
        <v>405</v>
      </c>
      <c r="J802" t="s">
        <v>406</v>
      </c>
      <c r="K802" t="s">
        <v>407</v>
      </c>
      <c r="L802" t="s">
        <v>408</v>
      </c>
      <c r="M802" t="s">
        <v>409</v>
      </c>
      <c r="N802" t="s">
        <v>410</v>
      </c>
      <c r="O802" t="s">
        <v>411</v>
      </c>
      <c r="P802" t="s">
        <v>412</v>
      </c>
      <c r="Q802" t="s">
        <v>281</v>
      </c>
      <c r="R802" t="s">
        <v>226</v>
      </c>
    </row>
    <row r="803" spans="1:18" x14ac:dyDescent="0.35">
      <c r="A803" t="s">
        <v>227</v>
      </c>
      <c r="B803" t="s">
        <v>239</v>
      </c>
      <c r="C803" s="26">
        <v>0.16669999999999999</v>
      </c>
      <c r="D803" s="26">
        <v>3.3300000000000003E-2</v>
      </c>
      <c r="E803" s="26">
        <v>0.16669999999999999</v>
      </c>
      <c r="F803" s="26">
        <v>0.1</v>
      </c>
      <c r="H803" s="26">
        <v>3.3300000000000003E-2</v>
      </c>
      <c r="I803" s="26">
        <v>0.2</v>
      </c>
      <c r="J803" s="26">
        <v>3.3300000000000003E-2</v>
      </c>
      <c r="K803" s="26">
        <v>3.3300000000000003E-2</v>
      </c>
      <c r="L803" s="26">
        <v>0.1</v>
      </c>
      <c r="M803" s="26">
        <v>3.3300000000000003E-2</v>
      </c>
      <c r="O803" s="26">
        <v>6.6699999999999995E-2</v>
      </c>
      <c r="P803" s="26">
        <v>3.3300000000000003E-2</v>
      </c>
      <c r="R803">
        <v>30</v>
      </c>
    </row>
    <row r="804" spans="1:18" x14ac:dyDescent="0.35">
      <c r="A804" t="s">
        <v>227</v>
      </c>
      <c r="B804" t="s">
        <v>238</v>
      </c>
      <c r="C804" s="26">
        <v>0.1212</v>
      </c>
      <c r="D804" s="26">
        <v>9.0899999999999995E-2</v>
      </c>
      <c r="E804" s="26">
        <v>6.0600000000000001E-2</v>
      </c>
      <c r="F804" s="26">
        <v>0.1212</v>
      </c>
      <c r="G804" s="26">
        <v>9.0899999999999995E-2</v>
      </c>
      <c r="H804" s="26">
        <v>0.1212</v>
      </c>
      <c r="I804" s="26">
        <v>9.0899999999999995E-2</v>
      </c>
      <c r="K804" s="26">
        <v>9.0899999999999995E-2</v>
      </c>
      <c r="L804" s="26">
        <v>3.0300000000000001E-2</v>
      </c>
      <c r="M804" s="26">
        <v>6.0600000000000001E-2</v>
      </c>
      <c r="N804" s="26">
        <v>3.0300000000000001E-2</v>
      </c>
      <c r="O804" s="26">
        <v>9.0899999999999995E-2</v>
      </c>
      <c r="R804">
        <v>33</v>
      </c>
    </row>
    <row r="805" spans="1:18" x14ac:dyDescent="0.35">
      <c r="A805" t="s">
        <v>228</v>
      </c>
      <c r="B805" t="s">
        <v>239</v>
      </c>
      <c r="C805" s="26">
        <v>0.13300000000000001</v>
      </c>
      <c r="D805" s="26">
        <v>0.13350000000000001</v>
      </c>
      <c r="E805" s="26">
        <v>8.4599999999999995E-2</v>
      </c>
      <c r="F805" s="26">
        <v>3.7400000000000003E-2</v>
      </c>
      <c r="G805" s="26">
        <v>6.7799999999999999E-2</v>
      </c>
      <c r="H805" s="26">
        <v>2.6599999999999999E-2</v>
      </c>
      <c r="I805" s="26">
        <v>0.1789</v>
      </c>
      <c r="J805" s="26">
        <v>0.11020000000000001</v>
      </c>
      <c r="K805" s="26">
        <v>7.4899999999999994E-2</v>
      </c>
      <c r="L805" s="26">
        <v>2.4400000000000002E-2</v>
      </c>
      <c r="M805" s="26">
        <v>2.3900000000000001E-2</v>
      </c>
      <c r="N805" s="26">
        <v>4.7300000000000002E-2</v>
      </c>
      <c r="O805" s="26">
        <v>4.4600000000000001E-2</v>
      </c>
      <c r="P805" s="26">
        <v>4.1000000000000003E-3</v>
      </c>
      <c r="Q805" s="26">
        <v>8.9999999999999993E-3</v>
      </c>
      <c r="R805">
        <v>117</v>
      </c>
    </row>
    <row r="806" spans="1:18" x14ac:dyDescent="0.35">
      <c r="A806" t="s">
        <v>228</v>
      </c>
      <c r="B806" t="s">
        <v>238</v>
      </c>
      <c r="C806" s="26">
        <v>6.7100000000000007E-2</v>
      </c>
      <c r="D806" s="26">
        <v>9.5000000000000001E-2</v>
      </c>
      <c r="E806" s="26">
        <v>0.1173</v>
      </c>
      <c r="F806" s="26">
        <v>0.1036</v>
      </c>
      <c r="G806" s="26">
        <v>0.1023</v>
      </c>
      <c r="H806" s="26">
        <v>0.1105</v>
      </c>
      <c r="I806" s="26">
        <v>5.7200000000000001E-2</v>
      </c>
      <c r="J806" s="26">
        <v>8.9899999999999994E-2</v>
      </c>
      <c r="K806" s="26">
        <v>5.5100000000000003E-2</v>
      </c>
      <c r="L806" s="26">
        <v>4.7100000000000003E-2</v>
      </c>
      <c r="M806" s="26">
        <v>3.4500000000000003E-2</v>
      </c>
      <c r="N806" s="26">
        <v>2.1700000000000001E-2</v>
      </c>
      <c r="O806" s="26">
        <v>8.5800000000000001E-2</v>
      </c>
      <c r="Q806" s="26">
        <v>1.3100000000000001E-2</v>
      </c>
      <c r="R806">
        <v>197</v>
      </c>
    </row>
    <row r="807" spans="1:18" x14ac:dyDescent="0.35">
      <c r="A807" t="s">
        <v>229</v>
      </c>
      <c r="B807" t="s">
        <v>239</v>
      </c>
      <c r="C807" s="26">
        <v>0.2</v>
      </c>
      <c r="D807" s="26">
        <v>0.15440000000000001</v>
      </c>
      <c r="E807" s="26">
        <v>9.8000000000000004E-2</v>
      </c>
      <c r="F807" s="26">
        <v>6.9800000000000001E-2</v>
      </c>
      <c r="G807" s="26">
        <v>8.6800000000000002E-2</v>
      </c>
      <c r="H807" s="26">
        <v>5.4300000000000001E-2</v>
      </c>
      <c r="I807" s="26">
        <v>6.7799999999999999E-2</v>
      </c>
      <c r="J807" s="26">
        <v>1.8599999999999998E-2</v>
      </c>
      <c r="K807" s="26">
        <v>3.5400000000000001E-2</v>
      </c>
      <c r="L807" s="26">
        <v>7.1300000000000002E-2</v>
      </c>
      <c r="M807" s="26">
        <v>9.5899999999999999E-2</v>
      </c>
      <c r="N807" s="26">
        <v>1.84E-2</v>
      </c>
      <c r="O807" s="26">
        <v>7.3000000000000001E-3</v>
      </c>
      <c r="Q807" s="26">
        <v>2.1999999999999999E-2</v>
      </c>
      <c r="R807">
        <v>130</v>
      </c>
    </row>
    <row r="808" spans="1:18" x14ac:dyDescent="0.35">
      <c r="A808" t="s">
        <v>229</v>
      </c>
      <c r="B808" t="s">
        <v>238</v>
      </c>
      <c r="C808" s="26">
        <v>0.16869999999999999</v>
      </c>
      <c r="D808" s="26">
        <v>6.6400000000000001E-2</v>
      </c>
      <c r="E808" s="26">
        <v>8.9499999999999996E-2</v>
      </c>
      <c r="F808" s="26">
        <v>9.4899999999999998E-2</v>
      </c>
      <c r="G808" s="26">
        <v>0.1026</v>
      </c>
      <c r="H808" s="26">
        <v>7.4700000000000003E-2</v>
      </c>
      <c r="I808" s="26">
        <v>4.0500000000000001E-2</v>
      </c>
      <c r="J808" s="26">
        <v>0.1144</v>
      </c>
      <c r="K808" s="26">
        <v>5.4600000000000003E-2</v>
      </c>
      <c r="L808" s="26">
        <v>3.5999999999999997E-2</v>
      </c>
      <c r="M808" s="26">
        <v>6.7299999999999999E-2</v>
      </c>
      <c r="N808" s="26">
        <v>4.1599999999999998E-2</v>
      </c>
      <c r="O808" s="26">
        <v>3.0599999999999999E-2</v>
      </c>
      <c r="P808" s="26">
        <v>9.7999999999999997E-3</v>
      </c>
      <c r="Q808" s="26">
        <v>8.2000000000000007E-3</v>
      </c>
      <c r="R808">
        <v>205</v>
      </c>
    </row>
    <row r="809" spans="1:18" x14ac:dyDescent="0.35">
      <c r="A809" t="s">
        <v>230</v>
      </c>
      <c r="B809" t="s">
        <v>239</v>
      </c>
      <c r="C809" s="26">
        <v>9.9500000000000005E-2</v>
      </c>
      <c r="D809" s="26">
        <v>0.2223</v>
      </c>
      <c r="E809" s="26">
        <v>4.07E-2</v>
      </c>
      <c r="F809" s="26">
        <v>0.14649999999999999</v>
      </c>
      <c r="G809" s="26">
        <v>6.1600000000000002E-2</v>
      </c>
      <c r="H809" s="26">
        <v>6.4699999999999994E-2</v>
      </c>
      <c r="I809" s="26">
        <v>9.3700000000000006E-2</v>
      </c>
      <c r="J809" s="26">
        <v>5.3499999999999999E-2</v>
      </c>
      <c r="K809" s="26">
        <v>3.1800000000000002E-2</v>
      </c>
      <c r="L809" s="26">
        <v>0.1149</v>
      </c>
      <c r="M809" s="26">
        <v>4.0800000000000003E-2</v>
      </c>
      <c r="N809" s="26">
        <v>1.1900000000000001E-2</v>
      </c>
      <c r="O809" s="26">
        <v>9.1000000000000004E-3</v>
      </c>
      <c r="P809" s="26">
        <v>4.4999999999999997E-3</v>
      </c>
      <c r="Q809" s="26">
        <v>4.5999999999999999E-3</v>
      </c>
      <c r="R809">
        <v>103</v>
      </c>
    </row>
    <row r="810" spans="1:18" x14ac:dyDescent="0.35">
      <c r="A810" t="s">
        <v>230</v>
      </c>
      <c r="B810" t="s">
        <v>238</v>
      </c>
      <c r="C810" s="26">
        <v>0.17150000000000001</v>
      </c>
      <c r="D810" s="26">
        <v>0.18329999999999999</v>
      </c>
      <c r="E810" s="26">
        <v>2.58E-2</v>
      </c>
      <c r="F810" s="26">
        <v>0.12709999999999999</v>
      </c>
      <c r="G810" s="26">
        <v>6.4399999999999999E-2</v>
      </c>
      <c r="H810" s="26">
        <v>6.8599999999999994E-2</v>
      </c>
      <c r="I810" s="26">
        <v>6.2799999999999995E-2</v>
      </c>
      <c r="J810" s="26">
        <v>1.9599999999999999E-2</v>
      </c>
      <c r="K810" s="26">
        <v>0.13009999999999999</v>
      </c>
      <c r="L810" s="26">
        <v>5.11E-2</v>
      </c>
      <c r="M810" s="26">
        <v>8.6E-3</v>
      </c>
      <c r="N810" s="26">
        <v>5.7099999999999998E-2</v>
      </c>
      <c r="O810" s="26">
        <v>0.03</v>
      </c>
      <c r="R810">
        <v>99</v>
      </c>
    </row>
    <row r="811" spans="1:18" x14ac:dyDescent="0.35">
      <c r="A811" s="27" t="s">
        <v>231</v>
      </c>
      <c r="B811" s="27" t="s">
        <v>239</v>
      </c>
      <c r="C811" s="28">
        <v>0.21429999999999999</v>
      </c>
      <c r="D811" s="28">
        <v>7.1400000000000005E-2</v>
      </c>
      <c r="E811" s="28">
        <v>0.1071</v>
      </c>
      <c r="F811" s="28">
        <v>7.1400000000000005E-2</v>
      </c>
      <c r="G811" s="28">
        <v>7.1400000000000005E-2</v>
      </c>
      <c r="H811" s="28">
        <v>0.1071</v>
      </c>
      <c r="I811" s="29"/>
      <c r="J811" s="28">
        <v>7.1400000000000005E-2</v>
      </c>
      <c r="K811" s="28">
        <v>3.5700000000000003E-2</v>
      </c>
      <c r="L811" s="28">
        <v>7.1400000000000005E-2</v>
      </c>
      <c r="M811" s="28">
        <v>0.1071</v>
      </c>
      <c r="N811" s="28">
        <v>7.1400000000000005E-2</v>
      </c>
      <c r="O811" s="29"/>
      <c r="P811" s="29"/>
      <c r="Q811" s="29"/>
      <c r="R811" s="29" t="s">
        <v>336</v>
      </c>
    </row>
    <row r="812" spans="1:18" x14ac:dyDescent="0.35">
      <c r="A812" s="27" t="s">
        <v>231</v>
      </c>
      <c r="B812" s="27" t="s">
        <v>238</v>
      </c>
      <c r="C812" s="28">
        <v>0.16</v>
      </c>
      <c r="D812" s="28">
        <v>0.12</v>
      </c>
      <c r="E812" s="28">
        <v>0.08</v>
      </c>
      <c r="F812" s="28">
        <v>0.04</v>
      </c>
      <c r="G812" s="28">
        <v>0.12</v>
      </c>
      <c r="H812" s="28">
        <v>0.08</v>
      </c>
      <c r="I812" s="28">
        <v>0.16</v>
      </c>
      <c r="J812" s="28">
        <v>0.04</v>
      </c>
      <c r="K812" s="28">
        <v>0.08</v>
      </c>
      <c r="L812" s="28">
        <v>0.04</v>
      </c>
      <c r="M812" s="29"/>
      <c r="N812" s="28">
        <v>0.04</v>
      </c>
      <c r="O812" s="29"/>
      <c r="P812" s="28">
        <v>0.04</v>
      </c>
      <c r="Q812" s="29"/>
      <c r="R812" s="29" t="s">
        <v>312</v>
      </c>
    </row>
    <row r="813" spans="1:18" x14ac:dyDescent="0.35">
      <c r="A813" t="s">
        <v>232</v>
      </c>
      <c r="B813" t="s">
        <v>232</v>
      </c>
      <c r="C813" s="26">
        <v>0.15359999999999999</v>
      </c>
      <c r="D813" s="26">
        <v>0.1013</v>
      </c>
      <c r="E813" s="26">
        <v>9.2399999999999996E-2</v>
      </c>
      <c r="F813" s="26">
        <v>8.9099999999999999E-2</v>
      </c>
      <c r="G813" s="26">
        <v>8.4699999999999998E-2</v>
      </c>
      <c r="H813" s="26">
        <v>0.08</v>
      </c>
      <c r="I813" s="26">
        <v>7.9899999999999999E-2</v>
      </c>
      <c r="J813" s="26">
        <v>6.5000000000000002E-2</v>
      </c>
      <c r="K813" s="26">
        <v>5.8700000000000002E-2</v>
      </c>
      <c r="L813" s="26">
        <v>5.4100000000000002E-2</v>
      </c>
      <c r="M813" s="26">
        <v>5.33E-2</v>
      </c>
      <c r="N813" s="26">
        <v>3.5999999999999997E-2</v>
      </c>
      <c r="O813" s="26">
        <v>3.5900000000000001E-2</v>
      </c>
      <c r="P813" s="26">
        <v>9.7000000000000003E-3</v>
      </c>
      <c r="Q813" s="26">
        <v>6.1999999999999998E-3</v>
      </c>
      <c r="R813">
        <v>967</v>
      </c>
    </row>
    <row r="815" spans="1:18" x14ac:dyDescent="0.35">
      <c r="A815" s="1" t="s">
        <v>415</v>
      </c>
    </row>
    <row r="816" spans="1:18" x14ac:dyDescent="0.35">
      <c r="A816" t="s">
        <v>219</v>
      </c>
      <c r="B816" t="s">
        <v>305</v>
      </c>
      <c r="C816" t="s">
        <v>399</v>
      </c>
      <c r="D816" t="s">
        <v>400</v>
      </c>
      <c r="E816" t="s">
        <v>401</v>
      </c>
      <c r="F816" t="s">
        <v>402</v>
      </c>
      <c r="G816" t="s">
        <v>403</v>
      </c>
      <c r="H816" t="s">
        <v>404</v>
      </c>
      <c r="I816" t="s">
        <v>405</v>
      </c>
      <c r="J816" t="s">
        <v>406</v>
      </c>
      <c r="K816" t="s">
        <v>407</v>
      </c>
      <c r="L816" t="s">
        <v>408</v>
      </c>
      <c r="M816" t="s">
        <v>409</v>
      </c>
      <c r="N816" t="s">
        <v>410</v>
      </c>
      <c r="O816" t="s">
        <v>411</v>
      </c>
      <c r="P816" t="s">
        <v>412</v>
      </c>
      <c r="Q816" t="s">
        <v>281</v>
      </c>
      <c r="R816" t="s">
        <v>226</v>
      </c>
    </row>
    <row r="817" spans="1:18" x14ac:dyDescent="0.35">
      <c r="A817" t="s">
        <v>227</v>
      </c>
      <c r="B817" t="s">
        <v>244</v>
      </c>
      <c r="C817" s="26">
        <v>0.18920000000000001</v>
      </c>
      <c r="D817" s="26">
        <v>8.1100000000000005E-2</v>
      </c>
      <c r="E817" s="26">
        <v>0.16220000000000001</v>
      </c>
      <c r="F817" s="26">
        <v>8.1100000000000005E-2</v>
      </c>
      <c r="G817" s="26">
        <v>5.4100000000000002E-2</v>
      </c>
      <c r="H817" s="26">
        <v>5.4100000000000002E-2</v>
      </c>
      <c r="I817" s="26">
        <v>0.1081</v>
      </c>
      <c r="J817" s="26">
        <v>2.7E-2</v>
      </c>
      <c r="K817" s="26">
        <v>5.4100000000000002E-2</v>
      </c>
      <c r="L817" s="26">
        <v>5.4100000000000002E-2</v>
      </c>
      <c r="M817" s="26">
        <v>5.4100000000000002E-2</v>
      </c>
      <c r="N817" s="26">
        <v>2.7E-2</v>
      </c>
      <c r="O817" s="26">
        <v>2.7E-2</v>
      </c>
      <c r="P817" s="26">
        <v>2.7E-2</v>
      </c>
      <c r="R817">
        <v>37</v>
      </c>
    </row>
    <row r="818" spans="1:18" x14ac:dyDescent="0.35">
      <c r="A818" s="27" t="s">
        <v>227</v>
      </c>
      <c r="B818" s="27" t="s">
        <v>246</v>
      </c>
      <c r="C818" s="28">
        <v>7.6899999999999996E-2</v>
      </c>
      <c r="D818" s="28">
        <v>3.85E-2</v>
      </c>
      <c r="E818" s="28">
        <v>3.85E-2</v>
      </c>
      <c r="F818" s="28">
        <v>0.15379999999999999</v>
      </c>
      <c r="G818" s="28">
        <v>3.85E-2</v>
      </c>
      <c r="H818" s="28">
        <v>0.1154</v>
      </c>
      <c r="I818" s="28">
        <v>0.1923</v>
      </c>
      <c r="J818" s="29"/>
      <c r="K818" s="28">
        <v>7.6899999999999996E-2</v>
      </c>
      <c r="L818" s="28">
        <v>7.6899999999999996E-2</v>
      </c>
      <c r="M818" s="28">
        <v>3.85E-2</v>
      </c>
      <c r="N818" s="29"/>
      <c r="O818" s="28">
        <v>0.15379999999999999</v>
      </c>
      <c r="P818" s="29"/>
      <c r="Q818" s="29"/>
      <c r="R818" s="29" t="s">
        <v>357</v>
      </c>
    </row>
    <row r="819" spans="1:18" x14ac:dyDescent="0.35">
      <c r="A819" t="s">
        <v>228</v>
      </c>
      <c r="B819" t="s">
        <v>244</v>
      </c>
      <c r="C819" s="26">
        <v>8.5999999999999993E-2</v>
      </c>
      <c r="D819" s="26">
        <v>7.8399999999999997E-2</v>
      </c>
      <c r="E819" s="26">
        <v>8.77E-2</v>
      </c>
      <c r="F819" s="26">
        <v>9.1800000000000007E-2</v>
      </c>
      <c r="G819" s="26">
        <v>0.11509999999999999</v>
      </c>
      <c r="H819" s="26">
        <v>0.1032</v>
      </c>
      <c r="I819" s="26">
        <v>8.9200000000000002E-2</v>
      </c>
      <c r="J819" s="26">
        <v>0.1069</v>
      </c>
      <c r="K819" s="26">
        <v>4.53E-2</v>
      </c>
      <c r="L819" s="26">
        <v>3.6999999999999998E-2</v>
      </c>
      <c r="M819" s="26">
        <v>3.8399999999999997E-2</v>
      </c>
      <c r="N819" s="26">
        <v>3.1199999999999999E-2</v>
      </c>
      <c r="O819" s="26">
        <v>7.1499999999999994E-2</v>
      </c>
      <c r="P819" s="26">
        <v>1.5E-3</v>
      </c>
      <c r="Q819" s="26">
        <v>1.6799999999999999E-2</v>
      </c>
      <c r="R819">
        <v>215</v>
      </c>
    </row>
    <row r="820" spans="1:18" x14ac:dyDescent="0.35">
      <c r="A820" t="s">
        <v>228</v>
      </c>
      <c r="B820" t="s">
        <v>246</v>
      </c>
      <c r="C820" s="26">
        <v>7.9100000000000004E-2</v>
      </c>
      <c r="D820" s="26">
        <v>0.17180000000000001</v>
      </c>
      <c r="E820" s="26">
        <v>0.16239999999999999</v>
      </c>
      <c r="F820" s="26">
        <v>7.3300000000000004E-2</v>
      </c>
      <c r="G820" s="26">
        <v>3.8600000000000002E-2</v>
      </c>
      <c r="H820" s="26">
        <v>5.28E-2</v>
      </c>
      <c r="I820" s="26">
        <v>8.6699999999999999E-2</v>
      </c>
      <c r="J820" s="26">
        <v>6.5100000000000005E-2</v>
      </c>
      <c r="K820" s="26">
        <v>9.7799999999999998E-2</v>
      </c>
      <c r="L820" s="26">
        <v>5.2200000000000003E-2</v>
      </c>
      <c r="M820" s="26">
        <v>1.4999999999999999E-2</v>
      </c>
      <c r="N820" s="26">
        <v>2.07E-2</v>
      </c>
      <c r="O820" s="26">
        <v>8.4699999999999998E-2</v>
      </c>
      <c r="R820">
        <v>99</v>
      </c>
    </row>
    <row r="821" spans="1:18" x14ac:dyDescent="0.35">
      <c r="A821" t="s">
        <v>229</v>
      </c>
      <c r="B821" t="s">
        <v>244</v>
      </c>
      <c r="C821" s="26">
        <v>0.18479999999999999</v>
      </c>
      <c r="D821" s="26">
        <v>9.7199999999999995E-2</v>
      </c>
      <c r="E821" s="26">
        <v>9.1600000000000001E-2</v>
      </c>
      <c r="F821" s="26">
        <v>8.5900000000000004E-2</v>
      </c>
      <c r="G821" s="26">
        <v>9.6199999999999994E-2</v>
      </c>
      <c r="H821" s="26">
        <v>7.5999999999999998E-2</v>
      </c>
      <c r="I821" s="26">
        <v>4.8099999999999997E-2</v>
      </c>
      <c r="J821" s="26">
        <v>8.2600000000000007E-2</v>
      </c>
      <c r="K821" s="26">
        <v>5.2999999999999999E-2</v>
      </c>
      <c r="L821" s="26">
        <v>4.6699999999999998E-2</v>
      </c>
      <c r="M821" s="26">
        <v>6.83E-2</v>
      </c>
      <c r="N821" s="26">
        <v>3.2300000000000002E-2</v>
      </c>
      <c r="O821" s="26">
        <v>2.07E-2</v>
      </c>
      <c r="P821" s="26">
        <v>9.1000000000000004E-3</v>
      </c>
      <c r="Q821" s="26">
        <v>7.6E-3</v>
      </c>
      <c r="R821">
        <v>260</v>
      </c>
    </row>
    <row r="822" spans="1:18" x14ac:dyDescent="0.35">
      <c r="A822" t="s">
        <v>229</v>
      </c>
      <c r="B822" t="s">
        <v>246</v>
      </c>
      <c r="C822" s="26">
        <v>0.1487</v>
      </c>
      <c r="D822" s="26">
        <v>6.4699999999999994E-2</v>
      </c>
      <c r="E822" s="26">
        <v>9.2799999999999994E-2</v>
      </c>
      <c r="F822" s="26">
        <v>9.64E-2</v>
      </c>
      <c r="G822" s="26">
        <v>0.106</v>
      </c>
      <c r="H822" s="26">
        <v>4.36E-2</v>
      </c>
      <c r="I822" s="26">
        <v>4.7300000000000002E-2</v>
      </c>
      <c r="J822" s="26">
        <v>0.1099</v>
      </c>
      <c r="K822" s="26">
        <v>3.5900000000000001E-2</v>
      </c>
      <c r="L822" s="26">
        <v>4.1700000000000001E-2</v>
      </c>
      <c r="M822" s="26">
        <v>0.1004</v>
      </c>
      <c r="N822" s="26">
        <v>4.6600000000000003E-2</v>
      </c>
      <c r="O822" s="26">
        <v>3.7699999999999997E-2</v>
      </c>
      <c r="Q822" s="26">
        <v>2.8400000000000002E-2</v>
      </c>
      <c r="R822">
        <v>75</v>
      </c>
    </row>
    <row r="823" spans="1:18" x14ac:dyDescent="0.35">
      <c r="A823" t="s">
        <v>230</v>
      </c>
      <c r="B823" t="s">
        <v>244</v>
      </c>
      <c r="C823" s="26">
        <v>0.1782</v>
      </c>
      <c r="D823" s="26">
        <v>0.21759999999999999</v>
      </c>
      <c r="E823" s="26">
        <v>2.3900000000000001E-2</v>
      </c>
      <c r="F823" s="26">
        <v>0.1075</v>
      </c>
      <c r="G823" s="26">
        <v>4.7800000000000002E-2</v>
      </c>
      <c r="H823" s="26">
        <v>6.5699999999999995E-2</v>
      </c>
      <c r="I823" s="26">
        <v>5.2900000000000003E-2</v>
      </c>
      <c r="J823" s="26">
        <v>2.6499999999999999E-2</v>
      </c>
      <c r="K823" s="26">
        <v>0.1056</v>
      </c>
      <c r="L823" s="26">
        <v>8.1600000000000006E-2</v>
      </c>
      <c r="M823" s="26">
        <v>1.4999999999999999E-2</v>
      </c>
      <c r="N823" s="26">
        <v>4.4900000000000002E-2</v>
      </c>
      <c r="O823" s="26">
        <v>2.69E-2</v>
      </c>
      <c r="P823" s="26">
        <v>3.0000000000000001E-3</v>
      </c>
      <c r="Q823" s="26">
        <v>3.0000000000000001E-3</v>
      </c>
      <c r="R823">
        <v>153</v>
      </c>
    </row>
    <row r="824" spans="1:18" x14ac:dyDescent="0.35">
      <c r="A824" t="s">
        <v>230</v>
      </c>
      <c r="B824" t="s">
        <v>246</v>
      </c>
      <c r="C824" s="26">
        <v>1.95E-2</v>
      </c>
      <c r="D824" s="26">
        <v>0.1593</v>
      </c>
      <c r="E824" s="26">
        <v>5.8799999999999998E-2</v>
      </c>
      <c r="F824" s="26">
        <v>0.21790000000000001</v>
      </c>
      <c r="G824" s="26">
        <v>0.1057</v>
      </c>
      <c r="H824" s="26">
        <v>6.9599999999999995E-2</v>
      </c>
      <c r="I824" s="26">
        <v>0.1477</v>
      </c>
      <c r="J824" s="26">
        <v>6.3E-2</v>
      </c>
      <c r="K824" s="26">
        <v>1.6799999999999999E-2</v>
      </c>
      <c r="L824" s="26">
        <v>8.3799999999999999E-2</v>
      </c>
      <c r="M824" s="26">
        <v>5.0299999999999997E-2</v>
      </c>
      <c r="N824" s="26">
        <v>7.6E-3</v>
      </c>
      <c r="R824">
        <v>49</v>
      </c>
    </row>
    <row r="825" spans="1:18" x14ac:dyDescent="0.35">
      <c r="A825" t="s">
        <v>231</v>
      </c>
      <c r="B825" t="s">
        <v>244</v>
      </c>
      <c r="C825" s="26">
        <v>0.1333</v>
      </c>
      <c r="D825" s="26">
        <v>0.1333</v>
      </c>
      <c r="E825" s="26">
        <v>0.1</v>
      </c>
      <c r="F825" s="26">
        <v>6.6699999999999995E-2</v>
      </c>
      <c r="G825" s="26">
        <v>0.1</v>
      </c>
      <c r="H825" s="26">
        <v>6.6699999999999995E-2</v>
      </c>
      <c r="I825" s="26">
        <v>6.6699999999999995E-2</v>
      </c>
      <c r="J825" s="26">
        <v>3.3300000000000003E-2</v>
      </c>
      <c r="K825" s="26">
        <v>3.3300000000000003E-2</v>
      </c>
      <c r="L825" s="26">
        <v>0.1</v>
      </c>
      <c r="M825" s="26">
        <v>6.6699999999999995E-2</v>
      </c>
      <c r="N825" s="26">
        <v>6.6699999999999995E-2</v>
      </c>
      <c r="P825" s="26">
        <v>3.3300000000000003E-2</v>
      </c>
      <c r="R825">
        <v>30</v>
      </c>
    </row>
    <row r="826" spans="1:18" x14ac:dyDescent="0.35">
      <c r="A826" s="27" t="s">
        <v>231</v>
      </c>
      <c r="B826" s="27" t="s">
        <v>246</v>
      </c>
      <c r="C826" s="28">
        <v>0.26090000000000002</v>
      </c>
      <c r="D826" s="28">
        <v>4.3499999999999997E-2</v>
      </c>
      <c r="E826" s="28">
        <v>8.6999999999999994E-2</v>
      </c>
      <c r="F826" s="28">
        <v>4.3499999999999997E-2</v>
      </c>
      <c r="G826" s="28">
        <v>8.6999999999999994E-2</v>
      </c>
      <c r="H826" s="28">
        <v>0.13039999999999999</v>
      </c>
      <c r="I826" s="28">
        <v>8.6999999999999994E-2</v>
      </c>
      <c r="J826" s="28">
        <v>8.6999999999999994E-2</v>
      </c>
      <c r="K826" s="28">
        <v>8.6999999999999994E-2</v>
      </c>
      <c r="L826" s="29"/>
      <c r="M826" s="28">
        <v>4.3499999999999997E-2</v>
      </c>
      <c r="N826" s="28">
        <v>4.3499999999999997E-2</v>
      </c>
      <c r="O826" s="29"/>
      <c r="P826" s="29"/>
      <c r="Q826" s="29"/>
      <c r="R826" s="29" t="s">
        <v>328</v>
      </c>
    </row>
    <row r="827" spans="1:18" x14ac:dyDescent="0.35">
      <c r="A827" t="s">
        <v>232</v>
      </c>
      <c r="B827" t="s">
        <v>232</v>
      </c>
      <c r="C827" s="26">
        <v>0.15359999999999999</v>
      </c>
      <c r="D827" s="26">
        <v>0.1013</v>
      </c>
      <c r="E827" s="26">
        <v>9.2399999999999996E-2</v>
      </c>
      <c r="F827" s="26">
        <v>8.9099999999999999E-2</v>
      </c>
      <c r="G827" s="26">
        <v>8.4699999999999998E-2</v>
      </c>
      <c r="H827" s="26">
        <v>0.08</v>
      </c>
      <c r="I827" s="26">
        <v>7.9899999999999999E-2</v>
      </c>
      <c r="J827" s="26">
        <v>6.5000000000000002E-2</v>
      </c>
      <c r="K827" s="26">
        <v>5.8700000000000002E-2</v>
      </c>
      <c r="L827" s="26">
        <v>5.4100000000000002E-2</v>
      </c>
      <c r="M827" s="26">
        <v>5.33E-2</v>
      </c>
      <c r="N827" s="26">
        <v>3.5999999999999997E-2</v>
      </c>
      <c r="O827" s="26">
        <v>3.5900000000000001E-2</v>
      </c>
      <c r="P827" s="26">
        <v>9.7000000000000003E-3</v>
      </c>
      <c r="Q827" s="26">
        <v>6.1999999999999998E-3</v>
      </c>
      <c r="R827">
        <v>967</v>
      </c>
    </row>
    <row r="829" spans="1:18" x14ac:dyDescent="0.35">
      <c r="A829" s="1" t="s">
        <v>416</v>
      </c>
    </row>
    <row r="830" spans="1:18" x14ac:dyDescent="0.35">
      <c r="A830" t="s">
        <v>219</v>
      </c>
      <c r="B830" t="s">
        <v>305</v>
      </c>
      <c r="C830" t="s">
        <v>399</v>
      </c>
      <c r="D830" t="s">
        <v>400</v>
      </c>
      <c r="E830" t="s">
        <v>401</v>
      </c>
      <c r="F830" t="s">
        <v>402</v>
      </c>
      <c r="G830" t="s">
        <v>403</v>
      </c>
      <c r="H830" t="s">
        <v>404</v>
      </c>
      <c r="I830" t="s">
        <v>405</v>
      </c>
      <c r="J830" t="s">
        <v>406</v>
      </c>
      <c r="K830" t="s">
        <v>407</v>
      </c>
      <c r="L830" t="s">
        <v>408</v>
      </c>
      <c r="M830" t="s">
        <v>409</v>
      </c>
      <c r="N830" t="s">
        <v>410</v>
      </c>
      <c r="O830" t="s">
        <v>411</v>
      </c>
      <c r="P830" t="s">
        <v>412</v>
      </c>
      <c r="Q830" t="s">
        <v>281</v>
      </c>
      <c r="R830" t="s">
        <v>226</v>
      </c>
    </row>
    <row r="831" spans="1:18" x14ac:dyDescent="0.35">
      <c r="A831" s="27" t="s">
        <v>227</v>
      </c>
      <c r="B831" s="27" t="s">
        <v>360</v>
      </c>
      <c r="C831" s="28">
        <v>0.1154</v>
      </c>
      <c r="D831" s="29"/>
      <c r="E831" s="28">
        <v>3.85E-2</v>
      </c>
      <c r="F831" s="28">
        <v>0.15379999999999999</v>
      </c>
      <c r="G831" s="29"/>
      <c r="H831" s="28">
        <v>0.1154</v>
      </c>
      <c r="I831" s="28">
        <v>0.1923</v>
      </c>
      <c r="J831" s="29"/>
      <c r="K831" s="28">
        <v>0.15379999999999999</v>
      </c>
      <c r="L831" s="28">
        <v>7.6899999999999996E-2</v>
      </c>
      <c r="M831" s="28">
        <v>3.85E-2</v>
      </c>
      <c r="N831" s="29"/>
      <c r="O831" s="28">
        <v>0.1154</v>
      </c>
      <c r="P831" s="29"/>
      <c r="Q831" s="29"/>
      <c r="R831" s="29" t="s">
        <v>357</v>
      </c>
    </row>
    <row r="832" spans="1:18" x14ac:dyDescent="0.35">
      <c r="A832" s="27" t="s">
        <v>227</v>
      </c>
      <c r="B832" s="27" t="s">
        <v>361</v>
      </c>
      <c r="C832" s="28">
        <v>0.2</v>
      </c>
      <c r="D832" s="28">
        <v>0.2</v>
      </c>
      <c r="E832" s="28">
        <v>0.2</v>
      </c>
      <c r="F832" s="29"/>
      <c r="G832" s="29"/>
      <c r="H832" s="29"/>
      <c r="I832" s="28">
        <v>0.2</v>
      </c>
      <c r="J832" s="29"/>
      <c r="K832" s="29"/>
      <c r="L832" s="29"/>
      <c r="M832" s="28">
        <v>0.2</v>
      </c>
      <c r="N832" s="29"/>
      <c r="O832" s="29"/>
      <c r="P832" s="29"/>
      <c r="Q832" s="29"/>
      <c r="R832" s="29" t="s">
        <v>332</v>
      </c>
    </row>
    <row r="833" spans="1:18" x14ac:dyDescent="0.35">
      <c r="A833" s="27" t="s">
        <v>227</v>
      </c>
      <c r="B833" s="27" t="s">
        <v>362</v>
      </c>
      <c r="C833" s="28">
        <v>0.2</v>
      </c>
      <c r="D833" s="28">
        <v>6.6699999999999995E-2</v>
      </c>
      <c r="E833" s="28">
        <v>6.6699999999999995E-2</v>
      </c>
      <c r="F833" s="28">
        <v>0.1333</v>
      </c>
      <c r="G833" s="28">
        <v>0.1333</v>
      </c>
      <c r="H833" s="28">
        <v>6.6699999999999995E-2</v>
      </c>
      <c r="I833" s="28">
        <v>0.1333</v>
      </c>
      <c r="J833" s="28">
        <v>6.6699999999999995E-2</v>
      </c>
      <c r="K833" s="29"/>
      <c r="L833" s="28">
        <v>6.6699999999999995E-2</v>
      </c>
      <c r="M833" s="29"/>
      <c r="N833" s="29"/>
      <c r="O833" s="29"/>
      <c r="P833" s="28">
        <v>6.6699999999999995E-2</v>
      </c>
      <c r="Q833" s="29"/>
      <c r="R833" s="29" t="s">
        <v>346</v>
      </c>
    </row>
    <row r="834" spans="1:18" x14ac:dyDescent="0.35">
      <c r="A834" s="27" t="s">
        <v>227</v>
      </c>
      <c r="B834" s="27" t="s">
        <v>363</v>
      </c>
      <c r="C834" s="28">
        <v>0.125</v>
      </c>
      <c r="D834" s="28">
        <v>6.25E-2</v>
      </c>
      <c r="E834" s="28">
        <v>0.25</v>
      </c>
      <c r="F834" s="28">
        <v>6.25E-2</v>
      </c>
      <c r="G834" s="28">
        <v>6.25E-2</v>
      </c>
      <c r="H834" s="28">
        <v>6.25E-2</v>
      </c>
      <c r="I834" s="28">
        <v>6.25E-2</v>
      </c>
      <c r="J834" s="29"/>
      <c r="K834" s="29"/>
      <c r="L834" s="28">
        <v>6.25E-2</v>
      </c>
      <c r="M834" s="28">
        <v>6.25E-2</v>
      </c>
      <c r="N834" s="28">
        <v>6.25E-2</v>
      </c>
      <c r="O834" s="28">
        <v>0.125</v>
      </c>
      <c r="P834" s="29"/>
      <c r="Q834" s="29"/>
      <c r="R834" s="29" t="s">
        <v>348</v>
      </c>
    </row>
    <row r="835" spans="1:18" x14ac:dyDescent="0.35">
      <c r="A835" t="s">
        <v>228</v>
      </c>
      <c r="B835" t="s">
        <v>360</v>
      </c>
      <c r="C835" s="26">
        <v>9.0899999999999995E-2</v>
      </c>
      <c r="D835" s="26">
        <v>0.13469999999999999</v>
      </c>
      <c r="E835" s="26">
        <v>9.2100000000000001E-2</v>
      </c>
      <c r="F835" s="26">
        <v>5.5399999999999998E-2</v>
      </c>
      <c r="G835" s="26">
        <v>8.0500000000000002E-2</v>
      </c>
      <c r="H835" s="26">
        <v>5.7099999999999998E-2</v>
      </c>
      <c r="I835" s="26">
        <v>0.13270000000000001</v>
      </c>
      <c r="J835" s="26">
        <v>0.1275</v>
      </c>
      <c r="K835" s="26">
        <v>9.2399999999999996E-2</v>
      </c>
      <c r="L835" s="26">
        <v>6.0000000000000001E-3</v>
      </c>
      <c r="M835" s="26">
        <v>1.8599999999999998E-2</v>
      </c>
      <c r="N835" s="26">
        <v>1.3599999999999999E-2</v>
      </c>
      <c r="O835" s="26">
        <v>8.9899999999999994E-2</v>
      </c>
      <c r="Q835" s="26">
        <v>8.6999999999999994E-3</v>
      </c>
      <c r="R835">
        <v>88</v>
      </c>
    </row>
    <row r="836" spans="1:18" x14ac:dyDescent="0.35">
      <c r="A836" t="s">
        <v>228</v>
      </c>
      <c r="B836" t="s">
        <v>361</v>
      </c>
      <c r="C836" s="26">
        <v>0.14660000000000001</v>
      </c>
      <c r="D836" s="26">
        <v>2.4199999999999999E-2</v>
      </c>
      <c r="E836" s="26">
        <v>2.4199999999999999E-2</v>
      </c>
      <c r="F836" s="26">
        <v>0.1222</v>
      </c>
      <c r="G836" s="26">
        <v>0.1134</v>
      </c>
      <c r="H836" s="26">
        <v>0.1346</v>
      </c>
      <c r="I836" s="26">
        <v>5.62E-2</v>
      </c>
      <c r="J836" s="26">
        <v>0.1386</v>
      </c>
      <c r="K836" s="26">
        <v>3.7199999999999997E-2</v>
      </c>
      <c r="L836" s="26">
        <v>1.21E-2</v>
      </c>
      <c r="M836" s="26">
        <v>3.0200000000000001E-2</v>
      </c>
      <c r="O836" s="26">
        <v>0.16059999999999999</v>
      </c>
      <c r="R836">
        <v>49</v>
      </c>
    </row>
    <row r="837" spans="1:18" x14ac:dyDescent="0.35">
      <c r="A837" t="s">
        <v>228</v>
      </c>
      <c r="B837" t="s">
        <v>363</v>
      </c>
      <c r="C837" s="26">
        <v>3.2300000000000002E-2</v>
      </c>
      <c r="D837" s="26">
        <v>0.1706</v>
      </c>
      <c r="E837" s="26">
        <v>0.25929999999999997</v>
      </c>
      <c r="F837" s="26">
        <v>6.25E-2</v>
      </c>
      <c r="G837" s="26">
        <v>5.8000000000000003E-2</v>
      </c>
      <c r="H837" s="26">
        <v>8.0799999999999997E-2</v>
      </c>
      <c r="I837" s="26">
        <v>8.7900000000000006E-2</v>
      </c>
      <c r="J837" s="26">
        <v>4.9000000000000002E-2</v>
      </c>
      <c r="K837" s="26">
        <v>5.9499999999999997E-2</v>
      </c>
      <c r="L837" s="26">
        <v>9.7999999999999997E-3</v>
      </c>
      <c r="M837" s="26">
        <v>2.3900000000000001E-2</v>
      </c>
      <c r="N837" s="26">
        <v>4.3499999999999997E-2</v>
      </c>
      <c r="O837" s="26">
        <v>2.3599999999999999E-2</v>
      </c>
      <c r="Q837" s="26">
        <v>3.9300000000000002E-2</v>
      </c>
      <c r="R837">
        <v>60</v>
      </c>
    </row>
    <row r="838" spans="1:18" x14ac:dyDescent="0.35">
      <c r="A838" t="s">
        <v>228</v>
      </c>
      <c r="B838" t="s">
        <v>362</v>
      </c>
      <c r="C838" s="26">
        <v>5.1900000000000002E-2</v>
      </c>
      <c r="D838" s="26">
        <v>5.8299999999999998E-2</v>
      </c>
      <c r="E838" s="26">
        <v>3.2899999999999999E-2</v>
      </c>
      <c r="F838" s="26">
        <v>0.12609999999999999</v>
      </c>
      <c r="G838" s="26">
        <v>0.12720000000000001</v>
      </c>
      <c r="H838" s="26">
        <v>0.12280000000000001</v>
      </c>
      <c r="I838" s="26">
        <v>6.6199999999999995E-2</v>
      </c>
      <c r="J838" s="26">
        <v>9.3700000000000006E-2</v>
      </c>
      <c r="K838" s="26">
        <v>4.1099999999999998E-2</v>
      </c>
      <c r="L838" s="26">
        <v>9.0399999999999994E-2</v>
      </c>
      <c r="M838" s="26">
        <v>6.83E-2</v>
      </c>
      <c r="N838" s="26">
        <v>6.0600000000000001E-2</v>
      </c>
      <c r="O838" s="26">
        <v>6.0299999999999999E-2</v>
      </c>
      <c r="R838">
        <v>71</v>
      </c>
    </row>
    <row r="839" spans="1:18" x14ac:dyDescent="0.35">
      <c r="A839" t="s">
        <v>229</v>
      </c>
      <c r="B839" t="s">
        <v>363</v>
      </c>
      <c r="C839" s="26">
        <v>0.2641</v>
      </c>
      <c r="D839" s="26">
        <v>7.9699999999999993E-2</v>
      </c>
      <c r="E839" s="26">
        <v>5.3600000000000002E-2</v>
      </c>
      <c r="F839" s="26">
        <v>0.18129999999999999</v>
      </c>
      <c r="G839" s="26">
        <v>5.9700000000000003E-2</v>
      </c>
      <c r="H839" s="26">
        <v>6.2100000000000002E-2</v>
      </c>
      <c r="I839" s="26">
        <v>5.9700000000000003E-2</v>
      </c>
      <c r="J839" s="26">
        <v>9.1899999999999996E-2</v>
      </c>
      <c r="K839" s="26">
        <v>5.0999999999999997E-2</v>
      </c>
      <c r="L839" s="26">
        <v>4.2299999999999997E-2</v>
      </c>
      <c r="M839" s="26">
        <v>4.2299999999999997E-2</v>
      </c>
      <c r="N839" s="26">
        <v>4.8999999999999998E-3</v>
      </c>
      <c r="O839" s="26">
        <v>7.4000000000000003E-3</v>
      </c>
      <c r="R839">
        <v>52</v>
      </c>
    </row>
    <row r="840" spans="1:18" x14ac:dyDescent="0.35">
      <c r="A840" t="s">
        <v>229</v>
      </c>
      <c r="B840" t="s">
        <v>360</v>
      </c>
      <c r="C840" s="26">
        <v>0.16009999999999999</v>
      </c>
      <c r="D840" s="26">
        <v>4.1099999999999998E-2</v>
      </c>
      <c r="E840" s="26">
        <v>0.1192</v>
      </c>
      <c r="F840" s="26">
        <v>9.5899999999999999E-2</v>
      </c>
      <c r="G840" s="26">
        <v>9.4700000000000006E-2</v>
      </c>
      <c r="H840" s="26">
        <v>5.8500000000000003E-2</v>
      </c>
      <c r="I840" s="26">
        <v>5.9700000000000003E-2</v>
      </c>
      <c r="J840" s="26">
        <v>0.20610000000000001</v>
      </c>
      <c r="K840" s="26">
        <v>4.8899999999999999E-2</v>
      </c>
      <c r="L840" s="26">
        <v>4.6699999999999998E-2</v>
      </c>
      <c r="M840" s="26">
        <v>2.3999999999999998E-3</v>
      </c>
      <c r="N840" s="26">
        <v>2.24E-2</v>
      </c>
      <c r="O840" s="26">
        <v>4.4400000000000002E-2</v>
      </c>
      <c r="R840">
        <v>87</v>
      </c>
    </row>
    <row r="841" spans="1:18" x14ac:dyDescent="0.35">
      <c r="A841" t="s">
        <v>229</v>
      </c>
      <c r="B841" t="s">
        <v>361</v>
      </c>
      <c r="C841" s="26">
        <v>0.19719999999999999</v>
      </c>
      <c r="D841" s="26">
        <v>0.13789999999999999</v>
      </c>
      <c r="E841" s="26">
        <v>8.1600000000000006E-2</v>
      </c>
      <c r="F841" s="26">
        <v>2.5499999999999998E-2</v>
      </c>
      <c r="G841" s="26">
        <v>0.1084</v>
      </c>
      <c r="H841" s="26">
        <v>5.7599999999999998E-2</v>
      </c>
      <c r="I841" s="26">
        <v>3.85E-2</v>
      </c>
      <c r="J841" s="26">
        <v>6.0499999999999998E-2</v>
      </c>
      <c r="K841" s="26">
        <v>4.0599999999999997E-2</v>
      </c>
      <c r="L841" s="26">
        <v>3.85E-2</v>
      </c>
      <c r="M841" s="26">
        <v>9.5000000000000001E-2</v>
      </c>
      <c r="N841" s="26">
        <v>6.2100000000000002E-2</v>
      </c>
      <c r="O841" s="26">
        <v>2.2000000000000001E-3</v>
      </c>
      <c r="P841" s="26">
        <v>2.0299999999999999E-2</v>
      </c>
      <c r="Q841" s="26">
        <v>3.4000000000000002E-2</v>
      </c>
      <c r="R841">
        <v>74</v>
      </c>
    </row>
    <row r="842" spans="1:18" x14ac:dyDescent="0.35">
      <c r="A842" t="s">
        <v>229</v>
      </c>
      <c r="B842" t="s">
        <v>362</v>
      </c>
      <c r="C842" s="26">
        <v>0.18679999999999999</v>
      </c>
      <c r="D842" s="26">
        <v>7.0900000000000005E-2</v>
      </c>
      <c r="E842" s="26">
        <v>3.3500000000000002E-2</v>
      </c>
      <c r="F842" s="26">
        <v>7.8100000000000003E-2</v>
      </c>
      <c r="G842" s="26">
        <v>0.14580000000000001</v>
      </c>
      <c r="H842" s="26">
        <v>9.9000000000000005E-2</v>
      </c>
      <c r="I842" s="26">
        <v>3.8699999999999998E-2</v>
      </c>
      <c r="J842" s="26">
        <v>7.8700000000000006E-2</v>
      </c>
      <c r="K842" s="26">
        <v>5.6399999999999999E-2</v>
      </c>
      <c r="L842" s="26">
        <v>4.4200000000000003E-2</v>
      </c>
      <c r="M842" s="26">
        <v>0.1236</v>
      </c>
      <c r="N842" s="26">
        <v>4.4400000000000002E-2</v>
      </c>
      <c r="R842">
        <v>72</v>
      </c>
    </row>
    <row r="843" spans="1:18" x14ac:dyDescent="0.35">
      <c r="A843" t="s">
        <v>230</v>
      </c>
      <c r="B843" t="s">
        <v>360</v>
      </c>
      <c r="C843" s="26">
        <v>0.1032</v>
      </c>
      <c r="D843" s="26">
        <v>0.17399999999999999</v>
      </c>
      <c r="E843" s="26">
        <v>5.8099999999999999E-2</v>
      </c>
      <c r="F843" s="26">
        <v>0.1716</v>
      </c>
      <c r="G843" s="26">
        <v>6.4000000000000003E-3</v>
      </c>
      <c r="H843" s="26">
        <v>7.0699999999999999E-2</v>
      </c>
      <c r="I843" s="26">
        <v>0.1479</v>
      </c>
      <c r="J843" s="26">
        <v>5.9799999999999999E-2</v>
      </c>
      <c r="K843" s="26">
        <v>4.5199999999999997E-2</v>
      </c>
      <c r="L843" s="26">
        <v>7.2800000000000004E-2</v>
      </c>
      <c r="M843" s="26">
        <v>6.4999999999999997E-3</v>
      </c>
      <c r="N843" s="26">
        <v>7.7399999999999997E-2</v>
      </c>
      <c r="O843" s="26">
        <v>6.4999999999999997E-3</v>
      </c>
      <c r="R843">
        <v>60</v>
      </c>
    </row>
    <row r="844" spans="1:18" x14ac:dyDescent="0.35">
      <c r="A844" t="s">
        <v>230</v>
      </c>
      <c r="B844" t="s">
        <v>363</v>
      </c>
      <c r="C844" s="26">
        <v>0.22189999999999999</v>
      </c>
      <c r="D844" s="26">
        <v>0.1981</v>
      </c>
      <c r="E844" s="26">
        <v>4.1399999999999999E-2</v>
      </c>
      <c r="F844" s="26">
        <v>2.7400000000000001E-2</v>
      </c>
      <c r="G844" s="26">
        <v>8.3099999999999993E-2</v>
      </c>
      <c r="H844" s="26">
        <v>0.1245</v>
      </c>
      <c r="I844" s="26">
        <v>0.1111</v>
      </c>
      <c r="J844" s="26">
        <v>3.1600000000000003E-2</v>
      </c>
      <c r="K844" s="26">
        <v>0.10100000000000001</v>
      </c>
      <c r="L844" s="26">
        <v>1.8200000000000001E-2</v>
      </c>
      <c r="M844" s="26">
        <v>1.4E-2</v>
      </c>
      <c r="N844" s="26">
        <v>1.4E-2</v>
      </c>
      <c r="O844" s="26">
        <v>1.37E-2</v>
      </c>
      <c r="R844">
        <v>35</v>
      </c>
    </row>
    <row r="845" spans="1:18" x14ac:dyDescent="0.35">
      <c r="A845" s="27" t="s">
        <v>230</v>
      </c>
      <c r="B845" s="27" t="s">
        <v>361</v>
      </c>
      <c r="C845" s="28">
        <v>2.7799999999999998E-2</v>
      </c>
      <c r="D845" s="28">
        <v>0.33090000000000003</v>
      </c>
      <c r="E845" s="28">
        <v>1.72E-2</v>
      </c>
      <c r="F845" s="29"/>
      <c r="G845" s="29"/>
      <c r="H845" s="28">
        <v>0.12690000000000001</v>
      </c>
      <c r="I845" s="29"/>
      <c r="J845" s="28">
        <v>3.9699999999999999E-2</v>
      </c>
      <c r="K845" s="28">
        <v>0.2261</v>
      </c>
      <c r="L845" s="28">
        <v>0.2089</v>
      </c>
      <c r="M845" s="28">
        <v>1.72E-2</v>
      </c>
      <c r="N845" s="28">
        <v>5.3E-3</v>
      </c>
      <c r="O845" s="29"/>
      <c r="P845" s="29"/>
      <c r="Q845" s="29"/>
      <c r="R845" s="29" t="s">
        <v>351</v>
      </c>
    </row>
    <row r="846" spans="1:18" x14ac:dyDescent="0.35">
      <c r="A846" t="s">
        <v>230</v>
      </c>
      <c r="B846" t="s">
        <v>362</v>
      </c>
      <c r="C846" s="26">
        <v>0.13370000000000001</v>
      </c>
      <c r="D846" s="26">
        <v>0.2079</v>
      </c>
      <c r="E846" s="26">
        <v>1.47E-2</v>
      </c>
      <c r="F846" s="26">
        <v>0.19289999999999999</v>
      </c>
      <c r="G846" s="26">
        <v>0.15110000000000001</v>
      </c>
      <c r="H846" s="26">
        <v>1.47E-2</v>
      </c>
      <c r="I846" s="26">
        <v>1.47E-2</v>
      </c>
      <c r="J846" s="26">
        <v>1.6299999999999999E-2</v>
      </c>
      <c r="K846" s="26">
        <v>5.1200000000000002E-2</v>
      </c>
      <c r="L846" s="26">
        <v>8.09E-2</v>
      </c>
      <c r="M846" s="26">
        <v>5.1400000000000001E-2</v>
      </c>
      <c r="N846" s="26">
        <v>1.9099999999999999E-2</v>
      </c>
      <c r="O846" s="26">
        <v>5.1200000000000002E-2</v>
      </c>
      <c r="R846">
        <v>61</v>
      </c>
    </row>
    <row r="847" spans="1:18" x14ac:dyDescent="0.35">
      <c r="A847" s="27" t="s">
        <v>231</v>
      </c>
      <c r="B847" s="27" t="s">
        <v>362</v>
      </c>
      <c r="C847" s="28">
        <v>0.125</v>
      </c>
      <c r="D847" s="28">
        <v>0.125</v>
      </c>
      <c r="E847" s="29"/>
      <c r="F847" s="28">
        <v>0.25</v>
      </c>
      <c r="G847" s="29"/>
      <c r="H847" s="29"/>
      <c r="I847" s="28">
        <v>0.125</v>
      </c>
      <c r="J847" s="29"/>
      <c r="K847" s="29"/>
      <c r="L847" s="28">
        <v>0.125</v>
      </c>
      <c r="M847" s="28">
        <v>0.125</v>
      </c>
      <c r="N847" s="28">
        <v>0.125</v>
      </c>
      <c r="O847" s="29"/>
      <c r="P847" s="29"/>
      <c r="Q847" s="29"/>
      <c r="R847" s="29" t="s">
        <v>333</v>
      </c>
    </row>
    <row r="848" spans="1:18" x14ac:dyDescent="0.35">
      <c r="A848" s="27" t="s">
        <v>231</v>
      </c>
      <c r="B848" s="27" t="s">
        <v>361</v>
      </c>
      <c r="C848" s="28">
        <v>0.42859999999999998</v>
      </c>
      <c r="D848" s="29"/>
      <c r="E848" s="28">
        <v>0.1429</v>
      </c>
      <c r="F848" s="29"/>
      <c r="G848" s="28">
        <v>0.1429</v>
      </c>
      <c r="H848" s="29"/>
      <c r="I848" s="28">
        <v>0.1429</v>
      </c>
      <c r="J848" s="28">
        <v>0.1429</v>
      </c>
      <c r="K848" s="29"/>
      <c r="L848" s="29"/>
      <c r="M848" s="29"/>
      <c r="N848" s="29"/>
      <c r="O848" s="29"/>
      <c r="P848" s="29"/>
      <c r="Q848" s="29"/>
      <c r="R848" s="29" t="s">
        <v>339</v>
      </c>
    </row>
    <row r="849" spans="1:18" x14ac:dyDescent="0.35">
      <c r="A849" s="27" t="s">
        <v>231</v>
      </c>
      <c r="B849" s="27" t="s">
        <v>360</v>
      </c>
      <c r="C849" s="28">
        <v>0.13789999999999999</v>
      </c>
      <c r="D849" s="28">
        <v>0.10340000000000001</v>
      </c>
      <c r="E849" s="28">
        <v>6.9000000000000006E-2</v>
      </c>
      <c r="F849" s="28">
        <v>3.4500000000000003E-2</v>
      </c>
      <c r="G849" s="28">
        <v>0.13789999999999999</v>
      </c>
      <c r="H849" s="28">
        <v>6.9000000000000006E-2</v>
      </c>
      <c r="I849" s="28">
        <v>6.9000000000000006E-2</v>
      </c>
      <c r="J849" s="28">
        <v>6.9000000000000006E-2</v>
      </c>
      <c r="K849" s="28">
        <v>0.10340000000000001</v>
      </c>
      <c r="L849" s="28">
        <v>6.9000000000000006E-2</v>
      </c>
      <c r="M849" s="28">
        <v>3.4500000000000003E-2</v>
      </c>
      <c r="N849" s="28">
        <v>6.9000000000000006E-2</v>
      </c>
      <c r="O849" s="29"/>
      <c r="P849" s="28">
        <v>3.4500000000000003E-2</v>
      </c>
      <c r="Q849" s="29"/>
      <c r="R849" s="29" t="s">
        <v>329</v>
      </c>
    </row>
    <row r="850" spans="1:18" x14ac:dyDescent="0.35">
      <c r="A850" s="27" t="s">
        <v>231</v>
      </c>
      <c r="B850" s="27" t="s">
        <v>363</v>
      </c>
      <c r="C850" s="28">
        <v>0.25</v>
      </c>
      <c r="D850" s="28">
        <v>0.125</v>
      </c>
      <c r="E850" s="28">
        <v>0.125</v>
      </c>
      <c r="F850" s="29"/>
      <c r="G850" s="29"/>
      <c r="H850" s="28">
        <v>0.375</v>
      </c>
      <c r="I850" s="29"/>
      <c r="J850" s="29"/>
      <c r="K850" s="29"/>
      <c r="L850" s="29"/>
      <c r="M850" s="28">
        <v>0.125</v>
      </c>
      <c r="N850" s="29"/>
      <c r="O850" s="29"/>
      <c r="P850" s="29"/>
      <c r="Q850" s="29"/>
      <c r="R850" s="29" t="s">
        <v>333</v>
      </c>
    </row>
    <row r="851" spans="1:18" x14ac:dyDescent="0.35">
      <c r="A851" t="s">
        <v>232</v>
      </c>
      <c r="B851" t="s">
        <v>232</v>
      </c>
      <c r="C851" s="26">
        <v>0.15359999999999999</v>
      </c>
      <c r="D851" s="26">
        <v>0.1013</v>
      </c>
      <c r="E851" s="26">
        <v>9.2399999999999996E-2</v>
      </c>
      <c r="F851" s="26">
        <v>8.9099999999999999E-2</v>
      </c>
      <c r="G851" s="26">
        <v>8.4699999999999998E-2</v>
      </c>
      <c r="H851" s="26">
        <v>0.08</v>
      </c>
      <c r="I851" s="26">
        <v>7.9899999999999999E-2</v>
      </c>
      <c r="J851" s="26">
        <v>6.5000000000000002E-2</v>
      </c>
      <c r="K851" s="26">
        <v>5.8700000000000002E-2</v>
      </c>
      <c r="L851" s="26">
        <v>5.4100000000000002E-2</v>
      </c>
      <c r="M851" s="26">
        <v>5.33E-2</v>
      </c>
      <c r="N851" s="26">
        <v>3.5999999999999997E-2</v>
      </c>
      <c r="O851" s="26">
        <v>3.5900000000000001E-2</v>
      </c>
      <c r="P851" s="26">
        <v>9.7000000000000003E-3</v>
      </c>
      <c r="Q851" s="26">
        <v>6.1999999999999998E-3</v>
      </c>
      <c r="R851">
        <v>844</v>
      </c>
    </row>
    <row r="853" spans="1:18" x14ac:dyDescent="0.35">
      <c r="A853" s="1" t="s">
        <v>417</v>
      </c>
    </row>
    <row r="854" spans="1:18" x14ac:dyDescent="0.35">
      <c r="A854" t="s">
        <v>219</v>
      </c>
      <c r="B854" t="s">
        <v>305</v>
      </c>
      <c r="C854" t="s">
        <v>399</v>
      </c>
      <c r="D854" t="s">
        <v>400</v>
      </c>
      <c r="E854" t="s">
        <v>401</v>
      </c>
      <c r="F854" t="s">
        <v>402</v>
      </c>
      <c r="G854" t="s">
        <v>403</v>
      </c>
      <c r="H854" t="s">
        <v>404</v>
      </c>
      <c r="I854" t="s">
        <v>405</v>
      </c>
      <c r="J854" t="s">
        <v>406</v>
      </c>
      <c r="K854" t="s">
        <v>407</v>
      </c>
      <c r="L854" t="s">
        <v>408</v>
      </c>
      <c r="M854" t="s">
        <v>409</v>
      </c>
      <c r="N854" t="s">
        <v>410</v>
      </c>
      <c r="O854" t="s">
        <v>411</v>
      </c>
      <c r="P854" t="s">
        <v>412</v>
      </c>
      <c r="Q854" t="s">
        <v>281</v>
      </c>
      <c r="R854" t="s">
        <v>226</v>
      </c>
    </row>
    <row r="855" spans="1:18" x14ac:dyDescent="0.35">
      <c r="A855" s="27" t="s">
        <v>227</v>
      </c>
      <c r="B855" s="27" t="s">
        <v>267</v>
      </c>
      <c r="C855" s="29"/>
      <c r="D855" s="28">
        <v>0.1429</v>
      </c>
      <c r="E855" s="28">
        <v>0.28570000000000001</v>
      </c>
      <c r="F855" s="28">
        <v>0.1429</v>
      </c>
      <c r="G855" s="29"/>
      <c r="H855" s="29"/>
      <c r="I855" s="28">
        <v>0.1429</v>
      </c>
      <c r="J855" s="29"/>
      <c r="K855" s="29"/>
      <c r="L855" s="28">
        <v>0.1429</v>
      </c>
      <c r="M855" s="29"/>
      <c r="N855" s="29"/>
      <c r="O855" s="28">
        <v>0.1429</v>
      </c>
      <c r="P855" s="29"/>
      <c r="Q855" s="29"/>
      <c r="R855" s="29" t="s">
        <v>339</v>
      </c>
    </row>
    <row r="856" spans="1:18" x14ac:dyDescent="0.35">
      <c r="A856" s="27" t="s">
        <v>227</v>
      </c>
      <c r="B856" s="27" t="s">
        <v>266</v>
      </c>
      <c r="C856" s="28">
        <v>0.26669999999999999</v>
      </c>
      <c r="D856" s="28">
        <v>6.6699999999999995E-2</v>
      </c>
      <c r="E856" s="28">
        <v>6.6699999999999995E-2</v>
      </c>
      <c r="F856" s="28">
        <v>0.1333</v>
      </c>
      <c r="G856" s="29"/>
      <c r="H856" s="28">
        <v>0.1333</v>
      </c>
      <c r="I856" s="28">
        <v>6.6699999999999995E-2</v>
      </c>
      <c r="J856" s="29"/>
      <c r="K856" s="28">
        <v>6.6699999999999995E-2</v>
      </c>
      <c r="L856" s="28">
        <v>6.6699999999999995E-2</v>
      </c>
      <c r="M856" s="29"/>
      <c r="N856" s="29"/>
      <c r="O856" s="28">
        <v>6.6699999999999995E-2</v>
      </c>
      <c r="P856" s="28">
        <v>6.6699999999999995E-2</v>
      </c>
      <c r="Q856" s="29"/>
      <c r="R856" s="29" t="s">
        <v>346</v>
      </c>
    </row>
    <row r="857" spans="1:18" x14ac:dyDescent="0.35">
      <c r="A857" t="s">
        <v>227</v>
      </c>
      <c r="B857" t="s">
        <v>265</v>
      </c>
      <c r="C857" s="26">
        <v>0.122</v>
      </c>
      <c r="D857" s="26">
        <v>4.8800000000000003E-2</v>
      </c>
      <c r="E857" s="26">
        <v>9.7600000000000006E-2</v>
      </c>
      <c r="F857" s="26">
        <v>9.7600000000000006E-2</v>
      </c>
      <c r="G857" s="26">
        <v>7.3200000000000001E-2</v>
      </c>
      <c r="H857" s="26">
        <v>7.3200000000000001E-2</v>
      </c>
      <c r="I857" s="26">
        <v>0.17069999999999999</v>
      </c>
      <c r="J857" s="26">
        <v>2.4400000000000002E-2</v>
      </c>
      <c r="K857" s="26">
        <v>7.3200000000000001E-2</v>
      </c>
      <c r="L857" s="26">
        <v>4.8800000000000003E-2</v>
      </c>
      <c r="M857" s="26">
        <v>7.3200000000000001E-2</v>
      </c>
      <c r="N857" s="26">
        <v>2.4400000000000002E-2</v>
      </c>
      <c r="O857" s="26">
        <v>7.3200000000000001E-2</v>
      </c>
      <c r="R857">
        <v>41</v>
      </c>
    </row>
    <row r="858" spans="1:18" x14ac:dyDescent="0.35">
      <c r="A858" t="s">
        <v>228</v>
      </c>
      <c r="B858" t="s">
        <v>267</v>
      </c>
      <c r="C858" s="26">
        <v>0.11749999999999999</v>
      </c>
      <c r="D858" s="26">
        <v>2.3599999999999999E-2</v>
      </c>
      <c r="E858" s="26">
        <v>0.16320000000000001</v>
      </c>
      <c r="F858" s="26">
        <v>0.12609999999999999</v>
      </c>
      <c r="G858" s="26">
        <v>6.9099999999999995E-2</v>
      </c>
      <c r="H858" s="26">
        <v>0.23400000000000001</v>
      </c>
      <c r="I858" s="26">
        <v>5.96E-2</v>
      </c>
      <c r="J858" s="26">
        <v>1.23E-2</v>
      </c>
      <c r="L858" s="26">
        <v>5.7500000000000002E-2</v>
      </c>
      <c r="M858" s="26">
        <v>4.9599999999999998E-2</v>
      </c>
      <c r="O858" s="26">
        <v>7.6899999999999996E-2</v>
      </c>
      <c r="P858" s="26">
        <v>1.0699999999999999E-2</v>
      </c>
      <c r="R858">
        <v>39</v>
      </c>
    </row>
    <row r="859" spans="1:18" x14ac:dyDescent="0.35">
      <c r="A859" t="s">
        <v>228</v>
      </c>
      <c r="B859" t="s">
        <v>266</v>
      </c>
      <c r="C859" s="26">
        <v>8.9800000000000005E-2</v>
      </c>
      <c r="D859" s="26">
        <v>8.8099999999999998E-2</v>
      </c>
      <c r="E859" s="26">
        <v>1.8700000000000001E-2</v>
      </c>
      <c r="F859" s="26">
        <v>7.46E-2</v>
      </c>
      <c r="G859" s="26">
        <v>7.2300000000000003E-2</v>
      </c>
      <c r="H859" s="26">
        <v>6.3600000000000004E-2</v>
      </c>
      <c r="I859" s="26">
        <v>0.1173</v>
      </c>
      <c r="J859" s="26">
        <v>0.11310000000000001</v>
      </c>
      <c r="K859" s="26">
        <v>9.64E-2</v>
      </c>
      <c r="L859" s="26">
        <v>3.6299999999999999E-2</v>
      </c>
      <c r="M859" s="26">
        <v>1.5900000000000001E-2</v>
      </c>
      <c r="N859" s="26">
        <v>7.0999999999999994E-2</v>
      </c>
      <c r="O859" s="26">
        <v>0.1384</v>
      </c>
      <c r="Q859" s="26">
        <v>4.4000000000000003E-3</v>
      </c>
      <c r="R859">
        <v>115</v>
      </c>
    </row>
    <row r="860" spans="1:18" x14ac:dyDescent="0.35">
      <c r="A860" t="s">
        <v>228</v>
      </c>
      <c r="B860" t="s">
        <v>265</v>
      </c>
      <c r="C860" s="26">
        <v>7.3999999999999996E-2</v>
      </c>
      <c r="D860" s="26">
        <v>0.13089999999999999</v>
      </c>
      <c r="E860" s="26">
        <v>0.1598</v>
      </c>
      <c r="F860" s="26">
        <v>8.7400000000000005E-2</v>
      </c>
      <c r="G860" s="26">
        <v>0.11210000000000001</v>
      </c>
      <c r="H860" s="26">
        <v>7.9600000000000004E-2</v>
      </c>
      <c r="I860" s="26">
        <v>7.4300000000000005E-2</v>
      </c>
      <c r="J860" s="26">
        <v>9.8000000000000004E-2</v>
      </c>
      <c r="K860" s="26">
        <v>4.6699999999999998E-2</v>
      </c>
      <c r="L860" s="26">
        <v>4.1700000000000001E-2</v>
      </c>
      <c r="M860" s="26">
        <v>3.9199999999999999E-2</v>
      </c>
      <c r="N860" s="26">
        <v>4.4999999999999997E-3</v>
      </c>
      <c r="O860" s="26">
        <v>3.2399999999999998E-2</v>
      </c>
      <c r="Q860" s="26">
        <v>1.9400000000000001E-2</v>
      </c>
      <c r="R860">
        <v>160</v>
      </c>
    </row>
    <row r="861" spans="1:18" x14ac:dyDescent="0.35">
      <c r="A861" t="s">
        <v>229</v>
      </c>
      <c r="B861" t="s">
        <v>267</v>
      </c>
      <c r="C861" s="26">
        <v>0.27210000000000001</v>
      </c>
      <c r="D861" s="26">
        <v>0.10489999999999999</v>
      </c>
      <c r="E861" s="26">
        <v>4.1000000000000003E-3</v>
      </c>
      <c r="F861" s="26">
        <v>7.7000000000000002E-3</v>
      </c>
      <c r="G861" s="26">
        <v>5.4199999999999998E-2</v>
      </c>
      <c r="H861" s="26">
        <v>6.2100000000000002E-2</v>
      </c>
      <c r="I861" s="26">
        <v>2.4500000000000001E-2</v>
      </c>
      <c r="J861" s="26">
        <v>5.1799999999999999E-2</v>
      </c>
      <c r="K861" s="26">
        <v>9.2999999999999999E-2</v>
      </c>
      <c r="L861" s="26">
        <v>1.7899999999999999E-2</v>
      </c>
      <c r="M861" s="26">
        <v>0.1318</v>
      </c>
      <c r="N861" s="26">
        <v>0.13439999999999999</v>
      </c>
      <c r="O861" s="26">
        <v>2.5999999999999999E-3</v>
      </c>
      <c r="Q861" s="26">
        <v>3.8899999999999997E-2</v>
      </c>
      <c r="R861">
        <v>53</v>
      </c>
    </row>
    <row r="862" spans="1:18" x14ac:dyDescent="0.35">
      <c r="A862" t="s">
        <v>229</v>
      </c>
      <c r="B862" t="s">
        <v>266</v>
      </c>
      <c r="C862" s="26">
        <v>0.16059999999999999</v>
      </c>
      <c r="D862" s="26">
        <v>7.1099999999999997E-2</v>
      </c>
      <c r="E862" s="26">
        <v>0.1123</v>
      </c>
      <c r="F862" s="26">
        <v>0.1116</v>
      </c>
      <c r="G862" s="26">
        <v>0.1404</v>
      </c>
      <c r="H862" s="26">
        <v>9.5799999999999996E-2</v>
      </c>
      <c r="I862" s="26">
        <v>7.5600000000000001E-2</v>
      </c>
      <c r="J862" s="26">
        <v>9.1499999999999998E-2</v>
      </c>
      <c r="K862" s="26">
        <v>1.2E-2</v>
      </c>
      <c r="L862" s="26">
        <v>5.0700000000000002E-2</v>
      </c>
      <c r="M862" s="26">
        <v>5.7299999999999997E-2</v>
      </c>
      <c r="N862" s="26">
        <v>1.6899999999999998E-2</v>
      </c>
      <c r="O862" s="26">
        <v>4.1999999999999997E-3</v>
      </c>
      <c r="R862">
        <v>108</v>
      </c>
    </row>
    <row r="863" spans="1:18" x14ac:dyDescent="0.35">
      <c r="A863" t="s">
        <v>229</v>
      </c>
      <c r="B863" t="s">
        <v>265</v>
      </c>
      <c r="C863" s="26">
        <v>0.15959999999999999</v>
      </c>
      <c r="D863" s="26">
        <v>9.6000000000000002E-2</v>
      </c>
      <c r="E863" s="26">
        <v>0.1055</v>
      </c>
      <c r="F863" s="26">
        <v>9.8299999999999998E-2</v>
      </c>
      <c r="G863" s="26">
        <v>8.9200000000000002E-2</v>
      </c>
      <c r="H863" s="26">
        <v>5.7700000000000001E-2</v>
      </c>
      <c r="I863" s="26">
        <v>4.0500000000000001E-2</v>
      </c>
      <c r="J863" s="26">
        <v>9.6799999999999997E-2</v>
      </c>
      <c r="K863" s="26">
        <v>5.62E-2</v>
      </c>
      <c r="L863" s="26">
        <v>5.0599999999999999E-2</v>
      </c>
      <c r="M863" s="26">
        <v>6.8500000000000005E-2</v>
      </c>
      <c r="N863" s="26">
        <v>1.7399999999999999E-2</v>
      </c>
      <c r="O863" s="26">
        <v>4.0300000000000002E-2</v>
      </c>
      <c r="P863" s="26">
        <v>1.2699999999999999E-2</v>
      </c>
      <c r="Q863" s="26">
        <v>1.06E-2</v>
      </c>
      <c r="R863">
        <v>174</v>
      </c>
    </row>
    <row r="864" spans="1:18" x14ac:dyDescent="0.35">
      <c r="A864" t="s">
        <v>230</v>
      </c>
      <c r="B864" t="s">
        <v>267</v>
      </c>
      <c r="C864" s="26">
        <v>0.14949999999999999</v>
      </c>
      <c r="D864" s="26">
        <v>9.4899999999999998E-2</v>
      </c>
      <c r="E864" s="26">
        <v>1.34E-2</v>
      </c>
      <c r="F864" s="26">
        <v>0.1898</v>
      </c>
      <c r="G864" s="26">
        <v>0.1767</v>
      </c>
      <c r="H864" s="26">
        <v>1.37E-2</v>
      </c>
      <c r="I864" s="26">
        <v>1.37E-2</v>
      </c>
      <c r="J864" s="26">
        <v>3.1300000000000001E-2</v>
      </c>
      <c r="K864" s="26">
        <v>8.5599999999999996E-2</v>
      </c>
      <c r="L864" s="26">
        <v>0.1227</v>
      </c>
      <c r="M864" s="26">
        <v>8.1500000000000003E-2</v>
      </c>
      <c r="O864" s="26">
        <v>1.34E-2</v>
      </c>
      <c r="Q864" s="26">
        <v>1.37E-2</v>
      </c>
      <c r="R864">
        <v>30</v>
      </c>
    </row>
    <row r="865" spans="1:18" x14ac:dyDescent="0.35">
      <c r="A865" t="s">
        <v>230</v>
      </c>
      <c r="B865" t="s">
        <v>266</v>
      </c>
      <c r="C865" s="26">
        <v>0.2127</v>
      </c>
      <c r="D865" s="26">
        <v>0.27129999999999999</v>
      </c>
      <c r="E865" s="26">
        <v>2.46E-2</v>
      </c>
      <c r="F865" s="26">
        <v>7.7200000000000005E-2</v>
      </c>
      <c r="G865" s="26">
        <v>5.8000000000000003E-2</v>
      </c>
      <c r="H865" s="26">
        <v>5.7799999999999997E-2</v>
      </c>
      <c r="I865" s="26">
        <v>9.69E-2</v>
      </c>
      <c r="J865" s="26">
        <v>2.7099999999999999E-2</v>
      </c>
      <c r="K865" s="26">
        <v>6.6199999999999995E-2</v>
      </c>
      <c r="L865" s="26">
        <v>2.5000000000000001E-2</v>
      </c>
      <c r="M865" s="26">
        <v>1.66E-2</v>
      </c>
      <c r="N865" s="26">
        <v>8.3999999999999995E-3</v>
      </c>
      <c r="O865" s="26">
        <v>4.9799999999999997E-2</v>
      </c>
      <c r="P865" s="26">
        <v>8.2000000000000007E-3</v>
      </c>
      <c r="R865">
        <v>66</v>
      </c>
    </row>
    <row r="866" spans="1:18" x14ac:dyDescent="0.35">
      <c r="A866" t="s">
        <v>230</v>
      </c>
      <c r="B866" t="s">
        <v>265</v>
      </c>
      <c r="C866" s="26">
        <v>9.7299999999999998E-2</v>
      </c>
      <c r="D866" s="26">
        <v>0.20069999999999999</v>
      </c>
      <c r="E866" s="26">
        <v>4.2599999999999999E-2</v>
      </c>
      <c r="F866" s="26">
        <v>0.14899999999999999</v>
      </c>
      <c r="G866" s="26">
        <v>3.3099999999999997E-2</v>
      </c>
      <c r="H866" s="26">
        <v>8.5800000000000001E-2</v>
      </c>
      <c r="I866" s="26">
        <v>8.72E-2</v>
      </c>
      <c r="J866" s="26">
        <v>4.1599999999999998E-2</v>
      </c>
      <c r="K866" s="26">
        <v>8.8700000000000001E-2</v>
      </c>
      <c r="L866" s="26">
        <v>9.7199999999999995E-2</v>
      </c>
      <c r="M866" s="26">
        <v>1.1599999999999999E-2</v>
      </c>
      <c r="N866" s="26">
        <v>5.7500000000000002E-2</v>
      </c>
      <c r="O866" s="26">
        <v>7.7000000000000002E-3</v>
      </c>
      <c r="R866">
        <v>106</v>
      </c>
    </row>
    <row r="867" spans="1:18" x14ac:dyDescent="0.35">
      <c r="A867" s="27" t="s">
        <v>231</v>
      </c>
      <c r="B867" s="27" t="s">
        <v>267</v>
      </c>
      <c r="C867" s="28">
        <v>0.125</v>
      </c>
      <c r="D867" s="28">
        <v>0.125</v>
      </c>
      <c r="E867" s="28">
        <v>0.25</v>
      </c>
      <c r="F867" s="29"/>
      <c r="G867" s="29"/>
      <c r="H867" s="28">
        <v>0.375</v>
      </c>
      <c r="I867" s="29"/>
      <c r="J867" s="29"/>
      <c r="K867" s="29"/>
      <c r="L867" s="29"/>
      <c r="M867" s="28">
        <v>0.125</v>
      </c>
      <c r="N867" s="29"/>
      <c r="O867" s="29"/>
      <c r="P867" s="29"/>
      <c r="Q867" s="29"/>
      <c r="R867" s="29" t="s">
        <v>333</v>
      </c>
    </row>
    <row r="868" spans="1:18" x14ac:dyDescent="0.35">
      <c r="A868" s="27" t="s">
        <v>231</v>
      </c>
      <c r="B868" s="27" t="s">
        <v>266</v>
      </c>
      <c r="C868" s="28">
        <v>7.1400000000000005E-2</v>
      </c>
      <c r="D868" s="28">
        <v>7.1400000000000005E-2</v>
      </c>
      <c r="E868" s="28">
        <v>0.1429</v>
      </c>
      <c r="F868" s="29"/>
      <c r="G868" s="28">
        <v>7.1400000000000005E-2</v>
      </c>
      <c r="H868" s="28">
        <v>7.1400000000000005E-2</v>
      </c>
      <c r="I868" s="28">
        <v>0.1429</v>
      </c>
      <c r="J868" s="29"/>
      <c r="K868" s="28">
        <v>0.1429</v>
      </c>
      <c r="L868" s="28">
        <v>7.1400000000000005E-2</v>
      </c>
      <c r="M868" s="28">
        <v>7.1400000000000005E-2</v>
      </c>
      <c r="N868" s="28">
        <v>0.1429</v>
      </c>
      <c r="O868" s="29"/>
      <c r="P868" s="29"/>
      <c r="Q868" s="29"/>
      <c r="R868" s="29" t="s">
        <v>379</v>
      </c>
    </row>
    <row r="869" spans="1:18" x14ac:dyDescent="0.35">
      <c r="A869" t="s">
        <v>231</v>
      </c>
      <c r="B869" t="s">
        <v>265</v>
      </c>
      <c r="C869" s="26">
        <v>0.2581</v>
      </c>
      <c r="D869" s="26">
        <v>9.6799999999999997E-2</v>
      </c>
      <c r="E869" s="26">
        <v>3.2300000000000002E-2</v>
      </c>
      <c r="F869" s="26">
        <v>9.6799999999999997E-2</v>
      </c>
      <c r="G869" s="26">
        <v>0.129</v>
      </c>
      <c r="H869" s="26">
        <v>3.2300000000000002E-2</v>
      </c>
      <c r="I869" s="26">
        <v>6.4500000000000002E-2</v>
      </c>
      <c r="J869" s="26">
        <v>9.6799999999999997E-2</v>
      </c>
      <c r="K869" s="26">
        <v>3.2300000000000002E-2</v>
      </c>
      <c r="L869" s="26">
        <v>6.4500000000000002E-2</v>
      </c>
      <c r="M869" s="26">
        <v>3.2300000000000002E-2</v>
      </c>
      <c r="N869" s="26">
        <v>3.2300000000000002E-2</v>
      </c>
      <c r="P869" s="26">
        <v>3.2300000000000002E-2</v>
      </c>
      <c r="R869">
        <v>31</v>
      </c>
    </row>
    <row r="870" spans="1:18" x14ac:dyDescent="0.35">
      <c r="A870" t="s">
        <v>232</v>
      </c>
      <c r="B870" t="s">
        <v>232</v>
      </c>
      <c r="C870" s="26">
        <v>0.15359999999999999</v>
      </c>
      <c r="D870" s="26">
        <v>0.1013</v>
      </c>
      <c r="E870" s="26">
        <v>9.2399999999999996E-2</v>
      </c>
      <c r="F870" s="26">
        <v>8.9099999999999999E-2</v>
      </c>
      <c r="G870" s="26">
        <v>8.4699999999999998E-2</v>
      </c>
      <c r="H870" s="26">
        <v>0.08</v>
      </c>
      <c r="I870" s="26">
        <v>7.9899999999999999E-2</v>
      </c>
      <c r="J870" s="26">
        <v>6.5000000000000002E-2</v>
      </c>
      <c r="K870" s="26">
        <v>5.8700000000000002E-2</v>
      </c>
      <c r="L870" s="26">
        <v>5.4100000000000002E-2</v>
      </c>
      <c r="M870" s="26">
        <v>5.33E-2</v>
      </c>
      <c r="N870" s="26">
        <v>3.5999999999999997E-2</v>
      </c>
      <c r="O870" s="26">
        <v>3.5900000000000001E-2</v>
      </c>
      <c r="P870" s="26">
        <v>9.7000000000000003E-3</v>
      </c>
      <c r="Q870" s="26">
        <v>6.1999999999999998E-3</v>
      </c>
      <c r="R870">
        <v>967</v>
      </c>
    </row>
    <row r="872" spans="1:18" x14ac:dyDescent="0.35">
      <c r="A872" s="1" t="s">
        <v>418</v>
      </c>
    </row>
    <row r="873" spans="1:18" x14ac:dyDescent="0.35">
      <c r="A873" t="s">
        <v>219</v>
      </c>
      <c r="B873" t="s">
        <v>305</v>
      </c>
      <c r="C873" t="s">
        <v>399</v>
      </c>
      <c r="D873" t="s">
        <v>400</v>
      </c>
      <c r="E873" t="s">
        <v>401</v>
      </c>
      <c r="F873" t="s">
        <v>402</v>
      </c>
      <c r="G873" t="s">
        <v>403</v>
      </c>
      <c r="H873" t="s">
        <v>404</v>
      </c>
      <c r="I873" t="s">
        <v>405</v>
      </c>
      <c r="J873" t="s">
        <v>406</v>
      </c>
      <c r="K873" t="s">
        <v>407</v>
      </c>
      <c r="L873" t="s">
        <v>408</v>
      </c>
      <c r="M873" t="s">
        <v>409</v>
      </c>
      <c r="N873" t="s">
        <v>410</v>
      </c>
      <c r="O873" t="s">
        <v>411</v>
      </c>
      <c r="P873" t="s">
        <v>412</v>
      </c>
      <c r="Q873" t="s">
        <v>281</v>
      </c>
      <c r="R873" t="s">
        <v>226</v>
      </c>
    </row>
    <row r="874" spans="1:18" x14ac:dyDescent="0.35">
      <c r="A874" s="27" t="s">
        <v>227</v>
      </c>
      <c r="B874" s="27" t="s">
        <v>252</v>
      </c>
      <c r="C874" s="29"/>
      <c r="D874" s="29"/>
      <c r="E874" s="29"/>
      <c r="F874" s="29"/>
      <c r="G874" s="29"/>
      <c r="H874" s="29"/>
      <c r="I874" s="29"/>
      <c r="J874" s="29"/>
      <c r="K874" s="29"/>
      <c r="L874" s="29"/>
      <c r="M874" s="29"/>
      <c r="N874" s="29"/>
      <c r="O874" s="29"/>
      <c r="P874" s="28">
        <v>1</v>
      </c>
      <c r="Q874" s="29"/>
      <c r="R874" s="29" t="s">
        <v>331</v>
      </c>
    </row>
    <row r="875" spans="1:18" x14ac:dyDescent="0.35">
      <c r="A875" s="27" t="s">
        <v>227</v>
      </c>
      <c r="B875" s="27" t="s">
        <v>253</v>
      </c>
      <c r="C875" s="29"/>
      <c r="D875" s="28">
        <v>6.6699999999999995E-2</v>
      </c>
      <c r="E875" s="29"/>
      <c r="F875" s="28">
        <v>6.6699999999999995E-2</v>
      </c>
      <c r="G875" s="28">
        <v>0.1333</v>
      </c>
      <c r="H875" s="28">
        <v>0.1333</v>
      </c>
      <c r="I875" s="28">
        <v>6.6699999999999995E-2</v>
      </c>
      <c r="J875" s="28">
        <v>6.6699999999999995E-2</v>
      </c>
      <c r="K875" s="28">
        <v>6.6699999999999995E-2</v>
      </c>
      <c r="L875" s="28">
        <v>0.1333</v>
      </c>
      <c r="M875" s="28">
        <v>6.6699999999999995E-2</v>
      </c>
      <c r="N875" s="28">
        <v>6.6699999999999995E-2</v>
      </c>
      <c r="O875" s="28">
        <v>0.1333</v>
      </c>
      <c r="P875" s="29"/>
      <c r="Q875" s="29"/>
      <c r="R875" s="29" t="s">
        <v>346</v>
      </c>
    </row>
    <row r="876" spans="1:18" x14ac:dyDescent="0.35">
      <c r="A876" t="s">
        <v>227</v>
      </c>
      <c r="B876" t="s">
        <v>251</v>
      </c>
      <c r="C876" s="26">
        <v>0.1915</v>
      </c>
      <c r="D876" s="26">
        <v>6.3799999999999996E-2</v>
      </c>
      <c r="E876" s="26">
        <v>0.1489</v>
      </c>
      <c r="F876" s="26">
        <v>0.12770000000000001</v>
      </c>
      <c r="G876" s="26">
        <v>2.1299999999999999E-2</v>
      </c>
      <c r="H876" s="26">
        <v>6.3799999999999996E-2</v>
      </c>
      <c r="I876" s="26">
        <v>0.17019999999999999</v>
      </c>
      <c r="K876" s="26">
        <v>6.3799999999999996E-2</v>
      </c>
      <c r="L876" s="26">
        <v>4.2599999999999999E-2</v>
      </c>
      <c r="M876" s="26">
        <v>4.2599999999999999E-2</v>
      </c>
      <c r="O876" s="26">
        <v>6.3799999999999996E-2</v>
      </c>
      <c r="R876">
        <v>47</v>
      </c>
    </row>
    <row r="877" spans="1:18" x14ac:dyDescent="0.35">
      <c r="A877" s="27" t="s">
        <v>228</v>
      </c>
      <c r="B877" s="27" t="s">
        <v>252</v>
      </c>
      <c r="C877" s="29"/>
      <c r="D877" s="29"/>
      <c r="E877" s="29"/>
      <c r="F877" s="29"/>
      <c r="G877" s="29"/>
      <c r="H877" s="29"/>
      <c r="I877" s="29"/>
      <c r="J877" s="29"/>
      <c r="K877" s="29"/>
      <c r="L877" s="29"/>
      <c r="M877" s="29"/>
      <c r="N877" s="28">
        <v>1</v>
      </c>
      <c r="O877" s="29"/>
      <c r="P877" s="29"/>
      <c r="Q877" s="29"/>
      <c r="R877" s="29" t="s">
        <v>331</v>
      </c>
    </row>
    <row r="878" spans="1:18" x14ac:dyDescent="0.35">
      <c r="A878" t="s">
        <v>228</v>
      </c>
      <c r="B878" t="s">
        <v>253</v>
      </c>
      <c r="C878" s="26">
        <v>8.4500000000000006E-2</v>
      </c>
      <c r="D878" s="26">
        <v>0.15870000000000001</v>
      </c>
      <c r="E878" s="26">
        <v>4.1000000000000002E-2</v>
      </c>
      <c r="F878" s="26">
        <v>0.1138</v>
      </c>
      <c r="G878" s="26">
        <v>5.4399999999999997E-2</v>
      </c>
      <c r="H878" s="26">
        <v>0.13059999999999999</v>
      </c>
      <c r="I878" s="26">
        <v>6.5199999999999994E-2</v>
      </c>
      <c r="J878" s="26">
        <v>0.1069</v>
      </c>
      <c r="K878" s="26">
        <v>4.3299999999999998E-2</v>
      </c>
      <c r="L878" s="26">
        <v>9.1000000000000004E-3</v>
      </c>
      <c r="M878" s="26">
        <v>3.8399999999999997E-2</v>
      </c>
      <c r="O878" s="26">
        <v>0.1105</v>
      </c>
      <c r="P878" s="26">
        <v>4.0000000000000001E-3</v>
      </c>
      <c r="Q878" s="26">
        <v>3.9399999999999998E-2</v>
      </c>
      <c r="R878">
        <v>91</v>
      </c>
    </row>
    <row r="879" spans="1:18" x14ac:dyDescent="0.35">
      <c r="A879" t="s">
        <v>228</v>
      </c>
      <c r="B879" t="s">
        <v>251</v>
      </c>
      <c r="C879" s="26">
        <v>8.5000000000000006E-2</v>
      </c>
      <c r="D879" s="26">
        <v>8.6599999999999996E-2</v>
      </c>
      <c r="E879" s="26">
        <v>0.1351</v>
      </c>
      <c r="F879" s="26">
        <v>7.7799999999999994E-2</v>
      </c>
      <c r="G879" s="26">
        <v>0.1089</v>
      </c>
      <c r="H879" s="26">
        <v>7.4899999999999994E-2</v>
      </c>
      <c r="I879" s="26">
        <v>9.8100000000000007E-2</v>
      </c>
      <c r="J879" s="26">
        <v>9.1999999999999998E-2</v>
      </c>
      <c r="K879" s="26">
        <v>6.7199999999999996E-2</v>
      </c>
      <c r="L879" s="26">
        <v>5.3499999999999999E-2</v>
      </c>
      <c r="M879" s="26">
        <v>2.9700000000000001E-2</v>
      </c>
      <c r="N879" s="26">
        <v>2.5499999999999998E-2</v>
      </c>
      <c r="O879" s="26">
        <v>6.3399999999999998E-2</v>
      </c>
      <c r="Q879" s="26">
        <v>2.2000000000000001E-3</v>
      </c>
      <c r="R879">
        <v>222</v>
      </c>
    </row>
    <row r="880" spans="1:18" x14ac:dyDescent="0.35">
      <c r="A880" s="27" t="s">
        <v>229</v>
      </c>
      <c r="B880" s="27" t="s">
        <v>252</v>
      </c>
      <c r="C880" s="29"/>
      <c r="D880" s="29"/>
      <c r="E880" s="29"/>
      <c r="F880" s="29"/>
      <c r="G880" s="29"/>
      <c r="H880" s="28">
        <v>0.5</v>
      </c>
      <c r="I880" s="28">
        <v>0.5</v>
      </c>
      <c r="J880" s="29"/>
      <c r="K880" s="29"/>
      <c r="L880" s="29"/>
      <c r="M880" s="29"/>
      <c r="N880" s="29"/>
      <c r="O880" s="29"/>
      <c r="P880" s="29"/>
      <c r="Q880" s="29"/>
      <c r="R880" s="29" t="s">
        <v>314</v>
      </c>
    </row>
    <row r="881" spans="1:18" x14ac:dyDescent="0.35">
      <c r="A881" t="s">
        <v>229</v>
      </c>
      <c r="B881" t="s">
        <v>253</v>
      </c>
      <c r="C881" s="26">
        <v>0.1011</v>
      </c>
      <c r="D881" s="26">
        <v>2.1399999999999999E-2</v>
      </c>
      <c r="E881" s="26">
        <v>6.59E-2</v>
      </c>
      <c r="F881" s="26">
        <v>0.1474</v>
      </c>
      <c r="G881" s="26">
        <v>0.1051</v>
      </c>
      <c r="H881" s="26">
        <v>4.65E-2</v>
      </c>
      <c r="I881" s="26">
        <v>3.0300000000000001E-2</v>
      </c>
      <c r="J881" s="26">
        <v>0.1497</v>
      </c>
      <c r="K881" s="26">
        <v>4.24E-2</v>
      </c>
      <c r="L881" s="26">
        <v>3.2399999999999998E-2</v>
      </c>
      <c r="M881" s="26">
        <v>0.1527</v>
      </c>
      <c r="N881" s="26">
        <v>3.8399999999999997E-2</v>
      </c>
      <c r="O881" s="26">
        <v>3.6299999999999999E-2</v>
      </c>
      <c r="Q881" s="26">
        <v>3.0300000000000001E-2</v>
      </c>
      <c r="R881">
        <v>59</v>
      </c>
    </row>
    <row r="882" spans="1:18" x14ac:dyDescent="0.35">
      <c r="A882" t="s">
        <v>229</v>
      </c>
      <c r="B882" t="s">
        <v>251</v>
      </c>
      <c r="C882" s="26">
        <v>0.1961</v>
      </c>
      <c r="D882" s="26">
        <v>0.1074</v>
      </c>
      <c r="E882" s="26">
        <v>9.8299999999999998E-2</v>
      </c>
      <c r="F882" s="26">
        <v>7.3599999999999999E-2</v>
      </c>
      <c r="G882" s="26">
        <v>9.6699999999999994E-2</v>
      </c>
      <c r="H882" s="26">
        <v>7.4300000000000005E-2</v>
      </c>
      <c r="I882" s="26">
        <v>5.1799999999999999E-2</v>
      </c>
      <c r="J882" s="26">
        <v>7.3300000000000004E-2</v>
      </c>
      <c r="K882" s="26">
        <v>5.11E-2</v>
      </c>
      <c r="L882" s="26">
        <v>4.8899999999999999E-2</v>
      </c>
      <c r="M882" s="26">
        <v>5.6099999999999997E-2</v>
      </c>
      <c r="N882" s="26">
        <v>3.4500000000000003E-2</v>
      </c>
      <c r="O882" s="26">
        <v>2.1299999999999999E-2</v>
      </c>
      <c r="P882" s="26">
        <v>8.8999999999999999E-3</v>
      </c>
      <c r="Q882" s="26">
        <v>7.4999999999999997E-3</v>
      </c>
      <c r="R882">
        <v>274</v>
      </c>
    </row>
    <row r="883" spans="1:18" x14ac:dyDescent="0.35">
      <c r="A883" t="s">
        <v>230</v>
      </c>
      <c r="B883" t="s">
        <v>253</v>
      </c>
      <c r="C883" s="26">
        <v>9.3600000000000003E-2</v>
      </c>
      <c r="D883" s="26">
        <v>0.19239999999999999</v>
      </c>
      <c r="E883" s="26">
        <v>2.5600000000000001E-2</v>
      </c>
      <c r="F883" s="26">
        <v>1.6799999999999999E-2</v>
      </c>
      <c r="G883" s="26">
        <v>0.2303</v>
      </c>
      <c r="H883" s="26">
        <v>1.26E-2</v>
      </c>
      <c r="I883" s="26">
        <v>0.1101</v>
      </c>
      <c r="J883" s="26">
        <v>1.6500000000000001E-2</v>
      </c>
      <c r="K883" s="26">
        <v>1.26E-2</v>
      </c>
      <c r="L883" s="26">
        <v>9.3299999999999994E-2</v>
      </c>
      <c r="M883" s="26">
        <v>0.1027</v>
      </c>
      <c r="N883" s="26">
        <v>8.0699999999999994E-2</v>
      </c>
      <c r="O883" s="26">
        <v>1.26E-2</v>
      </c>
      <c r="R883">
        <v>33</v>
      </c>
    </row>
    <row r="884" spans="1:18" x14ac:dyDescent="0.35">
      <c r="A884" t="s">
        <v>230</v>
      </c>
      <c r="B884" t="s">
        <v>251</v>
      </c>
      <c r="C884" s="26">
        <v>0.1454</v>
      </c>
      <c r="D884" s="26">
        <v>0.20430000000000001</v>
      </c>
      <c r="E884" s="26">
        <v>3.4599999999999999E-2</v>
      </c>
      <c r="F884" s="26">
        <v>0.1615</v>
      </c>
      <c r="G884" s="26">
        <v>2.8199999999999999E-2</v>
      </c>
      <c r="H884" s="26">
        <v>7.8E-2</v>
      </c>
      <c r="I884" s="26">
        <v>7.1099999999999997E-2</v>
      </c>
      <c r="J884" s="26">
        <v>4.02E-2</v>
      </c>
      <c r="K884" s="26">
        <v>9.6699999999999994E-2</v>
      </c>
      <c r="L884" s="26">
        <v>7.9799999999999996E-2</v>
      </c>
      <c r="M884" s="26">
        <v>8.0000000000000002E-3</v>
      </c>
      <c r="N884" s="26">
        <v>2.5600000000000001E-2</v>
      </c>
      <c r="O884" s="26">
        <v>2.1299999999999999E-2</v>
      </c>
      <c r="P884" s="26">
        <v>2.5999999999999999E-3</v>
      </c>
      <c r="Q884" s="26">
        <v>2.7000000000000001E-3</v>
      </c>
      <c r="R884">
        <v>169</v>
      </c>
    </row>
    <row r="885" spans="1:18" x14ac:dyDescent="0.35">
      <c r="A885" s="27" t="s">
        <v>231</v>
      </c>
      <c r="B885" s="27" t="s">
        <v>252</v>
      </c>
      <c r="C885" s="29"/>
      <c r="D885" s="28">
        <v>0.33329999999999999</v>
      </c>
      <c r="E885" s="29"/>
      <c r="F885" s="29"/>
      <c r="G885" s="29"/>
      <c r="H885" s="28">
        <v>0.33329999999999999</v>
      </c>
      <c r="I885" s="29"/>
      <c r="J885" s="29"/>
      <c r="K885" s="29"/>
      <c r="L885" s="29"/>
      <c r="M885" s="29"/>
      <c r="N885" s="28">
        <v>0.33329999999999999</v>
      </c>
      <c r="O885" s="29"/>
      <c r="P885" s="29"/>
      <c r="Q885" s="29"/>
      <c r="R885" s="29" t="s">
        <v>315</v>
      </c>
    </row>
    <row r="886" spans="1:18" x14ac:dyDescent="0.35">
      <c r="A886" s="27" t="s">
        <v>231</v>
      </c>
      <c r="B886" s="27" t="s">
        <v>253</v>
      </c>
      <c r="C886" s="28">
        <v>0.1429</v>
      </c>
      <c r="D886" s="29"/>
      <c r="E886" s="29"/>
      <c r="F886" s="28">
        <v>0.1429</v>
      </c>
      <c r="G886" s="28">
        <v>0.1429</v>
      </c>
      <c r="H886" s="29"/>
      <c r="I886" s="28">
        <v>0.1429</v>
      </c>
      <c r="J886" s="29"/>
      <c r="K886" s="29"/>
      <c r="L886" s="28">
        <v>0.1429</v>
      </c>
      <c r="M886" s="28">
        <v>0.1429</v>
      </c>
      <c r="N886" s="28">
        <v>0.1429</v>
      </c>
      <c r="O886" s="29"/>
      <c r="P886" s="29"/>
      <c r="Q886" s="29"/>
      <c r="R886" s="29" t="s">
        <v>339</v>
      </c>
    </row>
    <row r="887" spans="1:18" x14ac:dyDescent="0.35">
      <c r="A887" t="s">
        <v>231</v>
      </c>
      <c r="B887" t="s">
        <v>251</v>
      </c>
      <c r="C887" s="26">
        <v>0.20930000000000001</v>
      </c>
      <c r="D887" s="26">
        <v>9.2999999999999999E-2</v>
      </c>
      <c r="E887" s="26">
        <v>0.1163</v>
      </c>
      <c r="F887" s="26">
        <v>4.65E-2</v>
      </c>
      <c r="G887" s="26">
        <v>9.2999999999999999E-2</v>
      </c>
      <c r="H887" s="26">
        <v>9.2999999999999999E-2</v>
      </c>
      <c r="I887" s="26">
        <v>6.9800000000000001E-2</v>
      </c>
      <c r="J887" s="26">
        <v>6.9800000000000001E-2</v>
      </c>
      <c r="K887" s="26">
        <v>6.9800000000000001E-2</v>
      </c>
      <c r="L887" s="26">
        <v>4.65E-2</v>
      </c>
      <c r="M887" s="26">
        <v>4.65E-2</v>
      </c>
      <c r="N887" s="26">
        <v>2.3300000000000001E-2</v>
      </c>
      <c r="P887" s="26">
        <v>2.3300000000000001E-2</v>
      </c>
      <c r="R887">
        <v>43</v>
      </c>
    </row>
    <row r="888" spans="1:18" x14ac:dyDescent="0.35">
      <c r="A888" t="s">
        <v>232</v>
      </c>
      <c r="B888" t="s">
        <v>232</v>
      </c>
      <c r="C888" s="26">
        <v>0.15359999999999999</v>
      </c>
      <c r="D888" s="26">
        <v>0.1013</v>
      </c>
      <c r="E888" s="26">
        <v>9.2399999999999996E-2</v>
      </c>
      <c r="F888" s="26">
        <v>8.9099999999999999E-2</v>
      </c>
      <c r="G888" s="26">
        <v>8.4699999999999998E-2</v>
      </c>
      <c r="H888" s="26">
        <v>0.08</v>
      </c>
      <c r="I888" s="26">
        <v>7.9899999999999999E-2</v>
      </c>
      <c r="J888" s="26">
        <v>6.5000000000000002E-2</v>
      </c>
      <c r="K888" s="26">
        <v>5.8700000000000002E-2</v>
      </c>
      <c r="L888" s="26">
        <v>5.4100000000000002E-2</v>
      </c>
      <c r="M888" s="26">
        <v>5.33E-2</v>
      </c>
      <c r="N888" s="26">
        <v>3.5999999999999997E-2</v>
      </c>
      <c r="O888" s="26">
        <v>3.5900000000000001E-2</v>
      </c>
      <c r="P888" s="26">
        <v>9.7000000000000003E-3</v>
      </c>
      <c r="Q888" s="26">
        <v>6.1999999999999998E-3</v>
      </c>
      <c r="R888">
        <v>967</v>
      </c>
    </row>
    <row r="890" spans="1:18" x14ac:dyDescent="0.35">
      <c r="A890" s="1" t="s">
        <v>419</v>
      </c>
    </row>
    <row r="891" spans="1:18" x14ac:dyDescent="0.35">
      <c r="A891" t="s">
        <v>219</v>
      </c>
      <c r="B891" t="s">
        <v>305</v>
      </c>
      <c r="C891" t="s">
        <v>399</v>
      </c>
      <c r="D891" t="s">
        <v>400</v>
      </c>
      <c r="E891" t="s">
        <v>401</v>
      </c>
      <c r="F891" t="s">
        <v>402</v>
      </c>
      <c r="G891" t="s">
        <v>403</v>
      </c>
      <c r="H891" t="s">
        <v>404</v>
      </c>
      <c r="I891" t="s">
        <v>405</v>
      </c>
      <c r="J891" t="s">
        <v>406</v>
      </c>
      <c r="K891" t="s">
        <v>407</v>
      </c>
      <c r="L891" t="s">
        <v>408</v>
      </c>
      <c r="M891" t="s">
        <v>409</v>
      </c>
      <c r="N891" t="s">
        <v>410</v>
      </c>
      <c r="O891" t="s">
        <v>411</v>
      </c>
      <c r="P891" t="s">
        <v>412</v>
      </c>
      <c r="Q891" t="s">
        <v>281</v>
      </c>
      <c r="R891" t="s">
        <v>226</v>
      </c>
    </row>
    <row r="892" spans="1:18" x14ac:dyDescent="0.35">
      <c r="A892" t="s">
        <v>227</v>
      </c>
      <c r="B892" t="s">
        <v>260</v>
      </c>
      <c r="C892" s="26">
        <v>0.1346</v>
      </c>
      <c r="D892" s="26">
        <v>7.6899999999999996E-2</v>
      </c>
      <c r="E892" s="26">
        <v>0.1346</v>
      </c>
      <c r="F892" s="26">
        <v>0.1154</v>
      </c>
      <c r="G892" s="26">
        <v>3.85E-2</v>
      </c>
      <c r="H892" s="26">
        <v>5.7700000000000001E-2</v>
      </c>
      <c r="I892" s="26">
        <v>0.15379999999999999</v>
      </c>
      <c r="J892" s="26">
        <v>1.9199999999999998E-2</v>
      </c>
      <c r="K892" s="26">
        <v>5.7700000000000001E-2</v>
      </c>
      <c r="L892" s="26">
        <v>7.6899999999999996E-2</v>
      </c>
      <c r="M892" s="26">
        <v>3.85E-2</v>
      </c>
      <c r="N892" s="26">
        <v>1.9199999999999998E-2</v>
      </c>
      <c r="O892" s="26">
        <v>7.6899999999999996E-2</v>
      </c>
      <c r="R892">
        <v>52</v>
      </c>
    </row>
    <row r="893" spans="1:18" x14ac:dyDescent="0.35">
      <c r="A893" s="27" t="s">
        <v>227</v>
      </c>
      <c r="B893" s="27" t="s">
        <v>261</v>
      </c>
      <c r="C893" s="28">
        <v>0.16669999999999999</v>
      </c>
      <c r="D893" s="29"/>
      <c r="E893" s="29"/>
      <c r="F893" s="29"/>
      <c r="G893" s="28">
        <v>0.16669999999999999</v>
      </c>
      <c r="H893" s="29"/>
      <c r="I893" s="28">
        <v>0.16669999999999999</v>
      </c>
      <c r="J893" s="29"/>
      <c r="K893" s="28">
        <v>0.16669999999999999</v>
      </c>
      <c r="L893" s="29"/>
      <c r="M893" s="28">
        <v>0.16669999999999999</v>
      </c>
      <c r="N893" s="29"/>
      <c r="O893" s="29"/>
      <c r="P893" s="28">
        <v>0.16669999999999999</v>
      </c>
      <c r="Q893" s="29"/>
      <c r="R893" s="29" t="s">
        <v>335</v>
      </c>
    </row>
    <row r="894" spans="1:18" x14ac:dyDescent="0.35">
      <c r="A894" s="27" t="s">
        <v>227</v>
      </c>
      <c r="B894" s="27" t="s">
        <v>262</v>
      </c>
      <c r="C894" s="28">
        <v>0.2</v>
      </c>
      <c r="D894" s="29"/>
      <c r="E894" s="29"/>
      <c r="F894" s="28">
        <v>0.2</v>
      </c>
      <c r="G894" s="29"/>
      <c r="H894" s="28">
        <v>0.4</v>
      </c>
      <c r="I894" s="29"/>
      <c r="J894" s="29"/>
      <c r="K894" s="29"/>
      <c r="L894" s="29"/>
      <c r="M894" s="29"/>
      <c r="N894" s="29"/>
      <c r="O894" s="28">
        <v>0.2</v>
      </c>
      <c r="P894" s="29"/>
      <c r="Q894" s="29"/>
      <c r="R894" s="29" t="s">
        <v>332</v>
      </c>
    </row>
    <row r="895" spans="1:18" x14ac:dyDescent="0.35">
      <c r="A895" s="27" t="s">
        <v>228</v>
      </c>
      <c r="B895" s="27" t="s">
        <v>263</v>
      </c>
      <c r="C895" s="28">
        <v>5.9900000000000002E-2</v>
      </c>
      <c r="D895" s="29"/>
      <c r="E895" s="28">
        <v>5.9900000000000002E-2</v>
      </c>
      <c r="F895" s="29"/>
      <c r="G895" s="28">
        <v>0.12039999999999999</v>
      </c>
      <c r="H895" s="28">
        <v>0.48089999999999999</v>
      </c>
      <c r="I895" s="29"/>
      <c r="J895" s="28">
        <v>0.19969999999999999</v>
      </c>
      <c r="K895" s="28">
        <v>7.9299999999999995E-2</v>
      </c>
      <c r="L895" s="29"/>
      <c r="M895" s="29"/>
      <c r="N895" s="29"/>
      <c r="O895" s="29"/>
      <c r="P895" s="29"/>
      <c r="Q895" s="29"/>
      <c r="R895" s="29" t="s">
        <v>339</v>
      </c>
    </row>
    <row r="896" spans="1:18" x14ac:dyDescent="0.35">
      <c r="A896" t="s">
        <v>228</v>
      </c>
      <c r="B896" t="s">
        <v>262</v>
      </c>
      <c r="C896" s="26">
        <v>6.7500000000000004E-2</v>
      </c>
      <c r="D896" s="26">
        <v>0.1173</v>
      </c>
      <c r="E896" s="26">
        <v>0.17530000000000001</v>
      </c>
      <c r="F896" s="26">
        <v>5.7000000000000002E-2</v>
      </c>
      <c r="G896" s="26">
        <v>1.9199999999999998E-2</v>
      </c>
      <c r="H896" s="26">
        <v>0.15529999999999999</v>
      </c>
      <c r="I896" s="26">
        <v>6.6799999999999998E-2</v>
      </c>
      <c r="J896" s="26">
        <v>6.0199999999999997E-2</v>
      </c>
      <c r="K896" s="26">
        <v>4.7899999999999998E-2</v>
      </c>
      <c r="L896" s="26">
        <v>0.1056</v>
      </c>
      <c r="M896" s="26">
        <v>5.0900000000000001E-2</v>
      </c>
      <c r="N896" s="26">
        <v>1.9199999999999998E-2</v>
      </c>
      <c r="O896" s="26">
        <v>5.7799999999999997E-2</v>
      </c>
      <c r="R896">
        <v>94</v>
      </c>
    </row>
    <row r="897" spans="1:18" x14ac:dyDescent="0.35">
      <c r="A897" t="s">
        <v>228</v>
      </c>
      <c r="B897" t="s">
        <v>260</v>
      </c>
      <c r="C897" s="26">
        <v>7.4300000000000005E-2</v>
      </c>
      <c r="D897" s="26">
        <v>0.11169999999999999</v>
      </c>
      <c r="E897" s="26">
        <v>0.11409999999999999</v>
      </c>
      <c r="F897" s="26">
        <v>0.14369999999999999</v>
      </c>
      <c r="G897" s="26">
        <v>0.127</v>
      </c>
      <c r="H897" s="26">
        <v>5.1799999999999999E-2</v>
      </c>
      <c r="I897" s="26">
        <v>7.1099999999999997E-2</v>
      </c>
      <c r="J897" s="26">
        <v>9.7900000000000001E-2</v>
      </c>
      <c r="K897" s="26">
        <v>3.3700000000000001E-2</v>
      </c>
      <c r="L897" s="26">
        <v>2.4400000000000002E-2</v>
      </c>
      <c r="M897" s="26">
        <v>2.5100000000000001E-2</v>
      </c>
      <c r="N897" s="26">
        <v>4.8899999999999999E-2</v>
      </c>
      <c r="O897" s="26">
        <v>5.3400000000000003E-2</v>
      </c>
      <c r="P897" s="26">
        <v>2.2000000000000001E-3</v>
      </c>
      <c r="Q897" s="26">
        <v>2.06E-2</v>
      </c>
      <c r="R897">
        <v>136</v>
      </c>
    </row>
    <row r="898" spans="1:18" x14ac:dyDescent="0.35">
      <c r="A898" s="27" t="s">
        <v>228</v>
      </c>
      <c r="B898" s="27" t="s">
        <v>236</v>
      </c>
      <c r="C898" s="29"/>
      <c r="D898" s="29"/>
      <c r="E898" s="29"/>
      <c r="F898" s="28">
        <v>0.22570000000000001</v>
      </c>
      <c r="G898" s="28">
        <v>0.77429999999999999</v>
      </c>
      <c r="H898" s="29"/>
      <c r="I898" s="29"/>
      <c r="J898" s="29"/>
      <c r="K898" s="29"/>
      <c r="L898" s="29"/>
      <c r="M898" s="29"/>
      <c r="N898" s="29"/>
      <c r="O898" s="29"/>
      <c r="P898" s="29"/>
      <c r="Q898" s="29"/>
      <c r="R898" s="29" t="s">
        <v>314</v>
      </c>
    </row>
    <row r="899" spans="1:18" x14ac:dyDescent="0.35">
      <c r="A899" t="s">
        <v>228</v>
      </c>
      <c r="B899" t="s">
        <v>261</v>
      </c>
      <c r="C899" s="26">
        <v>0.1258</v>
      </c>
      <c r="D899" s="26">
        <v>8.72E-2</v>
      </c>
      <c r="E899" s="26">
        <v>2.75E-2</v>
      </c>
      <c r="F899" s="26">
        <v>1.1299999999999999E-2</v>
      </c>
      <c r="G899" s="26">
        <v>9.9900000000000003E-2</v>
      </c>
      <c r="H899" s="26">
        <v>5.4699999999999999E-2</v>
      </c>
      <c r="I899" s="26">
        <v>0.15709999999999999</v>
      </c>
      <c r="J899" s="26">
        <v>0.12189999999999999</v>
      </c>
      <c r="K899" s="26">
        <v>0.1268</v>
      </c>
      <c r="L899" s="26">
        <v>5.1999999999999998E-3</v>
      </c>
      <c r="M899" s="26">
        <v>2.6100000000000002E-2</v>
      </c>
      <c r="O899" s="26">
        <v>0.1467</v>
      </c>
      <c r="Q899" s="26">
        <v>9.7999999999999997E-3</v>
      </c>
      <c r="R899">
        <v>75</v>
      </c>
    </row>
    <row r="900" spans="1:18" x14ac:dyDescent="0.35">
      <c r="A900" s="27" t="s">
        <v>229</v>
      </c>
      <c r="B900" s="27" t="s">
        <v>263</v>
      </c>
      <c r="C900" s="29"/>
      <c r="D900" s="29"/>
      <c r="E900" s="28">
        <v>6.9099999999999995E-2</v>
      </c>
      <c r="F900" s="29"/>
      <c r="G900" s="28">
        <v>0.37940000000000002</v>
      </c>
      <c r="H900" s="29"/>
      <c r="I900" s="28">
        <v>6.9099999999999995E-2</v>
      </c>
      <c r="J900" s="29"/>
      <c r="K900" s="28">
        <v>6.9099999999999995E-2</v>
      </c>
      <c r="L900" s="29"/>
      <c r="M900" s="28">
        <v>0.41339999999999999</v>
      </c>
      <c r="N900" s="29"/>
      <c r="O900" s="29"/>
      <c r="P900" s="29"/>
      <c r="Q900" s="29"/>
      <c r="R900" s="29" t="s">
        <v>333</v>
      </c>
    </row>
    <row r="901" spans="1:18" x14ac:dyDescent="0.35">
      <c r="A901" t="s">
        <v>229</v>
      </c>
      <c r="B901" t="s">
        <v>261</v>
      </c>
      <c r="C901" s="26">
        <v>7.9600000000000004E-2</v>
      </c>
      <c r="D901" s="26">
        <v>7.9500000000000001E-2</v>
      </c>
      <c r="E901" s="26">
        <v>0.13200000000000001</v>
      </c>
      <c r="F901" s="26">
        <v>9.7100000000000006E-2</v>
      </c>
      <c r="G901" s="26">
        <v>0.13819999999999999</v>
      </c>
      <c r="H901" s="26">
        <v>4.1099999999999998E-2</v>
      </c>
      <c r="I901" s="26">
        <v>2.0299999999999999E-2</v>
      </c>
      <c r="J901" s="26">
        <v>5.3699999999999998E-2</v>
      </c>
      <c r="K901" s="26">
        <v>9.4700000000000006E-2</v>
      </c>
      <c r="L901" s="26">
        <v>0.16900000000000001</v>
      </c>
      <c r="M901" s="26">
        <v>4.5999999999999999E-2</v>
      </c>
      <c r="N901" s="26">
        <v>1.0200000000000001E-2</v>
      </c>
      <c r="Q901" s="26">
        <v>3.85E-2</v>
      </c>
      <c r="R901">
        <v>42</v>
      </c>
    </row>
    <row r="902" spans="1:18" x14ac:dyDescent="0.35">
      <c r="A902" t="s">
        <v>229</v>
      </c>
      <c r="B902" t="s">
        <v>262</v>
      </c>
      <c r="C902" s="26">
        <v>0.2797</v>
      </c>
      <c r="D902" s="26">
        <v>0.125</v>
      </c>
      <c r="E902" s="26">
        <v>6.7699999999999996E-2</v>
      </c>
      <c r="F902" s="26">
        <v>6.5000000000000002E-2</v>
      </c>
      <c r="G902" s="26">
        <v>8.4400000000000003E-2</v>
      </c>
      <c r="H902" s="26">
        <v>9.4100000000000003E-2</v>
      </c>
      <c r="I902" s="26">
        <v>3.5700000000000003E-2</v>
      </c>
      <c r="J902" s="26">
        <v>0.10539999999999999</v>
      </c>
      <c r="K902" s="26">
        <v>4.2599999999999999E-2</v>
      </c>
      <c r="L902" s="26">
        <v>4.1700000000000001E-2</v>
      </c>
      <c r="M902" s="26">
        <v>3.6200000000000003E-2</v>
      </c>
      <c r="N902" s="26">
        <v>2.24E-2</v>
      </c>
      <c r="R902">
        <v>104</v>
      </c>
    </row>
    <row r="903" spans="1:18" x14ac:dyDescent="0.35">
      <c r="A903" t="s">
        <v>229</v>
      </c>
      <c r="B903" t="s">
        <v>260</v>
      </c>
      <c r="C903" s="26">
        <v>0.12859999999999999</v>
      </c>
      <c r="D903" s="26">
        <v>6.7500000000000004E-2</v>
      </c>
      <c r="E903" s="26">
        <v>0.10050000000000001</v>
      </c>
      <c r="F903" s="26">
        <v>0.1106</v>
      </c>
      <c r="G903" s="26">
        <v>8.1500000000000003E-2</v>
      </c>
      <c r="H903" s="26">
        <v>6.0299999999999999E-2</v>
      </c>
      <c r="I903" s="26">
        <v>6.8000000000000005E-2</v>
      </c>
      <c r="J903" s="26">
        <v>9.01E-2</v>
      </c>
      <c r="K903" s="26">
        <v>3.8100000000000002E-2</v>
      </c>
      <c r="L903" s="26">
        <v>7.0000000000000001E-3</v>
      </c>
      <c r="M903" s="26">
        <v>0.10290000000000001</v>
      </c>
      <c r="N903" s="26">
        <v>5.8000000000000003E-2</v>
      </c>
      <c r="O903" s="26">
        <v>5.6500000000000002E-2</v>
      </c>
      <c r="P903" s="26">
        <v>1.67E-2</v>
      </c>
      <c r="Q903" s="26">
        <v>1.3899999999999999E-2</v>
      </c>
      <c r="R903">
        <v>181</v>
      </c>
    </row>
    <row r="904" spans="1:18" x14ac:dyDescent="0.35">
      <c r="A904" t="s">
        <v>230</v>
      </c>
      <c r="B904" t="s">
        <v>261</v>
      </c>
      <c r="C904" s="26">
        <v>0.127</v>
      </c>
      <c r="D904" s="26">
        <v>0.12859999999999999</v>
      </c>
      <c r="E904" s="26">
        <v>1.6299999999999999E-2</v>
      </c>
      <c r="F904" s="26">
        <v>0.20910000000000001</v>
      </c>
      <c r="G904" s="26">
        <v>0.11269999999999999</v>
      </c>
      <c r="H904" s="26">
        <v>0.1123</v>
      </c>
      <c r="I904" s="26">
        <v>0.12859999999999999</v>
      </c>
      <c r="K904" s="26">
        <v>5.2900000000000003E-2</v>
      </c>
      <c r="L904" s="26">
        <v>8.0600000000000005E-2</v>
      </c>
      <c r="N904" s="26">
        <v>1.6299999999999999E-2</v>
      </c>
      <c r="O904" s="26">
        <v>1.5900000000000001E-2</v>
      </c>
      <c r="R904">
        <v>30</v>
      </c>
    </row>
    <row r="905" spans="1:18" x14ac:dyDescent="0.35">
      <c r="A905" s="27" t="s">
        <v>230</v>
      </c>
      <c r="B905" s="27" t="s">
        <v>236</v>
      </c>
      <c r="C905" s="29"/>
      <c r="D905" s="29"/>
      <c r="E905" s="29"/>
      <c r="F905" s="29"/>
      <c r="G905" s="29"/>
      <c r="H905" s="28">
        <v>0.5</v>
      </c>
      <c r="I905" s="29"/>
      <c r="J905" s="29"/>
      <c r="K905" s="29"/>
      <c r="L905" s="29"/>
      <c r="M905" s="28">
        <v>0.5</v>
      </c>
      <c r="N905" s="29"/>
      <c r="O905" s="29"/>
      <c r="P905" s="29"/>
      <c r="Q905" s="29"/>
      <c r="R905" s="29" t="s">
        <v>314</v>
      </c>
    </row>
    <row r="906" spans="1:18" x14ac:dyDescent="0.35">
      <c r="A906" t="s">
        <v>230</v>
      </c>
      <c r="B906" t="s">
        <v>262</v>
      </c>
      <c r="C906" s="26">
        <v>0.20499999999999999</v>
      </c>
      <c r="D906" s="26">
        <v>6.7299999999999999E-2</v>
      </c>
      <c r="E906" s="26">
        <v>8.8300000000000003E-2</v>
      </c>
      <c r="F906" s="26">
        <v>0.12470000000000001</v>
      </c>
      <c r="G906" s="26">
        <v>4.4999999999999998E-2</v>
      </c>
      <c r="H906" s="26">
        <v>0.12559999999999999</v>
      </c>
      <c r="I906" s="26">
        <v>2.93E-2</v>
      </c>
      <c r="J906" s="26">
        <v>6.0299999999999999E-2</v>
      </c>
      <c r="K906" s="26">
        <v>2.4899999999999999E-2</v>
      </c>
      <c r="L906" s="26">
        <v>0.1046</v>
      </c>
      <c r="M906" s="26">
        <v>3.7900000000000003E-2</v>
      </c>
      <c r="N906" s="26">
        <v>1.15E-2</v>
      </c>
      <c r="O906" s="26">
        <v>7.5499999999999998E-2</v>
      </c>
      <c r="R906">
        <v>57</v>
      </c>
    </row>
    <row r="907" spans="1:18" x14ac:dyDescent="0.35">
      <c r="A907" t="s">
        <v>230</v>
      </c>
      <c r="B907" t="s">
        <v>260</v>
      </c>
      <c r="C907" s="26">
        <v>0.12470000000000001</v>
      </c>
      <c r="D907" s="26">
        <v>0.25950000000000001</v>
      </c>
      <c r="E907" s="26">
        <v>2.3699999999999999E-2</v>
      </c>
      <c r="F907" s="26">
        <v>9.1800000000000007E-2</v>
      </c>
      <c r="G907" s="26">
        <v>6.1199999999999997E-2</v>
      </c>
      <c r="H907" s="26">
        <v>4.1799999999999997E-2</v>
      </c>
      <c r="I907" s="26">
        <v>8.4900000000000003E-2</v>
      </c>
      <c r="J907" s="26">
        <v>3.8300000000000001E-2</v>
      </c>
      <c r="K907" s="26">
        <v>0.10879999999999999</v>
      </c>
      <c r="L907" s="26">
        <v>8.0299999999999996E-2</v>
      </c>
      <c r="M907" s="26">
        <v>2.3800000000000002E-2</v>
      </c>
      <c r="N907" s="26">
        <v>4.7600000000000003E-2</v>
      </c>
      <c r="O907" s="26">
        <v>6.7999999999999996E-3</v>
      </c>
      <c r="P907" s="26">
        <v>3.3999999999999998E-3</v>
      </c>
      <c r="Q907" s="26">
        <v>3.3999999999999998E-3</v>
      </c>
      <c r="R907">
        <v>106</v>
      </c>
    </row>
    <row r="908" spans="1:18" x14ac:dyDescent="0.35">
      <c r="A908" s="27" t="s">
        <v>230</v>
      </c>
      <c r="B908" s="27" t="s">
        <v>263</v>
      </c>
      <c r="C908" s="28">
        <v>6.4699999999999994E-2</v>
      </c>
      <c r="D908" s="28">
        <v>0.12939999999999999</v>
      </c>
      <c r="E908" s="29"/>
      <c r="F908" s="28">
        <v>0.76700000000000002</v>
      </c>
      <c r="G908" s="29"/>
      <c r="H908" s="29"/>
      <c r="I908" s="29"/>
      <c r="J908" s="28">
        <v>1.9400000000000001E-2</v>
      </c>
      <c r="K908" s="29"/>
      <c r="L908" s="28">
        <v>1.9400000000000001E-2</v>
      </c>
      <c r="M908" s="29"/>
      <c r="N908" s="29"/>
      <c r="O908" s="29"/>
      <c r="P908" s="29"/>
      <c r="Q908" s="29"/>
      <c r="R908" s="29" t="s">
        <v>339</v>
      </c>
    </row>
    <row r="909" spans="1:18" x14ac:dyDescent="0.35">
      <c r="A909" s="27" t="s">
        <v>231</v>
      </c>
      <c r="B909" s="27" t="s">
        <v>263</v>
      </c>
      <c r="C909" s="28">
        <v>0.5</v>
      </c>
      <c r="D909" s="29"/>
      <c r="E909" s="29"/>
      <c r="F909" s="28">
        <v>0.5</v>
      </c>
      <c r="G909" s="29"/>
      <c r="H909" s="29"/>
      <c r="I909" s="29"/>
      <c r="J909" s="29"/>
      <c r="K909" s="29"/>
      <c r="L909" s="29"/>
      <c r="M909" s="29"/>
      <c r="N909" s="29"/>
      <c r="O909" s="29"/>
      <c r="P909" s="29"/>
      <c r="Q909" s="29"/>
      <c r="R909" s="29" t="s">
        <v>314</v>
      </c>
    </row>
    <row r="910" spans="1:18" x14ac:dyDescent="0.35">
      <c r="A910" t="s">
        <v>231</v>
      </c>
      <c r="B910" t="s">
        <v>260</v>
      </c>
      <c r="C910" s="26">
        <v>0.1951</v>
      </c>
      <c r="D910" s="26">
        <v>9.7600000000000006E-2</v>
      </c>
      <c r="E910" s="26">
        <v>0.122</v>
      </c>
      <c r="F910" s="26">
        <v>4.8800000000000003E-2</v>
      </c>
      <c r="G910" s="26">
        <v>4.8800000000000003E-2</v>
      </c>
      <c r="H910" s="26">
        <v>9.7600000000000006E-2</v>
      </c>
      <c r="I910" s="26">
        <v>4.8800000000000003E-2</v>
      </c>
      <c r="J910" s="26">
        <v>7.3200000000000001E-2</v>
      </c>
      <c r="K910" s="26">
        <v>4.8800000000000003E-2</v>
      </c>
      <c r="L910" s="26">
        <v>7.3200000000000001E-2</v>
      </c>
      <c r="M910" s="26">
        <v>7.3200000000000001E-2</v>
      </c>
      <c r="N910" s="26">
        <v>4.8800000000000003E-2</v>
      </c>
      <c r="P910" s="26">
        <v>2.4400000000000002E-2</v>
      </c>
      <c r="R910">
        <v>41</v>
      </c>
    </row>
    <row r="911" spans="1:18" x14ac:dyDescent="0.35">
      <c r="A911" s="27" t="s">
        <v>231</v>
      </c>
      <c r="B911" s="27" t="s">
        <v>261</v>
      </c>
      <c r="C911" s="28">
        <v>0.16669999999999999</v>
      </c>
      <c r="D911" s="28">
        <v>0.16669999999999999</v>
      </c>
      <c r="E911" s="29"/>
      <c r="F911" s="29"/>
      <c r="G911" s="28">
        <v>0.33329999999999999</v>
      </c>
      <c r="H911" s="28">
        <v>0.16669999999999999</v>
      </c>
      <c r="I911" s="29"/>
      <c r="J911" s="29"/>
      <c r="K911" s="29"/>
      <c r="L911" s="29"/>
      <c r="M911" s="29"/>
      <c r="N911" s="28">
        <v>0.16669999999999999</v>
      </c>
      <c r="O911" s="29"/>
      <c r="P911" s="29"/>
      <c r="Q911" s="29"/>
      <c r="R911" s="29" t="s">
        <v>335</v>
      </c>
    </row>
    <row r="912" spans="1:18" x14ac:dyDescent="0.35">
      <c r="A912" s="27" t="s">
        <v>231</v>
      </c>
      <c r="B912" s="27" t="s">
        <v>262</v>
      </c>
      <c r="C912" s="29"/>
      <c r="D912" s="29"/>
      <c r="E912" s="29"/>
      <c r="F912" s="29"/>
      <c r="G912" s="28">
        <v>0.25</v>
      </c>
      <c r="H912" s="29"/>
      <c r="I912" s="28">
        <v>0.5</v>
      </c>
      <c r="J912" s="29"/>
      <c r="K912" s="28">
        <v>0.25</v>
      </c>
      <c r="L912" s="29"/>
      <c r="M912" s="29"/>
      <c r="N912" s="29"/>
      <c r="O912" s="29"/>
      <c r="P912" s="29"/>
      <c r="Q912" s="29"/>
      <c r="R912" s="29" t="s">
        <v>337</v>
      </c>
    </row>
    <row r="913" spans="1:18" x14ac:dyDescent="0.35">
      <c r="A913" t="s">
        <v>232</v>
      </c>
      <c r="B913" t="s">
        <v>232</v>
      </c>
      <c r="C913" s="26">
        <v>0.15359999999999999</v>
      </c>
      <c r="D913" s="26">
        <v>0.1013</v>
      </c>
      <c r="E913" s="26">
        <v>9.2399999999999996E-2</v>
      </c>
      <c r="F913" s="26">
        <v>8.9099999999999999E-2</v>
      </c>
      <c r="G913" s="26">
        <v>8.4699999999999998E-2</v>
      </c>
      <c r="H913" s="26">
        <v>0.08</v>
      </c>
      <c r="I913" s="26">
        <v>7.9899999999999999E-2</v>
      </c>
      <c r="J913" s="26">
        <v>6.5000000000000002E-2</v>
      </c>
      <c r="K913" s="26">
        <v>5.8700000000000002E-2</v>
      </c>
      <c r="L913" s="26">
        <v>5.4100000000000002E-2</v>
      </c>
      <c r="M913" s="26">
        <v>5.33E-2</v>
      </c>
      <c r="N913" s="26">
        <v>3.5999999999999997E-2</v>
      </c>
      <c r="O913" s="26">
        <v>3.5900000000000001E-2</v>
      </c>
      <c r="P913" s="26">
        <v>9.7000000000000003E-3</v>
      </c>
      <c r="Q913" s="26">
        <v>6.1999999999999998E-3</v>
      </c>
      <c r="R913">
        <v>967</v>
      </c>
    </row>
    <row r="915" spans="1:18" x14ac:dyDescent="0.35">
      <c r="A915" s="1" t="s">
        <v>420</v>
      </c>
    </row>
    <row r="916" spans="1:18" x14ac:dyDescent="0.35">
      <c r="A916" t="s">
        <v>219</v>
      </c>
      <c r="B916" t="s">
        <v>305</v>
      </c>
      <c r="C916" t="s">
        <v>399</v>
      </c>
      <c r="D916" t="s">
        <v>400</v>
      </c>
      <c r="E916" t="s">
        <v>401</v>
      </c>
      <c r="F916" t="s">
        <v>402</v>
      </c>
      <c r="G916" t="s">
        <v>403</v>
      </c>
      <c r="H916" t="s">
        <v>404</v>
      </c>
      <c r="I916" t="s">
        <v>405</v>
      </c>
      <c r="J916" t="s">
        <v>406</v>
      </c>
      <c r="K916" t="s">
        <v>407</v>
      </c>
      <c r="L916" t="s">
        <v>408</v>
      </c>
      <c r="M916" t="s">
        <v>409</v>
      </c>
      <c r="N916" t="s">
        <v>410</v>
      </c>
      <c r="O916" t="s">
        <v>411</v>
      </c>
      <c r="P916" t="s">
        <v>412</v>
      </c>
      <c r="Q916" t="s">
        <v>281</v>
      </c>
      <c r="R916" t="s">
        <v>226</v>
      </c>
    </row>
    <row r="917" spans="1:18" x14ac:dyDescent="0.35">
      <c r="A917" s="27" t="s">
        <v>227</v>
      </c>
      <c r="B917" s="27" t="s">
        <v>368</v>
      </c>
      <c r="C917" s="28">
        <v>0.16669999999999999</v>
      </c>
      <c r="D917" s="29"/>
      <c r="E917" s="29"/>
      <c r="F917" s="29"/>
      <c r="G917" s="28">
        <v>0.16669999999999999</v>
      </c>
      <c r="H917" s="29"/>
      <c r="I917" s="28">
        <v>0.16669999999999999</v>
      </c>
      <c r="J917" s="29"/>
      <c r="K917" s="28">
        <v>0.16669999999999999</v>
      </c>
      <c r="L917" s="29"/>
      <c r="M917" s="28">
        <v>0.16669999999999999</v>
      </c>
      <c r="N917" s="29"/>
      <c r="O917" s="29"/>
      <c r="P917" s="28">
        <v>0.16669999999999999</v>
      </c>
      <c r="Q917" s="29"/>
      <c r="R917" s="29" t="s">
        <v>335</v>
      </c>
    </row>
    <row r="918" spans="1:18" x14ac:dyDescent="0.35">
      <c r="A918" t="s">
        <v>227</v>
      </c>
      <c r="B918" t="s">
        <v>369</v>
      </c>
      <c r="C918" s="26">
        <v>0.1404</v>
      </c>
      <c r="D918" s="26">
        <v>7.0199999999999999E-2</v>
      </c>
      <c r="E918" s="26">
        <v>0.12280000000000001</v>
      </c>
      <c r="F918" s="26">
        <v>0.12280000000000001</v>
      </c>
      <c r="G918" s="26">
        <v>3.5099999999999999E-2</v>
      </c>
      <c r="H918" s="26">
        <v>8.77E-2</v>
      </c>
      <c r="I918" s="26">
        <v>0.1404</v>
      </c>
      <c r="J918" s="26">
        <v>1.7500000000000002E-2</v>
      </c>
      <c r="K918" s="26">
        <v>5.2600000000000001E-2</v>
      </c>
      <c r="L918" s="26">
        <v>7.0199999999999999E-2</v>
      </c>
      <c r="M918" s="26">
        <v>3.5099999999999999E-2</v>
      </c>
      <c r="N918" s="26">
        <v>1.7500000000000002E-2</v>
      </c>
      <c r="O918" s="26">
        <v>8.77E-2</v>
      </c>
      <c r="R918">
        <v>57</v>
      </c>
    </row>
    <row r="919" spans="1:18" x14ac:dyDescent="0.35">
      <c r="A919" t="s">
        <v>228</v>
      </c>
      <c r="B919" t="s">
        <v>368</v>
      </c>
      <c r="C919" s="26">
        <v>0.1258</v>
      </c>
      <c r="D919" s="26">
        <v>8.72E-2</v>
      </c>
      <c r="E919" s="26">
        <v>2.75E-2</v>
      </c>
      <c r="F919" s="26">
        <v>1.1299999999999999E-2</v>
      </c>
      <c r="G919" s="26">
        <v>9.9900000000000003E-2</v>
      </c>
      <c r="H919" s="26">
        <v>5.4699999999999999E-2</v>
      </c>
      <c r="I919" s="26">
        <v>0.15709999999999999</v>
      </c>
      <c r="J919" s="26">
        <v>0.12189999999999999</v>
      </c>
      <c r="K919" s="26">
        <v>0.1268</v>
      </c>
      <c r="L919" s="26">
        <v>5.1999999999999998E-3</v>
      </c>
      <c r="M919" s="26">
        <v>2.6100000000000002E-2</v>
      </c>
      <c r="O919" s="26">
        <v>0.1467</v>
      </c>
      <c r="Q919" s="26">
        <v>9.7999999999999997E-3</v>
      </c>
      <c r="R919">
        <v>75</v>
      </c>
    </row>
    <row r="920" spans="1:18" x14ac:dyDescent="0.35">
      <c r="A920" t="s">
        <v>228</v>
      </c>
      <c r="B920" t="s">
        <v>369</v>
      </c>
      <c r="C920" s="26">
        <v>7.1300000000000002E-2</v>
      </c>
      <c r="D920" s="26">
        <v>0.1103</v>
      </c>
      <c r="E920" s="26">
        <v>0.1338</v>
      </c>
      <c r="F920" s="26">
        <v>0.1096</v>
      </c>
      <c r="G920" s="26">
        <v>9.1399999999999995E-2</v>
      </c>
      <c r="H920" s="26">
        <v>9.9400000000000002E-2</v>
      </c>
      <c r="I920" s="26">
        <v>6.7400000000000002E-2</v>
      </c>
      <c r="J920" s="26">
        <v>8.6900000000000005E-2</v>
      </c>
      <c r="K920" s="26">
        <v>3.9800000000000002E-2</v>
      </c>
      <c r="L920" s="26">
        <v>5.2299999999999999E-2</v>
      </c>
      <c r="M920" s="26">
        <v>3.3500000000000002E-2</v>
      </c>
      <c r="N920" s="26">
        <v>3.6900000000000002E-2</v>
      </c>
      <c r="O920" s="26">
        <v>5.33E-2</v>
      </c>
      <c r="P920" s="26">
        <v>1.4E-3</v>
      </c>
      <c r="Q920" s="26">
        <v>1.2699999999999999E-2</v>
      </c>
      <c r="R920">
        <v>239</v>
      </c>
    </row>
    <row r="921" spans="1:18" x14ac:dyDescent="0.35">
      <c r="A921" t="s">
        <v>229</v>
      </c>
      <c r="B921" t="s">
        <v>368</v>
      </c>
      <c r="C921" s="26">
        <v>7.9600000000000004E-2</v>
      </c>
      <c r="D921" s="26">
        <v>7.9500000000000001E-2</v>
      </c>
      <c r="E921" s="26">
        <v>0.13200000000000001</v>
      </c>
      <c r="F921" s="26">
        <v>9.7100000000000006E-2</v>
      </c>
      <c r="G921" s="26">
        <v>0.13819999999999999</v>
      </c>
      <c r="H921" s="26">
        <v>4.1099999999999998E-2</v>
      </c>
      <c r="I921" s="26">
        <v>2.0299999999999999E-2</v>
      </c>
      <c r="J921" s="26">
        <v>5.3699999999999998E-2</v>
      </c>
      <c r="K921" s="26">
        <v>9.4700000000000006E-2</v>
      </c>
      <c r="L921" s="26">
        <v>0.16900000000000001</v>
      </c>
      <c r="M921" s="26">
        <v>4.5999999999999999E-2</v>
      </c>
      <c r="N921" s="26">
        <v>1.0200000000000001E-2</v>
      </c>
      <c r="Q921" s="26">
        <v>3.85E-2</v>
      </c>
      <c r="R921">
        <v>42</v>
      </c>
    </row>
    <row r="922" spans="1:18" x14ac:dyDescent="0.35">
      <c r="A922" t="s">
        <v>229</v>
      </c>
      <c r="B922" t="s">
        <v>369</v>
      </c>
      <c r="C922" s="26">
        <v>0.19520000000000001</v>
      </c>
      <c r="D922" s="26">
        <v>9.2299999999999993E-2</v>
      </c>
      <c r="E922" s="26">
        <v>8.4400000000000003E-2</v>
      </c>
      <c r="F922" s="26">
        <v>8.6400000000000005E-2</v>
      </c>
      <c r="G922" s="26">
        <v>9.0999999999999998E-2</v>
      </c>
      <c r="H922" s="26">
        <v>7.4300000000000005E-2</v>
      </c>
      <c r="I922" s="26">
        <v>5.2999999999999999E-2</v>
      </c>
      <c r="J922" s="26">
        <v>9.4700000000000006E-2</v>
      </c>
      <c r="K922" s="26">
        <v>4.1000000000000002E-2</v>
      </c>
      <c r="L922" s="26">
        <v>2.29E-2</v>
      </c>
      <c r="M922" s="26">
        <v>8.0399999999999999E-2</v>
      </c>
      <c r="N922" s="26">
        <v>3.9899999999999998E-2</v>
      </c>
      <c r="O922" s="26">
        <v>2.87E-2</v>
      </c>
      <c r="P922" s="26">
        <v>8.5000000000000006E-3</v>
      </c>
      <c r="Q922" s="26">
        <v>7.1000000000000004E-3</v>
      </c>
      <c r="R922">
        <v>293</v>
      </c>
    </row>
    <row r="923" spans="1:18" x14ac:dyDescent="0.35">
      <c r="A923" t="s">
        <v>230</v>
      </c>
      <c r="B923" t="s">
        <v>368</v>
      </c>
      <c r="C923" s="26">
        <v>0.127</v>
      </c>
      <c r="D923" s="26">
        <v>0.12859999999999999</v>
      </c>
      <c r="E923" s="26">
        <v>1.6299999999999999E-2</v>
      </c>
      <c r="F923" s="26">
        <v>0.20910000000000001</v>
      </c>
      <c r="G923" s="26">
        <v>0.11269999999999999</v>
      </c>
      <c r="H923" s="26">
        <v>0.1123</v>
      </c>
      <c r="I923" s="26">
        <v>0.12859999999999999</v>
      </c>
      <c r="K923" s="26">
        <v>5.2900000000000003E-2</v>
      </c>
      <c r="L923" s="26">
        <v>8.0600000000000005E-2</v>
      </c>
      <c r="N923" s="26">
        <v>1.6299999999999999E-2</v>
      </c>
      <c r="O923" s="26">
        <v>1.5900000000000001E-2</v>
      </c>
      <c r="R923">
        <v>30</v>
      </c>
    </row>
    <row r="924" spans="1:18" x14ac:dyDescent="0.35">
      <c r="A924" t="s">
        <v>230</v>
      </c>
      <c r="B924" t="s">
        <v>369</v>
      </c>
      <c r="C924" s="26">
        <v>0.13789999999999999</v>
      </c>
      <c r="D924" s="26">
        <v>0.214</v>
      </c>
      <c r="E924" s="26">
        <v>3.5700000000000003E-2</v>
      </c>
      <c r="F924" s="26">
        <v>0.125</v>
      </c>
      <c r="G924" s="26">
        <v>5.5199999999999999E-2</v>
      </c>
      <c r="H924" s="26">
        <v>5.9400000000000001E-2</v>
      </c>
      <c r="I924" s="26">
        <v>6.9800000000000001E-2</v>
      </c>
      <c r="J924" s="26">
        <v>4.1799999999999997E-2</v>
      </c>
      <c r="K924" s="26">
        <v>8.6900000000000005E-2</v>
      </c>
      <c r="L924" s="26">
        <v>8.2400000000000001E-2</v>
      </c>
      <c r="M924" s="26">
        <v>2.8199999999999999E-2</v>
      </c>
      <c r="N924" s="26">
        <v>3.8100000000000002E-2</v>
      </c>
      <c r="O924" s="26">
        <v>2.0500000000000001E-2</v>
      </c>
      <c r="P924" s="26">
        <v>2.5000000000000001E-3</v>
      </c>
      <c r="Q924" s="26">
        <v>2.5999999999999999E-3</v>
      </c>
      <c r="R924">
        <v>172</v>
      </c>
    </row>
    <row r="925" spans="1:18" x14ac:dyDescent="0.35">
      <c r="A925" s="27" t="s">
        <v>231</v>
      </c>
      <c r="B925" s="27" t="s">
        <v>368</v>
      </c>
      <c r="C925" s="28">
        <v>0.16669999999999999</v>
      </c>
      <c r="D925" s="28">
        <v>0.16669999999999999</v>
      </c>
      <c r="E925" s="29"/>
      <c r="F925" s="29"/>
      <c r="G925" s="28">
        <v>0.33329999999999999</v>
      </c>
      <c r="H925" s="28">
        <v>0.16669999999999999</v>
      </c>
      <c r="I925" s="29"/>
      <c r="J925" s="29"/>
      <c r="K925" s="29"/>
      <c r="L925" s="29"/>
      <c r="M925" s="29"/>
      <c r="N925" s="28">
        <v>0.16669999999999999</v>
      </c>
      <c r="O925" s="29"/>
      <c r="P925" s="29"/>
      <c r="Q925" s="29"/>
      <c r="R925" s="29" t="s">
        <v>335</v>
      </c>
    </row>
    <row r="926" spans="1:18" x14ac:dyDescent="0.35">
      <c r="A926" t="s">
        <v>231</v>
      </c>
      <c r="B926" t="s">
        <v>369</v>
      </c>
      <c r="C926" s="26">
        <v>0.1915</v>
      </c>
      <c r="D926" s="26">
        <v>8.5099999999999995E-2</v>
      </c>
      <c r="E926" s="26">
        <v>0.10639999999999999</v>
      </c>
      <c r="F926" s="26">
        <v>6.3799999999999996E-2</v>
      </c>
      <c r="G926" s="26">
        <v>6.3799999999999996E-2</v>
      </c>
      <c r="H926" s="26">
        <v>8.5099999999999995E-2</v>
      </c>
      <c r="I926" s="26">
        <v>8.5099999999999995E-2</v>
      </c>
      <c r="J926" s="26">
        <v>6.3799999999999996E-2</v>
      </c>
      <c r="K926" s="26">
        <v>6.3799999999999996E-2</v>
      </c>
      <c r="L926" s="26">
        <v>6.3799999999999996E-2</v>
      </c>
      <c r="M926" s="26">
        <v>6.3799999999999996E-2</v>
      </c>
      <c r="N926" s="26">
        <v>4.2599999999999999E-2</v>
      </c>
      <c r="P926" s="26">
        <v>2.1299999999999999E-2</v>
      </c>
      <c r="R926">
        <v>47</v>
      </c>
    </row>
    <row r="927" spans="1:18" x14ac:dyDescent="0.35">
      <c r="A927" t="s">
        <v>232</v>
      </c>
      <c r="B927" t="s">
        <v>232</v>
      </c>
      <c r="C927" s="26">
        <v>0.15359999999999999</v>
      </c>
      <c r="D927" s="26">
        <v>0.1013</v>
      </c>
      <c r="E927" s="26">
        <v>9.2399999999999996E-2</v>
      </c>
      <c r="F927" s="26">
        <v>8.9099999999999999E-2</v>
      </c>
      <c r="G927" s="26">
        <v>8.4699999999999998E-2</v>
      </c>
      <c r="H927" s="26">
        <v>0.08</v>
      </c>
      <c r="I927" s="26">
        <v>7.9899999999999999E-2</v>
      </c>
      <c r="J927" s="26">
        <v>6.5000000000000002E-2</v>
      </c>
      <c r="K927" s="26">
        <v>5.8700000000000002E-2</v>
      </c>
      <c r="L927" s="26">
        <v>5.4100000000000002E-2</v>
      </c>
      <c r="M927" s="26">
        <v>5.33E-2</v>
      </c>
      <c r="N927" s="26">
        <v>3.5999999999999997E-2</v>
      </c>
      <c r="O927" s="26">
        <v>3.5900000000000001E-2</v>
      </c>
      <c r="P927" s="26">
        <v>9.7000000000000003E-3</v>
      </c>
      <c r="Q927" s="26">
        <v>6.1999999999999998E-3</v>
      </c>
      <c r="R927">
        <v>967</v>
      </c>
    </row>
    <row r="929" spans="1:18" x14ac:dyDescent="0.35">
      <c r="A929" s="1" t="s">
        <v>421</v>
      </c>
    </row>
    <row r="930" spans="1:18" x14ac:dyDescent="0.35">
      <c r="A930" t="s">
        <v>219</v>
      </c>
      <c r="B930" t="s">
        <v>305</v>
      </c>
      <c r="C930" t="s">
        <v>399</v>
      </c>
      <c r="D930" t="s">
        <v>400</v>
      </c>
      <c r="E930" t="s">
        <v>401</v>
      </c>
      <c r="F930" t="s">
        <v>402</v>
      </c>
      <c r="G930" t="s">
        <v>403</v>
      </c>
      <c r="H930" t="s">
        <v>404</v>
      </c>
      <c r="I930" t="s">
        <v>405</v>
      </c>
      <c r="J930" t="s">
        <v>406</v>
      </c>
      <c r="K930" t="s">
        <v>407</v>
      </c>
      <c r="L930" t="s">
        <v>408</v>
      </c>
      <c r="M930" t="s">
        <v>409</v>
      </c>
      <c r="N930" t="s">
        <v>410</v>
      </c>
      <c r="O930" t="s">
        <v>411</v>
      </c>
      <c r="P930" t="s">
        <v>412</v>
      </c>
      <c r="Q930" t="s">
        <v>281</v>
      </c>
      <c r="R930" t="s">
        <v>226</v>
      </c>
    </row>
    <row r="931" spans="1:18" x14ac:dyDescent="0.35">
      <c r="A931" t="s">
        <v>227</v>
      </c>
      <c r="B931" t="s">
        <v>371</v>
      </c>
      <c r="C931" s="26">
        <v>0.1429</v>
      </c>
      <c r="D931" s="26">
        <v>6.3500000000000001E-2</v>
      </c>
      <c r="E931" s="26">
        <v>0.1111</v>
      </c>
      <c r="F931" s="26">
        <v>0.1111</v>
      </c>
      <c r="G931" s="26">
        <v>4.7600000000000003E-2</v>
      </c>
      <c r="H931" s="26">
        <v>7.9399999999999998E-2</v>
      </c>
      <c r="I931" s="26">
        <v>0.1429</v>
      </c>
      <c r="J931" s="26">
        <v>1.5900000000000001E-2</v>
      </c>
      <c r="K931" s="26">
        <v>6.3500000000000001E-2</v>
      </c>
      <c r="L931" s="26">
        <v>6.3500000000000001E-2</v>
      </c>
      <c r="M931" s="26">
        <v>4.7600000000000003E-2</v>
      </c>
      <c r="N931" s="26">
        <v>1.5900000000000001E-2</v>
      </c>
      <c r="O931" s="26">
        <v>7.9399999999999998E-2</v>
      </c>
      <c r="P931" s="26">
        <v>1.5900000000000001E-2</v>
      </c>
      <c r="R931">
        <v>63</v>
      </c>
    </row>
    <row r="932" spans="1:18" x14ac:dyDescent="0.35">
      <c r="A932" t="s">
        <v>228</v>
      </c>
      <c r="B932" t="s">
        <v>371</v>
      </c>
      <c r="C932" s="26">
        <v>7.2800000000000004E-2</v>
      </c>
      <c r="D932" s="26">
        <v>8.8400000000000006E-2</v>
      </c>
      <c r="E932" s="26">
        <v>0.1216</v>
      </c>
      <c r="F932" s="26">
        <v>0.1106</v>
      </c>
      <c r="G932" s="26">
        <v>0.1038</v>
      </c>
      <c r="H932" s="26">
        <v>9.5200000000000007E-2</v>
      </c>
      <c r="I932" s="26">
        <v>8.6400000000000005E-2</v>
      </c>
      <c r="J932" s="26">
        <v>0.1065</v>
      </c>
      <c r="K932" s="26">
        <v>3.8800000000000001E-2</v>
      </c>
      <c r="L932" s="26">
        <v>2.1000000000000001E-2</v>
      </c>
      <c r="M932" s="26">
        <v>2.1000000000000001E-2</v>
      </c>
      <c r="N932" s="26">
        <v>3.3399999999999999E-2</v>
      </c>
      <c r="O932" s="26">
        <v>8.2799999999999999E-2</v>
      </c>
      <c r="P932" s="26">
        <v>1.6999999999999999E-3</v>
      </c>
      <c r="Q932" s="26">
        <v>1.5900000000000001E-2</v>
      </c>
      <c r="R932">
        <v>111</v>
      </c>
    </row>
    <row r="933" spans="1:18" x14ac:dyDescent="0.35">
      <c r="A933" t="s">
        <v>228</v>
      </c>
      <c r="B933" t="s">
        <v>372</v>
      </c>
      <c r="C933" s="26">
        <v>0.1618</v>
      </c>
      <c r="D933" s="26">
        <v>5.45E-2</v>
      </c>
      <c r="E933" s="26">
        <v>4.8399999999999999E-2</v>
      </c>
      <c r="F933" s="26">
        <v>4.0599999999999997E-2</v>
      </c>
      <c r="G933" s="26">
        <v>7.4399999999999994E-2</v>
      </c>
      <c r="H933" s="26">
        <v>0.1464</v>
      </c>
      <c r="I933" s="26">
        <v>7.4399999999999994E-2</v>
      </c>
      <c r="J933" s="26">
        <v>0.1183</v>
      </c>
      <c r="K933" s="26">
        <v>5.45E-2</v>
      </c>
      <c r="L933" s="26">
        <v>0.1118</v>
      </c>
      <c r="M933" s="26">
        <v>7.9299999999999995E-2</v>
      </c>
      <c r="O933" s="26">
        <v>3.5799999999999998E-2</v>
      </c>
      <c r="R933">
        <v>51</v>
      </c>
    </row>
    <row r="934" spans="1:18" x14ac:dyDescent="0.35">
      <c r="A934" t="s">
        <v>228</v>
      </c>
      <c r="B934" t="s">
        <v>373</v>
      </c>
      <c r="C934" s="26">
        <v>8.9800000000000005E-2</v>
      </c>
      <c r="D934" s="26">
        <v>0.14610000000000001</v>
      </c>
      <c r="E934" s="26">
        <v>9.69E-2</v>
      </c>
      <c r="F934" s="26">
        <v>5.0099999999999999E-2</v>
      </c>
      <c r="G934" s="26">
        <v>7.7600000000000002E-2</v>
      </c>
      <c r="H934" s="26">
        <v>6.5600000000000006E-2</v>
      </c>
      <c r="I934" s="26">
        <v>9.5100000000000004E-2</v>
      </c>
      <c r="J934" s="26">
        <v>6.88E-2</v>
      </c>
      <c r="K934" s="26">
        <v>0.1018</v>
      </c>
      <c r="L934" s="26">
        <v>6.5600000000000006E-2</v>
      </c>
      <c r="M934" s="26">
        <v>4.2599999999999999E-2</v>
      </c>
      <c r="N934" s="26">
        <v>2.4E-2</v>
      </c>
      <c r="O934" s="26">
        <v>6.8900000000000003E-2</v>
      </c>
      <c r="Q934" s="26">
        <v>7.1999999999999998E-3</v>
      </c>
      <c r="R934">
        <v>152</v>
      </c>
    </row>
    <row r="935" spans="1:18" x14ac:dyDescent="0.35">
      <c r="A935" t="s">
        <v>229</v>
      </c>
      <c r="B935" t="s">
        <v>371</v>
      </c>
      <c r="C935" s="26">
        <v>0.1777</v>
      </c>
      <c r="D935" s="26">
        <v>9.06E-2</v>
      </c>
      <c r="E935" s="26">
        <v>9.5299999999999996E-2</v>
      </c>
      <c r="F935" s="26">
        <v>8.6300000000000002E-2</v>
      </c>
      <c r="G935" s="26">
        <v>9.8599999999999993E-2</v>
      </c>
      <c r="H935" s="26">
        <v>7.1900000000000006E-2</v>
      </c>
      <c r="I935" s="26">
        <v>4.2900000000000001E-2</v>
      </c>
      <c r="J935" s="26">
        <v>9.0200000000000002E-2</v>
      </c>
      <c r="K935" s="26">
        <v>4.82E-2</v>
      </c>
      <c r="L935" s="26">
        <v>4.36E-2</v>
      </c>
      <c r="M935" s="26">
        <v>7.3599999999999999E-2</v>
      </c>
      <c r="N935" s="26">
        <v>3.6499999999999998E-2</v>
      </c>
      <c r="O935" s="26">
        <v>2.4199999999999999E-2</v>
      </c>
      <c r="P935" s="26">
        <v>7.6E-3</v>
      </c>
      <c r="Q935" s="26">
        <v>1.2800000000000001E-2</v>
      </c>
      <c r="R935">
        <v>230</v>
      </c>
    </row>
    <row r="936" spans="1:18" x14ac:dyDescent="0.35">
      <c r="A936" t="s">
        <v>229</v>
      </c>
      <c r="B936" t="s">
        <v>372</v>
      </c>
      <c r="C936" s="26">
        <v>0.1913</v>
      </c>
      <c r="D936" s="26">
        <v>0.1033</v>
      </c>
      <c r="E936" s="26">
        <v>3.2899999999999999E-2</v>
      </c>
      <c r="F936" s="26">
        <v>0.12089999999999999</v>
      </c>
      <c r="G936" s="26">
        <v>0.1084</v>
      </c>
      <c r="H936" s="26">
        <v>2.2700000000000001E-2</v>
      </c>
      <c r="I936" s="26">
        <v>6.8099999999999994E-2</v>
      </c>
      <c r="J936" s="26">
        <v>7.5499999999999998E-2</v>
      </c>
      <c r="K936" s="26">
        <v>5.79E-2</v>
      </c>
      <c r="L936" s="26">
        <v>8.7999999999999995E-2</v>
      </c>
      <c r="M936" s="26">
        <v>9.0800000000000006E-2</v>
      </c>
      <c r="N936" s="26">
        <v>2.2700000000000001E-2</v>
      </c>
      <c r="O936" s="26">
        <v>1.7600000000000001E-2</v>
      </c>
      <c r="R936">
        <v>76</v>
      </c>
    </row>
    <row r="937" spans="1:18" x14ac:dyDescent="0.35">
      <c r="A937" s="27" t="s">
        <v>229</v>
      </c>
      <c r="B937" s="27" t="s">
        <v>373</v>
      </c>
      <c r="C937" s="28">
        <v>0.11409999999999999</v>
      </c>
      <c r="D937" s="28">
        <v>4.4200000000000003E-2</v>
      </c>
      <c r="E937" s="28">
        <v>5.7000000000000002E-2</v>
      </c>
      <c r="F937" s="28">
        <v>0.1013</v>
      </c>
      <c r="G937" s="28">
        <v>5.7000000000000002E-2</v>
      </c>
      <c r="H937" s="28">
        <v>4.4200000000000003E-2</v>
      </c>
      <c r="I937" s="28">
        <v>0.26550000000000001</v>
      </c>
      <c r="J937" s="28">
        <v>2.5600000000000001E-2</v>
      </c>
      <c r="K937" s="28">
        <v>8.8499999999999995E-2</v>
      </c>
      <c r="L937" s="28">
        <v>4.4200000000000003E-2</v>
      </c>
      <c r="M937" s="28">
        <v>0.11409999999999999</v>
      </c>
      <c r="N937" s="29"/>
      <c r="O937" s="28">
        <v>4.4200000000000003E-2</v>
      </c>
      <c r="P937" s="29"/>
      <c r="Q937" s="29"/>
      <c r="R937" s="29" t="s">
        <v>329</v>
      </c>
    </row>
    <row r="938" spans="1:18" x14ac:dyDescent="0.35">
      <c r="A938" t="s">
        <v>230</v>
      </c>
      <c r="B938" t="s">
        <v>371</v>
      </c>
      <c r="C938" s="26">
        <v>0.1341</v>
      </c>
      <c r="D938" s="26">
        <v>0.22670000000000001</v>
      </c>
      <c r="E938" s="26">
        <v>2.5899999999999999E-2</v>
      </c>
      <c r="F938" s="26">
        <v>0.14680000000000001</v>
      </c>
      <c r="G938" s="26">
        <v>6.4399999999999999E-2</v>
      </c>
      <c r="H938" s="26">
        <v>5.67E-2</v>
      </c>
      <c r="I938" s="26">
        <v>8.2600000000000007E-2</v>
      </c>
      <c r="J938" s="26">
        <v>1.7999999999999999E-2</v>
      </c>
      <c r="K938" s="26">
        <v>8.2400000000000001E-2</v>
      </c>
      <c r="L938" s="26">
        <v>0.08</v>
      </c>
      <c r="M938" s="26">
        <v>2.58E-2</v>
      </c>
      <c r="N938" s="26">
        <v>3.61E-2</v>
      </c>
      <c r="O938" s="26">
        <v>1.7999999999999999E-2</v>
      </c>
      <c r="Q938" s="26">
        <v>2.5999999999999999E-3</v>
      </c>
      <c r="R938">
        <v>113</v>
      </c>
    </row>
    <row r="939" spans="1:18" x14ac:dyDescent="0.35">
      <c r="A939" t="s">
        <v>230</v>
      </c>
      <c r="B939" t="s">
        <v>372</v>
      </c>
      <c r="C939" s="26">
        <v>0.15609999999999999</v>
      </c>
      <c r="D939" s="26">
        <v>8.8599999999999998E-2</v>
      </c>
      <c r="E939" s="26">
        <v>0.10970000000000001</v>
      </c>
      <c r="F939" s="26">
        <v>3.3799999999999997E-2</v>
      </c>
      <c r="G939" s="26">
        <v>3.3799999999999997E-2</v>
      </c>
      <c r="H939" s="26">
        <v>0.18140000000000001</v>
      </c>
      <c r="I939" s="26">
        <v>5.0599999999999999E-2</v>
      </c>
      <c r="J939" s="26">
        <v>0.1182</v>
      </c>
      <c r="K939" s="26">
        <v>1.6899999999999998E-2</v>
      </c>
      <c r="L939" s="26">
        <v>5.0599999999999999E-2</v>
      </c>
      <c r="N939" s="26">
        <v>5.0599999999999999E-2</v>
      </c>
      <c r="O939" s="26">
        <v>5.4800000000000001E-2</v>
      </c>
      <c r="P939" s="26">
        <v>5.4800000000000001E-2</v>
      </c>
      <c r="R939">
        <v>39</v>
      </c>
    </row>
    <row r="940" spans="1:18" x14ac:dyDescent="0.35">
      <c r="A940" t="s">
        <v>230</v>
      </c>
      <c r="B940" t="s">
        <v>373</v>
      </c>
      <c r="C940" s="26">
        <v>0.1482</v>
      </c>
      <c r="D940" s="26">
        <v>4.2299999999999997E-2</v>
      </c>
      <c r="E940" s="26">
        <v>6.3500000000000001E-2</v>
      </c>
      <c r="F940" s="26">
        <v>9.1200000000000003E-2</v>
      </c>
      <c r="G940" s="26">
        <v>6.3500000000000001E-2</v>
      </c>
      <c r="H940" s="26">
        <v>0.10589999999999999</v>
      </c>
      <c r="I940" s="26">
        <v>4.8899999999999999E-2</v>
      </c>
      <c r="J940" s="26">
        <v>0.1547</v>
      </c>
      <c r="K940" s="26">
        <v>0.10589999999999999</v>
      </c>
      <c r="L940" s="26">
        <v>0.1124</v>
      </c>
      <c r="M940" s="26">
        <v>2.12E-2</v>
      </c>
      <c r="N940" s="26">
        <v>2.12E-2</v>
      </c>
      <c r="O940" s="26">
        <v>2.12E-2</v>
      </c>
      <c r="R940">
        <v>50</v>
      </c>
    </row>
    <row r="941" spans="1:18" x14ac:dyDescent="0.35">
      <c r="A941" t="s">
        <v>231</v>
      </c>
      <c r="B941" t="s">
        <v>371</v>
      </c>
      <c r="C941" s="26">
        <v>0.18870000000000001</v>
      </c>
      <c r="D941" s="26">
        <v>9.4299999999999995E-2</v>
      </c>
      <c r="E941" s="26">
        <v>9.4299999999999995E-2</v>
      </c>
      <c r="F941" s="26">
        <v>5.6599999999999998E-2</v>
      </c>
      <c r="G941" s="26">
        <v>9.4299999999999995E-2</v>
      </c>
      <c r="H941" s="26">
        <v>9.4299999999999995E-2</v>
      </c>
      <c r="I941" s="26">
        <v>7.5499999999999998E-2</v>
      </c>
      <c r="J941" s="26">
        <v>5.6599999999999998E-2</v>
      </c>
      <c r="K941" s="26">
        <v>5.6599999999999998E-2</v>
      </c>
      <c r="L941" s="26">
        <v>5.6599999999999998E-2</v>
      </c>
      <c r="M941" s="26">
        <v>5.6599999999999998E-2</v>
      </c>
      <c r="N941" s="26">
        <v>5.6599999999999998E-2</v>
      </c>
      <c r="P941" s="26">
        <v>1.89E-2</v>
      </c>
      <c r="R941">
        <v>53</v>
      </c>
    </row>
    <row r="942" spans="1:18" x14ac:dyDescent="0.35">
      <c r="A942" t="s">
        <v>232</v>
      </c>
      <c r="B942" t="s">
        <v>232</v>
      </c>
      <c r="C942" s="26">
        <v>0.15359999999999999</v>
      </c>
      <c r="D942" s="26">
        <v>0.1013</v>
      </c>
      <c r="E942" s="26">
        <v>9.2399999999999996E-2</v>
      </c>
      <c r="F942" s="26">
        <v>8.9099999999999999E-2</v>
      </c>
      <c r="G942" s="26">
        <v>8.4699999999999998E-2</v>
      </c>
      <c r="H942" s="26">
        <v>0.08</v>
      </c>
      <c r="I942" s="26">
        <v>7.9899999999999999E-2</v>
      </c>
      <c r="J942" s="26">
        <v>6.5000000000000002E-2</v>
      </c>
      <c r="K942" s="26">
        <v>5.8700000000000002E-2</v>
      </c>
      <c r="L942" s="26">
        <v>5.4100000000000002E-2</v>
      </c>
      <c r="M942" s="26">
        <v>5.33E-2</v>
      </c>
      <c r="N942" s="26">
        <v>3.5999999999999997E-2</v>
      </c>
      <c r="O942" s="26">
        <v>3.5900000000000001E-2</v>
      </c>
      <c r="P942" s="26">
        <v>9.7000000000000003E-3</v>
      </c>
      <c r="Q942" s="26">
        <v>6.1999999999999998E-3</v>
      </c>
      <c r="R942">
        <v>967</v>
      </c>
    </row>
    <row r="944" spans="1:18" x14ac:dyDescent="0.35">
      <c r="A944" s="1" t="s">
        <v>422</v>
      </c>
    </row>
    <row r="945" spans="1:18" x14ac:dyDescent="0.35">
      <c r="A945" t="s">
        <v>219</v>
      </c>
      <c r="B945" t="s">
        <v>305</v>
      </c>
      <c r="C945" t="s">
        <v>399</v>
      </c>
      <c r="D945" t="s">
        <v>400</v>
      </c>
      <c r="E945" t="s">
        <v>401</v>
      </c>
      <c r="F945" t="s">
        <v>402</v>
      </c>
      <c r="G945" t="s">
        <v>403</v>
      </c>
      <c r="H945" t="s">
        <v>404</v>
      </c>
      <c r="I945" t="s">
        <v>405</v>
      </c>
      <c r="J945" t="s">
        <v>406</v>
      </c>
      <c r="K945" t="s">
        <v>407</v>
      </c>
      <c r="L945" t="s">
        <v>408</v>
      </c>
      <c r="M945" t="s">
        <v>409</v>
      </c>
      <c r="N945" t="s">
        <v>410</v>
      </c>
      <c r="O945" t="s">
        <v>411</v>
      </c>
      <c r="P945" t="s">
        <v>412</v>
      </c>
      <c r="Q945" t="s">
        <v>281</v>
      </c>
      <c r="R945" t="s">
        <v>226</v>
      </c>
    </row>
    <row r="946" spans="1:18" x14ac:dyDescent="0.35">
      <c r="A946" s="27" t="s">
        <v>227</v>
      </c>
      <c r="B946" s="27" t="s">
        <v>375</v>
      </c>
      <c r="C946" s="29"/>
      <c r="D946" s="28">
        <v>0.1111</v>
      </c>
      <c r="E946" s="29"/>
      <c r="F946" s="29"/>
      <c r="G946" s="28">
        <v>0.1111</v>
      </c>
      <c r="H946" s="28">
        <v>0.27779999999999999</v>
      </c>
      <c r="I946" s="28">
        <v>0.44440000000000002</v>
      </c>
      <c r="J946" s="28">
        <v>5.5599999999999997E-2</v>
      </c>
      <c r="K946" s="29"/>
      <c r="L946" s="29"/>
      <c r="M946" s="29"/>
      <c r="N946" s="29"/>
      <c r="O946" s="29"/>
      <c r="P946" s="29"/>
      <c r="Q946" s="29"/>
      <c r="R946" s="29" t="s">
        <v>353</v>
      </c>
    </row>
    <row r="947" spans="1:18" x14ac:dyDescent="0.35">
      <c r="A947" s="27" t="s">
        <v>227</v>
      </c>
      <c r="B947" s="27" t="s">
        <v>376</v>
      </c>
      <c r="C947" s="28">
        <v>0.1905</v>
      </c>
      <c r="D947" s="28">
        <v>9.5200000000000007E-2</v>
      </c>
      <c r="E947" s="28">
        <v>0.33329999999999999</v>
      </c>
      <c r="F947" s="29"/>
      <c r="G947" s="29"/>
      <c r="H947" s="29"/>
      <c r="I947" s="29"/>
      <c r="J947" s="29"/>
      <c r="K947" s="28">
        <v>0.1905</v>
      </c>
      <c r="L947" s="28">
        <v>0.1905</v>
      </c>
      <c r="M947" s="29"/>
      <c r="N947" s="29"/>
      <c r="O947" s="29"/>
      <c r="P947" s="29"/>
      <c r="Q947" s="29"/>
      <c r="R947" s="29" t="s">
        <v>351</v>
      </c>
    </row>
    <row r="948" spans="1:18" x14ac:dyDescent="0.35">
      <c r="A948" s="27" t="s">
        <v>227</v>
      </c>
      <c r="B948" s="27" t="s">
        <v>377</v>
      </c>
      <c r="C948" s="29"/>
      <c r="D948" s="29"/>
      <c r="E948" s="29"/>
      <c r="F948" s="28">
        <v>0.36840000000000001</v>
      </c>
      <c r="G948" s="28">
        <v>5.2600000000000001E-2</v>
      </c>
      <c r="H948" s="29"/>
      <c r="I948" s="28">
        <v>5.2600000000000001E-2</v>
      </c>
      <c r="J948" s="29"/>
      <c r="K948" s="29"/>
      <c r="L948" s="29"/>
      <c r="M948" s="28">
        <v>0.15790000000000001</v>
      </c>
      <c r="N948" s="28">
        <v>5.2600000000000001E-2</v>
      </c>
      <c r="O948" s="28">
        <v>0.26319999999999999</v>
      </c>
      <c r="P948" s="28">
        <v>5.2600000000000001E-2</v>
      </c>
      <c r="Q948" s="29"/>
      <c r="R948" s="29" t="s">
        <v>349</v>
      </c>
    </row>
    <row r="949" spans="1:18" x14ac:dyDescent="0.35">
      <c r="A949" s="27" t="s">
        <v>227</v>
      </c>
      <c r="B949" s="27" t="s">
        <v>378</v>
      </c>
      <c r="C949" s="28">
        <v>1</v>
      </c>
      <c r="D949" s="29"/>
      <c r="E949" s="29"/>
      <c r="F949" s="29"/>
      <c r="G949" s="29"/>
      <c r="H949" s="29"/>
      <c r="I949" s="29"/>
      <c r="J949" s="29"/>
      <c r="K949" s="29"/>
      <c r="L949" s="29"/>
      <c r="M949" s="29"/>
      <c r="N949" s="29"/>
      <c r="O949" s="29"/>
      <c r="P949" s="29"/>
      <c r="Q949" s="29"/>
      <c r="R949" s="29" t="s">
        <v>332</v>
      </c>
    </row>
    <row r="950" spans="1:18" x14ac:dyDescent="0.35">
      <c r="A950" t="s">
        <v>228</v>
      </c>
      <c r="B950" t="s">
        <v>377</v>
      </c>
      <c r="F950" s="26">
        <v>0.33129999999999998</v>
      </c>
      <c r="I950" s="26">
        <v>0.13969999999999999</v>
      </c>
      <c r="M950" s="26">
        <v>0.1178</v>
      </c>
      <c r="N950" s="26">
        <v>0.1103</v>
      </c>
      <c r="O950" s="26">
        <v>0.29399999999999998</v>
      </c>
      <c r="P950" s="26">
        <v>4.1000000000000003E-3</v>
      </c>
      <c r="Q950" s="26">
        <v>2.8E-3</v>
      </c>
      <c r="R950">
        <v>72</v>
      </c>
    </row>
    <row r="951" spans="1:18" x14ac:dyDescent="0.35">
      <c r="A951" t="s">
        <v>228</v>
      </c>
      <c r="B951" t="s">
        <v>376</v>
      </c>
      <c r="C951" s="26">
        <v>0.1888</v>
      </c>
      <c r="D951" s="26">
        <v>7.2599999999999998E-2</v>
      </c>
      <c r="E951" s="26">
        <v>0.36049999999999999</v>
      </c>
      <c r="K951" s="26">
        <v>0.2243</v>
      </c>
      <c r="L951" s="26">
        <v>0.15379999999999999</v>
      </c>
      <c r="R951">
        <v>90</v>
      </c>
    </row>
    <row r="952" spans="1:18" x14ac:dyDescent="0.35">
      <c r="A952" s="27" t="s">
        <v>228</v>
      </c>
      <c r="B952" s="27" t="s">
        <v>378</v>
      </c>
      <c r="C952" s="28">
        <v>0.95420000000000005</v>
      </c>
      <c r="D952" s="29"/>
      <c r="E952" s="29"/>
      <c r="F952" s="29"/>
      <c r="G952" s="29"/>
      <c r="H952" s="29"/>
      <c r="I952" s="29"/>
      <c r="J952" s="29"/>
      <c r="K952" s="29"/>
      <c r="L952" s="29"/>
      <c r="M952" s="29"/>
      <c r="N952" s="29"/>
      <c r="O952" s="29"/>
      <c r="P952" s="29"/>
      <c r="Q952" s="28">
        <v>4.58E-2</v>
      </c>
      <c r="R952" s="29" t="s">
        <v>351</v>
      </c>
    </row>
    <row r="953" spans="1:18" x14ac:dyDescent="0.35">
      <c r="A953" t="s">
        <v>228</v>
      </c>
      <c r="B953" t="s">
        <v>375</v>
      </c>
      <c r="D953" s="26">
        <v>0.19370000000000001</v>
      </c>
      <c r="E953" s="26">
        <v>2.76E-2</v>
      </c>
      <c r="F953" s="26">
        <v>4.0000000000000001E-3</v>
      </c>
      <c r="G953" s="26">
        <v>0.21199999999999999</v>
      </c>
      <c r="H953" s="26">
        <v>0.20180000000000001</v>
      </c>
      <c r="I953" s="26">
        <v>0.1196</v>
      </c>
      <c r="J953" s="26">
        <v>0.2157</v>
      </c>
      <c r="M953" s="26">
        <v>3.5999999999999999E-3</v>
      </c>
      <c r="Q953" s="26">
        <v>2.1999999999999999E-2</v>
      </c>
      <c r="R953">
        <v>131</v>
      </c>
    </row>
    <row r="954" spans="1:18" x14ac:dyDescent="0.35">
      <c r="A954" t="s">
        <v>229</v>
      </c>
      <c r="B954" t="s">
        <v>375</v>
      </c>
      <c r="D954" s="26">
        <v>0.2049</v>
      </c>
      <c r="E954" s="26">
        <v>1.6000000000000001E-3</v>
      </c>
      <c r="F954" s="26">
        <v>2.58E-2</v>
      </c>
      <c r="G954" s="26">
        <v>0.25519999999999998</v>
      </c>
      <c r="H954" s="26">
        <v>0.17949999999999999</v>
      </c>
      <c r="I954" s="26">
        <v>8.5999999999999993E-2</v>
      </c>
      <c r="J954" s="26">
        <v>0.2293</v>
      </c>
      <c r="M954" s="26">
        <v>2E-3</v>
      </c>
      <c r="Q954" s="26">
        <v>1.55E-2</v>
      </c>
      <c r="R954">
        <v>138</v>
      </c>
    </row>
    <row r="955" spans="1:18" x14ac:dyDescent="0.35">
      <c r="A955" t="s">
        <v>229</v>
      </c>
      <c r="B955" t="s">
        <v>376</v>
      </c>
      <c r="C955" s="26">
        <v>0.19489999999999999</v>
      </c>
      <c r="D955" s="26">
        <v>4.6399999999999997E-2</v>
      </c>
      <c r="E955" s="26">
        <v>0.37159999999999999</v>
      </c>
      <c r="K955" s="26">
        <v>0.20119999999999999</v>
      </c>
      <c r="L955" s="26">
        <v>0.18590000000000001</v>
      </c>
      <c r="R955">
        <v>79</v>
      </c>
    </row>
    <row r="956" spans="1:18" x14ac:dyDescent="0.35">
      <c r="A956" t="s">
        <v>229</v>
      </c>
      <c r="B956" t="s">
        <v>378</v>
      </c>
      <c r="C956" s="26">
        <v>1</v>
      </c>
      <c r="R956">
        <v>39</v>
      </c>
    </row>
    <row r="957" spans="1:18" x14ac:dyDescent="0.35">
      <c r="A957" t="s">
        <v>229</v>
      </c>
      <c r="B957" t="s">
        <v>377</v>
      </c>
      <c r="F957" s="26">
        <v>0.32579999999999998</v>
      </c>
      <c r="I957" s="26">
        <v>6.1699999999999998E-2</v>
      </c>
      <c r="M957" s="26">
        <v>0.30959999999999999</v>
      </c>
      <c r="N957" s="26">
        <v>0.14699999999999999</v>
      </c>
      <c r="O957" s="26">
        <v>0.1011</v>
      </c>
      <c r="P957" s="26">
        <v>2.9899999999999999E-2</v>
      </c>
      <c r="Q957" s="26">
        <v>2.5000000000000001E-2</v>
      </c>
      <c r="R957">
        <v>79</v>
      </c>
    </row>
    <row r="958" spans="1:18" x14ac:dyDescent="0.35">
      <c r="A958" t="s">
        <v>230</v>
      </c>
      <c r="B958" t="s">
        <v>376</v>
      </c>
      <c r="C958" s="26">
        <v>0.2223</v>
      </c>
      <c r="D958" s="26">
        <v>0.1525</v>
      </c>
      <c r="E958" s="26">
        <v>8.72E-2</v>
      </c>
      <c r="K958" s="26">
        <v>0.2702</v>
      </c>
      <c r="L958" s="26">
        <v>0.26779999999999998</v>
      </c>
      <c r="R958">
        <v>57</v>
      </c>
    </row>
    <row r="959" spans="1:18" x14ac:dyDescent="0.35">
      <c r="A959" s="27" t="s">
        <v>230</v>
      </c>
      <c r="B959" s="27" t="s">
        <v>378</v>
      </c>
      <c r="C959" s="28">
        <v>1</v>
      </c>
      <c r="D959" s="29"/>
      <c r="E959" s="29"/>
      <c r="F959" s="29"/>
      <c r="G959" s="29"/>
      <c r="H959" s="29"/>
      <c r="I959" s="29"/>
      <c r="J959" s="29"/>
      <c r="K959" s="29"/>
      <c r="L959" s="29"/>
      <c r="M959" s="29"/>
      <c r="N959" s="29"/>
      <c r="O959" s="29"/>
      <c r="P959" s="29"/>
      <c r="Q959" s="29"/>
      <c r="R959" s="29" t="s">
        <v>349</v>
      </c>
    </row>
    <row r="960" spans="1:18" x14ac:dyDescent="0.35">
      <c r="A960" t="s">
        <v>230</v>
      </c>
      <c r="B960" t="s">
        <v>377</v>
      </c>
      <c r="F960" s="26">
        <v>0.52410000000000001</v>
      </c>
      <c r="I960" s="26">
        <v>2.47E-2</v>
      </c>
      <c r="M960" s="26">
        <v>0.1346</v>
      </c>
      <c r="N960" s="26">
        <v>0.1946</v>
      </c>
      <c r="O960" s="26">
        <v>0.10979999999999999</v>
      </c>
      <c r="P960" s="26">
        <v>1.21E-2</v>
      </c>
      <c r="R960">
        <v>36</v>
      </c>
    </row>
    <row r="961" spans="1:18" x14ac:dyDescent="0.35">
      <c r="A961" t="s">
        <v>230</v>
      </c>
      <c r="B961" t="s">
        <v>375</v>
      </c>
      <c r="D961" s="26">
        <v>0.34910000000000002</v>
      </c>
      <c r="E961" s="26">
        <v>1.47E-2</v>
      </c>
      <c r="F961" s="26">
        <v>9.3899999999999997E-2</v>
      </c>
      <c r="G961" s="26">
        <v>0.14119999999999999</v>
      </c>
      <c r="H961" s="26">
        <v>0.14940000000000001</v>
      </c>
      <c r="I961" s="26">
        <v>0.16439999999999999</v>
      </c>
      <c r="J961" s="26">
        <v>8.09E-2</v>
      </c>
      <c r="L961" s="26">
        <v>1.5E-3</v>
      </c>
      <c r="Q961" s="26">
        <v>5.0000000000000001E-3</v>
      </c>
      <c r="R961">
        <v>90</v>
      </c>
    </row>
    <row r="962" spans="1:18" x14ac:dyDescent="0.35">
      <c r="A962" s="27" t="s">
        <v>231</v>
      </c>
      <c r="B962" s="27" t="s">
        <v>376</v>
      </c>
      <c r="C962" s="28">
        <v>8.3299999999999999E-2</v>
      </c>
      <c r="D962" s="29"/>
      <c r="E962" s="28">
        <v>0.41670000000000001</v>
      </c>
      <c r="F962" s="29"/>
      <c r="G962" s="29"/>
      <c r="H962" s="29"/>
      <c r="I962" s="29"/>
      <c r="J962" s="29"/>
      <c r="K962" s="28">
        <v>0.25</v>
      </c>
      <c r="L962" s="28">
        <v>0.25</v>
      </c>
      <c r="M962" s="29"/>
      <c r="N962" s="29"/>
      <c r="O962" s="29"/>
      <c r="P962" s="29"/>
      <c r="Q962" s="29"/>
      <c r="R962" s="29" t="s">
        <v>342</v>
      </c>
    </row>
    <row r="963" spans="1:18" x14ac:dyDescent="0.35">
      <c r="A963" s="27" t="s">
        <v>231</v>
      </c>
      <c r="B963" s="27" t="s">
        <v>375</v>
      </c>
      <c r="C963" s="29"/>
      <c r="D963" s="28">
        <v>0.23810000000000001</v>
      </c>
      <c r="E963" s="29"/>
      <c r="F963" s="29"/>
      <c r="G963" s="28">
        <v>0.23810000000000001</v>
      </c>
      <c r="H963" s="28">
        <v>0.23810000000000001</v>
      </c>
      <c r="I963" s="28">
        <v>0.1429</v>
      </c>
      <c r="J963" s="28">
        <v>0.1429</v>
      </c>
      <c r="K963" s="29"/>
      <c r="L963" s="29"/>
      <c r="M963" s="29"/>
      <c r="N963" s="29"/>
      <c r="O963" s="29"/>
      <c r="P963" s="29"/>
      <c r="Q963" s="29"/>
      <c r="R963" s="29" t="s">
        <v>351</v>
      </c>
    </row>
    <row r="964" spans="1:18" x14ac:dyDescent="0.35">
      <c r="A964" s="27" t="s">
        <v>231</v>
      </c>
      <c r="B964" s="27" t="s">
        <v>377</v>
      </c>
      <c r="C964" s="29"/>
      <c r="D964" s="29"/>
      <c r="E964" s="29"/>
      <c r="F964" s="28">
        <v>0.2727</v>
      </c>
      <c r="G964" s="29"/>
      <c r="H964" s="29"/>
      <c r="I964" s="28">
        <v>9.0899999999999995E-2</v>
      </c>
      <c r="J964" s="29"/>
      <c r="K964" s="29"/>
      <c r="L964" s="29"/>
      <c r="M964" s="28">
        <v>0.2727</v>
      </c>
      <c r="N964" s="28">
        <v>0.2727</v>
      </c>
      <c r="O964" s="29"/>
      <c r="P964" s="28">
        <v>9.0899999999999995E-2</v>
      </c>
      <c r="Q964" s="29"/>
      <c r="R964" s="29" t="s">
        <v>352</v>
      </c>
    </row>
    <row r="965" spans="1:18" x14ac:dyDescent="0.35">
      <c r="A965" s="27" t="s">
        <v>231</v>
      </c>
      <c r="B965" s="27" t="s">
        <v>378</v>
      </c>
      <c r="C965" s="28">
        <v>1</v>
      </c>
      <c r="D965" s="29"/>
      <c r="E965" s="29"/>
      <c r="F965" s="29"/>
      <c r="G965" s="29"/>
      <c r="H965" s="29"/>
      <c r="I965" s="29"/>
      <c r="J965" s="29"/>
      <c r="K965" s="29"/>
      <c r="L965" s="29"/>
      <c r="M965" s="29"/>
      <c r="N965" s="29"/>
      <c r="O965" s="29"/>
      <c r="P965" s="29"/>
      <c r="Q965" s="29"/>
      <c r="R965" s="29" t="s">
        <v>334</v>
      </c>
    </row>
    <row r="966" spans="1:18" x14ac:dyDescent="0.35">
      <c r="A966" t="s">
        <v>232</v>
      </c>
      <c r="B966" t="s">
        <v>232</v>
      </c>
      <c r="C966" s="26">
        <v>0.15359999999999999</v>
      </c>
      <c r="D966" s="26">
        <v>0.1013</v>
      </c>
      <c r="E966" s="26">
        <v>9.2399999999999996E-2</v>
      </c>
      <c r="F966" s="26">
        <v>8.9099999999999999E-2</v>
      </c>
      <c r="G966" s="26">
        <v>8.4699999999999998E-2</v>
      </c>
      <c r="H966" s="26">
        <v>0.08</v>
      </c>
      <c r="I966" s="26">
        <v>7.9899999999999999E-2</v>
      </c>
      <c r="J966" s="26">
        <v>6.5000000000000002E-2</v>
      </c>
      <c r="K966" s="26">
        <v>5.8700000000000002E-2</v>
      </c>
      <c r="L966" s="26">
        <v>5.4100000000000002E-2</v>
      </c>
      <c r="M966" s="26">
        <v>5.33E-2</v>
      </c>
      <c r="N966" s="26">
        <v>3.5999999999999997E-2</v>
      </c>
      <c r="O966" s="26">
        <v>3.5900000000000001E-2</v>
      </c>
      <c r="P966" s="26">
        <v>9.7000000000000003E-3</v>
      </c>
      <c r="Q966" s="26">
        <v>6.1999999999999998E-3</v>
      </c>
      <c r="R966">
        <v>967</v>
      </c>
    </row>
    <row r="968" spans="1:18" x14ac:dyDescent="0.35">
      <c r="A968" s="1" t="s">
        <v>423</v>
      </c>
    </row>
    <row r="969" spans="1:18" x14ac:dyDescent="0.35">
      <c r="A969" t="s">
        <v>219</v>
      </c>
      <c r="B969" t="s">
        <v>305</v>
      </c>
      <c r="C969" t="s">
        <v>399</v>
      </c>
      <c r="D969" t="s">
        <v>400</v>
      </c>
      <c r="E969" t="s">
        <v>401</v>
      </c>
      <c r="F969" t="s">
        <v>402</v>
      </c>
      <c r="G969" t="s">
        <v>403</v>
      </c>
      <c r="H969" t="s">
        <v>404</v>
      </c>
      <c r="I969" t="s">
        <v>405</v>
      </c>
      <c r="J969" t="s">
        <v>406</v>
      </c>
      <c r="K969" t="s">
        <v>407</v>
      </c>
      <c r="L969" t="s">
        <v>408</v>
      </c>
      <c r="M969" t="s">
        <v>409</v>
      </c>
      <c r="N969" t="s">
        <v>410</v>
      </c>
      <c r="O969" t="s">
        <v>411</v>
      </c>
      <c r="P969" t="s">
        <v>412</v>
      </c>
      <c r="Q969" t="s">
        <v>281</v>
      </c>
      <c r="R969" t="s">
        <v>226</v>
      </c>
    </row>
    <row r="970" spans="1:18" x14ac:dyDescent="0.35">
      <c r="A970" t="s">
        <v>227</v>
      </c>
      <c r="B970" t="s">
        <v>235</v>
      </c>
      <c r="C970" s="26">
        <v>9.0899999999999995E-2</v>
      </c>
      <c r="D970" s="26">
        <v>3.0300000000000001E-2</v>
      </c>
      <c r="E970" s="26">
        <v>0.1515</v>
      </c>
      <c r="F970" s="26">
        <v>0.1212</v>
      </c>
      <c r="G970" s="26">
        <v>6.0600000000000001E-2</v>
      </c>
      <c r="H970" s="26">
        <v>0.1212</v>
      </c>
      <c r="I970" s="26">
        <v>9.0899999999999995E-2</v>
      </c>
      <c r="J970" s="26">
        <v>3.0300000000000001E-2</v>
      </c>
      <c r="K970" s="26">
        <v>9.0899999999999995E-2</v>
      </c>
      <c r="L970" s="26">
        <v>6.0600000000000001E-2</v>
      </c>
      <c r="M970" s="26">
        <v>6.0600000000000001E-2</v>
      </c>
      <c r="O970" s="26">
        <v>6.0600000000000001E-2</v>
      </c>
      <c r="P970" s="26">
        <v>3.0300000000000001E-2</v>
      </c>
      <c r="R970">
        <v>33</v>
      </c>
    </row>
    <row r="971" spans="1:18" x14ac:dyDescent="0.35">
      <c r="A971" t="s">
        <v>227</v>
      </c>
      <c r="B971" t="s">
        <v>234</v>
      </c>
      <c r="C971" s="26">
        <v>0.2</v>
      </c>
      <c r="D971" s="26">
        <v>0.1</v>
      </c>
      <c r="E971" s="26">
        <v>6.6699999999999995E-2</v>
      </c>
      <c r="F971" s="26">
        <v>0.1</v>
      </c>
      <c r="G971" s="26">
        <v>3.3300000000000003E-2</v>
      </c>
      <c r="H971" s="26">
        <v>3.3300000000000003E-2</v>
      </c>
      <c r="I971" s="26">
        <v>0.2</v>
      </c>
      <c r="K971" s="26">
        <v>3.3300000000000003E-2</v>
      </c>
      <c r="L971" s="26">
        <v>6.6699999999999995E-2</v>
      </c>
      <c r="M971" s="26">
        <v>3.3300000000000003E-2</v>
      </c>
      <c r="N971" s="26">
        <v>3.3300000000000003E-2</v>
      </c>
      <c r="O971" s="26">
        <v>0.1</v>
      </c>
      <c r="R971">
        <v>30</v>
      </c>
    </row>
    <row r="972" spans="1:18" x14ac:dyDescent="0.35">
      <c r="A972" t="s">
        <v>228</v>
      </c>
      <c r="B972" t="s">
        <v>235</v>
      </c>
      <c r="C972" s="26">
        <v>9.5500000000000002E-2</v>
      </c>
      <c r="D972" s="26">
        <v>0.10879999999999999</v>
      </c>
      <c r="E972" s="26">
        <v>8.1100000000000005E-2</v>
      </c>
      <c r="F972" s="26">
        <v>0.1047</v>
      </c>
      <c r="G972" s="26">
        <v>8.2600000000000007E-2</v>
      </c>
      <c r="H972" s="26">
        <v>0.12</v>
      </c>
      <c r="I972" s="26">
        <v>7.3800000000000004E-2</v>
      </c>
      <c r="J972" s="26">
        <v>0.13350000000000001</v>
      </c>
      <c r="K972" s="26">
        <v>4.3400000000000001E-2</v>
      </c>
      <c r="L972" s="26">
        <v>1.7000000000000001E-2</v>
      </c>
      <c r="M972" s="26">
        <v>3.7600000000000001E-2</v>
      </c>
      <c r="N972" s="26">
        <v>5.62E-2</v>
      </c>
      <c r="O972" s="26">
        <v>4.3900000000000002E-2</v>
      </c>
      <c r="P972" s="26">
        <v>2.0999999999999999E-3</v>
      </c>
      <c r="R972">
        <v>162</v>
      </c>
    </row>
    <row r="973" spans="1:18" x14ac:dyDescent="0.35">
      <c r="A973" t="s">
        <v>228</v>
      </c>
      <c r="B973" t="s">
        <v>234</v>
      </c>
      <c r="C973" s="26">
        <v>7.2999999999999995E-2</v>
      </c>
      <c r="D973" s="26">
        <v>0.1011</v>
      </c>
      <c r="E973" s="26">
        <v>0.1356</v>
      </c>
      <c r="F973" s="26">
        <v>6.9199999999999998E-2</v>
      </c>
      <c r="G973" s="26">
        <v>0.10390000000000001</v>
      </c>
      <c r="H973" s="26">
        <v>5.91E-2</v>
      </c>
      <c r="I973" s="26">
        <v>0.1026</v>
      </c>
      <c r="J973" s="26">
        <v>5.8200000000000002E-2</v>
      </c>
      <c r="K973" s="26">
        <v>7.6300000000000007E-2</v>
      </c>
      <c r="L973" s="26">
        <v>6.4600000000000005E-2</v>
      </c>
      <c r="M973" s="26">
        <v>2.6100000000000002E-2</v>
      </c>
      <c r="N973" s="26">
        <v>1.4E-3</v>
      </c>
      <c r="O973" s="26">
        <v>0.10539999999999999</v>
      </c>
      <c r="Q973" s="26">
        <v>2.3599999999999999E-2</v>
      </c>
      <c r="R973">
        <v>152</v>
      </c>
    </row>
    <row r="974" spans="1:18" x14ac:dyDescent="0.35">
      <c r="A974" t="s">
        <v>229</v>
      </c>
      <c r="B974" t="s">
        <v>235</v>
      </c>
      <c r="C974" s="26">
        <v>0.17580000000000001</v>
      </c>
      <c r="D974" s="26">
        <v>7.4399999999999994E-2</v>
      </c>
      <c r="E974" s="26">
        <v>8.3199999999999996E-2</v>
      </c>
      <c r="F974" s="26">
        <v>8.1799999999999998E-2</v>
      </c>
      <c r="G974" s="26">
        <v>0.107</v>
      </c>
      <c r="H974" s="26">
        <v>9.9000000000000005E-2</v>
      </c>
      <c r="I974" s="26">
        <v>4.3999999999999997E-2</v>
      </c>
      <c r="J974" s="26">
        <v>0.11169999999999999</v>
      </c>
      <c r="K974" s="26">
        <v>5.2299999999999999E-2</v>
      </c>
      <c r="L974" s="26">
        <v>3.2599999999999997E-2</v>
      </c>
      <c r="M974" s="26">
        <v>5.8400000000000001E-2</v>
      </c>
      <c r="N974" s="26">
        <v>6.0600000000000001E-2</v>
      </c>
      <c r="O974" s="26">
        <v>1.9099999999999999E-2</v>
      </c>
      <c r="R974">
        <v>156</v>
      </c>
    </row>
    <row r="975" spans="1:18" x14ac:dyDescent="0.35">
      <c r="A975" t="s">
        <v>229</v>
      </c>
      <c r="B975" t="s">
        <v>234</v>
      </c>
      <c r="C975" s="26">
        <v>0.1787</v>
      </c>
      <c r="D975" s="26">
        <v>0.10630000000000001</v>
      </c>
      <c r="E975" s="26">
        <v>0.1004</v>
      </c>
      <c r="F975" s="26">
        <v>9.4399999999999998E-2</v>
      </c>
      <c r="G975" s="26">
        <v>8.9599999999999999E-2</v>
      </c>
      <c r="H975" s="26">
        <v>3.9399999999999998E-2</v>
      </c>
      <c r="I975" s="26">
        <v>5.1900000000000002E-2</v>
      </c>
      <c r="J975" s="26">
        <v>6.5100000000000005E-2</v>
      </c>
      <c r="K975" s="26">
        <v>4.65E-2</v>
      </c>
      <c r="L975" s="26">
        <v>5.8500000000000003E-2</v>
      </c>
      <c r="M975" s="26">
        <v>9.1600000000000001E-2</v>
      </c>
      <c r="N975" s="26">
        <v>0.01</v>
      </c>
      <c r="O975" s="26">
        <v>2.9399999999999999E-2</v>
      </c>
      <c r="P975" s="26">
        <v>1.43E-2</v>
      </c>
      <c r="Q975" s="26">
        <v>2.3900000000000001E-2</v>
      </c>
      <c r="R975">
        <v>179</v>
      </c>
    </row>
    <row r="976" spans="1:18" x14ac:dyDescent="0.35">
      <c r="A976" t="s">
        <v>230</v>
      </c>
      <c r="B976" t="s">
        <v>235</v>
      </c>
      <c r="C976" s="26">
        <v>0.1007</v>
      </c>
      <c r="D976" s="26">
        <v>0.18709999999999999</v>
      </c>
      <c r="E976" s="26">
        <v>4.4699999999999997E-2</v>
      </c>
      <c r="F976" s="26">
        <v>0.1074</v>
      </c>
      <c r="G976" s="26">
        <v>0.1321</v>
      </c>
      <c r="H976" s="26">
        <v>6.5799999999999997E-2</v>
      </c>
      <c r="I976" s="26">
        <v>8.7599999999999997E-2</v>
      </c>
      <c r="J976" s="26">
        <v>3.0599999999999999E-2</v>
      </c>
      <c r="K976" s="26">
        <v>8.0799999999999997E-2</v>
      </c>
      <c r="L976" s="26">
        <v>9.9000000000000005E-2</v>
      </c>
      <c r="M976" s="26">
        <v>4.48E-2</v>
      </c>
      <c r="N976" s="26">
        <v>1.4500000000000001E-2</v>
      </c>
      <c r="O976" s="26">
        <v>4.8999999999999998E-3</v>
      </c>
      <c r="R976">
        <v>103</v>
      </c>
    </row>
    <row r="977" spans="1:19" x14ac:dyDescent="0.35">
      <c r="A977" s="27" t="s">
        <v>230</v>
      </c>
      <c r="B977" s="27" t="s">
        <v>236</v>
      </c>
      <c r="C977" s="29"/>
      <c r="D977" s="29"/>
      <c r="E977" s="29"/>
      <c r="F977" s="29"/>
      <c r="G977" s="29"/>
      <c r="H977" s="28">
        <v>1</v>
      </c>
      <c r="I977" s="29"/>
      <c r="J977" s="29"/>
      <c r="K977" s="29"/>
      <c r="L977" s="29"/>
      <c r="M977" s="29"/>
      <c r="N977" s="29"/>
      <c r="O977" s="29"/>
      <c r="P977" s="29"/>
      <c r="Q977" s="29"/>
      <c r="R977" s="29" t="s">
        <v>331</v>
      </c>
    </row>
    <row r="978" spans="1:19" x14ac:dyDescent="0.35">
      <c r="A978" t="s">
        <v>230</v>
      </c>
      <c r="B978" t="s">
        <v>234</v>
      </c>
      <c r="C978" s="26">
        <v>0.16569999999999999</v>
      </c>
      <c r="D978" s="26">
        <v>0.2152</v>
      </c>
      <c r="E978" s="26">
        <v>2.3900000000000001E-2</v>
      </c>
      <c r="F978" s="26">
        <v>0.16039999999999999</v>
      </c>
      <c r="G978" s="26">
        <v>8.0000000000000002E-3</v>
      </c>
      <c r="H978" s="26">
        <v>6.3600000000000004E-2</v>
      </c>
      <c r="I978" s="26">
        <v>7.0400000000000004E-2</v>
      </c>
      <c r="J978" s="26">
        <v>4.0599999999999997E-2</v>
      </c>
      <c r="K978" s="26">
        <v>8.3699999999999997E-2</v>
      </c>
      <c r="L978" s="26">
        <v>6.9000000000000006E-2</v>
      </c>
      <c r="M978" s="26">
        <v>8.0000000000000002E-3</v>
      </c>
      <c r="N978" s="26">
        <v>5.1799999999999999E-2</v>
      </c>
      <c r="O978" s="26">
        <v>3.1899999999999998E-2</v>
      </c>
      <c r="P978" s="26">
        <v>3.8999999999999998E-3</v>
      </c>
      <c r="Q978" s="26">
        <v>4.0000000000000001E-3</v>
      </c>
      <c r="R978">
        <v>98</v>
      </c>
    </row>
    <row r="979" spans="1:19" x14ac:dyDescent="0.35">
      <c r="A979" s="27" t="s">
        <v>231</v>
      </c>
      <c r="B979" s="27" t="s">
        <v>235</v>
      </c>
      <c r="C979" s="28">
        <v>0.17860000000000001</v>
      </c>
      <c r="D979" s="28">
        <v>0.1071</v>
      </c>
      <c r="E979" s="28">
        <v>0.1071</v>
      </c>
      <c r="F979" s="28">
        <v>3.5700000000000003E-2</v>
      </c>
      <c r="G979" s="28">
        <v>0.1071</v>
      </c>
      <c r="H979" s="28">
        <v>3.5700000000000003E-2</v>
      </c>
      <c r="I979" s="28">
        <v>7.1400000000000005E-2</v>
      </c>
      <c r="J979" s="28">
        <v>7.1400000000000005E-2</v>
      </c>
      <c r="K979" s="28">
        <v>3.5700000000000003E-2</v>
      </c>
      <c r="L979" s="28">
        <v>7.1400000000000005E-2</v>
      </c>
      <c r="M979" s="28">
        <v>0.1071</v>
      </c>
      <c r="N979" s="28">
        <v>3.5700000000000003E-2</v>
      </c>
      <c r="O979" s="29"/>
      <c r="P979" s="28">
        <v>3.5700000000000003E-2</v>
      </c>
      <c r="Q979" s="29"/>
      <c r="R979" s="29" t="s">
        <v>336</v>
      </c>
    </row>
    <row r="980" spans="1:19" x14ac:dyDescent="0.35">
      <c r="A980" s="27" t="s">
        <v>231</v>
      </c>
      <c r="B980" s="27" t="s">
        <v>234</v>
      </c>
      <c r="C980" s="28">
        <v>0.2</v>
      </c>
      <c r="D980" s="28">
        <v>0.08</v>
      </c>
      <c r="E980" s="28">
        <v>0.08</v>
      </c>
      <c r="F980" s="28">
        <v>0.08</v>
      </c>
      <c r="G980" s="28">
        <v>0.08</v>
      </c>
      <c r="H980" s="28">
        <v>0.16</v>
      </c>
      <c r="I980" s="28">
        <v>0.08</v>
      </c>
      <c r="J980" s="28">
        <v>0.04</v>
      </c>
      <c r="K980" s="28">
        <v>0.08</v>
      </c>
      <c r="L980" s="28">
        <v>0.04</v>
      </c>
      <c r="M980" s="29"/>
      <c r="N980" s="28">
        <v>0.08</v>
      </c>
      <c r="O980" s="29"/>
      <c r="P980" s="29"/>
      <c r="Q980" s="29"/>
      <c r="R980" s="29" t="s">
        <v>312</v>
      </c>
    </row>
    <row r="981" spans="1:19" x14ac:dyDescent="0.35">
      <c r="A981" t="s">
        <v>232</v>
      </c>
      <c r="B981" t="s">
        <v>232</v>
      </c>
      <c r="C981" s="26">
        <v>0.15359999999999999</v>
      </c>
      <c r="D981" s="26">
        <v>0.1013</v>
      </c>
      <c r="E981" s="26">
        <v>9.2399999999999996E-2</v>
      </c>
      <c r="F981" s="26">
        <v>8.9099999999999999E-2</v>
      </c>
      <c r="G981" s="26">
        <v>8.4699999999999998E-2</v>
      </c>
      <c r="H981" s="26">
        <v>0.08</v>
      </c>
      <c r="I981" s="26">
        <v>7.9899999999999999E-2</v>
      </c>
      <c r="J981" s="26">
        <v>6.5000000000000002E-2</v>
      </c>
      <c r="K981" s="26">
        <v>5.8700000000000002E-2</v>
      </c>
      <c r="L981" s="26">
        <v>5.4100000000000002E-2</v>
      </c>
      <c r="M981" s="26">
        <v>5.33E-2</v>
      </c>
      <c r="N981" s="26">
        <v>3.5999999999999997E-2</v>
      </c>
      <c r="O981" s="26">
        <v>3.5900000000000001E-2</v>
      </c>
      <c r="P981" s="26">
        <v>9.7000000000000003E-3</v>
      </c>
      <c r="Q981" s="26">
        <v>6.1999999999999998E-3</v>
      </c>
      <c r="R981">
        <v>967</v>
      </c>
    </row>
    <row r="983" spans="1:19" x14ac:dyDescent="0.35">
      <c r="A983" s="1" t="s">
        <v>424</v>
      </c>
    </row>
    <row r="984" spans="1:19" x14ac:dyDescent="0.35">
      <c r="A984" t="s">
        <v>219</v>
      </c>
      <c r="B984" t="s">
        <v>305</v>
      </c>
      <c r="C984" t="s">
        <v>345</v>
      </c>
      <c r="D984" t="s">
        <v>399</v>
      </c>
      <c r="E984" t="s">
        <v>400</v>
      </c>
      <c r="F984" t="s">
        <v>401</v>
      </c>
      <c r="G984" t="s">
        <v>402</v>
      </c>
      <c r="H984" t="s">
        <v>403</v>
      </c>
      <c r="I984" t="s">
        <v>404</v>
      </c>
      <c r="J984" t="s">
        <v>405</v>
      </c>
      <c r="K984" t="s">
        <v>406</v>
      </c>
      <c r="L984" t="s">
        <v>407</v>
      </c>
      <c r="M984" t="s">
        <v>408</v>
      </c>
      <c r="N984" t="s">
        <v>409</v>
      </c>
      <c r="O984" t="s">
        <v>410</v>
      </c>
      <c r="P984" t="s">
        <v>411</v>
      </c>
      <c r="Q984" t="s">
        <v>412</v>
      </c>
      <c r="R984" t="s">
        <v>281</v>
      </c>
      <c r="S984" t="s">
        <v>226</v>
      </c>
    </row>
    <row r="985" spans="1:19" x14ac:dyDescent="0.35">
      <c r="A985" s="27" t="s">
        <v>227</v>
      </c>
      <c r="B985" s="27" t="s">
        <v>235</v>
      </c>
      <c r="C985" s="27" t="s">
        <v>375</v>
      </c>
      <c r="D985" s="29"/>
      <c r="E985" s="28">
        <v>0.1</v>
      </c>
      <c r="F985" s="29"/>
      <c r="G985" s="29"/>
      <c r="H985" s="28">
        <v>0.1</v>
      </c>
      <c r="I985" s="28">
        <v>0.4</v>
      </c>
      <c r="J985" s="28">
        <v>0.3</v>
      </c>
      <c r="K985" s="28">
        <v>0.1</v>
      </c>
      <c r="L985" s="29"/>
      <c r="M985" s="29"/>
      <c r="N985" s="29"/>
      <c r="O985" s="29"/>
      <c r="P985" s="29"/>
      <c r="Q985" s="29"/>
      <c r="R985" s="29"/>
      <c r="S985" s="29" t="s">
        <v>307</v>
      </c>
    </row>
    <row r="986" spans="1:19" x14ac:dyDescent="0.35">
      <c r="A986" s="27" t="s">
        <v>227</v>
      </c>
      <c r="B986" s="27" t="s">
        <v>234</v>
      </c>
      <c r="C986" s="27" t="s">
        <v>376</v>
      </c>
      <c r="D986" s="28">
        <v>0.36359999999999998</v>
      </c>
      <c r="E986" s="28">
        <v>0.18179999999999999</v>
      </c>
      <c r="F986" s="28">
        <v>0.18179999999999999</v>
      </c>
      <c r="G986" s="29"/>
      <c r="H986" s="29"/>
      <c r="I986" s="29"/>
      <c r="J986" s="29"/>
      <c r="K986" s="29"/>
      <c r="L986" s="28">
        <v>9.0899999999999995E-2</v>
      </c>
      <c r="M986" s="28">
        <v>0.18179999999999999</v>
      </c>
      <c r="N986" s="29"/>
      <c r="O986" s="29"/>
      <c r="P986" s="29"/>
      <c r="Q986" s="29"/>
      <c r="R986" s="29"/>
      <c r="S986" s="29" t="s">
        <v>352</v>
      </c>
    </row>
    <row r="987" spans="1:19" x14ac:dyDescent="0.35">
      <c r="A987" s="27" t="s">
        <v>227</v>
      </c>
      <c r="B987" s="27" t="s">
        <v>234</v>
      </c>
      <c r="C987" s="27" t="s">
        <v>378</v>
      </c>
      <c r="D987" s="28">
        <v>1</v>
      </c>
      <c r="E987" s="29"/>
      <c r="F987" s="29"/>
      <c r="G987" s="29"/>
      <c r="H987" s="29"/>
      <c r="I987" s="29"/>
      <c r="J987" s="29"/>
      <c r="K987" s="29"/>
      <c r="L987" s="29"/>
      <c r="M987" s="29"/>
      <c r="N987" s="29"/>
      <c r="O987" s="29"/>
      <c r="P987" s="29"/>
      <c r="Q987" s="29"/>
      <c r="R987" s="29"/>
      <c r="S987" s="29" t="s">
        <v>314</v>
      </c>
    </row>
    <row r="988" spans="1:19" x14ac:dyDescent="0.35">
      <c r="A988" s="27" t="s">
        <v>227</v>
      </c>
      <c r="B988" s="27" t="s">
        <v>234</v>
      </c>
      <c r="C988" s="27" t="s">
        <v>377</v>
      </c>
      <c r="D988" s="29"/>
      <c r="E988" s="29"/>
      <c r="F988" s="29"/>
      <c r="G988" s="28">
        <v>0.33329999999999999</v>
      </c>
      <c r="H988" s="29"/>
      <c r="I988" s="29"/>
      <c r="J988" s="28">
        <v>0.1111</v>
      </c>
      <c r="K988" s="29"/>
      <c r="L988" s="29"/>
      <c r="M988" s="29"/>
      <c r="N988" s="28">
        <v>0.1111</v>
      </c>
      <c r="O988" s="28">
        <v>0.1111</v>
      </c>
      <c r="P988" s="28">
        <v>0.33329999999999999</v>
      </c>
      <c r="Q988" s="29"/>
      <c r="R988" s="29"/>
      <c r="S988" s="29" t="s">
        <v>334</v>
      </c>
    </row>
    <row r="989" spans="1:19" x14ac:dyDescent="0.35">
      <c r="A989" s="27" t="s">
        <v>227</v>
      </c>
      <c r="B989" s="27" t="s">
        <v>235</v>
      </c>
      <c r="C989" s="27" t="s">
        <v>377</v>
      </c>
      <c r="D989" s="29"/>
      <c r="E989" s="29"/>
      <c r="F989" s="29"/>
      <c r="G989" s="28">
        <v>0.4</v>
      </c>
      <c r="H989" s="28">
        <v>0.1</v>
      </c>
      <c r="I989" s="29"/>
      <c r="J989" s="29"/>
      <c r="K989" s="29"/>
      <c r="L989" s="29"/>
      <c r="M989" s="29"/>
      <c r="N989" s="28">
        <v>0.2</v>
      </c>
      <c r="O989" s="29"/>
      <c r="P989" s="28">
        <v>0.2</v>
      </c>
      <c r="Q989" s="28">
        <v>0.1</v>
      </c>
      <c r="R989" s="29"/>
      <c r="S989" s="29" t="s">
        <v>307</v>
      </c>
    </row>
    <row r="990" spans="1:19" x14ac:dyDescent="0.35">
      <c r="A990" s="27" t="s">
        <v>227</v>
      </c>
      <c r="B990" s="27" t="s">
        <v>234</v>
      </c>
      <c r="C990" s="27" t="s">
        <v>375</v>
      </c>
      <c r="D990" s="29"/>
      <c r="E990" s="28">
        <v>0.125</v>
      </c>
      <c r="F990" s="29"/>
      <c r="G990" s="29"/>
      <c r="H990" s="28">
        <v>0.125</v>
      </c>
      <c r="I990" s="28">
        <v>0.125</v>
      </c>
      <c r="J990" s="28">
        <v>0.625</v>
      </c>
      <c r="K990" s="29"/>
      <c r="L990" s="29"/>
      <c r="M990" s="29"/>
      <c r="N990" s="29"/>
      <c r="O990" s="29"/>
      <c r="P990" s="29"/>
      <c r="Q990" s="29"/>
      <c r="R990" s="29"/>
      <c r="S990" s="29" t="s">
        <v>333</v>
      </c>
    </row>
    <row r="991" spans="1:19" x14ac:dyDescent="0.35">
      <c r="A991" s="27" t="s">
        <v>227</v>
      </c>
      <c r="B991" s="27" t="s">
        <v>235</v>
      </c>
      <c r="C991" s="27" t="s">
        <v>378</v>
      </c>
      <c r="D991" s="28">
        <v>1</v>
      </c>
      <c r="E991" s="29"/>
      <c r="F991" s="29"/>
      <c r="G991" s="29"/>
      <c r="H991" s="29"/>
      <c r="I991" s="29"/>
      <c r="J991" s="29"/>
      <c r="K991" s="29"/>
      <c r="L991" s="29"/>
      <c r="M991" s="29"/>
      <c r="N991" s="29"/>
      <c r="O991" s="29"/>
      <c r="P991" s="29"/>
      <c r="Q991" s="29"/>
      <c r="R991" s="29"/>
      <c r="S991" s="29" t="s">
        <v>315</v>
      </c>
    </row>
    <row r="992" spans="1:19" x14ac:dyDescent="0.35">
      <c r="A992" s="27" t="s">
        <v>227</v>
      </c>
      <c r="B992" s="27" t="s">
        <v>235</v>
      </c>
      <c r="C992" s="27" t="s">
        <v>376</v>
      </c>
      <c r="D992" s="29"/>
      <c r="E992" s="29"/>
      <c r="F992" s="28">
        <v>0.5</v>
      </c>
      <c r="G992" s="29"/>
      <c r="H992" s="29"/>
      <c r="I992" s="29"/>
      <c r="J992" s="29"/>
      <c r="K992" s="29"/>
      <c r="L992" s="28">
        <v>0.3</v>
      </c>
      <c r="M992" s="28">
        <v>0.2</v>
      </c>
      <c r="N992" s="29"/>
      <c r="O992" s="29"/>
      <c r="P992" s="29"/>
      <c r="Q992" s="29"/>
      <c r="R992" s="29"/>
      <c r="S992" s="29" t="s">
        <v>307</v>
      </c>
    </row>
    <row r="993" spans="1:19" x14ac:dyDescent="0.35">
      <c r="A993" s="27" t="s">
        <v>228</v>
      </c>
      <c r="B993" s="27" t="s">
        <v>234</v>
      </c>
      <c r="C993" s="27" t="s">
        <v>378</v>
      </c>
      <c r="D993" s="28">
        <v>0.92520000000000002</v>
      </c>
      <c r="E993" s="29"/>
      <c r="F993" s="29"/>
      <c r="G993" s="29"/>
      <c r="H993" s="29"/>
      <c r="I993" s="29"/>
      <c r="J993" s="29"/>
      <c r="K993" s="29"/>
      <c r="L993" s="29"/>
      <c r="M993" s="29"/>
      <c r="N993" s="29"/>
      <c r="O993" s="29"/>
      <c r="P993" s="29"/>
      <c r="Q993" s="29"/>
      <c r="R993" s="28">
        <v>7.4800000000000005E-2</v>
      </c>
      <c r="S993" s="29" t="s">
        <v>352</v>
      </c>
    </row>
    <row r="994" spans="1:19" x14ac:dyDescent="0.35">
      <c r="A994" t="s">
        <v>228</v>
      </c>
      <c r="B994" t="s">
        <v>234</v>
      </c>
      <c r="C994" t="s">
        <v>377</v>
      </c>
      <c r="G994" s="26">
        <v>0.27610000000000001</v>
      </c>
      <c r="J994" s="26">
        <v>0.18429999999999999</v>
      </c>
      <c r="N994" s="26">
        <v>9.4500000000000001E-2</v>
      </c>
      <c r="O994" s="26">
        <v>5.7000000000000002E-3</v>
      </c>
      <c r="P994" s="26">
        <v>0.43369999999999997</v>
      </c>
      <c r="R994" s="26">
        <v>5.7000000000000002E-3</v>
      </c>
      <c r="S994">
        <v>31</v>
      </c>
    </row>
    <row r="995" spans="1:19" x14ac:dyDescent="0.35">
      <c r="A995" t="s">
        <v>228</v>
      </c>
      <c r="B995" t="s">
        <v>234</v>
      </c>
      <c r="C995" t="s">
        <v>375</v>
      </c>
      <c r="E995" s="26">
        <v>0.18970000000000001</v>
      </c>
      <c r="F995" s="26">
        <v>1.2500000000000001E-2</v>
      </c>
      <c r="G995" s="26">
        <v>5.4000000000000003E-3</v>
      </c>
      <c r="H995" s="26">
        <v>0.27329999999999999</v>
      </c>
      <c r="I995" s="26">
        <v>0.15540000000000001</v>
      </c>
      <c r="J995" s="26">
        <v>0.152</v>
      </c>
      <c r="K995" s="26">
        <v>0.15310000000000001</v>
      </c>
      <c r="N995" s="26">
        <v>8.3000000000000001E-3</v>
      </c>
      <c r="R995" s="26">
        <v>5.0099999999999999E-2</v>
      </c>
      <c r="S995">
        <v>58</v>
      </c>
    </row>
    <row r="996" spans="1:19" x14ac:dyDescent="0.35">
      <c r="A996" t="s">
        <v>228</v>
      </c>
      <c r="B996" t="s">
        <v>235</v>
      </c>
      <c r="C996" t="s">
        <v>376</v>
      </c>
      <c r="D996" s="26">
        <v>0.34100000000000003</v>
      </c>
      <c r="E996" s="26">
        <v>4.8099999999999997E-2</v>
      </c>
      <c r="F996" s="26">
        <v>0.30759999999999998</v>
      </c>
      <c r="L996" s="26">
        <v>0.21790000000000001</v>
      </c>
      <c r="M996" s="26">
        <v>8.5400000000000004E-2</v>
      </c>
      <c r="S996">
        <v>38</v>
      </c>
    </row>
    <row r="997" spans="1:19" x14ac:dyDescent="0.35">
      <c r="A997" s="27" t="s">
        <v>228</v>
      </c>
      <c r="B997" s="27" t="s">
        <v>235</v>
      </c>
      <c r="C997" s="27" t="s">
        <v>378</v>
      </c>
      <c r="D997" s="28">
        <v>1</v>
      </c>
      <c r="E997" s="29"/>
      <c r="F997" s="29"/>
      <c r="G997" s="29"/>
      <c r="H997" s="29"/>
      <c r="I997" s="29"/>
      <c r="J997" s="29"/>
      <c r="K997" s="29"/>
      <c r="L997" s="29"/>
      <c r="M997" s="29"/>
      <c r="N997" s="29"/>
      <c r="O997" s="29"/>
      <c r="P997" s="29"/>
      <c r="Q997" s="29"/>
      <c r="R997" s="29"/>
      <c r="S997" s="29" t="s">
        <v>307</v>
      </c>
    </row>
    <row r="998" spans="1:19" x14ac:dyDescent="0.35">
      <c r="A998" t="s">
        <v>228</v>
      </c>
      <c r="B998" t="s">
        <v>234</v>
      </c>
      <c r="C998" t="s">
        <v>376</v>
      </c>
      <c r="D998" s="26">
        <v>0.1019</v>
      </c>
      <c r="E998" s="26">
        <v>8.6599999999999996E-2</v>
      </c>
      <c r="F998" s="26">
        <v>0.39069999999999999</v>
      </c>
      <c r="L998" s="26">
        <v>0.22789999999999999</v>
      </c>
      <c r="M998" s="26">
        <v>0.19289999999999999</v>
      </c>
      <c r="S998">
        <v>52</v>
      </c>
    </row>
    <row r="999" spans="1:19" x14ac:dyDescent="0.35">
      <c r="A999" t="s">
        <v>228</v>
      </c>
      <c r="B999" t="s">
        <v>235</v>
      </c>
      <c r="C999" t="s">
        <v>377</v>
      </c>
      <c r="G999" s="26">
        <v>0.38319999999999999</v>
      </c>
      <c r="J999" s="26">
        <v>9.7799999999999998E-2</v>
      </c>
      <c r="N999" s="26">
        <v>0.1396</v>
      </c>
      <c r="O999" s="26">
        <v>0.20849999999999999</v>
      </c>
      <c r="P999" s="26">
        <v>0.16289999999999999</v>
      </c>
      <c r="Q999" s="26">
        <v>8.0000000000000002E-3</v>
      </c>
      <c r="S999">
        <v>41</v>
      </c>
    </row>
    <row r="1000" spans="1:19" x14ac:dyDescent="0.35">
      <c r="A1000" t="s">
        <v>228</v>
      </c>
      <c r="B1000" t="s">
        <v>235</v>
      </c>
      <c r="C1000" t="s">
        <v>375</v>
      </c>
      <c r="E1000" s="26">
        <v>0.1968</v>
      </c>
      <c r="F1000" s="26">
        <v>3.9300000000000002E-2</v>
      </c>
      <c r="G1000" s="26">
        <v>2.8999999999999998E-3</v>
      </c>
      <c r="H1000" s="26">
        <v>0.1638</v>
      </c>
      <c r="I1000" s="26">
        <v>0.23810000000000001</v>
      </c>
      <c r="J1000" s="26">
        <v>9.4100000000000003E-2</v>
      </c>
      <c r="K1000" s="26">
        <v>0.26490000000000002</v>
      </c>
      <c r="S1000">
        <v>73</v>
      </c>
    </row>
    <row r="1001" spans="1:19" x14ac:dyDescent="0.35">
      <c r="A1001" s="27" t="s">
        <v>229</v>
      </c>
      <c r="B1001" s="27" t="s">
        <v>235</v>
      </c>
      <c r="C1001" s="27" t="s">
        <v>378</v>
      </c>
      <c r="D1001" s="28">
        <v>1</v>
      </c>
      <c r="E1001" s="29"/>
      <c r="F1001" s="29"/>
      <c r="G1001" s="29"/>
      <c r="H1001" s="29"/>
      <c r="I1001" s="29"/>
      <c r="J1001" s="29"/>
      <c r="K1001" s="29"/>
      <c r="L1001" s="29"/>
      <c r="M1001" s="29"/>
      <c r="N1001" s="29"/>
      <c r="O1001" s="29"/>
      <c r="P1001" s="29"/>
      <c r="Q1001" s="29"/>
      <c r="R1001" s="29"/>
      <c r="S1001" s="29" t="s">
        <v>349</v>
      </c>
    </row>
    <row r="1002" spans="1:19" x14ac:dyDescent="0.35">
      <c r="A1002" s="27" t="s">
        <v>229</v>
      </c>
      <c r="B1002" s="27" t="s">
        <v>234</v>
      </c>
      <c r="C1002" s="27" t="s">
        <v>378</v>
      </c>
      <c r="D1002" s="28">
        <v>1</v>
      </c>
      <c r="E1002" s="29"/>
      <c r="F1002" s="29"/>
      <c r="G1002" s="29"/>
      <c r="H1002" s="29"/>
      <c r="I1002" s="29"/>
      <c r="J1002" s="29"/>
      <c r="K1002" s="29"/>
      <c r="L1002" s="29"/>
      <c r="M1002" s="29"/>
      <c r="N1002" s="29"/>
      <c r="O1002" s="29"/>
      <c r="P1002" s="29"/>
      <c r="Q1002" s="29"/>
      <c r="R1002" s="29"/>
      <c r="S1002" s="29" t="s">
        <v>350</v>
      </c>
    </row>
    <row r="1003" spans="1:19" x14ac:dyDescent="0.35">
      <c r="A1003" t="s">
        <v>229</v>
      </c>
      <c r="B1003" t="s">
        <v>235</v>
      </c>
      <c r="C1003" t="s">
        <v>376</v>
      </c>
      <c r="D1003" s="26">
        <v>0.20369999999999999</v>
      </c>
      <c r="E1003" s="26">
        <v>2.0999999999999999E-3</v>
      </c>
      <c r="F1003" s="26">
        <v>0.39300000000000002</v>
      </c>
      <c r="L1003" s="26">
        <v>0.24690000000000001</v>
      </c>
      <c r="M1003" s="26">
        <v>0.1542</v>
      </c>
      <c r="S1003">
        <v>32</v>
      </c>
    </row>
    <row r="1004" spans="1:19" x14ac:dyDescent="0.35">
      <c r="A1004" t="s">
        <v>229</v>
      </c>
      <c r="B1004" t="s">
        <v>235</v>
      </c>
      <c r="C1004" t="s">
        <v>377</v>
      </c>
      <c r="G1004" s="26">
        <v>0.27750000000000002</v>
      </c>
      <c r="J1004" s="26">
        <v>0.12609999999999999</v>
      </c>
      <c r="N1004" s="26">
        <v>0.25219999999999998</v>
      </c>
      <c r="O1004" s="26">
        <v>0.26169999999999999</v>
      </c>
      <c r="P1004" s="26">
        <v>8.2500000000000004E-2</v>
      </c>
      <c r="S1004">
        <v>41</v>
      </c>
    </row>
    <row r="1005" spans="1:19" x14ac:dyDescent="0.35">
      <c r="A1005" t="s">
        <v>229</v>
      </c>
      <c r="B1005" t="s">
        <v>234</v>
      </c>
      <c r="C1005" t="s">
        <v>376</v>
      </c>
      <c r="D1005" s="26">
        <v>0.18820000000000001</v>
      </c>
      <c r="E1005" s="26">
        <v>7.9799999999999996E-2</v>
      </c>
      <c r="F1005" s="26">
        <v>0.35549999999999998</v>
      </c>
      <c r="L1005" s="26">
        <v>0.1666</v>
      </c>
      <c r="M1005" s="26">
        <v>0.2099</v>
      </c>
      <c r="S1005">
        <v>47</v>
      </c>
    </row>
    <row r="1006" spans="1:19" x14ac:dyDescent="0.35">
      <c r="A1006" t="s">
        <v>229</v>
      </c>
      <c r="B1006" t="s">
        <v>235</v>
      </c>
      <c r="C1006" t="s">
        <v>375</v>
      </c>
      <c r="E1006" s="26">
        <v>0.17430000000000001</v>
      </c>
      <c r="G1006" s="26">
        <v>4.1300000000000003E-2</v>
      </c>
      <c r="H1006" s="26">
        <v>0.25240000000000001</v>
      </c>
      <c r="I1006" s="26">
        <v>0.23350000000000001</v>
      </c>
      <c r="J1006" s="26">
        <v>3.49E-2</v>
      </c>
      <c r="K1006" s="26">
        <v>0.26350000000000001</v>
      </c>
      <c r="S1006">
        <v>64</v>
      </c>
    </row>
    <row r="1007" spans="1:19" x14ac:dyDescent="0.35">
      <c r="A1007" t="s">
        <v>229</v>
      </c>
      <c r="B1007" t="s">
        <v>234</v>
      </c>
      <c r="C1007" t="s">
        <v>377</v>
      </c>
      <c r="G1007" s="26">
        <v>0.37069999999999997</v>
      </c>
      <c r="J1007" s="26">
        <v>1.8E-3</v>
      </c>
      <c r="N1007" s="26">
        <v>0.3629</v>
      </c>
      <c r="O1007" s="26">
        <v>4.0300000000000002E-2</v>
      </c>
      <c r="P1007" s="26">
        <v>0.11849999999999999</v>
      </c>
      <c r="Q1007" s="26">
        <v>5.7599999999999998E-2</v>
      </c>
      <c r="R1007" s="26">
        <v>4.82E-2</v>
      </c>
      <c r="S1007">
        <v>38</v>
      </c>
    </row>
    <row r="1008" spans="1:19" x14ac:dyDescent="0.35">
      <c r="A1008" t="s">
        <v>229</v>
      </c>
      <c r="B1008" t="s">
        <v>234</v>
      </c>
      <c r="C1008" t="s">
        <v>375</v>
      </c>
      <c r="E1008" s="26">
        <v>0.24229999999999999</v>
      </c>
      <c r="F1008" s="26">
        <v>3.5999999999999999E-3</v>
      </c>
      <c r="G1008" s="26">
        <v>6.7999999999999996E-3</v>
      </c>
      <c r="H1008" s="26">
        <v>0.25850000000000001</v>
      </c>
      <c r="I1008" s="26">
        <v>0.1137</v>
      </c>
      <c r="J1008" s="26">
        <v>0.1484</v>
      </c>
      <c r="K1008" s="26">
        <v>0.18770000000000001</v>
      </c>
      <c r="N1008" s="26">
        <v>4.4999999999999997E-3</v>
      </c>
      <c r="R1008" s="26">
        <v>3.4500000000000003E-2</v>
      </c>
      <c r="S1008">
        <v>74</v>
      </c>
    </row>
    <row r="1009" spans="1:19" x14ac:dyDescent="0.35">
      <c r="A1009" t="s">
        <v>230</v>
      </c>
      <c r="B1009" t="s">
        <v>234</v>
      </c>
      <c r="C1009" t="s">
        <v>376</v>
      </c>
      <c r="D1009" s="26">
        <v>0.2581</v>
      </c>
      <c r="E1009" s="26">
        <v>0.2462</v>
      </c>
      <c r="F1009" s="26">
        <v>4.7100000000000003E-2</v>
      </c>
      <c r="L1009" s="26">
        <v>0.24590000000000001</v>
      </c>
      <c r="M1009" s="26">
        <v>0.20269999999999999</v>
      </c>
      <c r="S1009">
        <v>31</v>
      </c>
    </row>
    <row r="1010" spans="1:19" x14ac:dyDescent="0.35">
      <c r="A1010" s="27" t="s">
        <v>230</v>
      </c>
      <c r="B1010" s="27" t="s">
        <v>234</v>
      </c>
      <c r="C1010" s="27" t="s">
        <v>378</v>
      </c>
      <c r="D1010" s="28">
        <v>1</v>
      </c>
      <c r="E1010" s="29"/>
      <c r="F1010" s="29"/>
      <c r="G1010" s="29"/>
      <c r="H1010" s="29"/>
      <c r="I1010" s="29"/>
      <c r="J1010" s="29"/>
      <c r="K1010" s="29"/>
      <c r="L1010" s="29"/>
      <c r="M1010" s="29"/>
      <c r="N1010" s="29"/>
      <c r="O1010" s="29"/>
      <c r="P1010" s="29"/>
      <c r="Q1010" s="29"/>
      <c r="R1010" s="29"/>
      <c r="S1010" s="29" t="s">
        <v>352</v>
      </c>
    </row>
    <row r="1011" spans="1:19" x14ac:dyDescent="0.35">
      <c r="A1011" t="s">
        <v>230</v>
      </c>
      <c r="B1011" t="s">
        <v>235</v>
      </c>
      <c r="C1011" t="s">
        <v>375</v>
      </c>
      <c r="E1011" s="26">
        <v>0.3468</v>
      </c>
      <c r="F1011" s="26">
        <v>9.1000000000000004E-3</v>
      </c>
      <c r="G1011" s="26">
        <v>6.4600000000000005E-2</v>
      </c>
      <c r="H1011" s="26">
        <v>0.24490000000000001</v>
      </c>
      <c r="I1011" s="26">
        <v>0.122</v>
      </c>
      <c r="J1011" s="26">
        <v>0.153</v>
      </c>
      <c r="K1011" s="26">
        <v>5.67E-2</v>
      </c>
      <c r="M1011" s="26">
        <v>2.8E-3</v>
      </c>
      <c r="S1011">
        <v>52</v>
      </c>
    </row>
    <row r="1012" spans="1:19" x14ac:dyDescent="0.35">
      <c r="A1012" s="27" t="s">
        <v>230</v>
      </c>
      <c r="B1012" s="27" t="s">
        <v>234</v>
      </c>
      <c r="C1012" s="27" t="s">
        <v>377</v>
      </c>
      <c r="D1012" s="29"/>
      <c r="E1012" s="29"/>
      <c r="F1012" s="29"/>
      <c r="G1012" s="28">
        <v>0.53069999999999995</v>
      </c>
      <c r="H1012" s="29"/>
      <c r="I1012" s="29"/>
      <c r="J1012" s="28">
        <v>1.9E-2</v>
      </c>
      <c r="K1012" s="29"/>
      <c r="L1012" s="29"/>
      <c r="M1012" s="29"/>
      <c r="N1012" s="28">
        <v>3.7499999999999999E-2</v>
      </c>
      <c r="O1012" s="28">
        <v>0.24410000000000001</v>
      </c>
      <c r="P1012" s="28">
        <v>0.15010000000000001</v>
      </c>
      <c r="Q1012" s="28">
        <v>1.8499999999999999E-2</v>
      </c>
      <c r="R1012" s="29"/>
      <c r="S1012" s="29" t="s">
        <v>349</v>
      </c>
    </row>
    <row r="1013" spans="1:19" x14ac:dyDescent="0.35">
      <c r="A1013" s="27" t="s">
        <v>230</v>
      </c>
      <c r="B1013" s="27" t="s">
        <v>236</v>
      </c>
      <c r="C1013" s="27" t="s">
        <v>375</v>
      </c>
      <c r="D1013" s="29"/>
      <c r="E1013" s="29"/>
      <c r="F1013" s="29"/>
      <c r="G1013" s="29"/>
      <c r="H1013" s="29"/>
      <c r="I1013" s="28">
        <v>1</v>
      </c>
      <c r="J1013" s="29"/>
      <c r="K1013" s="29"/>
      <c r="L1013" s="29"/>
      <c r="M1013" s="29"/>
      <c r="N1013" s="29"/>
      <c r="O1013" s="29"/>
      <c r="P1013" s="29"/>
      <c r="Q1013" s="29"/>
      <c r="R1013" s="29"/>
      <c r="S1013" s="29" t="s">
        <v>331</v>
      </c>
    </row>
    <row r="1014" spans="1:19" x14ac:dyDescent="0.35">
      <c r="A1014" s="27" t="s">
        <v>230</v>
      </c>
      <c r="B1014" s="27" t="s">
        <v>235</v>
      </c>
      <c r="C1014" s="27" t="s">
        <v>378</v>
      </c>
      <c r="D1014" s="28">
        <v>1</v>
      </c>
      <c r="E1014" s="29"/>
      <c r="F1014" s="29"/>
      <c r="G1014" s="29"/>
      <c r="H1014" s="29"/>
      <c r="I1014" s="29"/>
      <c r="J1014" s="29"/>
      <c r="K1014" s="29"/>
      <c r="L1014" s="29"/>
      <c r="M1014" s="29"/>
      <c r="N1014" s="29"/>
      <c r="O1014" s="29"/>
      <c r="P1014" s="29"/>
      <c r="Q1014" s="29"/>
      <c r="R1014" s="29"/>
      <c r="S1014" s="29" t="s">
        <v>333</v>
      </c>
    </row>
    <row r="1015" spans="1:19" x14ac:dyDescent="0.35">
      <c r="A1015" s="27" t="s">
        <v>230</v>
      </c>
      <c r="B1015" s="27" t="s">
        <v>235</v>
      </c>
      <c r="C1015" s="27" t="s">
        <v>377</v>
      </c>
      <c r="D1015" s="29"/>
      <c r="E1015" s="29"/>
      <c r="F1015" s="29"/>
      <c r="G1015" s="28">
        <v>0.51190000000000002</v>
      </c>
      <c r="H1015" s="29"/>
      <c r="I1015" s="29"/>
      <c r="J1015" s="28">
        <v>3.5499999999999997E-2</v>
      </c>
      <c r="K1015" s="29"/>
      <c r="L1015" s="29"/>
      <c r="M1015" s="29"/>
      <c r="N1015" s="28">
        <v>0.31580000000000003</v>
      </c>
      <c r="O1015" s="28">
        <v>0.1021</v>
      </c>
      <c r="P1015" s="28">
        <v>3.4599999999999999E-2</v>
      </c>
      <c r="Q1015" s="29"/>
      <c r="R1015" s="29"/>
      <c r="S1015" s="29" t="s">
        <v>343</v>
      </c>
    </row>
    <row r="1016" spans="1:19" x14ac:dyDescent="0.35">
      <c r="A1016" t="s">
        <v>230</v>
      </c>
      <c r="B1016" t="s">
        <v>234</v>
      </c>
      <c r="C1016" t="s">
        <v>375</v>
      </c>
      <c r="E1016" s="26">
        <v>0.35560000000000003</v>
      </c>
      <c r="F1016" s="26">
        <v>2.1299999999999999E-2</v>
      </c>
      <c r="G1016" s="26">
        <v>0.12920000000000001</v>
      </c>
      <c r="H1016" s="26">
        <v>2.1600000000000001E-2</v>
      </c>
      <c r="I1016" s="26">
        <v>0.1721</v>
      </c>
      <c r="J1016" s="26">
        <v>0.1794</v>
      </c>
      <c r="K1016" s="26">
        <v>0.1099</v>
      </c>
      <c r="R1016" s="26">
        <v>1.09E-2</v>
      </c>
      <c r="S1016">
        <v>37</v>
      </c>
    </row>
    <row r="1017" spans="1:19" x14ac:dyDescent="0.35">
      <c r="A1017" s="27" t="s">
        <v>230</v>
      </c>
      <c r="B1017" s="27" t="s">
        <v>235</v>
      </c>
      <c r="C1017" s="27" t="s">
        <v>376</v>
      </c>
      <c r="D1017" s="28">
        <v>0.16400000000000001</v>
      </c>
      <c r="E1017" s="29"/>
      <c r="F1017" s="28">
        <v>0.15240000000000001</v>
      </c>
      <c r="G1017" s="29"/>
      <c r="H1017" s="29"/>
      <c r="I1017" s="29"/>
      <c r="J1017" s="29"/>
      <c r="K1017" s="29"/>
      <c r="L1017" s="28">
        <v>0.30969999999999998</v>
      </c>
      <c r="M1017" s="28">
        <v>0.37380000000000002</v>
      </c>
      <c r="N1017" s="29"/>
      <c r="O1017" s="29"/>
      <c r="P1017" s="29"/>
      <c r="Q1017" s="29"/>
      <c r="R1017" s="29"/>
      <c r="S1017" s="29" t="s">
        <v>357</v>
      </c>
    </row>
    <row r="1018" spans="1:19" x14ac:dyDescent="0.35">
      <c r="A1018" s="27" t="s">
        <v>231</v>
      </c>
      <c r="B1018" s="27" t="s">
        <v>234</v>
      </c>
      <c r="C1018" s="27" t="s">
        <v>375</v>
      </c>
      <c r="D1018" s="29"/>
      <c r="E1018" s="28">
        <v>0.2</v>
      </c>
      <c r="F1018" s="29"/>
      <c r="G1018" s="29"/>
      <c r="H1018" s="28">
        <v>0.2</v>
      </c>
      <c r="I1018" s="28">
        <v>0.4</v>
      </c>
      <c r="J1018" s="28">
        <v>0.1</v>
      </c>
      <c r="K1018" s="28">
        <v>0.1</v>
      </c>
      <c r="L1018" s="29"/>
      <c r="M1018" s="29"/>
      <c r="N1018" s="29"/>
      <c r="O1018" s="29"/>
      <c r="P1018" s="29"/>
      <c r="Q1018" s="29"/>
      <c r="R1018" s="29"/>
      <c r="S1018" s="29" t="s">
        <v>307</v>
      </c>
    </row>
    <row r="1019" spans="1:19" x14ac:dyDescent="0.35">
      <c r="A1019" s="27" t="s">
        <v>231</v>
      </c>
      <c r="B1019" s="27" t="s">
        <v>234</v>
      </c>
      <c r="C1019" s="27" t="s">
        <v>378</v>
      </c>
      <c r="D1019" s="28">
        <v>1</v>
      </c>
      <c r="E1019" s="29"/>
      <c r="F1019" s="29"/>
      <c r="G1019" s="29"/>
      <c r="H1019" s="29"/>
      <c r="I1019" s="29"/>
      <c r="J1019" s="29"/>
      <c r="K1019" s="29"/>
      <c r="L1019" s="29"/>
      <c r="M1019" s="29"/>
      <c r="N1019" s="29"/>
      <c r="O1019" s="29"/>
      <c r="P1019" s="29"/>
      <c r="Q1019" s="29"/>
      <c r="R1019" s="29"/>
      <c r="S1019" s="29" t="s">
        <v>337</v>
      </c>
    </row>
    <row r="1020" spans="1:19" x14ac:dyDescent="0.35">
      <c r="A1020" s="27" t="s">
        <v>231</v>
      </c>
      <c r="B1020" s="27" t="s">
        <v>235</v>
      </c>
      <c r="C1020" s="27" t="s">
        <v>378</v>
      </c>
      <c r="D1020" s="28">
        <v>1</v>
      </c>
      <c r="E1020" s="29"/>
      <c r="F1020" s="29"/>
      <c r="G1020" s="29"/>
      <c r="H1020" s="29"/>
      <c r="I1020" s="29"/>
      <c r="J1020" s="29"/>
      <c r="K1020" s="29"/>
      <c r="L1020" s="29"/>
      <c r="M1020" s="29"/>
      <c r="N1020" s="29"/>
      <c r="O1020" s="29"/>
      <c r="P1020" s="29"/>
      <c r="Q1020" s="29"/>
      <c r="R1020" s="29"/>
      <c r="S1020" s="29" t="s">
        <v>332</v>
      </c>
    </row>
    <row r="1021" spans="1:19" x14ac:dyDescent="0.35">
      <c r="A1021" s="27" t="s">
        <v>231</v>
      </c>
      <c r="B1021" s="27" t="s">
        <v>234</v>
      </c>
      <c r="C1021" s="27" t="s">
        <v>376</v>
      </c>
      <c r="D1021" s="28">
        <v>0.16669999999999999</v>
      </c>
      <c r="E1021" s="29"/>
      <c r="F1021" s="28">
        <v>0.33329999999999999</v>
      </c>
      <c r="G1021" s="29"/>
      <c r="H1021" s="29"/>
      <c r="I1021" s="29"/>
      <c r="J1021" s="29"/>
      <c r="K1021" s="29"/>
      <c r="L1021" s="28">
        <v>0.33329999999999999</v>
      </c>
      <c r="M1021" s="28">
        <v>0.16669999999999999</v>
      </c>
      <c r="N1021" s="29"/>
      <c r="O1021" s="29"/>
      <c r="P1021" s="29"/>
      <c r="Q1021" s="29"/>
      <c r="R1021" s="29"/>
      <c r="S1021" s="29" t="s">
        <v>335</v>
      </c>
    </row>
    <row r="1022" spans="1:19" x14ac:dyDescent="0.35">
      <c r="A1022" s="27" t="s">
        <v>231</v>
      </c>
      <c r="B1022" s="27" t="s">
        <v>235</v>
      </c>
      <c r="C1022" s="27" t="s">
        <v>375</v>
      </c>
      <c r="D1022" s="29"/>
      <c r="E1022" s="28">
        <v>0.2727</v>
      </c>
      <c r="F1022" s="29"/>
      <c r="G1022" s="29"/>
      <c r="H1022" s="28">
        <v>0.2727</v>
      </c>
      <c r="I1022" s="28">
        <v>9.0899999999999995E-2</v>
      </c>
      <c r="J1022" s="28">
        <v>0.18179999999999999</v>
      </c>
      <c r="K1022" s="28">
        <v>0.18179999999999999</v>
      </c>
      <c r="L1022" s="29"/>
      <c r="M1022" s="29"/>
      <c r="N1022" s="29"/>
      <c r="O1022" s="29"/>
      <c r="P1022" s="29"/>
      <c r="Q1022" s="29"/>
      <c r="R1022" s="29"/>
      <c r="S1022" s="29" t="s">
        <v>352</v>
      </c>
    </row>
    <row r="1023" spans="1:19" x14ac:dyDescent="0.35">
      <c r="A1023" s="27" t="s">
        <v>231</v>
      </c>
      <c r="B1023" s="27" t="s">
        <v>235</v>
      </c>
      <c r="C1023" s="27" t="s">
        <v>376</v>
      </c>
      <c r="D1023" s="29"/>
      <c r="E1023" s="29"/>
      <c r="F1023" s="28">
        <v>0.5</v>
      </c>
      <c r="G1023" s="29"/>
      <c r="H1023" s="29"/>
      <c r="I1023" s="29"/>
      <c r="J1023" s="29"/>
      <c r="K1023" s="29"/>
      <c r="L1023" s="28">
        <v>0.16669999999999999</v>
      </c>
      <c r="M1023" s="28">
        <v>0.33329999999999999</v>
      </c>
      <c r="N1023" s="29"/>
      <c r="O1023" s="29"/>
      <c r="P1023" s="29"/>
      <c r="Q1023" s="29"/>
      <c r="R1023" s="29"/>
      <c r="S1023" s="29" t="s">
        <v>335</v>
      </c>
    </row>
    <row r="1024" spans="1:19" x14ac:dyDescent="0.35">
      <c r="A1024" s="27" t="s">
        <v>231</v>
      </c>
      <c r="B1024" s="27" t="s">
        <v>235</v>
      </c>
      <c r="C1024" s="27" t="s">
        <v>377</v>
      </c>
      <c r="D1024" s="29"/>
      <c r="E1024" s="29"/>
      <c r="F1024" s="29"/>
      <c r="G1024" s="28">
        <v>0.16669999999999999</v>
      </c>
      <c r="H1024" s="29"/>
      <c r="I1024" s="29"/>
      <c r="J1024" s="29"/>
      <c r="K1024" s="29"/>
      <c r="L1024" s="29"/>
      <c r="M1024" s="29"/>
      <c r="N1024" s="28">
        <v>0.5</v>
      </c>
      <c r="O1024" s="28">
        <v>0.16669999999999999</v>
      </c>
      <c r="P1024" s="29"/>
      <c r="Q1024" s="28">
        <v>0.16669999999999999</v>
      </c>
      <c r="R1024" s="29"/>
      <c r="S1024" s="29" t="s">
        <v>335</v>
      </c>
    </row>
    <row r="1025" spans="1:19" x14ac:dyDescent="0.35">
      <c r="A1025" s="27" t="s">
        <v>231</v>
      </c>
      <c r="B1025" s="27" t="s">
        <v>234</v>
      </c>
      <c r="C1025" s="27" t="s">
        <v>377</v>
      </c>
      <c r="D1025" s="29"/>
      <c r="E1025" s="29"/>
      <c r="F1025" s="29"/>
      <c r="G1025" s="28">
        <v>0.4</v>
      </c>
      <c r="H1025" s="29"/>
      <c r="I1025" s="29"/>
      <c r="J1025" s="28">
        <v>0.2</v>
      </c>
      <c r="K1025" s="29"/>
      <c r="L1025" s="29"/>
      <c r="M1025" s="29"/>
      <c r="N1025" s="29"/>
      <c r="O1025" s="28">
        <v>0.4</v>
      </c>
      <c r="P1025" s="29"/>
      <c r="Q1025" s="29"/>
      <c r="R1025" s="29"/>
      <c r="S1025" s="29" t="s">
        <v>332</v>
      </c>
    </row>
    <row r="1026" spans="1:19" x14ac:dyDescent="0.35">
      <c r="A1026" t="s">
        <v>232</v>
      </c>
      <c r="B1026" t="s">
        <v>232</v>
      </c>
      <c r="C1026" t="s">
        <v>232</v>
      </c>
      <c r="D1026" s="26">
        <v>0.15359999999999999</v>
      </c>
      <c r="E1026" s="26">
        <v>0.1013</v>
      </c>
      <c r="F1026" s="26">
        <v>9.2399999999999996E-2</v>
      </c>
      <c r="G1026" s="26">
        <v>8.9099999999999999E-2</v>
      </c>
      <c r="H1026" s="26">
        <v>8.4699999999999998E-2</v>
      </c>
      <c r="I1026" s="26">
        <v>0.08</v>
      </c>
      <c r="J1026" s="26">
        <v>7.9899999999999999E-2</v>
      </c>
      <c r="K1026" s="26">
        <v>6.5000000000000002E-2</v>
      </c>
      <c r="L1026" s="26">
        <v>5.8700000000000002E-2</v>
      </c>
      <c r="M1026" s="26">
        <v>5.4100000000000002E-2</v>
      </c>
      <c r="N1026" s="26">
        <v>5.33E-2</v>
      </c>
      <c r="O1026" s="26">
        <v>3.5999999999999997E-2</v>
      </c>
      <c r="P1026" s="26">
        <v>3.5900000000000001E-2</v>
      </c>
      <c r="Q1026" s="26">
        <v>9.7000000000000003E-3</v>
      </c>
      <c r="R1026" s="26">
        <v>6.1999999999999998E-3</v>
      </c>
      <c r="S1026">
        <v>967</v>
      </c>
    </row>
    <row r="1028" spans="1:19" x14ac:dyDescent="0.35">
      <c r="A1028" s="1" t="s">
        <v>425</v>
      </c>
    </row>
    <row r="1029" spans="1:19" x14ac:dyDescent="0.35">
      <c r="A1029" t="s">
        <v>219</v>
      </c>
      <c r="B1029" t="s">
        <v>426</v>
      </c>
      <c r="C1029" t="s">
        <v>427</v>
      </c>
      <c r="D1029" t="s">
        <v>428</v>
      </c>
      <c r="E1029" t="s">
        <v>429</v>
      </c>
      <c r="F1029" t="s">
        <v>430</v>
      </c>
      <c r="G1029" t="s">
        <v>431</v>
      </c>
      <c r="H1029" t="s">
        <v>432</v>
      </c>
      <c r="I1029" t="s">
        <v>433</v>
      </c>
      <c r="J1029" t="s">
        <v>434</v>
      </c>
      <c r="K1029" t="s">
        <v>435</v>
      </c>
      <c r="L1029" t="s">
        <v>436</v>
      </c>
      <c r="M1029" t="s">
        <v>437</v>
      </c>
      <c r="N1029" t="s">
        <v>438</v>
      </c>
      <c r="O1029" t="s">
        <v>439</v>
      </c>
      <c r="P1029" t="s">
        <v>440</v>
      </c>
      <c r="Q1029" t="s">
        <v>226</v>
      </c>
    </row>
    <row r="1030" spans="1:19" x14ac:dyDescent="0.35">
      <c r="A1030" s="27" t="s">
        <v>227</v>
      </c>
      <c r="B1030" s="29"/>
      <c r="C1030" s="29"/>
      <c r="D1030" s="29"/>
      <c r="E1030" s="28">
        <v>0.66669999999999996</v>
      </c>
      <c r="F1030" s="28">
        <v>0.33329999999999999</v>
      </c>
      <c r="G1030" s="29"/>
      <c r="H1030" s="29"/>
      <c r="I1030" s="29"/>
      <c r="J1030" s="29"/>
      <c r="K1030" s="29"/>
      <c r="L1030" s="29"/>
      <c r="M1030" s="29"/>
      <c r="N1030" s="29"/>
      <c r="O1030" s="29"/>
      <c r="P1030" s="29"/>
      <c r="Q1030" s="29" t="s">
        <v>315</v>
      </c>
    </row>
    <row r="1031" spans="1:19" x14ac:dyDescent="0.35">
      <c r="A1031" t="s">
        <v>228</v>
      </c>
      <c r="B1031" s="26">
        <v>9.98E-2</v>
      </c>
      <c r="C1031" s="26">
        <v>0.57999999999999996</v>
      </c>
      <c r="F1031" s="26">
        <v>7.2099999999999997E-2</v>
      </c>
      <c r="I1031" s="26">
        <v>0.15659999999999999</v>
      </c>
      <c r="K1031" s="26">
        <v>4.2099999999999999E-2</v>
      </c>
      <c r="L1031" s="26">
        <v>8.4699999999999998E-2</v>
      </c>
      <c r="M1031" s="26">
        <v>2.7900000000000001E-2</v>
      </c>
      <c r="N1031" s="26">
        <v>2.93E-2</v>
      </c>
      <c r="O1031" s="26">
        <v>1.9699999999999999E-2</v>
      </c>
      <c r="Q1031">
        <v>43</v>
      </c>
    </row>
    <row r="1032" spans="1:19" x14ac:dyDescent="0.35">
      <c r="A1032" s="27" t="s">
        <v>229</v>
      </c>
      <c r="B1032" s="28">
        <v>0.72319999999999995</v>
      </c>
      <c r="C1032" s="28">
        <v>6.0299999999999999E-2</v>
      </c>
      <c r="D1032" s="29"/>
      <c r="E1032" s="28">
        <v>1.8200000000000001E-2</v>
      </c>
      <c r="F1032" s="29"/>
      <c r="G1032" s="29"/>
      <c r="H1032" s="29"/>
      <c r="I1032" s="28">
        <v>2.3400000000000001E-2</v>
      </c>
      <c r="J1032" s="28">
        <v>0.1656</v>
      </c>
      <c r="K1032" s="28">
        <v>5.1400000000000001E-2</v>
      </c>
      <c r="L1032" s="29"/>
      <c r="M1032" s="28">
        <v>2.3400000000000001E-2</v>
      </c>
      <c r="N1032" s="29"/>
      <c r="O1032" s="29"/>
      <c r="P1032" s="28">
        <v>5.1999999999999998E-3</v>
      </c>
      <c r="Q1032" s="29" t="s">
        <v>343</v>
      </c>
    </row>
    <row r="1033" spans="1:19" x14ac:dyDescent="0.35">
      <c r="A1033" s="27" t="s">
        <v>230</v>
      </c>
      <c r="B1033" s="28">
        <v>2.5100000000000001E-2</v>
      </c>
      <c r="C1033" s="28">
        <v>0.47110000000000002</v>
      </c>
      <c r="D1033" s="28">
        <v>2.4500000000000001E-2</v>
      </c>
      <c r="E1033" s="29"/>
      <c r="F1033" s="28">
        <v>7.5200000000000003E-2</v>
      </c>
      <c r="G1033" s="29"/>
      <c r="H1033" s="29"/>
      <c r="I1033" s="28">
        <v>4.9599999999999998E-2</v>
      </c>
      <c r="J1033" s="28">
        <v>0.15620000000000001</v>
      </c>
      <c r="K1033" s="28">
        <v>0.1487</v>
      </c>
      <c r="L1033" s="29"/>
      <c r="M1033" s="28">
        <v>4.9599999999999998E-2</v>
      </c>
      <c r="N1033" s="29"/>
      <c r="O1033" s="29"/>
      <c r="P1033" s="28">
        <v>2.4500000000000001E-2</v>
      </c>
      <c r="Q1033" s="29" t="s">
        <v>348</v>
      </c>
    </row>
    <row r="1034" spans="1:19" x14ac:dyDescent="0.35">
      <c r="A1034" s="27" t="s">
        <v>231</v>
      </c>
      <c r="B1034" s="28">
        <v>0.375</v>
      </c>
      <c r="C1034" s="29"/>
      <c r="D1034" s="28">
        <v>0.375</v>
      </c>
      <c r="E1034" s="29"/>
      <c r="F1034" s="29"/>
      <c r="G1034" s="28">
        <v>0.125</v>
      </c>
      <c r="H1034" s="28">
        <v>0.125</v>
      </c>
      <c r="I1034" s="29"/>
      <c r="J1034" s="29"/>
      <c r="K1034" s="29"/>
      <c r="L1034" s="29"/>
      <c r="M1034" s="29"/>
      <c r="N1034" s="29"/>
      <c r="O1034" s="29"/>
      <c r="P1034" s="29"/>
      <c r="Q1034" s="29" t="s">
        <v>333</v>
      </c>
    </row>
    <row r="1035" spans="1:19" x14ac:dyDescent="0.35">
      <c r="A1035" t="s">
        <v>232</v>
      </c>
      <c r="B1035" s="26">
        <v>0.29580000000000001</v>
      </c>
      <c r="C1035" s="26">
        <v>0.19600000000000001</v>
      </c>
      <c r="D1035" s="26">
        <v>0.1573</v>
      </c>
      <c r="E1035" s="26">
        <v>6.08E-2</v>
      </c>
      <c r="F1035" s="26">
        <v>5.3900000000000003E-2</v>
      </c>
      <c r="G1035" s="26">
        <v>5.16E-2</v>
      </c>
      <c r="H1035" s="26">
        <v>5.16E-2</v>
      </c>
      <c r="I1035" s="26">
        <v>4.5699999999999998E-2</v>
      </c>
      <c r="J1035" s="26">
        <v>4.2999999999999997E-2</v>
      </c>
      <c r="K1035" s="26">
        <v>3.4000000000000002E-2</v>
      </c>
      <c r="L1035" s="26">
        <v>1.9900000000000001E-2</v>
      </c>
      <c r="M1035" s="26">
        <v>1.5599999999999999E-2</v>
      </c>
      <c r="N1035" s="26">
        <v>6.8999999999999999E-3</v>
      </c>
      <c r="O1035" s="26">
        <v>4.5999999999999999E-3</v>
      </c>
      <c r="P1035" s="26">
        <v>3.5000000000000001E-3</v>
      </c>
      <c r="Q1035">
        <v>87</v>
      </c>
    </row>
    <row r="1037" spans="1:19" x14ac:dyDescent="0.35">
      <c r="A1037" s="1" t="s">
        <v>441</v>
      </c>
    </row>
    <row r="1038" spans="1:19" x14ac:dyDescent="0.35">
      <c r="A1038" t="s">
        <v>219</v>
      </c>
      <c r="B1038" t="s">
        <v>305</v>
      </c>
      <c r="C1038" t="s">
        <v>426</v>
      </c>
      <c r="D1038" t="s">
        <v>427</v>
      </c>
      <c r="E1038" t="s">
        <v>428</v>
      </c>
      <c r="F1038" t="s">
        <v>429</v>
      </c>
      <c r="G1038" t="s">
        <v>430</v>
      </c>
      <c r="H1038" t="s">
        <v>431</v>
      </c>
      <c r="I1038" t="s">
        <v>432</v>
      </c>
      <c r="J1038" t="s">
        <v>433</v>
      </c>
      <c r="K1038" t="s">
        <v>434</v>
      </c>
      <c r="L1038" t="s">
        <v>435</v>
      </c>
      <c r="M1038" t="s">
        <v>436</v>
      </c>
      <c r="N1038" t="s">
        <v>437</v>
      </c>
      <c r="O1038" t="s">
        <v>438</v>
      </c>
      <c r="P1038" t="s">
        <v>439</v>
      </c>
      <c r="Q1038" t="s">
        <v>440</v>
      </c>
      <c r="R1038" t="s">
        <v>226</v>
      </c>
    </row>
    <row r="1039" spans="1:19" x14ac:dyDescent="0.35">
      <c r="A1039" s="27" t="s">
        <v>227</v>
      </c>
      <c r="B1039" s="27" t="s">
        <v>242</v>
      </c>
      <c r="C1039" s="29"/>
      <c r="D1039" s="29"/>
      <c r="E1039" s="29"/>
      <c r="F1039" s="28">
        <v>1</v>
      </c>
      <c r="G1039" s="29"/>
      <c r="H1039" s="29"/>
      <c r="I1039" s="29"/>
      <c r="J1039" s="29"/>
      <c r="K1039" s="29"/>
      <c r="L1039" s="29"/>
      <c r="M1039" s="29"/>
      <c r="N1039" s="29"/>
      <c r="O1039" s="29"/>
      <c r="P1039" s="29"/>
      <c r="Q1039" s="29"/>
      <c r="R1039" s="29" t="s">
        <v>314</v>
      </c>
    </row>
    <row r="1040" spans="1:19" x14ac:dyDescent="0.35">
      <c r="A1040" s="27" t="s">
        <v>227</v>
      </c>
      <c r="B1040" s="27" t="s">
        <v>241</v>
      </c>
      <c r="C1040" s="29"/>
      <c r="D1040" s="29"/>
      <c r="E1040" s="29"/>
      <c r="F1040" s="29"/>
      <c r="G1040" s="28">
        <v>1</v>
      </c>
      <c r="H1040" s="29"/>
      <c r="I1040" s="29"/>
      <c r="J1040" s="29"/>
      <c r="K1040" s="29"/>
      <c r="L1040" s="29"/>
      <c r="M1040" s="29"/>
      <c r="N1040" s="29"/>
      <c r="O1040" s="29"/>
      <c r="P1040" s="29"/>
      <c r="Q1040" s="29"/>
      <c r="R1040" s="29" t="s">
        <v>331</v>
      </c>
    </row>
    <row r="1041" spans="1:18" x14ac:dyDescent="0.35">
      <c r="A1041" s="27" t="s">
        <v>228</v>
      </c>
      <c r="B1041" s="27" t="s">
        <v>242</v>
      </c>
      <c r="C1041" s="28">
        <v>0.129</v>
      </c>
      <c r="D1041" s="28">
        <v>0.79020000000000001</v>
      </c>
      <c r="E1041" s="29"/>
      <c r="F1041" s="29"/>
      <c r="G1041" s="28">
        <v>2.9499999999999998E-2</v>
      </c>
      <c r="H1041" s="29"/>
      <c r="I1041" s="29"/>
      <c r="J1041" s="28">
        <v>3.9100000000000003E-2</v>
      </c>
      <c r="K1041" s="29"/>
      <c r="L1041" s="29"/>
      <c r="M1041" s="29"/>
      <c r="N1041" s="29"/>
      <c r="O1041" s="28">
        <v>2.5700000000000001E-2</v>
      </c>
      <c r="P1041" s="28">
        <v>2.5700000000000001E-2</v>
      </c>
      <c r="Q1041" s="29"/>
      <c r="R1041" s="29" t="s">
        <v>341</v>
      </c>
    </row>
    <row r="1042" spans="1:18" x14ac:dyDescent="0.35">
      <c r="A1042" t="s">
        <v>228</v>
      </c>
      <c r="B1042" t="s">
        <v>241</v>
      </c>
      <c r="C1042" s="26">
        <v>8.3599999999999994E-2</v>
      </c>
      <c r="D1042" s="26">
        <v>0.46339999999999998</v>
      </c>
      <c r="G1042" s="26">
        <v>9.5699999999999993E-2</v>
      </c>
      <c r="J1042" s="26">
        <v>0.22170000000000001</v>
      </c>
      <c r="L1042" s="26">
        <v>6.5500000000000003E-2</v>
      </c>
      <c r="M1042" s="26">
        <v>0.13170000000000001</v>
      </c>
      <c r="N1042" s="26">
        <v>4.3400000000000001E-2</v>
      </c>
      <c r="O1042" s="26">
        <v>3.1300000000000001E-2</v>
      </c>
      <c r="P1042" s="26">
        <v>1.6400000000000001E-2</v>
      </c>
      <c r="R1042">
        <v>30</v>
      </c>
    </row>
    <row r="1043" spans="1:18" x14ac:dyDescent="0.35">
      <c r="A1043" s="27" t="s">
        <v>229</v>
      </c>
      <c r="B1043" s="27" t="s">
        <v>242</v>
      </c>
      <c r="C1043" s="28">
        <v>0.46700000000000003</v>
      </c>
      <c r="D1043" s="28">
        <v>1.4800000000000001E-2</v>
      </c>
      <c r="E1043" s="29"/>
      <c r="F1043" s="28">
        <v>5.1200000000000002E-2</v>
      </c>
      <c r="G1043" s="29"/>
      <c r="H1043" s="29"/>
      <c r="I1043" s="29"/>
      <c r="J1043" s="29"/>
      <c r="K1043" s="28">
        <v>0.46700000000000003</v>
      </c>
      <c r="L1043" s="28">
        <v>1.4800000000000001E-2</v>
      </c>
      <c r="M1043" s="29"/>
      <c r="N1043" s="28">
        <v>1.4800000000000001E-2</v>
      </c>
      <c r="O1043" s="29"/>
      <c r="P1043" s="29"/>
      <c r="Q1043" s="29"/>
      <c r="R1043" s="29" t="s">
        <v>337</v>
      </c>
    </row>
    <row r="1044" spans="1:18" x14ac:dyDescent="0.35">
      <c r="A1044" s="27" t="s">
        <v>229</v>
      </c>
      <c r="B1044" s="27" t="s">
        <v>241</v>
      </c>
      <c r="C1044" s="28">
        <v>0.86399999999999999</v>
      </c>
      <c r="D1044" s="28">
        <v>8.5300000000000001E-2</v>
      </c>
      <c r="E1044" s="29"/>
      <c r="F1044" s="29"/>
      <c r="G1044" s="29"/>
      <c r="H1044" s="29"/>
      <c r="I1044" s="29"/>
      <c r="J1044" s="28">
        <v>3.6299999999999999E-2</v>
      </c>
      <c r="K1044" s="29"/>
      <c r="L1044" s="28">
        <v>7.1499999999999994E-2</v>
      </c>
      <c r="M1044" s="29"/>
      <c r="N1044" s="28">
        <v>2.8199999999999999E-2</v>
      </c>
      <c r="O1044" s="29"/>
      <c r="P1044" s="29"/>
      <c r="Q1044" s="28">
        <v>8.0999999999999996E-3</v>
      </c>
      <c r="R1044" s="29" t="s">
        <v>341</v>
      </c>
    </row>
    <row r="1045" spans="1:18" x14ac:dyDescent="0.35">
      <c r="A1045" s="27" t="s">
        <v>230</v>
      </c>
      <c r="B1045" s="27" t="s">
        <v>242</v>
      </c>
      <c r="C1045" s="29"/>
      <c r="D1045" s="28">
        <v>0.112</v>
      </c>
      <c r="E1045" s="29"/>
      <c r="F1045" s="29"/>
      <c r="G1045" s="29"/>
      <c r="H1045" s="29"/>
      <c r="I1045" s="29"/>
      <c r="J1045" s="28">
        <v>0.112</v>
      </c>
      <c r="K1045" s="29"/>
      <c r="L1045" s="28">
        <v>0.66400000000000003</v>
      </c>
      <c r="M1045" s="29"/>
      <c r="N1045" s="28">
        <v>0.112</v>
      </c>
      <c r="O1045" s="29"/>
      <c r="P1045" s="29"/>
      <c r="Q1045" s="29"/>
      <c r="R1045" s="29" t="s">
        <v>337</v>
      </c>
    </row>
    <row r="1046" spans="1:18" x14ac:dyDescent="0.35">
      <c r="A1046" s="27" t="s">
        <v>230</v>
      </c>
      <c r="B1046" s="27" t="s">
        <v>241</v>
      </c>
      <c r="C1046" s="28">
        <v>3.2300000000000002E-2</v>
      </c>
      <c r="D1046" s="28">
        <v>0.57469999999999999</v>
      </c>
      <c r="E1046" s="28">
        <v>3.1600000000000003E-2</v>
      </c>
      <c r="F1046" s="29"/>
      <c r="G1046" s="28">
        <v>9.7000000000000003E-2</v>
      </c>
      <c r="H1046" s="29"/>
      <c r="I1046" s="29"/>
      <c r="J1046" s="28">
        <v>3.1600000000000003E-2</v>
      </c>
      <c r="K1046" s="28">
        <v>0.20130000000000001</v>
      </c>
      <c r="L1046" s="29"/>
      <c r="M1046" s="29"/>
      <c r="N1046" s="28">
        <v>3.1600000000000003E-2</v>
      </c>
      <c r="O1046" s="29"/>
      <c r="P1046" s="29"/>
      <c r="Q1046" s="28">
        <v>3.1600000000000003E-2</v>
      </c>
      <c r="R1046" s="29" t="s">
        <v>342</v>
      </c>
    </row>
    <row r="1047" spans="1:18" x14ac:dyDescent="0.35">
      <c r="A1047" s="27" t="s">
        <v>231</v>
      </c>
      <c r="B1047" s="27" t="s">
        <v>241</v>
      </c>
      <c r="C1047" s="28">
        <v>0.375</v>
      </c>
      <c r="D1047" s="29"/>
      <c r="E1047" s="28">
        <v>0.375</v>
      </c>
      <c r="F1047" s="29"/>
      <c r="G1047" s="29"/>
      <c r="H1047" s="28">
        <v>0.125</v>
      </c>
      <c r="I1047" s="28">
        <v>0.125</v>
      </c>
      <c r="J1047" s="29"/>
      <c r="K1047" s="29"/>
      <c r="L1047" s="29"/>
      <c r="M1047" s="29"/>
      <c r="N1047" s="29"/>
      <c r="O1047" s="29"/>
      <c r="P1047" s="29"/>
      <c r="Q1047" s="29"/>
      <c r="R1047" s="29" t="s">
        <v>333</v>
      </c>
    </row>
    <row r="1048" spans="1:18" x14ac:dyDescent="0.35">
      <c r="A1048" t="s">
        <v>232</v>
      </c>
      <c r="B1048" t="s">
        <v>232</v>
      </c>
      <c r="C1048" s="26">
        <v>0.29580000000000001</v>
      </c>
      <c r="D1048" s="26">
        <v>0.19600000000000001</v>
      </c>
      <c r="E1048" s="26">
        <v>0.1573</v>
      </c>
      <c r="F1048" s="26">
        <v>6.08E-2</v>
      </c>
      <c r="G1048" s="26">
        <v>5.3900000000000003E-2</v>
      </c>
      <c r="H1048" s="26">
        <v>5.16E-2</v>
      </c>
      <c r="I1048" s="26">
        <v>5.16E-2</v>
      </c>
      <c r="J1048" s="26">
        <v>4.5699999999999998E-2</v>
      </c>
      <c r="K1048" s="26">
        <v>4.2999999999999997E-2</v>
      </c>
      <c r="L1048" s="26">
        <v>3.4000000000000002E-2</v>
      </c>
      <c r="M1048" s="26">
        <v>1.9900000000000001E-2</v>
      </c>
      <c r="N1048" s="26">
        <v>1.5599999999999999E-2</v>
      </c>
      <c r="O1048" s="26">
        <v>6.8999999999999999E-3</v>
      </c>
      <c r="P1048" s="26">
        <v>4.5999999999999999E-3</v>
      </c>
      <c r="Q1048" s="26">
        <v>3.5000000000000001E-3</v>
      </c>
      <c r="R1048">
        <v>87</v>
      </c>
    </row>
    <row r="1050" spans="1:18" x14ac:dyDescent="0.35">
      <c r="A1050" s="1" t="s">
        <v>442</v>
      </c>
    </row>
    <row r="1051" spans="1:18" x14ac:dyDescent="0.35">
      <c r="A1051" t="s">
        <v>219</v>
      </c>
      <c r="B1051" t="s">
        <v>305</v>
      </c>
      <c r="C1051" t="s">
        <v>426</v>
      </c>
      <c r="D1051" t="s">
        <v>427</v>
      </c>
      <c r="E1051" t="s">
        <v>428</v>
      </c>
      <c r="F1051" t="s">
        <v>429</v>
      </c>
      <c r="G1051" t="s">
        <v>430</v>
      </c>
      <c r="H1051" t="s">
        <v>431</v>
      </c>
      <c r="I1051" t="s">
        <v>432</v>
      </c>
      <c r="J1051" t="s">
        <v>433</v>
      </c>
      <c r="K1051" t="s">
        <v>434</v>
      </c>
      <c r="L1051" t="s">
        <v>435</v>
      </c>
      <c r="M1051" t="s">
        <v>436</v>
      </c>
      <c r="N1051" t="s">
        <v>437</v>
      </c>
      <c r="O1051" t="s">
        <v>438</v>
      </c>
      <c r="P1051" t="s">
        <v>439</v>
      </c>
      <c r="Q1051" t="s">
        <v>440</v>
      </c>
      <c r="R1051" t="s">
        <v>226</v>
      </c>
    </row>
    <row r="1052" spans="1:18" x14ac:dyDescent="0.35">
      <c r="A1052" s="27" t="s">
        <v>227</v>
      </c>
      <c r="B1052" s="27" t="s">
        <v>239</v>
      </c>
      <c r="C1052" s="29"/>
      <c r="D1052" s="29"/>
      <c r="E1052" s="29"/>
      <c r="F1052" s="28">
        <v>0.66669999999999996</v>
      </c>
      <c r="G1052" s="28">
        <v>0.33329999999999999</v>
      </c>
      <c r="H1052" s="29"/>
      <c r="I1052" s="29"/>
      <c r="J1052" s="29"/>
      <c r="K1052" s="29"/>
      <c r="L1052" s="29"/>
      <c r="M1052" s="29"/>
      <c r="N1052" s="29"/>
      <c r="O1052" s="29"/>
      <c r="P1052" s="29"/>
      <c r="Q1052" s="29"/>
      <c r="R1052" s="29" t="s">
        <v>315</v>
      </c>
    </row>
    <row r="1053" spans="1:18" x14ac:dyDescent="0.35">
      <c r="A1053" s="27" t="s">
        <v>228</v>
      </c>
      <c r="B1053" s="27" t="s">
        <v>239</v>
      </c>
      <c r="C1053" s="28">
        <v>0.31140000000000001</v>
      </c>
      <c r="D1053" s="28">
        <v>0.30580000000000002</v>
      </c>
      <c r="E1053" s="29"/>
      <c r="F1053" s="29"/>
      <c r="G1053" s="28">
        <v>6.3100000000000003E-2</v>
      </c>
      <c r="H1053" s="29"/>
      <c r="I1053" s="29"/>
      <c r="J1053" s="28">
        <v>0.20169999999999999</v>
      </c>
      <c r="K1053" s="29"/>
      <c r="L1053" s="29"/>
      <c r="M1053" s="29"/>
      <c r="N1053" s="28">
        <v>8.3599999999999994E-2</v>
      </c>
      <c r="O1053" s="28">
        <v>5.4899999999999997E-2</v>
      </c>
      <c r="P1053" s="28">
        <v>6.3100000000000003E-2</v>
      </c>
      <c r="Q1053" s="29"/>
      <c r="R1053" s="29" t="s">
        <v>346</v>
      </c>
    </row>
    <row r="1054" spans="1:18" x14ac:dyDescent="0.35">
      <c r="A1054" s="27" t="s">
        <v>228</v>
      </c>
      <c r="B1054" s="27" t="s">
        <v>238</v>
      </c>
      <c r="C1054" s="28">
        <v>5.74E-2</v>
      </c>
      <c r="D1054" s="28">
        <v>0.63500000000000001</v>
      </c>
      <c r="E1054" s="29"/>
      <c r="F1054" s="29"/>
      <c r="G1054" s="28">
        <v>7.3899999999999993E-2</v>
      </c>
      <c r="H1054" s="29"/>
      <c r="I1054" s="29"/>
      <c r="J1054" s="28">
        <v>0.14749999999999999</v>
      </c>
      <c r="K1054" s="29"/>
      <c r="L1054" s="28">
        <v>5.0599999999999999E-2</v>
      </c>
      <c r="M1054" s="28">
        <v>0.1016</v>
      </c>
      <c r="N1054" s="28">
        <v>1.6799999999999999E-2</v>
      </c>
      <c r="O1054" s="28">
        <v>2.4199999999999999E-2</v>
      </c>
      <c r="P1054" s="28">
        <v>1.0999999999999999E-2</v>
      </c>
      <c r="Q1054" s="29"/>
      <c r="R1054" s="29" t="s">
        <v>336</v>
      </c>
    </row>
    <row r="1055" spans="1:18" x14ac:dyDescent="0.35">
      <c r="A1055" s="27" t="s">
        <v>229</v>
      </c>
      <c r="B1055" s="27" t="s">
        <v>239</v>
      </c>
      <c r="C1055" s="28">
        <v>0.78</v>
      </c>
      <c r="D1055" s="29"/>
      <c r="E1055" s="29"/>
      <c r="F1055" s="28">
        <v>7.85E-2</v>
      </c>
      <c r="G1055" s="29"/>
      <c r="H1055" s="29"/>
      <c r="I1055" s="29"/>
      <c r="J1055" s="28">
        <v>0.1012</v>
      </c>
      <c r="K1055" s="29"/>
      <c r="L1055" s="28">
        <v>4.0300000000000002E-2</v>
      </c>
      <c r="M1055" s="29"/>
      <c r="N1055" s="28">
        <v>7.85E-2</v>
      </c>
      <c r="O1055" s="29"/>
      <c r="P1055" s="29"/>
      <c r="Q1055" s="28">
        <v>2.2700000000000001E-2</v>
      </c>
      <c r="R1055" s="29" t="s">
        <v>339</v>
      </c>
    </row>
    <row r="1056" spans="1:18" x14ac:dyDescent="0.35">
      <c r="A1056" s="27" t="s">
        <v>229</v>
      </c>
      <c r="B1056" s="27" t="s">
        <v>238</v>
      </c>
      <c r="C1056" s="28">
        <v>0.70620000000000005</v>
      </c>
      <c r="D1056" s="28">
        <v>7.8399999999999997E-2</v>
      </c>
      <c r="E1056" s="29"/>
      <c r="F1056" s="29"/>
      <c r="G1056" s="29"/>
      <c r="H1056" s="29"/>
      <c r="I1056" s="29"/>
      <c r="J1056" s="29"/>
      <c r="K1056" s="28">
        <v>0.21540000000000001</v>
      </c>
      <c r="L1056" s="28">
        <v>5.4800000000000001E-2</v>
      </c>
      <c r="M1056" s="29"/>
      <c r="N1056" s="28">
        <v>6.7999999999999996E-3</v>
      </c>
      <c r="O1056" s="29"/>
      <c r="P1056" s="29"/>
      <c r="Q1056" s="29"/>
      <c r="R1056" s="29" t="s">
        <v>307</v>
      </c>
    </row>
    <row r="1057" spans="1:18" x14ac:dyDescent="0.35">
      <c r="A1057" s="27" t="s">
        <v>230</v>
      </c>
      <c r="B1057" s="27" t="s">
        <v>239</v>
      </c>
      <c r="C1057" s="28">
        <v>3.9899999999999998E-2</v>
      </c>
      <c r="D1057" s="28">
        <v>0.51349999999999996</v>
      </c>
      <c r="E1057" s="28">
        <v>3.9E-2</v>
      </c>
      <c r="F1057" s="29"/>
      <c r="G1057" s="28">
        <v>3.9899999999999998E-2</v>
      </c>
      <c r="H1057" s="29"/>
      <c r="I1057" s="29"/>
      <c r="J1057" s="28">
        <v>7.9000000000000001E-2</v>
      </c>
      <c r="K1057" s="28">
        <v>1.2E-2</v>
      </c>
      <c r="L1057" s="28">
        <v>0.23680000000000001</v>
      </c>
      <c r="M1057" s="29"/>
      <c r="N1057" s="28">
        <v>3.9899999999999998E-2</v>
      </c>
      <c r="O1057" s="29"/>
      <c r="P1057" s="29"/>
      <c r="Q1057" s="28">
        <v>3.9E-2</v>
      </c>
      <c r="R1057" s="29" t="s">
        <v>352</v>
      </c>
    </row>
    <row r="1058" spans="1:18" x14ac:dyDescent="0.35">
      <c r="A1058" s="27" t="s">
        <v>230</v>
      </c>
      <c r="B1058" s="27" t="s">
        <v>238</v>
      </c>
      <c r="C1058" s="29"/>
      <c r="D1058" s="28">
        <v>0.3997</v>
      </c>
      <c r="E1058" s="29"/>
      <c r="F1058" s="29"/>
      <c r="G1058" s="28">
        <v>0.1348</v>
      </c>
      <c r="H1058" s="29"/>
      <c r="I1058" s="29"/>
      <c r="J1058" s="29"/>
      <c r="K1058" s="28">
        <v>0.3997</v>
      </c>
      <c r="L1058" s="29"/>
      <c r="M1058" s="29"/>
      <c r="N1058" s="28">
        <v>6.5799999999999997E-2</v>
      </c>
      <c r="O1058" s="29"/>
      <c r="P1058" s="29"/>
      <c r="Q1058" s="29"/>
      <c r="R1058" s="29" t="s">
        <v>332</v>
      </c>
    </row>
    <row r="1059" spans="1:18" x14ac:dyDescent="0.35">
      <c r="A1059" s="27" t="s">
        <v>231</v>
      </c>
      <c r="B1059" s="27" t="s">
        <v>239</v>
      </c>
      <c r="C1059" s="28">
        <v>0.375</v>
      </c>
      <c r="D1059" s="29"/>
      <c r="E1059" s="28">
        <v>0.375</v>
      </c>
      <c r="F1059" s="29"/>
      <c r="G1059" s="29"/>
      <c r="H1059" s="28">
        <v>0.125</v>
      </c>
      <c r="I1059" s="28">
        <v>0.125</v>
      </c>
      <c r="J1059" s="29"/>
      <c r="K1059" s="29"/>
      <c r="L1059" s="29"/>
      <c r="M1059" s="29"/>
      <c r="N1059" s="29"/>
      <c r="O1059" s="29"/>
      <c r="P1059" s="29"/>
      <c r="Q1059" s="29"/>
      <c r="R1059" s="29" t="s">
        <v>333</v>
      </c>
    </row>
    <row r="1060" spans="1:18" x14ac:dyDescent="0.35">
      <c r="A1060" t="s">
        <v>232</v>
      </c>
      <c r="B1060" t="s">
        <v>232</v>
      </c>
      <c r="C1060" s="26">
        <v>0.29580000000000001</v>
      </c>
      <c r="D1060" s="26">
        <v>0.19600000000000001</v>
      </c>
      <c r="E1060" s="26">
        <v>0.1573</v>
      </c>
      <c r="F1060" s="26">
        <v>6.08E-2</v>
      </c>
      <c r="G1060" s="26">
        <v>5.3900000000000003E-2</v>
      </c>
      <c r="H1060" s="26">
        <v>5.16E-2</v>
      </c>
      <c r="I1060" s="26">
        <v>5.16E-2</v>
      </c>
      <c r="J1060" s="26">
        <v>4.5699999999999998E-2</v>
      </c>
      <c r="K1060" s="26">
        <v>4.2999999999999997E-2</v>
      </c>
      <c r="L1060" s="26">
        <v>3.4000000000000002E-2</v>
      </c>
      <c r="M1060" s="26">
        <v>1.9900000000000001E-2</v>
      </c>
      <c r="N1060" s="26">
        <v>1.5599999999999999E-2</v>
      </c>
      <c r="O1060" s="26">
        <v>6.8999999999999999E-3</v>
      </c>
      <c r="P1060" s="26">
        <v>4.5999999999999999E-3</v>
      </c>
      <c r="Q1060" s="26">
        <v>3.5000000000000001E-3</v>
      </c>
      <c r="R1060">
        <v>87</v>
      </c>
    </row>
    <row r="1062" spans="1:18" x14ac:dyDescent="0.35">
      <c r="A1062" s="1" t="s">
        <v>443</v>
      </c>
    </row>
    <row r="1063" spans="1:18" x14ac:dyDescent="0.35">
      <c r="A1063" t="s">
        <v>219</v>
      </c>
      <c r="B1063" t="s">
        <v>305</v>
      </c>
      <c r="C1063" t="s">
        <v>426</v>
      </c>
      <c r="D1063" t="s">
        <v>427</v>
      </c>
      <c r="E1063" t="s">
        <v>428</v>
      </c>
      <c r="F1063" t="s">
        <v>429</v>
      </c>
      <c r="G1063" t="s">
        <v>430</v>
      </c>
      <c r="H1063" t="s">
        <v>431</v>
      </c>
      <c r="I1063" t="s">
        <v>432</v>
      </c>
      <c r="J1063" t="s">
        <v>433</v>
      </c>
      <c r="K1063" t="s">
        <v>434</v>
      </c>
      <c r="L1063" t="s">
        <v>435</v>
      </c>
      <c r="M1063" t="s">
        <v>436</v>
      </c>
      <c r="N1063" t="s">
        <v>437</v>
      </c>
      <c r="O1063" t="s">
        <v>438</v>
      </c>
      <c r="P1063" t="s">
        <v>439</v>
      </c>
      <c r="Q1063" t="s">
        <v>440</v>
      </c>
      <c r="R1063" t="s">
        <v>226</v>
      </c>
    </row>
    <row r="1064" spans="1:18" x14ac:dyDescent="0.35">
      <c r="A1064" s="27" t="s">
        <v>227</v>
      </c>
      <c r="B1064" s="27" t="s">
        <v>244</v>
      </c>
      <c r="C1064" s="29"/>
      <c r="D1064" s="29"/>
      <c r="E1064" s="29"/>
      <c r="F1064" s="29"/>
      <c r="G1064" s="28">
        <v>1</v>
      </c>
      <c r="H1064" s="29"/>
      <c r="I1064" s="29"/>
      <c r="J1064" s="29"/>
      <c r="K1064" s="29"/>
      <c r="L1064" s="29"/>
      <c r="M1064" s="29"/>
      <c r="N1064" s="29"/>
      <c r="O1064" s="29"/>
      <c r="P1064" s="29"/>
      <c r="Q1064" s="29"/>
      <c r="R1064" s="29" t="s">
        <v>331</v>
      </c>
    </row>
    <row r="1065" spans="1:18" x14ac:dyDescent="0.35">
      <c r="A1065" s="27" t="s">
        <v>227</v>
      </c>
      <c r="B1065" s="27" t="s">
        <v>246</v>
      </c>
      <c r="C1065" s="29"/>
      <c r="D1065" s="29"/>
      <c r="E1065" s="29"/>
      <c r="F1065" s="28">
        <v>1</v>
      </c>
      <c r="G1065" s="29"/>
      <c r="H1065" s="29"/>
      <c r="I1065" s="29"/>
      <c r="J1065" s="29"/>
      <c r="K1065" s="29"/>
      <c r="L1065" s="29"/>
      <c r="M1065" s="29"/>
      <c r="N1065" s="29"/>
      <c r="O1065" s="29"/>
      <c r="P1065" s="29"/>
      <c r="Q1065" s="29"/>
      <c r="R1065" s="29" t="s">
        <v>314</v>
      </c>
    </row>
    <row r="1066" spans="1:18" x14ac:dyDescent="0.35">
      <c r="A1066" s="27" t="s">
        <v>228</v>
      </c>
      <c r="B1066" s="27" t="s">
        <v>244</v>
      </c>
      <c r="C1066" s="28">
        <v>0.1081</v>
      </c>
      <c r="D1066" s="28">
        <v>0.38469999999999999</v>
      </c>
      <c r="E1066" s="29"/>
      <c r="F1066" s="29"/>
      <c r="G1066" s="28">
        <v>6.3799999999999996E-2</v>
      </c>
      <c r="H1066" s="29"/>
      <c r="I1066" s="29"/>
      <c r="J1066" s="28">
        <v>0.19589999999999999</v>
      </c>
      <c r="K1066" s="29"/>
      <c r="L1066" s="28">
        <v>2.4799999999999999E-2</v>
      </c>
      <c r="M1066" s="28">
        <v>0.17019999999999999</v>
      </c>
      <c r="N1066" s="28">
        <v>5.6099999999999997E-2</v>
      </c>
      <c r="O1066" s="28">
        <v>1.84E-2</v>
      </c>
      <c r="P1066" s="28">
        <v>1.84E-2</v>
      </c>
      <c r="Q1066" s="29"/>
      <c r="R1066" s="29" t="s">
        <v>338</v>
      </c>
    </row>
    <row r="1067" spans="1:18" x14ac:dyDescent="0.35">
      <c r="A1067" s="27" t="s">
        <v>228</v>
      </c>
      <c r="B1067" s="27" t="s">
        <v>246</v>
      </c>
      <c r="C1067" s="28">
        <v>9.1600000000000001E-2</v>
      </c>
      <c r="D1067" s="28">
        <v>0.77349999999999997</v>
      </c>
      <c r="E1067" s="29"/>
      <c r="F1067" s="29"/>
      <c r="G1067" s="28">
        <v>8.0299999999999996E-2</v>
      </c>
      <c r="H1067" s="29"/>
      <c r="I1067" s="29"/>
      <c r="J1067" s="28">
        <v>0.1176</v>
      </c>
      <c r="K1067" s="29"/>
      <c r="L1067" s="28">
        <v>5.9299999999999999E-2</v>
      </c>
      <c r="M1067" s="29"/>
      <c r="N1067" s="29"/>
      <c r="O1067" s="28">
        <v>4.0099999999999997E-2</v>
      </c>
      <c r="P1067" s="28">
        <v>2.1000000000000001E-2</v>
      </c>
      <c r="Q1067" s="29"/>
      <c r="R1067" s="29" t="s">
        <v>348</v>
      </c>
    </row>
    <row r="1068" spans="1:18" x14ac:dyDescent="0.35">
      <c r="A1068" s="27" t="s">
        <v>229</v>
      </c>
      <c r="B1068" s="27" t="s">
        <v>244</v>
      </c>
      <c r="C1068" s="28">
        <v>0.68859999999999999</v>
      </c>
      <c r="D1068" s="28">
        <v>7.6899999999999996E-2</v>
      </c>
      <c r="E1068" s="29"/>
      <c r="F1068" s="29"/>
      <c r="G1068" s="29"/>
      <c r="H1068" s="29"/>
      <c r="I1068" s="29"/>
      <c r="J1068" s="28">
        <v>2.3199999999999998E-2</v>
      </c>
      <c r="K1068" s="28">
        <v>0.21129999999999999</v>
      </c>
      <c r="L1068" s="28">
        <v>5.3699999999999998E-2</v>
      </c>
      <c r="M1068" s="29"/>
      <c r="N1068" s="28">
        <v>2.9899999999999999E-2</v>
      </c>
      <c r="O1068" s="29"/>
      <c r="P1068" s="29"/>
      <c r="Q1068" s="29"/>
      <c r="R1068" s="29" t="s">
        <v>342</v>
      </c>
    </row>
    <row r="1069" spans="1:18" x14ac:dyDescent="0.35">
      <c r="A1069" s="27" t="s">
        <v>229</v>
      </c>
      <c r="B1069" s="27" t="s">
        <v>246</v>
      </c>
      <c r="C1069" s="28">
        <v>0.8488</v>
      </c>
      <c r="D1069" s="29"/>
      <c r="E1069" s="29"/>
      <c r="F1069" s="28">
        <v>8.3900000000000002E-2</v>
      </c>
      <c r="G1069" s="29"/>
      <c r="H1069" s="29"/>
      <c r="I1069" s="29"/>
      <c r="J1069" s="28">
        <v>2.4199999999999999E-2</v>
      </c>
      <c r="K1069" s="29"/>
      <c r="L1069" s="28">
        <v>4.3099999999999999E-2</v>
      </c>
      <c r="M1069" s="29"/>
      <c r="N1069" s="29"/>
      <c r="O1069" s="29"/>
      <c r="P1069" s="29"/>
      <c r="Q1069" s="28">
        <v>2.4199999999999999E-2</v>
      </c>
      <c r="R1069" s="29" t="s">
        <v>332</v>
      </c>
    </row>
    <row r="1070" spans="1:18" x14ac:dyDescent="0.35">
      <c r="A1070" s="27" t="s">
        <v>230</v>
      </c>
      <c r="B1070" s="27" t="s">
        <v>244</v>
      </c>
      <c r="C1070" s="29"/>
      <c r="D1070" s="28">
        <v>0.52470000000000006</v>
      </c>
      <c r="E1070" s="29"/>
      <c r="F1070" s="29"/>
      <c r="G1070" s="29"/>
      <c r="H1070" s="29"/>
      <c r="I1070" s="29"/>
      <c r="J1070" s="28">
        <v>2.9499999999999998E-2</v>
      </c>
      <c r="K1070" s="28">
        <v>0.18379999999999999</v>
      </c>
      <c r="L1070" s="28">
        <v>0.1749</v>
      </c>
      <c r="M1070" s="29"/>
      <c r="N1070" s="28">
        <v>5.8299999999999998E-2</v>
      </c>
      <c r="O1070" s="29"/>
      <c r="P1070" s="29"/>
      <c r="Q1070" s="28">
        <v>2.8799999999999999E-2</v>
      </c>
      <c r="R1070" s="29" t="s">
        <v>307</v>
      </c>
    </row>
    <row r="1071" spans="1:18" x14ac:dyDescent="0.35">
      <c r="A1071" s="27" t="s">
        <v>230</v>
      </c>
      <c r="B1071" s="27" t="s">
        <v>246</v>
      </c>
      <c r="C1071" s="28">
        <v>0.1673</v>
      </c>
      <c r="D1071" s="28">
        <v>0.1673</v>
      </c>
      <c r="E1071" s="28">
        <v>0.16339999999999999</v>
      </c>
      <c r="F1071" s="29"/>
      <c r="G1071" s="28">
        <v>0.502</v>
      </c>
      <c r="H1071" s="29"/>
      <c r="I1071" s="29"/>
      <c r="J1071" s="28">
        <v>0.16339999999999999</v>
      </c>
      <c r="K1071" s="29"/>
      <c r="L1071" s="29"/>
      <c r="M1071" s="29"/>
      <c r="N1071" s="29"/>
      <c r="O1071" s="29"/>
      <c r="P1071" s="29"/>
      <c r="Q1071" s="29"/>
      <c r="R1071" s="29" t="s">
        <v>335</v>
      </c>
    </row>
    <row r="1072" spans="1:18" x14ac:dyDescent="0.35">
      <c r="A1072" s="27" t="s">
        <v>231</v>
      </c>
      <c r="B1072" s="27" t="s">
        <v>246</v>
      </c>
      <c r="C1072" s="28">
        <v>0.375</v>
      </c>
      <c r="D1072" s="29"/>
      <c r="E1072" s="28">
        <v>0.375</v>
      </c>
      <c r="F1072" s="29"/>
      <c r="G1072" s="29"/>
      <c r="H1072" s="28">
        <v>0.125</v>
      </c>
      <c r="I1072" s="28">
        <v>0.125</v>
      </c>
      <c r="J1072" s="29"/>
      <c r="K1072" s="29"/>
      <c r="L1072" s="29"/>
      <c r="M1072" s="29"/>
      <c r="N1072" s="29"/>
      <c r="O1072" s="29"/>
      <c r="P1072" s="29"/>
      <c r="Q1072" s="29"/>
      <c r="R1072" s="29" t="s">
        <v>333</v>
      </c>
    </row>
    <row r="1073" spans="1:18" x14ac:dyDescent="0.35">
      <c r="A1073" t="s">
        <v>232</v>
      </c>
      <c r="B1073" t="s">
        <v>232</v>
      </c>
      <c r="C1073" s="26">
        <v>0.29580000000000001</v>
      </c>
      <c r="D1073" s="26">
        <v>0.19600000000000001</v>
      </c>
      <c r="E1073" s="26">
        <v>0.1573</v>
      </c>
      <c r="F1073" s="26">
        <v>6.08E-2</v>
      </c>
      <c r="G1073" s="26">
        <v>5.3900000000000003E-2</v>
      </c>
      <c r="H1073" s="26">
        <v>5.16E-2</v>
      </c>
      <c r="I1073" s="26">
        <v>5.16E-2</v>
      </c>
      <c r="J1073" s="26">
        <v>4.5699999999999998E-2</v>
      </c>
      <c r="K1073" s="26">
        <v>4.2999999999999997E-2</v>
      </c>
      <c r="L1073" s="26">
        <v>3.4000000000000002E-2</v>
      </c>
      <c r="M1073" s="26">
        <v>1.9900000000000001E-2</v>
      </c>
      <c r="N1073" s="26">
        <v>1.5599999999999999E-2</v>
      </c>
      <c r="O1073" s="26">
        <v>6.8999999999999999E-3</v>
      </c>
      <c r="P1073" s="26">
        <v>4.5999999999999999E-3</v>
      </c>
      <c r="Q1073" s="26">
        <v>3.5000000000000001E-3</v>
      </c>
      <c r="R1073">
        <v>87</v>
      </c>
    </row>
    <row r="1075" spans="1:18" x14ac:dyDescent="0.35">
      <c r="A1075" s="1" t="s">
        <v>444</v>
      </c>
    </row>
    <row r="1076" spans="1:18" x14ac:dyDescent="0.35">
      <c r="A1076" t="s">
        <v>219</v>
      </c>
      <c r="B1076" t="s">
        <v>305</v>
      </c>
      <c r="C1076" t="s">
        <v>426</v>
      </c>
      <c r="D1076" t="s">
        <v>427</v>
      </c>
      <c r="E1076" t="s">
        <v>428</v>
      </c>
      <c r="F1076" t="s">
        <v>429</v>
      </c>
      <c r="G1076" t="s">
        <v>430</v>
      </c>
      <c r="H1076" t="s">
        <v>431</v>
      </c>
      <c r="I1076" t="s">
        <v>432</v>
      </c>
      <c r="J1076" t="s">
        <v>433</v>
      </c>
      <c r="K1076" t="s">
        <v>434</v>
      </c>
      <c r="L1076" t="s">
        <v>435</v>
      </c>
      <c r="M1076" t="s">
        <v>436</v>
      </c>
      <c r="N1076" t="s">
        <v>437</v>
      </c>
      <c r="O1076" t="s">
        <v>438</v>
      </c>
      <c r="P1076" t="s">
        <v>439</v>
      </c>
      <c r="Q1076" t="s">
        <v>440</v>
      </c>
      <c r="R1076" t="s">
        <v>226</v>
      </c>
    </row>
    <row r="1077" spans="1:18" x14ac:dyDescent="0.35">
      <c r="A1077" s="27" t="s">
        <v>227</v>
      </c>
      <c r="B1077" s="27" t="s">
        <v>360</v>
      </c>
      <c r="C1077" s="29"/>
      <c r="D1077" s="29"/>
      <c r="E1077" s="29"/>
      <c r="F1077" s="28">
        <v>1</v>
      </c>
      <c r="G1077" s="29"/>
      <c r="H1077" s="29"/>
      <c r="I1077" s="29"/>
      <c r="J1077" s="29"/>
      <c r="K1077" s="29"/>
      <c r="L1077" s="29"/>
      <c r="M1077" s="29"/>
      <c r="N1077" s="29"/>
      <c r="O1077" s="29"/>
      <c r="P1077" s="29"/>
      <c r="Q1077" s="29"/>
      <c r="R1077" s="29" t="s">
        <v>314</v>
      </c>
    </row>
    <row r="1078" spans="1:18" x14ac:dyDescent="0.35">
      <c r="A1078" s="27" t="s">
        <v>227</v>
      </c>
      <c r="B1078" s="27" t="s">
        <v>363</v>
      </c>
      <c r="C1078" s="29"/>
      <c r="D1078" s="29"/>
      <c r="E1078" s="29"/>
      <c r="F1078" s="29"/>
      <c r="G1078" s="28">
        <v>1</v>
      </c>
      <c r="H1078" s="29"/>
      <c r="I1078" s="29"/>
      <c r="J1078" s="29"/>
      <c r="K1078" s="29"/>
      <c r="L1078" s="29"/>
      <c r="M1078" s="29"/>
      <c r="N1078" s="29"/>
      <c r="O1078" s="29"/>
      <c r="P1078" s="29"/>
      <c r="Q1078" s="29"/>
      <c r="R1078" s="29" t="s">
        <v>331</v>
      </c>
    </row>
    <row r="1079" spans="1:18" x14ac:dyDescent="0.35">
      <c r="A1079" s="27" t="s">
        <v>228</v>
      </c>
      <c r="B1079" s="27" t="s">
        <v>360</v>
      </c>
      <c r="C1079" s="28">
        <v>0.17249999999999999</v>
      </c>
      <c r="D1079" s="28">
        <v>0.20799999999999999</v>
      </c>
      <c r="E1079" s="29"/>
      <c r="F1079" s="29"/>
      <c r="G1079" s="28">
        <v>3.7100000000000001E-2</v>
      </c>
      <c r="H1079" s="29"/>
      <c r="I1079" s="29"/>
      <c r="J1079" s="28">
        <v>0.18260000000000001</v>
      </c>
      <c r="K1079" s="29"/>
      <c r="L1079" s="28">
        <v>4.3499999999999997E-2</v>
      </c>
      <c r="M1079" s="28">
        <v>0.29809999999999998</v>
      </c>
      <c r="N1079" s="29"/>
      <c r="O1079" s="28">
        <v>8.14E-2</v>
      </c>
      <c r="P1079" s="28">
        <v>6.9400000000000003E-2</v>
      </c>
      <c r="Q1079" s="29"/>
      <c r="R1079" s="29" t="s">
        <v>353</v>
      </c>
    </row>
    <row r="1080" spans="1:18" x14ac:dyDescent="0.35">
      <c r="A1080" s="27" t="s">
        <v>228</v>
      </c>
      <c r="B1080" s="27" t="s">
        <v>361</v>
      </c>
      <c r="C1080" s="28">
        <v>1</v>
      </c>
      <c r="D1080" s="29"/>
      <c r="E1080" s="29"/>
      <c r="F1080" s="29"/>
      <c r="G1080" s="29"/>
      <c r="H1080" s="29"/>
      <c r="I1080" s="29"/>
      <c r="J1080" s="29"/>
      <c r="K1080" s="29"/>
      <c r="L1080" s="29"/>
      <c r="M1080" s="29"/>
      <c r="N1080" s="29"/>
      <c r="O1080" s="29"/>
      <c r="P1080" s="29"/>
      <c r="Q1080" s="29"/>
      <c r="R1080" s="29" t="s">
        <v>331</v>
      </c>
    </row>
    <row r="1081" spans="1:18" x14ac:dyDescent="0.35">
      <c r="A1081" s="27" t="s">
        <v>228</v>
      </c>
      <c r="B1081" s="27" t="s">
        <v>362</v>
      </c>
      <c r="C1081" s="28">
        <v>4.4200000000000003E-2</v>
      </c>
      <c r="D1081" s="28">
        <v>0.8296</v>
      </c>
      <c r="E1081" s="29"/>
      <c r="F1081" s="29"/>
      <c r="G1081" s="28">
        <v>8.5900000000000004E-2</v>
      </c>
      <c r="H1081" s="29"/>
      <c r="I1081" s="29"/>
      <c r="J1081" s="29"/>
      <c r="K1081" s="29"/>
      <c r="L1081" s="29"/>
      <c r="M1081" s="29"/>
      <c r="N1081" s="28">
        <v>4.0300000000000002E-2</v>
      </c>
      <c r="O1081" s="28">
        <v>1.78E-2</v>
      </c>
      <c r="P1081" s="29"/>
      <c r="Q1081" s="29"/>
      <c r="R1081" s="29" t="s">
        <v>307</v>
      </c>
    </row>
    <row r="1082" spans="1:18" x14ac:dyDescent="0.35">
      <c r="A1082" s="27" t="s">
        <v>228</v>
      </c>
      <c r="B1082" s="27" t="s">
        <v>363</v>
      </c>
      <c r="C1082" s="28">
        <v>0.105</v>
      </c>
      <c r="D1082" s="28">
        <v>0.58299999999999996</v>
      </c>
      <c r="E1082" s="29"/>
      <c r="F1082" s="29"/>
      <c r="G1082" s="29"/>
      <c r="H1082" s="29"/>
      <c r="I1082" s="29"/>
      <c r="J1082" s="28">
        <v>0.44729999999999998</v>
      </c>
      <c r="K1082" s="29"/>
      <c r="L1082" s="28">
        <v>0.13519999999999999</v>
      </c>
      <c r="M1082" s="29"/>
      <c r="N1082" s="28">
        <v>6.3399999999999998E-2</v>
      </c>
      <c r="O1082" s="29"/>
      <c r="P1082" s="29"/>
      <c r="Q1082" s="29"/>
      <c r="R1082" s="29" t="s">
        <v>333</v>
      </c>
    </row>
    <row r="1083" spans="1:18" x14ac:dyDescent="0.35">
      <c r="A1083" s="27" t="s">
        <v>229</v>
      </c>
      <c r="B1083" s="27" t="s">
        <v>360</v>
      </c>
      <c r="C1083" s="28">
        <v>0.80869999999999997</v>
      </c>
      <c r="D1083" s="29"/>
      <c r="E1083" s="29"/>
      <c r="F1083" s="28">
        <v>0.1062</v>
      </c>
      <c r="G1083" s="29"/>
      <c r="H1083" s="29"/>
      <c r="I1083" s="29"/>
      <c r="J1083" s="28">
        <v>3.0700000000000002E-2</v>
      </c>
      <c r="K1083" s="29"/>
      <c r="L1083" s="28">
        <v>5.45E-2</v>
      </c>
      <c r="M1083" s="29"/>
      <c r="N1083" s="29"/>
      <c r="O1083" s="29"/>
      <c r="P1083" s="29"/>
      <c r="Q1083" s="28">
        <v>3.0700000000000002E-2</v>
      </c>
      <c r="R1083" s="29" t="s">
        <v>337</v>
      </c>
    </row>
    <row r="1084" spans="1:18" x14ac:dyDescent="0.35">
      <c r="A1084" s="27" t="s">
        <v>229</v>
      </c>
      <c r="B1084" s="27" t="s">
        <v>361</v>
      </c>
      <c r="C1084" s="28">
        <v>0.55010000000000003</v>
      </c>
      <c r="D1084" s="29"/>
      <c r="E1084" s="29"/>
      <c r="F1084" s="29"/>
      <c r="G1084" s="29"/>
      <c r="H1084" s="29"/>
      <c r="I1084" s="29"/>
      <c r="J1084" s="29"/>
      <c r="K1084" s="28">
        <v>0.44990000000000002</v>
      </c>
      <c r="L1084" s="29"/>
      <c r="M1084" s="29"/>
      <c r="N1084" s="29"/>
      <c r="O1084" s="29"/>
      <c r="P1084" s="29"/>
      <c r="Q1084" s="29"/>
      <c r="R1084" s="29" t="s">
        <v>315</v>
      </c>
    </row>
    <row r="1085" spans="1:18" x14ac:dyDescent="0.35">
      <c r="A1085" s="27" t="s">
        <v>229</v>
      </c>
      <c r="B1085" s="27" t="s">
        <v>362</v>
      </c>
      <c r="C1085" s="28">
        <v>0.89600000000000002</v>
      </c>
      <c r="D1085" s="28">
        <v>0.104</v>
      </c>
      <c r="E1085" s="29"/>
      <c r="F1085" s="29"/>
      <c r="G1085" s="29"/>
      <c r="H1085" s="29"/>
      <c r="I1085" s="29"/>
      <c r="J1085" s="29"/>
      <c r="K1085" s="29"/>
      <c r="L1085" s="29"/>
      <c r="M1085" s="29"/>
      <c r="N1085" s="29"/>
      <c r="O1085" s="29"/>
      <c r="P1085" s="29"/>
      <c r="Q1085" s="29"/>
      <c r="R1085" s="29" t="s">
        <v>315</v>
      </c>
    </row>
    <row r="1086" spans="1:18" x14ac:dyDescent="0.35">
      <c r="A1086" s="27" t="s">
        <v>229</v>
      </c>
      <c r="B1086" s="27" t="s">
        <v>363</v>
      </c>
      <c r="C1086" s="28">
        <v>0.64259999999999995</v>
      </c>
      <c r="D1086" s="28">
        <v>8.0100000000000005E-2</v>
      </c>
      <c r="E1086" s="29"/>
      <c r="F1086" s="29"/>
      <c r="G1086" s="29"/>
      <c r="H1086" s="29"/>
      <c r="I1086" s="29"/>
      <c r="J1086" s="28">
        <v>0.27729999999999999</v>
      </c>
      <c r="K1086" s="29"/>
      <c r="L1086" s="28">
        <v>8.0100000000000005E-2</v>
      </c>
      <c r="M1086" s="29"/>
      <c r="N1086" s="28">
        <v>0.3574</v>
      </c>
      <c r="O1086" s="29"/>
      <c r="P1086" s="29"/>
      <c r="Q1086" s="29"/>
      <c r="R1086" s="29" t="s">
        <v>337</v>
      </c>
    </row>
    <row r="1087" spans="1:18" x14ac:dyDescent="0.35">
      <c r="A1087" s="27" t="s">
        <v>230</v>
      </c>
      <c r="B1087" s="27" t="s">
        <v>360</v>
      </c>
      <c r="C1087" s="28">
        <v>8.1900000000000001E-2</v>
      </c>
      <c r="D1087" s="28">
        <v>0.56759999999999999</v>
      </c>
      <c r="E1087" s="29"/>
      <c r="F1087" s="29"/>
      <c r="G1087" s="28">
        <v>0.24579999999999999</v>
      </c>
      <c r="H1087" s="29"/>
      <c r="I1087" s="29"/>
      <c r="J1087" s="29"/>
      <c r="K1087" s="28">
        <v>2.46E-2</v>
      </c>
      <c r="L1087" s="29"/>
      <c r="M1087" s="29"/>
      <c r="N1087" s="29"/>
      <c r="O1087" s="29"/>
      <c r="P1087" s="29"/>
      <c r="Q1087" s="28">
        <v>0.08</v>
      </c>
      <c r="R1087" s="29" t="s">
        <v>333</v>
      </c>
    </row>
    <row r="1088" spans="1:18" x14ac:dyDescent="0.35">
      <c r="A1088" s="27" t="s">
        <v>230</v>
      </c>
      <c r="B1088" s="27" t="s">
        <v>361</v>
      </c>
      <c r="C1088" s="29"/>
      <c r="D1088" s="28">
        <v>0.63119999999999998</v>
      </c>
      <c r="E1088" s="29"/>
      <c r="F1088" s="29"/>
      <c r="G1088" s="29"/>
      <c r="H1088" s="29"/>
      <c r="I1088" s="29"/>
      <c r="J1088" s="29"/>
      <c r="K1088" s="29"/>
      <c r="L1088" s="28">
        <v>0.31559999999999999</v>
      </c>
      <c r="M1088" s="29"/>
      <c r="N1088" s="28">
        <v>5.3199999999999997E-2</v>
      </c>
      <c r="O1088" s="29"/>
      <c r="P1088" s="29"/>
      <c r="Q1088" s="29"/>
      <c r="R1088" s="29" t="s">
        <v>337</v>
      </c>
    </row>
    <row r="1089" spans="1:18" x14ac:dyDescent="0.35">
      <c r="A1089" s="27" t="s">
        <v>230</v>
      </c>
      <c r="B1089" s="27" t="s">
        <v>362</v>
      </c>
      <c r="C1089" s="29"/>
      <c r="D1089" s="29"/>
      <c r="E1089" s="28">
        <v>0.11</v>
      </c>
      <c r="F1089" s="29"/>
      <c r="G1089" s="29"/>
      <c r="H1089" s="29"/>
      <c r="I1089" s="29"/>
      <c r="J1089" s="28">
        <v>0.22259999999999999</v>
      </c>
      <c r="K1089" s="28">
        <v>0.66739999999999999</v>
      </c>
      <c r="L1089" s="29"/>
      <c r="M1089" s="29"/>
      <c r="N1089" s="28">
        <v>0.11</v>
      </c>
      <c r="O1089" s="29"/>
      <c r="P1089" s="29"/>
      <c r="Q1089" s="29"/>
      <c r="R1089" s="29" t="s">
        <v>337</v>
      </c>
    </row>
    <row r="1090" spans="1:18" x14ac:dyDescent="0.35">
      <c r="A1090" s="27" t="s">
        <v>231</v>
      </c>
      <c r="B1090" s="27" t="s">
        <v>360</v>
      </c>
      <c r="C1090" s="28">
        <v>0.28570000000000001</v>
      </c>
      <c r="D1090" s="29"/>
      <c r="E1090" s="28">
        <v>0.42859999999999998</v>
      </c>
      <c r="F1090" s="29"/>
      <c r="G1090" s="29"/>
      <c r="H1090" s="28">
        <v>0.1429</v>
      </c>
      <c r="I1090" s="28">
        <v>0.1429</v>
      </c>
      <c r="J1090" s="29"/>
      <c r="K1090" s="29"/>
      <c r="L1090" s="29"/>
      <c r="M1090" s="29"/>
      <c r="N1090" s="29"/>
      <c r="O1090" s="29"/>
      <c r="P1090" s="29"/>
      <c r="Q1090" s="29"/>
      <c r="R1090" s="29" t="s">
        <v>339</v>
      </c>
    </row>
    <row r="1091" spans="1:18" x14ac:dyDescent="0.35">
      <c r="A1091" s="27" t="s">
        <v>231</v>
      </c>
      <c r="B1091" s="27" t="s">
        <v>363</v>
      </c>
      <c r="C1091" s="28">
        <v>1</v>
      </c>
      <c r="D1091" s="29"/>
      <c r="E1091" s="29"/>
      <c r="F1091" s="29"/>
      <c r="G1091" s="29"/>
      <c r="H1091" s="29"/>
      <c r="I1091" s="29"/>
      <c r="J1091" s="29"/>
      <c r="K1091" s="29"/>
      <c r="L1091" s="29"/>
      <c r="M1091" s="29"/>
      <c r="N1091" s="29"/>
      <c r="O1091" s="29"/>
      <c r="P1091" s="29"/>
      <c r="Q1091" s="29"/>
      <c r="R1091" s="29" t="s">
        <v>331</v>
      </c>
    </row>
    <row r="1092" spans="1:18" x14ac:dyDescent="0.35">
      <c r="A1092" t="s">
        <v>232</v>
      </c>
      <c r="B1092" t="s">
        <v>232</v>
      </c>
      <c r="C1092" s="26">
        <v>0.29580000000000001</v>
      </c>
      <c r="D1092" s="26">
        <v>0.19600000000000001</v>
      </c>
      <c r="E1092" s="26">
        <v>0.1573</v>
      </c>
      <c r="F1092" s="26">
        <v>6.08E-2</v>
      </c>
      <c r="G1092" s="26">
        <v>5.3900000000000003E-2</v>
      </c>
      <c r="H1092" s="26">
        <v>5.16E-2</v>
      </c>
      <c r="I1092" s="26">
        <v>5.16E-2</v>
      </c>
      <c r="J1092" s="26">
        <v>4.5699999999999998E-2</v>
      </c>
      <c r="K1092" s="26">
        <v>4.2999999999999997E-2</v>
      </c>
      <c r="L1092" s="26">
        <v>3.4000000000000002E-2</v>
      </c>
      <c r="M1092" s="26">
        <v>1.9900000000000001E-2</v>
      </c>
      <c r="N1092" s="26">
        <v>1.5599999999999999E-2</v>
      </c>
      <c r="O1092" s="26">
        <v>6.8999999999999999E-3</v>
      </c>
      <c r="P1092" s="26">
        <v>4.5999999999999999E-3</v>
      </c>
      <c r="Q1092" s="26">
        <v>3.5000000000000001E-3</v>
      </c>
      <c r="R1092">
        <v>78</v>
      </c>
    </row>
    <row r="1094" spans="1:18" x14ac:dyDescent="0.35">
      <c r="A1094" s="1" t="s">
        <v>445</v>
      </c>
    </row>
    <row r="1095" spans="1:18" x14ac:dyDescent="0.35">
      <c r="A1095" t="s">
        <v>219</v>
      </c>
      <c r="B1095" t="s">
        <v>305</v>
      </c>
      <c r="C1095" t="s">
        <v>426</v>
      </c>
      <c r="D1095" t="s">
        <v>427</v>
      </c>
      <c r="E1095" t="s">
        <v>428</v>
      </c>
      <c r="F1095" t="s">
        <v>429</v>
      </c>
      <c r="G1095" t="s">
        <v>430</v>
      </c>
      <c r="H1095" t="s">
        <v>431</v>
      </c>
      <c r="I1095" t="s">
        <v>432</v>
      </c>
      <c r="J1095" t="s">
        <v>433</v>
      </c>
      <c r="K1095" t="s">
        <v>434</v>
      </c>
      <c r="L1095" t="s">
        <v>435</v>
      </c>
      <c r="M1095" t="s">
        <v>436</v>
      </c>
      <c r="N1095" t="s">
        <v>437</v>
      </c>
      <c r="O1095" t="s">
        <v>438</v>
      </c>
      <c r="P1095" t="s">
        <v>439</v>
      </c>
      <c r="Q1095" t="s">
        <v>440</v>
      </c>
      <c r="R1095" t="s">
        <v>226</v>
      </c>
    </row>
    <row r="1096" spans="1:18" x14ac:dyDescent="0.35">
      <c r="A1096" s="27" t="s">
        <v>227</v>
      </c>
      <c r="B1096" s="27" t="s">
        <v>266</v>
      </c>
      <c r="C1096" s="29"/>
      <c r="D1096" s="29"/>
      <c r="E1096" s="29"/>
      <c r="F1096" s="28">
        <v>1</v>
      </c>
      <c r="G1096" s="29"/>
      <c r="H1096" s="29"/>
      <c r="I1096" s="29"/>
      <c r="J1096" s="29"/>
      <c r="K1096" s="29"/>
      <c r="L1096" s="29"/>
      <c r="M1096" s="29"/>
      <c r="N1096" s="29"/>
      <c r="O1096" s="29"/>
      <c r="P1096" s="29"/>
      <c r="Q1096" s="29"/>
      <c r="R1096" s="29" t="s">
        <v>314</v>
      </c>
    </row>
    <row r="1097" spans="1:18" x14ac:dyDescent="0.35">
      <c r="A1097" s="27" t="s">
        <v>227</v>
      </c>
      <c r="B1097" s="27" t="s">
        <v>265</v>
      </c>
      <c r="C1097" s="29"/>
      <c r="D1097" s="29"/>
      <c r="E1097" s="29"/>
      <c r="F1097" s="29"/>
      <c r="G1097" s="28">
        <v>1</v>
      </c>
      <c r="H1097" s="29"/>
      <c r="I1097" s="29"/>
      <c r="J1097" s="29"/>
      <c r="K1097" s="29"/>
      <c r="L1097" s="29"/>
      <c r="M1097" s="29"/>
      <c r="N1097" s="29"/>
      <c r="O1097" s="29"/>
      <c r="P1097" s="29"/>
      <c r="Q1097" s="29"/>
      <c r="R1097" s="29" t="s">
        <v>331</v>
      </c>
    </row>
    <row r="1098" spans="1:18" x14ac:dyDescent="0.35">
      <c r="A1098" s="27" t="s">
        <v>228</v>
      </c>
      <c r="B1098" s="27" t="s">
        <v>267</v>
      </c>
      <c r="C1098" s="28">
        <v>0.19289999999999999</v>
      </c>
      <c r="D1098" s="28">
        <v>0.83299999999999996</v>
      </c>
      <c r="E1098" s="29"/>
      <c r="F1098" s="29"/>
      <c r="G1098" s="29"/>
      <c r="H1098" s="29"/>
      <c r="I1098" s="29"/>
      <c r="J1098" s="28">
        <v>2.5899999999999999E-2</v>
      </c>
      <c r="K1098" s="29"/>
      <c r="L1098" s="29"/>
      <c r="M1098" s="29"/>
      <c r="N1098" s="29"/>
      <c r="O1098" s="28">
        <v>2.5899999999999999E-2</v>
      </c>
      <c r="P1098" s="29"/>
      <c r="Q1098" s="29"/>
      <c r="R1098" s="29" t="s">
        <v>307</v>
      </c>
    </row>
    <row r="1099" spans="1:18" x14ac:dyDescent="0.35">
      <c r="A1099" s="27" t="s">
        <v>228</v>
      </c>
      <c r="B1099" s="27" t="s">
        <v>266</v>
      </c>
      <c r="C1099" s="28">
        <v>4.0300000000000002E-2</v>
      </c>
      <c r="D1099" s="28">
        <v>0.24490000000000001</v>
      </c>
      <c r="E1099" s="29"/>
      <c r="F1099" s="29"/>
      <c r="G1099" s="28">
        <v>4.6399999999999997E-2</v>
      </c>
      <c r="H1099" s="29"/>
      <c r="I1099" s="29"/>
      <c r="J1099" s="28">
        <v>0.1668</v>
      </c>
      <c r="K1099" s="29"/>
      <c r="L1099" s="28">
        <v>5.4399999999999997E-2</v>
      </c>
      <c r="M1099" s="28">
        <v>0.37259999999999999</v>
      </c>
      <c r="N1099" s="28">
        <v>6.1400000000000003E-2</v>
      </c>
      <c r="O1099" s="29"/>
      <c r="P1099" s="28">
        <v>4.0300000000000002E-2</v>
      </c>
      <c r="Q1099" s="29"/>
      <c r="R1099" s="29" t="s">
        <v>341</v>
      </c>
    </row>
    <row r="1100" spans="1:18" x14ac:dyDescent="0.35">
      <c r="A1100" s="27" t="s">
        <v>228</v>
      </c>
      <c r="B1100" s="27" t="s">
        <v>265</v>
      </c>
      <c r="C1100" s="28">
        <v>8.3599999999999994E-2</v>
      </c>
      <c r="D1100" s="28">
        <v>0.60960000000000003</v>
      </c>
      <c r="E1100" s="29"/>
      <c r="F1100" s="29"/>
      <c r="G1100" s="28">
        <v>0.1152</v>
      </c>
      <c r="H1100" s="29"/>
      <c r="I1100" s="29"/>
      <c r="J1100" s="28">
        <v>0.21049999999999999</v>
      </c>
      <c r="K1100" s="29"/>
      <c r="L1100" s="28">
        <v>5.5800000000000002E-2</v>
      </c>
      <c r="M1100" s="29"/>
      <c r="N1100" s="28">
        <v>2.6100000000000002E-2</v>
      </c>
      <c r="O1100" s="28">
        <v>4.3299999999999998E-2</v>
      </c>
      <c r="P1100" s="28">
        <v>1.9699999999999999E-2</v>
      </c>
      <c r="Q1100" s="29"/>
      <c r="R1100" s="29" t="s">
        <v>350</v>
      </c>
    </row>
    <row r="1101" spans="1:18" x14ac:dyDescent="0.35">
      <c r="A1101" s="27" t="s">
        <v>229</v>
      </c>
      <c r="B1101" s="27" t="s">
        <v>267</v>
      </c>
      <c r="C1101" s="28">
        <v>0.89600000000000002</v>
      </c>
      <c r="D1101" s="29"/>
      <c r="E1101" s="29"/>
      <c r="F1101" s="29"/>
      <c r="G1101" s="29"/>
      <c r="H1101" s="29"/>
      <c r="I1101" s="29"/>
      <c r="J1101" s="28">
        <v>0.104</v>
      </c>
      <c r="K1101" s="29"/>
      <c r="L1101" s="29"/>
      <c r="M1101" s="29"/>
      <c r="N1101" s="28">
        <v>0.104</v>
      </c>
      <c r="O1101" s="29"/>
      <c r="P1101" s="29"/>
      <c r="Q1101" s="29"/>
      <c r="R1101" s="29" t="s">
        <v>315</v>
      </c>
    </row>
    <row r="1102" spans="1:18" x14ac:dyDescent="0.35">
      <c r="A1102" s="27" t="s">
        <v>229</v>
      </c>
      <c r="B1102" s="27" t="s">
        <v>266</v>
      </c>
      <c r="C1102" s="28">
        <v>0.5</v>
      </c>
      <c r="D1102" s="28">
        <v>4.9399999999999999E-2</v>
      </c>
      <c r="E1102" s="29"/>
      <c r="F1102" s="29"/>
      <c r="G1102" s="29"/>
      <c r="H1102" s="29"/>
      <c r="I1102" s="29"/>
      <c r="J1102" s="29"/>
      <c r="K1102" s="28">
        <v>0.4506</v>
      </c>
      <c r="L1102" s="29"/>
      <c r="M1102" s="29"/>
      <c r="N1102" s="29"/>
      <c r="O1102" s="29"/>
      <c r="P1102" s="29"/>
      <c r="Q1102" s="29"/>
      <c r="R1102" s="29" t="s">
        <v>337</v>
      </c>
    </row>
    <row r="1103" spans="1:18" x14ac:dyDescent="0.35">
      <c r="A1103" s="27" t="s">
        <v>229</v>
      </c>
      <c r="B1103" s="27" t="s">
        <v>265</v>
      </c>
      <c r="C1103" s="28">
        <v>0.83650000000000002</v>
      </c>
      <c r="D1103" s="28">
        <v>9.1999999999999998E-2</v>
      </c>
      <c r="E1103" s="29"/>
      <c r="F1103" s="28">
        <v>3.9699999999999999E-2</v>
      </c>
      <c r="G1103" s="29"/>
      <c r="H1103" s="29"/>
      <c r="I1103" s="29"/>
      <c r="J1103" s="28">
        <v>1.15E-2</v>
      </c>
      <c r="K1103" s="29"/>
      <c r="L1103" s="28">
        <v>0.1123</v>
      </c>
      <c r="M1103" s="29"/>
      <c r="N1103" s="28">
        <v>1.15E-2</v>
      </c>
      <c r="O1103" s="29"/>
      <c r="P1103" s="29"/>
      <c r="Q1103" s="28">
        <v>1.15E-2</v>
      </c>
      <c r="R1103" s="29" t="s">
        <v>307</v>
      </c>
    </row>
    <row r="1104" spans="1:18" x14ac:dyDescent="0.35">
      <c r="A1104" s="27" t="s">
        <v>230</v>
      </c>
      <c r="B1104" s="27" t="s">
        <v>267</v>
      </c>
      <c r="C1104" s="29"/>
      <c r="D1104" s="28">
        <v>0.1215</v>
      </c>
      <c r="E1104" s="29"/>
      <c r="F1104" s="29"/>
      <c r="G1104" s="29"/>
      <c r="H1104" s="29"/>
      <c r="I1104" s="29"/>
      <c r="J1104" s="28">
        <v>0.1215</v>
      </c>
      <c r="K1104" s="28">
        <v>0.75690000000000002</v>
      </c>
      <c r="L1104" s="29"/>
      <c r="M1104" s="29"/>
      <c r="N1104" s="29"/>
      <c r="O1104" s="29"/>
      <c r="P1104" s="29"/>
      <c r="Q1104" s="29"/>
      <c r="R1104" s="29" t="s">
        <v>337</v>
      </c>
    </row>
    <row r="1105" spans="1:18" x14ac:dyDescent="0.35">
      <c r="A1105" s="27" t="s">
        <v>230</v>
      </c>
      <c r="B1105" s="27" t="s">
        <v>266</v>
      </c>
      <c r="C1105" s="29"/>
      <c r="D1105" s="29"/>
      <c r="E1105" s="29"/>
      <c r="F1105" s="29"/>
      <c r="G1105" s="28">
        <v>0.253</v>
      </c>
      <c r="H1105" s="29"/>
      <c r="I1105" s="29"/>
      <c r="J1105" s="29"/>
      <c r="K1105" s="29"/>
      <c r="L1105" s="29"/>
      <c r="M1105" s="29"/>
      <c r="N1105" s="28">
        <v>0.5</v>
      </c>
      <c r="O1105" s="29"/>
      <c r="P1105" s="29"/>
      <c r="Q1105" s="28">
        <v>0.247</v>
      </c>
      <c r="R1105" s="29" t="s">
        <v>337</v>
      </c>
    </row>
    <row r="1106" spans="1:18" x14ac:dyDescent="0.35">
      <c r="A1106" s="27" t="s">
        <v>230</v>
      </c>
      <c r="B1106" s="27" t="s">
        <v>265</v>
      </c>
      <c r="C1106" s="28">
        <v>3.61E-2</v>
      </c>
      <c r="D1106" s="28">
        <v>0.64229999999999998</v>
      </c>
      <c r="E1106" s="28">
        <v>3.5299999999999998E-2</v>
      </c>
      <c r="F1106" s="29"/>
      <c r="G1106" s="28">
        <v>7.22E-2</v>
      </c>
      <c r="H1106" s="29"/>
      <c r="I1106" s="29"/>
      <c r="J1106" s="28">
        <v>3.5299999999999998E-2</v>
      </c>
      <c r="K1106" s="29"/>
      <c r="L1106" s="28">
        <v>0.21410000000000001</v>
      </c>
      <c r="M1106" s="29"/>
      <c r="N1106" s="29"/>
      <c r="O1106" s="29"/>
      <c r="P1106" s="29"/>
      <c r="Q1106" s="29"/>
      <c r="R1106" s="29" t="s">
        <v>333</v>
      </c>
    </row>
    <row r="1107" spans="1:18" x14ac:dyDescent="0.35">
      <c r="A1107" s="27" t="s">
        <v>231</v>
      </c>
      <c r="B1107" s="27" t="s">
        <v>267</v>
      </c>
      <c r="C1107" s="28">
        <v>1</v>
      </c>
      <c r="D1107" s="29"/>
      <c r="E1107" s="29"/>
      <c r="F1107" s="29"/>
      <c r="G1107" s="29"/>
      <c r="H1107" s="29"/>
      <c r="I1107" s="29"/>
      <c r="J1107" s="29"/>
      <c r="K1107" s="29"/>
      <c r="L1107" s="29"/>
      <c r="M1107" s="29"/>
      <c r="N1107" s="29"/>
      <c r="O1107" s="29"/>
      <c r="P1107" s="29"/>
      <c r="Q1107" s="29"/>
      <c r="R1107" s="29" t="s">
        <v>331</v>
      </c>
    </row>
    <row r="1108" spans="1:18" x14ac:dyDescent="0.35">
      <c r="A1108" s="27" t="s">
        <v>231</v>
      </c>
      <c r="B1108" s="27" t="s">
        <v>265</v>
      </c>
      <c r="C1108" s="28">
        <v>0.28570000000000001</v>
      </c>
      <c r="D1108" s="29"/>
      <c r="E1108" s="28">
        <v>0.42859999999999998</v>
      </c>
      <c r="F1108" s="29"/>
      <c r="G1108" s="29"/>
      <c r="H1108" s="28">
        <v>0.1429</v>
      </c>
      <c r="I1108" s="28">
        <v>0.1429</v>
      </c>
      <c r="J1108" s="29"/>
      <c r="K1108" s="29"/>
      <c r="L1108" s="29"/>
      <c r="M1108" s="29"/>
      <c r="N1108" s="29"/>
      <c r="O1108" s="29"/>
      <c r="P1108" s="29"/>
      <c r="Q1108" s="29"/>
      <c r="R1108" s="29" t="s">
        <v>339</v>
      </c>
    </row>
    <row r="1109" spans="1:18" x14ac:dyDescent="0.35">
      <c r="A1109" t="s">
        <v>232</v>
      </c>
      <c r="B1109" t="s">
        <v>232</v>
      </c>
      <c r="C1109" s="26">
        <v>0.29580000000000001</v>
      </c>
      <c r="D1109" s="26">
        <v>0.19600000000000001</v>
      </c>
      <c r="E1109" s="26">
        <v>0.1573</v>
      </c>
      <c r="F1109" s="26">
        <v>6.08E-2</v>
      </c>
      <c r="G1109" s="26">
        <v>5.3900000000000003E-2</v>
      </c>
      <c r="H1109" s="26">
        <v>5.16E-2</v>
      </c>
      <c r="I1109" s="26">
        <v>5.16E-2</v>
      </c>
      <c r="J1109" s="26">
        <v>4.5699999999999998E-2</v>
      </c>
      <c r="K1109" s="26">
        <v>4.2999999999999997E-2</v>
      </c>
      <c r="L1109" s="26">
        <v>3.4000000000000002E-2</v>
      </c>
      <c r="M1109" s="26">
        <v>1.9900000000000001E-2</v>
      </c>
      <c r="N1109" s="26">
        <v>1.5599999999999999E-2</v>
      </c>
      <c r="O1109" s="26">
        <v>6.8999999999999999E-3</v>
      </c>
      <c r="P1109" s="26">
        <v>4.5999999999999999E-3</v>
      </c>
      <c r="Q1109" s="26">
        <v>3.5000000000000001E-3</v>
      </c>
      <c r="R1109">
        <v>87</v>
      </c>
    </row>
    <row r="1111" spans="1:18" x14ac:dyDescent="0.35">
      <c r="A1111" s="1" t="s">
        <v>446</v>
      </c>
    </row>
    <row r="1112" spans="1:18" x14ac:dyDescent="0.35">
      <c r="A1112" t="s">
        <v>219</v>
      </c>
      <c r="B1112" t="s">
        <v>305</v>
      </c>
      <c r="C1112" t="s">
        <v>426</v>
      </c>
      <c r="D1112" t="s">
        <v>427</v>
      </c>
      <c r="E1112" t="s">
        <v>428</v>
      </c>
      <c r="F1112" t="s">
        <v>429</v>
      </c>
      <c r="G1112" t="s">
        <v>430</v>
      </c>
      <c r="H1112" t="s">
        <v>431</v>
      </c>
      <c r="I1112" t="s">
        <v>432</v>
      </c>
      <c r="J1112" t="s">
        <v>433</v>
      </c>
      <c r="K1112" t="s">
        <v>434</v>
      </c>
      <c r="L1112" t="s">
        <v>435</v>
      </c>
      <c r="M1112" t="s">
        <v>436</v>
      </c>
      <c r="N1112" t="s">
        <v>437</v>
      </c>
      <c r="O1112" t="s">
        <v>438</v>
      </c>
      <c r="P1112" t="s">
        <v>439</v>
      </c>
      <c r="Q1112" t="s">
        <v>440</v>
      </c>
      <c r="R1112" t="s">
        <v>226</v>
      </c>
    </row>
    <row r="1113" spans="1:18" x14ac:dyDescent="0.35">
      <c r="A1113" s="27" t="s">
        <v>227</v>
      </c>
      <c r="B1113" s="27" t="s">
        <v>251</v>
      </c>
      <c r="C1113" s="29"/>
      <c r="D1113" s="29"/>
      <c r="E1113" s="29"/>
      <c r="F1113" s="28">
        <v>0.66669999999999996</v>
      </c>
      <c r="G1113" s="28">
        <v>0.33329999999999999</v>
      </c>
      <c r="H1113" s="29"/>
      <c r="I1113" s="29"/>
      <c r="J1113" s="29"/>
      <c r="K1113" s="29"/>
      <c r="L1113" s="29"/>
      <c r="M1113" s="29"/>
      <c r="N1113" s="29"/>
      <c r="O1113" s="29"/>
      <c r="P1113" s="29"/>
      <c r="Q1113" s="29"/>
      <c r="R1113" s="29" t="s">
        <v>315</v>
      </c>
    </row>
    <row r="1114" spans="1:18" x14ac:dyDescent="0.35">
      <c r="A1114" s="27" t="s">
        <v>228</v>
      </c>
      <c r="B1114" s="27" t="s">
        <v>253</v>
      </c>
      <c r="C1114" s="28">
        <v>0.11269999999999999</v>
      </c>
      <c r="D1114" s="28">
        <v>0.66830000000000001</v>
      </c>
      <c r="E1114" s="29"/>
      <c r="F1114" s="29"/>
      <c r="G1114" s="28">
        <v>0.11409999999999999</v>
      </c>
      <c r="H1114" s="29"/>
      <c r="I1114" s="29"/>
      <c r="J1114" s="28">
        <v>0.12379999999999999</v>
      </c>
      <c r="K1114" s="29"/>
      <c r="L1114" s="28">
        <v>8.43E-2</v>
      </c>
      <c r="M1114" s="29"/>
      <c r="N1114" s="28">
        <v>3.95E-2</v>
      </c>
      <c r="O1114" s="28">
        <v>3.95E-2</v>
      </c>
      <c r="P1114" s="28">
        <v>2.5899999999999999E-2</v>
      </c>
      <c r="Q1114" s="29"/>
      <c r="R1114" s="29" t="s">
        <v>346</v>
      </c>
    </row>
    <row r="1115" spans="1:18" x14ac:dyDescent="0.35">
      <c r="A1115" s="27" t="s">
        <v>228</v>
      </c>
      <c r="B1115" s="27" t="s">
        <v>251</v>
      </c>
      <c r="C1115" s="28">
        <v>9.2799999999999994E-2</v>
      </c>
      <c r="D1115" s="28">
        <v>0.53180000000000005</v>
      </c>
      <c r="E1115" s="29"/>
      <c r="F1115" s="29"/>
      <c r="G1115" s="28">
        <v>4.9099999999999998E-2</v>
      </c>
      <c r="H1115" s="29"/>
      <c r="I1115" s="29"/>
      <c r="J1115" s="28">
        <v>0.17449999999999999</v>
      </c>
      <c r="K1115" s="29"/>
      <c r="L1115" s="28">
        <v>1.9099999999999999E-2</v>
      </c>
      <c r="M1115" s="28">
        <v>0.13100000000000001</v>
      </c>
      <c r="N1115" s="28">
        <v>2.1600000000000001E-2</v>
      </c>
      <c r="O1115" s="28">
        <v>2.3699999999999999E-2</v>
      </c>
      <c r="P1115" s="28">
        <v>1.6299999999999999E-2</v>
      </c>
      <c r="Q1115" s="29"/>
      <c r="R1115" s="29" t="s">
        <v>336</v>
      </c>
    </row>
    <row r="1116" spans="1:18" x14ac:dyDescent="0.35">
      <c r="A1116" s="27" t="s">
        <v>229</v>
      </c>
      <c r="B1116" s="27" t="s">
        <v>252</v>
      </c>
      <c r="C1116" s="29"/>
      <c r="D1116" s="29"/>
      <c r="E1116" s="29"/>
      <c r="F1116" s="29"/>
      <c r="G1116" s="29"/>
      <c r="H1116" s="29"/>
      <c r="I1116" s="29"/>
      <c r="J1116" s="29"/>
      <c r="K1116" s="29"/>
      <c r="L1116" s="28">
        <v>1</v>
      </c>
      <c r="M1116" s="29"/>
      <c r="N1116" s="29"/>
      <c r="O1116" s="29"/>
      <c r="P1116" s="29"/>
      <c r="Q1116" s="29"/>
      <c r="R1116" s="29" t="s">
        <v>331</v>
      </c>
    </row>
    <row r="1117" spans="1:18" x14ac:dyDescent="0.35">
      <c r="A1117" s="27" t="s">
        <v>229</v>
      </c>
      <c r="B1117" s="27" t="s">
        <v>253</v>
      </c>
      <c r="C1117" s="28">
        <v>0.92849999999999999</v>
      </c>
      <c r="D1117" s="28">
        <v>1.6E-2</v>
      </c>
      <c r="E1117" s="29"/>
      <c r="F1117" s="28">
        <v>5.5500000000000001E-2</v>
      </c>
      <c r="G1117" s="29"/>
      <c r="H1117" s="29"/>
      <c r="I1117" s="29"/>
      <c r="J1117" s="29"/>
      <c r="K1117" s="29"/>
      <c r="L1117" s="28">
        <v>1.6E-2</v>
      </c>
      <c r="M1117" s="29"/>
      <c r="N1117" s="28">
        <v>1.6E-2</v>
      </c>
      <c r="O1117" s="29"/>
      <c r="P1117" s="29"/>
      <c r="Q1117" s="29"/>
      <c r="R1117" s="29" t="s">
        <v>337</v>
      </c>
    </row>
    <row r="1118" spans="1:18" x14ac:dyDescent="0.35">
      <c r="A1118" s="27" t="s">
        <v>229</v>
      </c>
      <c r="B1118" s="27" t="s">
        <v>251</v>
      </c>
      <c r="C1118" s="28">
        <v>0.6321</v>
      </c>
      <c r="D1118" s="28">
        <v>8.3000000000000004E-2</v>
      </c>
      <c r="E1118" s="29"/>
      <c r="F1118" s="29"/>
      <c r="G1118" s="29"/>
      <c r="H1118" s="29"/>
      <c r="I1118" s="29"/>
      <c r="J1118" s="28">
        <v>3.5299999999999998E-2</v>
      </c>
      <c r="K1118" s="28">
        <v>0.24959999999999999</v>
      </c>
      <c r="L1118" s="28">
        <v>5.5599999999999997E-2</v>
      </c>
      <c r="M1118" s="29"/>
      <c r="N1118" s="28">
        <v>2.7400000000000001E-2</v>
      </c>
      <c r="O1118" s="29"/>
      <c r="P1118" s="29"/>
      <c r="Q1118" s="28">
        <v>7.9000000000000008E-3</v>
      </c>
      <c r="R1118" s="29" t="s">
        <v>342</v>
      </c>
    </row>
    <row r="1119" spans="1:18" x14ac:dyDescent="0.35">
      <c r="A1119" s="27" t="s">
        <v>230</v>
      </c>
      <c r="B1119" s="27" t="s">
        <v>253</v>
      </c>
      <c r="C1119" s="29"/>
      <c r="D1119" s="29"/>
      <c r="E1119" s="29"/>
      <c r="F1119" s="29"/>
      <c r="G1119" s="28">
        <v>1</v>
      </c>
      <c r="H1119" s="29"/>
      <c r="I1119" s="29"/>
      <c r="J1119" s="29"/>
      <c r="K1119" s="29"/>
      <c r="L1119" s="29"/>
      <c r="M1119" s="29"/>
      <c r="N1119" s="29"/>
      <c r="O1119" s="29"/>
      <c r="P1119" s="29"/>
      <c r="Q1119" s="29"/>
      <c r="R1119" s="29" t="s">
        <v>331</v>
      </c>
    </row>
    <row r="1120" spans="1:18" x14ac:dyDescent="0.35">
      <c r="A1120" s="27" t="s">
        <v>230</v>
      </c>
      <c r="B1120" s="27" t="s">
        <v>251</v>
      </c>
      <c r="C1120" s="28">
        <v>2.5700000000000001E-2</v>
      </c>
      <c r="D1120" s="28">
        <v>0.48320000000000002</v>
      </c>
      <c r="E1120" s="28">
        <v>2.5100000000000001E-2</v>
      </c>
      <c r="F1120" s="29"/>
      <c r="G1120" s="28">
        <v>5.1499999999999997E-2</v>
      </c>
      <c r="H1120" s="29"/>
      <c r="I1120" s="29"/>
      <c r="J1120" s="28">
        <v>5.0900000000000001E-2</v>
      </c>
      <c r="K1120" s="28">
        <v>0.16020000000000001</v>
      </c>
      <c r="L1120" s="28">
        <v>0.1525</v>
      </c>
      <c r="M1120" s="29"/>
      <c r="N1120" s="28">
        <v>5.0900000000000001E-2</v>
      </c>
      <c r="O1120" s="29"/>
      <c r="P1120" s="29"/>
      <c r="Q1120" s="28">
        <v>2.5100000000000001E-2</v>
      </c>
      <c r="R1120" s="29" t="s">
        <v>346</v>
      </c>
    </row>
    <row r="1121" spans="1:18" x14ac:dyDescent="0.35">
      <c r="A1121" s="27" t="s">
        <v>231</v>
      </c>
      <c r="B1121" s="27" t="s">
        <v>251</v>
      </c>
      <c r="C1121" s="28">
        <v>0.375</v>
      </c>
      <c r="D1121" s="29"/>
      <c r="E1121" s="28">
        <v>0.375</v>
      </c>
      <c r="F1121" s="29"/>
      <c r="G1121" s="29"/>
      <c r="H1121" s="28">
        <v>0.125</v>
      </c>
      <c r="I1121" s="28">
        <v>0.125</v>
      </c>
      <c r="J1121" s="29"/>
      <c r="K1121" s="29"/>
      <c r="L1121" s="29"/>
      <c r="M1121" s="29"/>
      <c r="N1121" s="29"/>
      <c r="O1121" s="29"/>
      <c r="P1121" s="29"/>
      <c r="Q1121" s="29"/>
      <c r="R1121" s="29" t="s">
        <v>333</v>
      </c>
    </row>
    <row r="1122" spans="1:18" x14ac:dyDescent="0.35">
      <c r="A1122" t="s">
        <v>232</v>
      </c>
      <c r="B1122" t="s">
        <v>232</v>
      </c>
      <c r="C1122" s="26">
        <v>0.29580000000000001</v>
      </c>
      <c r="D1122" s="26">
        <v>0.19600000000000001</v>
      </c>
      <c r="E1122" s="26">
        <v>0.1573</v>
      </c>
      <c r="F1122" s="26">
        <v>6.08E-2</v>
      </c>
      <c r="G1122" s="26">
        <v>5.3900000000000003E-2</v>
      </c>
      <c r="H1122" s="26">
        <v>5.16E-2</v>
      </c>
      <c r="I1122" s="26">
        <v>5.16E-2</v>
      </c>
      <c r="J1122" s="26">
        <v>4.5699999999999998E-2</v>
      </c>
      <c r="K1122" s="26">
        <v>4.2999999999999997E-2</v>
      </c>
      <c r="L1122" s="26">
        <v>3.4000000000000002E-2</v>
      </c>
      <c r="M1122" s="26">
        <v>1.9900000000000001E-2</v>
      </c>
      <c r="N1122" s="26">
        <v>1.5599999999999999E-2</v>
      </c>
      <c r="O1122" s="26">
        <v>6.8999999999999999E-3</v>
      </c>
      <c r="P1122" s="26">
        <v>4.5999999999999999E-3</v>
      </c>
      <c r="Q1122" s="26">
        <v>3.5000000000000001E-3</v>
      </c>
      <c r="R1122">
        <v>87</v>
      </c>
    </row>
    <row r="1124" spans="1:18" x14ac:dyDescent="0.35">
      <c r="A1124" s="1" t="s">
        <v>447</v>
      </c>
    </row>
    <row r="1125" spans="1:18" x14ac:dyDescent="0.35">
      <c r="A1125" t="s">
        <v>219</v>
      </c>
      <c r="B1125" t="s">
        <v>305</v>
      </c>
      <c r="C1125" t="s">
        <v>426</v>
      </c>
      <c r="D1125" t="s">
        <v>427</v>
      </c>
      <c r="E1125" t="s">
        <v>428</v>
      </c>
      <c r="F1125" t="s">
        <v>429</v>
      </c>
      <c r="G1125" t="s">
        <v>430</v>
      </c>
      <c r="H1125" t="s">
        <v>431</v>
      </c>
      <c r="I1125" t="s">
        <v>432</v>
      </c>
      <c r="J1125" t="s">
        <v>433</v>
      </c>
      <c r="K1125" t="s">
        <v>434</v>
      </c>
      <c r="L1125" t="s">
        <v>435</v>
      </c>
      <c r="M1125" t="s">
        <v>436</v>
      </c>
      <c r="N1125" t="s">
        <v>437</v>
      </c>
      <c r="O1125" t="s">
        <v>438</v>
      </c>
      <c r="P1125" t="s">
        <v>439</v>
      </c>
      <c r="Q1125" t="s">
        <v>440</v>
      </c>
      <c r="R1125" t="s">
        <v>226</v>
      </c>
    </row>
    <row r="1126" spans="1:18" x14ac:dyDescent="0.35">
      <c r="A1126" s="27" t="s">
        <v>227</v>
      </c>
      <c r="B1126" s="27" t="s">
        <v>260</v>
      </c>
      <c r="C1126" s="29"/>
      <c r="D1126" s="29"/>
      <c r="E1126" s="29"/>
      <c r="F1126" s="28">
        <v>0.66669999999999996</v>
      </c>
      <c r="G1126" s="28">
        <v>0.33329999999999999</v>
      </c>
      <c r="H1126" s="29"/>
      <c r="I1126" s="29"/>
      <c r="J1126" s="29"/>
      <c r="K1126" s="29"/>
      <c r="L1126" s="29"/>
      <c r="M1126" s="29"/>
      <c r="N1126" s="29"/>
      <c r="O1126" s="29"/>
      <c r="P1126" s="29"/>
      <c r="Q1126" s="29"/>
      <c r="R1126" s="29" t="s">
        <v>315</v>
      </c>
    </row>
    <row r="1127" spans="1:18" x14ac:dyDescent="0.35">
      <c r="A1127" s="27" t="s">
        <v>228</v>
      </c>
      <c r="B1127" s="27" t="s">
        <v>263</v>
      </c>
      <c r="C1127" s="29"/>
      <c r="D1127" s="29"/>
      <c r="E1127" s="29"/>
      <c r="F1127" s="29"/>
      <c r="G1127" s="28">
        <v>1</v>
      </c>
      <c r="H1127" s="29"/>
      <c r="I1127" s="29"/>
      <c r="J1127" s="29"/>
      <c r="K1127" s="29"/>
      <c r="L1127" s="29"/>
      <c r="M1127" s="29"/>
      <c r="N1127" s="29"/>
      <c r="O1127" s="29"/>
      <c r="P1127" s="29"/>
      <c r="Q1127" s="29"/>
      <c r="R1127" s="29" t="s">
        <v>331</v>
      </c>
    </row>
    <row r="1128" spans="1:18" x14ac:dyDescent="0.35">
      <c r="A1128" s="27" t="s">
        <v>228</v>
      </c>
      <c r="B1128" s="27" t="s">
        <v>261</v>
      </c>
      <c r="C1128" s="28">
        <v>3.0300000000000001E-2</v>
      </c>
      <c r="D1128" s="28">
        <v>0.53520000000000001</v>
      </c>
      <c r="E1128" s="29"/>
      <c r="F1128" s="29"/>
      <c r="G1128" s="28">
        <v>5.8900000000000001E-2</v>
      </c>
      <c r="H1128" s="29"/>
      <c r="I1128" s="29"/>
      <c r="J1128" s="28">
        <v>0.14810000000000001</v>
      </c>
      <c r="K1128" s="29"/>
      <c r="L1128" s="29"/>
      <c r="M1128" s="28">
        <v>0.16739999999999999</v>
      </c>
      <c r="N1128" s="28">
        <v>2.76E-2</v>
      </c>
      <c r="O1128" s="28">
        <v>1.8100000000000002E-2</v>
      </c>
      <c r="P1128" s="28">
        <v>3.8899999999999997E-2</v>
      </c>
      <c r="Q1128" s="29"/>
      <c r="R1128" s="29" t="s">
        <v>346</v>
      </c>
    </row>
    <row r="1129" spans="1:18" x14ac:dyDescent="0.35">
      <c r="A1129" s="27" t="s">
        <v>228</v>
      </c>
      <c r="B1129" s="27" t="s">
        <v>260</v>
      </c>
      <c r="C1129" s="28">
        <v>0.14729999999999999</v>
      </c>
      <c r="D1129" s="28">
        <v>0.57569999999999999</v>
      </c>
      <c r="E1129" s="29"/>
      <c r="F1129" s="29"/>
      <c r="G1129" s="28">
        <v>8.4699999999999998E-2</v>
      </c>
      <c r="H1129" s="29"/>
      <c r="I1129" s="29"/>
      <c r="J1129" s="28">
        <v>0.122</v>
      </c>
      <c r="K1129" s="29"/>
      <c r="L1129" s="28">
        <v>3.3000000000000002E-2</v>
      </c>
      <c r="M1129" s="29"/>
      <c r="N1129" s="28">
        <v>3.73E-2</v>
      </c>
      <c r="O1129" s="28">
        <v>5.3800000000000001E-2</v>
      </c>
      <c r="P1129" s="29"/>
      <c r="Q1129" s="29"/>
      <c r="R1129" s="29" t="s">
        <v>350</v>
      </c>
    </row>
    <row r="1130" spans="1:18" x14ac:dyDescent="0.35">
      <c r="A1130" s="27" t="s">
        <v>228</v>
      </c>
      <c r="B1130" s="27" t="s">
        <v>262</v>
      </c>
      <c r="C1130" s="28">
        <v>0.26879999999999998</v>
      </c>
      <c r="D1130" s="28">
        <v>0.85929999999999995</v>
      </c>
      <c r="E1130" s="29"/>
      <c r="F1130" s="29"/>
      <c r="G1130" s="29"/>
      <c r="H1130" s="29"/>
      <c r="I1130" s="29"/>
      <c r="J1130" s="28">
        <v>0.32990000000000003</v>
      </c>
      <c r="K1130" s="29"/>
      <c r="L1130" s="28">
        <v>0.27329999999999999</v>
      </c>
      <c r="M1130" s="29"/>
      <c r="N1130" s="29"/>
      <c r="O1130" s="29"/>
      <c r="P1130" s="29"/>
      <c r="Q1130" s="29"/>
      <c r="R1130" s="29" t="s">
        <v>339</v>
      </c>
    </row>
    <row r="1131" spans="1:18" x14ac:dyDescent="0.35">
      <c r="A1131" s="27" t="s">
        <v>229</v>
      </c>
      <c r="B1131" s="27" t="s">
        <v>261</v>
      </c>
      <c r="C1131" s="28">
        <v>0.33329999999999999</v>
      </c>
      <c r="D1131" s="28">
        <v>0.33329999999999999</v>
      </c>
      <c r="E1131" s="29"/>
      <c r="F1131" s="29"/>
      <c r="G1131" s="29"/>
      <c r="H1131" s="29"/>
      <c r="I1131" s="29"/>
      <c r="J1131" s="28">
        <v>0.33329999999999999</v>
      </c>
      <c r="K1131" s="29"/>
      <c r="L1131" s="29"/>
      <c r="M1131" s="29"/>
      <c r="N1131" s="28">
        <v>0.33329999999999999</v>
      </c>
      <c r="O1131" s="29"/>
      <c r="P1131" s="29"/>
      <c r="Q1131" s="29"/>
      <c r="R1131" s="29" t="s">
        <v>315</v>
      </c>
    </row>
    <row r="1132" spans="1:18" x14ac:dyDescent="0.35">
      <c r="A1132" s="27" t="s">
        <v>229</v>
      </c>
      <c r="B1132" s="27" t="s">
        <v>260</v>
      </c>
      <c r="C1132" s="28">
        <v>0.878</v>
      </c>
      <c r="D1132" s="29"/>
      <c r="E1132" s="29"/>
      <c r="F1132" s="28">
        <v>6.7699999999999996E-2</v>
      </c>
      <c r="G1132" s="29"/>
      <c r="H1132" s="29"/>
      <c r="I1132" s="29"/>
      <c r="J1132" s="28">
        <v>1.9599999999999999E-2</v>
      </c>
      <c r="K1132" s="29"/>
      <c r="L1132" s="28">
        <v>3.4700000000000002E-2</v>
      </c>
      <c r="M1132" s="29"/>
      <c r="N1132" s="29"/>
      <c r="O1132" s="29"/>
      <c r="P1132" s="29"/>
      <c r="Q1132" s="28">
        <v>1.9599999999999999E-2</v>
      </c>
      <c r="R1132" s="29" t="s">
        <v>333</v>
      </c>
    </row>
    <row r="1133" spans="1:18" x14ac:dyDescent="0.35">
      <c r="A1133" s="27" t="s">
        <v>229</v>
      </c>
      <c r="B1133" s="27" t="s">
        <v>262</v>
      </c>
      <c r="C1133" s="28">
        <v>0.69330000000000003</v>
      </c>
      <c r="D1133" s="28">
        <v>6.2199999999999998E-2</v>
      </c>
      <c r="E1133" s="29"/>
      <c r="F1133" s="29"/>
      <c r="G1133" s="29"/>
      <c r="H1133" s="29"/>
      <c r="I1133" s="29"/>
      <c r="J1133" s="29"/>
      <c r="K1133" s="28">
        <v>0.2445</v>
      </c>
      <c r="L1133" s="28">
        <v>6.2199999999999998E-2</v>
      </c>
      <c r="M1133" s="29"/>
      <c r="N1133" s="28">
        <v>7.7999999999999996E-3</v>
      </c>
      <c r="O1133" s="29"/>
      <c r="P1133" s="29"/>
      <c r="Q1133" s="29"/>
      <c r="R1133" s="29" t="s">
        <v>335</v>
      </c>
    </row>
    <row r="1134" spans="1:18" x14ac:dyDescent="0.35">
      <c r="A1134" s="27" t="s">
        <v>230</v>
      </c>
      <c r="B1134" s="27" t="s">
        <v>261</v>
      </c>
      <c r="C1134" s="29"/>
      <c r="D1134" s="28">
        <v>1</v>
      </c>
      <c r="E1134" s="29"/>
      <c r="F1134" s="29"/>
      <c r="G1134" s="29"/>
      <c r="H1134" s="29"/>
      <c r="I1134" s="29"/>
      <c r="J1134" s="29"/>
      <c r="K1134" s="29"/>
      <c r="L1134" s="29"/>
      <c r="M1134" s="29"/>
      <c r="N1134" s="29"/>
      <c r="O1134" s="29"/>
      <c r="P1134" s="29"/>
      <c r="Q1134" s="29"/>
      <c r="R1134" s="29" t="s">
        <v>331</v>
      </c>
    </row>
    <row r="1135" spans="1:18" x14ac:dyDescent="0.35">
      <c r="A1135" s="27" t="s">
        <v>230</v>
      </c>
      <c r="B1135" s="27" t="s">
        <v>260</v>
      </c>
      <c r="C1135" s="28">
        <v>4.1599999999999998E-2</v>
      </c>
      <c r="D1135" s="28">
        <v>0.24660000000000001</v>
      </c>
      <c r="E1135" s="29"/>
      <c r="F1135" s="29"/>
      <c r="G1135" s="28">
        <v>8.3199999999999996E-2</v>
      </c>
      <c r="H1135" s="29"/>
      <c r="I1135" s="29"/>
      <c r="J1135" s="28">
        <v>4.1599999999999998E-2</v>
      </c>
      <c r="K1135" s="28">
        <v>0.2591</v>
      </c>
      <c r="L1135" s="28">
        <v>0.24660000000000001</v>
      </c>
      <c r="M1135" s="29"/>
      <c r="N1135" s="28">
        <v>4.0599999999999997E-2</v>
      </c>
      <c r="O1135" s="29"/>
      <c r="P1135" s="29"/>
      <c r="Q1135" s="28">
        <v>4.0599999999999997E-2</v>
      </c>
      <c r="R1135" s="29" t="s">
        <v>307</v>
      </c>
    </row>
    <row r="1136" spans="1:18" x14ac:dyDescent="0.35">
      <c r="A1136" s="27" t="s">
        <v>230</v>
      </c>
      <c r="B1136" s="27" t="s">
        <v>262</v>
      </c>
      <c r="C1136" s="29"/>
      <c r="D1136" s="28">
        <v>0.79930000000000001</v>
      </c>
      <c r="E1136" s="28">
        <v>6.5799999999999997E-2</v>
      </c>
      <c r="F1136" s="29"/>
      <c r="G1136" s="28">
        <v>6.7400000000000002E-2</v>
      </c>
      <c r="H1136" s="29"/>
      <c r="I1136" s="29"/>
      <c r="J1136" s="28">
        <v>6.5799999999999997E-2</v>
      </c>
      <c r="K1136" s="29"/>
      <c r="L1136" s="29"/>
      <c r="M1136" s="29"/>
      <c r="N1136" s="28">
        <v>6.7400000000000002E-2</v>
      </c>
      <c r="O1136" s="29"/>
      <c r="P1136" s="29"/>
      <c r="Q1136" s="29"/>
      <c r="R1136" s="29" t="s">
        <v>332</v>
      </c>
    </row>
    <row r="1137" spans="1:18" x14ac:dyDescent="0.35">
      <c r="A1137" s="27" t="s">
        <v>231</v>
      </c>
      <c r="B1137" s="27" t="s">
        <v>260</v>
      </c>
      <c r="C1137" s="28">
        <v>0.375</v>
      </c>
      <c r="D1137" s="29"/>
      <c r="E1137" s="28">
        <v>0.375</v>
      </c>
      <c r="F1137" s="29"/>
      <c r="G1137" s="29"/>
      <c r="H1137" s="28">
        <v>0.125</v>
      </c>
      <c r="I1137" s="28">
        <v>0.125</v>
      </c>
      <c r="J1137" s="29"/>
      <c r="K1137" s="29"/>
      <c r="L1137" s="29"/>
      <c r="M1137" s="29"/>
      <c r="N1137" s="29"/>
      <c r="O1137" s="29"/>
      <c r="P1137" s="29"/>
      <c r="Q1137" s="29"/>
      <c r="R1137" s="29" t="s">
        <v>333</v>
      </c>
    </row>
    <row r="1138" spans="1:18" x14ac:dyDescent="0.35">
      <c r="A1138" t="s">
        <v>232</v>
      </c>
      <c r="B1138" t="s">
        <v>232</v>
      </c>
      <c r="C1138" s="26">
        <v>0.29580000000000001</v>
      </c>
      <c r="D1138" s="26">
        <v>0.19600000000000001</v>
      </c>
      <c r="E1138" s="26">
        <v>0.1573</v>
      </c>
      <c r="F1138" s="26">
        <v>6.08E-2</v>
      </c>
      <c r="G1138" s="26">
        <v>5.3900000000000003E-2</v>
      </c>
      <c r="H1138" s="26">
        <v>5.16E-2</v>
      </c>
      <c r="I1138" s="26">
        <v>5.16E-2</v>
      </c>
      <c r="J1138" s="26">
        <v>4.5699999999999998E-2</v>
      </c>
      <c r="K1138" s="26">
        <v>4.2999999999999997E-2</v>
      </c>
      <c r="L1138" s="26">
        <v>3.4000000000000002E-2</v>
      </c>
      <c r="M1138" s="26">
        <v>1.9900000000000001E-2</v>
      </c>
      <c r="N1138" s="26">
        <v>1.5599999999999999E-2</v>
      </c>
      <c r="O1138" s="26">
        <v>6.8999999999999999E-3</v>
      </c>
      <c r="P1138" s="26">
        <v>4.5999999999999999E-3</v>
      </c>
      <c r="Q1138" s="26">
        <v>3.5000000000000001E-3</v>
      </c>
      <c r="R1138">
        <v>87</v>
      </c>
    </row>
    <row r="1140" spans="1:18" x14ac:dyDescent="0.35">
      <c r="A1140" s="1" t="s">
        <v>448</v>
      </c>
    </row>
    <row r="1141" spans="1:18" x14ac:dyDescent="0.35">
      <c r="A1141" t="s">
        <v>219</v>
      </c>
      <c r="B1141" t="s">
        <v>305</v>
      </c>
      <c r="C1141" t="s">
        <v>426</v>
      </c>
      <c r="D1141" t="s">
        <v>427</v>
      </c>
      <c r="E1141" t="s">
        <v>428</v>
      </c>
      <c r="F1141" t="s">
        <v>429</v>
      </c>
      <c r="G1141" t="s">
        <v>430</v>
      </c>
      <c r="H1141" t="s">
        <v>431</v>
      </c>
      <c r="I1141" t="s">
        <v>432</v>
      </c>
      <c r="J1141" t="s">
        <v>433</v>
      </c>
      <c r="K1141" t="s">
        <v>434</v>
      </c>
      <c r="L1141" t="s">
        <v>435</v>
      </c>
      <c r="M1141" t="s">
        <v>436</v>
      </c>
      <c r="N1141" t="s">
        <v>437</v>
      </c>
      <c r="O1141" t="s">
        <v>438</v>
      </c>
      <c r="P1141" t="s">
        <v>439</v>
      </c>
      <c r="Q1141" t="s">
        <v>440</v>
      </c>
      <c r="R1141" t="s">
        <v>226</v>
      </c>
    </row>
    <row r="1142" spans="1:18" x14ac:dyDescent="0.35">
      <c r="A1142" s="27" t="s">
        <v>227</v>
      </c>
      <c r="B1142" s="27" t="s">
        <v>369</v>
      </c>
      <c r="C1142" s="29"/>
      <c r="D1142" s="29"/>
      <c r="E1142" s="29"/>
      <c r="F1142" s="28">
        <v>0.66669999999999996</v>
      </c>
      <c r="G1142" s="28">
        <v>0.33329999999999999</v>
      </c>
      <c r="H1142" s="29"/>
      <c r="I1142" s="29"/>
      <c r="J1142" s="29"/>
      <c r="K1142" s="29"/>
      <c r="L1142" s="29"/>
      <c r="M1142" s="29"/>
      <c r="N1142" s="29"/>
      <c r="O1142" s="29"/>
      <c r="P1142" s="29"/>
      <c r="Q1142" s="29"/>
      <c r="R1142" s="29" t="s">
        <v>315</v>
      </c>
    </row>
    <row r="1143" spans="1:18" x14ac:dyDescent="0.35">
      <c r="A1143" s="27" t="s">
        <v>228</v>
      </c>
      <c r="B1143" s="27" t="s">
        <v>368</v>
      </c>
      <c r="C1143" s="28">
        <v>3.0300000000000001E-2</v>
      </c>
      <c r="D1143" s="28">
        <v>0.53520000000000001</v>
      </c>
      <c r="E1143" s="29"/>
      <c r="F1143" s="29"/>
      <c r="G1143" s="28">
        <v>5.8900000000000001E-2</v>
      </c>
      <c r="H1143" s="29"/>
      <c r="I1143" s="29"/>
      <c r="J1143" s="28">
        <v>0.14810000000000001</v>
      </c>
      <c r="K1143" s="29"/>
      <c r="L1143" s="29"/>
      <c r="M1143" s="28">
        <v>0.16739999999999999</v>
      </c>
      <c r="N1143" s="28">
        <v>2.76E-2</v>
      </c>
      <c r="O1143" s="28">
        <v>1.8100000000000002E-2</v>
      </c>
      <c r="P1143" s="28">
        <v>3.8899999999999997E-2</v>
      </c>
      <c r="Q1143" s="29"/>
      <c r="R1143" s="29" t="s">
        <v>346</v>
      </c>
    </row>
    <row r="1144" spans="1:18" x14ac:dyDescent="0.35">
      <c r="A1144" s="27" t="s">
        <v>228</v>
      </c>
      <c r="B1144" s="27" t="s">
        <v>369</v>
      </c>
      <c r="C1144" s="28">
        <v>0.17100000000000001</v>
      </c>
      <c r="D1144" s="28">
        <v>0.626</v>
      </c>
      <c r="E1144" s="29"/>
      <c r="F1144" s="29"/>
      <c r="G1144" s="28">
        <v>8.5599999999999996E-2</v>
      </c>
      <c r="H1144" s="29"/>
      <c r="I1144" s="29"/>
      <c r="J1144" s="28">
        <v>0.1653</v>
      </c>
      <c r="K1144" s="29"/>
      <c r="L1144" s="28">
        <v>8.5300000000000001E-2</v>
      </c>
      <c r="M1144" s="29"/>
      <c r="N1144" s="28">
        <v>2.8299999999999999E-2</v>
      </c>
      <c r="O1144" s="28">
        <v>4.0800000000000003E-2</v>
      </c>
      <c r="P1144" s="29"/>
      <c r="Q1144" s="29"/>
      <c r="R1144" s="29" t="s">
        <v>336</v>
      </c>
    </row>
    <row r="1145" spans="1:18" x14ac:dyDescent="0.35">
      <c r="A1145" s="27" t="s">
        <v>229</v>
      </c>
      <c r="B1145" s="27" t="s">
        <v>368</v>
      </c>
      <c r="C1145" s="28">
        <v>0.33329999999999999</v>
      </c>
      <c r="D1145" s="28">
        <v>0.33329999999999999</v>
      </c>
      <c r="E1145" s="29"/>
      <c r="F1145" s="29"/>
      <c r="G1145" s="29"/>
      <c r="H1145" s="29"/>
      <c r="I1145" s="29"/>
      <c r="J1145" s="28">
        <v>0.33329999999999999</v>
      </c>
      <c r="K1145" s="29"/>
      <c r="L1145" s="29"/>
      <c r="M1145" s="29"/>
      <c r="N1145" s="28">
        <v>0.33329999999999999</v>
      </c>
      <c r="O1145" s="29"/>
      <c r="P1145" s="29"/>
      <c r="Q1145" s="29"/>
      <c r="R1145" s="29" t="s">
        <v>315</v>
      </c>
    </row>
    <row r="1146" spans="1:18" x14ac:dyDescent="0.35">
      <c r="A1146" s="27" t="s">
        <v>229</v>
      </c>
      <c r="B1146" s="27" t="s">
        <v>369</v>
      </c>
      <c r="C1146" s="28">
        <v>0.74570000000000003</v>
      </c>
      <c r="D1146" s="28">
        <v>4.4499999999999998E-2</v>
      </c>
      <c r="E1146" s="29"/>
      <c r="F1146" s="28">
        <v>1.9199999999999998E-2</v>
      </c>
      <c r="G1146" s="29"/>
      <c r="H1146" s="29"/>
      <c r="I1146" s="29"/>
      <c r="J1146" s="28">
        <v>5.5999999999999999E-3</v>
      </c>
      <c r="K1146" s="28">
        <v>0.17510000000000001</v>
      </c>
      <c r="L1146" s="28">
        <v>5.4399999999999997E-2</v>
      </c>
      <c r="M1146" s="29"/>
      <c r="N1146" s="28">
        <v>5.5999999999999999E-3</v>
      </c>
      <c r="O1146" s="29"/>
      <c r="P1146" s="29"/>
      <c r="Q1146" s="28">
        <v>5.5999999999999999E-3</v>
      </c>
      <c r="R1146" s="29" t="s">
        <v>379</v>
      </c>
    </row>
    <row r="1147" spans="1:18" x14ac:dyDescent="0.35">
      <c r="A1147" s="27" t="s">
        <v>230</v>
      </c>
      <c r="B1147" s="27" t="s">
        <v>368</v>
      </c>
      <c r="C1147" s="29"/>
      <c r="D1147" s="28">
        <v>1</v>
      </c>
      <c r="E1147" s="29"/>
      <c r="F1147" s="29"/>
      <c r="G1147" s="29"/>
      <c r="H1147" s="29"/>
      <c r="I1147" s="29"/>
      <c r="J1147" s="29"/>
      <c r="K1147" s="29"/>
      <c r="L1147" s="29"/>
      <c r="M1147" s="29"/>
      <c r="N1147" s="29"/>
      <c r="O1147" s="29"/>
      <c r="P1147" s="29"/>
      <c r="Q1147" s="29"/>
      <c r="R1147" s="29" t="s">
        <v>331</v>
      </c>
    </row>
    <row r="1148" spans="1:18" x14ac:dyDescent="0.35">
      <c r="A1148" s="27" t="s">
        <v>230</v>
      </c>
      <c r="B1148" s="27" t="s">
        <v>369</v>
      </c>
      <c r="C1148" s="28">
        <v>2.5700000000000001E-2</v>
      </c>
      <c r="D1148" s="28">
        <v>0.45750000000000002</v>
      </c>
      <c r="E1148" s="28">
        <v>2.5100000000000001E-2</v>
      </c>
      <c r="F1148" s="29"/>
      <c r="G1148" s="28">
        <v>7.7200000000000005E-2</v>
      </c>
      <c r="H1148" s="29"/>
      <c r="I1148" s="29"/>
      <c r="J1148" s="28">
        <v>5.0900000000000001E-2</v>
      </c>
      <c r="K1148" s="28">
        <v>0.16020000000000001</v>
      </c>
      <c r="L1148" s="28">
        <v>0.1525</v>
      </c>
      <c r="M1148" s="29"/>
      <c r="N1148" s="28">
        <v>5.0900000000000001E-2</v>
      </c>
      <c r="O1148" s="29"/>
      <c r="P1148" s="29"/>
      <c r="Q1148" s="28">
        <v>2.5100000000000001E-2</v>
      </c>
      <c r="R1148" s="29" t="s">
        <v>346</v>
      </c>
    </row>
    <row r="1149" spans="1:18" x14ac:dyDescent="0.35">
      <c r="A1149" s="27" t="s">
        <v>231</v>
      </c>
      <c r="B1149" s="27" t="s">
        <v>369</v>
      </c>
      <c r="C1149" s="28">
        <v>0.375</v>
      </c>
      <c r="D1149" s="29"/>
      <c r="E1149" s="28">
        <v>0.375</v>
      </c>
      <c r="F1149" s="29"/>
      <c r="G1149" s="29"/>
      <c r="H1149" s="28">
        <v>0.125</v>
      </c>
      <c r="I1149" s="28">
        <v>0.125</v>
      </c>
      <c r="J1149" s="29"/>
      <c r="K1149" s="29"/>
      <c r="L1149" s="29"/>
      <c r="M1149" s="29"/>
      <c r="N1149" s="29"/>
      <c r="O1149" s="29"/>
      <c r="P1149" s="29"/>
      <c r="Q1149" s="29"/>
      <c r="R1149" s="29" t="s">
        <v>333</v>
      </c>
    </row>
    <row r="1150" spans="1:18" x14ac:dyDescent="0.35">
      <c r="A1150" t="s">
        <v>232</v>
      </c>
      <c r="B1150" t="s">
        <v>232</v>
      </c>
      <c r="C1150" s="26">
        <v>0.29580000000000001</v>
      </c>
      <c r="D1150" s="26">
        <v>0.19600000000000001</v>
      </c>
      <c r="E1150" s="26">
        <v>0.1573</v>
      </c>
      <c r="F1150" s="26">
        <v>6.08E-2</v>
      </c>
      <c r="G1150" s="26">
        <v>5.3900000000000003E-2</v>
      </c>
      <c r="H1150" s="26">
        <v>5.16E-2</v>
      </c>
      <c r="I1150" s="26">
        <v>5.16E-2</v>
      </c>
      <c r="J1150" s="26">
        <v>4.5699999999999998E-2</v>
      </c>
      <c r="K1150" s="26">
        <v>4.2999999999999997E-2</v>
      </c>
      <c r="L1150" s="26">
        <v>3.4000000000000002E-2</v>
      </c>
      <c r="M1150" s="26">
        <v>1.9900000000000001E-2</v>
      </c>
      <c r="N1150" s="26">
        <v>1.5599999999999999E-2</v>
      </c>
      <c r="O1150" s="26">
        <v>6.8999999999999999E-3</v>
      </c>
      <c r="P1150" s="26">
        <v>4.5999999999999999E-3</v>
      </c>
      <c r="Q1150" s="26">
        <v>3.5000000000000001E-3</v>
      </c>
      <c r="R1150">
        <v>87</v>
      </c>
    </row>
    <row r="1152" spans="1:18" x14ac:dyDescent="0.35">
      <c r="A1152" s="1" t="s">
        <v>449</v>
      </c>
    </row>
    <row r="1153" spans="1:18" x14ac:dyDescent="0.35">
      <c r="A1153" t="s">
        <v>219</v>
      </c>
      <c r="B1153" t="s">
        <v>305</v>
      </c>
      <c r="C1153" t="s">
        <v>426</v>
      </c>
      <c r="D1153" t="s">
        <v>427</v>
      </c>
      <c r="E1153" t="s">
        <v>428</v>
      </c>
      <c r="F1153" t="s">
        <v>429</v>
      </c>
      <c r="G1153" t="s">
        <v>430</v>
      </c>
      <c r="H1153" t="s">
        <v>431</v>
      </c>
      <c r="I1153" t="s">
        <v>432</v>
      </c>
      <c r="J1153" t="s">
        <v>433</v>
      </c>
      <c r="K1153" t="s">
        <v>434</v>
      </c>
      <c r="L1153" t="s">
        <v>435</v>
      </c>
      <c r="M1153" t="s">
        <v>436</v>
      </c>
      <c r="N1153" t="s">
        <v>437</v>
      </c>
      <c r="O1153" t="s">
        <v>438</v>
      </c>
      <c r="P1153" t="s">
        <v>439</v>
      </c>
      <c r="Q1153" t="s">
        <v>440</v>
      </c>
      <c r="R1153" t="s">
        <v>226</v>
      </c>
    </row>
    <row r="1154" spans="1:18" x14ac:dyDescent="0.35">
      <c r="A1154" s="27" t="s">
        <v>227</v>
      </c>
      <c r="B1154" s="27" t="s">
        <v>371</v>
      </c>
      <c r="C1154" s="29"/>
      <c r="D1154" s="29"/>
      <c r="E1154" s="29"/>
      <c r="F1154" s="28">
        <v>0.66669999999999996</v>
      </c>
      <c r="G1154" s="28">
        <v>0.33329999999999999</v>
      </c>
      <c r="H1154" s="29"/>
      <c r="I1154" s="29"/>
      <c r="J1154" s="29"/>
      <c r="K1154" s="29"/>
      <c r="L1154" s="29"/>
      <c r="M1154" s="29"/>
      <c r="N1154" s="29"/>
      <c r="O1154" s="29"/>
      <c r="P1154" s="29"/>
      <c r="Q1154" s="29"/>
      <c r="R1154" s="29" t="s">
        <v>315</v>
      </c>
    </row>
    <row r="1155" spans="1:18" x14ac:dyDescent="0.35">
      <c r="A1155" s="27" t="s">
        <v>228</v>
      </c>
      <c r="B1155" s="27" t="s">
        <v>371</v>
      </c>
      <c r="C1155" s="28">
        <v>7.85E-2</v>
      </c>
      <c r="D1155" s="28">
        <v>0.7349</v>
      </c>
      <c r="E1155" s="29"/>
      <c r="F1155" s="29"/>
      <c r="G1155" s="29"/>
      <c r="H1155" s="29"/>
      <c r="I1155" s="29"/>
      <c r="J1155" s="28">
        <v>1.52E-2</v>
      </c>
      <c r="K1155" s="29"/>
      <c r="L1155" s="29"/>
      <c r="M1155" s="28">
        <v>0.1409</v>
      </c>
      <c r="N1155" s="29"/>
      <c r="O1155" s="28">
        <v>1.52E-2</v>
      </c>
      <c r="P1155" s="28">
        <v>1.52E-2</v>
      </c>
      <c r="Q1155" s="29"/>
      <c r="R1155" s="29" t="s">
        <v>348</v>
      </c>
    </row>
    <row r="1156" spans="1:18" x14ac:dyDescent="0.35">
      <c r="A1156" s="27" t="s">
        <v>228</v>
      </c>
      <c r="B1156" s="27" t="s">
        <v>372</v>
      </c>
      <c r="C1156" s="28">
        <v>0.26069999999999999</v>
      </c>
      <c r="D1156" s="29"/>
      <c r="E1156" s="29"/>
      <c r="F1156" s="29"/>
      <c r="G1156" s="28">
        <v>0.22239999999999999</v>
      </c>
      <c r="H1156" s="29"/>
      <c r="I1156" s="29"/>
      <c r="J1156" s="28">
        <v>0.22239999999999999</v>
      </c>
      <c r="K1156" s="29"/>
      <c r="L1156" s="29"/>
      <c r="M1156" s="29"/>
      <c r="N1156" s="28">
        <v>0.29459999999999997</v>
      </c>
      <c r="O1156" s="29"/>
      <c r="P1156" s="29"/>
      <c r="Q1156" s="29"/>
      <c r="R1156" s="29" t="s">
        <v>332</v>
      </c>
    </row>
    <row r="1157" spans="1:18" x14ac:dyDescent="0.35">
      <c r="A1157" s="27" t="s">
        <v>228</v>
      </c>
      <c r="B1157" s="27" t="s">
        <v>373</v>
      </c>
      <c r="C1157" s="28">
        <v>0.11459999999999999</v>
      </c>
      <c r="D1157" s="28">
        <v>0.39340000000000003</v>
      </c>
      <c r="E1157" s="29"/>
      <c r="F1157" s="29"/>
      <c r="G1157" s="28">
        <v>0.17499999999999999</v>
      </c>
      <c r="H1157" s="29"/>
      <c r="I1157" s="29"/>
      <c r="J1157" s="28">
        <v>0.38929999999999998</v>
      </c>
      <c r="K1157" s="29"/>
      <c r="L1157" s="28">
        <v>0.11990000000000001</v>
      </c>
      <c r="M1157" s="29"/>
      <c r="N1157" s="28">
        <v>3.9699999999999999E-2</v>
      </c>
      <c r="O1157" s="28">
        <v>5.7299999999999997E-2</v>
      </c>
      <c r="P1157" s="28">
        <v>0.03</v>
      </c>
      <c r="Q1157" s="29"/>
      <c r="R1157" s="29" t="s">
        <v>347</v>
      </c>
    </row>
    <row r="1158" spans="1:18" x14ac:dyDescent="0.35">
      <c r="A1158" s="27" t="s">
        <v>229</v>
      </c>
      <c r="B1158" s="27" t="s">
        <v>371</v>
      </c>
      <c r="C1158" s="28">
        <v>0.76439999999999997</v>
      </c>
      <c r="D1158" s="28">
        <v>4.1000000000000002E-2</v>
      </c>
      <c r="E1158" s="29"/>
      <c r="F1158" s="29"/>
      <c r="G1158" s="29"/>
      <c r="H1158" s="29"/>
      <c r="I1158" s="29"/>
      <c r="J1158" s="29"/>
      <c r="K1158" s="28">
        <v>0.1842</v>
      </c>
      <c r="L1158" s="28">
        <v>5.1400000000000001E-2</v>
      </c>
      <c r="M1158" s="29"/>
      <c r="N1158" s="29"/>
      <c r="O1158" s="29"/>
      <c r="P1158" s="29"/>
      <c r="Q1158" s="29"/>
      <c r="R1158" s="29" t="s">
        <v>307</v>
      </c>
    </row>
    <row r="1159" spans="1:18" x14ac:dyDescent="0.35">
      <c r="A1159" s="27" t="s">
        <v>229</v>
      </c>
      <c r="B1159" s="27" t="s">
        <v>372</v>
      </c>
      <c r="C1159" s="28">
        <v>0.55900000000000005</v>
      </c>
      <c r="D1159" s="28">
        <v>0.36020000000000002</v>
      </c>
      <c r="E1159" s="29"/>
      <c r="F1159" s="29"/>
      <c r="G1159" s="29"/>
      <c r="H1159" s="29"/>
      <c r="I1159" s="29"/>
      <c r="J1159" s="28">
        <v>8.0699999999999994E-2</v>
      </c>
      <c r="K1159" s="29"/>
      <c r="L1159" s="28">
        <v>8.0699999999999994E-2</v>
      </c>
      <c r="M1159" s="29"/>
      <c r="N1159" s="28">
        <v>8.0699999999999994E-2</v>
      </c>
      <c r="O1159" s="29"/>
      <c r="P1159" s="29"/>
      <c r="Q1159" s="28">
        <v>8.0699999999999994E-2</v>
      </c>
      <c r="R1159" s="29" t="s">
        <v>332</v>
      </c>
    </row>
    <row r="1160" spans="1:18" x14ac:dyDescent="0.35">
      <c r="A1160" s="27" t="s">
        <v>229</v>
      </c>
      <c r="B1160" s="27" t="s">
        <v>373</v>
      </c>
      <c r="C1160" s="29"/>
      <c r="D1160" s="29"/>
      <c r="E1160" s="29"/>
      <c r="F1160" s="28">
        <v>0.5</v>
      </c>
      <c r="G1160" s="29"/>
      <c r="H1160" s="29"/>
      <c r="I1160" s="29"/>
      <c r="J1160" s="28">
        <v>0.5</v>
      </c>
      <c r="K1160" s="29"/>
      <c r="L1160" s="29"/>
      <c r="M1160" s="29"/>
      <c r="N1160" s="28">
        <v>0.5</v>
      </c>
      <c r="O1160" s="29"/>
      <c r="P1160" s="29"/>
      <c r="Q1160" s="29"/>
      <c r="R1160" s="29" t="s">
        <v>314</v>
      </c>
    </row>
    <row r="1161" spans="1:18" x14ac:dyDescent="0.35">
      <c r="A1161" s="27" t="s">
        <v>230</v>
      </c>
      <c r="B1161" s="27" t="s">
        <v>371</v>
      </c>
      <c r="C1161" s="28">
        <v>2.7300000000000001E-2</v>
      </c>
      <c r="D1161" s="28">
        <v>0.51270000000000004</v>
      </c>
      <c r="E1161" s="29"/>
      <c r="F1161" s="29"/>
      <c r="G1161" s="28">
        <v>8.1900000000000001E-2</v>
      </c>
      <c r="H1161" s="29"/>
      <c r="I1161" s="29"/>
      <c r="J1161" s="28">
        <v>2.7300000000000001E-2</v>
      </c>
      <c r="K1161" s="28">
        <v>0.1618</v>
      </c>
      <c r="L1161" s="28">
        <v>0.1618</v>
      </c>
      <c r="M1161" s="29"/>
      <c r="N1161" s="28">
        <v>2.7300000000000001E-2</v>
      </c>
      <c r="O1161" s="29"/>
      <c r="P1161" s="29"/>
      <c r="Q1161" s="29"/>
      <c r="R1161" s="29" t="s">
        <v>342</v>
      </c>
    </row>
    <row r="1162" spans="1:18" x14ac:dyDescent="0.35">
      <c r="A1162" s="27" t="s">
        <v>230</v>
      </c>
      <c r="B1162" s="27" t="s">
        <v>372</v>
      </c>
      <c r="C1162" s="29"/>
      <c r="D1162" s="29"/>
      <c r="E1162" s="29"/>
      <c r="F1162" s="29"/>
      <c r="G1162" s="29"/>
      <c r="H1162" s="29"/>
      <c r="I1162" s="29"/>
      <c r="J1162" s="29"/>
      <c r="K1162" s="28">
        <v>1</v>
      </c>
      <c r="L1162" s="29"/>
      <c r="M1162" s="29"/>
      <c r="N1162" s="29"/>
      <c r="O1162" s="29"/>
      <c r="P1162" s="29"/>
      <c r="Q1162" s="29"/>
      <c r="R1162" s="29" t="s">
        <v>331</v>
      </c>
    </row>
    <row r="1163" spans="1:18" x14ac:dyDescent="0.35">
      <c r="A1163" s="27" t="s">
        <v>230</v>
      </c>
      <c r="B1163" s="27" t="s">
        <v>373</v>
      </c>
      <c r="C1163" s="29"/>
      <c r="D1163" s="29"/>
      <c r="E1163" s="28">
        <v>0.33329999999999999</v>
      </c>
      <c r="F1163" s="29"/>
      <c r="G1163" s="29"/>
      <c r="H1163" s="29"/>
      <c r="I1163" s="29"/>
      <c r="J1163" s="28">
        <v>0.33329999999999999</v>
      </c>
      <c r="K1163" s="29"/>
      <c r="L1163" s="29"/>
      <c r="M1163" s="29"/>
      <c r="N1163" s="28">
        <v>0.33329999999999999</v>
      </c>
      <c r="O1163" s="29"/>
      <c r="P1163" s="29"/>
      <c r="Q1163" s="28">
        <v>0.33329999999999999</v>
      </c>
      <c r="R1163" s="29" t="s">
        <v>315</v>
      </c>
    </row>
    <row r="1164" spans="1:18" x14ac:dyDescent="0.35">
      <c r="A1164" s="27" t="s">
        <v>231</v>
      </c>
      <c r="B1164" s="27" t="s">
        <v>371</v>
      </c>
      <c r="C1164" s="28">
        <v>0.375</v>
      </c>
      <c r="D1164" s="29"/>
      <c r="E1164" s="28">
        <v>0.375</v>
      </c>
      <c r="F1164" s="29"/>
      <c r="G1164" s="29"/>
      <c r="H1164" s="28">
        <v>0.125</v>
      </c>
      <c r="I1164" s="28">
        <v>0.125</v>
      </c>
      <c r="J1164" s="29"/>
      <c r="K1164" s="29"/>
      <c r="L1164" s="29"/>
      <c r="M1164" s="29"/>
      <c r="N1164" s="29"/>
      <c r="O1164" s="29"/>
      <c r="P1164" s="29"/>
      <c r="Q1164" s="29"/>
      <c r="R1164" s="29" t="s">
        <v>333</v>
      </c>
    </row>
    <row r="1165" spans="1:18" x14ac:dyDescent="0.35">
      <c r="A1165" t="s">
        <v>232</v>
      </c>
      <c r="B1165" t="s">
        <v>232</v>
      </c>
      <c r="C1165" s="26">
        <v>0.29580000000000001</v>
      </c>
      <c r="D1165" s="26">
        <v>0.19600000000000001</v>
      </c>
      <c r="E1165" s="26">
        <v>0.1573</v>
      </c>
      <c r="F1165" s="26">
        <v>6.08E-2</v>
      </c>
      <c r="G1165" s="26">
        <v>5.3900000000000003E-2</v>
      </c>
      <c r="H1165" s="26">
        <v>5.16E-2</v>
      </c>
      <c r="I1165" s="26">
        <v>5.16E-2</v>
      </c>
      <c r="J1165" s="26">
        <v>4.5699999999999998E-2</v>
      </c>
      <c r="K1165" s="26">
        <v>4.2999999999999997E-2</v>
      </c>
      <c r="L1165" s="26">
        <v>3.4000000000000002E-2</v>
      </c>
      <c r="M1165" s="26">
        <v>1.9900000000000001E-2</v>
      </c>
      <c r="N1165" s="26">
        <v>1.5599999999999999E-2</v>
      </c>
      <c r="O1165" s="26">
        <v>6.8999999999999999E-3</v>
      </c>
      <c r="P1165" s="26">
        <v>4.5999999999999999E-3</v>
      </c>
      <c r="Q1165" s="26">
        <v>3.5000000000000001E-3</v>
      </c>
      <c r="R1165">
        <v>87</v>
      </c>
    </row>
    <row r="1167" spans="1:18" x14ac:dyDescent="0.35">
      <c r="A1167" s="1" t="s">
        <v>450</v>
      </c>
    </row>
    <row r="1168" spans="1:18" x14ac:dyDescent="0.35">
      <c r="A1168" t="s">
        <v>219</v>
      </c>
      <c r="B1168" t="s">
        <v>305</v>
      </c>
      <c r="C1168" t="s">
        <v>426</v>
      </c>
      <c r="D1168" t="s">
        <v>427</v>
      </c>
      <c r="E1168" t="s">
        <v>428</v>
      </c>
      <c r="F1168" t="s">
        <v>429</v>
      </c>
      <c r="G1168" t="s">
        <v>430</v>
      </c>
      <c r="H1168" t="s">
        <v>431</v>
      </c>
      <c r="I1168" t="s">
        <v>432</v>
      </c>
      <c r="J1168" t="s">
        <v>433</v>
      </c>
      <c r="K1168" t="s">
        <v>434</v>
      </c>
      <c r="L1168" t="s">
        <v>435</v>
      </c>
      <c r="M1168" t="s">
        <v>436</v>
      </c>
      <c r="N1168" t="s">
        <v>437</v>
      </c>
      <c r="O1168" t="s">
        <v>438</v>
      </c>
      <c r="P1168" t="s">
        <v>439</v>
      </c>
      <c r="Q1168" t="s">
        <v>440</v>
      </c>
      <c r="R1168" t="s">
        <v>226</v>
      </c>
    </row>
    <row r="1169" spans="1:18" x14ac:dyDescent="0.35">
      <c r="A1169" s="27" t="s">
        <v>227</v>
      </c>
      <c r="B1169" s="27" t="s">
        <v>378</v>
      </c>
      <c r="C1169" s="29"/>
      <c r="D1169" s="29"/>
      <c r="E1169" s="29"/>
      <c r="F1169" s="28">
        <v>0.66669999999999996</v>
      </c>
      <c r="G1169" s="28">
        <v>0.33329999999999999</v>
      </c>
      <c r="H1169" s="29"/>
      <c r="I1169" s="29"/>
      <c r="J1169" s="29"/>
      <c r="K1169" s="29"/>
      <c r="L1169" s="29"/>
      <c r="M1169" s="29"/>
      <c r="N1169" s="29"/>
      <c r="O1169" s="29"/>
      <c r="P1169" s="29"/>
      <c r="Q1169" s="29"/>
      <c r="R1169" s="29" t="s">
        <v>315</v>
      </c>
    </row>
    <row r="1170" spans="1:18" x14ac:dyDescent="0.35">
      <c r="A1170" t="s">
        <v>228</v>
      </c>
      <c r="B1170" t="s">
        <v>378</v>
      </c>
      <c r="C1170" s="26">
        <v>0.1115</v>
      </c>
      <c r="D1170" s="26">
        <v>0.54849999999999999</v>
      </c>
      <c r="G1170" s="26">
        <v>7.0800000000000002E-2</v>
      </c>
      <c r="J1170" s="26">
        <v>0.16520000000000001</v>
      </c>
      <c r="L1170" s="26">
        <v>5.8700000000000002E-2</v>
      </c>
      <c r="M1170" s="26">
        <v>0.1179</v>
      </c>
      <c r="N1170" s="26">
        <v>1.9400000000000001E-2</v>
      </c>
      <c r="O1170" s="26">
        <v>4.0800000000000003E-2</v>
      </c>
      <c r="P1170" s="26">
        <v>1.47E-2</v>
      </c>
      <c r="R1170">
        <v>32</v>
      </c>
    </row>
    <row r="1171" spans="1:18" x14ac:dyDescent="0.35">
      <c r="A1171" s="27" t="s">
        <v>228</v>
      </c>
      <c r="B1171" s="27" t="s">
        <v>376</v>
      </c>
      <c r="C1171" s="28">
        <v>6.9900000000000004E-2</v>
      </c>
      <c r="D1171" s="28">
        <v>0.66020000000000001</v>
      </c>
      <c r="E1171" s="29"/>
      <c r="F1171" s="29"/>
      <c r="G1171" s="28">
        <v>7.5200000000000003E-2</v>
      </c>
      <c r="H1171" s="29"/>
      <c r="I1171" s="29"/>
      <c r="J1171" s="28">
        <v>0.13450000000000001</v>
      </c>
      <c r="K1171" s="29"/>
      <c r="L1171" s="29"/>
      <c r="M1171" s="29"/>
      <c r="N1171" s="28">
        <v>4.9500000000000002E-2</v>
      </c>
      <c r="O1171" s="29"/>
      <c r="P1171" s="28">
        <v>3.2500000000000001E-2</v>
      </c>
      <c r="Q1171" s="29"/>
      <c r="R1171" s="29" t="s">
        <v>352</v>
      </c>
    </row>
    <row r="1172" spans="1:18" x14ac:dyDescent="0.35">
      <c r="A1172" s="27" t="s">
        <v>229</v>
      </c>
      <c r="B1172" s="27" t="s">
        <v>377</v>
      </c>
      <c r="C1172" s="29"/>
      <c r="D1172" s="29"/>
      <c r="E1172" s="29"/>
      <c r="F1172" s="28">
        <v>0.09</v>
      </c>
      <c r="G1172" s="29"/>
      <c r="H1172" s="29"/>
      <c r="I1172" s="29"/>
      <c r="J1172" s="28">
        <v>0.09</v>
      </c>
      <c r="K1172" s="28">
        <v>0.82</v>
      </c>
      <c r="L1172" s="29"/>
      <c r="M1172" s="29"/>
      <c r="N1172" s="28">
        <v>0.09</v>
      </c>
      <c r="O1172" s="29"/>
      <c r="P1172" s="29"/>
      <c r="Q1172" s="29"/>
      <c r="R1172" s="29" t="s">
        <v>315</v>
      </c>
    </row>
    <row r="1173" spans="1:18" x14ac:dyDescent="0.35">
      <c r="A1173" s="27" t="s">
        <v>229</v>
      </c>
      <c r="B1173" s="27" t="s">
        <v>378</v>
      </c>
      <c r="C1173" s="28">
        <v>0.89929999999999999</v>
      </c>
      <c r="D1173" s="28">
        <v>8.1100000000000005E-2</v>
      </c>
      <c r="E1173" s="29"/>
      <c r="F1173" s="29"/>
      <c r="G1173" s="29"/>
      <c r="H1173" s="29"/>
      <c r="I1173" s="29"/>
      <c r="J1173" s="28">
        <v>7.1000000000000004E-3</v>
      </c>
      <c r="K1173" s="29"/>
      <c r="L1173" s="28">
        <v>6.9199999999999998E-2</v>
      </c>
      <c r="M1173" s="29"/>
      <c r="N1173" s="28">
        <v>7.1000000000000004E-3</v>
      </c>
      <c r="O1173" s="29"/>
      <c r="P1173" s="29"/>
      <c r="Q1173" s="28">
        <v>7.1000000000000004E-3</v>
      </c>
      <c r="R1173" s="29" t="s">
        <v>342</v>
      </c>
    </row>
    <row r="1174" spans="1:18" x14ac:dyDescent="0.35">
      <c r="A1174" s="27" t="s">
        <v>229</v>
      </c>
      <c r="B1174" s="27" t="s">
        <v>376</v>
      </c>
      <c r="C1174" s="28">
        <v>1</v>
      </c>
      <c r="D1174" s="29"/>
      <c r="E1174" s="29"/>
      <c r="F1174" s="29"/>
      <c r="G1174" s="29"/>
      <c r="H1174" s="29"/>
      <c r="I1174" s="29"/>
      <c r="J1174" s="29"/>
      <c r="K1174" s="29"/>
      <c r="L1174" s="29"/>
      <c r="M1174" s="29"/>
      <c r="N1174" s="29"/>
      <c r="O1174" s="29"/>
      <c r="P1174" s="29"/>
      <c r="Q1174" s="29"/>
      <c r="R1174" s="29" t="s">
        <v>314</v>
      </c>
    </row>
    <row r="1175" spans="1:18" x14ac:dyDescent="0.35">
      <c r="A1175" s="27" t="s">
        <v>230</v>
      </c>
      <c r="B1175" s="27" t="s">
        <v>375</v>
      </c>
      <c r="C1175" s="29"/>
      <c r="D1175" s="28">
        <v>0.85560000000000003</v>
      </c>
      <c r="E1175" s="29"/>
      <c r="F1175" s="29"/>
      <c r="G1175" s="29"/>
      <c r="H1175" s="29"/>
      <c r="I1175" s="29"/>
      <c r="J1175" s="29"/>
      <c r="K1175" s="29"/>
      <c r="L1175" s="29"/>
      <c r="M1175" s="29"/>
      <c r="N1175" s="28">
        <v>0.1444</v>
      </c>
      <c r="O1175" s="29"/>
      <c r="P1175" s="29"/>
      <c r="Q1175" s="29"/>
      <c r="R1175" s="29" t="s">
        <v>314</v>
      </c>
    </row>
    <row r="1176" spans="1:18" x14ac:dyDescent="0.35">
      <c r="A1176" s="27" t="s">
        <v>230</v>
      </c>
      <c r="B1176" s="27" t="s">
        <v>377</v>
      </c>
      <c r="C1176" s="29"/>
      <c r="D1176" s="29"/>
      <c r="E1176" s="29"/>
      <c r="F1176" s="29"/>
      <c r="G1176" s="29"/>
      <c r="H1176" s="29"/>
      <c r="I1176" s="29"/>
      <c r="J1176" s="29"/>
      <c r="K1176" s="28">
        <v>1</v>
      </c>
      <c r="L1176" s="29"/>
      <c r="M1176" s="29"/>
      <c r="N1176" s="29"/>
      <c r="O1176" s="29"/>
      <c r="P1176" s="29"/>
      <c r="Q1176" s="29"/>
      <c r="R1176" s="29" t="s">
        <v>314</v>
      </c>
    </row>
    <row r="1177" spans="1:18" x14ac:dyDescent="0.35">
      <c r="A1177" s="27" t="s">
        <v>230</v>
      </c>
      <c r="B1177" s="27" t="s">
        <v>378</v>
      </c>
      <c r="C1177" s="28">
        <v>3.8899999999999997E-2</v>
      </c>
      <c r="D1177" s="28">
        <v>0.5</v>
      </c>
      <c r="E1177" s="28">
        <v>3.7999999999999999E-2</v>
      </c>
      <c r="F1177" s="29"/>
      <c r="G1177" s="28">
        <v>0.1167</v>
      </c>
      <c r="H1177" s="29"/>
      <c r="I1177" s="29"/>
      <c r="J1177" s="28">
        <v>3.7999999999999999E-2</v>
      </c>
      <c r="K1177" s="29"/>
      <c r="L1177" s="28">
        <v>0.23050000000000001</v>
      </c>
      <c r="M1177" s="29"/>
      <c r="N1177" s="28">
        <v>3.7999999999999999E-2</v>
      </c>
      <c r="O1177" s="29"/>
      <c r="P1177" s="29"/>
      <c r="Q1177" s="28">
        <v>3.7999999999999999E-2</v>
      </c>
      <c r="R1177" s="29" t="s">
        <v>352</v>
      </c>
    </row>
    <row r="1178" spans="1:18" x14ac:dyDescent="0.35">
      <c r="A1178" s="27" t="s">
        <v>230</v>
      </c>
      <c r="B1178" s="27" t="s">
        <v>376</v>
      </c>
      <c r="C1178" s="29"/>
      <c r="D1178" s="29"/>
      <c r="E1178" s="29"/>
      <c r="F1178" s="29"/>
      <c r="G1178" s="29"/>
      <c r="H1178" s="29"/>
      <c r="I1178" s="29"/>
      <c r="J1178" s="28">
        <v>1</v>
      </c>
      <c r="K1178" s="29"/>
      <c r="L1178" s="29"/>
      <c r="M1178" s="29"/>
      <c r="N1178" s="29"/>
      <c r="O1178" s="29"/>
      <c r="P1178" s="29"/>
      <c r="Q1178" s="29"/>
      <c r="R1178" s="29" t="s">
        <v>331</v>
      </c>
    </row>
    <row r="1179" spans="1:18" x14ac:dyDescent="0.35">
      <c r="A1179" s="27" t="s">
        <v>231</v>
      </c>
      <c r="B1179" s="27" t="s">
        <v>377</v>
      </c>
      <c r="C1179" s="29"/>
      <c r="D1179" s="29"/>
      <c r="E1179" s="28">
        <v>0.33329999999999999</v>
      </c>
      <c r="F1179" s="29"/>
      <c r="G1179" s="29"/>
      <c r="H1179" s="28">
        <v>0.33329999999999999</v>
      </c>
      <c r="I1179" s="28">
        <v>0.33329999999999999</v>
      </c>
      <c r="J1179" s="29"/>
      <c r="K1179" s="29"/>
      <c r="L1179" s="29"/>
      <c r="M1179" s="29"/>
      <c r="N1179" s="29"/>
      <c r="O1179" s="29"/>
      <c r="P1179" s="29"/>
      <c r="Q1179" s="29"/>
      <c r="R1179" s="29" t="s">
        <v>315</v>
      </c>
    </row>
    <row r="1180" spans="1:18" x14ac:dyDescent="0.35">
      <c r="A1180" s="27" t="s">
        <v>231</v>
      </c>
      <c r="B1180" s="27" t="s">
        <v>378</v>
      </c>
      <c r="C1180" s="28">
        <v>0.6</v>
      </c>
      <c r="D1180" s="29"/>
      <c r="E1180" s="28">
        <v>0.4</v>
      </c>
      <c r="F1180" s="29"/>
      <c r="G1180" s="29"/>
      <c r="H1180" s="29"/>
      <c r="I1180" s="29"/>
      <c r="J1180" s="29"/>
      <c r="K1180" s="29"/>
      <c r="L1180" s="29"/>
      <c r="M1180" s="29"/>
      <c r="N1180" s="29"/>
      <c r="O1180" s="29"/>
      <c r="P1180" s="29"/>
      <c r="Q1180" s="29"/>
      <c r="R1180" s="29" t="s">
        <v>332</v>
      </c>
    </row>
    <row r="1181" spans="1:18" x14ac:dyDescent="0.35">
      <c r="A1181" t="s">
        <v>232</v>
      </c>
      <c r="B1181" t="s">
        <v>232</v>
      </c>
      <c r="C1181" s="26">
        <v>0.29580000000000001</v>
      </c>
      <c r="D1181" s="26">
        <v>0.19600000000000001</v>
      </c>
      <c r="E1181" s="26">
        <v>0.1573</v>
      </c>
      <c r="F1181" s="26">
        <v>6.08E-2</v>
      </c>
      <c r="G1181" s="26">
        <v>5.3900000000000003E-2</v>
      </c>
      <c r="H1181" s="26">
        <v>5.16E-2</v>
      </c>
      <c r="I1181" s="26">
        <v>5.16E-2</v>
      </c>
      <c r="J1181" s="26">
        <v>4.5699999999999998E-2</v>
      </c>
      <c r="K1181" s="26">
        <v>4.2999999999999997E-2</v>
      </c>
      <c r="L1181" s="26">
        <v>3.4000000000000002E-2</v>
      </c>
      <c r="M1181" s="26">
        <v>1.9900000000000001E-2</v>
      </c>
      <c r="N1181" s="26">
        <v>1.5599999999999999E-2</v>
      </c>
      <c r="O1181" s="26">
        <v>6.8999999999999999E-3</v>
      </c>
      <c r="P1181" s="26">
        <v>4.5999999999999999E-3</v>
      </c>
      <c r="Q1181" s="26">
        <v>3.5000000000000001E-3</v>
      </c>
      <c r="R1181">
        <v>87</v>
      </c>
    </row>
    <row r="1183" spans="1:18" x14ac:dyDescent="0.35">
      <c r="A1183" s="1" t="s">
        <v>451</v>
      </c>
    </row>
    <row r="1184" spans="1:18" x14ac:dyDescent="0.35">
      <c r="A1184" t="s">
        <v>219</v>
      </c>
      <c r="B1184" t="s">
        <v>305</v>
      </c>
      <c r="C1184" t="s">
        <v>426</v>
      </c>
      <c r="D1184" t="s">
        <v>427</v>
      </c>
      <c r="E1184" t="s">
        <v>428</v>
      </c>
      <c r="F1184" t="s">
        <v>429</v>
      </c>
      <c r="G1184" t="s">
        <v>430</v>
      </c>
      <c r="H1184" t="s">
        <v>431</v>
      </c>
      <c r="I1184" t="s">
        <v>432</v>
      </c>
      <c r="J1184" t="s">
        <v>433</v>
      </c>
      <c r="K1184" t="s">
        <v>434</v>
      </c>
      <c r="L1184" t="s">
        <v>435</v>
      </c>
      <c r="M1184" t="s">
        <v>436</v>
      </c>
      <c r="N1184" t="s">
        <v>437</v>
      </c>
      <c r="O1184" t="s">
        <v>438</v>
      </c>
      <c r="P1184" t="s">
        <v>439</v>
      </c>
      <c r="Q1184" t="s">
        <v>440</v>
      </c>
      <c r="R1184" t="s">
        <v>226</v>
      </c>
    </row>
    <row r="1185" spans="1:19" x14ac:dyDescent="0.35">
      <c r="A1185" s="27" t="s">
        <v>227</v>
      </c>
      <c r="B1185" s="27" t="s">
        <v>234</v>
      </c>
      <c r="C1185" s="29"/>
      <c r="D1185" s="29"/>
      <c r="E1185" s="29"/>
      <c r="F1185" s="28">
        <v>0.66669999999999996</v>
      </c>
      <c r="G1185" s="28">
        <v>0.33329999999999999</v>
      </c>
      <c r="H1185" s="29"/>
      <c r="I1185" s="29"/>
      <c r="J1185" s="29"/>
      <c r="K1185" s="29"/>
      <c r="L1185" s="29"/>
      <c r="M1185" s="29"/>
      <c r="N1185" s="29"/>
      <c r="O1185" s="29"/>
      <c r="P1185" s="29"/>
      <c r="Q1185" s="29"/>
      <c r="R1185" s="29" t="s">
        <v>315</v>
      </c>
    </row>
    <row r="1186" spans="1:19" x14ac:dyDescent="0.35">
      <c r="A1186" s="27" t="s">
        <v>228</v>
      </c>
      <c r="B1186" s="27" t="s">
        <v>235</v>
      </c>
      <c r="C1186" s="28">
        <v>0.1051</v>
      </c>
      <c r="D1186" s="28">
        <v>0.58099999999999996</v>
      </c>
      <c r="E1186" s="29"/>
      <c r="F1186" s="29"/>
      <c r="G1186" s="28">
        <v>5.5599999999999997E-2</v>
      </c>
      <c r="H1186" s="29"/>
      <c r="I1186" s="29"/>
      <c r="J1186" s="28">
        <v>0.12989999999999999</v>
      </c>
      <c r="K1186" s="29"/>
      <c r="L1186" s="28">
        <v>5.2200000000000003E-2</v>
      </c>
      <c r="M1186" s="28">
        <v>0.1484</v>
      </c>
      <c r="N1186" s="28">
        <v>4.8899999999999999E-2</v>
      </c>
      <c r="O1186" s="28">
        <v>1.61E-2</v>
      </c>
      <c r="P1186" s="28">
        <v>1.61E-2</v>
      </c>
      <c r="Q1186" s="29"/>
      <c r="R1186" s="29" t="s">
        <v>347</v>
      </c>
    </row>
    <row r="1187" spans="1:19" x14ac:dyDescent="0.35">
      <c r="A1187" s="27" t="s">
        <v>228</v>
      </c>
      <c r="B1187" s="27" t="s">
        <v>234</v>
      </c>
      <c r="C1187" s="28">
        <v>9.2700000000000005E-2</v>
      </c>
      <c r="D1187" s="28">
        <v>0.57869999999999999</v>
      </c>
      <c r="E1187" s="29"/>
      <c r="F1187" s="29"/>
      <c r="G1187" s="28">
        <v>9.3899999999999997E-2</v>
      </c>
      <c r="H1187" s="29"/>
      <c r="I1187" s="29"/>
      <c r="J1187" s="28">
        <v>0.192</v>
      </c>
      <c r="K1187" s="29"/>
      <c r="L1187" s="28">
        <v>2.8799999999999999E-2</v>
      </c>
      <c r="M1187" s="29"/>
      <c r="N1187" s="29"/>
      <c r="O1187" s="28">
        <v>4.6899999999999997E-2</v>
      </c>
      <c r="P1187" s="28">
        <v>2.4500000000000001E-2</v>
      </c>
      <c r="Q1187" s="29"/>
      <c r="R1187" s="29" t="s">
        <v>351</v>
      </c>
    </row>
    <row r="1188" spans="1:19" x14ac:dyDescent="0.35">
      <c r="A1188" s="27" t="s">
        <v>229</v>
      </c>
      <c r="B1188" s="27" t="s">
        <v>235</v>
      </c>
      <c r="C1188" s="28">
        <v>0.93820000000000003</v>
      </c>
      <c r="D1188" s="28">
        <v>3.4299999999999997E-2</v>
      </c>
      <c r="E1188" s="29"/>
      <c r="F1188" s="29"/>
      <c r="G1188" s="29"/>
      <c r="H1188" s="29"/>
      <c r="I1188" s="29"/>
      <c r="J1188" s="28">
        <v>9.9000000000000008E-3</v>
      </c>
      <c r="K1188" s="29"/>
      <c r="L1188" s="28">
        <v>1.7600000000000001E-2</v>
      </c>
      <c r="M1188" s="29"/>
      <c r="N1188" s="29"/>
      <c r="O1188" s="29"/>
      <c r="P1188" s="29"/>
      <c r="Q1188" s="28">
        <v>9.9000000000000008E-3</v>
      </c>
      <c r="R1188" s="29" t="s">
        <v>333</v>
      </c>
    </row>
    <row r="1189" spans="1:19" x14ac:dyDescent="0.35">
      <c r="A1189" s="27" t="s">
        <v>229</v>
      </c>
      <c r="B1189" s="27" t="s">
        <v>234</v>
      </c>
      <c r="C1189" s="28">
        <v>0.48070000000000002</v>
      </c>
      <c r="D1189" s="28">
        <v>8.9599999999999999E-2</v>
      </c>
      <c r="E1189" s="29"/>
      <c r="F1189" s="28">
        <v>3.8699999999999998E-2</v>
      </c>
      <c r="G1189" s="29"/>
      <c r="H1189" s="29"/>
      <c r="I1189" s="29"/>
      <c r="J1189" s="28">
        <v>3.8699999999999998E-2</v>
      </c>
      <c r="K1189" s="28">
        <v>0.35239999999999999</v>
      </c>
      <c r="L1189" s="28">
        <v>8.9599999999999999E-2</v>
      </c>
      <c r="M1189" s="29"/>
      <c r="N1189" s="28">
        <v>4.9799999999999997E-2</v>
      </c>
      <c r="O1189" s="29"/>
      <c r="P1189" s="29"/>
      <c r="Q1189" s="29"/>
      <c r="R1189" s="29" t="s">
        <v>334</v>
      </c>
    </row>
    <row r="1190" spans="1:19" x14ac:dyDescent="0.35">
      <c r="A1190" s="27" t="s">
        <v>230</v>
      </c>
      <c r="B1190" s="27" t="s">
        <v>235</v>
      </c>
      <c r="C1190" s="29"/>
      <c r="D1190" s="28">
        <v>0.314</v>
      </c>
      <c r="E1190" s="28">
        <v>4.4299999999999999E-2</v>
      </c>
      <c r="F1190" s="29"/>
      <c r="G1190" s="28">
        <v>4.53E-2</v>
      </c>
      <c r="H1190" s="29"/>
      <c r="I1190" s="29"/>
      <c r="J1190" s="28">
        <v>8.9599999999999999E-2</v>
      </c>
      <c r="K1190" s="28">
        <v>0.2823</v>
      </c>
      <c r="L1190" s="28">
        <v>0.26869999999999999</v>
      </c>
      <c r="M1190" s="29"/>
      <c r="N1190" s="29"/>
      <c r="O1190" s="29"/>
      <c r="P1190" s="29"/>
      <c r="Q1190" s="29"/>
      <c r="R1190" s="29" t="s">
        <v>333</v>
      </c>
    </row>
    <row r="1191" spans="1:19" x14ac:dyDescent="0.35">
      <c r="A1191" s="27" t="s">
        <v>230</v>
      </c>
      <c r="B1191" s="27" t="s">
        <v>234</v>
      </c>
      <c r="C1191" s="28">
        <v>5.62E-2</v>
      </c>
      <c r="D1191" s="28">
        <v>0.66569999999999996</v>
      </c>
      <c r="E1191" s="29"/>
      <c r="F1191" s="29"/>
      <c r="G1191" s="28">
        <v>0.1123</v>
      </c>
      <c r="H1191" s="29"/>
      <c r="I1191" s="29"/>
      <c r="J1191" s="29"/>
      <c r="K1191" s="29"/>
      <c r="L1191" s="29"/>
      <c r="M1191" s="29"/>
      <c r="N1191" s="28">
        <v>0.111</v>
      </c>
      <c r="O1191" s="29"/>
      <c r="P1191" s="29"/>
      <c r="Q1191" s="28">
        <v>5.4800000000000001E-2</v>
      </c>
      <c r="R1191" s="29" t="s">
        <v>333</v>
      </c>
    </row>
    <row r="1192" spans="1:19" x14ac:dyDescent="0.35">
      <c r="A1192" s="27" t="s">
        <v>231</v>
      </c>
      <c r="B1192" s="27" t="s">
        <v>235</v>
      </c>
      <c r="C1192" s="28">
        <v>0.66669999999999996</v>
      </c>
      <c r="D1192" s="29"/>
      <c r="E1192" s="28">
        <v>0.33329999999999999</v>
      </c>
      <c r="F1192" s="29"/>
      <c r="G1192" s="29"/>
      <c r="H1192" s="29"/>
      <c r="I1192" s="29"/>
      <c r="J1192" s="29"/>
      <c r="K1192" s="29"/>
      <c r="L1192" s="29"/>
      <c r="M1192" s="29"/>
      <c r="N1192" s="29"/>
      <c r="O1192" s="29"/>
      <c r="P1192" s="29"/>
      <c r="Q1192" s="29"/>
      <c r="R1192" s="29" t="s">
        <v>315</v>
      </c>
    </row>
    <row r="1193" spans="1:19" x14ac:dyDescent="0.35">
      <c r="A1193" s="27" t="s">
        <v>231</v>
      </c>
      <c r="B1193" s="27" t="s">
        <v>234</v>
      </c>
      <c r="C1193" s="28">
        <v>0.2</v>
      </c>
      <c r="D1193" s="29"/>
      <c r="E1193" s="28">
        <v>0.4</v>
      </c>
      <c r="F1193" s="29"/>
      <c r="G1193" s="29"/>
      <c r="H1193" s="28">
        <v>0.2</v>
      </c>
      <c r="I1193" s="28">
        <v>0.2</v>
      </c>
      <c r="J1193" s="29"/>
      <c r="K1193" s="29"/>
      <c r="L1193" s="29"/>
      <c r="M1193" s="29"/>
      <c r="N1193" s="29"/>
      <c r="O1193" s="29"/>
      <c r="P1193" s="29"/>
      <c r="Q1193" s="29"/>
      <c r="R1193" s="29" t="s">
        <v>332</v>
      </c>
    </row>
    <row r="1194" spans="1:19" x14ac:dyDescent="0.35">
      <c r="A1194" t="s">
        <v>232</v>
      </c>
      <c r="B1194" t="s">
        <v>232</v>
      </c>
      <c r="C1194" s="26">
        <v>0.29580000000000001</v>
      </c>
      <c r="D1194" s="26">
        <v>0.19600000000000001</v>
      </c>
      <c r="E1194" s="26">
        <v>0.1573</v>
      </c>
      <c r="F1194" s="26">
        <v>6.08E-2</v>
      </c>
      <c r="G1194" s="26">
        <v>5.3900000000000003E-2</v>
      </c>
      <c r="H1194" s="26">
        <v>5.16E-2</v>
      </c>
      <c r="I1194" s="26">
        <v>5.16E-2</v>
      </c>
      <c r="J1194" s="26">
        <v>4.5699999999999998E-2</v>
      </c>
      <c r="K1194" s="26">
        <v>4.2999999999999997E-2</v>
      </c>
      <c r="L1194" s="26">
        <v>3.4000000000000002E-2</v>
      </c>
      <c r="M1194" s="26">
        <v>1.9900000000000001E-2</v>
      </c>
      <c r="N1194" s="26">
        <v>1.5599999999999999E-2</v>
      </c>
      <c r="O1194" s="26">
        <v>6.8999999999999999E-3</v>
      </c>
      <c r="P1194" s="26">
        <v>4.5999999999999999E-3</v>
      </c>
      <c r="Q1194" s="26">
        <v>3.5000000000000001E-3</v>
      </c>
      <c r="R1194">
        <v>87</v>
      </c>
    </row>
    <row r="1196" spans="1:19" x14ac:dyDescent="0.35">
      <c r="A1196" s="1" t="s">
        <v>452</v>
      </c>
    </row>
    <row r="1197" spans="1:19" x14ac:dyDescent="0.35">
      <c r="A1197" t="s">
        <v>219</v>
      </c>
      <c r="B1197" t="s">
        <v>305</v>
      </c>
      <c r="C1197" t="s">
        <v>345</v>
      </c>
      <c r="D1197" t="s">
        <v>426</v>
      </c>
      <c r="E1197" t="s">
        <v>427</v>
      </c>
      <c r="F1197" t="s">
        <v>428</v>
      </c>
      <c r="G1197" t="s">
        <v>429</v>
      </c>
      <c r="H1197" t="s">
        <v>430</v>
      </c>
      <c r="I1197" t="s">
        <v>431</v>
      </c>
      <c r="J1197" t="s">
        <v>432</v>
      </c>
      <c r="K1197" t="s">
        <v>433</v>
      </c>
      <c r="L1197" t="s">
        <v>434</v>
      </c>
      <c r="M1197" t="s">
        <v>435</v>
      </c>
      <c r="N1197" t="s">
        <v>436</v>
      </c>
      <c r="O1197" t="s">
        <v>437</v>
      </c>
      <c r="P1197" t="s">
        <v>438</v>
      </c>
      <c r="Q1197" t="s">
        <v>439</v>
      </c>
      <c r="R1197" t="s">
        <v>440</v>
      </c>
      <c r="S1197" t="s">
        <v>226</v>
      </c>
    </row>
    <row r="1198" spans="1:19" x14ac:dyDescent="0.35">
      <c r="A1198" s="27" t="s">
        <v>227</v>
      </c>
      <c r="B1198" s="27" t="s">
        <v>234</v>
      </c>
      <c r="C1198" s="27" t="s">
        <v>378</v>
      </c>
      <c r="D1198" s="29"/>
      <c r="E1198" s="29"/>
      <c r="F1198" s="29"/>
      <c r="G1198" s="28">
        <v>0.66669999999999996</v>
      </c>
      <c r="H1198" s="28">
        <v>0.33329999999999999</v>
      </c>
      <c r="I1198" s="29"/>
      <c r="J1198" s="29"/>
      <c r="K1198" s="29"/>
      <c r="L1198" s="29"/>
      <c r="M1198" s="29"/>
      <c r="N1198" s="29"/>
      <c r="O1198" s="29"/>
      <c r="P1198" s="29"/>
      <c r="Q1198" s="29"/>
      <c r="R1198" s="29"/>
      <c r="S1198" s="29" t="s">
        <v>315</v>
      </c>
    </row>
    <row r="1199" spans="1:19" x14ac:dyDescent="0.35">
      <c r="A1199" s="27" t="s">
        <v>228</v>
      </c>
      <c r="B1199" s="27" t="s">
        <v>234</v>
      </c>
      <c r="C1199" s="27" t="s">
        <v>376</v>
      </c>
      <c r="D1199" s="29"/>
      <c r="E1199" s="28">
        <v>0.89610000000000001</v>
      </c>
      <c r="F1199" s="29"/>
      <c r="G1199" s="29"/>
      <c r="H1199" s="29"/>
      <c r="I1199" s="29"/>
      <c r="J1199" s="29"/>
      <c r="K1199" s="28">
        <v>0.16489999999999999</v>
      </c>
      <c r="L1199" s="29"/>
      <c r="M1199" s="29"/>
      <c r="N1199" s="29"/>
      <c r="O1199" s="29"/>
      <c r="P1199" s="29"/>
      <c r="Q1199" s="29"/>
      <c r="R1199" s="29"/>
      <c r="S1199" s="29" t="s">
        <v>315</v>
      </c>
    </row>
    <row r="1200" spans="1:19" x14ac:dyDescent="0.35">
      <c r="A1200" s="27" t="s">
        <v>228</v>
      </c>
      <c r="B1200" s="27" t="s">
        <v>235</v>
      </c>
      <c r="C1200" s="27" t="s">
        <v>378</v>
      </c>
      <c r="D1200" s="28">
        <v>0.1033</v>
      </c>
      <c r="E1200" s="28">
        <v>0.60560000000000003</v>
      </c>
      <c r="F1200" s="29"/>
      <c r="G1200" s="29"/>
      <c r="H1200" s="28">
        <v>2.7E-2</v>
      </c>
      <c r="I1200" s="29"/>
      <c r="J1200" s="29"/>
      <c r="K1200" s="28">
        <v>0.13569999999999999</v>
      </c>
      <c r="L1200" s="29"/>
      <c r="M1200" s="28">
        <v>7.6399999999999996E-2</v>
      </c>
      <c r="N1200" s="28">
        <v>0.21709999999999999</v>
      </c>
      <c r="O1200" s="28">
        <v>3.5799999999999998E-2</v>
      </c>
      <c r="P1200" s="28">
        <v>2.35E-2</v>
      </c>
      <c r="Q1200" s="29"/>
      <c r="R1200" s="29"/>
      <c r="S1200" s="29" t="s">
        <v>379</v>
      </c>
    </row>
    <row r="1201" spans="1:19" x14ac:dyDescent="0.35">
      <c r="A1201" s="27" t="s">
        <v>228</v>
      </c>
      <c r="B1201" s="27" t="s">
        <v>235</v>
      </c>
      <c r="C1201" s="27" t="s">
        <v>376</v>
      </c>
      <c r="D1201" s="28">
        <v>0.10920000000000001</v>
      </c>
      <c r="E1201" s="28">
        <v>0.52769999999999995</v>
      </c>
      <c r="F1201" s="29"/>
      <c r="G1201" s="29"/>
      <c r="H1201" s="28">
        <v>0.11749999999999999</v>
      </c>
      <c r="I1201" s="29"/>
      <c r="J1201" s="29"/>
      <c r="K1201" s="28">
        <v>0.11749999999999999</v>
      </c>
      <c r="L1201" s="29"/>
      <c r="M1201" s="29"/>
      <c r="N1201" s="29"/>
      <c r="O1201" s="28">
        <v>7.7399999999999997E-2</v>
      </c>
      <c r="P1201" s="29"/>
      <c r="Q1201" s="28">
        <v>5.0799999999999998E-2</v>
      </c>
      <c r="R1201" s="29"/>
      <c r="S1201" s="29" t="s">
        <v>333</v>
      </c>
    </row>
    <row r="1202" spans="1:19" x14ac:dyDescent="0.35">
      <c r="A1202" s="27" t="s">
        <v>228</v>
      </c>
      <c r="B1202" s="27" t="s">
        <v>234</v>
      </c>
      <c r="C1202" s="27" t="s">
        <v>378</v>
      </c>
      <c r="D1202" s="28">
        <v>0.12139999999999999</v>
      </c>
      <c r="E1202" s="28">
        <v>0.48070000000000002</v>
      </c>
      <c r="F1202" s="29"/>
      <c r="G1202" s="29"/>
      <c r="H1202" s="28">
        <v>0.1229</v>
      </c>
      <c r="I1202" s="29"/>
      <c r="J1202" s="29"/>
      <c r="K1202" s="28">
        <v>0.20039999999999999</v>
      </c>
      <c r="L1202" s="29"/>
      <c r="M1202" s="28">
        <v>3.7699999999999997E-2</v>
      </c>
      <c r="N1202" s="29"/>
      <c r="O1202" s="29"/>
      <c r="P1202" s="28">
        <v>6.1400000000000003E-2</v>
      </c>
      <c r="Q1202" s="28">
        <v>3.2099999999999997E-2</v>
      </c>
      <c r="R1202" s="29"/>
      <c r="S1202" s="29" t="s">
        <v>353</v>
      </c>
    </row>
    <row r="1203" spans="1:19" x14ac:dyDescent="0.35">
      <c r="A1203" s="27" t="s">
        <v>229</v>
      </c>
      <c r="B1203" s="27" t="s">
        <v>234</v>
      </c>
      <c r="C1203" s="27" t="s">
        <v>378</v>
      </c>
      <c r="D1203" s="28">
        <v>0.84289999999999998</v>
      </c>
      <c r="E1203" s="28">
        <v>0.15709999999999999</v>
      </c>
      <c r="F1203" s="29"/>
      <c r="G1203" s="29"/>
      <c r="H1203" s="29"/>
      <c r="I1203" s="29"/>
      <c r="J1203" s="29"/>
      <c r="K1203" s="29"/>
      <c r="L1203" s="29"/>
      <c r="M1203" s="28">
        <v>0.15709999999999999</v>
      </c>
      <c r="N1203" s="29"/>
      <c r="O1203" s="28">
        <v>1.9599999999999999E-2</v>
      </c>
      <c r="P1203" s="29"/>
      <c r="Q1203" s="29"/>
      <c r="R1203" s="29"/>
      <c r="S1203" s="29" t="s">
        <v>335</v>
      </c>
    </row>
    <row r="1204" spans="1:19" x14ac:dyDescent="0.35">
      <c r="A1204" s="27" t="s">
        <v>229</v>
      </c>
      <c r="B1204" s="27" t="s">
        <v>235</v>
      </c>
      <c r="C1204" s="27" t="s">
        <v>378</v>
      </c>
      <c r="D1204" s="28">
        <v>0.93110000000000004</v>
      </c>
      <c r="E1204" s="28">
        <v>3.8199999999999998E-2</v>
      </c>
      <c r="F1204" s="29"/>
      <c r="G1204" s="29"/>
      <c r="H1204" s="29"/>
      <c r="I1204" s="29"/>
      <c r="J1204" s="29"/>
      <c r="K1204" s="28">
        <v>1.0999999999999999E-2</v>
      </c>
      <c r="L1204" s="29"/>
      <c r="M1204" s="28">
        <v>1.9599999999999999E-2</v>
      </c>
      <c r="N1204" s="29"/>
      <c r="O1204" s="29"/>
      <c r="P1204" s="29"/>
      <c r="Q1204" s="29"/>
      <c r="R1204" s="28">
        <v>1.0999999999999999E-2</v>
      </c>
      <c r="S1204" s="29" t="s">
        <v>335</v>
      </c>
    </row>
    <row r="1205" spans="1:19" x14ac:dyDescent="0.35">
      <c r="A1205" s="27" t="s">
        <v>229</v>
      </c>
      <c r="B1205" s="27" t="s">
        <v>234</v>
      </c>
      <c r="C1205" s="27" t="s">
        <v>377</v>
      </c>
      <c r="D1205" s="29"/>
      <c r="E1205" s="29"/>
      <c r="F1205" s="29"/>
      <c r="G1205" s="28">
        <v>0.09</v>
      </c>
      <c r="H1205" s="29"/>
      <c r="I1205" s="29"/>
      <c r="J1205" s="29"/>
      <c r="K1205" s="28">
        <v>0.09</v>
      </c>
      <c r="L1205" s="28">
        <v>0.82</v>
      </c>
      <c r="M1205" s="29"/>
      <c r="N1205" s="29"/>
      <c r="O1205" s="28">
        <v>0.09</v>
      </c>
      <c r="P1205" s="29"/>
      <c r="Q1205" s="29"/>
      <c r="R1205" s="29"/>
      <c r="S1205" s="29" t="s">
        <v>315</v>
      </c>
    </row>
    <row r="1206" spans="1:19" x14ac:dyDescent="0.35">
      <c r="A1206" s="27" t="s">
        <v>229</v>
      </c>
      <c r="B1206" s="27" t="s">
        <v>235</v>
      </c>
      <c r="C1206" s="27" t="s">
        <v>376</v>
      </c>
      <c r="D1206" s="28">
        <v>1</v>
      </c>
      <c r="E1206" s="29"/>
      <c r="F1206" s="29"/>
      <c r="G1206" s="29"/>
      <c r="H1206" s="29"/>
      <c r="I1206" s="29"/>
      <c r="J1206" s="29"/>
      <c r="K1206" s="29"/>
      <c r="L1206" s="29"/>
      <c r="M1206" s="29"/>
      <c r="N1206" s="29"/>
      <c r="O1206" s="29"/>
      <c r="P1206" s="29"/>
      <c r="Q1206" s="29"/>
      <c r="R1206" s="29"/>
      <c r="S1206" s="29" t="s">
        <v>314</v>
      </c>
    </row>
    <row r="1207" spans="1:19" x14ac:dyDescent="0.35">
      <c r="A1207" s="27" t="s">
        <v>230</v>
      </c>
      <c r="B1207" s="27" t="s">
        <v>234</v>
      </c>
      <c r="C1207" s="27" t="s">
        <v>378</v>
      </c>
      <c r="D1207" s="28">
        <v>5.9499999999999997E-2</v>
      </c>
      <c r="E1207" s="28">
        <v>0.70530000000000004</v>
      </c>
      <c r="F1207" s="29"/>
      <c r="G1207" s="29"/>
      <c r="H1207" s="28">
        <v>0.11899999999999999</v>
      </c>
      <c r="I1207" s="29"/>
      <c r="J1207" s="29"/>
      <c r="K1207" s="29"/>
      <c r="L1207" s="29"/>
      <c r="M1207" s="29"/>
      <c r="N1207" s="29"/>
      <c r="O1207" s="28">
        <v>5.8099999999999999E-2</v>
      </c>
      <c r="P1207" s="29"/>
      <c r="Q1207" s="29"/>
      <c r="R1207" s="28">
        <v>5.8099999999999999E-2</v>
      </c>
      <c r="S1207" s="29" t="s">
        <v>339</v>
      </c>
    </row>
    <row r="1208" spans="1:19" x14ac:dyDescent="0.35">
      <c r="A1208" s="27" t="s">
        <v>230</v>
      </c>
      <c r="B1208" s="27" t="s">
        <v>235</v>
      </c>
      <c r="C1208" s="27" t="s">
        <v>375</v>
      </c>
      <c r="D1208" s="29"/>
      <c r="E1208" s="28">
        <v>1</v>
      </c>
      <c r="F1208" s="29"/>
      <c r="G1208" s="29"/>
      <c r="H1208" s="29"/>
      <c r="I1208" s="29"/>
      <c r="J1208" s="29"/>
      <c r="K1208" s="29"/>
      <c r="L1208" s="29"/>
      <c r="M1208" s="29"/>
      <c r="N1208" s="29"/>
      <c r="O1208" s="29"/>
      <c r="P1208" s="29"/>
      <c r="Q1208" s="29"/>
      <c r="R1208" s="29"/>
      <c r="S1208" s="29" t="s">
        <v>331</v>
      </c>
    </row>
    <row r="1209" spans="1:19" x14ac:dyDescent="0.35">
      <c r="A1209" s="27" t="s">
        <v>230</v>
      </c>
      <c r="B1209" s="27" t="s">
        <v>235</v>
      </c>
      <c r="C1209" s="27" t="s">
        <v>376</v>
      </c>
      <c r="D1209" s="29"/>
      <c r="E1209" s="29"/>
      <c r="F1209" s="29"/>
      <c r="G1209" s="29"/>
      <c r="H1209" s="29"/>
      <c r="I1209" s="29"/>
      <c r="J1209" s="29"/>
      <c r="K1209" s="28">
        <v>1</v>
      </c>
      <c r="L1209" s="29"/>
      <c r="M1209" s="29"/>
      <c r="N1209" s="29"/>
      <c r="O1209" s="29"/>
      <c r="P1209" s="29"/>
      <c r="Q1209" s="29"/>
      <c r="R1209" s="29"/>
      <c r="S1209" s="29" t="s">
        <v>331</v>
      </c>
    </row>
    <row r="1210" spans="1:19" x14ac:dyDescent="0.35">
      <c r="A1210" s="27" t="s">
        <v>230</v>
      </c>
      <c r="B1210" s="27" t="s">
        <v>235</v>
      </c>
      <c r="C1210" s="27" t="s">
        <v>378</v>
      </c>
      <c r="D1210" s="29"/>
      <c r="E1210" s="28">
        <v>0.1123</v>
      </c>
      <c r="F1210" s="28">
        <v>0.10970000000000001</v>
      </c>
      <c r="G1210" s="29"/>
      <c r="H1210" s="28">
        <v>0.1123</v>
      </c>
      <c r="I1210" s="29"/>
      <c r="J1210" s="29"/>
      <c r="K1210" s="28">
        <v>0.10970000000000001</v>
      </c>
      <c r="L1210" s="29"/>
      <c r="M1210" s="28">
        <v>0.66569999999999996</v>
      </c>
      <c r="N1210" s="29"/>
      <c r="O1210" s="29"/>
      <c r="P1210" s="29"/>
      <c r="Q1210" s="29"/>
      <c r="R1210" s="29"/>
      <c r="S1210" s="29" t="s">
        <v>337</v>
      </c>
    </row>
    <row r="1211" spans="1:19" x14ac:dyDescent="0.35">
      <c r="A1211" s="27" t="s">
        <v>230</v>
      </c>
      <c r="B1211" s="27" t="s">
        <v>235</v>
      </c>
      <c r="C1211" s="27" t="s">
        <v>377</v>
      </c>
      <c r="D1211" s="29"/>
      <c r="E1211" s="29"/>
      <c r="F1211" s="29"/>
      <c r="G1211" s="29"/>
      <c r="H1211" s="29"/>
      <c r="I1211" s="29"/>
      <c r="J1211" s="29"/>
      <c r="K1211" s="29"/>
      <c r="L1211" s="28">
        <v>1</v>
      </c>
      <c r="M1211" s="29"/>
      <c r="N1211" s="29"/>
      <c r="O1211" s="29"/>
      <c r="P1211" s="29"/>
      <c r="Q1211" s="29"/>
      <c r="R1211" s="29"/>
      <c r="S1211" s="29" t="s">
        <v>314</v>
      </c>
    </row>
    <row r="1212" spans="1:19" x14ac:dyDescent="0.35">
      <c r="A1212" s="27" t="s">
        <v>230</v>
      </c>
      <c r="B1212" s="27" t="s">
        <v>234</v>
      </c>
      <c r="C1212" s="27" t="s">
        <v>375</v>
      </c>
      <c r="D1212" s="29"/>
      <c r="E1212" s="29"/>
      <c r="F1212" s="29"/>
      <c r="G1212" s="29"/>
      <c r="H1212" s="29"/>
      <c r="I1212" s="29"/>
      <c r="J1212" s="29"/>
      <c r="K1212" s="29"/>
      <c r="L1212" s="29"/>
      <c r="M1212" s="29"/>
      <c r="N1212" s="29"/>
      <c r="O1212" s="28">
        <v>1</v>
      </c>
      <c r="P1212" s="29"/>
      <c r="Q1212" s="29"/>
      <c r="R1212" s="29"/>
      <c r="S1212" s="29" t="s">
        <v>331</v>
      </c>
    </row>
    <row r="1213" spans="1:19" x14ac:dyDescent="0.35">
      <c r="A1213" s="27" t="s">
        <v>231</v>
      </c>
      <c r="B1213" s="27" t="s">
        <v>234</v>
      </c>
      <c r="C1213" s="27" t="s">
        <v>377</v>
      </c>
      <c r="D1213" s="29"/>
      <c r="E1213" s="29"/>
      <c r="F1213" s="28">
        <v>0.33329999999999999</v>
      </c>
      <c r="G1213" s="29"/>
      <c r="H1213" s="29"/>
      <c r="I1213" s="28">
        <v>0.33329999999999999</v>
      </c>
      <c r="J1213" s="28">
        <v>0.33329999999999999</v>
      </c>
      <c r="K1213" s="29"/>
      <c r="L1213" s="29"/>
      <c r="M1213" s="29"/>
      <c r="N1213" s="29"/>
      <c r="O1213" s="29"/>
      <c r="P1213" s="29"/>
      <c r="Q1213" s="29"/>
      <c r="R1213" s="29"/>
      <c r="S1213" s="29" t="s">
        <v>315</v>
      </c>
    </row>
    <row r="1214" spans="1:19" x14ac:dyDescent="0.35">
      <c r="A1214" s="27" t="s">
        <v>231</v>
      </c>
      <c r="B1214" s="27" t="s">
        <v>234</v>
      </c>
      <c r="C1214" s="27" t="s">
        <v>378</v>
      </c>
      <c r="D1214" s="28">
        <v>0.5</v>
      </c>
      <c r="E1214" s="29"/>
      <c r="F1214" s="28">
        <v>0.5</v>
      </c>
      <c r="G1214" s="29"/>
      <c r="H1214" s="29"/>
      <c r="I1214" s="29"/>
      <c r="J1214" s="29"/>
      <c r="K1214" s="29"/>
      <c r="L1214" s="29"/>
      <c r="M1214" s="29"/>
      <c r="N1214" s="29"/>
      <c r="O1214" s="29"/>
      <c r="P1214" s="29"/>
      <c r="Q1214" s="29"/>
      <c r="R1214" s="29"/>
      <c r="S1214" s="29" t="s">
        <v>314</v>
      </c>
    </row>
    <row r="1215" spans="1:19" x14ac:dyDescent="0.35">
      <c r="A1215" s="27" t="s">
        <v>231</v>
      </c>
      <c r="B1215" s="27" t="s">
        <v>235</v>
      </c>
      <c r="C1215" s="27" t="s">
        <v>378</v>
      </c>
      <c r="D1215" s="28">
        <v>0.66669999999999996</v>
      </c>
      <c r="E1215" s="29"/>
      <c r="F1215" s="28">
        <v>0.33329999999999999</v>
      </c>
      <c r="G1215" s="29"/>
      <c r="H1215" s="29"/>
      <c r="I1215" s="29"/>
      <c r="J1215" s="29"/>
      <c r="K1215" s="29"/>
      <c r="L1215" s="29"/>
      <c r="M1215" s="29"/>
      <c r="N1215" s="29"/>
      <c r="O1215" s="29"/>
      <c r="P1215" s="29"/>
      <c r="Q1215" s="29"/>
      <c r="R1215" s="29"/>
      <c r="S1215" s="29" t="s">
        <v>315</v>
      </c>
    </row>
    <row r="1216" spans="1:19" x14ac:dyDescent="0.35">
      <c r="A1216" t="s">
        <v>232</v>
      </c>
      <c r="B1216" t="s">
        <v>232</v>
      </c>
      <c r="C1216" t="s">
        <v>232</v>
      </c>
      <c r="D1216" s="26">
        <v>0.29580000000000001</v>
      </c>
      <c r="E1216" s="26">
        <v>0.19600000000000001</v>
      </c>
      <c r="F1216" s="26">
        <v>0.1573</v>
      </c>
      <c r="G1216" s="26">
        <v>6.08E-2</v>
      </c>
      <c r="H1216" s="26">
        <v>5.3900000000000003E-2</v>
      </c>
      <c r="I1216" s="26">
        <v>5.16E-2</v>
      </c>
      <c r="J1216" s="26">
        <v>5.16E-2</v>
      </c>
      <c r="K1216" s="26">
        <v>4.5699999999999998E-2</v>
      </c>
      <c r="L1216" s="26">
        <v>4.2999999999999997E-2</v>
      </c>
      <c r="M1216" s="26">
        <v>3.4000000000000002E-2</v>
      </c>
      <c r="N1216" s="26">
        <v>1.9900000000000001E-2</v>
      </c>
      <c r="O1216" s="26">
        <v>1.5599999999999999E-2</v>
      </c>
      <c r="P1216" s="26">
        <v>6.8999999999999999E-3</v>
      </c>
      <c r="Q1216" s="26">
        <v>4.5999999999999999E-3</v>
      </c>
      <c r="R1216" s="26">
        <v>3.5000000000000001E-3</v>
      </c>
      <c r="S1216">
        <v>87</v>
      </c>
    </row>
    <row r="1218" spans="1:7" x14ac:dyDescent="0.35">
      <c r="A1218" s="1" t="s">
        <v>453</v>
      </c>
    </row>
    <row r="1219" spans="1:7" x14ac:dyDescent="0.35">
      <c r="A1219" t="s">
        <v>219</v>
      </c>
      <c r="B1219" t="s">
        <v>302</v>
      </c>
      <c r="C1219" t="s">
        <v>303</v>
      </c>
      <c r="D1219" t="s">
        <v>281</v>
      </c>
      <c r="E1219" t="s">
        <v>286</v>
      </c>
      <c r="F1219" t="s">
        <v>226</v>
      </c>
    </row>
    <row r="1220" spans="1:7" x14ac:dyDescent="0.35">
      <c r="A1220" t="s">
        <v>227</v>
      </c>
      <c r="B1220" s="26">
        <v>0.98409999999999997</v>
      </c>
      <c r="C1220" s="26">
        <v>1.5900000000000001E-2</v>
      </c>
      <c r="F1220">
        <v>63</v>
      </c>
    </row>
    <row r="1221" spans="1:7" x14ac:dyDescent="0.35">
      <c r="A1221" t="s">
        <v>228</v>
      </c>
      <c r="B1221" s="26">
        <v>0.90180000000000005</v>
      </c>
      <c r="C1221" s="26">
        <v>9.1200000000000003E-2</v>
      </c>
      <c r="D1221" s="26">
        <v>5.4000000000000003E-3</v>
      </c>
      <c r="E1221" s="26">
        <v>1.6000000000000001E-3</v>
      </c>
      <c r="F1221">
        <v>314</v>
      </c>
    </row>
    <row r="1222" spans="1:7" x14ac:dyDescent="0.35">
      <c r="A1222" t="s">
        <v>229</v>
      </c>
      <c r="B1222" s="26">
        <v>0.9667</v>
      </c>
      <c r="C1222" s="26">
        <v>3.3300000000000003E-2</v>
      </c>
      <c r="F1222">
        <v>335</v>
      </c>
    </row>
    <row r="1223" spans="1:7" x14ac:dyDescent="0.35">
      <c r="A1223" t="s">
        <v>230</v>
      </c>
      <c r="B1223" s="26">
        <v>0.96589999999999998</v>
      </c>
      <c r="C1223" s="26">
        <v>3.1899999999999998E-2</v>
      </c>
      <c r="D1223" s="26">
        <v>2.2000000000000001E-3</v>
      </c>
      <c r="F1223">
        <v>203</v>
      </c>
    </row>
    <row r="1224" spans="1:7" x14ac:dyDescent="0.35">
      <c r="A1224" t="s">
        <v>231</v>
      </c>
      <c r="B1224" s="26">
        <v>0.96230000000000004</v>
      </c>
      <c r="C1224" s="26">
        <v>3.7699999999999997E-2</v>
      </c>
      <c r="F1224">
        <v>53</v>
      </c>
    </row>
    <row r="1225" spans="1:7" x14ac:dyDescent="0.35">
      <c r="A1225" t="s">
        <v>232</v>
      </c>
      <c r="B1225" s="26">
        <v>0.95679999999999998</v>
      </c>
      <c r="C1225" s="26">
        <v>4.1700000000000001E-2</v>
      </c>
      <c r="D1225" s="26">
        <v>1.1999999999999999E-3</v>
      </c>
      <c r="E1225" s="26">
        <v>2.9999999999999997E-4</v>
      </c>
      <c r="F1225">
        <v>968</v>
      </c>
    </row>
    <row r="1227" spans="1:7" x14ac:dyDescent="0.35">
      <c r="A1227" s="1" t="s">
        <v>454</v>
      </c>
    </row>
    <row r="1228" spans="1:7" x14ac:dyDescent="0.35">
      <c r="A1228" t="s">
        <v>219</v>
      </c>
      <c r="B1228" t="s">
        <v>305</v>
      </c>
      <c r="C1228" t="s">
        <v>302</v>
      </c>
      <c r="D1228" t="s">
        <v>303</v>
      </c>
      <c r="E1228" t="s">
        <v>281</v>
      </c>
      <c r="F1228" t="s">
        <v>286</v>
      </c>
      <c r="G1228" t="s">
        <v>226</v>
      </c>
    </row>
    <row r="1229" spans="1:7" x14ac:dyDescent="0.35">
      <c r="A1229" s="27" t="s">
        <v>227</v>
      </c>
      <c r="B1229" s="27" t="s">
        <v>242</v>
      </c>
      <c r="C1229" s="28">
        <v>1</v>
      </c>
      <c r="D1229" s="29"/>
      <c r="E1229" s="29"/>
      <c r="F1229" s="29"/>
      <c r="G1229" s="29" t="s">
        <v>328</v>
      </c>
    </row>
    <row r="1230" spans="1:7" x14ac:dyDescent="0.35">
      <c r="A1230" t="s">
        <v>227</v>
      </c>
      <c r="B1230" t="s">
        <v>241</v>
      </c>
      <c r="C1230" s="26">
        <v>0.97499999999999998</v>
      </c>
      <c r="D1230" s="26">
        <v>2.5000000000000001E-2</v>
      </c>
      <c r="G1230">
        <v>40</v>
      </c>
    </row>
    <row r="1231" spans="1:7" x14ac:dyDescent="0.35">
      <c r="A1231" t="s">
        <v>228</v>
      </c>
      <c r="B1231" t="s">
        <v>242</v>
      </c>
      <c r="C1231" s="26">
        <v>0.81850000000000001</v>
      </c>
      <c r="D1231" s="26">
        <v>0.1774</v>
      </c>
      <c r="E1231" s="26">
        <v>4.1000000000000003E-3</v>
      </c>
      <c r="G1231">
        <v>94</v>
      </c>
    </row>
    <row r="1232" spans="1:7" x14ac:dyDescent="0.35">
      <c r="A1232" t="s">
        <v>228</v>
      </c>
      <c r="B1232" t="s">
        <v>241</v>
      </c>
      <c r="C1232" s="26">
        <v>0.93669999999999998</v>
      </c>
      <c r="D1232" s="26">
        <v>5.5100000000000003E-2</v>
      </c>
      <c r="E1232" s="26">
        <v>5.8999999999999999E-3</v>
      </c>
      <c r="F1232" s="26">
        <v>2.3E-3</v>
      </c>
      <c r="G1232">
        <v>220</v>
      </c>
    </row>
    <row r="1233" spans="1:7" x14ac:dyDescent="0.35">
      <c r="A1233" t="s">
        <v>229</v>
      </c>
      <c r="B1233" t="s">
        <v>242</v>
      </c>
      <c r="C1233" s="26">
        <v>0.93300000000000005</v>
      </c>
      <c r="D1233" s="26">
        <v>6.7000000000000004E-2</v>
      </c>
      <c r="G1233">
        <v>94</v>
      </c>
    </row>
    <row r="1234" spans="1:7" x14ac:dyDescent="0.35">
      <c r="A1234" t="s">
        <v>229</v>
      </c>
      <c r="B1234" t="s">
        <v>241</v>
      </c>
      <c r="C1234" s="26">
        <v>0.98399999999999999</v>
      </c>
      <c r="D1234" s="26">
        <v>1.6E-2</v>
      </c>
      <c r="G1234">
        <v>241</v>
      </c>
    </row>
    <row r="1235" spans="1:7" x14ac:dyDescent="0.35">
      <c r="A1235" t="s">
        <v>230</v>
      </c>
      <c r="B1235" t="s">
        <v>242</v>
      </c>
      <c r="C1235" s="26">
        <v>0.97929999999999995</v>
      </c>
      <c r="D1235" s="26">
        <v>1.4500000000000001E-2</v>
      </c>
      <c r="E1235" s="26">
        <v>6.1999999999999998E-3</v>
      </c>
      <c r="G1235">
        <v>60</v>
      </c>
    </row>
    <row r="1236" spans="1:7" x14ac:dyDescent="0.35">
      <c r="A1236" t="s">
        <v>230</v>
      </c>
      <c r="B1236" t="s">
        <v>241</v>
      </c>
      <c r="C1236" s="26">
        <v>0.95879999999999999</v>
      </c>
      <c r="D1236" s="26">
        <v>4.1200000000000001E-2</v>
      </c>
      <c r="G1236">
        <v>143</v>
      </c>
    </row>
    <row r="1237" spans="1:7" x14ac:dyDescent="0.35">
      <c r="A1237" s="27" t="s">
        <v>231</v>
      </c>
      <c r="B1237" s="27" t="s">
        <v>242</v>
      </c>
      <c r="C1237" s="28">
        <v>1</v>
      </c>
      <c r="D1237" s="29"/>
      <c r="E1237" s="29"/>
      <c r="F1237" s="29"/>
      <c r="G1237" s="29" t="s">
        <v>334</v>
      </c>
    </row>
    <row r="1238" spans="1:7" x14ac:dyDescent="0.35">
      <c r="A1238" t="s">
        <v>231</v>
      </c>
      <c r="B1238" t="s">
        <v>241</v>
      </c>
      <c r="C1238" s="26">
        <v>0.95450000000000002</v>
      </c>
      <c r="D1238" s="26">
        <v>4.5499999999999999E-2</v>
      </c>
      <c r="G1238">
        <v>44</v>
      </c>
    </row>
    <row r="1239" spans="1:7" x14ac:dyDescent="0.35">
      <c r="A1239" t="s">
        <v>232</v>
      </c>
      <c r="B1239" t="s">
        <v>232</v>
      </c>
      <c r="C1239" s="26">
        <v>0.95679999999999998</v>
      </c>
      <c r="D1239" s="26">
        <v>4.1700000000000001E-2</v>
      </c>
      <c r="E1239" s="26">
        <v>1.1999999999999999E-3</v>
      </c>
      <c r="F1239" s="26">
        <v>2.9999999999999997E-4</v>
      </c>
      <c r="G1239">
        <v>968</v>
      </c>
    </row>
    <row r="1241" spans="1:7" x14ac:dyDescent="0.35">
      <c r="A1241" s="1" t="s">
        <v>455</v>
      </c>
    </row>
    <row r="1242" spans="1:7" x14ac:dyDescent="0.35">
      <c r="A1242" t="s">
        <v>219</v>
      </c>
      <c r="B1242" t="s">
        <v>305</v>
      </c>
      <c r="C1242" t="s">
        <v>302</v>
      </c>
      <c r="D1242" t="s">
        <v>303</v>
      </c>
      <c r="E1242" t="s">
        <v>281</v>
      </c>
      <c r="F1242" t="s">
        <v>286</v>
      </c>
      <c r="G1242" t="s">
        <v>226</v>
      </c>
    </row>
    <row r="1243" spans="1:7" x14ac:dyDescent="0.35">
      <c r="A1243" t="s">
        <v>227</v>
      </c>
      <c r="B1243" t="s">
        <v>239</v>
      </c>
      <c r="C1243" s="26">
        <v>0.9667</v>
      </c>
      <c r="D1243" s="26">
        <v>3.3300000000000003E-2</v>
      </c>
      <c r="G1243">
        <v>30</v>
      </c>
    </row>
    <row r="1244" spans="1:7" x14ac:dyDescent="0.35">
      <c r="A1244" t="s">
        <v>227</v>
      </c>
      <c r="B1244" t="s">
        <v>238</v>
      </c>
      <c r="C1244" s="26">
        <v>1</v>
      </c>
      <c r="G1244">
        <v>33</v>
      </c>
    </row>
    <row r="1245" spans="1:7" x14ac:dyDescent="0.35">
      <c r="A1245" t="s">
        <v>228</v>
      </c>
      <c r="B1245" t="s">
        <v>239</v>
      </c>
      <c r="C1245" s="26">
        <v>0.83409999999999995</v>
      </c>
      <c r="D1245" s="26">
        <v>0.15709999999999999</v>
      </c>
      <c r="E1245" s="26">
        <v>8.8000000000000005E-3</v>
      </c>
      <c r="G1245">
        <v>117</v>
      </c>
    </row>
    <row r="1246" spans="1:7" x14ac:dyDescent="0.35">
      <c r="A1246" t="s">
        <v>228</v>
      </c>
      <c r="B1246" t="s">
        <v>238</v>
      </c>
      <c r="C1246" s="26">
        <v>0.92520000000000002</v>
      </c>
      <c r="D1246" s="26">
        <v>6.8500000000000005E-2</v>
      </c>
      <c r="E1246" s="26">
        <v>4.1999999999999997E-3</v>
      </c>
      <c r="F1246" s="26">
        <v>2.2000000000000001E-3</v>
      </c>
      <c r="G1246">
        <v>197</v>
      </c>
    </row>
    <row r="1247" spans="1:7" x14ac:dyDescent="0.35">
      <c r="A1247" t="s">
        <v>229</v>
      </c>
      <c r="B1247" t="s">
        <v>239</v>
      </c>
      <c r="C1247" s="26">
        <v>0.96830000000000005</v>
      </c>
      <c r="D1247" s="26">
        <v>3.1699999999999999E-2</v>
      </c>
      <c r="G1247">
        <v>130</v>
      </c>
    </row>
    <row r="1248" spans="1:7" x14ac:dyDescent="0.35">
      <c r="A1248" t="s">
        <v>229</v>
      </c>
      <c r="B1248" t="s">
        <v>238</v>
      </c>
      <c r="C1248" s="26">
        <v>0.96609999999999996</v>
      </c>
      <c r="D1248" s="26">
        <v>3.39E-2</v>
      </c>
      <c r="G1248">
        <v>205</v>
      </c>
    </row>
    <row r="1249" spans="1:7" x14ac:dyDescent="0.35">
      <c r="A1249" t="s">
        <v>230</v>
      </c>
      <c r="B1249" t="s">
        <v>239</v>
      </c>
      <c r="C1249" s="26">
        <v>0.9718</v>
      </c>
      <c r="D1249" s="26">
        <v>2.8199999999999999E-2</v>
      </c>
      <c r="G1249">
        <v>104</v>
      </c>
    </row>
    <row r="1250" spans="1:7" x14ac:dyDescent="0.35">
      <c r="A1250" t="s">
        <v>230</v>
      </c>
      <c r="B1250" t="s">
        <v>238</v>
      </c>
      <c r="C1250" s="26">
        <v>0.96040000000000003</v>
      </c>
      <c r="D1250" s="26">
        <v>3.5400000000000001E-2</v>
      </c>
      <c r="E1250" s="26">
        <v>4.1999999999999997E-3</v>
      </c>
      <c r="G1250">
        <v>99</v>
      </c>
    </row>
    <row r="1251" spans="1:7" x14ac:dyDescent="0.35">
      <c r="A1251" s="27" t="s">
        <v>231</v>
      </c>
      <c r="B1251" s="27" t="s">
        <v>239</v>
      </c>
      <c r="C1251" s="28">
        <v>1</v>
      </c>
      <c r="D1251" s="29"/>
      <c r="E1251" s="29"/>
      <c r="F1251" s="29"/>
      <c r="G1251" s="29" t="s">
        <v>336</v>
      </c>
    </row>
    <row r="1252" spans="1:7" x14ac:dyDescent="0.35">
      <c r="A1252" s="27" t="s">
        <v>231</v>
      </c>
      <c r="B1252" s="27" t="s">
        <v>238</v>
      </c>
      <c r="C1252" s="28">
        <v>0.92</v>
      </c>
      <c r="D1252" s="28">
        <v>0.08</v>
      </c>
      <c r="E1252" s="29"/>
      <c r="F1252" s="29"/>
      <c r="G1252" s="29" t="s">
        <v>312</v>
      </c>
    </row>
    <row r="1253" spans="1:7" x14ac:dyDescent="0.35">
      <c r="A1253" t="s">
        <v>232</v>
      </c>
      <c r="B1253" t="s">
        <v>232</v>
      </c>
      <c r="C1253" s="26">
        <v>0.95679999999999998</v>
      </c>
      <c r="D1253" s="26">
        <v>4.1700000000000001E-2</v>
      </c>
      <c r="E1253" s="26">
        <v>1.1999999999999999E-3</v>
      </c>
      <c r="F1253" s="26">
        <v>2.9999999999999997E-4</v>
      </c>
      <c r="G1253">
        <v>968</v>
      </c>
    </row>
    <row r="1255" spans="1:7" x14ac:dyDescent="0.35">
      <c r="A1255" s="1" t="s">
        <v>456</v>
      </c>
    </row>
    <row r="1256" spans="1:7" x14ac:dyDescent="0.35">
      <c r="A1256" t="s">
        <v>219</v>
      </c>
      <c r="B1256" t="s">
        <v>305</v>
      </c>
      <c r="C1256" t="s">
        <v>302</v>
      </c>
      <c r="D1256" t="s">
        <v>303</v>
      </c>
      <c r="E1256" t="s">
        <v>281</v>
      </c>
      <c r="F1256" t="s">
        <v>286</v>
      </c>
      <c r="G1256" t="s">
        <v>226</v>
      </c>
    </row>
    <row r="1257" spans="1:7" x14ac:dyDescent="0.35">
      <c r="A1257" t="s">
        <v>227</v>
      </c>
      <c r="B1257" t="s">
        <v>244</v>
      </c>
      <c r="C1257" s="26">
        <v>0.97299999999999998</v>
      </c>
      <c r="D1257" s="26">
        <v>2.7E-2</v>
      </c>
      <c r="G1257">
        <v>37</v>
      </c>
    </row>
    <row r="1258" spans="1:7" x14ac:dyDescent="0.35">
      <c r="A1258" s="27" t="s">
        <v>227</v>
      </c>
      <c r="B1258" s="27" t="s">
        <v>246</v>
      </c>
      <c r="C1258" s="28">
        <v>1</v>
      </c>
      <c r="D1258" s="29"/>
      <c r="E1258" s="29"/>
      <c r="F1258" s="29"/>
      <c r="G1258" s="29" t="s">
        <v>357</v>
      </c>
    </row>
    <row r="1259" spans="1:7" x14ac:dyDescent="0.35">
      <c r="A1259" t="s">
        <v>228</v>
      </c>
      <c r="B1259" t="s">
        <v>244</v>
      </c>
      <c r="C1259" s="26">
        <v>0.93410000000000004</v>
      </c>
      <c r="D1259" s="26">
        <v>5.79E-2</v>
      </c>
      <c r="E1259" s="26">
        <v>5.7999999999999996E-3</v>
      </c>
      <c r="F1259" s="26">
        <v>2.2000000000000001E-3</v>
      </c>
      <c r="G1259">
        <v>215</v>
      </c>
    </row>
    <row r="1260" spans="1:7" x14ac:dyDescent="0.35">
      <c r="A1260" t="s">
        <v>228</v>
      </c>
      <c r="B1260" t="s">
        <v>246</v>
      </c>
      <c r="C1260" s="26">
        <v>0.82</v>
      </c>
      <c r="D1260" s="26">
        <v>0.17580000000000001</v>
      </c>
      <c r="E1260" s="26">
        <v>4.3E-3</v>
      </c>
      <c r="G1260">
        <v>99</v>
      </c>
    </row>
    <row r="1261" spans="1:7" x14ac:dyDescent="0.35">
      <c r="A1261" t="s">
        <v>229</v>
      </c>
      <c r="B1261" t="s">
        <v>244</v>
      </c>
      <c r="C1261" s="26">
        <v>0.95940000000000003</v>
      </c>
      <c r="D1261" s="26">
        <v>4.0599999999999997E-2</v>
      </c>
      <c r="G1261">
        <v>260</v>
      </c>
    </row>
    <row r="1262" spans="1:7" x14ac:dyDescent="0.35">
      <c r="A1262" t="s">
        <v>229</v>
      </c>
      <c r="B1262" t="s">
        <v>246</v>
      </c>
      <c r="C1262" s="26">
        <v>0.99429999999999996</v>
      </c>
      <c r="D1262" s="26">
        <v>5.7000000000000002E-3</v>
      </c>
      <c r="G1262">
        <v>75</v>
      </c>
    </row>
    <row r="1263" spans="1:7" x14ac:dyDescent="0.35">
      <c r="A1263" t="s">
        <v>230</v>
      </c>
      <c r="B1263" t="s">
        <v>244</v>
      </c>
      <c r="C1263" s="26">
        <v>0.95669999999999999</v>
      </c>
      <c r="D1263" s="26">
        <v>4.3299999999999998E-2</v>
      </c>
      <c r="G1263">
        <v>153</v>
      </c>
    </row>
    <row r="1264" spans="1:7" x14ac:dyDescent="0.35">
      <c r="A1264" t="s">
        <v>230</v>
      </c>
      <c r="B1264" t="s">
        <v>246</v>
      </c>
      <c r="C1264" s="26">
        <v>0.99170000000000003</v>
      </c>
      <c r="E1264" s="26">
        <v>8.3000000000000001E-3</v>
      </c>
      <c r="G1264">
        <v>50</v>
      </c>
    </row>
    <row r="1265" spans="1:7" x14ac:dyDescent="0.35">
      <c r="A1265" t="s">
        <v>231</v>
      </c>
      <c r="B1265" t="s">
        <v>244</v>
      </c>
      <c r="C1265" s="26">
        <v>0.93330000000000002</v>
      </c>
      <c r="D1265" s="26">
        <v>6.6699999999999995E-2</v>
      </c>
      <c r="G1265">
        <v>30</v>
      </c>
    </row>
    <row r="1266" spans="1:7" x14ac:dyDescent="0.35">
      <c r="A1266" s="27" t="s">
        <v>231</v>
      </c>
      <c r="B1266" s="27" t="s">
        <v>246</v>
      </c>
      <c r="C1266" s="28">
        <v>1</v>
      </c>
      <c r="D1266" s="29"/>
      <c r="E1266" s="29"/>
      <c r="F1266" s="29"/>
      <c r="G1266" s="29" t="s">
        <v>328</v>
      </c>
    </row>
    <row r="1267" spans="1:7" x14ac:dyDescent="0.35">
      <c r="A1267" t="s">
        <v>232</v>
      </c>
      <c r="B1267" t="s">
        <v>232</v>
      </c>
      <c r="C1267" s="26">
        <v>0.95679999999999998</v>
      </c>
      <c r="D1267" s="26">
        <v>4.1700000000000001E-2</v>
      </c>
      <c r="E1267" s="26">
        <v>1.1999999999999999E-3</v>
      </c>
      <c r="F1267" s="26">
        <v>2.9999999999999997E-4</v>
      </c>
      <c r="G1267">
        <v>968</v>
      </c>
    </row>
    <row r="1269" spans="1:7" x14ac:dyDescent="0.35">
      <c r="A1269" s="1" t="s">
        <v>457</v>
      </c>
    </row>
    <row r="1270" spans="1:7" x14ac:dyDescent="0.35">
      <c r="A1270" t="s">
        <v>219</v>
      </c>
      <c r="B1270" t="s">
        <v>305</v>
      </c>
      <c r="C1270" t="s">
        <v>302</v>
      </c>
      <c r="D1270" t="s">
        <v>303</v>
      </c>
      <c r="E1270" t="s">
        <v>281</v>
      </c>
      <c r="F1270" t="s">
        <v>286</v>
      </c>
      <c r="G1270" t="s">
        <v>226</v>
      </c>
    </row>
    <row r="1271" spans="1:7" x14ac:dyDescent="0.35">
      <c r="A1271" s="27" t="s">
        <v>227</v>
      </c>
      <c r="B1271" s="27" t="s">
        <v>360</v>
      </c>
      <c r="C1271" s="28">
        <v>1</v>
      </c>
      <c r="D1271" s="29"/>
      <c r="E1271" s="29"/>
      <c r="F1271" s="29"/>
      <c r="G1271" s="29" t="s">
        <v>357</v>
      </c>
    </row>
    <row r="1272" spans="1:7" x14ac:dyDescent="0.35">
      <c r="A1272" s="27" t="s">
        <v>227</v>
      </c>
      <c r="B1272" s="27" t="s">
        <v>361</v>
      </c>
      <c r="C1272" s="28">
        <v>0.8</v>
      </c>
      <c r="D1272" s="28">
        <v>0.2</v>
      </c>
      <c r="E1272" s="29"/>
      <c r="F1272" s="29"/>
      <c r="G1272" s="29" t="s">
        <v>332</v>
      </c>
    </row>
    <row r="1273" spans="1:7" x14ac:dyDescent="0.35">
      <c r="A1273" s="27" t="s">
        <v>227</v>
      </c>
      <c r="B1273" s="27" t="s">
        <v>362</v>
      </c>
      <c r="C1273" s="28">
        <v>1</v>
      </c>
      <c r="D1273" s="29"/>
      <c r="E1273" s="29"/>
      <c r="F1273" s="29"/>
      <c r="G1273" s="29" t="s">
        <v>346</v>
      </c>
    </row>
    <row r="1274" spans="1:7" x14ac:dyDescent="0.35">
      <c r="A1274" s="27" t="s">
        <v>227</v>
      </c>
      <c r="B1274" s="27" t="s">
        <v>363</v>
      </c>
      <c r="C1274" s="28">
        <v>1</v>
      </c>
      <c r="D1274" s="29"/>
      <c r="E1274" s="29"/>
      <c r="F1274" s="29"/>
      <c r="G1274" s="29" t="s">
        <v>348</v>
      </c>
    </row>
    <row r="1275" spans="1:7" x14ac:dyDescent="0.35">
      <c r="A1275" t="s">
        <v>228</v>
      </c>
      <c r="B1275" t="s">
        <v>360</v>
      </c>
      <c r="C1275" s="26">
        <v>0.74560000000000004</v>
      </c>
      <c r="D1275" s="26">
        <v>0.24990000000000001</v>
      </c>
      <c r="E1275" s="26">
        <v>4.4999999999999997E-3</v>
      </c>
      <c r="G1275">
        <v>88</v>
      </c>
    </row>
    <row r="1276" spans="1:7" x14ac:dyDescent="0.35">
      <c r="A1276" t="s">
        <v>228</v>
      </c>
      <c r="B1276" t="s">
        <v>361</v>
      </c>
      <c r="C1276" s="26">
        <v>0.93979999999999997</v>
      </c>
      <c r="D1276" s="26">
        <v>6.0199999999999997E-2</v>
      </c>
      <c r="G1276">
        <v>49</v>
      </c>
    </row>
    <row r="1277" spans="1:7" x14ac:dyDescent="0.35">
      <c r="A1277" t="s">
        <v>228</v>
      </c>
      <c r="B1277" t="s">
        <v>363</v>
      </c>
      <c r="C1277" s="26">
        <v>0.96560000000000001</v>
      </c>
      <c r="D1277" s="26">
        <v>2.4500000000000001E-2</v>
      </c>
      <c r="E1277" s="26">
        <v>9.7999999999999997E-3</v>
      </c>
      <c r="G1277">
        <v>60</v>
      </c>
    </row>
    <row r="1278" spans="1:7" x14ac:dyDescent="0.35">
      <c r="A1278" t="s">
        <v>228</v>
      </c>
      <c r="B1278" t="s">
        <v>362</v>
      </c>
      <c r="C1278" s="26">
        <v>0.97640000000000005</v>
      </c>
      <c r="D1278" s="26">
        <v>2.3599999999999999E-2</v>
      </c>
      <c r="G1278">
        <v>71</v>
      </c>
    </row>
    <row r="1279" spans="1:7" x14ac:dyDescent="0.35">
      <c r="A1279" t="s">
        <v>229</v>
      </c>
      <c r="B1279" t="s">
        <v>363</v>
      </c>
      <c r="C1279" s="26">
        <v>0.91059999999999997</v>
      </c>
      <c r="D1279" s="26">
        <v>8.9399999999999993E-2</v>
      </c>
      <c r="G1279">
        <v>52</v>
      </c>
    </row>
    <row r="1280" spans="1:7" x14ac:dyDescent="0.35">
      <c r="A1280" t="s">
        <v>229</v>
      </c>
      <c r="B1280" t="s">
        <v>360</v>
      </c>
      <c r="C1280" s="26">
        <v>0.97660000000000002</v>
      </c>
      <c r="D1280" s="26">
        <v>2.3400000000000001E-2</v>
      </c>
      <c r="G1280">
        <v>87</v>
      </c>
    </row>
    <row r="1281" spans="1:7" x14ac:dyDescent="0.35">
      <c r="A1281" t="s">
        <v>229</v>
      </c>
      <c r="B1281" t="s">
        <v>361</v>
      </c>
      <c r="C1281" s="26">
        <v>0.96089999999999998</v>
      </c>
      <c r="D1281" s="26">
        <v>3.9100000000000003E-2</v>
      </c>
      <c r="G1281">
        <v>74</v>
      </c>
    </row>
    <row r="1282" spans="1:7" x14ac:dyDescent="0.35">
      <c r="A1282" t="s">
        <v>229</v>
      </c>
      <c r="B1282" t="s">
        <v>362</v>
      </c>
      <c r="C1282" s="26">
        <v>0.998</v>
      </c>
      <c r="D1282" s="26">
        <v>2E-3</v>
      </c>
      <c r="G1282">
        <v>72</v>
      </c>
    </row>
    <row r="1283" spans="1:7" x14ac:dyDescent="0.35">
      <c r="A1283" t="s">
        <v>230</v>
      </c>
      <c r="B1283" t="s">
        <v>360</v>
      </c>
      <c r="C1283" s="26">
        <v>0.96189999999999998</v>
      </c>
      <c r="D1283" s="26">
        <v>3.1699999999999999E-2</v>
      </c>
      <c r="E1283" s="26">
        <v>6.4000000000000003E-3</v>
      </c>
      <c r="G1283">
        <v>60</v>
      </c>
    </row>
    <row r="1284" spans="1:7" x14ac:dyDescent="0.35">
      <c r="A1284" t="s">
        <v>230</v>
      </c>
      <c r="B1284" t="s">
        <v>363</v>
      </c>
      <c r="C1284" s="26">
        <v>0.91690000000000005</v>
      </c>
      <c r="D1284" s="26">
        <v>8.3099999999999993E-2</v>
      </c>
      <c r="G1284">
        <v>35</v>
      </c>
    </row>
    <row r="1285" spans="1:7" x14ac:dyDescent="0.35">
      <c r="A1285" s="27" t="s">
        <v>230</v>
      </c>
      <c r="B1285" s="27" t="s">
        <v>361</v>
      </c>
      <c r="C1285" s="28">
        <v>1</v>
      </c>
      <c r="D1285" s="29"/>
      <c r="E1285" s="29"/>
      <c r="F1285" s="29"/>
      <c r="G1285" s="29" t="s">
        <v>347</v>
      </c>
    </row>
    <row r="1286" spans="1:7" x14ac:dyDescent="0.35">
      <c r="A1286" t="s">
        <v>230</v>
      </c>
      <c r="B1286" t="s">
        <v>362</v>
      </c>
      <c r="C1286" s="26">
        <v>0.97850000000000004</v>
      </c>
      <c r="D1286" s="26">
        <v>2.1499999999999998E-2</v>
      </c>
      <c r="G1286">
        <v>61</v>
      </c>
    </row>
    <row r="1287" spans="1:7" x14ac:dyDescent="0.35">
      <c r="A1287" s="27" t="s">
        <v>231</v>
      </c>
      <c r="B1287" s="27" t="s">
        <v>362</v>
      </c>
      <c r="C1287" s="28">
        <v>1</v>
      </c>
      <c r="D1287" s="29"/>
      <c r="E1287" s="29"/>
      <c r="F1287" s="29"/>
      <c r="G1287" s="29" t="s">
        <v>333</v>
      </c>
    </row>
    <row r="1288" spans="1:7" x14ac:dyDescent="0.35">
      <c r="A1288" s="27" t="s">
        <v>231</v>
      </c>
      <c r="B1288" s="27" t="s">
        <v>361</v>
      </c>
      <c r="C1288" s="28">
        <v>0.85709999999999997</v>
      </c>
      <c r="D1288" s="28">
        <v>0.1429</v>
      </c>
      <c r="E1288" s="29"/>
      <c r="F1288" s="29"/>
      <c r="G1288" s="29" t="s">
        <v>339</v>
      </c>
    </row>
    <row r="1289" spans="1:7" x14ac:dyDescent="0.35">
      <c r="A1289" s="27" t="s">
        <v>231</v>
      </c>
      <c r="B1289" s="27" t="s">
        <v>360</v>
      </c>
      <c r="C1289" s="28">
        <v>0.96550000000000002</v>
      </c>
      <c r="D1289" s="28">
        <v>3.4500000000000003E-2</v>
      </c>
      <c r="E1289" s="29"/>
      <c r="F1289" s="29"/>
      <c r="G1289" s="29" t="s">
        <v>329</v>
      </c>
    </row>
    <row r="1290" spans="1:7" x14ac:dyDescent="0.35">
      <c r="A1290" s="27" t="s">
        <v>231</v>
      </c>
      <c r="B1290" s="27" t="s">
        <v>363</v>
      </c>
      <c r="C1290" s="28">
        <v>1</v>
      </c>
      <c r="D1290" s="29"/>
      <c r="E1290" s="29"/>
      <c r="F1290" s="29"/>
      <c r="G1290" s="29" t="s">
        <v>333</v>
      </c>
    </row>
    <row r="1291" spans="1:7" x14ac:dyDescent="0.35">
      <c r="A1291" t="s">
        <v>232</v>
      </c>
      <c r="B1291" t="s">
        <v>232</v>
      </c>
      <c r="C1291" s="26">
        <v>0.95679999999999998</v>
      </c>
      <c r="D1291" s="26">
        <v>4.1700000000000001E-2</v>
      </c>
      <c r="E1291" s="26">
        <v>1.1999999999999999E-3</v>
      </c>
      <c r="F1291" s="26">
        <v>2.9999999999999997E-4</v>
      </c>
      <c r="G1291">
        <v>845</v>
      </c>
    </row>
    <row r="1293" spans="1:7" x14ac:dyDescent="0.35">
      <c r="A1293" s="1" t="s">
        <v>458</v>
      </c>
    </row>
    <row r="1294" spans="1:7" x14ac:dyDescent="0.35">
      <c r="A1294" t="s">
        <v>219</v>
      </c>
      <c r="B1294" t="s">
        <v>305</v>
      </c>
      <c r="C1294" t="s">
        <v>302</v>
      </c>
      <c r="D1294" t="s">
        <v>303</v>
      </c>
      <c r="E1294" t="s">
        <v>281</v>
      </c>
      <c r="F1294" t="s">
        <v>286</v>
      </c>
      <c r="G1294" t="s">
        <v>226</v>
      </c>
    </row>
    <row r="1295" spans="1:7" x14ac:dyDescent="0.35">
      <c r="A1295" s="27" t="s">
        <v>227</v>
      </c>
      <c r="B1295" s="27" t="s">
        <v>267</v>
      </c>
      <c r="C1295" s="28">
        <v>0.85709999999999997</v>
      </c>
      <c r="D1295" s="28">
        <v>0.1429</v>
      </c>
      <c r="E1295" s="29"/>
      <c r="F1295" s="29"/>
      <c r="G1295" s="29" t="s">
        <v>339</v>
      </c>
    </row>
    <row r="1296" spans="1:7" x14ac:dyDescent="0.35">
      <c r="A1296" s="27" t="s">
        <v>227</v>
      </c>
      <c r="B1296" s="27" t="s">
        <v>266</v>
      </c>
      <c r="C1296" s="28">
        <v>1</v>
      </c>
      <c r="D1296" s="29"/>
      <c r="E1296" s="29"/>
      <c r="F1296" s="29"/>
      <c r="G1296" s="29" t="s">
        <v>346</v>
      </c>
    </row>
    <row r="1297" spans="1:7" x14ac:dyDescent="0.35">
      <c r="A1297" t="s">
        <v>227</v>
      </c>
      <c r="B1297" t="s">
        <v>265</v>
      </c>
      <c r="C1297" s="26">
        <v>1</v>
      </c>
      <c r="G1297">
        <v>41</v>
      </c>
    </row>
    <row r="1298" spans="1:7" x14ac:dyDescent="0.35">
      <c r="A1298" t="s">
        <v>228</v>
      </c>
      <c r="B1298" t="s">
        <v>267</v>
      </c>
      <c r="C1298" s="26">
        <v>0.9415</v>
      </c>
      <c r="D1298" s="26">
        <v>5.8500000000000003E-2</v>
      </c>
      <c r="G1298">
        <v>39</v>
      </c>
    </row>
    <row r="1299" spans="1:7" x14ac:dyDescent="0.35">
      <c r="A1299" t="s">
        <v>228</v>
      </c>
      <c r="B1299" t="s">
        <v>266</v>
      </c>
      <c r="C1299" s="26">
        <v>0.79810000000000003</v>
      </c>
      <c r="D1299" s="26">
        <v>0.18890000000000001</v>
      </c>
      <c r="E1299" s="26">
        <v>8.6E-3</v>
      </c>
      <c r="F1299" s="26">
        <v>4.4000000000000003E-3</v>
      </c>
      <c r="G1299">
        <v>115</v>
      </c>
    </row>
    <row r="1300" spans="1:7" x14ac:dyDescent="0.35">
      <c r="A1300" t="s">
        <v>228</v>
      </c>
      <c r="B1300" t="s">
        <v>265</v>
      </c>
      <c r="C1300" s="26">
        <v>0.96450000000000002</v>
      </c>
      <c r="D1300" s="26">
        <v>3.1300000000000001E-2</v>
      </c>
      <c r="E1300" s="26">
        <v>4.1999999999999997E-3</v>
      </c>
      <c r="G1300">
        <v>160</v>
      </c>
    </row>
    <row r="1301" spans="1:7" x14ac:dyDescent="0.35">
      <c r="A1301" t="s">
        <v>229</v>
      </c>
      <c r="B1301" t="s">
        <v>267</v>
      </c>
      <c r="C1301" s="26">
        <v>0.94840000000000002</v>
      </c>
      <c r="D1301" s="26">
        <v>5.16E-2</v>
      </c>
      <c r="G1301">
        <v>53</v>
      </c>
    </row>
    <row r="1302" spans="1:7" x14ac:dyDescent="0.35">
      <c r="A1302" t="s">
        <v>229</v>
      </c>
      <c r="B1302" t="s">
        <v>266</v>
      </c>
      <c r="C1302" s="26">
        <v>0.99439999999999995</v>
      </c>
      <c r="D1302" s="26">
        <v>5.5999999999999999E-3</v>
      </c>
      <c r="G1302">
        <v>108</v>
      </c>
    </row>
    <row r="1303" spans="1:7" x14ac:dyDescent="0.35">
      <c r="A1303" t="s">
        <v>229</v>
      </c>
      <c r="B1303" t="s">
        <v>265</v>
      </c>
      <c r="C1303" s="26">
        <v>0.95779999999999998</v>
      </c>
      <c r="D1303" s="26">
        <v>4.2200000000000001E-2</v>
      </c>
      <c r="G1303">
        <v>174</v>
      </c>
    </row>
    <row r="1304" spans="1:7" x14ac:dyDescent="0.35">
      <c r="A1304" t="s">
        <v>230</v>
      </c>
      <c r="B1304" t="s">
        <v>267</v>
      </c>
      <c r="C1304" s="26">
        <v>0.98660000000000003</v>
      </c>
      <c r="E1304" s="26">
        <v>1.34E-2</v>
      </c>
      <c r="G1304">
        <v>30</v>
      </c>
    </row>
    <row r="1305" spans="1:7" x14ac:dyDescent="0.35">
      <c r="A1305" t="s">
        <v>230</v>
      </c>
      <c r="B1305" t="s">
        <v>266</v>
      </c>
      <c r="C1305" s="26">
        <v>0.89590000000000003</v>
      </c>
      <c r="D1305" s="26">
        <v>0.1041</v>
      </c>
      <c r="G1305">
        <v>66</v>
      </c>
    </row>
    <row r="1306" spans="1:7" x14ac:dyDescent="0.35">
      <c r="A1306" t="s">
        <v>230</v>
      </c>
      <c r="B1306" t="s">
        <v>265</v>
      </c>
      <c r="C1306" s="26">
        <v>0.99260000000000004</v>
      </c>
      <c r="D1306" s="26">
        <v>7.4000000000000003E-3</v>
      </c>
      <c r="G1306">
        <v>107</v>
      </c>
    </row>
    <row r="1307" spans="1:7" x14ac:dyDescent="0.35">
      <c r="A1307" s="27" t="s">
        <v>231</v>
      </c>
      <c r="B1307" s="27" t="s">
        <v>267</v>
      </c>
      <c r="C1307" s="28">
        <v>0.875</v>
      </c>
      <c r="D1307" s="28">
        <v>0.125</v>
      </c>
      <c r="E1307" s="29"/>
      <c r="F1307" s="29"/>
      <c r="G1307" s="29" t="s">
        <v>333</v>
      </c>
    </row>
    <row r="1308" spans="1:7" x14ac:dyDescent="0.35">
      <c r="A1308" s="27" t="s">
        <v>231</v>
      </c>
      <c r="B1308" s="27" t="s">
        <v>266</v>
      </c>
      <c r="C1308" s="28">
        <v>1</v>
      </c>
      <c r="D1308" s="29"/>
      <c r="E1308" s="29"/>
      <c r="F1308" s="29"/>
      <c r="G1308" s="29" t="s">
        <v>379</v>
      </c>
    </row>
    <row r="1309" spans="1:7" x14ac:dyDescent="0.35">
      <c r="A1309" t="s">
        <v>231</v>
      </c>
      <c r="B1309" t="s">
        <v>265</v>
      </c>
      <c r="C1309" s="26">
        <v>0.9677</v>
      </c>
      <c r="D1309" s="26">
        <v>3.2300000000000002E-2</v>
      </c>
      <c r="G1309">
        <v>31</v>
      </c>
    </row>
    <row r="1310" spans="1:7" x14ac:dyDescent="0.35">
      <c r="A1310" t="s">
        <v>232</v>
      </c>
      <c r="B1310" t="s">
        <v>232</v>
      </c>
      <c r="C1310" s="26">
        <v>0.95679999999999998</v>
      </c>
      <c r="D1310" s="26">
        <v>4.1700000000000001E-2</v>
      </c>
      <c r="E1310" s="26">
        <v>1.1999999999999999E-3</v>
      </c>
      <c r="F1310" s="26">
        <v>2.9999999999999997E-4</v>
      </c>
      <c r="G1310">
        <v>968</v>
      </c>
    </row>
    <row r="1312" spans="1:7" x14ac:dyDescent="0.35">
      <c r="A1312" s="1" t="s">
        <v>459</v>
      </c>
    </row>
    <row r="1313" spans="1:7" x14ac:dyDescent="0.35">
      <c r="A1313" t="s">
        <v>219</v>
      </c>
      <c r="B1313" t="s">
        <v>305</v>
      </c>
      <c r="C1313" t="s">
        <v>302</v>
      </c>
      <c r="D1313" t="s">
        <v>303</v>
      </c>
      <c r="E1313" t="s">
        <v>281</v>
      </c>
      <c r="F1313" t="s">
        <v>286</v>
      </c>
      <c r="G1313" t="s">
        <v>226</v>
      </c>
    </row>
    <row r="1314" spans="1:7" x14ac:dyDescent="0.35">
      <c r="A1314" s="27" t="s">
        <v>227</v>
      </c>
      <c r="B1314" s="27" t="s">
        <v>252</v>
      </c>
      <c r="C1314" s="28">
        <v>1</v>
      </c>
      <c r="D1314" s="29"/>
      <c r="E1314" s="29"/>
      <c r="F1314" s="29"/>
      <c r="G1314" s="29" t="s">
        <v>331</v>
      </c>
    </row>
    <row r="1315" spans="1:7" x14ac:dyDescent="0.35">
      <c r="A1315" s="27" t="s">
        <v>227</v>
      </c>
      <c r="B1315" s="27" t="s">
        <v>253</v>
      </c>
      <c r="C1315" s="28">
        <v>1</v>
      </c>
      <c r="D1315" s="29"/>
      <c r="E1315" s="29"/>
      <c r="F1315" s="29"/>
      <c r="G1315" s="29" t="s">
        <v>346</v>
      </c>
    </row>
    <row r="1316" spans="1:7" x14ac:dyDescent="0.35">
      <c r="A1316" t="s">
        <v>227</v>
      </c>
      <c r="B1316" t="s">
        <v>251</v>
      </c>
      <c r="C1316" s="26">
        <v>0.97870000000000001</v>
      </c>
      <c r="D1316" s="26">
        <v>2.1299999999999999E-2</v>
      </c>
      <c r="G1316">
        <v>47</v>
      </c>
    </row>
    <row r="1317" spans="1:7" x14ac:dyDescent="0.35">
      <c r="A1317" s="27" t="s">
        <v>228</v>
      </c>
      <c r="B1317" s="27" t="s">
        <v>252</v>
      </c>
      <c r="C1317" s="28">
        <v>1</v>
      </c>
      <c r="D1317" s="29"/>
      <c r="E1317" s="29"/>
      <c r="F1317" s="29"/>
      <c r="G1317" s="29" t="s">
        <v>331</v>
      </c>
    </row>
    <row r="1318" spans="1:7" x14ac:dyDescent="0.35">
      <c r="A1318" t="s">
        <v>228</v>
      </c>
      <c r="B1318" t="s">
        <v>253</v>
      </c>
      <c r="C1318" s="26">
        <v>0.7772</v>
      </c>
      <c r="D1318" s="26">
        <v>0.20910000000000001</v>
      </c>
      <c r="E1318" s="26">
        <v>1.38E-2</v>
      </c>
      <c r="G1318">
        <v>91</v>
      </c>
    </row>
    <row r="1319" spans="1:7" x14ac:dyDescent="0.35">
      <c r="A1319" t="s">
        <v>228</v>
      </c>
      <c r="B1319" t="s">
        <v>251</v>
      </c>
      <c r="C1319" s="26">
        <v>0.94589999999999996</v>
      </c>
      <c r="D1319" s="26">
        <v>4.9500000000000002E-2</v>
      </c>
      <c r="E1319" s="26">
        <v>2.3999999999999998E-3</v>
      </c>
      <c r="F1319" s="26">
        <v>2.2000000000000001E-3</v>
      </c>
      <c r="G1319">
        <v>222</v>
      </c>
    </row>
    <row r="1320" spans="1:7" x14ac:dyDescent="0.35">
      <c r="A1320" s="27" t="s">
        <v>229</v>
      </c>
      <c r="B1320" s="27" t="s">
        <v>252</v>
      </c>
      <c r="C1320" s="28">
        <v>1</v>
      </c>
      <c r="D1320" s="29"/>
      <c r="E1320" s="29"/>
      <c r="F1320" s="29"/>
      <c r="G1320" s="29" t="s">
        <v>314</v>
      </c>
    </row>
    <row r="1321" spans="1:7" x14ac:dyDescent="0.35">
      <c r="A1321" t="s">
        <v>229</v>
      </c>
      <c r="B1321" t="s">
        <v>253</v>
      </c>
      <c r="C1321" s="26">
        <v>0.998</v>
      </c>
      <c r="D1321" s="26">
        <v>2E-3</v>
      </c>
      <c r="G1321">
        <v>59</v>
      </c>
    </row>
    <row r="1322" spans="1:7" x14ac:dyDescent="0.35">
      <c r="A1322" t="s">
        <v>229</v>
      </c>
      <c r="B1322" t="s">
        <v>251</v>
      </c>
      <c r="C1322" s="26">
        <v>0.95899999999999996</v>
      </c>
      <c r="D1322" s="26">
        <v>4.1000000000000002E-2</v>
      </c>
      <c r="G1322">
        <v>274</v>
      </c>
    </row>
    <row r="1323" spans="1:7" x14ac:dyDescent="0.35">
      <c r="A1323" t="s">
        <v>230</v>
      </c>
      <c r="B1323" t="s">
        <v>253</v>
      </c>
      <c r="C1323" s="26">
        <v>0.99219999999999997</v>
      </c>
      <c r="D1323" s="26">
        <v>7.7999999999999996E-3</v>
      </c>
      <c r="G1323">
        <v>33</v>
      </c>
    </row>
    <row r="1324" spans="1:7" x14ac:dyDescent="0.35">
      <c r="A1324" t="s">
        <v>230</v>
      </c>
      <c r="B1324" t="s">
        <v>251</v>
      </c>
      <c r="C1324" s="26">
        <v>0.96050000000000002</v>
      </c>
      <c r="D1324" s="26">
        <v>3.6900000000000002E-2</v>
      </c>
      <c r="E1324" s="26">
        <v>2.5999999999999999E-3</v>
      </c>
      <c r="G1324">
        <v>170</v>
      </c>
    </row>
    <row r="1325" spans="1:7" x14ac:dyDescent="0.35">
      <c r="A1325" s="27" t="s">
        <v>231</v>
      </c>
      <c r="B1325" s="27" t="s">
        <v>252</v>
      </c>
      <c r="C1325" s="28">
        <v>1</v>
      </c>
      <c r="D1325" s="29"/>
      <c r="E1325" s="29"/>
      <c r="F1325" s="29"/>
      <c r="G1325" s="29" t="s">
        <v>315</v>
      </c>
    </row>
    <row r="1326" spans="1:7" x14ac:dyDescent="0.35">
      <c r="A1326" s="27" t="s">
        <v>231</v>
      </c>
      <c r="B1326" s="27" t="s">
        <v>253</v>
      </c>
      <c r="C1326" s="28">
        <v>1</v>
      </c>
      <c r="D1326" s="29"/>
      <c r="E1326" s="29"/>
      <c r="F1326" s="29"/>
      <c r="G1326" s="29" t="s">
        <v>339</v>
      </c>
    </row>
    <row r="1327" spans="1:7" x14ac:dyDescent="0.35">
      <c r="A1327" t="s">
        <v>231</v>
      </c>
      <c r="B1327" t="s">
        <v>251</v>
      </c>
      <c r="C1327" s="26">
        <v>0.95350000000000001</v>
      </c>
      <c r="D1327" s="26">
        <v>4.65E-2</v>
      </c>
      <c r="G1327">
        <v>43</v>
      </c>
    </row>
    <row r="1328" spans="1:7" x14ac:dyDescent="0.35">
      <c r="A1328" t="s">
        <v>232</v>
      </c>
      <c r="B1328" t="s">
        <v>232</v>
      </c>
      <c r="C1328" s="26">
        <v>0.95679999999999998</v>
      </c>
      <c r="D1328" s="26">
        <v>4.1700000000000001E-2</v>
      </c>
      <c r="E1328" s="26">
        <v>1.1999999999999999E-3</v>
      </c>
      <c r="F1328" s="26">
        <v>2.9999999999999997E-4</v>
      </c>
      <c r="G1328">
        <v>968</v>
      </c>
    </row>
    <row r="1330" spans="1:7" x14ac:dyDescent="0.35">
      <c r="A1330" s="1" t="s">
        <v>460</v>
      </c>
    </row>
    <row r="1331" spans="1:7" x14ac:dyDescent="0.35">
      <c r="A1331" t="s">
        <v>219</v>
      </c>
      <c r="B1331" t="s">
        <v>305</v>
      </c>
      <c r="C1331" t="s">
        <v>302</v>
      </c>
      <c r="D1331" t="s">
        <v>303</v>
      </c>
      <c r="E1331" t="s">
        <v>281</v>
      </c>
      <c r="F1331" t="s">
        <v>286</v>
      </c>
      <c r="G1331" t="s">
        <v>226</v>
      </c>
    </row>
    <row r="1332" spans="1:7" x14ac:dyDescent="0.35">
      <c r="A1332" t="s">
        <v>227</v>
      </c>
      <c r="B1332" t="s">
        <v>260</v>
      </c>
      <c r="C1332" s="26">
        <v>0.98080000000000001</v>
      </c>
      <c r="D1332" s="26">
        <v>1.9199999999999998E-2</v>
      </c>
      <c r="G1332">
        <v>52</v>
      </c>
    </row>
    <row r="1333" spans="1:7" x14ac:dyDescent="0.35">
      <c r="A1333" s="27" t="s">
        <v>227</v>
      </c>
      <c r="B1333" s="27" t="s">
        <v>261</v>
      </c>
      <c r="C1333" s="28">
        <v>1</v>
      </c>
      <c r="D1333" s="29"/>
      <c r="E1333" s="29"/>
      <c r="F1333" s="29"/>
      <c r="G1333" s="29" t="s">
        <v>335</v>
      </c>
    </row>
    <row r="1334" spans="1:7" x14ac:dyDescent="0.35">
      <c r="A1334" s="27" t="s">
        <v>227</v>
      </c>
      <c r="B1334" s="27" t="s">
        <v>262</v>
      </c>
      <c r="C1334" s="28">
        <v>1</v>
      </c>
      <c r="D1334" s="29"/>
      <c r="E1334" s="29"/>
      <c r="F1334" s="29"/>
      <c r="G1334" s="29" t="s">
        <v>332</v>
      </c>
    </row>
    <row r="1335" spans="1:7" x14ac:dyDescent="0.35">
      <c r="A1335" s="27" t="s">
        <v>228</v>
      </c>
      <c r="B1335" s="27" t="s">
        <v>263</v>
      </c>
      <c r="C1335" s="28">
        <v>1</v>
      </c>
      <c r="D1335" s="29"/>
      <c r="E1335" s="29"/>
      <c r="F1335" s="29"/>
      <c r="G1335" s="29" t="s">
        <v>339</v>
      </c>
    </row>
    <row r="1336" spans="1:7" x14ac:dyDescent="0.35">
      <c r="A1336" t="s">
        <v>228</v>
      </c>
      <c r="B1336" t="s">
        <v>262</v>
      </c>
      <c r="C1336" s="26">
        <v>0.94779999999999998</v>
      </c>
      <c r="D1336" s="26">
        <v>4.0599999999999997E-2</v>
      </c>
      <c r="E1336" s="26">
        <v>1.1599999999999999E-2</v>
      </c>
      <c r="G1336">
        <v>94</v>
      </c>
    </row>
    <row r="1337" spans="1:7" x14ac:dyDescent="0.35">
      <c r="A1337" t="s">
        <v>228</v>
      </c>
      <c r="B1337" t="s">
        <v>260</v>
      </c>
      <c r="C1337" s="26">
        <v>0.95950000000000002</v>
      </c>
      <c r="D1337" s="26">
        <v>3.2399999999999998E-2</v>
      </c>
      <c r="E1337" s="26">
        <v>4.7999999999999996E-3</v>
      </c>
      <c r="F1337" s="26">
        <v>3.3999999999999998E-3</v>
      </c>
      <c r="G1337">
        <v>136</v>
      </c>
    </row>
    <row r="1338" spans="1:7" x14ac:dyDescent="0.35">
      <c r="A1338" s="27" t="s">
        <v>228</v>
      </c>
      <c r="B1338" s="27" t="s">
        <v>236</v>
      </c>
      <c r="C1338" s="28">
        <v>1</v>
      </c>
      <c r="D1338" s="29"/>
      <c r="E1338" s="29"/>
      <c r="F1338" s="29"/>
      <c r="G1338" s="29" t="s">
        <v>314</v>
      </c>
    </row>
    <row r="1339" spans="1:7" x14ac:dyDescent="0.35">
      <c r="A1339" t="s">
        <v>228</v>
      </c>
      <c r="B1339" t="s">
        <v>261</v>
      </c>
      <c r="C1339" s="26">
        <v>0.72299999999999998</v>
      </c>
      <c r="D1339" s="26">
        <v>0.27700000000000002</v>
      </c>
      <c r="G1339">
        <v>75</v>
      </c>
    </row>
    <row r="1340" spans="1:7" x14ac:dyDescent="0.35">
      <c r="A1340" s="27" t="s">
        <v>229</v>
      </c>
      <c r="B1340" s="27" t="s">
        <v>263</v>
      </c>
      <c r="C1340" s="28">
        <v>1</v>
      </c>
      <c r="D1340" s="29"/>
      <c r="E1340" s="29"/>
      <c r="F1340" s="29"/>
      <c r="G1340" s="29" t="s">
        <v>333</v>
      </c>
    </row>
    <row r="1341" spans="1:7" x14ac:dyDescent="0.35">
      <c r="A1341" t="s">
        <v>229</v>
      </c>
      <c r="B1341" t="s">
        <v>261</v>
      </c>
      <c r="C1341" s="26">
        <v>0.98980000000000001</v>
      </c>
      <c r="D1341" s="26">
        <v>1.0200000000000001E-2</v>
      </c>
      <c r="G1341">
        <v>42</v>
      </c>
    </row>
    <row r="1342" spans="1:7" x14ac:dyDescent="0.35">
      <c r="A1342" t="s">
        <v>229</v>
      </c>
      <c r="B1342" t="s">
        <v>262</v>
      </c>
      <c r="C1342" s="26">
        <v>0.94310000000000005</v>
      </c>
      <c r="D1342" s="26">
        <v>5.6899999999999999E-2</v>
      </c>
      <c r="G1342">
        <v>104</v>
      </c>
    </row>
    <row r="1343" spans="1:7" x14ac:dyDescent="0.35">
      <c r="A1343" t="s">
        <v>229</v>
      </c>
      <c r="B1343" t="s">
        <v>260</v>
      </c>
      <c r="C1343" s="26">
        <v>0.97809999999999997</v>
      </c>
      <c r="D1343" s="26">
        <v>2.1899999999999999E-2</v>
      </c>
      <c r="G1343">
        <v>181</v>
      </c>
    </row>
    <row r="1344" spans="1:7" x14ac:dyDescent="0.35">
      <c r="A1344" t="s">
        <v>230</v>
      </c>
      <c r="B1344" t="s">
        <v>261</v>
      </c>
      <c r="C1344" s="26">
        <v>0.86170000000000002</v>
      </c>
      <c r="D1344" s="26">
        <v>0.13830000000000001</v>
      </c>
      <c r="G1344">
        <v>30</v>
      </c>
    </row>
    <row r="1345" spans="1:7" x14ac:dyDescent="0.35">
      <c r="A1345" s="27" t="s">
        <v>230</v>
      </c>
      <c r="B1345" s="27" t="s">
        <v>236</v>
      </c>
      <c r="C1345" s="28">
        <v>1</v>
      </c>
      <c r="D1345" s="29"/>
      <c r="E1345" s="29"/>
      <c r="F1345" s="29"/>
      <c r="G1345" s="29" t="s">
        <v>314</v>
      </c>
    </row>
    <row r="1346" spans="1:7" x14ac:dyDescent="0.35">
      <c r="A1346" t="s">
        <v>230</v>
      </c>
      <c r="B1346" t="s">
        <v>262</v>
      </c>
      <c r="C1346" s="26">
        <v>0.94169999999999998</v>
      </c>
      <c r="D1346" s="26">
        <v>5.8299999999999998E-2</v>
      </c>
      <c r="G1346">
        <v>57</v>
      </c>
    </row>
    <row r="1347" spans="1:7" x14ac:dyDescent="0.35">
      <c r="A1347" t="s">
        <v>230</v>
      </c>
      <c r="B1347" t="s">
        <v>260</v>
      </c>
      <c r="C1347" s="26">
        <v>0.99250000000000005</v>
      </c>
      <c r="D1347" s="26">
        <v>4.1000000000000003E-3</v>
      </c>
      <c r="E1347" s="26">
        <v>3.3999999999999998E-3</v>
      </c>
      <c r="G1347">
        <v>107</v>
      </c>
    </row>
    <row r="1348" spans="1:7" x14ac:dyDescent="0.35">
      <c r="A1348" s="27" t="s">
        <v>230</v>
      </c>
      <c r="B1348" s="27" t="s">
        <v>263</v>
      </c>
      <c r="C1348" s="28">
        <v>1</v>
      </c>
      <c r="D1348" s="29"/>
      <c r="E1348" s="29"/>
      <c r="F1348" s="29"/>
      <c r="G1348" s="29" t="s">
        <v>339</v>
      </c>
    </row>
    <row r="1349" spans="1:7" x14ac:dyDescent="0.35">
      <c r="A1349" s="27" t="s">
        <v>231</v>
      </c>
      <c r="B1349" s="27" t="s">
        <v>263</v>
      </c>
      <c r="C1349" s="28">
        <v>1</v>
      </c>
      <c r="D1349" s="29"/>
      <c r="E1349" s="29"/>
      <c r="F1349" s="29"/>
      <c r="G1349" s="29" t="s">
        <v>314</v>
      </c>
    </row>
    <row r="1350" spans="1:7" x14ac:dyDescent="0.35">
      <c r="A1350" t="s">
        <v>231</v>
      </c>
      <c r="B1350" t="s">
        <v>260</v>
      </c>
      <c r="C1350" s="26">
        <v>0.95120000000000005</v>
      </c>
      <c r="D1350" s="26">
        <v>4.8800000000000003E-2</v>
      </c>
      <c r="G1350">
        <v>41</v>
      </c>
    </row>
    <row r="1351" spans="1:7" x14ac:dyDescent="0.35">
      <c r="A1351" s="27" t="s">
        <v>231</v>
      </c>
      <c r="B1351" s="27" t="s">
        <v>261</v>
      </c>
      <c r="C1351" s="28">
        <v>1</v>
      </c>
      <c r="D1351" s="29"/>
      <c r="E1351" s="29"/>
      <c r="F1351" s="29"/>
      <c r="G1351" s="29" t="s">
        <v>335</v>
      </c>
    </row>
    <row r="1352" spans="1:7" x14ac:dyDescent="0.35">
      <c r="A1352" s="27" t="s">
        <v>231</v>
      </c>
      <c r="B1352" s="27" t="s">
        <v>262</v>
      </c>
      <c r="C1352" s="28">
        <v>1</v>
      </c>
      <c r="D1352" s="29"/>
      <c r="E1352" s="29"/>
      <c r="F1352" s="29"/>
      <c r="G1352" s="29" t="s">
        <v>337</v>
      </c>
    </row>
    <row r="1353" spans="1:7" x14ac:dyDescent="0.35">
      <c r="A1353" t="s">
        <v>232</v>
      </c>
      <c r="B1353" t="s">
        <v>232</v>
      </c>
      <c r="C1353" s="26">
        <v>0.95679999999999998</v>
      </c>
      <c r="D1353" s="26">
        <v>4.1700000000000001E-2</v>
      </c>
      <c r="E1353" s="26">
        <v>1.1999999999999999E-3</v>
      </c>
      <c r="F1353" s="26">
        <v>2.9999999999999997E-4</v>
      </c>
      <c r="G1353">
        <v>968</v>
      </c>
    </row>
    <row r="1355" spans="1:7" x14ac:dyDescent="0.35">
      <c r="A1355" s="1" t="s">
        <v>461</v>
      </c>
    </row>
    <row r="1356" spans="1:7" x14ac:dyDescent="0.35">
      <c r="A1356" t="s">
        <v>219</v>
      </c>
      <c r="B1356" t="s">
        <v>305</v>
      </c>
      <c r="C1356" t="s">
        <v>302</v>
      </c>
      <c r="D1356" t="s">
        <v>303</v>
      </c>
      <c r="E1356" t="s">
        <v>281</v>
      </c>
      <c r="F1356" t="s">
        <v>286</v>
      </c>
      <c r="G1356" t="s">
        <v>226</v>
      </c>
    </row>
    <row r="1357" spans="1:7" x14ac:dyDescent="0.35">
      <c r="A1357" s="27" t="s">
        <v>227</v>
      </c>
      <c r="B1357" s="27" t="s">
        <v>368</v>
      </c>
      <c r="C1357" s="28">
        <v>1</v>
      </c>
      <c r="D1357" s="29"/>
      <c r="E1357" s="29"/>
      <c r="F1357" s="29"/>
      <c r="G1357" s="29" t="s">
        <v>335</v>
      </c>
    </row>
    <row r="1358" spans="1:7" x14ac:dyDescent="0.35">
      <c r="A1358" t="s">
        <v>227</v>
      </c>
      <c r="B1358" t="s">
        <v>369</v>
      </c>
      <c r="C1358" s="26">
        <v>0.98250000000000004</v>
      </c>
      <c r="D1358" s="26">
        <v>1.7500000000000002E-2</v>
      </c>
      <c r="G1358">
        <v>57</v>
      </c>
    </row>
    <row r="1359" spans="1:7" x14ac:dyDescent="0.35">
      <c r="A1359" t="s">
        <v>228</v>
      </c>
      <c r="B1359" t="s">
        <v>368</v>
      </c>
      <c r="C1359" s="26">
        <v>0.72299999999999998</v>
      </c>
      <c r="D1359" s="26">
        <v>0.27700000000000002</v>
      </c>
      <c r="G1359">
        <v>75</v>
      </c>
    </row>
    <row r="1360" spans="1:7" x14ac:dyDescent="0.35">
      <c r="A1360" t="s">
        <v>228</v>
      </c>
      <c r="B1360" t="s">
        <v>369</v>
      </c>
      <c r="C1360" s="26">
        <v>0.95660000000000001</v>
      </c>
      <c r="D1360" s="26">
        <v>3.4299999999999997E-2</v>
      </c>
      <c r="E1360" s="26">
        <v>7.1000000000000004E-3</v>
      </c>
      <c r="F1360" s="26">
        <v>2.0999999999999999E-3</v>
      </c>
      <c r="G1360">
        <v>239</v>
      </c>
    </row>
    <row r="1361" spans="1:7" x14ac:dyDescent="0.35">
      <c r="A1361" t="s">
        <v>229</v>
      </c>
      <c r="B1361" t="s">
        <v>368</v>
      </c>
      <c r="C1361" s="26">
        <v>0.98980000000000001</v>
      </c>
      <c r="D1361" s="26">
        <v>1.0200000000000001E-2</v>
      </c>
      <c r="G1361">
        <v>42</v>
      </c>
    </row>
    <row r="1362" spans="1:7" x14ac:dyDescent="0.35">
      <c r="A1362" t="s">
        <v>229</v>
      </c>
      <c r="B1362" t="s">
        <v>369</v>
      </c>
      <c r="C1362" s="26">
        <v>0.96250000000000002</v>
      </c>
      <c r="D1362" s="26">
        <v>3.7499999999999999E-2</v>
      </c>
      <c r="G1362">
        <v>293</v>
      </c>
    </row>
    <row r="1363" spans="1:7" x14ac:dyDescent="0.35">
      <c r="A1363" t="s">
        <v>230</v>
      </c>
      <c r="B1363" t="s">
        <v>368</v>
      </c>
      <c r="C1363" s="26">
        <v>0.86170000000000002</v>
      </c>
      <c r="D1363" s="26">
        <v>0.13830000000000001</v>
      </c>
      <c r="G1363">
        <v>30</v>
      </c>
    </row>
    <row r="1364" spans="1:7" x14ac:dyDescent="0.35">
      <c r="A1364" t="s">
        <v>230</v>
      </c>
      <c r="B1364" t="s">
        <v>369</v>
      </c>
      <c r="C1364" s="26">
        <v>0.98250000000000004</v>
      </c>
      <c r="D1364" s="26">
        <v>1.49E-2</v>
      </c>
      <c r="E1364" s="26">
        <v>2.5000000000000001E-3</v>
      </c>
      <c r="G1364">
        <v>173</v>
      </c>
    </row>
    <row r="1365" spans="1:7" x14ac:dyDescent="0.35">
      <c r="A1365" s="27" t="s">
        <v>231</v>
      </c>
      <c r="B1365" s="27" t="s">
        <v>368</v>
      </c>
      <c r="C1365" s="28">
        <v>1</v>
      </c>
      <c r="D1365" s="29"/>
      <c r="E1365" s="29"/>
      <c r="F1365" s="29"/>
      <c r="G1365" s="29" t="s">
        <v>335</v>
      </c>
    </row>
    <row r="1366" spans="1:7" x14ac:dyDescent="0.35">
      <c r="A1366" t="s">
        <v>231</v>
      </c>
      <c r="B1366" t="s">
        <v>369</v>
      </c>
      <c r="C1366" s="26">
        <v>0.95740000000000003</v>
      </c>
      <c r="D1366" s="26">
        <v>4.2599999999999999E-2</v>
      </c>
      <c r="G1366">
        <v>47</v>
      </c>
    </row>
    <row r="1367" spans="1:7" x14ac:dyDescent="0.35">
      <c r="A1367" t="s">
        <v>232</v>
      </c>
      <c r="B1367" t="s">
        <v>232</v>
      </c>
      <c r="C1367" s="26">
        <v>0.95679999999999998</v>
      </c>
      <c r="D1367" s="26">
        <v>4.1700000000000001E-2</v>
      </c>
      <c r="E1367" s="26">
        <v>1.1999999999999999E-3</v>
      </c>
      <c r="F1367" s="26">
        <v>2.9999999999999997E-4</v>
      </c>
      <c r="G1367">
        <v>968</v>
      </c>
    </row>
    <row r="1369" spans="1:7" x14ac:dyDescent="0.35">
      <c r="A1369" s="1" t="s">
        <v>462</v>
      </c>
    </row>
    <row r="1370" spans="1:7" x14ac:dyDescent="0.35">
      <c r="A1370" t="s">
        <v>219</v>
      </c>
      <c r="B1370" t="s">
        <v>305</v>
      </c>
      <c r="C1370" t="s">
        <v>302</v>
      </c>
      <c r="D1370" t="s">
        <v>303</v>
      </c>
      <c r="E1370" t="s">
        <v>281</v>
      </c>
      <c r="F1370" t="s">
        <v>286</v>
      </c>
      <c r="G1370" t="s">
        <v>226</v>
      </c>
    </row>
    <row r="1371" spans="1:7" x14ac:dyDescent="0.35">
      <c r="A1371" t="s">
        <v>227</v>
      </c>
      <c r="B1371" t="s">
        <v>371</v>
      </c>
      <c r="C1371" s="26">
        <v>0.98409999999999997</v>
      </c>
      <c r="D1371" s="26">
        <v>1.5900000000000001E-2</v>
      </c>
      <c r="G1371">
        <v>63</v>
      </c>
    </row>
    <row r="1372" spans="1:7" x14ac:dyDescent="0.35">
      <c r="A1372" t="s">
        <v>228</v>
      </c>
      <c r="B1372" t="s">
        <v>371</v>
      </c>
      <c r="C1372" s="26">
        <v>0.88529999999999998</v>
      </c>
      <c r="D1372" s="26">
        <v>0.113</v>
      </c>
      <c r="E1372" s="26">
        <v>1.6999999999999999E-3</v>
      </c>
      <c r="G1372">
        <v>111</v>
      </c>
    </row>
    <row r="1373" spans="1:7" x14ac:dyDescent="0.35">
      <c r="A1373" t="s">
        <v>228</v>
      </c>
      <c r="B1373" t="s">
        <v>372</v>
      </c>
      <c r="C1373" s="26">
        <v>0.90200000000000002</v>
      </c>
      <c r="D1373" s="26">
        <v>5.45E-2</v>
      </c>
      <c r="E1373" s="26">
        <v>1.8700000000000001E-2</v>
      </c>
      <c r="F1373" s="26">
        <v>2.4799999999999999E-2</v>
      </c>
      <c r="G1373">
        <v>51</v>
      </c>
    </row>
    <row r="1374" spans="1:7" x14ac:dyDescent="0.35">
      <c r="A1374" t="s">
        <v>228</v>
      </c>
      <c r="B1374" t="s">
        <v>373</v>
      </c>
      <c r="C1374" s="26">
        <v>0.93300000000000005</v>
      </c>
      <c r="D1374" s="26">
        <v>5.7299999999999997E-2</v>
      </c>
      <c r="E1374" s="26">
        <v>9.7000000000000003E-3</v>
      </c>
      <c r="G1374">
        <v>152</v>
      </c>
    </row>
    <row r="1375" spans="1:7" x14ac:dyDescent="0.35">
      <c r="A1375" t="s">
        <v>229</v>
      </c>
      <c r="B1375" t="s">
        <v>371</v>
      </c>
      <c r="C1375" s="26">
        <v>0.96640000000000004</v>
      </c>
      <c r="D1375" s="26">
        <v>3.3599999999999998E-2</v>
      </c>
      <c r="G1375">
        <v>230</v>
      </c>
    </row>
    <row r="1376" spans="1:7" x14ac:dyDescent="0.35">
      <c r="A1376" t="s">
        <v>229</v>
      </c>
      <c r="B1376" t="s">
        <v>372</v>
      </c>
      <c r="C1376" s="26">
        <v>0.96479999999999999</v>
      </c>
      <c r="D1376" s="26">
        <v>3.5200000000000002E-2</v>
      </c>
      <c r="G1376">
        <v>76</v>
      </c>
    </row>
    <row r="1377" spans="1:7" x14ac:dyDescent="0.35">
      <c r="A1377" s="27" t="s">
        <v>229</v>
      </c>
      <c r="B1377" s="27" t="s">
        <v>373</v>
      </c>
      <c r="C1377" s="28">
        <v>0.98719999999999997</v>
      </c>
      <c r="D1377" s="28">
        <v>1.2800000000000001E-2</v>
      </c>
      <c r="E1377" s="29"/>
      <c r="F1377" s="29"/>
      <c r="G1377" s="29" t="s">
        <v>329</v>
      </c>
    </row>
    <row r="1378" spans="1:7" x14ac:dyDescent="0.35">
      <c r="A1378" t="s">
        <v>230</v>
      </c>
      <c r="B1378" t="s">
        <v>371</v>
      </c>
      <c r="C1378" s="26">
        <v>0.97409999999999997</v>
      </c>
      <c r="D1378" s="26">
        <v>2.5899999999999999E-2</v>
      </c>
      <c r="G1378">
        <v>113</v>
      </c>
    </row>
    <row r="1379" spans="1:7" x14ac:dyDescent="0.35">
      <c r="A1379" t="s">
        <v>230</v>
      </c>
      <c r="B1379" t="s">
        <v>372</v>
      </c>
      <c r="C1379" s="26">
        <v>0.84650000000000003</v>
      </c>
      <c r="D1379" s="26">
        <v>0.1535</v>
      </c>
      <c r="G1379">
        <v>40</v>
      </c>
    </row>
    <row r="1380" spans="1:7" x14ac:dyDescent="0.35">
      <c r="A1380" t="s">
        <v>230</v>
      </c>
      <c r="B1380" t="s">
        <v>373</v>
      </c>
      <c r="C1380" s="26">
        <v>0.9446</v>
      </c>
      <c r="D1380" s="26">
        <v>3.4200000000000001E-2</v>
      </c>
      <c r="E1380" s="26">
        <v>2.12E-2</v>
      </c>
      <c r="G1380">
        <v>50</v>
      </c>
    </row>
    <row r="1381" spans="1:7" x14ac:dyDescent="0.35">
      <c r="A1381" t="s">
        <v>231</v>
      </c>
      <c r="B1381" t="s">
        <v>371</v>
      </c>
      <c r="C1381" s="26">
        <v>0.96230000000000004</v>
      </c>
      <c r="D1381" s="26">
        <v>3.7699999999999997E-2</v>
      </c>
      <c r="G1381">
        <v>53</v>
      </c>
    </row>
    <row r="1382" spans="1:7" x14ac:dyDescent="0.35">
      <c r="A1382" t="s">
        <v>232</v>
      </c>
      <c r="B1382" t="s">
        <v>232</v>
      </c>
      <c r="C1382" s="26">
        <v>0.95679999999999998</v>
      </c>
      <c r="D1382" s="26">
        <v>4.1700000000000001E-2</v>
      </c>
      <c r="E1382" s="26">
        <v>1.1999999999999999E-3</v>
      </c>
      <c r="F1382" s="26">
        <v>2.9999999999999997E-4</v>
      </c>
      <c r="G1382">
        <v>968</v>
      </c>
    </row>
    <row r="1384" spans="1:7" x14ac:dyDescent="0.35">
      <c r="A1384" s="1" t="s">
        <v>463</v>
      </c>
    </row>
    <row r="1385" spans="1:7" x14ac:dyDescent="0.35">
      <c r="A1385" t="s">
        <v>219</v>
      </c>
      <c r="B1385" t="s">
        <v>305</v>
      </c>
      <c r="C1385" t="s">
        <v>302</v>
      </c>
      <c r="D1385" t="s">
        <v>303</v>
      </c>
      <c r="E1385" t="s">
        <v>281</v>
      </c>
      <c r="F1385" t="s">
        <v>286</v>
      </c>
      <c r="G1385" t="s">
        <v>226</v>
      </c>
    </row>
    <row r="1386" spans="1:7" x14ac:dyDescent="0.35">
      <c r="A1386" s="27" t="s">
        <v>227</v>
      </c>
      <c r="B1386" s="27" t="s">
        <v>375</v>
      </c>
      <c r="C1386" s="28">
        <v>1</v>
      </c>
      <c r="D1386" s="29"/>
      <c r="E1386" s="29"/>
      <c r="F1386" s="29"/>
      <c r="G1386" s="29" t="s">
        <v>353</v>
      </c>
    </row>
    <row r="1387" spans="1:7" x14ac:dyDescent="0.35">
      <c r="A1387" s="27" t="s">
        <v>227</v>
      </c>
      <c r="B1387" s="27" t="s">
        <v>376</v>
      </c>
      <c r="C1387" s="28">
        <v>0.95240000000000002</v>
      </c>
      <c r="D1387" s="28">
        <v>4.7600000000000003E-2</v>
      </c>
      <c r="E1387" s="29"/>
      <c r="F1387" s="29"/>
      <c r="G1387" s="29" t="s">
        <v>351</v>
      </c>
    </row>
    <row r="1388" spans="1:7" x14ac:dyDescent="0.35">
      <c r="A1388" s="27" t="s">
        <v>227</v>
      </c>
      <c r="B1388" s="27" t="s">
        <v>377</v>
      </c>
      <c r="C1388" s="28">
        <v>1</v>
      </c>
      <c r="D1388" s="29"/>
      <c r="E1388" s="29"/>
      <c r="F1388" s="29"/>
      <c r="G1388" s="29" t="s">
        <v>349</v>
      </c>
    </row>
    <row r="1389" spans="1:7" x14ac:dyDescent="0.35">
      <c r="A1389" s="27" t="s">
        <v>227</v>
      </c>
      <c r="B1389" s="27" t="s">
        <v>378</v>
      </c>
      <c r="C1389" s="28">
        <v>1</v>
      </c>
      <c r="D1389" s="29"/>
      <c r="E1389" s="29"/>
      <c r="F1389" s="29"/>
      <c r="G1389" s="29" t="s">
        <v>332</v>
      </c>
    </row>
    <row r="1390" spans="1:7" x14ac:dyDescent="0.35">
      <c r="A1390" t="s">
        <v>228</v>
      </c>
      <c r="B1390" t="s">
        <v>377</v>
      </c>
      <c r="C1390" s="26">
        <v>0.85740000000000005</v>
      </c>
      <c r="D1390" s="26">
        <v>0.13039999999999999</v>
      </c>
      <c r="E1390" s="26">
        <v>1.23E-2</v>
      </c>
      <c r="G1390">
        <v>72</v>
      </c>
    </row>
    <row r="1391" spans="1:7" x14ac:dyDescent="0.35">
      <c r="A1391" t="s">
        <v>228</v>
      </c>
      <c r="B1391" t="s">
        <v>376</v>
      </c>
      <c r="C1391" s="26">
        <v>0.86099999999999999</v>
      </c>
      <c r="D1391" s="26">
        <v>0.13450000000000001</v>
      </c>
      <c r="E1391" s="26">
        <v>4.4999999999999997E-3</v>
      </c>
      <c r="G1391">
        <v>90</v>
      </c>
    </row>
    <row r="1392" spans="1:7" x14ac:dyDescent="0.35">
      <c r="A1392" s="27" t="s">
        <v>228</v>
      </c>
      <c r="B1392" s="27" t="s">
        <v>378</v>
      </c>
      <c r="C1392" s="28">
        <v>0.8155</v>
      </c>
      <c r="D1392" s="28">
        <v>0.1845</v>
      </c>
      <c r="E1392" s="29"/>
      <c r="F1392" s="29"/>
      <c r="G1392" s="29" t="s">
        <v>351</v>
      </c>
    </row>
    <row r="1393" spans="1:7" x14ac:dyDescent="0.35">
      <c r="A1393" t="s">
        <v>228</v>
      </c>
      <c r="B1393" t="s">
        <v>375</v>
      </c>
      <c r="C1393" s="26">
        <v>0.95920000000000005</v>
      </c>
      <c r="D1393" s="26">
        <v>3.4799999999999998E-2</v>
      </c>
      <c r="E1393" s="26">
        <v>2.3999999999999998E-3</v>
      </c>
      <c r="F1393" s="26">
        <v>3.5999999999999999E-3</v>
      </c>
      <c r="G1393">
        <v>131</v>
      </c>
    </row>
    <row r="1394" spans="1:7" x14ac:dyDescent="0.35">
      <c r="A1394" t="s">
        <v>229</v>
      </c>
      <c r="B1394" t="s">
        <v>375</v>
      </c>
      <c r="C1394" s="26">
        <v>0.93899999999999995</v>
      </c>
      <c r="D1394" s="26">
        <v>6.0999999999999999E-2</v>
      </c>
      <c r="G1394">
        <v>138</v>
      </c>
    </row>
    <row r="1395" spans="1:7" x14ac:dyDescent="0.35">
      <c r="A1395" t="s">
        <v>229</v>
      </c>
      <c r="B1395" t="s">
        <v>376</v>
      </c>
      <c r="C1395" s="26">
        <v>0.96009999999999995</v>
      </c>
      <c r="D1395" s="26">
        <v>3.9899999999999998E-2</v>
      </c>
      <c r="G1395">
        <v>79</v>
      </c>
    </row>
    <row r="1396" spans="1:7" x14ac:dyDescent="0.35">
      <c r="A1396" t="s">
        <v>229</v>
      </c>
      <c r="B1396" t="s">
        <v>378</v>
      </c>
      <c r="C1396" s="26">
        <v>1</v>
      </c>
      <c r="G1396">
        <v>39</v>
      </c>
    </row>
    <row r="1397" spans="1:7" x14ac:dyDescent="0.35">
      <c r="A1397" t="s">
        <v>229</v>
      </c>
      <c r="B1397" t="s">
        <v>377</v>
      </c>
      <c r="C1397" s="26">
        <v>1</v>
      </c>
      <c r="G1397">
        <v>79</v>
      </c>
    </row>
    <row r="1398" spans="1:7" x14ac:dyDescent="0.35">
      <c r="A1398" t="s">
        <v>230</v>
      </c>
      <c r="B1398" t="s">
        <v>376</v>
      </c>
      <c r="C1398" s="26">
        <v>0.98819999999999997</v>
      </c>
      <c r="D1398" s="26">
        <v>1.18E-2</v>
      </c>
      <c r="G1398">
        <v>57</v>
      </c>
    </row>
    <row r="1399" spans="1:7" x14ac:dyDescent="0.35">
      <c r="A1399" s="27" t="s">
        <v>230</v>
      </c>
      <c r="B1399" s="27" t="s">
        <v>378</v>
      </c>
      <c r="C1399" s="28">
        <v>0.94879999999999998</v>
      </c>
      <c r="D1399" s="28">
        <v>5.1200000000000002E-2</v>
      </c>
      <c r="E1399" s="29"/>
      <c r="F1399" s="29"/>
      <c r="G1399" s="29" t="s">
        <v>349</v>
      </c>
    </row>
    <row r="1400" spans="1:7" x14ac:dyDescent="0.35">
      <c r="A1400" t="s">
        <v>230</v>
      </c>
      <c r="B1400" t="s">
        <v>377</v>
      </c>
      <c r="C1400" s="26">
        <v>0.97189999999999999</v>
      </c>
      <c r="D1400" s="26">
        <v>1.6E-2</v>
      </c>
      <c r="E1400" s="26">
        <v>1.2E-2</v>
      </c>
      <c r="G1400">
        <v>37</v>
      </c>
    </row>
    <row r="1401" spans="1:7" x14ac:dyDescent="0.35">
      <c r="A1401" t="s">
        <v>230</v>
      </c>
      <c r="B1401" t="s">
        <v>375</v>
      </c>
      <c r="C1401" s="26">
        <v>0.95099999999999996</v>
      </c>
      <c r="D1401" s="26">
        <v>4.9000000000000002E-2</v>
      </c>
      <c r="G1401">
        <v>90</v>
      </c>
    </row>
    <row r="1402" spans="1:7" x14ac:dyDescent="0.35">
      <c r="A1402" s="27" t="s">
        <v>231</v>
      </c>
      <c r="B1402" s="27" t="s">
        <v>376</v>
      </c>
      <c r="C1402" s="28">
        <v>0.91669999999999996</v>
      </c>
      <c r="D1402" s="28">
        <v>8.3299999999999999E-2</v>
      </c>
      <c r="E1402" s="29"/>
      <c r="F1402" s="29"/>
      <c r="G1402" s="29" t="s">
        <v>342</v>
      </c>
    </row>
    <row r="1403" spans="1:7" x14ac:dyDescent="0.35">
      <c r="A1403" s="27" t="s">
        <v>231</v>
      </c>
      <c r="B1403" s="27" t="s">
        <v>375</v>
      </c>
      <c r="C1403" s="28">
        <v>0.95240000000000002</v>
      </c>
      <c r="D1403" s="28">
        <v>4.7600000000000003E-2</v>
      </c>
      <c r="E1403" s="29"/>
      <c r="F1403" s="29"/>
      <c r="G1403" s="29" t="s">
        <v>351</v>
      </c>
    </row>
    <row r="1404" spans="1:7" x14ac:dyDescent="0.35">
      <c r="A1404" s="27" t="s">
        <v>231</v>
      </c>
      <c r="B1404" s="27" t="s">
        <v>377</v>
      </c>
      <c r="C1404" s="28">
        <v>1</v>
      </c>
      <c r="D1404" s="29"/>
      <c r="E1404" s="29"/>
      <c r="F1404" s="29"/>
      <c r="G1404" s="29" t="s">
        <v>352</v>
      </c>
    </row>
    <row r="1405" spans="1:7" x14ac:dyDescent="0.35">
      <c r="A1405" s="27" t="s">
        <v>231</v>
      </c>
      <c r="B1405" s="27" t="s">
        <v>378</v>
      </c>
      <c r="C1405" s="28">
        <v>1</v>
      </c>
      <c r="D1405" s="29"/>
      <c r="E1405" s="29"/>
      <c r="F1405" s="29"/>
      <c r="G1405" s="29" t="s">
        <v>334</v>
      </c>
    </row>
    <row r="1406" spans="1:7" x14ac:dyDescent="0.35">
      <c r="A1406" t="s">
        <v>232</v>
      </c>
      <c r="B1406" t="s">
        <v>232</v>
      </c>
      <c r="C1406" s="26">
        <v>0.95679999999999998</v>
      </c>
      <c r="D1406" s="26">
        <v>4.1700000000000001E-2</v>
      </c>
      <c r="E1406" s="26">
        <v>1.1999999999999999E-3</v>
      </c>
      <c r="F1406" s="26">
        <v>2.9999999999999997E-4</v>
      </c>
      <c r="G1406">
        <v>968</v>
      </c>
    </row>
    <row r="1408" spans="1:7" x14ac:dyDescent="0.35">
      <c r="A1408" s="1" t="s">
        <v>464</v>
      </c>
    </row>
    <row r="1409" spans="1:8" x14ac:dyDescent="0.35">
      <c r="A1409" t="s">
        <v>219</v>
      </c>
      <c r="B1409" t="s">
        <v>305</v>
      </c>
      <c r="C1409" t="s">
        <v>302</v>
      </c>
      <c r="D1409" t="s">
        <v>303</v>
      </c>
      <c r="E1409" t="s">
        <v>281</v>
      </c>
      <c r="F1409" t="s">
        <v>286</v>
      </c>
      <c r="G1409" t="s">
        <v>226</v>
      </c>
    </row>
    <row r="1410" spans="1:8" x14ac:dyDescent="0.35">
      <c r="A1410" t="s">
        <v>227</v>
      </c>
      <c r="B1410" t="s">
        <v>235</v>
      </c>
      <c r="C1410" s="26">
        <v>0.96970000000000001</v>
      </c>
      <c r="D1410" s="26">
        <v>3.0300000000000001E-2</v>
      </c>
      <c r="G1410">
        <v>33</v>
      </c>
    </row>
    <row r="1411" spans="1:8" x14ac:dyDescent="0.35">
      <c r="A1411" t="s">
        <v>227</v>
      </c>
      <c r="B1411" t="s">
        <v>234</v>
      </c>
      <c r="C1411" s="26">
        <v>1</v>
      </c>
      <c r="G1411">
        <v>30</v>
      </c>
    </row>
    <row r="1412" spans="1:8" x14ac:dyDescent="0.35">
      <c r="A1412" t="s">
        <v>228</v>
      </c>
      <c r="B1412" t="s">
        <v>235</v>
      </c>
      <c r="C1412" s="26">
        <v>0.93820000000000003</v>
      </c>
      <c r="D1412" s="26">
        <v>5.2200000000000003E-2</v>
      </c>
      <c r="E1412" s="26">
        <v>9.5999999999999992E-3</v>
      </c>
      <c r="G1412">
        <v>162</v>
      </c>
    </row>
    <row r="1413" spans="1:8" x14ac:dyDescent="0.35">
      <c r="A1413" t="s">
        <v>228</v>
      </c>
      <c r="B1413" t="s">
        <v>234</v>
      </c>
      <c r="C1413" s="26">
        <v>0.86670000000000003</v>
      </c>
      <c r="D1413" s="26">
        <v>0.1288</v>
      </c>
      <c r="E1413" s="26">
        <v>1.4E-3</v>
      </c>
      <c r="F1413" s="26">
        <v>3.0999999999999999E-3</v>
      </c>
      <c r="G1413">
        <v>152</v>
      </c>
    </row>
    <row r="1414" spans="1:8" x14ac:dyDescent="0.35">
      <c r="A1414" t="s">
        <v>229</v>
      </c>
      <c r="B1414" t="s">
        <v>235</v>
      </c>
      <c r="C1414" s="26">
        <v>0.93569999999999998</v>
      </c>
      <c r="D1414" s="26">
        <v>6.4299999999999996E-2</v>
      </c>
      <c r="G1414">
        <v>156</v>
      </c>
    </row>
    <row r="1415" spans="1:8" x14ac:dyDescent="0.35">
      <c r="A1415" t="s">
        <v>229</v>
      </c>
      <c r="B1415" t="s">
        <v>234</v>
      </c>
      <c r="C1415" s="26">
        <v>0.99760000000000004</v>
      </c>
      <c r="D1415" s="26">
        <v>2.3999999999999998E-3</v>
      </c>
      <c r="G1415">
        <v>179</v>
      </c>
    </row>
    <row r="1416" spans="1:8" x14ac:dyDescent="0.35">
      <c r="A1416" t="s">
        <v>230</v>
      </c>
      <c r="B1416" t="s">
        <v>235</v>
      </c>
      <c r="C1416" s="26">
        <v>0.94269999999999998</v>
      </c>
      <c r="D1416" s="26">
        <v>5.2400000000000002E-2</v>
      </c>
      <c r="E1416" s="26">
        <v>4.8999999999999998E-3</v>
      </c>
      <c r="G1416">
        <v>104</v>
      </c>
    </row>
    <row r="1417" spans="1:8" x14ac:dyDescent="0.35">
      <c r="A1417" s="27" t="s">
        <v>230</v>
      </c>
      <c r="B1417" s="27" t="s">
        <v>236</v>
      </c>
      <c r="C1417" s="28">
        <v>1</v>
      </c>
      <c r="D1417" s="29"/>
      <c r="E1417" s="29"/>
      <c r="F1417" s="29"/>
      <c r="G1417" s="29" t="s">
        <v>331</v>
      </c>
    </row>
    <row r="1418" spans="1:8" x14ac:dyDescent="0.35">
      <c r="A1418" t="s">
        <v>230</v>
      </c>
      <c r="B1418" t="s">
        <v>234</v>
      </c>
      <c r="C1418" s="26">
        <v>0.98450000000000004</v>
      </c>
      <c r="D1418" s="26">
        <v>1.55E-2</v>
      </c>
      <c r="G1418">
        <v>98</v>
      </c>
    </row>
    <row r="1419" spans="1:8" x14ac:dyDescent="0.35">
      <c r="A1419" s="27" t="s">
        <v>231</v>
      </c>
      <c r="B1419" s="27" t="s">
        <v>235</v>
      </c>
      <c r="C1419" s="28">
        <v>0.92859999999999998</v>
      </c>
      <c r="D1419" s="28">
        <v>7.1400000000000005E-2</v>
      </c>
      <c r="E1419" s="29"/>
      <c r="F1419" s="29"/>
      <c r="G1419" s="29" t="s">
        <v>336</v>
      </c>
    </row>
    <row r="1420" spans="1:8" x14ac:dyDescent="0.35">
      <c r="A1420" s="27" t="s">
        <v>231</v>
      </c>
      <c r="B1420" s="27" t="s">
        <v>234</v>
      </c>
      <c r="C1420" s="28">
        <v>1</v>
      </c>
      <c r="D1420" s="29"/>
      <c r="E1420" s="29"/>
      <c r="F1420" s="29"/>
      <c r="G1420" s="29" t="s">
        <v>312</v>
      </c>
    </row>
    <row r="1421" spans="1:8" x14ac:dyDescent="0.35">
      <c r="A1421" t="s">
        <v>232</v>
      </c>
      <c r="B1421" t="s">
        <v>232</v>
      </c>
      <c r="C1421" s="26">
        <v>0.95679999999999998</v>
      </c>
      <c r="D1421" s="26">
        <v>4.1700000000000001E-2</v>
      </c>
      <c r="E1421" s="26">
        <v>1.1999999999999999E-3</v>
      </c>
      <c r="F1421" s="26">
        <v>2.9999999999999997E-4</v>
      </c>
      <c r="G1421">
        <v>968</v>
      </c>
    </row>
    <row r="1423" spans="1:8" x14ac:dyDescent="0.35">
      <c r="A1423" s="1" t="s">
        <v>465</v>
      </c>
    </row>
    <row r="1424" spans="1:8" x14ac:dyDescent="0.35">
      <c r="A1424" t="s">
        <v>219</v>
      </c>
      <c r="B1424" t="s">
        <v>305</v>
      </c>
      <c r="C1424" t="s">
        <v>345</v>
      </c>
      <c r="D1424" t="s">
        <v>302</v>
      </c>
      <c r="E1424" t="s">
        <v>303</v>
      </c>
      <c r="F1424" t="s">
        <v>281</v>
      </c>
      <c r="G1424" t="s">
        <v>286</v>
      </c>
      <c r="H1424" t="s">
        <v>226</v>
      </c>
    </row>
    <row r="1425" spans="1:8" x14ac:dyDescent="0.35">
      <c r="A1425" s="27" t="s">
        <v>227</v>
      </c>
      <c r="B1425" s="27" t="s">
        <v>235</v>
      </c>
      <c r="C1425" s="27" t="s">
        <v>375</v>
      </c>
      <c r="D1425" s="28">
        <v>1</v>
      </c>
      <c r="E1425" s="29"/>
      <c r="F1425" s="29"/>
      <c r="G1425" s="29"/>
      <c r="H1425" s="29" t="s">
        <v>307</v>
      </c>
    </row>
    <row r="1426" spans="1:8" x14ac:dyDescent="0.35">
      <c r="A1426" s="27" t="s">
        <v>227</v>
      </c>
      <c r="B1426" s="27" t="s">
        <v>234</v>
      </c>
      <c r="C1426" s="27" t="s">
        <v>376</v>
      </c>
      <c r="D1426" s="28">
        <v>1</v>
      </c>
      <c r="E1426" s="29"/>
      <c r="F1426" s="29"/>
      <c r="G1426" s="29"/>
      <c r="H1426" s="29" t="s">
        <v>352</v>
      </c>
    </row>
    <row r="1427" spans="1:8" x14ac:dyDescent="0.35">
      <c r="A1427" s="27" t="s">
        <v>227</v>
      </c>
      <c r="B1427" s="27" t="s">
        <v>234</v>
      </c>
      <c r="C1427" s="27" t="s">
        <v>378</v>
      </c>
      <c r="D1427" s="28">
        <v>1</v>
      </c>
      <c r="E1427" s="29"/>
      <c r="F1427" s="29"/>
      <c r="G1427" s="29"/>
      <c r="H1427" s="29" t="s">
        <v>314</v>
      </c>
    </row>
    <row r="1428" spans="1:8" x14ac:dyDescent="0.35">
      <c r="A1428" s="27" t="s">
        <v>227</v>
      </c>
      <c r="B1428" s="27" t="s">
        <v>234</v>
      </c>
      <c r="C1428" s="27" t="s">
        <v>377</v>
      </c>
      <c r="D1428" s="28">
        <v>1</v>
      </c>
      <c r="E1428" s="29"/>
      <c r="F1428" s="29"/>
      <c r="G1428" s="29"/>
      <c r="H1428" s="29" t="s">
        <v>334</v>
      </c>
    </row>
    <row r="1429" spans="1:8" x14ac:dyDescent="0.35">
      <c r="A1429" s="27" t="s">
        <v>227</v>
      </c>
      <c r="B1429" s="27" t="s">
        <v>235</v>
      </c>
      <c r="C1429" s="27" t="s">
        <v>377</v>
      </c>
      <c r="D1429" s="28">
        <v>1</v>
      </c>
      <c r="E1429" s="29"/>
      <c r="F1429" s="29"/>
      <c r="G1429" s="29"/>
      <c r="H1429" s="29" t="s">
        <v>307</v>
      </c>
    </row>
    <row r="1430" spans="1:8" x14ac:dyDescent="0.35">
      <c r="A1430" s="27" t="s">
        <v>227</v>
      </c>
      <c r="B1430" s="27" t="s">
        <v>234</v>
      </c>
      <c r="C1430" s="27" t="s">
        <v>375</v>
      </c>
      <c r="D1430" s="28">
        <v>1</v>
      </c>
      <c r="E1430" s="29"/>
      <c r="F1430" s="29"/>
      <c r="G1430" s="29"/>
      <c r="H1430" s="29" t="s">
        <v>333</v>
      </c>
    </row>
    <row r="1431" spans="1:8" x14ac:dyDescent="0.35">
      <c r="A1431" s="27" t="s">
        <v>227</v>
      </c>
      <c r="B1431" s="27" t="s">
        <v>235</v>
      </c>
      <c r="C1431" s="27" t="s">
        <v>378</v>
      </c>
      <c r="D1431" s="28">
        <v>1</v>
      </c>
      <c r="E1431" s="29"/>
      <c r="F1431" s="29"/>
      <c r="G1431" s="29"/>
      <c r="H1431" s="29" t="s">
        <v>315</v>
      </c>
    </row>
    <row r="1432" spans="1:8" x14ac:dyDescent="0.35">
      <c r="A1432" s="27" t="s">
        <v>227</v>
      </c>
      <c r="B1432" s="27" t="s">
        <v>235</v>
      </c>
      <c r="C1432" s="27" t="s">
        <v>376</v>
      </c>
      <c r="D1432" s="28">
        <v>0.9</v>
      </c>
      <c r="E1432" s="28">
        <v>0.1</v>
      </c>
      <c r="F1432" s="29"/>
      <c r="G1432" s="29"/>
      <c r="H1432" s="29" t="s">
        <v>307</v>
      </c>
    </row>
    <row r="1433" spans="1:8" x14ac:dyDescent="0.35">
      <c r="A1433" s="27" t="s">
        <v>228</v>
      </c>
      <c r="B1433" s="27" t="s">
        <v>234</v>
      </c>
      <c r="C1433" s="27" t="s">
        <v>378</v>
      </c>
      <c r="D1433" s="28">
        <v>0.92520000000000002</v>
      </c>
      <c r="E1433" s="28">
        <v>7.4800000000000005E-2</v>
      </c>
      <c r="F1433" s="29"/>
      <c r="G1433" s="29"/>
      <c r="H1433" s="29" t="s">
        <v>352</v>
      </c>
    </row>
    <row r="1434" spans="1:8" x14ac:dyDescent="0.35">
      <c r="A1434" t="s">
        <v>228</v>
      </c>
      <c r="B1434" t="s">
        <v>234</v>
      </c>
      <c r="C1434" t="s">
        <v>377</v>
      </c>
      <c r="D1434" s="26">
        <v>0.74050000000000005</v>
      </c>
      <c r="E1434" s="26">
        <v>0.25380000000000003</v>
      </c>
      <c r="F1434" s="26">
        <v>5.7000000000000002E-3</v>
      </c>
      <c r="H1434">
        <v>31</v>
      </c>
    </row>
    <row r="1435" spans="1:8" x14ac:dyDescent="0.35">
      <c r="A1435" t="s">
        <v>228</v>
      </c>
      <c r="B1435" t="s">
        <v>234</v>
      </c>
      <c r="C1435" t="s">
        <v>375</v>
      </c>
      <c r="D1435" s="26">
        <v>0.94159999999999999</v>
      </c>
      <c r="E1435" s="26">
        <v>5.0099999999999999E-2</v>
      </c>
      <c r="G1435" s="26">
        <v>8.3000000000000001E-3</v>
      </c>
      <c r="H1435">
        <v>58</v>
      </c>
    </row>
    <row r="1436" spans="1:8" x14ac:dyDescent="0.35">
      <c r="A1436" t="s">
        <v>228</v>
      </c>
      <c r="B1436" t="s">
        <v>235</v>
      </c>
      <c r="C1436" t="s">
        <v>376</v>
      </c>
      <c r="D1436" s="26">
        <v>0.85240000000000005</v>
      </c>
      <c r="E1436" s="26">
        <v>0.1353</v>
      </c>
      <c r="F1436" s="26">
        <v>1.24E-2</v>
      </c>
      <c r="H1436">
        <v>38</v>
      </c>
    </row>
    <row r="1437" spans="1:8" x14ac:dyDescent="0.35">
      <c r="A1437" s="27" t="s">
        <v>228</v>
      </c>
      <c r="B1437" s="27" t="s">
        <v>235</v>
      </c>
      <c r="C1437" s="27" t="s">
        <v>378</v>
      </c>
      <c r="D1437" s="28">
        <v>0.64200000000000002</v>
      </c>
      <c r="E1437" s="28">
        <v>0.35799999999999998</v>
      </c>
      <c r="F1437" s="29"/>
      <c r="G1437" s="29"/>
      <c r="H1437" s="29" t="s">
        <v>307</v>
      </c>
    </row>
    <row r="1438" spans="1:8" x14ac:dyDescent="0.35">
      <c r="A1438" t="s">
        <v>228</v>
      </c>
      <c r="B1438" t="s">
        <v>234</v>
      </c>
      <c r="C1438" t="s">
        <v>376</v>
      </c>
      <c r="D1438" s="26">
        <v>0.86599999999999999</v>
      </c>
      <c r="E1438" s="26">
        <v>0.13400000000000001</v>
      </c>
      <c r="H1438">
        <v>52</v>
      </c>
    </row>
    <row r="1439" spans="1:8" x14ac:dyDescent="0.35">
      <c r="A1439" t="s">
        <v>228</v>
      </c>
      <c r="B1439" t="s">
        <v>235</v>
      </c>
      <c r="C1439" t="s">
        <v>377</v>
      </c>
      <c r="D1439" s="26">
        <v>0.96709999999999996</v>
      </c>
      <c r="E1439" s="26">
        <v>1.4500000000000001E-2</v>
      </c>
      <c r="F1439" s="26">
        <v>1.84E-2</v>
      </c>
      <c r="H1439">
        <v>41</v>
      </c>
    </row>
    <row r="1440" spans="1:8" x14ac:dyDescent="0.35">
      <c r="A1440" t="s">
        <v>228</v>
      </c>
      <c r="B1440" t="s">
        <v>235</v>
      </c>
      <c r="C1440" t="s">
        <v>375</v>
      </c>
      <c r="D1440" s="26">
        <v>0.97299999999999998</v>
      </c>
      <c r="E1440" s="26">
        <v>2.2800000000000001E-2</v>
      </c>
      <c r="F1440" s="26">
        <v>4.3E-3</v>
      </c>
      <c r="H1440">
        <v>73</v>
      </c>
    </row>
    <row r="1441" spans="1:8" x14ac:dyDescent="0.35">
      <c r="A1441" s="27" t="s">
        <v>229</v>
      </c>
      <c r="B1441" s="27" t="s">
        <v>235</v>
      </c>
      <c r="C1441" s="27" t="s">
        <v>378</v>
      </c>
      <c r="D1441" s="28">
        <v>1</v>
      </c>
      <c r="E1441" s="29"/>
      <c r="F1441" s="29"/>
      <c r="G1441" s="29"/>
      <c r="H1441" s="29" t="s">
        <v>349</v>
      </c>
    </row>
    <row r="1442" spans="1:8" x14ac:dyDescent="0.35">
      <c r="A1442" s="27" t="s">
        <v>229</v>
      </c>
      <c r="B1442" s="27" t="s">
        <v>234</v>
      </c>
      <c r="C1442" s="27" t="s">
        <v>378</v>
      </c>
      <c r="D1442" s="28">
        <v>1</v>
      </c>
      <c r="E1442" s="29"/>
      <c r="F1442" s="29"/>
      <c r="G1442" s="29"/>
      <c r="H1442" s="29" t="s">
        <v>350</v>
      </c>
    </row>
    <row r="1443" spans="1:8" x14ac:dyDescent="0.35">
      <c r="A1443" t="s">
        <v>229</v>
      </c>
      <c r="B1443" t="s">
        <v>235</v>
      </c>
      <c r="C1443" t="s">
        <v>376</v>
      </c>
      <c r="D1443" s="26">
        <v>0.91110000000000002</v>
      </c>
      <c r="E1443" s="26">
        <v>8.8900000000000007E-2</v>
      </c>
      <c r="H1443">
        <v>32</v>
      </c>
    </row>
    <row r="1444" spans="1:8" x14ac:dyDescent="0.35">
      <c r="A1444" t="s">
        <v>229</v>
      </c>
      <c r="B1444" t="s">
        <v>235</v>
      </c>
      <c r="C1444" t="s">
        <v>377</v>
      </c>
      <c r="D1444" s="26">
        <v>1</v>
      </c>
      <c r="H1444">
        <v>41</v>
      </c>
    </row>
    <row r="1445" spans="1:8" x14ac:dyDescent="0.35">
      <c r="A1445" t="s">
        <v>229</v>
      </c>
      <c r="B1445" t="s">
        <v>234</v>
      </c>
      <c r="C1445" t="s">
        <v>376</v>
      </c>
      <c r="D1445" s="26">
        <v>0.99709999999999999</v>
      </c>
      <c r="E1445" s="26">
        <v>2.8999999999999998E-3</v>
      </c>
      <c r="H1445">
        <v>47</v>
      </c>
    </row>
    <row r="1446" spans="1:8" x14ac:dyDescent="0.35">
      <c r="A1446" t="s">
        <v>229</v>
      </c>
      <c r="B1446" t="s">
        <v>235</v>
      </c>
      <c r="C1446" t="s">
        <v>375</v>
      </c>
      <c r="D1446" s="26">
        <v>0.89280000000000004</v>
      </c>
      <c r="E1446" s="26">
        <v>0.1072</v>
      </c>
      <c r="H1446">
        <v>64</v>
      </c>
    </row>
    <row r="1447" spans="1:8" x14ac:dyDescent="0.35">
      <c r="A1447" t="s">
        <v>229</v>
      </c>
      <c r="B1447" t="s">
        <v>234</v>
      </c>
      <c r="C1447" t="s">
        <v>377</v>
      </c>
      <c r="D1447" s="26">
        <v>1</v>
      </c>
      <c r="H1447">
        <v>38</v>
      </c>
    </row>
    <row r="1448" spans="1:8" x14ac:dyDescent="0.35">
      <c r="A1448" t="s">
        <v>229</v>
      </c>
      <c r="B1448" t="s">
        <v>234</v>
      </c>
      <c r="C1448" t="s">
        <v>375</v>
      </c>
      <c r="D1448" s="26">
        <v>0.99539999999999995</v>
      </c>
      <c r="E1448" s="26">
        <v>4.5999999999999999E-3</v>
      </c>
      <c r="H1448">
        <v>74</v>
      </c>
    </row>
    <row r="1449" spans="1:8" x14ac:dyDescent="0.35">
      <c r="A1449" t="s">
        <v>230</v>
      </c>
      <c r="B1449" t="s">
        <v>234</v>
      </c>
      <c r="C1449" t="s">
        <v>376</v>
      </c>
      <c r="D1449" s="26">
        <v>0.99639999999999995</v>
      </c>
      <c r="E1449" s="26">
        <v>3.5999999999999999E-3</v>
      </c>
      <c r="H1449">
        <v>31</v>
      </c>
    </row>
    <row r="1450" spans="1:8" x14ac:dyDescent="0.35">
      <c r="A1450" s="27" t="s">
        <v>230</v>
      </c>
      <c r="B1450" s="27" t="s">
        <v>234</v>
      </c>
      <c r="C1450" s="27" t="s">
        <v>378</v>
      </c>
      <c r="D1450" s="28">
        <v>0.93389999999999995</v>
      </c>
      <c r="E1450" s="28">
        <v>6.6100000000000006E-2</v>
      </c>
      <c r="F1450" s="29"/>
      <c r="G1450" s="29"/>
      <c r="H1450" s="29" t="s">
        <v>352</v>
      </c>
    </row>
    <row r="1451" spans="1:8" x14ac:dyDescent="0.35">
      <c r="A1451" t="s">
        <v>230</v>
      </c>
      <c r="B1451" t="s">
        <v>235</v>
      </c>
      <c r="C1451" t="s">
        <v>375</v>
      </c>
      <c r="D1451" s="26">
        <v>0.92700000000000005</v>
      </c>
      <c r="E1451" s="26">
        <v>7.2999999999999995E-2</v>
      </c>
      <c r="H1451">
        <v>52</v>
      </c>
    </row>
    <row r="1452" spans="1:8" x14ac:dyDescent="0.35">
      <c r="A1452" s="27" t="s">
        <v>230</v>
      </c>
      <c r="B1452" s="27" t="s">
        <v>234</v>
      </c>
      <c r="C1452" s="27" t="s">
        <v>377</v>
      </c>
      <c r="D1452" s="28">
        <v>0.99429999999999996</v>
      </c>
      <c r="E1452" s="28">
        <v>5.7000000000000002E-3</v>
      </c>
      <c r="F1452" s="29"/>
      <c r="G1452" s="29"/>
      <c r="H1452" s="29" t="s">
        <v>349</v>
      </c>
    </row>
    <row r="1453" spans="1:8" x14ac:dyDescent="0.35">
      <c r="A1453" s="27" t="s">
        <v>230</v>
      </c>
      <c r="B1453" s="27" t="s">
        <v>236</v>
      </c>
      <c r="C1453" s="27" t="s">
        <v>375</v>
      </c>
      <c r="D1453" s="28">
        <v>1</v>
      </c>
      <c r="E1453" s="29"/>
      <c r="F1453" s="29"/>
      <c r="G1453" s="29"/>
      <c r="H1453" s="29" t="s">
        <v>331</v>
      </c>
    </row>
    <row r="1454" spans="1:8" x14ac:dyDescent="0.35">
      <c r="A1454" s="27" t="s">
        <v>230</v>
      </c>
      <c r="B1454" s="27" t="s">
        <v>235</v>
      </c>
      <c r="C1454" s="27" t="s">
        <v>378</v>
      </c>
      <c r="D1454" s="28">
        <v>0.97389999999999999</v>
      </c>
      <c r="E1454" s="28">
        <v>2.6100000000000002E-2</v>
      </c>
      <c r="F1454" s="29"/>
      <c r="G1454" s="29"/>
      <c r="H1454" s="29" t="s">
        <v>333</v>
      </c>
    </row>
    <row r="1455" spans="1:8" x14ac:dyDescent="0.35">
      <c r="A1455" s="27" t="s">
        <v>230</v>
      </c>
      <c r="B1455" s="27" t="s">
        <v>235</v>
      </c>
      <c r="C1455" s="27" t="s">
        <v>377</v>
      </c>
      <c r="D1455" s="28">
        <v>0.93059999999999998</v>
      </c>
      <c r="E1455" s="28">
        <v>3.5099999999999999E-2</v>
      </c>
      <c r="F1455" s="28">
        <v>3.4299999999999997E-2</v>
      </c>
      <c r="G1455" s="29"/>
      <c r="H1455" s="29" t="s">
        <v>353</v>
      </c>
    </row>
    <row r="1456" spans="1:8" x14ac:dyDescent="0.35">
      <c r="A1456" t="s">
        <v>230</v>
      </c>
      <c r="B1456" t="s">
        <v>234</v>
      </c>
      <c r="C1456" t="s">
        <v>375</v>
      </c>
      <c r="D1456" s="26">
        <v>0.97840000000000005</v>
      </c>
      <c r="E1456" s="26">
        <v>2.1600000000000001E-2</v>
      </c>
      <c r="H1456">
        <v>37</v>
      </c>
    </row>
    <row r="1457" spans="1:8" x14ac:dyDescent="0.35">
      <c r="A1457" s="27" t="s">
        <v>230</v>
      </c>
      <c r="B1457" s="27" t="s">
        <v>235</v>
      </c>
      <c r="C1457" s="27" t="s">
        <v>376</v>
      </c>
      <c r="D1457" s="28">
        <v>0.97489999999999999</v>
      </c>
      <c r="E1457" s="28">
        <v>2.5100000000000001E-2</v>
      </c>
      <c r="F1457" s="29"/>
      <c r="G1457" s="29"/>
      <c r="H1457" s="29" t="s">
        <v>357</v>
      </c>
    </row>
    <row r="1458" spans="1:8" x14ac:dyDescent="0.35">
      <c r="A1458" s="27" t="s">
        <v>231</v>
      </c>
      <c r="B1458" s="27" t="s">
        <v>234</v>
      </c>
      <c r="C1458" s="27" t="s">
        <v>375</v>
      </c>
      <c r="D1458" s="28">
        <v>1</v>
      </c>
      <c r="E1458" s="29"/>
      <c r="F1458" s="29"/>
      <c r="G1458" s="29"/>
      <c r="H1458" s="29" t="s">
        <v>307</v>
      </c>
    </row>
    <row r="1459" spans="1:8" x14ac:dyDescent="0.35">
      <c r="A1459" s="27" t="s">
        <v>231</v>
      </c>
      <c r="B1459" s="27" t="s">
        <v>234</v>
      </c>
      <c r="C1459" s="27" t="s">
        <v>378</v>
      </c>
      <c r="D1459" s="28">
        <v>1</v>
      </c>
      <c r="E1459" s="29"/>
      <c r="F1459" s="29"/>
      <c r="G1459" s="29"/>
      <c r="H1459" s="29" t="s">
        <v>337</v>
      </c>
    </row>
    <row r="1460" spans="1:8" x14ac:dyDescent="0.35">
      <c r="A1460" s="27" t="s">
        <v>231</v>
      </c>
      <c r="B1460" s="27" t="s">
        <v>235</v>
      </c>
      <c r="C1460" s="27" t="s">
        <v>378</v>
      </c>
      <c r="D1460" s="28">
        <v>1</v>
      </c>
      <c r="E1460" s="29"/>
      <c r="F1460" s="29"/>
      <c r="G1460" s="29"/>
      <c r="H1460" s="29" t="s">
        <v>332</v>
      </c>
    </row>
    <row r="1461" spans="1:8" x14ac:dyDescent="0.35">
      <c r="A1461" s="27" t="s">
        <v>231</v>
      </c>
      <c r="B1461" s="27" t="s">
        <v>234</v>
      </c>
      <c r="C1461" s="27" t="s">
        <v>376</v>
      </c>
      <c r="D1461" s="28">
        <v>1</v>
      </c>
      <c r="E1461" s="29"/>
      <c r="F1461" s="29"/>
      <c r="G1461" s="29"/>
      <c r="H1461" s="29" t="s">
        <v>335</v>
      </c>
    </row>
    <row r="1462" spans="1:8" x14ac:dyDescent="0.35">
      <c r="A1462" s="27" t="s">
        <v>231</v>
      </c>
      <c r="B1462" s="27" t="s">
        <v>235</v>
      </c>
      <c r="C1462" s="27" t="s">
        <v>375</v>
      </c>
      <c r="D1462" s="28">
        <v>0.90910000000000002</v>
      </c>
      <c r="E1462" s="28">
        <v>9.0899999999999995E-2</v>
      </c>
      <c r="F1462" s="29"/>
      <c r="G1462" s="29"/>
      <c r="H1462" s="29" t="s">
        <v>352</v>
      </c>
    </row>
    <row r="1463" spans="1:8" x14ac:dyDescent="0.35">
      <c r="A1463" s="27" t="s">
        <v>231</v>
      </c>
      <c r="B1463" s="27" t="s">
        <v>235</v>
      </c>
      <c r="C1463" s="27" t="s">
        <v>376</v>
      </c>
      <c r="D1463" s="28">
        <v>0.83330000000000004</v>
      </c>
      <c r="E1463" s="28">
        <v>0.16669999999999999</v>
      </c>
      <c r="F1463" s="29"/>
      <c r="G1463" s="29"/>
      <c r="H1463" s="29" t="s">
        <v>335</v>
      </c>
    </row>
    <row r="1464" spans="1:8" x14ac:dyDescent="0.35">
      <c r="A1464" s="27" t="s">
        <v>231</v>
      </c>
      <c r="B1464" s="27" t="s">
        <v>235</v>
      </c>
      <c r="C1464" s="27" t="s">
        <v>377</v>
      </c>
      <c r="D1464" s="28">
        <v>1</v>
      </c>
      <c r="E1464" s="29"/>
      <c r="F1464" s="29"/>
      <c r="G1464" s="29"/>
      <c r="H1464" s="29" t="s">
        <v>335</v>
      </c>
    </row>
    <row r="1465" spans="1:8" x14ac:dyDescent="0.35">
      <c r="A1465" s="27" t="s">
        <v>231</v>
      </c>
      <c r="B1465" s="27" t="s">
        <v>234</v>
      </c>
      <c r="C1465" s="27" t="s">
        <v>377</v>
      </c>
      <c r="D1465" s="28">
        <v>1</v>
      </c>
      <c r="E1465" s="29"/>
      <c r="F1465" s="29"/>
      <c r="G1465" s="29"/>
      <c r="H1465" s="29" t="s">
        <v>332</v>
      </c>
    </row>
    <row r="1466" spans="1:8" x14ac:dyDescent="0.35">
      <c r="A1466" t="s">
        <v>232</v>
      </c>
      <c r="B1466" t="s">
        <v>232</v>
      </c>
      <c r="C1466" t="s">
        <v>232</v>
      </c>
      <c r="D1466" s="26">
        <v>0.95679999999999998</v>
      </c>
      <c r="E1466" s="26">
        <v>4.1700000000000001E-2</v>
      </c>
      <c r="F1466" s="26">
        <v>1.1999999999999999E-3</v>
      </c>
      <c r="G1466" s="26">
        <v>2.9999999999999997E-4</v>
      </c>
      <c r="H1466">
        <v>968</v>
      </c>
    </row>
    <row r="1468" spans="1:8" x14ac:dyDescent="0.35">
      <c r="A1468" s="1" t="s">
        <v>466</v>
      </c>
    </row>
    <row r="1469" spans="1:8" x14ac:dyDescent="0.35">
      <c r="A1469" t="s">
        <v>219</v>
      </c>
      <c r="B1469" t="s">
        <v>302</v>
      </c>
      <c r="C1469" t="s">
        <v>303</v>
      </c>
      <c r="D1469" t="s">
        <v>281</v>
      </c>
      <c r="E1469" t="s">
        <v>226</v>
      </c>
    </row>
    <row r="1470" spans="1:8" x14ac:dyDescent="0.35">
      <c r="A1470" t="s">
        <v>227</v>
      </c>
      <c r="B1470" s="26">
        <v>0.98409999999999997</v>
      </c>
      <c r="D1470" s="26">
        <v>1.5900000000000001E-2</v>
      </c>
      <c r="E1470">
        <v>63</v>
      </c>
    </row>
    <row r="1471" spans="1:8" x14ac:dyDescent="0.35">
      <c r="A1471" t="s">
        <v>228</v>
      </c>
      <c r="B1471" s="26">
        <v>0.90690000000000004</v>
      </c>
      <c r="C1471" s="26">
        <v>8.1000000000000003E-2</v>
      </c>
      <c r="D1471" s="26">
        <v>1.21E-2</v>
      </c>
      <c r="E1471">
        <v>314</v>
      </c>
    </row>
    <row r="1472" spans="1:8" x14ac:dyDescent="0.35">
      <c r="A1472" t="s">
        <v>229</v>
      </c>
      <c r="B1472" s="26">
        <v>0.95279999999999998</v>
      </c>
      <c r="C1472" s="26">
        <v>4.7199999999999999E-2</v>
      </c>
      <c r="E1472">
        <v>335</v>
      </c>
    </row>
    <row r="1473" spans="1:6" x14ac:dyDescent="0.35">
      <c r="A1473" t="s">
        <v>230</v>
      </c>
      <c r="B1473" s="26">
        <v>0.99490000000000001</v>
      </c>
      <c r="C1473" s="26">
        <v>5.1000000000000004E-3</v>
      </c>
      <c r="E1473">
        <v>203</v>
      </c>
    </row>
    <row r="1474" spans="1:6" x14ac:dyDescent="0.35">
      <c r="A1474" t="s">
        <v>231</v>
      </c>
      <c r="B1474" s="26">
        <v>1</v>
      </c>
      <c r="E1474">
        <v>53</v>
      </c>
    </row>
    <row r="1475" spans="1:6" x14ac:dyDescent="0.35">
      <c r="A1475" t="s">
        <v>232</v>
      </c>
      <c r="B1475" s="26">
        <v>0.96530000000000005</v>
      </c>
      <c r="C1475" s="26">
        <v>3.0099999999999998E-2</v>
      </c>
      <c r="D1475" s="26">
        <v>4.7000000000000002E-3</v>
      </c>
      <c r="E1475">
        <v>968</v>
      </c>
    </row>
    <row r="1477" spans="1:6" x14ac:dyDescent="0.35">
      <c r="A1477" s="1" t="s">
        <v>467</v>
      </c>
    </row>
    <row r="1478" spans="1:6" x14ac:dyDescent="0.35">
      <c r="A1478" t="s">
        <v>219</v>
      </c>
      <c r="B1478" t="s">
        <v>305</v>
      </c>
      <c r="C1478" t="s">
        <v>302</v>
      </c>
      <c r="D1478" t="s">
        <v>303</v>
      </c>
      <c r="E1478" t="s">
        <v>281</v>
      </c>
      <c r="F1478" t="s">
        <v>226</v>
      </c>
    </row>
    <row r="1479" spans="1:6" x14ac:dyDescent="0.35">
      <c r="A1479" s="27" t="s">
        <v>227</v>
      </c>
      <c r="B1479" s="27" t="s">
        <v>242</v>
      </c>
      <c r="C1479" s="28">
        <v>1</v>
      </c>
      <c r="D1479" s="29"/>
      <c r="E1479" s="29"/>
      <c r="F1479" s="29" t="s">
        <v>328</v>
      </c>
    </row>
    <row r="1480" spans="1:6" x14ac:dyDescent="0.35">
      <c r="A1480" t="s">
        <v>227</v>
      </c>
      <c r="B1480" t="s">
        <v>241</v>
      </c>
      <c r="C1480" s="26">
        <v>0.97499999999999998</v>
      </c>
      <c r="E1480" s="26">
        <v>2.5000000000000001E-2</v>
      </c>
      <c r="F1480">
        <v>40</v>
      </c>
    </row>
    <row r="1481" spans="1:6" x14ac:dyDescent="0.35">
      <c r="A1481" t="s">
        <v>228</v>
      </c>
      <c r="B1481" t="s">
        <v>242</v>
      </c>
      <c r="C1481" s="26">
        <v>0.87490000000000001</v>
      </c>
      <c r="D1481" s="26">
        <v>9.2200000000000004E-2</v>
      </c>
      <c r="E1481" s="26">
        <v>3.2899999999999999E-2</v>
      </c>
      <c r="F1481">
        <v>94</v>
      </c>
    </row>
    <row r="1482" spans="1:6" x14ac:dyDescent="0.35">
      <c r="A1482" t="s">
        <v>228</v>
      </c>
      <c r="B1482" t="s">
        <v>241</v>
      </c>
      <c r="C1482" s="26">
        <v>0.92020000000000002</v>
      </c>
      <c r="D1482" s="26">
        <v>7.6300000000000007E-2</v>
      </c>
      <c r="E1482" s="26">
        <v>3.5000000000000001E-3</v>
      </c>
      <c r="F1482">
        <v>220</v>
      </c>
    </row>
    <row r="1483" spans="1:6" x14ac:dyDescent="0.35">
      <c r="A1483" t="s">
        <v>229</v>
      </c>
      <c r="B1483" t="s">
        <v>242</v>
      </c>
      <c r="C1483" s="26">
        <v>0.93530000000000002</v>
      </c>
      <c r="D1483" s="26">
        <v>6.4699999999999994E-2</v>
      </c>
      <c r="F1483">
        <v>94</v>
      </c>
    </row>
    <row r="1484" spans="1:6" x14ac:dyDescent="0.35">
      <c r="A1484" t="s">
        <v>229</v>
      </c>
      <c r="B1484" t="s">
        <v>241</v>
      </c>
      <c r="C1484" s="26">
        <v>0.96179999999999999</v>
      </c>
      <c r="D1484" s="26">
        <v>3.8199999999999998E-2</v>
      </c>
      <c r="F1484">
        <v>241</v>
      </c>
    </row>
    <row r="1485" spans="1:6" x14ac:dyDescent="0.35">
      <c r="A1485" t="s">
        <v>230</v>
      </c>
      <c r="B1485" t="s">
        <v>242</v>
      </c>
      <c r="C1485" s="26">
        <v>0.98740000000000006</v>
      </c>
      <c r="D1485" s="26">
        <v>1.26E-2</v>
      </c>
      <c r="F1485">
        <v>60</v>
      </c>
    </row>
    <row r="1486" spans="1:6" x14ac:dyDescent="0.35">
      <c r="A1486" t="s">
        <v>230</v>
      </c>
      <c r="B1486" t="s">
        <v>241</v>
      </c>
      <c r="C1486" s="26">
        <v>0.999</v>
      </c>
      <c r="D1486" s="26">
        <v>1E-3</v>
      </c>
      <c r="F1486">
        <v>143</v>
      </c>
    </row>
    <row r="1487" spans="1:6" x14ac:dyDescent="0.35">
      <c r="A1487" s="27" t="s">
        <v>231</v>
      </c>
      <c r="B1487" s="27" t="s">
        <v>242</v>
      </c>
      <c r="C1487" s="28">
        <v>1</v>
      </c>
      <c r="D1487" s="29"/>
      <c r="E1487" s="29"/>
      <c r="F1487" s="29" t="s">
        <v>334</v>
      </c>
    </row>
    <row r="1488" spans="1:6" x14ac:dyDescent="0.35">
      <c r="A1488" t="s">
        <v>231</v>
      </c>
      <c r="B1488" t="s">
        <v>241</v>
      </c>
      <c r="C1488" s="26">
        <v>1</v>
      </c>
      <c r="F1488">
        <v>44</v>
      </c>
    </row>
    <row r="1489" spans="1:6" x14ac:dyDescent="0.35">
      <c r="A1489" t="s">
        <v>232</v>
      </c>
      <c r="B1489" t="s">
        <v>232</v>
      </c>
      <c r="C1489" s="26">
        <v>0.96530000000000005</v>
      </c>
      <c r="D1489" s="26">
        <v>3.0099999999999998E-2</v>
      </c>
      <c r="E1489" s="26">
        <v>4.7000000000000002E-3</v>
      </c>
      <c r="F1489">
        <v>968</v>
      </c>
    </row>
    <row r="1491" spans="1:6" x14ac:dyDescent="0.35">
      <c r="A1491" s="1" t="s">
        <v>468</v>
      </c>
    </row>
    <row r="1492" spans="1:6" x14ac:dyDescent="0.35">
      <c r="A1492" t="s">
        <v>219</v>
      </c>
      <c r="B1492" t="s">
        <v>305</v>
      </c>
      <c r="C1492" t="s">
        <v>302</v>
      </c>
      <c r="D1492" t="s">
        <v>303</v>
      </c>
      <c r="E1492" t="s">
        <v>281</v>
      </c>
      <c r="F1492" t="s">
        <v>226</v>
      </c>
    </row>
    <row r="1493" spans="1:6" x14ac:dyDescent="0.35">
      <c r="A1493" t="s">
        <v>227</v>
      </c>
      <c r="B1493" t="s">
        <v>239</v>
      </c>
      <c r="C1493" s="26">
        <v>1</v>
      </c>
      <c r="F1493">
        <v>30</v>
      </c>
    </row>
    <row r="1494" spans="1:6" x14ac:dyDescent="0.35">
      <c r="A1494" t="s">
        <v>227</v>
      </c>
      <c r="B1494" t="s">
        <v>238</v>
      </c>
      <c r="C1494" s="26">
        <v>0.96970000000000001</v>
      </c>
      <c r="E1494" s="26">
        <v>3.0300000000000001E-2</v>
      </c>
      <c r="F1494">
        <v>33</v>
      </c>
    </row>
    <row r="1495" spans="1:6" x14ac:dyDescent="0.35">
      <c r="A1495" t="s">
        <v>228</v>
      </c>
      <c r="B1495" t="s">
        <v>239</v>
      </c>
      <c r="C1495" s="26">
        <v>0.87880000000000003</v>
      </c>
      <c r="D1495" s="26">
        <v>0.1212</v>
      </c>
      <c r="F1495">
        <v>117</v>
      </c>
    </row>
    <row r="1496" spans="1:6" x14ac:dyDescent="0.35">
      <c r="A1496" t="s">
        <v>228</v>
      </c>
      <c r="B1496" t="s">
        <v>238</v>
      </c>
      <c r="C1496" s="26">
        <v>0.91659999999999997</v>
      </c>
      <c r="D1496" s="26">
        <v>6.7100000000000007E-2</v>
      </c>
      <c r="E1496" s="26">
        <v>1.6299999999999999E-2</v>
      </c>
      <c r="F1496">
        <v>197</v>
      </c>
    </row>
    <row r="1497" spans="1:6" x14ac:dyDescent="0.35">
      <c r="A1497" t="s">
        <v>229</v>
      </c>
      <c r="B1497" t="s">
        <v>239</v>
      </c>
      <c r="C1497" s="26">
        <v>0.97119999999999995</v>
      </c>
      <c r="D1497" s="26">
        <v>2.8799999999999999E-2</v>
      </c>
      <c r="F1497">
        <v>130</v>
      </c>
    </row>
    <row r="1498" spans="1:6" x14ac:dyDescent="0.35">
      <c r="A1498" t="s">
        <v>229</v>
      </c>
      <c r="B1498" t="s">
        <v>238</v>
      </c>
      <c r="C1498" s="26">
        <v>0.94599999999999995</v>
      </c>
      <c r="D1498" s="26">
        <v>5.3999999999999999E-2</v>
      </c>
      <c r="F1498">
        <v>205</v>
      </c>
    </row>
    <row r="1499" spans="1:6" x14ac:dyDescent="0.35">
      <c r="A1499" t="s">
        <v>230</v>
      </c>
      <c r="B1499" t="s">
        <v>239</v>
      </c>
      <c r="C1499" s="26">
        <v>0.99539999999999995</v>
      </c>
      <c r="D1499" s="26">
        <v>4.5999999999999999E-3</v>
      </c>
      <c r="F1499">
        <v>104</v>
      </c>
    </row>
    <row r="1500" spans="1:6" x14ac:dyDescent="0.35">
      <c r="A1500" t="s">
        <v>230</v>
      </c>
      <c r="B1500" t="s">
        <v>238</v>
      </c>
      <c r="C1500" s="26">
        <v>0.99439999999999995</v>
      </c>
      <c r="D1500" s="26">
        <v>5.5999999999999999E-3</v>
      </c>
      <c r="F1500">
        <v>99</v>
      </c>
    </row>
    <row r="1501" spans="1:6" x14ac:dyDescent="0.35">
      <c r="A1501" s="27" t="s">
        <v>231</v>
      </c>
      <c r="B1501" s="27" t="s">
        <v>239</v>
      </c>
      <c r="C1501" s="28">
        <v>1</v>
      </c>
      <c r="D1501" s="29"/>
      <c r="E1501" s="29"/>
      <c r="F1501" s="29" t="s">
        <v>336</v>
      </c>
    </row>
    <row r="1502" spans="1:6" x14ac:dyDescent="0.35">
      <c r="A1502" s="27" t="s">
        <v>231</v>
      </c>
      <c r="B1502" s="27" t="s">
        <v>238</v>
      </c>
      <c r="C1502" s="28">
        <v>1</v>
      </c>
      <c r="D1502" s="29"/>
      <c r="E1502" s="29"/>
      <c r="F1502" s="29" t="s">
        <v>312</v>
      </c>
    </row>
    <row r="1503" spans="1:6" x14ac:dyDescent="0.35">
      <c r="A1503" t="s">
        <v>232</v>
      </c>
      <c r="B1503" t="s">
        <v>232</v>
      </c>
      <c r="C1503" s="26">
        <v>0.96530000000000005</v>
      </c>
      <c r="D1503" s="26">
        <v>3.0099999999999998E-2</v>
      </c>
      <c r="E1503" s="26">
        <v>4.7000000000000002E-3</v>
      </c>
      <c r="F1503">
        <v>968</v>
      </c>
    </row>
    <row r="1505" spans="1:6" x14ac:dyDescent="0.35">
      <c r="A1505" s="1" t="s">
        <v>469</v>
      </c>
    </row>
    <row r="1506" spans="1:6" x14ac:dyDescent="0.35">
      <c r="A1506" t="s">
        <v>219</v>
      </c>
      <c r="B1506" t="s">
        <v>305</v>
      </c>
      <c r="C1506" t="s">
        <v>302</v>
      </c>
      <c r="D1506" t="s">
        <v>303</v>
      </c>
      <c r="E1506" t="s">
        <v>281</v>
      </c>
      <c r="F1506" t="s">
        <v>226</v>
      </c>
    </row>
    <row r="1507" spans="1:6" x14ac:dyDescent="0.35">
      <c r="A1507" t="s">
        <v>227</v>
      </c>
      <c r="B1507" t="s">
        <v>244</v>
      </c>
      <c r="C1507" s="26">
        <v>0.97299999999999998</v>
      </c>
      <c r="E1507" s="26">
        <v>2.7E-2</v>
      </c>
      <c r="F1507">
        <v>37</v>
      </c>
    </row>
    <row r="1508" spans="1:6" x14ac:dyDescent="0.35">
      <c r="A1508" s="27" t="s">
        <v>227</v>
      </c>
      <c r="B1508" s="27" t="s">
        <v>246</v>
      </c>
      <c r="C1508" s="28">
        <v>1</v>
      </c>
      <c r="D1508" s="29"/>
      <c r="E1508" s="29"/>
      <c r="F1508" s="29" t="s">
        <v>357</v>
      </c>
    </row>
    <row r="1509" spans="1:6" x14ac:dyDescent="0.35">
      <c r="A1509" t="s">
        <v>228</v>
      </c>
      <c r="B1509" t="s">
        <v>244</v>
      </c>
      <c r="C1509" s="26">
        <v>0.96519999999999995</v>
      </c>
      <c r="D1509" s="26">
        <v>3.1399999999999997E-2</v>
      </c>
      <c r="E1509" s="26">
        <v>3.3999999999999998E-3</v>
      </c>
      <c r="F1509">
        <v>215</v>
      </c>
    </row>
    <row r="1510" spans="1:6" x14ac:dyDescent="0.35">
      <c r="A1510" t="s">
        <v>228</v>
      </c>
      <c r="B1510" t="s">
        <v>246</v>
      </c>
      <c r="C1510" s="26">
        <v>0.75919999999999999</v>
      </c>
      <c r="D1510" s="26">
        <v>0.20649999999999999</v>
      </c>
      <c r="E1510" s="26">
        <v>3.4299999999999997E-2</v>
      </c>
      <c r="F1510">
        <v>99</v>
      </c>
    </row>
    <row r="1511" spans="1:6" x14ac:dyDescent="0.35">
      <c r="A1511" t="s">
        <v>229</v>
      </c>
      <c r="B1511" t="s">
        <v>244</v>
      </c>
      <c r="C1511" s="26">
        <v>0.94179999999999997</v>
      </c>
      <c r="D1511" s="26">
        <v>5.8200000000000002E-2</v>
      </c>
      <c r="F1511">
        <v>260</v>
      </c>
    </row>
    <row r="1512" spans="1:6" x14ac:dyDescent="0.35">
      <c r="A1512" t="s">
        <v>229</v>
      </c>
      <c r="B1512" t="s">
        <v>246</v>
      </c>
      <c r="C1512" s="26">
        <v>0.99429999999999996</v>
      </c>
      <c r="D1512" s="26">
        <v>5.7000000000000002E-3</v>
      </c>
      <c r="F1512">
        <v>75</v>
      </c>
    </row>
    <row r="1513" spans="1:6" x14ac:dyDescent="0.35">
      <c r="A1513" t="s">
        <v>230</v>
      </c>
      <c r="B1513" t="s">
        <v>244</v>
      </c>
      <c r="C1513" s="26">
        <v>0.99609999999999999</v>
      </c>
      <c r="D1513" s="26">
        <v>3.8999999999999998E-3</v>
      </c>
      <c r="F1513">
        <v>153</v>
      </c>
    </row>
    <row r="1514" spans="1:6" x14ac:dyDescent="0.35">
      <c r="A1514" t="s">
        <v>230</v>
      </c>
      <c r="B1514" t="s">
        <v>246</v>
      </c>
      <c r="C1514" s="26">
        <v>0.99170000000000003</v>
      </c>
      <c r="D1514" s="26">
        <v>8.3000000000000001E-3</v>
      </c>
      <c r="F1514">
        <v>50</v>
      </c>
    </row>
    <row r="1515" spans="1:6" x14ac:dyDescent="0.35">
      <c r="A1515" t="s">
        <v>231</v>
      </c>
      <c r="B1515" t="s">
        <v>244</v>
      </c>
      <c r="C1515" s="26">
        <v>1</v>
      </c>
      <c r="F1515">
        <v>30</v>
      </c>
    </row>
    <row r="1516" spans="1:6" x14ac:dyDescent="0.35">
      <c r="A1516" s="27" t="s">
        <v>231</v>
      </c>
      <c r="B1516" s="27" t="s">
        <v>246</v>
      </c>
      <c r="C1516" s="28">
        <v>1</v>
      </c>
      <c r="D1516" s="29"/>
      <c r="E1516" s="29"/>
      <c r="F1516" s="29" t="s">
        <v>328</v>
      </c>
    </row>
    <row r="1517" spans="1:6" x14ac:dyDescent="0.35">
      <c r="A1517" t="s">
        <v>232</v>
      </c>
      <c r="B1517" t="s">
        <v>232</v>
      </c>
      <c r="C1517" s="26">
        <v>0.96530000000000005</v>
      </c>
      <c r="D1517" s="26">
        <v>3.0099999999999998E-2</v>
      </c>
      <c r="E1517" s="26">
        <v>4.7000000000000002E-3</v>
      </c>
      <c r="F1517">
        <v>968</v>
      </c>
    </row>
    <row r="1519" spans="1:6" x14ac:dyDescent="0.35">
      <c r="A1519" s="1" t="s">
        <v>470</v>
      </c>
    </row>
    <row r="1520" spans="1:6" x14ac:dyDescent="0.35">
      <c r="A1520" t="s">
        <v>219</v>
      </c>
      <c r="B1520" t="s">
        <v>305</v>
      </c>
      <c r="C1520" t="s">
        <v>302</v>
      </c>
      <c r="D1520" t="s">
        <v>303</v>
      </c>
      <c r="E1520" t="s">
        <v>281</v>
      </c>
      <c r="F1520" t="s">
        <v>226</v>
      </c>
    </row>
    <row r="1521" spans="1:6" x14ac:dyDescent="0.35">
      <c r="A1521" s="27" t="s">
        <v>227</v>
      </c>
      <c r="B1521" s="27" t="s">
        <v>360</v>
      </c>
      <c r="C1521" s="28">
        <v>1</v>
      </c>
      <c r="D1521" s="29"/>
      <c r="E1521" s="29"/>
      <c r="F1521" s="29" t="s">
        <v>357</v>
      </c>
    </row>
    <row r="1522" spans="1:6" x14ac:dyDescent="0.35">
      <c r="A1522" s="27" t="s">
        <v>227</v>
      </c>
      <c r="B1522" s="27" t="s">
        <v>361</v>
      </c>
      <c r="C1522" s="28">
        <v>1</v>
      </c>
      <c r="D1522" s="29"/>
      <c r="E1522" s="29"/>
      <c r="F1522" s="29" t="s">
        <v>332</v>
      </c>
    </row>
    <row r="1523" spans="1:6" x14ac:dyDescent="0.35">
      <c r="A1523" s="27" t="s">
        <v>227</v>
      </c>
      <c r="B1523" s="27" t="s">
        <v>362</v>
      </c>
      <c r="C1523" s="28">
        <v>1</v>
      </c>
      <c r="D1523" s="29"/>
      <c r="E1523" s="29"/>
      <c r="F1523" s="29" t="s">
        <v>346</v>
      </c>
    </row>
    <row r="1524" spans="1:6" x14ac:dyDescent="0.35">
      <c r="A1524" s="27" t="s">
        <v>227</v>
      </c>
      <c r="B1524" s="27" t="s">
        <v>363</v>
      </c>
      <c r="C1524" s="28">
        <v>1</v>
      </c>
      <c r="D1524" s="29"/>
      <c r="E1524" s="29"/>
      <c r="F1524" s="29" t="s">
        <v>348</v>
      </c>
    </row>
    <row r="1525" spans="1:6" x14ac:dyDescent="0.35">
      <c r="A1525" t="s">
        <v>228</v>
      </c>
      <c r="B1525" t="s">
        <v>360</v>
      </c>
      <c r="C1525" s="26">
        <v>0.879</v>
      </c>
      <c r="D1525" s="26">
        <v>0.121</v>
      </c>
      <c r="F1525">
        <v>88</v>
      </c>
    </row>
    <row r="1526" spans="1:6" x14ac:dyDescent="0.35">
      <c r="A1526" t="s">
        <v>228</v>
      </c>
      <c r="B1526" t="s">
        <v>361</v>
      </c>
      <c r="C1526" s="26">
        <v>0.98199999999999998</v>
      </c>
      <c r="D1526" s="26">
        <v>1.7999999999999999E-2</v>
      </c>
      <c r="F1526">
        <v>49</v>
      </c>
    </row>
    <row r="1527" spans="1:6" x14ac:dyDescent="0.35">
      <c r="A1527" t="s">
        <v>228</v>
      </c>
      <c r="B1527" t="s">
        <v>363</v>
      </c>
      <c r="C1527" s="26">
        <v>0.81840000000000002</v>
      </c>
      <c r="D1527" s="26">
        <v>0.13250000000000001</v>
      </c>
      <c r="E1527" s="26">
        <v>4.9099999999999998E-2</v>
      </c>
      <c r="F1527">
        <v>60</v>
      </c>
    </row>
    <row r="1528" spans="1:6" x14ac:dyDescent="0.35">
      <c r="A1528" t="s">
        <v>228</v>
      </c>
      <c r="B1528" t="s">
        <v>362</v>
      </c>
      <c r="C1528" s="26">
        <v>0.96289999999999998</v>
      </c>
      <c r="D1528" s="26">
        <v>3.7100000000000001E-2</v>
      </c>
      <c r="F1528">
        <v>71</v>
      </c>
    </row>
    <row r="1529" spans="1:6" x14ac:dyDescent="0.35">
      <c r="A1529" t="s">
        <v>229</v>
      </c>
      <c r="B1529" t="s">
        <v>363</v>
      </c>
      <c r="C1529" s="26">
        <v>0.85609999999999997</v>
      </c>
      <c r="D1529" s="26">
        <v>0.1439</v>
      </c>
      <c r="F1529">
        <v>52</v>
      </c>
    </row>
    <row r="1530" spans="1:6" x14ac:dyDescent="0.35">
      <c r="A1530" t="s">
        <v>229</v>
      </c>
      <c r="B1530" t="s">
        <v>360</v>
      </c>
      <c r="C1530" s="26">
        <v>0.97899999999999998</v>
      </c>
      <c r="D1530" s="26">
        <v>2.1000000000000001E-2</v>
      </c>
      <c r="F1530">
        <v>87</v>
      </c>
    </row>
    <row r="1531" spans="1:6" x14ac:dyDescent="0.35">
      <c r="A1531" t="s">
        <v>229</v>
      </c>
      <c r="B1531" t="s">
        <v>361</v>
      </c>
      <c r="C1531" s="26">
        <v>0.94169999999999998</v>
      </c>
      <c r="D1531" s="26">
        <v>5.8299999999999998E-2</v>
      </c>
      <c r="F1531">
        <v>74</v>
      </c>
    </row>
    <row r="1532" spans="1:6" x14ac:dyDescent="0.35">
      <c r="A1532" t="s">
        <v>229</v>
      </c>
      <c r="B1532" t="s">
        <v>362</v>
      </c>
      <c r="C1532" s="26">
        <v>1</v>
      </c>
      <c r="F1532">
        <v>72</v>
      </c>
    </row>
    <row r="1533" spans="1:6" x14ac:dyDescent="0.35">
      <c r="A1533" t="s">
        <v>230</v>
      </c>
      <c r="B1533" t="s">
        <v>360</v>
      </c>
      <c r="C1533" s="26">
        <v>0.99360000000000004</v>
      </c>
      <c r="D1533" s="26">
        <v>6.4000000000000003E-3</v>
      </c>
      <c r="F1533">
        <v>60</v>
      </c>
    </row>
    <row r="1534" spans="1:6" x14ac:dyDescent="0.35">
      <c r="A1534" t="s">
        <v>230</v>
      </c>
      <c r="B1534" t="s">
        <v>363</v>
      </c>
      <c r="C1534" s="26">
        <v>0.99580000000000002</v>
      </c>
      <c r="D1534" s="26">
        <v>4.1999999999999997E-3</v>
      </c>
      <c r="F1534">
        <v>35</v>
      </c>
    </row>
    <row r="1535" spans="1:6" x14ac:dyDescent="0.35">
      <c r="A1535" s="27" t="s">
        <v>230</v>
      </c>
      <c r="B1535" s="27" t="s">
        <v>361</v>
      </c>
      <c r="C1535" s="28">
        <v>1</v>
      </c>
      <c r="D1535" s="29"/>
      <c r="E1535" s="29"/>
      <c r="F1535" s="29" t="s">
        <v>347</v>
      </c>
    </row>
    <row r="1536" spans="1:6" x14ac:dyDescent="0.35">
      <c r="A1536" t="s">
        <v>230</v>
      </c>
      <c r="B1536" t="s">
        <v>362</v>
      </c>
      <c r="C1536" s="26">
        <v>0.99260000000000004</v>
      </c>
      <c r="D1536" s="26">
        <v>7.4000000000000003E-3</v>
      </c>
      <c r="F1536">
        <v>61</v>
      </c>
    </row>
    <row r="1537" spans="1:6" x14ac:dyDescent="0.35">
      <c r="A1537" s="27" t="s">
        <v>231</v>
      </c>
      <c r="B1537" s="27" t="s">
        <v>362</v>
      </c>
      <c r="C1537" s="28">
        <v>1</v>
      </c>
      <c r="D1537" s="29"/>
      <c r="E1537" s="29"/>
      <c r="F1537" s="29" t="s">
        <v>333</v>
      </c>
    </row>
    <row r="1538" spans="1:6" x14ac:dyDescent="0.35">
      <c r="A1538" s="27" t="s">
        <v>231</v>
      </c>
      <c r="B1538" s="27" t="s">
        <v>361</v>
      </c>
      <c r="C1538" s="28">
        <v>1</v>
      </c>
      <c r="D1538" s="29"/>
      <c r="E1538" s="29"/>
      <c r="F1538" s="29" t="s">
        <v>339</v>
      </c>
    </row>
    <row r="1539" spans="1:6" x14ac:dyDescent="0.35">
      <c r="A1539" s="27" t="s">
        <v>231</v>
      </c>
      <c r="B1539" s="27" t="s">
        <v>360</v>
      </c>
      <c r="C1539" s="28">
        <v>1</v>
      </c>
      <c r="D1539" s="29"/>
      <c r="E1539" s="29"/>
      <c r="F1539" s="29" t="s">
        <v>329</v>
      </c>
    </row>
    <row r="1540" spans="1:6" x14ac:dyDescent="0.35">
      <c r="A1540" s="27" t="s">
        <v>231</v>
      </c>
      <c r="B1540" s="27" t="s">
        <v>363</v>
      </c>
      <c r="C1540" s="28">
        <v>1</v>
      </c>
      <c r="D1540" s="29"/>
      <c r="E1540" s="29"/>
      <c r="F1540" s="29" t="s">
        <v>333</v>
      </c>
    </row>
    <row r="1541" spans="1:6" x14ac:dyDescent="0.35">
      <c r="A1541" t="s">
        <v>232</v>
      </c>
      <c r="B1541" t="s">
        <v>232</v>
      </c>
      <c r="C1541" s="26">
        <v>0.96530000000000005</v>
      </c>
      <c r="D1541" s="26">
        <v>3.0099999999999998E-2</v>
      </c>
      <c r="E1541" s="26">
        <v>4.7000000000000002E-3</v>
      </c>
      <c r="F1541">
        <v>845</v>
      </c>
    </row>
    <row r="1543" spans="1:6" x14ac:dyDescent="0.35">
      <c r="A1543" s="1" t="s">
        <v>471</v>
      </c>
    </row>
    <row r="1544" spans="1:6" x14ac:dyDescent="0.35">
      <c r="A1544" t="s">
        <v>219</v>
      </c>
      <c r="B1544" t="s">
        <v>305</v>
      </c>
      <c r="C1544" t="s">
        <v>302</v>
      </c>
      <c r="D1544" t="s">
        <v>303</v>
      </c>
      <c r="E1544" t="s">
        <v>281</v>
      </c>
      <c r="F1544" t="s">
        <v>226</v>
      </c>
    </row>
    <row r="1545" spans="1:6" x14ac:dyDescent="0.35">
      <c r="A1545" s="27" t="s">
        <v>227</v>
      </c>
      <c r="B1545" s="27" t="s">
        <v>267</v>
      </c>
      <c r="C1545" s="28">
        <v>1</v>
      </c>
      <c r="D1545" s="29"/>
      <c r="E1545" s="29"/>
      <c r="F1545" s="29" t="s">
        <v>339</v>
      </c>
    </row>
    <row r="1546" spans="1:6" x14ac:dyDescent="0.35">
      <c r="A1546" s="27" t="s">
        <v>227</v>
      </c>
      <c r="B1546" s="27" t="s">
        <v>266</v>
      </c>
      <c r="C1546" s="28">
        <v>0.93330000000000002</v>
      </c>
      <c r="D1546" s="29"/>
      <c r="E1546" s="28">
        <v>6.6699999999999995E-2</v>
      </c>
      <c r="F1546" s="29" t="s">
        <v>346</v>
      </c>
    </row>
    <row r="1547" spans="1:6" x14ac:dyDescent="0.35">
      <c r="A1547" t="s">
        <v>227</v>
      </c>
      <c r="B1547" t="s">
        <v>265</v>
      </c>
      <c r="C1547" s="26">
        <v>1</v>
      </c>
      <c r="F1547">
        <v>41</v>
      </c>
    </row>
    <row r="1548" spans="1:6" x14ac:dyDescent="0.35">
      <c r="A1548" t="s">
        <v>228</v>
      </c>
      <c r="B1548" t="s">
        <v>267</v>
      </c>
      <c r="C1548" s="26">
        <v>0.89249999999999996</v>
      </c>
      <c r="D1548" s="26">
        <v>0.1075</v>
      </c>
      <c r="F1548">
        <v>39</v>
      </c>
    </row>
    <row r="1549" spans="1:6" x14ac:dyDescent="0.35">
      <c r="A1549" t="s">
        <v>228</v>
      </c>
      <c r="B1549" t="s">
        <v>266</v>
      </c>
      <c r="C1549" s="26">
        <v>0.91979999999999995</v>
      </c>
      <c r="D1549" s="26">
        <v>7.3499999999999996E-2</v>
      </c>
      <c r="E1549" s="26">
        <v>6.7000000000000002E-3</v>
      </c>
      <c r="F1549">
        <v>115</v>
      </c>
    </row>
    <row r="1550" spans="1:6" x14ac:dyDescent="0.35">
      <c r="A1550" t="s">
        <v>228</v>
      </c>
      <c r="B1550" t="s">
        <v>265</v>
      </c>
      <c r="C1550" s="26">
        <v>0.90069999999999995</v>
      </c>
      <c r="D1550" s="26">
        <v>8.1199999999999994E-2</v>
      </c>
      <c r="E1550" s="26">
        <v>1.7999999999999999E-2</v>
      </c>
      <c r="F1550">
        <v>160</v>
      </c>
    </row>
    <row r="1551" spans="1:6" x14ac:dyDescent="0.35">
      <c r="A1551" t="s">
        <v>229</v>
      </c>
      <c r="B1551" t="s">
        <v>267</v>
      </c>
      <c r="C1551" s="26">
        <v>1</v>
      </c>
      <c r="F1551">
        <v>53</v>
      </c>
    </row>
    <row r="1552" spans="1:6" x14ac:dyDescent="0.35">
      <c r="A1552" t="s">
        <v>229</v>
      </c>
      <c r="B1552" t="s">
        <v>266</v>
      </c>
      <c r="C1552" s="26">
        <v>0.93820000000000003</v>
      </c>
      <c r="D1552" s="26">
        <v>6.1800000000000001E-2</v>
      </c>
      <c r="F1552">
        <v>108</v>
      </c>
    </row>
    <row r="1553" spans="1:6" x14ac:dyDescent="0.35">
      <c r="A1553" t="s">
        <v>229</v>
      </c>
      <c r="B1553" t="s">
        <v>265</v>
      </c>
      <c r="C1553" s="26">
        <v>0.94730000000000003</v>
      </c>
      <c r="D1553" s="26">
        <v>5.2699999999999997E-2</v>
      </c>
      <c r="F1553">
        <v>174</v>
      </c>
    </row>
    <row r="1554" spans="1:6" x14ac:dyDescent="0.35">
      <c r="A1554" t="s">
        <v>230</v>
      </c>
      <c r="B1554" t="s">
        <v>267</v>
      </c>
      <c r="C1554" s="26">
        <v>0.98240000000000005</v>
      </c>
      <c r="D1554" s="26">
        <v>1.7600000000000001E-2</v>
      </c>
      <c r="F1554">
        <v>30</v>
      </c>
    </row>
    <row r="1555" spans="1:6" x14ac:dyDescent="0.35">
      <c r="A1555" t="s">
        <v>230</v>
      </c>
      <c r="B1555" t="s">
        <v>266</v>
      </c>
      <c r="C1555" s="26">
        <v>1</v>
      </c>
      <c r="F1555">
        <v>66</v>
      </c>
    </row>
    <row r="1556" spans="1:6" x14ac:dyDescent="0.35">
      <c r="A1556" t="s">
        <v>230</v>
      </c>
      <c r="B1556" t="s">
        <v>265</v>
      </c>
      <c r="C1556" s="26">
        <v>0.99609999999999999</v>
      </c>
      <c r="D1556" s="26">
        <v>3.8999999999999998E-3</v>
      </c>
      <c r="F1556">
        <v>107</v>
      </c>
    </row>
    <row r="1557" spans="1:6" x14ac:dyDescent="0.35">
      <c r="A1557" s="27" t="s">
        <v>231</v>
      </c>
      <c r="B1557" s="27" t="s">
        <v>267</v>
      </c>
      <c r="C1557" s="28">
        <v>1</v>
      </c>
      <c r="D1557" s="29"/>
      <c r="E1557" s="29"/>
      <c r="F1557" s="29" t="s">
        <v>333</v>
      </c>
    </row>
    <row r="1558" spans="1:6" x14ac:dyDescent="0.35">
      <c r="A1558" s="27" t="s">
        <v>231</v>
      </c>
      <c r="B1558" s="27" t="s">
        <v>266</v>
      </c>
      <c r="C1558" s="28">
        <v>1</v>
      </c>
      <c r="D1558" s="29"/>
      <c r="E1558" s="29"/>
      <c r="F1558" s="29" t="s">
        <v>379</v>
      </c>
    </row>
    <row r="1559" spans="1:6" x14ac:dyDescent="0.35">
      <c r="A1559" t="s">
        <v>231</v>
      </c>
      <c r="B1559" t="s">
        <v>265</v>
      </c>
      <c r="C1559" s="26">
        <v>1</v>
      </c>
      <c r="F1559">
        <v>31</v>
      </c>
    </row>
    <row r="1560" spans="1:6" x14ac:dyDescent="0.35">
      <c r="A1560" t="s">
        <v>232</v>
      </c>
      <c r="B1560" t="s">
        <v>232</v>
      </c>
      <c r="C1560" s="26">
        <v>0.96530000000000005</v>
      </c>
      <c r="D1560" s="26">
        <v>3.0099999999999998E-2</v>
      </c>
      <c r="E1560" s="26">
        <v>4.7000000000000002E-3</v>
      </c>
      <c r="F1560">
        <v>968</v>
      </c>
    </row>
    <row r="1562" spans="1:6" x14ac:dyDescent="0.35">
      <c r="A1562" s="1" t="s">
        <v>472</v>
      </c>
    </row>
    <row r="1563" spans="1:6" x14ac:dyDescent="0.35">
      <c r="A1563" t="s">
        <v>219</v>
      </c>
      <c r="B1563" t="s">
        <v>305</v>
      </c>
      <c r="C1563" t="s">
        <v>302</v>
      </c>
      <c r="D1563" t="s">
        <v>303</v>
      </c>
      <c r="E1563" t="s">
        <v>281</v>
      </c>
      <c r="F1563" t="s">
        <v>226</v>
      </c>
    </row>
    <row r="1564" spans="1:6" x14ac:dyDescent="0.35">
      <c r="A1564" s="27" t="s">
        <v>227</v>
      </c>
      <c r="B1564" s="27" t="s">
        <v>252</v>
      </c>
      <c r="C1564" s="28">
        <v>1</v>
      </c>
      <c r="D1564" s="29"/>
      <c r="E1564" s="29"/>
      <c r="F1564" s="29" t="s">
        <v>331</v>
      </c>
    </row>
    <row r="1565" spans="1:6" x14ac:dyDescent="0.35">
      <c r="A1565" s="27" t="s">
        <v>227</v>
      </c>
      <c r="B1565" s="27" t="s">
        <v>253</v>
      </c>
      <c r="C1565" s="28">
        <v>1</v>
      </c>
      <c r="D1565" s="29"/>
      <c r="E1565" s="29"/>
      <c r="F1565" s="29" t="s">
        <v>346</v>
      </c>
    </row>
    <row r="1566" spans="1:6" x14ac:dyDescent="0.35">
      <c r="A1566" t="s">
        <v>227</v>
      </c>
      <c r="B1566" t="s">
        <v>251</v>
      </c>
      <c r="C1566" s="26">
        <v>0.97870000000000001</v>
      </c>
      <c r="E1566" s="26">
        <v>2.1299999999999999E-2</v>
      </c>
      <c r="F1566">
        <v>47</v>
      </c>
    </row>
    <row r="1567" spans="1:6" x14ac:dyDescent="0.35">
      <c r="A1567" s="27" t="s">
        <v>228</v>
      </c>
      <c r="B1567" s="27" t="s">
        <v>252</v>
      </c>
      <c r="C1567" s="28">
        <v>1</v>
      </c>
      <c r="D1567" s="29"/>
      <c r="E1567" s="29"/>
      <c r="F1567" s="29" t="s">
        <v>331</v>
      </c>
    </row>
    <row r="1568" spans="1:6" x14ac:dyDescent="0.35">
      <c r="A1568" t="s">
        <v>228</v>
      </c>
      <c r="B1568" t="s">
        <v>253</v>
      </c>
      <c r="C1568" s="26">
        <v>0.86670000000000003</v>
      </c>
      <c r="D1568" s="26">
        <v>0.1241</v>
      </c>
      <c r="E1568" s="26">
        <v>9.1999999999999998E-3</v>
      </c>
      <c r="F1568">
        <v>91</v>
      </c>
    </row>
    <row r="1569" spans="1:6" x14ac:dyDescent="0.35">
      <c r="A1569" t="s">
        <v>228</v>
      </c>
      <c r="B1569" t="s">
        <v>251</v>
      </c>
      <c r="C1569" s="26">
        <v>0.92020000000000002</v>
      </c>
      <c r="D1569" s="26">
        <v>6.6400000000000001E-2</v>
      </c>
      <c r="E1569" s="26">
        <v>1.34E-2</v>
      </c>
      <c r="F1569">
        <v>222</v>
      </c>
    </row>
    <row r="1570" spans="1:6" x14ac:dyDescent="0.35">
      <c r="A1570" s="27" t="s">
        <v>229</v>
      </c>
      <c r="B1570" s="27" t="s">
        <v>252</v>
      </c>
      <c r="C1570" s="28">
        <v>1</v>
      </c>
      <c r="D1570" s="29"/>
      <c r="E1570" s="29"/>
      <c r="F1570" s="29" t="s">
        <v>314</v>
      </c>
    </row>
    <row r="1571" spans="1:6" x14ac:dyDescent="0.35">
      <c r="A1571" t="s">
        <v>229</v>
      </c>
      <c r="B1571" t="s">
        <v>253</v>
      </c>
      <c r="C1571" s="26">
        <v>1</v>
      </c>
      <c r="F1571">
        <v>59</v>
      </c>
    </row>
    <row r="1572" spans="1:6" x14ac:dyDescent="0.35">
      <c r="A1572" t="s">
        <v>229</v>
      </c>
      <c r="B1572" t="s">
        <v>251</v>
      </c>
      <c r="C1572" s="26">
        <v>0.94120000000000004</v>
      </c>
      <c r="D1572" s="26">
        <v>5.8799999999999998E-2</v>
      </c>
      <c r="F1572">
        <v>274</v>
      </c>
    </row>
    <row r="1573" spans="1:6" x14ac:dyDescent="0.35">
      <c r="A1573" t="s">
        <v>230</v>
      </c>
      <c r="B1573" t="s">
        <v>253</v>
      </c>
      <c r="C1573" s="26">
        <v>0.98699999999999999</v>
      </c>
      <c r="D1573" s="26">
        <v>1.2999999999999999E-2</v>
      </c>
      <c r="F1573">
        <v>33</v>
      </c>
    </row>
    <row r="1574" spans="1:6" x14ac:dyDescent="0.35">
      <c r="A1574" t="s">
        <v>230</v>
      </c>
      <c r="B1574" t="s">
        <v>251</v>
      </c>
      <c r="C1574" s="26">
        <v>0.99660000000000004</v>
      </c>
      <c r="D1574" s="26">
        <v>3.3999999999999998E-3</v>
      </c>
      <c r="F1574">
        <v>170</v>
      </c>
    </row>
    <row r="1575" spans="1:6" x14ac:dyDescent="0.35">
      <c r="A1575" s="27" t="s">
        <v>231</v>
      </c>
      <c r="B1575" s="27" t="s">
        <v>252</v>
      </c>
      <c r="C1575" s="28">
        <v>1</v>
      </c>
      <c r="D1575" s="29"/>
      <c r="E1575" s="29"/>
      <c r="F1575" s="29" t="s">
        <v>315</v>
      </c>
    </row>
    <row r="1576" spans="1:6" x14ac:dyDescent="0.35">
      <c r="A1576" s="27" t="s">
        <v>231</v>
      </c>
      <c r="B1576" s="27" t="s">
        <v>253</v>
      </c>
      <c r="C1576" s="28">
        <v>1</v>
      </c>
      <c r="D1576" s="29"/>
      <c r="E1576" s="29"/>
      <c r="F1576" s="29" t="s">
        <v>339</v>
      </c>
    </row>
    <row r="1577" spans="1:6" x14ac:dyDescent="0.35">
      <c r="A1577" t="s">
        <v>231</v>
      </c>
      <c r="B1577" t="s">
        <v>251</v>
      </c>
      <c r="C1577" s="26">
        <v>1</v>
      </c>
      <c r="F1577">
        <v>43</v>
      </c>
    </row>
    <row r="1578" spans="1:6" x14ac:dyDescent="0.35">
      <c r="A1578" t="s">
        <v>232</v>
      </c>
      <c r="B1578" t="s">
        <v>232</v>
      </c>
      <c r="C1578" s="26">
        <v>0.96530000000000005</v>
      </c>
      <c r="D1578" s="26">
        <v>3.0099999999999998E-2</v>
      </c>
      <c r="E1578" s="26">
        <v>4.7000000000000002E-3</v>
      </c>
      <c r="F1578">
        <v>968</v>
      </c>
    </row>
    <row r="1580" spans="1:6" x14ac:dyDescent="0.35">
      <c r="A1580" s="1" t="s">
        <v>473</v>
      </c>
    </row>
    <row r="1581" spans="1:6" x14ac:dyDescent="0.35">
      <c r="A1581" t="s">
        <v>219</v>
      </c>
      <c r="B1581" t="s">
        <v>305</v>
      </c>
      <c r="C1581" t="s">
        <v>302</v>
      </c>
      <c r="D1581" t="s">
        <v>303</v>
      </c>
      <c r="E1581" t="s">
        <v>281</v>
      </c>
      <c r="F1581" t="s">
        <v>226</v>
      </c>
    </row>
    <row r="1582" spans="1:6" x14ac:dyDescent="0.35">
      <c r="A1582" t="s">
        <v>227</v>
      </c>
      <c r="B1582" t="s">
        <v>260</v>
      </c>
      <c r="C1582" s="26">
        <v>0.98080000000000001</v>
      </c>
      <c r="E1582" s="26">
        <v>1.9199999999999998E-2</v>
      </c>
      <c r="F1582">
        <v>52</v>
      </c>
    </row>
    <row r="1583" spans="1:6" x14ac:dyDescent="0.35">
      <c r="A1583" s="27" t="s">
        <v>227</v>
      </c>
      <c r="B1583" s="27" t="s">
        <v>261</v>
      </c>
      <c r="C1583" s="28">
        <v>1</v>
      </c>
      <c r="D1583" s="29"/>
      <c r="E1583" s="29"/>
      <c r="F1583" s="29" t="s">
        <v>335</v>
      </c>
    </row>
    <row r="1584" spans="1:6" x14ac:dyDescent="0.35">
      <c r="A1584" s="27" t="s">
        <v>227</v>
      </c>
      <c r="B1584" s="27" t="s">
        <v>262</v>
      </c>
      <c r="C1584" s="28">
        <v>1</v>
      </c>
      <c r="D1584" s="29"/>
      <c r="E1584" s="29"/>
      <c r="F1584" s="29" t="s">
        <v>332</v>
      </c>
    </row>
    <row r="1585" spans="1:6" x14ac:dyDescent="0.35">
      <c r="A1585" s="27" t="s">
        <v>228</v>
      </c>
      <c r="B1585" s="27" t="s">
        <v>263</v>
      </c>
      <c r="C1585" s="28">
        <v>1</v>
      </c>
      <c r="D1585" s="29"/>
      <c r="E1585" s="29"/>
      <c r="F1585" s="29" t="s">
        <v>339</v>
      </c>
    </row>
    <row r="1586" spans="1:6" x14ac:dyDescent="0.35">
      <c r="A1586" t="s">
        <v>228</v>
      </c>
      <c r="B1586" t="s">
        <v>262</v>
      </c>
      <c r="C1586" s="26">
        <v>0.84019999999999995</v>
      </c>
      <c r="D1586" s="26">
        <v>0.15079999999999999</v>
      </c>
      <c r="E1586" s="26">
        <v>8.9999999999999993E-3</v>
      </c>
      <c r="F1586">
        <v>94</v>
      </c>
    </row>
    <row r="1587" spans="1:6" x14ac:dyDescent="0.35">
      <c r="A1587" t="s">
        <v>228</v>
      </c>
      <c r="B1587" t="s">
        <v>260</v>
      </c>
      <c r="C1587" s="26">
        <v>0.97170000000000001</v>
      </c>
      <c r="D1587" s="26">
        <v>7.7000000000000002E-3</v>
      </c>
      <c r="E1587" s="26">
        <v>2.06E-2</v>
      </c>
      <c r="F1587">
        <v>136</v>
      </c>
    </row>
    <row r="1588" spans="1:6" x14ac:dyDescent="0.35">
      <c r="A1588" s="27" t="s">
        <v>228</v>
      </c>
      <c r="B1588" s="27" t="s">
        <v>236</v>
      </c>
      <c r="C1588" s="28">
        <v>1</v>
      </c>
      <c r="D1588" s="29"/>
      <c r="E1588" s="29"/>
      <c r="F1588" s="29" t="s">
        <v>314</v>
      </c>
    </row>
    <row r="1589" spans="1:6" x14ac:dyDescent="0.35">
      <c r="A1589" t="s">
        <v>228</v>
      </c>
      <c r="B1589" t="s">
        <v>261</v>
      </c>
      <c r="C1589" s="26">
        <v>0.84389999999999998</v>
      </c>
      <c r="D1589" s="26">
        <v>0.15609999999999999</v>
      </c>
      <c r="F1589">
        <v>75</v>
      </c>
    </row>
    <row r="1590" spans="1:6" x14ac:dyDescent="0.35">
      <c r="A1590" s="27" t="s">
        <v>229</v>
      </c>
      <c r="B1590" s="27" t="s">
        <v>263</v>
      </c>
      <c r="C1590" s="28">
        <v>1</v>
      </c>
      <c r="D1590" s="29"/>
      <c r="E1590" s="29"/>
      <c r="F1590" s="29" t="s">
        <v>333</v>
      </c>
    </row>
    <row r="1591" spans="1:6" x14ac:dyDescent="0.35">
      <c r="A1591" t="s">
        <v>229</v>
      </c>
      <c r="B1591" t="s">
        <v>261</v>
      </c>
      <c r="C1591" s="26">
        <v>0.89249999999999996</v>
      </c>
      <c r="D1591" s="26">
        <v>0.1075</v>
      </c>
      <c r="F1591">
        <v>42</v>
      </c>
    </row>
    <row r="1592" spans="1:6" x14ac:dyDescent="0.35">
      <c r="A1592" t="s">
        <v>229</v>
      </c>
      <c r="B1592" t="s">
        <v>262</v>
      </c>
      <c r="C1592" s="26">
        <v>0.93810000000000004</v>
      </c>
      <c r="D1592" s="26">
        <v>6.1899999999999997E-2</v>
      </c>
      <c r="F1592">
        <v>104</v>
      </c>
    </row>
    <row r="1593" spans="1:6" x14ac:dyDescent="0.35">
      <c r="A1593" t="s">
        <v>229</v>
      </c>
      <c r="B1593" t="s">
        <v>260</v>
      </c>
      <c r="C1593" s="26">
        <v>0.98550000000000004</v>
      </c>
      <c r="D1593" s="26">
        <v>1.4500000000000001E-2</v>
      </c>
      <c r="F1593">
        <v>181</v>
      </c>
    </row>
    <row r="1594" spans="1:6" x14ac:dyDescent="0.35">
      <c r="A1594" t="s">
        <v>230</v>
      </c>
      <c r="B1594" t="s">
        <v>261</v>
      </c>
      <c r="C1594" s="26">
        <v>0.99509999999999998</v>
      </c>
      <c r="D1594" s="26">
        <v>4.8999999999999998E-3</v>
      </c>
      <c r="F1594">
        <v>30</v>
      </c>
    </row>
    <row r="1595" spans="1:6" x14ac:dyDescent="0.35">
      <c r="A1595" s="27" t="s">
        <v>230</v>
      </c>
      <c r="B1595" s="27" t="s">
        <v>236</v>
      </c>
      <c r="C1595" s="28">
        <v>1</v>
      </c>
      <c r="D1595" s="29"/>
      <c r="E1595" s="29"/>
      <c r="F1595" s="29" t="s">
        <v>314</v>
      </c>
    </row>
    <row r="1596" spans="1:6" x14ac:dyDescent="0.35">
      <c r="A1596" t="s">
        <v>230</v>
      </c>
      <c r="B1596" t="s">
        <v>262</v>
      </c>
      <c r="C1596" s="26">
        <v>0.98729999999999996</v>
      </c>
      <c r="D1596" s="26">
        <v>1.2699999999999999E-2</v>
      </c>
      <c r="F1596">
        <v>57</v>
      </c>
    </row>
    <row r="1597" spans="1:6" x14ac:dyDescent="0.35">
      <c r="A1597" t="s">
        <v>230</v>
      </c>
      <c r="B1597" t="s">
        <v>260</v>
      </c>
      <c r="C1597" s="26">
        <v>0.99660000000000004</v>
      </c>
      <c r="D1597" s="26">
        <v>3.3999999999999998E-3</v>
      </c>
      <c r="F1597">
        <v>107</v>
      </c>
    </row>
    <row r="1598" spans="1:6" x14ac:dyDescent="0.35">
      <c r="A1598" s="27" t="s">
        <v>230</v>
      </c>
      <c r="B1598" s="27" t="s">
        <v>263</v>
      </c>
      <c r="C1598" s="28">
        <v>1</v>
      </c>
      <c r="D1598" s="29"/>
      <c r="E1598" s="29"/>
      <c r="F1598" s="29" t="s">
        <v>339</v>
      </c>
    </row>
    <row r="1599" spans="1:6" x14ac:dyDescent="0.35">
      <c r="A1599" s="27" t="s">
        <v>231</v>
      </c>
      <c r="B1599" s="27" t="s">
        <v>263</v>
      </c>
      <c r="C1599" s="28">
        <v>1</v>
      </c>
      <c r="D1599" s="29"/>
      <c r="E1599" s="29"/>
      <c r="F1599" s="29" t="s">
        <v>314</v>
      </c>
    </row>
    <row r="1600" spans="1:6" x14ac:dyDescent="0.35">
      <c r="A1600" t="s">
        <v>231</v>
      </c>
      <c r="B1600" t="s">
        <v>260</v>
      </c>
      <c r="C1600" s="26">
        <v>1</v>
      </c>
      <c r="F1600">
        <v>41</v>
      </c>
    </row>
    <row r="1601" spans="1:6" x14ac:dyDescent="0.35">
      <c r="A1601" s="27" t="s">
        <v>231</v>
      </c>
      <c r="B1601" s="27" t="s">
        <v>261</v>
      </c>
      <c r="C1601" s="28">
        <v>1</v>
      </c>
      <c r="D1601" s="29"/>
      <c r="E1601" s="29"/>
      <c r="F1601" s="29" t="s">
        <v>335</v>
      </c>
    </row>
    <row r="1602" spans="1:6" x14ac:dyDescent="0.35">
      <c r="A1602" s="27" t="s">
        <v>231</v>
      </c>
      <c r="B1602" s="27" t="s">
        <v>262</v>
      </c>
      <c r="C1602" s="28">
        <v>1</v>
      </c>
      <c r="D1602" s="29"/>
      <c r="E1602" s="29"/>
      <c r="F1602" s="29" t="s">
        <v>337</v>
      </c>
    </row>
    <row r="1603" spans="1:6" x14ac:dyDescent="0.35">
      <c r="A1603" t="s">
        <v>232</v>
      </c>
      <c r="B1603" t="s">
        <v>232</v>
      </c>
      <c r="C1603" s="26">
        <v>0.96530000000000005</v>
      </c>
      <c r="D1603" s="26">
        <v>3.0099999999999998E-2</v>
      </c>
      <c r="E1603" s="26">
        <v>4.7000000000000002E-3</v>
      </c>
      <c r="F1603">
        <v>968</v>
      </c>
    </row>
    <row r="1605" spans="1:6" x14ac:dyDescent="0.35">
      <c r="A1605" s="1" t="s">
        <v>474</v>
      </c>
    </row>
    <row r="1606" spans="1:6" x14ac:dyDescent="0.35">
      <c r="A1606" t="s">
        <v>219</v>
      </c>
      <c r="B1606" t="s">
        <v>305</v>
      </c>
      <c r="C1606" t="s">
        <v>302</v>
      </c>
      <c r="D1606" t="s">
        <v>303</v>
      </c>
      <c r="E1606" t="s">
        <v>281</v>
      </c>
      <c r="F1606" t="s">
        <v>226</v>
      </c>
    </row>
    <row r="1607" spans="1:6" x14ac:dyDescent="0.35">
      <c r="A1607" s="27" t="s">
        <v>227</v>
      </c>
      <c r="B1607" s="27" t="s">
        <v>368</v>
      </c>
      <c r="C1607" s="28">
        <v>1</v>
      </c>
      <c r="D1607" s="29"/>
      <c r="E1607" s="29"/>
      <c r="F1607" s="29" t="s">
        <v>335</v>
      </c>
    </row>
    <row r="1608" spans="1:6" x14ac:dyDescent="0.35">
      <c r="A1608" t="s">
        <v>227</v>
      </c>
      <c r="B1608" t="s">
        <v>369</v>
      </c>
      <c r="C1608" s="26">
        <v>0.98250000000000004</v>
      </c>
      <c r="E1608" s="26">
        <v>1.7500000000000002E-2</v>
      </c>
      <c r="F1608">
        <v>57</v>
      </c>
    </row>
    <row r="1609" spans="1:6" x14ac:dyDescent="0.35">
      <c r="A1609" t="s">
        <v>228</v>
      </c>
      <c r="B1609" t="s">
        <v>368</v>
      </c>
      <c r="C1609" s="26">
        <v>0.84389999999999998</v>
      </c>
      <c r="D1609" s="26">
        <v>0.15609999999999999</v>
      </c>
      <c r="F1609">
        <v>75</v>
      </c>
    </row>
    <row r="1610" spans="1:6" x14ac:dyDescent="0.35">
      <c r="A1610" t="s">
        <v>228</v>
      </c>
      <c r="B1610" t="s">
        <v>369</v>
      </c>
      <c r="C1610" s="26">
        <v>0.92620000000000002</v>
      </c>
      <c r="D1610" s="26">
        <v>5.8000000000000003E-2</v>
      </c>
      <c r="E1610" s="26">
        <v>1.5900000000000001E-2</v>
      </c>
      <c r="F1610">
        <v>239</v>
      </c>
    </row>
    <row r="1611" spans="1:6" x14ac:dyDescent="0.35">
      <c r="A1611" t="s">
        <v>229</v>
      </c>
      <c r="B1611" t="s">
        <v>368</v>
      </c>
      <c r="C1611" s="26">
        <v>0.89249999999999996</v>
      </c>
      <c r="D1611" s="26">
        <v>0.1075</v>
      </c>
      <c r="F1611">
        <v>42</v>
      </c>
    </row>
    <row r="1612" spans="1:6" x14ac:dyDescent="0.35">
      <c r="A1612" t="s">
        <v>229</v>
      </c>
      <c r="B1612" t="s">
        <v>369</v>
      </c>
      <c r="C1612" s="26">
        <v>0.96389999999999998</v>
      </c>
      <c r="D1612" s="26">
        <v>3.61E-2</v>
      </c>
      <c r="F1612">
        <v>293</v>
      </c>
    </row>
    <row r="1613" spans="1:6" x14ac:dyDescent="0.35">
      <c r="A1613" t="s">
        <v>230</v>
      </c>
      <c r="B1613" t="s">
        <v>368</v>
      </c>
      <c r="C1613" s="26">
        <v>0.99509999999999998</v>
      </c>
      <c r="D1613" s="26">
        <v>4.8999999999999998E-3</v>
      </c>
      <c r="F1613">
        <v>30</v>
      </c>
    </row>
    <row r="1614" spans="1:6" x14ac:dyDescent="0.35">
      <c r="A1614" t="s">
        <v>230</v>
      </c>
      <c r="B1614" t="s">
        <v>369</v>
      </c>
      <c r="C1614" s="26">
        <v>0.99490000000000001</v>
      </c>
      <c r="D1614" s="26">
        <v>5.1000000000000004E-3</v>
      </c>
      <c r="F1614">
        <v>173</v>
      </c>
    </row>
    <row r="1615" spans="1:6" x14ac:dyDescent="0.35">
      <c r="A1615" s="27" t="s">
        <v>231</v>
      </c>
      <c r="B1615" s="27" t="s">
        <v>368</v>
      </c>
      <c r="C1615" s="28">
        <v>1</v>
      </c>
      <c r="D1615" s="29"/>
      <c r="E1615" s="29"/>
      <c r="F1615" s="29" t="s">
        <v>335</v>
      </c>
    </row>
    <row r="1616" spans="1:6" x14ac:dyDescent="0.35">
      <c r="A1616" t="s">
        <v>231</v>
      </c>
      <c r="B1616" t="s">
        <v>369</v>
      </c>
      <c r="C1616" s="26">
        <v>1</v>
      </c>
      <c r="F1616">
        <v>47</v>
      </c>
    </row>
    <row r="1617" spans="1:6" x14ac:dyDescent="0.35">
      <c r="A1617" t="s">
        <v>232</v>
      </c>
      <c r="B1617" t="s">
        <v>232</v>
      </c>
      <c r="C1617" s="26">
        <v>0.96530000000000005</v>
      </c>
      <c r="D1617" s="26">
        <v>3.0099999999999998E-2</v>
      </c>
      <c r="E1617" s="26">
        <v>4.7000000000000002E-3</v>
      </c>
      <c r="F1617">
        <v>968</v>
      </c>
    </row>
    <row r="1619" spans="1:6" x14ac:dyDescent="0.35">
      <c r="A1619" s="1" t="s">
        <v>475</v>
      </c>
    </row>
    <row r="1620" spans="1:6" x14ac:dyDescent="0.35">
      <c r="A1620" t="s">
        <v>219</v>
      </c>
      <c r="B1620" t="s">
        <v>305</v>
      </c>
      <c r="C1620" t="s">
        <v>302</v>
      </c>
      <c r="D1620" t="s">
        <v>303</v>
      </c>
      <c r="E1620" t="s">
        <v>281</v>
      </c>
      <c r="F1620" t="s">
        <v>226</v>
      </c>
    </row>
    <row r="1621" spans="1:6" x14ac:dyDescent="0.35">
      <c r="A1621" t="s">
        <v>227</v>
      </c>
      <c r="B1621" t="s">
        <v>371</v>
      </c>
      <c r="C1621" s="26">
        <v>0.98409999999999997</v>
      </c>
      <c r="E1621" s="26">
        <v>1.5900000000000001E-2</v>
      </c>
      <c r="F1621">
        <v>63</v>
      </c>
    </row>
    <row r="1622" spans="1:6" x14ac:dyDescent="0.35">
      <c r="A1622" t="s">
        <v>228</v>
      </c>
      <c r="B1622" t="s">
        <v>371</v>
      </c>
      <c r="C1622" s="26">
        <v>0.90110000000000001</v>
      </c>
      <c r="D1622" s="26">
        <v>8.3000000000000004E-2</v>
      </c>
      <c r="E1622" s="26">
        <v>1.5900000000000001E-2</v>
      </c>
      <c r="F1622">
        <v>111</v>
      </c>
    </row>
    <row r="1623" spans="1:6" x14ac:dyDescent="0.35">
      <c r="A1623" t="s">
        <v>228</v>
      </c>
      <c r="B1623" t="s">
        <v>372</v>
      </c>
      <c r="C1623" s="26">
        <v>0.81340000000000001</v>
      </c>
      <c r="D1623" s="26">
        <v>0.18659999999999999</v>
      </c>
      <c r="F1623">
        <v>51</v>
      </c>
    </row>
    <row r="1624" spans="1:6" x14ac:dyDescent="0.35">
      <c r="A1624" t="s">
        <v>228</v>
      </c>
      <c r="B1624" t="s">
        <v>373</v>
      </c>
      <c r="C1624" s="26">
        <v>0.93640000000000001</v>
      </c>
      <c r="D1624" s="26">
        <v>5.6099999999999997E-2</v>
      </c>
      <c r="E1624" s="26">
        <v>7.4999999999999997E-3</v>
      </c>
      <c r="F1624">
        <v>152</v>
      </c>
    </row>
    <row r="1625" spans="1:6" x14ac:dyDescent="0.35">
      <c r="A1625" t="s">
        <v>229</v>
      </c>
      <c r="B1625" t="s">
        <v>371</v>
      </c>
      <c r="C1625" s="26">
        <v>0.95330000000000004</v>
      </c>
      <c r="D1625" s="26">
        <v>4.6699999999999998E-2</v>
      </c>
      <c r="F1625">
        <v>230</v>
      </c>
    </row>
    <row r="1626" spans="1:6" x14ac:dyDescent="0.35">
      <c r="A1626" t="s">
        <v>229</v>
      </c>
      <c r="B1626" t="s">
        <v>372</v>
      </c>
      <c r="C1626" s="26">
        <v>0.94720000000000004</v>
      </c>
      <c r="D1626" s="26">
        <v>5.28E-2</v>
      </c>
      <c r="F1626">
        <v>76</v>
      </c>
    </row>
    <row r="1627" spans="1:6" x14ac:dyDescent="0.35">
      <c r="A1627" s="27" t="s">
        <v>229</v>
      </c>
      <c r="B1627" s="27" t="s">
        <v>373</v>
      </c>
      <c r="C1627" s="28">
        <v>0.94299999999999995</v>
      </c>
      <c r="D1627" s="28">
        <v>5.7000000000000002E-2</v>
      </c>
      <c r="E1627" s="29"/>
      <c r="F1627" s="29" t="s">
        <v>329</v>
      </c>
    </row>
    <row r="1628" spans="1:6" x14ac:dyDescent="0.35">
      <c r="A1628" t="s">
        <v>230</v>
      </c>
      <c r="B1628" t="s">
        <v>371</v>
      </c>
      <c r="C1628" s="26">
        <v>0.99739999999999995</v>
      </c>
      <c r="D1628" s="26">
        <v>2.5999999999999999E-3</v>
      </c>
      <c r="F1628">
        <v>113</v>
      </c>
    </row>
    <row r="1629" spans="1:6" x14ac:dyDescent="0.35">
      <c r="A1629" t="s">
        <v>230</v>
      </c>
      <c r="B1629" t="s">
        <v>372</v>
      </c>
      <c r="C1629" s="26">
        <v>0.98340000000000005</v>
      </c>
      <c r="D1629" s="26">
        <v>1.66E-2</v>
      </c>
      <c r="F1629">
        <v>40</v>
      </c>
    </row>
    <row r="1630" spans="1:6" x14ac:dyDescent="0.35">
      <c r="A1630" t="s">
        <v>230</v>
      </c>
      <c r="B1630" t="s">
        <v>373</v>
      </c>
      <c r="C1630" s="26">
        <v>0.9788</v>
      </c>
      <c r="D1630" s="26">
        <v>2.12E-2</v>
      </c>
      <c r="F1630">
        <v>50</v>
      </c>
    </row>
    <row r="1631" spans="1:6" x14ac:dyDescent="0.35">
      <c r="A1631" t="s">
        <v>231</v>
      </c>
      <c r="B1631" t="s">
        <v>371</v>
      </c>
      <c r="C1631" s="26">
        <v>1</v>
      </c>
      <c r="F1631">
        <v>53</v>
      </c>
    </row>
    <row r="1632" spans="1:6" x14ac:dyDescent="0.35">
      <c r="A1632" t="s">
        <v>232</v>
      </c>
      <c r="B1632" t="s">
        <v>232</v>
      </c>
      <c r="C1632" s="26">
        <v>0.96530000000000005</v>
      </c>
      <c r="D1632" s="26">
        <v>3.0099999999999998E-2</v>
      </c>
      <c r="E1632" s="26">
        <v>4.7000000000000002E-3</v>
      </c>
      <c r="F1632">
        <v>968</v>
      </c>
    </row>
    <row r="1634" spans="1:6" x14ac:dyDescent="0.35">
      <c r="A1634" s="1" t="s">
        <v>476</v>
      </c>
    </row>
    <row r="1635" spans="1:6" x14ac:dyDescent="0.35">
      <c r="A1635" t="s">
        <v>219</v>
      </c>
      <c r="B1635" t="s">
        <v>305</v>
      </c>
      <c r="C1635" t="s">
        <v>302</v>
      </c>
      <c r="D1635" t="s">
        <v>303</v>
      </c>
      <c r="E1635" t="s">
        <v>281</v>
      </c>
      <c r="F1635" t="s">
        <v>226</v>
      </c>
    </row>
    <row r="1636" spans="1:6" x14ac:dyDescent="0.35">
      <c r="A1636" s="27" t="s">
        <v>227</v>
      </c>
      <c r="B1636" s="27" t="s">
        <v>375</v>
      </c>
      <c r="C1636" s="28">
        <v>0.94440000000000002</v>
      </c>
      <c r="D1636" s="29"/>
      <c r="E1636" s="28">
        <v>5.5599999999999997E-2</v>
      </c>
      <c r="F1636" s="29" t="s">
        <v>353</v>
      </c>
    </row>
    <row r="1637" spans="1:6" x14ac:dyDescent="0.35">
      <c r="A1637" s="27" t="s">
        <v>227</v>
      </c>
      <c r="B1637" s="27" t="s">
        <v>376</v>
      </c>
      <c r="C1637" s="28">
        <v>1</v>
      </c>
      <c r="D1637" s="29"/>
      <c r="E1637" s="29"/>
      <c r="F1637" s="29" t="s">
        <v>351</v>
      </c>
    </row>
    <row r="1638" spans="1:6" x14ac:dyDescent="0.35">
      <c r="A1638" s="27" t="s">
        <v>227</v>
      </c>
      <c r="B1638" s="27" t="s">
        <v>377</v>
      </c>
      <c r="C1638" s="28">
        <v>1</v>
      </c>
      <c r="D1638" s="29"/>
      <c r="E1638" s="29"/>
      <c r="F1638" s="29" t="s">
        <v>349</v>
      </c>
    </row>
    <row r="1639" spans="1:6" x14ac:dyDescent="0.35">
      <c r="A1639" s="27" t="s">
        <v>227</v>
      </c>
      <c r="B1639" s="27" t="s">
        <v>378</v>
      </c>
      <c r="C1639" s="28">
        <v>1</v>
      </c>
      <c r="D1639" s="29"/>
      <c r="E1639" s="29"/>
      <c r="F1639" s="29" t="s">
        <v>332</v>
      </c>
    </row>
    <row r="1640" spans="1:6" x14ac:dyDescent="0.35">
      <c r="A1640" t="s">
        <v>228</v>
      </c>
      <c r="B1640" t="s">
        <v>377</v>
      </c>
      <c r="C1640" s="26">
        <v>0.97609999999999997</v>
      </c>
      <c r="D1640" s="26">
        <v>1.44E-2</v>
      </c>
      <c r="E1640" s="26">
        <v>9.4999999999999998E-3</v>
      </c>
      <c r="F1640">
        <v>72</v>
      </c>
    </row>
    <row r="1641" spans="1:6" x14ac:dyDescent="0.35">
      <c r="A1641" t="s">
        <v>228</v>
      </c>
      <c r="B1641" t="s">
        <v>376</v>
      </c>
      <c r="C1641" s="26">
        <v>0.86260000000000003</v>
      </c>
      <c r="D1641" s="26">
        <v>0.1012</v>
      </c>
      <c r="E1641" s="26">
        <v>3.6200000000000003E-2</v>
      </c>
      <c r="F1641">
        <v>90</v>
      </c>
    </row>
    <row r="1642" spans="1:6" x14ac:dyDescent="0.35">
      <c r="A1642" s="27" t="s">
        <v>228</v>
      </c>
      <c r="B1642" s="27" t="s">
        <v>378</v>
      </c>
      <c r="C1642" s="28">
        <v>0.78090000000000004</v>
      </c>
      <c r="D1642" s="28">
        <v>0.21909999999999999</v>
      </c>
      <c r="E1642" s="29"/>
      <c r="F1642" s="29" t="s">
        <v>351</v>
      </c>
    </row>
    <row r="1643" spans="1:6" x14ac:dyDescent="0.35">
      <c r="A1643" t="s">
        <v>228</v>
      </c>
      <c r="B1643" t="s">
        <v>375</v>
      </c>
      <c r="C1643" s="26">
        <v>0.90349999999999997</v>
      </c>
      <c r="D1643" s="26">
        <v>9.6500000000000002E-2</v>
      </c>
      <c r="F1643">
        <v>131</v>
      </c>
    </row>
    <row r="1644" spans="1:6" x14ac:dyDescent="0.35">
      <c r="A1644" t="s">
        <v>229</v>
      </c>
      <c r="B1644" t="s">
        <v>375</v>
      </c>
      <c r="C1644" s="26">
        <v>0.94410000000000005</v>
      </c>
      <c r="D1644" s="26">
        <v>5.5899999999999998E-2</v>
      </c>
      <c r="F1644">
        <v>138</v>
      </c>
    </row>
    <row r="1645" spans="1:6" x14ac:dyDescent="0.35">
      <c r="A1645" t="s">
        <v>229</v>
      </c>
      <c r="B1645" t="s">
        <v>376</v>
      </c>
      <c r="C1645" s="26">
        <v>0.96020000000000005</v>
      </c>
      <c r="D1645" s="26">
        <v>3.9800000000000002E-2</v>
      </c>
      <c r="F1645">
        <v>79</v>
      </c>
    </row>
    <row r="1646" spans="1:6" x14ac:dyDescent="0.35">
      <c r="A1646" t="s">
        <v>229</v>
      </c>
      <c r="B1646" t="s">
        <v>378</v>
      </c>
      <c r="C1646" s="26">
        <v>0.93859999999999999</v>
      </c>
      <c r="D1646" s="26">
        <v>6.1400000000000003E-2</v>
      </c>
      <c r="F1646">
        <v>39</v>
      </c>
    </row>
    <row r="1647" spans="1:6" x14ac:dyDescent="0.35">
      <c r="A1647" t="s">
        <v>229</v>
      </c>
      <c r="B1647" t="s">
        <v>377</v>
      </c>
      <c r="C1647" s="26">
        <v>0.96689999999999998</v>
      </c>
      <c r="D1647" s="26">
        <v>3.3099999999999997E-2</v>
      </c>
      <c r="F1647">
        <v>79</v>
      </c>
    </row>
    <row r="1648" spans="1:6" x14ac:dyDescent="0.35">
      <c r="A1648" t="s">
        <v>230</v>
      </c>
      <c r="B1648" t="s">
        <v>376</v>
      </c>
      <c r="C1648" s="26">
        <v>0.99050000000000005</v>
      </c>
      <c r="D1648" s="26">
        <v>9.4999999999999998E-3</v>
      </c>
      <c r="F1648">
        <v>57</v>
      </c>
    </row>
    <row r="1649" spans="1:6" x14ac:dyDescent="0.35">
      <c r="A1649" s="27" t="s">
        <v>230</v>
      </c>
      <c r="B1649" s="27" t="s">
        <v>378</v>
      </c>
      <c r="C1649" s="28">
        <v>1</v>
      </c>
      <c r="D1649" s="29"/>
      <c r="E1649" s="29"/>
      <c r="F1649" s="29" t="s">
        <v>349</v>
      </c>
    </row>
    <row r="1650" spans="1:6" x14ac:dyDescent="0.35">
      <c r="A1650" t="s">
        <v>230</v>
      </c>
      <c r="B1650" t="s">
        <v>377</v>
      </c>
      <c r="C1650" s="26">
        <v>0.98799999999999999</v>
      </c>
      <c r="D1650" s="26">
        <v>1.2E-2</v>
      </c>
      <c r="F1650">
        <v>37</v>
      </c>
    </row>
    <row r="1651" spans="1:6" x14ac:dyDescent="0.35">
      <c r="A1651" t="s">
        <v>230</v>
      </c>
      <c r="B1651" t="s">
        <v>375</v>
      </c>
      <c r="C1651" s="26">
        <v>1</v>
      </c>
      <c r="F1651">
        <v>90</v>
      </c>
    </row>
    <row r="1652" spans="1:6" x14ac:dyDescent="0.35">
      <c r="A1652" s="27" t="s">
        <v>231</v>
      </c>
      <c r="B1652" s="27" t="s">
        <v>376</v>
      </c>
      <c r="C1652" s="28">
        <v>1</v>
      </c>
      <c r="D1652" s="29"/>
      <c r="E1652" s="29"/>
      <c r="F1652" s="29" t="s">
        <v>342</v>
      </c>
    </row>
    <row r="1653" spans="1:6" x14ac:dyDescent="0.35">
      <c r="A1653" s="27" t="s">
        <v>231</v>
      </c>
      <c r="B1653" s="27" t="s">
        <v>375</v>
      </c>
      <c r="C1653" s="28">
        <v>1</v>
      </c>
      <c r="D1653" s="29"/>
      <c r="E1653" s="29"/>
      <c r="F1653" s="29" t="s">
        <v>351</v>
      </c>
    </row>
    <row r="1654" spans="1:6" x14ac:dyDescent="0.35">
      <c r="A1654" s="27" t="s">
        <v>231</v>
      </c>
      <c r="B1654" s="27" t="s">
        <v>377</v>
      </c>
      <c r="C1654" s="28">
        <v>1</v>
      </c>
      <c r="D1654" s="29"/>
      <c r="E1654" s="29"/>
      <c r="F1654" s="29" t="s">
        <v>352</v>
      </c>
    </row>
    <row r="1655" spans="1:6" x14ac:dyDescent="0.35">
      <c r="A1655" s="27" t="s">
        <v>231</v>
      </c>
      <c r="B1655" s="27" t="s">
        <v>378</v>
      </c>
      <c r="C1655" s="28">
        <v>1</v>
      </c>
      <c r="D1655" s="29"/>
      <c r="E1655" s="29"/>
      <c r="F1655" s="29" t="s">
        <v>334</v>
      </c>
    </row>
    <row r="1656" spans="1:6" x14ac:dyDescent="0.35">
      <c r="A1656" t="s">
        <v>232</v>
      </c>
      <c r="B1656" t="s">
        <v>232</v>
      </c>
      <c r="C1656" s="26">
        <v>0.96530000000000005</v>
      </c>
      <c r="D1656" s="26">
        <v>3.0099999999999998E-2</v>
      </c>
      <c r="E1656" s="26">
        <v>4.7000000000000002E-3</v>
      </c>
      <c r="F1656">
        <v>968</v>
      </c>
    </row>
    <row r="1658" spans="1:6" x14ac:dyDescent="0.35">
      <c r="A1658" s="1" t="s">
        <v>477</v>
      </c>
    </row>
    <row r="1659" spans="1:6" x14ac:dyDescent="0.35">
      <c r="A1659" t="s">
        <v>219</v>
      </c>
      <c r="B1659" t="s">
        <v>305</v>
      </c>
      <c r="C1659" t="s">
        <v>302</v>
      </c>
      <c r="D1659" t="s">
        <v>303</v>
      </c>
      <c r="E1659" t="s">
        <v>281</v>
      </c>
      <c r="F1659" t="s">
        <v>226</v>
      </c>
    </row>
    <row r="1660" spans="1:6" x14ac:dyDescent="0.35">
      <c r="A1660" t="s">
        <v>227</v>
      </c>
      <c r="B1660" t="s">
        <v>235</v>
      </c>
      <c r="C1660" s="26">
        <v>0.96970000000000001</v>
      </c>
      <c r="E1660" s="26">
        <v>3.0300000000000001E-2</v>
      </c>
      <c r="F1660">
        <v>33</v>
      </c>
    </row>
    <row r="1661" spans="1:6" x14ac:dyDescent="0.35">
      <c r="A1661" t="s">
        <v>227</v>
      </c>
      <c r="B1661" t="s">
        <v>234</v>
      </c>
      <c r="C1661" s="26">
        <v>1</v>
      </c>
      <c r="F1661">
        <v>30</v>
      </c>
    </row>
    <row r="1662" spans="1:6" x14ac:dyDescent="0.35">
      <c r="A1662" t="s">
        <v>228</v>
      </c>
      <c r="B1662" t="s">
        <v>235</v>
      </c>
      <c r="C1662" s="26">
        <v>0.87680000000000002</v>
      </c>
      <c r="D1662" s="26">
        <v>0.1183</v>
      </c>
      <c r="E1662" s="26">
        <v>5.0000000000000001E-3</v>
      </c>
      <c r="F1662">
        <v>162</v>
      </c>
    </row>
    <row r="1663" spans="1:6" x14ac:dyDescent="0.35">
      <c r="A1663" t="s">
        <v>228</v>
      </c>
      <c r="B1663" t="s">
        <v>234</v>
      </c>
      <c r="C1663" s="26">
        <v>0.93579999999999997</v>
      </c>
      <c r="D1663" s="26">
        <v>4.5199999999999997E-2</v>
      </c>
      <c r="E1663" s="26">
        <v>1.9E-2</v>
      </c>
      <c r="F1663">
        <v>152</v>
      </c>
    </row>
    <row r="1664" spans="1:6" x14ac:dyDescent="0.35">
      <c r="A1664" t="s">
        <v>229</v>
      </c>
      <c r="B1664" t="s">
        <v>235</v>
      </c>
      <c r="C1664" s="26">
        <v>0.95250000000000001</v>
      </c>
      <c r="D1664" s="26">
        <v>4.7500000000000001E-2</v>
      </c>
      <c r="F1664">
        <v>156</v>
      </c>
    </row>
    <row r="1665" spans="1:7" x14ac:dyDescent="0.35">
      <c r="A1665" t="s">
        <v>229</v>
      </c>
      <c r="B1665" t="s">
        <v>234</v>
      </c>
      <c r="C1665" s="26">
        <v>0.95309999999999995</v>
      </c>
      <c r="D1665" s="26">
        <v>4.6899999999999997E-2</v>
      </c>
      <c r="F1665">
        <v>179</v>
      </c>
    </row>
    <row r="1666" spans="1:7" x14ac:dyDescent="0.35">
      <c r="A1666" t="s">
        <v>230</v>
      </c>
      <c r="B1666" t="s">
        <v>235</v>
      </c>
      <c r="C1666" s="26">
        <v>0.99360000000000004</v>
      </c>
      <c r="D1666" s="26">
        <v>6.4000000000000003E-3</v>
      </c>
      <c r="F1666">
        <v>104</v>
      </c>
    </row>
    <row r="1667" spans="1:7" x14ac:dyDescent="0.35">
      <c r="A1667" s="27" t="s">
        <v>230</v>
      </c>
      <c r="B1667" s="27" t="s">
        <v>236</v>
      </c>
      <c r="C1667" s="28">
        <v>1</v>
      </c>
      <c r="D1667" s="29"/>
      <c r="E1667" s="29"/>
      <c r="F1667" s="29" t="s">
        <v>331</v>
      </c>
    </row>
    <row r="1668" spans="1:7" x14ac:dyDescent="0.35">
      <c r="A1668" t="s">
        <v>230</v>
      </c>
      <c r="B1668" t="s">
        <v>234</v>
      </c>
      <c r="C1668" s="26">
        <v>0.996</v>
      </c>
      <c r="D1668" s="26">
        <v>4.0000000000000001E-3</v>
      </c>
      <c r="F1668">
        <v>98</v>
      </c>
    </row>
    <row r="1669" spans="1:7" x14ac:dyDescent="0.35">
      <c r="A1669" s="27" t="s">
        <v>231</v>
      </c>
      <c r="B1669" s="27" t="s">
        <v>235</v>
      </c>
      <c r="C1669" s="28">
        <v>1</v>
      </c>
      <c r="D1669" s="29"/>
      <c r="E1669" s="29"/>
      <c r="F1669" s="29" t="s">
        <v>336</v>
      </c>
    </row>
    <row r="1670" spans="1:7" x14ac:dyDescent="0.35">
      <c r="A1670" s="27" t="s">
        <v>231</v>
      </c>
      <c r="B1670" s="27" t="s">
        <v>234</v>
      </c>
      <c r="C1670" s="28">
        <v>1</v>
      </c>
      <c r="D1670" s="29"/>
      <c r="E1670" s="29"/>
      <c r="F1670" s="29" t="s">
        <v>312</v>
      </c>
    </row>
    <row r="1671" spans="1:7" x14ac:dyDescent="0.35">
      <c r="A1671" t="s">
        <v>232</v>
      </c>
      <c r="B1671" t="s">
        <v>232</v>
      </c>
      <c r="C1671" s="26">
        <v>0.96530000000000005</v>
      </c>
      <c r="D1671" s="26">
        <v>3.0099999999999998E-2</v>
      </c>
      <c r="E1671" s="26">
        <v>4.7000000000000002E-3</v>
      </c>
      <c r="F1671">
        <v>968</v>
      </c>
    </row>
    <row r="1673" spans="1:7" x14ac:dyDescent="0.35">
      <c r="A1673" s="1" t="s">
        <v>478</v>
      </c>
    </row>
    <row r="1674" spans="1:7" x14ac:dyDescent="0.35">
      <c r="A1674" t="s">
        <v>219</v>
      </c>
      <c r="B1674" t="s">
        <v>305</v>
      </c>
      <c r="C1674" t="s">
        <v>345</v>
      </c>
      <c r="D1674" t="s">
        <v>302</v>
      </c>
      <c r="E1674" t="s">
        <v>303</v>
      </c>
      <c r="F1674" t="s">
        <v>281</v>
      </c>
      <c r="G1674" t="s">
        <v>226</v>
      </c>
    </row>
    <row r="1675" spans="1:7" x14ac:dyDescent="0.35">
      <c r="A1675" s="27" t="s">
        <v>227</v>
      </c>
      <c r="B1675" s="27" t="s">
        <v>235</v>
      </c>
      <c r="C1675" s="27" t="s">
        <v>375</v>
      </c>
      <c r="D1675" s="28">
        <v>0.9</v>
      </c>
      <c r="E1675" s="29"/>
      <c r="F1675" s="28">
        <v>0.1</v>
      </c>
      <c r="G1675" s="29" t="s">
        <v>307</v>
      </c>
    </row>
    <row r="1676" spans="1:7" x14ac:dyDescent="0.35">
      <c r="A1676" s="27" t="s">
        <v>227</v>
      </c>
      <c r="B1676" s="27" t="s">
        <v>234</v>
      </c>
      <c r="C1676" s="27" t="s">
        <v>376</v>
      </c>
      <c r="D1676" s="28">
        <v>1</v>
      </c>
      <c r="E1676" s="29"/>
      <c r="F1676" s="29"/>
      <c r="G1676" s="29" t="s">
        <v>352</v>
      </c>
    </row>
    <row r="1677" spans="1:7" x14ac:dyDescent="0.35">
      <c r="A1677" s="27" t="s">
        <v>227</v>
      </c>
      <c r="B1677" s="27" t="s">
        <v>234</v>
      </c>
      <c r="C1677" s="27" t="s">
        <v>378</v>
      </c>
      <c r="D1677" s="28">
        <v>1</v>
      </c>
      <c r="E1677" s="29"/>
      <c r="F1677" s="29"/>
      <c r="G1677" s="29" t="s">
        <v>314</v>
      </c>
    </row>
    <row r="1678" spans="1:7" x14ac:dyDescent="0.35">
      <c r="A1678" s="27" t="s">
        <v>227</v>
      </c>
      <c r="B1678" s="27" t="s">
        <v>234</v>
      </c>
      <c r="C1678" s="27" t="s">
        <v>377</v>
      </c>
      <c r="D1678" s="28">
        <v>1</v>
      </c>
      <c r="E1678" s="29"/>
      <c r="F1678" s="29"/>
      <c r="G1678" s="29" t="s">
        <v>334</v>
      </c>
    </row>
    <row r="1679" spans="1:7" x14ac:dyDescent="0.35">
      <c r="A1679" s="27" t="s">
        <v>227</v>
      </c>
      <c r="B1679" s="27" t="s">
        <v>235</v>
      </c>
      <c r="C1679" s="27" t="s">
        <v>377</v>
      </c>
      <c r="D1679" s="28">
        <v>1</v>
      </c>
      <c r="E1679" s="29"/>
      <c r="F1679" s="29"/>
      <c r="G1679" s="29" t="s">
        <v>307</v>
      </c>
    </row>
    <row r="1680" spans="1:7" x14ac:dyDescent="0.35">
      <c r="A1680" s="27" t="s">
        <v>227</v>
      </c>
      <c r="B1680" s="27" t="s">
        <v>234</v>
      </c>
      <c r="C1680" s="27" t="s">
        <v>375</v>
      </c>
      <c r="D1680" s="28">
        <v>1</v>
      </c>
      <c r="E1680" s="29"/>
      <c r="F1680" s="29"/>
      <c r="G1680" s="29" t="s">
        <v>333</v>
      </c>
    </row>
    <row r="1681" spans="1:7" x14ac:dyDescent="0.35">
      <c r="A1681" s="27" t="s">
        <v>227</v>
      </c>
      <c r="B1681" s="27" t="s">
        <v>235</v>
      </c>
      <c r="C1681" s="27" t="s">
        <v>378</v>
      </c>
      <c r="D1681" s="28">
        <v>1</v>
      </c>
      <c r="E1681" s="29"/>
      <c r="F1681" s="29"/>
      <c r="G1681" s="29" t="s">
        <v>315</v>
      </c>
    </row>
    <row r="1682" spans="1:7" x14ac:dyDescent="0.35">
      <c r="A1682" s="27" t="s">
        <v>227</v>
      </c>
      <c r="B1682" s="27" t="s">
        <v>235</v>
      </c>
      <c r="C1682" s="27" t="s">
        <v>376</v>
      </c>
      <c r="D1682" s="28">
        <v>1</v>
      </c>
      <c r="E1682" s="29"/>
      <c r="F1682" s="29"/>
      <c r="G1682" s="29" t="s">
        <v>307</v>
      </c>
    </row>
    <row r="1683" spans="1:7" x14ac:dyDescent="0.35">
      <c r="A1683" s="27" t="s">
        <v>228</v>
      </c>
      <c r="B1683" s="27" t="s">
        <v>234</v>
      </c>
      <c r="C1683" s="27" t="s">
        <v>378</v>
      </c>
      <c r="D1683" s="28">
        <v>0.86880000000000002</v>
      </c>
      <c r="E1683" s="28">
        <v>0.13120000000000001</v>
      </c>
      <c r="F1683" s="29"/>
      <c r="G1683" s="29" t="s">
        <v>352</v>
      </c>
    </row>
    <row r="1684" spans="1:7" x14ac:dyDescent="0.35">
      <c r="A1684" t="s">
        <v>228</v>
      </c>
      <c r="B1684" t="s">
        <v>234</v>
      </c>
      <c r="C1684" t="s">
        <v>377</v>
      </c>
      <c r="D1684" s="26">
        <v>0.9788</v>
      </c>
      <c r="E1684" s="26">
        <v>2.12E-2</v>
      </c>
      <c r="G1684">
        <v>31</v>
      </c>
    </row>
    <row r="1685" spans="1:7" x14ac:dyDescent="0.35">
      <c r="A1685" t="s">
        <v>228</v>
      </c>
      <c r="B1685" t="s">
        <v>234</v>
      </c>
      <c r="C1685" t="s">
        <v>375</v>
      </c>
      <c r="D1685" s="26">
        <v>0.98750000000000004</v>
      </c>
      <c r="E1685" s="26">
        <v>1.2500000000000001E-2</v>
      </c>
      <c r="G1685">
        <v>58</v>
      </c>
    </row>
    <row r="1686" spans="1:7" x14ac:dyDescent="0.35">
      <c r="A1686" t="s">
        <v>228</v>
      </c>
      <c r="B1686" t="s">
        <v>235</v>
      </c>
      <c r="C1686" t="s">
        <v>376</v>
      </c>
      <c r="D1686" s="26">
        <v>0.87729999999999997</v>
      </c>
      <c r="E1686" s="26">
        <v>0.1227</v>
      </c>
      <c r="G1686">
        <v>38</v>
      </c>
    </row>
    <row r="1687" spans="1:7" x14ac:dyDescent="0.35">
      <c r="A1687" s="27" t="s">
        <v>228</v>
      </c>
      <c r="B1687" s="27" t="s">
        <v>235</v>
      </c>
      <c r="C1687" s="27" t="s">
        <v>378</v>
      </c>
      <c r="D1687" s="28">
        <v>0.64200000000000002</v>
      </c>
      <c r="E1687" s="28">
        <v>0.35799999999999998</v>
      </c>
      <c r="F1687" s="29"/>
      <c r="G1687" s="29" t="s">
        <v>307</v>
      </c>
    </row>
    <row r="1688" spans="1:7" x14ac:dyDescent="0.35">
      <c r="A1688" t="s">
        <v>228</v>
      </c>
      <c r="B1688" t="s">
        <v>234</v>
      </c>
      <c r="C1688" t="s">
        <v>376</v>
      </c>
      <c r="D1688" s="26">
        <v>0.85429999999999995</v>
      </c>
      <c r="E1688" s="26">
        <v>8.8900000000000007E-2</v>
      </c>
      <c r="F1688" s="26">
        <v>5.6899999999999999E-2</v>
      </c>
      <c r="G1688">
        <v>52</v>
      </c>
    </row>
    <row r="1689" spans="1:7" x14ac:dyDescent="0.35">
      <c r="A1689" t="s">
        <v>228</v>
      </c>
      <c r="B1689" t="s">
        <v>235</v>
      </c>
      <c r="C1689" t="s">
        <v>377</v>
      </c>
      <c r="D1689" s="26">
        <v>0.97360000000000002</v>
      </c>
      <c r="E1689" s="26">
        <v>8.0000000000000002E-3</v>
      </c>
      <c r="F1689" s="26">
        <v>1.84E-2</v>
      </c>
      <c r="G1689">
        <v>41</v>
      </c>
    </row>
    <row r="1690" spans="1:7" x14ac:dyDescent="0.35">
      <c r="A1690" t="s">
        <v>228</v>
      </c>
      <c r="B1690" t="s">
        <v>235</v>
      </c>
      <c r="C1690" t="s">
        <v>375</v>
      </c>
      <c r="D1690" s="26">
        <v>0.83760000000000001</v>
      </c>
      <c r="E1690" s="26">
        <v>0.16239999999999999</v>
      </c>
      <c r="G1690">
        <v>73</v>
      </c>
    </row>
    <row r="1691" spans="1:7" x14ac:dyDescent="0.35">
      <c r="A1691" s="27" t="s">
        <v>229</v>
      </c>
      <c r="B1691" s="27" t="s">
        <v>235</v>
      </c>
      <c r="C1691" s="27" t="s">
        <v>378</v>
      </c>
      <c r="D1691" s="28">
        <v>1</v>
      </c>
      <c r="E1691" s="29"/>
      <c r="F1691" s="29"/>
      <c r="G1691" s="29" t="s">
        <v>349</v>
      </c>
    </row>
    <row r="1692" spans="1:7" x14ac:dyDescent="0.35">
      <c r="A1692" s="27" t="s">
        <v>229</v>
      </c>
      <c r="B1692" s="27" t="s">
        <v>234</v>
      </c>
      <c r="C1692" s="27" t="s">
        <v>378</v>
      </c>
      <c r="D1692" s="28">
        <v>0.87419999999999998</v>
      </c>
      <c r="E1692" s="28">
        <v>0.1258</v>
      </c>
      <c r="F1692" s="29"/>
      <c r="G1692" s="29" t="s">
        <v>350</v>
      </c>
    </row>
    <row r="1693" spans="1:7" x14ac:dyDescent="0.35">
      <c r="A1693" t="s">
        <v>229</v>
      </c>
      <c r="B1693" t="s">
        <v>235</v>
      </c>
      <c r="C1693" t="s">
        <v>376</v>
      </c>
      <c r="D1693" s="26">
        <v>0.91520000000000001</v>
      </c>
      <c r="E1693" s="26">
        <v>8.48E-2</v>
      </c>
      <c r="G1693">
        <v>32</v>
      </c>
    </row>
    <row r="1694" spans="1:7" x14ac:dyDescent="0.35">
      <c r="A1694" t="s">
        <v>229</v>
      </c>
      <c r="B1694" t="s">
        <v>235</v>
      </c>
      <c r="C1694" t="s">
        <v>377</v>
      </c>
      <c r="D1694" s="26">
        <v>0.99319999999999997</v>
      </c>
      <c r="E1694" s="26">
        <v>6.7999999999999996E-3</v>
      </c>
      <c r="G1694">
        <v>41</v>
      </c>
    </row>
    <row r="1695" spans="1:7" x14ac:dyDescent="0.35">
      <c r="A1695" t="s">
        <v>229</v>
      </c>
      <c r="B1695" t="s">
        <v>234</v>
      </c>
      <c r="C1695" t="s">
        <v>376</v>
      </c>
      <c r="D1695" s="26">
        <v>0.99419999999999997</v>
      </c>
      <c r="E1695" s="26">
        <v>5.7999999999999996E-3</v>
      </c>
      <c r="G1695">
        <v>47</v>
      </c>
    </row>
    <row r="1696" spans="1:7" x14ac:dyDescent="0.35">
      <c r="A1696" t="s">
        <v>229</v>
      </c>
      <c r="B1696" t="s">
        <v>235</v>
      </c>
      <c r="C1696" t="s">
        <v>375</v>
      </c>
      <c r="D1696" s="26">
        <v>0.93400000000000005</v>
      </c>
      <c r="E1696" s="26">
        <v>6.6000000000000003E-2</v>
      </c>
      <c r="G1696">
        <v>64</v>
      </c>
    </row>
    <row r="1697" spans="1:7" x14ac:dyDescent="0.35">
      <c r="A1697" t="s">
        <v>229</v>
      </c>
      <c r="B1697" t="s">
        <v>234</v>
      </c>
      <c r="C1697" t="s">
        <v>377</v>
      </c>
      <c r="D1697" s="26">
        <v>0.94240000000000002</v>
      </c>
      <c r="E1697" s="26">
        <v>5.7599999999999998E-2</v>
      </c>
      <c r="G1697">
        <v>38</v>
      </c>
    </row>
    <row r="1698" spans="1:7" x14ac:dyDescent="0.35">
      <c r="A1698" t="s">
        <v>229</v>
      </c>
      <c r="B1698" t="s">
        <v>234</v>
      </c>
      <c r="C1698" t="s">
        <v>375</v>
      </c>
      <c r="D1698" s="26">
        <v>0.95640000000000003</v>
      </c>
      <c r="E1698" s="26">
        <v>4.36E-2</v>
      </c>
      <c r="G1698">
        <v>74</v>
      </c>
    </row>
    <row r="1699" spans="1:7" x14ac:dyDescent="0.35">
      <c r="A1699" t="s">
        <v>230</v>
      </c>
      <c r="B1699" t="s">
        <v>234</v>
      </c>
      <c r="C1699" t="s">
        <v>376</v>
      </c>
      <c r="D1699" s="26">
        <v>0.98819999999999997</v>
      </c>
      <c r="E1699" s="26">
        <v>1.18E-2</v>
      </c>
      <c r="G1699">
        <v>31</v>
      </c>
    </row>
    <row r="1700" spans="1:7" x14ac:dyDescent="0.35">
      <c r="A1700" s="27" t="s">
        <v>230</v>
      </c>
      <c r="B1700" s="27" t="s">
        <v>234</v>
      </c>
      <c r="C1700" s="27" t="s">
        <v>378</v>
      </c>
      <c r="D1700" s="28">
        <v>1</v>
      </c>
      <c r="E1700" s="29"/>
      <c r="F1700" s="29"/>
      <c r="G1700" s="29" t="s">
        <v>352</v>
      </c>
    </row>
    <row r="1701" spans="1:7" x14ac:dyDescent="0.35">
      <c r="A1701" t="s">
        <v>230</v>
      </c>
      <c r="B1701" t="s">
        <v>235</v>
      </c>
      <c r="C1701" t="s">
        <v>375</v>
      </c>
      <c r="D1701" s="26">
        <v>1</v>
      </c>
      <c r="G1701">
        <v>52</v>
      </c>
    </row>
    <row r="1702" spans="1:7" x14ac:dyDescent="0.35">
      <c r="A1702" s="27" t="s">
        <v>230</v>
      </c>
      <c r="B1702" s="27" t="s">
        <v>234</v>
      </c>
      <c r="C1702" s="27" t="s">
        <v>377</v>
      </c>
      <c r="D1702" s="28">
        <v>1</v>
      </c>
      <c r="E1702" s="29"/>
      <c r="F1702" s="29"/>
      <c r="G1702" s="29" t="s">
        <v>349</v>
      </c>
    </row>
    <row r="1703" spans="1:7" x14ac:dyDescent="0.35">
      <c r="A1703" s="27" t="s">
        <v>230</v>
      </c>
      <c r="B1703" s="27" t="s">
        <v>236</v>
      </c>
      <c r="C1703" s="27" t="s">
        <v>375</v>
      </c>
      <c r="D1703" s="28">
        <v>1</v>
      </c>
      <c r="E1703" s="29"/>
      <c r="F1703" s="29"/>
      <c r="G1703" s="29" t="s">
        <v>331</v>
      </c>
    </row>
    <row r="1704" spans="1:7" x14ac:dyDescent="0.35">
      <c r="A1704" s="27" t="s">
        <v>230</v>
      </c>
      <c r="B1704" s="27" t="s">
        <v>235</v>
      </c>
      <c r="C1704" s="27" t="s">
        <v>378</v>
      </c>
      <c r="D1704" s="28">
        <v>1</v>
      </c>
      <c r="E1704" s="29"/>
      <c r="F1704" s="29"/>
      <c r="G1704" s="29" t="s">
        <v>333</v>
      </c>
    </row>
    <row r="1705" spans="1:7" x14ac:dyDescent="0.35">
      <c r="A1705" s="27" t="s">
        <v>230</v>
      </c>
      <c r="B1705" s="27" t="s">
        <v>235</v>
      </c>
      <c r="C1705" s="27" t="s">
        <v>377</v>
      </c>
      <c r="D1705" s="28">
        <v>0.9657</v>
      </c>
      <c r="E1705" s="28">
        <v>3.4299999999999997E-2</v>
      </c>
      <c r="F1705" s="29"/>
      <c r="G1705" s="29" t="s">
        <v>353</v>
      </c>
    </row>
    <row r="1706" spans="1:7" x14ac:dyDescent="0.35">
      <c r="A1706" t="s">
        <v>230</v>
      </c>
      <c r="B1706" t="s">
        <v>234</v>
      </c>
      <c r="C1706" t="s">
        <v>375</v>
      </c>
      <c r="D1706" s="26">
        <v>1</v>
      </c>
      <c r="G1706">
        <v>37</v>
      </c>
    </row>
    <row r="1707" spans="1:7" x14ac:dyDescent="0.35">
      <c r="A1707" s="27" t="s">
        <v>230</v>
      </c>
      <c r="B1707" s="27" t="s">
        <v>235</v>
      </c>
      <c r="C1707" s="27" t="s">
        <v>376</v>
      </c>
      <c r="D1707" s="28">
        <v>0.99419999999999997</v>
      </c>
      <c r="E1707" s="28">
        <v>5.7999999999999996E-3</v>
      </c>
      <c r="F1707" s="29"/>
      <c r="G1707" s="29" t="s">
        <v>357</v>
      </c>
    </row>
    <row r="1708" spans="1:7" x14ac:dyDescent="0.35">
      <c r="A1708" s="27" t="s">
        <v>231</v>
      </c>
      <c r="B1708" s="27" t="s">
        <v>234</v>
      </c>
      <c r="C1708" s="27" t="s">
        <v>375</v>
      </c>
      <c r="D1708" s="28">
        <v>1</v>
      </c>
      <c r="E1708" s="29"/>
      <c r="F1708" s="29"/>
      <c r="G1708" s="29" t="s">
        <v>307</v>
      </c>
    </row>
    <row r="1709" spans="1:7" x14ac:dyDescent="0.35">
      <c r="A1709" s="27" t="s">
        <v>231</v>
      </c>
      <c r="B1709" s="27" t="s">
        <v>234</v>
      </c>
      <c r="C1709" s="27" t="s">
        <v>378</v>
      </c>
      <c r="D1709" s="28">
        <v>1</v>
      </c>
      <c r="E1709" s="29"/>
      <c r="F1709" s="29"/>
      <c r="G1709" s="29" t="s">
        <v>337</v>
      </c>
    </row>
    <row r="1710" spans="1:7" x14ac:dyDescent="0.35">
      <c r="A1710" s="27" t="s">
        <v>231</v>
      </c>
      <c r="B1710" s="27" t="s">
        <v>235</v>
      </c>
      <c r="C1710" s="27" t="s">
        <v>378</v>
      </c>
      <c r="D1710" s="28">
        <v>1</v>
      </c>
      <c r="E1710" s="29"/>
      <c r="F1710" s="29"/>
      <c r="G1710" s="29" t="s">
        <v>332</v>
      </c>
    </row>
    <row r="1711" spans="1:7" x14ac:dyDescent="0.35">
      <c r="A1711" s="27" t="s">
        <v>231</v>
      </c>
      <c r="B1711" s="27" t="s">
        <v>234</v>
      </c>
      <c r="C1711" s="27" t="s">
        <v>376</v>
      </c>
      <c r="D1711" s="28">
        <v>1</v>
      </c>
      <c r="E1711" s="29"/>
      <c r="F1711" s="29"/>
      <c r="G1711" s="29" t="s">
        <v>335</v>
      </c>
    </row>
    <row r="1712" spans="1:7" x14ac:dyDescent="0.35">
      <c r="A1712" s="27" t="s">
        <v>231</v>
      </c>
      <c r="B1712" s="27" t="s">
        <v>235</v>
      </c>
      <c r="C1712" s="27" t="s">
        <v>375</v>
      </c>
      <c r="D1712" s="28">
        <v>1</v>
      </c>
      <c r="E1712" s="29"/>
      <c r="F1712" s="29"/>
      <c r="G1712" s="29" t="s">
        <v>352</v>
      </c>
    </row>
    <row r="1713" spans="1:7" x14ac:dyDescent="0.35">
      <c r="A1713" s="27" t="s">
        <v>231</v>
      </c>
      <c r="B1713" s="27" t="s">
        <v>235</v>
      </c>
      <c r="C1713" s="27" t="s">
        <v>376</v>
      </c>
      <c r="D1713" s="28">
        <v>1</v>
      </c>
      <c r="E1713" s="29"/>
      <c r="F1713" s="29"/>
      <c r="G1713" s="29" t="s">
        <v>335</v>
      </c>
    </row>
    <row r="1714" spans="1:7" x14ac:dyDescent="0.35">
      <c r="A1714" s="27" t="s">
        <v>231</v>
      </c>
      <c r="B1714" s="27" t="s">
        <v>235</v>
      </c>
      <c r="C1714" s="27" t="s">
        <v>377</v>
      </c>
      <c r="D1714" s="28">
        <v>1</v>
      </c>
      <c r="E1714" s="29"/>
      <c r="F1714" s="29"/>
      <c r="G1714" s="29" t="s">
        <v>335</v>
      </c>
    </row>
    <row r="1715" spans="1:7" x14ac:dyDescent="0.35">
      <c r="A1715" s="27" t="s">
        <v>231</v>
      </c>
      <c r="B1715" s="27" t="s">
        <v>234</v>
      </c>
      <c r="C1715" s="27" t="s">
        <v>377</v>
      </c>
      <c r="D1715" s="28">
        <v>1</v>
      </c>
      <c r="E1715" s="29"/>
      <c r="F1715" s="29"/>
      <c r="G1715" s="29" t="s">
        <v>332</v>
      </c>
    </row>
    <row r="1716" spans="1:7" x14ac:dyDescent="0.35">
      <c r="A1716" t="s">
        <v>232</v>
      </c>
      <c r="B1716" t="s">
        <v>232</v>
      </c>
      <c r="C1716" t="s">
        <v>232</v>
      </c>
      <c r="D1716" s="26">
        <v>0.96530000000000005</v>
      </c>
      <c r="E1716" s="26">
        <v>3.0099999999999998E-2</v>
      </c>
      <c r="F1716" s="26">
        <v>4.7000000000000002E-3</v>
      </c>
      <c r="G1716">
        <v>968</v>
      </c>
    </row>
    <row r="1718" spans="1:7" x14ac:dyDescent="0.35">
      <c r="A1718" s="1" t="s">
        <v>479</v>
      </c>
    </row>
    <row r="1719" spans="1:7" x14ac:dyDescent="0.35">
      <c r="A1719" t="s">
        <v>219</v>
      </c>
      <c r="B1719" t="s">
        <v>302</v>
      </c>
      <c r="C1719" t="s">
        <v>303</v>
      </c>
      <c r="D1719" t="s">
        <v>281</v>
      </c>
      <c r="E1719" t="s">
        <v>226</v>
      </c>
    </row>
    <row r="1720" spans="1:7" x14ac:dyDescent="0.35">
      <c r="A1720" t="s">
        <v>227</v>
      </c>
      <c r="B1720" s="26">
        <v>0.5302</v>
      </c>
      <c r="C1720" s="26">
        <v>0.4698</v>
      </c>
      <c r="E1720">
        <v>364</v>
      </c>
    </row>
    <row r="1721" spans="1:7" x14ac:dyDescent="0.35">
      <c r="A1721" t="s">
        <v>228</v>
      </c>
      <c r="B1721" s="26">
        <v>0.56489999999999996</v>
      </c>
      <c r="C1721" s="26">
        <v>0.43359999999999999</v>
      </c>
      <c r="D1721" s="26">
        <v>1.5E-3</v>
      </c>
      <c r="E1721">
        <v>2358</v>
      </c>
    </row>
    <row r="1722" spans="1:7" x14ac:dyDescent="0.35">
      <c r="A1722" t="s">
        <v>229</v>
      </c>
      <c r="B1722" s="26">
        <v>0.51739999999999997</v>
      </c>
      <c r="C1722" s="26">
        <v>0.47860000000000003</v>
      </c>
      <c r="D1722" s="26">
        <v>4.0000000000000001E-3</v>
      </c>
      <c r="E1722">
        <v>2016</v>
      </c>
    </row>
    <row r="1723" spans="1:7" x14ac:dyDescent="0.35">
      <c r="A1723" t="s">
        <v>230</v>
      </c>
      <c r="B1723" s="26">
        <v>0.54790000000000005</v>
      </c>
      <c r="C1723" s="26">
        <v>0.44750000000000001</v>
      </c>
      <c r="D1723" s="26">
        <v>4.5999999999999999E-3</v>
      </c>
      <c r="E1723">
        <v>1279</v>
      </c>
    </row>
    <row r="1724" spans="1:7" x14ac:dyDescent="0.35">
      <c r="A1724" t="s">
        <v>231</v>
      </c>
      <c r="B1724" s="26">
        <v>0.55259999999999998</v>
      </c>
      <c r="C1724" s="26">
        <v>0.44740000000000002</v>
      </c>
      <c r="E1724">
        <v>380</v>
      </c>
    </row>
    <row r="1725" spans="1:7" x14ac:dyDescent="0.35">
      <c r="A1725" t="s">
        <v>232</v>
      </c>
      <c r="B1725" s="26">
        <v>0.54110000000000003</v>
      </c>
      <c r="C1725" s="26">
        <v>0.45700000000000002</v>
      </c>
      <c r="D1725" s="26">
        <v>1.9E-3</v>
      </c>
      <c r="E1725">
        <v>6397</v>
      </c>
    </row>
    <row r="1727" spans="1:7" x14ac:dyDescent="0.35">
      <c r="A1727" s="1" t="s">
        <v>480</v>
      </c>
    </row>
    <row r="1728" spans="1:7" x14ac:dyDescent="0.35">
      <c r="A1728" t="s">
        <v>219</v>
      </c>
      <c r="B1728" t="s">
        <v>305</v>
      </c>
      <c r="C1728" t="s">
        <v>302</v>
      </c>
      <c r="D1728" t="s">
        <v>303</v>
      </c>
      <c r="E1728" t="s">
        <v>281</v>
      </c>
      <c r="F1728" t="s">
        <v>226</v>
      </c>
    </row>
    <row r="1729" spans="1:6" x14ac:dyDescent="0.35">
      <c r="A1729" t="s">
        <v>227</v>
      </c>
      <c r="B1729" t="s">
        <v>242</v>
      </c>
      <c r="C1729" s="26">
        <v>0.41920000000000002</v>
      </c>
      <c r="D1729" s="26">
        <v>0.58079999999999998</v>
      </c>
      <c r="F1729">
        <v>167</v>
      </c>
    </row>
    <row r="1730" spans="1:6" x14ac:dyDescent="0.35">
      <c r="A1730" t="s">
        <v>227</v>
      </c>
      <c r="B1730" t="s">
        <v>241</v>
      </c>
      <c r="C1730" s="26">
        <v>0.62439999999999996</v>
      </c>
      <c r="D1730" s="26">
        <v>0.37559999999999999</v>
      </c>
      <c r="F1730">
        <v>197</v>
      </c>
    </row>
    <row r="1731" spans="1:6" x14ac:dyDescent="0.35">
      <c r="A1731" t="s">
        <v>228</v>
      </c>
      <c r="B1731" t="s">
        <v>242</v>
      </c>
      <c r="C1731" s="26">
        <v>0.43969999999999998</v>
      </c>
      <c r="D1731" s="26">
        <v>0.55940000000000001</v>
      </c>
      <c r="E1731" s="26">
        <v>8.9999999999999998E-4</v>
      </c>
      <c r="F1731">
        <v>940</v>
      </c>
    </row>
    <row r="1732" spans="1:6" x14ac:dyDescent="0.35">
      <c r="A1732" t="s">
        <v>228</v>
      </c>
      <c r="B1732" t="s">
        <v>241</v>
      </c>
      <c r="C1732" s="26">
        <v>0.64270000000000005</v>
      </c>
      <c r="D1732" s="26">
        <v>0.35539999999999999</v>
      </c>
      <c r="E1732" s="26">
        <v>1.9E-3</v>
      </c>
      <c r="F1732">
        <v>1418</v>
      </c>
    </row>
    <row r="1733" spans="1:6" x14ac:dyDescent="0.35">
      <c r="A1733" t="s">
        <v>229</v>
      </c>
      <c r="B1733" t="s">
        <v>242</v>
      </c>
      <c r="C1733" s="26">
        <v>0.42270000000000002</v>
      </c>
      <c r="D1733" s="26">
        <v>0.57140000000000002</v>
      </c>
      <c r="E1733" s="26">
        <v>5.8999999999999999E-3</v>
      </c>
      <c r="F1733">
        <v>721</v>
      </c>
    </row>
    <row r="1734" spans="1:6" x14ac:dyDescent="0.35">
      <c r="A1734" t="s">
        <v>229</v>
      </c>
      <c r="B1734" t="s">
        <v>241</v>
      </c>
      <c r="C1734" s="26">
        <v>0.58789999999999998</v>
      </c>
      <c r="D1734" s="26">
        <v>0.40949999999999998</v>
      </c>
      <c r="E1734" s="26">
        <v>2.5999999999999999E-3</v>
      </c>
      <c r="F1734">
        <v>1295</v>
      </c>
    </row>
    <row r="1735" spans="1:6" x14ac:dyDescent="0.35">
      <c r="A1735" t="s">
        <v>230</v>
      </c>
      <c r="B1735" t="s">
        <v>242</v>
      </c>
      <c r="C1735" s="26">
        <v>0.47399999999999998</v>
      </c>
      <c r="D1735" s="26">
        <v>0.52070000000000005</v>
      </c>
      <c r="E1735" s="26">
        <v>5.3E-3</v>
      </c>
      <c r="F1735">
        <v>459</v>
      </c>
    </row>
    <row r="1736" spans="1:6" x14ac:dyDescent="0.35">
      <c r="A1736" t="s">
        <v>230</v>
      </c>
      <c r="B1736" t="s">
        <v>241</v>
      </c>
      <c r="C1736" s="26">
        <v>0.58919999999999995</v>
      </c>
      <c r="D1736" s="26">
        <v>0.40670000000000001</v>
      </c>
      <c r="E1736" s="26">
        <v>4.1999999999999997E-3</v>
      </c>
      <c r="F1736">
        <v>820</v>
      </c>
    </row>
    <row r="1737" spans="1:6" x14ac:dyDescent="0.35">
      <c r="A1737" t="s">
        <v>231</v>
      </c>
      <c r="B1737" t="s">
        <v>242</v>
      </c>
      <c r="C1737" s="26">
        <v>0.373</v>
      </c>
      <c r="D1737" s="26">
        <v>0.627</v>
      </c>
      <c r="F1737">
        <v>126</v>
      </c>
    </row>
    <row r="1738" spans="1:6" x14ac:dyDescent="0.35">
      <c r="A1738" t="s">
        <v>231</v>
      </c>
      <c r="B1738" t="s">
        <v>241</v>
      </c>
      <c r="C1738" s="26">
        <v>0.64170000000000005</v>
      </c>
      <c r="D1738" s="26">
        <v>0.35830000000000001</v>
      </c>
      <c r="F1738">
        <v>254</v>
      </c>
    </row>
    <row r="1739" spans="1:6" x14ac:dyDescent="0.35">
      <c r="A1739" t="s">
        <v>232</v>
      </c>
      <c r="B1739" t="s">
        <v>232</v>
      </c>
      <c r="C1739" s="26">
        <v>0.54110000000000003</v>
      </c>
      <c r="D1739" s="26">
        <v>0.45700000000000002</v>
      </c>
      <c r="E1739" s="26">
        <v>1.9E-3</v>
      </c>
      <c r="F1739">
        <v>6397</v>
      </c>
    </row>
    <row r="1741" spans="1:6" x14ac:dyDescent="0.35">
      <c r="A1741" s="1" t="s">
        <v>481</v>
      </c>
    </row>
    <row r="1742" spans="1:6" x14ac:dyDescent="0.35">
      <c r="A1742" t="s">
        <v>219</v>
      </c>
      <c r="B1742" t="s">
        <v>305</v>
      </c>
      <c r="C1742" t="s">
        <v>302</v>
      </c>
      <c r="D1742" t="s">
        <v>303</v>
      </c>
      <c r="E1742" t="s">
        <v>281</v>
      </c>
      <c r="F1742" t="s">
        <v>226</v>
      </c>
    </row>
    <row r="1743" spans="1:6" x14ac:dyDescent="0.35">
      <c r="A1743" t="s">
        <v>227</v>
      </c>
      <c r="B1743" t="s">
        <v>239</v>
      </c>
      <c r="C1743" s="26">
        <v>0.52449999999999997</v>
      </c>
      <c r="D1743" s="26">
        <v>0.47549999999999998</v>
      </c>
      <c r="F1743">
        <v>143</v>
      </c>
    </row>
    <row r="1744" spans="1:6" x14ac:dyDescent="0.35">
      <c r="A1744" t="s">
        <v>227</v>
      </c>
      <c r="B1744" t="s">
        <v>238</v>
      </c>
      <c r="C1744" s="26">
        <v>0.53390000000000004</v>
      </c>
      <c r="D1744" s="26">
        <v>0.46610000000000001</v>
      </c>
      <c r="F1744">
        <v>221</v>
      </c>
    </row>
    <row r="1745" spans="1:6" x14ac:dyDescent="0.35">
      <c r="A1745" t="s">
        <v>228</v>
      </c>
      <c r="B1745" t="s">
        <v>239</v>
      </c>
      <c r="C1745" s="26">
        <v>0.57399999999999995</v>
      </c>
      <c r="D1745" s="26">
        <v>0.42280000000000001</v>
      </c>
      <c r="E1745" s="26">
        <v>3.2000000000000002E-3</v>
      </c>
      <c r="F1745">
        <v>808</v>
      </c>
    </row>
    <row r="1746" spans="1:6" x14ac:dyDescent="0.35">
      <c r="A1746" t="s">
        <v>228</v>
      </c>
      <c r="B1746" t="s">
        <v>238</v>
      </c>
      <c r="C1746" s="26">
        <v>0.56230000000000002</v>
      </c>
      <c r="D1746" s="26">
        <v>0.43669999999999998</v>
      </c>
      <c r="E1746" s="26">
        <v>1.1000000000000001E-3</v>
      </c>
      <c r="F1746">
        <v>1550</v>
      </c>
    </row>
    <row r="1747" spans="1:6" x14ac:dyDescent="0.35">
      <c r="A1747" t="s">
        <v>229</v>
      </c>
      <c r="B1747" t="s">
        <v>239</v>
      </c>
      <c r="C1747" s="26">
        <v>0.51670000000000005</v>
      </c>
      <c r="D1747" s="26">
        <v>0.48309999999999997</v>
      </c>
      <c r="E1747" s="26">
        <v>2.9999999999999997E-4</v>
      </c>
      <c r="F1747">
        <v>781</v>
      </c>
    </row>
    <row r="1748" spans="1:6" x14ac:dyDescent="0.35">
      <c r="A1748" t="s">
        <v>229</v>
      </c>
      <c r="B1748" t="s">
        <v>238</v>
      </c>
      <c r="C1748" s="26">
        <v>0.51759999999999995</v>
      </c>
      <c r="D1748" s="26">
        <v>0.47699999999999998</v>
      </c>
      <c r="E1748" s="26">
        <v>5.4000000000000003E-3</v>
      </c>
      <c r="F1748">
        <v>1235</v>
      </c>
    </row>
    <row r="1749" spans="1:6" x14ac:dyDescent="0.35">
      <c r="A1749" t="s">
        <v>230</v>
      </c>
      <c r="B1749" t="s">
        <v>239</v>
      </c>
      <c r="C1749" s="26">
        <v>0.53410000000000002</v>
      </c>
      <c r="D1749" s="26">
        <v>0.46260000000000001</v>
      </c>
      <c r="E1749" s="26">
        <v>3.3E-3</v>
      </c>
      <c r="F1749">
        <v>515</v>
      </c>
    </row>
    <row r="1750" spans="1:6" x14ac:dyDescent="0.35">
      <c r="A1750" t="s">
        <v>230</v>
      </c>
      <c r="B1750" t="s">
        <v>238</v>
      </c>
      <c r="C1750" s="26">
        <v>0.5554</v>
      </c>
      <c r="D1750" s="26">
        <v>0.43940000000000001</v>
      </c>
      <c r="E1750" s="26">
        <v>5.3E-3</v>
      </c>
      <c r="F1750">
        <v>764</v>
      </c>
    </row>
    <row r="1751" spans="1:6" x14ac:dyDescent="0.35">
      <c r="A1751" t="s">
        <v>231</v>
      </c>
      <c r="B1751" t="s">
        <v>239</v>
      </c>
      <c r="C1751" s="26">
        <v>0.56289999999999996</v>
      </c>
      <c r="D1751" s="26">
        <v>0.43709999999999999</v>
      </c>
      <c r="F1751">
        <v>167</v>
      </c>
    </row>
    <row r="1752" spans="1:6" x14ac:dyDescent="0.35">
      <c r="A1752" t="s">
        <v>231</v>
      </c>
      <c r="B1752" t="s">
        <v>238</v>
      </c>
      <c r="C1752" s="26">
        <v>0.54459999999999997</v>
      </c>
      <c r="D1752" s="26">
        <v>0.45540000000000003</v>
      </c>
      <c r="F1752">
        <v>213</v>
      </c>
    </row>
    <row r="1753" spans="1:6" x14ac:dyDescent="0.35">
      <c r="A1753" t="s">
        <v>232</v>
      </c>
      <c r="B1753" t="s">
        <v>232</v>
      </c>
      <c r="C1753" s="26">
        <v>0.54110000000000003</v>
      </c>
      <c r="D1753" s="26">
        <v>0.45700000000000002</v>
      </c>
      <c r="E1753" s="26">
        <v>1.9E-3</v>
      </c>
      <c r="F1753">
        <v>6397</v>
      </c>
    </row>
    <row r="1755" spans="1:6" x14ac:dyDescent="0.35">
      <c r="A1755" s="1" t="s">
        <v>482</v>
      </c>
    </row>
    <row r="1756" spans="1:6" x14ac:dyDescent="0.35">
      <c r="A1756" t="s">
        <v>219</v>
      </c>
      <c r="B1756" t="s">
        <v>305</v>
      </c>
      <c r="C1756" t="s">
        <v>302</v>
      </c>
      <c r="D1756" t="s">
        <v>303</v>
      </c>
      <c r="E1756" t="s">
        <v>281</v>
      </c>
      <c r="F1756" t="s">
        <v>226</v>
      </c>
    </row>
    <row r="1757" spans="1:6" x14ac:dyDescent="0.35">
      <c r="A1757" t="s">
        <v>227</v>
      </c>
      <c r="B1757" t="s">
        <v>244</v>
      </c>
      <c r="C1757" s="26">
        <v>0.53039999999999998</v>
      </c>
      <c r="D1757" s="26">
        <v>0.46960000000000002</v>
      </c>
      <c r="F1757">
        <v>247</v>
      </c>
    </row>
    <row r="1758" spans="1:6" x14ac:dyDescent="0.35">
      <c r="A1758" t="s">
        <v>227</v>
      </c>
      <c r="B1758" t="s">
        <v>245</v>
      </c>
      <c r="C1758" s="26">
        <v>0.58489999999999998</v>
      </c>
      <c r="D1758" s="26">
        <v>0.41510000000000002</v>
      </c>
      <c r="F1758">
        <v>53</v>
      </c>
    </row>
    <row r="1759" spans="1:6" x14ac:dyDescent="0.35">
      <c r="A1759" t="s">
        <v>227</v>
      </c>
      <c r="B1759" t="s">
        <v>246</v>
      </c>
      <c r="C1759" s="26">
        <v>0.4844</v>
      </c>
      <c r="D1759" s="26">
        <v>0.51559999999999995</v>
      </c>
      <c r="F1759">
        <v>64</v>
      </c>
    </row>
    <row r="1760" spans="1:6" x14ac:dyDescent="0.35">
      <c r="A1760" t="s">
        <v>228</v>
      </c>
      <c r="B1760" t="s">
        <v>244</v>
      </c>
      <c r="C1760" s="26">
        <v>0.57969999999999999</v>
      </c>
      <c r="D1760" s="26">
        <v>0.41889999999999999</v>
      </c>
      <c r="E1760" s="26">
        <v>1.4E-3</v>
      </c>
      <c r="F1760">
        <v>1648</v>
      </c>
    </row>
    <row r="1761" spans="1:6" x14ac:dyDescent="0.35">
      <c r="A1761" t="s">
        <v>228</v>
      </c>
      <c r="B1761" t="s">
        <v>245</v>
      </c>
      <c r="C1761" s="26">
        <v>0.47870000000000001</v>
      </c>
      <c r="D1761" s="26">
        <v>0.51980000000000004</v>
      </c>
      <c r="E1761" s="26">
        <v>1.5E-3</v>
      </c>
      <c r="F1761">
        <v>328</v>
      </c>
    </row>
    <row r="1762" spans="1:6" x14ac:dyDescent="0.35">
      <c r="A1762" t="s">
        <v>228</v>
      </c>
      <c r="B1762" t="s">
        <v>246</v>
      </c>
      <c r="C1762" s="26">
        <v>0.56230000000000002</v>
      </c>
      <c r="D1762" s="26">
        <v>0.43569999999999998</v>
      </c>
      <c r="E1762" s="26">
        <v>2E-3</v>
      </c>
      <c r="F1762">
        <v>382</v>
      </c>
    </row>
    <row r="1763" spans="1:6" x14ac:dyDescent="0.35">
      <c r="A1763" t="s">
        <v>229</v>
      </c>
      <c r="B1763" t="s">
        <v>244</v>
      </c>
      <c r="C1763" s="26">
        <v>0.51449999999999996</v>
      </c>
      <c r="D1763" s="26">
        <v>0.4803</v>
      </c>
      <c r="E1763" s="26">
        <v>5.1999999999999998E-3</v>
      </c>
      <c r="F1763">
        <v>1479</v>
      </c>
    </row>
    <row r="1764" spans="1:6" x14ac:dyDescent="0.35">
      <c r="A1764" t="s">
        <v>229</v>
      </c>
      <c r="B1764" t="s">
        <v>245</v>
      </c>
      <c r="C1764" s="26">
        <v>0.51459999999999995</v>
      </c>
      <c r="D1764" s="26">
        <v>0.4854</v>
      </c>
      <c r="F1764">
        <v>293</v>
      </c>
    </row>
    <row r="1765" spans="1:6" x14ac:dyDescent="0.35">
      <c r="A1765" t="s">
        <v>229</v>
      </c>
      <c r="B1765" t="s">
        <v>246</v>
      </c>
      <c r="C1765" s="26">
        <v>0.53800000000000003</v>
      </c>
      <c r="D1765" s="26">
        <v>0.46200000000000002</v>
      </c>
      <c r="F1765">
        <v>244</v>
      </c>
    </row>
    <row r="1766" spans="1:6" x14ac:dyDescent="0.35">
      <c r="A1766" t="s">
        <v>230</v>
      </c>
      <c r="B1766" t="s">
        <v>244</v>
      </c>
      <c r="C1766" s="26">
        <v>0.54190000000000005</v>
      </c>
      <c r="D1766" s="26">
        <v>0.4541</v>
      </c>
      <c r="E1766" s="26">
        <v>4.0000000000000001E-3</v>
      </c>
      <c r="F1766">
        <v>957</v>
      </c>
    </row>
    <row r="1767" spans="1:6" x14ac:dyDescent="0.35">
      <c r="A1767" t="s">
        <v>230</v>
      </c>
      <c r="B1767" t="s">
        <v>245</v>
      </c>
      <c r="C1767" s="26">
        <v>0.52910000000000001</v>
      </c>
      <c r="D1767" s="26">
        <v>0.46410000000000001</v>
      </c>
      <c r="E1767" s="26">
        <v>6.7999999999999996E-3</v>
      </c>
      <c r="F1767">
        <v>161</v>
      </c>
    </row>
    <row r="1768" spans="1:6" x14ac:dyDescent="0.35">
      <c r="A1768" t="s">
        <v>230</v>
      </c>
      <c r="B1768" t="s">
        <v>246</v>
      </c>
      <c r="C1768" s="26">
        <v>0.6028</v>
      </c>
      <c r="D1768" s="26">
        <v>0.39090000000000003</v>
      </c>
      <c r="E1768" s="26">
        <v>6.3E-3</v>
      </c>
      <c r="F1768">
        <v>161</v>
      </c>
    </row>
    <row r="1769" spans="1:6" x14ac:dyDescent="0.35">
      <c r="A1769" t="s">
        <v>231</v>
      </c>
      <c r="B1769" t="s">
        <v>244</v>
      </c>
      <c r="C1769" s="26">
        <v>0.5121</v>
      </c>
      <c r="D1769" s="26">
        <v>0.4879</v>
      </c>
      <c r="F1769">
        <v>248</v>
      </c>
    </row>
    <row r="1770" spans="1:6" x14ac:dyDescent="0.35">
      <c r="A1770" t="s">
        <v>231</v>
      </c>
      <c r="B1770" t="s">
        <v>245</v>
      </c>
      <c r="C1770" s="26">
        <v>0.48209999999999997</v>
      </c>
      <c r="D1770" s="26">
        <v>0.51790000000000003</v>
      </c>
      <c r="F1770">
        <v>56</v>
      </c>
    </row>
    <row r="1771" spans="1:6" x14ac:dyDescent="0.35">
      <c r="A1771" t="s">
        <v>231</v>
      </c>
      <c r="B1771" t="s">
        <v>246</v>
      </c>
      <c r="C1771" s="26">
        <v>0.73680000000000001</v>
      </c>
      <c r="D1771" s="26">
        <v>0.26319999999999999</v>
      </c>
      <c r="F1771">
        <v>76</v>
      </c>
    </row>
    <row r="1772" spans="1:6" x14ac:dyDescent="0.35">
      <c r="A1772" t="s">
        <v>232</v>
      </c>
      <c r="B1772" t="s">
        <v>232</v>
      </c>
      <c r="C1772" s="26">
        <v>0.54110000000000003</v>
      </c>
      <c r="D1772" s="26">
        <v>0.45700000000000002</v>
      </c>
      <c r="E1772" s="26">
        <v>1.9E-3</v>
      </c>
      <c r="F1772">
        <v>6397</v>
      </c>
    </row>
    <row r="1774" spans="1:6" x14ac:dyDescent="0.35">
      <c r="A1774" s="1" t="s">
        <v>483</v>
      </c>
    </row>
    <row r="1775" spans="1:6" x14ac:dyDescent="0.35">
      <c r="A1775" t="s">
        <v>219</v>
      </c>
      <c r="B1775" t="s">
        <v>305</v>
      </c>
      <c r="C1775" t="s">
        <v>302</v>
      </c>
      <c r="D1775" t="s">
        <v>303</v>
      </c>
      <c r="E1775" t="s">
        <v>281</v>
      </c>
      <c r="F1775" t="s">
        <v>226</v>
      </c>
    </row>
    <row r="1776" spans="1:6" x14ac:dyDescent="0.35">
      <c r="A1776" t="s">
        <v>227</v>
      </c>
      <c r="B1776" t="s">
        <v>360</v>
      </c>
      <c r="C1776" s="26">
        <v>0.53539999999999999</v>
      </c>
      <c r="D1776" s="26">
        <v>0.46460000000000001</v>
      </c>
      <c r="F1776">
        <v>99</v>
      </c>
    </row>
    <row r="1777" spans="1:6" x14ac:dyDescent="0.35">
      <c r="A1777" t="s">
        <v>227</v>
      </c>
      <c r="B1777" t="s">
        <v>361</v>
      </c>
      <c r="C1777" s="26">
        <v>0.58620000000000005</v>
      </c>
      <c r="D1777" s="26">
        <v>0.4138</v>
      </c>
      <c r="F1777">
        <v>58</v>
      </c>
    </row>
    <row r="1778" spans="1:6" x14ac:dyDescent="0.35">
      <c r="A1778" t="s">
        <v>227</v>
      </c>
      <c r="B1778" t="s">
        <v>362</v>
      </c>
      <c r="C1778" s="26">
        <v>0.54120000000000001</v>
      </c>
      <c r="D1778" s="26">
        <v>0.45879999999999999</v>
      </c>
      <c r="F1778">
        <v>85</v>
      </c>
    </row>
    <row r="1779" spans="1:6" x14ac:dyDescent="0.35">
      <c r="A1779" t="s">
        <v>227</v>
      </c>
      <c r="B1779" t="s">
        <v>363</v>
      </c>
      <c r="C1779" s="26">
        <v>0.5</v>
      </c>
      <c r="D1779" s="26">
        <v>0.5</v>
      </c>
      <c r="F1779">
        <v>106</v>
      </c>
    </row>
    <row r="1780" spans="1:6" x14ac:dyDescent="0.35">
      <c r="A1780" t="s">
        <v>228</v>
      </c>
      <c r="B1780" t="s">
        <v>360</v>
      </c>
      <c r="C1780" s="26">
        <v>0.49790000000000001</v>
      </c>
      <c r="D1780" s="26">
        <v>0.50080000000000002</v>
      </c>
      <c r="E1780" s="26">
        <v>1.2999999999999999E-3</v>
      </c>
      <c r="F1780">
        <v>618</v>
      </c>
    </row>
    <row r="1781" spans="1:6" x14ac:dyDescent="0.35">
      <c r="A1781" t="s">
        <v>228</v>
      </c>
      <c r="B1781" t="s">
        <v>361</v>
      </c>
      <c r="C1781" s="26">
        <v>0.5595</v>
      </c>
      <c r="D1781" s="26">
        <v>0.43819999999999998</v>
      </c>
      <c r="E1781" s="26">
        <v>2.3E-3</v>
      </c>
      <c r="F1781">
        <v>387</v>
      </c>
    </row>
    <row r="1782" spans="1:6" x14ac:dyDescent="0.35">
      <c r="A1782" t="s">
        <v>228</v>
      </c>
      <c r="B1782" t="s">
        <v>363</v>
      </c>
      <c r="C1782" s="26">
        <v>0.58489999999999998</v>
      </c>
      <c r="D1782" s="26">
        <v>0.41510000000000002</v>
      </c>
      <c r="F1782">
        <v>485</v>
      </c>
    </row>
    <row r="1783" spans="1:6" x14ac:dyDescent="0.35">
      <c r="A1783" t="s">
        <v>228</v>
      </c>
      <c r="B1783" t="s">
        <v>362</v>
      </c>
      <c r="C1783" s="26">
        <v>0.57679999999999998</v>
      </c>
      <c r="D1783" s="26">
        <v>0.42320000000000002</v>
      </c>
      <c r="F1783">
        <v>534</v>
      </c>
    </row>
    <row r="1784" spans="1:6" x14ac:dyDescent="0.35">
      <c r="A1784" t="s">
        <v>229</v>
      </c>
      <c r="B1784" t="s">
        <v>363</v>
      </c>
      <c r="C1784" s="26">
        <v>0.45750000000000002</v>
      </c>
      <c r="D1784" s="26">
        <v>0.52729999999999999</v>
      </c>
      <c r="E1784" s="26">
        <v>1.52E-2</v>
      </c>
      <c r="F1784">
        <v>400</v>
      </c>
    </row>
    <row r="1785" spans="1:6" x14ac:dyDescent="0.35">
      <c r="A1785" t="s">
        <v>229</v>
      </c>
      <c r="B1785" t="s">
        <v>360</v>
      </c>
      <c r="C1785" s="26">
        <v>0.48299999999999998</v>
      </c>
      <c r="D1785" s="26">
        <v>0.51680000000000004</v>
      </c>
      <c r="E1785" s="26">
        <v>2.0000000000000001E-4</v>
      </c>
      <c r="F1785">
        <v>434</v>
      </c>
    </row>
    <row r="1786" spans="1:6" x14ac:dyDescent="0.35">
      <c r="A1786" t="s">
        <v>229</v>
      </c>
      <c r="B1786" t="s">
        <v>361</v>
      </c>
      <c r="C1786" s="26">
        <v>0.55320000000000003</v>
      </c>
      <c r="D1786" s="26">
        <v>0.44340000000000002</v>
      </c>
      <c r="E1786" s="26">
        <v>3.3999999999999998E-3</v>
      </c>
      <c r="F1786">
        <v>514</v>
      </c>
    </row>
    <row r="1787" spans="1:6" x14ac:dyDescent="0.35">
      <c r="A1787" t="s">
        <v>229</v>
      </c>
      <c r="B1787" t="s">
        <v>362</v>
      </c>
      <c r="C1787" s="26">
        <v>0.50560000000000005</v>
      </c>
      <c r="D1787" s="26">
        <v>0.49440000000000001</v>
      </c>
      <c r="F1787">
        <v>384</v>
      </c>
    </row>
    <row r="1788" spans="1:6" x14ac:dyDescent="0.35">
      <c r="A1788" t="s">
        <v>230</v>
      </c>
      <c r="B1788" t="s">
        <v>360</v>
      </c>
      <c r="C1788" s="26">
        <v>0.45669999999999999</v>
      </c>
      <c r="D1788" s="26">
        <v>0.53810000000000002</v>
      </c>
      <c r="E1788" s="26">
        <v>5.1999999999999998E-3</v>
      </c>
      <c r="F1788">
        <v>307</v>
      </c>
    </row>
    <row r="1789" spans="1:6" x14ac:dyDescent="0.35">
      <c r="A1789" t="s">
        <v>230</v>
      </c>
      <c r="B1789" t="s">
        <v>363</v>
      </c>
      <c r="C1789" s="26">
        <v>0.53710000000000002</v>
      </c>
      <c r="D1789" s="26">
        <v>0.46110000000000001</v>
      </c>
      <c r="E1789" s="26">
        <v>1.8E-3</v>
      </c>
      <c r="F1789">
        <v>265</v>
      </c>
    </row>
    <row r="1790" spans="1:6" x14ac:dyDescent="0.35">
      <c r="A1790" t="s">
        <v>230</v>
      </c>
      <c r="B1790" t="s">
        <v>361</v>
      </c>
      <c r="C1790" s="26">
        <v>0.66049999999999998</v>
      </c>
      <c r="D1790" s="26">
        <v>0.33950000000000002</v>
      </c>
      <c r="F1790">
        <v>234</v>
      </c>
    </row>
    <row r="1791" spans="1:6" x14ac:dyDescent="0.35">
      <c r="A1791" t="s">
        <v>230</v>
      </c>
      <c r="B1791" t="s">
        <v>362</v>
      </c>
      <c r="C1791" s="26">
        <v>0.53700000000000003</v>
      </c>
      <c r="D1791" s="26">
        <v>0.45989999999999998</v>
      </c>
      <c r="E1791" s="26">
        <v>3.0999999999999999E-3</v>
      </c>
      <c r="F1791">
        <v>335</v>
      </c>
    </row>
    <row r="1792" spans="1:6" x14ac:dyDescent="0.35">
      <c r="A1792" t="s">
        <v>231</v>
      </c>
      <c r="B1792" t="s">
        <v>362</v>
      </c>
      <c r="C1792" s="26">
        <v>0.47270000000000001</v>
      </c>
      <c r="D1792" s="26">
        <v>0.52729999999999999</v>
      </c>
      <c r="F1792">
        <v>55</v>
      </c>
    </row>
    <row r="1793" spans="1:6" x14ac:dyDescent="0.35">
      <c r="A1793" t="s">
        <v>231</v>
      </c>
      <c r="B1793" t="s">
        <v>361</v>
      </c>
      <c r="C1793" s="26">
        <v>0.56699999999999995</v>
      </c>
      <c r="D1793" s="26">
        <v>0.433</v>
      </c>
      <c r="F1793">
        <v>97</v>
      </c>
    </row>
    <row r="1794" spans="1:6" x14ac:dyDescent="0.35">
      <c r="A1794" t="s">
        <v>231</v>
      </c>
      <c r="B1794" t="s">
        <v>360</v>
      </c>
      <c r="C1794" s="26">
        <v>0.60319999999999996</v>
      </c>
      <c r="D1794" s="26">
        <v>0.39679999999999999</v>
      </c>
      <c r="F1794">
        <v>126</v>
      </c>
    </row>
    <row r="1795" spans="1:6" x14ac:dyDescent="0.35">
      <c r="A1795" t="s">
        <v>231</v>
      </c>
      <c r="B1795" t="s">
        <v>363</v>
      </c>
      <c r="C1795" s="26">
        <v>0.54169999999999996</v>
      </c>
      <c r="D1795" s="26">
        <v>0.45829999999999999</v>
      </c>
      <c r="F1795">
        <v>72</v>
      </c>
    </row>
    <row r="1796" spans="1:6" x14ac:dyDescent="0.35">
      <c r="A1796" t="s">
        <v>232</v>
      </c>
      <c r="B1796" t="s">
        <v>232</v>
      </c>
      <c r="C1796" s="26">
        <v>0.54110000000000003</v>
      </c>
      <c r="D1796" s="26">
        <v>0.45700000000000002</v>
      </c>
      <c r="E1796" s="26">
        <v>1.9E-3</v>
      </c>
      <c r="F1796">
        <v>5595</v>
      </c>
    </row>
    <row r="1798" spans="1:6" x14ac:dyDescent="0.35">
      <c r="A1798" s="1" t="s">
        <v>484</v>
      </c>
    </row>
    <row r="1799" spans="1:6" x14ac:dyDescent="0.35">
      <c r="A1799" t="s">
        <v>219</v>
      </c>
      <c r="B1799" t="s">
        <v>305</v>
      </c>
      <c r="C1799" t="s">
        <v>302</v>
      </c>
      <c r="D1799" t="s">
        <v>303</v>
      </c>
      <c r="E1799" t="s">
        <v>281</v>
      </c>
      <c r="F1799" t="s">
        <v>226</v>
      </c>
    </row>
    <row r="1800" spans="1:6" x14ac:dyDescent="0.35">
      <c r="A1800" t="s">
        <v>227</v>
      </c>
      <c r="B1800" t="s">
        <v>267</v>
      </c>
      <c r="C1800" s="26">
        <v>0.5484</v>
      </c>
      <c r="D1800" s="26">
        <v>0.4516</v>
      </c>
      <c r="F1800">
        <v>62</v>
      </c>
    </row>
    <row r="1801" spans="1:6" x14ac:dyDescent="0.35">
      <c r="A1801" t="s">
        <v>227</v>
      </c>
      <c r="B1801" t="s">
        <v>265</v>
      </c>
      <c r="C1801" s="26">
        <v>0.5222</v>
      </c>
      <c r="D1801" s="26">
        <v>0.4778</v>
      </c>
      <c r="F1801">
        <v>203</v>
      </c>
    </row>
    <row r="1802" spans="1:6" x14ac:dyDescent="0.35">
      <c r="A1802" t="s">
        <v>227</v>
      </c>
      <c r="B1802" t="s">
        <v>266</v>
      </c>
      <c r="C1802" s="26">
        <v>0.53539999999999999</v>
      </c>
      <c r="D1802" s="26">
        <v>0.46460000000000001</v>
      </c>
      <c r="F1802">
        <v>99</v>
      </c>
    </row>
    <row r="1803" spans="1:6" x14ac:dyDescent="0.35">
      <c r="A1803" t="s">
        <v>228</v>
      </c>
      <c r="B1803" t="s">
        <v>265</v>
      </c>
      <c r="C1803" s="26">
        <v>0.58440000000000003</v>
      </c>
      <c r="D1803" s="26">
        <v>0.41399999999999998</v>
      </c>
      <c r="E1803" s="26">
        <v>1.6000000000000001E-3</v>
      </c>
      <c r="F1803">
        <v>1125</v>
      </c>
    </row>
    <row r="1804" spans="1:6" x14ac:dyDescent="0.35">
      <c r="A1804" t="s">
        <v>228</v>
      </c>
      <c r="B1804" t="s">
        <v>267</v>
      </c>
      <c r="C1804" s="26">
        <v>0.62109999999999999</v>
      </c>
      <c r="D1804" s="26">
        <v>0.37740000000000001</v>
      </c>
      <c r="E1804" s="26">
        <v>1.5E-3</v>
      </c>
      <c r="F1804">
        <v>426</v>
      </c>
    </row>
    <row r="1805" spans="1:6" x14ac:dyDescent="0.35">
      <c r="A1805" t="s">
        <v>228</v>
      </c>
      <c r="B1805" t="s">
        <v>266</v>
      </c>
      <c r="C1805" s="26">
        <v>0.5091</v>
      </c>
      <c r="D1805" s="26">
        <v>0.48949999999999999</v>
      </c>
      <c r="E1805" s="26">
        <v>1.4E-3</v>
      </c>
      <c r="F1805">
        <v>804</v>
      </c>
    </row>
    <row r="1806" spans="1:6" x14ac:dyDescent="0.35">
      <c r="A1806" s="27" t="s">
        <v>228</v>
      </c>
      <c r="B1806" s="27" t="s">
        <v>236</v>
      </c>
      <c r="C1806" s="28">
        <v>0.33329999999999999</v>
      </c>
      <c r="D1806" s="28">
        <v>0.66669999999999996</v>
      </c>
      <c r="E1806" s="29"/>
      <c r="F1806" s="29" t="s">
        <v>315</v>
      </c>
    </row>
    <row r="1807" spans="1:6" x14ac:dyDescent="0.35">
      <c r="A1807" t="s">
        <v>229</v>
      </c>
      <c r="B1807" t="s">
        <v>265</v>
      </c>
      <c r="C1807" s="26">
        <v>0.51449999999999996</v>
      </c>
      <c r="D1807" s="26">
        <v>0.4783</v>
      </c>
      <c r="E1807" s="26">
        <v>7.1999999999999998E-3</v>
      </c>
      <c r="F1807">
        <v>995</v>
      </c>
    </row>
    <row r="1808" spans="1:6" x14ac:dyDescent="0.35">
      <c r="A1808" t="s">
        <v>229</v>
      </c>
      <c r="B1808" t="s">
        <v>266</v>
      </c>
      <c r="C1808" s="26">
        <v>0.45739999999999997</v>
      </c>
      <c r="D1808" s="26">
        <v>0.54259999999999997</v>
      </c>
      <c r="F1808">
        <v>601</v>
      </c>
    </row>
    <row r="1809" spans="1:6" x14ac:dyDescent="0.35">
      <c r="A1809" t="s">
        <v>229</v>
      </c>
      <c r="B1809" t="s">
        <v>267</v>
      </c>
      <c r="C1809" s="26">
        <v>0.6018</v>
      </c>
      <c r="D1809" s="26">
        <v>0.3982</v>
      </c>
      <c r="F1809">
        <v>420</v>
      </c>
    </row>
    <row r="1810" spans="1:6" x14ac:dyDescent="0.35">
      <c r="A1810" t="s">
        <v>230</v>
      </c>
      <c r="B1810" t="s">
        <v>265</v>
      </c>
      <c r="C1810" s="26">
        <v>0.55430000000000001</v>
      </c>
      <c r="D1810" s="26">
        <v>0.44419999999999998</v>
      </c>
      <c r="E1810" s="26">
        <v>1.4E-3</v>
      </c>
      <c r="F1810">
        <v>617</v>
      </c>
    </row>
    <row r="1811" spans="1:6" x14ac:dyDescent="0.35">
      <c r="A1811" t="s">
        <v>230</v>
      </c>
      <c r="B1811" t="s">
        <v>267</v>
      </c>
      <c r="C1811" s="26">
        <v>0.59519999999999995</v>
      </c>
      <c r="D1811" s="26">
        <v>0.39</v>
      </c>
      <c r="E1811" s="26">
        <v>1.4800000000000001E-2</v>
      </c>
      <c r="F1811">
        <v>255</v>
      </c>
    </row>
    <row r="1812" spans="1:6" x14ac:dyDescent="0.35">
      <c r="A1812" t="s">
        <v>230</v>
      </c>
      <c r="B1812" t="s">
        <v>266</v>
      </c>
      <c r="C1812" s="26">
        <v>0.49669999999999997</v>
      </c>
      <c r="D1812" s="26">
        <v>0.50029999999999997</v>
      </c>
      <c r="E1812" s="26">
        <v>2.8999999999999998E-3</v>
      </c>
      <c r="F1812">
        <v>407</v>
      </c>
    </row>
    <row r="1813" spans="1:6" x14ac:dyDescent="0.35">
      <c r="A1813" t="s">
        <v>231</v>
      </c>
      <c r="B1813" t="s">
        <v>266</v>
      </c>
      <c r="C1813" s="26">
        <v>0.51549999999999996</v>
      </c>
      <c r="D1813" s="26">
        <v>0.48449999999999999</v>
      </c>
      <c r="F1813">
        <v>97</v>
      </c>
    </row>
    <row r="1814" spans="1:6" x14ac:dyDescent="0.35">
      <c r="A1814" t="s">
        <v>231</v>
      </c>
      <c r="B1814" t="s">
        <v>265</v>
      </c>
      <c r="C1814" s="26">
        <v>0.56279999999999997</v>
      </c>
      <c r="D1814" s="26">
        <v>0.43719999999999998</v>
      </c>
      <c r="F1814">
        <v>215</v>
      </c>
    </row>
    <row r="1815" spans="1:6" x14ac:dyDescent="0.35">
      <c r="A1815" t="s">
        <v>231</v>
      </c>
      <c r="B1815" t="s">
        <v>267</v>
      </c>
      <c r="C1815" s="26">
        <v>0.57350000000000001</v>
      </c>
      <c r="D1815" s="26">
        <v>0.42649999999999999</v>
      </c>
      <c r="F1815">
        <v>68</v>
      </c>
    </row>
    <row r="1816" spans="1:6" x14ac:dyDescent="0.35">
      <c r="A1816" t="s">
        <v>232</v>
      </c>
      <c r="B1816" t="s">
        <v>232</v>
      </c>
      <c r="C1816" s="26">
        <v>0.54110000000000003</v>
      </c>
      <c r="D1816" s="26">
        <v>0.45700000000000002</v>
      </c>
      <c r="E1816" s="26">
        <v>1.9E-3</v>
      </c>
      <c r="F1816">
        <v>6397</v>
      </c>
    </row>
    <row r="1818" spans="1:6" x14ac:dyDescent="0.35">
      <c r="A1818" s="1" t="s">
        <v>485</v>
      </c>
    </row>
    <row r="1819" spans="1:6" x14ac:dyDescent="0.35">
      <c r="A1819" t="s">
        <v>219</v>
      </c>
      <c r="B1819" t="s">
        <v>305</v>
      </c>
      <c r="C1819" t="s">
        <v>302</v>
      </c>
      <c r="D1819" t="s">
        <v>303</v>
      </c>
      <c r="E1819" t="s">
        <v>281</v>
      </c>
      <c r="F1819" t="s">
        <v>226</v>
      </c>
    </row>
    <row r="1820" spans="1:6" x14ac:dyDescent="0.35">
      <c r="A1820" t="s">
        <v>227</v>
      </c>
      <c r="B1820" t="s">
        <v>252</v>
      </c>
      <c r="C1820" s="26">
        <v>0.39710000000000001</v>
      </c>
      <c r="D1820" s="26">
        <v>0.60289999999999999</v>
      </c>
      <c r="F1820">
        <v>68</v>
      </c>
    </row>
    <row r="1821" spans="1:6" x14ac:dyDescent="0.35">
      <c r="A1821" t="s">
        <v>227</v>
      </c>
      <c r="B1821" t="s">
        <v>253</v>
      </c>
      <c r="C1821" s="26">
        <v>0.46729999999999999</v>
      </c>
      <c r="D1821" s="26">
        <v>0.53269999999999995</v>
      </c>
      <c r="F1821">
        <v>107</v>
      </c>
    </row>
    <row r="1822" spans="1:6" x14ac:dyDescent="0.35">
      <c r="A1822" t="s">
        <v>227</v>
      </c>
      <c r="B1822" t="s">
        <v>251</v>
      </c>
      <c r="C1822" s="26">
        <v>0.61380000000000001</v>
      </c>
      <c r="D1822" s="26">
        <v>0.38619999999999999</v>
      </c>
      <c r="F1822">
        <v>189</v>
      </c>
    </row>
    <row r="1823" spans="1:6" x14ac:dyDescent="0.35">
      <c r="A1823" t="s">
        <v>228</v>
      </c>
      <c r="B1823" t="s">
        <v>252</v>
      </c>
      <c r="C1823" s="26">
        <v>0.46589999999999998</v>
      </c>
      <c r="D1823" s="26">
        <v>0.53410000000000002</v>
      </c>
      <c r="F1823">
        <v>502</v>
      </c>
    </row>
    <row r="1824" spans="1:6" x14ac:dyDescent="0.35">
      <c r="A1824" t="s">
        <v>228</v>
      </c>
      <c r="B1824" t="s">
        <v>253</v>
      </c>
      <c r="C1824" s="26">
        <v>0.5222</v>
      </c>
      <c r="D1824" s="26">
        <v>0.47539999999999999</v>
      </c>
      <c r="E1824" s="26">
        <v>2.3999999999999998E-3</v>
      </c>
      <c r="F1824">
        <v>750</v>
      </c>
    </row>
    <row r="1825" spans="1:6" x14ac:dyDescent="0.35">
      <c r="A1825" t="s">
        <v>228</v>
      </c>
      <c r="B1825" t="s">
        <v>251</v>
      </c>
      <c r="C1825" s="26">
        <v>0.63219999999999998</v>
      </c>
      <c r="D1825" s="26">
        <v>0.36620000000000003</v>
      </c>
      <c r="E1825" s="26">
        <v>1.6000000000000001E-3</v>
      </c>
      <c r="F1825">
        <v>1106</v>
      </c>
    </row>
    <row r="1826" spans="1:6" x14ac:dyDescent="0.35">
      <c r="A1826" t="s">
        <v>229</v>
      </c>
      <c r="B1826" t="s">
        <v>252</v>
      </c>
      <c r="C1826" s="26">
        <v>0.43290000000000001</v>
      </c>
      <c r="D1826" s="26">
        <v>0.56679999999999997</v>
      </c>
      <c r="E1826" s="26">
        <v>2.9999999999999997E-4</v>
      </c>
      <c r="F1826">
        <v>296</v>
      </c>
    </row>
    <row r="1827" spans="1:6" x14ac:dyDescent="0.35">
      <c r="A1827" t="s">
        <v>229</v>
      </c>
      <c r="B1827" t="s">
        <v>253</v>
      </c>
      <c r="C1827" s="26">
        <v>0.43130000000000002</v>
      </c>
      <c r="D1827" s="26">
        <v>0.56869999999999998</v>
      </c>
      <c r="F1827">
        <v>479</v>
      </c>
    </row>
    <row r="1828" spans="1:6" x14ac:dyDescent="0.35">
      <c r="A1828" t="s">
        <v>229</v>
      </c>
      <c r="B1828" t="s">
        <v>251</v>
      </c>
      <c r="C1828" s="26">
        <v>0.57740000000000002</v>
      </c>
      <c r="D1828" s="26">
        <v>0.4158</v>
      </c>
      <c r="E1828" s="26">
        <v>6.7000000000000002E-3</v>
      </c>
      <c r="F1828">
        <v>1241</v>
      </c>
    </row>
    <row r="1829" spans="1:6" x14ac:dyDescent="0.35">
      <c r="A1829" t="s">
        <v>230</v>
      </c>
      <c r="B1829" t="s">
        <v>252</v>
      </c>
      <c r="C1829" s="26">
        <v>0.31830000000000003</v>
      </c>
      <c r="D1829" s="26">
        <v>0.67930000000000001</v>
      </c>
      <c r="E1829" s="26">
        <v>2.3999999999999998E-3</v>
      </c>
      <c r="F1829">
        <v>232</v>
      </c>
    </row>
    <row r="1830" spans="1:6" x14ac:dyDescent="0.35">
      <c r="A1830" t="s">
        <v>230</v>
      </c>
      <c r="B1830" t="s">
        <v>253</v>
      </c>
      <c r="C1830" s="26">
        <v>0.57199999999999995</v>
      </c>
      <c r="D1830" s="26">
        <v>0.42630000000000001</v>
      </c>
      <c r="E1830" s="26">
        <v>1.6999999999999999E-3</v>
      </c>
      <c r="F1830">
        <v>316</v>
      </c>
    </row>
    <row r="1831" spans="1:6" x14ac:dyDescent="0.35">
      <c r="A1831" t="s">
        <v>230</v>
      </c>
      <c r="B1831" t="s">
        <v>251</v>
      </c>
      <c r="C1831" s="26">
        <v>0.5968</v>
      </c>
      <c r="D1831" s="26">
        <v>0.39710000000000001</v>
      </c>
      <c r="E1831" s="26">
        <v>6.1000000000000004E-3</v>
      </c>
      <c r="F1831">
        <v>731</v>
      </c>
    </row>
    <row r="1832" spans="1:6" x14ac:dyDescent="0.35">
      <c r="A1832" t="s">
        <v>231</v>
      </c>
      <c r="B1832" t="s">
        <v>252</v>
      </c>
      <c r="C1832" s="26">
        <v>0.38030000000000003</v>
      </c>
      <c r="D1832" s="26">
        <v>0.61970000000000003</v>
      </c>
      <c r="F1832">
        <v>71</v>
      </c>
    </row>
    <row r="1833" spans="1:6" x14ac:dyDescent="0.35">
      <c r="A1833" t="s">
        <v>231</v>
      </c>
      <c r="B1833" t="s">
        <v>253</v>
      </c>
      <c r="C1833" s="26">
        <v>0.5464</v>
      </c>
      <c r="D1833" s="26">
        <v>0.4536</v>
      </c>
      <c r="F1833">
        <v>97</v>
      </c>
    </row>
    <row r="1834" spans="1:6" x14ac:dyDescent="0.35">
      <c r="A1834" t="s">
        <v>231</v>
      </c>
      <c r="B1834" t="s">
        <v>251</v>
      </c>
      <c r="C1834" s="26">
        <v>0.61319999999999997</v>
      </c>
      <c r="D1834" s="26">
        <v>0.38679999999999998</v>
      </c>
      <c r="F1834">
        <v>212</v>
      </c>
    </row>
    <row r="1835" spans="1:6" x14ac:dyDescent="0.35">
      <c r="A1835" t="s">
        <v>232</v>
      </c>
      <c r="B1835" t="s">
        <v>232</v>
      </c>
      <c r="C1835" s="26">
        <v>0.54110000000000003</v>
      </c>
      <c r="D1835" s="26">
        <v>0.45700000000000002</v>
      </c>
      <c r="E1835" s="26">
        <v>1.9E-3</v>
      </c>
      <c r="F1835">
        <v>6397</v>
      </c>
    </row>
    <row r="1837" spans="1:6" x14ac:dyDescent="0.35">
      <c r="A1837" s="1" t="s">
        <v>486</v>
      </c>
    </row>
    <row r="1838" spans="1:6" x14ac:dyDescent="0.35">
      <c r="A1838" t="s">
        <v>219</v>
      </c>
      <c r="B1838" t="s">
        <v>305</v>
      </c>
      <c r="C1838" t="s">
        <v>302</v>
      </c>
      <c r="D1838" t="s">
        <v>303</v>
      </c>
      <c r="E1838" t="s">
        <v>281</v>
      </c>
      <c r="F1838" t="s">
        <v>226</v>
      </c>
    </row>
    <row r="1839" spans="1:6" x14ac:dyDescent="0.35">
      <c r="A1839" t="s">
        <v>227</v>
      </c>
      <c r="B1839" t="s">
        <v>249</v>
      </c>
      <c r="C1839" s="26">
        <v>0.53939999999999999</v>
      </c>
      <c r="D1839" s="26">
        <v>0.46060000000000001</v>
      </c>
      <c r="F1839">
        <v>165</v>
      </c>
    </row>
    <row r="1840" spans="1:6" x14ac:dyDescent="0.35">
      <c r="A1840" t="s">
        <v>227</v>
      </c>
      <c r="B1840" t="s">
        <v>248</v>
      </c>
      <c r="C1840" s="26">
        <v>0.52259999999999995</v>
      </c>
      <c r="D1840" s="26">
        <v>0.47739999999999999</v>
      </c>
      <c r="F1840">
        <v>199</v>
      </c>
    </row>
    <row r="1841" spans="1:6" x14ac:dyDescent="0.35">
      <c r="A1841" t="s">
        <v>228</v>
      </c>
      <c r="B1841" t="s">
        <v>249</v>
      </c>
      <c r="C1841" s="26">
        <v>0.61140000000000005</v>
      </c>
      <c r="D1841" s="26">
        <v>0.38600000000000001</v>
      </c>
      <c r="E1841" s="26">
        <v>2.5999999999999999E-3</v>
      </c>
      <c r="F1841">
        <v>1041</v>
      </c>
    </row>
    <row r="1842" spans="1:6" x14ac:dyDescent="0.35">
      <c r="A1842" t="s">
        <v>228</v>
      </c>
      <c r="B1842" t="s">
        <v>248</v>
      </c>
      <c r="C1842" s="26">
        <v>0.52170000000000005</v>
      </c>
      <c r="D1842" s="26">
        <v>0.4778</v>
      </c>
      <c r="E1842" s="26">
        <v>5.0000000000000001E-4</v>
      </c>
      <c r="F1842">
        <v>1317</v>
      </c>
    </row>
    <row r="1843" spans="1:6" x14ac:dyDescent="0.35">
      <c r="A1843" t="s">
        <v>229</v>
      </c>
      <c r="B1843" t="s">
        <v>249</v>
      </c>
      <c r="C1843" s="26">
        <v>0.52990000000000004</v>
      </c>
      <c r="D1843" s="26">
        <v>0.46200000000000002</v>
      </c>
      <c r="E1843" s="26">
        <v>8.2000000000000007E-3</v>
      </c>
      <c r="F1843">
        <v>910</v>
      </c>
    </row>
    <row r="1844" spans="1:6" x14ac:dyDescent="0.35">
      <c r="A1844" t="s">
        <v>229</v>
      </c>
      <c r="B1844" t="s">
        <v>248</v>
      </c>
      <c r="C1844" s="26">
        <v>0.50549999999999995</v>
      </c>
      <c r="D1844" s="26">
        <v>0.49440000000000001</v>
      </c>
      <c r="E1844" s="26">
        <v>1E-4</v>
      </c>
      <c r="F1844">
        <v>1106</v>
      </c>
    </row>
    <row r="1845" spans="1:6" x14ac:dyDescent="0.35">
      <c r="A1845" t="s">
        <v>230</v>
      </c>
      <c r="B1845" t="s">
        <v>249</v>
      </c>
      <c r="C1845" s="26">
        <v>0.58230000000000004</v>
      </c>
      <c r="D1845" s="26">
        <v>0.41020000000000001</v>
      </c>
      <c r="E1845" s="26">
        <v>7.6E-3</v>
      </c>
      <c r="F1845">
        <v>605</v>
      </c>
    </row>
    <row r="1846" spans="1:6" x14ac:dyDescent="0.35">
      <c r="A1846" t="s">
        <v>230</v>
      </c>
      <c r="B1846" t="s">
        <v>248</v>
      </c>
      <c r="C1846" s="26">
        <v>0.51300000000000001</v>
      </c>
      <c r="D1846" s="26">
        <v>0.48549999999999999</v>
      </c>
      <c r="E1846" s="26">
        <v>1.5E-3</v>
      </c>
      <c r="F1846">
        <v>674</v>
      </c>
    </row>
    <row r="1847" spans="1:6" x14ac:dyDescent="0.35">
      <c r="A1847" t="s">
        <v>231</v>
      </c>
      <c r="B1847" t="s">
        <v>249</v>
      </c>
      <c r="C1847" s="26">
        <v>0.62860000000000005</v>
      </c>
      <c r="D1847" s="26">
        <v>0.37140000000000001</v>
      </c>
      <c r="F1847">
        <v>140</v>
      </c>
    </row>
    <row r="1848" spans="1:6" x14ac:dyDescent="0.35">
      <c r="A1848" t="s">
        <v>231</v>
      </c>
      <c r="B1848" t="s">
        <v>248</v>
      </c>
      <c r="C1848" s="26">
        <v>0.50829999999999997</v>
      </c>
      <c r="D1848" s="26">
        <v>0.49170000000000003</v>
      </c>
      <c r="F1848">
        <v>240</v>
      </c>
    </row>
    <row r="1849" spans="1:6" x14ac:dyDescent="0.35">
      <c r="A1849" t="s">
        <v>232</v>
      </c>
      <c r="B1849" t="s">
        <v>232</v>
      </c>
      <c r="C1849" s="26">
        <v>0.54110000000000003</v>
      </c>
      <c r="D1849" s="26">
        <v>0.45700000000000002</v>
      </c>
      <c r="E1849" s="26">
        <v>1.9E-3</v>
      </c>
      <c r="F1849">
        <v>6397</v>
      </c>
    </row>
    <row r="1851" spans="1:6" x14ac:dyDescent="0.35">
      <c r="A1851" s="1" t="s">
        <v>487</v>
      </c>
    </row>
    <row r="1852" spans="1:6" x14ac:dyDescent="0.35">
      <c r="A1852" t="s">
        <v>219</v>
      </c>
      <c r="B1852" t="s">
        <v>305</v>
      </c>
      <c r="C1852" t="s">
        <v>302</v>
      </c>
      <c r="D1852" t="s">
        <v>303</v>
      </c>
      <c r="E1852" t="s">
        <v>281</v>
      </c>
      <c r="F1852" t="s">
        <v>226</v>
      </c>
    </row>
    <row r="1853" spans="1:6" x14ac:dyDescent="0.35">
      <c r="A1853" s="27" t="s">
        <v>227</v>
      </c>
      <c r="B1853" s="27" t="s">
        <v>263</v>
      </c>
      <c r="C1853" s="28">
        <v>0.4</v>
      </c>
      <c r="D1853" s="28">
        <v>0.6</v>
      </c>
      <c r="E1853" s="29"/>
      <c r="F1853" s="29" t="s">
        <v>332</v>
      </c>
    </row>
    <row r="1854" spans="1:6" x14ac:dyDescent="0.35">
      <c r="A1854" t="s">
        <v>227</v>
      </c>
      <c r="B1854" t="s">
        <v>260</v>
      </c>
      <c r="C1854" s="26">
        <v>0.53449999999999998</v>
      </c>
      <c r="D1854" s="26">
        <v>0.46550000000000002</v>
      </c>
      <c r="F1854">
        <v>275</v>
      </c>
    </row>
    <row r="1855" spans="1:6" x14ac:dyDescent="0.35">
      <c r="A1855" t="s">
        <v>227</v>
      </c>
      <c r="B1855" t="s">
        <v>261</v>
      </c>
      <c r="C1855" s="26">
        <v>0.50680000000000003</v>
      </c>
      <c r="D1855" s="26">
        <v>0.49320000000000003</v>
      </c>
      <c r="F1855">
        <v>73</v>
      </c>
    </row>
    <row r="1856" spans="1:6" x14ac:dyDescent="0.35">
      <c r="A1856" s="27" t="s">
        <v>227</v>
      </c>
      <c r="B1856" s="27" t="s">
        <v>262</v>
      </c>
      <c r="C1856" s="28">
        <v>0.63639999999999997</v>
      </c>
      <c r="D1856" s="28">
        <v>0.36359999999999998</v>
      </c>
      <c r="E1856" s="29"/>
      <c r="F1856" s="29" t="s">
        <v>352</v>
      </c>
    </row>
    <row r="1857" spans="1:6" x14ac:dyDescent="0.35">
      <c r="A1857" s="27" t="s">
        <v>228</v>
      </c>
      <c r="B1857" s="27" t="s">
        <v>236</v>
      </c>
      <c r="C1857" s="28">
        <v>0.57450000000000001</v>
      </c>
      <c r="D1857" s="28">
        <v>0.39510000000000001</v>
      </c>
      <c r="E1857" s="28">
        <v>3.0499999999999999E-2</v>
      </c>
      <c r="F1857" s="29" t="s">
        <v>307</v>
      </c>
    </row>
    <row r="1858" spans="1:6" x14ac:dyDescent="0.35">
      <c r="A1858" t="s">
        <v>228</v>
      </c>
      <c r="B1858" t="s">
        <v>262</v>
      </c>
      <c r="C1858" s="26">
        <v>0.54549999999999998</v>
      </c>
      <c r="D1858" s="26">
        <v>0.45450000000000002</v>
      </c>
      <c r="F1858">
        <v>508</v>
      </c>
    </row>
    <row r="1859" spans="1:6" x14ac:dyDescent="0.35">
      <c r="A1859" t="s">
        <v>228</v>
      </c>
      <c r="B1859" t="s">
        <v>260</v>
      </c>
      <c r="C1859" s="26">
        <v>0.60099999999999998</v>
      </c>
      <c r="D1859" s="26">
        <v>0.39750000000000002</v>
      </c>
      <c r="E1859" s="26">
        <v>1.5E-3</v>
      </c>
      <c r="F1859">
        <v>1296</v>
      </c>
    </row>
    <row r="1860" spans="1:6" x14ac:dyDescent="0.35">
      <c r="A1860" t="s">
        <v>228</v>
      </c>
      <c r="B1860" t="s">
        <v>263</v>
      </c>
      <c r="C1860" s="26">
        <v>0.43009999999999998</v>
      </c>
      <c r="D1860" s="26">
        <v>0.55210000000000004</v>
      </c>
      <c r="E1860" s="26">
        <v>1.78E-2</v>
      </c>
      <c r="F1860">
        <v>61</v>
      </c>
    </row>
    <row r="1861" spans="1:6" x14ac:dyDescent="0.35">
      <c r="A1861" t="s">
        <v>228</v>
      </c>
      <c r="B1861" t="s">
        <v>261</v>
      </c>
      <c r="C1861" s="26">
        <v>0.49780000000000002</v>
      </c>
      <c r="D1861" s="26">
        <v>0.50109999999999999</v>
      </c>
      <c r="E1861" s="26">
        <v>1.1000000000000001E-3</v>
      </c>
      <c r="F1861">
        <v>483</v>
      </c>
    </row>
    <row r="1862" spans="1:6" x14ac:dyDescent="0.35">
      <c r="A1862" t="s">
        <v>229</v>
      </c>
      <c r="B1862" t="s">
        <v>263</v>
      </c>
      <c r="C1862" s="26">
        <v>0.46629999999999999</v>
      </c>
      <c r="D1862" s="26">
        <v>0.53369999999999995</v>
      </c>
      <c r="F1862">
        <v>40</v>
      </c>
    </row>
    <row r="1863" spans="1:6" x14ac:dyDescent="0.35">
      <c r="A1863" t="s">
        <v>229</v>
      </c>
      <c r="B1863" t="s">
        <v>261</v>
      </c>
      <c r="C1863" s="26">
        <v>0.41909999999999997</v>
      </c>
      <c r="D1863" s="26">
        <v>0.57999999999999996</v>
      </c>
      <c r="E1863" s="26">
        <v>8.9999999999999998E-4</v>
      </c>
      <c r="F1863">
        <v>236</v>
      </c>
    </row>
    <row r="1864" spans="1:6" x14ac:dyDescent="0.35">
      <c r="A1864" t="s">
        <v>229</v>
      </c>
      <c r="B1864" t="s">
        <v>262</v>
      </c>
      <c r="C1864" s="26">
        <v>0.46089999999999998</v>
      </c>
      <c r="D1864" s="26">
        <v>0.5272</v>
      </c>
      <c r="E1864" s="26">
        <v>1.1900000000000001E-2</v>
      </c>
      <c r="F1864">
        <v>493</v>
      </c>
    </row>
    <row r="1865" spans="1:6" x14ac:dyDescent="0.35">
      <c r="A1865" t="s">
        <v>229</v>
      </c>
      <c r="B1865" t="s">
        <v>260</v>
      </c>
      <c r="C1865" s="26">
        <v>0.58430000000000004</v>
      </c>
      <c r="D1865" s="26">
        <v>0.41560000000000002</v>
      </c>
      <c r="E1865" s="26">
        <v>1E-4</v>
      </c>
      <c r="F1865">
        <v>1246</v>
      </c>
    </row>
    <row r="1866" spans="1:6" x14ac:dyDescent="0.35">
      <c r="A1866" s="27" t="s">
        <v>229</v>
      </c>
      <c r="B1866" s="27" t="s">
        <v>236</v>
      </c>
      <c r="C1866" s="29"/>
      <c r="D1866" s="28">
        <v>1</v>
      </c>
      <c r="E1866" s="29"/>
      <c r="F1866" s="29" t="s">
        <v>331</v>
      </c>
    </row>
    <row r="1867" spans="1:6" x14ac:dyDescent="0.35">
      <c r="A1867" t="s">
        <v>230</v>
      </c>
      <c r="B1867" t="s">
        <v>263</v>
      </c>
      <c r="C1867" s="26">
        <v>0.52790000000000004</v>
      </c>
      <c r="D1867" s="26">
        <v>0.47210000000000002</v>
      </c>
      <c r="F1867">
        <v>63</v>
      </c>
    </row>
    <row r="1868" spans="1:6" x14ac:dyDescent="0.35">
      <c r="A1868" t="s">
        <v>230</v>
      </c>
      <c r="B1868" t="s">
        <v>262</v>
      </c>
      <c r="C1868" s="26">
        <v>0.48089999999999999</v>
      </c>
      <c r="D1868" s="26">
        <v>0.50319999999999998</v>
      </c>
      <c r="E1868" s="26">
        <v>1.5900000000000001E-2</v>
      </c>
      <c r="F1868">
        <v>298</v>
      </c>
    </row>
    <row r="1869" spans="1:6" x14ac:dyDescent="0.35">
      <c r="A1869" t="s">
        <v>230</v>
      </c>
      <c r="B1869" t="s">
        <v>261</v>
      </c>
      <c r="C1869" s="26">
        <v>0.38750000000000001</v>
      </c>
      <c r="D1869" s="26">
        <v>0.60709999999999997</v>
      </c>
      <c r="E1869" s="26">
        <v>5.4000000000000003E-3</v>
      </c>
      <c r="F1869">
        <v>150</v>
      </c>
    </row>
    <row r="1870" spans="1:6" x14ac:dyDescent="0.35">
      <c r="A1870" t="s">
        <v>230</v>
      </c>
      <c r="B1870" t="s">
        <v>260</v>
      </c>
      <c r="C1870" s="26">
        <v>0.59919999999999995</v>
      </c>
      <c r="D1870" s="26">
        <v>0.39910000000000001</v>
      </c>
      <c r="E1870" s="26">
        <v>1.6999999999999999E-3</v>
      </c>
      <c r="F1870">
        <v>761</v>
      </c>
    </row>
    <row r="1871" spans="1:6" x14ac:dyDescent="0.35">
      <c r="A1871" s="27" t="s">
        <v>230</v>
      </c>
      <c r="B1871" s="27" t="s">
        <v>236</v>
      </c>
      <c r="C1871" s="28">
        <v>0.66010000000000002</v>
      </c>
      <c r="D1871" s="28">
        <v>0.33989999999999998</v>
      </c>
      <c r="E1871" s="29"/>
      <c r="F1871" s="29" t="s">
        <v>339</v>
      </c>
    </row>
    <row r="1872" spans="1:6" x14ac:dyDescent="0.35">
      <c r="A1872" t="s">
        <v>231</v>
      </c>
      <c r="B1872" t="s">
        <v>260</v>
      </c>
      <c r="C1872" s="26">
        <v>0.58360000000000001</v>
      </c>
      <c r="D1872" s="26">
        <v>0.41639999999999999</v>
      </c>
      <c r="F1872">
        <v>293</v>
      </c>
    </row>
    <row r="1873" spans="1:6" x14ac:dyDescent="0.35">
      <c r="A1873" t="s">
        <v>231</v>
      </c>
      <c r="B1873" t="s">
        <v>261</v>
      </c>
      <c r="C1873" s="26">
        <v>0.4259</v>
      </c>
      <c r="D1873" s="26">
        <v>0.57410000000000005</v>
      </c>
      <c r="F1873">
        <v>54</v>
      </c>
    </row>
    <row r="1874" spans="1:6" x14ac:dyDescent="0.35">
      <c r="A1874" s="27" t="s">
        <v>231</v>
      </c>
      <c r="B1874" s="27" t="s">
        <v>263</v>
      </c>
      <c r="C1874" s="28">
        <v>0.2</v>
      </c>
      <c r="D1874" s="28">
        <v>0.8</v>
      </c>
      <c r="E1874" s="29"/>
      <c r="F1874" s="29" t="s">
        <v>332</v>
      </c>
    </row>
    <row r="1875" spans="1:6" x14ac:dyDescent="0.35">
      <c r="A1875" s="27" t="s">
        <v>231</v>
      </c>
      <c r="B1875" s="27" t="s">
        <v>262</v>
      </c>
      <c r="C1875" s="28">
        <v>0.53569999999999995</v>
      </c>
      <c r="D1875" s="28">
        <v>0.46429999999999999</v>
      </c>
      <c r="E1875" s="29"/>
      <c r="F1875" s="29" t="s">
        <v>336</v>
      </c>
    </row>
    <row r="1876" spans="1:6" x14ac:dyDescent="0.35">
      <c r="A1876" t="s">
        <v>232</v>
      </c>
      <c r="B1876" t="s">
        <v>232</v>
      </c>
      <c r="C1876" s="26">
        <v>0.54110000000000003</v>
      </c>
      <c r="D1876" s="26">
        <v>0.45700000000000002</v>
      </c>
      <c r="E1876" s="26">
        <v>1.9E-3</v>
      </c>
      <c r="F1876">
        <v>6397</v>
      </c>
    </row>
    <row r="1878" spans="1:6" x14ac:dyDescent="0.35">
      <c r="A1878" s="1" t="s">
        <v>488</v>
      </c>
    </row>
    <row r="1879" spans="1:6" x14ac:dyDescent="0.35">
      <c r="A1879" t="s">
        <v>219</v>
      </c>
      <c r="B1879" t="s">
        <v>305</v>
      </c>
      <c r="C1879" t="s">
        <v>302</v>
      </c>
      <c r="D1879" t="s">
        <v>303</v>
      </c>
      <c r="E1879" t="s">
        <v>281</v>
      </c>
      <c r="F1879" t="s">
        <v>226</v>
      </c>
    </row>
    <row r="1880" spans="1:6" x14ac:dyDescent="0.35">
      <c r="A1880" t="s">
        <v>227</v>
      </c>
      <c r="B1880" t="s">
        <v>368</v>
      </c>
      <c r="C1880" s="26">
        <v>0.50680000000000003</v>
      </c>
      <c r="D1880" s="26">
        <v>0.49320000000000003</v>
      </c>
      <c r="F1880">
        <v>73</v>
      </c>
    </row>
    <row r="1881" spans="1:6" x14ac:dyDescent="0.35">
      <c r="A1881" t="s">
        <v>227</v>
      </c>
      <c r="B1881" t="s">
        <v>369</v>
      </c>
      <c r="C1881" s="26">
        <v>0.53610000000000002</v>
      </c>
      <c r="D1881" s="26">
        <v>0.46389999999999998</v>
      </c>
      <c r="F1881">
        <v>291</v>
      </c>
    </row>
    <row r="1882" spans="1:6" x14ac:dyDescent="0.35">
      <c r="A1882" t="s">
        <v>228</v>
      </c>
      <c r="B1882" t="s">
        <v>368</v>
      </c>
      <c r="C1882" s="26">
        <v>0.49780000000000002</v>
      </c>
      <c r="D1882" s="26">
        <v>0.50109999999999999</v>
      </c>
      <c r="E1882" s="26">
        <v>1.1000000000000001E-3</v>
      </c>
      <c r="F1882">
        <v>483</v>
      </c>
    </row>
    <row r="1883" spans="1:6" x14ac:dyDescent="0.35">
      <c r="A1883" t="s">
        <v>228</v>
      </c>
      <c r="B1883" t="s">
        <v>369</v>
      </c>
      <c r="C1883" s="26">
        <v>0.58320000000000005</v>
      </c>
      <c r="D1883" s="26">
        <v>0.41510000000000002</v>
      </c>
      <c r="E1883" s="26">
        <v>1.6000000000000001E-3</v>
      </c>
      <c r="F1883">
        <v>1875</v>
      </c>
    </row>
    <row r="1884" spans="1:6" x14ac:dyDescent="0.35">
      <c r="A1884" t="s">
        <v>229</v>
      </c>
      <c r="B1884" t="s">
        <v>368</v>
      </c>
      <c r="C1884" s="26">
        <v>0.41909999999999997</v>
      </c>
      <c r="D1884" s="26">
        <v>0.57999999999999996</v>
      </c>
      <c r="E1884" s="26">
        <v>8.9999999999999998E-4</v>
      </c>
      <c r="F1884">
        <v>236</v>
      </c>
    </row>
    <row r="1885" spans="1:6" x14ac:dyDescent="0.35">
      <c r="A1885" t="s">
        <v>229</v>
      </c>
      <c r="B1885" t="s">
        <v>369</v>
      </c>
      <c r="C1885" s="26">
        <v>0.53439999999999999</v>
      </c>
      <c r="D1885" s="26">
        <v>0.46110000000000001</v>
      </c>
      <c r="E1885" s="26">
        <v>4.4999999999999997E-3</v>
      </c>
      <c r="F1885">
        <v>1780</v>
      </c>
    </row>
    <row r="1886" spans="1:6" x14ac:dyDescent="0.35">
      <c r="A1886" t="s">
        <v>230</v>
      </c>
      <c r="B1886" t="s">
        <v>368</v>
      </c>
      <c r="C1886" s="26">
        <v>0.38750000000000001</v>
      </c>
      <c r="D1886" s="26">
        <v>0.60709999999999997</v>
      </c>
      <c r="E1886" s="26">
        <v>5.4000000000000003E-3</v>
      </c>
      <c r="F1886">
        <v>150</v>
      </c>
    </row>
    <row r="1887" spans="1:6" x14ac:dyDescent="0.35">
      <c r="A1887" t="s">
        <v>230</v>
      </c>
      <c r="B1887" t="s">
        <v>369</v>
      </c>
      <c r="C1887" s="26">
        <v>0.57430000000000003</v>
      </c>
      <c r="D1887" s="26">
        <v>0.42120000000000002</v>
      </c>
      <c r="E1887" s="26">
        <v>4.4000000000000003E-3</v>
      </c>
      <c r="F1887">
        <v>1129</v>
      </c>
    </row>
    <row r="1888" spans="1:6" x14ac:dyDescent="0.35">
      <c r="A1888" t="s">
        <v>231</v>
      </c>
      <c r="B1888" t="s">
        <v>368</v>
      </c>
      <c r="C1888" s="26">
        <v>0.4259</v>
      </c>
      <c r="D1888" s="26">
        <v>0.57410000000000005</v>
      </c>
      <c r="F1888">
        <v>54</v>
      </c>
    </row>
    <row r="1889" spans="1:6" x14ac:dyDescent="0.35">
      <c r="A1889" t="s">
        <v>231</v>
      </c>
      <c r="B1889" t="s">
        <v>369</v>
      </c>
      <c r="C1889" s="26">
        <v>0.5736</v>
      </c>
      <c r="D1889" s="26">
        <v>0.4264</v>
      </c>
      <c r="F1889">
        <v>326</v>
      </c>
    </row>
    <row r="1890" spans="1:6" x14ac:dyDescent="0.35">
      <c r="A1890" t="s">
        <v>232</v>
      </c>
      <c r="B1890" t="s">
        <v>232</v>
      </c>
      <c r="C1890" s="26">
        <v>0.54110000000000003</v>
      </c>
      <c r="D1890" s="26">
        <v>0.45700000000000002</v>
      </c>
      <c r="E1890" s="26">
        <v>1.9E-3</v>
      </c>
      <c r="F1890">
        <v>6397</v>
      </c>
    </row>
    <row r="1892" spans="1:6" x14ac:dyDescent="0.35">
      <c r="A1892" s="1" t="s">
        <v>489</v>
      </c>
    </row>
    <row r="1893" spans="1:6" x14ac:dyDescent="0.35">
      <c r="A1893" t="s">
        <v>219</v>
      </c>
      <c r="B1893" t="s">
        <v>305</v>
      </c>
      <c r="C1893" t="s">
        <v>302</v>
      </c>
      <c r="D1893" t="s">
        <v>303</v>
      </c>
      <c r="E1893" t="s">
        <v>281</v>
      </c>
      <c r="F1893" t="s">
        <v>226</v>
      </c>
    </row>
    <row r="1894" spans="1:6" x14ac:dyDescent="0.35">
      <c r="A1894" t="s">
        <v>227</v>
      </c>
      <c r="B1894" t="s">
        <v>371</v>
      </c>
      <c r="C1894" s="26">
        <v>0.5302</v>
      </c>
      <c r="D1894" s="26">
        <v>0.4698</v>
      </c>
      <c r="F1894">
        <v>364</v>
      </c>
    </row>
    <row r="1895" spans="1:6" x14ac:dyDescent="0.35">
      <c r="A1895" t="s">
        <v>228</v>
      </c>
      <c r="B1895" t="s">
        <v>371</v>
      </c>
      <c r="C1895" s="26">
        <v>0.58599999999999997</v>
      </c>
      <c r="D1895" s="26">
        <v>0.41310000000000002</v>
      </c>
      <c r="E1895" s="26">
        <v>8.9999999999999998E-4</v>
      </c>
      <c r="F1895">
        <v>712</v>
      </c>
    </row>
    <row r="1896" spans="1:6" x14ac:dyDescent="0.35">
      <c r="A1896" t="s">
        <v>228</v>
      </c>
      <c r="B1896" t="s">
        <v>372</v>
      </c>
      <c r="C1896" s="26">
        <v>0.4597</v>
      </c>
      <c r="D1896" s="26">
        <v>0.53810000000000002</v>
      </c>
      <c r="E1896" s="26">
        <v>2.2000000000000001E-3</v>
      </c>
      <c r="F1896">
        <v>466</v>
      </c>
    </row>
    <row r="1897" spans="1:6" x14ac:dyDescent="0.35">
      <c r="A1897" t="s">
        <v>228</v>
      </c>
      <c r="B1897" t="s">
        <v>373</v>
      </c>
      <c r="C1897" s="26">
        <v>0.55579999999999996</v>
      </c>
      <c r="D1897" s="26">
        <v>0.442</v>
      </c>
      <c r="E1897" s="26">
        <v>2.2000000000000001E-3</v>
      </c>
      <c r="F1897">
        <v>1180</v>
      </c>
    </row>
    <row r="1898" spans="1:6" x14ac:dyDescent="0.35">
      <c r="A1898" t="s">
        <v>229</v>
      </c>
      <c r="B1898" t="s">
        <v>371</v>
      </c>
      <c r="C1898" s="26">
        <v>0.51480000000000004</v>
      </c>
      <c r="D1898" s="26">
        <v>0.48110000000000003</v>
      </c>
      <c r="E1898" s="26">
        <v>4.1000000000000003E-3</v>
      </c>
      <c r="F1898">
        <v>1335</v>
      </c>
    </row>
    <row r="1899" spans="1:6" x14ac:dyDescent="0.35">
      <c r="A1899" t="s">
        <v>229</v>
      </c>
      <c r="B1899" t="s">
        <v>372</v>
      </c>
      <c r="C1899" s="26">
        <v>0.49059999999999998</v>
      </c>
      <c r="D1899" s="26">
        <v>0.50560000000000005</v>
      </c>
      <c r="E1899" s="26">
        <v>3.8E-3</v>
      </c>
      <c r="F1899">
        <v>478</v>
      </c>
    </row>
    <row r="1900" spans="1:6" x14ac:dyDescent="0.35">
      <c r="A1900" t="s">
        <v>229</v>
      </c>
      <c r="B1900" t="s">
        <v>373</v>
      </c>
      <c r="C1900" s="26">
        <v>0.66220000000000001</v>
      </c>
      <c r="D1900" s="26">
        <v>0.33779999999999999</v>
      </c>
      <c r="F1900">
        <v>203</v>
      </c>
    </row>
    <row r="1901" spans="1:6" x14ac:dyDescent="0.35">
      <c r="A1901" t="s">
        <v>230</v>
      </c>
      <c r="B1901" t="s">
        <v>371</v>
      </c>
      <c r="C1901" s="26">
        <v>0.5403</v>
      </c>
      <c r="D1901" s="26">
        <v>0.4556</v>
      </c>
      <c r="E1901" s="26">
        <v>4.1999999999999997E-3</v>
      </c>
      <c r="F1901">
        <v>619</v>
      </c>
    </row>
    <row r="1902" spans="1:6" x14ac:dyDescent="0.35">
      <c r="A1902" t="s">
        <v>230</v>
      </c>
      <c r="B1902" t="s">
        <v>372</v>
      </c>
      <c r="C1902" s="26">
        <v>0.60550000000000004</v>
      </c>
      <c r="D1902" s="26">
        <v>0.38729999999999998</v>
      </c>
      <c r="E1902" s="26">
        <v>7.3000000000000001E-3</v>
      </c>
      <c r="F1902">
        <v>313</v>
      </c>
    </row>
    <row r="1903" spans="1:6" x14ac:dyDescent="0.35">
      <c r="A1903" t="s">
        <v>230</v>
      </c>
      <c r="B1903" t="s">
        <v>373</v>
      </c>
      <c r="C1903" s="26">
        <v>0.57530000000000003</v>
      </c>
      <c r="D1903" s="26">
        <v>0.41860000000000003</v>
      </c>
      <c r="E1903" s="26">
        <v>6.1999999999999998E-3</v>
      </c>
      <c r="F1903">
        <v>347</v>
      </c>
    </row>
    <row r="1904" spans="1:6" x14ac:dyDescent="0.35">
      <c r="A1904" t="s">
        <v>231</v>
      </c>
      <c r="B1904" t="s">
        <v>371</v>
      </c>
      <c r="C1904" s="26">
        <v>0.55259999999999998</v>
      </c>
      <c r="D1904" s="26">
        <v>0.44740000000000002</v>
      </c>
      <c r="F1904">
        <v>380</v>
      </c>
    </row>
    <row r="1905" spans="1:6" x14ac:dyDescent="0.35">
      <c r="A1905" t="s">
        <v>232</v>
      </c>
      <c r="B1905" t="s">
        <v>232</v>
      </c>
      <c r="C1905" s="26">
        <v>0.54110000000000003</v>
      </c>
      <c r="D1905" s="26">
        <v>0.45700000000000002</v>
      </c>
      <c r="E1905" s="26">
        <v>1.9E-3</v>
      </c>
      <c r="F1905">
        <v>6397</v>
      </c>
    </row>
    <row r="1907" spans="1:6" x14ac:dyDescent="0.35">
      <c r="A1907" s="1" t="s">
        <v>490</v>
      </c>
    </row>
    <row r="1908" spans="1:6" x14ac:dyDescent="0.35">
      <c r="A1908" t="s">
        <v>219</v>
      </c>
      <c r="B1908" t="s">
        <v>305</v>
      </c>
      <c r="C1908" t="s">
        <v>302</v>
      </c>
      <c r="D1908" t="s">
        <v>303</v>
      </c>
      <c r="E1908" t="s">
        <v>281</v>
      </c>
      <c r="F1908" t="s">
        <v>226</v>
      </c>
    </row>
    <row r="1909" spans="1:6" x14ac:dyDescent="0.35">
      <c r="A1909" t="s">
        <v>227</v>
      </c>
      <c r="B1909" t="s">
        <v>255</v>
      </c>
      <c r="C1909" s="26">
        <v>0.52259999999999995</v>
      </c>
      <c r="D1909" s="26">
        <v>0.47739999999999999</v>
      </c>
      <c r="F1909">
        <v>199</v>
      </c>
    </row>
    <row r="1910" spans="1:6" x14ac:dyDescent="0.35">
      <c r="A1910" s="27" t="s">
        <v>227</v>
      </c>
      <c r="B1910" s="27" t="s">
        <v>257</v>
      </c>
      <c r="C1910" s="28">
        <v>0.45829999999999999</v>
      </c>
      <c r="D1910" s="28">
        <v>0.54169999999999996</v>
      </c>
      <c r="E1910" s="29"/>
      <c r="F1910" s="29" t="s">
        <v>310</v>
      </c>
    </row>
    <row r="1911" spans="1:6" x14ac:dyDescent="0.35">
      <c r="A1911" t="s">
        <v>227</v>
      </c>
      <c r="B1911" t="s">
        <v>256</v>
      </c>
      <c r="C1911" s="26">
        <v>0.55320000000000003</v>
      </c>
      <c r="D1911" s="26">
        <v>0.44679999999999997</v>
      </c>
      <c r="F1911">
        <v>141</v>
      </c>
    </row>
    <row r="1912" spans="1:6" x14ac:dyDescent="0.35">
      <c r="A1912" t="s">
        <v>228</v>
      </c>
      <c r="B1912" t="s">
        <v>257</v>
      </c>
      <c r="C1912" s="26">
        <v>0.6159</v>
      </c>
      <c r="D1912" s="26">
        <v>0.3841</v>
      </c>
      <c r="F1912">
        <v>119</v>
      </c>
    </row>
    <row r="1913" spans="1:6" x14ac:dyDescent="0.35">
      <c r="A1913" s="27" t="s">
        <v>228</v>
      </c>
      <c r="B1913" s="27" t="s">
        <v>258</v>
      </c>
      <c r="C1913" s="28">
        <v>0.21590000000000001</v>
      </c>
      <c r="D1913" s="28">
        <v>0.78410000000000002</v>
      </c>
      <c r="E1913" s="29"/>
      <c r="F1913" s="29" t="s">
        <v>342</v>
      </c>
    </row>
    <row r="1914" spans="1:6" x14ac:dyDescent="0.35">
      <c r="A1914" t="s">
        <v>228</v>
      </c>
      <c r="B1914" t="s">
        <v>256</v>
      </c>
      <c r="C1914" s="26">
        <v>0.61619999999999997</v>
      </c>
      <c r="D1914" s="26">
        <v>0.38090000000000002</v>
      </c>
      <c r="E1914" s="26">
        <v>3.0000000000000001E-3</v>
      </c>
      <c r="F1914">
        <v>910</v>
      </c>
    </row>
    <row r="1915" spans="1:6" x14ac:dyDescent="0.35">
      <c r="A1915" t="s">
        <v>228</v>
      </c>
      <c r="B1915" t="s">
        <v>255</v>
      </c>
      <c r="C1915" s="26">
        <v>0.52170000000000005</v>
      </c>
      <c r="D1915" s="26">
        <v>0.4778</v>
      </c>
      <c r="E1915" s="26">
        <v>5.0000000000000001E-4</v>
      </c>
      <c r="F1915">
        <v>1317</v>
      </c>
    </row>
    <row r="1916" spans="1:6" x14ac:dyDescent="0.35">
      <c r="A1916" t="s">
        <v>229</v>
      </c>
      <c r="B1916" t="s">
        <v>256</v>
      </c>
      <c r="C1916" s="26">
        <v>0.53590000000000004</v>
      </c>
      <c r="D1916" s="26">
        <v>0.45490000000000003</v>
      </c>
      <c r="E1916" s="26">
        <v>9.1999999999999998E-3</v>
      </c>
      <c r="F1916">
        <v>789</v>
      </c>
    </row>
    <row r="1917" spans="1:6" x14ac:dyDescent="0.35">
      <c r="A1917" t="s">
        <v>229</v>
      </c>
      <c r="B1917" t="s">
        <v>255</v>
      </c>
      <c r="C1917" s="26">
        <v>0.50549999999999995</v>
      </c>
      <c r="D1917" s="26">
        <v>0.49440000000000001</v>
      </c>
      <c r="E1917" s="26">
        <v>1E-4</v>
      </c>
      <c r="F1917">
        <v>1106</v>
      </c>
    </row>
    <row r="1918" spans="1:6" x14ac:dyDescent="0.35">
      <c r="A1918" t="s">
        <v>229</v>
      </c>
      <c r="B1918" t="s">
        <v>257</v>
      </c>
      <c r="C1918" s="26">
        <v>0.48070000000000002</v>
      </c>
      <c r="D1918" s="26">
        <v>0.51929999999999998</v>
      </c>
      <c r="F1918">
        <v>117</v>
      </c>
    </row>
    <row r="1919" spans="1:6" x14ac:dyDescent="0.35">
      <c r="A1919" s="27" t="s">
        <v>229</v>
      </c>
      <c r="B1919" s="27" t="s">
        <v>258</v>
      </c>
      <c r="C1919" s="28">
        <v>0.88790000000000002</v>
      </c>
      <c r="D1919" s="28">
        <v>0.11210000000000001</v>
      </c>
      <c r="E1919" s="29"/>
      <c r="F1919" s="29" t="s">
        <v>337</v>
      </c>
    </row>
    <row r="1920" spans="1:6" x14ac:dyDescent="0.35">
      <c r="A1920" t="s">
        <v>230</v>
      </c>
      <c r="B1920" t="s">
        <v>256</v>
      </c>
      <c r="C1920" s="26">
        <v>0.59550000000000003</v>
      </c>
      <c r="D1920" s="26">
        <v>0.3957</v>
      </c>
      <c r="E1920" s="26">
        <v>8.8000000000000005E-3</v>
      </c>
      <c r="F1920">
        <v>507</v>
      </c>
    </row>
    <row r="1921" spans="1:6" x14ac:dyDescent="0.35">
      <c r="A1921" t="s">
        <v>230</v>
      </c>
      <c r="B1921" t="s">
        <v>255</v>
      </c>
      <c r="C1921" s="26">
        <v>0.51300000000000001</v>
      </c>
      <c r="D1921" s="26">
        <v>0.48549999999999999</v>
      </c>
      <c r="E1921" s="26">
        <v>1.5E-3</v>
      </c>
      <c r="F1921">
        <v>674</v>
      </c>
    </row>
    <row r="1922" spans="1:6" x14ac:dyDescent="0.35">
      <c r="A1922" t="s">
        <v>230</v>
      </c>
      <c r="B1922" t="s">
        <v>257</v>
      </c>
      <c r="C1922" s="26">
        <v>0.47439999999999999</v>
      </c>
      <c r="D1922" s="26">
        <v>0.52559999999999996</v>
      </c>
      <c r="F1922">
        <v>92</v>
      </c>
    </row>
    <row r="1923" spans="1:6" x14ac:dyDescent="0.35">
      <c r="A1923" s="27" t="s">
        <v>230</v>
      </c>
      <c r="B1923" s="27" t="s">
        <v>258</v>
      </c>
      <c r="C1923" s="28">
        <v>0.86439999999999995</v>
      </c>
      <c r="D1923" s="28">
        <v>0.1356</v>
      </c>
      <c r="E1923" s="29"/>
      <c r="F1923" s="29" t="s">
        <v>335</v>
      </c>
    </row>
    <row r="1924" spans="1:6" x14ac:dyDescent="0.35">
      <c r="A1924" s="27" t="s">
        <v>231</v>
      </c>
      <c r="B1924" s="27" t="s">
        <v>257</v>
      </c>
      <c r="C1924" s="28">
        <v>0.70589999999999997</v>
      </c>
      <c r="D1924" s="28">
        <v>0.29409999999999997</v>
      </c>
      <c r="E1924" s="29"/>
      <c r="F1924" s="29" t="s">
        <v>343</v>
      </c>
    </row>
    <row r="1925" spans="1:6" x14ac:dyDescent="0.35">
      <c r="A1925" t="s">
        <v>231</v>
      </c>
      <c r="B1925" t="s">
        <v>255</v>
      </c>
      <c r="C1925" s="26">
        <v>0.50829999999999997</v>
      </c>
      <c r="D1925" s="26">
        <v>0.49170000000000003</v>
      </c>
      <c r="F1925">
        <v>240</v>
      </c>
    </row>
    <row r="1926" spans="1:6" x14ac:dyDescent="0.35">
      <c r="A1926" t="s">
        <v>231</v>
      </c>
      <c r="B1926" t="s">
        <v>256</v>
      </c>
      <c r="C1926" s="26">
        <v>0.6179</v>
      </c>
      <c r="D1926" s="26">
        <v>0.3821</v>
      </c>
      <c r="F1926">
        <v>123</v>
      </c>
    </row>
    <row r="1927" spans="1:6" x14ac:dyDescent="0.35">
      <c r="A1927" t="s">
        <v>232</v>
      </c>
      <c r="B1927" t="s">
        <v>232</v>
      </c>
      <c r="C1927" s="26">
        <v>0.54110000000000003</v>
      </c>
      <c r="D1927" s="26">
        <v>0.45700000000000002</v>
      </c>
      <c r="E1927" s="26">
        <v>1.9E-3</v>
      </c>
      <c r="F1927">
        <v>6397</v>
      </c>
    </row>
    <row r="1929" spans="1:6" x14ac:dyDescent="0.35">
      <c r="A1929" s="1" t="s">
        <v>491</v>
      </c>
    </row>
    <row r="1930" spans="1:6" x14ac:dyDescent="0.35">
      <c r="A1930" t="s">
        <v>219</v>
      </c>
      <c r="B1930" t="s">
        <v>305</v>
      </c>
      <c r="C1930" t="s">
        <v>302</v>
      </c>
      <c r="D1930" t="s">
        <v>303</v>
      </c>
      <c r="E1930" t="s">
        <v>281</v>
      </c>
      <c r="F1930" t="s">
        <v>226</v>
      </c>
    </row>
    <row r="1931" spans="1:6" x14ac:dyDescent="0.35">
      <c r="A1931" s="27" t="s">
        <v>227</v>
      </c>
      <c r="B1931" s="27" t="s">
        <v>224</v>
      </c>
      <c r="C1931" s="28">
        <v>0.69230000000000003</v>
      </c>
      <c r="D1931" s="28">
        <v>0.30769999999999997</v>
      </c>
      <c r="E1931" s="29"/>
      <c r="F1931" s="29" t="s">
        <v>357</v>
      </c>
    </row>
    <row r="1932" spans="1:6" x14ac:dyDescent="0.35">
      <c r="A1932" t="s">
        <v>227</v>
      </c>
      <c r="B1932" t="s">
        <v>222</v>
      </c>
      <c r="C1932" s="26">
        <v>0.40239999999999998</v>
      </c>
      <c r="D1932" s="26">
        <v>0.59760000000000002</v>
      </c>
      <c r="F1932">
        <v>82</v>
      </c>
    </row>
    <row r="1933" spans="1:6" x14ac:dyDescent="0.35">
      <c r="A1933" s="27" t="s">
        <v>227</v>
      </c>
      <c r="B1933" s="27" t="s">
        <v>225</v>
      </c>
      <c r="C1933" s="28">
        <v>0.23080000000000001</v>
      </c>
      <c r="D1933" s="28">
        <v>0.76919999999999999</v>
      </c>
      <c r="E1933" s="29"/>
      <c r="F1933" s="29" t="s">
        <v>341</v>
      </c>
    </row>
    <row r="1934" spans="1:6" x14ac:dyDescent="0.35">
      <c r="A1934" t="s">
        <v>227</v>
      </c>
      <c r="B1934" t="s">
        <v>223</v>
      </c>
      <c r="C1934" s="26">
        <v>0.58620000000000005</v>
      </c>
      <c r="D1934" s="26">
        <v>0.4138</v>
      </c>
      <c r="F1934">
        <v>58</v>
      </c>
    </row>
    <row r="1935" spans="1:6" x14ac:dyDescent="0.35">
      <c r="A1935" t="s">
        <v>227</v>
      </c>
      <c r="B1935" t="s">
        <v>220</v>
      </c>
      <c r="C1935" s="26">
        <v>0.61460000000000004</v>
      </c>
      <c r="D1935" s="26">
        <v>0.38540000000000002</v>
      </c>
      <c r="F1935">
        <v>96</v>
      </c>
    </row>
    <row r="1936" spans="1:6" x14ac:dyDescent="0.35">
      <c r="A1936" t="s">
        <v>227</v>
      </c>
      <c r="B1936" t="s">
        <v>221</v>
      </c>
      <c r="C1936" s="26">
        <v>0.51690000000000003</v>
      </c>
      <c r="D1936" s="26">
        <v>0.48309999999999997</v>
      </c>
      <c r="F1936">
        <v>89</v>
      </c>
    </row>
    <row r="1937" spans="1:6" x14ac:dyDescent="0.35">
      <c r="A1937" t="s">
        <v>228</v>
      </c>
      <c r="B1937" t="s">
        <v>223</v>
      </c>
      <c r="C1937" s="26">
        <v>0.66069999999999995</v>
      </c>
      <c r="D1937" s="26">
        <v>0.33929999999999999</v>
      </c>
      <c r="F1937">
        <v>307</v>
      </c>
    </row>
    <row r="1938" spans="1:6" x14ac:dyDescent="0.35">
      <c r="A1938" t="s">
        <v>228</v>
      </c>
      <c r="B1938" t="s">
        <v>225</v>
      </c>
      <c r="C1938" s="26">
        <v>0.45929999999999999</v>
      </c>
      <c r="D1938" s="26">
        <v>0.54069999999999996</v>
      </c>
      <c r="F1938">
        <v>92</v>
      </c>
    </row>
    <row r="1939" spans="1:6" x14ac:dyDescent="0.35">
      <c r="A1939" t="s">
        <v>228</v>
      </c>
      <c r="B1939" t="s">
        <v>221</v>
      </c>
      <c r="C1939" s="26">
        <v>0.55589999999999995</v>
      </c>
      <c r="D1939" s="26">
        <v>0.44330000000000003</v>
      </c>
      <c r="E1939" s="26">
        <v>8.0000000000000004E-4</v>
      </c>
      <c r="F1939">
        <v>531</v>
      </c>
    </row>
    <row r="1940" spans="1:6" x14ac:dyDescent="0.35">
      <c r="A1940" t="s">
        <v>228</v>
      </c>
      <c r="B1940" t="s">
        <v>222</v>
      </c>
      <c r="C1940" s="26">
        <v>0.40920000000000001</v>
      </c>
      <c r="D1940" s="26">
        <v>0.58860000000000001</v>
      </c>
      <c r="E1940" s="26">
        <v>2.2000000000000001E-3</v>
      </c>
      <c r="F1940">
        <v>569</v>
      </c>
    </row>
    <row r="1941" spans="1:6" x14ac:dyDescent="0.35">
      <c r="A1941" t="s">
        <v>228</v>
      </c>
      <c r="B1941" t="s">
        <v>224</v>
      </c>
      <c r="C1941" s="26">
        <v>0.70709999999999995</v>
      </c>
      <c r="D1941" s="26">
        <v>0.29010000000000002</v>
      </c>
      <c r="E1941" s="26">
        <v>2.8E-3</v>
      </c>
      <c r="F1941">
        <v>206</v>
      </c>
    </row>
    <row r="1942" spans="1:6" x14ac:dyDescent="0.35">
      <c r="A1942" t="s">
        <v>228</v>
      </c>
      <c r="B1942" t="s">
        <v>220</v>
      </c>
      <c r="C1942" s="26">
        <v>0.60709999999999997</v>
      </c>
      <c r="D1942" s="26">
        <v>0.39079999999999998</v>
      </c>
      <c r="E1942" s="26">
        <v>2.0999999999999999E-3</v>
      </c>
      <c r="F1942">
        <v>653</v>
      </c>
    </row>
    <row r="1943" spans="1:6" x14ac:dyDescent="0.35">
      <c r="A1943" t="s">
        <v>229</v>
      </c>
      <c r="B1943" t="s">
        <v>220</v>
      </c>
      <c r="C1943" s="26">
        <v>0.55859999999999999</v>
      </c>
      <c r="D1943" s="26">
        <v>0.43390000000000001</v>
      </c>
      <c r="E1943" s="26">
        <v>7.4999999999999997E-3</v>
      </c>
      <c r="F1943">
        <v>638</v>
      </c>
    </row>
    <row r="1944" spans="1:6" x14ac:dyDescent="0.35">
      <c r="A1944" t="s">
        <v>229</v>
      </c>
      <c r="B1944" t="s">
        <v>222</v>
      </c>
      <c r="C1944" s="26">
        <v>0.36699999999999999</v>
      </c>
      <c r="D1944" s="26">
        <v>0.63280000000000003</v>
      </c>
      <c r="E1944" s="26">
        <v>2.0000000000000001E-4</v>
      </c>
      <c r="F1944">
        <v>361</v>
      </c>
    </row>
    <row r="1945" spans="1:6" x14ac:dyDescent="0.35">
      <c r="A1945" t="s">
        <v>229</v>
      </c>
      <c r="B1945" t="s">
        <v>221</v>
      </c>
      <c r="C1945" s="26">
        <v>0.53549999999999998</v>
      </c>
      <c r="D1945" s="26">
        <v>0.46379999999999999</v>
      </c>
      <c r="E1945" s="26">
        <v>8.0000000000000004E-4</v>
      </c>
      <c r="F1945">
        <v>389</v>
      </c>
    </row>
    <row r="1946" spans="1:6" x14ac:dyDescent="0.35">
      <c r="A1946" t="s">
        <v>229</v>
      </c>
      <c r="B1946" t="s">
        <v>224</v>
      </c>
      <c r="C1946" s="26">
        <v>0.60950000000000004</v>
      </c>
      <c r="D1946" s="26">
        <v>0.39050000000000001</v>
      </c>
      <c r="F1946">
        <v>258</v>
      </c>
    </row>
    <row r="1947" spans="1:6" x14ac:dyDescent="0.35">
      <c r="A1947" t="s">
        <v>229</v>
      </c>
      <c r="B1947" t="s">
        <v>223</v>
      </c>
      <c r="C1947" s="26">
        <v>0.56069999999999998</v>
      </c>
      <c r="D1947" s="26">
        <v>0.43109999999999998</v>
      </c>
      <c r="E1947" s="26">
        <v>8.0999999999999996E-3</v>
      </c>
      <c r="F1947">
        <v>301</v>
      </c>
    </row>
    <row r="1948" spans="1:6" x14ac:dyDescent="0.35">
      <c r="A1948" t="s">
        <v>229</v>
      </c>
      <c r="B1948" t="s">
        <v>225</v>
      </c>
      <c r="C1948" s="26">
        <v>0.37530000000000002</v>
      </c>
      <c r="D1948" s="26">
        <v>0.62470000000000003</v>
      </c>
      <c r="F1948">
        <v>69</v>
      </c>
    </row>
    <row r="1949" spans="1:6" x14ac:dyDescent="0.35">
      <c r="A1949" t="s">
        <v>230</v>
      </c>
      <c r="B1949" t="s">
        <v>220</v>
      </c>
      <c r="C1949" s="26">
        <v>0.62290000000000001</v>
      </c>
      <c r="D1949" s="26">
        <v>0.3745</v>
      </c>
      <c r="E1949" s="26">
        <v>2.5999999999999999E-3</v>
      </c>
      <c r="F1949">
        <v>357</v>
      </c>
    </row>
    <row r="1950" spans="1:6" x14ac:dyDescent="0.35">
      <c r="A1950" t="s">
        <v>230</v>
      </c>
      <c r="B1950" t="s">
        <v>225</v>
      </c>
      <c r="C1950" s="26">
        <v>0.45279999999999998</v>
      </c>
      <c r="D1950" s="26">
        <v>0.54720000000000002</v>
      </c>
      <c r="F1950">
        <v>54</v>
      </c>
    </row>
    <row r="1951" spans="1:6" x14ac:dyDescent="0.35">
      <c r="A1951" t="s">
        <v>230</v>
      </c>
      <c r="B1951" t="s">
        <v>223</v>
      </c>
      <c r="C1951" s="26">
        <v>0.58589999999999998</v>
      </c>
      <c r="D1951" s="26">
        <v>0.3957</v>
      </c>
      <c r="E1951" s="26">
        <v>1.84E-2</v>
      </c>
      <c r="F1951">
        <v>189</v>
      </c>
    </row>
    <row r="1952" spans="1:6" x14ac:dyDescent="0.35">
      <c r="A1952" t="s">
        <v>230</v>
      </c>
      <c r="B1952" t="s">
        <v>224</v>
      </c>
      <c r="C1952" s="26">
        <v>0.70299999999999996</v>
      </c>
      <c r="D1952" s="26">
        <v>0.29699999999999999</v>
      </c>
      <c r="F1952">
        <v>128</v>
      </c>
    </row>
    <row r="1953" spans="1:6" x14ac:dyDescent="0.35">
      <c r="A1953" t="s">
        <v>230</v>
      </c>
      <c r="B1953" t="s">
        <v>222</v>
      </c>
      <c r="C1953" s="26">
        <v>0.31969999999999998</v>
      </c>
      <c r="D1953" s="26">
        <v>0.67820000000000003</v>
      </c>
      <c r="E1953" s="26">
        <v>2.0999999999999999E-3</v>
      </c>
      <c r="F1953">
        <v>268</v>
      </c>
    </row>
    <row r="1954" spans="1:6" x14ac:dyDescent="0.35">
      <c r="A1954" t="s">
        <v>230</v>
      </c>
      <c r="B1954" t="s">
        <v>221</v>
      </c>
      <c r="C1954" s="26">
        <v>0.53839999999999999</v>
      </c>
      <c r="D1954" s="26">
        <v>0.45989999999999998</v>
      </c>
      <c r="E1954" s="26">
        <v>1.8E-3</v>
      </c>
      <c r="F1954">
        <v>283</v>
      </c>
    </row>
    <row r="1955" spans="1:6" x14ac:dyDescent="0.35">
      <c r="A1955" s="27" t="s">
        <v>231</v>
      </c>
      <c r="B1955" s="27" t="s">
        <v>225</v>
      </c>
      <c r="C1955" s="28">
        <v>0.6</v>
      </c>
      <c r="D1955" s="28">
        <v>0.4</v>
      </c>
      <c r="E1955" s="29"/>
      <c r="F1955" s="29" t="s">
        <v>350</v>
      </c>
    </row>
    <row r="1956" spans="1:6" x14ac:dyDescent="0.35">
      <c r="A1956" t="s">
        <v>231</v>
      </c>
      <c r="B1956" t="s">
        <v>223</v>
      </c>
      <c r="C1956" s="26">
        <v>0.625</v>
      </c>
      <c r="D1956" s="26">
        <v>0.375</v>
      </c>
      <c r="F1956">
        <v>48</v>
      </c>
    </row>
    <row r="1957" spans="1:6" x14ac:dyDescent="0.35">
      <c r="A1957" t="s">
        <v>231</v>
      </c>
      <c r="B1957" t="s">
        <v>221</v>
      </c>
      <c r="C1957" s="26">
        <v>0.52880000000000005</v>
      </c>
      <c r="D1957" s="26">
        <v>0.47120000000000001</v>
      </c>
      <c r="F1957">
        <v>104</v>
      </c>
    </row>
    <row r="1958" spans="1:6" x14ac:dyDescent="0.35">
      <c r="A1958" t="s">
        <v>231</v>
      </c>
      <c r="B1958" t="s">
        <v>220</v>
      </c>
      <c r="C1958" s="26">
        <v>0.58240000000000003</v>
      </c>
      <c r="D1958" s="26">
        <v>0.41760000000000003</v>
      </c>
      <c r="F1958">
        <v>91</v>
      </c>
    </row>
    <row r="1959" spans="1:6" x14ac:dyDescent="0.35">
      <c r="A1959" t="s">
        <v>231</v>
      </c>
      <c r="B1959" t="s">
        <v>224</v>
      </c>
      <c r="C1959" s="26">
        <v>0.80489999999999995</v>
      </c>
      <c r="D1959" s="26">
        <v>0.1951</v>
      </c>
      <c r="F1959">
        <v>41</v>
      </c>
    </row>
    <row r="1960" spans="1:6" x14ac:dyDescent="0.35">
      <c r="A1960" t="s">
        <v>231</v>
      </c>
      <c r="B1960" t="s">
        <v>222</v>
      </c>
      <c r="C1960" s="26">
        <v>0.3553</v>
      </c>
      <c r="D1960" s="26">
        <v>0.64470000000000005</v>
      </c>
      <c r="F1960">
        <v>76</v>
      </c>
    </row>
    <row r="1961" spans="1:6" x14ac:dyDescent="0.35">
      <c r="A1961" t="s">
        <v>232</v>
      </c>
      <c r="B1961" t="s">
        <v>232</v>
      </c>
      <c r="C1961" s="26">
        <v>0.54110000000000003</v>
      </c>
      <c r="D1961" s="26">
        <v>0.45700000000000002</v>
      </c>
      <c r="E1961" s="26">
        <v>1.9E-3</v>
      </c>
      <c r="F1961">
        <v>6397</v>
      </c>
    </row>
    <row r="1963" spans="1:6" x14ac:dyDescent="0.35">
      <c r="A1963" s="1" t="s">
        <v>492</v>
      </c>
    </row>
    <row r="1964" spans="1:6" x14ac:dyDescent="0.35">
      <c r="A1964" t="s">
        <v>219</v>
      </c>
      <c r="B1964" t="s">
        <v>305</v>
      </c>
      <c r="C1964" t="s">
        <v>302</v>
      </c>
      <c r="D1964" t="s">
        <v>303</v>
      </c>
      <c r="E1964" t="s">
        <v>281</v>
      </c>
      <c r="F1964" t="s">
        <v>226</v>
      </c>
    </row>
    <row r="1965" spans="1:6" x14ac:dyDescent="0.35">
      <c r="A1965" t="s">
        <v>227</v>
      </c>
      <c r="B1965" t="s">
        <v>235</v>
      </c>
      <c r="C1965" s="26">
        <v>0.56599999999999995</v>
      </c>
      <c r="D1965" s="26">
        <v>0.434</v>
      </c>
      <c r="F1965">
        <v>159</v>
      </c>
    </row>
    <row r="1966" spans="1:6" x14ac:dyDescent="0.35">
      <c r="A1966" s="27" t="s">
        <v>227</v>
      </c>
      <c r="B1966" s="27" t="s">
        <v>236</v>
      </c>
      <c r="C1966" s="28">
        <v>0.5</v>
      </c>
      <c r="D1966" s="28">
        <v>0.5</v>
      </c>
      <c r="E1966" s="29"/>
      <c r="F1966" s="29" t="s">
        <v>314</v>
      </c>
    </row>
    <row r="1967" spans="1:6" x14ac:dyDescent="0.35">
      <c r="A1967" t="s">
        <v>227</v>
      </c>
      <c r="B1967" t="s">
        <v>234</v>
      </c>
      <c r="C1967" s="26">
        <v>0.50249999999999995</v>
      </c>
      <c r="D1967" s="26">
        <v>0.4975</v>
      </c>
      <c r="F1967">
        <v>203</v>
      </c>
    </row>
    <row r="1968" spans="1:6" x14ac:dyDescent="0.35">
      <c r="A1968" t="s">
        <v>228</v>
      </c>
      <c r="B1968" t="s">
        <v>235</v>
      </c>
      <c r="C1968" s="26">
        <v>0.62760000000000005</v>
      </c>
      <c r="D1968" s="26">
        <v>0.37140000000000001</v>
      </c>
      <c r="E1968" s="26">
        <v>1.1000000000000001E-3</v>
      </c>
      <c r="F1968">
        <v>972</v>
      </c>
    </row>
    <row r="1969" spans="1:7" x14ac:dyDescent="0.35">
      <c r="A1969" s="27" t="s">
        <v>228</v>
      </c>
      <c r="B1969" s="27" t="s">
        <v>236</v>
      </c>
      <c r="C1969" s="28">
        <v>0.46600000000000003</v>
      </c>
      <c r="D1969" s="28">
        <v>0.53400000000000003</v>
      </c>
      <c r="E1969" s="29"/>
      <c r="F1969" s="29" t="s">
        <v>337</v>
      </c>
    </row>
    <row r="1970" spans="1:7" x14ac:dyDescent="0.35">
      <c r="A1970" t="s">
        <v>228</v>
      </c>
      <c r="B1970" t="s">
        <v>234</v>
      </c>
      <c r="C1970" s="26">
        <v>0.52039999999999997</v>
      </c>
      <c r="D1970" s="26">
        <v>0.4778</v>
      </c>
      <c r="E1970" s="26">
        <v>1.8E-3</v>
      </c>
      <c r="F1970">
        <v>1382</v>
      </c>
    </row>
    <row r="1971" spans="1:7" x14ac:dyDescent="0.35">
      <c r="A1971" t="s">
        <v>229</v>
      </c>
      <c r="B1971" t="s">
        <v>235</v>
      </c>
      <c r="C1971" s="26">
        <v>0.56930000000000003</v>
      </c>
      <c r="D1971" s="26">
        <v>0.4274</v>
      </c>
      <c r="E1971" s="26">
        <v>3.3E-3</v>
      </c>
      <c r="F1971">
        <v>842</v>
      </c>
    </row>
    <row r="1972" spans="1:7" x14ac:dyDescent="0.35">
      <c r="A1972" s="27" t="s">
        <v>229</v>
      </c>
      <c r="B1972" s="27" t="s">
        <v>236</v>
      </c>
      <c r="C1972" s="28">
        <v>1</v>
      </c>
      <c r="D1972" s="29"/>
      <c r="E1972" s="29"/>
      <c r="F1972" s="29" t="s">
        <v>314</v>
      </c>
    </row>
    <row r="1973" spans="1:7" x14ac:dyDescent="0.35">
      <c r="A1973" t="s">
        <v>229</v>
      </c>
      <c r="B1973" t="s">
        <v>234</v>
      </c>
      <c r="C1973" s="26">
        <v>0.47599999999999998</v>
      </c>
      <c r="D1973" s="26">
        <v>0.51939999999999997</v>
      </c>
      <c r="E1973" s="26">
        <v>4.5999999999999999E-3</v>
      </c>
      <c r="F1973">
        <v>1172</v>
      </c>
    </row>
    <row r="1974" spans="1:7" x14ac:dyDescent="0.35">
      <c r="A1974" t="s">
        <v>230</v>
      </c>
      <c r="B1974" t="s">
        <v>235</v>
      </c>
      <c r="C1974" s="26">
        <v>0.59889999999999999</v>
      </c>
      <c r="D1974" s="26">
        <v>0.39929999999999999</v>
      </c>
      <c r="E1974" s="26">
        <v>1.8E-3</v>
      </c>
      <c r="F1974">
        <v>537</v>
      </c>
    </row>
    <row r="1975" spans="1:7" x14ac:dyDescent="0.35">
      <c r="A1975" s="27" t="s">
        <v>230</v>
      </c>
      <c r="B1975" s="27" t="s">
        <v>236</v>
      </c>
      <c r="C1975" s="28">
        <v>0.67190000000000005</v>
      </c>
      <c r="D1975" s="28">
        <v>0.3281</v>
      </c>
      <c r="E1975" s="29"/>
      <c r="F1975" s="29" t="s">
        <v>315</v>
      </c>
    </row>
    <row r="1976" spans="1:7" x14ac:dyDescent="0.35">
      <c r="A1976" t="s">
        <v>230</v>
      </c>
      <c r="B1976" t="s">
        <v>234</v>
      </c>
      <c r="C1976" s="26">
        <v>0.50870000000000004</v>
      </c>
      <c r="D1976" s="26">
        <v>0.48459999999999998</v>
      </c>
      <c r="E1976" s="26">
        <v>6.7000000000000002E-3</v>
      </c>
      <c r="F1976">
        <v>739</v>
      </c>
    </row>
    <row r="1977" spans="1:7" x14ac:dyDescent="0.35">
      <c r="A1977" t="s">
        <v>231</v>
      </c>
      <c r="B1977" t="s">
        <v>235</v>
      </c>
      <c r="C1977" s="26">
        <v>0.58279999999999998</v>
      </c>
      <c r="D1977" s="26">
        <v>0.41720000000000002</v>
      </c>
      <c r="F1977">
        <v>163</v>
      </c>
    </row>
    <row r="1978" spans="1:7" x14ac:dyDescent="0.35">
      <c r="A1978" s="27" t="s">
        <v>231</v>
      </c>
      <c r="B1978" s="27" t="s">
        <v>236</v>
      </c>
      <c r="C1978" s="28">
        <v>1</v>
      </c>
      <c r="D1978" s="29"/>
      <c r="E1978" s="29"/>
      <c r="F1978" s="29" t="s">
        <v>314</v>
      </c>
    </row>
    <row r="1979" spans="1:7" x14ac:dyDescent="0.35">
      <c r="A1979" t="s">
        <v>231</v>
      </c>
      <c r="B1979" t="s">
        <v>234</v>
      </c>
      <c r="C1979" s="26">
        <v>0.52559999999999996</v>
      </c>
      <c r="D1979" s="26">
        <v>0.47439999999999999</v>
      </c>
      <c r="F1979">
        <v>215</v>
      </c>
    </row>
    <row r="1980" spans="1:7" x14ac:dyDescent="0.35">
      <c r="A1980" t="s">
        <v>232</v>
      </c>
      <c r="B1980" t="s">
        <v>232</v>
      </c>
      <c r="C1980" s="26">
        <v>0.54110000000000003</v>
      </c>
      <c r="D1980" s="26">
        <v>0.45700000000000002</v>
      </c>
      <c r="E1980" s="26">
        <v>1.9E-3</v>
      </c>
      <c r="F1980">
        <v>6397</v>
      </c>
    </row>
    <row r="1982" spans="1:7" x14ac:dyDescent="0.35">
      <c r="A1982" s="1" t="s">
        <v>493</v>
      </c>
    </row>
    <row r="1983" spans="1:7" x14ac:dyDescent="0.35">
      <c r="A1983" t="s">
        <v>219</v>
      </c>
      <c r="B1983" t="s">
        <v>305</v>
      </c>
      <c r="C1983" t="s">
        <v>345</v>
      </c>
      <c r="D1983" t="s">
        <v>302</v>
      </c>
      <c r="E1983" t="s">
        <v>303</v>
      </c>
      <c r="F1983" t="s">
        <v>281</v>
      </c>
      <c r="G1983" t="s">
        <v>226</v>
      </c>
    </row>
    <row r="1984" spans="1:7" x14ac:dyDescent="0.35">
      <c r="A1984" s="27" t="s">
        <v>227</v>
      </c>
      <c r="B1984" s="27" t="s">
        <v>235</v>
      </c>
      <c r="C1984" s="27" t="s">
        <v>224</v>
      </c>
      <c r="D1984" s="28">
        <v>0.57140000000000002</v>
      </c>
      <c r="E1984" s="28">
        <v>0.42859999999999998</v>
      </c>
      <c r="F1984" s="29"/>
      <c r="G1984" s="29" t="s">
        <v>379</v>
      </c>
    </row>
    <row r="1985" spans="1:7" x14ac:dyDescent="0.35">
      <c r="A1985" s="27" t="s">
        <v>227</v>
      </c>
      <c r="B1985" s="27" t="s">
        <v>234</v>
      </c>
      <c r="C1985" s="27" t="s">
        <v>225</v>
      </c>
      <c r="D1985" s="28">
        <v>0.33329999999999999</v>
      </c>
      <c r="E1985" s="28">
        <v>0.66669999999999996</v>
      </c>
      <c r="F1985" s="29"/>
      <c r="G1985" s="29" t="s">
        <v>335</v>
      </c>
    </row>
    <row r="1986" spans="1:7" x14ac:dyDescent="0.35">
      <c r="A1986" t="s">
        <v>227</v>
      </c>
      <c r="B1986" t="s">
        <v>234</v>
      </c>
      <c r="C1986" t="s">
        <v>222</v>
      </c>
      <c r="D1986" s="26">
        <v>0.30769999999999997</v>
      </c>
      <c r="E1986" s="26">
        <v>0.69230000000000003</v>
      </c>
      <c r="G1986">
        <v>52</v>
      </c>
    </row>
    <row r="1987" spans="1:7" x14ac:dyDescent="0.35">
      <c r="A1987" s="27" t="s">
        <v>227</v>
      </c>
      <c r="B1987" s="27" t="s">
        <v>234</v>
      </c>
      <c r="C1987" s="27" t="s">
        <v>223</v>
      </c>
      <c r="D1987" s="28">
        <v>0.53569999999999995</v>
      </c>
      <c r="E1987" s="28">
        <v>0.46429999999999999</v>
      </c>
      <c r="F1987" s="29"/>
      <c r="G1987" s="29" t="s">
        <v>336</v>
      </c>
    </row>
    <row r="1988" spans="1:7" x14ac:dyDescent="0.35">
      <c r="A1988" t="s">
        <v>227</v>
      </c>
      <c r="B1988" t="s">
        <v>234</v>
      </c>
      <c r="C1988" t="s">
        <v>221</v>
      </c>
      <c r="D1988" s="26">
        <v>0.48</v>
      </c>
      <c r="E1988" s="26">
        <v>0.52</v>
      </c>
      <c r="G1988">
        <v>50</v>
      </c>
    </row>
    <row r="1989" spans="1:7" x14ac:dyDescent="0.35">
      <c r="A1989" t="s">
        <v>227</v>
      </c>
      <c r="B1989" t="s">
        <v>234</v>
      </c>
      <c r="C1989" t="s">
        <v>220</v>
      </c>
      <c r="D1989" s="26">
        <v>0.64290000000000003</v>
      </c>
      <c r="E1989" s="26">
        <v>0.35709999999999997</v>
      </c>
      <c r="G1989">
        <v>56</v>
      </c>
    </row>
    <row r="1990" spans="1:7" x14ac:dyDescent="0.35">
      <c r="A1990" s="27" t="s">
        <v>227</v>
      </c>
      <c r="B1990" s="27" t="s">
        <v>234</v>
      </c>
      <c r="C1990" s="27" t="s">
        <v>224</v>
      </c>
      <c r="D1990" s="28">
        <v>0.81820000000000004</v>
      </c>
      <c r="E1990" s="28">
        <v>0.18179999999999999</v>
      </c>
      <c r="F1990" s="29"/>
      <c r="G1990" s="29" t="s">
        <v>352</v>
      </c>
    </row>
    <row r="1991" spans="1:7" x14ac:dyDescent="0.35">
      <c r="A1991" s="27" t="s">
        <v>227</v>
      </c>
      <c r="B1991" s="27" t="s">
        <v>236</v>
      </c>
      <c r="C1991" s="27" t="s">
        <v>224</v>
      </c>
      <c r="D1991" s="28">
        <v>1</v>
      </c>
      <c r="E1991" s="29"/>
      <c r="F1991" s="29"/>
      <c r="G1991" s="29" t="s">
        <v>331</v>
      </c>
    </row>
    <row r="1992" spans="1:7" x14ac:dyDescent="0.35">
      <c r="A1992" s="27" t="s">
        <v>227</v>
      </c>
      <c r="B1992" s="27" t="s">
        <v>235</v>
      </c>
      <c r="C1992" s="27" t="s">
        <v>225</v>
      </c>
      <c r="D1992" s="28">
        <v>0.1429</v>
      </c>
      <c r="E1992" s="28">
        <v>0.85709999999999997</v>
      </c>
      <c r="F1992" s="29"/>
      <c r="G1992" s="29" t="s">
        <v>339</v>
      </c>
    </row>
    <row r="1993" spans="1:7" x14ac:dyDescent="0.35">
      <c r="A1993" t="s">
        <v>227</v>
      </c>
      <c r="B1993" t="s">
        <v>235</v>
      </c>
      <c r="C1993" t="s">
        <v>222</v>
      </c>
      <c r="D1993" s="26">
        <v>0.56669999999999998</v>
      </c>
      <c r="E1993" s="26">
        <v>0.43330000000000002</v>
      </c>
      <c r="G1993">
        <v>30</v>
      </c>
    </row>
    <row r="1994" spans="1:7" x14ac:dyDescent="0.35">
      <c r="A1994" t="s">
        <v>227</v>
      </c>
      <c r="B1994" t="s">
        <v>235</v>
      </c>
      <c r="C1994" t="s">
        <v>223</v>
      </c>
      <c r="D1994" s="26">
        <v>0.63329999999999997</v>
      </c>
      <c r="E1994" s="26">
        <v>0.36670000000000003</v>
      </c>
      <c r="G1994">
        <v>30</v>
      </c>
    </row>
    <row r="1995" spans="1:7" x14ac:dyDescent="0.35">
      <c r="A1995" s="27" t="s">
        <v>227</v>
      </c>
      <c r="B1995" s="27" t="s">
        <v>236</v>
      </c>
      <c r="C1995" s="27" t="s">
        <v>221</v>
      </c>
      <c r="D1995" s="29"/>
      <c r="E1995" s="28">
        <v>1</v>
      </c>
      <c r="F1995" s="29"/>
      <c r="G1995" s="29" t="s">
        <v>331</v>
      </c>
    </row>
    <row r="1996" spans="1:7" x14ac:dyDescent="0.35">
      <c r="A1996" t="s">
        <v>227</v>
      </c>
      <c r="B1996" t="s">
        <v>235</v>
      </c>
      <c r="C1996" t="s">
        <v>220</v>
      </c>
      <c r="D1996" s="26">
        <v>0.57499999999999996</v>
      </c>
      <c r="E1996" s="26">
        <v>0.42499999999999999</v>
      </c>
      <c r="G1996">
        <v>40</v>
      </c>
    </row>
    <row r="1997" spans="1:7" x14ac:dyDescent="0.35">
      <c r="A1997" t="s">
        <v>227</v>
      </c>
      <c r="B1997" t="s">
        <v>235</v>
      </c>
      <c r="C1997" t="s">
        <v>221</v>
      </c>
      <c r="D1997" s="26">
        <v>0.57889999999999997</v>
      </c>
      <c r="E1997" s="26">
        <v>0.42109999999999997</v>
      </c>
      <c r="G1997">
        <v>38</v>
      </c>
    </row>
    <row r="1998" spans="1:7" x14ac:dyDescent="0.35">
      <c r="A1998" t="s">
        <v>228</v>
      </c>
      <c r="B1998" t="s">
        <v>234</v>
      </c>
      <c r="C1998" t="s">
        <v>222</v>
      </c>
      <c r="D1998" s="26">
        <v>0.36309999999999998</v>
      </c>
      <c r="E1998" s="26">
        <v>0.63349999999999995</v>
      </c>
      <c r="F1998" s="26">
        <v>3.3999999999999998E-3</v>
      </c>
      <c r="G1998">
        <v>378</v>
      </c>
    </row>
    <row r="1999" spans="1:7" x14ac:dyDescent="0.35">
      <c r="A1999" t="s">
        <v>228</v>
      </c>
      <c r="B1999" t="s">
        <v>234</v>
      </c>
      <c r="C1999" t="s">
        <v>223</v>
      </c>
      <c r="D1999" s="26">
        <v>0.62260000000000004</v>
      </c>
      <c r="E1999" s="26">
        <v>0.37740000000000001</v>
      </c>
      <c r="G1999">
        <v>147</v>
      </c>
    </row>
    <row r="2000" spans="1:7" x14ac:dyDescent="0.35">
      <c r="A2000" t="s">
        <v>228</v>
      </c>
      <c r="B2000" t="s">
        <v>235</v>
      </c>
      <c r="C2000" t="s">
        <v>224</v>
      </c>
      <c r="D2000" s="26">
        <v>0.75790000000000002</v>
      </c>
      <c r="E2000" s="26">
        <v>0.24</v>
      </c>
      <c r="F2000" s="26">
        <v>2.0999999999999999E-3</v>
      </c>
      <c r="G2000">
        <v>97</v>
      </c>
    </row>
    <row r="2001" spans="1:7" x14ac:dyDescent="0.35">
      <c r="A2001" t="s">
        <v>228</v>
      </c>
      <c r="B2001" t="s">
        <v>234</v>
      </c>
      <c r="C2001" t="s">
        <v>221</v>
      </c>
      <c r="D2001" s="26">
        <v>0.53420000000000001</v>
      </c>
      <c r="E2001" s="26">
        <v>0.46579999999999999</v>
      </c>
      <c r="G2001">
        <v>305</v>
      </c>
    </row>
    <row r="2002" spans="1:7" x14ac:dyDescent="0.35">
      <c r="A2002" t="s">
        <v>228</v>
      </c>
      <c r="B2002" t="s">
        <v>234</v>
      </c>
      <c r="C2002" t="s">
        <v>220</v>
      </c>
      <c r="D2002" s="26">
        <v>0.56210000000000004</v>
      </c>
      <c r="E2002" s="26">
        <v>0.4355</v>
      </c>
      <c r="F2002" s="26">
        <v>2.3999999999999998E-3</v>
      </c>
      <c r="G2002">
        <v>389</v>
      </c>
    </row>
    <row r="2003" spans="1:7" x14ac:dyDescent="0.35">
      <c r="A2003" t="s">
        <v>228</v>
      </c>
      <c r="B2003" t="s">
        <v>234</v>
      </c>
      <c r="C2003" t="s">
        <v>224</v>
      </c>
      <c r="D2003" s="26">
        <v>0.65939999999999999</v>
      </c>
      <c r="E2003" s="26">
        <v>0.3372</v>
      </c>
      <c r="F2003" s="26">
        <v>3.3999999999999998E-3</v>
      </c>
      <c r="G2003">
        <v>109</v>
      </c>
    </row>
    <row r="2004" spans="1:7" x14ac:dyDescent="0.35">
      <c r="A2004" s="27" t="s">
        <v>228</v>
      </c>
      <c r="B2004" s="27" t="s">
        <v>236</v>
      </c>
      <c r="C2004" s="27" t="s">
        <v>222</v>
      </c>
      <c r="D2004" s="28">
        <v>0.87270000000000003</v>
      </c>
      <c r="E2004" s="28">
        <v>0.1273</v>
      </c>
      <c r="F2004" s="29"/>
      <c r="G2004" s="29" t="s">
        <v>315</v>
      </c>
    </row>
    <row r="2005" spans="1:7" x14ac:dyDescent="0.35">
      <c r="A2005" s="27" t="s">
        <v>228</v>
      </c>
      <c r="B2005" s="27" t="s">
        <v>236</v>
      </c>
      <c r="C2005" s="27" t="s">
        <v>221</v>
      </c>
      <c r="D2005" s="29"/>
      <c r="E2005" s="28">
        <v>1</v>
      </c>
      <c r="F2005" s="29"/>
      <c r="G2005" s="29" t="s">
        <v>331</v>
      </c>
    </row>
    <row r="2006" spans="1:7" x14ac:dyDescent="0.35">
      <c r="A2006" t="s">
        <v>228</v>
      </c>
      <c r="B2006" t="s">
        <v>235</v>
      </c>
      <c r="C2006" t="s">
        <v>225</v>
      </c>
      <c r="D2006" s="26">
        <v>0.41810000000000003</v>
      </c>
      <c r="E2006" s="26">
        <v>0.58189999999999997</v>
      </c>
      <c r="G2006">
        <v>38</v>
      </c>
    </row>
    <row r="2007" spans="1:7" x14ac:dyDescent="0.35">
      <c r="A2007" t="s">
        <v>228</v>
      </c>
      <c r="B2007" t="s">
        <v>235</v>
      </c>
      <c r="C2007" t="s">
        <v>222</v>
      </c>
      <c r="D2007" s="26">
        <v>0.48859999999999998</v>
      </c>
      <c r="E2007" s="26">
        <v>0.51139999999999997</v>
      </c>
      <c r="G2007">
        <v>188</v>
      </c>
    </row>
    <row r="2008" spans="1:7" x14ac:dyDescent="0.35">
      <c r="A2008" t="s">
        <v>228</v>
      </c>
      <c r="B2008" t="s">
        <v>234</v>
      </c>
      <c r="C2008" t="s">
        <v>225</v>
      </c>
      <c r="D2008" s="26">
        <v>0.48870000000000002</v>
      </c>
      <c r="E2008" s="26">
        <v>0.51129999999999998</v>
      </c>
      <c r="G2008">
        <v>54</v>
      </c>
    </row>
    <row r="2009" spans="1:7" x14ac:dyDescent="0.35">
      <c r="A2009" t="s">
        <v>228</v>
      </c>
      <c r="B2009" t="s">
        <v>235</v>
      </c>
      <c r="C2009" t="s">
        <v>220</v>
      </c>
      <c r="D2009" s="26">
        <v>0.67679999999999996</v>
      </c>
      <c r="E2009" s="26">
        <v>0.32169999999999999</v>
      </c>
      <c r="F2009" s="26">
        <v>1.6000000000000001E-3</v>
      </c>
      <c r="G2009">
        <v>264</v>
      </c>
    </row>
    <row r="2010" spans="1:7" x14ac:dyDescent="0.35">
      <c r="A2010" t="s">
        <v>228</v>
      </c>
      <c r="B2010" t="s">
        <v>235</v>
      </c>
      <c r="C2010" t="s">
        <v>223</v>
      </c>
      <c r="D2010" s="26">
        <v>0.7</v>
      </c>
      <c r="E2010" s="26">
        <v>0.3</v>
      </c>
      <c r="G2010">
        <v>160</v>
      </c>
    </row>
    <row r="2011" spans="1:7" x14ac:dyDescent="0.35">
      <c r="A2011" t="s">
        <v>228</v>
      </c>
      <c r="B2011" t="s">
        <v>235</v>
      </c>
      <c r="C2011" t="s">
        <v>221</v>
      </c>
      <c r="D2011" s="26">
        <v>0.59060000000000001</v>
      </c>
      <c r="E2011" s="26">
        <v>0.40760000000000002</v>
      </c>
      <c r="F2011" s="26">
        <v>1.8E-3</v>
      </c>
      <c r="G2011">
        <v>225</v>
      </c>
    </row>
    <row r="2012" spans="1:7" x14ac:dyDescent="0.35">
      <c r="A2012" t="s">
        <v>229</v>
      </c>
      <c r="B2012" t="s">
        <v>234</v>
      </c>
      <c r="C2012" t="s">
        <v>224</v>
      </c>
      <c r="D2012" s="26">
        <v>0.64400000000000002</v>
      </c>
      <c r="E2012" s="26">
        <v>0.35599999999999998</v>
      </c>
      <c r="G2012">
        <v>141</v>
      </c>
    </row>
    <row r="2013" spans="1:7" x14ac:dyDescent="0.35">
      <c r="A2013" t="s">
        <v>229</v>
      </c>
      <c r="B2013" t="s">
        <v>235</v>
      </c>
      <c r="C2013" t="s">
        <v>223</v>
      </c>
      <c r="D2013" s="26">
        <v>0.5736</v>
      </c>
      <c r="E2013" s="26">
        <v>0.40989999999999999</v>
      </c>
      <c r="F2013" s="26">
        <v>1.6500000000000001E-2</v>
      </c>
      <c r="G2013">
        <v>139</v>
      </c>
    </row>
    <row r="2014" spans="1:7" x14ac:dyDescent="0.35">
      <c r="A2014" t="s">
        <v>229</v>
      </c>
      <c r="B2014" t="s">
        <v>235</v>
      </c>
      <c r="C2014" t="s">
        <v>224</v>
      </c>
      <c r="D2014" s="26">
        <v>0.57579999999999998</v>
      </c>
      <c r="E2014" s="26">
        <v>0.42420000000000002</v>
      </c>
      <c r="G2014">
        <v>117</v>
      </c>
    </row>
    <row r="2015" spans="1:7" x14ac:dyDescent="0.35">
      <c r="A2015" t="s">
        <v>229</v>
      </c>
      <c r="B2015" t="s">
        <v>234</v>
      </c>
      <c r="C2015" t="s">
        <v>221</v>
      </c>
      <c r="D2015" s="26">
        <v>0.4758</v>
      </c>
      <c r="E2015" s="26">
        <v>0.5242</v>
      </c>
      <c r="G2015">
        <v>232</v>
      </c>
    </row>
    <row r="2016" spans="1:7" x14ac:dyDescent="0.35">
      <c r="A2016" t="s">
        <v>229</v>
      </c>
      <c r="B2016" t="s">
        <v>234</v>
      </c>
      <c r="C2016" t="s">
        <v>220</v>
      </c>
      <c r="D2016" s="26">
        <v>0.52190000000000003</v>
      </c>
      <c r="E2016" s="26">
        <v>0.4652</v>
      </c>
      <c r="F2016" s="26">
        <v>1.29E-2</v>
      </c>
      <c r="G2016">
        <v>382</v>
      </c>
    </row>
    <row r="2017" spans="1:7" x14ac:dyDescent="0.35">
      <c r="A2017" t="s">
        <v>229</v>
      </c>
      <c r="B2017" t="s">
        <v>234</v>
      </c>
      <c r="C2017" t="s">
        <v>225</v>
      </c>
      <c r="D2017" s="26">
        <v>0.224</v>
      </c>
      <c r="E2017" s="26">
        <v>0.77600000000000002</v>
      </c>
      <c r="G2017">
        <v>31</v>
      </c>
    </row>
    <row r="2018" spans="1:7" x14ac:dyDescent="0.35">
      <c r="A2018" t="s">
        <v>229</v>
      </c>
      <c r="B2018" t="s">
        <v>235</v>
      </c>
      <c r="C2018" t="s">
        <v>220</v>
      </c>
      <c r="D2018" s="26">
        <v>0.60489999999999999</v>
      </c>
      <c r="E2018" s="26">
        <v>0.39510000000000001</v>
      </c>
      <c r="G2018">
        <v>254</v>
      </c>
    </row>
    <row r="2019" spans="1:7" x14ac:dyDescent="0.35">
      <c r="A2019" s="27" t="s">
        <v>229</v>
      </c>
      <c r="B2019" s="27" t="s">
        <v>236</v>
      </c>
      <c r="C2019" s="27" t="s">
        <v>220</v>
      </c>
      <c r="D2019" s="28">
        <v>1</v>
      </c>
      <c r="E2019" s="29"/>
      <c r="F2019" s="29"/>
      <c r="G2019" s="29" t="s">
        <v>314</v>
      </c>
    </row>
    <row r="2020" spans="1:7" x14ac:dyDescent="0.35">
      <c r="A2020" t="s">
        <v>229</v>
      </c>
      <c r="B2020" t="s">
        <v>235</v>
      </c>
      <c r="C2020" t="s">
        <v>225</v>
      </c>
      <c r="D2020" s="26">
        <v>0.48409999999999997</v>
      </c>
      <c r="E2020" s="26">
        <v>0.51590000000000003</v>
      </c>
      <c r="G2020">
        <v>38</v>
      </c>
    </row>
    <row r="2021" spans="1:7" x14ac:dyDescent="0.35">
      <c r="A2021" t="s">
        <v>229</v>
      </c>
      <c r="B2021" t="s">
        <v>234</v>
      </c>
      <c r="C2021" t="s">
        <v>222</v>
      </c>
      <c r="D2021" s="26">
        <v>0.311</v>
      </c>
      <c r="E2021" s="26">
        <v>0.68899999999999995</v>
      </c>
      <c r="G2021">
        <v>224</v>
      </c>
    </row>
    <row r="2022" spans="1:7" x14ac:dyDescent="0.35">
      <c r="A2022" t="s">
        <v>229</v>
      </c>
      <c r="B2022" t="s">
        <v>235</v>
      </c>
      <c r="C2022" t="s">
        <v>221</v>
      </c>
      <c r="D2022" s="26">
        <v>0.62109999999999999</v>
      </c>
      <c r="E2022" s="26">
        <v>0.377</v>
      </c>
      <c r="F2022" s="26">
        <v>1.9E-3</v>
      </c>
      <c r="G2022">
        <v>157</v>
      </c>
    </row>
    <row r="2023" spans="1:7" x14ac:dyDescent="0.35">
      <c r="A2023" t="s">
        <v>229</v>
      </c>
      <c r="B2023" t="s">
        <v>234</v>
      </c>
      <c r="C2023" t="s">
        <v>223</v>
      </c>
      <c r="D2023" s="26">
        <v>0.54820000000000002</v>
      </c>
      <c r="E2023" s="26">
        <v>0.45179999999999998</v>
      </c>
      <c r="G2023">
        <v>162</v>
      </c>
    </row>
    <row r="2024" spans="1:7" x14ac:dyDescent="0.35">
      <c r="A2024" t="s">
        <v>229</v>
      </c>
      <c r="B2024" t="s">
        <v>235</v>
      </c>
      <c r="C2024" t="s">
        <v>222</v>
      </c>
      <c r="D2024" s="26">
        <v>0.46029999999999999</v>
      </c>
      <c r="E2024" s="26">
        <v>0.53910000000000002</v>
      </c>
      <c r="F2024" s="26">
        <v>5.9999999999999995E-4</v>
      </c>
      <c r="G2024">
        <v>137</v>
      </c>
    </row>
    <row r="2025" spans="1:7" x14ac:dyDescent="0.35">
      <c r="A2025" t="s">
        <v>230</v>
      </c>
      <c r="B2025" t="s">
        <v>235</v>
      </c>
      <c r="C2025" t="s">
        <v>224</v>
      </c>
      <c r="D2025" s="26">
        <v>0.73660000000000003</v>
      </c>
      <c r="E2025" s="26">
        <v>0.26340000000000002</v>
      </c>
      <c r="G2025">
        <v>60</v>
      </c>
    </row>
    <row r="2026" spans="1:7" x14ac:dyDescent="0.35">
      <c r="A2026" t="s">
        <v>230</v>
      </c>
      <c r="B2026" t="s">
        <v>234</v>
      </c>
      <c r="C2026" t="s">
        <v>223</v>
      </c>
      <c r="D2026" s="26">
        <v>0.54249999999999998</v>
      </c>
      <c r="E2026" s="26">
        <v>0.42730000000000001</v>
      </c>
      <c r="F2026" s="26">
        <v>3.0099999999999998E-2</v>
      </c>
      <c r="G2026">
        <v>88</v>
      </c>
    </row>
    <row r="2027" spans="1:7" x14ac:dyDescent="0.35">
      <c r="A2027" t="s">
        <v>230</v>
      </c>
      <c r="B2027" t="s">
        <v>235</v>
      </c>
      <c r="C2027" t="s">
        <v>223</v>
      </c>
      <c r="D2027" s="26">
        <v>0.63349999999999995</v>
      </c>
      <c r="E2027" s="26">
        <v>0.36149999999999999</v>
      </c>
      <c r="F2027" s="26">
        <v>5.0000000000000001E-3</v>
      </c>
      <c r="G2027">
        <v>100</v>
      </c>
    </row>
    <row r="2028" spans="1:7" x14ac:dyDescent="0.35">
      <c r="A2028" t="s">
        <v>230</v>
      </c>
      <c r="B2028" t="s">
        <v>234</v>
      </c>
      <c r="C2028" t="s">
        <v>222</v>
      </c>
      <c r="D2028" s="26">
        <v>0.31190000000000001</v>
      </c>
      <c r="E2028" s="26">
        <v>0.68469999999999998</v>
      </c>
      <c r="F2028" s="26">
        <v>3.3E-3</v>
      </c>
      <c r="G2028">
        <v>180</v>
      </c>
    </row>
    <row r="2029" spans="1:7" x14ac:dyDescent="0.35">
      <c r="A2029" t="s">
        <v>230</v>
      </c>
      <c r="B2029" t="s">
        <v>234</v>
      </c>
      <c r="C2029" t="s">
        <v>221</v>
      </c>
      <c r="D2029" s="26">
        <v>0.502</v>
      </c>
      <c r="E2029" s="26">
        <v>0.495</v>
      </c>
      <c r="F2029" s="26">
        <v>3.0000000000000001E-3</v>
      </c>
      <c r="G2029">
        <v>160</v>
      </c>
    </row>
    <row r="2030" spans="1:7" x14ac:dyDescent="0.35">
      <c r="A2030" s="27" t="s">
        <v>230</v>
      </c>
      <c r="B2030" s="27" t="s">
        <v>234</v>
      </c>
      <c r="C2030" s="27" t="s">
        <v>225</v>
      </c>
      <c r="D2030" s="28">
        <v>0.3659</v>
      </c>
      <c r="E2030" s="28">
        <v>0.6341</v>
      </c>
      <c r="F2030" s="29"/>
      <c r="G2030" s="29" t="s">
        <v>336</v>
      </c>
    </row>
    <row r="2031" spans="1:7" x14ac:dyDescent="0.35">
      <c r="A2031" t="s">
        <v>230</v>
      </c>
      <c r="B2031" t="s">
        <v>234</v>
      </c>
      <c r="C2031" t="s">
        <v>220</v>
      </c>
      <c r="D2031" s="26">
        <v>0.59279999999999999</v>
      </c>
      <c r="E2031" s="26">
        <v>0.40489999999999998</v>
      </c>
      <c r="F2031" s="26">
        <v>2.3E-3</v>
      </c>
      <c r="G2031">
        <v>215</v>
      </c>
    </row>
    <row r="2032" spans="1:7" x14ac:dyDescent="0.35">
      <c r="A2032" t="s">
        <v>230</v>
      </c>
      <c r="B2032" t="s">
        <v>235</v>
      </c>
      <c r="C2032" t="s">
        <v>221</v>
      </c>
      <c r="D2032" s="26">
        <v>0.58779999999999999</v>
      </c>
      <c r="E2032" s="26">
        <v>0.41220000000000001</v>
      </c>
      <c r="G2032">
        <v>123</v>
      </c>
    </row>
    <row r="2033" spans="1:7" x14ac:dyDescent="0.35">
      <c r="A2033" t="s">
        <v>230</v>
      </c>
      <c r="B2033" t="s">
        <v>234</v>
      </c>
      <c r="C2033" t="s">
        <v>224</v>
      </c>
      <c r="D2033" s="26">
        <v>0.66539999999999999</v>
      </c>
      <c r="E2033" s="26">
        <v>0.33460000000000001</v>
      </c>
      <c r="G2033">
        <v>68</v>
      </c>
    </row>
    <row r="2034" spans="1:7" x14ac:dyDescent="0.35">
      <c r="A2034" s="27" t="s">
        <v>230</v>
      </c>
      <c r="B2034" s="27" t="s">
        <v>235</v>
      </c>
      <c r="C2034" s="27" t="s">
        <v>225</v>
      </c>
      <c r="D2034" s="28">
        <v>0.53339999999999999</v>
      </c>
      <c r="E2034" s="28">
        <v>0.46660000000000001</v>
      </c>
      <c r="F2034" s="29"/>
      <c r="G2034" s="29" t="s">
        <v>357</v>
      </c>
    </row>
    <row r="2035" spans="1:7" x14ac:dyDescent="0.35">
      <c r="A2035" t="s">
        <v>230</v>
      </c>
      <c r="B2035" t="s">
        <v>235</v>
      </c>
      <c r="C2035" t="s">
        <v>222</v>
      </c>
      <c r="D2035" s="26">
        <v>0.33360000000000001</v>
      </c>
      <c r="E2035" s="26">
        <v>0.66639999999999999</v>
      </c>
      <c r="G2035">
        <v>88</v>
      </c>
    </row>
    <row r="2036" spans="1:7" x14ac:dyDescent="0.35">
      <c r="A2036" t="s">
        <v>230</v>
      </c>
      <c r="B2036" t="s">
        <v>235</v>
      </c>
      <c r="C2036" t="s">
        <v>220</v>
      </c>
      <c r="D2036" s="26">
        <v>0.6653</v>
      </c>
      <c r="E2036" s="26">
        <v>0.33160000000000001</v>
      </c>
      <c r="F2036" s="26">
        <v>3.0999999999999999E-3</v>
      </c>
      <c r="G2036">
        <v>140</v>
      </c>
    </row>
    <row r="2037" spans="1:7" x14ac:dyDescent="0.35">
      <c r="A2037" s="27" t="s">
        <v>230</v>
      </c>
      <c r="B2037" s="27" t="s">
        <v>236</v>
      </c>
      <c r="C2037" s="27" t="s">
        <v>223</v>
      </c>
      <c r="D2037" s="28">
        <v>1</v>
      </c>
      <c r="E2037" s="29"/>
      <c r="F2037" s="29"/>
      <c r="G2037" s="29" t="s">
        <v>331</v>
      </c>
    </row>
    <row r="2038" spans="1:7" x14ac:dyDescent="0.35">
      <c r="A2038" s="27" t="s">
        <v>230</v>
      </c>
      <c r="B2038" s="27" t="s">
        <v>236</v>
      </c>
      <c r="C2038" s="27" t="s">
        <v>220</v>
      </c>
      <c r="D2038" s="28">
        <v>0.50590000000000002</v>
      </c>
      <c r="E2038" s="28">
        <v>0.49409999999999998</v>
      </c>
      <c r="F2038" s="29"/>
      <c r="G2038" s="29" t="s">
        <v>314</v>
      </c>
    </row>
    <row r="2039" spans="1:7" x14ac:dyDescent="0.35">
      <c r="A2039" s="27" t="s">
        <v>231</v>
      </c>
      <c r="B2039" s="27" t="s">
        <v>235</v>
      </c>
      <c r="C2039" s="27" t="s">
        <v>225</v>
      </c>
      <c r="D2039" s="28">
        <v>0.6</v>
      </c>
      <c r="E2039" s="28">
        <v>0.4</v>
      </c>
      <c r="F2039" s="29"/>
      <c r="G2039" s="29" t="s">
        <v>307</v>
      </c>
    </row>
    <row r="2040" spans="1:7" x14ac:dyDescent="0.35">
      <c r="A2040" s="27" t="s">
        <v>231</v>
      </c>
      <c r="B2040" s="27" t="s">
        <v>234</v>
      </c>
      <c r="C2040" s="27" t="s">
        <v>225</v>
      </c>
      <c r="D2040" s="28">
        <v>0.6</v>
      </c>
      <c r="E2040" s="28">
        <v>0.4</v>
      </c>
      <c r="F2040" s="29"/>
      <c r="G2040" s="29" t="s">
        <v>307</v>
      </c>
    </row>
    <row r="2041" spans="1:7" x14ac:dyDescent="0.35">
      <c r="A2041" s="27" t="s">
        <v>231</v>
      </c>
      <c r="B2041" s="27" t="s">
        <v>235</v>
      </c>
      <c r="C2041" s="27" t="s">
        <v>224</v>
      </c>
      <c r="D2041" s="28">
        <v>0.81820000000000004</v>
      </c>
      <c r="E2041" s="28">
        <v>0.18179999999999999</v>
      </c>
      <c r="F2041" s="29"/>
      <c r="G2041" s="29" t="s">
        <v>347</v>
      </c>
    </row>
    <row r="2042" spans="1:7" x14ac:dyDescent="0.35">
      <c r="A2042" t="s">
        <v>231</v>
      </c>
      <c r="B2042" t="s">
        <v>234</v>
      </c>
      <c r="C2042" t="s">
        <v>222</v>
      </c>
      <c r="D2042" s="26">
        <v>0.34620000000000001</v>
      </c>
      <c r="E2042" s="26">
        <v>0.65380000000000005</v>
      </c>
      <c r="G2042">
        <v>52</v>
      </c>
    </row>
    <row r="2043" spans="1:7" x14ac:dyDescent="0.35">
      <c r="A2043" s="27" t="s">
        <v>231</v>
      </c>
      <c r="B2043" s="27" t="s">
        <v>236</v>
      </c>
      <c r="C2043" s="27" t="s">
        <v>224</v>
      </c>
      <c r="D2043" s="28">
        <v>1</v>
      </c>
      <c r="E2043" s="29"/>
      <c r="F2043" s="29"/>
      <c r="G2043" s="29" t="s">
        <v>331</v>
      </c>
    </row>
    <row r="2044" spans="1:7" x14ac:dyDescent="0.35">
      <c r="A2044" t="s">
        <v>231</v>
      </c>
      <c r="B2044" t="s">
        <v>234</v>
      </c>
      <c r="C2044" t="s">
        <v>220</v>
      </c>
      <c r="D2044" s="26">
        <v>0.57689999999999997</v>
      </c>
      <c r="E2044" s="26">
        <v>0.42309999999999998</v>
      </c>
      <c r="G2044">
        <v>52</v>
      </c>
    </row>
    <row r="2045" spans="1:7" x14ac:dyDescent="0.35">
      <c r="A2045" s="27" t="s">
        <v>231</v>
      </c>
      <c r="B2045" s="27" t="s">
        <v>235</v>
      </c>
      <c r="C2045" s="27" t="s">
        <v>223</v>
      </c>
      <c r="D2045" s="28">
        <v>0.56520000000000004</v>
      </c>
      <c r="E2045" s="28">
        <v>0.43480000000000002</v>
      </c>
      <c r="F2045" s="29"/>
      <c r="G2045" s="29" t="s">
        <v>328</v>
      </c>
    </row>
    <row r="2046" spans="1:7" x14ac:dyDescent="0.35">
      <c r="A2046" s="27" t="s">
        <v>231</v>
      </c>
      <c r="B2046" s="27" t="s">
        <v>234</v>
      </c>
      <c r="C2046" s="27" t="s">
        <v>223</v>
      </c>
      <c r="D2046" s="28">
        <v>0.68</v>
      </c>
      <c r="E2046" s="28">
        <v>0.32</v>
      </c>
      <c r="F2046" s="29"/>
      <c r="G2046" s="29" t="s">
        <v>312</v>
      </c>
    </row>
    <row r="2047" spans="1:7" x14ac:dyDescent="0.35">
      <c r="A2047" s="27" t="s">
        <v>231</v>
      </c>
      <c r="B2047" s="27" t="s">
        <v>235</v>
      </c>
      <c r="C2047" s="27" t="s">
        <v>222</v>
      </c>
      <c r="D2047" s="28">
        <v>0.375</v>
      </c>
      <c r="E2047" s="28">
        <v>0.625</v>
      </c>
      <c r="F2047" s="29"/>
      <c r="G2047" s="29" t="s">
        <v>310</v>
      </c>
    </row>
    <row r="2048" spans="1:7" x14ac:dyDescent="0.35">
      <c r="A2048" t="s">
        <v>231</v>
      </c>
      <c r="B2048" t="s">
        <v>235</v>
      </c>
      <c r="C2048" t="s">
        <v>221</v>
      </c>
      <c r="D2048" s="26">
        <v>0.57779999999999998</v>
      </c>
      <c r="E2048" s="26">
        <v>0.42220000000000002</v>
      </c>
      <c r="G2048">
        <v>45</v>
      </c>
    </row>
    <row r="2049" spans="1:7" x14ac:dyDescent="0.35">
      <c r="A2049" t="s">
        <v>231</v>
      </c>
      <c r="B2049" t="s">
        <v>234</v>
      </c>
      <c r="C2049" t="s">
        <v>221</v>
      </c>
      <c r="D2049" s="26">
        <v>0.48280000000000001</v>
      </c>
      <c r="E2049" s="26">
        <v>0.51719999999999999</v>
      </c>
      <c r="G2049">
        <v>58</v>
      </c>
    </row>
    <row r="2050" spans="1:7" x14ac:dyDescent="0.35">
      <c r="A2050" s="27" t="s">
        <v>231</v>
      </c>
      <c r="B2050" s="27" t="s">
        <v>234</v>
      </c>
      <c r="C2050" s="27" t="s">
        <v>224</v>
      </c>
      <c r="D2050" s="28">
        <v>0.77780000000000005</v>
      </c>
      <c r="E2050" s="28">
        <v>0.22220000000000001</v>
      </c>
      <c r="F2050" s="29"/>
      <c r="G2050" s="29" t="s">
        <v>353</v>
      </c>
    </row>
    <row r="2051" spans="1:7" x14ac:dyDescent="0.35">
      <c r="A2051" t="s">
        <v>231</v>
      </c>
      <c r="B2051" t="s">
        <v>235</v>
      </c>
      <c r="C2051" t="s">
        <v>220</v>
      </c>
      <c r="D2051" s="26">
        <v>0.5897</v>
      </c>
      <c r="E2051" s="26">
        <v>0.4103</v>
      </c>
      <c r="G2051">
        <v>39</v>
      </c>
    </row>
    <row r="2052" spans="1:7" x14ac:dyDescent="0.35">
      <c r="A2052" s="27" t="s">
        <v>231</v>
      </c>
      <c r="B2052" s="27" t="s">
        <v>236</v>
      </c>
      <c r="C2052" s="27" t="s">
        <v>221</v>
      </c>
      <c r="D2052" s="28">
        <v>1</v>
      </c>
      <c r="E2052" s="29"/>
      <c r="F2052" s="29"/>
      <c r="G2052" s="29" t="s">
        <v>331</v>
      </c>
    </row>
    <row r="2053" spans="1:7" x14ac:dyDescent="0.35">
      <c r="A2053" t="s">
        <v>232</v>
      </c>
      <c r="B2053" t="s">
        <v>232</v>
      </c>
      <c r="C2053" t="s">
        <v>232</v>
      </c>
      <c r="D2053" s="26">
        <v>0.54110000000000003</v>
      </c>
      <c r="E2053" s="26">
        <v>0.45700000000000002</v>
      </c>
      <c r="F2053" s="26">
        <v>1.9E-3</v>
      </c>
      <c r="G2053">
        <v>6397</v>
      </c>
    </row>
    <row r="2055" spans="1:7" x14ac:dyDescent="0.35">
      <c r="A2055" s="1" t="s">
        <v>494</v>
      </c>
    </row>
    <row r="2056" spans="1:7" x14ac:dyDescent="0.35">
      <c r="A2056" t="s">
        <v>219</v>
      </c>
      <c r="B2056" t="s">
        <v>303</v>
      </c>
      <c r="C2056" t="s">
        <v>302</v>
      </c>
      <c r="D2056" t="s">
        <v>281</v>
      </c>
      <c r="E2056" t="s">
        <v>286</v>
      </c>
      <c r="F2056" t="s">
        <v>226</v>
      </c>
    </row>
    <row r="2057" spans="1:7" x14ac:dyDescent="0.35">
      <c r="A2057" t="s">
        <v>227</v>
      </c>
      <c r="B2057" s="26">
        <v>0.88890000000000002</v>
      </c>
      <c r="C2057" s="26">
        <v>0.1053</v>
      </c>
      <c r="D2057" s="26">
        <v>5.7999999999999996E-3</v>
      </c>
      <c r="F2057">
        <v>171</v>
      </c>
    </row>
    <row r="2058" spans="1:7" x14ac:dyDescent="0.35">
      <c r="A2058" t="s">
        <v>228</v>
      </c>
      <c r="B2058" s="26">
        <v>0.80259999999999998</v>
      </c>
      <c r="C2058" s="26">
        <v>0.19370000000000001</v>
      </c>
      <c r="D2058" s="26">
        <v>2.5000000000000001E-3</v>
      </c>
      <c r="E2058" s="26">
        <v>1.1999999999999999E-3</v>
      </c>
      <c r="F2058">
        <v>1066</v>
      </c>
    </row>
    <row r="2059" spans="1:7" x14ac:dyDescent="0.35">
      <c r="A2059" t="s">
        <v>229</v>
      </c>
      <c r="B2059" s="26">
        <v>0.79349999999999998</v>
      </c>
      <c r="C2059" s="26">
        <v>0.19769999999999999</v>
      </c>
      <c r="D2059" s="26">
        <v>6.6E-3</v>
      </c>
      <c r="E2059" s="26">
        <v>2.2000000000000001E-3</v>
      </c>
      <c r="F2059">
        <v>866</v>
      </c>
    </row>
    <row r="2060" spans="1:7" x14ac:dyDescent="0.35">
      <c r="A2060" t="s">
        <v>230</v>
      </c>
      <c r="B2060" s="26">
        <v>0.80779999999999996</v>
      </c>
      <c r="C2060" s="26">
        <v>0.18490000000000001</v>
      </c>
      <c r="D2060" s="26">
        <v>7.3000000000000001E-3</v>
      </c>
      <c r="F2060">
        <v>564</v>
      </c>
    </row>
    <row r="2061" spans="1:7" x14ac:dyDescent="0.35">
      <c r="A2061" t="s">
        <v>231</v>
      </c>
      <c r="B2061" s="26">
        <v>0.87649999999999995</v>
      </c>
      <c r="C2061" s="26">
        <v>0.1176</v>
      </c>
      <c r="D2061" s="26">
        <v>5.8999999999999999E-3</v>
      </c>
      <c r="F2061">
        <v>170</v>
      </c>
    </row>
    <row r="2062" spans="1:7" x14ac:dyDescent="0.35">
      <c r="A2062" t="s">
        <v>232</v>
      </c>
      <c r="B2062" s="26">
        <v>0.83279999999999998</v>
      </c>
      <c r="C2062" s="26">
        <v>0.16070000000000001</v>
      </c>
      <c r="D2062" s="26">
        <v>5.5999999999999999E-3</v>
      </c>
      <c r="E2062" s="26">
        <v>8.9999999999999998E-4</v>
      </c>
      <c r="F2062">
        <v>2837</v>
      </c>
    </row>
    <row r="2064" spans="1:7" x14ac:dyDescent="0.35">
      <c r="A2064" s="1" t="s">
        <v>495</v>
      </c>
    </row>
    <row r="2065" spans="1:7" x14ac:dyDescent="0.35">
      <c r="A2065" t="s">
        <v>219</v>
      </c>
      <c r="B2065" t="s">
        <v>305</v>
      </c>
      <c r="C2065" t="s">
        <v>303</v>
      </c>
      <c r="D2065" t="s">
        <v>302</v>
      </c>
      <c r="E2065" t="s">
        <v>281</v>
      </c>
      <c r="F2065" t="s">
        <v>286</v>
      </c>
      <c r="G2065" t="s">
        <v>226</v>
      </c>
    </row>
    <row r="2066" spans="1:7" x14ac:dyDescent="0.35">
      <c r="A2066" t="s">
        <v>227</v>
      </c>
      <c r="B2066" t="s">
        <v>242</v>
      </c>
      <c r="C2066" s="26">
        <v>0.85570000000000002</v>
      </c>
      <c r="D2066" s="26">
        <v>0.13400000000000001</v>
      </c>
      <c r="E2066" s="26">
        <v>1.03E-2</v>
      </c>
      <c r="G2066">
        <v>97</v>
      </c>
    </row>
    <row r="2067" spans="1:7" x14ac:dyDescent="0.35">
      <c r="A2067" t="s">
        <v>227</v>
      </c>
      <c r="B2067" t="s">
        <v>241</v>
      </c>
      <c r="C2067" s="26">
        <v>0.93240000000000001</v>
      </c>
      <c r="D2067" s="26">
        <v>6.7599999999999993E-2</v>
      </c>
      <c r="G2067">
        <v>74</v>
      </c>
    </row>
    <row r="2068" spans="1:7" x14ac:dyDescent="0.35">
      <c r="A2068" t="s">
        <v>228</v>
      </c>
      <c r="B2068" t="s">
        <v>242</v>
      </c>
      <c r="C2068" s="26">
        <v>0.77510000000000001</v>
      </c>
      <c r="D2068" s="26">
        <v>0.21959999999999999</v>
      </c>
      <c r="E2068" s="26">
        <v>3.0000000000000001E-3</v>
      </c>
      <c r="F2068" s="26">
        <v>2.3E-3</v>
      </c>
      <c r="G2068">
        <v>539</v>
      </c>
    </row>
    <row r="2069" spans="1:7" x14ac:dyDescent="0.35">
      <c r="A2069" t="s">
        <v>228</v>
      </c>
      <c r="B2069" t="s">
        <v>241</v>
      </c>
      <c r="C2069" s="26">
        <v>0.82950000000000002</v>
      </c>
      <c r="D2069" s="26">
        <v>0.16839999999999999</v>
      </c>
      <c r="E2069" s="26">
        <v>2.0999999999999999E-3</v>
      </c>
      <c r="G2069">
        <v>527</v>
      </c>
    </row>
    <row r="2070" spans="1:7" x14ac:dyDescent="0.35">
      <c r="A2070" t="s">
        <v>229</v>
      </c>
      <c r="B2070" t="s">
        <v>242</v>
      </c>
      <c r="C2070" s="26">
        <v>0.72640000000000005</v>
      </c>
      <c r="D2070" s="26">
        <v>0.2626</v>
      </c>
      <c r="E2070" s="26">
        <v>6.7000000000000002E-3</v>
      </c>
      <c r="F2070" s="26">
        <v>4.3E-3</v>
      </c>
      <c r="G2070">
        <v>407</v>
      </c>
    </row>
    <row r="2071" spans="1:7" x14ac:dyDescent="0.35">
      <c r="A2071" t="s">
        <v>229</v>
      </c>
      <c r="B2071" t="s">
        <v>241</v>
      </c>
      <c r="C2071" s="26">
        <v>0.86339999999999995</v>
      </c>
      <c r="D2071" s="26">
        <v>0.13</v>
      </c>
      <c r="E2071" s="26">
        <v>6.4999999999999997E-3</v>
      </c>
      <c r="G2071">
        <v>459</v>
      </c>
    </row>
    <row r="2072" spans="1:7" x14ac:dyDescent="0.35">
      <c r="A2072" t="s">
        <v>230</v>
      </c>
      <c r="B2072" t="s">
        <v>242</v>
      </c>
      <c r="C2072" s="26">
        <v>0.7167</v>
      </c>
      <c r="D2072" s="26">
        <v>0.26840000000000003</v>
      </c>
      <c r="E2072" s="26">
        <v>1.49E-2</v>
      </c>
      <c r="G2072">
        <v>247</v>
      </c>
    </row>
    <row r="2073" spans="1:7" x14ac:dyDescent="0.35">
      <c r="A2073" t="s">
        <v>230</v>
      </c>
      <c r="B2073" t="s">
        <v>241</v>
      </c>
      <c r="C2073" s="26">
        <v>0.87280000000000002</v>
      </c>
      <c r="D2073" s="26">
        <v>0.12529999999999999</v>
      </c>
      <c r="E2073" s="26">
        <v>1.9E-3</v>
      </c>
      <c r="G2073">
        <v>317</v>
      </c>
    </row>
    <row r="2074" spans="1:7" x14ac:dyDescent="0.35">
      <c r="A2074" t="s">
        <v>231</v>
      </c>
      <c r="B2074" t="s">
        <v>242</v>
      </c>
      <c r="C2074" s="26">
        <v>0.89870000000000005</v>
      </c>
      <c r="D2074" s="26">
        <v>0.1013</v>
      </c>
      <c r="G2074">
        <v>79</v>
      </c>
    </row>
    <row r="2075" spans="1:7" x14ac:dyDescent="0.35">
      <c r="A2075" t="s">
        <v>231</v>
      </c>
      <c r="B2075" t="s">
        <v>241</v>
      </c>
      <c r="C2075" s="26">
        <v>0.85709999999999997</v>
      </c>
      <c r="D2075" s="26">
        <v>0.13189999999999999</v>
      </c>
      <c r="E2075" s="26">
        <v>1.0999999999999999E-2</v>
      </c>
      <c r="G2075">
        <v>91</v>
      </c>
    </row>
    <row r="2076" spans="1:7" x14ac:dyDescent="0.35">
      <c r="A2076" t="s">
        <v>232</v>
      </c>
      <c r="B2076" t="s">
        <v>232</v>
      </c>
      <c r="C2076" s="26">
        <v>0.83279999999999998</v>
      </c>
      <c r="D2076" s="26">
        <v>0.16070000000000001</v>
      </c>
      <c r="E2076" s="26">
        <v>5.5999999999999999E-3</v>
      </c>
      <c r="F2076" s="26">
        <v>8.9999999999999998E-4</v>
      </c>
      <c r="G2076">
        <v>2837</v>
      </c>
    </row>
    <row r="2078" spans="1:7" x14ac:dyDescent="0.35">
      <c r="A2078" s="1" t="s">
        <v>496</v>
      </c>
    </row>
    <row r="2079" spans="1:7" x14ac:dyDescent="0.35">
      <c r="A2079" t="s">
        <v>219</v>
      </c>
      <c r="B2079" t="s">
        <v>305</v>
      </c>
      <c r="C2079" t="s">
        <v>303</v>
      </c>
      <c r="D2079" t="s">
        <v>302</v>
      </c>
      <c r="E2079" t="s">
        <v>281</v>
      </c>
      <c r="F2079" t="s">
        <v>286</v>
      </c>
      <c r="G2079" t="s">
        <v>226</v>
      </c>
    </row>
    <row r="2080" spans="1:7" x14ac:dyDescent="0.35">
      <c r="A2080" t="s">
        <v>227</v>
      </c>
      <c r="B2080" t="s">
        <v>239</v>
      </c>
      <c r="C2080" s="26">
        <v>0.86760000000000004</v>
      </c>
      <c r="D2080" s="26">
        <v>0.13239999999999999</v>
      </c>
      <c r="G2080">
        <v>68</v>
      </c>
    </row>
    <row r="2081" spans="1:7" x14ac:dyDescent="0.35">
      <c r="A2081" t="s">
        <v>227</v>
      </c>
      <c r="B2081" t="s">
        <v>238</v>
      </c>
      <c r="C2081" s="26">
        <v>0.90290000000000004</v>
      </c>
      <c r="D2081" s="26">
        <v>8.7400000000000005E-2</v>
      </c>
      <c r="E2081" s="26">
        <v>9.7000000000000003E-3</v>
      </c>
      <c r="G2081">
        <v>103</v>
      </c>
    </row>
    <row r="2082" spans="1:7" x14ac:dyDescent="0.35">
      <c r="A2082" t="s">
        <v>228</v>
      </c>
      <c r="B2082" t="s">
        <v>239</v>
      </c>
      <c r="C2082" s="26">
        <v>0.81820000000000004</v>
      </c>
      <c r="D2082" s="26">
        <v>0.1777</v>
      </c>
      <c r="E2082" s="26">
        <v>2.5000000000000001E-3</v>
      </c>
      <c r="F2082" s="26">
        <v>1.6000000000000001E-3</v>
      </c>
      <c r="G2082">
        <v>371</v>
      </c>
    </row>
    <row r="2083" spans="1:7" x14ac:dyDescent="0.35">
      <c r="A2083" t="s">
        <v>228</v>
      </c>
      <c r="B2083" t="s">
        <v>238</v>
      </c>
      <c r="C2083" s="26">
        <v>0.79830000000000001</v>
      </c>
      <c r="D2083" s="26">
        <v>0.1981</v>
      </c>
      <c r="E2083" s="26">
        <v>2.5000000000000001E-3</v>
      </c>
      <c r="F2083" s="26">
        <v>1E-3</v>
      </c>
      <c r="G2083">
        <v>695</v>
      </c>
    </row>
    <row r="2084" spans="1:7" x14ac:dyDescent="0.35">
      <c r="A2084" t="s">
        <v>229</v>
      </c>
      <c r="B2084" t="s">
        <v>239</v>
      </c>
      <c r="C2084" s="26">
        <v>0.74129999999999996</v>
      </c>
      <c r="D2084" s="26">
        <v>0.2487</v>
      </c>
      <c r="E2084" s="26">
        <v>2.0999999999999999E-3</v>
      </c>
      <c r="F2084" s="26">
        <v>7.9000000000000008E-3</v>
      </c>
      <c r="G2084">
        <v>303</v>
      </c>
    </row>
    <row r="2085" spans="1:7" x14ac:dyDescent="0.35">
      <c r="A2085" t="s">
        <v>229</v>
      </c>
      <c r="B2085" t="s">
        <v>238</v>
      </c>
      <c r="C2085" s="26">
        <v>0.81359999999999999</v>
      </c>
      <c r="D2085" s="26">
        <v>0.17799999999999999</v>
      </c>
      <c r="E2085" s="26">
        <v>8.3999999999999995E-3</v>
      </c>
      <c r="G2085">
        <v>563</v>
      </c>
    </row>
    <row r="2086" spans="1:7" x14ac:dyDescent="0.35">
      <c r="A2086" t="s">
        <v>230</v>
      </c>
      <c r="B2086" t="s">
        <v>239</v>
      </c>
      <c r="C2086" s="26">
        <v>0.76060000000000005</v>
      </c>
      <c r="D2086" s="26">
        <v>0.2394</v>
      </c>
      <c r="G2086">
        <v>230</v>
      </c>
    </row>
    <row r="2087" spans="1:7" x14ac:dyDescent="0.35">
      <c r="A2087" t="s">
        <v>230</v>
      </c>
      <c r="B2087" t="s">
        <v>238</v>
      </c>
      <c r="C2087" s="26">
        <v>0.83460000000000001</v>
      </c>
      <c r="D2087" s="26">
        <v>0.15390000000000001</v>
      </c>
      <c r="E2087" s="26">
        <v>1.15E-2</v>
      </c>
      <c r="G2087">
        <v>334</v>
      </c>
    </row>
    <row r="2088" spans="1:7" x14ac:dyDescent="0.35">
      <c r="A2088" t="s">
        <v>231</v>
      </c>
      <c r="B2088" t="s">
        <v>239</v>
      </c>
      <c r="C2088" s="26">
        <v>0.89039999999999997</v>
      </c>
      <c r="D2088" s="26">
        <v>0.1096</v>
      </c>
      <c r="G2088">
        <v>73</v>
      </c>
    </row>
    <row r="2089" spans="1:7" x14ac:dyDescent="0.35">
      <c r="A2089" t="s">
        <v>231</v>
      </c>
      <c r="B2089" t="s">
        <v>238</v>
      </c>
      <c r="C2089" s="26">
        <v>0.86599999999999999</v>
      </c>
      <c r="D2089" s="26">
        <v>0.1237</v>
      </c>
      <c r="E2089" s="26">
        <v>1.03E-2</v>
      </c>
      <c r="G2089">
        <v>97</v>
      </c>
    </row>
    <row r="2090" spans="1:7" x14ac:dyDescent="0.35">
      <c r="A2090" t="s">
        <v>232</v>
      </c>
      <c r="B2090" t="s">
        <v>232</v>
      </c>
      <c r="C2090" s="26">
        <v>0.83279999999999998</v>
      </c>
      <c r="D2090" s="26">
        <v>0.16070000000000001</v>
      </c>
      <c r="E2090" s="26">
        <v>5.5999999999999999E-3</v>
      </c>
      <c r="F2090" s="26">
        <v>8.9999999999999998E-4</v>
      </c>
      <c r="G2090">
        <v>2837</v>
      </c>
    </row>
    <row r="2092" spans="1:7" x14ac:dyDescent="0.35">
      <c r="A2092" s="1" t="s">
        <v>497</v>
      </c>
    </row>
    <row r="2093" spans="1:7" x14ac:dyDescent="0.35">
      <c r="A2093" t="s">
        <v>219</v>
      </c>
      <c r="B2093" t="s">
        <v>305</v>
      </c>
      <c r="C2093" t="s">
        <v>303</v>
      </c>
      <c r="D2093" t="s">
        <v>302</v>
      </c>
      <c r="E2093" t="s">
        <v>281</v>
      </c>
      <c r="F2093" t="s">
        <v>286</v>
      </c>
      <c r="G2093" t="s">
        <v>226</v>
      </c>
    </row>
    <row r="2094" spans="1:7" x14ac:dyDescent="0.35">
      <c r="A2094" t="s">
        <v>227</v>
      </c>
      <c r="B2094" t="s">
        <v>244</v>
      </c>
      <c r="C2094" s="26">
        <v>0.89659999999999995</v>
      </c>
      <c r="D2094" s="26">
        <v>9.4799999999999995E-2</v>
      </c>
      <c r="E2094" s="26">
        <v>8.6E-3</v>
      </c>
      <c r="G2094">
        <v>116</v>
      </c>
    </row>
    <row r="2095" spans="1:7" x14ac:dyDescent="0.35">
      <c r="A2095" s="27" t="s">
        <v>227</v>
      </c>
      <c r="B2095" s="27" t="s">
        <v>245</v>
      </c>
      <c r="C2095" s="28">
        <v>0.86360000000000003</v>
      </c>
      <c r="D2095" s="28">
        <v>0.13639999999999999</v>
      </c>
      <c r="E2095" s="29"/>
      <c r="F2095" s="29"/>
      <c r="G2095" s="29" t="s">
        <v>347</v>
      </c>
    </row>
    <row r="2096" spans="1:7" x14ac:dyDescent="0.35">
      <c r="A2096" t="s">
        <v>227</v>
      </c>
      <c r="B2096" t="s">
        <v>246</v>
      </c>
      <c r="C2096" s="26">
        <v>0.87880000000000003</v>
      </c>
      <c r="D2096" s="26">
        <v>0.1212</v>
      </c>
      <c r="G2096">
        <v>33</v>
      </c>
    </row>
    <row r="2097" spans="1:7" x14ac:dyDescent="0.35">
      <c r="A2097" t="s">
        <v>228</v>
      </c>
      <c r="B2097" t="s">
        <v>244</v>
      </c>
      <c r="C2097" s="26">
        <v>0.80989999999999995</v>
      </c>
      <c r="D2097" s="26">
        <v>0.18779999999999999</v>
      </c>
      <c r="E2097" s="26">
        <v>1.8E-3</v>
      </c>
      <c r="F2097" s="26">
        <v>5.0000000000000001E-4</v>
      </c>
      <c r="G2097">
        <v>734</v>
      </c>
    </row>
    <row r="2098" spans="1:7" x14ac:dyDescent="0.35">
      <c r="A2098" t="s">
        <v>228</v>
      </c>
      <c r="B2098" t="s">
        <v>245</v>
      </c>
      <c r="C2098" s="26">
        <v>0.80710000000000004</v>
      </c>
      <c r="D2098" s="26">
        <v>0.1817</v>
      </c>
      <c r="E2098" s="26">
        <v>5.4999999999999997E-3</v>
      </c>
      <c r="F2098" s="26">
        <v>5.7000000000000002E-3</v>
      </c>
      <c r="G2098">
        <v>175</v>
      </c>
    </row>
    <row r="2099" spans="1:7" x14ac:dyDescent="0.35">
      <c r="A2099" t="s">
        <v>228</v>
      </c>
      <c r="B2099" t="s">
        <v>246</v>
      </c>
      <c r="C2099" s="26">
        <v>0.76990000000000003</v>
      </c>
      <c r="D2099" s="26">
        <v>0.22700000000000001</v>
      </c>
      <c r="E2099" s="26">
        <v>3.0999999999999999E-3</v>
      </c>
      <c r="G2099">
        <v>157</v>
      </c>
    </row>
    <row r="2100" spans="1:7" x14ac:dyDescent="0.35">
      <c r="A2100" t="s">
        <v>229</v>
      </c>
      <c r="B2100" t="s">
        <v>244</v>
      </c>
      <c r="C2100" s="26">
        <v>0.8276</v>
      </c>
      <c r="D2100" s="26">
        <v>0.1706</v>
      </c>
      <c r="E2100" s="26">
        <v>1.8E-3</v>
      </c>
      <c r="G2100">
        <v>639</v>
      </c>
    </row>
    <row r="2101" spans="1:7" x14ac:dyDescent="0.35">
      <c r="A2101" t="s">
        <v>229</v>
      </c>
      <c r="B2101" t="s">
        <v>245</v>
      </c>
      <c r="C2101" s="26">
        <v>0.6532</v>
      </c>
      <c r="D2101" s="26">
        <v>0.30209999999999998</v>
      </c>
      <c r="E2101" s="26">
        <v>2.4299999999999999E-2</v>
      </c>
      <c r="F2101" s="26">
        <v>2.0400000000000001E-2</v>
      </c>
      <c r="G2101">
        <v>129</v>
      </c>
    </row>
    <row r="2102" spans="1:7" x14ac:dyDescent="0.35">
      <c r="A2102" t="s">
        <v>229</v>
      </c>
      <c r="B2102" t="s">
        <v>246</v>
      </c>
      <c r="C2102" s="26">
        <v>0.69699999999999995</v>
      </c>
      <c r="D2102" s="26">
        <v>0.28079999999999999</v>
      </c>
      <c r="E2102" s="26">
        <v>2.2200000000000001E-2</v>
      </c>
      <c r="G2102">
        <v>98</v>
      </c>
    </row>
    <row r="2103" spans="1:7" x14ac:dyDescent="0.35">
      <c r="A2103" t="s">
        <v>230</v>
      </c>
      <c r="B2103" t="s">
        <v>244</v>
      </c>
      <c r="C2103" s="26">
        <v>0.85709999999999997</v>
      </c>
      <c r="D2103" s="26">
        <v>0.13350000000000001</v>
      </c>
      <c r="E2103" s="26">
        <v>9.4000000000000004E-3</v>
      </c>
      <c r="G2103">
        <v>436</v>
      </c>
    </row>
    <row r="2104" spans="1:7" x14ac:dyDescent="0.35">
      <c r="A2104" t="s">
        <v>230</v>
      </c>
      <c r="B2104" t="s">
        <v>245</v>
      </c>
      <c r="C2104" s="26">
        <v>0.49209999999999998</v>
      </c>
      <c r="D2104" s="26">
        <v>0.50790000000000002</v>
      </c>
      <c r="G2104">
        <v>69</v>
      </c>
    </row>
    <row r="2105" spans="1:7" x14ac:dyDescent="0.35">
      <c r="A2105" t="s">
        <v>230</v>
      </c>
      <c r="B2105" t="s">
        <v>246</v>
      </c>
      <c r="C2105" s="26">
        <v>0.78490000000000004</v>
      </c>
      <c r="D2105" s="26">
        <v>0.21510000000000001</v>
      </c>
      <c r="G2105">
        <v>59</v>
      </c>
    </row>
    <row r="2106" spans="1:7" x14ac:dyDescent="0.35">
      <c r="A2106" t="s">
        <v>231</v>
      </c>
      <c r="B2106" t="s">
        <v>244</v>
      </c>
      <c r="C2106" s="26">
        <v>0.88429999999999997</v>
      </c>
      <c r="D2106" s="26">
        <v>0.1074</v>
      </c>
      <c r="E2106" s="26">
        <v>8.3000000000000001E-3</v>
      </c>
      <c r="G2106">
        <v>121</v>
      </c>
    </row>
    <row r="2107" spans="1:7" x14ac:dyDescent="0.35">
      <c r="A2107" s="27" t="s">
        <v>231</v>
      </c>
      <c r="B2107" s="27" t="s">
        <v>245</v>
      </c>
      <c r="C2107" s="28">
        <v>0.8276</v>
      </c>
      <c r="D2107" s="28">
        <v>0.1724</v>
      </c>
      <c r="E2107" s="29"/>
      <c r="F2107" s="29"/>
      <c r="G2107" s="29" t="s">
        <v>329</v>
      </c>
    </row>
    <row r="2108" spans="1:7" x14ac:dyDescent="0.35">
      <c r="A2108" s="27" t="s">
        <v>231</v>
      </c>
      <c r="B2108" s="27" t="s">
        <v>246</v>
      </c>
      <c r="C2108" s="28">
        <v>0.9</v>
      </c>
      <c r="D2108" s="28">
        <v>0.1</v>
      </c>
      <c r="E2108" s="29"/>
      <c r="F2108" s="29"/>
      <c r="G2108" s="29" t="s">
        <v>350</v>
      </c>
    </row>
    <row r="2109" spans="1:7" x14ac:dyDescent="0.35">
      <c r="A2109" t="s">
        <v>232</v>
      </c>
      <c r="B2109" t="s">
        <v>232</v>
      </c>
      <c r="C2109" s="26">
        <v>0.83279999999999998</v>
      </c>
      <c r="D2109" s="26">
        <v>0.16070000000000001</v>
      </c>
      <c r="E2109" s="26">
        <v>5.5999999999999999E-3</v>
      </c>
      <c r="F2109" s="26">
        <v>8.9999999999999998E-4</v>
      </c>
      <c r="G2109">
        <v>2837</v>
      </c>
    </row>
    <row r="2111" spans="1:7" x14ac:dyDescent="0.35">
      <c r="A2111" s="1" t="s">
        <v>498</v>
      </c>
    </row>
    <row r="2112" spans="1:7" x14ac:dyDescent="0.35">
      <c r="A2112" t="s">
        <v>219</v>
      </c>
      <c r="B2112" t="s">
        <v>305</v>
      </c>
      <c r="C2112" t="s">
        <v>303</v>
      </c>
      <c r="D2112" t="s">
        <v>302</v>
      </c>
      <c r="E2112" t="s">
        <v>281</v>
      </c>
      <c r="F2112" t="s">
        <v>286</v>
      </c>
      <c r="G2112" t="s">
        <v>226</v>
      </c>
    </row>
    <row r="2113" spans="1:7" x14ac:dyDescent="0.35">
      <c r="A2113" t="s">
        <v>227</v>
      </c>
      <c r="B2113" t="s">
        <v>360</v>
      </c>
      <c r="C2113" s="26">
        <v>0.8478</v>
      </c>
      <c r="D2113" s="26">
        <v>0.1522</v>
      </c>
      <c r="G2113">
        <v>46</v>
      </c>
    </row>
    <row r="2114" spans="1:7" x14ac:dyDescent="0.35">
      <c r="A2114" s="27" t="s">
        <v>227</v>
      </c>
      <c r="B2114" s="27" t="s">
        <v>361</v>
      </c>
      <c r="C2114" s="28">
        <v>0.91669999999999996</v>
      </c>
      <c r="D2114" s="28">
        <v>8.3299999999999999E-2</v>
      </c>
      <c r="E2114" s="29"/>
      <c r="F2114" s="29"/>
      <c r="G2114" s="29" t="s">
        <v>310</v>
      </c>
    </row>
    <row r="2115" spans="1:7" x14ac:dyDescent="0.35">
      <c r="A2115" t="s">
        <v>227</v>
      </c>
      <c r="B2115" t="s">
        <v>362</v>
      </c>
      <c r="C2115" s="26">
        <v>0.92310000000000003</v>
      </c>
      <c r="D2115" s="26">
        <v>7.6899999999999996E-2</v>
      </c>
      <c r="G2115">
        <v>39</v>
      </c>
    </row>
    <row r="2116" spans="1:7" x14ac:dyDescent="0.35">
      <c r="A2116" t="s">
        <v>227</v>
      </c>
      <c r="B2116" t="s">
        <v>363</v>
      </c>
      <c r="C2116" s="26">
        <v>0.90569999999999995</v>
      </c>
      <c r="D2116" s="26">
        <v>9.4299999999999995E-2</v>
      </c>
      <c r="G2116">
        <v>53</v>
      </c>
    </row>
    <row r="2117" spans="1:7" x14ac:dyDescent="0.35">
      <c r="A2117" t="s">
        <v>228</v>
      </c>
      <c r="B2117" t="s">
        <v>360</v>
      </c>
      <c r="C2117" s="26">
        <v>0.62109999999999999</v>
      </c>
      <c r="D2117" s="26">
        <v>0.3735</v>
      </c>
      <c r="E2117" s="26">
        <v>4.0000000000000001E-3</v>
      </c>
      <c r="F2117" s="26">
        <v>1.4E-3</v>
      </c>
      <c r="G2117">
        <v>320</v>
      </c>
    </row>
    <row r="2118" spans="1:7" x14ac:dyDescent="0.35">
      <c r="A2118" t="s">
        <v>228</v>
      </c>
      <c r="B2118" t="s">
        <v>361</v>
      </c>
      <c r="C2118" s="26">
        <v>0.88360000000000005</v>
      </c>
      <c r="D2118" s="26">
        <v>0.1128</v>
      </c>
      <c r="E2118" s="26">
        <v>3.5999999999999999E-3</v>
      </c>
      <c r="G2118">
        <v>165</v>
      </c>
    </row>
    <row r="2119" spans="1:7" x14ac:dyDescent="0.35">
      <c r="A2119" t="s">
        <v>228</v>
      </c>
      <c r="B2119" t="s">
        <v>363</v>
      </c>
      <c r="C2119" s="26">
        <v>0.87629999999999997</v>
      </c>
      <c r="D2119" s="26">
        <v>0.1203</v>
      </c>
      <c r="F2119" s="26">
        <v>3.3999999999999998E-3</v>
      </c>
      <c r="G2119">
        <v>209</v>
      </c>
    </row>
    <row r="2120" spans="1:7" x14ac:dyDescent="0.35">
      <c r="A2120" t="s">
        <v>228</v>
      </c>
      <c r="B2120" t="s">
        <v>362</v>
      </c>
      <c r="C2120" s="26">
        <v>0.83040000000000003</v>
      </c>
      <c r="D2120" s="26">
        <v>0.1663</v>
      </c>
      <c r="E2120" s="26">
        <v>3.3999999999999998E-3</v>
      </c>
      <c r="G2120">
        <v>250</v>
      </c>
    </row>
    <row r="2121" spans="1:7" x14ac:dyDescent="0.35">
      <c r="A2121" t="s">
        <v>229</v>
      </c>
      <c r="B2121" t="s">
        <v>363</v>
      </c>
      <c r="C2121" s="26">
        <v>0.8</v>
      </c>
      <c r="D2121" s="26">
        <v>0.18629999999999999</v>
      </c>
      <c r="E2121" s="26">
        <v>1.37E-2</v>
      </c>
      <c r="G2121">
        <v>180</v>
      </c>
    </row>
    <row r="2122" spans="1:7" x14ac:dyDescent="0.35">
      <c r="A2122" t="s">
        <v>229</v>
      </c>
      <c r="B2122" t="s">
        <v>360</v>
      </c>
      <c r="C2122" s="26">
        <v>0.72489999999999999</v>
      </c>
      <c r="D2122" s="26">
        <v>0.24629999999999999</v>
      </c>
      <c r="E2122" s="26">
        <v>1.7399999999999999E-2</v>
      </c>
      <c r="F2122" s="26">
        <v>1.14E-2</v>
      </c>
      <c r="G2122">
        <v>195</v>
      </c>
    </row>
    <row r="2123" spans="1:7" x14ac:dyDescent="0.35">
      <c r="A2123" t="s">
        <v>229</v>
      </c>
      <c r="B2123" t="s">
        <v>361</v>
      </c>
      <c r="C2123" s="26">
        <v>0.80269999999999997</v>
      </c>
      <c r="D2123" s="26">
        <v>0.1973</v>
      </c>
      <c r="G2123">
        <v>203</v>
      </c>
    </row>
    <row r="2124" spans="1:7" x14ac:dyDescent="0.35">
      <c r="A2124" t="s">
        <v>229</v>
      </c>
      <c r="B2124" t="s">
        <v>362</v>
      </c>
      <c r="C2124" s="26">
        <v>0.77200000000000002</v>
      </c>
      <c r="D2124" s="26">
        <v>0.22750000000000001</v>
      </c>
      <c r="E2124" s="26">
        <v>5.0000000000000001E-4</v>
      </c>
      <c r="G2124">
        <v>179</v>
      </c>
    </row>
    <row r="2125" spans="1:7" x14ac:dyDescent="0.35">
      <c r="A2125" t="s">
        <v>230</v>
      </c>
      <c r="B2125" t="s">
        <v>360</v>
      </c>
      <c r="C2125" s="26">
        <v>0.78300000000000003</v>
      </c>
      <c r="D2125" s="26">
        <v>0.215</v>
      </c>
      <c r="E2125" s="26">
        <v>2E-3</v>
      </c>
      <c r="G2125">
        <v>173</v>
      </c>
    </row>
    <row r="2126" spans="1:7" x14ac:dyDescent="0.35">
      <c r="A2126" t="s">
        <v>230</v>
      </c>
      <c r="B2126" t="s">
        <v>363</v>
      </c>
      <c r="C2126" s="26">
        <v>0.83930000000000005</v>
      </c>
      <c r="D2126" s="26">
        <v>0.16070000000000001</v>
      </c>
      <c r="G2126">
        <v>118</v>
      </c>
    </row>
    <row r="2127" spans="1:7" x14ac:dyDescent="0.35">
      <c r="A2127" t="s">
        <v>230</v>
      </c>
      <c r="B2127" t="s">
        <v>361</v>
      </c>
      <c r="C2127" s="26">
        <v>0.89459999999999995</v>
      </c>
      <c r="D2127" s="26">
        <v>0.10539999999999999</v>
      </c>
      <c r="G2127">
        <v>84</v>
      </c>
    </row>
    <row r="2128" spans="1:7" x14ac:dyDescent="0.35">
      <c r="A2128" t="s">
        <v>230</v>
      </c>
      <c r="B2128" t="s">
        <v>362</v>
      </c>
      <c r="C2128" s="26">
        <v>0.72250000000000003</v>
      </c>
      <c r="D2128" s="26">
        <v>0.2545</v>
      </c>
      <c r="E2128" s="26">
        <v>2.3099999999999999E-2</v>
      </c>
      <c r="G2128">
        <v>144</v>
      </c>
    </row>
    <row r="2129" spans="1:7" x14ac:dyDescent="0.35">
      <c r="A2129" s="27" t="s">
        <v>231</v>
      </c>
      <c r="B2129" s="27" t="s">
        <v>362</v>
      </c>
      <c r="C2129" s="28">
        <v>0.93100000000000005</v>
      </c>
      <c r="D2129" s="28">
        <v>6.9000000000000006E-2</v>
      </c>
      <c r="E2129" s="29"/>
      <c r="F2129" s="29"/>
      <c r="G2129" s="29" t="s">
        <v>329</v>
      </c>
    </row>
    <row r="2130" spans="1:7" x14ac:dyDescent="0.35">
      <c r="A2130" t="s">
        <v>231</v>
      </c>
      <c r="B2130" t="s">
        <v>361</v>
      </c>
      <c r="C2130" s="26">
        <v>0.85709999999999997</v>
      </c>
      <c r="D2130" s="26">
        <v>0.1429</v>
      </c>
      <c r="G2130">
        <v>42</v>
      </c>
    </row>
    <row r="2131" spans="1:7" x14ac:dyDescent="0.35">
      <c r="A2131" t="s">
        <v>231</v>
      </c>
      <c r="B2131" t="s">
        <v>360</v>
      </c>
      <c r="C2131" s="26">
        <v>0.82</v>
      </c>
      <c r="D2131" s="26">
        <v>0.16</v>
      </c>
      <c r="E2131" s="26">
        <v>0.02</v>
      </c>
      <c r="G2131">
        <v>50</v>
      </c>
    </row>
    <row r="2132" spans="1:7" x14ac:dyDescent="0.35">
      <c r="A2132" t="s">
        <v>231</v>
      </c>
      <c r="B2132" t="s">
        <v>363</v>
      </c>
      <c r="C2132" s="26">
        <v>0.96970000000000001</v>
      </c>
      <c r="D2132" s="26">
        <v>3.0300000000000001E-2</v>
      </c>
      <c r="G2132">
        <v>33</v>
      </c>
    </row>
    <row r="2133" spans="1:7" x14ac:dyDescent="0.35">
      <c r="A2133" t="s">
        <v>232</v>
      </c>
      <c r="B2133" t="s">
        <v>232</v>
      </c>
      <c r="C2133" s="26">
        <v>0.83279999999999998</v>
      </c>
      <c r="D2133" s="26">
        <v>0.16070000000000001</v>
      </c>
      <c r="E2133" s="26">
        <v>5.5999999999999999E-3</v>
      </c>
      <c r="F2133" s="26">
        <v>8.9999999999999998E-4</v>
      </c>
      <c r="G2133">
        <v>2536</v>
      </c>
    </row>
    <row r="2135" spans="1:7" x14ac:dyDescent="0.35">
      <c r="A2135" s="1" t="s">
        <v>499</v>
      </c>
    </row>
    <row r="2136" spans="1:7" x14ac:dyDescent="0.35">
      <c r="A2136" t="s">
        <v>219</v>
      </c>
      <c r="B2136" t="s">
        <v>305</v>
      </c>
      <c r="C2136" t="s">
        <v>303</v>
      </c>
      <c r="D2136" t="s">
        <v>302</v>
      </c>
      <c r="E2136" t="s">
        <v>281</v>
      </c>
      <c r="F2136" t="s">
        <v>286</v>
      </c>
      <c r="G2136" t="s">
        <v>226</v>
      </c>
    </row>
    <row r="2137" spans="1:7" x14ac:dyDescent="0.35">
      <c r="A2137" s="27" t="s">
        <v>227</v>
      </c>
      <c r="B2137" s="27" t="s">
        <v>267</v>
      </c>
      <c r="C2137" s="28">
        <v>0.96430000000000005</v>
      </c>
      <c r="D2137" s="28">
        <v>3.5700000000000003E-2</v>
      </c>
      <c r="E2137" s="29"/>
      <c r="F2137" s="29"/>
      <c r="G2137" s="29" t="s">
        <v>336</v>
      </c>
    </row>
    <row r="2138" spans="1:7" x14ac:dyDescent="0.35">
      <c r="A2138" t="s">
        <v>227</v>
      </c>
      <c r="B2138" t="s">
        <v>265</v>
      </c>
      <c r="C2138" s="26">
        <v>0.89690000000000003</v>
      </c>
      <c r="D2138" s="26">
        <v>0.1031</v>
      </c>
      <c r="G2138">
        <v>97</v>
      </c>
    </row>
    <row r="2139" spans="1:7" x14ac:dyDescent="0.35">
      <c r="A2139" t="s">
        <v>227</v>
      </c>
      <c r="B2139" t="s">
        <v>266</v>
      </c>
      <c r="C2139" s="26">
        <v>0.82609999999999995</v>
      </c>
      <c r="D2139" s="26">
        <v>0.1522</v>
      </c>
      <c r="E2139" s="26">
        <v>2.1700000000000001E-2</v>
      </c>
      <c r="G2139">
        <v>46</v>
      </c>
    </row>
    <row r="2140" spans="1:7" x14ac:dyDescent="0.35">
      <c r="A2140" t="s">
        <v>228</v>
      </c>
      <c r="B2140" t="s">
        <v>265</v>
      </c>
      <c r="C2140" s="26">
        <v>0.83199999999999996</v>
      </c>
      <c r="D2140" s="26">
        <v>0.16470000000000001</v>
      </c>
      <c r="E2140" s="26">
        <v>2.5999999999999999E-3</v>
      </c>
      <c r="F2140" s="26">
        <v>6.9999999999999999E-4</v>
      </c>
      <c r="G2140">
        <v>504</v>
      </c>
    </row>
    <row r="2141" spans="1:7" x14ac:dyDescent="0.35">
      <c r="A2141" t="s">
        <v>228</v>
      </c>
      <c r="B2141" t="s">
        <v>267</v>
      </c>
      <c r="C2141" s="26">
        <v>0.87949999999999995</v>
      </c>
      <c r="D2141" s="26">
        <v>0.1147</v>
      </c>
      <c r="E2141" s="26">
        <v>5.7999999999999996E-3</v>
      </c>
      <c r="G2141">
        <v>162</v>
      </c>
    </row>
    <row r="2142" spans="1:7" x14ac:dyDescent="0.35">
      <c r="A2142" t="s">
        <v>228</v>
      </c>
      <c r="B2142" t="s">
        <v>266</v>
      </c>
      <c r="C2142" s="26">
        <v>0.73009999999999997</v>
      </c>
      <c r="D2142" s="26">
        <v>0.26640000000000003</v>
      </c>
      <c r="E2142" s="26">
        <v>1.2999999999999999E-3</v>
      </c>
      <c r="F2142" s="26">
        <v>2.2000000000000001E-3</v>
      </c>
      <c r="G2142">
        <v>398</v>
      </c>
    </row>
    <row r="2143" spans="1:7" x14ac:dyDescent="0.35">
      <c r="A2143" s="27" t="s">
        <v>228</v>
      </c>
      <c r="B2143" s="27" t="s">
        <v>236</v>
      </c>
      <c r="C2143" s="28">
        <v>1</v>
      </c>
      <c r="D2143" s="29"/>
      <c r="E2143" s="29"/>
      <c r="F2143" s="29"/>
      <c r="G2143" s="29" t="s">
        <v>314</v>
      </c>
    </row>
    <row r="2144" spans="1:7" x14ac:dyDescent="0.35">
      <c r="A2144" t="s">
        <v>229</v>
      </c>
      <c r="B2144" t="s">
        <v>265</v>
      </c>
      <c r="C2144" s="26">
        <v>0.84440000000000004</v>
      </c>
      <c r="D2144" s="26">
        <v>0.1492</v>
      </c>
      <c r="E2144" s="26">
        <v>6.4000000000000003E-3</v>
      </c>
      <c r="G2144">
        <v>437</v>
      </c>
    </row>
    <row r="2145" spans="1:7" x14ac:dyDescent="0.35">
      <c r="A2145" t="s">
        <v>229</v>
      </c>
      <c r="B2145" t="s">
        <v>266</v>
      </c>
      <c r="C2145" s="26">
        <v>0.74050000000000005</v>
      </c>
      <c r="D2145" s="26">
        <v>0.24149999999999999</v>
      </c>
      <c r="E2145" s="26">
        <v>1.03E-2</v>
      </c>
      <c r="F2145" s="26">
        <v>7.7000000000000002E-3</v>
      </c>
      <c r="G2145">
        <v>264</v>
      </c>
    </row>
    <row r="2146" spans="1:7" x14ac:dyDescent="0.35">
      <c r="A2146" t="s">
        <v>229</v>
      </c>
      <c r="B2146" t="s">
        <v>267</v>
      </c>
      <c r="C2146" s="26">
        <v>0.71230000000000004</v>
      </c>
      <c r="D2146" s="26">
        <v>0.2868</v>
      </c>
      <c r="E2146" s="26">
        <v>8.9999999999999998E-4</v>
      </c>
      <c r="G2146">
        <v>165</v>
      </c>
    </row>
    <row r="2147" spans="1:7" x14ac:dyDescent="0.35">
      <c r="A2147" t="s">
        <v>230</v>
      </c>
      <c r="B2147" t="s">
        <v>265</v>
      </c>
      <c r="C2147" s="26">
        <v>0.84179999999999999</v>
      </c>
      <c r="D2147" s="26">
        <v>0.15609999999999999</v>
      </c>
      <c r="E2147" s="26">
        <v>2.0999999999999999E-3</v>
      </c>
      <c r="G2147">
        <v>271</v>
      </c>
    </row>
    <row r="2148" spans="1:7" x14ac:dyDescent="0.35">
      <c r="A2148" t="s">
        <v>230</v>
      </c>
      <c r="B2148" t="s">
        <v>267</v>
      </c>
      <c r="C2148" s="26">
        <v>0.82469999999999999</v>
      </c>
      <c r="D2148" s="26">
        <v>0.1421</v>
      </c>
      <c r="E2148" s="26">
        <v>3.32E-2</v>
      </c>
      <c r="G2148">
        <v>94</v>
      </c>
    </row>
    <row r="2149" spans="1:7" x14ac:dyDescent="0.35">
      <c r="A2149" t="s">
        <v>230</v>
      </c>
      <c r="B2149" t="s">
        <v>266</v>
      </c>
      <c r="C2149" s="26">
        <v>0.73409999999999997</v>
      </c>
      <c r="D2149" s="26">
        <v>0.26500000000000001</v>
      </c>
      <c r="E2149" s="26">
        <v>8.9999999999999998E-4</v>
      </c>
      <c r="G2149">
        <v>199</v>
      </c>
    </row>
    <row r="2150" spans="1:7" x14ac:dyDescent="0.35">
      <c r="A2150" t="s">
        <v>231</v>
      </c>
      <c r="B2150" t="s">
        <v>266</v>
      </c>
      <c r="C2150" s="26">
        <v>0.85109999999999997</v>
      </c>
      <c r="D2150" s="26">
        <v>0.1489</v>
      </c>
      <c r="G2150">
        <v>47</v>
      </c>
    </row>
    <row r="2151" spans="1:7" x14ac:dyDescent="0.35">
      <c r="A2151" t="s">
        <v>231</v>
      </c>
      <c r="B2151" t="s">
        <v>265</v>
      </c>
      <c r="C2151" s="26">
        <v>0.88300000000000001</v>
      </c>
      <c r="D2151" s="26">
        <v>0.10639999999999999</v>
      </c>
      <c r="E2151" s="26">
        <v>1.06E-2</v>
      </c>
      <c r="G2151">
        <v>94</v>
      </c>
    </row>
    <row r="2152" spans="1:7" x14ac:dyDescent="0.35">
      <c r="A2152" s="27" t="s">
        <v>231</v>
      </c>
      <c r="B2152" s="27" t="s">
        <v>267</v>
      </c>
      <c r="C2152" s="28">
        <v>0.89659999999999995</v>
      </c>
      <c r="D2152" s="28">
        <v>0.10340000000000001</v>
      </c>
      <c r="E2152" s="29"/>
      <c r="F2152" s="29"/>
      <c r="G2152" s="29" t="s">
        <v>329</v>
      </c>
    </row>
    <row r="2153" spans="1:7" x14ac:dyDescent="0.35">
      <c r="A2153" t="s">
        <v>232</v>
      </c>
      <c r="B2153" t="s">
        <v>232</v>
      </c>
      <c r="C2153" s="26">
        <v>0.83279999999999998</v>
      </c>
      <c r="D2153" s="26">
        <v>0.16070000000000001</v>
      </c>
      <c r="E2153" s="26">
        <v>5.5999999999999999E-3</v>
      </c>
      <c r="F2153" s="26">
        <v>8.9999999999999998E-4</v>
      </c>
      <c r="G2153">
        <v>2837</v>
      </c>
    </row>
    <row r="2155" spans="1:7" x14ac:dyDescent="0.35">
      <c r="A2155" s="1" t="s">
        <v>500</v>
      </c>
    </row>
    <row r="2156" spans="1:7" x14ac:dyDescent="0.35">
      <c r="A2156" t="s">
        <v>219</v>
      </c>
      <c r="B2156" t="s">
        <v>305</v>
      </c>
      <c r="C2156" t="s">
        <v>303</v>
      </c>
      <c r="D2156" t="s">
        <v>302</v>
      </c>
      <c r="E2156" t="s">
        <v>281</v>
      </c>
      <c r="F2156" t="s">
        <v>286</v>
      </c>
      <c r="G2156" t="s">
        <v>226</v>
      </c>
    </row>
    <row r="2157" spans="1:7" x14ac:dyDescent="0.35">
      <c r="A2157" t="s">
        <v>227</v>
      </c>
      <c r="B2157" t="s">
        <v>252</v>
      </c>
      <c r="C2157" s="26">
        <v>0.90239999999999998</v>
      </c>
      <c r="D2157" s="26">
        <v>9.7600000000000006E-2</v>
      </c>
      <c r="G2157">
        <v>41</v>
      </c>
    </row>
    <row r="2158" spans="1:7" x14ac:dyDescent="0.35">
      <c r="A2158" t="s">
        <v>227</v>
      </c>
      <c r="B2158" t="s">
        <v>253</v>
      </c>
      <c r="C2158" s="26">
        <v>0.80700000000000005</v>
      </c>
      <c r="D2158" s="26">
        <v>0.1754</v>
      </c>
      <c r="E2158" s="26">
        <v>1.7500000000000002E-2</v>
      </c>
      <c r="G2158">
        <v>57</v>
      </c>
    </row>
    <row r="2159" spans="1:7" x14ac:dyDescent="0.35">
      <c r="A2159" t="s">
        <v>227</v>
      </c>
      <c r="B2159" t="s">
        <v>251</v>
      </c>
      <c r="C2159" s="26">
        <v>0.94520000000000004</v>
      </c>
      <c r="D2159" s="26">
        <v>5.4800000000000001E-2</v>
      </c>
      <c r="G2159">
        <v>73</v>
      </c>
    </row>
    <row r="2160" spans="1:7" x14ac:dyDescent="0.35">
      <c r="A2160" t="s">
        <v>228</v>
      </c>
      <c r="B2160" t="s">
        <v>252</v>
      </c>
      <c r="C2160" s="26">
        <v>0.76129999999999998</v>
      </c>
      <c r="D2160" s="26">
        <v>0.2324</v>
      </c>
      <c r="E2160" s="26">
        <v>1.8E-3</v>
      </c>
      <c r="F2160" s="26">
        <v>4.4999999999999997E-3</v>
      </c>
      <c r="G2160">
        <v>298</v>
      </c>
    </row>
    <row r="2161" spans="1:7" x14ac:dyDescent="0.35">
      <c r="A2161" t="s">
        <v>228</v>
      </c>
      <c r="B2161" t="s">
        <v>253</v>
      </c>
      <c r="C2161" s="26">
        <v>0.77680000000000005</v>
      </c>
      <c r="D2161" s="26">
        <v>0.2208</v>
      </c>
      <c r="E2161" s="26">
        <v>2.3E-3</v>
      </c>
      <c r="G2161">
        <v>374</v>
      </c>
    </row>
    <row r="2162" spans="1:7" x14ac:dyDescent="0.35">
      <c r="A2162" t="s">
        <v>228</v>
      </c>
      <c r="B2162" t="s">
        <v>251</v>
      </c>
      <c r="C2162" s="26">
        <v>0.84809999999999997</v>
      </c>
      <c r="D2162" s="26">
        <v>0.14879999999999999</v>
      </c>
      <c r="E2162" s="26">
        <v>3.0999999999999999E-3</v>
      </c>
      <c r="G2162">
        <v>394</v>
      </c>
    </row>
    <row r="2163" spans="1:7" x14ac:dyDescent="0.35">
      <c r="A2163" t="s">
        <v>229</v>
      </c>
      <c r="B2163" t="s">
        <v>252</v>
      </c>
      <c r="C2163" s="26">
        <v>0.76039999999999996</v>
      </c>
      <c r="D2163" s="26">
        <v>0.2112</v>
      </c>
      <c r="E2163" s="26">
        <v>1.5699999999999999E-2</v>
      </c>
      <c r="F2163" s="26">
        <v>1.2699999999999999E-2</v>
      </c>
      <c r="G2163">
        <v>170</v>
      </c>
    </row>
    <row r="2164" spans="1:7" x14ac:dyDescent="0.35">
      <c r="A2164" t="s">
        <v>229</v>
      </c>
      <c r="B2164" t="s">
        <v>253</v>
      </c>
      <c r="C2164" s="26">
        <v>0.70930000000000004</v>
      </c>
      <c r="D2164" s="26">
        <v>0.28110000000000002</v>
      </c>
      <c r="E2164" s="26">
        <v>9.5999999999999992E-3</v>
      </c>
      <c r="G2164">
        <v>239</v>
      </c>
    </row>
    <row r="2165" spans="1:7" x14ac:dyDescent="0.35">
      <c r="A2165" t="s">
        <v>229</v>
      </c>
      <c r="B2165" t="s">
        <v>251</v>
      </c>
      <c r="C2165" s="26">
        <v>0.85719999999999996</v>
      </c>
      <c r="D2165" s="26">
        <v>0.1411</v>
      </c>
      <c r="E2165" s="26">
        <v>1.6999999999999999E-3</v>
      </c>
      <c r="G2165">
        <v>457</v>
      </c>
    </row>
    <row r="2166" spans="1:7" x14ac:dyDescent="0.35">
      <c r="A2166" t="s">
        <v>230</v>
      </c>
      <c r="B2166" t="s">
        <v>252</v>
      </c>
      <c r="C2166" s="26">
        <v>0.70469999999999999</v>
      </c>
      <c r="D2166" s="26">
        <v>0.29420000000000002</v>
      </c>
      <c r="E2166" s="26">
        <v>1.1000000000000001E-3</v>
      </c>
      <c r="G2166">
        <v>144</v>
      </c>
    </row>
    <row r="2167" spans="1:7" x14ac:dyDescent="0.35">
      <c r="A2167" t="s">
        <v>230</v>
      </c>
      <c r="B2167" t="s">
        <v>253</v>
      </c>
      <c r="C2167" s="26">
        <v>0.85640000000000005</v>
      </c>
      <c r="D2167" s="26">
        <v>0.1424</v>
      </c>
      <c r="E2167" s="26">
        <v>1.1999999999999999E-3</v>
      </c>
      <c r="G2167">
        <v>142</v>
      </c>
    </row>
    <row r="2168" spans="1:7" x14ac:dyDescent="0.35">
      <c r="A2168" t="s">
        <v>230</v>
      </c>
      <c r="B2168" t="s">
        <v>251</v>
      </c>
      <c r="C2168" s="26">
        <v>0.83320000000000005</v>
      </c>
      <c r="D2168" s="26">
        <v>0.1545</v>
      </c>
      <c r="E2168" s="26">
        <v>1.24E-2</v>
      </c>
      <c r="G2168">
        <v>278</v>
      </c>
    </row>
    <row r="2169" spans="1:7" x14ac:dyDescent="0.35">
      <c r="A2169" t="s">
        <v>231</v>
      </c>
      <c r="B2169" t="s">
        <v>252</v>
      </c>
      <c r="C2169" s="26">
        <v>0.77270000000000005</v>
      </c>
      <c r="D2169" s="26">
        <v>0.2273</v>
      </c>
      <c r="G2169">
        <v>44</v>
      </c>
    </row>
    <row r="2170" spans="1:7" x14ac:dyDescent="0.35">
      <c r="A2170" t="s">
        <v>231</v>
      </c>
      <c r="B2170" t="s">
        <v>253</v>
      </c>
      <c r="C2170" s="26">
        <v>0.93179999999999996</v>
      </c>
      <c r="D2170" s="26">
        <v>6.8199999999999997E-2</v>
      </c>
      <c r="G2170">
        <v>44</v>
      </c>
    </row>
    <row r="2171" spans="1:7" x14ac:dyDescent="0.35">
      <c r="A2171" t="s">
        <v>231</v>
      </c>
      <c r="B2171" t="s">
        <v>251</v>
      </c>
      <c r="C2171" s="26">
        <v>0.90239999999999998</v>
      </c>
      <c r="D2171" s="26">
        <v>8.5400000000000004E-2</v>
      </c>
      <c r="E2171" s="26">
        <v>1.2200000000000001E-2</v>
      </c>
      <c r="G2171">
        <v>82</v>
      </c>
    </row>
    <row r="2172" spans="1:7" x14ac:dyDescent="0.35">
      <c r="A2172" t="s">
        <v>232</v>
      </c>
      <c r="B2172" t="s">
        <v>232</v>
      </c>
      <c r="C2172" s="26">
        <v>0.83279999999999998</v>
      </c>
      <c r="D2172" s="26">
        <v>0.16070000000000001</v>
      </c>
      <c r="E2172" s="26">
        <v>5.5999999999999999E-3</v>
      </c>
      <c r="F2172" s="26">
        <v>8.9999999999999998E-4</v>
      </c>
      <c r="G2172">
        <v>2837</v>
      </c>
    </row>
    <row r="2174" spans="1:7" x14ac:dyDescent="0.35">
      <c r="A2174" s="1" t="s">
        <v>501</v>
      </c>
    </row>
    <row r="2175" spans="1:7" x14ac:dyDescent="0.35">
      <c r="A2175" t="s">
        <v>219</v>
      </c>
      <c r="B2175" t="s">
        <v>305</v>
      </c>
      <c r="C2175" t="s">
        <v>303</v>
      </c>
      <c r="D2175" t="s">
        <v>302</v>
      </c>
      <c r="E2175" t="s">
        <v>281</v>
      </c>
      <c r="F2175" t="s">
        <v>286</v>
      </c>
      <c r="G2175" t="s">
        <v>226</v>
      </c>
    </row>
    <row r="2176" spans="1:7" x14ac:dyDescent="0.35">
      <c r="A2176" t="s">
        <v>227</v>
      </c>
      <c r="B2176" t="s">
        <v>249</v>
      </c>
      <c r="C2176" s="26">
        <v>0.89470000000000005</v>
      </c>
      <c r="D2176" s="26">
        <v>0.1053</v>
      </c>
      <c r="G2176">
        <v>76</v>
      </c>
    </row>
    <row r="2177" spans="1:7" x14ac:dyDescent="0.35">
      <c r="A2177" t="s">
        <v>227</v>
      </c>
      <c r="B2177" t="s">
        <v>248</v>
      </c>
      <c r="C2177" s="26">
        <v>0.88419999999999999</v>
      </c>
      <c r="D2177" s="26">
        <v>0.1053</v>
      </c>
      <c r="E2177" s="26">
        <v>1.0500000000000001E-2</v>
      </c>
      <c r="G2177">
        <v>95</v>
      </c>
    </row>
    <row r="2178" spans="1:7" x14ac:dyDescent="0.35">
      <c r="A2178" t="s">
        <v>228</v>
      </c>
      <c r="B2178" t="s">
        <v>249</v>
      </c>
      <c r="C2178" s="26">
        <v>0.84360000000000002</v>
      </c>
      <c r="D2178" s="26">
        <v>0.15459999999999999</v>
      </c>
      <c r="E2178" s="26">
        <v>1.8E-3</v>
      </c>
      <c r="G2178">
        <v>400</v>
      </c>
    </row>
    <row r="2179" spans="1:7" x14ac:dyDescent="0.35">
      <c r="A2179" t="s">
        <v>228</v>
      </c>
      <c r="B2179" t="s">
        <v>248</v>
      </c>
      <c r="C2179" s="26">
        <v>0.77190000000000003</v>
      </c>
      <c r="D2179" s="26">
        <v>0.223</v>
      </c>
      <c r="E2179" s="26">
        <v>3.0999999999999999E-3</v>
      </c>
      <c r="F2179" s="26">
        <v>2E-3</v>
      </c>
      <c r="G2179">
        <v>666</v>
      </c>
    </row>
    <row r="2180" spans="1:7" x14ac:dyDescent="0.35">
      <c r="A2180" t="s">
        <v>229</v>
      </c>
      <c r="B2180" t="s">
        <v>249</v>
      </c>
      <c r="C2180" s="26">
        <v>0.85419999999999996</v>
      </c>
      <c r="D2180" s="26">
        <v>0.13800000000000001</v>
      </c>
      <c r="E2180" s="26">
        <v>7.7000000000000002E-3</v>
      </c>
      <c r="G2180">
        <v>376</v>
      </c>
    </row>
    <row r="2181" spans="1:7" x14ac:dyDescent="0.35">
      <c r="A2181" t="s">
        <v>229</v>
      </c>
      <c r="B2181" t="s">
        <v>248</v>
      </c>
      <c r="C2181" s="26">
        <v>0.74</v>
      </c>
      <c r="D2181" s="26">
        <v>0.25019999999999998</v>
      </c>
      <c r="E2181" s="26">
        <v>5.5999999999999999E-3</v>
      </c>
      <c r="F2181" s="26">
        <v>4.1000000000000003E-3</v>
      </c>
      <c r="G2181">
        <v>490</v>
      </c>
    </row>
    <row r="2182" spans="1:7" x14ac:dyDescent="0.35">
      <c r="A2182" t="s">
        <v>230</v>
      </c>
      <c r="B2182" t="s">
        <v>249</v>
      </c>
      <c r="C2182" s="26">
        <v>0.87670000000000003</v>
      </c>
      <c r="D2182" s="26">
        <v>0.1196</v>
      </c>
      <c r="E2182" s="26">
        <v>3.7000000000000002E-3</v>
      </c>
      <c r="G2182">
        <v>247</v>
      </c>
    </row>
    <row r="2183" spans="1:7" x14ac:dyDescent="0.35">
      <c r="A2183" t="s">
        <v>230</v>
      </c>
      <c r="B2183" t="s">
        <v>248</v>
      </c>
      <c r="C2183" s="26">
        <v>0.74839999999999995</v>
      </c>
      <c r="D2183" s="26">
        <v>0.24110000000000001</v>
      </c>
      <c r="E2183" s="26">
        <v>1.04E-2</v>
      </c>
      <c r="G2183">
        <v>317</v>
      </c>
    </row>
    <row r="2184" spans="1:7" x14ac:dyDescent="0.35">
      <c r="A2184" t="s">
        <v>231</v>
      </c>
      <c r="B2184" t="s">
        <v>249</v>
      </c>
      <c r="C2184" s="26">
        <v>0.92310000000000003</v>
      </c>
      <c r="D2184" s="26">
        <v>5.7700000000000001E-2</v>
      </c>
      <c r="E2184" s="26">
        <v>1.9199999999999998E-2</v>
      </c>
      <c r="G2184">
        <v>52</v>
      </c>
    </row>
    <row r="2185" spans="1:7" x14ac:dyDescent="0.35">
      <c r="A2185" t="s">
        <v>231</v>
      </c>
      <c r="B2185" t="s">
        <v>248</v>
      </c>
      <c r="C2185" s="26">
        <v>0.85589999999999999</v>
      </c>
      <c r="D2185" s="26">
        <v>0.14410000000000001</v>
      </c>
      <c r="G2185">
        <v>118</v>
      </c>
    </row>
    <row r="2186" spans="1:7" x14ac:dyDescent="0.35">
      <c r="A2186" t="s">
        <v>232</v>
      </c>
      <c r="B2186" t="s">
        <v>232</v>
      </c>
      <c r="C2186" s="26">
        <v>0.83279999999999998</v>
      </c>
      <c r="D2186" s="26">
        <v>0.16070000000000001</v>
      </c>
      <c r="E2186" s="26">
        <v>5.5999999999999999E-3</v>
      </c>
      <c r="F2186" s="26">
        <v>8.9999999999999998E-4</v>
      </c>
      <c r="G2186">
        <v>2837</v>
      </c>
    </row>
    <row r="2188" spans="1:7" x14ac:dyDescent="0.35">
      <c r="A2188" s="1" t="s">
        <v>502</v>
      </c>
    </row>
    <row r="2189" spans="1:7" x14ac:dyDescent="0.35">
      <c r="A2189" t="s">
        <v>219</v>
      </c>
      <c r="B2189" t="s">
        <v>305</v>
      </c>
      <c r="C2189" t="s">
        <v>303</v>
      </c>
      <c r="D2189" t="s">
        <v>302</v>
      </c>
      <c r="E2189" t="s">
        <v>281</v>
      </c>
      <c r="F2189" t="s">
        <v>286</v>
      </c>
      <c r="G2189" t="s">
        <v>226</v>
      </c>
    </row>
    <row r="2190" spans="1:7" x14ac:dyDescent="0.35">
      <c r="A2190" s="27" t="s">
        <v>227</v>
      </c>
      <c r="B2190" s="27" t="s">
        <v>263</v>
      </c>
      <c r="C2190" s="28">
        <v>1</v>
      </c>
      <c r="D2190" s="29"/>
      <c r="E2190" s="29"/>
      <c r="F2190" s="29"/>
      <c r="G2190" s="29" t="s">
        <v>315</v>
      </c>
    </row>
    <row r="2191" spans="1:7" x14ac:dyDescent="0.35">
      <c r="A2191" s="27" t="s">
        <v>227</v>
      </c>
      <c r="B2191" s="27" t="s">
        <v>262</v>
      </c>
      <c r="C2191" s="28">
        <v>1</v>
      </c>
      <c r="D2191" s="29"/>
      <c r="E2191" s="29"/>
      <c r="F2191" s="29"/>
      <c r="G2191" s="29" t="s">
        <v>337</v>
      </c>
    </row>
    <row r="2192" spans="1:7" x14ac:dyDescent="0.35">
      <c r="A2192" t="s">
        <v>227</v>
      </c>
      <c r="B2192" t="s">
        <v>261</v>
      </c>
      <c r="C2192" s="26">
        <v>0.88890000000000002</v>
      </c>
      <c r="D2192" s="26">
        <v>0.1111</v>
      </c>
      <c r="G2192">
        <v>36</v>
      </c>
    </row>
    <row r="2193" spans="1:7" x14ac:dyDescent="0.35">
      <c r="A2193" t="s">
        <v>227</v>
      </c>
      <c r="B2193" t="s">
        <v>260</v>
      </c>
      <c r="C2193" s="26">
        <v>0.88280000000000003</v>
      </c>
      <c r="D2193" s="26">
        <v>0.1094</v>
      </c>
      <c r="E2193" s="26">
        <v>7.7999999999999996E-3</v>
      </c>
      <c r="G2193">
        <v>128</v>
      </c>
    </row>
    <row r="2194" spans="1:7" x14ac:dyDescent="0.35">
      <c r="A2194" t="s">
        <v>228</v>
      </c>
      <c r="B2194" t="s">
        <v>261</v>
      </c>
      <c r="C2194" s="26">
        <v>0.72909999999999997</v>
      </c>
      <c r="D2194" s="26">
        <v>0.26669999999999999</v>
      </c>
      <c r="E2194" s="26">
        <v>2.8E-3</v>
      </c>
      <c r="F2194" s="26">
        <v>1.4E-3</v>
      </c>
      <c r="G2194">
        <v>227</v>
      </c>
    </row>
    <row r="2195" spans="1:7" x14ac:dyDescent="0.35">
      <c r="A2195" s="27" t="s">
        <v>228</v>
      </c>
      <c r="B2195" s="27" t="s">
        <v>236</v>
      </c>
      <c r="C2195" s="28">
        <v>0.73519999999999996</v>
      </c>
      <c r="D2195" s="28">
        <v>0.26479999999999998</v>
      </c>
      <c r="E2195" s="29"/>
      <c r="F2195" s="29"/>
      <c r="G2195" s="29" t="s">
        <v>335</v>
      </c>
    </row>
    <row r="2196" spans="1:7" x14ac:dyDescent="0.35">
      <c r="A2196" t="s">
        <v>228</v>
      </c>
      <c r="B2196" t="s">
        <v>262</v>
      </c>
      <c r="C2196" s="26">
        <v>0.90920000000000001</v>
      </c>
      <c r="D2196" s="26">
        <v>8.8099999999999998E-2</v>
      </c>
      <c r="E2196" s="26">
        <v>2.7000000000000001E-3</v>
      </c>
      <c r="G2196">
        <v>249</v>
      </c>
    </row>
    <row r="2197" spans="1:7" x14ac:dyDescent="0.35">
      <c r="A2197" t="s">
        <v>228</v>
      </c>
      <c r="B2197" t="s">
        <v>263</v>
      </c>
      <c r="C2197" s="26">
        <v>0.9597</v>
      </c>
      <c r="D2197" s="26">
        <v>3.0800000000000001E-2</v>
      </c>
      <c r="E2197" s="26">
        <v>9.4999999999999998E-3</v>
      </c>
      <c r="G2197">
        <v>30</v>
      </c>
    </row>
    <row r="2198" spans="1:7" x14ac:dyDescent="0.35">
      <c r="A2198" t="s">
        <v>228</v>
      </c>
      <c r="B2198" t="s">
        <v>260</v>
      </c>
      <c r="C2198" s="26">
        <v>0.79</v>
      </c>
      <c r="D2198" s="26">
        <v>0.20649999999999999</v>
      </c>
      <c r="E2198" s="26">
        <v>2E-3</v>
      </c>
      <c r="F2198" s="26">
        <v>1.5E-3</v>
      </c>
      <c r="G2198">
        <v>554</v>
      </c>
    </row>
    <row r="2199" spans="1:7" x14ac:dyDescent="0.35">
      <c r="A2199" t="s">
        <v>229</v>
      </c>
      <c r="B2199" t="s">
        <v>260</v>
      </c>
      <c r="C2199" s="26">
        <v>0.74590000000000001</v>
      </c>
      <c r="D2199" s="26">
        <v>0.23599999999999999</v>
      </c>
      <c r="E2199" s="26">
        <v>1.3100000000000001E-2</v>
      </c>
      <c r="F2199" s="26">
        <v>5.0000000000000001E-3</v>
      </c>
      <c r="G2199">
        <v>476</v>
      </c>
    </row>
    <row r="2200" spans="1:7" x14ac:dyDescent="0.35">
      <c r="A2200" t="s">
        <v>229</v>
      </c>
      <c r="B2200" t="s">
        <v>262</v>
      </c>
      <c r="C2200" s="26">
        <v>0.82630000000000003</v>
      </c>
      <c r="D2200" s="26">
        <v>0.1721</v>
      </c>
      <c r="E2200" s="26">
        <v>1.6000000000000001E-3</v>
      </c>
      <c r="G2200">
        <v>241</v>
      </c>
    </row>
    <row r="2201" spans="1:7" x14ac:dyDescent="0.35">
      <c r="A2201" s="27" t="s">
        <v>229</v>
      </c>
      <c r="B2201" s="27" t="s">
        <v>263</v>
      </c>
      <c r="C2201" s="28">
        <v>0.97709999999999997</v>
      </c>
      <c r="D2201" s="28">
        <v>2.29E-2</v>
      </c>
      <c r="E2201" s="29"/>
      <c r="F2201" s="29"/>
      <c r="G2201" s="29" t="s">
        <v>351</v>
      </c>
    </row>
    <row r="2202" spans="1:7" x14ac:dyDescent="0.35">
      <c r="A2202" t="s">
        <v>229</v>
      </c>
      <c r="B2202" t="s">
        <v>261</v>
      </c>
      <c r="C2202" s="26">
        <v>0.81930000000000003</v>
      </c>
      <c r="D2202" s="26">
        <v>0.17910000000000001</v>
      </c>
      <c r="E2202" s="26">
        <v>1.6000000000000001E-3</v>
      </c>
      <c r="G2202">
        <v>127</v>
      </c>
    </row>
    <row r="2203" spans="1:7" x14ac:dyDescent="0.35">
      <c r="A2203" s="27" t="s">
        <v>229</v>
      </c>
      <c r="B2203" s="27" t="s">
        <v>236</v>
      </c>
      <c r="C2203" s="28">
        <v>1</v>
      </c>
      <c r="D2203" s="29"/>
      <c r="E2203" s="29"/>
      <c r="F2203" s="29"/>
      <c r="G2203" s="29" t="s">
        <v>331</v>
      </c>
    </row>
    <row r="2204" spans="1:7" x14ac:dyDescent="0.35">
      <c r="A2204" t="s">
        <v>230</v>
      </c>
      <c r="B2204" t="s">
        <v>262</v>
      </c>
      <c r="C2204" s="26">
        <v>0.83499999999999996</v>
      </c>
      <c r="D2204" s="26">
        <v>0.16500000000000001</v>
      </c>
      <c r="G2204">
        <v>140</v>
      </c>
    </row>
    <row r="2205" spans="1:7" x14ac:dyDescent="0.35">
      <c r="A2205" s="27" t="s">
        <v>230</v>
      </c>
      <c r="B2205" s="27" t="s">
        <v>236</v>
      </c>
      <c r="C2205" s="28">
        <v>0.83089999999999997</v>
      </c>
      <c r="D2205" s="28">
        <v>0.1691</v>
      </c>
      <c r="E2205" s="29"/>
      <c r="F2205" s="29"/>
      <c r="G2205" s="29" t="s">
        <v>332</v>
      </c>
    </row>
    <row r="2206" spans="1:7" x14ac:dyDescent="0.35">
      <c r="A2206" t="s">
        <v>230</v>
      </c>
      <c r="B2206" t="s">
        <v>263</v>
      </c>
      <c r="C2206" s="26">
        <v>0.54900000000000004</v>
      </c>
      <c r="D2206" s="26">
        <v>0.45100000000000001</v>
      </c>
      <c r="G2206">
        <v>32</v>
      </c>
    </row>
    <row r="2207" spans="1:7" x14ac:dyDescent="0.35">
      <c r="A2207" t="s">
        <v>230</v>
      </c>
      <c r="B2207" t="s">
        <v>261</v>
      </c>
      <c r="C2207" s="26">
        <v>0.84919999999999995</v>
      </c>
      <c r="D2207" s="26">
        <v>0.14180000000000001</v>
      </c>
      <c r="E2207" s="26">
        <v>8.9999999999999993E-3</v>
      </c>
      <c r="G2207">
        <v>84</v>
      </c>
    </row>
    <row r="2208" spans="1:7" x14ac:dyDescent="0.35">
      <c r="A2208" t="s">
        <v>230</v>
      </c>
      <c r="B2208" t="s">
        <v>260</v>
      </c>
      <c r="C2208" s="26">
        <v>0.79749999999999999</v>
      </c>
      <c r="D2208" s="26">
        <v>0.19289999999999999</v>
      </c>
      <c r="E2208" s="26">
        <v>9.4999999999999998E-3</v>
      </c>
      <c r="G2208">
        <v>303</v>
      </c>
    </row>
    <row r="2209" spans="1:7" x14ac:dyDescent="0.35">
      <c r="A2209" t="s">
        <v>231</v>
      </c>
      <c r="B2209" t="s">
        <v>260</v>
      </c>
      <c r="C2209" s="26">
        <v>0.86890000000000001</v>
      </c>
      <c r="D2209" s="26">
        <v>0.123</v>
      </c>
      <c r="E2209" s="26">
        <v>8.2000000000000007E-3</v>
      </c>
      <c r="G2209">
        <v>122</v>
      </c>
    </row>
    <row r="2210" spans="1:7" x14ac:dyDescent="0.35">
      <c r="A2210" s="27" t="s">
        <v>231</v>
      </c>
      <c r="B2210" s="27" t="s">
        <v>263</v>
      </c>
      <c r="C2210" s="28">
        <v>1</v>
      </c>
      <c r="D2210" s="29"/>
      <c r="E2210" s="29"/>
      <c r="F2210" s="29"/>
      <c r="G2210" s="29" t="s">
        <v>337</v>
      </c>
    </row>
    <row r="2211" spans="1:7" x14ac:dyDescent="0.35">
      <c r="A2211" s="27" t="s">
        <v>231</v>
      </c>
      <c r="B2211" s="27" t="s">
        <v>262</v>
      </c>
      <c r="C2211" s="28">
        <v>0.92310000000000003</v>
      </c>
      <c r="D2211" s="28">
        <v>7.6899999999999996E-2</v>
      </c>
      <c r="E2211" s="29"/>
      <c r="F2211" s="29"/>
      <c r="G2211" s="29" t="s">
        <v>341</v>
      </c>
    </row>
    <row r="2212" spans="1:7" x14ac:dyDescent="0.35">
      <c r="A2212" t="s">
        <v>231</v>
      </c>
      <c r="B2212" t="s">
        <v>261</v>
      </c>
      <c r="C2212" s="26">
        <v>0.871</v>
      </c>
      <c r="D2212" s="26">
        <v>0.129</v>
      </c>
      <c r="G2212">
        <v>31</v>
      </c>
    </row>
    <row r="2213" spans="1:7" x14ac:dyDescent="0.35">
      <c r="A2213" t="s">
        <v>232</v>
      </c>
      <c r="B2213" t="s">
        <v>232</v>
      </c>
      <c r="C2213" s="26">
        <v>0.83279999999999998</v>
      </c>
      <c r="D2213" s="26">
        <v>0.16070000000000001</v>
      </c>
      <c r="E2213" s="26">
        <v>5.5999999999999999E-3</v>
      </c>
      <c r="F2213" s="26">
        <v>8.9999999999999998E-4</v>
      </c>
      <c r="G2213">
        <v>2837</v>
      </c>
    </row>
    <row r="2215" spans="1:7" x14ac:dyDescent="0.35">
      <c r="A2215" s="1" t="s">
        <v>503</v>
      </c>
    </row>
    <row r="2216" spans="1:7" x14ac:dyDescent="0.35">
      <c r="A2216" t="s">
        <v>219</v>
      </c>
      <c r="B2216" t="s">
        <v>305</v>
      </c>
      <c r="C2216" t="s">
        <v>303</v>
      </c>
      <c r="D2216" t="s">
        <v>302</v>
      </c>
      <c r="E2216" t="s">
        <v>281</v>
      </c>
      <c r="F2216" t="s">
        <v>286</v>
      </c>
      <c r="G2216" t="s">
        <v>226</v>
      </c>
    </row>
    <row r="2217" spans="1:7" x14ac:dyDescent="0.35">
      <c r="A2217" t="s">
        <v>227</v>
      </c>
      <c r="B2217" t="s">
        <v>368</v>
      </c>
      <c r="C2217" s="26">
        <v>0.88890000000000002</v>
      </c>
      <c r="D2217" s="26">
        <v>0.1111</v>
      </c>
      <c r="G2217">
        <v>36</v>
      </c>
    </row>
    <row r="2218" spans="1:7" x14ac:dyDescent="0.35">
      <c r="A2218" t="s">
        <v>227</v>
      </c>
      <c r="B2218" t="s">
        <v>369</v>
      </c>
      <c r="C2218" s="26">
        <v>0.88890000000000002</v>
      </c>
      <c r="D2218" s="26">
        <v>0.1037</v>
      </c>
      <c r="E2218" s="26">
        <v>7.4000000000000003E-3</v>
      </c>
      <c r="G2218">
        <v>135</v>
      </c>
    </row>
    <row r="2219" spans="1:7" x14ac:dyDescent="0.35">
      <c r="A2219" t="s">
        <v>228</v>
      </c>
      <c r="B2219" t="s">
        <v>368</v>
      </c>
      <c r="C2219" s="26">
        <v>0.72909999999999997</v>
      </c>
      <c r="D2219" s="26">
        <v>0.26669999999999999</v>
      </c>
      <c r="E2219" s="26">
        <v>2.8E-3</v>
      </c>
      <c r="F2219" s="26">
        <v>1.4E-3</v>
      </c>
      <c r="G2219">
        <v>227</v>
      </c>
    </row>
    <row r="2220" spans="1:7" x14ac:dyDescent="0.35">
      <c r="A2220" t="s">
        <v>228</v>
      </c>
      <c r="B2220" t="s">
        <v>369</v>
      </c>
      <c r="C2220" s="26">
        <v>0.82689999999999997</v>
      </c>
      <c r="D2220" s="26">
        <v>0.1696</v>
      </c>
      <c r="E2220" s="26">
        <v>2.3999999999999998E-3</v>
      </c>
      <c r="F2220" s="26">
        <v>1.1000000000000001E-3</v>
      </c>
      <c r="G2220">
        <v>839</v>
      </c>
    </row>
    <row r="2221" spans="1:7" x14ac:dyDescent="0.35">
      <c r="A2221" t="s">
        <v>229</v>
      </c>
      <c r="B2221" t="s">
        <v>368</v>
      </c>
      <c r="C2221" s="26">
        <v>0.81930000000000003</v>
      </c>
      <c r="D2221" s="26">
        <v>0.17910000000000001</v>
      </c>
      <c r="E2221" s="26">
        <v>1.6000000000000001E-3</v>
      </c>
      <c r="G2221">
        <v>127</v>
      </c>
    </row>
    <row r="2222" spans="1:7" x14ac:dyDescent="0.35">
      <c r="A2222" t="s">
        <v>229</v>
      </c>
      <c r="B2222" t="s">
        <v>369</v>
      </c>
      <c r="C2222" s="26">
        <v>0.78790000000000004</v>
      </c>
      <c r="D2222" s="26">
        <v>0.20169999999999999</v>
      </c>
      <c r="E2222" s="26">
        <v>7.7000000000000002E-3</v>
      </c>
      <c r="F2222" s="26">
        <v>2.7000000000000001E-3</v>
      </c>
      <c r="G2222">
        <v>739</v>
      </c>
    </row>
    <row r="2223" spans="1:7" x14ac:dyDescent="0.35">
      <c r="A2223" t="s">
        <v>230</v>
      </c>
      <c r="B2223" t="s">
        <v>368</v>
      </c>
      <c r="C2223" s="26">
        <v>0.84919999999999995</v>
      </c>
      <c r="D2223" s="26">
        <v>0.14180000000000001</v>
      </c>
      <c r="E2223" s="26">
        <v>8.9999999999999993E-3</v>
      </c>
      <c r="G2223">
        <v>84</v>
      </c>
    </row>
    <row r="2224" spans="1:7" x14ac:dyDescent="0.35">
      <c r="A2224" t="s">
        <v>230</v>
      </c>
      <c r="B2224" t="s">
        <v>369</v>
      </c>
      <c r="C2224" s="26">
        <v>0.79790000000000005</v>
      </c>
      <c r="D2224" s="26">
        <v>0.1951</v>
      </c>
      <c r="E2224" s="26">
        <v>6.8999999999999999E-3</v>
      </c>
      <c r="G2224">
        <v>480</v>
      </c>
    </row>
    <row r="2225" spans="1:7" x14ac:dyDescent="0.35">
      <c r="A2225" t="s">
        <v>231</v>
      </c>
      <c r="B2225" t="s">
        <v>368</v>
      </c>
      <c r="C2225" s="26">
        <v>0.871</v>
      </c>
      <c r="D2225" s="26">
        <v>0.129</v>
      </c>
      <c r="G2225">
        <v>31</v>
      </c>
    </row>
    <row r="2226" spans="1:7" x14ac:dyDescent="0.35">
      <c r="A2226" t="s">
        <v>231</v>
      </c>
      <c r="B2226" t="s">
        <v>369</v>
      </c>
      <c r="C2226" s="26">
        <v>0.87770000000000004</v>
      </c>
      <c r="D2226" s="26">
        <v>0.11509999999999999</v>
      </c>
      <c r="E2226" s="26">
        <v>7.1999999999999998E-3</v>
      </c>
      <c r="G2226">
        <v>139</v>
      </c>
    </row>
    <row r="2227" spans="1:7" x14ac:dyDescent="0.35">
      <c r="A2227" t="s">
        <v>232</v>
      </c>
      <c r="B2227" t="s">
        <v>232</v>
      </c>
      <c r="C2227" s="26">
        <v>0.83279999999999998</v>
      </c>
      <c r="D2227" s="26">
        <v>0.16070000000000001</v>
      </c>
      <c r="E2227" s="26">
        <v>5.5999999999999999E-3</v>
      </c>
      <c r="F2227" s="26">
        <v>8.9999999999999998E-4</v>
      </c>
      <c r="G2227">
        <v>2837</v>
      </c>
    </row>
    <row r="2229" spans="1:7" x14ac:dyDescent="0.35">
      <c r="A2229" s="1" t="s">
        <v>504</v>
      </c>
    </row>
    <row r="2230" spans="1:7" x14ac:dyDescent="0.35">
      <c r="A2230" t="s">
        <v>219</v>
      </c>
      <c r="B2230" t="s">
        <v>305</v>
      </c>
      <c r="C2230" t="s">
        <v>303</v>
      </c>
      <c r="D2230" t="s">
        <v>302</v>
      </c>
      <c r="E2230" t="s">
        <v>281</v>
      </c>
      <c r="F2230" t="s">
        <v>286</v>
      </c>
      <c r="G2230" t="s">
        <v>226</v>
      </c>
    </row>
    <row r="2231" spans="1:7" x14ac:dyDescent="0.35">
      <c r="A2231" t="s">
        <v>227</v>
      </c>
      <c r="B2231" t="s">
        <v>371</v>
      </c>
      <c r="C2231" s="26">
        <v>0.88890000000000002</v>
      </c>
      <c r="D2231" s="26">
        <v>0.1053</v>
      </c>
      <c r="E2231" s="26">
        <v>5.7999999999999996E-3</v>
      </c>
      <c r="G2231">
        <v>171</v>
      </c>
    </row>
    <row r="2232" spans="1:7" x14ac:dyDescent="0.35">
      <c r="A2232" t="s">
        <v>228</v>
      </c>
      <c r="B2232" t="s">
        <v>371</v>
      </c>
      <c r="C2232" s="26">
        <v>0.79969999999999997</v>
      </c>
      <c r="D2232" s="26">
        <v>0.1996</v>
      </c>
      <c r="F2232" s="26">
        <v>6.9999999999999999E-4</v>
      </c>
      <c r="G2232">
        <v>284</v>
      </c>
    </row>
    <row r="2233" spans="1:7" x14ac:dyDescent="0.35">
      <c r="A2233" t="s">
        <v>228</v>
      </c>
      <c r="B2233" t="s">
        <v>372</v>
      </c>
      <c r="C2233" s="26">
        <v>0.73340000000000005</v>
      </c>
      <c r="D2233" s="26">
        <v>0.26179999999999998</v>
      </c>
      <c r="E2233" s="26">
        <v>4.7999999999999996E-3</v>
      </c>
      <c r="G2233">
        <v>257</v>
      </c>
    </row>
    <row r="2234" spans="1:7" x14ac:dyDescent="0.35">
      <c r="A2234" t="s">
        <v>228</v>
      </c>
      <c r="B2234" t="s">
        <v>373</v>
      </c>
      <c r="C2234" s="26">
        <v>0.82440000000000002</v>
      </c>
      <c r="D2234" s="26">
        <v>0.16800000000000001</v>
      </c>
      <c r="E2234" s="26">
        <v>5.4999999999999997E-3</v>
      </c>
      <c r="F2234" s="26">
        <v>2.0999999999999999E-3</v>
      </c>
      <c r="G2234">
        <v>525</v>
      </c>
    </row>
    <row r="2235" spans="1:7" x14ac:dyDescent="0.35">
      <c r="A2235" t="s">
        <v>229</v>
      </c>
      <c r="B2235" t="s">
        <v>371</v>
      </c>
      <c r="C2235" s="26">
        <v>0.78810000000000002</v>
      </c>
      <c r="D2235" s="26">
        <v>0.20319999999999999</v>
      </c>
      <c r="E2235" s="26">
        <v>6.4000000000000003E-3</v>
      </c>
      <c r="F2235" s="26">
        <v>2.3E-3</v>
      </c>
      <c r="G2235">
        <v>566</v>
      </c>
    </row>
    <row r="2236" spans="1:7" x14ac:dyDescent="0.35">
      <c r="A2236" t="s">
        <v>229</v>
      </c>
      <c r="B2236" t="s">
        <v>372</v>
      </c>
      <c r="C2236" s="26">
        <v>0.87719999999999998</v>
      </c>
      <c r="D2236" s="26">
        <v>0.1152</v>
      </c>
      <c r="E2236" s="26">
        <v>7.6E-3</v>
      </c>
      <c r="G2236">
        <v>232</v>
      </c>
    </row>
    <row r="2237" spans="1:7" x14ac:dyDescent="0.35">
      <c r="A2237" t="s">
        <v>229</v>
      </c>
      <c r="B2237" t="s">
        <v>373</v>
      </c>
      <c r="C2237" s="26">
        <v>0.85170000000000001</v>
      </c>
      <c r="D2237" s="26">
        <v>0.13189999999999999</v>
      </c>
      <c r="E2237" s="26">
        <v>1.6400000000000001E-2</v>
      </c>
      <c r="G2237">
        <v>68</v>
      </c>
    </row>
    <row r="2238" spans="1:7" x14ac:dyDescent="0.35">
      <c r="A2238" t="s">
        <v>230</v>
      </c>
      <c r="B2238" t="s">
        <v>371</v>
      </c>
      <c r="C2238" s="26">
        <v>0.80059999999999998</v>
      </c>
      <c r="D2238" s="26">
        <v>0.1913</v>
      </c>
      <c r="E2238" s="26">
        <v>8.0999999999999996E-3</v>
      </c>
      <c r="G2238">
        <v>293</v>
      </c>
    </row>
    <row r="2239" spans="1:7" x14ac:dyDescent="0.35">
      <c r="A2239" t="s">
        <v>230</v>
      </c>
      <c r="B2239" t="s">
        <v>372</v>
      </c>
      <c r="C2239" s="26">
        <v>0.78820000000000001</v>
      </c>
      <c r="D2239" s="26">
        <v>0.20030000000000001</v>
      </c>
      <c r="E2239" s="26">
        <v>1.15E-2</v>
      </c>
      <c r="G2239">
        <v>124</v>
      </c>
    </row>
    <row r="2240" spans="1:7" x14ac:dyDescent="0.35">
      <c r="A2240" t="s">
        <v>230</v>
      </c>
      <c r="B2240" t="s">
        <v>373</v>
      </c>
      <c r="C2240" s="26">
        <v>0.86799999999999999</v>
      </c>
      <c r="D2240" s="26">
        <v>0.13200000000000001</v>
      </c>
      <c r="G2240">
        <v>147</v>
      </c>
    </row>
    <row r="2241" spans="1:7" x14ac:dyDescent="0.35">
      <c r="A2241" t="s">
        <v>231</v>
      </c>
      <c r="B2241" t="s">
        <v>371</v>
      </c>
      <c r="C2241" s="26">
        <v>0.87649999999999995</v>
      </c>
      <c r="D2241" s="26">
        <v>0.1176</v>
      </c>
      <c r="E2241" s="26">
        <v>5.8999999999999999E-3</v>
      </c>
      <c r="G2241">
        <v>170</v>
      </c>
    </row>
    <row r="2242" spans="1:7" x14ac:dyDescent="0.35">
      <c r="A2242" t="s">
        <v>232</v>
      </c>
      <c r="B2242" t="s">
        <v>232</v>
      </c>
      <c r="C2242" s="26">
        <v>0.83279999999999998</v>
      </c>
      <c r="D2242" s="26">
        <v>0.16070000000000001</v>
      </c>
      <c r="E2242" s="26">
        <v>5.5999999999999999E-3</v>
      </c>
      <c r="F2242" s="26">
        <v>8.9999999999999998E-4</v>
      </c>
      <c r="G2242">
        <v>2837</v>
      </c>
    </row>
    <row r="2244" spans="1:7" x14ac:dyDescent="0.35">
      <c r="A2244" s="1" t="s">
        <v>505</v>
      </c>
    </row>
    <row r="2245" spans="1:7" x14ac:dyDescent="0.35">
      <c r="A2245" t="s">
        <v>219</v>
      </c>
      <c r="B2245" t="s">
        <v>305</v>
      </c>
      <c r="C2245" t="s">
        <v>303</v>
      </c>
      <c r="D2245" t="s">
        <v>302</v>
      </c>
      <c r="E2245" t="s">
        <v>281</v>
      </c>
      <c r="F2245" t="s">
        <v>286</v>
      </c>
      <c r="G2245" t="s">
        <v>226</v>
      </c>
    </row>
    <row r="2246" spans="1:7" x14ac:dyDescent="0.35">
      <c r="A2246" t="s">
        <v>227</v>
      </c>
      <c r="B2246" t="s">
        <v>255</v>
      </c>
      <c r="C2246" s="26">
        <v>0.88419999999999999</v>
      </c>
      <c r="D2246" s="26">
        <v>0.1053</v>
      </c>
      <c r="E2246" s="26">
        <v>1.0500000000000001E-2</v>
      </c>
      <c r="G2246">
        <v>95</v>
      </c>
    </row>
    <row r="2247" spans="1:7" x14ac:dyDescent="0.35">
      <c r="A2247" s="27" t="s">
        <v>227</v>
      </c>
      <c r="B2247" s="27" t="s">
        <v>257</v>
      </c>
      <c r="C2247" s="28">
        <v>0.92310000000000003</v>
      </c>
      <c r="D2247" s="28">
        <v>7.6899999999999996E-2</v>
      </c>
      <c r="E2247" s="29"/>
      <c r="F2247" s="29"/>
      <c r="G2247" s="29" t="s">
        <v>341</v>
      </c>
    </row>
    <row r="2248" spans="1:7" x14ac:dyDescent="0.35">
      <c r="A2248" t="s">
        <v>227</v>
      </c>
      <c r="B2248" t="s">
        <v>256</v>
      </c>
      <c r="C2248" s="26">
        <v>0.88890000000000002</v>
      </c>
      <c r="D2248" s="26">
        <v>0.1111</v>
      </c>
      <c r="G2248">
        <v>63</v>
      </c>
    </row>
    <row r="2249" spans="1:7" x14ac:dyDescent="0.35">
      <c r="A2249" t="s">
        <v>228</v>
      </c>
      <c r="B2249" t="s">
        <v>257</v>
      </c>
      <c r="C2249" s="26">
        <v>0.77300000000000002</v>
      </c>
      <c r="D2249" s="26">
        <v>0.22700000000000001</v>
      </c>
      <c r="G2249">
        <v>45</v>
      </c>
    </row>
    <row r="2250" spans="1:7" x14ac:dyDescent="0.35">
      <c r="A2250" s="27" t="s">
        <v>228</v>
      </c>
      <c r="B2250" s="27" t="s">
        <v>258</v>
      </c>
      <c r="C2250" s="28">
        <v>1</v>
      </c>
      <c r="D2250" s="29"/>
      <c r="E2250" s="29"/>
      <c r="F2250" s="29"/>
      <c r="G2250" s="29" t="s">
        <v>334</v>
      </c>
    </row>
    <row r="2251" spans="1:7" x14ac:dyDescent="0.35">
      <c r="A2251" t="s">
        <v>228</v>
      </c>
      <c r="B2251" t="s">
        <v>256</v>
      </c>
      <c r="C2251" s="26">
        <v>0.84860000000000002</v>
      </c>
      <c r="D2251" s="26">
        <v>0.14929999999999999</v>
      </c>
      <c r="E2251" s="26">
        <v>2.0999999999999999E-3</v>
      </c>
      <c r="G2251">
        <v>346</v>
      </c>
    </row>
    <row r="2252" spans="1:7" x14ac:dyDescent="0.35">
      <c r="A2252" t="s">
        <v>228</v>
      </c>
      <c r="B2252" t="s">
        <v>255</v>
      </c>
      <c r="C2252" s="26">
        <v>0.77190000000000003</v>
      </c>
      <c r="D2252" s="26">
        <v>0.223</v>
      </c>
      <c r="E2252" s="26">
        <v>3.0999999999999999E-3</v>
      </c>
      <c r="F2252" s="26">
        <v>2E-3</v>
      </c>
      <c r="G2252">
        <v>666</v>
      </c>
    </row>
    <row r="2253" spans="1:7" x14ac:dyDescent="0.35">
      <c r="A2253" t="s">
        <v>229</v>
      </c>
      <c r="B2253" t="s">
        <v>256</v>
      </c>
      <c r="C2253" s="26">
        <v>0.83809999999999996</v>
      </c>
      <c r="D2253" s="26">
        <v>0.153</v>
      </c>
      <c r="E2253" s="26">
        <v>8.8999999999999999E-3</v>
      </c>
      <c r="G2253">
        <v>324</v>
      </c>
    </row>
    <row r="2254" spans="1:7" x14ac:dyDescent="0.35">
      <c r="A2254" t="s">
        <v>229</v>
      </c>
      <c r="B2254" t="s">
        <v>255</v>
      </c>
      <c r="C2254" s="26">
        <v>0.74</v>
      </c>
      <c r="D2254" s="26">
        <v>0.25019999999999998</v>
      </c>
      <c r="E2254" s="26">
        <v>5.5999999999999999E-3</v>
      </c>
      <c r="F2254" s="26">
        <v>4.1000000000000003E-3</v>
      </c>
      <c r="G2254">
        <v>490</v>
      </c>
    </row>
    <row r="2255" spans="1:7" x14ac:dyDescent="0.35">
      <c r="A2255" t="s">
        <v>229</v>
      </c>
      <c r="B2255" t="s">
        <v>257</v>
      </c>
      <c r="C2255" s="26">
        <v>0.96360000000000001</v>
      </c>
      <c r="D2255" s="26">
        <v>3.6400000000000002E-2</v>
      </c>
      <c r="G2255">
        <v>51</v>
      </c>
    </row>
    <row r="2256" spans="1:7" x14ac:dyDescent="0.35">
      <c r="A2256" s="27" t="s">
        <v>229</v>
      </c>
      <c r="B2256" s="27" t="s">
        <v>258</v>
      </c>
      <c r="C2256" s="28">
        <v>1</v>
      </c>
      <c r="D2256" s="29"/>
      <c r="E2256" s="29"/>
      <c r="F2256" s="29"/>
      <c r="G2256" s="29" t="s">
        <v>331</v>
      </c>
    </row>
    <row r="2257" spans="1:7" x14ac:dyDescent="0.35">
      <c r="A2257" t="s">
        <v>230</v>
      </c>
      <c r="B2257" t="s">
        <v>256</v>
      </c>
      <c r="C2257" s="26">
        <v>0.90249999999999997</v>
      </c>
      <c r="D2257" s="26">
        <v>9.2999999999999999E-2</v>
      </c>
      <c r="E2257" s="26">
        <v>4.4999999999999997E-3</v>
      </c>
      <c r="G2257">
        <v>197</v>
      </c>
    </row>
    <row r="2258" spans="1:7" x14ac:dyDescent="0.35">
      <c r="A2258" t="s">
        <v>230</v>
      </c>
      <c r="B2258" t="s">
        <v>255</v>
      </c>
      <c r="C2258" s="26">
        <v>0.74839999999999995</v>
      </c>
      <c r="D2258" s="26">
        <v>0.24110000000000001</v>
      </c>
      <c r="E2258" s="26">
        <v>1.04E-2</v>
      </c>
      <c r="G2258">
        <v>317</v>
      </c>
    </row>
    <row r="2259" spans="1:7" x14ac:dyDescent="0.35">
      <c r="A2259" t="s">
        <v>230</v>
      </c>
      <c r="B2259" t="s">
        <v>257</v>
      </c>
      <c r="C2259" s="26">
        <v>0.74970000000000003</v>
      </c>
      <c r="D2259" s="26">
        <v>0.25030000000000002</v>
      </c>
      <c r="G2259">
        <v>48</v>
      </c>
    </row>
    <row r="2260" spans="1:7" x14ac:dyDescent="0.35">
      <c r="A2260" s="27" t="s">
        <v>230</v>
      </c>
      <c r="B2260" s="27" t="s">
        <v>258</v>
      </c>
      <c r="C2260" s="28">
        <v>1</v>
      </c>
      <c r="D2260" s="29"/>
      <c r="E2260" s="29"/>
      <c r="F2260" s="29"/>
      <c r="G2260" s="29" t="s">
        <v>314</v>
      </c>
    </row>
    <row r="2261" spans="1:7" x14ac:dyDescent="0.35">
      <c r="A2261" s="27" t="s">
        <v>231</v>
      </c>
      <c r="B2261" s="27" t="s">
        <v>257</v>
      </c>
      <c r="C2261" s="28">
        <v>1</v>
      </c>
      <c r="D2261" s="29"/>
      <c r="E2261" s="29"/>
      <c r="F2261" s="29"/>
      <c r="G2261" s="29" t="s">
        <v>332</v>
      </c>
    </row>
    <row r="2262" spans="1:7" x14ac:dyDescent="0.35">
      <c r="A2262" t="s">
        <v>231</v>
      </c>
      <c r="B2262" t="s">
        <v>255</v>
      </c>
      <c r="C2262" s="26">
        <v>0.85589999999999999</v>
      </c>
      <c r="D2262" s="26">
        <v>0.14410000000000001</v>
      </c>
      <c r="G2262">
        <v>118</v>
      </c>
    </row>
    <row r="2263" spans="1:7" x14ac:dyDescent="0.35">
      <c r="A2263" t="s">
        <v>231</v>
      </c>
      <c r="B2263" t="s">
        <v>256</v>
      </c>
      <c r="C2263" s="26">
        <v>0.91490000000000005</v>
      </c>
      <c r="D2263" s="26">
        <v>6.3799999999999996E-2</v>
      </c>
      <c r="E2263" s="26">
        <v>2.1299999999999999E-2</v>
      </c>
      <c r="G2263">
        <v>47</v>
      </c>
    </row>
    <row r="2264" spans="1:7" x14ac:dyDescent="0.35">
      <c r="A2264" t="s">
        <v>232</v>
      </c>
      <c r="B2264" t="s">
        <v>232</v>
      </c>
      <c r="C2264" s="26">
        <v>0.83279999999999998</v>
      </c>
      <c r="D2264" s="26">
        <v>0.16070000000000001</v>
      </c>
      <c r="E2264" s="26">
        <v>5.5999999999999999E-3</v>
      </c>
      <c r="F2264" s="26">
        <v>8.9999999999999998E-4</v>
      </c>
      <c r="G2264">
        <v>2837</v>
      </c>
    </row>
    <row r="2266" spans="1:7" x14ac:dyDescent="0.35">
      <c r="A2266" s="1" t="s">
        <v>506</v>
      </c>
    </row>
    <row r="2267" spans="1:7" x14ac:dyDescent="0.35">
      <c r="A2267" t="s">
        <v>219</v>
      </c>
      <c r="B2267" t="s">
        <v>305</v>
      </c>
      <c r="C2267" t="s">
        <v>303</v>
      </c>
      <c r="D2267" t="s">
        <v>302</v>
      </c>
      <c r="E2267" t="s">
        <v>281</v>
      </c>
      <c r="F2267" t="s">
        <v>286</v>
      </c>
      <c r="G2267" t="s">
        <v>226</v>
      </c>
    </row>
    <row r="2268" spans="1:7" x14ac:dyDescent="0.35">
      <c r="A2268" s="27" t="s">
        <v>227</v>
      </c>
      <c r="B2268" s="27" t="s">
        <v>224</v>
      </c>
      <c r="C2268" s="28">
        <v>0.875</v>
      </c>
      <c r="D2268" s="28">
        <v>0.125</v>
      </c>
      <c r="E2268" s="29"/>
      <c r="F2268" s="29"/>
      <c r="G2268" s="29" t="s">
        <v>333</v>
      </c>
    </row>
    <row r="2269" spans="1:7" x14ac:dyDescent="0.35">
      <c r="A2269" t="s">
        <v>227</v>
      </c>
      <c r="B2269" t="s">
        <v>222</v>
      </c>
      <c r="C2269" s="26">
        <v>0.87760000000000005</v>
      </c>
      <c r="D2269" s="26">
        <v>0.12239999999999999</v>
      </c>
      <c r="G2269">
        <v>49</v>
      </c>
    </row>
    <row r="2270" spans="1:7" x14ac:dyDescent="0.35">
      <c r="A2270" s="27" t="s">
        <v>227</v>
      </c>
      <c r="B2270" s="27" t="s">
        <v>223</v>
      </c>
      <c r="C2270" s="28">
        <v>0.91669999999999996</v>
      </c>
      <c r="D2270" s="28">
        <v>8.3299999999999999E-2</v>
      </c>
      <c r="E2270" s="29"/>
      <c r="F2270" s="29"/>
      <c r="G2270" s="29" t="s">
        <v>310</v>
      </c>
    </row>
    <row r="2271" spans="1:7" x14ac:dyDescent="0.35">
      <c r="A2271" t="s">
        <v>227</v>
      </c>
      <c r="B2271" t="s">
        <v>220</v>
      </c>
      <c r="C2271" s="26">
        <v>0.89190000000000003</v>
      </c>
      <c r="D2271" s="26">
        <v>8.1100000000000005E-2</v>
      </c>
      <c r="E2271" s="26">
        <v>2.7E-2</v>
      </c>
      <c r="G2271">
        <v>37</v>
      </c>
    </row>
    <row r="2272" spans="1:7" x14ac:dyDescent="0.35">
      <c r="A2272" s="27" t="s">
        <v>227</v>
      </c>
      <c r="B2272" s="27" t="s">
        <v>225</v>
      </c>
      <c r="C2272" s="28">
        <v>1</v>
      </c>
      <c r="D2272" s="29"/>
      <c r="E2272" s="29"/>
      <c r="F2272" s="29"/>
      <c r="G2272" s="29" t="s">
        <v>307</v>
      </c>
    </row>
    <row r="2273" spans="1:7" x14ac:dyDescent="0.35">
      <c r="A2273" t="s">
        <v>227</v>
      </c>
      <c r="B2273" t="s">
        <v>221</v>
      </c>
      <c r="C2273" s="26">
        <v>0.86050000000000004</v>
      </c>
      <c r="D2273" s="26">
        <v>0.13950000000000001</v>
      </c>
      <c r="G2273">
        <v>43</v>
      </c>
    </row>
    <row r="2274" spans="1:7" x14ac:dyDescent="0.35">
      <c r="A2274" t="s">
        <v>228</v>
      </c>
      <c r="B2274" t="s">
        <v>223</v>
      </c>
      <c r="C2274" s="26">
        <v>0.88929999999999998</v>
      </c>
      <c r="D2274" s="26">
        <v>0.11070000000000001</v>
      </c>
      <c r="G2274">
        <v>104</v>
      </c>
    </row>
    <row r="2275" spans="1:7" x14ac:dyDescent="0.35">
      <c r="A2275" t="s">
        <v>228</v>
      </c>
      <c r="B2275" t="s">
        <v>225</v>
      </c>
      <c r="C2275" s="26">
        <v>0.97370000000000001</v>
      </c>
      <c r="D2275" s="26">
        <v>2.63E-2</v>
      </c>
      <c r="G2275">
        <v>48</v>
      </c>
    </row>
    <row r="2276" spans="1:7" x14ac:dyDescent="0.35">
      <c r="A2276" t="s">
        <v>228</v>
      </c>
      <c r="B2276" t="s">
        <v>221</v>
      </c>
      <c r="C2276" s="26">
        <v>0.82350000000000001</v>
      </c>
      <c r="D2276" s="26">
        <v>0.1694</v>
      </c>
      <c r="E2276" s="26">
        <v>7.0000000000000001E-3</v>
      </c>
      <c r="G2276">
        <v>254</v>
      </c>
    </row>
    <row r="2277" spans="1:7" x14ac:dyDescent="0.35">
      <c r="A2277" t="s">
        <v>228</v>
      </c>
      <c r="B2277" t="s">
        <v>222</v>
      </c>
      <c r="C2277" s="26">
        <v>0.75339999999999996</v>
      </c>
      <c r="D2277" s="26">
        <v>0.2412</v>
      </c>
      <c r="E2277" s="26">
        <v>1.6000000000000001E-3</v>
      </c>
      <c r="F2277" s="26">
        <v>3.8E-3</v>
      </c>
      <c r="G2277">
        <v>358</v>
      </c>
    </row>
    <row r="2278" spans="1:7" x14ac:dyDescent="0.35">
      <c r="A2278" t="s">
        <v>228</v>
      </c>
      <c r="B2278" t="s">
        <v>224</v>
      </c>
      <c r="C2278" s="26">
        <v>0.78390000000000004</v>
      </c>
      <c r="D2278" s="26">
        <v>0.21260000000000001</v>
      </c>
      <c r="E2278" s="26">
        <v>3.5000000000000001E-3</v>
      </c>
      <c r="G2278">
        <v>59</v>
      </c>
    </row>
    <row r="2279" spans="1:7" x14ac:dyDescent="0.35">
      <c r="A2279" t="s">
        <v>228</v>
      </c>
      <c r="B2279" t="s">
        <v>220</v>
      </c>
      <c r="C2279" s="26">
        <v>0.78080000000000005</v>
      </c>
      <c r="D2279" s="26">
        <v>0.21820000000000001</v>
      </c>
      <c r="E2279" s="26">
        <v>8.9999999999999998E-4</v>
      </c>
      <c r="G2279">
        <v>243</v>
      </c>
    </row>
    <row r="2280" spans="1:7" x14ac:dyDescent="0.35">
      <c r="A2280" t="s">
        <v>229</v>
      </c>
      <c r="B2280" t="s">
        <v>220</v>
      </c>
      <c r="C2280" s="26">
        <v>0.78369999999999995</v>
      </c>
      <c r="D2280" s="26">
        <v>0.2145</v>
      </c>
      <c r="E2280" s="26">
        <v>1.9E-3</v>
      </c>
      <c r="G2280">
        <v>231</v>
      </c>
    </row>
    <row r="2281" spans="1:7" x14ac:dyDescent="0.35">
      <c r="A2281" t="s">
        <v>229</v>
      </c>
      <c r="B2281" t="s">
        <v>222</v>
      </c>
      <c r="C2281" s="26">
        <v>0.75290000000000001</v>
      </c>
      <c r="D2281" s="26">
        <v>0.2276</v>
      </c>
      <c r="E2281" s="26">
        <v>1.0800000000000001E-2</v>
      </c>
      <c r="F2281" s="26">
        <v>8.6999999999999994E-3</v>
      </c>
      <c r="G2281">
        <v>218</v>
      </c>
    </row>
    <row r="2282" spans="1:7" x14ac:dyDescent="0.35">
      <c r="A2282" t="s">
        <v>229</v>
      </c>
      <c r="B2282" t="s">
        <v>221</v>
      </c>
      <c r="C2282" s="26">
        <v>0.82420000000000004</v>
      </c>
      <c r="D2282" s="26">
        <v>0.1749</v>
      </c>
      <c r="E2282" s="26">
        <v>8.9999999999999998E-4</v>
      </c>
      <c r="G2282">
        <v>175</v>
      </c>
    </row>
    <row r="2283" spans="1:7" x14ac:dyDescent="0.35">
      <c r="A2283" t="s">
        <v>229</v>
      </c>
      <c r="B2283" t="s">
        <v>224</v>
      </c>
      <c r="C2283" s="26">
        <v>0.68359999999999999</v>
      </c>
      <c r="D2283" s="26">
        <v>0.30959999999999999</v>
      </c>
      <c r="E2283" s="26">
        <v>6.8999999999999999E-3</v>
      </c>
      <c r="G2283">
        <v>74</v>
      </c>
    </row>
    <row r="2284" spans="1:7" x14ac:dyDescent="0.35">
      <c r="A2284" t="s">
        <v>229</v>
      </c>
      <c r="B2284" t="s">
        <v>223</v>
      </c>
      <c r="C2284" s="26">
        <v>0.86899999999999999</v>
      </c>
      <c r="D2284" s="26">
        <v>0.11219999999999999</v>
      </c>
      <c r="E2284" s="26">
        <v>1.8800000000000001E-2</v>
      </c>
      <c r="G2284">
        <v>124</v>
      </c>
    </row>
    <row r="2285" spans="1:7" x14ac:dyDescent="0.35">
      <c r="A2285" t="s">
        <v>229</v>
      </c>
      <c r="B2285" t="s">
        <v>225</v>
      </c>
      <c r="C2285" s="26">
        <v>0.94020000000000004</v>
      </c>
      <c r="D2285" s="26">
        <v>5.9799999999999999E-2</v>
      </c>
      <c r="G2285">
        <v>44</v>
      </c>
    </row>
    <row r="2286" spans="1:7" x14ac:dyDescent="0.35">
      <c r="A2286" t="s">
        <v>230</v>
      </c>
      <c r="B2286" t="s">
        <v>220</v>
      </c>
      <c r="C2286" s="26">
        <v>0.76580000000000004</v>
      </c>
      <c r="D2286" s="26">
        <v>0.20649999999999999</v>
      </c>
      <c r="E2286" s="26">
        <v>2.7699999999999999E-2</v>
      </c>
      <c r="G2286">
        <v>124</v>
      </c>
    </row>
    <row r="2287" spans="1:7" x14ac:dyDescent="0.35">
      <c r="A2287" t="s">
        <v>230</v>
      </c>
      <c r="B2287" t="s">
        <v>225</v>
      </c>
      <c r="C2287" s="26">
        <v>0.98170000000000002</v>
      </c>
      <c r="D2287" s="26">
        <v>1.83E-2</v>
      </c>
      <c r="G2287">
        <v>36</v>
      </c>
    </row>
    <row r="2288" spans="1:7" x14ac:dyDescent="0.35">
      <c r="A2288" t="s">
        <v>230</v>
      </c>
      <c r="B2288" t="s">
        <v>223</v>
      </c>
      <c r="C2288" s="26">
        <v>0.96009999999999995</v>
      </c>
      <c r="D2288" s="26">
        <v>3.9899999999999998E-2</v>
      </c>
      <c r="G2288">
        <v>72</v>
      </c>
    </row>
    <row r="2289" spans="1:7" x14ac:dyDescent="0.35">
      <c r="A2289" t="s">
        <v>230</v>
      </c>
      <c r="B2289" t="s">
        <v>224</v>
      </c>
      <c r="C2289" s="26">
        <v>0.76719999999999999</v>
      </c>
      <c r="D2289" s="26">
        <v>0.23280000000000001</v>
      </c>
      <c r="G2289">
        <v>38</v>
      </c>
    </row>
    <row r="2290" spans="1:7" x14ac:dyDescent="0.35">
      <c r="A2290" t="s">
        <v>230</v>
      </c>
      <c r="B2290" t="s">
        <v>222</v>
      </c>
      <c r="C2290" s="26">
        <v>0.75</v>
      </c>
      <c r="D2290" s="26">
        <v>0.249</v>
      </c>
      <c r="E2290" s="26">
        <v>1E-3</v>
      </c>
      <c r="G2290">
        <v>158</v>
      </c>
    </row>
    <row r="2291" spans="1:7" x14ac:dyDescent="0.35">
      <c r="A2291" t="s">
        <v>230</v>
      </c>
      <c r="B2291" t="s">
        <v>221</v>
      </c>
      <c r="C2291" s="26">
        <v>0.79890000000000005</v>
      </c>
      <c r="D2291" s="26">
        <v>0.19989999999999999</v>
      </c>
      <c r="E2291" s="26">
        <v>1.1999999999999999E-3</v>
      </c>
      <c r="G2291">
        <v>136</v>
      </c>
    </row>
    <row r="2292" spans="1:7" x14ac:dyDescent="0.35">
      <c r="A2292" s="27" t="s">
        <v>231</v>
      </c>
      <c r="B2292" s="27" t="s">
        <v>225</v>
      </c>
      <c r="C2292" s="28">
        <v>1</v>
      </c>
      <c r="D2292" s="29"/>
      <c r="E2292" s="29"/>
      <c r="F2292" s="29"/>
      <c r="G2292" s="29" t="s">
        <v>333</v>
      </c>
    </row>
    <row r="2293" spans="1:7" x14ac:dyDescent="0.35">
      <c r="A2293" s="27" t="s">
        <v>231</v>
      </c>
      <c r="B2293" s="27" t="s">
        <v>223</v>
      </c>
      <c r="C2293" s="28">
        <v>1</v>
      </c>
      <c r="D2293" s="29"/>
      <c r="E2293" s="29"/>
      <c r="F2293" s="29"/>
      <c r="G2293" s="29" t="s">
        <v>353</v>
      </c>
    </row>
    <row r="2294" spans="1:7" x14ac:dyDescent="0.35">
      <c r="A2294" t="s">
        <v>231</v>
      </c>
      <c r="B2294" t="s">
        <v>221</v>
      </c>
      <c r="C2294" s="26">
        <v>0.77549999999999997</v>
      </c>
      <c r="D2294" s="26">
        <v>0.22450000000000001</v>
      </c>
      <c r="G2294">
        <v>49</v>
      </c>
    </row>
    <row r="2295" spans="1:7" x14ac:dyDescent="0.35">
      <c r="A2295" t="s">
        <v>231</v>
      </c>
      <c r="B2295" t="s">
        <v>220</v>
      </c>
      <c r="C2295" s="26">
        <v>0.89470000000000005</v>
      </c>
      <c r="D2295" s="26">
        <v>7.8899999999999998E-2</v>
      </c>
      <c r="E2295" s="26">
        <v>2.63E-2</v>
      </c>
      <c r="G2295">
        <v>38</v>
      </c>
    </row>
    <row r="2296" spans="1:7" x14ac:dyDescent="0.35">
      <c r="A2296" s="27" t="s">
        <v>231</v>
      </c>
      <c r="B2296" s="27" t="s">
        <v>224</v>
      </c>
      <c r="C2296" s="28">
        <v>0.75</v>
      </c>
      <c r="D2296" s="28">
        <v>0.25</v>
      </c>
      <c r="E2296" s="29"/>
      <c r="F2296" s="29"/>
      <c r="G2296" s="29" t="s">
        <v>333</v>
      </c>
    </row>
    <row r="2297" spans="1:7" x14ac:dyDescent="0.35">
      <c r="A2297" t="s">
        <v>231</v>
      </c>
      <c r="B2297" t="s">
        <v>222</v>
      </c>
      <c r="C2297" s="26">
        <v>0.91839999999999999</v>
      </c>
      <c r="D2297" s="26">
        <v>8.1600000000000006E-2</v>
      </c>
      <c r="G2297">
        <v>49</v>
      </c>
    </row>
    <row r="2298" spans="1:7" x14ac:dyDescent="0.35">
      <c r="A2298" t="s">
        <v>232</v>
      </c>
      <c r="B2298" t="s">
        <v>232</v>
      </c>
      <c r="C2298" s="26">
        <v>0.83279999999999998</v>
      </c>
      <c r="D2298" s="26">
        <v>0.16070000000000001</v>
      </c>
      <c r="E2298" s="26">
        <v>5.5999999999999999E-3</v>
      </c>
      <c r="F2298" s="26">
        <v>8.9999999999999998E-4</v>
      </c>
      <c r="G2298">
        <v>2837</v>
      </c>
    </row>
    <row r="2300" spans="1:7" x14ac:dyDescent="0.35">
      <c r="A2300" s="1" t="s">
        <v>507</v>
      </c>
    </row>
    <row r="2301" spans="1:7" x14ac:dyDescent="0.35">
      <c r="A2301" t="s">
        <v>219</v>
      </c>
      <c r="B2301" t="s">
        <v>305</v>
      </c>
      <c r="C2301" t="s">
        <v>303</v>
      </c>
      <c r="D2301" t="s">
        <v>302</v>
      </c>
      <c r="E2301" t="s">
        <v>281</v>
      </c>
      <c r="F2301" t="s">
        <v>286</v>
      </c>
      <c r="G2301" t="s">
        <v>226</v>
      </c>
    </row>
    <row r="2302" spans="1:7" x14ac:dyDescent="0.35">
      <c r="A2302" t="s">
        <v>227</v>
      </c>
      <c r="B2302" t="s">
        <v>235</v>
      </c>
      <c r="C2302" s="26">
        <v>0.86960000000000004</v>
      </c>
      <c r="D2302" s="26">
        <v>0.1159</v>
      </c>
      <c r="E2302" s="26">
        <v>1.4500000000000001E-2</v>
      </c>
      <c r="G2302">
        <v>69</v>
      </c>
    </row>
    <row r="2303" spans="1:7" x14ac:dyDescent="0.35">
      <c r="A2303" s="27" t="s">
        <v>227</v>
      </c>
      <c r="B2303" s="27" t="s">
        <v>236</v>
      </c>
      <c r="C2303" s="28">
        <v>1</v>
      </c>
      <c r="D2303" s="29"/>
      <c r="E2303" s="29"/>
      <c r="F2303" s="29"/>
      <c r="G2303" s="29" t="s">
        <v>331</v>
      </c>
    </row>
    <row r="2304" spans="1:7" x14ac:dyDescent="0.35">
      <c r="A2304" t="s">
        <v>227</v>
      </c>
      <c r="B2304" t="s">
        <v>234</v>
      </c>
      <c r="C2304" s="26">
        <v>0.90100000000000002</v>
      </c>
      <c r="D2304" s="26">
        <v>9.9000000000000005E-2</v>
      </c>
      <c r="G2304">
        <v>101</v>
      </c>
    </row>
    <row r="2305" spans="1:8" x14ac:dyDescent="0.35">
      <c r="A2305" t="s">
        <v>228</v>
      </c>
      <c r="B2305" t="s">
        <v>235</v>
      </c>
      <c r="C2305" s="26">
        <v>0.8427</v>
      </c>
      <c r="D2305" s="26">
        <v>0.153</v>
      </c>
      <c r="E2305" s="26">
        <v>4.3E-3</v>
      </c>
      <c r="G2305">
        <v>381</v>
      </c>
    </row>
    <row r="2306" spans="1:8" x14ac:dyDescent="0.35">
      <c r="A2306" s="27" t="s">
        <v>228</v>
      </c>
      <c r="B2306" s="27" t="s">
        <v>236</v>
      </c>
      <c r="C2306" s="28">
        <v>1</v>
      </c>
      <c r="D2306" s="29"/>
      <c r="E2306" s="29"/>
      <c r="F2306" s="29"/>
      <c r="G2306" s="29" t="s">
        <v>315</v>
      </c>
    </row>
    <row r="2307" spans="1:8" x14ac:dyDescent="0.35">
      <c r="A2307" t="s">
        <v>228</v>
      </c>
      <c r="B2307" t="s">
        <v>234</v>
      </c>
      <c r="C2307" s="26">
        <v>0.77910000000000001</v>
      </c>
      <c r="D2307" s="26">
        <v>0.21759999999999999</v>
      </c>
      <c r="E2307" s="26">
        <v>1.6000000000000001E-3</v>
      </c>
      <c r="F2307" s="26">
        <v>1.8E-3</v>
      </c>
      <c r="G2307">
        <v>682</v>
      </c>
    </row>
    <row r="2308" spans="1:8" x14ac:dyDescent="0.35">
      <c r="A2308" t="s">
        <v>229</v>
      </c>
      <c r="B2308" t="s">
        <v>235</v>
      </c>
      <c r="C2308" s="26">
        <v>0.7944</v>
      </c>
      <c r="D2308" s="26">
        <v>0.2049</v>
      </c>
      <c r="E2308" s="26">
        <v>6.9999999999999999E-4</v>
      </c>
      <c r="G2308">
        <v>325</v>
      </c>
    </row>
    <row r="2309" spans="1:8" x14ac:dyDescent="0.35">
      <c r="A2309" t="s">
        <v>229</v>
      </c>
      <c r="B2309" t="s">
        <v>234</v>
      </c>
      <c r="C2309" s="26">
        <v>0.79300000000000004</v>
      </c>
      <c r="D2309" s="26">
        <v>0.19309999999999999</v>
      </c>
      <c r="E2309" s="26">
        <v>1.03E-2</v>
      </c>
      <c r="F2309" s="26">
        <v>3.5999999999999999E-3</v>
      </c>
      <c r="G2309">
        <v>541</v>
      </c>
    </row>
    <row r="2310" spans="1:8" x14ac:dyDescent="0.35">
      <c r="A2310" t="s">
        <v>230</v>
      </c>
      <c r="B2310" t="s">
        <v>235</v>
      </c>
      <c r="C2310" s="26">
        <v>0.85450000000000004</v>
      </c>
      <c r="D2310" s="26">
        <v>0.13100000000000001</v>
      </c>
      <c r="E2310" s="26">
        <v>1.4500000000000001E-2</v>
      </c>
      <c r="G2310">
        <v>223</v>
      </c>
    </row>
    <row r="2311" spans="1:8" x14ac:dyDescent="0.35">
      <c r="A2311" s="27" t="s">
        <v>230</v>
      </c>
      <c r="B2311" s="27" t="s">
        <v>236</v>
      </c>
      <c r="C2311" s="28">
        <v>1</v>
      </c>
      <c r="D2311" s="29"/>
      <c r="E2311" s="29"/>
      <c r="F2311" s="29"/>
      <c r="G2311" s="29" t="s">
        <v>331</v>
      </c>
    </row>
    <row r="2312" spans="1:8" x14ac:dyDescent="0.35">
      <c r="A2312" t="s">
        <v>230</v>
      </c>
      <c r="B2312" t="s">
        <v>234</v>
      </c>
      <c r="C2312" s="26">
        <v>0.77810000000000001</v>
      </c>
      <c r="D2312" s="26">
        <v>0.21909999999999999</v>
      </c>
      <c r="E2312" s="26">
        <v>2.8E-3</v>
      </c>
      <c r="G2312">
        <v>340</v>
      </c>
    </row>
    <row r="2313" spans="1:8" x14ac:dyDescent="0.35">
      <c r="A2313" t="s">
        <v>231</v>
      </c>
      <c r="B2313" t="s">
        <v>235</v>
      </c>
      <c r="C2313" s="26">
        <v>0.88239999999999996</v>
      </c>
      <c r="D2313" s="26">
        <v>0.1176</v>
      </c>
      <c r="G2313">
        <v>68</v>
      </c>
    </row>
    <row r="2314" spans="1:8" x14ac:dyDescent="0.35">
      <c r="A2314" t="s">
        <v>231</v>
      </c>
      <c r="B2314" t="s">
        <v>234</v>
      </c>
      <c r="C2314" s="26">
        <v>0.87250000000000005</v>
      </c>
      <c r="D2314" s="26">
        <v>0.1176</v>
      </c>
      <c r="E2314" s="26">
        <v>9.7999999999999997E-3</v>
      </c>
      <c r="G2314">
        <v>102</v>
      </c>
    </row>
    <row r="2315" spans="1:8" x14ac:dyDescent="0.35">
      <c r="A2315" t="s">
        <v>232</v>
      </c>
      <c r="B2315" t="s">
        <v>232</v>
      </c>
      <c r="C2315" s="26">
        <v>0.83279999999999998</v>
      </c>
      <c r="D2315" s="26">
        <v>0.16070000000000001</v>
      </c>
      <c r="E2315" s="26">
        <v>5.5999999999999999E-3</v>
      </c>
      <c r="F2315" s="26">
        <v>8.9999999999999998E-4</v>
      </c>
      <c r="G2315">
        <v>2837</v>
      </c>
    </row>
    <row r="2317" spans="1:8" x14ac:dyDescent="0.35">
      <c r="A2317" s="1" t="s">
        <v>508</v>
      </c>
    </row>
    <row r="2318" spans="1:8" x14ac:dyDescent="0.35">
      <c r="A2318" t="s">
        <v>219</v>
      </c>
      <c r="B2318" t="s">
        <v>305</v>
      </c>
      <c r="C2318" t="s">
        <v>345</v>
      </c>
      <c r="D2318" t="s">
        <v>303</v>
      </c>
      <c r="E2318" t="s">
        <v>302</v>
      </c>
      <c r="F2318" t="s">
        <v>281</v>
      </c>
      <c r="G2318" t="s">
        <v>286</v>
      </c>
      <c r="H2318" t="s">
        <v>226</v>
      </c>
    </row>
    <row r="2319" spans="1:8" x14ac:dyDescent="0.35">
      <c r="A2319" s="27" t="s">
        <v>227</v>
      </c>
      <c r="B2319" s="27" t="s">
        <v>235</v>
      </c>
      <c r="C2319" s="27" t="s">
        <v>221</v>
      </c>
      <c r="D2319" s="28">
        <v>0.875</v>
      </c>
      <c r="E2319" s="28">
        <v>0.125</v>
      </c>
      <c r="F2319" s="29"/>
      <c r="G2319" s="29"/>
      <c r="H2319" s="29" t="s">
        <v>348</v>
      </c>
    </row>
    <row r="2320" spans="1:8" x14ac:dyDescent="0.35">
      <c r="A2320" s="27" t="s">
        <v>227</v>
      </c>
      <c r="B2320" s="27" t="s">
        <v>235</v>
      </c>
      <c r="C2320" s="27" t="s">
        <v>224</v>
      </c>
      <c r="D2320" s="28">
        <v>0.83330000000000004</v>
      </c>
      <c r="E2320" s="28">
        <v>0.16669999999999999</v>
      </c>
      <c r="F2320" s="29"/>
      <c r="G2320" s="29"/>
      <c r="H2320" s="29" t="s">
        <v>335</v>
      </c>
    </row>
    <row r="2321" spans="1:8" x14ac:dyDescent="0.35">
      <c r="A2321" s="27" t="s">
        <v>227</v>
      </c>
      <c r="B2321" s="27" t="s">
        <v>234</v>
      </c>
      <c r="C2321" s="27" t="s">
        <v>225</v>
      </c>
      <c r="D2321" s="28">
        <v>1</v>
      </c>
      <c r="E2321" s="29"/>
      <c r="F2321" s="29"/>
      <c r="G2321" s="29"/>
      <c r="H2321" s="29" t="s">
        <v>337</v>
      </c>
    </row>
    <row r="2322" spans="1:8" x14ac:dyDescent="0.35">
      <c r="A2322" s="27" t="s">
        <v>227</v>
      </c>
      <c r="B2322" s="27" t="s">
        <v>235</v>
      </c>
      <c r="C2322" s="27" t="s">
        <v>225</v>
      </c>
      <c r="D2322" s="28">
        <v>1</v>
      </c>
      <c r="E2322" s="29"/>
      <c r="F2322" s="29"/>
      <c r="G2322" s="29"/>
      <c r="H2322" s="29" t="s">
        <v>335</v>
      </c>
    </row>
    <row r="2323" spans="1:8" x14ac:dyDescent="0.35">
      <c r="A2323" t="s">
        <v>227</v>
      </c>
      <c r="B2323" t="s">
        <v>234</v>
      </c>
      <c r="C2323" t="s">
        <v>222</v>
      </c>
      <c r="D2323" s="26">
        <v>0.83330000000000004</v>
      </c>
      <c r="E2323" s="26">
        <v>0.16669999999999999</v>
      </c>
      <c r="H2323">
        <v>36</v>
      </c>
    </row>
    <row r="2324" spans="1:8" x14ac:dyDescent="0.35">
      <c r="A2324" s="27" t="s">
        <v>227</v>
      </c>
      <c r="B2324" s="27" t="s">
        <v>235</v>
      </c>
      <c r="C2324" s="27" t="s">
        <v>220</v>
      </c>
      <c r="D2324" s="28">
        <v>0.76470000000000005</v>
      </c>
      <c r="E2324" s="28">
        <v>0.17649999999999999</v>
      </c>
      <c r="F2324" s="28">
        <v>5.8799999999999998E-2</v>
      </c>
      <c r="G2324" s="29"/>
      <c r="H2324" s="29" t="s">
        <v>343</v>
      </c>
    </row>
    <row r="2325" spans="1:8" x14ac:dyDescent="0.35">
      <c r="A2325" s="27" t="s">
        <v>227</v>
      </c>
      <c r="B2325" s="27" t="s">
        <v>234</v>
      </c>
      <c r="C2325" s="27" t="s">
        <v>223</v>
      </c>
      <c r="D2325" s="28">
        <v>1</v>
      </c>
      <c r="E2325" s="29"/>
      <c r="F2325" s="29"/>
      <c r="G2325" s="29"/>
      <c r="H2325" s="29" t="s">
        <v>341</v>
      </c>
    </row>
    <row r="2326" spans="1:8" x14ac:dyDescent="0.35">
      <c r="A2326" s="27" t="s">
        <v>227</v>
      </c>
      <c r="B2326" s="27" t="s">
        <v>236</v>
      </c>
      <c r="C2326" s="27" t="s">
        <v>221</v>
      </c>
      <c r="D2326" s="28">
        <v>1</v>
      </c>
      <c r="E2326" s="29"/>
      <c r="F2326" s="29"/>
      <c r="G2326" s="29"/>
      <c r="H2326" s="29" t="s">
        <v>331</v>
      </c>
    </row>
    <row r="2327" spans="1:8" x14ac:dyDescent="0.35">
      <c r="A2327" s="27" t="s">
        <v>227</v>
      </c>
      <c r="B2327" s="27" t="s">
        <v>234</v>
      </c>
      <c r="C2327" s="27" t="s">
        <v>221</v>
      </c>
      <c r="D2327" s="28">
        <v>0.84619999999999995</v>
      </c>
      <c r="E2327" s="28">
        <v>0.15379999999999999</v>
      </c>
      <c r="F2327" s="29"/>
      <c r="G2327" s="29"/>
      <c r="H2327" s="29" t="s">
        <v>357</v>
      </c>
    </row>
    <row r="2328" spans="1:8" x14ac:dyDescent="0.35">
      <c r="A2328" s="27" t="s">
        <v>227</v>
      </c>
      <c r="B2328" s="27" t="s">
        <v>235</v>
      </c>
      <c r="C2328" s="27" t="s">
        <v>222</v>
      </c>
      <c r="D2328" s="28">
        <v>1</v>
      </c>
      <c r="E2328" s="29"/>
      <c r="F2328" s="29"/>
      <c r="G2328" s="29"/>
      <c r="H2328" s="29" t="s">
        <v>341</v>
      </c>
    </row>
    <row r="2329" spans="1:8" x14ac:dyDescent="0.35">
      <c r="A2329" s="27" t="s">
        <v>227</v>
      </c>
      <c r="B2329" s="27" t="s">
        <v>235</v>
      </c>
      <c r="C2329" s="27" t="s">
        <v>223</v>
      </c>
      <c r="D2329" s="28">
        <v>0.81820000000000004</v>
      </c>
      <c r="E2329" s="28">
        <v>0.18179999999999999</v>
      </c>
      <c r="F2329" s="29"/>
      <c r="G2329" s="29"/>
      <c r="H2329" s="29" t="s">
        <v>352</v>
      </c>
    </row>
    <row r="2330" spans="1:8" x14ac:dyDescent="0.35">
      <c r="A2330" s="27" t="s">
        <v>227</v>
      </c>
      <c r="B2330" s="27" t="s">
        <v>234</v>
      </c>
      <c r="C2330" s="27" t="s">
        <v>220</v>
      </c>
      <c r="D2330" s="28">
        <v>1</v>
      </c>
      <c r="E2330" s="29"/>
      <c r="F2330" s="29"/>
      <c r="G2330" s="29"/>
      <c r="H2330" s="29" t="s">
        <v>350</v>
      </c>
    </row>
    <row r="2331" spans="1:8" x14ac:dyDescent="0.35">
      <c r="A2331" s="27" t="s">
        <v>227</v>
      </c>
      <c r="B2331" s="27" t="s">
        <v>234</v>
      </c>
      <c r="C2331" s="27" t="s">
        <v>224</v>
      </c>
      <c r="D2331" s="28">
        <v>1</v>
      </c>
      <c r="E2331" s="29"/>
      <c r="F2331" s="29"/>
      <c r="G2331" s="29"/>
      <c r="H2331" s="29" t="s">
        <v>314</v>
      </c>
    </row>
    <row r="2332" spans="1:8" x14ac:dyDescent="0.35">
      <c r="A2332" s="27" t="s">
        <v>228</v>
      </c>
      <c r="B2332" s="27" t="s">
        <v>235</v>
      </c>
      <c r="C2332" s="27" t="s">
        <v>225</v>
      </c>
      <c r="D2332" s="28">
        <v>1</v>
      </c>
      <c r="E2332" s="29"/>
      <c r="F2332" s="29"/>
      <c r="G2332" s="29"/>
      <c r="H2332" s="29" t="s">
        <v>328</v>
      </c>
    </row>
    <row r="2333" spans="1:8" x14ac:dyDescent="0.35">
      <c r="A2333" s="27" t="s">
        <v>228</v>
      </c>
      <c r="B2333" s="27" t="s">
        <v>236</v>
      </c>
      <c r="C2333" s="27" t="s">
        <v>222</v>
      </c>
      <c r="D2333" s="28">
        <v>1</v>
      </c>
      <c r="E2333" s="29"/>
      <c r="F2333" s="29"/>
      <c r="G2333" s="29"/>
      <c r="H2333" s="29" t="s">
        <v>314</v>
      </c>
    </row>
    <row r="2334" spans="1:8" x14ac:dyDescent="0.35">
      <c r="A2334" s="27" t="s">
        <v>228</v>
      </c>
      <c r="B2334" s="27" t="s">
        <v>236</v>
      </c>
      <c r="C2334" s="27" t="s">
        <v>221</v>
      </c>
      <c r="D2334" s="28">
        <v>1</v>
      </c>
      <c r="E2334" s="29"/>
      <c r="F2334" s="29"/>
      <c r="G2334" s="29"/>
      <c r="H2334" s="29" t="s">
        <v>331</v>
      </c>
    </row>
    <row r="2335" spans="1:8" x14ac:dyDescent="0.35">
      <c r="A2335" t="s">
        <v>228</v>
      </c>
      <c r="B2335" t="s">
        <v>234</v>
      </c>
      <c r="C2335" t="s">
        <v>220</v>
      </c>
      <c r="D2335" s="26">
        <v>0.73470000000000002</v>
      </c>
      <c r="E2335" s="26">
        <v>0.26390000000000002</v>
      </c>
      <c r="F2335" s="26">
        <v>1.4E-3</v>
      </c>
      <c r="H2335">
        <v>154</v>
      </c>
    </row>
    <row r="2336" spans="1:8" x14ac:dyDescent="0.35">
      <c r="A2336" t="s">
        <v>228</v>
      </c>
      <c r="B2336" t="s">
        <v>234</v>
      </c>
      <c r="C2336" t="s">
        <v>221</v>
      </c>
      <c r="D2336" s="26">
        <v>0.83640000000000003</v>
      </c>
      <c r="E2336" s="26">
        <v>0.15959999999999999</v>
      </c>
      <c r="F2336" s="26">
        <v>4.1000000000000003E-3</v>
      </c>
      <c r="H2336">
        <v>153</v>
      </c>
    </row>
    <row r="2337" spans="1:8" x14ac:dyDescent="0.35">
      <c r="A2337" t="s">
        <v>228</v>
      </c>
      <c r="B2337" t="s">
        <v>234</v>
      </c>
      <c r="C2337" t="s">
        <v>223</v>
      </c>
      <c r="D2337" s="26">
        <v>0.87190000000000001</v>
      </c>
      <c r="E2337" s="26">
        <v>0.12809999999999999</v>
      </c>
      <c r="H2337">
        <v>60</v>
      </c>
    </row>
    <row r="2338" spans="1:8" x14ac:dyDescent="0.35">
      <c r="A2338" t="s">
        <v>228</v>
      </c>
      <c r="B2338" t="s">
        <v>234</v>
      </c>
      <c r="C2338" t="s">
        <v>222</v>
      </c>
      <c r="D2338" s="26">
        <v>0.74580000000000002</v>
      </c>
      <c r="E2338" s="26">
        <v>0.2477</v>
      </c>
      <c r="F2338" s="26">
        <v>1.1000000000000001E-3</v>
      </c>
      <c r="G2338" s="26">
        <v>5.4000000000000003E-3</v>
      </c>
      <c r="H2338">
        <v>252</v>
      </c>
    </row>
    <row r="2339" spans="1:8" x14ac:dyDescent="0.35">
      <c r="A2339" t="s">
        <v>228</v>
      </c>
      <c r="B2339" t="s">
        <v>234</v>
      </c>
      <c r="C2339" t="s">
        <v>224</v>
      </c>
      <c r="D2339" s="26">
        <v>0.7117</v>
      </c>
      <c r="E2339" s="26">
        <v>0.2883</v>
      </c>
      <c r="H2339">
        <v>38</v>
      </c>
    </row>
    <row r="2340" spans="1:8" x14ac:dyDescent="0.35">
      <c r="A2340" t="s">
        <v>228</v>
      </c>
      <c r="B2340" t="s">
        <v>235</v>
      </c>
      <c r="C2340" t="s">
        <v>222</v>
      </c>
      <c r="D2340" s="26">
        <v>0.77049999999999996</v>
      </c>
      <c r="E2340" s="26">
        <v>0.2268</v>
      </c>
      <c r="F2340" s="26">
        <v>2.7000000000000001E-3</v>
      </c>
      <c r="H2340">
        <v>104</v>
      </c>
    </row>
    <row r="2341" spans="1:8" x14ac:dyDescent="0.35">
      <c r="A2341" s="27" t="s">
        <v>228</v>
      </c>
      <c r="B2341" s="27" t="s">
        <v>234</v>
      </c>
      <c r="C2341" s="27" t="s">
        <v>225</v>
      </c>
      <c r="D2341" s="28">
        <v>0.95230000000000004</v>
      </c>
      <c r="E2341" s="28">
        <v>4.7699999999999999E-2</v>
      </c>
      <c r="F2341" s="29"/>
      <c r="G2341" s="29"/>
      <c r="H2341" s="29" t="s">
        <v>312</v>
      </c>
    </row>
    <row r="2342" spans="1:8" x14ac:dyDescent="0.35">
      <c r="A2342" s="27" t="s">
        <v>228</v>
      </c>
      <c r="B2342" s="27" t="s">
        <v>235</v>
      </c>
      <c r="C2342" s="27" t="s">
        <v>224</v>
      </c>
      <c r="D2342" s="28">
        <v>0.89190000000000003</v>
      </c>
      <c r="E2342" s="28">
        <v>9.9299999999999999E-2</v>
      </c>
      <c r="F2342" s="28">
        <v>8.8000000000000005E-3</v>
      </c>
      <c r="G2342" s="29"/>
      <c r="H2342" s="29" t="s">
        <v>351</v>
      </c>
    </row>
    <row r="2343" spans="1:8" x14ac:dyDescent="0.35">
      <c r="A2343" t="s">
        <v>228</v>
      </c>
      <c r="B2343" t="s">
        <v>235</v>
      </c>
      <c r="C2343" t="s">
        <v>223</v>
      </c>
      <c r="D2343" s="26">
        <v>0.91200000000000003</v>
      </c>
      <c r="E2343" s="26">
        <v>8.7999999999999995E-2</v>
      </c>
      <c r="H2343">
        <v>44</v>
      </c>
    </row>
    <row r="2344" spans="1:8" x14ac:dyDescent="0.35">
      <c r="A2344" t="s">
        <v>228</v>
      </c>
      <c r="B2344" t="s">
        <v>235</v>
      </c>
      <c r="C2344" t="s">
        <v>220</v>
      </c>
      <c r="D2344" s="26">
        <v>0.87739999999999996</v>
      </c>
      <c r="E2344" s="26">
        <v>0.1226</v>
      </c>
      <c r="H2344">
        <v>89</v>
      </c>
    </row>
    <row r="2345" spans="1:8" x14ac:dyDescent="0.35">
      <c r="A2345" t="s">
        <v>228</v>
      </c>
      <c r="B2345" t="s">
        <v>235</v>
      </c>
      <c r="C2345" t="s">
        <v>221</v>
      </c>
      <c r="D2345" s="26">
        <v>0.79930000000000001</v>
      </c>
      <c r="E2345" s="26">
        <v>0.18920000000000001</v>
      </c>
      <c r="F2345" s="26">
        <v>1.15E-2</v>
      </c>
      <c r="H2345">
        <v>100</v>
      </c>
    </row>
    <row r="2346" spans="1:8" x14ac:dyDescent="0.35">
      <c r="A2346" t="s">
        <v>229</v>
      </c>
      <c r="B2346" t="s">
        <v>235</v>
      </c>
      <c r="C2346" t="s">
        <v>222</v>
      </c>
      <c r="D2346" s="26">
        <v>0.76319999999999999</v>
      </c>
      <c r="E2346" s="26">
        <v>0.23680000000000001</v>
      </c>
      <c r="H2346">
        <v>70</v>
      </c>
    </row>
    <row r="2347" spans="1:8" x14ac:dyDescent="0.35">
      <c r="A2347" t="s">
        <v>229</v>
      </c>
      <c r="B2347" t="s">
        <v>234</v>
      </c>
      <c r="C2347" t="s">
        <v>222</v>
      </c>
      <c r="D2347" s="26">
        <v>0.74809999999999999</v>
      </c>
      <c r="E2347" s="26">
        <v>0.2233</v>
      </c>
      <c r="F2347" s="26">
        <v>1.5800000000000002E-2</v>
      </c>
      <c r="G2347" s="26">
        <v>1.2800000000000001E-2</v>
      </c>
      <c r="H2347">
        <v>148</v>
      </c>
    </row>
    <row r="2348" spans="1:8" x14ac:dyDescent="0.35">
      <c r="A2348" t="s">
        <v>229</v>
      </c>
      <c r="B2348" t="s">
        <v>235</v>
      </c>
      <c r="C2348" t="s">
        <v>224</v>
      </c>
      <c r="D2348" s="26">
        <v>0.68959999999999999</v>
      </c>
      <c r="E2348" s="26">
        <v>0.30420000000000003</v>
      </c>
      <c r="F2348" s="26">
        <v>6.1999999999999998E-3</v>
      </c>
      <c r="H2348">
        <v>40</v>
      </c>
    </row>
    <row r="2349" spans="1:8" x14ac:dyDescent="0.35">
      <c r="A2349" t="s">
        <v>229</v>
      </c>
      <c r="B2349" t="s">
        <v>234</v>
      </c>
      <c r="C2349" t="s">
        <v>223</v>
      </c>
      <c r="D2349" s="26">
        <v>0.88549999999999995</v>
      </c>
      <c r="E2349" s="26">
        <v>7.9000000000000001E-2</v>
      </c>
      <c r="F2349" s="26">
        <v>3.5499999999999997E-2</v>
      </c>
      <c r="H2349">
        <v>71</v>
      </c>
    </row>
    <row r="2350" spans="1:8" x14ac:dyDescent="0.35">
      <c r="A2350" t="s">
        <v>229</v>
      </c>
      <c r="B2350" t="s">
        <v>235</v>
      </c>
      <c r="C2350" t="s">
        <v>220</v>
      </c>
      <c r="D2350" s="26">
        <v>0.77490000000000003</v>
      </c>
      <c r="E2350" s="26">
        <v>0.22509999999999999</v>
      </c>
      <c r="H2350">
        <v>83</v>
      </c>
    </row>
    <row r="2351" spans="1:8" x14ac:dyDescent="0.35">
      <c r="A2351" t="s">
        <v>229</v>
      </c>
      <c r="B2351" t="s">
        <v>234</v>
      </c>
      <c r="C2351" t="s">
        <v>221</v>
      </c>
      <c r="D2351" s="26">
        <v>0.80500000000000005</v>
      </c>
      <c r="E2351" s="26">
        <v>0.19370000000000001</v>
      </c>
      <c r="F2351" s="26">
        <v>1.2999999999999999E-3</v>
      </c>
      <c r="H2351">
        <v>117</v>
      </c>
    </row>
    <row r="2352" spans="1:8" x14ac:dyDescent="0.35">
      <c r="A2352" t="s">
        <v>229</v>
      </c>
      <c r="B2352" t="s">
        <v>235</v>
      </c>
      <c r="C2352" t="s">
        <v>221</v>
      </c>
      <c r="D2352" s="26">
        <v>0.86260000000000003</v>
      </c>
      <c r="E2352" s="26">
        <v>0.13739999999999999</v>
      </c>
      <c r="H2352">
        <v>58</v>
      </c>
    </row>
    <row r="2353" spans="1:8" x14ac:dyDescent="0.35">
      <c r="A2353" t="s">
        <v>229</v>
      </c>
      <c r="B2353" t="s">
        <v>234</v>
      </c>
      <c r="C2353" t="s">
        <v>224</v>
      </c>
      <c r="D2353" s="26">
        <v>0.67630000000000001</v>
      </c>
      <c r="E2353" s="26">
        <v>0.31609999999999999</v>
      </c>
      <c r="F2353" s="26">
        <v>7.6E-3</v>
      </c>
      <c r="H2353">
        <v>34</v>
      </c>
    </row>
    <row r="2354" spans="1:8" x14ac:dyDescent="0.35">
      <c r="A2354" t="s">
        <v>229</v>
      </c>
      <c r="B2354" t="s">
        <v>234</v>
      </c>
      <c r="C2354" t="s">
        <v>220</v>
      </c>
      <c r="D2354" s="26">
        <v>0.78900000000000003</v>
      </c>
      <c r="E2354" s="26">
        <v>0.20799999999999999</v>
      </c>
      <c r="F2354" s="26">
        <v>3.0000000000000001E-3</v>
      </c>
      <c r="H2354">
        <v>148</v>
      </c>
    </row>
    <row r="2355" spans="1:8" x14ac:dyDescent="0.35">
      <c r="A2355" t="s">
        <v>229</v>
      </c>
      <c r="B2355" t="s">
        <v>235</v>
      </c>
      <c r="C2355" t="s">
        <v>223</v>
      </c>
      <c r="D2355" s="26">
        <v>0.85029999999999994</v>
      </c>
      <c r="E2355" s="26">
        <v>0.1497</v>
      </c>
      <c r="H2355">
        <v>53</v>
      </c>
    </row>
    <row r="2356" spans="1:8" x14ac:dyDescent="0.35">
      <c r="A2356" s="27" t="s">
        <v>229</v>
      </c>
      <c r="B2356" s="27" t="s">
        <v>234</v>
      </c>
      <c r="C2356" s="27" t="s">
        <v>225</v>
      </c>
      <c r="D2356" s="28">
        <v>0.98799999999999999</v>
      </c>
      <c r="E2356" s="28">
        <v>1.2E-2</v>
      </c>
      <c r="F2356" s="29"/>
      <c r="G2356" s="29"/>
      <c r="H2356" s="29" t="s">
        <v>328</v>
      </c>
    </row>
    <row r="2357" spans="1:8" x14ac:dyDescent="0.35">
      <c r="A2357" s="27" t="s">
        <v>229</v>
      </c>
      <c r="B2357" s="27" t="s">
        <v>235</v>
      </c>
      <c r="C2357" s="27" t="s">
        <v>225</v>
      </c>
      <c r="D2357" s="28">
        <v>0.88849999999999996</v>
      </c>
      <c r="E2357" s="28">
        <v>0.1115</v>
      </c>
      <c r="F2357" s="29"/>
      <c r="G2357" s="29"/>
      <c r="H2357" s="29" t="s">
        <v>351</v>
      </c>
    </row>
    <row r="2358" spans="1:8" x14ac:dyDescent="0.35">
      <c r="A2358" t="s">
        <v>230</v>
      </c>
      <c r="B2358" t="s">
        <v>234</v>
      </c>
      <c r="C2358" t="s">
        <v>222</v>
      </c>
      <c r="D2358" s="26">
        <v>0.71640000000000004</v>
      </c>
      <c r="E2358" s="26">
        <v>0.28360000000000002</v>
      </c>
      <c r="H2358">
        <v>107</v>
      </c>
    </row>
    <row r="2359" spans="1:8" x14ac:dyDescent="0.35">
      <c r="A2359" t="s">
        <v>230</v>
      </c>
      <c r="B2359" t="s">
        <v>234</v>
      </c>
      <c r="C2359" t="s">
        <v>223</v>
      </c>
      <c r="D2359" s="26">
        <v>0.95689999999999997</v>
      </c>
      <c r="E2359" s="26">
        <v>4.3099999999999999E-2</v>
      </c>
      <c r="H2359">
        <v>35</v>
      </c>
    </row>
    <row r="2360" spans="1:8" x14ac:dyDescent="0.35">
      <c r="A2360" t="s">
        <v>230</v>
      </c>
      <c r="B2360" t="s">
        <v>235</v>
      </c>
      <c r="C2360" t="s">
        <v>220</v>
      </c>
      <c r="D2360" s="26">
        <v>0.72070000000000001</v>
      </c>
      <c r="E2360" s="26">
        <v>0.22339999999999999</v>
      </c>
      <c r="F2360" s="26">
        <v>5.6000000000000001E-2</v>
      </c>
      <c r="H2360">
        <v>47</v>
      </c>
    </row>
    <row r="2361" spans="1:8" x14ac:dyDescent="0.35">
      <c r="A2361" s="27" t="s">
        <v>230</v>
      </c>
      <c r="B2361" s="27" t="s">
        <v>236</v>
      </c>
      <c r="C2361" s="27" t="s">
        <v>220</v>
      </c>
      <c r="D2361" s="28">
        <v>1</v>
      </c>
      <c r="E2361" s="29"/>
      <c r="F2361" s="29"/>
      <c r="G2361" s="29"/>
      <c r="H2361" s="29" t="s">
        <v>331</v>
      </c>
    </row>
    <row r="2362" spans="1:8" x14ac:dyDescent="0.35">
      <c r="A2362" t="s">
        <v>230</v>
      </c>
      <c r="B2362" t="s">
        <v>234</v>
      </c>
      <c r="C2362" t="s">
        <v>221</v>
      </c>
      <c r="D2362" s="26">
        <v>0.71689999999999998</v>
      </c>
      <c r="E2362" s="26">
        <v>0.28310000000000002</v>
      </c>
      <c r="H2362">
        <v>79</v>
      </c>
    </row>
    <row r="2363" spans="1:8" x14ac:dyDescent="0.35">
      <c r="A2363" s="27" t="s">
        <v>230</v>
      </c>
      <c r="B2363" s="27" t="s">
        <v>235</v>
      </c>
      <c r="C2363" s="27" t="s">
        <v>225</v>
      </c>
      <c r="D2363" s="28">
        <v>1</v>
      </c>
      <c r="E2363" s="29"/>
      <c r="F2363" s="29"/>
      <c r="G2363" s="29"/>
      <c r="H2363" s="29" t="s">
        <v>353</v>
      </c>
    </row>
    <row r="2364" spans="1:8" x14ac:dyDescent="0.35">
      <c r="A2364" t="s">
        <v>230</v>
      </c>
      <c r="B2364" t="s">
        <v>235</v>
      </c>
      <c r="C2364" t="s">
        <v>223</v>
      </c>
      <c r="D2364" s="26">
        <v>0.96450000000000002</v>
      </c>
      <c r="E2364" s="26">
        <v>3.5499999999999997E-2</v>
      </c>
      <c r="H2364">
        <v>37</v>
      </c>
    </row>
    <row r="2365" spans="1:8" x14ac:dyDescent="0.35">
      <c r="A2365" t="s">
        <v>230</v>
      </c>
      <c r="B2365" t="s">
        <v>235</v>
      </c>
      <c r="C2365" t="s">
        <v>222</v>
      </c>
      <c r="D2365" s="26">
        <v>0.81210000000000004</v>
      </c>
      <c r="E2365" s="26">
        <v>0.1852</v>
      </c>
      <c r="F2365" s="26">
        <v>2.8E-3</v>
      </c>
      <c r="H2365">
        <v>51</v>
      </c>
    </row>
    <row r="2366" spans="1:8" x14ac:dyDescent="0.35">
      <c r="A2366" t="s">
        <v>230</v>
      </c>
      <c r="B2366" t="s">
        <v>234</v>
      </c>
      <c r="C2366" t="s">
        <v>220</v>
      </c>
      <c r="D2366" s="26">
        <v>0.7913</v>
      </c>
      <c r="E2366" s="26">
        <v>0.1976</v>
      </c>
      <c r="F2366" s="26">
        <v>1.12E-2</v>
      </c>
      <c r="H2366">
        <v>76</v>
      </c>
    </row>
    <row r="2367" spans="1:8" x14ac:dyDescent="0.35">
      <c r="A2367" t="s">
        <v>230</v>
      </c>
      <c r="B2367" t="s">
        <v>235</v>
      </c>
      <c r="C2367" t="s">
        <v>221</v>
      </c>
      <c r="D2367" s="26">
        <v>0.93269999999999997</v>
      </c>
      <c r="E2367" s="26">
        <v>6.4199999999999993E-2</v>
      </c>
      <c r="F2367" s="26">
        <v>3.0999999999999999E-3</v>
      </c>
      <c r="H2367">
        <v>57</v>
      </c>
    </row>
    <row r="2368" spans="1:8" x14ac:dyDescent="0.35">
      <c r="A2368" s="27" t="s">
        <v>230</v>
      </c>
      <c r="B2368" s="27" t="s">
        <v>234</v>
      </c>
      <c r="C2368" s="27" t="s">
        <v>225</v>
      </c>
      <c r="D2368" s="28">
        <v>0.96730000000000005</v>
      </c>
      <c r="E2368" s="28">
        <v>3.27E-2</v>
      </c>
      <c r="F2368" s="29"/>
      <c r="G2368" s="29"/>
      <c r="H2368" s="29" t="s">
        <v>353</v>
      </c>
    </row>
    <row r="2369" spans="1:8" x14ac:dyDescent="0.35">
      <c r="A2369" s="27" t="s">
        <v>230</v>
      </c>
      <c r="B2369" s="27" t="s">
        <v>234</v>
      </c>
      <c r="C2369" s="27" t="s">
        <v>224</v>
      </c>
      <c r="D2369" s="28">
        <v>0.69820000000000004</v>
      </c>
      <c r="E2369" s="28">
        <v>0.30180000000000001</v>
      </c>
      <c r="F2369" s="29"/>
      <c r="G2369" s="29"/>
      <c r="H2369" s="29" t="s">
        <v>312</v>
      </c>
    </row>
    <row r="2370" spans="1:8" x14ac:dyDescent="0.35">
      <c r="A2370" s="27" t="s">
        <v>230</v>
      </c>
      <c r="B2370" s="27" t="s">
        <v>235</v>
      </c>
      <c r="C2370" s="27" t="s">
        <v>224</v>
      </c>
      <c r="D2370" s="28">
        <v>0.84570000000000001</v>
      </c>
      <c r="E2370" s="28">
        <v>0.15429999999999999</v>
      </c>
      <c r="F2370" s="29"/>
      <c r="G2370" s="29"/>
      <c r="H2370" s="29" t="s">
        <v>341</v>
      </c>
    </row>
    <row r="2371" spans="1:8" x14ac:dyDescent="0.35">
      <c r="A2371" s="27" t="s">
        <v>231</v>
      </c>
      <c r="B2371" s="27" t="s">
        <v>235</v>
      </c>
      <c r="C2371" s="27" t="s">
        <v>222</v>
      </c>
      <c r="D2371" s="28">
        <v>1</v>
      </c>
      <c r="E2371" s="29"/>
      <c r="F2371" s="29"/>
      <c r="G2371" s="29"/>
      <c r="H2371" s="29" t="s">
        <v>346</v>
      </c>
    </row>
    <row r="2372" spans="1:8" x14ac:dyDescent="0.35">
      <c r="A2372" s="27" t="s">
        <v>231</v>
      </c>
      <c r="B2372" s="27" t="s">
        <v>234</v>
      </c>
      <c r="C2372" s="27" t="s">
        <v>225</v>
      </c>
      <c r="D2372" s="28">
        <v>1</v>
      </c>
      <c r="E2372" s="29"/>
      <c r="F2372" s="29"/>
      <c r="G2372" s="29"/>
      <c r="H2372" s="29" t="s">
        <v>337</v>
      </c>
    </row>
    <row r="2373" spans="1:8" x14ac:dyDescent="0.35">
      <c r="A2373" s="27" t="s">
        <v>231</v>
      </c>
      <c r="B2373" s="27" t="s">
        <v>235</v>
      </c>
      <c r="C2373" s="27" t="s">
        <v>225</v>
      </c>
      <c r="D2373" s="28">
        <v>1</v>
      </c>
      <c r="E2373" s="29"/>
      <c r="F2373" s="29"/>
      <c r="G2373" s="29"/>
      <c r="H2373" s="29" t="s">
        <v>337</v>
      </c>
    </row>
    <row r="2374" spans="1:8" x14ac:dyDescent="0.35">
      <c r="A2374" s="27" t="s">
        <v>231</v>
      </c>
      <c r="B2374" s="27" t="s">
        <v>234</v>
      </c>
      <c r="C2374" s="27" t="s">
        <v>224</v>
      </c>
      <c r="D2374" s="28">
        <v>1</v>
      </c>
      <c r="E2374" s="29"/>
      <c r="F2374" s="29"/>
      <c r="G2374" s="29"/>
      <c r="H2374" s="29" t="s">
        <v>337</v>
      </c>
    </row>
    <row r="2375" spans="1:8" x14ac:dyDescent="0.35">
      <c r="A2375" s="27" t="s">
        <v>231</v>
      </c>
      <c r="B2375" s="27" t="s">
        <v>234</v>
      </c>
      <c r="C2375" s="27" t="s">
        <v>223</v>
      </c>
      <c r="D2375" s="28">
        <v>1</v>
      </c>
      <c r="E2375" s="29"/>
      <c r="F2375" s="29"/>
      <c r="G2375" s="29"/>
      <c r="H2375" s="29" t="s">
        <v>333</v>
      </c>
    </row>
    <row r="2376" spans="1:8" x14ac:dyDescent="0.35">
      <c r="A2376" s="27" t="s">
        <v>231</v>
      </c>
      <c r="B2376" s="27" t="s">
        <v>235</v>
      </c>
      <c r="C2376" s="27" t="s">
        <v>220</v>
      </c>
      <c r="D2376" s="28">
        <v>0.9375</v>
      </c>
      <c r="E2376" s="28">
        <v>6.25E-2</v>
      </c>
      <c r="F2376" s="29"/>
      <c r="G2376" s="29"/>
      <c r="H2376" s="29" t="s">
        <v>348</v>
      </c>
    </row>
    <row r="2377" spans="1:8" x14ac:dyDescent="0.35">
      <c r="A2377" t="s">
        <v>231</v>
      </c>
      <c r="B2377" t="s">
        <v>234</v>
      </c>
      <c r="C2377" t="s">
        <v>221</v>
      </c>
      <c r="D2377" s="26">
        <v>0.8</v>
      </c>
      <c r="E2377" s="26">
        <v>0.2</v>
      </c>
      <c r="H2377">
        <v>30</v>
      </c>
    </row>
    <row r="2378" spans="1:8" x14ac:dyDescent="0.35">
      <c r="A2378" s="27" t="s">
        <v>231</v>
      </c>
      <c r="B2378" s="27" t="s">
        <v>235</v>
      </c>
      <c r="C2378" s="27" t="s">
        <v>221</v>
      </c>
      <c r="D2378" s="28">
        <v>0.73680000000000001</v>
      </c>
      <c r="E2378" s="28">
        <v>0.26319999999999999</v>
      </c>
      <c r="F2378" s="29"/>
      <c r="G2378" s="29"/>
      <c r="H2378" s="29" t="s">
        <v>349</v>
      </c>
    </row>
    <row r="2379" spans="1:8" x14ac:dyDescent="0.35">
      <c r="A2379" s="27" t="s">
        <v>231</v>
      </c>
      <c r="B2379" s="27" t="s">
        <v>234</v>
      </c>
      <c r="C2379" s="27" t="s">
        <v>220</v>
      </c>
      <c r="D2379" s="28">
        <v>0.86360000000000003</v>
      </c>
      <c r="E2379" s="28">
        <v>9.0899999999999995E-2</v>
      </c>
      <c r="F2379" s="28">
        <v>4.5499999999999999E-2</v>
      </c>
      <c r="G2379" s="29"/>
      <c r="H2379" s="29" t="s">
        <v>347</v>
      </c>
    </row>
    <row r="2380" spans="1:8" x14ac:dyDescent="0.35">
      <c r="A2380" s="27" t="s">
        <v>231</v>
      </c>
      <c r="B2380" s="27" t="s">
        <v>235</v>
      </c>
      <c r="C2380" s="27" t="s">
        <v>223</v>
      </c>
      <c r="D2380" s="28">
        <v>1</v>
      </c>
      <c r="E2380" s="29"/>
      <c r="F2380" s="29"/>
      <c r="G2380" s="29"/>
      <c r="H2380" s="29" t="s">
        <v>307</v>
      </c>
    </row>
    <row r="2381" spans="1:8" x14ac:dyDescent="0.35">
      <c r="A2381" t="s">
        <v>231</v>
      </c>
      <c r="B2381" t="s">
        <v>234</v>
      </c>
      <c r="C2381" t="s">
        <v>222</v>
      </c>
      <c r="D2381" s="26">
        <v>0.88239999999999996</v>
      </c>
      <c r="E2381" s="26">
        <v>0.1176</v>
      </c>
      <c r="H2381">
        <v>34</v>
      </c>
    </row>
    <row r="2382" spans="1:8" x14ac:dyDescent="0.35">
      <c r="A2382" s="27" t="s">
        <v>231</v>
      </c>
      <c r="B2382" s="27" t="s">
        <v>235</v>
      </c>
      <c r="C2382" s="27" t="s">
        <v>224</v>
      </c>
      <c r="D2382" s="28">
        <v>0.5</v>
      </c>
      <c r="E2382" s="28">
        <v>0.5</v>
      </c>
      <c r="F2382" s="29"/>
      <c r="G2382" s="29"/>
      <c r="H2382" s="29" t="s">
        <v>337</v>
      </c>
    </row>
    <row r="2383" spans="1:8" x14ac:dyDescent="0.35">
      <c r="A2383" t="s">
        <v>232</v>
      </c>
      <c r="B2383" t="s">
        <v>232</v>
      </c>
      <c r="C2383" t="s">
        <v>232</v>
      </c>
      <c r="D2383" s="26">
        <v>0.83279999999999998</v>
      </c>
      <c r="E2383" s="26">
        <v>0.16070000000000001</v>
      </c>
      <c r="F2383" s="26">
        <v>5.5999999999999999E-3</v>
      </c>
      <c r="G2383" s="26">
        <v>8.9999999999999998E-4</v>
      </c>
      <c r="H2383">
        <v>2837</v>
      </c>
    </row>
    <row r="2385" spans="1:14" x14ac:dyDescent="0.35">
      <c r="A2385" s="1" t="s">
        <v>509</v>
      </c>
    </row>
    <row r="2386" spans="1:14" x14ac:dyDescent="0.35">
      <c r="A2386" t="s">
        <v>219</v>
      </c>
      <c r="B2386" t="s">
        <v>510</v>
      </c>
      <c r="C2386" t="s">
        <v>511</v>
      </c>
      <c r="D2386" t="s">
        <v>512</v>
      </c>
      <c r="E2386" t="s">
        <v>513</v>
      </c>
      <c r="F2386" t="s">
        <v>514</v>
      </c>
      <c r="G2386" t="s">
        <v>515</v>
      </c>
      <c r="H2386" t="s">
        <v>516</v>
      </c>
      <c r="I2386" t="s">
        <v>517</v>
      </c>
      <c r="J2386" t="s">
        <v>286</v>
      </c>
      <c r="K2386" t="s">
        <v>518</v>
      </c>
      <c r="L2386" t="s">
        <v>281</v>
      </c>
      <c r="M2386" t="s">
        <v>226</v>
      </c>
    </row>
    <row r="2387" spans="1:14" x14ac:dyDescent="0.35">
      <c r="A2387" s="27" t="s">
        <v>227</v>
      </c>
      <c r="B2387" s="28">
        <v>0.55559999999999998</v>
      </c>
      <c r="C2387" s="28">
        <v>0.1111</v>
      </c>
      <c r="D2387" s="28">
        <v>0.33329999999999999</v>
      </c>
      <c r="E2387" s="28">
        <v>5.5599999999999997E-2</v>
      </c>
      <c r="F2387" s="28">
        <v>5.5599999999999997E-2</v>
      </c>
      <c r="G2387" s="28">
        <v>5.5599999999999997E-2</v>
      </c>
      <c r="H2387" s="28">
        <v>5.5599999999999997E-2</v>
      </c>
      <c r="I2387" s="29"/>
      <c r="J2387" s="29"/>
      <c r="K2387" s="29"/>
      <c r="L2387" s="29"/>
      <c r="M2387" s="29" t="s">
        <v>353</v>
      </c>
    </row>
    <row r="2388" spans="1:14" x14ac:dyDescent="0.35">
      <c r="A2388" t="s">
        <v>228</v>
      </c>
      <c r="B2388" s="26">
        <v>0.33429999999999999</v>
      </c>
      <c r="C2388" s="26">
        <v>0.17780000000000001</v>
      </c>
      <c r="D2388" s="26">
        <v>0.2467</v>
      </c>
      <c r="E2388" s="26">
        <v>0.104</v>
      </c>
      <c r="F2388" s="26">
        <v>0.1158</v>
      </c>
      <c r="G2388" s="26">
        <v>6.3200000000000006E-2</v>
      </c>
      <c r="H2388" s="26">
        <v>0.1026</v>
      </c>
      <c r="I2388" s="26">
        <v>6.88E-2</v>
      </c>
      <c r="J2388" s="26">
        <v>1.72E-2</v>
      </c>
      <c r="M2388">
        <v>191</v>
      </c>
    </row>
    <row r="2389" spans="1:14" x14ac:dyDescent="0.35">
      <c r="A2389" t="s">
        <v>229</v>
      </c>
      <c r="B2389" s="26">
        <v>0.32479999999999998</v>
      </c>
      <c r="C2389" s="26">
        <v>0.34470000000000001</v>
      </c>
      <c r="D2389" s="26">
        <v>0.28899999999999998</v>
      </c>
      <c r="E2389" s="26">
        <v>0.19670000000000001</v>
      </c>
      <c r="F2389" s="26">
        <v>3.0599999999999999E-2</v>
      </c>
      <c r="G2389" s="26">
        <v>2.07E-2</v>
      </c>
      <c r="H2389" s="26">
        <v>2.8000000000000001E-2</v>
      </c>
      <c r="I2389" s="26">
        <v>2.3800000000000002E-2</v>
      </c>
      <c r="K2389" s="26">
        <v>1.15E-2</v>
      </c>
      <c r="L2389" s="26">
        <v>3.0999999999999999E-3</v>
      </c>
      <c r="M2389">
        <v>131</v>
      </c>
    </row>
    <row r="2390" spans="1:14" x14ac:dyDescent="0.35">
      <c r="A2390" t="s">
        <v>230</v>
      </c>
      <c r="B2390" s="26">
        <v>0.34849999999999998</v>
      </c>
      <c r="C2390" s="26">
        <v>0.2858</v>
      </c>
      <c r="D2390" s="26">
        <v>0.25309999999999999</v>
      </c>
      <c r="E2390" s="26">
        <v>0.1216</v>
      </c>
      <c r="F2390" s="26">
        <v>8.0699999999999994E-2</v>
      </c>
      <c r="G2390" s="26">
        <v>7.2800000000000004E-2</v>
      </c>
      <c r="H2390" s="26">
        <v>3.6200000000000003E-2</v>
      </c>
      <c r="I2390" s="26">
        <v>2.9899999999999999E-2</v>
      </c>
      <c r="K2390" s="26">
        <v>4.7000000000000002E-3</v>
      </c>
      <c r="L2390" s="26">
        <v>6.1999999999999998E-3</v>
      </c>
      <c r="M2390">
        <v>98</v>
      </c>
    </row>
    <row r="2391" spans="1:14" x14ac:dyDescent="0.35">
      <c r="A2391" s="27" t="s">
        <v>231</v>
      </c>
      <c r="B2391" s="28">
        <v>0.35</v>
      </c>
      <c r="C2391" s="28">
        <v>0.35</v>
      </c>
      <c r="D2391" s="28">
        <v>0.1</v>
      </c>
      <c r="E2391" s="28">
        <v>0.05</v>
      </c>
      <c r="F2391" s="28">
        <v>0.15</v>
      </c>
      <c r="G2391" s="28">
        <v>0.15</v>
      </c>
      <c r="H2391" s="28">
        <v>0.1</v>
      </c>
      <c r="I2391" s="28">
        <v>0.05</v>
      </c>
      <c r="J2391" s="28">
        <v>0.05</v>
      </c>
      <c r="K2391" s="29"/>
      <c r="L2391" s="29"/>
      <c r="M2391" s="29" t="s">
        <v>350</v>
      </c>
    </row>
    <row r="2392" spans="1:14" x14ac:dyDescent="0.35">
      <c r="A2392" t="s">
        <v>232</v>
      </c>
      <c r="B2392" s="26">
        <v>0.35770000000000002</v>
      </c>
      <c r="C2392" s="26">
        <v>0.2787</v>
      </c>
      <c r="D2392" s="26">
        <v>0.24249999999999999</v>
      </c>
      <c r="E2392" s="26">
        <v>0.1245</v>
      </c>
      <c r="F2392" s="26">
        <v>8.1299999999999997E-2</v>
      </c>
      <c r="G2392" s="26">
        <v>6.5100000000000005E-2</v>
      </c>
      <c r="H2392" s="26">
        <v>6.2600000000000003E-2</v>
      </c>
      <c r="I2392" s="26">
        <v>3.73E-2</v>
      </c>
      <c r="J2392" s="26">
        <v>1.38E-2</v>
      </c>
      <c r="K2392" s="26">
        <v>4.7999999999999996E-3</v>
      </c>
      <c r="L2392" s="26">
        <v>1.8E-3</v>
      </c>
      <c r="M2392">
        <v>458</v>
      </c>
    </row>
    <row r="2394" spans="1:14" x14ac:dyDescent="0.35">
      <c r="A2394" s="1" t="s">
        <v>519</v>
      </c>
    </row>
    <row r="2395" spans="1:14" x14ac:dyDescent="0.35">
      <c r="A2395" t="s">
        <v>219</v>
      </c>
      <c r="B2395" t="s">
        <v>305</v>
      </c>
      <c r="C2395" t="s">
        <v>510</v>
      </c>
      <c r="D2395" t="s">
        <v>511</v>
      </c>
      <c r="E2395" t="s">
        <v>512</v>
      </c>
      <c r="F2395" t="s">
        <v>513</v>
      </c>
      <c r="G2395" t="s">
        <v>514</v>
      </c>
      <c r="H2395" t="s">
        <v>515</v>
      </c>
      <c r="I2395" t="s">
        <v>516</v>
      </c>
      <c r="J2395" t="s">
        <v>517</v>
      </c>
      <c r="K2395" t="s">
        <v>286</v>
      </c>
      <c r="L2395" t="s">
        <v>518</v>
      </c>
      <c r="M2395" t="s">
        <v>281</v>
      </c>
      <c r="N2395" t="s">
        <v>226</v>
      </c>
    </row>
    <row r="2396" spans="1:14" x14ac:dyDescent="0.35">
      <c r="A2396" s="27" t="s">
        <v>227</v>
      </c>
      <c r="B2396" s="27" t="s">
        <v>242</v>
      </c>
      <c r="C2396" s="28">
        <v>0.46150000000000002</v>
      </c>
      <c r="D2396" s="28">
        <v>0.15379999999999999</v>
      </c>
      <c r="E2396" s="28">
        <v>0.30769999999999997</v>
      </c>
      <c r="F2396" s="28">
        <v>7.6899999999999996E-2</v>
      </c>
      <c r="G2396" s="28">
        <v>7.6899999999999996E-2</v>
      </c>
      <c r="H2396" s="28">
        <v>7.6899999999999996E-2</v>
      </c>
      <c r="I2396" s="28">
        <v>7.6899999999999996E-2</v>
      </c>
      <c r="J2396" s="29"/>
      <c r="K2396" s="29"/>
      <c r="L2396" s="29"/>
      <c r="M2396" s="29"/>
      <c r="N2396" s="29" t="s">
        <v>341</v>
      </c>
    </row>
    <row r="2397" spans="1:14" x14ac:dyDescent="0.35">
      <c r="A2397" s="27" t="s">
        <v>227</v>
      </c>
      <c r="B2397" s="27" t="s">
        <v>241</v>
      </c>
      <c r="C2397" s="28">
        <v>0.8</v>
      </c>
      <c r="D2397" s="29"/>
      <c r="E2397" s="28">
        <v>0.4</v>
      </c>
      <c r="F2397" s="29"/>
      <c r="G2397" s="29"/>
      <c r="H2397" s="29"/>
      <c r="I2397" s="29"/>
      <c r="J2397" s="29"/>
      <c r="K2397" s="29"/>
      <c r="L2397" s="29"/>
      <c r="M2397" s="29"/>
      <c r="N2397" s="29" t="s">
        <v>332</v>
      </c>
    </row>
    <row r="2398" spans="1:14" x14ac:dyDescent="0.35">
      <c r="A2398" t="s">
        <v>228</v>
      </c>
      <c r="B2398" t="s">
        <v>242</v>
      </c>
      <c r="C2398" s="26">
        <v>0.3458</v>
      </c>
      <c r="D2398" s="26">
        <v>0.14430000000000001</v>
      </c>
      <c r="E2398" s="26">
        <v>0.2336</v>
      </c>
      <c r="F2398" s="26">
        <v>0.12620000000000001</v>
      </c>
      <c r="G2398" s="26">
        <v>0.13139999999999999</v>
      </c>
      <c r="H2398" s="26">
        <v>8.0199999999999994E-2</v>
      </c>
      <c r="I2398" s="26">
        <v>0.1061</v>
      </c>
      <c r="J2398" s="26">
        <v>0.12180000000000001</v>
      </c>
      <c r="N2398">
        <v>112</v>
      </c>
    </row>
    <row r="2399" spans="1:14" x14ac:dyDescent="0.35">
      <c r="A2399" t="s">
        <v>228</v>
      </c>
      <c r="B2399" t="s">
        <v>241</v>
      </c>
      <c r="C2399" s="26">
        <v>0.31919999999999998</v>
      </c>
      <c r="D2399" s="26">
        <v>0.22120000000000001</v>
      </c>
      <c r="E2399" s="26">
        <v>0.2636</v>
      </c>
      <c r="F2399" s="26">
        <v>7.5200000000000003E-2</v>
      </c>
      <c r="G2399" s="26">
        <v>9.5600000000000004E-2</v>
      </c>
      <c r="H2399" s="26">
        <v>4.1099999999999998E-2</v>
      </c>
      <c r="I2399" s="26">
        <v>9.8000000000000004E-2</v>
      </c>
      <c r="K2399" s="26">
        <v>3.9600000000000003E-2</v>
      </c>
      <c r="N2399">
        <v>79</v>
      </c>
    </row>
    <row r="2400" spans="1:14" x14ac:dyDescent="0.35">
      <c r="A2400" t="s">
        <v>229</v>
      </c>
      <c r="B2400" t="s">
        <v>242</v>
      </c>
      <c r="C2400" s="26">
        <v>0.4047</v>
      </c>
      <c r="D2400" s="26">
        <v>0.3044</v>
      </c>
      <c r="E2400" s="26">
        <v>0.33439999999999998</v>
      </c>
      <c r="F2400" s="26">
        <v>0.21790000000000001</v>
      </c>
      <c r="G2400" s="26">
        <v>1.89E-2</v>
      </c>
      <c r="H2400" s="26">
        <v>2.9399999999999999E-2</v>
      </c>
      <c r="I2400" s="26">
        <v>5.9999999999999995E-4</v>
      </c>
      <c r="J2400" s="26">
        <v>1.78E-2</v>
      </c>
      <c r="L2400" s="26">
        <v>1.67E-2</v>
      </c>
      <c r="N2400">
        <v>89</v>
      </c>
    </row>
    <row r="2401" spans="1:14" x14ac:dyDescent="0.35">
      <c r="A2401" t="s">
        <v>229</v>
      </c>
      <c r="B2401" t="s">
        <v>241</v>
      </c>
      <c r="C2401" s="26">
        <v>0.14710000000000001</v>
      </c>
      <c r="D2401" s="26">
        <v>0.43419999999999997</v>
      </c>
      <c r="E2401" s="26">
        <v>0.18790000000000001</v>
      </c>
      <c r="F2401" s="26">
        <v>0.14960000000000001</v>
      </c>
      <c r="G2401" s="26">
        <v>5.6800000000000003E-2</v>
      </c>
      <c r="H2401" s="26">
        <v>1.4E-3</v>
      </c>
      <c r="I2401" s="26">
        <v>8.8800000000000004E-2</v>
      </c>
      <c r="J2401" s="26">
        <v>3.7100000000000001E-2</v>
      </c>
      <c r="M2401" s="26">
        <v>9.9000000000000008E-3</v>
      </c>
      <c r="N2401">
        <v>42</v>
      </c>
    </row>
    <row r="2402" spans="1:14" x14ac:dyDescent="0.35">
      <c r="A2402" t="s">
        <v>230</v>
      </c>
      <c r="B2402" t="s">
        <v>242</v>
      </c>
      <c r="C2402" s="26">
        <v>0.39860000000000001</v>
      </c>
      <c r="D2402" s="26">
        <v>0.159</v>
      </c>
      <c r="E2402" s="26">
        <v>0.33300000000000002</v>
      </c>
      <c r="F2402" s="26">
        <v>0.12470000000000001</v>
      </c>
      <c r="G2402" s="26">
        <v>0.12790000000000001</v>
      </c>
      <c r="H2402" s="26">
        <v>8.0999999999999996E-3</v>
      </c>
      <c r="I2402" s="26">
        <v>1.29E-2</v>
      </c>
      <c r="J2402" s="26">
        <v>5.0299999999999997E-2</v>
      </c>
      <c r="L2402" s="26">
        <v>7.9000000000000008E-3</v>
      </c>
      <c r="M2402" s="26">
        <v>2.3999999999999998E-3</v>
      </c>
      <c r="N2402">
        <v>55</v>
      </c>
    </row>
    <row r="2403" spans="1:14" x14ac:dyDescent="0.35">
      <c r="A2403" t="s">
        <v>230</v>
      </c>
      <c r="B2403" t="s">
        <v>241</v>
      </c>
      <c r="C2403" s="26">
        <v>0.27510000000000001</v>
      </c>
      <c r="D2403" s="26">
        <v>0.4718</v>
      </c>
      <c r="E2403" s="26">
        <v>0.13569999999999999</v>
      </c>
      <c r="F2403" s="26">
        <v>0.1171</v>
      </c>
      <c r="G2403" s="26">
        <v>1.1599999999999999E-2</v>
      </c>
      <c r="H2403" s="26">
        <v>0.16769999999999999</v>
      </c>
      <c r="I2403" s="26">
        <v>7.0199999999999999E-2</v>
      </c>
      <c r="M2403" s="26">
        <v>1.18E-2</v>
      </c>
      <c r="N2403">
        <v>43</v>
      </c>
    </row>
    <row r="2404" spans="1:14" x14ac:dyDescent="0.35">
      <c r="A2404" s="27" t="s">
        <v>231</v>
      </c>
      <c r="B2404" s="27" t="s">
        <v>242</v>
      </c>
      <c r="C2404" s="28">
        <v>0.375</v>
      </c>
      <c r="D2404" s="28">
        <v>0.375</v>
      </c>
      <c r="E2404" s="28">
        <v>0.125</v>
      </c>
      <c r="F2404" s="28">
        <v>0.125</v>
      </c>
      <c r="G2404" s="28">
        <v>0.125</v>
      </c>
      <c r="H2404" s="28">
        <v>0.375</v>
      </c>
      <c r="I2404" s="28">
        <v>0.125</v>
      </c>
      <c r="J2404" s="28">
        <v>0.125</v>
      </c>
      <c r="K2404" s="29"/>
      <c r="L2404" s="29"/>
      <c r="M2404" s="29"/>
      <c r="N2404" s="29" t="s">
        <v>333</v>
      </c>
    </row>
    <row r="2405" spans="1:14" x14ac:dyDescent="0.35">
      <c r="A2405" s="27" t="s">
        <v>231</v>
      </c>
      <c r="B2405" s="27" t="s">
        <v>241</v>
      </c>
      <c r="C2405" s="28">
        <v>0.33329999999999999</v>
      </c>
      <c r="D2405" s="28">
        <v>0.33329999999999999</v>
      </c>
      <c r="E2405" s="28">
        <v>8.3299999999999999E-2</v>
      </c>
      <c r="F2405" s="29"/>
      <c r="G2405" s="28">
        <v>0.16669999999999999</v>
      </c>
      <c r="H2405" s="29"/>
      <c r="I2405" s="28">
        <v>8.3299999999999999E-2</v>
      </c>
      <c r="J2405" s="29"/>
      <c r="K2405" s="28">
        <v>8.3299999999999999E-2</v>
      </c>
      <c r="L2405" s="29"/>
      <c r="M2405" s="29"/>
      <c r="N2405" s="29" t="s">
        <v>342</v>
      </c>
    </row>
    <row r="2406" spans="1:14" x14ac:dyDescent="0.35">
      <c r="A2406" t="s">
        <v>232</v>
      </c>
      <c r="B2406" t="s">
        <v>232</v>
      </c>
      <c r="C2406" s="26">
        <v>0.35770000000000002</v>
      </c>
      <c r="D2406" s="26">
        <v>0.2787</v>
      </c>
      <c r="E2406" s="26">
        <v>0.24249999999999999</v>
      </c>
      <c r="F2406" s="26">
        <v>0.1245</v>
      </c>
      <c r="G2406" s="26">
        <v>8.1299999999999997E-2</v>
      </c>
      <c r="H2406" s="26">
        <v>6.5100000000000005E-2</v>
      </c>
      <c r="I2406" s="26">
        <v>6.2600000000000003E-2</v>
      </c>
      <c r="J2406" s="26">
        <v>3.73E-2</v>
      </c>
      <c r="K2406" s="26">
        <v>1.38E-2</v>
      </c>
      <c r="L2406" s="26">
        <v>4.7999999999999996E-3</v>
      </c>
      <c r="M2406" s="26">
        <v>1.8E-3</v>
      </c>
      <c r="N2406">
        <v>458</v>
      </c>
    </row>
    <row r="2408" spans="1:14" x14ac:dyDescent="0.35">
      <c r="A2408" s="1" t="s">
        <v>520</v>
      </c>
    </row>
    <row r="2409" spans="1:14" x14ac:dyDescent="0.35">
      <c r="A2409" t="s">
        <v>219</v>
      </c>
      <c r="B2409" t="s">
        <v>305</v>
      </c>
      <c r="C2409" t="s">
        <v>510</v>
      </c>
      <c r="D2409" t="s">
        <v>511</v>
      </c>
      <c r="E2409" t="s">
        <v>512</v>
      </c>
      <c r="F2409" t="s">
        <v>513</v>
      </c>
      <c r="G2409" t="s">
        <v>514</v>
      </c>
      <c r="H2409" t="s">
        <v>515</v>
      </c>
      <c r="I2409" t="s">
        <v>516</v>
      </c>
      <c r="J2409" t="s">
        <v>517</v>
      </c>
      <c r="K2409" t="s">
        <v>286</v>
      </c>
      <c r="L2409" t="s">
        <v>518</v>
      </c>
      <c r="M2409" t="s">
        <v>281</v>
      </c>
      <c r="N2409" t="s">
        <v>226</v>
      </c>
    </row>
    <row r="2410" spans="1:14" x14ac:dyDescent="0.35">
      <c r="A2410" s="27" t="s">
        <v>227</v>
      </c>
      <c r="B2410" s="27" t="s">
        <v>239</v>
      </c>
      <c r="C2410" s="28">
        <v>0.66669999999999996</v>
      </c>
      <c r="D2410" s="28">
        <v>0.1111</v>
      </c>
      <c r="E2410" s="28">
        <v>0.44440000000000002</v>
      </c>
      <c r="F2410" s="29"/>
      <c r="G2410" s="29"/>
      <c r="H2410" s="29"/>
      <c r="I2410" s="29"/>
      <c r="J2410" s="29"/>
      <c r="K2410" s="29"/>
      <c r="L2410" s="29"/>
      <c r="M2410" s="29"/>
      <c r="N2410" s="29" t="s">
        <v>334</v>
      </c>
    </row>
    <row r="2411" spans="1:14" x14ac:dyDescent="0.35">
      <c r="A2411" s="27" t="s">
        <v>227</v>
      </c>
      <c r="B2411" s="27" t="s">
        <v>238</v>
      </c>
      <c r="C2411" s="28">
        <v>0.44440000000000002</v>
      </c>
      <c r="D2411" s="28">
        <v>0.1111</v>
      </c>
      <c r="E2411" s="28">
        <v>0.22220000000000001</v>
      </c>
      <c r="F2411" s="28">
        <v>0.1111</v>
      </c>
      <c r="G2411" s="28">
        <v>0.1111</v>
      </c>
      <c r="H2411" s="28">
        <v>0.1111</v>
      </c>
      <c r="I2411" s="28">
        <v>0.1111</v>
      </c>
      <c r="J2411" s="29"/>
      <c r="K2411" s="29"/>
      <c r="L2411" s="29"/>
      <c r="M2411" s="29"/>
      <c r="N2411" s="29" t="s">
        <v>334</v>
      </c>
    </row>
    <row r="2412" spans="1:14" x14ac:dyDescent="0.35">
      <c r="A2412" t="s">
        <v>228</v>
      </c>
      <c r="B2412" t="s">
        <v>239</v>
      </c>
      <c r="C2412" s="26">
        <v>0.3387</v>
      </c>
      <c r="D2412" s="26">
        <v>0.254</v>
      </c>
      <c r="E2412" s="26">
        <v>0.29920000000000002</v>
      </c>
      <c r="F2412" s="26">
        <v>0.15290000000000001</v>
      </c>
      <c r="G2412" s="26">
        <v>0.1086</v>
      </c>
      <c r="H2412" s="26">
        <v>1.5699999999999999E-2</v>
      </c>
      <c r="I2412" s="26">
        <v>0.15890000000000001</v>
      </c>
      <c r="J2412" s="26">
        <v>1.0800000000000001E-2</v>
      </c>
      <c r="N2412">
        <v>55</v>
      </c>
    </row>
    <row r="2413" spans="1:14" x14ac:dyDescent="0.35">
      <c r="A2413" t="s">
        <v>228</v>
      </c>
      <c r="B2413" t="s">
        <v>238</v>
      </c>
      <c r="C2413" s="26">
        <v>0.3332</v>
      </c>
      <c r="D2413" s="26">
        <v>0.15890000000000001</v>
      </c>
      <c r="E2413" s="26">
        <v>0.23369999999999999</v>
      </c>
      <c r="F2413" s="26">
        <v>9.1999999999999998E-2</v>
      </c>
      <c r="G2413" s="26">
        <v>0.1176</v>
      </c>
      <c r="H2413" s="26">
        <v>7.4899999999999994E-2</v>
      </c>
      <c r="I2413" s="26">
        <v>8.8599999999999998E-2</v>
      </c>
      <c r="J2413" s="26">
        <v>8.3099999999999993E-2</v>
      </c>
      <c r="K2413" s="26">
        <v>2.1499999999999998E-2</v>
      </c>
      <c r="N2413">
        <v>136</v>
      </c>
    </row>
    <row r="2414" spans="1:14" x14ac:dyDescent="0.35">
      <c r="A2414" t="s">
        <v>229</v>
      </c>
      <c r="B2414" t="s">
        <v>239</v>
      </c>
      <c r="C2414" s="26">
        <v>0.35880000000000001</v>
      </c>
      <c r="D2414" s="26">
        <v>0.1988</v>
      </c>
      <c r="E2414" s="26">
        <v>0.25719999999999998</v>
      </c>
      <c r="F2414" s="26">
        <v>0.32700000000000001</v>
      </c>
      <c r="G2414" s="26">
        <v>2.0999999999999999E-3</v>
      </c>
      <c r="H2414" s="26">
        <v>9.7000000000000003E-3</v>
      </c>
      <c r="I2414" s="26">
        <v>1.1999999999999999E-3</v>
      </c>
      <c r="J2414" s="26">
        <v>6.3500000000000001E-2</v>
      </c>
      <c r="M2414" s="26">
        <v>8.3999999999999995E-3</v>
      </c>
      <c r="N2414">
        <v>44</v>
      </c>
    </row>
    <row r="2415" spans="1:14" x14ac:dyDescent="0.35">
      <c r="A2415" t="s">
        <v>229</v>
      </c>
      <c r="B2415" t="s">
        <v>238</v>
      </c>
      <c r="C2415" s="26">
        <v>0.3054</v>
      </c>
      <c r="D2415" s="26">
        <v>0.42780000000000001</v>
      </c>
      <c r="E2415" s="26">
        <v>0.30709999999999998</v>
      </c>
      <c r="F2415" s="26">
        <v>0.1226</v>
      </c>
      <c r="G2415" s="26">
        <v>4.6899999999999997E-2</v>
      </c>
      <c r="H2415" s="26">
        <v>2.7099999999999999E-2</v>
      </c>
      <c r="I2415" s="26">
        <v>4.3200000000000002E-2</v>
      </c>
      <c r="J2415" s="26">
        <v>1.1999999999999999E-3</v>
      </c>
      <c r="L2415" s="26">
        <v>1.8100000000000002E-2</v>
      </c>
      <c r="N2415">
        <v>87</v>
      </c>
    </row>
    <row r="2416" spans="1:14" x14ac:dyDescent="0.35">
      <c r="A2416" t="s">
        <v>230</v>
      </c>
      <c r="B2416" t="s">
        <v>239</v>
      </c>
      <c r="C2416" s="26">
        <v>0.36670000000000003</v>
      </c>
      <c r="D2416" s="26">
        <v>0.30170000000000002</v>
      </c>
      <c r="E2416" s="26">
        <v>0.2422</v>
      </c>
      <c r="F2416" s="26">
        <v>6.9000000000000006E-2</v>
      </c>
      <c r="G2416" s="26">
        <v>7.9000000000000001E-2</v>
      </c>
      <c r="H2416" s="26">
        <v>7.9000000000000001E-2</v>
      </c>
      <c r="I2416" s="26">
        <v>6.9000000000000006E-2</v>
      </c>
      <c r="J2416" s="26">
        <v>3.0000000000000001E-3</v>
      </c>
      <c r="L2416" s="26">
        <v>9.7000000000000003E-3</v>
      </c>
      <c r="N2416">
        <v>47</v>
      </c>
    </row>
    <row r="2417" spans="1:14" x14ac:dyDescent="0.35">
      <c r="A2417" t="s">
        <v>230</v>
      </c>
      <c r="B2417" t="s">
        <v>238</v>
      </c>
      <c r="C2417" s="26">
        <v>0.33160000000000001</v>
      </c>
      <c r="D2417" s="26">
        <v>0.27110000000000001</v>
      </c>
      <c r="E2417" s="26">
        <v>0.26319999999999999</v>
      </c>
      <c r="F2417" s="26">
        <v>0.17050000000000001</v>
      </c>
      <c r="G2417" s="26">
        <v>8.2400000000000001E-2</v>
      </c>
      <c r="H2417" s="26">
        <v>6.7100000000000007E-2</v>
      </c>
      <c r="I2417" s="26">
        <v>5.5999999999999999E-3</v>
      </c>
      <c r="J2417" s="26">
        <v>5.5E-2</v>
      </c>
      <c r="M2417" s="26">
        <v>1.21E-2</v>
      </c>
      <c r="N2417">
        <v>51</v>
      </c>
    </row>
    <row r="2418" spans="1:14" x14ac:dyDescent="0.35">
      <c r="A2418" s="27" t="s">
        <v>231</v>
      </c>
      <c r="B2418" s="27" t="s">
        <v>239</v>
      </c>
      <c r="C2418" s="28">
        <v>0.5</v>
      </c>
      <c r="D2418" s="28">
        <v>0.625</v>
      </c>
      <c r="E2418" s="29"/>
      <c r="F2418" s="28">
        <v>0.125</v>
      </c>
      <c r="G2418" s="28">
        <v>0.125</v>
      </c>
      <c r="H2418" s="28">
        <v>0.125</v>
      </c>
      <c r="I2418" s="28">
        <v>0.125</v>
      </c>
      <c r="J2418" s="28">
        <v>0.125</v>
      </c>
      <c r="K2418" s="28">
        <v>0.125</v>
      </c>
      <c r="L2418" s="29"/>
      <c r="M2418" s="29"/>
      <c r="N2418" s="29" t="s">
        <v>333</v>
      </c>
    </row>
    <row r="2419" spans="1:14" x14ac:dyDescent="0.35">
      <c r="A2419" s="27" t="s">
        <v>231</v>
      </c>
      <c r="B2419" s="27" t="s">
        <v>238</v>
      </c>
      <c r="C2419" s="28">
        <v>0.25</v>
      </c>
      <c r="D2419" s="28">
        <v>0.16669999999999999</v>
      </c>
      <c r="E2419" s="28">
        <v>0.16669999999999999</v>
      </c>
      <c r="F2419" s="29"/>
      <c r="G2419" s="28">
        <v>0.16669999999999999</v>
      </c>
      <c r="H2419" s="28">
        <v>0.16669999999999999</v>
      </c>
      <c r="I2419" s="28">
        <v>8.3299999999999999E-2</v>
      </c>
      <c r="J2419" s="29"/>
      <c r="K2419" s="29"/>
      <c r="L2419" s="29"/>
      <c r="M2419" s="29"/>
      <c r="N2419" s="29" t="s">
        <v>342</v>
      </c>
    </row>
    <row r="2420" spans="1:14" x14ac:dyDescent="0.35">
      <c r="A2420" t="s">
        <v>232</v>
      </c>
      <c r="B2420" t="s">
        <v>232</v>
      </c>
      <c r="C2420" s="26">
        <v>0.35770000000000002</v>
      </c>
      <c r="D2420" s="26">
        <v>0.2787</v>
      </c>
      <c r="E2420" s="26">
        <v>0.24249999999999999</v>
      </c>
      <c r="F2420" s="26">
        <v>0.1245</v>
      </c>
      <c r="G2420" s="26">
        <v>8.1299999999999997E-2</v>
      </c>
      <c r="H2420" s="26">
        <v>6.5100000000000005E-2</v>
      </c>
      <c r="I2420" s="26">
        <v>6.2600000000000003E-2</v>
      </c>
      <c r="J2420" s="26">
        <v>3.73E-2</v>
      </c>
      <c r="K2420" s="26">
        <v>1.38E-2</v>
      </c>
      <c r="L2420" s="26">
        <v>4.7999999999999996E-3</v>
      </c>
      <c r="M2420" s="26">
        <v>1.8E-3</v>
      </c>
      <c r="N2420">
        <v>458</v>
      </c>
    </row>
    <row r="2422" spans="1:14" x14ac:dyDescent="0.35">
      <c r="A2422" s="1" t="s">
        <v>521</v>
      </c>
    </row>
    <row r="2423" spans="1:14" x14ac:dyDescent="0.35">
      <c r="A2423" t="s">
        <v>219</v>
      </c>
      <c r="B2423" t="s">
        <v>305</v>
      </c>
      <c r="C2423" t="s">
        <v>510</v>
      </c>
      <c r="D2423" t="s">
        <v>511</v>
      </c>
      <c r="E2423" t="s">
        <v>512</v>
      </c>
      <c r="F2423" t="s">
        <v>513</v>
      </c>
      <c r="G2423" t="s">
        <v>514</v>
      </c>
      <c r="H2423" t="s">
        <v>515</v>
      </c>
      <c r="I2423" t="s">
        <v>516</v>
      </c>
      <c r="J2423" t="s">
        <v>517</v>
      </c>
      <c r="K2423" t="s">
        <v>286</v>
      </c>
      <c r="L2423" t="s">
        <v>518</v>
      </c>
      <c r="M2423" t="s">
        <v>281</v>
      </c>
      <c r="N2423" t="s">
        <v>226</v>
      </c>
    </row>
    <row r="2424" spans="1:14" x14ac:dyDescent="0.35">
      <c r="A2424" s="27" t="s">
        <v>227</v>
      </c>
      <c r="B2424" s="27" t="s">
        <v>244</v>
      </c>
      <c r="C2424" s="28">
        <v>0.54549999999999998</v>
      </c>
      <c r="D2424" s="28">
        <v>9.0899999999999995E-2</v>
      </c>
      <c r="E2424" s="28">
        <v>0.2727</v>
      </c>
      <c r="F2424" s="28">
        <v>9.0899999999999995E-2</v>
      </c>
      <c r="G2424" s="28">
        <v>9.0899999999999995E-2</v>
      </c>
      <c r="H2424" s="28">
        <v>9.0899999999999995E-2</v>
      </c>
      <c r="I2424" s="29"/>
      <c r="J2424" s="29"/>
      <c r="K2424" s="29"/>
      <c r="L2424" s="29"/>
      <c r="M2424" s="29"/>
      <c r="N2424" s="29" t="s">
        <v>352</v>
      </c>
    </row>
    <row r="2425" spans="1:14" x14ac:dyDescent="0.35">
      <c r="A2425" s="27" t="s">
        <v>227</v>
      </c>
      <c r="B2425" s="27" t="s">
        <v>245</v>
      </c>
      <c r="C2425" s="28">
        <v>0.66669999999999996</v>
      </c>
      <c r="D2425" s="29"/>
      <c r="E2425" s="28">
        <v>0.33329999999999999</v>
      </c>
      <c r="F2425" s="29"/>
      <c r="G2425" s="29"/>
      <c r="H2425" s="29"/>
      <c r="I2425" s="29"/>
      <c r="J2425" s="29"/>
      <c r="K2425" s="29"/>
      <c r="L2425" s="29"/>
      <c r="M2425" s="29"/>
      <c r="N2425" s="29" t="s">
        <v>315</v>
      </c>
    </row>
    <row r="2426" spans="1:14" x14ac:dyDescent="0.35">
      <c r="A2426" s="27" t="s">
        <v>227</v>
      </c>
      <c r="B2426" s="27" t="s">
        <v>246</v>
      </c>
      <c r="C2426" s="28">
        <v>0.5</v>
      </c>
      <c r="D2426" s="28">
        <v>0.25</v>
      </c>
      <c r="E2426" s="28">
        <v>0.5</v>
      </c>
      <c r="F2426" s="29"/>
      <c r="G2426" s="29"/>
      <c r="H2426" s="29"/>
      <c r="I2426" s="28">
        <v>0.25</v>
      </c>
      <c r="J2426" s="29"/>
      <c r="K2426" s="29"/>
      <c r="L2426" s="29"/>
      <c r="M2426" s="29"/>
      <c r="N2426" s="29" t="s">
        <v>337</v>
      </c>
    </row>
    <row r="2427" spans="1:14" x14ac:dyDescent="0.35">
      <c r="A2427" t="s">
        <v>228</v>
      </c>
      <c r="B2427" t="s">
        <v>244</v>
      </c>
      <c r="C2427" s="26">
        <v>0.34379999999999999</v>
      </c>
      <c r="D2427" s="26">
        <v>0.186</v>
      </c>
      <c r="E2427" s="26">
        <v>0.2959</v>
      </c>
      <c r="F2427" s="26">
        <v>9.9000000000000005E-2</v>
      </c>
      <c r="G2427" s="26">
        <v>0.1045</v>
      </c>
      <c r="H2427" s="26">
        <v>3.3700000000000001E-2</v>
      </c>
      <c r="I2427" s="26">
        <v>9.0499999999999997E-2</v>
      </c>
      <c r="J2427" s="26">
        <v>2.5100000000000001E-2</v>
      </c>
      <c r="K2427" s="26">
        <v>2.53E-2</v>
      </c>
      <c r="N2427">
        <v>135</v>
      </c>
    </row>
    <row r="2428" spans="1:14" x14ac:dyDescent="0.35">
      <c r="A2428" t="s">
        <v>228</v>
      </c>
      <c r="B2428" t="s">
        <v>245</v>
      </c>
      <c r="C2428" s="26">
        <v>0.45050000000000001</v>
      </c>
      <c r="D2428" s="26">
        <v>0.23430000000000001</v>
      </c>
      <c r="E2428" s="26">
        <v>0.24260000000000001</v>
      </c>
      <c r="G2428" s="26">
        <v>0.15640000000000001</v>
      </c>
      <c r="H2428" s="26">
        <v>7.9899999999999999E-2</v>
      </c>
      <c r="N2428">
        <v>32</v>
      </c>
    </row>
    <row r="2429" spans="1:14" x14ac:dyDescent="0.35">
      <c r="A2429" s="27" t="s">
        <v>228</v>
      </c>
      <c r="B2429" s="27" t="s">
        <v>246</v>
      </c>
      <c r="C2429" s="28">
        <v>0.21160000000000001</v>
      </c>
      <c r="D2429" s="28">
        <v>0.1046</v>
      </c>
      <c r="E2429" s="28">
        <v>6.5600000000000006E-2</v>
      </c>
      <c r="F2429" s="28">
        <v>0.20050000000000001</v>
      </c>
      <c r="G2429" s="28">
        <v>0.12759999999999999</v>
      </c>
      <c r="H2429" s="28">
        <v>0.1608</v>
      </c>
      <c r="I2429" s="28">
        <v>0.22439999999999999</v>
      </c>
      <c r="J2429" s="28">
        <v>0.28320000000000001</v>
      </c>
      <c r="K2429" s="29"/>
      <c r="L2429" s="29"/>
      <c r="M2429" s="29"/>
      <c r="N2429" s="29" t="s">
        <v>310</v>
      </c>
    </row>
    <row r="2430" spans="1:14" x14ac:dyDescent="0.35">
      <c r="A2430" t="s">
        <v>229</v>
      </c>
      <c r="B2430" t="s">
        <v>244</v>
      </c>
      <c r="C2430" s="26">
        <v>0.3528</v>
      </c>
      <c r="D2430" s="26">
        <v>0.36270000000000002</v>
      </c>
      <c r="E2430" s="26">
        <v>0.33200000000000002</v>
      </c>
      <c r="F2430" s="26">
        <v>0.14269999999999999</v>
      </c>
      <c r="G2430" s="26">
        <v>1.6899999999999998E-2</v>
      </c>
      <c r="H2430" s="26">
        <v>2.76E-2</v>
      </c>
      <c r="J2430" s="26">
        <v>1.6899999999999998E-2</v>
      </c>
      <c r="M2430" s="26">
        <v>4.4999999999999997E-3</v>
      </c>
      <c r="N2430">
        <v>82</v>
      </c>
    </row>
    <row r="2431" spans="1:14" x14ac:dyDescent="0.35">
      <c r="A2431" t="s">
        <v>229</v>
      </c>
      <c r="B2431" t="s">
        <v>245</v>
      </c>
      <c r="C2431" s="26">
        <v>0.31490000000000001</v>
      </c>
      <c r="D2431" s="26">
        <v>0.37630000000000002</v>
      </c>
      <c r="E2431" s="26">
        <v>0.246</v>
      </c>
      <c r="G2431" s="26">
        <v>3.3700000000000001E-2</v>
      </c>
      <c r="H2431" s="26">
        <v>9.4999999999999998E-3</v>
      </c>
      <c r="I2431" s="26">
        <v>2.8E-3</v>
      </c>
      <c r="J2431" s="26">
        <v>7.2599999999999998E-2</v>
      </c>
      <c r="L2431" s="26">
        <v>7.2599999999999998E-2</v>
      </c>
      <c r="N2431">
        <v>31</v>
      </c>
    </row>
    <row r="2432" spans="1:14" x14ac:dyDescent="0.35">
      <c r="A2432" s="27" t="s">
        <v>229</v>
      </c>
      <c r="B2432" s="27" t="s">
        <v>246</v>
      </c>
      <c r="C2432" s="28">
        <v>0.21640000000000001</v>
      </c>
      <c r="D2432" s="28">
        <v>0.2379</v>
      </c>
      <c r="E2432" s="28">
        <v>0.15</v>
      </c>
      <c r="F2432" s="28">
        <v>0.6169</v>
      </c>
      <c r="G2432" s="28">
        <v>8.5199999999999998E-2</v>
      </c>
      <c r="H2432" s="28">
        <v>2.7000000000000001E-3</v>
      </c>
      <c r="I2432" s="28">
        <v>0.17050000000000001</v>
      </c>
      <c r="J2432" s="28">
        <v>4.7999999999999996E-3</v>
      </c>
      <c r="K2432" s="29"/>
      <c r="L2432" s="29"/>
      <c r="M2432" s="29"/>
      <c r="N2432" s="29" t="s">
        <v>353</v>
      </c>
    </row>
    <row r="2433" spans="1:14" x14ac:dyDescent="0.35">
      <c r="A2433" t="s">
        <v>230</v>
      </c>
      <c r="B2433" t="s">
        <v>244</v>
      </c>
      <c r="C2433" s="26">
        <v>0.48730000000000001</v>
      </c>
      <c r="D2433" s="26">
        <v>0.1971</v>
      </c>
      <c r="E2433" s="26">
        <v>0.21940000000000001</v>
      </c>
      <c r="F2433" s="26">
        <v>0.153</v>
      </c>
      <c r="G2433" s="26">
        <v>2.5000000000000001E-2</v>
      </c>
      <c r="H2433" s="26">
        <v>6.8500000000000005E-2</v>
      </c>
      <c r="I2433" s="26">
        <v>6.2700000000000006E-2</v>
      </c>
      <c r="J2433" s="26">
        <v>2.5000000000000001E-3</v>
      </c>
      <c r="L2433" s="26">
        <v>8.0999999999999996E-3</v>
      </c>
      <c r="M2433" s="26">
        <v>1.0800000000000001E-2</v>
      </c>
      <c r="N2433">
        <v>59</v>
      </c>
    </row>
    <row r="2434" spans="1:14" x14ac:dyDescent="0.35">
      <c r="A2434" s="27" t="s">
        <v>230</v>
      </c>
      <c r="B2434" s="27" t="s">
        <v>245</v>
      </c>
      <c r="C2434" s="28">
        <v>0.20230000000000001</v>
      </c>
      <c r="D2434" s="28">
        <v>0.53520000000000001</v>
      </c>
      <c r="E2434" s="28">
        <v>0.16569999999999999</v>
      </c>
      <c r="F2434" s="28">
        <v>0.11269999999999999</v>
      </c>
      <c r="G2434" s="28">
        <v>1.5900000000000001E-2</v>
      </c>
      <c r="H2434" s="28">
        <v>0.11269999999999999</v>
      </c>
      <c r="I2434" s="29"/>
      <c r="J2434" s="28">
        <v>9.64E-2</v>
      </c>
      <c r="K2434" s="29"/>
      <c r="L2434" s="29"/>
      <c r="M2434" s="29"/>
      <c r="N2434" s="29" t="s">
        <v>312</v>
      </c>
    </row>
    <row r="2435" spans="1:14" x14ac:dyDescent="0.35">
      <c r="A2435" s="27" t="s">
        <v>230</v>
      </c>
      <c r="B2435" s="27" t="s">
        <v>246</v>
      </c>
      <c r="C2435" s="28">
        <v>5.9400000000000001E-2</v>
      </c>
      <c r="D2435" s="28">
        <v>0.1103</v>
      </c>
      <c r="E2435" s="28">
        <v>0.60719999999999996</v>
      </c>
      <c r="F2435" s="29"/>
      <c r="G2435" s="28">
        <v>0.48299999999999998</v>
      </c>
      <c r="H2435" s="29"/>
      <c r="I2435" s="29"/>
      <c r="J2435" s="29"/>
      <c r="K2435" s="29"/>
      <c r="L2435" s="29"/>
      <c r="M2435" s="29"/>
      <c r="N2435" s="29" t="s">
        <v>379</v>
      </c>
    </row>
    <row r="2436" spans="1:14" x14ac:dyDescent="0.35">
      <c r="A2436" s="27" t="s">
        <v>231</v>
      </c>
      <c r="B2436" s="27" t="s">
        <v>244</v>
      </c>
      <c r="C2436" s="28">
        <v>0.23080000000000001</v>
      </c>
      <c r="D2436" s="28">
        <v>0.3846</v>
      </c>
      <c r="E2436" s="28">
        <v>0.15379999999999999</v>
      </c>
      <c r="F2436" s="28">
        <v>7.6899999999999996E-2</v>
      </c>
      <c r="G2436" s="28">
        <v>0.23080000000000001</v>
      </c>
      <c r="H2436" s="28">
        <v>0.15379999999999999</v>
      </c>
      <c r="I2436" s="28">
        <v>0.15379999999999999</v>
      </c>
      <c r="J2436" s="28">
        <v>7.6899999999999996E-2</v>
      </c>
      <c r="K2436" s="29"/>
      <c r="L2436" s="29"/>
      <c r="M2436" s="29"/>
      <c r="N2436" s="29" t="s">
        <v>341</v>
      </c>
    </row>
    <row r="2437" spans="1:14" x14ac:dyDescent="0.35">
      <c r="A2437" s="27" t="s">
        <v>231</v>
      </c>
      <c r="B2437" s="27" t="s">
        <v>245</v>
      </c>
      <c r="C2437" s="28">
        <v>0.6</v>
      </c>
      <c r="D2437" s="29"/>
      <c r="E2437" s="29"/>
      <c r="F2437" s="29"/>
      <c r="G2437" s="29"/>
      <c r="H2437" s="28">
        <v>0.2</v>
      </c>
      <c r="I2437" s="29"/>
      <c r="J2437" s="29"/>
      <c r="K2437" s="28">
        <v>0.2</v>
      </c>
      <c r="L2437" s="29"/>
      <c r="M2437" s="29"/>
      <c r="N2437" s="29" t="s">
        <v>332</v>
      </c>
    </row>
    <row r="2438" spans="1:14" x14ac:dyDescent="0.35">
      <c r="A2438" s="27" t="s">
        <v>231</v>
      </c>
      <c r="B2438" s="27" t="s">
        <v>246</v>
      </c>
      <c r="C2438" s="28">
        <v>0.5</v>
      </c>
      <c r="D2438" s="28">
        <v>1</v>
      </c>
      <c r="E2438" s="29"/>
      <c r="F2438" s="29"/>
      <c r="G2438" s="29"/>
      <c r="H2438" s="29"/>
      <c r="I2438" s="29"/>
      <c r="J2438" s="29"/>
      <c r="K2438" s="29"/>
      <c r="L2438" s="29"/>
      <c r="M2438" s="29"/>
      <c r="N2438" s="29" t="s">
        <v>314</v>
      </c>
    </row>
    <row r="2439" spans="1:14" x14ac:dyDescent="0.35">
      <c r="A2439" t="s">
        <v>232</v>
      </c>
      <c r="B2439" t="s">
        <v>232</v>
      </c>
      <c r="C2439" s="26">
        <v>0.35770000000000002</v>
      </c>
      <c r="D2439" s="26">
        <v>0.2787</v>
      </c>
      <c r="E2439" s="26">
        <v>0.24249999999999999</v>
      </c>
      <c r="F2439" s="26">
        <v>0.1245</v>
      </c>
      <c r="G2439" s="26">
        <v>8.1299999999999997E-2</v>
      </c>
      <c r="H2439" s="26">
        <v>6.5100000000000005E-2</v>
      </c>
      <c r="I2439" s="26">
        <v>6.2600000000000003E-2</v>
      </c>
      <c r="J2439" s="26">
        <v>3.73E-2</v>
      </c>
      <c r="K2439" s="26">
        <v>1.38E-2</v>
      </c>
      <c r="L2439" s="26">
        <v>4.7999999999999996E-3</v>
      </c>
      <c r="M2439" s="26">
        <v>1.8E-3</v>
      </c>
      <c r="N2439">
        <v>458</v>
      </c>
    </row>
    <row r="2441" spans="1:14" x14ac:dyDescent="0.35">
      <c r="A2441" s="1" t="s">
        <v>522</v>
      </c>
    </row>
    <row r="2442" spans="1:14" x14ac:dyDescent="0.35">
      <c r="A2442" t="s">
        <v>219</v>
      </c>
      <c r="B2442" t="s">
        <v>305</v>
      </c>
      <c r="C2442" t="s">
        <v>510</v>
      </c>
      <c r="D2442" t="s">
        <v>511</v>
      </c>
      <c r="E2442" t="s">
        <v>512</v>
      </c>
      <c r="F2442" t="s">
        <v>513</v>
      </c>
      <c r="G2442" t="s">
        <v>514</v>
      </c>
      <c r="H2442" t="s">
        <v>515</v>
      </c>
      <c r="I2442" t="s">
        <v>516</v>
      </c>
      <c r="J2442" t="s">
        <v>517</v>
      </c>
      <c r="K2442" t="s">
        <v>286</v>
      </c>
      <c r="L2442" t="s">
        <v>518</v>
      </c>
      <c r="M2442" t="s">
        <v>281</v>
      </c>
      <c r="N2442" t="s">
        <v>226</v>
      </c>
    </row>
    <row r="2443" spans="1:14" x14ac:dyDescent="0.35">
      <c r="A2443" s="27" t="s">
        <v>227</v>
      </c>
      <c r="B2443" s="27" t="s">
        <v>360</v>
      </c>
      <c r="C2443" s="28">
        <v>0.57140000000000002</v>
      </c>
      <c r="D2443" s="28">
        <v>0.1429</v>
      </c>
      <c r="E2443" s="28">
        <v>0.57140000000000002</v>
      </c>
      <c r="F2443" s="29"/>
      <c r="G2443" s="29"/>
      <c r="H2443" s="29"/>
      <c r="I2443" s="28">
        <v>0.1429</v>
      </c>
      <c r="J2443" s="29"/>
      <c r="K2443" s="29"/>
      <c r="L2443" s="29"/>
      <c r="M2443" s="29"/>
      <c r="N2443" s="29" t="s">
        <v>339</v>
      </c>
    </row>
    <row r="2444" spans="1:14" x14ac:dyDescent="0.35">
      <c r="A2444" s="27" t="s">
        <v>227</v>
      </c>
      <c r="B2444" s="27" t="s">
        <v>361</v>
      </c>
      <c r="C2444" s="28">
        <v>1</v>
      </c>
      <c r="D2444" s="29"/>
      <c r="E2444" s="29"/>
      <c r="F2444" s="29"/>
      <c r="G2444" s="29"/>
      <c r="H2444" s="29"/>
      <c r="I2444" s="29"/>
      <c r="J2444" s="29"/>
      <c r="K2444" s="29"/>
      <c r="L2444" s="29"/>
      <c r="M2444" s="29"/>
      <c r="N2444" s="29" t="s">
        <v>314</v>
      </c>
    </row>
    <row r="2445" spans="1:14" x14ac:dyDescent="0.35">
      <c r="A2445" s="27" t="s">
        <v>227</v>
      </c>
      <c r="B2445" s="27" t="s">
        <v>362</v>
      </c>
      <c r="C2445" s="28">
        <v>0.66669999999999996</v>
      </c>
      <c r="D2445" s="29"/>
      <c r="E2445" s="28">
        <v>0.33329999999999999</v>
      </c>
      <c r="F2445" s="29"/>
      <c r="G2445" s="29"/>
      <c r="H2445" s="29"/>
      <c r="I2445" s="29"/>
      <c r="J2445" s="29"/>
      <c r="K2445" s="29"/>
      <c r="L2445" s="29"/>
      <c r="M2445" s="29"/>
      <c r="N2445" s="29" t="s">
        <v>315</v>
      </c>
    </row>
    <row r="2446" spans="1:14" x14ac:dyDescent="0.35">
      <c r="A2446" s="27" t="s">
        <v>227</v>
      </c>
      <c r="B2446" s="27" t="s">
        <v>363</v>
      </c>
      <c r="C2446" s="28">
        <v>0.2</v>
      </c>
      <c r="D2446" s="28">
        <v>0.2</v>
      </c>
      <c r="E2446" s="28">
        <v>0.2</v>
      </c>
      <c r="F2446" s="28">
        <v>0.2</v>
      </c>
      <c r="G2446" s="28">
        <v>0.2</v>
      </c>
      <c r="H2446" s="28">
        <v>0.2</v>
      </c>
      <c r="I2446" s="29"/>
      <c r="J2446" s="29"/>
      <c r="K2446" s="29"/>
      <c r="L2446" s="29"/>
      <c r="M2446" s="29"/>
      <c r="N2446" s="29" t="s">
        <v>332</v>
      </c>
    </row>
    <row r="2447" spans="1:14" x14ac:dyDescent="0.35">
      <c r="A2447" s="27" t="s">
        <v>228</v>
      </c>
      <c r="B2447" s="27" t="s">
        <v>363</v>
      </c>
      <c r="C2447" s="28">
        <v>0.32340000000000002</v>
      </c>
      <c r="D2447" s="28">
        <v>6.08E-2</v>
      </c>
      <c r="E2447" s="28">
        <v>0.29089999999999999</v>
      </c>
      <c r="F2447" s="28">
        <v>8.2799999999999999E-2</v>
      </c>
      <c r="G2447" s="28">
        <v>0.15920000000000001</v>
      </c>
      <c r="H2447" s="28">
        <v>6.08E-2</v>
      </c>
      <c r="I2447" s="28">
        <v>0.23549999999999999</v>
      </c>
      <c r="J2447" s="28">
        <v>8.2799999999999999E-2</v>
      </c>
      <c r="K2447" s="29"/>
      <c r="L2447" s="29"/>
      <c r="M2447" s="29"/>
      <c r="N2447" s="29" t="s">
        <v>351</v>
      </c>
    </row>
    <row r="2448" spans="1:14" x14ac:dyDescent="0.35">
      <c r="A2448" t="s">
        <v>228</v>
      </c>
      <c r="B2448" t="s">
        <v>360</v>
      </c>
      <c r="C2448" s="26">
        <v>0.3105</v>
      </c>
      <c r="D2448" s="26">
        <v>0.16159999999999999</v>
      </c>
      <c r="E2448" s="26">
        <v>0.29730000000000001</v>
      </c>
      <c r="F2448" s="26">
        <v>0.1017</v>
      </c>
      <c r="G2448" s="26">
        <v>8.5699999999999998E-2</v>
      </c>
      <c r="H2448" s="26">
        <v>5.9200000000000003E-2</v>
      </c>
      <c r="I2448" s="26">
        <v>7.1900000000000006E-2</v>
      </c>
      <c r="J2448" s="26">
        <v>0.1115</v>
      </c>
      <c r="N2448">
        <v>96</v>
      </c>
    </row>
    <row r="2449" spans="1:14" x14ac:dyDescent="0.35">
      <c r="A2449" s="27" t="s">
        <v>228</v>
      </c>
      <c r="B2449" s="27" t="s">
        <v>361</v>
      </c>
      <c r="C2449" s="28">
        <v>0.3347</v>
      </c>
      <c r="D2449" s="28">
        <v>0.2868</v>
      </c>
      <c r="E2449" s="28">
        <v>0.2389</v>
      </c>
      <c r="F2449" s="28">
        <v>9.7000000000000003E-3</v>
      </c>
      <c r="G2449" s="28">
        <v>0.14249999999999999</v>
      </c>
      <c r="H2449" s="28">
        <v>3.3099999999999997E-2</v>
      </c>
      <c r="I2449" s="28">
        <v>2.1899999999999999E-2</v>
      </c>
      <c r="J2449" s="29"/>
      <c r="K2449" s="29"/>
      <c r="L2449" s="29"/>
      <c r="M2449" s="29"/>
      <c r="N2449" s="29" t="s">
        <v>357</v>
      </c>
    </row>
    <row r="2450" spans="1:14" x14ac:dyDescent="0.35">
      <c r="A2450" t="s">
        <v>228</v>
      </c>
      <c r="B2450" t="s">
        <v>362</v>
      </c>
      <c r="C2450" s="26">
        <v>0.39510000000000001</v>
      </c>
      <c r="D2450" s="26">
        <v>0.2671</v>
      </c>
      <c r="E2450" s="26">
        <v>0.1346</v>
      </c>
      <c r="F2450" s="26">
        <v>0.214</v>
      </c>
      <c r="G2450" s="26">
        <v>0.17349999999999999</v>
      </c>
      <c r="H2450" s="26">
        <v>0.1137</v>
      </c>
      <c r="I2450" s="26">
        <v>0.13059999999999999</v>
      </c>
      <c r="N2450">
        <v>37</v>
      </c>
    </row>
    <row r="2451" spans="1:14" x14ac:dyDescent="0.35">
      <c r="A2451" t="s">
        <v>229</v>
      </c>
      <c r="B2451" t="s">
        <v>360</v>
      </c>
      <c r="C2451" s="26">
        <v>0.32219999999999999</v>
      </c>
      <c r="D2451" s="26">
        <v>0.1205</v>
      </c>
      <c r="E2451" s="26">
        <v>0.14979999999999999</v>
      </c>
      <c r="F2451" s="26">
        <v>0.37819999999999998</v>
      </c>
      <c r="G2451" s="26">
        <v>0.12379999999999999</v>
      </c>
      <c r="I2451" s="26">
        <v>0.1171</v>
      </c>
      <c r="J2451" s="26">
        <v>5.2200000000000003E-2</v>
      </c>
      <c r="N2451">
        <v>36</v>
      </c>
    </row>
    <row r="2452" spans="1:14" x14ac:dyDescent="0.35">
      <c r="A2452" t="s">
        <v>229</v>
      </c>
      <c r="B2452" t="s">
        <v>361</v>
      </c>
      <c r="C2452" s="26">
        <v>0.24360000000000001</v>
      </c>
      <c r="D2452" s="26">
        <v>0.56010000000000004</v>
      </c>
      <c r="E2452" s="26">
        <v>0.34670000000000001</v>
      </c>
      <c r="F2452" s="26">
        <v>0.20280000000000001</v>
      </c>
      <c r="H2452" s="26">
        <v>3.9800000000000002E-2</v>
      </c>
      <c r="J2452" s="26">
        <v>3.3300000000000003E-2</v>
      </c>
      <c r="L2452" s="26">
        <v>3.3300000000000003E-2</v>
      </c>
      <c r="N2452">
        <v>32</v>
      </c>
    </row>
    <row r="2453" spans="1:14" x14ac:dyDescent="0.35">
      <c r="A2453" s="27" t="s">
        <v>229</v>
      </c>
      <c r="B2453" s="27" t="s">
        <v>363</v>
      </c>
      <c r="C2453" s="28">
        <v>0.19040000000000001</v>
      </c>
      <c r="D2453" s="28">
        <v>0.35410000000000003</v>
      </c>
      <c r="E2453" s="28">
        <v>0.37490000000000001</v>
      </c>
      <c r="F2453" s="28">
        <v>0.1857</v>
      </c>
      <c r="G2453" s="29"/>
      <c r="H2453" s="28">
        <v>1.8599999999999998E-2</v>
      </c>
      <c r="I2453" s="29"/>
      <c r="J2453" s="29"/>
      <c r="K2453" s="29"/>
      <c r="L2453" s="29"/>
      <c r="M2453" s="29"/>
      <c r="N2453" s="29" t="s">
        <v>328</v>
      </c>
    </row>
    <row r="2454" spans="1:14" x14ac:dyDescent="0.35">
      <c r="A2454" t="s">
        <v>229</v>
      </c>
      <c r="B2454" t="s">
        <v>362</v>
      </c>
      <c r="C2454" s="26">
        <v>0.61750000000000005</v>
      </c>
      <c r="D2454" s="26">
        <v>0.24110000000000001</v>
      </c>
      <c r="E2454" s="26">
        <v>0.26840000000000003</v>
      </c>
      <c r="G2454" s="26">
        <v>8.2000000000000007E-3</v>
      </c>
      <c r="H2454" s="26">
        <v>1.9E-2</v>
      </c>
      <c r="I2454" s="26">
        <v>2.3999999999999998E-3</v>
      </c>
      <c r="N2454">
        <v>31</v>
      </c>
    </row>
    <row r="2455" spans="1:14" x14ac:dyDescent="0.35">
      <c r="A2455" t="s">
        <v>230</v>
      </c>
      <c r="B2455" t="s">
        <v>360</v>
      </c>
      <c r="C2455" s="26">
        <v>0.39229999999999998</v>
      </c>
      <c r="D2455" s="26">
        <v>0.26929999999999998</v>
      </c>
      <c r="E2455" s="26">
        <v>0.1221</v>
      </c>
      <c r="F2455" s="26">
        <v>0.29580000000000001</v>
      </c>
      <c r="G2455" s="26">
        <v>6.7299999999999999E-2</v>
      </c>
      <c r="H2455" s="26">
        <v>2.2100000000000002E-2</v>
      </c>
      <c r="I2455" s="26">
        <v>1.0200000000000001E-2</v>
      </c>
      <c r="L2455" s="26">
        <v>1.66E-2</v>
      </c>
      <c r="M2455" s="26">
        <v>5.1000000000000004E-3</v>
      </c>
      <c r="N2455">
        <v>35</v>
      </c>
    </row>
    <row r="2456" spans="1:14" x14ac:dyDescent="0.35">
      <c r="A2456" s="27" t="s">
        <v>230</v>
      </c>
      <c r="B2456" s="27" t="s">
        <v>363</v>
      </c>
      <c r="C2456" s="28">
        <v>0.32729999999999998</v>
      </c>
      <c r="D2456" s="28">
        <v>0.44319999999999998</v>
      </c>
      <c r="E2456" s="28">
        <v>0.40150000000000002</v>
      </c>
      <c r="F2456" s="29"/>
      <c r="G2456" s="29"/>
      <c r="H2456" s="28">
        <v>0.17269999999999999</v>
      </c>
      <c r="I2456" s="29"/>
      <c r="J2456" s="29"/>
      <c r="K2456" s="29"/>
      <c r="L2456" s="29"/>
      <c r="M2456" s="29"/>
      <c r="N2456" s="29" t="s">
        <v>342</v>
      </c>
    </row>
    <row r="2457" spans="1:14" x14ac:dyDescent="0.35">
      <c r="A2457" s="27" t="s">
        <v>230</v>
      </c>
      <c r="B2457" s="27" t="s">
        <v>361</v>
      </c>
      <c r="C2457" s="28">
        <v>0.37040000000000001</v>
      </c>
      <c r="D2457" s="28">
        <v>0.51629999999999998</v>
      </c>
      <c r="E2457" s="28">
        <v>6.9699999999999998E-2</v>
      </c>
      <c r="F2457" s="29"/>
      <c r="G2457" s="29"/>
      <c r="H2457" s="28">
        <v>4.36E-2</v>
      </c>
      <c r="I2457" s="29"/>
      <c r="J2457" s="29"/>
      <c r="K2457" s="29"/>
      <c r="L2457" s="29"/>
      <c r="M2457" s="29"/>
      <c r="N2457" s="29" t="s">
        <v>352</v>
      </c>
    </row>
    <row r="2458" spans="1:14" x14ac:dyDescent="0.35">
      <c r="A2458" t="s">
        <v>230</v>
      </c>
      <c r="B2458" t="s">
        <v>362</v>
      </c>
      <c r="C2458" s="26">
        <v>0.3644</v>
      </c>
      <c r="D2458" s="26">
        <v>0.17080000000000001</v>
      </c>
      <c r="E2458" s="26">
        <v>0.33789999999999998</v>
      </c>
      <c r="F2458" s="26">
        <v>2.6200000000000001E-2</v>
      </c>
      <c r="G2458" s="26">
        <v>0.1681</v>
      </c>
      <c r="H2458" s="26">
        <v>7.7499999999999999E-2</v>
      </c>
      <c r="I2458" s="26">
        <v>9.06E-2</v>
      </c>
      <c r="J2458" s="26">
        <v>8.1500000000000003E-2</v>
      </c>
      <c r="N2458">
        <v>35</v>
      </c>
    </row>
    <row r="2459" spans="1:14" x14ac:dyDescent="0.35">
      <c r="A2459" s="27" t="s">
        <v>231</v>
      </c>
      <c r="B2459" s="27" t="s">
        <v>362</v>
      </c>
      <c r="C2459" s="29"/>
      <c r="D2459" s="29"/>
      <c r="E2459" s="28">
        <v>0.5</v>
      </c>
      <c r="F2459" s="29"/>
      <c r="G2459" s="29"/>
      <c r="H2459" s="29"/>
      <c r="I2459" s="29"/>
      <c r="J2459" s="29"/>
      <c r="K2459" s="28">
        <v>0.5</v>
      </c>
      <c r="L2459" s="29"/>
      <c r="M2459" s="29"/>
      <c r="N2459" s="29" t="s">
        <v>314</v>
      </c>
    </row>
    <row r="2460" spans="1:14" x14ac:dyDescent="0.35">
      <c r="A2460" s="27" t="s">
        <v>231</v>
      </c>
      <c r="B2460" s="27" t="s">
        <v>361</v>
      </c>
      <c r="C2460" s="28">
        <v>0.33329999999999999</v>
      </c>
      <c r="D2460" s="28">
        <v>0.16669999999999999</v>
      </c>
      <c r="E2460" s="29"/>
      <c r="F2460" s="29"/>
      <c r="G2460" s="29"/>
      <c r="H2460" s="28">
        <v>0.33329999999999999</v>
      </c>
      <c r="I2460" s="28">
        <v>0.16669999999999999</v>
      </c>
      <c r="J2460" s="29"/>
      <c r="K2460" s="29"/>
      <c r="L2460" s="29"/>
      <c r="M2460" s="29"/>
      <c r="N2460" s="29" t="s">
        <v>335</v>
      </c>
    </row>
    <row r="2461" spans="1:14" x14ac:dyDescent="0.35">
      <c r="A2461" s="27" t="s">
        <v>231</v>
      </c>
      <c r="B2461" s="27" t="s">
        <v>360</v>
      </c>
      <c r="C2461" s="28">
        <v>0.5</v>
      </c>
      <c r="D2461" s="28">
        <v>0.25</v>
      </c>
      <c r="E2461" s="28">
        <v>0.125</v>
      </c>
      <c r="F2461" s="29"/>
      <c r="G2461" s="28">
        <v>0.25</v>
      </c>
      <c r="H2461" s="29"/>
      <c r="I2461" s="29"/>
      <c r="J2461" s="29"/>
      <c r="K2461" s="29"/>
      <c r="L2461" s="29"/>
      <c r="M2461" s="29"/>
      <c r="N2461" s="29" t="s">
        <v>333</v>
      </c>
    </row>
    <row r="2462" spans="1:14" x14ac:dyDescent="0.35">
      <c r="A2462" s="27" t="s">
        <v>231</v>
      </c>
      <c r="B2462" s="27" t="s">
        <v>363</v>
      </c>
      <c r="C2462" s="28">
        <v>1</v>
      </c>
      <c r="D2462" s="28">
        <v>1</v>
      </c>
      <c r="E2462" s="29"/>
      <c r="F2462" s="28">
        <v>1</v>
      </c>
      <c r="G2462" s="28">
        <v>1</v>
      </c>
      <c r="H2462" s="28">
        <v>1</v>
      </c>
      <c r="I2462" s="28">
        <v>1</v>
      </c>
      <c r="J2462" s="28">
        <v>1</v>
      </c>
      <c r="K2462" s="29"/>
      <c r="L2462" s="29"/>
      <c r="M2462" s="29"/>
      <c r="N2462" s="29" t="s">
        <v>331</v>
      </c>
    </row>
    <row r="2463" spans="1:14" x14ac:dyDescent="0.35">
      <c r="A2463" t="s">
        <v>232</v>
      </c>
      <c r="B2463" t="s">
        <v>232</v>
      </c>
      <c r="C2463" s="26">
        <v>0.35770000000000002</v>
      </c>
      <c r="D2463" s="26">
        <v>0.2787</v>
      </c>
      <c r="E2463" s="26">
        <v>0.24249999999999999</v>
      </c>
      <c r="F2463" s="26">
        <v>0.1245</v>
      </c>
      <c r="G2463" s="26">
        <v>8.1299999999999997E-2</v>
      </c>
      <c r="H2463" s="26">
        <v>6.5100000000000005E-2</v>
      </c>
      <c r="I2463" s="26">
        <v>6.2600000000000003E-2</v>
      </c>
      <c r="J2463" s="26">
        <v>3.73E-2</v>
      </c>
      <c r="K2463" s="26">
        <v>1.38E-2</v>
      </c>
      <c r="L2463" s="26">
        <v>4.7999999999999996E-3</v>
      </c>
      <c r="M2463" s="26">
        <v>1.8E-3</v>
      </c>
      <c r="N2463">
        <v>429</v>
      </c>
    </row>
    <row r="2465" spans="1:14" x14ac:dyDescent="0.35">
      <c r="A2465" s="1" t="s">
        <v>523</v>
      </c>
    </row>
    <row r="2466" spans="1:14" x14ac:dyDescent="0.35">
      <c r="A2466" t="s">
        <v>219</v>
      </c>
      <c r="B2466" t="s">
        <v>305</v>
      </c>
      <c r="C2466" t="s">
        <v>510</v>
      </c>
      <c r="D2466" t="s">
        <v>511</v>
      </c>
      <c r="E2466" t="s">
        <v>512</v>
      </c>
      <c r="F2466" t="s">
        <v>513</v>
      </c>
      <c r="G2466" t="s">
        <v>514</v>
      </c>
      <c r="H2466" t="s">
        <v>515</v>
      </c>
      <c r="I2466" t="s">
        <v>516</v>
      </c>
      <c r="J2466" t="s">
        <v>517</v>
      </c>
      <c r="K2466" t="s">
        <v>286</v>
      </c>
      <c r="L2466" t="s">
        <v>518</v>
      </c>
      <c r="M2466" t="s">
        <v>281</v>
      </c>
      <c r="N2466" t="s">
        <v>226</v>
      </c>
    </row>
    <row r="2467" spans="1:14" x14ac:dyDescent="0.35">
      <c r="A2467" s="27" t="s">
        <v>227</v>
      </c>
      <c r="B2467" s="27" t="s">
        <v>267</v>
      </c>
      <c r="C2467" s="28">
        <v>1</v>
      </c>
      <c r="D2467" s="29"/>
      <c r="E2467" s="29"/>
      <c r="F2467" s="29"/>
      <c r="G2467" s="29"/>
      <c r="H2467" s="29"/>
      <c r="I2467" s="29"/>
      <c r="J2467" s="29"/>
      <c r="K2467" s="29"/>
      <c r="L2467" s="29"/>
      <c r="M2467" s="29"/>
      <c r="N2467" s="29" t="s">
        <v>331</v>
      </c>
    </row>
    <row r="2468" spans="1:14" x14ac:dyDescent="0.35">
      <c r="A2468" s="27" t="s">
        <v>227</v>
      </c>
      <c r="B2468" s="27" t="s">
        <v>266</v>
      </c>
      <c r="C2468" s="28">
        <v>0.71430000000000005</v>
      </c>
      <c r="D2468" s="29"/>
      <c r="E2468" s="28">
        <v>0.28570000000000001</v>
      </c>
      <c r="F2468" s="29"/>
      <c r="G2468" s="29"/>
      <c r="H2468" s="29"/>
      <c r="I2468" s="29"/>
      <c r="J2468" s="29"/>
      <c r="K2468" s="29"/>
      <c r="L2468" s="29"/>
      <c r="M2468" s="29"/>
      <c r="N2468" s="29" t="s">
        <v>339</v>
      </c>
    </row>
    <row r="2469" spans="1:14" x14ac:dyDescent="0.35">
      <c r="A2469" s="27" t="s">
        <v>227</v>
      </c>
      <c r="B2469" s="27" t="s">
        <v>265</v>
      </c>
      <c r="C2469" s="28">
        <v>0.4</v>
      </c>
      <c r="D2469" s="28">
        <v>0.2</v>
      </c>
      <c r="E2469" s="28">
        <v>0.4</v>
      </c>
      <c r="F2469" s="28">
        <v>0.1</v>
      </c>
      <c r="G2469" s="28">
        <v>0.1</v>
      </c>
      <c r="H2469" s="28">
        <v>0.1</v>
      </c>
      <c r="I2469" s="28">
        <v>0.1</v>
      </c>
      <c r="J2469" s="29"/>
      <c r="K2469" s="29"/>
      <c r="L2469" s="29"/>
      <c r="M2469" s="29"/>
      <c r="N2469" s="29" t="s">
        <v>307</v>
      </c>
    </row>
    <row r="2470" spans="1:14" x14ac:dyDescent="0.35">
      <c r="A2470" s="27" t="s">
        <v>228</v>
      </c>
      <c r="B2470" s="27" t="s">
        <v>267</v>
      </c>
      <c r="C2470" s="28">
        <v>0.15479999999999999</v>
      </c>
      <c r="D2470" s="28">
        <v>0.2326</v>
      </c>
      <c r="E2470" s="28">
        <v>0.30370000000000003</v>
      </c>
      <c r="F2470" s="28">
        <v>0.21679999999999999</v>
      </c>
      <c r="G2470" s="28">
        <v>0.30890000000000001</v>
      </c>
      <c r="H2470" s="28">
        <v>4.2799999999999998E-2</v>
      </c>
      <c r="I2470" s="28">
        <v>1.5800000000000002E-2</v>
      </c>
      <c r="J2470" s="29"/>
      <c r="K2470" s="29"/>
      <c r="L2470" s="29"/>
      <c r="M2470" s="29"/>
      <c r="N2470" s="29" t="s">
        <v>343</v>
      </c>
    </row>
    <row r="2471" spans="1:14" x14ac:dyDescent="0.35">
      <c r="A2471" t="s">
        <v>228</v>
      </c>
      <c r="B2471" t="s">
        <v>266</v>
      </c>
      <c r="C2471" s="26">
        <v>0.3624</v>
      </c>
      <c r="D2471" s="26">
        <v>0.1159</v>
      </c>
      <c r="E2471" s="26">
        <v>0.24560000000000001</v>
      </c>
      <c r="F2471" s="26">
        <v>8.2199999999999995E-2</v>
      </c>
      <c r="G2471" s="26">
        <v>0.124</v>
      </c>
      <c r="H2471" s="26">
        <v>8.0100000000000005E-2</v>
      </c>
      <c r="I2471" s="26">
        <v>8.1100000000000005E-2</v>
      </c>
      <c r="J2471" s="26">
        <v>0.1124</v>
      </c>
      <c r="N2471">
        <v>85</v>
      </c>
    </row>
    <row r="2472" spans="1:14" x14ac:dyDescent="0.35">
      <c r="A2472" t="s">
        <v>228</v>
      </c>
      <c r="B2472" t="s">
        <v>265</v>
      </c>
      <c r="C2472" s="26">
        <v>0.3337</v>
      </c>
      <c r="D2472" s="26">
        <v>0.24510000000000001</v>
      </c>
      <c r="E2472" s="26">
        <v>0.23680000000000001</v>
      </c>
      <c r="F2472" s="26">
        <v>0.1096</v>
      </c>
      <c r="G2472" s="26">
        <v>6.7799999999999999E-2</v>
      </c>
      <c r="H2472" s="26">
        <v>4.5900000000000003E-2</v>
      </c>
      <c r="I2472" s="26">
        <v>0.14660000000000001</v>
      </c>
      <c r="J2472" s="26">
        <v>2.7099999999999999E-2</v>
      </c>
      <c r="K2472" s="26">
        <v>4.2299999999999997E-2</v>
      </c>
      <c r="N2472">
        <v>89</v>
      </c>
    </row>
    <row r="2473" spans="1:14" x14ac:dyDescent="0.35">
      <c r="A2473" s="27" t="s">
        <v>229</v>
      </c>
      <c r="B2473" s="27" t="s">
        <v>267</v>
      </c>
      <c r="C2473" s="28">
        <v>0.3448</v>
      </c>
      <c r="D2473" s="28">
        <v>0.58099999999999996</v>
      </c>
      <c r="E2473" s="28">
        <v>0.34010000000000001</v>
      </c>
      <c r="F2473" s="28">
        <v>0.19220000000000001</v>
      </c>
      <c r="G2473" s="29"/>
      <c r="H2473" s="28">
        <v>7.1999999999999995E-2</v>
      </c>
      <c r="I2473" s="29"/>
      <c r="J2473" s="28">
        <v>4.9399999999999999E-2</v>
      </c>
      <c r="K2473" s="29"/>
      <c r="L2473" s="29"/>
      <c r="M2473" s="29"/>
      <c r="N2473" s="29" t="s">
        <v>338</v>
      </c>
    </row>
    <row r="2474" spans="1:14" x14ac:dyDescent="0.35">
      <c r="A2474" t="s">
        <v>229</v>
      </c>
      <c r="B2474" t="s">
        <v>266</v>
      </c>
      <c r="C2474" s="26">
        <v>0.31690000000000002</v>
      </c>
      <c r="D2474" s="26">
        <v>0.23849999999999999</v>
      </c>
      <c r="E2474" s="26">
        <v>0.25580000000000003</v>
      </c>
      <c r="F2474" s="26">
        <v>0.29089999999999999</v>
      </c>
      <c r="G2474" s="26">
        <v>1.4999999999999999E-2</v>
      </c>
      <c r="H2474" s="26">
        <v>9.7999999999999997E-3</v>
      </c>
      <c r="I2474" s="26">
        <v>1.1999999999999999E-3</v>
      </c>
      <c r="J2474" s="26">
        <v>2.2000000000000001E-3</v>
      </c>
      <c r="L2474" s="26">
        <v>3.2300000000000002E-2</v>
      </c>
      <c r="N2474">
        <v>54</v>
      </c>
    </row>
    <row r="2475" spans="1:14" x14ac:dyDescent="0.35">
      <c r="A2475" t="s">
        <v>229</v>
      </c>
      <c r="B2475" t="s">
        <v>265</v>
      </c>
      <c r="C2475" s="26">
        <v>0.32019999999999998</v>
      </c>
      <c r="D2475" s="26">
        <v>0.30259999999999998</v>
      </c>
      <c r="E2475" s="26">
        <v>0.28870000000000001</v>
      </c>
      <c r="F2475" s="26">
        <v>0.1176</v>
      </c>
      <c r="G2475" s="26">
        <v>6.1600000000000002E-2</v>
      </c>
      <c r="H2475" s="26">
        <v>1.1000000000000001E-3</v>
      </c>
      <c r="I2475" s="26">
        <v>6.7100000000000007E-2</v>
      </c>
      <c r="J2475" s="26">
        <v>2.81E-2</v>
      </c>
      <c r="M2475" s="26">
        <v>7.4999999999999997E-3</v>
      </c>
      <c r="N2475">
        <v>50</v>
      </c>
    </row>
    <row r="2476" spans="1:14" x14ac:dyDescent="0.35">
      <c r="A2476" s="27" t="s">
        <v>230</v>
      </c>
      <c r="B2476" s="27" t="s">
        <v>267</v>
      </c>
      <c r="C2476" s="28">
        <v>0.47799999999999998</v>
      </c>
      <c r="D2476" s="28">
        <v>0.2339</v>
      </c>
      <c r="E2476" s="28">
        <v>8.7800000000000003E-2</v>
      </c>
      <c r="F2476" s="28">
        <v>0.20019999999999999</v>
      </c>
      <c r="G2476" s="28">
        <v>3.3799999999999997E-2</v>
      </c>
      <c r="H2476" s="29"/>
      <c r="I2476" s="29"/>
      <c r="J2476" s="28">
        <v>0.20019999999999999</v>
      </c>
      <c r="K2476" s="29"/>
      <c r="L2476" s="29"/>
      <c r="M2476" s="29"/>
      <c r="N2476" s="29" t="s">
        <v>342</v>
      </c>
    </row>
    <row r="2477" spans="1:14" x14ac:dyDescent="0.35">
      <c r="A2477" t="s">
        <v>230</v>
      </c>
      <c r="B2477" t="s">
        <v>266</v>
      </c>
      <c r="C2477" s="26">
        <v>0.23499999999999999</v>
      </c>
      <c r="D2477" s="26">
        <v>0.34670000000000001</v>
      </c>
      <c r="E2477" s="26">
        <v>0.37519999999999998</v>
      </c>
      <c r="F2477" s="26">
        <v>5.1299999999999998E-2</v>
      </c>
      <c r="G2477" s="26">
        <v>2.4E-2</v>
      </c>
      <c r="H2477" s="26">
        <v>0.17180000000000001</v>
      </c>
      <c r="I2477" s="26">
        <v>8.4099999999999994E-2</v>
      </c>
      <c r="J2477" s="26">
        <v>3.5999999999999999E-3</v>
      </c>
      <c r="L2477" s="26">
        <v>1.1900000000000001E-2</v>
      </c>
      <c r="M2477" s="26">
        <v>3.5999999999999999E-3</v>
      </c>
      <c r="N2477">
        <v>46</v>
      </c>
    </row>
    <row r="2478" spans="1:14" x14ac:dyDescent="0.35">
      <c r="A2478" t="s">
        <v>230</v>
      </c>
      <c r="B2478" t="s">
        <v>265</v>
      </c>
      <c r="C2478" s="26">
        <v>0.40600000000000003</v>
      </c>
      <c r="D2478" s="26">
        <v>0.24970000000000001</v>
      </c>
      <c r="E2478" s="26">
        <v>0.1993</v>
      </c>
      <c r="F2478" s="26">
        <v>0.15759999999999999</v>
      </c>
      <c r="G2478" s="26">
        <v>0.14380000000000001</v>
      </c>
      <c r="H2478" s="26">
        <v>1.04E-2</v>
      </c>
      <c r="I2478" s="26">
        <v>6.3E-3</v>
      </c>
      <c r="M2478" s="26">
        <v>1.04E-2</v>
      </c>
      <c r="N2478">
        <v>40</v>
      </c>
    </row>
    <row r="2479" spans="1:14" x14ac:dyDescent="0.35">
      <c r="A2479" s="27" t="s">
        <v>231</v>
      </c>
      <c r="B2479" s="27" t="s">
        <v>267</v>
      </c>
      <c r="C2479" s="28">
        <v>0.33329999999999999</v>
      </c>
      <c r="D2479" s="29"/>
      <c r="E2479" s="28">
        <v>0.33329999999999999</v>
      </c>
      <c r="F2479" s="29"/>
      <c r="G2479" s="29"/>
      <c r="H2479" s="29"/>
      <c r="I2479" s="29"/>
      <c r="J2479" s="29"/>
      <c r="K2479" s="28">
        <v>0.33329999999999999</v>
      </c>
      <c r="L2479" s="29"/>
      <c r="M2479" s="29"/>
      <c r="N2479" s="29" t="s">
        <v>315</v>
      </c>
    </row>
    <row r="2480" spans="1:14" x14ac:dyDescent="0.35">
      <c r="A2480" s="27" t="s">
        <v>231</v>
      </c>
      <c r="B2480" s="27" t="s">
        <v>266</v>
      </c>
      <c r="C2480" s="28">
        <v>0.42859999999999998</v>
      </c>
      <c r="D2480" s="28">
        <v>0.1429</v>
      </c>
      <c r="E2480" s="29"/>
      <c r="F2480" s="29"/>
      <c r="G2480" s="28">
        <v>0.28570000000000001</v>
      </c>
      <c r="H2480" s="28">
        <v>0.1429</v>
      </c>
      <c r="I2480" s="29"/>
      <c r="J2480" s="29"/>
      <c r="K2480" s="29"/>
      <c r="L2480" s="29"/>
      <c r="M2480" s="29"/>
      <c r="N2480" s="29" t="s">
        <v>339</v>
      </c>
    </row>
    <row r="2481" spans="1:14" x14ac:dyDescent="0.35">
      <c r="A2481" s="27" t="s">
        <v>231</v>
      </c>
      <c r="B2481" s="27" t="s">
        <v>265</v>
      </c>
      <c r="C2481" s="28">
        <v>0.3</v>
      </c>
      <c r="D2481" s="28">
        <v>0.6</v>
      </c>
      <c r="E2481" s="28">
        <v>0.1</v>
      </c>
      <c r="F2481" s="28">
        <v>0.1</v>
      </c>
      <c r="G2481" s="28">
        <v>0.1</v>
      </c>
      <c r="H2481" s="28">
        <v>0.2</v>
      </c>
      <c r="I2481" s="28">
        <v>0.2</v>
      </c>
      <c r="J2481" s="28">
        <v>0.1</v>
      </c>
      <c r="K2481" s="29"/>
      <c r="L2481" s="29"/>
      <c r="M2481" s="29"/>
      <c r="N2481" s="29" t="s">
        <v>307</v>
      </c>
    </row>
    <row r="2482" spans="1:14" x14ac:dyDescent="0.35">
      <c r="A2482" t="s">
        <v>232</v>
      </c>
      <c r="B2482" t="s">
        <v>232</v>
      </c>
      <c r="C2482" s="26">
        <v>0.35770000000000002</v>
      </c>
      <c r="D2482" s="26">
        <v>0.2787</v>
      </c>
      <c r="E2482" s="26">
        <v>0.24249999999999999</v>
      </c>
      <c r="F2482" s="26">
        <v>0.1245</v>
      </c>
      <c r="G2482" s="26">
        <v>8.1299999999999997E-2</v>
      </c>
      <c r="H2482" s="26">
        <v>6.5100000000000005E-2</v>
      </c>
      <c r="I2482" s="26">
        <v>6.2600000000000003E-2</v>
      </c>
      <c r="J2482" s="26">
        <v>3.73E-2</v>
      </c>
      <c r="K2482" s="26">
        <v>1.38E-2</v>
      </c>
      <c r="L2482" s="26">
        <v>4.7999999999999996E-3</v>
      </c>
      <c r="M2482" s="26">
        <v>1.8E-3</v>
      </c>
      <c r="N2482">
        <v>458</v>
      </c>
    </row>
    <row r="2484" spans="1:14" x14ac:dyDescent="0.35">
      <c r="A2484" s="1" t="s">
        <v>524</v>
      </c>
    </row>
    <row r="2485" spans="1:14" x14ac:dyDescent="0.35">
      <c r="A2485" t="s">
        <v>219</v>
      </c>
      <c r="B2485" t="s">
        <v>305</v>
      </c>
      <c r="C2485" t="s">
        <v>510</v>
      </c>
      <c r="D2485" t="s">
        <v>511</v>
      </c>
      <c r="E2485" t="s">
        <v>512</v>
      </c>
      <c r="F2485" t="s">
        <v>513</v>
      </c>
      <c r="G2485" t="s">
        <v>514</v>
      </c>
      <c r="H2485" t="s">
        <v>515</v>
      </c>
      <c r="I2485" t="s">
        <v>516</v>
      </c>
      <c r="J2485" t="s">
        <v>517</v>
      </c>
      <c r="K2485" t="s">
        <v>286</v>
      </c>
      <c r="L2485" t="s">
        <v>518</v>
      </c>
      <c r="M2485" t="s">
        <v>281</v>
      </c>
      <c r="N2485" t="s">
        <v>226</v>
      </c>
    </row>
    <row r="2486" spans="1:14" x14ac:dyDescent="0.35">
      <c r="A2486" s="27" t="s">
        <v>227</v>
      </c>
      <c r="B2486" s="27" t="s">
        <v>252</v>
      </c>
      <c r="C2486" s="28">
        <v>0.5</v>
      </c>
      <c r="D2486" s="29"/>
      <c r="E2486" s="28">
        <v>0.5</v>
      </c>
      <c r="F2486" s="29"/>
      <c r="G2486" s="29"/>
      <c r="H2486" s="29"/>
      <c r="I2486" s="29"/>
      <c r="J2486" s="29"/>
      <c r="K2486" s="29"/>
      <c r="L2486" s="29"/>
      <c r="M2486" s="29"/>
      <c r="N2486" s="29" t="s">
        <v>337</v>
      </c>
    </row>
    <row r="2487" spans="1:14" x14ac:dyDescent="0.35">
      <c r="A2487" s="27" t="s">
        <v>227</v>
      </c>
      <c r="B2487" s="27" t="s">
        <v>253</v>
      </c>
      <c r="C2487" s="28">
        <v>0.4</v>
      </c>
      <c r="D2487" s="28">
        <v>0.1</v>
      </c>
      <c r="E2487" s="28">
        <v>0.4</v>
      </c>
      <c r="F2487" s="28">
        <v>0.1</v>
      </c>
      <c r="G2487" s="28">
        <v>0.1</v>
      </c>
      <c r="H2487" s="28">
        <v>0.1</v>
      </c>
      <c r="I2487" s="28">
        <v>0.1</v>
      </c>
      <c r="J2487" s="29"/>
      <c r="K2487" s="29"/>
      <c r="L2487" s="29"/>
      <c r="M2487" s="29"/>
      <c r="N2487" s="29" t="s">
        <v>307</v>
      </c>
    </row>
    <row r="2488" spans="1:14" x14ac:dyDescent="0.35">
      <c r="A2488" s="27" t="s">
        <v>227</v>
      </c>
      <c r="B2488" s="27" t="s">
        <v>251</v>
      </c>
      <c r="C2488" s="28">
        <v>1</v>
      </c>
      <c r="D2488" s="28">
        <v>0.25</v>
      </c>
      <c r="E2488" s="29"/>
      <c r="F2488" s="29"/>
      <c r="G2488" s="29"/>
      <c r="H2488" s="29"/>
      <c r="I2488" s="29"/>
      <c r="J2488" s="29"/>
      <c r="K2488" s="29"/>
      <c r="L2488" s="29"/>
      <c r="M2488" s="29"/>
      <c r="N2488" s="29" t="s">
        <v>337</v>
      </c>
    </row>
    <row r="2489" spans="1:14" x14ac:dyDescent="0.35">
      <c r="A2489" t="s">
        <v>228</v>
      </c>
      <c r="B2489" t="s">
        <v>252</v>
      </c>
      <c r="C2489" s="26">
        <v>0.34379999999999999</v>
      </c>
      <c r="D2489" s="26">
        <v>0.11890000000000001</v>
      </c>
      <c r="E2489" s="26">
        <v>0.39219999999999999</v>
      </c>
      <c r="F2489" s="26">
        <v>5.4600000000000003E-2</v>
      </c>
      <c r="G2489" s="26">
        <v>0.1268</v>
      </c>
      <c r="H2489" s="26">
        <v>8.6999999999999994E-2</v>
      </c>
      <c r="I2489" s="26">
        <v>4.1000000000000002E-2</v>
      </c>
      <c r="J2489" s="26">
        <v>6.7999999999999996E-3</v>
      </c>
      <c r="N2489">
        <v>60</v>
      </c>
    </row>
    <row r="2490" spans="1:14" x14ac:dyDescent="0.35">
      <c r="A2490" t="s">
        <v>228</v>
      </c>
      <c r="B2490" t="s">
        <v>253</v>
      </c>
      <c r="C2490" s="26">
        <v>0.37169999999999997</v>
      </c>
      <c r="D2490" s="26">
        <v>0.1512</v>
      </c>
      <c r="E2490" s="26">
        <v>0.1143</v>
      </c>
      <c r="F2490" s="26">
        <v>0.1726</v>
      </c>
      <c r="G2490" s="26">
        <v>0.11650000000000001</v>
      </c>
      <c r="H2490" s="26">
        <v>5.1700000000000003E-2</v>
      </c>
      <c r="I2490" s="26">
        <v>3.3999999999999998E-3</v>
      </c>
      <c r="J2490" s="26">
        <v>0.1779</v>
      </c>
      <c r="N2490">
        <v>70</v>
      </c>
    </row>
    <row r="2491" spans="1:14" x14ac:dyDescent="0.35">
      <c r="A2491" t="s">
        <v>228</v>
      </c>
      <c r="B2491" t="s">
        <v>251</v>
      </c>
      <c r="C2491" s="26">
        <v>0.27929999999999999</v>
      </c>
      <c r="D2491" s="26">
        <v>0.2697</v>
      </c>
      <c r="E2491" s="26">
        <v>0.25840000000000002</v>
      </c>
      <c r="F2491" s="26">
        <v>7.1499999999999994E-2</v>
      </c>
      <c r="G2491" s="26">
        <v>0.1038</v>
      </c>
      <c r="H2491" s="26">
        <v>5.2900000000000003E-2</v>
      </c>
      <c r="I2491" s="26">
        <v>0.28499999999999998</v>
      </c>
      <c r="K2491" s="26">
        <v>5.5500000000000001E-2</v>
      </c>
      <c r="N2491">
        <v>61</v>
      </c>
    </row>
    <row r="2492" spans="1:14" x14ac:dyDescent="0.35">
      <c r="A2492" t="s">
        <v>229</v>
      </c>
      <c r="B2492" t="s">
        <v>252</v>
      </c>
      <c r="C2492" s="26">
        <v>0.58430000000000004</v>
      </c>
      <c r="D2492" s="26">
        <v>0.23419999999999999</v>
      </c>
      <c r="E2492" s="26">
        <v>0.29909999999999998</v>
      </c>
      <c r="G2492" s="26">
        <v>8.0000000000000002E-3</v>
      </c>
      <c r="H2492" s="26">
        <v>8.0000000000000002E-3</v>
      </c>
      <c r="N2492">
        <v>31</v>
      </c>
    </row>
    <row r="2493" spans="1:14" x14ac:dyDescent="0.35">
      <c r="A2493" t="s">
        <v>229</v>
      </c>
      <c r="B2493" t="s">
        <v>253</v>
      </c>
      <c r="C2493" s="26">
        <v>0.3972</v>
      </c>
      <c r="D2493" s="26">
        <v>0.26960000000000001</v>
      </c>
      <c r="E2493" s="26">
        <v>0.29210000000000003</v>
      </c>
      <c r="F2493" s="26">
        <v>0.33900000000000002</v>
      </c>
      <c r="G2493" s="26">
        <v>3.1099999999999999E-2</v>
      </c>
      <c r="H2493" s="26">
        <v>3.9E-2</v>
      </c>
      <c r="I2493" s="26">
        <v>6.2100000000000002E-2</v>
      </c>
      <c r="J2493" s="26">
        <v>2.7699999999999999E-2</v>
      </c>
      <c r="N2493">
        <v>47</v>
      </c>
    </row>
    <row r="2494" spans="1:14" x14ac:dyDescent="0.35">
      <c r="A2494" t="s">
        <v>229</v>
      </c>
      <c r="B2494" t="s">
        <v>251</v>
      </c>
      <c r="C2494" s="26">
        <v>0.1031</v>
      </c>
      <c r="D2494" s="26">
        <v>0.49270000000000003</v>
      </c>
      <c r="E2494" s="26">
        <v>0.28000000000000003</v>
      </c>
      <c r="F2494" s="26">
        <v>0.12659999999999999</v>
      </c>
      <c r="G2494" s="26">
        <v>4.19E-2</v>
      </c>
      <c r="H2494" s="26">
        <v>5.3E-3</v>
      </c>
      <c r="I2494" s="26">
        <v>1.1999999999999999E-3</v>
      </c>
      <c r="J2494" s="26">
        <v>3.1399999999999997E-2</v>
      </c>
      <c r="L2494" s="26">
        <v>3.1399999999999997E-2</v>
      </c>
      <c r="M2494" s="26">
        <v>8.3999999999999995E-3</v>
      </c>
      <c r="N2494">
        <v>53</v>
      </c>
    </row>
    <row r="2495" spans="1:14" x14ac:dyDescent="0.35">
      <c r="A2495" t="s">
        <v>230</v>
      </c>
      <c r="B2495" t="s">
        <v>252</v>
      </c>
      <c r="C2495" s="26">
        <v>0.40350000000000003</v>
      </c>
      <c r="D2495" s="26">
        <v>0.44319999999999998</v>
      </c>
      <c r="E2495" s="26">
        <v>0.1744</v>
      </c>
      <c r="F2495" s="26">
        <v>1.34E-2</v>
      </c>
      <c r="G2495" s="26">
        <v>1.2999999999999999E-2</v>
      </c>
      <c r="H2495" s="26">
        <v>7.9100000000000004E-2</v>
      </c>
      <c r="J2495" s="26">
        <v>7.9100000000000004E-2</v>
      </c>
      <c r="N2495">
        <v>30</v>
      </c>
    </row>
    <row r="2496" spans="1:14" x14ac:dyDescent="0.35">
      <c r="A2496" s="27" t="s">
        <v>230</v>
      </c>
      <c r="B2496" s="27" t="s">
        <v>253</v>
      </c>
      <c r="C2496" s="28">
        <v>0.26619999999999999</v>
      </c>
      <c r="D2496" s="28">
        <v>0.1036</v>
      </c>
      <c r="E2496" s="28">
        <v>0.42880000000000001</v>
      </c>
      <c r="F2496" s="28">
        <v>0.35439999999999999</v>
      </c>
      <c r="G2496" s="28">
        <v>5.7599999999999998E-2</v>
      </c>
      <c r="H2496" s="28">
        <v>2.92E-2</v>
      </c>
      <c r="I2496" s="28">
        <v>2.92E-2</v>
      </c>
      <c r="J2496" s="28">
        <v>8.8000000000000005E-3</v>
      </c>
      <c r="K2496" s="29"/>
      <c r="L2496" s="29"/>
      <c r="M2496" s="28">
        <v>8.8000000000000005E-3</v>
      </c>
      <c r="N2496" s="29" t="s">
        <v>336</v>
      </c>
    </row>
    <row r="2497" spans="1:14" x14ac:dyDescent="0.35">
      <c r="A2497" t="s">
        <v>230</v>
      </c>
      <c r="B2497" t="s">
        <v>251</v>
      </c>
      <c r="C2497" s="26">
        <v>0.33550000000000002</v>
      </c>
      <c r="D2497" s="26">
        <v>0.22989999999999999</v>
      </c>
      <c r="E2497" s="26">
        <v>0.25169999999999998</v>
      </c>
      <c r="F2497" s="26">
        <v>0.12280000000000001</v>
      </c>
      <c r="G2497" s="26">
        <v>0.14000000000000001</v>
      </c>
      <c r="H2497" s="26">
        <v>8.3099999999999993E-2</v>
      </c>
      <c r="I2497" s="26">
        <v>6.59E-2</v>
      </c>
      <c r="L2497" s="26">
        <v>9.9000000000000008E-3</v>
      </c>
      <c r="M2497" s="26">
        <v>1.01E-2</v>
      </c>
      <c r="N2497">
        <v>40</v>
      </c>
    </row>
    <row r="2498" spans="1:14" x14ac:dyDescent="0.35">
      <c r="A2498" s="27" t="s">
        <v>231</v>
      </c>
      <c r="B2498" s="27" t="s">
        <v>252</v>
      </c>
      <c r="C2498" s="28">
        <v>0.3</v>
      </c>
      <c r="D2498" s="28">
        <v>0.2</v>
      </c>
      <c r="E2498" s="28">
        <v>0.1</v>
      </c>
      <c r="F2498" s="29"/>
      <c r="G2498" s="28">
        <v>0.2</v>
      </c>
      <c r="H2498" s="28">
        <v>0.1</v>
      </c>
      <c r="I2498" s="29"/>
      <c r="J2498" s="29"/>
      <c r="K2498" s="28">
        <v>0.1</v>
      </c>
      <c r="L2498" s="29"/>
      <c r="M2498" s="29"/>
      <c r="N2498" s="29" t="s">
        <v>307</v>
      </c>
    </row>
    <row r="2499" spans="1:14" x14ac:dyDescent="0.35">
      <c r="A2499" s="27" t="s">
        <v>231</v>
      </c>
      <c r="B2499" s="27" t="s">
        <v>253</v>
      </c>
      <c r="C2499" s="28">
        <v>0.33329999999999999</v>
      </c>
      <c r="D2499" s="28">
        <v>0.66669999999999996</v>
      </c>
      <c r="E2499" s="28">
        <v>0.33329999999999999</v>
      </c>
      <c r="F2499" s="29"/>
      <c r="G2499" s="29"/>
      <c r="H2499" s="29"/>
      <c r="I2499" s="29"/>
      <c r="J2499" s="29"/>
      <c r="K2499" s="29"/>
      <c r="L2499" s="29"/>
      <c r="M2499" s="29"/>
      <c r="N2499" s="29" t="s">
        <v>315</v>
      </c>
    </row>
    <row r="2500" spans="1:14" x14ac:dyDescent="0.35">
      <c r="A2500" s="27" t="s">
        <v>231</v>
      </c>
      <c r="B2500" s="27" t="s">
        <v>251</v>
      </c>
      <c r="C2500" s="28">
        <v>0.42859999999999998</v>
      </c>
      <c r="D2500" s="28">
        <v>0.42859999999999998</v>
      </c>
      <c r="E2500" s="29"/>
      <c r="F2500" s="28">
        <v>0.1429</v>
      </c>
      <c r="G2500" s="28">
        <v>0.1429</v>
      </c>
      <c r="H2500" s="28">
        <v>0.28570000000000001</v>
      </c>
      <c r="I2500" s="28">
        <v>0.28570000000000001</v>
      </c>
      <c r="J2500" s="28">
        <v>0.1429</v>
      </c>
      <c r="K2500" s="29"/>
      <c r="L2500" s="29"/>
      <c r="M2500" s="29"/>
      <c r="N2500" s="29" t="s">
        <v>339</v>
      </c>
    </row>
    <row r="2501" spans="1:14" x14ac:dyDescent="0.35">
      <c r="A2501" t="s">
        <v>232</v>
      </c>
      <c r="B2501" t="s">
        <v>232</v>
      </c>
      <c r="C2501" s="26">
        <v>0.35770000000000002</v>
      </c>
      <c r="D2501" s="26">
        <v>0.2787</v>
      </c>
      <c r="E2501" s="26">
        <v>0.24249999999999999</v>
      </c>
      <c r="F2501" s="26">
        <v>0.1245</v>
      </c>
      <c r="G2501" s="26">
        <v>8.1299999999999997E-2</v>
      </c>
      <c r="H2501" s="26">
        <v>6.5100000000000005E-2</v>
      </c>
      <c r="I2501" s="26">
        <v>6.2600000000000003E-2</v>
      </c>
      <c r="J2501" s="26">
        <v>3.73E-2</v>
      </c>
      <c r="K2501" s="26">
        <v>1.38E-2</v>
      </c>
      <c r="L2501" s="26">
        <v>4.7999999999999996E-3</v>
      </c>
      <c r="M2501" s="26">
        <v>1.8E-3</v>
      </c>
      <c r="N2501">
        <v>458</v>
      </c>
    </row>
    <row r="2503" spans="1:14" x14ac:dyDescent="0.35">
      <c r="A2503" s="1" t="s">
        <v>525</v>
      </c>
    </row>
    <row r="2504" spans="1:14" x14ac:dyDescent="0.35">
      <c r="A2504" t="s">
        <v>219</v>
      </c>
      <c r="B2504" t="s">
        <v>305</v>
      </c>
      <c r="C2504" t="s">
        <v>510</v>
      </c>
      <c r="D2504" t="s">
        <v>511</v>
      </c>
      <c r="E2504" t="s">
        <v>512</v>
      </c>
      <c r="F2504" t="s">
        <v>513</v>
      </c>
      <c r="G2504" t="s">
        <v>514</v>
      </c>
      <c r="H2504" t="s">
        <v>515</v>
      </c>
      <c r="I2504" t="s">
        <v>516</v>
      </c>
      <c r="J2504" t="s">
        <v>517</v>
      </c>
      <c r="K2504" t="s">
        <v>286</v>
      </c>
      <c r="L2504" t="s">
        <v>518</v>
      </c>
      <c r="M2504" t="s">
        <v>281</v>
      </c>
      <c r="N2504" t="s">
        <v>226</v>
      </c>
    </row>
    <row r="2505" spans="1:14" x14ac:dyDescent="0.35">
      <c r="A2505" s="27" t="s">
        <v>227</v>
      </c>
      <c r="B2505" s="27" t="s">
        <v>249</v>
      </c>
      <c r="C2505" s="28">
        <v>0.375</v>
      </c>
      <c r="D2505" s="28">
        <v>0.25</v>
      </c>
      <c r="E2505" s="28">
        <v>0.375</v>
      </c>
      <c r="F2505" s="28">
        <v>0.125</v>
      </c>
      <c r="G2505" s="29"/>
      <c r="H2505" s="29"/>
      <c r="I2505" s="28">
        <v>0.125</v>
      </c>
      <c r="J2505" s="29"/>
      <c r="K2505" s="29"/>
      <c r="L2505" s="29"/>
      <c r="M2505" s="29"/>
      <c r="N2505" s="29" t="s">
        <v>333</v>
      </c>
    </row>
    <row r="2506" spans="1:14" x14ac:dyDescent="0.35">
      <c r="A2506" s="27" t="s">
        <v>227</v>
      </c>
      <c r="B2506" s="27" t="s">
        <v>248</v>
      </c>
      <c r="C2506" s="28">
        <v>0.7</v>
      </c>
      <c r="D2506" s="29"/>
      <c r="E2506" s="28">
        <v>0.3</v>
      </c>
      <c r="F2506" s="29"/>
      <c r="G2506" s="28">
        <v>0.1</v>
      </c>
      <c r="H2506" s="28">
        <v>0.1</v>
      </c>
      <c r="I2506" s="29"/>
      <c r="J2506" s="29"/>
      <c r="K2506" s="29"/>
      <c r="L2506" s="29"/>
      <c r="M2506" s="29"/>
      <c r="N2506" s="29" t="s">
        <v>307</v>
      </c>
    </row>
    <row r="2507" spans="1:14" x14ac:dyDescent="0.35">
      <c r="A2507" t="s">
        <v>228</v>
      </c>
      <c r="B2507" t="s">
        <v>249</v>
      </c>
      <c r="C2507" s="26">
        <v>0.216</v>
      </c>
      <c r="D2507" s="26">
        <v>0.1885</v>
      </c>
      <c r="E2507" s="26">
        <v>0.1744</v>
      </c>
      <c r="F2507" s="26">
        <v>0.14080000000000001</v>
      </c>
      <c r="G2507" s="26">
        <v>8.0699999999999994E-2</v>
      </c>
      <c r="H2507" s="26">
        <v>9.6299999999999997E-2</v>
      </c>
      <c r="I2507" s="26">
        <v>0.19520000000000001</v>
      </c>
      <c r="J2507" s="26">
        <v>0.158</v>
      </c>
      <c r="N2507">
        <v>60</v>
      </c>
    </row>
    <row r="2508" spans="1:14" x14ac:dyDescent="0.35">
      <c r="A2508" t="s">
        <v>228</v>
      </c>
      <c r="B2508" t="s">
        <v>248</v>
      </c>
      <c r="C2508" s="26">
        <v>0.39169999999999999</v>
      </c>
      <c r="D2508" s="26">
        <v>0.1726</v>
      </c>
      <c r="E2508" s="26">
        <v>0.28179999999999999</v>
      </c>
      <c r="F2508" s="26">
        <v>8.6199999999999999E-2</v>
      </c>
      <c r="G2508" s="26">
        <v>0.13289999999999999</v>
      </c>
      <c r="H2508" s="26">
        <v>4.7100000000000003E-2</v>
      </c>
      <c r="I2508" s="26">
        <v>5.7500000000000002E-2</v>
      </c>
      <c r="J2508" s="26">
        <v>2.5399999999999999E-2</v>
      </c>
      <c r="K2508" s="26">
        <v>2.5600000000000001E-2</v>
      </c>
      <c r="N2508">
        <v>131</v>
      </c>
    </row>
    <row r="2509" spans="1:14" x14ac:dyDescent="0.35">
      <c r="A2509" t="s">
        <v>229</v>
      </c>
      <c r="B2509" t="s">
        <v>249</v>
      </c>
      <c r="C2509" s="26">
        <v>0.21490000000000001</v>
      </c>
      <c r="D2509" s="26">
        <v>0.46260000000000001</v>
      </c>
      <c r="E2509" s="26">
        <v>0.3715</v>
      </c>
      <c r="F2509" s="26">
        <v>0.29909999999999998</v>
      </c>
      <c r="G2509" s="26">
        <v>4.2000000000000003E-2</v>
      </c>
      <c r="H2509" s="26">
        <v>5.6000000000000001E-2</v>
      </c>
      <c r="I2509" s="26">
        <v>8.4099999999999994E-2</v>
      </c>
      <c r="J2509" s="26">
        <v>2.3999999999999998E-3</v>
      </c>
      <c r="M2509" s="26">
        <v>9.4000000000000004E-3</v>
      </c>
      <c r="N2509">
        <v>37</v>
      </c>
    </row>
    <row r="2510" spans="1:14" x14ac:dyDescent="0.35">
      <c r="A2510" t="s">
        <v>229</v>
      </c>
      <c r="B2510" t="s">
        <v>248</v>
      </c>
      <c r="C2510" s="26">
        <v>0.37830000000000003</v>
      </c>
      <c r="D2510" s="26">
        <v>0.2873</v>
      </c>
      <c r="E2510" s="26">
        <v>0.2487</v>
      </c>
      <c r="F2510" s="26">
        <v>0.14680000000000001</v>
      </c>
      <c r="G2510" s="26">
        <v>2.5100000000000001E-2</v>
      </c>
      <c r="H2510" s="26">
        <v>3.5000000000000001E-3</v>
      </c>
      <c r="I2510" s="26">
        <v>5.9999999999999995E-4</v>
      </c>
      <c r="J2510" s="26">
        <v>3.4299999999999997E-2</v>
      </c>
      <c r="L2510" s="26">
        <v>1.7100000000000001E-2</v>
      </c>
      <c r="N2510">
        <v>94</v>
      </c>
    </row>
    <row r="2511" spans="1:14" x14ac:dyDescent="0.35">
      <c r="A2511" t="s">
        <v>230</v>
      </c>
      <c r="B2511" t="s">
        <v>249</v>
      </c>
      <c r="C2511" s="26">
        <v>0.30259999999999998</v>
      </c>
      <c r="D2511" s="26">
        <v>9.2700000000000005E-2</v>
      </c>
      <c r="E2511" s="26">
        <v>0.42570000000000002</v>
      </c>
      <c r="F2511" s="26">
        <v>8.6400000000000005E-2</v>
      </c>
      <c r="G2511" s="26">
        <v>0.20050000000000001</v>
      </c>
      <c r="H2511" s="26">
        <v>0.113</v>
      </c>
      <c r="I2511" s="26">
        <v>0.10199999999999999</v>
      </c>
      <c r="L2511" s="26">
        <v>1.5299999999999999E-2</v>
      </c>
      <c r="M2511" s="26">
        <v>1.5599999999999999E-2</v>
      </c>
      <c r="N2511">
        <v>36</v>
      </c>
    </row>
    <row r="2512" spans="1:14" x14ac:dyDescent="0.35">
      <c r="A2512" t="s">
        <v>230</v>
      </c>
      <c r="B2512" t="s">
        <v>248</v>
      </c>
      <c r="C2512" s="26">
        <v>0.36899999999999999</v>
      </c>
      <c r="D2512" s="26">
        <v>0.3715</v>
      </c>
      <c r="E2512" s="26">
        <v>0.1764</v>
      </c>
      <c r="F2512" s="26">
        <v>0.13719999999999999</v>
      </c>
      <c r="G2512" s="26">
        <v>2.76E-2</v>
      </c>
      <c r="H2512" s="26">
        <v>5.5E-2</v>
      </c>
      <c r="I2512" s="26">
        <v>6.8999999999999999E-3</v>
      </c>
      <c r="J2512" s="26">
        <v>4.3200000000000002E-2</v>
      </c>
      <c r="M2512" s="26">
        <v>2.0999999999999999E-3</v>
      </c>
      <c r="N2512">
        <v>62</v>
      </c>
    </row>
    <row r="2513" spans="1:14" x14ac:dyDescent="0.35">
      <c r="A2513" s="27" t="s">
        <v>231</v>
      </c>
      <c r="B2513" s="27" t="s">
        <v>249</v>
      </c>
      <c r="C2513" s="28">
        <v>0.33329999999999999</v>
      </c>
      <c r="D2513" s="28">
        <v>0.66669999999999996</v>
      </c>
      <c r="E2513" s="29"/>
      <c r="F2513" s="29"/>
      <c r="G2513" s="29"/>
      <c r="H2513" s="28">
        <v>0.33329999999999999</v>
      </c>
      <c r="I2513" s="29"/>
      <c r="J2513" s="29"/>
      <c r="K2513" s="29"/>
      <c r="L2513" s="29"/>
      <c r="M2513" s="29"/>
      <c r="N2513" s="29" t="s">
        <v>315</v>
      </c>
    </row>
    <row r="2514" spans="1:14" x14ac:dyDescent="0.35">
      <c r="A2514" s="27" t="s">
        <v>231</v>
      </c>
      <c r="B2514" s="27" t="s">
        <v>248</v>
      </c>
      <c r="C2514" s="28">
        <v>0.35289999999999999</v>
      </c>
      <c r="D2514" s="28">
        <v>0.29409999999999997</v>
      </c>
      <c r="E2514" s="28">
        <v>0.1176</v>
      </c>
      <c r="F2514" s="28">
        <v>5.8799999999999998E-2</v>
      </c>
      <c r="G2514" s="28">
        <v>0.17649999999999999</v>
      </c>
      <c r="H2514" s="28">
        <v>0.1176</v>
      </c>
      <c r="I2514" s="28">
        <v>0.1176</v>
      </c>
      <c r="J2514" s="28">
        <v>5.8799999999999998E-2</v>
      </c>
      <c r="K2514" s="28">
        <v>5.8799999999999998E-2</v>
      </c>
      <c r="L2514" s="29"/>
      <c r="M2514" s="29"/>
      <c r="N2514" s="29" t="s">
        <v>343</v>
      </c>
    </row>
    <row r="2515" spans="1:14" x14ac:dyDescent="0.35">
      <c r="A2515" t="s">
        <v>232</v>
      </c>
      <c r="B2515" t="s">
        <v>232</v>
      </c>
      <c r="C2515" s="26">
        <v>0.35770000000000002</v>
      </c>
      <c r="D2515" s="26">
        <v>0.2787</v>
      </c>
      <c r="E2515" s="26">
        <v>0.24249999999999999</v>
      </c>
      <c r="F2515" s="26">
        <v>0.1245</v>
      </c>
      <c r="G2515" s="26">
        <v>8.1299999999999997E-2</v>
      </c>
      <c r="H2515" s="26">
        <v>6.5100000000000005E-2</v>
      </c>
      <c r="I2515" s="26">
        <v>6.2600000000000003E-2</v>
      </c>
      <c r="J2515" s="26">
        <v>3.73E-2</v>
      </c>
      <c r="K2515" s="26">
        <v>1.38E-2</v>
      </c>
      <c r="L2515" s="26">
        <v>4.7999999999999996E-3</v>
      </c>
      <c r="M2515" s="26">
        <v>1.8E-3</v>
      </c>
      <c r="N2515">
        <v>458</v>
      </c>
    </row>
    <row r="2517" spans="1:14" x14ac:dyDescent="0.35">
      <c r="A2517" s="1" t="s">
        <v>526</v>
      </c>
    </row>
    <row r="2518" spans="1:14" x14ac:dyDescent="0.35">
      <c r="A2518" t="s">
        <v>219</v>
      </c>
      <c r="B2518" t="s">
        <v>305</v>
      </c>
      <c r="C2518" t="s">
        <v>510</v>
      </c>
      <c r="D2518" t="s">
        <v>511</v>
      </c>
      <c r="E2518" t="s">
        <v>512</v>
      </c>
      <c r="F2518" t="s">
        <v>513</v>
      </c>
      <c r="G2518" t="s">
        <v>514</v>
      </c>
      <c r="H2518" t="s">
        <v>515</v>
      </c>
      <c r="I2518" t="s">
        <v>516</v>
      </c>
      <c r="J2518" t="s">
        <v>517</v>
      </c>
      <c r="K2518" t="s">
        <v>286</v>
      </c>
      <c r="L2518" t="s">
        <v>518</v>
      </c>
      <c r="M2518" t="s">
        <v>281</v>
      </c>
      <c r="N2518" t="s">
        <v>226</v>
      </c>
    </row>
    <row r="2519" spans="1:14" x14ac:dyDescent="0.35">
      <c r="A2519" s="27" t="s">
        <v>227</v>
      </c>
      <c r="B2519" s="27" t="s">
        <v>261</v>
      </c>
      <c r="C2519" s="28">
        <v>0.5</v>
      </c>
      <c r="D2519" s="29"/>
      <c r="E2519" s="28">
        <v>0.25</v>
      </c>
      <c r="F2519" s="29"/>
      <c r="G2519" s="28">
        <v>0.25</v>
      </c>
      <c r="H2519" s="28">
        <v>0.25</v>
      </c>
      <c r="I2519" s="29"/>
      <c r="J2519" s="29"/>
      <c r="K2519" s="29"/>
      <c r="L2519" s="29"/>
      <c r="M2519" s="29"/>
      <c r="N2519" s="29" t="s">
        <v>337</v>
      </c>
    </row>
    <row r="2520" spans="1:14" x14ac:dyDescent="0.35">
      <c r="A2520" s="27" t="s">
        <v>227</v>
      </c>
      <c r="B2520" s="27" t="s">
        <v>260</v>
      </c>
      <c r="C2520" s="28">
        <v>0.57140000000000002</v>
      </c>
      <c r="D2520" s="28">
        <v>0.1429</v>
      </c>
      <c r="E2520" s="28">
        <v>0.35709999999999997</v>
      </c>
      <c r="F2520" s="28">
        <v>7.1400000000000005E-2</v>
      </c>
      <c r="G2520" s="29"/>
      <c r="H2520" s="29"/>
      <c r="I2520" s="28">
        <v>7.1400000000000005E-2</v>
      </c>
      <c r="J2520" s="29"/>
      <c r="K2520" s="29"/>
      <c r="L2520" s="29"/>
      <c r="M2520" s="29"/>
      <c r="N2520" s="29" t="s">
        <v>379</v>
      </c>
    </row>
    <row r="2521" spans="1:14" x14ac:dyDescent="0.35">
      <c r="A2521" s="27" t="s">
        <v>228</v>
      </c>
      <c r="B2521" s="27" t="s">
        <v>263</v>
      </c>
      <c r="C2521" s="29"/>
      <c r="D2521" s="29"/>
      <c r="E2521" s="28">
        <v>1</v>
      </c>
      <c r="F2521" s="29"/>
      <c r="G2521" s="29"/>
      <c r="H2521" s="29"/>
      <c r="I2521" s="29"/>
      <c r="J2521" s="29"/>
      <c r="K2521" s="29"/>
      <c r="L2521" s="29"/>
      <c r="M2521" s="29"/>
      <c r="N2521" s="29" t="s">
        <v>314</v>
      </c>
    </row>
    <row r="2522" spans="1:14" x14ac:dyDescent="0.35">
      <c r="A2522" t="s">
        <v>228</v>
      </c>
      <c r="B2522" t="s">
        <v>261</v>
      </c>
      <c r="C2522" s="26">
        <v>0.2462</v>
      </c>
      <c r="D2522" s="26">
        <v>0.17710000000000001</v>
      </c>
      <c r="E2522" s="26">
        <v>0.189</v>
      </c>
      <c r="F2522" s="26">
        <v>0.1037</v>
      </c>
      <c r="G2522" s="26">
        <v>0.1956</v>
      </c>
      <c r="H2522" s="26">
        <v>7.8200000000000006E-2</v>
      </c>
      <c r="I2522" s="26">
        <v>0.12379999999999999</v>
      </c>
      <c r="J2522" s="26">
        <v>0.1822</v>
      </c>
      <c r="N2522">
        <v>43</v>
      </c>
    </row>
    <row r="2523" spans="1:14" x14ac:dyDescent="0.35">
      <c r="A2523" t="s">
        <v>228</v>
      </c>
      <c r="B2523" t="s">
        <v>262</v>
      </c>
      <c r="C2523" s="26">
        <v>0.48159999999999997</v>
      </c>
      <c r="D2523" s="26">
        <v>0.1938</v>
      </c>
      <c r="E2523" s="26">
        <v>0.27939999999999998</v>
      </c>
      <c r="F2523" s="26">
        <v>2.7699999999999999E-2</v>
      </c>
      <c r="G2523" s="26">
        <v>6.6699999999999995E-2</v>
      </c>
      <c r="H2523" s="26">
        <v>0.1807</v>
      </c>
      <c r="I2523" s="26">
        <v>0.25919999999999999</v>
      </c>
      <c r="N2523">
        <v>40</v>
      </c>
    </row>
    <row r="2524" spans="1:14" x14ac:dyDescent="0.35">
      <c r="A2524" t="s">
        <v>228</v>
      </c>
      <c r="B2524" t="s">
        <v>260</v>
      </c>
      <c r="C2524" s="26">
        <v>0.37109999999999999</v>
      </c>
      <c r="D2524" s="26">
        <v>0.17829999999999999</v>
      </c>
      <c r="E2524" s="26">
        <v>0.26640000000000003</v>
      </c>
      <c r="F2524" s="26">
        <v>0.11840000000000001</v>
      </c>
      <c r="G2524" s="26">
        <v>7.4899999999999994E-2</v>
      </c>
      <c r="H2524" s="26">
        <v>3.5299999999999998E-2</v>
      </c>
      <c r="I2524" s="26">
        <v>6.4799999999999996E-2</v>
      </c>
      <c r="J2524" s="26">
        <v>8.9999999999999993E-3</v>
      </c>
      <c r="K2524" s="26">
        <v>3.1300000000000001E-2</v>
      </c>
      <c r="N2524">
        <v>105</v>
      </c>
    </row>
    <row r="2525" spans="1:14" x14ac:dyDescent="0.35">
      <c r="A2525" s="27" t="s">
        <v>228</v>
      </c>
      <c r="B2525" s="27" t="s">
        <v>236</v>
      </c>
      <c r="C2525" s="29"/>
      <c r="D2525" s="29"/>
      <c r="E2525" s="28">
        <v>1</v>
      </c>
      <c r="F2525" s="29"/>
      <c r="G2525" s="29"/>
      <c r="H2525" s="29"/>
      <c r="I2525" s="29"/>
      <c r="J2525" s="29"/>
      <c r="K2525" s="29"/>
      <c r="L2525" s="29"/>
      <c r="M2525" s="29"/>
      <c r="N2525" s="29" t="s">
        <v>331</v>
      </c>
    </row>
    <row r="2526" spans="1:14" x14ac:dyDescent="0.35">
      <c r="A2526" s="27" t="s">
        <v>229</v>
      </c>
      <c r="B2526" s="27" t="s">
        <v>263</v>
      </c>
      <c r="C2526" s="28">
        <v>1</v>
      </c>
      <c r="D2526" s="29"/>
      <c r="E2526" s="29"/>
      <c r="F2526" s="29"/>
      <c r="G2526" s="29"/>
      <c r="H2526" s="29"/>
      <c r="I2526" s="29"/>
      <c r="J2526" s="29"/>
      <c r="K2526" s="29"/>
      <c r="L2526" s="29"/>
      <c r="M2526" s="29"/>
      <c r="N2526" s="29" t="s">
        <v>331</v>
      </c>
    </row>
    <row r="2527" spans="1:14" x14ac:dyDescent="0.35">
      <c r="A2527" t="s">
        <v>229</v>
      </c>
      <c r="B2527" t="s">
        <v>262</v>
      </c>
      <c r="C2527" s="26">
        <v>0.22070000000000001</v>
      </c>
      <c r="D2527" s="26">
        <v>0.5302</v>
      </c>
      <c r="E2527" s="26">
        <v>0.33860000000000001</v>
      </c>
      <c r="F2527" s="26">
        <v>9.3200000000000005E-2</v>
      </c>
      <c r="G2527" s="26">
        <v>4.2200000000000001E-2</v>
      </c>
      <c r="J2527" s="26">
        <v>2.5000000000000001E-3</v>
      </c>
      <c r="M2527" s="26">
        <v>9.9000000000000008E-3</v>
      </c>
      <c r="N2527">
        <v>33</v>
      </c>
    </row>
    <row r="2528" spans="1:14" x14ac:dyDescent="0.35">
      <c r="A2528" s="27" t="s">
        <v>229</v>
      </c>
      <c r="B2528" s="27" t="s">
        <v>261</v>
      </c>
      <c r="C2528" s="28">
        <v>0.65069999999999995</v>
      </c>
      <c r="D2528" s="28">
        <v>0.23599999999999999</v>
      </c>
      <c r="E2528" s="28">
        <v>0.14760000000000001</v>
      </c>
      <c r="F2528" s="28">
        <v>1.8100000000000002E-2</v>
      </c>
      <c r="G2528" s="29"/>
      <c r="H2528" s="28">
        <v>2.07E-2</v>
      </c>
      <c r="I2528" s="29"/>
      <c r="J2528" s="29"/>
      <c r="K2528" s="29"/>
      <c r="L2528" s="28">
        <v>6.8099999999999994E-2</v>
      </c>
      <c r="M2528" s="29"/>
      <c r="N2528" s="29" t="s">
        <v>350</v>
      </c>
    </row>
    <row r="2529" spans="1:14" x14ac:dyDescent="0.35">
      <c r="A2529" t="s">
        <v>229</v>
      </c>
      <c r="B2529" t="s">
        <v>260</v>
      </c>
      <c r="C2529" s="26">
        <v>0.27639999999999998</v>
      </c>
      <c r="D2529" s="26">
        <v>0.2717</v>
      </c>
      <c r="E2529" s="26">
        <v>0.30719999999999997</v>
      </c>
      <c r="F2529" s="26">
        <v>0.31780000000000003</v>
      </c>
      <c r="G2529" s="26">
        <v>3.4000000000000002E-2</v>
      </c>
      <c r="H2529" s="26">
        <v>3.32E-2</v>
      </c>
      <c r="I2529" s="26">
        <v>5.3999999999999999E-2</v>
      </c>
      <c r="J2529" s="26">
        <v>4.4400000000000002E-2</v>
      </c>
      <c r="N2529">
        <v>77</v>
      </c>
    </row>
    <row r="2530" spans="1:14" x14ac:dyDescent="0.35">
      <c r="A2530" s="27" t="s">
        <v>230</v>
      </c>
      <c r="B2530" s="27" t="s">
        <v>263</v>
      </c>
      <c r="C2530" s="29"/>
      <c r="D2530" s="29"/>
      <c r="E2530" s="28">
        <v>0.56850000000000001</v>
      </c>
      <c r="F2530" s="29"/>
      <c r="G2530" s="28">
        <v>0.41070000000000001</v>
      </c>
      <c r="H2530" s="28">
        <v>2.0799999999999999E-2</v>
      </c>
      <c r="I2530" s="29"/>
      <c r="J2530" s="29"/>
      <c r="K2530" s="29"/>
      <c r="L2530" s="29"/>
      <c r="M2530" s="29"/>
      <c r="N2530" s="29" t="s">
        <v>335</v>
      </c>
    </row>
    <row r="2531" spans="1:14" x14ac:dyDescent="0.35">
      <c r="A2531" s="27" t="s">
        <v>230</v>
      </c>
      <c r="B2531" s="27" t="s">
        <v>261</v>
      </c>
      <c r="C2531" s="28">
        <v>0.59409999999999996</v>
      </c>
      <c r="D2531" s="28">
        <v>6.1800000000000001E-2</v>
      </c>
      <c r="E2531" s="28">
        <v>0.25069999999999998</v>
      </c>
      <c r="F2531" s="28">
        <v>3.09E-2</v>
      </c>
      <c r="G2531" s="28">
        <v>0.21840000000000001</v>
      </c>
      <c r="H2531" s="29"/>
      <c r="I2531" s="29"/>
      <c r="J2531" s="29"/>
      <c r="K2531" s="29"/>
      <c r="L2531" s="28">
        <v>3.09E-2</v>
      </c>
      <c r="M2531" s="28">
        <v>3.1600000000000003E-2</v>
      </c>
      <c r="N2531" s="29" t="s">
        <v>342</v>
      </c>
    </row>
    <row r="2532" spans="1:14" x14ac:dyDescent="0.35">
      <c r="A2532" t="s">
        <v>230</v>
      </c>
      <c r="B2532" t="s">
        <v>260</v>
      </c>
      <c r="C2532" s="26">
        <v>0.3488</v>
      </c>
      <c r="D2532" s="26">
        <v>0.3337</v>
      </c>
      <c r="E2532" s="26">
        <v>0.23080000000000001</v>
      </c>
      <c r="F2532" s="26">
        <v>0.17510000000000001</v>
      </c>
      <c r="G2532" s="26">
        <v>2.3800000000000002E-2</v>
      </c>
      <c r="H2532" s="26">
        <v>0.10979999999999999</v>
      </c>
      <c r="I2532" s="26">
        <v>5.4899999999999997E-2</v>
      </c>
      <c r="J2532" s="26">
        <v>4.9399999999999999E-2</v>
      </c>
      <c r="M2532" s="26">
        <v>2.3999999999999998E-3</v>
      </c>
      <c r="N2532">
        <v>53</v>
      </c>
    </row>
    <row r="2533" spans="1:14" x14ac:dyDescent="0.35">
      <c r="A2533" s="27" t="s">
        <v>230</v>
      </c>
      <c r="B2533" s="27" t="s">
        <v>262</v>
      </c>
      <c r="C2533" s="28">
        <v>0.2717</v>
      </c>
      <c r="D2533" s="28">
        <v>0.42930000000000001</v>
      </c>
      <c r="E2533" s="28">
        <v>0.20649999999999999</v>
      </c>
      <c r="F2533" s="28">
        <v>6.2600000000000003E-2</v>
      </c>
      <c r="G2533" s="28">
        <v>2.7099999999999999E-2</v>
      </c>
      <c r="H2533" s="28">
        <v>2.7799999999999998E-2</v>
      </c>
      <c r="I2533" s="28">
        <v>1.67E-2</v>
      </c>
      <c r="J2533" s="29"/>
      <c r="K2533" s="29"/>
      <c r="L2533" s="29"/>
      <c r="M2533" s="29"/>
      <c r="N2533" s="29" t="s">
        <v>338</v>
      </c>
    </row>
    <row r="2534" spans="1:14" x14ac:dyDescent="0.35">
      <c r="A2534" s="27" t="s">
        <v>231</v>
      </c>
      <c r="B2534" s="27" t="s">
        <v>260</v>
      </c>
      <c r="C2534" s="28">
        <v>0.4</v>
      </c>
      <c r="D2534" s="28">
        <v>0.33329999999999999</v>
      </c>
      <c r="E2534" s="28">
        <v>6.6699999999999995E-2</v>
      </c>
      <c r="F2534" s="28">
        <v>6.6699999999999995E-2</v>
      </c>
      <c r="G2534" s="28">
        <v>0.2</v>
      </c>
      <c r="H2534" s="28">
        <v>0.2</v>
      </c>
      <c r="I2534" s="28">
        <v>6.6699999999999995E-2</v>
      </c>
      <c r="J2534" s="28">
        <v>6.6699999999999995E-2</v>
      </c>
      <c r="K2534" s="28">
        <v>6.6699999999999995E-2</v>
      </c>
      <c r="L2534" s="29"/>
      <c r="M2534" s="29"/>
      <c r="N2534" s="29" t="s">
        <v>346</v>
      </c>
    </row>
    <row r="2535" spans="1:14" x14ac:dyDescent="0.35">
      <c r="A2535" s="27" t="s">
        <v>231</v>
      </c>
      <c r="B2535" s="27" t="s">
        <v>261</v>
      </c>
      <c r="C2535" s="28">
        <v>0.25</v>
      </c>
      <c r="D2535" s="28">
        <v>0.5</v>
      </c>
      <c r="E2535" s="28">
        <v>0.25</v>
      </c>
      <c r="F2535" s="29"/>
      <c r="G2535" s="29"/>
      <c r="H2535" s="29"/>
      <c r="I2535" s="29"/>
      <c r="J2535" s="29"/>
      <c r="K2535" s="29"/>
      <c r="L2535" s="29"/>
      <c r="M2535" s="29"/>
      <c r="N2535" s="29" t="s">
        <v>337</v>
      </c>
    </row>
    <row r="2536" spans="1:14" x14ac:dyDescent="0.35">
      <c r="A2536" s="27" t="s">
        <v>231</v>
      </c>
      <c r="B2536" s="27" t="s">
        <v>262</v>
      </c>
      <c r="C2536" s="29"/>
      <c r="D2536" s="29"/>
      <c r="E2536" s="29"/>
      <c r="F2536" s="29"/>
      <c r="G2536" s="29"/>
      <c r="H2536" s="29"/>
      <c r="I2536" s="28">
        <v>1</v>
      </c>
      <c r="J2536" s="29"/>
      <c r="K2536" s="29"/>
      <c r="L2536" s="29"/>
      <c r="M2536" s="29"/>
      <c r="N2536" s="29" t="s">
        <v>331</v>
      </c>
    </row>
    <row r="2537" spans="1:14" x14ac:dyDescent="0.35">
      <c r="A2537" t="s">
        <v>232</v>
      </c>
      <c r="B2537" t="s">
        <v>232</v>
      </c>
      <c r="C2537" s="26">
        <v>0.35770000000000002</v>
      </c>
      <c r="D2537" s="26">
        <v>0.2787</v>
      </c>
      <c r="E2537" s="26">
        <v>0.24249999999999999</v>
      </c>
      <c r="F2537" s="26">
        <v>0.1245</v>
      </c>
      <c r="G2537" s="26">
        <v>8.1299999999999997E-2</v>
      </c>
      <c r="H2537" s="26">
        <v>6.5100000000000005E-2</v>
      </c>
      <c r="I2537" s="26">
        <v>6.2600000000000003E-2</v>
      </c>
      <c r="J2537" s="26">
        <v>3.73E-2</v>
      </c>
      <c r="K2537" s="26">
        <v>1.38E-2</v>
      </c>
      <c r="L2537" s="26">
        <v>4.7999999999999996E-3</v>
      </c>
      <c r="M2537" s="26">
        <v>1.8E-3</v>
      </c>
      <c r="N2537">
        <v>458</v>
      </c>
    </row>
    <row r="2539" spans="1:14" x14ac:dyDescent="0.35">
      <c r="A2539" s="1" t="s">
        <v>527</v>
      </c>
    </row>
    <row r="2540" spans="1:14" x14ac:dyDescent="0.35">
      <c r="A2540" t="s">
        <v>219</v>
      </c>
      <c r="B2540" t="s">
        <v>305</v>
      </c>
      <c r="C2540" t="s">
        <v>510</v>
      </c>
      <c r="D2540" t="s">
        <v>511</v>
      </c>
      <c r="E2540" t="s">
        <v>512</v>
      </c>
      <c r="F2540" t="s">
        <v>513</v>
      </c>
      <c r="G2540" t="s">
        <v>514</v>
      </c>
      <c r="H2540" t="s">
        <v>515</v>
      </c>
      <c r="I2540" t="s">
        <v>516</v>
      </c>
      <c r="J2540" t="s">
        <v>517</v>
      </c>
      <c r="K2540" t="s">
        <v>286</v>
      </c>
      <c r="L2540" t="s">
        <v>518</v>
      </c>
      <c r="M2540" t="s">
        <v>281</v>
      </c>
      <c r="N2540" t="s">
        <v>226</v>
      </c>
    </row>
    <row r="2541" spans="1:14" x14ac:dyDescent="0.35">
      <c r="A2541" s="27" t="s">
        <v>227</v>
      </c>
      <c r="B2541" s="27" t="s">
        <v>368</v>
      </c>
      <c r="C2541" s="28">
        <v>0.5</v>
      </c>
      <c r="D2541" s="29"/>
      <c r="E2541" s="28">
        <v>0.25</v>
      </c>
      <c r="F2541" s="29"/>
      <c r="G2541" s="28">
        <v>0.25</v>
      </c>
      <c r="H2541" s="28">
        <v>0.25</v>
      </c>
      <c r="I2541" s="29"/>
      <c r="J2541" s="29"/>
      <c r="K2541" s="29"/>
      <c r="L2541" s="29"/>
      <c r="M2541" s="29"/>
      <c r="N2541" s="29" t="s">
        <v>337</v>
      </c>
    </row>
    <row r="2542" spans="1:14" x14ac:dyDescent="0.35">
      <c r="A2542" s="27" t="s">
        <v>227</v>
      </c>
      <c r="B2542" s="27" t="s">
        <v>369</v>
      </c>
      <c r="C2542" s="28">
        <v>0.57140000000000002</v>
      </c>
      <c r="D2542" s="28">
        <v>0.1429</v>
      </c>
      <c r="E2542" s="28">
        <v>0.35709999999999997</v>
      </c>
      <c r="F2542" s="28">
        <v>7.1400000000000005E-2</v>
      </c>
      <c r="G2542" s="29"/>
      <c r="H2542" s="29"/>
      <c r="I2542" s="28">
        <v>7.1400000000000005E-2</v>
      </c>
      <c r="J2542" s="29"/>
      <c r="K2542" s="29"/>
      <c r="L2542" s="29"/>
      <c r="M2542" s="29"/>
      <c r="N2542" s="29" t="s">
        <v>379</v>
      </c>
    </row>
    <row r="2543" spans="1:14" x14ac:dyDescent="0.35">
      <c r="A2543" t="s">
        <v>228</v>
      </c>
      <c r="B2543" t="s">
        <v>368</v>
      </c>
      <c r="C2543" s="26">
        <v>0.2462</v>
      </c>
      <c r="D2543" s="26">
        <v>0.17710000000000001</v>
      </c>
      <c r="E2543" s="26">
        <v>0.189</v>
      </c>
      <c r="F2543" s="26">
        <v>0.1037</v>
      </c>
      <c r="G2543" s="26">
        <v>0.1956</v>
      </c>
      <c r="H2543" s="26">
        <v>7.8200000000000006E-2</v>
      </c>
      <c r="I2543" s="26">
        <v>0.12379999999999999</v>
      </c>
      <c r="J2543" s="26">
        <v>0.1822</v>
      </c>
      <c r="N2543">
        <v>43</v>
      </c>
    </row>
    <row r="2544" spans="1:14" x14ac:dyDescent="0.35">
      <c r="A2544" t="s">
        <v>228</v>
      </c>
      <c r="B2544" t="s">
        <v>369</v>
      </c>
      <c r="C2544" s="26">
        <v>0.38169999999999998</v>
      </c>
      <c r="D2544" s="26">
        <v>0.17810000000000001</v>
      </c>
      <c r="E2544" s="26">
        <v>0.2777</v>
      </c>
      <c r="F2544" s="26">
        <v>0.1042</v>
      </c>
      <c r="G2544" s="26">
        <v>7.2800000000000004E-2</v>
      </c>
      <c r="H2544" s="26">
        <v>5.5100000000000003E-2</v>
      </c>
      <c r="I2544" s="26">
        <v>9.11E-2</v>
      </c>
      <c r="J2544" s="26">
        <v>7.7000000000000002E-3</v>
      </c>
      <c r="K2544" s="26">
        <v>2.6499999999999999E-2</v>
      </c>
      <c r="N2544">
        <v>148</v>
      </c>
    </row>
    <row r="2545" spans="1:14" x14ac:dyDescent="0.35">
      <c r="A2545" s="27" t="s">
        <v>229</v>
      </c>
      <c r="B2545" s="27" t="s">
        <v>368</v>
      </c>
      <c r="C2545" s="28">
        <v>0.65069999999999995</v>
      </c>
      <c r="D2545" s="28">
        <v>0.23599999999999999</v>
      </c>
      <c r="E2545" s="28">
        <v>0.14760000000000001</v>
      </c>
      <c r="F2545" s="28">
        <v>1.8100000000000002E-2</v>
      </c>
      <c r="G2545" s="29"/>
      <c r="H2545" s="28">
        <v>2.07E-2</v>
      </c>
      <c r="I2545" s="29"/>
      <c r="J2545" s="29"/>
      <c r="K2545" s="29"/>
      <c r="L2545" s="28">
        <v>6.8099999999999994E-2</v>
      </c>
      <c r="M2545" s="29"/>
      <c r="N2545" s="29" t="s">
        <v>350</v>
      </c>
    </row>
    <row r="2546" spans="1:14" x14ac:dyDescent="0.35">
      <c r="A2546" t="s">
        <v>229</v>
      </c>
      <c r="B2546" t="s">
        <v>369</v>
      </c>
      <c r="C2546" s="26">
        <v>0.25840000000000002</v>
      </c>
      <c r="D2546" s="26">
        <v>0.3669</v>
      </c>
      <c r="E2546" s="26">
        <v>0.31769999999999998</v>
      </c>
      <c r="F2546" s="26">
        <v>0.2331</v>
      </c>
      <c r="G2546" s="26">
        <v>3.6900000000000002E-2</v>
      </c>
      <c r="H2546" s="26">
        <v>2.07E-2</v>
      </c>
      <c r="I2546" s="26">
        <v>3.3700000000000001E-2</v>
      </c>
      <c r="J2546" s="26">
        <v>2.87E-2</v>
      </c>
      <c r="M2546" s="26">
        <v>3.7000000000000002E-3</v>
      </c>
      <c r="N2546">
        <v>111</v>
      </c>
    </row>
    <row r="2547" spans="1:14" x14ac:dyDescent="0.35">
      <c r="A2547" s="27" t="s">
        <v>230</v>
      </c>
      <c r="B2547" s="27" t="s">
        <v>368</v>
      </c>
      <c r="C2547" s="28">
        <v>0.59409999999999996</v>
      </c>
      <c r="D2547" s="28">
        <v>6.1800000000000001E-2</v>
      </c>
      <c r="E2547" s="28">
        <v>0.25069999999999998</v>
      </c>
      <c r="F2547" s="28">
        <v>3.09E-2</v>
      </c>
      <c r="G2547" s="28">
        <v>0.21840000000000001</v>
      </c>
      <c r="H2547" s="29"/>
      <c r="I2547" s="29"/>
      <c r="J2547" s="29"/>
      <c r="K2547" s="29"/>
      <c r="L2547" s="28">
        <v>3.09E-2</v>
      </c>
      <c r="M2547" s="28">
        <v>3.1600000000000003E-2</v>
      </c>
      <c r="N2547" s="29" t="s">
        <v>342</v>
      </c>
    </row>
    <row r="2548" spans="1:14" x14ac:dyDescent="0.35">
      <c r="A2548" t="s">
        <v>230</v>
      </c>
      <c r="B2548" t="s">
        <v>369</v>
      </c>
      <c r="C2548" s="26">
        <v>0.30459999999999998</v>
      </c>
      <c r="D2548" s="26">
        <v>0.32590000000000002</v>
      </c>
      <c r="E2548" s="26">
        <v>0.2535</v>
      </c>
      <c r="F2548" s="26">
        <v>0.13780000000000001</v>
      </c>
      <c r="G2548" s="26">
        <v>5.6099999999999997E-2</v>
      </c>
      <c r="H2548" s="26">
        <v>8.5800000000000001E-2</v>
      </c>
      <c r="I2548" s="26">
        <v>4.2599999999999999E-2</v>
      </c>
      <c r="J2548" s="26">
        <v>3.5299999999999998E-2</v>
      </c>
      <c r="M2548" s="26">
        <v>1.6999999999999999E-3</v>
      </c>
      <c r="N2548">
        <v>86</v>
      </c>
    </row>
    <row r="2549" spans="1:14" x14ac:dyDescent="0.35">
      <c r="A2549" s="27" t="s">
        <v>231</v>
      </c>
      <c r="B2549" s="27" t="s">
        <v>368</v>
      </c>
      <c r="C2549" s="28">
        <v>0.25</v>
      </c>
      <c r="D2549" s="28">
        <v>0.5</v>
      </c>
      <c r="E2549" s="28">
        <v>0.25</v>
      </c>
      <c r="F2549" s="29"/>
      <c r="G2549" s="29"/>
      <c r="H2549" s="29"/>
      <c r="I2549" s="29"/>
      <c r="J2549" s="29"/>
      <c r="K2549" s="29"/>
      <c r="L2549" s="29"/>
      <c r="M2549" s="29"/>
      <c r="N2549" s="29" t="s">
        <v>337</v>
      </c>
    </row>
    <row r="2550" spans="1:14" x14ac:dyDescent="0.35">
      <c r="A2550" s="27" t="s">
        <v>231</v>
      </c>
      <c r="B2550" s="27" t="s">
        <v>369</v>
      </c>
      <c r="C2550" s="28">
        <v>0.375</v>
      </c>
      <c r="D2550" s="28">
        <v>0.3125</v>
      </c>
      <c r="E2550" s="28">
        <v>6.25E-2</v>
      </c>
      <c r="F2550" s="28">
        <v>6.25E-2</v>
      </c>
      <c r="G2550" s="28">
        <v>0.1875</v>
      </c>
      <c r="H2550" s="28">
        <v>0.1875</v>
      </c>
      <c r="I2550" s="28">
        <v>0.125</v>
      </c>
      <c r="J2550" s="28">
        <v>6.25E-2</v>
      </c>
      <c r="K2550" s="28">
        <v>6.25E-2</v>
      </c>
      <c r="L2550" s="29"/>
      <c r="M2550" s="29"/>
      <c r="N2550" s="29" t="s">
        <v>348</v>
      </c>
    </row>
    <row r="2551" spans="1:14" x14ac:dyDescent="0.35">
      <c r="A2551" t="s">
        <v>232</v>
      </c>
      <c r="B2551" t="s">
        <v>232</v>
      </c>
      <c r="C2551" s="26">
        <v>0.35770000000000002</v>
      </c>
      <c r="D2551" s="26">
        <v>0.2787</v>
      </c>
      <c r="E2551" s="26">
        <v>0.24249999999999999</v>
      </c>
      <c r="F2551" s="26">
        <v>0.1245</v>
      </c>
      <c r="G2551" s="26">
        <v>8.1299999999999997E-2</v>
      </c>
      <c r="H2551" s="26">
        <v>6.5100000000000005E-2</v>
      </c>
      <c r="I2551" s="26">
        <v>6.2600000000000003E-2</v>
      </c>
      <c r="J2551" s="26">
        <v>3.73E-2</v>
      </c>
      <c r="K2551" s="26">
        <v>1.38E-2</v>
      </c>
      <c r="L2551" s="26">
        <v>4.7999999999999996E-3</v>
      </c>
      <c r="M2551" s="26">
        <v>1.8E-3</v>
      </c>
      <c r="N2551">
        <v>458</v>
      </c>
    </row>
    <row r="2553" spans="1:14" x14ac:dyDescent="0.35">
      <c r="A2553" s="1" t="s">
        <v>528</v>
      </c>
    </row>
    <row r="2554" spans="1:14" x14ac:dyDescent="0.35">
      <c r="A2554" t="s">
        <v>219</v>
      </c>
      <c r="B2554" t="s">
        <v>305</v>
      </c>
      <c r="C2554" t="s">
        <v>510</v>
      </c>
      <c r="D2554" t="s">
        <v>511</v>
      </c>
      <c r="E2554" t="s">
        <v>512</v>
      </c>
      <c r="F2554" t="s">
        <v>513</v>
      </c>
      <c r="G2554" t="s">
        <v>514</v>
      </c>
      <c r="H2554" t="s">
        <v>515</v>
      </c>
      <c r="I2554" t="s">
        <v>516</v>
      </c>
      <c r="J2554" t="s">
        <v>517</v>
      </c>
      <c r="K2554" t="s">
        <v>286</v>
      </c>
      <c r="L2554" t="s">
        <v>518</v>
      </c>
      <c r="M2554" t="s">
        <v>281</v>
      </c>
      <c r="N2554" t="s">
        <v>226</v>
      </c>
    </row>
    <row r="2555" spans="1:14" x14ac:dyDescent="0.35">
      <c r="A2555" s="27" t="s">
        <v>227</v>
      </c>
      <c r="B2555" s="27" t="s">
        <v>371</v>
      </c>
      <c r="C2555" s="28">
        <v>0.55559999999999998</v>
      </c>
      <c r="D2555" s="28">
        <v>0.1111</v>
      </c>
      <c r="E2555" s="28">
        <v>0.33329999999999999</v>
      </c>
      <c r="F2555" s="28">
        <v>5.5599999999999997E-2</v>
      </c>
      <c r="G2555" s="28">
        <v>5.5599999999999997E-2</v>
      </c>
      <c r="H2555" s="28">
        <v>5.5599999999999997E-2</v>
      </c>
      <c r="I2555" s="28">
        <v>5.5599999999999997E-2</v>
      </c>
      <c r="J2555" s="29"/>
      <c r="K2555" s="29"/>
      <c r="L2555" s="29"/>
      <c r="M2555" s="29"/>
      <c r="N2555" s="29" t="s">
        <v>353</v>
      </c>
    </row>
    <row r="2556" spans="1:14" x14ac:dyDescent="0.35">
      <c r="A2556" t="s">
        <v>228</v>
      </c>
      <c r="B2556" t="s">
        <v>371</v>
      </c>
      <c r="C2556" s="26">
        <v>0.30630000000000002</v>
      </c>
      <c r="D2556" s="26">
        <v>0.1706</v>
      </c>
      <c r="E2556" s="26">
        <v>0.13159999999999999</v>
      </c>
      <c r="F2556" s="26">
        <v>0.13159999999999999</v>
      </c>
      <c r="G2556" s="26">
        <v>0.16370000000000001</v>
      </c>
      <c r="H2556" s="26">
        <v>3.5499999999999997E-2</v>
      </c>
      <c r="I2556" s="26">
        <v>9.6100000000000005E-2</v>
      </c>
      <c r="J2556" s="26">
        <v>9.6100000000000005E-2</v>
      </c>
      <c r="K2556" s="26">
        <v>3.2000000000000001E-2</v>
      </c>
      <c r="N2556">
        <v>41</v>
      </c>
    </row>
    <row r="2557" spans="1:14" x14ac:dyDescent="0.35">
      <c r="A2557" t="s">
        <v>228</v>
      </c>
      <c r="B2557" t="s">
        <v>372</v>
      </c>
      <c r="C2557" s="26">
        <v>0.40699999999999997</v>
      </c>
      <c r="D2557" s="26">
        <v>0.18260000000000001</v>
      </c>
      <c r="E2557" s="26">
        <v>0.46</v>
      </c>
      <c r="F2557" s="26">
        <v>6.1899999999999997E-2</v>
      </c>
      <c r="G2557" s="26">
        <v>5.2400000000000002E-2</v>
      </c>
      <c r="H2557" s="26">
        <v>8.5199999999999998E-2</v>
      </c>
      <c r="I2557" s="26">
        <v>8.5400000000000004E-2</v>
      </c>
      <c r="J2557" s="26">
        <v>1.6500000000000001E-2</v>
      </c>
      <c r="N2557">
        <v>67</v>
      </c>
    </row>
    <row r="2558" spans="1:14" x14ac:dyDescent="0.35">
      <c r="A2558" t="s">
        <v>228</v>
      </c>
      <c r="B2558" t="s">
        <v>373</v>
      </c>
      <c r="C2558" s="26">
        <v>0.35099999999999998</v>
      </c>
      <c r="D2558" s="26">
        <v>0.18740000000000001</v>
      </c>
      <c r="E2558" s="26">
        <v>0.34910000000000002</v>
      </c>
      <c r="F2558" s="26">
        <v>7.5899999999999995E-2</v>
      </c>
      <c r="G2558" s="26">
        <v>6.3200000000000006E-2</v>
      </c>
      <c r="H2558" s="26">
        <v>9.9400000000000002E-2</v>
      </c>
      <c r="I2558" s="26">
        <v>0.1197</v>
      </c>
      <c r="J2558" s="26">
        <v>4.4999999999999998E-2</v>
      </c>
      <c r="N2558">
        <v>83</v>
      </c>
    </row>
    <row r="2559" spans="1:14" x14ac:dyDescent="0.35">
      <c r="A2559" t="s">
        <v>229</v>
      </c>
      <c r="B2559" t="s">
        <v>371</v>
      </c>
      <c r="C2559" s="26">
        <v>0.31640000000000001</v>
      </c>
      <c r="D2559" s="26">
        <v>0.34799999999999998</v>
      </c>
      <c r="E2559" s="26">
        <v>0.2883</v>
      </c>
      <c r="F2559" s="26">
        <v>0.20449999999999999</v>
      </c>
      <c r="G2559" s="26">
        <v>3.04E-2</v>
      </c>
      <c r="H2559" s="26">
        <v>1.7500000000000002E-2</v>
      </c>
      <c r="I2559" s="26">
        <v>2.87E-2</v>
      </c>
      <c r="J2559" s="26">
        <v>2.4799999999999999E-2</v>
      </c>
      <c r="L2559" s="26">
        <v>1.2E-2</v>
      </c>
      <c r="M2559" s="26">
        <v>3.2000000000000002E-3</v>
      </c>
      <c r="N2559">
        <v>97</v>
      </c>
    </row>
    <row r="2560" spans="1:14" x14ac:dyDescent="0.35">
      <c r="A2560" s="27" t="s">
        <v>229</v>
      </c>
      <c r="B2560" s="27" t="s">
        <v>372</v>
      </c>
      <c r="C2560" s="28">
        <v>0.4002</v>
      </c>
      <c r="D2560" s="28">
        <v>0.2999</v>
      </c>
      <c r="E2560" s="28">
        <v>0.35360000000000003</v>
      </c>
      <c r="F2560" s="28">
        <v>1.55E-2</v>
      </c>
      <c r="G2560" s="28">
        <v>5.3800000000000001E-2</v>
      </c>
      <c r="H2560" s="28">
        <v>0.1386</v>
      </c>
      <c r="I2560" s="28">
        <v>1.55E-2</v>
      </c>
      <c r="J2560" s="29"/>
      <c r="K2560" s="29"/>
      <c r="L2560" s="29"/>
      <c r="M2560" s="29"/>
      <c r="N2560" s="29" t="s">
        <v>312</v>
      </c>
    </row>
    <row r="2561" spans="1:14" x14ac:dyDescent="0.35">
      <c r="A2561" s="27" t="s">
        <v>229</v>
      </c>
      <c r="B2561" s="27" t="s">
        <v>373</v>
      </c>
      <c r="C2561" s="28">
        <v>0.8115</v>
      </c>
      <c r="D2561" s="28">
        <v>0.1885</v>
      </c>
      <c r="E2561" s="28">
        <v>0.1885</v>
      </c>
      <c r="F2561" s="29"/>
      <c r="G2561" s="29"/>
      <c r="H2561" s="29"/>
      <c r="I2561" s="29"/>
      <c r="J2561" s="29"/>
      <c r="K2561" s="29"/>
      <c r="L2561" s="29"/>
      <c r="M2561" s="29"/>
      <c r="N2561" s="29" t="s">
        <v>334</v>
      </c>
    </row>
    <row r="2562" spans="1:14" x14ac:dyDescent="0.35">
      <c r="A2562" t="s">
        <v>230</v>
      </c>
      <c r="B2562" t="s">
        <v>371</v>
      </c>
      <c r="C2562" s="26">
        <v>0.3604</v>
      </c>
      <c r="D2562" s="26">
        <v>0.28939999999999999</v>
      </c>
      <c r="E2562" s="26">
        <v>0.22439999999999999</v>
      </c>
      <c r="F2562" s="26">
        <v>0.1203</v>
      </c>
      <c r="G2562" s="26">
        <v>8.2000000000000003E-2</v>
      </c>
      <c r="H2562" s="26">
        <v>8.2000000000000003E-2</v>
      </c>
      <c r="I2562" s="26">
        <v>3.8199999999999998E-2</v>
      </c>
      <c r="J2562" s="26">
        <v>3.27E-2</v>
      </c>
      <c r="M2562" s="26">
        <v>5.4999999999999997E-3</v>
      </c>
      <c r="N2562">
        <v>53</v>
      </c>
    </row>
    <row r="2563" spans="1:14" x14ac:dyDescent="0.35">
      <c r="A2563" s="27" t="s">
        <v>230</v>
      </c>
      <c r="B2563" s="27" t="s">
        <v>372</v>
      </c>
      <c r="C2563" s="28">
        <v>0.189</v>
      </c>
      <c r="D2563" s="28">
        <v>9.4500000000000001E-2</v>
      </c>
      <c r="E2563" s="28">
        <v>0.5827</v>
      </c>
      <c r="F2563" s="28">
        <v>0.1653</v>
      </c>
      <c r="G2563" s="29"/>
      <c r="H2563" s="28">
        <v>3.15E-2</v>
      </c>
      <c r="I2563" s="28">
        <v>6.3E-2</v>
      </c>
      <c r="J2563" s="28">
        <v>3.15E-2</v>
      </c>
      <c r="K2563" s="29"/>
      <c r="L2563" s="28">
        <v>0.1023</v>
      </c>
      <c r="M2563" s="28">
        <v>3.15E-2</v>
      </c>
      <c r="N2563" s="29" t="s">
        <v>312</v>
      </c>
    </row>
    <row r="2564" spans="1:14" x14ac:dyDescent="0.35">
      <c r="A2564" s="27" t="s">
        <v>230</v>
      </c>
      <c r="B2564" s="27" t="s">
        <v>373</v>
      </c>
      <c r="C2564" s="28">
        <v>0.31290000000000001</v>
      </c>
      <c r="D2564" s="28">
        <v>0.3528</v>
      </c>
      <c r="E2564" s="28">
        <v>0.36990000000000001</v>
      </c>
      <c r="F2564" s="28">
        <v>0.1114</v>
      </c>
      <c r="G2564" s="28">
        <v>0.1114</v>
      </c>
      <c r="H2564" s="29"/>
      <c r="I2564" s="29"/>
      <c r="J2564" s="29"/>
      <c r="K2564" s="29"/>
      <c r="L2564" s="29"/>
      <c r="M2564" s="29"/>
      <c r="N2564" s="29" t="s">
        <v>350</v>
      </c>
    </row>
    <row r="2565" spans="1:14" x14ac:dyDescent="0.35">
      <c r="A2565" s="27" t="s">
        <v>231</v>
      </c>
      <c r="B2565" s="27" t="s">
        <v>371</v>
      </c>
      <c r="C2565" s="28">
        <v>0.35</v>
      </c>
      <c r="D2565" s="28">
        <v>0.35</v>
      </c>
      <c r="E2565" s="28">
        <v>0.1</v>
      </c>
      <c r="F2565" s="28">
        <v>0.05</v>
      </c>
      <c r="G2565" s="28">
        <v>0.15</v>
      </c>
      <c r="H2565" s="28">
        <v>0.15</v>
      </c>
      <c r="I2565" s="28">
        <v>0.1</v>
      </c>
      <c r="J2565" s="28">
        <v>0.05</v>
      </c>
      <c r="K2565" s="28">
        <v>0.05</v>
      </c>
      <c r="L2565" s="29"/>
      <c r="M2565" s="29"/>
      <c r="N2565" s="29" t="s">
        <v>350</v>
      </c>
    </row>
    <row r="2566" spans="1:14" x14ac:dyDescent="0.35">
      <c r="A2566" t="s">
        <v>232</v>
      </c>
      <c r="B2566" t="s">
        <v>232</v>
      </c>
      <c r="C2566" s="26">
        <v>0.35770000000000002</v>
      </c>
      <c r="D2566" s="26">
        <v>0.2787</v>
      </c>
      <c r="E2566" s="26">
        <v>0.24249999999999999</v>
      </c>
      <c r="F2566" s="26">
        <v>0.1245</v>
      </c>
      <c r="G2566" s="26">
        <v>8.1299999999999997E-2</v>
      </c>
      <c r="H2566" s="26">
        <v>6.5100000000000005E-2</v>
      </c>
      <c r="I2566" s="26">
        <v>6.2600000000000003E-2</v>
      </c>
      <c r="J2566" s="26">
        <v>3.73E-2</v>
      </c>
      <c r="K2566" s="26">
        <v>1.38E-2</v>
      </c>
      <c r="L2566" s="26">
        <v>4.7999999999999996E-3</v>
      </c>
      <c r="M2566" s="26">
        <v>1.8E-3</v>
      </c>
      <c r="N2566">
        <v>458</v>
      </c>
    </row>
    <row r="2568" spans="1:14" x14ac:dyDescent="0.35">
      <c r="A2568" s="1" t="s">
        <v>529</v>
      </c>
    </row>
    <row r="2569" spans="1:14" x14ac:dyDescent="0.35">
      <c r="A2569" t="s">
        <v>219</v>
      </c>
      <c r="B2569" t="s">
        <v>305</v>
      </c>
      <c r="C2569" t="s">
        <v>510</v>
      </c>
      <c r="D2569" t="s">
        <v>511</v>
      </c>
      <c r="E2569" t="s">
        <v>512</v>
      </c>
      <c r="F2569" t="s">
        <v>513</v>
      </c>
      <c r="G2569" t="s">
        <v>514</v>
      </c>
      <c r="H2569" t="s">
        <v>515</v>
      </c>
      <c r="I2569" t="s">
        <v>516</v>
      </c>
      <c r="J2569" t="s">
        <v>517</v>
      </c>
      <c r="K2569" t="s">
        <v>286</v>
      </c>
      <c r="L2569" t="s">
        <v>518</v>
      </c>
      <c r="M2569" t="s">
        <v>281</v>
      </c>
      <c r="N2569" t="s">
        <v>226</v>
      </c>
    </row>
    <row r="2570" spans="1:14" x14ac:dyDescent="0.35">
      <c r="A2570" s="27" t="s">
        <v>227</v>
      </c>
      <c r="B2570" s="27" t="s">
        <v>255</v>
      </c>
      <c r="C2570" s="28">
        <v>0.7</v>
      </c>
      <c r="D2570" s="29"/>
      <c r="E2570" s="28">
        <v>0.3</v>
      </c>
      <c r="F2570" s="29"/>
      <c r="G2570" s="28">
        <v>0.1</v>
      </c>
      <c r="H2570" s="28">
        <v>0.1</v>
      </c>
      <c r="I2570" s="29"/>
      <c r="J2570" s="29"/>
      <c r="K2570" s="29"/>
      <c r="L2570" s="29"/>
      <c r="M2570" s="29"/>
      <c r="N2570" s="29" t="s">
        <v>307</v>
      </c>
    </row>
    <row r="2571" spans="1:14" x14ac:dyDescent="0.35">
      <c r="A2571" s="27" t="s">
        <v>227</v>
      </c>
      <c r="B2571" s="27" t="s">
        <v>256</v>
      </c>
      <c r="C2571" s="28">
        <v>0.42859999999999998</v>
      </c>
      <c r="D2571" s="28">
        <v>0.28570000000000001</v>
      </c>
      <c r="E2571" s="28">
        <v>0.28570000000000001</v>
      </c>
      <c r="F2571" s="28">
        <v>0.1429</v>
      </c>
      <c r="G2571" s="29"/>
      <c r="H2571" s="29"/>
      <c r="I2571" s="28">
        <v>0.1429</v>
      </c>
      <c r="J2571" s="29"/>
      <c r="K2571" s="29"/>
      <c r="L2571" s="29"/>
      <c r="M2571" s="29"/>
      <c r="N2571" s="29" t="s">
        <v>339</v>
      </c>
    </row>
    <row r="2572" spans="1:14" x14ac:dyDescent="0.35">
      <c r="A2572" s="27" t="s">
        <v>227</v>
      </c>
      <c r="B2572" s="27" t="s">
        <v>257</v>
      </c>
      <c r="C2572" s="29"/>
      <c r="D2572" s="29"/>
      <c r="E2572" s="28">
        <v>1</v>
      </c>
      <c r="F2572" s="29"/>
      <c r="G2572" s="29"/>
      <c r="H2572" s="29"/>
      <c r="I2572" s="29"/>
      <c r="J2572" s="29"/>
      <c r="K2572" s="29"/>
      <c r="L2572" s="29"/>
      <c r="M2572" s="29"/>
      <c r="N2572" s="29" t="s">
        <v>331</v>
      </c>
    </row>
    <row r="2573" spans="1:14" x14ac:dyDescent="0.35">
      <c r="A2573" t="s">
        <v>228</v>
      </c>
      <c r="B2573" t="s">
        <v>255</v>
      </c>
      <c r="C2573" s="26">
        <v>0.39169999999999999</v>
      </c>
      <c r="D2573" s="26">
        <v>0.1726</v>
      </c>
      <c r="E2573" s="26">
        <v>0.28179999999999999</v>
      </c>
      <c r="F2573" s="26">
        <v>8.6199999999999999E-2</v>
      </c>
      <c r="G2573" s="26">
        <v>0.13289999999999999</v>
      </c>
      <c r="H2573" s="26">
        <v>4.7100000000000003E-2</v>
      </c>
      <c r="I2573" s="26">
        <v>5.7500000000000002E-2</v>
      </c>
      <c r="J2573" s="26">
        <v>2.5399999999999999E-2</v>
      </c>
      <c r="K2573" s="26">
        <v>2.5600000000000001E-2</v>
      </c>
      <c r="N2573">
        <v>131</v>
      </c>
    </row>
    <row r="2574" spans="1:14" x14ac:dyDescent="0.35">
      <c r="A2574" t="s">
        <v>228</v>
      </c>
      <c r="B2574" t="s">
        <v>256</v>
      </c>
      <c r="C2574" s="26">
        <v>0.16850000000000001</v>
      </c>
      <c r="D2574" s="26">
        <v>0.15490000000000001</v>
      </c>
      <c r="E2574" s="26">
        <v>0.15129999999999999</v>
      </c>
      <c r="F2574" s="26">
        <v>0.17150000000000001</v>
      </c>
      <c r="G2574" s="26">
        <v>9.8400000000000001E-2</v>
      </c>
      <c r="H2574" s="26">
        <v>0.1173</v>
      </c>
      <c r="I2574" s="26">
        <v>0.16309999999999999</v>
      </c>
      <c r="J2574" s="26">
        <v>0.1925</v>
      </c>
      <c r="N2574">
        <v>52</v>
      </c>
    </row>
    <row r="2575" spans="1:14" x14ac:dyDescent="0.35">
      <c r="A2575" s="27" t="s">
        <v>228</v>
      </c>
      <c r="B2575" s="27" t="s">
        <v>257</v>
      </c>
      <c r="C2575" s="28">
        <v>0.43319999999999997</v>
      </c>
      <c r="D2575" s="28">
        <v>0.34179999999999999</v>
      </c>
      <c r="E2575" s="28">
        <v>0.27989999999999998</v>
      </c>
      <c r="F2575" s="29"/>
      <c r="G2575" s="29"/>
      <c r="H2575" s="29"/>
      <c r="I2575" s="28">
        <v>0.34179999999999999</v>
      </c>
      <c r="J2575" s="29"/>
      <c r="K2575" s="29"/>
      <c r="L2575" s="29"/>
      <c r="M2575" s="29"/>
      <c r="N2575" s="29" t="s">
        <v>333</v>
      </c>
    </row>
    <row r="2576" spans="1:14" x14ac:dyDescent="0.35">
      <c r="A2576" t="s">
        <v>229</v>
      </c>
      <c r="B2576" t="s">
        <v>255</v>
      </c>
      <c r="C2576" s="26">
        <v>0.37830000000000003</v>
      </c>
      <c r="D2576" s="26">
        <v>0.2873</v>
      </c>
      <c r="E2576" s="26">
        <v>0.2487</v>
      </c>
      <c r="F2576" s="26">
        <v>0.14680000000000001</v>
      </c>
      <c r="G2576" s="26">
        <v>2.5100000000000001E-2</v>
      </c>
      <c r="H2576" s="26">
        <v>3.5000000000000001E-3</v>
      </c>
      <c r="I2576" s="26">
        <v>5.9999999999999995E-4</v>
      </c>
      <c r="J2576" s="26">
        <v>3.4299999999999997E-2</v>
      </c>
      <c r="L2576" s="26">
        <v>1.7100000000000001E-2</v>
      </c>
      <c r="N2576">
        <v>94</v>
      </c>
    </row>
    <row r="2577" spans="1:14" x14ac:dyDescent="0.35">
      <c r="A2577" t="s">
        <v>229</v>
      </c>
      <c r="B2577" t="s">
        <v>256</v>
      </c>
      <c r="C2577" s="26">
        <v>0.22270000000000001</v>
      </c>
      <c r="D2577" s="26">
        <v>0.443</v>
      </c>
      <c r="E2577" s="26">
        <v>0.38500000000000001</v>
      </c>
      <c r="F2577" s="26">
        <v>0.31</v>
      </c>
      <c r="G2577" s="26">
        <v>4.36E-2</v>
      </c>
      <c r="H2577" s="26">
        <v>5.8000000000000003E-2</v>
      </c>
      <c r="I2577" s="26">
        <v>8.7099999999999997E-2</v>
      </c>
      <c r="J2577" s="26">
        <v>2.5000000000000001E-3</v>
      </c>
      <c r="M2577" s="26">
        <v>9.7000000000000003E-3</v>
      </c>
      <c r="N2577">
        <v>36</v>
      </c>
    </row>
    <row r="2578" spans="1:14" x14ac:dyDescent="0.35">
      <c r="A2578" s="27" t="s">
        <v>229</v>
      </c>
      <c r="B2578" s="27" t="s">
        <v>257</v>
      </c>
      <c r="C2578" s="29"/>
      <c r="D2578" s="28">
        <v>1</v>
      </c>
      <c r="E2578" s="29"/>
      <c r="F2578" s="29"/>
      <c r="G2578" s="29"/>
      <c r="H2578" s="29"/>
      <c r="I2578" s="29"/>
      <c r="J2578" s="29"/>
      <c r="K2578" s="29"/>
      <c r="L2578" s="29"/>
      <c r="M2578" s="29"/>
      <c r="N2578" s="29" t="s">
        <v>331</v>
      </c>
    </row>
    <row r="2579" spans="1:14" x14ac:dyDescent="0.35">
      <c r="A2579" t="s">
        <v>230</v>
      </c>
      <c r="B2579" t="s">
        <v>255</v>
      </c>
      <c r="C2579" s="26">
        <v>0.36899999999999999</v>
      </c>
      <c r="D2579" s="26">
        <v>0.3715</v>
      </c>
      <c r="E2579" s="26">
        <v>0.1764</v>
      </c>
      <c r="F2579" s="26">
        <v>0.13719999999999999</v>
      </c>
      <c r="G2579" s="26">
        <v>2.76E-2</v>
      </c>
      <c r="H2579" s="26">
        <v>5.5E-2</v>
      </c>
      <c r="I2579" s="26">
        <v>6.8999999999999999E-3</v>
      </c>
      <c r="J2579" s="26">
        <v>4.3200000000000002E-2</v>
      </c>
      <c r="M2579" s="26">
        <v>2.0999999999999999E-3</v>
      </c>
      <c r="N2579">
        <v>62</v>
      </c>
    </row>
    <row r="2580" spans="1:14" x14ac:dyDescent="0.35">
      <c r="A2580" s="27" t="s">
        <v>230</v>
      </c>
      <c r="B2580" s="27" t="s">
        <v>256</v>
      </c>
      <c r="C2580" s="28">
        <v>0.18329999999999999</v>
      </c>
      <c r="D2580" s="28">
        <v>0.12039999999999999</v>
      </c>
      <c r="E2580" s="28">
        <v>0.47160000000000002</v>
      </c>
      <c r="F2580" s="28">
        <v>8.7400000000000005E-2</v>
      </c>
      <c r="G2580" s="28">
        <v>0.31330000000000002</v>
      </c>
      <c r="H2580" s="28">
        <v>2.4400000000000002E-2</v>
      </c>
      <c r="I2580" s="28">
        <v>1.47E-2</v>
      </c>
      <c r="J2580" s="29"/>
      <c r="K2580" s="29"/>
      <c r="L2580" s="28">
        <v>2.3800000000000002E-2</v>
      </c>
      <c r="M2580" s="28">
        <v>2.4400000000000002E-2</v>
      </c>
      <c r="N2580" s="29" t="s">
        <v>338</v>
      </c>
    </row>
    <row r="2581" spans="1:14" x14ac:dyDescent="0.35">
      <c r="A2581" s="27" t="s">
        <v>230</v>
      </c>
      <c r="B2581" s="27" t="s">
        <v>257</v>
      </c>
      <c r="C2581" s="28">
        <v>0.51459999999999995</v>
      </c>
      <c r="D2581" s="28">
        <v>4.3400000000000001E-2</v>
      </c>
      <c r="E2581" s="28">
        <v>0.34410000000000002</v>
      </c>
      <c r="F2581" s="28">
        <v>8.48E-2</v>
      </c>
      <c r="G2581" s="29"/>
      <c r="H2581" s="28">
        <v>0.27039999999999997</v>
      </c>
      <c r="I2581" s="28">
        <v>0.25729999999999997</v>
      </c>
      <c r="J2581" s="29"/>
      <c r="K2581" s="29"/>
      <c r="L2581" s="29"/>
      <c r="M2581" s="29"/>
      <c r="N2581" s="29" t="s">
        <v>334</v>
      </c>
    </row>
    <row r="2582" spans="1:14" x14ac:dyDescent="0.35">
      <c r="A2582" s="27" t="s">
        <v>231</v>
      </c>
      <c r="B2582" s="27" t="s">
        <v>255</v>
      </c>
      <c r="C2582" s="28">
        <v>0.35289999999999999</v>
      </c>
      <c r="D2582" s="28">
        <v>0.29409999999999997</v>
      </c>
      <c r="E2582" s="28">
        <v>0.1176</v>
      </c>
      <c r="F2582" s="28">
        <v>5.8799999999999998E-2</v>
      </c>
      <c r="G2582" s="28">
        <v>0.17649999999999999</v>
      </c>
      <c r="H2582" s="28">
        <v>0.1176</v>
      </c>
      <c r="I2582" s="28">
        <v>0.1176</v>
      </c>
      <c r="J2582" s="28">
        <v>5.8799999999999998E-2</v>
      </c>
      <c r="K2582" s="28">
        <v>5.8799999999999998E-2</v>
      </c>
      <c r="L2582" s="29"/>
      <c r="M2582" s="29"/>
      <c r="N2582" s="29" t="s">
        <v>343</v>
      </c>
    </row>
    <row r="2583" spans="1:14" x14ac:dyDescent="0.35">
      <c r="A2583" s="27" t="s">
        <v>231</v>
      </c>
      <c r="B2583" s="27" t="s">
        <v>256</v>
      </c>
      <c r="C2583" s="28">
        <v>0.33329999999999999</v>
      </c>
      <c r="D2583" s="28">
        <v>0.66669999999999996</v>
      </c>
      <c r="E2583" s="29"/>
      <c r="F2583" s="29"/>
      <c r="G2583" s="29"/>
      <c r="H2583" s="28">
        <v>0.33329999999999999</v>
      </c>
      <c r="I2583" s="29"/>
      <c r="J2583" s="29"/>
      <c r="K2583" s="29"/>
      <c r="L2583" s="29"/>
      <c r="M2583" s="29"/>
      <c r="N2583" s="29" t="s">
        <v>315</v>
      </c>
    </row>
    <row r="2584" spans="1:14" x14ac:dyDescent="0.35">
      <c r="A2584" t="s">
        <v>232</v>
      </c>
      <c r="B2584" t="s">
        <v>232</v>
      </c>
      <c r="C2584" s="26">
        <v>0.35770000000000002</v>
      </c>
      <c r="D2584" s="26">
        <v>0.2787</v>
      </c>
      <c r="E2584" s="26">
        <v>0.24249999999999999</v>
      </c>
      <c r="F2584" s="26">
        <v>0.1245</v>
      </c>
      <c r="G2584" s="26">
        <v>8.1299999999999997E-2</v>
      </c>
      <c r="H2584" s="26">
        <v>6.5100000000000005E-2</v>
      </c>
      <c r="I2584" s="26">
        <v>6.2600000000000003E-2</v>
      </c>
      <c r="J2584" s="26">
        <v>3.73E-2</v>
      </c>
      <c r="K2584" s="26">
        <v>1.38E-2</v>
      </c>
      <c r="L2584" s="26">
        <v>4.7999999999999996E-3</v>
      </c>
      <c r="M2584" s="26">
        <v>1.8E-3</v>
      </c>
      <c r="N2584">
        <v>458</v>
      </c>
    </row>
    <row r="2586" spans="1:14" x14ac:dyDescent="0.35">
      <c r="A2586" s="1" t="s">
        <v>530</v>
      </c>
    </row>
    <row r="2587" spans="1:14" x14ac:dyDescent="0.35">
      <c r="A2587" t="s">
        <v>219</v>
      </c>
      <c r="B2587" t="s">
        <v>305</v>
      </c>
      <c r="C2587" t="s">
        <v>510</v>
      </c>
      <c r="D2587" t="s">
        <v>511</v>
      </c>
      <c r="E2587" t="s">
        <v>512</v>
      </c>
      <c r="F2587" t="s">
        <v>513</v>
      </c>
      <c r="G2587" t="s">
        <v>514</v>
      </c>
      <c r="H2587" t="s">
        <v>515</v>
      </c>
      <c r="I2587" t="s">
        <v>516</v>
      </c>
      <c r="J2587" t="s">
        <v>517</v>
      </c>
      <c r="K2587" t="s">
        <v>286</v>
      </c>
      <c r="L2587" t="s">
        <v>518</v>
      </c>
      <c r="M2587" t="s">
        <v>281</v>
      </c>
      <c r="N2587" t="s">
        <v>226</v>
      </c>
    </row>
    <row r="2588" spans="1:14" x14ac:dyDescent="0.35">
      <c r="A2588" s="27" t="s">
        <v>227</v>
      </c>
      <c r="B2588" s="27" t="s">
        <v>224</v>
      </c>
      <c r="C2588" s="29"/>
      <c r="D2588" s="29"/>
      <c r="E2588" s="28">
        <v>1</v>
      </c>
      <c r="F2588" s="29"/>
      <c r="G2588" s="29"/>
      <c r="H2588" s="29"/>
      <c r="I2588" s="28">
        <v>1</v>
      </c>
      <c r="J2588" s="29"/>
      <c r="K2588" s="29"/>
      <c r="L2588" s="29"/>
      <c r="M2588" s="29"/>
      <c r="N2588" s="29" t="s">
        <v>331</v>
      </c>
    </row>
    <row r="2589" spans="1:14" x14ac:dyDescent="0.35">
      <c r="A2589" s="27" t="s">
        <v>227</v>
      </c>
      <c r="B2589" s="27" t="s">
        <v>223</v>
      </c>
      <c r="C2589" s="28">
        <v>0.5</v>
      </c>
      <c r="D2589" s="29"/>
      <c r="E2589" s="28">
        <v>0.5</v>
      </c>
      <c r="F2589" s="29"/>
      <c r="G2589" s="29"/>
      <c r="H2589" s="29"/>
      <c r="I2589" s="29"/>
      <c r="J2589" s="29"/>
      <c r="K2589" s="29"/>
      <c r="L2589" s="29"/>
      <c r="M2589" s="29"/>
      <c r="N2589" s="29" t="s">
        <v>314</v>
      </c>
    </row>
    <row r="2590" spans="1:14" x14ac:dyDescent="0.35">
      <c r="A2590" s="27" t="s">
        <v>227</v>
      </c>
      <c r="B2590" s="27" t="s">
        <v>221</v>
      </c>
      <c r="C2590" s="28">
        <v>0.33329999999999999</v>
      </c>
      <c r="D2590" s="28">
        <v>0.16669999999999999</v>
      </c>
      <c r="E2590" s="28">
        <v>0.33329999999999999</v>
      </c>
      <c r="F2590" s="29"/>
      <c r="G2590" s="28">
        <v>0.16669999999999999</v>
      </c>
      <c r="H2590" s="28">
        <v>0.16669999999999999</v>
      </c>
      <c r="I2590" s="29"/>
      <c r="J2590" s="29"/>
      <c r="K2590" s="29"/>
      <c r="L2590" s="29"/>
      <c r="M2590" s="29"/>
      <c r="N2590" s="29" t="s">
        <v>335</v>
      </c>
    </row>
    <row r="2591" spans="1:14" x14ac:dyDescent="0.35">
      <c r="A2591" s="27" t="s">
        <v>227</v>
      </c>
      <c r="B2591" s="27" t="s">
        <v>222</v>
      </c>
      <c r="C2591" s="28">
        <v>0.83330000000000004</v>
      </c>
      <c r="D2591" s="29"/>
      <c r="E2591" s="28">
        <v>0.33329999999999999</v>
      </c>
      <c r="F2591" s="29"/>
      <c r="G2591" s="29"/>
      <c r="H2591" s="29"/>
      <c r="I2591" s="29"/>
      <c r="J2591" s="29"/>
      <c r="K2591" s="29"/>
      <c r="L2591" s="29"/>
      <c r="M2591" s="29"/>
      <c r="N2591" s="29" t="s">
        <v>335</v>
      </c>
    </row>
    <row r="2592" spans="1:14" x14ac:dyDescent="0.35">
      <c r="A2592" s="27" t="s">
        <v>227</v>
      </c>
      <c r="B2592" s="27" t="s">
        <v>220</v>
      </c>
      <c r="C2592" s="28">
        <v>0.66669999999999996</v>
      </c>
      <c r="D2592" s="28">
        <v>0.33329999999999999</v>
      </c>
      <c r="E2592" s="29"/>
      <c r="F2592" s="28">
        <v>0.33329999999999999</v>
      </c>
      <c r="G2592" s="29"/>
      <c r="H2592" s="29"/>
      <c r="I2592" s="29"/>
      <c r="J2592" s="29"/>
      <c r="K2592" s="29"/>
      <c r="L2592" s="29"/>
      <c r="M2592" s="29"/>
      <c r="N2592" s="29" t="s">
        <v>315</v>
      </c>
    </row>
    <row r="2593" spans="1:14" x14ac:dyDescent="0.35">
      <c r="A2593" t="s">
        <v>228</v>
      </c>
      <c r="B2593" t="s">
        <v>221</v>
      </c>
      <c r="C2593" s="26">
        <v>0.3609</v>
      </c>
      <c r="D2593" s="26">
        <v>0.22209999999999999</v>
      </c>
      <c r="E2593" s="26">
        <v>0.14119999999999999</v>
      </c>
      <c r="F2593" s="26">
        <v>8.8900000000000007E-2</v>
      </c>
      <c r="G2593" s="26">
        <v>0.14249999999999999</v>
      </c>
      <c r="H2593" s="26">
        <v>3.6799999999999999E-2</v>
      </c>
      <c r="I2593" s="26">
        <v>3.9800000000000002E-2</v>
      </c>
      <c r="J2593" s="26">
        <v>0.1202</v>
      </c>
      <c r="N2593">
        <v>38</v>
      </c>
    </row>
    <row r="2594" spans="1:14" x14ac:dyDescent="0.35">
      <c r="A2594" t="s">
        <v>228</v>
      </c>
      <c r="B2594" t="s">
        <v>220</v>
      </c>
      <c r="C2594" s="26">
        <v>0.21740000000000001</v>
      </c>
      <c r="D2594" s="26">
        <v>0.30399999999999999</v>
      </c>
      <c r="E2594" s="26">
        <v>0.13769999999999999</v>
      </c>
      <c r="F2594" s="26">
        <v>0.12640000000000001</v>
      </c>
      <c r="G2594" s="26">
        <v>9.3600000000000003E-2</v>
      </c>
      <c r="H2594" s="26">
        <v>6.6199999999999995E-2</v>
      </c>
      <c r="I2594" s="26">
        <v>0.15989999999999999</v>
      </c>
      <c r="J2594" s="26">
        <v>5.8900000000000001E-2</v>
      </c>
      <c r="K2594" s="26">
        <v>5.8900000000000001E-2</v>
      </c>
      <c r="N2594">
        <v>45</v>
      </c>
    </row>
    <row r="2595" spans="1:14" x14ac:dyDescent="0.35">
      <c r="A2595" s="27" t="s">
        <v>228</v>
      </c>
      <c r="B2595" s="27" t="s">
        <v>224</v>
      </c>
      <c r="C2595" s="28">
        <v>0.41</v>
      </c>
      <c r="D2595" s="28">
        <v>0.1067</v>
      </c>
      <c r="E2595" s="28">
        <v>0.35449999999999998</v>
      </c>
      <c r="F2595" s="28">
        <v>0.2462</v>
      </c>
      <c r="G2595" s="28">
        <v>0.30330000000000001</v>
      </c>
      <c r="H2595" s="28">
        <v>0.1067</v>
      </c>
      <c r="I2595" s="28">
        <v>0.53879999999999995</v>
      </c>
      <c r="J2595" s="29"/>
      <c r="K2595" s="29"/>
      <c r="L2595" s="29"/>
      <c r="M2595" s="29"/>
      <c r="N2595" s="29" t="s">
        <v>352</v>
      </c>
    </row>
    <row r="2596" spans="1:14" x14ac:dyDescent="0.35">
      <c r="A2596" s="27" t="s">
        <v>228</v>
      </c>
      <c r="B2596" s="27" t="s">
        <v>225</v>
      </c>
      <c r="C2596" s="29"/>
      <c r="D2596" s="29"/>
      <c r="E2596" s="29"/>
      <c r="F2596" s="28">
        <v>0.5</v>
      </c>
      <c r="G2596" s="29"/>
      <c r="H2596" s="29"/>
      <c r="I2596" s="28">
        <v>0.5</v>
      </c>
      <c r="J2596" s="29"/>
      <c r="K2596" s="29"/>
      <c r="L2596" s="29"/>
      <c r="M2596" s="29"/>
      <c r="N2596" s="29" t="s">
        <v>314</v>
      </c>
    </row>
    <row r="2597" spans="1:14" x14ac:dyDescent="0.35">
      <c r="A2597" t="s">
        <v>228</v>
      </c>
      <c r="B2597" t="s">
        <v>222</v>
      </c>
      <c r="C2597" s="26">
        <v>0.42730000000000001</v>
      </c>
      <c r="D2597" s="26">
        <v>8.8200000000000001E-2</v>
      </c>
      <c r="E2597" s="26">
        <v>0.36990000000000001</v>
      </c>
      <c r="F2597" s="26">
        <v>2.4899999999999999E-2</v>
      </c>
      <c r="G2597" s="26">
        <v>0.1135</v>
      </c>
      <c r="H2597" s="26">
        <v>6.4000000000000001E-2</v>
      </c>
      <c r="I2597" s="26">
        <v>2.24E-2</v>
      </c>
      <c r="J2597" s="26">
        <v>2.87E-2</v>
      </c>
      <c r="N2597">
        <v>82</v>
      </c>
    </row>
    <row r="2598" spans="1:14" x14ac:dyDescent="0.35">
      <c r="A2598" s="27" t="s">
        <v>228</v>
      </c>
      <c r="B2598" s="27" t="s">
        <v>223</v>
      </c>
      <c r="C2598" s="28">
        <v>0.19850000000000001</v>
      </c>
      <c r="D2598" s="28">
        <v>8.8499999999999995E-2</v>
      </c>
      <c r="E2598" s="28">
        <v>0.24940000000000001</v>
      </c>
      <c r="F2598" s="28">
        <v>0.3483</v>
      </c>
      <c r="G2598" s="29"/>
      <c r="H2598" s="28">
        <v>8.9899999999999994E-2</v>
      </c>
      <c r="I2598" s="28">
        <v>8.9899999999999994E-2</v>
      </c>
      <c r="J2598" s="28">
        <v>0.25569999999999998</v>
      </c>
      <c r="K2598" s="29"/>
      <c r="L2598" s="29"/>
      <c r="M2598" s="29"/>
      <c r="N2598" s="29" t="s">
        <v>341</v>
      </c>
    </row>
    <row r="2599" spans="1:14" x14ac:dyDescent="0.35">
      <c r="A2599" t="s">
        <v>229</v>
      </c>
      <c r="B2599" t="s">
        <v>222</v>
      </c>
      <c r="C2599" s="26">
        <v>0.67459999999999998</v>
      </c>
      <c r="D2599" s="26">
        <v>0.22109999999999999</v>
      </c>
      <c r="E2599" s="26">
        <v>0.29149999999999998</v>
      </c>
      <c r="F2599" s="26">
        <v>0.12970000000000001</v>
      </c>
      <c r="G2599" s="26">
        <v>5.3E-3</v>
      </c>
      <c r="H2599" s="26">
        <v>6.6199999999999995E-2</v>
      </c>
      <c r="J2599" s="26">
        <v>2.7000000000000001E-3</v>
      </c>
      <c r="N2599">
        <v>43</v>
      </c>
    </row>
    <row r="2600" spans="1:14" x14ac:dyDescent="0.35">
      <c r="A2600" t="s">
        <v>229</v>
      </c>
      <c r="B2600" t="s">
        <v>220</v>
      </c>
      <c r="C2600" s="26">
        <v>0.21920000000000001</v>
      </c>
      <c r="D2600" s="26">
        <v>0.43330000000000002</v>
      </c>
      <c r="E2600" s="26">
        <v>0.33339999999999997</v>
      </c>
      <c r="F2600" s="26">
        <v>0.18640000000000001</v>
      </c>
      <c r="G2600" s="26">
        <v>3.9100000000000003E-2</v>
      </c>
      <c r="H2600" s="26">
        <v>5.4999999999999997E-3</v>
      </c>
      <c r="I2600" s="26">
        <v>4.0399999999999998E-2</v>
      </c>
      <c r="M2600" s="26">
        <v>8.6999999999999994E-3</v>
      </c>
      <c r="N2600">
        <v>44</v>
      </c>
    </row>
    <row r="2601" spans="1:14" x14ac:dyDescent="0.35">
      <c r="A2601" s="27" t="s">
        <v>229</v>
      </c>
      <c r="B2601" s="27" t="s">
        <v>224</v>
      </c>
      <c r="C2601" s="28">
        <v>9.2100000000000001E-2</v>
      </c>
      <c r="D2601" s="28">
        <v>0.3125</v>
      </c>
      <c r="E2601" s="29"/>
      <c r="F2601" s="28">
        <v>0.41110000000000002</v>
      </c>
      <c r="G2601" s="29"/>
      <c r="H2601" s="29"/>
      <c r="I2601" s="28">
        <v>0.11020000000000001</v>
      </c>
      <c r="J2601" s="28">
        <v>0.1842</v>
      </c>
      <c r="K2601" s="29"/>
      <c r="L2601" s="28">
        <v>9.2100000000000001E-2</v>
      </c>
      <c r="M2601" s="29"/>
      <c r="N2601" s="29" t="s">
        <v>352</v>
      </c>
    </row>
    <row r="2602" spans="1:14" x14ac:dyDescent="0.35">
      <c r="A2602" s="27" t="s">
        <v>229</v>
      </c>
      <c r="B2602" s="27" t="s">
        <v>221</v>
      </c>
      <c r="C2602" s="28">
        <v>0.31069999999999998</v>
      </c>
      <c r="D2602" s="28">
        <v>0.35260000000000002</v>
      </c>
      <c r="E2602" s="28">
        <v>0.33119999999999999</v>
      </c>
      <c r="F2602" s="28">
        <v>2.1399999999999999E-2</v>
      </c>
      <c r="G2602" s="28">
        <v>0.1071</v>
      </c>
      <c r="H2602" s="29"/>
      <c r="I2602" s="29"/>
      <c r="J2602" s="29"/>
      <c r="K2602" s="29"/>
      <c r="L2602" s="29"/>
      <c r="M2602" s="29"/>
      <c r="N2602" s="29" t="s">
        <v>351</v>
      </c>
    </row>
    <row r="2603" spans="1:14" x14ac:dyDescent="0.35">
      <c r="A2603" s="27" t="s">
        <v>229</v>
      </c>
      <c r="B2603" s="27" t="s">
        <v>225</v>
      </c>
      <c r="C2603" s="29"/>
      <c r="D2603" s="28">
        <v>0.104</v>
      </c>
      <c r="E2603" s="28">
        <v>0.104</v>
      </c>
      <c r="F2603" s="28">
        <v>0.79200000000000004</v>
      </c>
      <c r="G2603" s="29"/>
      <c r="H2603" s="29"/>
      <c r="I2603" s="29"/>
      <c r="J2603" s="29"/>
      <c r="K2603" s="29"/>
      <c r="L2603" s="29"/>
      <c r="M2603" s="29"/>
      <c r="N2603" s="29" t="s">
        <v>315</v>
      </c>
    </row>
    <row r="2604" spans="1:14" x14ac:dyDescent="0.35">
      <c r="A2604" s="27" t="s">
        <v>229</v>
      </c>
      <c r="B2604" s="27" t="s">
        <v>223</v>
      </c>
      <c r="C2604" s="29"/>
      <c r="D2604" s="28">
        <v>0.47170000000000001</v>
      </c>
      <c r="E2604" s="28">
        <v>0.49049999999999999</v>
      </c>
      <c r="F2604" s="28">
        <v>0.34910000000000002</v>
      </c>
      <c r="G2604" s="29"/>
      <c r="H2604" s="29"/>
      <c r="I2604" s="29"/>
      <c r="J2604" s="29"/>
      <c r="K2604" s="29"/>
      <c r="L2604" s="29"/>
      <c r="M2604" s="29"/>
      <c r="N2604" s="29" t="s">
        <v>334</v>
      </c>
    </row>
    <row r="2605" spans="1:14" x14ac:dyDescent="0.35">
      <c r="A2605" t="s">
        <v>230</v>
      </c>
      <c r="B2605" t="s">
        <v>222</v>
      </c>
      <c r="C2605" s="26">
        <v>0.5141</v>
      </c>
      <c r="D2605" s="26">
        <v>0.31509999999999999</v>
      </c>
      <c r="E2605" s="26">
        <v>0.11899999999999999</v>
      </c>
      <c r="F2605" s="26">
        <v>0.10199999999999999</v>
      </c>
      <c r="H2605" s="26">
        <v>8.3599999999999994E-2</v>
      </c>
      <c r="J2605" s="26">
        <v>8.7900000000000006E-2</v>
      </c>
      <c r="N2605">
        <v>33</v>
      </c>
    </row>
    <row r="2606" spans="1:14" x14ac:dyDescent="0.35">
      <c r="A2606" s="27" t="s">
        <v>230</v>
      </c>
      <c r="B2606" s="27" t="s">
        <v>225</v>
      </c>
      <c r="C2606" s="29"/>
      <c r="D2606" s="29"/>
      <c r="E2606" s="28">
        <v>1</v>
      </c>
      <c r="F2606" s="29"/>
      <c r="G2606" s="29"/>
      <c r="H2606" s="29"/>
      <c r="I2606" s="29"/>
      <c r="J2606" s="29"/>
      <c r="K2606" s="29"/>
      <c r="L2606" s="29"/>
      <c r="M2606" s="29"/>
      <c r="N2606" s="29" t="s">
        <v>331</v>
      </c>
    </row>
    <row r="2607" spans="1:14" x14ac:dyDescent="0.35">
      <c r="A2607" s="27" t="s">
        <v>230</v>
      </c>
      <c r="B2607" s="27" t="s">
        <v>221</v>
      </c>
      <c r="C2607" s="28">
        <v>0.34420000000000001</v>
      </c>
      <c r="D2607" s="28">
        <v>0.29880000000000001</v>
      </c>
      <c r="E2607" s="28">
        <v>0.32990000000000003</v>
      </c>
      <c r="F2607" s="28">
        <v>0.1368</v>
      </c>
      <c r="G2607" s="28">
        <v>5.8799999999999998E-2</v>
      </c>
      <c r="H2607" s="28">
        <v>3.95E-2</v>
      </c>
      <c r="I2607" s="29"/>
      <c r="J2607" s="29"/>
      <c r="K2607" s="29"/>
      <c r="L2607" s="29"/>
      <c r="M2607" s="29"/>
      <c r="N2607" s="29" t="s">
        <v>310</v>
      </c>
    </row>
    <row r="2608" spans="1:14" x14ac:dyDescent="0.35">
      <c r="A2608" s="27" t="s">
        <v>230</v>
      </c>
      <c r="B2608" s="27" t="s">
        <v>223</v>
      </c>
      <c r="C2608" s="29"/>
      <c r="D2608" s="28">
        <v>0.2903</v>
      </c>
      <c r="E2608" s="28">
        <v>0.56620000000000004</v>
      </c>
      <c r="F2608" s="28">
        <v>0.28689999999999999</v>
      </c>
      <c r="G2608" s="29"/>
      <c r="H2608" s="29"/>
      <c r="I2608" s="28">
        <v>4.41E-2</v>
      </c>
      <c r="J2608" s="29"/>
      <c r="K2608" s="29"/>
      <c r="L2608" s="29"/>
      <c r="M2608" s="29"/>
      <c r="N2608" s="29" t="s">
        <v>334</v>
      </c>
    </row>
    <row r="2609" spans="1:14" x14ac:dyDescent="0.35">
      <c r="A2609" s="27" t="s">
        <v>230</v>
      </c>
      <c r="B2609" s="27" t="s">
        <v>220</v>
      </c>
      <c r="C2609" s="28">
        <v>0.31290000000000001</v>
      </c>
      <c r="D2609" s="28">
        <v>0.1226</v>
      </c>
      <c r="E2609" s="28">
        <v>0.28520000000000001</v>
      </c>
      <c r="F2609" s="28">
        <v>0.15670000000000001</v>
      </c>
      <c r="G2609" s="28">
        <v>0.13450000000000001</v>
      </c>
      <c r="H2609" s="28">
        <v>0.106</v>
      </c>
      <c r="I2609" s="28">
        <v>0.123</v>
      </c>
      <c r="J2609" s="29"/>
      <c r="K2609" s="29"/>
      <c r="L2609" s="28">
        <v>1.66E-2</v>
      </c>
      <c r="M2609" s="28">
        <v>2.2100000000000002E-2</v>
      </c>
      <c r="N2609" s="29" t="s">
        <v>312</v>
      </c>
    </row>
    <row r="2610" spans="1:14" x14ac:dyDescent="0.35">
      <c r="A2610" s="27" t="s">
        <v>230</v>
      </c>
      <c r="B2610" s="27" t="s">
        <v>224</v>
      </c>
      <c r="C2610" s="28">
        <v>1.4999999999999999E-2</v>
      </c>
      <c r="D2610" s="28">
        <v>0.6401</v>
      </c>
      <c r="E2610" s="28">
        <v>0.29509999999999997</v>
      </c>
      <c r="F2610" s="29"/>
      <c r="G2610" s="28">
        <v>0.29509999999999997</v>
      </c>
      <c r="H2610" s="28">
        <v>4.9799999999999997E-2</v>
      </c>
      <c r="I2610" s="29"/>
      <c r="J2610" s="29"/>
      <c r="K2610" s="29"/>
      <c r="L2610" s="29"/>
      <c r="M2610" s="29"/>
      <c r="N2610" s="29" t="s">
        <v>335</v>
      </c>
    </row>
    <row r="2611" spans="1:14" x14ac:dyDescent="0.35">
      <c r="A2611" s="27" t="s">
        <v>231</v>
      </c>
      <c r="B2611" s="27" t="s">
        <v>221</v>
      </c>
      <c r="C2611" s="28">
        <v>0.2727</v>
      </c>
      <c r="D2611" s="28">
        <v>0.18179999999999999</v>
      </c>
      <c r="E2611" s="28">
        <v>0.18179999999999999</v>
      </c>
      <c r="F2611" s="29"/>
      <c r="G2611" s="28">
        <v>0.18179999999999999</v>
      </c>
      <c r="H2611" s="29"/>
      <c r="I2611" s="28">
        <v>9.0899999999999995E-2</v>
      </c>
      <c r="J2611" s="29"/>
      <c r="K2611" s="28">
        <v>9.0899999999999995E-2</v>
      </c>
      <c r="L2611" s="29"/>
      <c r="M2611" s="29"/>
      <c r="N2611" s="29" t="s">
        <v>352</v>
      </c>
    </row>
    <row r="2612" spans="1:14" x14ac:dyDescent="0.35">
      <c r="A2612" s="27" t="s">
        <v>231</v>
      </c>
      <c r="B2612" s="27" t="s">
        <v>220</v>
      </c>
      <c r="C2612" s="28">
        <v>0.33329999999999999</v>
      </c>
      <c r="D2612" s="28">
        <v>0.66669999999999996</v>
      </c>
      <c r="E2612" s="29"/>
      <c r="F2612" s="29"/>
      <c r="G2612" s="29"/>
      <c r="H2612" s="28">
        <v>0.33329999999999999</v>
      </c>
      <c r="I2612" s="29"/>
      <c r="J2612" s="29"/>
      <c r="K2612" s="29"/>
      <c r="L2612" s="29"/>
      <c r="M2612" s="29"/>
      <c r="N2612" s="29" t="s">
        <v>315</v>
      </c>
    </row>
    <row r="2613" spans="1:14" x14ac:dyDescent="0.35">
      <c r="A2613" s="27" t="s">
        <v>231</v>
      </c>
      <c r="B2613" s="27" t="s">
        <v>224</v>
      </c>
      <c r="C2613" s="28">
        <v>0.5</v>
      </c>
      <c r="D2613" s="28">
        <v>1</v>
      </c>
      <c r="E2613" s="29"/>
      <c r="F2613" s="28">
        <v>0.5</v>
      </c>
      <c r="G2613" s="28">
        <v>0.5</v>
      </c>
      <c r="H2613" s="28">
        <v>0.5</v>
      </c>
      <c r="I2613" s="28">
        <v>0.5</v>
      </c>
      <c r="J2613" s="28">
        <v>0.5</v>
      </c>
      <c r="K2613" s="29"/>
      <c r="L2613" s="29"/>
      <c r="M2613" s="29"/>
      <c r="N2613" s="29" t="s">
        <v>314</v>
      </c>
    </row>
    <row r="2614" spans="1:14" x14ac:dyDescent="0.35">
      <c r="A2614" s="27" t="s">
        <v>231</v>
      </c>
      <c r="B2614" s="27" t="s">
        <v>222</v>
      </c>
      <c r="C2614" s="28">
        <v>0.5</v>
      </c>
      <c r="D2614" s="28">
        <v>0.25</v>
      </c>
      <c r="E2614" s="29"/>
      <c r="F2614" s="29"/>
      <c r="G2614" s="29"/>
      <c r="H2614" s="28">
        <v>0.25</v>
      </c>
      <c r="I2614" s="29"/>
      <c r="J2614" s="29"/>
      <c r="K2614" s="29"/>
      <c r="L2614" s="29"/>
      <c r="M2614" s="29"/>
      <c r="N2614" s="29" t="s">
        <v>337</v>
      </c>
    </row>
    <row r="2615" spans="1:14" x14ac:dyDescent="0.35">
      <c r="A2615" t="s">
        <v>232</v>
      </c>
      <c r="B2615" t="s">
        <v>232</v>
      </c>
      <c r="C2615" s="26">
        <v>0.35770000000000002</v>
      </c>
      <c r="D2615" s="26">
        <v>0.2787</v>
      </c>
      <c r="E2615" s="26">
        <v>0.24249999999999999</v>
      </c>
      <c r="F2615" s="26">
        <v>0.1245</v>
      </c>
      <c r="G2615" s="26">
        <v>8.1299999999999997E-2</v>
      </c>
      <c r="H2615" s="26">
        <v>6.5100000000000005E-2</v>
      </c>
      <c r="I2615" s="26">
        <v>6.2600000000000003E-2</v>
      </c>
      <c r="J2615" s="26">
        <v>3.73E-2</v>
      </c>
      <c r="K2615" s="26">
        <v>1.38E-2</v>
      </c>
      <c r="L2615" s="26">
        <v>4.7999999999999996E-3</v>
      </c>
      <c r="M2615" s="26">
        <v>1.8E-3</v>
      </c>
      <c r="N2615">
        <v>458</v>
      </c>
    </row>
    <row r="2617" spans="1:14" x14ac:dyDescent="0.35">
      <c r="A2617" s="1" t="s">
        <v>531</v>
      </c>
    </row>
    <row r="2618" spans="1:14" x14ac:dyDescent="0.35">
      <c r="A2618" t="s">
        <v>219</v>
      </c>
      <c r="B2618" t="s">
        <v>305</v>
      </c>
      <c r="C2618" t="s">
        <v>510</v>
      </c>
      <c r="D2618" t="s">
        <v>511</v>
      </c>
      <c r="E2618" t="s">
        <v>512</v>
      </c>
      <c r="F2618" t="s">
        <v>513</v>
      </c>
      <c r="G2618" t="s">
        <v>514</v>
      </c>
      <c r="H2618" t="s">
        <v>515</v>
      </c>
      <c r="I2618" t="s">
        <v>516</v>
      </c>
      <c r="J2618" t="s">
        <v>517</v>
      </c>
      <c r="K2618" t="s">
        <v>286</v>
      </c>
      <c r="L2618" t="s">
        <v>518</v>
      </c>
      <c r="M2618" t="s">
        <v>281</v>
      </c>
      <c r="N2618" t="s">
        <v>226</v>
      </c>
    </row>
    <row r="2619" spans="1:14" x14ac:dyDescent="0.35">
      <c r="A2619" s="27" t="s">
        <v>227</v>
      </c>
      <c r="B2619" s="27" t="s">
        <v>235</v>
      </c>
      <c r="C2619" s="28">
        <v>0.5</v>
      </c>
      <c r="D2619" s="28">
        <v>0.125</v>
      </c>
      <c r="E2619" s="28">
        <v>0.25</v>
      </c>
      <c r="F2619" s="28">
        <v>0.125</v>
      </c>
      <c r="G2619" s="28">
        <v>0.125</v>
      </c>
      <c r="H2619" s="28">
        <v>0.125</v>
      </c>
      <c r="I2619" s="28">
        <v>0.125</v>
      </c>
      <c r="J2619" s="29"/>
      <c r="K2619" s="29"/>
      <c r="L2619" s="29"/>
      <c r="M2619" s="29"/>
      <c r="N2619" s="29" t="s">
        <v>333</v>
      </c>
    </row>
    <row r="2620" spans="1:14" x14ac:dyDescent="0.35">
      <c r="A2620" s="27" t="s">
        <v>227</v>
      </c>
      <c r="B2620" s="27" t="s">
        <v>234</v>
      </c>
      <c r="C2620" s="28">
        <v>0.6</v>
      </c>
      <c r="D2620" s="28">
        <v>0.1</v>
      </c>
      <c r="E2620" s="28">
        <v>0.4</v>
      </c>
      <c r="F2620" s="29"/>
      <c r="G2620" s="29"/>
      <c r="H2620" s="29"/>
      <c r="I2620" s="29"/>
      <c r="J2620" s="29"/>
      <c r="K2620" s="29"/>
      <c r="L2620" s="29"/>
      <c r="M2620" s="29"/>
      <c r="N2620" s="29" t="s">
        <v>307</v>
      </c>
    </row>
    <row r="2621" spans="1:14" x14ac:dyDescent="0.35">
      <c r="A2621" t="s">
        <v>228</v>
      </c>
      <c r="B2621" t="s">
        <v>235</v>
      </c>
      <c r="C2621" s="26">
        <v>0.39069999999999999</v>
      </c>
      <c r="D2621" s="26">
        <v>0.16350000000000001</v>
      </c>
      <c r="E2621" s="26">
        <v>0.26840000000000003</v>
      </c>
      <c r="F2621" s="26">
        <v>7.7299999999999994E-2</v>
      </c>
      <c r="G2621" s="26">
        <v>2.6499999999999999E-2</v>
      </c>
      <c r="H2621" s="26">
        <v>0.10059999999999999</v>
      </c>
      <c r="I2621" s="26">
        <v>0.1166</v>
      </c>
      <c r="J2621" s="26">
        <v>2.9700000000000001E-2</v>
      </c>
      <c r="N2621">
        <v>56</v>
      </c>
    </row>
    <row r="2622" spans="1:14" x14ac:dyDescent="0.35">
      <c r="A2622" t="s">
        <v>228</v>
      </c>
      <c r="B2622" t="s">
        <v>234</v>
      </c>
      <c r="C2622" s="26">
        <v>0.31269999999999998</v>
      </c>
      <c r="D2622" s="26">
        <v>0.1832</v>
      </c>
      <c r="E2622" s="26">
        <v>0.2384</v>
      </c>
      <c r="F2622" s="26">
        <v>0.1142</v>
      </c>
      <c r="G2622" s="26">
        <v>0.14979999999999999</v>
      </c>
      <c r="H2622" s="26">
        <v>4.9000000000000002E-2</v>
      </c>
      <c r="I2622" s="26">
        <v>9.7199999999999995E-2</v>
      </c>
      <c r="J2622" s="26">
        <v>8.3599999999999994E-2</v>
      </c>
      <c r="K2622" s="26">
        <v>2.3800000000000002E-2</v>
      </c>
      <c r="N2622">
        <v>135</v>
      </c>
    </row>
    <row r="2623" spans="1:14" x14ac:dyDescent="0.35">
      <c r="A2623" t="s">
        <v>229</v>
      </c>
      <c r="B2623" t="s">
        <v>235</v>
      </c>
      <c r="C2623" s="26">
        <v>0.2797</v>
      </c>
      <c r="D2623" s="26">
        <v>0.3619</v>
      </c>
      <c r="E2623" s="26">
        <v>0.35260000000000002</v>
      </c>
      <c r="F2623" s="26">
        <v>0.18149999999999999</v>
      </c>
      <c r="G2623" s="26">
        <v>2.8400000000000002E-2</v>
      </c>
      <c r="H2623" s="26">
        <v>4.6300000000000001E-2</v>
      </c>
      <c r="I2623" s="26">
        <v>3.4000000000000002E-2</v>
      </c>
      <c r="J2623" s="26">
        <v>5.8700000000000002E-2</v>
      </c>
      <c r="M2623" s="26">
        <v>7.6E-3</v>
      </c>
      <c r="N2623">
        <v>49</v>
      </c>
    </row>
    <row r="2624" spans="1:14" x14ac:dyDescent="0.35">
      <c r="A2624" t="s">
        <v>229</v>
      </c>
      <c r="B2624" t="s">
        <v>234</v>
      </c>
      <c r="C2624" s="26">
        <v>0.35549999999999998</v>
      </c>
      <c r="D2624" s="26">
        <v>0.33300000000000002</v>
      </c>
      <c r="E2624" s="26">
        <v>0.24560000000000001</v>
      </c>
      <c r="F2624" s="26">
        <v>0.20710000000000001</v>
      </c>
      <c r="G2624" s="26">
        <v>3.2199999999999999E-2</v>
      </c>
      <c r="H2624" s="26">
        <v>3.3E-3</v>
      </c>
      <c r="I2624" s="26">
        <v>2.3900000000000001E-2</v>
      </c>
      <c r="L2624" s="26">
        <v>1.9400000000000001E-2</v>
      </c>
      <c r="N2624">
        <v>82</v>
      </c>
    </row>
    <row r="2625" spans="1:15" x14ac:dyDescent="0.35">
      <c r="A2625" s="27" t="s">
        <v>230</v>
      </c>
      <c r="B2625" s="27" t="s">
        <v>235</v>
      </c>
      <c r="C2625" s="28">
        <v>0.33650000000000002</v>
      </c>
      <c r="D2625" s="28">
        <v>0.2535</v>
      </c>
      <c r="E2625" s="28">
        <v>0.12230000000000001</v>
      </c>
      <c r="F2625" s="28">
        <v>0.15260000000000001</v>
      </c>
      <c r="G2625" s="28">
        <v>0.16930000000000001</v>
      </c>
      <c r="H2625" s="28">
        <v>1.7100000000000001E-2</v>
      </c>
      <c r="I2625" s="28">
        <v>2.2200000000000001E-2</v>
      </c>
      <c r="J2625" s="28">
        <v>0.1013</v>
      </c>
      <c r="K2625" s="29"/>
      <c r="L2625" s="29"/>
      <c r="M2625" s="28">
        <v>1.7100000000000001E-2</v>
      </c>
      <c r="N2625" s="29" t="s">
        <v>329</v>
      </c>
    </row>
    <row r="2626" spans="1:15" x14ac:dyDescent="0.35">
      <c r="A2626" t="s">
        <v>230</v>
      </c>
      <c r="B2626" t="s">
        <v>234</v>
      </c>
      <c r="C2626" s="26">
        <v>0.3533</v>
      </c>
      <c r="D2626" s="26">
        <v>0.29849999999999999</v>
      </c>
      <c r="E2626" s="26">
        <v>0.30420000000000003</v>
      </c>
      <c r="F2626" s="26">
        <v>0.1095</v>
      </c>
      <c r="G2626" s="26">
        <v>4.6100000000000002E-2</v>
      </c>
      <c r="H2626" s="26">
        <v>9.4600000000000004E-2</v>
      </c>
      <c r="I2626" s="26">
        <v>4.1599999999999998E-2</v>
      </c>
      <c r="J2626" s="26">
        <v>2E-3</v>
      </c>
      <c r="L2626" s="26">
        <v>6.4999999999999997E-3</v>
      </c>
      <c r="M2626" s="26">
        <v>2E-3</v>
      </c>
      <c r="N2626">
        <v>69</v>
      </c>
    </row>
    <row r="2627" spans="1:15" x14ac:dyDescent="0.35">
      <c r="A2627" s="27" t="s">
        <v>231</v>
      </c>
      <c r="B2627" s="27" t="s">
        <v>235</v>
      </c>
      <c r="C2627" s="28">
        <v>0.375</v>
      </c>
      <c r="D2627" s="28">
        <v>0.375</v>
      </c>
      <c r="E2627" s="29"/>
      <c r="F2627" s="28">
        <v>0.125</v>
      </c>
      <c r="G2627" s="28">
        <v>0.25</v>
      </c>
      <c r="H2627" s="28">
        <v>0.25</v>
      </c>
      <c r="I2627" s="28">
        <v>0.125</v>
      </c>
      <c r="J2627" s="28">
        <v>0.125</v>
      </c>
      <c r="K2627" s="28">
        <v>0.125</v>
      </c>
      <c r="L2627" s="29"/>
      <c r="M2627" s="29"/>
      <c r="N2627" s="29" t="s">
        <v>333</v>
      </c>
    </row>
    <row r="2628" spans="1:15" x14ac:dyDescent="0.35">
      <c r="A2628" s="27" t="s">
        <v>231</v>
      </c>
      <c r="B2628" s="27" t="s">
        <v>234</v>
      </c>
      <c r="C2628" s="28">
        <v>0.33329999999999999</v>
      </c>
      <c r="D2628" s="28">
        <v>0.33329999999999999</v>
      </c>
      <c r="E2628" s="28">
        <v>0.16669999999999999</v>
      </c>
      <c r="F2628" s="29"/>
      <c r="G2628" s="28">
        <v>8.3299999999999999E-2</v>
      </c>
      <c r="H2628" s="28">
        <v>8.3299999999999999E-2</v>
      </c>
      <c r="I2628" s="28">
        <v>8.3299999999999999E-2</v>
      </c>
      <c r="J2628" s="29"/>
      <c r="K2628" s="29"/>
      <c r="L2628" s="29"/>
      <c r="M2628" s="29"/>
      <c r="N2628" s="29" t="s">
        <v>342</v>
      </c>
    </row>
    <row r="2629" spans="1:15" x14ac:dyDescent="0.35">
      <c r="A2629" t="s">
        <v>232</v>
      </c>
      <c r="B2629" t="s">
        <v>232</v>
      </c>
      <c r="C2629" s="26">
        <v>0.35770000000000002</v>
      </c>
      <c r="D2629" s="26">
        <v>0.2787</v>
      </c>
      <c r="E2629" s="26">
        <v>0.24249999999999999</v>
      </c>
      <c r="F2629" s="26">
        <v>0.1245</v>
      </c>
      <c r="G2629" s="26">
        <v>8.1299999999999997E-2</v>
      </c>
      <c r="H2629" s="26">
        <v>6.5100000000000005E-2</v>
      </c>
      <c r="I2629" s="26">
        <v>6.2600000000000003E-2</v>
      </c>
      <c r="J2629" s="26">
        <v>3.73E-2</v>
      </c>
      <c r="K2629" s="26">
        <v>1.38E-2</v>
      </c>
      <c r="L2629" s="26">
        <v>4.7999999999999996E-3</v>
      </c>
      <c r="M2629" s="26">
        <v>1.8E-3</v>
      </c>
      <c r="N2629">
        <v>458</v>
      </c>
    </row>
    <row r="2631" spans="1:15" x14ac:dyDescent="0.35">
      <c r="A2631" s="1" t="s">
        <v>532</v>
      </c>
    </row>
    <row r="2632" spans="1:15" x14ac:dyDescent="0.35">
      <c r="A2632" t="s">
        <v>219</v>
      </c>
      <c r="B2632" t="s">
        <v>305</v>
      </c>
      <c r="C2632" t="s">
        <v>345</v>
      </c>
      <c r="D2632" t="s">
        <v>510</v>
      </c>
      <c r="E2632" t="s">
        <v>511</v>
      </c>
      <c r="F2632" t="s">
        <v>512</v>
      </c>
      <c r="G2632" t="s">
        <v>513</v>
      </c>
      <c r="H2632" t="s">
        <v>514</v>
      </c>
      <c r="I2632" t="s">
        <v>515</v>
      </c>
      <c r="J2632" t="s">
        <v>516</v>
      </c>
      <c r="K2632" t="s">
        <v>517</v>
      </c>
      <c r="L2632" t="s">
        <v>286</v>
      </c>
      <c r="M2632" t="s">
        <v>518</v>
      </c>
      <c r="N2632" t="s">
        <v>281</v>
      </c>
      <c r="O2632" t="s">
        <v>226</v>
      </c>
    </row>
    <row r="2633" spans="1:15" x14ac:dyDescent="0.35">
      <c r="A2633" s="27" t="s">
        <v>227</v>
      </c>
      <c r="B2633" s="27" t="s">
        <v>235</v>
      </c>
      <c r="C2633" s="27" t="s">
        <v>224</v>
      </c>
      <c r="D2633" s="29"/>
      <c r="E2633" s="29"/>
      <c r="F2633" s="28">
        <v>1</v>
      </c>
      <c r="G2633" s="29"/>
      <c r="H2633" s="29"/>
      <c r="I2633" s="29"/>
      <c r="J2633" s="28">
        <v>1</v>
      </c>
      <c r="K2633" s="29"/>
      <c r="L2633" s="29"/>
      <c r="M2633" s="29"/>
      <c r="N2633" s="29"/>
      <c r="O2633" s="29" t="s">
        <v>331</v>
      </c>
    </row>
    <row r="2634" spans="1:15" x14ac:dyDescent="0.35">
      <c r="A2634" s="27" t="s">
        <v>227</v>
      </c>
      <c r="B2634" s="27" t="s">
        <v>234</v>
      </c>
      <c r="C2634" s="27" t="s">
        <v>222</v>
      </c>
      <c r="D2634" s="28">
        <v>0.83330000000000004</v>
      </c>
      <c r="E2634" s="29"/>
      <c r="F2634" s="28">
        <v>0.33329999999999999</v>
      </c>
      <c r="G2634" s="29"/>
      <c r="H2634" s="29"/>
      <c r="I2634" s="29"/>
      <c r="J2634" s="29"/>
      <c r="K2634" s="29"/>
      <c r="L2634" s="29"/>
      <c r="M2634" s="29"/>
      <c r="N2634" s="29"/>
      <c r="O2634" s="29" t="s">
        <v>335</v>
      </c>
    </row>
    <row r="2635" spans="1:15" x14ac:dyDescent="0.35">
      <c r="A2635" s="27" t="s">
        <v>227</v>
      </c>
      <c r="B2635" s="27" t="s">
        <v>234</v>
      </c>
      <c r="C2635" s="27" t="s">
        <v>221</v>
      </c>
      <c r="D2635" s="28">
        <v>0.25</v>
      </c>
      <c r="E2635" s="28">
        <v>0.25</v>
      </c>
      <c r="F2635" s="28">
        <v>0.5</v>
      </c>
      <c r="G2635" s="29"/>
      <c r="H2635" s="29"/>
      <c r="I2635" s="29"/>
      <c r="J2635" s="29"/>
      <c r="K2635" s="29"/>
      <c r="L2635" s="29"/>
      <c r="M2635" s="29"/>
      <c r="N2635" s="29"/>
      <c r="O2635" s="29" t="s">
        <v>337</v>
      </c>
    </row>
    <row r="2636" spans="1:15" x14ac:dyDescent="0.35">
      <c r="A2636" s="27" t="s">
        <v>227</v>
      </c>
      <c r="B2636" s="27" t="s">
        <v>235</v>
      </c>
      <c r="C2636" s="27" t="s">
        <v>220</v>
      </c>
      <c r="D2636" s="28">
        <v>0.66669999999999996</v>
      </c>
      <c r="E2636" s="28">
        <v>0.33329999999999999</v>
      </c>
      <c r="F2636" s="29"/>
      <c r="G2636" s="28">
        <v>0.33329999999999999</v>
      </c>
      <c r="H2636" s="29"/>
      <c r="I2636" s="29"/>
      <c r="J2636" s="29"/>
      <c r="K2636" s="29"/>
      <c r="L2636" s="29"/>
      <c r="M2636" s="29"/>
      <c r="N2636" s="29"/>
      <c r="O2636" s="29" t="s">
        <v>315</v>
      </c>
    </row>
    <row r="2637" spans="1:15" x14ac:dyDescent="0.35">
      <c r="A2637" s="27" t="s">
        <v>227</v>
      </c>
      <c r="B2637" s="27" t="s">
        <v>235</v>
      </c>
      <c r="C2637" s="27" t="s">
        <v>221</v>
      </c>
      <c r="D2637" s="28">
        <v>0.5</v>
      </c>
      <c r="E2637" s="29"/>
      <c r="F2637" s="29"/>
      <c r="G2637" s="29"/>
      <c r="H2637" s="28">
        <v>0.5</v>
      </c>
      <c r="I2637" s="28">
        <v>0.5</v>
      </c>
      <c r="J2637" s="29"/>
      <c r="K2637" s="29"/>
      <c r="L2637" s="29"/>
      <c r="M2637" s="29"/>
      <c r="N2637" s="29"/>
      <c r="O2637" s="29" t="s">
        <v>314</v>
      </c>
    </row>
    <row r="2638" spans="1:15" x14ac:dyDescent="0.35">
      <c r="A2638" s="27" t="s">
        <v>227</v>
      </c>
      <c r="B2638" s="27" t="s">
        <v>235</v>
      </c>
      <c r="C2638" s="27" t="s">
        <v>223</v>
      </c>
      <c r="D2638" s="28">
        <v>0.5</v>
      </c>
      <c r="E2638" s="29"/>
      <c r="F2638" s="28">
        <v>0.5</v>
      </c>
      <c r="G2638" s="29"/>
      <c r="H2638" s="29"/>
      <c r="I2638" s="29"/>
      <c r="J2638" s="29"/>
      <c r="K2638" s="29"/>
      <c r="L2638" s="29"/>
      <c r="M2638" s="29"/>
      <c r="N2638" s="29"/>
      <c r="O2638" s="29" t="s">
        <v>314</v>
      </c>
    </row>
    <row r="2639" spans="1:15" x14ac:dyDescent="0.35">
      <c r="A2639" t="s">
        <v>228</v>
      </c>
      <c r="B2639" t="s">
        <v>234</v>
      </c>
      <c r="C2639" t="s">
        <v>222</v>
      </c>
      <c r="D2639" s="26">
        <v>0.40050000000000002</v>
      </c>
      <c r="E2639" s="26">
        <v>7.9799999999999996E-2</v>
      </c>
      <c r="F2639" s="26">
        <v>0.38990000000000002</v>
      </c>
      <c r="G2639" s="26">
        <v>2.9600000000000001E-2</v>
      </c>
      <c r="H2639" s="26">
        <v>0.15509999999999999</v>
      </c>
      <c r="I2639" s="26">
        <v>3.95E-2</v>
      </c>
      <c r="J2639" s="26">
        <v>3.0700000000000002E-2</v>
      </c>
      <c r="K2639" s="26">
        <v>1.01E-2</v>
      </c>
      <c r="O2639">
        <v>60</v>
      </c>
    </row>
    <row r="2640" spans="1:15" x14ac:dyDescent="0.35">
      <c r="A2640" s="27" t="s">
        <v>228</v>
      </c>
      <c r="B2640" s="27" t="s">
        <v>234</v>
      </c>
      <c r="C2640" s="27" t="s">
        <v>223</v>
      </c>
      <c r="D2640" s="28">
        <v>2.8500000000000001E-2</v>
      </c>
      <c r="E2640" s="28">
        <v>9.2899999999999996E-2</v>
      </c>
      <c r="F2640" s="28">
        <v>9.7299999999999998E-2</v>
      </c>
      <c r="G2640" s="28">
        <v>0.46779999999999999</v>
      </c>
      <c r="H2640" s="29"/>
      <c r="I2640" s="29"/>
      <c r="J2640" s="29"/>
      <c r="K2640" s="28">
        <v>0.39069999999999999</v>
      </c>
      <c r="L2640" s="29"/>
      <c r="M2640" s="29"/>
      <c r="N2640" s="29"/>
      <c r="O2640" s="29" t="s">
        <v>339</v>
      </c>
    </row>
    <row r="2641" spans="1:15" x14ac:dyDescent="0.35">
      <c r="A2641" s="27" t="s">
        <v>228</v>
      </c>
      <c r="B2641" s="27" t="s">
        <v>234</v>
      </c>
      <c r="C2641" s="27" t="s">
        <v>221</v>
      </c>
      <c r="D2641" s="28">
        <v>0.40920000000000001</v>
      </c>
      <c r="E2641" s="28">
        <v>0.1772</v>
      </c>
      <c r="F2641" s="28">
        <v>0.1429</v>
      </c>
      <c r="G2641" s="29"/>
      <c r="H2641" s="28">
        <v>0.19339999999999999</v>
      </c>
      <c r="I2641" s="28">
        <v>4.48E-2</v>
      </c>
      <c r="J2641" s="28">
        <v>6.93E-2</v>
      </c>
      <c r="K2641" s="28">
        <v>0.20910000000000001</v>
      </c>
      <c r="L2641" s="29"/>
      <c r="M2641" s="29"/>
      <c r="N2641" s="29"/>
      <c r="O2641" s="29" t="s">
        <v>357</v>
      </c>
    </row>
    <row r="2642" spans="1:15" x14ac:dyDescent="0.35">
      <c r="A2642" t="s">
        <v>228</v>
      </c>
      <c r="B2642" t="s">
        <v>234</v>
      </c>
      <c r="C2642" t="s">
        <v>220</v>
      </c>
      <c r="D2642" s="26">
        <v>0.20810000000000001</v>
      </c>
      <c r="E2642" s="26">
        <v>0.3357</v>
      </c>
      <c r="F2642" s="26">
        <v>0.1288</v>
      </c>
      <c r="G2642" s="26">
        <v>0.1545</v>
      </c>
      <c r="H2642" s="26">
        <v>0.10920000000000001</v>
      </c>
      <c r="I2642" s="26">
        <v>8.1000000000000003E-2</v>
      </c>
      <c r="J2642" s="26">
        <v>0.1115</v>
      </c>
      <c r="K2642" s="26">
        <v>7.1999999999999995E-2</v>
      </c>
      <c r="L2642" s="26">
        <v>7.1999999999999995E-2</v>
      </c>
      <c r="O2642">
        <v>32</v>
      </c>
    </row>
    <row r="2643" spans="1:15" x14ac:dyDescent="0.35">
      <c r="A2643" s="27" t="s">
        <v>228</v>
      </c>
      <c r="B2643" s="27" t="s">
        <v>234</v>
      </c>
      <c r="C2643" s="27" t="s">
        <v>224</v>
      </c>
      <c r="D2643" s="28">
        <v>0.40500000000000003</v>
      </c>
      <c r="E2643" s="28">
        <v>0.14249999999999999</v>
      </c>
      <c r="F2643" s="28">
        <v>0.28050000000000003</v>
      </c>
      <c r="G2643" s="28">
        <v>0.32879999999999998</v>
      </c>
      <c r="H2643" s="28">
        <v>0.40500000000000003</v>
      </c>
      <c r="I2643" s="29"/>
      <c r="J2643" s="28">
        <v>0.57699999999999996</v>
      </c>
      <c r="K2643" s="29"/>
      <c r="L2643" s="29"/>
      <c r="M2643" s="29"/>
      <c r="N2643" s="29"/>
      <c r="O2643" s="29" t="s">
        <v>333</v>
      </c>
    </row>
    <row r="2644" spans="1:15" x14ac:dyDescent="0.35">
      <c r="A2644" s="27" t="s">
        <v>228</v>
      </c>
      <c r="B2644" s="27" t="s">
        <v>235</v>
      </c>
      <c r="C2644" s="27" t="s">
        <v>222</v>
      </c>
      <c r="D2644" s="28">
        <v>0.50049999999999994</v>
      </c>
      <c r="E2644" s="28">
        <v>0.1109</v>
      </c>
      <c r="F2644" s="28">
        <v>0.31530000000000002</v>
      </c>
      <c r="G2644" s="28">
        <v>1.2200000000000001E-2</v>
      </c>
      <c r="H2644" s="29"/>
      <c r="I2644" s="28">
        <v>0.13100000000000001</v>
      </c>
      <c r="J2644" s="29"/>
      <c r="K2644" s="28">
        <v>7.9699999999999993E-2</v>
      </c>
      <c r="L2644" s="29"/>
      <c r="M2644" s="29"/>
      <c r="N2644" s="29"/>
      <c r="O2644" s="29" t="s">
        <v>347</v>
      </c>
    </row>
    <row r="2645" spans="1:15" x14ac:dyDescent="0.35">
      <c r="A2645" s="27" t="s">
        <v>228</v>
      </c>
      <c r="B2645" s="27" t="s">
        <v>235</v>
      </c>
      <c r="C2645" s="27" t="s">
        <v>223</v>
      </c>
      <c r="D2645" s="28">
        <v>0.52059999999999995</v>
      </c>
      <c r="E2645" s="28">
        <v>0.08</v>
      </c>
      <c r="F2645" s="28">
        <v>0.53769999999999996</v>
      </c>
      <c r="G2645" s="28">
        <v>0.122</v>
      </c>
      <c r="H2645" s="29"/>
      <c r="I2645" s="28">
        <v>0.26029999999999998</v>
      </c>
      <c r="J2645" s="28">
        <v>0.26029999999999998</v>
      </c>
      <c r="K2645" s="29"/>
      <c r="L2645" s="29"/>
      <c r="M2645" s="29"/>
      <c r="N2645" s="29"/>
      <c r="O2645" s="29" t="s">
        <v>335</v>
      </c>
    </row>
    <row r="2646" spans="1:15" x14ac:dyDescent="0.35">
      <c r="A2646" s="27" t="s">
        <v>228</v>
      </c>
      <c r="B2646" s="27" t="s">
        <v>235</v>
      </c>
      <c r="C2646" s="27" t="s">
        <v>221</v>
      </c>
      <c r="D2646" s="28">
        <v>0.29570000000000002</v>
      </c>
      <c r="E2646" s="28">
        <v>0.28270000000000001</v>
      </c>
      <c r="F2646" s="28">
        <v>0.1389</v>
      </c>
      <c r="G2646" s="28">
        <v>0.20910000000000001</v>
      </c>
      <c r="H2646" s="28">
        <v>7.3599999999999999E-2</v>
      </c>
      <c r="I2646" s="28">
        <v>2.5999999999999999E-2</v>
      </c>
      <c r="J2646" s="29"/>
      <c r="K2646" s="29"/>
      <c r="L2646" s="29"/>
      <c r="M2646" s="29"/>
      <c r="N2646" s="29"/>
      <c r="O2646" s="29" t="s">
        <v>342</v>
      </c>
    </row>
    <row r="2647" spans="1:15" x14ac:dyDescent="0.35">
      <c r="A2647" s="27" t="s">
        <v>228</v>
      </c>
      <c r="B2647" s="27" t="s">
        <v>234</v>
      </c>
      <c r="C2647" s="27" t="s">
        <v>225</v>
      </c>
      <c r="D2647" s="29"/>
      <c r="E2647" s="29"/>
      <c r="F2647" s="29"/>
      <c r="G2647" s="28">
        <v>0.5</v>
      </c>
      <c r="H2647" s="29"/>
      <c r="I2647" s="29"/>
      <c r="J2647" s="28">
        <v>0.5</v>
      </c>
      <c r="K2647" s="29"/>
      <c r="L2647" s="29"/>
      <c r="M2647" s="29"/>
      <c r="N2647" s="29"/>
      <c r="O2647" s="29" t="s">
        <v>314</v>
      </c>
    </row>
    <row r="2648" spans="1:15" x14ac:dyDescent="0.35">
      <c r="A2648" s="27" t="s">
        <v>228</v>
      </c>
      <c r="B2648" s="27" t="s">
        <v>235</v>
      </c>
      <c r="C2648" s="27" t="s">
        <v>220</v>
      </c>
      <c r="D2648" s="28">
        <v>0.25919999999999999</v>
      </c>
      <c r="E2648" s="28">
        <v>0.16139999999999999</v>
      </c>
      <c r="F2648" s="28">
        <v>0.17810000000000001</v>
      </c>
      <c r="G2648" s="29"/>
      <c r="H2648" s="28">
        <v>2.3699999999999999E-2</v>
      </c>
      <c r="I2648" s="29"/>
      <c r="J2648" s="28">
        <v>0.37769999999999998</v>
      </c>
      <c r="K2648" s="29"/>
      <c r="L2648" s="29"/>
      <c r="M2648" s="29"/>
      <c r="N2648" s="29"/>
      <c r="O2648" s="29" t="s">
        <v>341</v>
      </c>
    </row>
    <row r="2649" spans="1:15" x14ac:dyDescent="0.35">
      <c r="A2649" s="27" t="s">
        <v>228</v>
      </c>
      <c r="B2649" s="27" t="s">
        <v>235</v>
      </c>
      <c r="C2649" s="27" t="s">
        <v>224</v>
      </c>
      <c r="D2649" s="28">
        <v>0.42480000000000001</v>
      </c>
      <c r="E2649" s="29"/>
      <c r="F2649" s="28">
        <v>0.57520000000000004</v>
      </c>
      <c r="G2649" s="29"/>
      <c r="H2649" s="29"/>
      <c r="I2649" s="28">
        <v>0.42480000000000001</v>
      </c>
      <c r="J2649" s="28">
        <v>0.42480000000000001</v>
      </c>
      <c r="K2649" s="29"/>
      <c r="L2649" s="29"/>
      <c r="M2649" s="29"/>
      <c r="N2649" s="29"/>
      <c r="O2649" s="29" t="s">
        <v>315</v>
      </c>
    </row>
    <row r="2650" spans="1:15" x14ac:dyDescent="0.35">
      <c r="A2650" s="27" t="s">
        <v>229</v>
      </c>
      <c r="B2650" s="27" t="s">
        <v>235</v>
      </c>
      <c r="C2650" s="27" t="s">
        <v>221</v>
      </c>
      <c r="D2650" s="28">
        <v>0.33439999999999998</v>
      </c>
      <c r="E2650" s="28">
        <v>0.28599999999999998</v>
      </c>
      <c r="F2650" s="28">
        <v>0.37969999999999998</v>
      </c>
      <c r="G2650" s="29"/>
      <c r="H2650" s="28">
        <v>0.28599999999999998</v>
      </c>
      <c r="I2650" s="29"/>
      <c r="J2650" s="29"/>
      <c r="K2650" s="29"/>
      <c r="L2650" s="29"/>
      <c r="M2650" s="29"/>
      <c r="N2650" s="29"/>
      <c r="O2650" s="29" t="s">
        <v>335</v>
      </c>
    </row>
    <row r="2651" spans="1:15" x14ac:dyDescent="0.35">
      <c r="A2651" s="27" t="s">
        <v>229</v>
      </c>
      <c r="B2651" s="27" t="s">
        <v>235</v>
      </c>
      <c r="C2651" s="27" t="s">
        <v>224</v>
      </c>
      <c r="D2651" s="29"/>
      <c r="E2651" s="28">
        <v>0.2218</v>
      </c>
      <c r="F2651" s="29"/>
      <c r="G2651" s="28">
        <v>0.4073</v>
      </c>
      <c r="H2651" s="29"/>
      <c r="I2651" s="29"/>
      <c r="J2651" s="28">
        <v>0.2218</v>
      </c>
      <c r="K2651" s="28">
        <v>0.37090000000000001</v>
      </c>
      <c r="L2651" s="29"/>
      <c r="M2651" s="29"/>
      <c r="N2651" s="29"/>
      <c r="O2651" s="29" t="s">
        <v>332</v>
      </c>
    </row>
    <row r="2652" spans="1:15" x14ac:dyDescent="0.35">
      <c r="A2652" s="27" t="s">
        <v>229</v>
      </c>
      <c r="B2652" s="27" t="s">
        <v>234</v>
      </c>
      <c r="C2652" s="27" t="s">
        <v>220</v>
      </c>
      <c r="D2652" s="28">
        <v>0.2102</v>
      </c>
      <c r="E2652" s="28">
        <v>0.40300000000000002</v>
      </c>
      <c r="F2652" s="28">
        <v>0.25850000000000001</v>
      </c>
      <c r="G2652" s="28">
        <v>0.25519999999999998</v>
      </c>
      <c r="H2652" s="28">
        <v>6.5000000000000002E-2</v>
      </c>
      <c r="I2652" s="28">
        <v>7.1000000000000004E-3</v>
      </c>
      <c r="J2652" s="28">
        <v>6.7100000000000007E-2</v>
      </c>
      <c r="K2652" s="29"/>
      <c r="L2652" s="29"/>
      <c r="M2652" s="29"/>
      <c r="N2652" s="29"/>
      <c r="O2652" s="29" t="s">
        <v>357</v>
      </c>
    </row>
    <row r="2653" spans="1:15" x14ac:dyDescent="0.35">
      <c r="A2653" s="27" t="s">
        <v>229</v>
      </c>
      <c r="B2653" s="27" t="s">
        <v>234</v>
      </c>
      <c r="C2653" s="27" t="s">
        <v>223</v>
      </c>
      <c r="D2653" s="29"/>
      <c r="E2653" s="28">
        <v>4.9299999999999997E-2</v>
      </c>
      <c r="F2653" s="28">
        <v>0.4748</v>
      </c>
      <c r="G2653" s="28">
        <v>0.9254</v>
      </c>
      <c r="H2653" s="29"/>
      <c r="I2653" s="29"/>
      <c r="J2653" s="29"/>
      <c r="K2653" s="29"/>
      <c r="L2653" s="29"/>
      <c r="M2653" s="29"/>
      <c r="N2653" s="29"/>
      <c r="O2653" s="29" t="s">
        <v>332</v>
      </c>
    </row>
    <row r="2654" spans="1:15" x14ac:dyDescent="0.35">
      <c r="A2654" s="27" t="s">
        <v>229</v>
      </c>
      <c r="B2654" s="27" t="s">
        <v>234</v>
      </c>
      <c r="C2654" s="27" t="s">
        <v>224</v>
      </c>
      <c r="D2654" s="28">
        <v>0.18310000000000001</v>
      </c>
      <c r="E2654" s="28">
        <v>0.40210000000000001</v>
      </c>
      <c r="F2654" s="29"/>
      <c r="G2654" s="28">
        <v>0.41489999999999999</v>
      </c>
      <c r="H2654" s="29"/>
      <c r="I2654" s="29"/>
      <c r="J2654" s="29"/>
      <c r="K2654" s="29"/>
      <c r="L2654" s="29"/>
      <c r="M2654" s="28">
        <v>0.18310000000000001</v>
      </c>
      <c r="N2654" s="29"/>
      <c r="O2654" s="29" t="s">
        <v>335</v>
      </c>
    </row>
    <row r="2655" spans="1:15" x14ac:dyDescent="0.35">
      <c r="A2655" s="27" t="s">
        <v>229</v>
      </c>
      <c r="B2655" s="27" t="s">
        <v>234</v>
      </c>
      <c r="C2655" s="27" t="s">
        <v>221</v>
      </c>
      <c r="D2655" s="28">
        <v>0.30149999999999999</v>
      </c>
      <c r="E2655" s="28">
        <v>0.37859999999999999</v>
      </c>
      <c r="F2655" s="28">
        <v>0.31230000000000002</v>
      </c>
      <c r="G2655" s="28">
        <v>2.9700000000000001E-2</v>
      </c>
      <c r="H2655" s="28">
        <v>3.7199999999999997E-2</v>
      </c>
      <c r="I2655" s="29"/>
      <c r="J2655" s="29"/>
      <c r="K2655" s="29"/>
      <c r="L2655" s="29"/>
      <c r="M2655" s="29"/>
      <c r="N2655" s="29"/>
      <c r="O2655" s="29" t="s">
        <v>346</v>
      </c>
    </row>
    <row r="2656" spans="1:15" x14ac:dyDescent="0.35">
      <c r="A2656" s="27" t="s">
        <v>229</v>
      </c>
      <c r="B2656" s="27" t="s">
        <v>235</v>
      </c>
      <c r="C2656" s="27" t="s">
        <v>220</v>
      </c>
      <c r="D2656" s="28">
        <v>0.2329</v>
      </c>
      <c r="E2656" s="28">
        <v>0.47910000000000003</v>
      </c>
      <c r="F2656" s="28">
        <v>0.44679999999999997</v>
      </c>
      <c r="G2656" s="28">
        <v>8.2299999999999998E-2</v>
      </c>
      <c r="H2656" s="29"/>
      <c r="I2656" s="28">
        <v>3.0999999999999999E-3</v>
      </c>
      <c r="J2656" s="29"/>
      <c r="K2656" s="29"/>
      <c r="L2656" s="29"/>
      <c r="M2656" s="29"/>
      <c r="N2656" s="28">
        <v>2.1899999999999999E-2</v>
      </c>
      <c r="O2656" s="29" t="s">
        <v>353</v>
      </c>
    </row>
    <row r="2657" spans="1:15" x14ac:dyDescent="0.35">
      <c r="A2657" s="27" t="s">
        <v>229</v>
      </c>
      <c r="B2657" s="27" t="s">
        <v>235</v>
      </c>
      <c r="C2657" s="27" t="s">
        <v>222</v>
      </c>
      <c r="D2657" s="28">
        <v>0.67649999999999999</v>
      </c>
      <c r="E2657" s="28">
        <v>0.1769</v>
      </c>
      <c r="F2657" s="28">
        <v>0.3851</v>
      </c>
      <c r="G2657" s="28">
        <v>0.25390000000000001</v>
      </c>
      <c r="H2657" s="29"/>
      <c r="I2657" s="28">
        <v>0.18429999999999999</v>
      </c>
      <c r="J2657" s="29"/>
      <c r="K2657" s="28">
        <v>7.7999999999999996E-3</v>
      </c>
      <c r="L2657" s="29"/>
      <c r="M2657" s="29"/>
      <c r="N2657" s="29"/>
      <c r="O2657" s="29" t="s">
        <v>379</v>
      </c>
    </row>
    <row r="2658" spans="1:15" x14ac:dyDescent="0.35">
      <c r="A2658" s="27" t="s">
        <v>229</v>
      </c>
      <c r="B2658" s="27" t="s">
        <v>234</v>
      </c>
      <c r="C2658" s="27" t="s">
        <v>222</v>
      </c>
      <c r="D2658" s="28">
        <v>0.67359999999999998</v>
      </c>
      <c r="E2658" s="28">
        <v>0.245</v>
      </c>
      <c r="F2658" s="28">
        <v>0.24099999999999999</v>
      </c>
      <c r="G2658" s="28">
        <v>6.25E-2</v>
      </c>
      <c r="H2658" s="28">
        <v>8.2000000000000007E-3</v>
      </c>
      <c r="I2658" s="28">
        <v>2.3999999999999998E-3</v>
      </c>
      <c r="J2658" s="29"/>
      <c r="K2658" s="29"/>
      <c r="L2658" s="29"/>
      <c r="M2658" s="29"/>
      <c r="N2658" s="29"/>
      <c r="O2658" s="29" t="s">
        <v>329</v>
      </c>
    </row>
    <row r="2659" spans="1:15" x14ac:dyDescent="0.35">
      <c r="A2659" s="27" t="s">
        <v>229</v>
      </c>
      <c r="B2659" s="27" t="s">
        <v>234</v>
      </c>
      <c r="C2659" s="27" t="s">
        <v>225</v>
      </c>
      <c r="D2659" s="29"/>
      <c r="E2659" s="28">
        <v>1</v>
      </c>
      <c r="F2659" s="29"/>
      <c r="G2659" s="29"/>
      <c r="H2659" s="29"/>
      <c r="I2659" s="29"/>
      <c r="J2659" s="29"/>
      <c r="K2659" s="29"/>
      <c r="L2659" s="29"/>
      <c r="M2659" s="29"/>
      <c r="N2659" s="29"/>
      <c r="O2659" s="29" t="s">
        <v>331</v>
      </c>
    </row>
    <row r="2660" spans="1:15" x14ac:dyDescent="0.35">
      <c r="A2660" s="27" t="s">
        <v>229</v>
      </c>
      <c r="B2660" s="27" t="s">
        <v>235</v>
      </c>
      <c r="C2660" s="27" t="s">
        <v>223</v>
      </c>
      <c r="D2660" s="29"/>
      <c r="E2660" s="28">
        <v>0.72770000000000001</v>
      </c>
      <c r="F2660" s="28">
        <v>0.5</v>
      </c>
      <c r="G2660" s="29"/>
      <c r="H2660" s="29"/>
      <c r="I2660" s="29"/>
      <c r="J2660" s="29"/>
      <c r="K2660" s="29"/>
      <c r="L2660" s="29"/>
      <c r="M2660" s="29"/>
      <c r="N2660" s="29"/>
      <c r="O2660" s="29" t="s">
        <v>337</v>
      </c>
    </row>
    <row r="2661" spans="1:15" x14ac:dyDescent="0.35">
      <c r="A2661" s="27" t="s">
        <v>229</v>
      </c>
      <c r="B2661" s="27" t="s">
        <v>235</v>
      </c>
      <c r="C2661" s="27" t="s">
        <v>225</v>
      </c>
      <c r="D2661" s="29"/>
      <c r="E2661" s="29"/>
      <c r="F2661" s="28">
        <v>0.11609999999999999</v>
      </c>
      <c r="G2661" s="28">
        <v>0.88390000000000002</v>
      </c>
      <c r="H2661" s="29"/>
      <c r="I2661" s="29"/>
      <c r="J2661" s="29"/>
      <c r="K2661" s="29"/>
      <c r="L2661" s="29"/>
      <c r="M2661" s="29"/>
      <c r="N2661" s="29"/>
      <c r="O2661" s="29" t="s">
        <v>314</v>
      </c>
    </row>
    <row r="2662" spans="1:15" x14ac:dyDescent="0.35">
      <c r="A2662" s="27" t="s">
        <v>230</v>
      </c>
      <c r="B2662" s="27" t="s">
        <v>234</v>
      </c>
      <c r="C2662" s="27" t="s">
        <v>221</v>
      </c>
      <c r="D2662" s="28">
        <v>0.36759999999999998</v>
      </c>
      <c r="E2662" s="28">
        <v>0.29430000000000001</v>
      </c>
      <c r="F2662" s="28">
        <v>0.35199999999999998</v>
      </c>
      <c r="G2662" s="28">
        <v>0.1326</v>
      </c>
      <c r="H2662" s="28">
        <v>2.1899999999999999E-2</v>
      </c>
      <c r="I2662" s="28">
        <v>2.24E-2</v>
      </c>
      <c r="J2662" s="29"/>
      <c r="K2662" s="29"/>
      <c r="L2662" s="29"/>
      <c r="M2662" s="29"/>
      <c r="N2662" s="29"/>
      <c r="O2662" s="29" t="s">
        <v>353</v>
      </c>
    </row>
    <row r="2663" spans="1:15" x14ac:dyDescent="0.35">
      <c r="A2663" s="27" t="s">
        <v>230</v>
      </c>
      <c r="B2663" s="27" t="s">
        <v>234</v>
      </c>
      <c r="C2663" s="27" t="s">
        <v>223</v>
      </c>
      <c r="D2663" s="29"/>
      <c r="E2663" s="28">
        <v>0.23089999999999999</v>
      </c>
      <c r="F2663" s="28">
        <v>0.5383</v>
      </c>
      <c r="G2663" s="28">
        <v>0.4617</v>
      </c>
      <c r="H2663" s="29"/>
      <c r="I2663" s="29"/>
      <c r="J2663" s="29"/>
      <c r="K2663" s="29"/>
      <c r="L2663" s="29"/>
      <c r="M2663" s="29"/>
      <c r="N2663" s="29"/>
      <c r="O2663" s="29" t="s">
        <v>332</v>
      </c>
    </row>
    <row r="2664" spans="1:15" x14ac:dyDescent="0.35">
      <c r="A2664" s="27" t="s">
        <v>230</v>
      </c>
      <c r="B2664" s="27" t="s">
        <v>235</v>
      </c>
      <c r="C2664" s="27" t="s">
        <v>224</v>
      </c>
      <c r="D2664" s="28">
        <v>4.8300000000000003E-2</v>
      </c>
      <c r="E2664" s="28">
        <v>0.95169999999999999</v>
      </c>
      <c r="F2664" s="29"/>
      <c r="G2664" s="29"/>
      <c r="H2664" s="29"/>
      <c r="I2664" s="29"/>
      <c r="J2664" s="29"/>
      <c r="K2664" s="29"/>
      <c r="L2664" s="29"/>
      <c r="M2664" s="29"/>
      <c r="N2664" s="29"/>
      <c r="O2664" s="29" t="s">
        <v>314</v>
      </c>
    </row>
    <row r="2665" spans="1:15" x14ac:dyDescent="0.35">
      <c r="A2665" s="27" t="s">
        <v>230</v>
      </c>
      <c r="B2665" s="27" t="s">
        <v>234</v>
      </c>
      <c r="C2665" s="27" t="s">
        <v>222</v>
      </c>
      <c r="D2665" s="28">
        <v>0.47810000000000002</v>
      </c>
      <c r="E2665" s="28">
        <v>0.32300000000000001</v>
      </c>
      <c r="F2665" s="28">
        <v>0.12659999999999999</v>
      </c>
      <c r="G2665" s="28">
        <v>0.14230000000000001</v>
      </c>
      <c r="H2665" s="29"/>
      <c r="I2665" s="28">
        <v>0.1167</v>
      </c>
      <c r="J2665" s="29"/>
      <c r="K2665" s="28">
        <v>5.8999999999999999E-3</v>
      </c>
      <c r="L2665" s="29"/>
      <c r="M2665" s="29"/>
      <c r="N2665" s="29"/>
      <c r="O2665" s="29" t="s">
        <v>338</v>
      </c>
    </row>
    <row r="2666" spans="1:15" x14ac:dyDescent="0.35">
      <c r="A2666" s="27" t="s">
        <v>230</v>
      </c>
      <c r="B2666" s="27" t="s">
        <v>235</v>
      </c>
      <c r="C2666" s="27" t="s">
        <v>220</v>
      </c>
      <c r="D2666" s="28">
        <v>0.26319999999999999</v>
      </c>
      <c r="E2666" s="29"/>
      <c r="F2666" s="28">
        <v>0.1099</v>
      </c>
      <c r="G2666" s="28">
        <v>0.33500000000000002</v>
      </c>
      <c r="H2666" s="28">
        <v>0.33410000000000001</v>
      </c>
      <c r="I2666" s="29"/>
      <c r="J2666" s="28">
        <v>4.2299999999999997E-2</v>
      </c>
      <c r="K2666" s="29"/>
      <c r="L2666" s="29"/>
      <c r="M2666" s="29"/>
      <c r="N2666" s="28">
        <v>4.2299999999999997E-2</v>
      </c>
      <c r="O2666" s="29" t="s">
        <v>352</v>
      </c>
    </row>
    <row r="2667" spans="1:15" x14ac:dyDescent="0.35">
      <c r="A2667" s="27" t="s">
        <v>230</v>
      </c>
      <c r="B2667" s="27" t="s">
        <v>235</v>
      </c>
      <c r="C2667" s="27" t="s">
        <v>221</v>
      </c>
      <c r="D2667" s="28">
        <v>0.16800000000000001</v>
      </c>
      <c r="E2667" s="28">
        <v>0.33200000000000002</v>
      </c>
      <c r="F2667" s="28">
        <v>0.16400000000000001</v>
      </c>
      <c r="G2667" s="28">
        <v>0.16800000000000001</v>
      </c>
      <c r="H2667" s="28">
        <v>0.33600000000000002</v>
      </c>
      <c r="I2667" s="28">
        <v>0.16800000000000001</v>
      </c>
      <c r="J2667" s="29"/>
      <c r="K2667" s="29"/>
      <c r="L2667" s="29"/>
      <c r="M2667" s="29"/>
      <c r="N2667" s="29"/>
      <c r="O2667" s="29" t="s">
        <v>335</v>
      </c>
    </row>
    <row r="2668" spans="1:15" x14ac:dyDescent="0.35">
      <c r="A2668" s="27" t="s">
        <v>230</v>
      </c>
      <c r="B2668" s="27" t="s">
        <v>234</v>
      </c>
      <c r="C2668" s="27" t="s">
        <v>220</v>
      </c>
      <c r="D2668" s="28">
        <v>0.34639999999999999</v>
      </c>
      <c r="E2668" s="28">
        <v>0.20530000000000001</v>
      </c>
      <c r="F2668" s="28">
        <v>0.40339999999999998</v>
      </c>
      <c r="G2668" s="28">
        <v>3.6400000000000002E-2</v>
      </c>
      <c r="H2668" s="29"/>
      <c r="I2668" s="28">
        <v>0.17749999999999999</v>
      </c>
      <c r="J2668" s="28">
        <v>0.17749999999999999</v>
      </c>
      <c r="K2668" s="29"/>
      <c r="L2668" s="29"/>
      <c r="M2668" s="28">
        <v>2.7799999999999998E-2</v>
      </c>
      <c r="N2668" s="28">
        <v>8.6E-3</v>
      </c>
      <c r="O2668" s="29" t="s">
        <v>379</v>
      </c>
    </row>
    <row r="2669" spans="1:15" x14ac:dyDescent="0.35">
      <c r="A2669" s="27" t="s">
        <v>230</v>
      </c>
      <c r="B2669" s="27" t="s">
        <v>234</v>
      </c>
      <c r="C2669" s="27" t="s">
        <v>224</v>
      </c>
      <c r="D2669" s="29"/>
      <c r="E2669" s="28">
        <v>0.5</v>
      </c>
      <c r="F2669" s="28">
        <v>0.42780000000000001</v>
      </c>
      <c r="G2669" s="29"/>
      <c r="H2669" s="28">
        <v>0.42780000000000001</v>
      </c>
      <c r="I2669" s="28">
        <v>7.22E-2</v>
      </c>
      <c r="J2669" s="29"/>
      <c r="K2669" s="29"/>
      <c r="L2669" s="29"/>
      <c r="M2669" s="29"/>
      <c r="N2669" s="29"/>
      <c r="O2669" s="29" t="s">
        <v>337</v>
      </c>
    </row>
    <row r="2670" spans="1:15" x14ac:dyDescent="0.35">
      <c r="A2670" s="27" t="s">
        <v>230</v>
      </c>
      <c r="B2670" s="27" t="s">
        <v>234</v>
      </c>
      <c r="C2670" s="27" t="s">
        <v>225</v>
      </c>
      <c r="D2670" s="29"/>
      <c r="E2670" s="29"/>
      <c r="F2670" s="28">
        <v>1</v>
      </c>
      <c r="G2670" s="29"/>
      <c r="H2670" s="29"/>
      <c r="I2670" s="29"/>
      <c r="J2670" s="29"/>
      <c r="K2670" s="29"/>
      <c r="L2670" s="29"/>
      <c r="M2670" s="29"/>
      <c r="N2670" s="29"/>
      <c r="O2670" s="29" t="s">
        <v>331</v>
      </c>
    </row>
    <row r="2671" spans="1:15" x14ac:dyDescent="0.35">
      <c r="A2671" s="27" t="s">
        <v>230</v>
      </c>
      <c r="B2671" s="27" t="s">
        <v>235</v>
      </c>
      <c r="C2671" s="27" t="s">
        <v>222</v>
      </c>
      <c r="D2671" s="28">
        <v>0.60529999999999995</v>
      </c>
      <c r="E2671" s="28">
        <v>0.29509999999999997</v>
      </c>
      <c r="F2671" s="28">
        <v>9.9599999999999994E-2</v>
      </c>
      <c r="G2671" s="29"/>
      <c r="H2671" s="29"/>
      <c r="I2671" s="29"/>
      <c r="J2671" s="29"/>
      <c r="K2671" s="28">
        <v>0.29509999999999997</v>
      </c>
      <c r="L2671" s="29"/>
      <c r="M2671" s="29"/>
      <c r="N2671" s="29"/>
      <c r="O2671" s="29" t="s">
        <v>335</v>
      </c>
    </row>
    <row r="2672" spans="1:15" x14ac:dyDescent="0.35">
      <c r="A2672" s="27" t="s">
        <v>230</v>
      </c>
      <c r="B2672" s="27" t="s">
        <v>235</v>
      </c>
      <c r="C2672" s="27" t="s">
        <v>223</v>
      </c>
      <c r="D2672" s="29"/>
      <c r="E2672" s="28">
        <v>0.38790000000000002</v>
      </c>
      <c r="F2672" s="28">
        <v>0.61209999999999998</v>
      </c>
      <c r="G2672" s="29"/>
      <c r="H2672" s="29"/>
      <c r="I2672" s="29"/>
      <c r="J2672" s="28">
        <v>0.1166</v>
      </c>
      <c r="K2672" s="29"/>
      <c r="L2672" s="29"/>
      <c r="M2672" s="29"/>
      <c r="N2672" s="29"/>
      <c r="O2672" s="29" t="s">
        <v>337</v>
      </c>
    </row>
    <row r="2673" spans="1:15" x14ac:dyDescent="0.35">
      <c r="A2673" s="27" t="s">
        <v>231</v>
      </c>
      <c r="B2673" s="27" t="s">
        <v>235</v>
      </c>
      <c r="C2673" s="27" t="s">
        <v>220</v>
      </c>
      <c r="D2673" s="29"/>
      <c r="E2673" s="29"/>
      <c r="F2673" s="29"/>
      <c r="G2673" s="29"/>
      <c r="H2673" s="29"/>
      <c r="I2673" s="28">
        <v>1</v>
      </c>
      <c r="J2673" s="29"/>
      <c r="K2673" s="29"/>
      <c r="L2673" s="29"/>
      <c r="M2673" s="29"/>
      <c r="N2673" s="29"/>
      <c r="O2673" s="29" t="s">
        <v>331</v>
      </c>
    </row>
    <row r="2674" spans="1:15" x14ac:dyDescent="0.35">
      <c r="A2674" s="27" t="s">
        <v>231</v>
      </c>
      <c r="B2674" s="27" t="s">
        <v>234</v>
      </c>
      <c r="C2674" s="27" t="s">
        <v>220</v>
      </c>
      <c r="D2674" s="28">
        <v>0.5</v>
      </c>
      <c r="E2674" s="28">
        <v>1</v>
      </c>
      <c r="F2674" s="29"/>
      <c r="G2674" s="29"/>
      <c r="H2674" s="29"/>
      <c r="I2674" s="29"/>
      <c r="J2674" s="29"/>
      <c r="K2674" s="29"/>
      <c r="L2674" s="29"/>
      <c r="M2674" s="29"/>
      <c r="N2674" s="29"/>
      <c r="O2674" s="29" t="s">
        <v>314</v>
      </c>
    </row>
    <row r="2675" spans="1:15" x14ac:dyDescent="0.35">
      <c r="A2675" s="27" t="s">
        <v>231</v>
      </c>
      <c r="B2675" s="27" t="s">
        <v>234</v>
      </c>
      <c r="C2675" s="27" t="s">
        <v>222</v>
      </c>
      <c r="D2675" s="28">
        <v>0.5</v>
      </c>
      <c r="E2675" s="28">
        <v>0.25</v>
      </c>
      <c r="F2675" s="29"/>
      <c r="G2675" s="29"/>
      <c r="H2675" s="29"/>
      <c r="I2675" s="28">
        <v>0.25</v>
      </c>
      <c r="J2675" s="29"/>
      <c r="K2675" s="29"/>
      <c r="L2675" s="29"/>
      <c r="M2675" s="29"/>
      <c r="N2675" s="29"/>
      <c r="O2675" s="29" t="s">
        <v>337</v>
      </c>
    </row>
    <row r="2676" spans="1:15" x14ac:dyDescent="0.35">
      <c r="A2676" s="27" t="s">
        <v>231</v>
      </c>
      <c r="B2676" s="27" t="s">
        <v>235</v>
      </c>
      <c r="C2676" s="27" t="s">
        <v>224</v>
      </c>
      <c r="D2676" s="28">
        <v>0.5</v>
      </c>
      <c r="E2676" s="28">
        <v>1</v>
      </c>
      <c r="F2676" s="29"/>
      <c r="G2676" s="28">
        <v>0.5</v>
      </c>
      <c r="H2676" s="28">
        <v>0.5</v>
      </c>
      <c r="I2676" s="28">
        <v>0.5</v>
      </c>
      <c r="J2676" s="28">
        <v>0.5</v>
      </c>
      <c r="K2676" s="28">
        <v>0.5</v>
      </c>
      <c r="L2676" s="29"/>
      <c r="M2676" s="29"/>
      <c r="N2676" s="29"/>
      <c r="O2676" s="29" t="s">
        <v>314</v>
      </c>
    </row>
    <row r="2677" spans="1:15" x14ac:dyDescent="0.35">
      <c r="A2677" s="27" t="s">
        <v>231</v>
      </c>
      <c r="B2677" s="27" t="s">
        <v>235</v>
      </c>
      <c r="C2677" s="27" t="s">
        <v>221</v>
      </c>
      <c r="D2677" s="28">
        <v>0.4</v>
      </c>
      <c r="E2677" s="28">
        <v>0.2</v>
      </c>
      <c r="F2677" s="29"/>
      <c r="G2677" s="29"/>
      <c r="H2677" s="28">
        <v>0.2</v>
      </c>
      <c r="I2677" s="29"/>
      <c r="J2677" s="29"/>
      <c r="K2677" s="29"/>
      <c r="L2677" s="28">
        <v>0.2</v>
      </c>
      <c r="M2677" s="29"/>
      <c r="N2677" s="29"/>
      <c r="O2677" s="29" t="s">
        <v>332</v>
      </c>
    </row>
    <row r="2678" spans="1:15" x14ac:dyDescent="0.35">
      <c r="A2678" s="27" t="s">
        <v>231</v>
      </c>
      <c r="B2678" s="27" t="s">
        <v>234</v>
      </c>
      <c r="C2678" s="27" t="s">
        <v>221</v>
      </c>
      <c r="D2678" s="28">
        <v>0.16669999999999999</v>
      </c>
      <c r="E2678" s="28">
        <v>0.16669999999999999</v>
      </c>
      <c r="F2678" s="28">
        <v>0.33329999999999999</v>
      </c>
      <c r="G2678" s="29"/>
      <c r="H2678" s="28">
        <v>0.16669999999999999</v>
      </c>
      <c r="I2678" s="29"/>
      <c r="J2678" s="28">
        <v>0.16669999999999999</v>
      </c>
      <c r="K2678" s="29"/>
      <c r="L2678" s="29"/>
      <c r="M2678" s="29"/>
      <c r="N2678" s="29"/>
      <c r="O2678" s="29" t="s">
        <v>335</v>
      </c>
    </row>
    <row r="2679" spans="1:15" x14ac:dyDescent="0.35">
      <c r="A2679" t="s">
        <v>232</v>
      </c>
      <c r="B2679" t="s">
        <v>232</v>
      </c>
      <c r="C2679" t="s">
        <v>232</v>
      </c>
      <c r="D2679" s="26">
        <v>0.35770000000000002</v>
      </c>
      <c r="E2679" s="26">
        <v>0.2787</v>
      </c>
      <c r="F2679" s="26">
        <v>0.24249999999999999</v>
      </c>
      <c r="G2679" s="26">
        <v>0.1245</v>
      </c>
      <c r="H2679" s="26">
        <v>8.1299999999999997E-2</v>
      </c>
      <c r="I2679" s="26">
        <v>6.5100000000000005E-2</v>
      </c>
      <c r="J2679" s="26">
        <v>6.2600000000000003E-2</v>
      </c>
      <c r="K2679" s="26">
        <v>3.73E-2</v>
      </c>
      <c r="L2679" s="26">
        <v>1.38E-2</v>
      </c>
      <c r="M2679" s="26">
        <v>4.7999999999999996E-3</v>
      </c>
      <c r="N2679" s="26">
        <v>1.8E-3</v>
      </c>
      <c r="O2679">
        <v>458</v>
      </c>
    </row>
    <row r="2681" spans="1:15" x14ac:dyDescent="0.35">
      <c r="A2681" s="1" t="s">
        <v>533</v>
      </c>
    </row>
    <row r="2682" spans="1:15" x14ac:dyDescent="0.35">
      <c r="A2682" t="s">
        <v>219</v>
      </c>
      <c r="B2682" t="s">
        <v>534</v>
      </c>
      <c r="C2682" t="s">
        <v>535</v>
      </c>
      <c r="D2682" t="s">
        <v>536</v>
      </c>
      <c r="E2682" t="s">
        <v>537</v>
      </c>
      <c r="F2682" t="s">
        <v>226</v>
      </c>
    </row>
    <row r="2683" spans="1:15" x14ac:dyDescent="0.35">
      <c r="A2683" t="s">
        <v>227</v>
      </c>
      <c r="B2683">
        <v>22.62</v>
      </c>
      <c r="C2683">
        <v>15</v>
      </c>
      <c r="D2683">
        <v>2</v>
      </c>
      <c r="E2683">
        <v>180</v>
      </c>
      <c r="F2683">
        <v>156</v>
      </c>
    </row>
    <row r="2684" spans="1:15" x14ac:dyDescent="0.35">
      <c r="A2684" t="s">
        <v>228</v>
      </c>
      <c r="B2684">
        <v>21.79</v>
      </c>
      <c r="C2684">
        <v>15</v>
      </c>
      <c r="D2684">
        <v>1</v>
      </c>
      <c r="E2684">
        <v>190</v>
      </c>
      <c r="F2684">
        <v>981</v>
      </c>
    </row>
    <row r="2685" spans="1:15" x14ac:dyDescent="0.35">
      <c r="A2685" t="s">
        <v>229</v>
      </c>
      <c r="B2685">
        <v>23.44</v>
      </c>
      <c r="C2685">
        <v>20</v>
      </c>
      <c r="D2685">
        <v>1</v>
      </c>
      <c r="E2685">
        <v>240</v>
      </c>
      <c r="F2685">
        <v>864</v>
      </c>
    </row>
    <row r="2686" spans="1:15" x14ac:dyDescent="0.35">
      <c r="A2686" t="s">
        <v>230</v>
      </c>
      <c r="B2686">
        <v>22.85</v>
      </c>
      <c r="C2686">
        <v>15</v>
      </c>
      <c r="D2686">
        <v>1</v>
      </c>
      <c r="E2686">
        <v>120</v>
      </c>
      <c r="F2686">
        <v>545</v>
      </c>
    </row>
    <row r="2687" spans="1:15" x14ac:dyDescent="0.35">
      <c r="A2687" t="s">
        <v>231</v>
      </c>
      <c r="B2687">
        <v>20.92</v>
      </c>
      <c r="C2687">
        <v>15</v>
      </c>
      <c r="D2687">
        <v>1</v>
      </c>
      <c r="E2687">
        <v>120</v>
      </c>
      <c r="F2687">
        <v>158</v>
      </c>
    </row>
    <row r="2688" spans="1:15" x14ac:dyDescent="0.35">
      <c r="A2688" t="s">
        <v>232</v>
      </c>
      <c r="B2688">
        <v>22.25</v>
      </c>
      <c r="C2688">
        <v>15</v>
      </c>
      <c r="D2688">
        <v>1</v>
      </c>
      <c r="E2688">
        <v>240</v>
      </c>
      <c r="F2688">
        <v>2704</v>
      </c>
    </row>
    <row r="2690" spans="1:7" x14ac:dyDescent="0.35">
      <c r="A2690" s="1" t="s">
        <v>538</v>
      </c>
    </row>
    <row r="2691" spans="1:7" x14ac:dyDescent="0.35">
      <c r="A2691" t="s">
        <v>219</v>
      </c>
      <c r="B2691" t="s">
        <v>305</v>
      </c>
      <c r="C2691" t="s">
        <v>534</v>
      </c>
      <c r="D2691" t="s">
        <v>535</v>
      </c>
      <c r="E2691" t="s">
        <v>536</v>
      </c>
      <c r="F2691" t="s">
        <v>537</v>
      </c>
      <c r="G2691" t="s">
        <v>226</v>
      </c>
    </row>
    <row r="2692" spans="1:7" x14ac:dyDescent="0.35">
      <c r="A2692" t="s">
        <v>227</v>
      </c>
      <c r="B2692" t="s">
        <v>242</v>
      </c>
      <c r="C2692">
        <v>25.77</v>
      </c>
      <c r="D2692">
        <v>20</v>
      </c>
      <c r="E2692">
        <v>2</v>
      </c>
      <c r="F2692">
        <v>180</v>
      </c>
      <c r="G2692">
        <v>66</v>
      </c>
    </row>
    <row r="2693" spans="1:7" x14ac:dyDescent="0.35">
      <c r="A2693" t="s">
        <v>227</v>
      </c>
      <c r="B2693" t="s">
        <v>241</v>
      </c>
      <c r="C2693">
        <v>20.309999999999999</v>
      </c>
      <c r="D2693">
        <v>15</v>
      </c>
      <c r="E2693">
        <v>2</v>
      </c>
      <c r="F2693">
        <v>100</v>
      </c>
      <c r="G2693">
        <v>90</v>
      </c>
    </row>
    <row r="2694" spans="1:7" x14ac:dyDescent="0.35">
      <c r="A2694" t="s">
        <v>228</v>
      </c>
      <c r="B2694" t="s">
        <v>242</v>
      </c>
      <c r="C2694">
        <v>26.35</v>
      </c>
      <c r="D2694">
        <v>20</v>
      </c>
      <c r="E2694">
        <v>1</v>
      </c>
      <c r="F2694">
        <v>190</v>
      </c>
      <c r="G2694">
        <v>374</v>
      </c>
    </row>
    <row r="2695" spans="1:7" x14ac:dyDescent="0.35">
      <c r="A2695" t="s">
        <v>228</v>
      </c>
      <c r="B2695" t="s">
        <v>241</v>
      </c>
      <c r="C2695">
        <v>19.3</v>
      </c>
      <c r="D2695">
        <v>15</v>
      </c>
      <c r="E2695">
        <v>1</v>
      </c>
      <c r="F2695">
        <v>120</v>
      </c>
      <c r="G2695">
        <v>607</v>
      </c>
    </row>
    <row r="2696" spans="1:7" x14ac:dyDescent="0.35">
      <c r="A2696" t="s">
        <v>229</v>
      </c>
      <c r="B2696" t="s">
        <v>242</v>
      </c>
      <c r="C2696">
        <v>25.05</v>
      </c>
      <c r="D2696">
        <v>20</v>
      </c>
      <c r="E2696">
        <v>2</v>
      </c>
      <c r="F2696">
        <v>240</v>
      </c>
      <c r="G2696">
        <v>277</v>
      </c>
    </row>
    <row r="2697" spans="1:7" x14ac:dyDescent="0.35">
      <c r="A2697" t="s">
        <v>229</v>
      </c>
      <c r="B2697" t="s">
        <v>241</v>
      </c>
      <c r="C2697">
        <v>22.46</v>
      </c>
      <c r="D2697">
        <v>15</v>
      </c>
      <c r="E2697">
        <v>1</v>
      </c>
      <c r="F2697">
        <v>180</v>
      </c>
      <c r="G2697">
        <v>587</v>
      </c>
    </row>
    <row r="2698" spans="1:7" x14ac:dyDescent="0.35">
      <c r="A2698" t="s">
        <v>230</v>
      </c>
      <c r="B2698" t="s">
        <v>242</v>
      </c>
      <c r="C2698">
        <v>25.62</v>
      </c>
      <c r="D2698">
        <v>20</v>
      </c>
      <c r="E2698">
        <v>2</v>
      </c>
      <c r="F2698">
        <v>120</v>
      </c>
      <c r="G2698">
        <v>182</v>
      </c>
    </row>
    <row r="2699" spans="1:7" x14ac:dyDescent="0.35">
      <c r="A2699" t="s">
        <v>230</v>
      </c>
      <c r="B2699" t="s">
        <v>241</v>
      </c>
      <c r="C2699">
        <v>21.46</v>
      </c>
      <c r="D2699">
        <v>15</v>
      </c>
      <c r="E2699">
        <v>1</v>
      </c>
      <c r="F2699">
        <v>120</v>
      </c>
      <c r="G2699">
        <v>363</v>
      </c>
    </row>
    <row r="2700" spans="1:7" x14ac:dyDescent="0.35">
      <c r="A2700" t="s">
        <v>231</v>
      </c>
      <c r="B2700" t="s">
        <v>242</v>
      </c>
      <c r="C2700">
        <v>22.24</v>
      </c>
      <c r="D2700">
        <v>15</v>
      </c>
      <c r="E2700">
        <v>5</v>
      </c>
      <c r="F2700">
        <v>70</v>
      </c>
      <c r="G2700">
        <v>50</v>
      </c>
    </row>
    <row r="2701" spans="1:7" x14ac:dyDescent="0.35">
      <c r="A2701" t="s">
        <v>231</v>
      </c>
      <c r="B2701" t="s">
        <v>241</v>
      </c>
      <c r="C2701">
        <v>20.309999999999999</v>
      </c>
      <c r="D2701">
        <v>15</v>
      </c>
      <c r="E2701">
        <v>1</v>
      </c>
      <c r="F2701">
        <v>120</v>
      </c>
      <c r="G2701">
        <v>108</v>
      </c>
    </row>
    <row r="2702" spans="1:7" x14ac:dyDescent="0.35">
      <c r="A2702" t="s">
        <v>232</v>
      </c>
      <c r="B2702" t="s">
        <v>232</v>
      </c>
      <c r="C2702">
        <v>22.25</v>
      </c>
      <c r="D2702">
        <v>15</v>
      </c>
      <c r="E2702">
        <v>1</v>
      </c>
      <c r="F2702">
        <v>240</v>
      </c>
      <c r="G2702">
        <v>2704</v>
      </c>
    </row>
    <row r="2704" spans="1:7" x14ac:dyDescent="0.35">
      <c r="A2704" s="1" t="s">
        <v>539</v>
      </c>
    </row>
    <row r="2705" spans="1:7" x14ac:dyDescent="0.35">
      <c r="A2705" t="s">
        <v>219</v>
      </c>
      <c r="B2705" t="s">
        <v>305</v>
      </c>
      <c r="C2705" t="s">
        <v>534</v>
      </c>
      <c r="D2705" t="s">
        <v>535</v>
      </c>
      <c r="E2705" t="s">
        <v>536</v>
      </c>
      <c r="F2705" t="s">
        <v>537</v>
      </c>
      <c r="G2705" t="s">
        <v>226</v>
      </c>
    </row>
    <row r="2706" spans="1:7" x14ac:dyDescent="0.35">
      <c r="A2706" t="s">
        <v>227</v>
      </c>
      <c r="B2706" t="s">
        <v>239</v>
      </c>
      <c r="C2706">
        <v>30.03</v>
      </c>
      <c r="D2706">
        <v>20</v>
      </c>
      <c r="E2706">
        <v>3</v>
      </c>
      <c r="F2706">
        <v>180</v>
      </c>
      <c r="G2706">
        <v>60</v>
      </c>
    </row>
    <row r="2707" spans="1:7" x14ac:dyDescent="0.35">
      <c r="A2707" t="s">
        <v>227</v>
      </c>
      <c r="B2707" t="s">
        <v>238</v>
      </c>
      <c r="C2707">
        <v>17.989999999999998</v>
      </c>
      <c r="D2707">
        <v>15</v>
      </c>
      <c r="E2707">
        <v>2</v>
      </c>
      <c r="F2707">
        <v>60</v>
      </c>
      <c r="G2707">
        <v>96</v>
      </c>
    </row>
    <row r="2708" spans="1:7" x14ac:dyDescent="0.35">
      <c r="A2708" t="s">
        <v>228</v>
      </c>
      <c r="B2708" t="s">
        <v>239</v>
      </c>
      <c r="C2708">
        <v>30.11</v>
      </c>
      <c r="D2708">
        <v>20</v>
      </c>
      <c r="E2708">
        <v>1</v>
      </c>
      <c r="F2708">
        <v>180</v>
      </c>
      <c r="G2708">
        <v>315</v>
      </c>
    </row>
    <row r="2709" spans="1:7" x14ac:dyDescent="0.35">
      <c r="A2709" t="s">
        <v>228</v>
      </c>
      <c r="B2709" t="s">
        <v>238</v>
      </c>
      <c r="C2709">
        <v>19.61</v>
      </c>
      <c r="D2709">
        <v>15</v>
      </c>
      <c r="E2709">
        <v>1</v>
      </c>
      <c r="F2709">
        <v>190</v>
      </c>
      <c r="G2709">
        <v>666</v>
      </c>
    </row>
    <row r="2710" spans="1:7" x14ac:dyDescent="0.35">
      <c r="A2710" t="s">
        <v>229</v>
      </c>
      <c r="B2710" t="s">
        <v>239</v>
      </c>
      <c r="C2710">
        <v>33.6</v>
      </c>
      <c r="D2710">
        <v>20</v>
      </c>
      <c r="E2710">
        <v>1</v>
      </c>
      <c r="F2710">
        <v>240</v>
      </c>
      <c r="G2710">
        <v>317</v>
      </c>
    </row>
    <row r="2711" spans="1:7" x14ac:dyDescent="0.35">
      <c r="A2711" t="s">
        <v>229</v>
      </c>
      <c r="B2711" t="s">
        <v>238</v>
      </c>
      <c r="C2711">
        <v>19.920000000000002</v>
      </c>
      <c r="D2711">
        <v>15</v>
      </c>
      <c r="E2711">
        <v>2</v>
      </c>
      <c r="F2711">
        <v>150</v>
      </c>
      <c r="G2711">
        <v>547</v>
      </c>
    </row>
    <row r="2712" spans="1:7" x14ac:dyDescent="0.35">
      <c r="A2712" t="s">
        <v>230</v>
      </c>
      <c r="B2712" t="s">
        <v>239</v>
      </c>
      <c r="C2712">
        <v>28</v>
      </c>
      <c r="D2712">
        <v>20</v>
      </c>
      <c r="E2712">
        <v>1</v>
      </c>
      <c r="F2712">
        <v>120</v>
      </c>
      <c r="G2712">
        <v>208</v>
      </c>
    </row>
    <row r="2713" spans="1:7" x14ac:dyDescent="0.35">
      <c r="A2713" t="s">
        <v>230</v>
      </c>
      <c r="B2713" t="s">
        <v>238</v>
      </c>
      <c r="C2713">
        <v>20.6</v>
      </c>
      <c r="D2713">
        <v>15</v>
      </c>
      <c r="E2713">
        <v>1</v>
      </c>
      <c r="F2713">
        <v>120</v>
      </c>
      <c r="G2713">
        <v>337</v>
      </c>
    </row>
    <row r="2714" spans="1:7" x14ac:dyDescent="0.35">
      <c r="A2714" t="s">
        <v>231</v>
      </c>
      <c r="B2714" t="s">
        <v>239</v>
      </c>
      <c r="C2714">
        <v>27.31</v>
      </c>
      <c r="D2714">
        <v>25</v>
      </c>
      <c r="E2714">
        <v>5</v>
      </c>
      <c r="F2714">
        <v>120</v>
      </c>
      <c r="G2714">
        <v>55</v>
      </c>
    </row>
    <row r="2715" spans="1:7" x14ac:dyDescent="0.35">
      <c r="A2715" t="s">
        <v>231</v>
      </c>
      <c r="B2715" t="s">
        <v>238</v>
      </c>
      <c r="C2715">
        <v>17.5</v>
      </c>
      <c r="D2715">
        <v>15</v>
      </c>
      <c r="E2715">
        <v>1</v>
      </c>
      <c r="F2715">
        <v>60</v>
      </c>
      <c r="G2715">
        <v>103</v>
      </c>
    </row>
    <row r="2716" spans="1:7" x14ac:dyDescent="0.35">
      <c r="A2716" t="s">
        <v>232</v>
      </c>
      <c r="B2716" t="s">
        <v>232</v>
      </c>
      <c r="C2716">
        <v>22.25</v>
      </c>
      <c r="D2716">
        <v>15</v>
      </c>
      <c r="E2716">
        <v>1</v>
      </c>
      <c r="F2716">
        <v>240</v>
      </c>
      <c r="G2716">
        <v>2704</v>
      </c>
    </row>
    <row r="2718" spans="1:7" x14ac:dyDescent="0.35">
      <c r="A2718" s="1" t="s">
        <v>540</v>
      </c>
    </row>
    <row r="2719" spans="1:7" x14ac:dyDescent="0.35">
      <c r="A2719" t="s">
        <v>219</v>
      </c>
      <c r="B2719" t="s">
        <v>305</v>
      </c>
      <c r="C2719" t="s">
        <v>534</v>
      </c>
      <c r="D2719" t="s">
        <v>535</v>
      </c>
      <c r="E2719" t="s">
        <v>536</v>
      </c>
      <c r="F2719" t="s">
        <v>537</v>
      </c>
      <c r="G2719" t="s">
        <v>226</v>
      </c>
    </row>
    <row r="2720" spans="1:7" x14ac:dyDescent="0.35">
      <c r="A2720" t="s">
        <v>227</v>
      </c>
      <c r="B2720" t="s">
        <v>244</v>
      </c>
      <c r="C2720">
        <v>22.21</v>
      </c>
      <c r="D2720">
        <v>20</v>
      </c>
      <c r="E2720">
        <v>2</v>
      </c>
      <c r="F2720">
        <v>180</v>
      </c>
      <c r="G2720">
        <v>94</v>
      </c>
    </row>
    <row r="2721" spans="1:7" x14ac:dyDescent="0.35">
      <c r="A2721" t="s">
        <v>227</v>
      </c>
      <c r="B2721" t="s">
        <v>245</v>
      </c>
      <c r="C2721">
        <v>25.52</v>
      </c>
      <c r="D2721">
        <v>15</v>
      </c>
      <c r="E2721">
        <v>3</v>
      </c>
      <c r="F2721">
        <v>120</v>
      </c>
      <c r="G2721">
        <v>50</v>
      </c>
    </row>
    <row r="2722" spans="1:7" x14ac:dyDescent="0.35">
      <c r="A2722" s="27" t="s">
        <v>227</v>
      </c>
      <c r="B2722" s="27" t="s">
        <v>246</v>
      </c>
      <c r="C2722" s="29">
        <v>13.75</v>
      </c>
      <c r="D2722" s="29">
        <v>10</v>
      </c>
      <c r="E2722" s="29">
        <v>5</v>
      </c>
      <c r="F2722" s="29">
        <v>30</v>
      </c>
      <c r="G2722" s="29">
        <v>12</v>
      </c>
    </row>
    <row r="2723" spans="1:7" x14ac:dyDescent="0.35">
      <c r="A2723" t="s">
        <v>228</v>
      </c>
      <c r="B2723" t="s">
        <v>244</v>
      </c>
      <c r="C2723">
        <v>21.56</v>
      </c>
      <c r="D2723">
        <v>15</v>
      </c>
      <c r="E2723">
        <v>1</v>
      </c>
      <c r="F2723">
        <v>180</v>
      </c>
      <c r="G2723">
        <v>609</v>
      </c>
    </row>
    <row r="2724" spans="1:7" x14ac:dyDescent="0.35">
      <c r="A2724" t="s">
        <v>228</v>
      </c>
      <c r="B2724" t="s">
        <v>245</v>
      </c>
      <c r="C2724">
        <v>21.07</v>
      </c>
      <c r="D2724">
        <v>15</v>
      </c>
      <c r="E2724">
        <v>1</v>
      </c>
      <c r="F2724">
        <v>190</v>
      </c>
      <c r="G2724">
        <v>309</v>
      </c>
    </row>
    <row r="2725" spans="1:7" x14ac:dyDescent="0.35">
      <c r="A2725" t="s">
        <v>228</v>
      </c>
      <c r="B2725" t="s">
        <v>246</v>
      </c>
      <c r="C2725">
        <v>27.06</v>
      </c>
      <c r="D2725">
        <v>20</v>
      </c>
      <c r="E2725">
        <v>1</v>
      </c>
      <c r="F2725">
        <v>120</v>
      </c>
      <c r="G2725">
        <v>63</v>
      </c>
    </row>
    <row r="2726" spans="1:7" x14ac:dyDescent="0.35">
      <c r="A2726" t="s">
        <v>229</v>
      </c>
      <c r="B2726" t="s">
        <v>244</v>
      </c>
      <c r="C2726">
        <v>23.69</v>
      </c>
      <c r="D2726">
        <v>20</v>
      </c>
      <c r="E2726">
        <v>2</v>
      </c>
      <c r="F2726">
        <v>240</v>
      </c>
      <c r="G2726">
        <v>541</v>
      </c>
    </row>
    <row r="2727" spans="1:7" x14ac:dyDescent="0.35">
      <c r="A2727" t="s">
        <v>229</v>
      </c>
      <c r="B2727" t="s">
        <v>245</v>
      </c>
      <c r="C2727">
        <v>24.03</v>
      </c>
      <c r="D2727">
        <v>20</v>
      </c>
      <c r="E2727">
        <v>1</v>
      </c>
      <c r="F2727">
        <v>180</v>
      </c>
      <c r="G2727">
        <v>278</v>
      </c>
    </row>
    <row r="2728" spans="1:7" x14ac:dyDescent="0.35">
      <c r="A2728" t="s">
        <v>229</v>
      </c>
      <c r="B2728" t="s">
        <v>246</v>
      </c>
      <c r="C2728">
        <v>17.57</v>
      </c>
      <c r="D2728">
        <v>15</v>
      </c>
      <c r="E2728">
        <v>3</v>
      </c>
      <c r="F2728">
        <v>180</v>
      </c>
      <c r="G2728">
        <v>45</v>
      </c>
    </row>
    <row r="2729" spans="1:7" x14ac:dyDescent="0.35">
      <c r="A2729" t="s">
        <v>230</v>
      </c>
      <c r="B2729" t="s">
        <v>244</v>
      </c>
      <c r="C2729">
        <v>21.56</v>
      </c>
      <c r="D2729">
        <v>15</v>
      </c>
      <c r="E2729">
        <v>2</v>
      </c>
      <c r="F2729">
        <v>120</v>
      </c>
      <c r="G2729">
        <v>363</v>
      </c>
    </row>
    <row r="2730" spans="1:7" x14ac:dyDescent="0.35">
      <c r="A2730" t="s">
        <v>230</v>
      </c>
      <c r="B2730" t="s">
        <v>245</v>
      </c>
      <c r="C2730">
        <v>25.46</v>
      </c>
      <c r="D2730">
        <v>20</v>
      </c>
      <c r="E2730">
        <v>1</v>
      </c>
      <c r="F2730">
        <v>120</v>
      </c>
      <c r="G2730">
        <v>153</v>
      </c>
    </row>
    <row r="2731" spans="1:7" x14ac:dyDescent="0.35">
      <c r="A2731" s="27" t="s">
        <v>230</v>
      </c>
      <c r="B2731" s="27" t="s">
        <v>246</v>
      </c>
      <c r="C2731" s="29">
        <v>28.06</v>
      </c>
      <c r="D2731" s="29">
        <v>20</v>
      </c>
      <c r="E2731" s="29">
        <v>1</v>
      </c>
      <c r="F2731" s="29">
        <v>120</v>
      </c>
      <c r="G2731" s="29">
        <v>29</v>
      </c>
    </row>
    <row r="2732" spans="1:7" x14ac:dyDescent="0.35">
      <c r="A2732" t="s">
        <v>231</v>
      </c>
      <c r="B2732" t="s">
        <v>244</v>
      </c>
      <c r="C2732">
        <v>19.149999999999999</v>
      </c>
      <c r="D2732">
        <v>15</v>
      </c>
      <c r="E2732">
        <v>1</v>
      </c>
      <c r="F2732">
        <v>120</v>
      </c>
      <c r="G2732">
        <v>94</v>
      </c>
    </row>
    <row r="2733" spans="1:7" x14ac:dyDescent="0.35">
      <c r="A2733" t="s">
        <v>231</v>
      </c>
      <c r="B2733" t="s">
        <v>245</v>
      </c>
      <c r="C2733">
        <v>22.27</v>
      </c>
      <c r="D2733">
        <v>15</v>
      </c>
      <c r="E2733">
        <v>3</v>
      </c>
      <c r="F2733">
        <v>90</v>
      </c>
      <c r="G2733">
        <v>51</v>
      </c>
    </row>
    <row r="2734" spans="1:7" x14ac:dyDescent="0.35">
      <c r="A2734" s="27" t="s">
        <v>231</v>
      </c>
      <c r="B2734" s="27" t="s">
        <v>246</v>
      </c>
      <c r="C2734" s="29">
        <v>28.38</v>
      </c>
      <c r="D2734" s="29">
        <v>30</v>
      </c>
      <c r="E2734" s="29">
        <v>5</v>
      </c>
      <c r="F2734" s="29">
        <v>60</v>
      </c>
      <c r="G2734" s="29">
        <v>13</v>
      </c>
    </row>
    <row r="2735" spans="1:7" x14ac:dyDescent="0.35">
      <c r="A2735" t="s">
        <v>232</v>
      </c>
      <c r="B2735" t="s">
        <v>232</v>
      </c>
      <c r="C2735">
        <v>22.25</v>
      </c>
      <c r="D2735">
        <v>15</v>
      </c>
      <c r="E2735">
        <v>1</v>
      </c>
      <c r="F2735">
        <v>240</v>
      </c>
      <c r="G2735">
        <v>2704</v>
      </c>
    </row>
    <row r="2737" spans="1:7" x14ac:dyDescent="0.35">
      <c r="A2737" s="1" t="s">
        <v>541</v>
      </c>
    </row>
    <row r="2738" spans="1:7" x14ac:dyDescent="0.35">
      <c r="A2738" t="s">
        <v>219</v>
      </c>
      <c r="B2738" t="s">
        <v>305</v>
      </c>
      <c r="C2738" t="s">
        <v>534</v>
      </c>
      <c r="D2738" t="s">
        <v>535</v>
      </c>
      <c r="E2738" t="s">
        <v>536</v>
      </c>
      <c r="F2738" t="s">
        <v>537</v>
      </c>
      <c r="G2738" t="s">
        <v>226</v>
      </c>
    </row>
    <row r="2739" spans="1:7" x14ac:dyDescent="0.35">
      <c r="A2739" t="s">
        <v>227</v>
      </c>
      <c r="B2739" t="s">
        <v>360</v>
      </c>
      <c r="C2739">
        <v>27.84</v>
      </c>
      <c r="D2739">
        <v>20</v>
      </c>
      <c r="E2739">
        <v>3</v>
      </c>
      <c r="F2739">
        <v>180</v>
      </c>
      <c r="G2739">
        <v>38</v>
      </c>
    </row>
    <row r="2740" spans="1:7" x14ac:dyDescent="0.35">
      <c r="A2740" t="s">
        <v>227</v>
      </c>
      <c r="B2740" t="s">
        <v>363</v>
      </c>
      <c r="C2740">
        <v>20.52</v>
      </c>
      <c r="D2740">
        <v>20</v>
      </c>
      <c r="E2740">
        <v>2</v>
      </c>
      <c r="F2740">
        <v>60</v>
      </c>
      <c r="G2740">
        <v>44</v>
      </c>
    </row>
    <row r="2741" spans="1:7" x14ac:dyDescent="0.35">
      <c r="A2741" t="s">
        <v>227</v>
      </c>
      <c r="B2741" t="s">
        <v>361</v>
      </c>
      <c r="C2741">
        <v>17.940000000000001</v>
      </c>
      <c r="D2741">
        <v>10</v>
      </c>
      <c r="E2741">
        <v>2</v>
      </c>
      <c r="F2741">
        <v>90</v>
      </c>
      <c r="G2741">
        <v>32</v>
      </c>
    </row>
    <row r="2742" spans="1:7" x14ac:dyDescent="0.35">
      <c r="A2742" t="s">
        <v>227</v>
      </c>
      <c r="B2742" t="s">
        <v>362</v>
      </c>
      <c r="C2742">
        <v>25.06</v>
      </c>
      <c r="D2742">
        <v>20</v>
      </c>
      <c r="E2742">
        <v>2</v>
      </c>
      <c r="F2742">
        <v>100</v>
      </c>
      <c r="G2742">
        <v>34</v>
      </c>
    </row>
    <row r="2743" spans="1:7" x14ac:dyDescent="0.35">
      <c r="A2743" t="s">
        <v>228</v>
      </c>
      <c r="B2743" t="s">
        <v>361</v>
      </c>
      <c r="C2743">
        <v>19.170000000000002</v>
      </c>
      <c r="D2743">
        <v>15</v>
      </c>
      <c r="E2743">
        <v>1</v>
      </c>
      <c r="F2743">
        <v>120</v>
      </c>
      <c r="G2743">
        <v>191</v>
      </c>
    </row>
    <row r="2744" spans="1:7" x14ac:dyDescent="0.35">
      <c r="A2744" t="s">
        <v>228</v>
      </c>
      <c r="B2744" t="s">
        <v>362</v>
      </c>
      <c r="C2744">
        <v>22.1</v>
      </c>
      <c r="D2744">
        <v>20</v>
      </c>
      <c r="E2744">
        <v>2</v>
      </c>
      <c r="F2744">
        <v>190</v>
      </c>
      <c r="G2744">
        <v>231</v>
      </c>
    </row>
    <row r="2745" spans="1:7" x14ac:dyDescent="0.35">
      <c r="A2745" t="s">
        <v>228</v>
      </c>
      <c r="B2745" t="s">
        <v>363</v>
      </c>
      <c r="C2745">
        <v>20.02</v>
      </c>
      <c r="D2745">
        <v>15</v>
      </c>
      <c r="E2745">
        <v>2</v>
      </c>
      <c r="F2745">
        <v>180</v>
      </c>
      <c r="G2745">
        <v>206</v>
      </c>
    </row>
    <row r="2746" spans="1:7" x14ac:dyDescent="0.35">
      <c r="A2746" t="s">
        <v>228</v>
      </c>
      <c r="B2746" t="s">
        <v>360</v>
      </c>
      <c r="C2746">
        <v>27.92</v>
      </c>
      <c r="D2746">
        <v>20</v>
      </c>
      <c r="E2746">
        <v>1</v>
      </c>
      <c r="F2746">
        <v>180</v>
      </c>
      <c r="G2746">
        <v>230</v>
      </c>
    </row>
    <row r="2747" spans="1:7" x14ac:dyDescent="0.35">
      <c r="A2747" t="s">
        <v>229</v>
      </c>
      <c r="B2747" t="s">
        <v>362</v>
      </c>
      <c r="C2747">
        <v>31.13</v>
      </c>
      <c r="D2747">
        <v>25</v>
      </c>
      <c r="E2747">
        <v>2</v>
      </c>
      <c r="F2747">
        <v>240</v>
      </c>
      <c r="G2747">
        <v>166</v>
      </c>
    </row>
    <row r="2748" spans="1:7" x14ac:dyDescent="0.35">
      <c r="A2748" t="s">
        <v>229</v>
      </c>
      <c r="B2748" t="s">
        <v>360</v>
      </c>
      <c r="C2748">
        <v>25.2</v>
      </c>
      <c r="D2748">
        <v>15</v>
      </c>
      <c r="E2748">
        <v>1</v>
      </c>
      <c r="F2748">
        <v>180</v>
      </c>
      <c r="G2748">
        <v>157</v>
      </c>
    </row>
    <row r="2749" spans="1:7" x14ac:dyDescent="0.35">
      <c r="A2749" t="s">
        <v>229</v>
      </c>
      <c r="B2749" t="s">
        <v>361</v>
      </c>
      <c r="C2749">
        <v>21.59</v>
      </c>
      <c r="D2749">
        <v>15</v>
      </c>
      <c r="E2749">
        <v>2</v>
      </c>
      <c r="F2749">
        <v>150</v>
      </c>
      <c r="G2749">
        <v>236</v>
      </c>
    </row>
    <row r="2750" spans="1:7" x14ac:dyDescent="0.35">
      <c r="A2750" t="s">
        <v>229</v>
      </c>
      <c r="B2750" t="s">
        <v>363</v>
      </c>
      <c r="C2750">
        <v>23.41</v>
      </c>
      <c r="D2750">
        <v>20</v>
      </c>
      <c r="E2750">
        <v>1</v>
      </c>
      <c r="F2750">
        <v>90</v>
      </c>
      <c r="G2750">
        <v>184</v>
      </c>
    </row>
    <row r="2751" spans="1:7" x14ac:dyDescent="0.35">
      <c r="A2751" t="s">
        <v>230</v>
      </c>
      <c r="B2751" t="s">
        <v>361</v>
      </c>
      <c r="C2751">
        <v>19.86</v>
      </c>
      <c r="D2751">
        <v>15</v>
      </c>
      <c r="E2751">
        <v>2</v>
      </c>
      <c r="F2751">
        <v>120</v>
      </c>
      <c r="G2751">
        <v>107</v>
      </c>
    </row>
    <row r="2752" spans="1:7" x14ac:dyDescent="0.35">
      <c r="A2752" t="s">
        <v>230</v>
      </c>
      <c r="B2752" t="s">
        <v>363</v>
      </c>
      <c r="C2752">
        <v>20.79</v>
      </c>
      <c r="D2752">
        <v>15</v>
      </c>
      <c r="E2752">
        <v>1</v>
      </c>
      <c r="F2752">
        <v>90</v>
      </c>
      <c r="G2752">
        <v>125</v>
      </c>
    </row>
    <row r="2753" spans="1:7" x14ac:dyDescent="0.35">
      <c r="A2753" t="s">
        <v>230</v>
      </c>
      <c r="B2753" t="s">
        <v>360</v>
      </c>
      <c r="C2753">
        <v>27.17</v>
      </c>
      <c r="D2753">
        <v>25</v>
      </c>
      <c r="E2753">
        <v>2</v>
      </c>
      <c r="F2753">
        <v>120</v>
      </c>
      <c r="G2753">
        <v>119</v>
      </c>
    </row>
    <row r="2754" spans="1:7" x14ac:dyDescent="0.35">
      <c r="A2754" t="s">
        <v>230</v>
      </c>
      <c r="B2754" t="s">
        <v>362</v>
      </c>
      <c r="C2754">
        <v>25.33</v>
      </c>
      <c r="D2754">
        <v>20</v>
      </c>
      <c r="E2754">
        <v>1</v>
      </c>
      <c r="F2754">
        <v>120</v>
      </c>
      <c r="G2754">
        <v>143</v>
      </c>
    </row>
    <row r="2755" spans="1:7" x14ac:dyDescent="0.35">
      <c r="A2755" t="s">
        <v>231</v>
      </c>
      <c r="B2755" t="s">
        <v>360</v>
      </c>
      <c r="C2755">
        <v>23.64</v>
      </c>
      <c r="D2755">
        <v>15</v>
      </c>
      <c r="E2755">
        <v>3</v>
      </c>
      <c r="F2755">
        <v>120</v>
      </c>
      <c r="G2755">
        <v>42</v>
      </c>
    </row>
    <row r="2756" spans="1:7" x14ac:dyDescent="0.35">
      <c r="A2756" s="27" t="s">
        <v>231</v>
      </c>
      <c r="B2756" s="27" t="s">
        <v>363</v>
      </c>
      <c r="C2756" s="29">
        <v>21.23</v>
      </c>
      <c r="D2756" s="29">
        <v>25</v>
      </c>
      <c r="E2756" s="29">
        <v>5</v>
      </c>
      <c r="F2756" s="29">
        <v>60</v>
      </c>
      <c r="G2756" s="29">
        <v>26</v>
      </c>
    </row>
    <row r="2757" spans="1:7" x14ac:dyDescent="0.35">
      <c r="A2757" t="s">
        <v>231</v>
      </c>
      <c r="B2757" t="s">
        <v>361</v>
      </c>
      <c r="C2757">
        <v>18.72</v>
      </c>
      <c r="D2757">
        <v>15</v>
      </c>
      <c r="E2757">
        <v>2</v>
      </c>
      <c r="F2757">
        <v>90</v>
      </c>
      <c r="G2757">
        <v>50</v>
      </c>
    </row>
    <row r="2758" spans="1:7" x14ac:dyDescent="0.35">
      <c r="A2758" s="27" t="s">
        <v>231</v>
      </c>
      <c r="B2758" s="27" t="s">
        <v>362</v>
      </c>
      <c r="C2758" s="29">
        <v>19.93</v>
      </c>
      <c r="D2758" s="29">
        <v>20</v>
      </c>
      <c r="E2758" s="29">
        <v>8</v>
      </c>
      <c r="F2758" s="29">
        <v>50</v>
      </c>
      <c r="G2758" s="29">
        <v>28</v>
      </c>
    </row>
    <row r="2759" spans="1:7" x14ac:dyDescent="0.35">
      <c r="A2759" t="s">
        <v>232</v>
      </c>
      <c r="B2759" t="s">
        <v>232</v>
      </c>
      <c r="C2759">
        <v>22.25</v>
      </c>
      <c r="D2759">
        <v>15</v>
      </c>
      <c r="E2759">
        <v>1</v>
      </c>
      <c r="F2759">
        <v>240</v>
      </c>
      <c r="G2759">
        <v>2704</v>
      </c>
    </row>
    <row r="2761" spans="1:7" x14ac:dyDescent="0.35">
      <c r="A2761" s="1" t="s">
        <v>542</v>
      </c>
    </row>
    <row r="2762" spans="1:7" x14ac:dyDescent="0.35">
      <c r="A2762" t="s">
        <v>219</v>
      </c>
      <c r="B2762" t="s">
        <v>305</v>
      </c>
      <c r="C2762" t="s">
        <v>534</v>
      </c>
      <c r="D2762" t="s">
        <v>535</v>
      </c>
      <c r="E2762" t="s">
        <v>536</v>
      </c>
      <c r="F2762" t="s">
        <v>537</v>
      </c>
      <c r="G2762" t="s">
        <v>226</v>
      </c>
    </row>
    <row r="2763" spans="1:7" x14ac:dyDescent="0.35">
      <c r="A2763" t="s">
        <v>227</v>
      </c>
      <c r="B2763" t="s">
        <v>267</v>
      </c>
      <c r="C2763">
        <v>22.31</v>
      </c>
      <c r="D2763">
        <v>15</v>
      </c>
      <c r="E2763">
        <v>2</v>
      </c>
      <c r="F2763">
        <v>120</v>
      </c>
      <c r="G2763">
        <v>36</v>
      </c>
    </row>
    <row r="2764" spans="1:7" x14ac:dyDescent="0.35">
      <c r="A2764" t="s">
        <v>227</v>
      </c>
      <c r="B2764" t="s">
        <v>266</v>
      </c>
      <c r="C2764">
        <v>23.69</v>
      </c>
      <c r="D2764">
        <v>15</v>
      </c>
      <c r="E2764">
        <v>2</v>
      </c>
      <c r="F2764">
        <v>100</v>
      </c>
      <c r="G2764">
        <v>54</v>
      </c>
    </row>
    <row r="2765" spans="1:7" x14ac:dyDescent="0.35">
      <c r="A2765" t="s">
        <v>227</v>
      </c>
      <c r="B2765" t="s">
        <v>265</v>
      </c>
      <c r="C2765">
        <v>21.92</v>
      </c>
      <c r="D2765">
        <v>20</v>
      </c>
      <c r="E2765">
        <v>2</v>
      </c>
      <c r="F2765">
        <v>180</v>
      </c>
      <c r="G2765">
        <v>66</v>
      </c>
    </row>
    <row r="2766" spans="1:7" x14ac:dyDescent="0.35">
      <c r="A2766" t="s">
        <v>228</v>
      </c>
      <c r="B2766" t="s">
        <v>267</v>
      </c>
      <c r="C2766">
        <v>22.4</v>
      </c>
      <c r="D2766">
        <v>20</v>
      </c>
      <c r="E2766">
        <v>2</v>
      </c>
      <c r="F2766">
        <v>190</v>
      </c>
      <c r="G2766">
        <v>192</v>
      </c>
    </row>
    <row r="2767" spans="1:7" x14ac:dyDescent="0.35">
      <c r="A2767" t="s">
        <v>228</v>
      </c>
      <c r="B2767" t="s">
        <v>266</v>
      </c>
      <c r="C2767">
        <v>22.04</v>
      </c>
      <c r="D2767">
        <v>15</v>
      </c>
      <c r="E2767">
        <v>1</v>
      </c>
      <c r="F2767">
        <v>180</v>
      </c>
      <c r="G2767">
        <v>421</v>
      </c>
    </row>
    <row r="2768" spans="1:7" x14ac:dyDescent="0.35">
      <c r="A2768" s="27" t="s">
        <v>228</v>
      </c>
      <c r="B2768" s="27" t="s">
        <v>236</v>
      </c>
      <c r="C2768" s="29">
        <v>67.5</v>
      </c>
      <c r="D2768" s="29">
        <v>15</v>
      </c>
      <c r="E2768" s="29">
        <v>15</v>
      </c>
      <c r="F2768" s="29">
        <v>120</v>
      </c>
      <c r="G2768" s="29">
        <v>2</v>
      </c>
    </row>
    <row r="2769" spans="1:7" x14ac:dyDescent="0.35">
      <c r="A2769" t="s">
        <v>228</v>
      </c>
      <c r="B2769" t="s">
        <v>265</v>
      </c>
      <c r="C2769">
        <v>20.53</v>
      </c>
      <c r="D2769">
        <v>15</v>
      </c>
      <c r="E2769">
        <v>1</v>
      </c>
      <c r="F2769">
        <v>120</v>
      </c>
      <c r="G2769">
        <v>366</v>
      </c>
    </row>
    <row r="2770" spans="1:7" x14ac:dyDescent="0.35">
      <c r="A2770" t="s">
        <v>229</v>
      </c>
      <c r="B2770" t="s">
        <v>267</v>
      </c>
      <c r="C2770">
        <v>20.81</v>
      </c>
      <c r="D2770">
        <v>15</v>
      </c>
      <c r="E2770">
        <v>2</v>
      </c>
      <c r="F2770">
        <v>120</v>
      </c>
      <c r="G2770">
        <v>196</v>
      </c>
    </row>
    <row r="2771" spans="1:7" x14ac:dyDescent="0.35">
      <c r="A2771" t="s">
        <v>229</v>
      </c>
      <c r="B2771" t="s">
        <v>265</v>
      </c>
      <c r="C2771">
        <v>24.99</v>
      </c>
      <c r="D2771">
        <v>20</v>
      </c>
      <c r="E2771">
        <v>2</v>
      </c>
      <c r="F2771">
        <v>240</v>
      </c>
      <c r="G2771">
        <v>325</v>
      </c>
    </row>
    <row r="2772" spans="1:7" x14ac:dyDescent="0.35">
      <c r="A2772" t="s">
        <v>229</v>
      </c>
      <c r="B2772" t="s">
        <v>266</v>
      </c>
      <c r="C2772">
        <v>23.12</v>
      </c>
      <c r="D2772">
        <v>20</v>
      </c>
      <c r="E2772">
        <v>1</v>
      </c>
      <c r="F2772">
        <v>180</v>
      </c>
      <c r="G2772">
        <v>343</v>
      </c>
    </row>
    <row r="2773" spans="1:7" x14ac:dyDescent="0.35">
      <c r="A2773" t="s">
        <v>230</v>
      </c>
      <c r="B2773" t="s">
        <v>265</v>
      </c>
      <c r="C2773">
        <v>22.31</v>
      </c>
      <c r="D2773">
        <v>20</v>
      </c>
      <c r="E2773">
        <v>2</v>
      </c>
      <c r="F2773">
        <v>120</v>
      </c>
      <c r="G2773">
        <v>209</v>
      </c>
    </row>
    <row r="2774" spans="1:7" x14ac:dyDescent="0.35">
      <c r="A2774" t="s">
        <v>230</v>
      </c>
      <c r="B2774" t="s">
        <v>266</v>
      </c>
      <c r="C2774">
        <v>25.17</v>
      </c>
      <c r="D2774">
        <v>15</v>
      </c>
      <c r="E2774">
        <v>2</v>
      </c>
      <c r="F2774">
        <v>120</v>
      </c>
      <c r="G2774">
        <v>221</v>
      </c>
    </row>
    <row r="2775" spans="1:7" x14ac:dyDescent="0.35">
      <c r="A2775" t="s">
        <v>230</v>
      </c>
      <c r="B2775" t="s">
        <v>267</v>
      </c>
      <c r="C2775">
        <v>20.12</v>
      </c>
      <c r="D2775">
        <v>15</v>
      </c>
      <c r="E2775">
        <v>1</v>
      </c>
      <c r="F2775">
        <v>120</v>
      </c>
      <c r="G2775">
        <v>115</v>
      </c>
    </row>
    <row r="2776" spans="1:7" x14ac:dyDescent="0.35">
      <c r="A2776" t="s">
        <v>231</v>
      </c>
      <c r="B2776" t="s">
        <v>267</v>
      </c>
      <c r="C2776">
        <v>22.58</v>
      </c>
      <c r="D2776">
        <v>20</v>
      </c>
      <c r="E2776">
        <v>5</v>
      </c>
      <c r="F2776">
        <v>90</v>
      </c>
      <c r="G2776">
        <v>31</v>
      </c>
    </row>
    <row r="2777" spans="1:7" x14ac:dyDescent="0.35">
      <c r="A2777" t="s">
        <v>231</v>
      </c>
      <c r="B2777" t="s">
        <v>265</v>
      </c>
      <c r="C2777">
        <v>18.29</v>
      </c>
      <c r="D2777">
        <v>15</v>
      </c>
      <c r="E2777">
        <v>1</v>
      </c>
      <c r="F2777">
        <v>90</v>
      </c>
      <c r="G2777">
        <v>68</v>
      </c>
    </row>
    <row r="2778" spans="1:7" x14ac:dyDescent="0.35">
      <c r="A2778" t="s">
        <v>231</v>
      </c>
      <c r="B2778" t="s">
        <v>266</v>
      </c>
      <c r="C2778">
        <v>23.07</v>
      </c>
      <c r="D2778">
        <v>15</v>
      </c>
      <c r="E2778">
        <v>3</v>
      </c>
      <c r="F2778">
        <v>120</v>
      </c>
      <c r="G2778">
        <v>59</v>
      </c>
    </row>
    <row r="2779" spans="1:7" x14ac:dyDescent="0.35">
      <c r="A2779" t="s">
        <v>232</v>
      </c>
      <c r="B2779" t="s">
        <v>232</v>
      </c>
      <c r="C2779">
        <v>22.25</v>
      </c>
      <c r="D2779">
        <v>15</v>
      </c>
      <c r="E2779">
        <v>1</v>
      </c>
      <c r="F2779">
        <v>240</v>
      </c>
      <c r="G2779">
        <v>2704</v>
      </c>
    </row>
    <row r="2781" spans="1:7" x14ac:dyDescent="0.35">
      <c r="A2781" s="1" t="s">
        <v>543</v>
      </c>
    </row>
    <row r="2782" spans="1:7" x14ac:dyDescent="0.35">
      <c r="A2782" t="s">
        <v>219</v>
      </c>
      <c r="B2782" t="s">
        <v>305</v>
      </c>
      <c r="C2782" t="s">
        <v>534</v>
      </c>
      <c r="D2782" t="s">
        <v>535</v>
      </c>
      <c r="E2782" t="s">
        <v>536</v>
      </c>
      <c r="F2782" t="s">
        <v>537</v>
      </c>
      <c r="G2782" t="s">
        <v>226</v>
      </c>
    </row>
    <row r="2783" spans="1:7" x14ac:dyDescent="0.35">
      <c r="A2783" t="s">
        <v>227</v>
      </c>
      <c r="B2783" t="s">
        <v>252</v>
      </c>
      <c r="C2783">
        <v>24.95</v>
      </c>
      <c r="D2783">
        <v>20</v>
      </c>
      <c r="E2783">
        <v>3</v>
      </c>
      <c r="F2783">
        <v>120</v>
      </c>
      <c r="G2783">
        <v>42</v>
      </c>
    </row>
    <row r="2784" spans="1:7" x14ac:dyDescent="0.35">
      <c r="A2784" t="s">
        <v>227</v>
      </c>
      <c r="B2784" t="s">
        <v>253</v>
      </c>
      <c r="C2784">
        <v>24.94</v>
      </c>
      <c r="D2784">
        <v>20</v>
      </c>
      <c r="E2784">
        <v>3</v>
      </c>
      <c r="F2784">
        <v>180</v>
      </c>
      <c r="G2784">
        <v>33</v>
      </c>
    </row>
    <row r="2785" spans="1:7" x14ac:dyDescent="0.35">
      <c r="A2785" t="s">
        <v>227</v>
      </c>
      <c r="B2785" t="s">
        <v>251</v>
      </c>
      <c r="C2785">
        <v>20.47</v>
      </c>
      <c r="D2785">
        <v>15</v>
      </c>
      <c r="E2785">
        <v>2</v>
      </c>
      <c r="F2785">
        <v>100</v>
      </c>
      <c r="G2785">
        <v>81</v>
      </c>
    </row>
    <row r="2786" spans="1:7" x14ac:dyDescent="0.35">
      <c r="A2786" t="s">
        <v>228</v>
      </c>
      <c r="B2786" t="s">
        <v>252</v>
      </c>
      <c r="C2786">
        <v>21.98</v>
      </c>
      <c r="D2786">
        <v>15</v>
      </c>
      <c r="E2786">
        <v>1</v>
      </c>
      <c r="F2786">
        <v>190</v>
      </c>
      <c r="G2786">
        <v>320</v>
      </c>
    </row>
    <row r="2787" spans="1:7" x14ac:dyDescent="0.35">
      <c r="A2787" t="s">
        <v>228</v>
      </c>
      <c r="B2787" t="s">
        <v>253</v>
      </c>
      <c r="C2787">
        <v>24.43</v>
      </c>
      <c r="D2787">
        <v>20</v>
      </c>
      <c r="E2787">
        <v>1</v>
      </c>
      <c r="F2787">
        <v>180</v>
      </c>
      <c r="G2787">
        <v>212</v>
      </c>
    </row>
    <row r="2788" spans="1:7" x14ac:dyDescent="0.35">
      <c r="A2788" t="s">
        <v>228</v>
      </c>
      <c r="B2788" t="s">
        <v>251</v>
      </c>
      <c r="C2788">
        <v>20.55</v>
      </c>
      <c r="D2788">
        <v>15</v>
      </c>
      <c r="E2788">
        <v>1</v>
      </c>
      <c r="F2788">
        <v>120</v>
      </c>
      <c r="G2788">
        <v>449</v>
      </c>
    </row>
    <row r="2789" spans="1:7" x14ac:dyDescent="0.35">
      <c r="A2789" t="s">
        <v>229</v>
      </c>
      <c r="B2789" t="s">
        <v>252</v>
      </c>
      <c r="C2789">
        <v>26.69</v>
      </c>
      <c r="D2789">
        <v>20</v>
      </c>
      <c r="E2789">
        <v>2</v>
      </c>
      <c r="F2789">
        <v>240</v>
      </c>
      <c r="G2789">
        <v>187</v>
      </c>
    </row>
    <row r="2790" spans="1:7" x14ac:dyDescent="0.35">
      <c r="A2790" t="s">
        <v>229</v>
      </c>
      <c r="B2790" t="s">
        <v>253</v>
      </c>
      <c r="C2790">
        <v>24.82</v>
      </c>
      <c r="D2790">
        <v>20</v>
      </c>
      <c r="E2790">
        <v>2</v>
      </c>
      <c r="F2790">
        <v>120</v>
      </c>
      <c r="G2790">
        <v>139</v>
      </c>
    </row>
    <row r="2791" spans="1:7" x14ac:dyDescent="0.35">
      <c r="A2791" t="s">
        <v>229</v>
      </c>
      <c r="B2791" t="s">
        <v>251</v>
      </c>
      <c r="C2791">
        <v>21.85</v>
      </c>
      <c r="D2791">
        <v>15</v>
      </c>
      <c r="E2791">
        <v>1</v>
      </c>
      <c r="F2791">
        <v>180</v>
      </c>
      <c r="G2791">
        <v>538</v>
      </c>
    </row>
    <row r="2792" spans="1:7" x14ac:dyDescent="0.35">
      <c r="A2792" t="s">
        <v>230</v>
      </c>
      <c r="B2792" t="s">
        <v>252</v>
      </c>
      <c r="C2792">
        <v>25.71</v>
      </c>
      <c r="D2792">
        <v>20</v>
      </c>
      <c r="E2792">
        <v>2</v>
      </c>
      <c r="F2792">
        <v>120</v>
      </c>
      <c r="G2792">
        <v>153</v>
      </c>
    </row>
    <row r="2793" spans="1:7" x14ac:dyDescent="0.35">
      <c r="A2793" t="s">
        <v>230</v>
      </c>
      <c r="B2793" t="s">
        <v>253</v>
      </c>
      <c r="C2793">
        <v>21.65</v>
      </c>
      <c r="D2793">
        <v>15</v>
      </c>
      <c r="E2793">
        <v>1</v>
      </c>
      <c r="F2793">
        <v>120</v>
      </c>
      <c r="G2793">
        <v>107</v>
      </c>
    </row>
    <row r="2794" spans="1:7" x14ac:dyDescent="0.35">
      <c r="A2794" t="s">
        <v>230</v>
      </c>
      <c r="B2794" t="s">
        <v>251</v>
      </c>
      <c r="C2794">
        <v>21.97</v>
      </c>
      <c r="D2794">
        <v>15</v>
      </c>
      <c r="E2794">
        <v>1</v>
      </c>
      <c r="F2794">
        <v>120</v>
      </c>
      <c r="G2794">
        <v>285</v>
      </c>
    </row>
    <row r="2795" spans="1:7" x14ac:dyDescent="0.35">
      <c r="A2795" t="s">
        <v>231</v>
      </c>
      <c r="B2795" t="s">
        <v>252</v>
      </c>
      <c r="C2795">
        <v>21.73</v>
      </c>
      <c r="D2795">
        <v>15</v>
      </c>
      <c r="E2795">
        <v>3</v>
      </c>
      <c r="F2795">
        <v>90</v>
      </c>
      <c r="G2795">
        <v>44</v>
      </c>
    </row>
    <row r="2796" spans="1:7" x14ac:dyDescent="0.35">
      <c r="A2796" t="s">
        <v>231</v>
      </c>
      <c r="B2796" t="s">
        <v>253</v>
      </c>
      <c r="C2796">
        <v>19.57</v>
      </c>
      <c r="D2796">
        <v>15</v>
      </c>
      <c r="E2796">
        <v>5</v>
      </c>
      <c r="F2796">
        <v>50</v>
      </c>
      <c r="G2796">
        <v>30</v>
      </c>
    </row>
    <row r="2797" spans="1:7" x14ac:dyDescent="0.35">
      <c r="A2797" t="s">
        <v>231</v>
      </c>
      <c r="B2797" t="s">
        <v>251</v>
      </c>
      <c r="C2797">
        <v>20.98</v>
      </c>
      <c r="D2797">
        <v>15</v>
      </c>
      <c r="E2797">
        <v>1</v>
      </c>
      <c r="F2797">
        <v>120</v>
      </c>
      <c r="G2797">
        <v>84</v>
      </c>
    </row>
    <row r="2798" spans="1:7" x14ac:dyDescent="0.35">
      <c r="A2798" t="s">
        <v>232</v>
      </c>
      <c r="B2798" t="s">
        <v>232</v>
      </c>
      <c r="C2798">
        <v>22.25</v>
      </c>
      <c r="D2798">
        <v>15</v>
      </c>
      <c r="E2798">
        <v>1</v>
      </c>
      <c r="F2798">
        <v>240</v>
      </c>
      <c r="G2798">
        <v>2704</v>
      </c>
    </row>
    <row r="2800" spans="1:7" x14ac:dyDescent="0.35">
      <c r="A2800" s="1" t="s">
        <v>544</v>
      </c>
    </row>
    <row r="2801" spans="1:7" x14ac:dyDescent="0.35">
      <c r="A2801" t="s">
        <v>219</v>
      </c>
      <c r="B2801" t="s">
        <v>305</v>
      </c>
      <c r="C2801" t="s">
        <v>534</v>
      </c>
      <c r="D2801" t="s">
        <v>535</v>
      </c>
      <c r="E2801" t="s">
        <v>536</v>
      </c>
      <c r="F2801" t="s">
        <v>537</v>
      </c>
      <c r="G2801" t="s">
        <v>226</v>
      </c>
    </row>
    <row r="2802" spans="1:7" x14ac:dyDescent="0.35">
      <c r="A2802" t="s">
        <v>227</v>
      </c>
      <c r="B2802" t="s">
        <v>249</v>
      </c>
      <c r="C2802">
        <v>18.07</v>
      </c>
      <c r="D2802">
        <v>10</v>
      </c>
      <c r="E2802">
        <v>2</v>
      </c>
      <c r="F2802">
        <v>100</v>
      </c>
      <c r="G2802">
        <v>44</v>
      </c>
    </row>
    <row r="2803" spans="1:7" x14ac:dyDescent="0.35">
      <c r="A2803" t="s">
        <v>227</v>
      </c>
      <c r="B2803" t="s">
        <v>248</v>
      </c>
      <c r="C2803">
        <v>24.41</v>
      </c>
      <c r="D2803">
        <v>20</v>
      </c>
      <c r="E2803">
        <v>2</v>
      </c>
      <c r="F2803">
        <v>180</v>
      </c>
      <c r="G2803">
        <v>112</v>
      </c>
    </row>
    <row r="2804" spans="1:7" x14ac:dyDescent="0.35">
      <c r="A2804" t="s">
        <v>228</v>
      </c>
      <c r="B2804" t="s">
        <v>249</v>
      </c>
      <c r="C2804">
        <v>21.73</v>
      </c>
      <c r="D2804">
        <v>15</v>
      </c>
      <c r="E2804">
        <v>1</v>
      </c>
      <c r="F2804">
        <v>120</v>
      </c>
      <c r="G2804">
        <v>263</v>
      </c>
    </row>
    <row r="2805" spans="1:7" x14ac:dyDescent="0.35">
      <c r="A2805" t="s">
        <v>228</v>
      </c>
      <c r="B2805" t="s">
        <v>248</v>
      </c>
      <c r="C2805">
        <v>21.81</v>
      </c>
      <c r="D2805">
        <v>15</v>
      </c>
      <c r="E2805">
        <v>1</v>
      </c>
      <c r="F2805">
        <v>190</v>
      </c>
      <c r="G2805">
        <v>718</v>
      </c>
    </row>
    <row r="2806" spans="1:7" x14ac:dyDescent="0.35">
      <c r="A2806" t="s">
        <v>229</v>
      </c>
      <c r="B2806" t="s">
        <v>249</v>
      </c>
      <c r="C2806">
        <v>19.73</v>
      </c>
      <c r="D2806">
        <v>15</v>
      </c>
      <c r="E2806">
        <v>2</v>
      </c>
      <c r="F2806">
        <v>180</v>
      </c>
      <c r="G2806">
        <v>255</v>
      </c>
    </row>
    <row r="2807" spans="1:7" x14ac:dyDescent="0.35">
      <c r="A2807" t="s">
        <v>229</v>
      </c>
      <c r="B2807" t="s">
        <v>248</v>
      </c>
      <c r="C2807">
        <v>25.34</v>
      </c>
      <c r="D2807">
        <v>20</v>
      </c>
      <c r="E2807">
        <v>1</v>
      </c>
      <c r="F2807">
        <v>240</v>
      </c>
      <c r="G2807">
        <v>609</v>
      </c>
    </row>
    <row r="2808" spans="1:7" x14ac:dyDescent="0.35">
      <c r="A2808" t="s">
        <v>230</v>
      </c>
      <c r="B2808" t="s">
        <v>249</v>
      </c>
      <c r="C2808">
        <v>23.74</v>
      </c>
      <c r="D2808">
        <v>20</v>
      </c>
      <c r="E2808">
        <v>1</v>
      </c>
      <c r="F2808">
        <v>120</v>
      </c>
      <c r="G2808">
        <v>169</v>
      </c>
    </row>
    <row r="2809" spans="1:7" x14ac:dyDescent="0.35">
      <c r="A2809" t="s">
        <v>230</v>
      </c>
      <c r="B2809" t="s">
        <v>248</v>
      </c>
      <c r="C2809">
        <v>22.39</v>
      </c>
      <c r="D2809">
        <v>15</v>
      </c>
      <c r="E2809">
        <v>1</v>
      </c>
      <c r="F2809">
        <v>120</v>
      </c>
      <c r="G2809">
        <v>376</v>
      </c>
    </row>
    <row r="2810" spans="1:7" x14ac:dyDescent="0.35">
      <c r="A2810" t="s">
        <v>231</v>
      </c>
      <c r="B2810" t="s">
        <v>249</v>
      </c>
      <c r="C2810">
        <v>21.49</v>
      </c>
      <c r="D2810">
        <v>20</v>
      </c>
      <c r="E2810">
        <v>5</v>
      </c>
      <c r="F2810">
        <v>60</v>
      </c>
      <c r="G2810">
        <v>35</v>
      </c>
    </row>
    <row r="2811" spans="1:7" x14ac:dyDescent="0.35">
      <c r="A2811" t="s">
        <v>231</v>
      </c>
      <c r="B2811" t="s">
        <v>248</v>
      </c>
      <c r="C2811">
        <v>20.76</v>
      </c>
      <c r="D2811">
        <v>15</v>
      </c>
      <c r="E2811">
        <v>1</v>
      </c>
      <c r="F2811">
        <v>120</v>
      </c>
      <c r="G2811">
        <v>123</v>
      </c>
    </row>
    <row r="2812" spans="1:7" x14ac:dyDescent="0.35">
      <c r="A2812" t="s">
        <v>232</v>
      </c>
      <c r="B2812" t="s">
        <v>232</v>
      </c>
      <c r="C2812">
        <v>22.25</v>
      </c>
      <c r="D2812">
        <v>15</v>
      </c>
      <c r="E2812">
        <v>1</v>
      </c>
      <c r="F2812">
        <v>240</v>
      </c>
      <c r="G2812">
        <v>2704</v>
      </c>
    </row>
    <row r="2814" spans="1:7" x14ac:dyDescent="0.35">
      <c r="A2814" s="1" t="s">
        <v>545</v>
      </c>
    </row>
    <row r="2815" spans="1:7" x14ac:dyDescent="0.35">
      <c r="A2815" t="s">
        <v>219</v>
      </c>
      <c r="B2815" t="s">
        <v>305</v>
      </c>
      <c r="C2815" t="s">
        <v>534</v>
      </c>
      <c r="D2815" t="s">
        <v>535</v>
      </c>
      <c r="E2815" t="s">
        <v>536</v>
      </c>
      <c r="F2815" t="s">
        <v>537</v>
      </c>
      <c r="G2815" t="s">
        <v>226</v>
      </c>
    </row>
    <row r="2816" spans="1:7" x14ac:dyDescent="0.35">
      <c r="A2816" s="27" t="s">
        <v>227</v>
      </c>
      <c r="B2816" s="27" t="s">
        <v>263</v>
      </c>
      <c r="C2816" s="29">
        <v>20</v>
      </c>
      <c r="D2816" s="29">
        <v>30</v>
      </c>
      <c r="E2816" s="29">
        <v>10</v>
      </c>
      <c r="F2816" s="29">
        <v>30</v>
      </c>
      <c r="G2816" s="29">
        <v>3</v>
      </c>
    </row>
    <row r="2817" spans="1:7" x14ac:dyDescent="0.35">
      <c r="A2817" s="27" t="s">
        <v>227</v>
      </c>
      <c r="B2817" s="27" t="s">
        <v>262</v>
      </c>
      <c r="C2817" s="29">
        <v>10</v>
      </c>
      <c r="D2817" s="29">
        <v>10</v>
      </c>
      <c r="E2817" s="29">
        <v>10</v>
      </c>
      <c r="F2817" s="29">
        <v>10</v>
      </c>
      <c r="G2817" s="29">
        <v>3</v>
      </c>
    </row>
    <row r="2818" spans="1:7" x14ac:dyDescent="0.35">
      <c r="A2818" t="s">
        <v>227</v>
      </c>
      <c r="B2818" t="s">
        <v>260</v>
      </c>
      <c r="C2818">
        <v>21.17</v>
      </c>
      <c r="D2818">
        <v>15</v>
      </c>
      <c r="E2818">
        <v>2</v>
      </c>
      <c r="F2818">
        <v>120</v>
      </c>
      <c r="G2818">
        <v>121</v>
      </c>
    </row>
    <row r="2819" spans="1:7" x14ac:dyDescent="0.35">
      <c r="A2819" s="27" t="s">
        <v>227</v>
      </c>
      <c r="B2819" s="27" t="s">
        <v>261</v>
      </c>
      <c r="C2819" s="29">
        <v>30.24</v>
      </c>
      <c r="D2819" s="29">
        <v>20</v>
      </c>
      <c r="E2819" s="29">
        <v>3</v>
      </c>
      <c r="F2819" s="29">
        <v>180</v>
      </c>
      <c r="G2819" s="29">
        <v>29</v>
      </c>
    </row>
    <row r="2820" spans="1:7" x14ac:dyDescent="0.35">
      <c r="A2820" t="s">
        <v>228</v>
      </c>
      <c r="B2820" t="s">
        <v>262</v>
      </c>
      <c r="C2820">
        <v>19.399999999999999</v>
      </c>
      <c r="D2820">
        <v>15</v>
      </c>
      <c r="E2820">
        <v>1</v>
      </c>
      <c r="F2820">
        <v>120</v>
      </c>
      <c r="G2820">
        <v>199</v>
      </c>
    </row>
    <row r="2821" spans="1:7" x14ac:dyDescent="0.35">
      <c r="A2821" s="27" t="s">
        <v>228</v>
      </c>
      <c r="B2821" s="27" t="s">
        <v>236</v>
      </c>
      <c r="C2821" s="29">
        <v>39.75</v>
      </c>
      <c r="D2821" s="29">
        <v>50</v>
      </c>
      <c r="E2821" s="29">
        <v>20</v>
      </c>
      <c r="F2821" s="29">
        <v>60</v>
      </c>
      <c r="G2821" s="29">
        <v>5</v>
      </c>
    </row>
    <row r="2822" spans="1:7" x14ac:dyDescent="0.35">
      <c r="A2822" t="s">
        <v>228</v>
      </c>
      <c r="B2822" t="s">
        <v>260</v>
      </c>
      <c r="C2822">
        <v>20.420000000000002</v>
      </c>
      <c r="D2822">
        <v>15</v>
      </c>
      <c r="E2822">
        <v>1</v>
      </c>
      <c r="F2822">
        <v>180</v>
      </c>
      <c r="G2822">
        <v>577</v>
      </c>
    </row>
    <row r="2823" spans="1:7" x14ac:dyDescent="0.35">
      <c r="A2823" s="27" t="s">
        <v>228</v>
      </c>
      <c r="B2823" s="27" t="s">
        <v>263</v>
      </c>
      <c r="C2823" s="29">
        <v>17.690000000000001</v>
      </c>
      <c r="D2823" s="29">
        <v>15</v>
      </c>
      <c r="E2823" s="29">
        <v>1</v>
      </c>
      <c r="F2823" s="29">
        <v>40</v>
      </c>
      <c r="G2823" s="29">
        <v>23</v>
      </c>
    </row>
    <row r="2824" spans="1:7" x14ac:dyDescent="0.35">
      <c r="A2824" t="s">
        <v>228</v>
      </c>
      <c r="B2824" t="s">
        <v>261</v>
      </c>
      <c r="C2824">
        <v>28.44</v>
      </c>
      <c r="D2824">
        <v>20</v>
      </c>
      <c r="E2824">
        <v>2</v>
      </c>
      <c r="F2824">
        <v>190</v>
      </c>
      <c r="G2824">
        <v>177</v>
      </c>
    </row>
    <row r="2825" spans="1:7" x14ac:dyDescent="0.35">
      <c r="A2825" t="s">
        <v>229</v>
      </c>
      <c r="B2825" t="s">
        <v>261</v>
      </c>
      <c r="C2825">
        <v>25.18</v>
      </c>
      <c r="D2825">
        <v>20</v>
      </c>
      <c r="E2825">
        <v>2</v>
      </c>
      <c r="F2825">
        <v>240</v>
      </c>
      <c r="G2825">
        <v>91</v>
      </c>
    </row>
    <row r="2826" spans="1:7" x14ac:dyDescent="0.35">
      <c r="A2826" t="s">
        <v>229</v>
      </c>
      <c r="B2826" t="s">
        <v>262</v>
      </c>
      <c r="C2826">
        <v>22.92</v>
      </c>
      <c r="D2826">
        <v>20</v>
      </c>
      <c r="E2826">
        <v>2</v>
      </c>
      <c r="F2826">
        <v>180</v>
      </c>
      <c r="G2826">
        <v>184</v>
      </c>
    </row>
    <row r="2827" spans="1:7" x14ac:dyDescent="0.35">
      <c r="A2827" s="27" t="s">
        <v>229</v>
      </c>
      <c r="B2827" s="27" t="s">
        <v>263</v>
      </c>
      <c r="C2827" s="29">
        <v>18.989999999999998</v>
      </c>
      <c r="D2827" s="29">
        <v>15</v>
      </c>
      <c r="E2827" s="29">
        <v>4</v>
      </c>
      <c r="F2827" s="29">
        <v>30</v>
      </c>
      <c r="G2827" s="29">
        <v>14</v>
      </c>
    </row>
    <row r="2828" spans="1:7" x14ac:dyDescent="0.35">
      <c r="A2828" t="s">
        <v>229</v>
      </c>
      <c r="B2828" t="s">
        <v>260</v>
      </c>
      <c r="C2828">
        <v>23.41</v>
      </c>
      <c r="D2828">
        <v>20</v>
      </c>
      <c r="E2828">
        <v>1</v>
      </c>
      <c r="F2828">
        <v>150</v>
      </c>
      <c r="G2828">
        <v>574</v>
      </c>
    </row>
    <row r="2829" spans="1:7" x14ac:dyDescent="0.35">
      <c r="A2829" s="27" t="s">
        <v>229</v>
      </c>
      <c r="B2829" s="27" t="s">
        <v>236</v>
      </c>
      <c r="C2829" s="29">
        <v>15</v>
      </c>
      <c r="D2829" s="29">
        <v>15</v>
      </c>
      <c r="E2829" s="29">
        <v>15</v>
      </c>
      <c r="F2829" s="29">
        <v>15</v>
      </c>
      <c r="G2829" s="29">
        <v>1</v>
      </c>
    </row>
    <row r="2830" spans="1:7" x14ac:dyDescent="0.35">
      <c r="A2830" t="s">
        <v>230</v>
      </c>
      <c r="B2830" t="s">
        <v>262</v>
      </c>
      <c r="C2830">
        <v>22.05</v>
      </c>
      <c r="D2830">
        <v>15</v>
      </c>
      <c r="E2830">
        <v>2</v>
      </c>
      <c r="F2830">
        <v>120</v>
      </c>
      <c r="G2830">
        <v>120</v>
      </c>
    </row>
    <row r="2831" spans="1:7" x14ac:dyDescent="0.35">
      <c r="A2831" s="27" t="s">
        <v>230</v>
      </c>
      <c r="B2831" s="27" t="s">
        <v>236</v>
      </c>
      <c r="C2831" s="29">
        <v>39.520000000000003</v>
      </c>
      <c r="D2831" s="29">
        <v>40</v>
      </c>
      <c r="E2831" s="29">
        <v>30</v>
      </c>
      <c r="F2831" s="29">
        <v>40</v>
      </c>
      <c r="G2831" s="29">
        <v>2</v>
      </c>
    </row>
    <row r="2832" spans="1:7" x14ac:dyDescent="0.35">
      <c r="A2832" s="27" t="s">
        <v>230</v>
      </c>
      <c r="B2832" s="27" t="s">
        <v>263</v>
      </c>
      <c r="C2832" s="29">
        <v>50.72</v>
      </c>
      <c r="D2832" s="29">
        <v>40</v>
      </c>
      <c r="E2832" s="29">
        <v>5</v>
      </c>
      <c r="F2832" s="29">
        <v>120</v>
      </c>
      <c r="G2832" s="29">
        <v>24</v>
      </c>
    </row>
    <row r="2833" spans="1:7" x14ac:dyDescent="0.35">
      <c r="A2833" t="s">
        <v>230</v>
      </c>
      <c r="B2833" t="s">
        <v>260</v>
      </c>
      <c r="C2833">
        <v>22.34</v>
      </c>
      <c r="D2833">
        <v>15</v>
      </c>
      <c r="E2833">
        <v>1</v>
      </c>
      <c r="F2833">
        <v>120</v>
      </c>
      <c r="G2833">
        <v>344</v>
      </c>
    </row>
    <row r="2834" spans="1:7" x14ac:dyDescent="0.35">
      <c r="A2834" t="s">
        <v>230</v>
      </c>
      <c r="B2834" t="s">
        <v>261</v>
      </c>
      <c r="C2834">
        <v>22.28</v>
      </c>
      <c r="D2834">
        <v>15</v>
      </c>
      <c r="E2834">
        <v>2</v>
      </c>
      <c r="F2834">
        <v>120</v>
      </c>
      <c r="G2834">
        <v>55</v>
      </c>
    </row>
    <row r="2835" spans="1:7" x14ac:dyDescent="0.35">
      <c r="A2835" s="27" t="s">
        <v>231</v>
      </c>
      <c r="B2835" s="27" t="s">
        <v>262</v>
      </c>
      <c r="C2835" s="29">
        <v>21.73</v>
      </c>
      <c r="D2835" s="29">
        <v>20</v>
      </c>
      <c r="E2835" s="29">
        <v>2</v>
      </c>
      <c r="F2835" s="29">
        <v>60</v>
      </c>
      <c r="G2835" s="29">
        <v>11</v>
      </c>
    </row>
    <row r="2836" spans="1:7" x14ac:dyDescent="0.35">
      <c r="A2836" s="27" t="s">
        <v>231</v>
      </c>
      <c r="B2836" s="27" t="s">
        <v>263</v>
      </c>
      <c r="C2836" s="29">
        <v>40</v>
      </c>
      <c r="D2836" s="29">
        <v>20</v>
      </c>
      <c r="E2836" s="29">
        <v>20</v>
      </c>
      <c r="F2836" s="29">
        <v>60</v>
      </c>
      <c r="G2836" s="29">
        <v>2</v>
      </c>
    </row>
    <row r="2837" spans="1:7" x14ac:dyDescent="0.35">
      <c r="A2837" s="27" t="s">
        <v>231</v>
      </c>
      <c r="B2837" s="27" t="s">
        <v>261</v>
      </c>
      <c r="C2837" s="29">
        <v>26.6</v>
      </c>
      <c r="D2837" s="29">
        <v>20</v>
      </c>
      <c r="E2837" s="29">
        <v>5</v>
      </c>
      <c r="F2837" s="29">
        <v>90</v>
      </c>
      <c r="G2837" s="29">
        <v>25</v>
      </c>
    </row>
    <row r="2838" spans="1:7" x14ac:dyDescent="0.35">
      <c r="A2838" t="s">
        <v>231</v>
      </c>
      <c r="B2838" t="s">
        <v>260</v>
      </c>
      <c r="C2838">
        <v>19.34</v>
      </c>
      <c r="D2838">
        <v>15</v>
      </c>
      <c r="E2838">
        <v>1</v>
      </c>
      <c r="F2838">
        <v>120</v>
      </c>
      <c r="G2838">
        <v>120</v>
      </c>
    </row>
    <row r="2839" spans="1:7" x14ac:dyDescent="0.35">
      <c r="A2839" t="s">
        <v>232</v>
      </c>
      <c r="B2839" t="s">
        <v>232</v>
      </c>
      <c r="C2839">
        <v>22.25</v>
      </c>
      <c r="D2839">
        <v>15</v>
      </c>
      <c r="E2839">
        <v>1</v>
      </c>
      <c r="F2839">
        <v>240</v>
      </c>
      <c r="G2839">
        <v>2704</v>
      </c>
    </row>
    <row r="2841" spans="1:7" x14ac:dyDescent="0.35">
      <c r="A2841" s="1" t="s">
        <v>546</v>
      </c>
    </row>
    <row r="2842" spans="1:7" x14ac:dyDescent="0.35">
      <c r="A2842" t="s">
        <v>219</v>
      </c>
      <c r="B2842" t="s">
        <v>305</v>
      </c>
      <c r="C2842" t="s">
        <v>534</v>
      </c>
      <c r="D2842" t="s">
        <v>535</v>
      </c>
      <c r="E2842" t="s">
        <v>536</v>
      </c>
      <c r="F2842" t="s">
        <v>537</v>
      </c>
      <c r="G2842" t="s">
        <v>226</v>
      </c>
    </row>
    <row r="2843" spans="1:7" x14ac:dyDescent="0.35">
      <c r="A2843" s="27" t="s">
        <v>227</v>
      </c>
      <c r="B2843" s="27" t="s">
        <v>368</v>
      </c>
      <c r="C2843" s="29">
        <v>30.24</v>
      </c>
      <c r="D2843" s="29">
        <v>20</v>
      </c>
      <c r="E2843" s="29">
        <v>3</v>
      </c>
      <c r="F2843" s="29">
        <v>180</v>
      </c>
      <c r="G2843" s="29">
        <v>29</v>
      </c>
    </row>
    <row r="2844" spans="1:7" x14ac:dyDescent="0.35">
      <c r="A2844" t="s">
        <v>227</v>
      </c>
      <c r="B2844" t="s">
        <v>369</v>
      </c>
      <c r="C2844">
        <v>20.88</v>
      </c>
      <c r="D2844">
        <v>15</v>
      </c>
      <c r="E2844">
        <v>2</v>
      </c>
      <c r="F2844">
        <v>120</v>
      </c>
      <c r="G2844">
        <v>127</v>
      </c>
    </row>
    <row r="2845" spans="1:7" x14ac:dyDescent="0.35">
      <c r="A2845" t="s">
        <v>228</v>
      </c>
      <c r="B2845" t="s">
        <v>368</v>
      </c>
      <c r="C2845">
        <v>28.44</v>
      </c>
      <c r="D2845">
        <v>20</v>
      </c>
      <c r="E2845">
        <v>2</v>
      </c>
      <c r="F2845">
        <v>190</v>
      </c>
      <c r="G2845">
        <v>177</v>
      </c>
    </row>
    <row r="2846" spans="1:7" x14ac:dyDescent="0.35">
      <c r="A2846" t="s">
        <v>228</v>
      </c>
      <c r="B2846" t="s">
        <v>369</v>
      </c>
      <c r="C2846">
        <v>20.29</v>
      </c>
      <c r="D2846">
        <v>15</v>
      </c>
      <c r="E2846">
        <v>1</v>
      </c>
      <c r="F2846">
        <v>180</v>
      </c>
      <c r="G2846">
        <v>804</v>
      </c>
    </row>
    <row r="2847" spans="1:7" x14ac:dyDescent="0.35">
      <c r="A2847" t="s">
        <v>229</v>
      </c>
      <c r="B2847" t="s">
        <v>368</v>
      </c>
      <c r="C2847">
        <v>25.18</v>
      </c>
      <c r="D2847">
        <v>20</v>
      </c>
      <c r="E2847">
        <v>2</v>
      </c>
      <c r="F2847">
        <v>240</v>
      </c>
      <c r="G2847">
        <v>91</v>
      </c>
    </row>
    <row r="2848" spans="1:7" x14ac:dyDescent="0.35">
      <c r="A2848" t="s">
        <v>229</v>
      </c>
      <c r="B2848" t="s">
        <v>369</v>
      </c>
      <c r="C2848">
        <v>23.14</v>
      </c>
      <c r="D2848">
        <v>20</v>
      </c>
      <c r="E2848">
        <v>1</v>
      </c>
      <c r="F2848">
        <v>180</v>
      </c>
      <c r="G2848">
        <v>773</v>
      </c>
    </row>
    <row r="2849" spans="1:7" x14ac:dyDescent="0.35">
      <c r="A2849" t="s">
        <v>230</v>
      </c>
      <c r="B2849" t="s">
        <v>368</v>
      </c>
      <c r="C2849">
        <v>22.28</v>
      </c>
      <c r="D2849">
        <v>15</v>
      </c>
      <c r="E2849">
        <v>2</v>
      </c>
      <c r="F2849">
        <v>120</v>
      </c>
      <c r="G2849">
        <v>55</v>
      </c>
    </row>
    <row r="2850" spans="1:7" x14ac:dyDescent="0.35">
      <c r="A2850" t="s">
        <v>230</v>
      </c>
      <c r="B2850" t="s">
        <v>369</v>
      </c>
      <c r="C2850">
        <v>22.94</v>
      </c>
      <c r="D2850">
        <v>15</v>
      </c>
      <c r="E2850">
        <v>1</v>
      </c>
      <c r="F2850">
        <v>120</v>
      </c>
      <c r="G2850">
        <v>490</v>
      </c>
    </row>
    <row r="2851" spans="1:7" x14ac:dyDescent="0.35">
      <c r="A2851" s="27" t="s">
        <v>231</v>
      </c>
      <c r="B2851" s="27" t="s">
        <v>368</v>
      </c>
      <c r="C2851" s="29">
        <v>26.6</v>
      </c>
      <c r="D2851" s="29">
        <v>20</v>
      </c>
      <c r="E2851" s="29">
        <v>5</v>
      </c>
      <c r="F2851" s="29">
        <v>90</v>
      </c>
      <c r="G2851" s="29">
        <v>25</v>
      </c>
    </row>
    <row r="2852" spans="1:7" x14ac:dyDescent="0.35">
      <c r="A2852" t="s">
        <v>231</v>
      </c>
      <c r="B2852" t="s">
        <v>369</v>
      </c>
      <c r="C2852">
        <v>19.850000000000001</v>
      </c>
      <c r="D2852">
        <v>15</v>
      </c>
      <c r="E2852">
        <v>1</v>
      </c>
      <c r="F2852">
        <v>120</v>
      </c>
      <c r="G2852">
        <v>133</v>
      </c>
    </row>
    <row r="2853" spans="1:7" x14ac:dyDescent="0.35">
      <c r="A2853" t="s">
        <v>232</v>
      </c>
      <c r="B2853" t="s">
        <v>232</v>
      </c>
      <c r="C2853">
        <v>22.25</v>
      </c>
      <c r="D2853">
        <v>15</v>
      </c>
      <c r="E2853">
        <v>1</v>
      </c>
      <c r="F2853">
        <v>240</v>
      </c>
      <c r="G2853">
        <v>2704</v>
      </c>
    </row>
    <row r="2855" spans="1:7" x14ac:dyDescent="0.35">
      <c r="A2855" s="1" t="s">
        <v>547</v>
      </c>
    </row>
    <row r="2856" spans="1:7" x14ac:dyDescent="0.35">
      <c r="A2856" t="s">
        <v>219</v>
      </c>
      <c r="B2856" t="s">
        <v>305</v>
      </c>
      <c r="C2856" t="s">
        <v>534</v>
      </c>
      <c r="D2856" t="s">
        <v>535</v>
      </c>
      <c r="E2856" t="s">
        <v>536</v>
      </c>
      <c r="F2856" t="s">
        <v>537</v>
      </c>
      <c r="G2856" t="s">
        <v>226</v>
      </c>
    </row>
    <row r="2857" spans="1:7" x14ac:dyDescent="0.35">
      <c r="A2857" t="s">
        <v>227</v>
      </c>
      <c r="B2857" t="s">
        <v>371</v>
      </c>
      <c r="C2857">
        <v>22.62</v>
      </c>
      <c r="D2857">
        <v>15</v>
      </c>
      <c r="E2857">
        <v>2</v>
      </c>
      <c r="F2857">
        <v>180</v>
      </c>
      <c r="G2857">
        <v>156</v>
      </c>
    </row>
    <row r="2858" spans="1:7" x14ac:dyDescent="0.35">
      <c r="A2858" t="s">
        <v>228</v>
      </c>
      <c r="B2858" t="s">
        <v>371</v>
      </c>
      <c r="C2858">
        <v>20.02</v>
      </c>
      <c r="D2858">
        <v>15</v>
      </c>
      <c r="E2858">
        <v>1</v>
      </c>
      <c r="F2858">
        <v>180</v>
      </c>
      <c r="G2858">
        <v>283</v>
      </c>
    </row>
    <row r="2859" spans="1:7" x14ac:dyDescent="0.35">
      <c r="A2859" t="s">
        <v>228</v>
      </c>
      <c r="B2859" t="s">
        <v>372</v>
      </c>
      <c r="C2859">
        <v>31.97</v>
      </c>
      <c r="D2859">
        <v>20</v>
      </c>
      <c r="E2859">
        <v>2</v>
      </c>
      <c r="F2859">
        <v>190</v>
      </c>
      <c r="G2859">
        <v>198</v>
      </c>
    </row>
    <row r="2860" spans="1:7" x14ac:dyDescent="0.35">
      <c r="A2860" t="s">
        <v>228</v>
      </c>
      <c r="B2860" t="s">
        <v>373</v>
      </c>
      <c r="C2860">
        <v>22.05</v>
      </c>
      <c r="D2860">
        <v>15</v>
      </c>
      <c r="E2860">
        <v>1</v>
      </c>
      <c r="F2860">
        <v>120</v>
      </c>
      <c r="G2860">
        <v>500</v>
      </c>
    </row>
    <row r="2861" spans="1:7" x14ac:dyDescent="0.35">
      <c r="A2861" t="s">
        <v>229</v>
      </c>
      <c r="B2861" t="s">
        <v>371</v>
      </c>
      <c r="C2861">
        <v>23.39</v>
      </c>
      <c r="D2861">
        <v>20</v>
      </c>
      <c r="E2861">
        <v>1</v>
      </c>
      <c r="F2861">
        <v>240</v>
      </c>
      <c r="G2861">
        <v>561</v>
      </c>
    </row>
    <row r="2862" spans="1:7" x14ac:dyDescent="0.35">
      <c r="A2862" t="s">
        <v>229</v>
      </c>
      <c r="B2862" t="s">
        <v>372</v>
      </c>
      <c r="C2862">
        <v>24.64</v>
      </c>
      <c r="D2862">
        <v>20</v>
      </c>
      <c r="E2862">
        <v>1</v>
      </c>
      <c r="F2862">
        <v>120</v>
      </c>
      <c r="G2862">
        <v>218</v>
      </c>
    </row>
    <row r="2863" spans="1:7" x14ac:dyDescent="0.35">
      <c r="A2863" t="s">
        <v>229</v>
      </c>
      <c r="B2863" t="s">
        <v>373</v>
      </c>
      <c r="C2863">
        <v>22.96</v>
      </c>
      <c r="D2863">
        <v>20</v>
      </c>
      <c r="E2863">
        <v>3</v>
      </c>
      <c r="F2863">
        <v>150</v>
      </c>
      <c r="G2863">
        <v>85</v>
      </c>
    </row>
    <row r="2864" spans="1:7" x14ac:dyDescent="0.35">
      <c r="A2864" t="s">
        <v>230</v>
      </c>
      <c r="B2864" t="s">
        <v>371</v>
      </c>
      <c r="C2864">
        <v>22.34</v>
      </c>
      <c r="D2864">
        <v>15</v>
      </c>
      <c r="E2864">
        <v>1</v>
      </c>
      <c r="F2864">
        <v>120</v>
      </c>
      <c r="G2864">
        <v>255</v>
      </c>
    </row>
    <row r="2865" spans="1:7" x14ac:dyDescent="0.35">
      <c r="A2865" t="s">
        <v>230</v>
      </c>
      <c r="B2865" t="s">
        <v>372</v>
      </c>
      <c r="C2865">
        <v>29.53</v>
      </c>
      <c r="D2865">
        <v>20</v>
      </c>
      <c r="E2865">
        <v>3</v>
      </c>
      <c r="F2865">
        <v>120</v>
      </c>
      <c r="G2865">
        <v>141</v>
      </c>
    </row>
    <row r="2866" spans="1:7" x14ac:dyDescent="0.35">
      <c r="A2866" t="s">
        <v>230</v>
      </c>
      <c r="B2866" t="s">
        <v>373</v>
      </c>
      <c r="C2866">
        <v>23.15</v>
      </c>
      <c r="D2866">
        <v>20</v>
      </c>
      <c r="E2866">
        <v>2</v>
      </c>
      <c r="F2866">
        <v>120</v>
      </c>
      <c r="G2866">
        <v>149</v>
      </c>
    </row>
    <row r="2867" spans="1:7" x14ac:dyDescent="0.35">
      <c r="A2867" t="s">
        <v>231</v>
      </c>
      <c r="B2867" t="s">
        <v>371</v>
      </c>
      <c r="C2867">
        <v>20.92</v>
      </c>
      <c r="D2867">
        <v>15</v>
      </c>
      <c r="E2867">
        <v>1</v>
      </c>
      <c r="F2867">
        <v>120</v>
      </c>
      <c r="G2867">
        <v>158</v>
      </c>
    </row>
    <row r="2868" spans="1:7" x14ac:dyDescent="0.35">
      <c r="A2868" t="s">
        <v>232</v>
      </c>
      <c r="B2868" t="s">
        <v>232</v>
      </c>
      <c r="C2868">
        <v>22.25</v>
      </c>
      <c r="D2868">
        <v>15</v>
      </c>
      <c r="E2868">
        <v>1</v>
      </c>
      <c r="F2868">
        <v>240</v>
      </c>
      <c r="G2868">
        <v>2704</v>
      </c>
    </row>
    <row r="2870" spans="1:7" x14ac:dyDescent="0.35">
      <c r="A2870" s="1" t="s">
        <v>548</v>
      </c>
    </row>
    <row r="2871" spans="1:7" x14ac:dyDescent="0.35">
      <c r="A2871" t="s">
        <v>219</v>
      </c>
      <c r="B2871" t="s">
        <v>305</v>
      </c>
      <c r="C2871" t="s">
        <v>534</v>
      </c>
      <c r="D2871" t="s">
        <v>535</v>
      </c>
      <c r="E2871" t="s">
        <v>536</v>
      </c>
      <c r="F2871" t="s">
        <v>537</v>
      </c>
      <c r="G2871" t="s">
        <v>226</v>
      </c>
    </row>
    <row r="2872" spans="1:7" x14ac:dyDescent="0.35">
      <c r="A2872" t="s">
        <v>227</v>
      </c>
      <c r="B2872" t="s">
        <v>255</v>
      </c>
      <c r="C2872">
        <v>24.41</v>
      </c>
      <c r="D2872">
        <v>20</v>
      </c>
      <c r="E2872">
        <v>2</v>
      </c>
      <c r="F2872">
        <v>180</v>
      </c>
      <c r="G2872">
        <v>112</v>
      </c>
    </row>
    <row r="2873" spans="1:7" x14ac:dyDescent="0.35">
      <c r="A2873" t="s">
        <v>227</v>
      </c>
      <c r="B2873" t="s">
        <v>256</v>
      </c>
      <c r="C2873">
        <v>16.940000000000001</v>
      </c>
      <c r="D2873">
        <v>15</v>
      </c>
      <c r="E2873">
        <v>2</v>
      </c>
      <c r="F2873">
        <v>60</v>
      </c>
      <c r="G2873">
        <v>35</v>
      </c>
    </row>
    <row r="2874" spans="1:7" x14ac:dyDescent="0.35">
      <c r="A2874" s="27" t="s">
        <v>227</v>
      </c>
      <c r="B2874" s="27" t="s">
        <v>257</v>
      </c>
      <c r="C2874" s="29">
        <v>22.44</v>
      </c>
      <c r="D2874" s="29">
        <v>15</v>
      </c>
      <c r="E2874" s="29">
        <v>2</v>
      </c>
      <c r="F2874" s="29">
        <v>100</v>
      </c>
      <c r="G2874" s="29">
        <v>9</v>
      </c>
    </row>
    <row r="2875" spans="1:7" x14ac:dyDescent="0.35">
      <c r="A2875" t="s">
        <v>228</v>
      </c>
      <c r="B2875" t="s">
        <v>255</v>
      </c>
      <c r="C2875">
        <v>21.81</v>
      </c>
      <c r="D2875">
        <v>15</v>
      </c>
      <c r="E2875">
        <v>1</v>
      </c>
      <c r="F2875">
        <v>190</v>
      </c>
      <c r="G2875">
        <v>718</v>
      </c>
    </row>
    <row r="2876" spans="1:7" x14ac:dyDescent="0.35">
      <c r="A2876" t="s">
        <v>228</v>
      </c>
      <c r="B2876" t="s">
        <v>256</v>
      </c>
      <c r="C2876">
        <v>20.99</v>
      </c>
      <c r="D2876">
        <v>15</v>
      </c>
      <c r="E2876">
        <v>1</v>
      </c>
      <c r="F2876">
        <v>120</v>
      </c>
      <c r="G2876">
        <v>212</v>
      </c>
    </row>
    <row r="2877" spans="1:7" x14ac:dyDescent="0.35">
      <c r="A2877" t="s">
        <v>228</v>
      </c>
      <c r="B2877" t="s">
        <v>257</v>
      </c>
      <c r="C2877">
        <v>26.09</v>
      </c>
      <c r="D2877">
        <v>20</v>
      </c>
      <c r="E2877">
        <v>2</v>
      </c>
      <c r="F2877">
        <v>120</v>
      </c>
      <c r="G2877">
        <v>47</v>
      </c>
    </row>
    <row r="2878" spans="1:7" x14ac:dyDescent="0.35">
      <c r="A2878" s="27" t="s">
        <v>228</v>
      </c>
      <c r="B2878" s="27" t="s">
        <v>258</v>
      </c>
      <c r="C2878" s="29">
        <v>12.45</v>
      </c>
      <c r="D2878" s="29">
        <v>10</v>
      </c>
      <c r="E2878" s="29">
        <v>10</v>
      </c>
      <c r="F2878" s="29">
        <v>30</v>
      </c>
      <c r="G2878" s="29">
        <v>4</v>
      </c>
    </row>
    <row r="2879" spans="1:7" x14ac:dyDescent="0.35">
      <c r="A2879" t="s">
        <v>229</v>
      </c>
      <c r="B2879" t="s">
        <v>255</v>
      </c>
      <c r="C2879">
        <v>25.34</v>
      </c>
      <c r="D2879">
        <v>20</v>
      </c>
      <c r="E2879">
        <v>1</v>
      </c>
      <c r="F2879">
        <v>240</v>
      </c>
      <c r="G2879">
        <v>609</v>
      </c>
    </row>
    <row r="2880" spans="1:7" x14ac:dyDescent="0.35">
      <c r="A2880" s="27" t="s">
        <v>229</v>
      </c>
      <c r="B2880" s="27" t="s">
        <v>258</v>
      </c>
      <c r="C2880" s="29">
        <v>24.4</v>
      </c>
      <c r="D2880" s="29">
        <v>30</v>
      </c>
      <c r="E2880" s="29">
        <v>5</v>
      </c>
      <c r="F2880" s="29">
        <v>30</v>
      </c>
      <c r="G2880" s="29">
        <v>2</v>
      </c>
    </row>
    <row r="2881" spans="1:18" x14ac:dyDescent="0.35">
      <c r="A2881" t="s">
        <v>229</v>
      </c>
      <c r="B2881" t="s">
        <v>256</v>
      </c>
      <c r="C2881">
        <v>19.98</v>
      </c>
      <c r="D2881">
        <v>15</v>
      </c>
      <c r="E2881">
        <v>2</v>
      </c>
      <c r="F2881">
        <v>180</v>
      </c>
      <c r="G2881">
        <v>203</v>
      </c>
    </row>
    <row r="2882" spans="1:18" x14ac:dyDescent="0.35">
      <c r="A2882" t="s">
        <v>229</v>
      </c>
      <c r="B2882" t="s">
        <v>257</v>
      </c>
      <c r="C2882">
        <v>18.420000000000002</v>
      </c>
      <c r="D2882">
        <v>15</v>
      </c>
      <c r="E2882">
        <v>5</v>
      </c>
      <c r="F2882">
        <v>60</v>
      </c>
      <c r="G2882">
        <v>50</v>
      </c>
    </row>
    <row r="2883" spans="1:18" x14ac:dyDescent="0.35">
      <c r="A2883" t="s">
        <v>230</v>
      </c>
      <c r="B2883" t="s">
        <v>255</v>
      </c>
      <c r="C2883">
        <v>22.39</v>
      </c>
      <c r="D2883">
        <v>15</v>
      </c>
      <c r="E2883">
        <v>1</v>
      </c>
      <c r="F2883">
        <v>120</v>
      </c>
      <c r="G2883">
        <v>376</v>
      </c>
    </row>
    <row r="2884" spans="1:18" x14ac:dyDescent="0.35">
      <c r="A2884" t="s">
        <v>230</v>
      </c>
      <c r="B2884" t="s">
        <v>256</v>
      </c>
      <c r="C2884">
        <v>24.82</v>
      </c>
      <c r="D2884">
        <v>20</v>
      </c>
      <c r="E2884">
        <v>1</v>
      </c>
      <c r="F2884">
        <v>120</v>
      </c>
      <c r="G2884">
        <v>129</v>
      </c>
    </row>
    <row r="2885" spans="1:18" x14ac:dyDescent="0.35">
      <c r="A2885" s="27" t="s">
        <v>230</v>
      </c>
      <c r="B2885" s="27" t="s">
        <v>258</v>
      </c>
      <c r="C2885" s="29">
        <v>14.11</v>
      </c>
      <c r="D2885" s="29">
        <v>15</v>
      </c>
      <c r="E2885" s="29">
        <v>10</v>
      </c>
      <c r="F2885" s="29">
        <v>15</v>
      </c>
      <c r="G2885" s="29">
        <v>3</v>
      </c>
    </row>
    <row r="2886" spans="1:18" x14ac:dyDescent="0.35">
      <c r="A2886" t="s">
        <v>230</v>
      </c>
      <c r="B2886" t="s">
        <v>257</v>
      </c>
      <c r="C2886">
        <v>20.65</v>
      </c>
      <c r="D2886">
        <v>15</v>
      </c>
      <c r="E2886">
        <v>5</v>
      </c>
      <c r="F2886">
        <v>120</v>
      </c>
      <c r="G2886">
        <v>37</v>
      </c>
    </row>
    <row r="2887" spans="1:18" x14ac:dyDescent="0.35">
      <c r="A2887" s="27" t="s">
        <v>231</v>
      </c>
      <c r="B2887" s="27" t="s">
        <v>256</v>
      </c>
      <c r="C2887" s="29">
        <v>22.93</v>
      </c>
      <c r="D2887" s="29">
        <v>20</v>
      </c>
      <c r="E2887" s="29">
        <v>5</v>
      </c>
      <c r="F2887" s="29">
        <v>60</v>
      </c>
      <c r="G2887" s="29">
        <v>28</v>
      </c>
    </row>
    <row r="2888" spans="1:18" x14ac:dyDescent="0.35">
      <c r="A2888" t="s">
        <v>231</v>
      </c>
      <c r="B2888" t="s">
        <v>255</v>
      </c>
      <c r="C2888">
        <v>20.76</v>
      </c>
      <c r="D2888">
        <v>15</v>
      </c>
      <c r="E2888">
        <v>1</v>
      </c>
      <c r="F2888">
        <v>120</v>
      </c>
      <c r="G2888">
        <v>123</v>
      </c>
    </row>
    <row r="2889" spans="1:18" x14ac:dyDescent="0.35">
      <c r="A2889" s="27" t="s">
        <v>231</v>
      </c>
      <c r="B2889" s="27" t="s">
        <v>257</v>
      </c>
      <c r="C2889" s="29">
        <v>15.71</v>
      </c>
      <c r="D2889" s="29">
        <v>15</v>
      </c>
      <c r="E2889" s="29">
        <v>5</v>
      </c>
      <c r="F2889" s="29">
        <v>40</v>
      </c>
      <c r="G2889" s="29">
        <v>7</v>
      </c>
    </row>
    <row r="2890" spans="1:18" x14ac:dyDescent="0.35">
      <c r="A2890" t="s">
        <v>232</v>
      </c>
      <c r="B2890" t="s">
        <v>232</v>
      </c>
      <c r="C2890">
        <v>22.25</v>
      </c>
      <c r="D2890">
        <v>15</v>
      </c>
      <c r="E2890">
        <v>1</v>
      </c>
      <c r="F2890">
        <v>240</v>
      </c>
      <c r="G2890">
        <v>2704</v>
      </c>
    </row>
    <row r="2892" spans="1:18" x14ac:dyDescent="0.35">
      <c r="A2892" s="1" t="s">
        <v>549</v>
      </c>
    </row>
    <row r="2893" spans="1:18" x14ac:dyDescent="0.35">
      <c r="A2893" t="s">
        <v>219</v>
      </c>
      <c r="B2893" t="s">
        <v>550</v>
      </c>
      <c r="C2893" t="s">
        <v>551</v>
      </c>
      <c r="D2893" t="s">
        <v>552</v>
      </c>
      <c r="E2893" t="s">
        <v>553</v>
      </c>
      <c r="F2893" t="s">
        <v>554</v>
      </c>
      <c r="G2893" t="s">
        <v>555</v>
      </c>
      <c r="H2893" t="s">
        <v>556</v>
      </c>
      <c r="I2893" t="s">
        <v>557</v>
      </c>
      <c r="J2893" t="s">
        <v>558</v>
      </c>
      <c r="K2893" t="s">
        <v>559</v>
      </c>
      <c r="L2893" t="s">
        <v>560</v>
      </c>
      <c r="M2893" t="s">
        <v>561</v>
      </c>
      <c r="N2893" t="s">
        <v>562</v>
      </c>
      <c r="O2893" t="s">
        <v>563</v>
      </c>
      <c r="P2893" t="s">
        <v>286</v>
      </c>
      <c r="Q2893" t="s">
        <v>281</v>
      </c>
      <c r="R2893" t="s">
        <v>226</v>
      </c>
    </row>
    <row r="2894" spans="1:18" x14ac:dyDescent="0.35">
      <c r="A2894" t="s">
        <v>227</v>
      </c>
      <c r="B2894" s="26">
        <v>0.39129999999999998</v>
      </c>
      <c r="C2894" s="26">
        <v>0.39129999999999998</v>
      </c>
      <c r="D2894" s="26">
        <v>0.2112</v>
      </c>
      <c r="E2894" s="26">
        <v>0.1056</v>
      </c>
      <c r="F2894" s="26">
        <v>8.6999999999999994E-2</v>
      </c>
      <c r="G2894" s="26">
        <v>0.1242</v>
      </c>
      <c r="H2894" s="26">
        <v>6.2100000000000002E-2</v>
      </c>
      <c r="I2894" s="26">
        <v>5.5899999999999998E-2</v>
      </c>
      <c r="J2894" s="26">
        <v>4.9700000000000001E-2</v>
      </c>
      <c r="K2894" s="26">
        <v>5.5899999999999998E-2</v>
      </c>
      <c r="L2894" s="26">
        <v>3.1099999999999999E-2</v>
      </c>
      <c r="M2894" s="26">
        <v>2.4799999999999999E-2</v>
      </c>
      <c r="O2894" s="26">
        <v>6.1999999999999998E-3</v>
      </c>
      <c r="R2894">
        <v>161</v>
      </c>
    </row>
    <row r="2895" spans="1:18" x14ac:dyDescent="0.35">
      <c r="A2895" t="s">
        <v>228</v>
      </c>
      <c r="B2895" s="26">
        <v>0.3669</v>
      </c>
      <c r="C2895" s="26">
        <v>0.33739999999999998</v>
      </c>
      <c r="D2895" s="26">
        <v>0.219</v>
      </c>
      <c r="E2895" s="26">
        <v>0.11269999999999999</v>
      </c>
      <c r="F2895" s="26">
        <v>0.1009</v>
      </c>
      <c r="G2895" s="26">
        <v>9.3899999999999997E-2</v>
      </c>
      <c r="H2895" s="26">
        <v>5.8999999999999997E-2</v>
      </c>
      <c r="I2895" s="26">
        <v>6.3E-2</v>
      </c>
      <c r="J2895" s="26">
        <v>5.11E-2</v>
      </c>
      <c r="K2895" s="26">
        <v>3.9699999999999999E-2</v>
      </c>
      <c r="L2895" s="26">
        <v>4.7800000000000002E-2</v>
      </c>
      <c r="M2895" s="26">
        <v>3.9199999999999999E-2</v>
      </c>
      <c r="N2895" s="26">
        <v>2.3699999999999999E-2</v>
      </c>
      <c r="O2895" s="26">
        <v>1.2800000000000001E-2</v>
      </c>
      <c r="P2895" s="26">
        <v>2.3999999999999998E-3</v>
      </c>
      <c r="Q2895" s="26">
        <v>8.9999999999999998E-4</v>
      </c>
      <c r="R2895">
        <v>1020</v>
      </c>
    </row>
    <row r="2896" spans="1:18" x14ac:dyDescent="0.35">
      <c r="A2896" t="s">
        <v>229</v>
      </c>
      <c r="B2896" s="26">
        <v>0.42020000000000002</v>
      </c>
      <c r="C2896" s="26">
        <v>0.32550000000000001</v>
      </c>
      <c r="D2896" s="26">
        <v>0.19109999999999999</v>
      </c>
      <c r="E2896" s="26">
        <v>9.5699999999999993E-2</v>
      </c>
      <c r="F2896" s="26">
        <v>0.1017</v>
      </c>
      <c r="G2896" s="26">
        <v>9.2899999999999996E-2</v>
      </c>
      <c r="H2896" s="26">
        <v>9.2100000000000001E-2</v>
      </c>
      <c r="I2896" s="26">
        <v>6.6199999999999995E-2</v>
      </c>
      <c r="J2896" s="26">
        <v>4.6800000000000001E-2</v>
      </c>
      <c r="K2896" s="26">
        <v>3.2199999999999999E-2</v>
      </c>
      <c r="L2896" s="26">
        <v>4.8899999999999999E-2</v>
      </c>
      <c r="M2896" s="26">
        <v>4.5100000000000001E-2</v>
      </c>
      <c r="N2896" s="26">
        <v>1.6500000000000001E-2</v>
      </c>
      <c r="O2896" s="26">
        <v>2.18E-2</v>
      </c>
      <c r="P2896" s="26">
        <v>5.7999999999999996E-3</v>
      </c>
      <c r="Q2896" s="26">
        <v>2.9999999999999997E-4</v>
      </c>
      <c r="R2896">
        <v>891</v>
      </c>
    </row>
    <row r="2897" spans="1:19" x14ac:dyDescent="0.35">
      <c r="A2897" t="s">
        <v>230</v>
      </c>
      <c r="B2897" s="26">
        <v>0.42420000000000002</v>
      </c>
      <c r="C2897" s="26">
        <v>0.31690000000000002</v>
      </c>
      <c r="D2897" s="26">
        <v>0.2162</v>
      </c>
      <c r="E2897" s="26">
        <v>0.1084</v>
      </c>
      <c r="F2897" s="26">
        <v>8.8900000000000007E-2</v>
      </c>
      <c r="G2897" s="26">
        <v>6.5000000000000002E-2</v>
      </c>
      <c r="H2897" s="26">
        <v>5.2499999999999998E-2</v>
      </c>
      <c r="I2897" s="26">
        <v>5.62E-2</v>
      </c>
      <c r="J2897" s="26">
        <v>5.11E-2</v>
      </c>
      <c r="K2897" s="26">
        <v>5.9400000000000001E-2</v>
      </c>
      <c r="L2897" s="26">
        <v>1.6799999999999999E-2</v>
      </c>
      <c r="M2897" s="26">
        <v>3.0300000000000001E-2</v>
      </c>
      <c r="N2897" s="26">
        <v>2.4299999999999999E-2</v>
      </c>
      <c r="O2897" s="26">
        <v>2.1399999999999999E-2</v>
      </c>
      <c r="P2897" s="26">
        <v>8.9999999999999998E-4</v>
      </c>
      <c r="R2897">
        <v>554</v>
      </c>
    </row>
    <row r="2898" spans="1:19" x14ac:dyDescent="0.35">
      <c r="A2898" t="s">
        <v>231</v>
      </c>
      <c r="B2898" s="26">
        <v>0.39879999999999999</v>
      </c>
      <c r="C2898" s="26">
        <v>0.37419999999999998</v>
      </c>
      <c r="D2898" s="26">
        <v>0.2147</v>
      </c>
      <c r="E2898" s="26">
        <v>0.1166</v>
      </c>
      <c r="F2898" s="26">
        <v>0.1227</v>
      </c>
      <c r="G2898" s="26">
        <v>6.13E-2</v>
      </c>
      <c r="H2898" s="26">
        <v>7.3599999999999999E-2</v>
      </c>
      <c r="I2898" s="26">
        <v>6.7500000000000004E-2</v>
      </c>
      <c r="J2898" s="26">
        <v>6.13E-2</v>
      </c>
      <c r="K2898" s="26">
        <v>6.13E-2</v>
      </c>
      <c r="L2898" s="26">
        <v>3.6799999999999999E-2</v>
      </c>
      <c r="M2898" s="26">
        <v>3.6799999999999999E-2</v>
      </c>
      <c r="N2898" s="26">
        <v>1.23E-2</v>
      </c>
      <c r="O2898" s="26">
        <v>6.1000000000000004E-3</v>
      </c>
      <c r="Q2898" s="26">
        <v>6.1000000000000004E-3</v>
      </c>
      <c r="R2898">
        <v>163</v>
      </c>
    </row>
    <row r="2899" spans="1:19" x14ac:dyDescent="0.35">
      <c r="A2899" t="s">
        <v>232</v>
      </c>
      <c r="B2899" s="26">
        <v>0.40010000000000001</v>
      </c>
      <c r="C2899" s="26">
        <v>0.35039999999999999</v>
      </c>
      <c r="D2899" s="26">
        <v>0.2084</v>
      </c>
      <c r="E2899" s="26">
        <v>0.1074</v>
      </c>
      <c r="F2899" s="26">
        <v>0.10390000000000001</v>
      </c>
      <c r="G2899" s="26">
        <v>8.6499999999999994E-2</v>
      </c>
      <c r="H2899" s="26">
        <v>7.2300000000000003E-2</v>
      </c>
      <c r="I2899" s="26">
        <v>6.3399999999999998E-2</v>
      </c>
      <c r="J2899" s="26">
        <v>5.2499999999999998E-2</v>
      </c>
      <c r="K2899" s="26">
        <v>4.7899999999999998E-2</v>
      </c>
      <c r="L2899" s="26">
        <v>3.9600000000000003E-2</v>
      </c>
      <c r="M2899" s="26">
        <v>3.7199999999999997E-2</v>
      </c>
      <c r="N2899" s="26">
        <v>1.4999999999999999E-2</v>
      </c>
      <c r="O2899" s="26">
        <v>1.34E-2</v>
      </c>
      <c r="P2899" s="26">
        <v>2.2000000000000001E-3</v>
      </c>
      <c r="Q2899" s="26">
        <v>1.9E-3</v>
      </c>
      <c r="R2899">
        <v>2789</v>
      </c>
    </row>
    <row r="2901" spans="1:19" x14ac:dyDescent="0.35">
      <c r="A2901" s="1" t="s">
        <v>564</v>
      </c>
    </row>
    <row r="2902" spans="1:19" x14ac:dyDescent="0.35">
      <c r="A2902" t="s">
        <v>219</v>
      </c>
      <c r="B2902" t="s">
        <v>305</v>
      </c>
      <c r="C2902" t="s">
        <v>550</v>
      </c>
      <c r="D2902" t="s">
        <v>551</v>
      </c>
      <c r="E2902" t="s">
        <v>552</v>
      </c>
      <c r="F2902" t="s">
        <v>553</v>
      </c>
      <c r="G2902" t="s">
        <v>554</v>
      </c>
      <c r="H2902" t="s">
        <v>555</v>
      </c>
      <c r="I2902" t="s">
        <v>556</v>
      </c>
      <c r="J2902" t="s">
        <v>557</v>
      </c>
      <c r="K2902" t="s">
        <v>558</v>
      </c>
      <c r="L2902" t="s">
        <v>559</v>
      </c>
      <c r="M2902" t="s">
        <v>560</v>
      </c>
      <c r="N2902" t="s">
        <v>561</v>
      </c>
      <c r="O2902" t="s">
        <v>562</v>
      </c>
      <c r="P2902" t="s">
        <v>563</v>
      </c>
      <c r="Q2902" t="s">
        <v>286</v>
      </c>
      <c r="R2902" t="s">
        <v>281</v>
      </c>
      <c r="S2902" t="s">
        <v>226</v>
      </c>
    </row>
    <row r="2903" spans="1:19" x14ac:dyDescent="0.35">
      <c r="A2903" t="s">
        <v>227</v>
      </c>
      <c r="B2903" t="s">
        <v>242</v>
      </c>
      <c r="C2903" s="26">
        <v>0.13239999999999999</v>
      </c>
      <c r="D2903" s="26">
        <v>0.57350000000000001</v>
      </c>
      <c r="E2903" s="26">
        <v>0.35289999999999999</v>
      </c>
      <c r="F2903" s="26">
        <v>0.1618</v>
      </c>
      <c r="G2903" s="26">
        <v>0.13239999999999999</v>
      </c>
      <c r="H2903" s="26">
        <v>0.23530000000000001</v>
      </c>
      <c r="I2903" s="26">
        <v>8.8200000000000001E-2</v>
      </c>
      <c r="J2903" s="26">
        <v>8.8200000000000001E-2</v>
      </c>
      <c r="K2903" s="26">
        <v>4.41E-2</v>
      </c>
      <c r="L2903" s="26">
        <v>0.10290000000000001</v>
      </c>
      <c r="M2903" s="26">
        <v>7.3499999999999996E-2</v>
      </c>
      <c r="N2903" s="26">
        <v>4.41E-2</v>
      </c>
      <c r="P2903" s="26">
        <v>1.47E-2</v>
      </c>
      <c r="S2903">
        <v>68</v>
      </c>
    </row>
    <row r="2904" spans="1:19" x14ac:dyDescent="0.35">
      <c r="A2904" t="s">
        <v>227</v>
      </c>
      <c r="B2904" t="s">
        <v>241</v>
      </c>
      <c r="C2904" s="26">
        <v>0.5806</v>
      </c>
      <c r="D2904" s="26">
        <v>0.2581</v>
      </c>
      <c r="E2904" s="26">
        <v>0.1075</v>
      </c>
      <c r="F2904" s="26">
        <v>6.4500000000000002E-2</v>
      </c>
      <c r="G2904" s="26">
        <v>5.3800000000000001E-2</v>
      </c>
      <c r="H2904" s="26">
        <v>4.2999999999999997E-2</v>
      </c>
      <c r="I2904" s="26">
        <v>4.2999999999999997E-2</v>
      </c>
      <c r="J2904" s="26">
        <v>3.2300000000000002E-2</v>
      </c>
      <c r="K2904" s="26">
        <v>5.3800000000000001E-2</v>
      </c>
      <c r="L2904" s="26">
        <v>2.1499999999999998E-2</v>
      </c>
      <c r="N2904" s="26">
        <v>1.0800000000000001E-2</v>
      </c>
      <c r="S2904">
        <v>93</v>
      </c>
    </row>
    <row r="2905" spans="1:19" x14ac:dyDescent="0.35">
      <c r="A2905" t="s">
        <v>228</v>
      </c>
      <c r="B2905" t="s">
        <v>242</v>
      </c>
      <c r="C2905" s="26">
        <v>0.1263</v>
      </c>
      <c r="D2905" s="26">
        <v>0.45910000000000001</v>
      </c>
      <c r="E2905" s="26">
        <v>0.39679999999999999</v>
      </c>
      <c r="F2905" s="26">
        <v>0.1893</v>
      </c>
      <c r="G2905" s="26">
        <v>0.1598</v>
      </c>
      <c r="H2905" s="26">
        <v>0.18920000000000001</v>
      </c>
      <c r="I2905" s="26">
        <v>9.4100000000000003E-2</v>
      </c>
      <c r="J2905" s="26">
        <v>5.7200000000000001E-2</v>
      </c>
      <c r="K2905" s="26">
        <v>6.6400000000000001E-2</v>
      </c>
      <c r="L2905" s="26">
        <v>6.6400000000000001E-2</v>
      </c>
      <c r="M2905" s="26">
        <v>0.10050000000000001</v>
      </c>
      <c r="N2905" s="26">
        <v>8.6800000000000002E-2</v>
      </c>
      <c r="O2905" s="26">
        <v>4.1000000000000002E-2</v>
      </c>
      <c r="P2905" s="26">
        <v>1.6299999999999999E-2</v>
      </c>
      <c r="Q2905" s="26">
        <v>3.3E-3</v>
      </c>
      <c r="R2905" s="26">
        <v>1.5E-3</v>
      </c>
      <c r="S2905">
        <v>395</v>
      </c>
    </row>
    <row r="2906" spans="1:19" x14ac:dyDescent="0.35">
      <c r="A2906" t="s">
        <v>228</v>
      </c>
      <c r="B2906" t="s">
        <v>241</v>
      </c>
      <c r="C2906" s="26">
        <v>0.50470000000000004</v>
      </c>
      <c r="D2906" s="26">
        <v>0.26769999999999999</v>
      </c>
      <c r="E2906" s="26">
        <v>0.1172</v>
      </c>
      <c r="F2906" s="26">
        <v>6.88E-2</v>
      </c>
      <c r="G2906" s="26">
        <v>6.7199999999999996E-2</v>
      </c>
      <c r="H2906" s="26">
        <v>3.9300000000000002E-2</v>
      </c>
      <c r="I2906" s="26">
        <v>3.8899999999999997E-2</v>
      </c>
      <c r="J2906" s="26">
        <v>6.6400000000000001E-2</v>
      </c>
      <c r="K2906" s="26">
        <v>4.2299999999999997E-2</v>
      </c>
      <c r="L2906" s="26">
        <v>2.4400000000000002E-2</v>
      </c>
      <c r="M2906" s="26">
        <v>1.77E-2</v>
      </c>
      <c r="N2906" s="26">
        <v>1.1900000000000001E-2</v>
      </c>
      <c r="O2906" s="26">
        <v>1.38E-2</v>
      </c>
      <c r="P2906" s="26">
        <v>1.0800000000000001E-2</v>
      </c>
      <c r="Q2906" s="26">
        <v>1.9E-3</v>
      </c>
      <c r="R2906" s="26">
        <v>5.9999999999999995E-4</v>
      </c>
      <c r="S2906">
        <v>625</v>
      </c>
    </row>
    <row r="2907" spans="1:19" x14ac:dyDescent="0.35">
      <c r="A2907" t="s">
        <v>229</v>
      </c>
      <c r="B2907" t="s">
        <v>242</v>
      </c>
      <c r="C2907" s="26">
        <v>0.15229999999999999</v>
      </c>
      <c r="D2907" s="26">
        <v>0.46100000000000002</v>
      </c>
      <c r="E2907" s="26">
        <v>0.31219999999999998</v>
      </c>
      <c r="F2907" s="26">
        <v>0.17480000000000001</v>
      </c>
      <c r="G2907" s="26">
        <v>0.20580000000000001</v>
      </c>
      <c r="H2907" s="26">
        <v>0.16869999999999999</v>
      </c>
      <c r="I2907" s="26">
        <v>0.15090000000000001</v>
      </c>
      <c r="J2907" s="26">
        <v>8.9099999999999999E-2</v>
      </c>
      <c r="K2907" s="26">
        <v>7.5999999999999998E-2</v>
      </c>
      <c r="L2907" s="26">
        <v>5.4699999999999999E-2</v>
      </c>
      <c r="M2907" s="26">
        <v>8.8900000000000007E-2</v>
      </c>
      <c r="N2907" s="26">
        <v>0.1046</v>
      </c>
      <c r="O2907" s="26">
        <v>2.3400000000000001E-2</v>
      </c>
      <c r="P2907" s="26">
        <v>3.9800000000000002E-2</v>
      </c>
      <c r="Q2907" s="26">
        <v>7.1000000000000004E-3</v>
      </c>
      <c r="R2907" s="26">
        <v>2.0000000000000001E-4</v>
      </c>
      <c r="S2907">
        <v>290</v>
      </c>
    </row>
    <row r="2908" spans="1:19" x14ac:dyDescent="0.35">
      <c r="A2908" t="s">
        <v>229</v>
      </c>
      <c r="B2908" t="s">
        <v>241</v>
      </c>
      <c r="C2908" s="26">
        <v>0.59130000000000005</v>
      </c>
      <c r="D2908" s="26">
        <v>0.23899999999999999</v>
      </c>
      <c r="E2908" s="26">
        <v>0.1138</v>
      </c>
      <c r="F2908" s="26">
        <v>4.5199999999999997E-2</v>
      </c>
      <c r="G2908" s="26">
        <v>3.5200000000000002E-2</v>
      </c>
      <c r="H2908" s="26">
        <v>4.4499999999999998E-2</v>
      </c>
      <c r="I2908" s="26">
        <v>5.4600000000000003E-2</v>
      </c>
      <c r="J2908" s="26">
        <v>5.1499999999999997E-2</v>
      </c>
      <c r="K2908" s="26">
        <v>2.8000000000000001E-2</v>
      </c>
      <c r="L2908" s="26">
        <v>1.7899999999999999E-2</v>
      </c>
      <c r="M2908" s="26">
        <v>2.3400000000000001E-2</v>
      </c>
      <c r="N2908" s="26">
        <v>7.1000000000000004E-3</v>
      </c>
      <c r="O2908" s="26">
        <v>1.21E-2</v>
      </c>
      <c r="P2908" s="26">
        <v>1.03E-2</v>
      </c>
      <c r="Q2908" s="26">
        <v>4.8999999999999998E-3</v>
      </c>
      <c r="R2908" s="26">
        <v>2.9999999999999997E-4</v>
      </c>
      <c r="S2908">
        <v>601</v>
      </c>
    </row>
    <row r="2909" spans="1:19" x14ac:dyDescent="0.35">
      <c r="A2909" t="s">
        <v>230</v>
      </c>
      <c r="B2909" t="s">
        <v>242</v>
      </c>
      <c r="C2909" s="26">
        <v>0.2044</v>
      </c>
      <c r="D2909" s="26">
        <v>0.46560000000000001</v>
      </c>
      <c r="E2909" s="26">
        <v>0.34139999999999998</v>
      </c>
      <c r="F2909" s="26">
        <v>0.17430000000000001</v>
      </c>
      <c r="G2909" s="26">
        <v>0.20730000000000001</v>
      </c>
      <c r="H2909" s="26">
        <v>0.1724</v>
      </c>
      <c r="I2909" s="26">
        <v>8.2600000000000007E-2</v>
      </c>
      <c r="J2909" s="26">
        <v>9.9199999999999997E-2</v>
      </c>
      <c r="K2909" s="26">
        <v>0.1009</v>
      </c>
      <c r="L2909" s="26">
        <v>8.2199999999999995E-2</v>
      </c>
      <c r="M2909" s="26">
        <v>1.43E-2</v>
      </c>
      <c r="N2909" s="26">
        <v>6.8099999999999994E-2</v>
      </c>
      <c r="O2909" s="26">
        <v>3.9600000000000003E-2</v>
      </c>
      <c r="P2909" s="26">
        <v>2.7099999999999999E-2</v>
      </c>
      <c r="S2909">
        <v>185</v>
      </c>
    </row>
    <row r="2910" spans="1:19" x14ac:dyDescent="0.35">
      <c r="A2910" t="s">
        <v>230</v>
      </c>
      <c r="B2910" t="s">
        <v>241</v>
      </c>
      <c r="C2910" s="26">
        <v>0.5343</v>
      </c>
      <c r="D2910" s="26">
        <v>0.2424</v>
      </c>
      <c r="E2910" s="26">
        <v>0.1535</v>
      </c>
      <c r="F2910" s="26">
        <v>7.5399999999999995E-2</v>
      </c>
      <c r="G2910" s="26">
        <v>2.9600000000000001E-2</v>
      </c>
      <c r="H2910" s="26">
        <v>1.12E-2</v>
      </c>
      <c r="I2910" s="26">
        <v>3.7499999999999999E-2</v>
      </c>
      <c r="J2910" s="26">
        <v>3.4799999999999998E-2</v>
      </c>
      <c r="K2910" s="26">
        <v>2.6100000000000002E-2</v>
      </c>
      <c r="L2910" s="26">
        <v>4.7899999999999998E-2</v>
      </c>
      <c r="M2910" s="26">
        <v>1.8100000000000002E-2</v>
      </c>
      <c r="N2910" s="26">
        <v>1.1299999999999999E-2</v>
      </c>
      <c r="O2910" s="26">
        <v>1.67E-2</v>
      </c>
      <c r="P2910" s="26">
        <v>1.8499999999999999E-2</v>
      </c>
      <c r="Q2910" s="26">
        <v>1.2999999999999999E-3</v>
      </c>
      <c r="S2910">
        <v>369</v>
      </c>
    </row>
    <row r="2911" spans="1:19" x14ac:dyDescent="0.35">
      <c r="A2911" t="s">
        <v>231</v>
      </c>
      <c r="B2911" t="s">
        <v>242</v>
      </c>
      <c r="C2911" s="26">
        <v>0.1321</v>
      </c>
      <c r="D2911" s="26">
        <v>0.54720000000000002</v>
      </c>
      <c r="E2911" s="26">
        <v>0.37740000000000001</v>
      </c>
      <c r="F2911" s="26">
        <v>0.22639999999999999</v>
      </c>
      <c r="G2911" s="26">
        <v>0.22639999999999999</v>
      </c>
      <c r="H2911" s="26">
        <v>9.4299999999999995E-2</v>
      </c>
      <c r="I2911" s="26">
        <v>7.5499999999999998E-2</v>
      </c>
      <c r="J2911" s="26">
        <v>5.6599999999999998E-2</v>
      </c>
      <c r="K2911" s="26">
        <v>7.5499999999999998E-2</v>
      </c>
      <c r="L2911" s="26">
        <v>0.1132</v>
      </c>
      <c r="M2911" s="26">
        <v>5.6599999999999998E-2</v>
      </c>
      <c r="N2911" s="26">
        <v>9.4299999999999995E-2</v>
      </c>
      <c r="P2911" s="26">
        <v>1.89E-2</v>
      </c>
      <c r="S2911">
        <v>53</v>
      </c>
    </row>
    <row r="2912" spans="1:19" x14ac:dyDescent="0.35">
      <c r="A2912" t="s">
        <v>231</v>
      </c>
      <c r="B2912" t="s">
        <v>241</v>
      </c>
      <c r="C2912" s="26">
        <v>0.52729999999999999</v>
      </c>
      <c r="D2912" s="26">
        <v>0.29089999999999999</v>
      </c>
      <c r="E2912" s="26">
        <v>0.13639999999999999</v>
      </c>
      <c r="F2912" s="26">
        <v>6.3600000000000004E-2</v>
      </c>
      <c r="G2912" s="26">
        <v>7.2700000000000001E-2</v>
      </c>
      <c r="H2912" s="26">
        <v>4.5499999999999999E-2</v>
      </c>
      <c r="I2912" s="26">
        <v>7.2700000000000001E-2</v>
      </c>
      <c r="J2912" s="26">
        <v>7.2700000000000001E-2</v>
      </c>
      <c r="K2912" s="26">
        <v>5.45E-2</v>
      </c>
      <c r="L2912" s="26">
        <v>3.6400000000000002E-2</v>
      </c>
      <c r="M2912" s="26">
        <v>2.7300000000000001E-2</v>
      </c>
      <c r="N2912" s="26">
        <v>9.1000000000000004E-3</v>
      </c>
      <c r="O2912" s="26">
        <v>1.8200000000000001E-2</v>
      </c>
      <c r="R2912" s="26">
        <v>9.1000000000000004E-3</v>
      </c>
      <c r="S2912">
        <v>110</v>
      </c>
    </row>
    <row r="2913" spans="1:19" x14ac:dyDescent="0.35">
      <c r="A2913" t="s">
        <v>232</v>
      </c>
      <c r="B2913" t="s">
        <v>232</v>
      </c>
      <c r="C2913" s="26">
        <v>0.40010000000000001</v>
      </c>
      <c r="D2913" s="26">
        <v>0.35039999999999999</v>
      </c>
      <c r="E2913" s="26">
        <v>0.2084</v>
      </c>
      <c r="F2913" s="26">
        <v>0.1074</v>
      </c>
      <c r="G2913" s="26">
        <v>0.10390000000000001</v>
      </c>
      <c r="H2913" s="26">
        <v>8.6499999999999994E-2</v>
      </c>
      <c r="I2913" s="26">
        <v>7.2300000000000003E-2</v>
      </c>
      <c r="J2913" s="26">
        <v>6.3399999999999998E-2</v>
      </c>
      <c r="K2913" s="26">
        <v>5.2499999999999998E-2</v>
      </c>
      <c r="L2913" s="26">
        <v>4.7899999999999998E-2</v>
      </c>
      <c r="M2913" s="26">
        <v>3.9600000000000003E-2</v>
      </c>
      <c r="N2913" s="26">
        <v>3.7199999999999997E-2</v>
      </c>
      <c r="O2913" s="26">
        <v>1.4999999999999999E-2</v>
      </c>
      <c r="P2913" s="26">
        <v>1.34E-2</v>
      </c>
      <c r="Q2913" s="26">
        <v>2.2000000000000001E-3</v>
      </c>
      <c r="R2913" s="26">
        <v>1.9E-3</v>
      </c>
      <c r="S2913">
        <v>2789</v>
      </c>
    </row>
    <row r="2915" spans="1:19" x14ac:dyDescent="0.35">
      <c r="A2915" s="1" t="s">
        <v>565</v>
      </c>
    </row>
    <row r="2916" spans="1:19" x14ac:dyDescent="0.35">
      <c r="A2916" t="s">
        <v>219</v>
      </c>
      <c r="B2916" t="s">
        <v>305</v>
      </c>
      <c r="C2916" t="s">
        <v>550</v>
      </c>
      <c r="D2916" t="s">
        <v>551</v>
      </c>
      <c r="E2916" t="s">
        <v>552</v>
      </c>
      <c r="F2916" t="s">
        <v>553</v>
      </c>
      <c r="G2916" t="s">
        <v>554</v>
      </c>
      <c r="H2916" t="s">
        <v>555</v>
      </c>
      <c r="I2916" t="s">
        <v>556</v>
      </c>
      <c r="J2916" t="s">
        <v>557</v>
      </c>
      <c r="K2916" t="s">
        <v>558</v>
      </c>
      <c r="L2916" t="s">
        <v>559</v>
      </c>
      <c r="M2916" t="s">
        <v>560</v>
      </c>
      <c r="N2916" t="s">
        <v>561</v>
      </c>
      <c r="O2916" t="s">
        <v>562</v>
      </c>
      <c r="P2916" t="s">
        <v>563</v>
      </c>
      <c r="Q2916" t="s">
        <v>286</v>
      </c>
      <c r="R2916" t="s">
        <v>281</v>
      </c>
      <c r="S2916" t="s">
        <v>226</v>
      </c>
    </row>
    <row r="2917" spans="1:19" x14ac:dyDescent="0.35">
      <c r="A2917" t="s">
        <v>227</v>
      </c>
      <c r="B2917" t="s">
        <v>239</v>
      </c>
      <c r="C2917" s="26">
        <v>0.3226</v>
      </c>
      <c r="D2917" s="26">
        <v>0.5</v>
      </c>
      <c r="E2917" s="26">
        <v>0.2903</v>
      </c>
      <c r="F2917" s="26">
        <v>9.6799999999999997E-2</v>
      </c>
      <c r="G2917" s="26">
        <v>0.1452</v>
      </c>
      <c r="H2917" s="26">
        <v>0.1129</v>
      </c>
      <c r="I2917" s="26">
        <v>6.4500000000000002E-2</v>
      </c>
      <c r="J2917" s="26">
        <v>6.4500000000000002E-2</v>
      </c>
      <c r="K2917" s="26">
        <v>4.8399999999999999E-2</v>
      </c>
      <c r="L2917" s="26">
        <v>6.4500000000000002E-2</v>
      </c>
      <c r="M2917" s="26">
        <v>3.2300000000000002E-2</v>
      </c>
      <c r="N2917" s="26">
        <v>1.61E-2</v>
      </c>
      <c r="S2917">
        <v>62</v>
      </c>
    </row>
    <row r="2918" spans="1:19" x14ac:dyDescent="0.35">
      <c r="A2918" t="s">
        <v>227</v>
      </c>
      <c r="B2918" t="s">
        <v>238</v>
      </c>
      <c r="C2918" s="26">
        <v>0.43430000000000002</v>
      </c>
      <c r="D2918" s="26">
        <v>0.32319999999999999</v>
      </c>
      <c r="E2918" s="26">
        <v>0.16159999999999999</v>
      </c>
      <c r="F2918" s="26">
        <v>0.1111</v>
      </c>
      <c r="G2918" s="26">
        <v>5.0500000000000003E-2</v>
      </c>
      <c r="H2918" s="26">
        <v>0.1313</v>
      </c>
      <c r="I2918" s="26">
        <v>6.0600000000000001E-2</v>
      </c>
      <c r="J2918" s="26">
        <v>5.0500000000000003E-2</v>
      </c>
      <c r="K2918" s="26">
        <v>5.0500000000000003E-2</v>
      </c>
      <c r="L2918" s="26">
        <v>5.0500000000000003E-2</v>
      </c>
      <c r="M2918" s="26">
        <v>3.0300000000000001E-2</v>
      </c>
      <c r="N2918" s="26">
        <v>3.0300000000000001E-2</v>
      </c>
      <c r="P2918" s="26">
        <v>1.01E-2</v>
      </c>
      <c r="S2918">
        <v>99</v>
      </c>
    </row>
    <row r="2919" spans="1:19" x14ac:dyDescent="0.35">
      <c r="A2919" t="s">
        <v>228</v>
      </c>
      <c r="B2919" t="s">
        <v>239</v>
      </c>
      <c r="C2919" s="26">
        <v>0.31709999999999999</v>
      </c>
      <c r="D2919" s="26">
        <v>0.40550000000000003</v>
      </c>
      <c r="E2919" s="26">
        <v>0.24179999999999999</v>
      </c>
      <c r="F2919" s="26">
        <v>0.1191</v>
      </c>
      <c r="G2919" s="26">
        <v>0.17580000000000001</v>
      </c>
      <c r="H2919" s="26">
        <v>0.1169</v>
      </c>
      <c r="I2919" s="26">
        <v>4.87E-2</v>
      </c>
      <c r="J2919" s="26">
        <v>8.6800000000000002E-2</v>
      </c>
      <c r="K2919" s="26">
        <v>4.5699999999999998E-2</v>
      </c>
      <c r="L2919" s="26">
        <v>4.1599999999999998E-2</v>
      </c>
      <c r="M2919" s="26">
        <v>7.4099999999999999E-2</v>
      </c>
      <c r="N2919" s="26">
        <v>1.9E-2</v>
      </c>
      <c r="O2919" s="26">
        <v>2.3900000000000001E-2</v>
      </c>
      <c r="P2919" s="26">
        <v>1.47E-2</v>
      </c>
      <c r="R2919" s="26">
        <v>4.5999999999999999E-3</v>
      </c>
      <c r="S2919">
        <v>326</v>
      </c>
    </row>
    <row r="2920" spans="1:19" x14ac:dyDescent="0.35">
      <c r="A2920" t="s">
        <v>228</v>
      </c>
      <c r="B2920" t="s">
        <v>238</v>
      </c>
      <c r="C2920" s="26">
        <v>0.37959999999999999</v>
      </c>
      <c r="D2920" s="26">
        <v>0.3201</v>
      </c>
      <c r="E2920" s="26">
        <v>0.2132</v>
      </c>
      <c r="F2920" s="26">
        <v>0.111</v>
      </c>
      <c r="G2920" s="26">
        <v>8.1900000000000001E-2</v>
      </c>
      <c r="H2920" s="26">
        <v>8.8099999999999998E-2</v>
      </c>
      <c r="I2920" s="26">
        <v>6.1600000000000002E-2</v>
      </c>
      <c r="J2920" s="26">
        <v>5.7000000000000002E-2</v>
      </c>
      <c r="K2920" s="26">
        <v>5.2499999999999998E-2</v>
      </c>
      <c r="L2920" s="26">
        <v>3.9199999999999999E-2</v>
      </c>
      <c r="M2920" s="26">
        <v>4.1200000000000001E-2</v>
      </c>
      <c r="N2920" s="26">
        <v>4.4299999999999999E-2</v>
      </c>
      <c r="O2920" s="26">
        <v>2.3699999999999999E-2</v>
      </c>
      <c r="P2920" s="26">
        <v>1.23E-2</v>
      </c>
      <c r="Q2920" s="26">
        <v>3.0000000000000001E-3</v>
      </c>
      <c r="S2920">
        <v>694</v>
      </c>
    </row>
    <row r="2921" spans="1:19" x14ac:dyDescent="0.35">
      <c r="A2921" t="s">
        <v>229</v>
      </c>
      <c r="B2921" t="s">
        <v>239</v>
      </c>
      <c r="C2921" s="26">
        <v>0.41620000000000001</v>
      </c>
      <c r="D2921" s="26">
        <v>0.35909999999999997</v>
      </c>
      <c r="E2921" s="26">
        <v>0.2203</v>
      </c>
      <c r="F2921" s="26">
        <v>0.12620000000000001</v>
      </c>
      <c r="G2921" s="26">
        <v>7.9000000000000001E-2</v>
      </c>
      <c r="H2921" s="26">
        <v>0.1343</v>
      </c>
      <c r="I2921" s="26">
        <v>6.6000000000000003E-2</v>
      </c>
      <c r="J2921" s="26">
        <v>4.6300000000000001E-2</v>
      </c>
      <c r="K2921" s="26">
        <v>3.2500000000000001E-2</v>
      </c>
      <c r="L2921" s="26">
        <v>4.0399999999999998E-2</v>
      </c>
      <c r="M2921" s="26">
        <v>6.6199999999999995E-2</v>
      </c>
      <c r="N2921" s="26">
        <v>5.28E-2</v>
      </c>
      <c r="O2921" s="26">
        <v>4.0000000000000002E-4</v>
      </c>
      <c r="P2921" s="26">
        <v>1.2800000000000001E-2</v>
      </c>
      <c r="Q2921" s="26">
        <v>1E-3</v>
      </c>
      <c r="R2921" s="26">
        <v>4.0000000000000002E-4</v>
      </c>
      <c r="S2921">
        <v>332</v>
      </c>
    </row>
    <row r="2922" spans="1:19" x14ac:dyDescent="0.35">
      <c r="A2922" t="s">
        <v>229</v>
      </c>
      <c r="B2922" t="s">
        <v>238</v>
      </c>
      <c r="C2922" s="26">
        <v>0.42159999999999997</v>
      </c>
      <c r="D2922" s="26">
        <v>0.314</v>
      </c>
      <c r="E2922" s="26">
        <v>0.18110000000000001</v>
      </c>
      <c r="F2922" s="26">
        <v>8.5199999999999998E-2</v>
      </c>
      <c r="G2922" s="26">
        <v>0.1095</v>
      </c>
      <c r="H2922" s="26">
        <v>7.8700000000000006E-2</v>
      </c>
      <c r="I2922" s="26">
        <v>0.1011</v>
      </c>
      <c r="J2922" s="26">
        <v>7.2999999999999995E-2</v>
      </c>
      <c r="K2922" s="26">
        <v>5.16E-2</v>
      </c>
      <c r="L2922" s="26">
        <v>2.9399999999999999E-2</v>
      </c>
      <c r="M2922" s="26">
        <v>4.2900000000000001E-2</v>
      </c>
      <c r="N2922" s="26">
        <v>4.24E-2</v>
      </c>
      <c r="O2922" s="26">
        <v>2.2100000000000002E-2</v>
      </c>
      <c r="P2922" s="26">
        <v>2.4899999999999999E-2</v>
      </c>
      <c r="Q2922" s="26">
        <v>7.4000000000000003E-3</v>
      </c>
      <c r="R2922" s="26">
        <v>2.0000000000000001E-4</v>
      </c>
      <c r="S2922">
        <v>559</v>
      </c>
    </row>
    <row r="2923" spans="1:19" x14ac:dyDescent="0.35">
      <c r="A2923" t="s">
        <v>230</v>
      </c>
      <c r="B2923" t="s">
        <v>239</v>
      </c>
      <c r="C2923" s="26">
        <v>0.41959999999999997</v>
      </c>
      <c r="D2923" s="26">
        <v>0.30499999999999999</v>
      </c>
      <c r="E2923" s="26">
        <v>0.21959999999999999</v>
      </c>
      <c r="F2923" s="26">
        <v>0.105</v>
      </c>
      <c r="G2923" s="26">
        <v>0.105</v>
      </c>
      <c r="H2923" s="26">
        <v>9.5000000000000001E-2</v>
      </c>
      <c r="I2923" s="26">
        <v>4.36E-2</v>
      </c>
      <c r="J2923" s="26">
        <v>3.7600000000000001E-2</v>
      </c>
      <c r="K2923" s="26">
        <v>8.1199999999999994E-2</v>
      </c>
      <c r="L2923" s="26">
        <v>5.1700000000000003E-2</v>
      </c>
      <c r="M2923" s="26">
        <v>2.4400000000000002E-2</v>
      </c>
      <c r="N2923" s="26">
        <v>9.7999999999999997E-3</v>
      </c>
      <c r="O2923" s="26">
        <v>2.2200000000000001E-2</v>
      </c>
      <c r="P2923" s="26">
        <v>6.1000000000000004E-3</v>
      </c>
      <c r="S2923">
        <v>209</v>
      </c>
    </row>
    <row r="2924" spans="1:19" x14ac:dyDescent="0.35">
      <c r="A2924" t="s">
        <v>230</v>
      </c>
      <c r="B2924" t="s">
        <v>238</v>
      </c>
      <c r="C2924" s="26">
        <v>0.42609999999999998</v>
      </c>
      <c r="D2924" s="26">
        <v>0.32190000000000002</v>
      </c>
      <c r="E2924" s="26">
        <v>0.21479999999999999</v>
      </c>
      <c r="F2924" s="26">
        <v>0.10979999999999999</v>
      </c>
      <c r="G2924" s="26">
        <v>8.2100000000000006E-2</v>
      </c>
      <c r="H2924" s="26">
        <v>5.2200000000000003E-2</v>
      </c>
      <c r="I2924" s="26">
        <v>5.6300000000000003E-2</v>
      </c>
      <c r="J2924" s="26">
        <v>6.4199999999999993E-2</v>
      </c>
      <c r="K2924" s="26">
        <v>3.8300000000000001E-2</v>
      </c>
      <c r="L2924" s="26">
        <v>6.2600000000000003E-2</v>
      </c>
      <c r="M2924" s="26">
        <v>1.3599999999999999E-2</v>
      </c>
      <c r="N2924" s="26">
        <v>3.8899999999999997E-2</v>
      </c>
      <c r="O2924" s="26">
        <v>2.53E-2</v>
      </c>
      <c r="P2924" s="26">
        <v>2.7900000000000001E-2</v>
      </c>
      <c r="Q2924" s="26">
        <v>1.2999999999999999E-3</v>
      </c>
      <c r="S2924">
        <v>345</v>
      </c>
    </row>
    <row r="2925" spans="1:19" x14ac:dyDescent="0.35">
      <c r="A2925" t="s">
        <v>231</v>
      </c>
      <c r="B2925" t="s">
        <v>239</v>
      </c>
      <c r="C2925" s="26">
        <v>0.25</v>
      </c>
      <c r="D2925" s="26">
        <v>0.44640000000000002</v>
      </c>
      <c r="E2925" s="26">
        <v>0.30359999999999998</v>
      </c>
      <c r="F2925" s="26">
        <v>0.16070000000000001</v>
      </c>
      <c r="G2925" s="26">
        <v>0.1429</v>
      </c>
      <c r="H2925" s="26">
        <v>8.9300000000000004E-2</v>
      </c>
      <c r="I2925" s="26">
        <v>5.3600000000000002E-2</v>
      </c>
      <c r="J2925" s="26">
        <v>0.1071</v>
      </c>
      <c r="K2925" s="26">
        <v>7.1400000000000005E-2</v>
      </c>
      <c r="L2925" s="26">
        <v>0.1429</v>
      </c>
      <c r="M2925" s="26">
        <v>7.1400000000000005E-2</v>
      </c>
      <c r="N2925" s="26">
        <v>3.5700000000000003E-2</v>
      </c>
      <c r="O2925" s="26">
        <v>1.7899999999999999E-2</v>
      </c>
      <c r="P2925" s="26">
        <v>1.7899999999999999E-2</v>
      </c>
      <c r="R2925" s="26">
        <v>1.7899999999999999E-2</v>
      </c>
      <c r="S2925">
        <v>56</v>
      </c>
    </row>
    <row r="2926" spans="1:19" x14ac:dyDescent="0.35">
      <c r="A2926" t="s">
        <v>231</v>
      </c>
      <c r="B2926" t="s">
        <v>238</v>
      </c>
      <c r="C2926" s="26">
        <v>0.47660000000000002</v>
      </c>
      <c r="D2926" s="26">
        <v>0.33639999999999998</v>
      </c>
      <c r="E2926" s="26">
        <v>0.16819999999999999</v>
      </c>
      <c r="F2926" s="26">
        <v>9.35E-2</v>
      </c>
      <c r="G2926" s="26">
        <v>0.11210000000000001</v>
      </c>
      <c r="H2926" s="26">
        <v>4.6699999999999998E-2</v>
      </c>
      <c r="I2926" s="26">
        <v>8.4099999999999994E-2</v>
      </c>
      <c r="J2926" s="26">
        <v>4.6699999999999998E-2</v>
      </c>
      <c r="K2926" s="26">
        <v>5.6099999999999997E-2</v>
      </c>
      <c r="L2926" s="26">
        <v>1.8700000000000001E-2</v>
      </c>
      <c r="M2926" s="26">
        <v>1.8700000000000001E-2</v>
      </c>
      <c r="N2926" s="26">
        <v>3.7400000000000003E-2</v>
      </c>
      <c r="O2926" s="26">
        <v>9.2999999999999992E-3</v>
      </c>
      <c r="S2926">
        <v>107</v>
      </c>
    </row>
    <row r="2927" spans="1:19" x14ac:dyDescent="0.35">
      <c r="A2927" t="s">
        <v>232</v>
      </c>
      <c r="B2927" t="s">
        <v>232</v>
      </c>
      <c r="C2927" s="26">
        <v>0.40010000000000001</v>
      </c>
      <c r="D2927" s="26">
        <v>0.35039999999999999</v>
      </c>
      <c r="E2927" s="26">
        <v>0.2084</v>
      </c>
      <c r="F2927" s="26">
        <v>0.1074</v>
      </c>
      <c r="G2927" s="26">
        <v>0.10390000000000001</v>
      </c>
      <c r="H2927" s="26">
        <v>8.6499999999999994E-2</v>
      </c>
      <c r="I2927" s="26">
        <v>7.2300000000000003E-2</v>
      </c>
      <c r="J2927" s="26">
        <v>6.3399999999999998E-2</v>
      </c>
      <c r="K2927" s="26">
        <v>5.2499999999999998E-2</v>
      </c>
      <c r="L2927" s="26">
        <v>4.7899999999999998E-2</v>
      </c>
      <c r="M2927" s="26">
        <v>3.9600000000000003E-2</v>
      </c>
      <c r="N2927" s="26">
        <v>3.7199999999999997E-2</v>
      </c>
      <c r="O2927" s="26">
        <v>1.4999999999999999E-2</v>
      </c>
      <c r="P2927" s="26">
        <v>1.34E-2</v>
      </c>
      <c r="Q2927" s="26">
        <v>2.2000000000000001E-3</v>
      </c>
      <c r="R2927" s="26">
        <v>1.9E-3</v>
      </c>
      <c r="S2927">
        <v>2789</v>
      </c>
    </row>
    <row r="2929" spans="1:19" x14ac:dyDescent="0.35">
      <c r="A2929" s="1" t="s">
        <v>566</v>
      </c>
    </row>
    <row r="2930" spans="1:19" x14ac:dyDescent="0.35">
      <c r="A2930" t="s">
        <v>219</v>
      </c>
      <c r="B2930" t="s">
        <v>305</v>
      </c>
      <c r="C2930" t="s">
        <v>550</v>
      </c>
      <c r="D2930" t="s">
        <v>551</v>
      </c>
      <c r="E2930" t="s">
        <v>552</v>
      </c>
      <c r="F2930" t="s">
        <v>553</v>
      </c>
      <c r="G2930" t="s">
        <v>554</v>
      </c>
      <c r="H2930" t="s">
        <v>555</v>
      </c>
      <c r="I2930" t="s">
        <v>556</v>
      </c>
      <c r="J2930" t="s">
        <v>557</v>
      </c>
      <c r="K2930" t="s">
        <v>558</v>
      </c>
      <c r="L2930" t="s">
        <v>559</v>
      </c>
      <c r="M2930" t="s">
        <v>560</v>
      </c>
      <c r="N2930" t="s">
        <v>561</v>
      </c>
      <c r="O2930" t="s">
        <v>562</v>
      </c>
      <c r="P2930" t="s">
        <v>563</v>
      </c>
      <c r="Q2930" t="s">
        <v>286</v>
      </c>
      <c r="R2930" t="s">
        <v>281</v>
      </c>
      <c r="S2930" t="s">
        <v>226</v>
      </c>
    </row>
    <row r="2931" spans="1:19" x14ac:dyDescent="0.35">
      <c r="A2931" t="s">
        <v>227</v>
      </c>
      <c r="B2931" t="s">
        <v>244</v>
      </c>
      <c r="C2931" s="26">
        <v>0.32290000000000002</v>
      </c>
      <c r="D2931" s="26">
        <v>0.4375</v>
      </c>
      <c r="E2931" s="26">
        <v>0.25</v>
      </c>
      <c r="F2931" s="26">
        <v>0.13539999999999999</v>
      </c>
      <c r="G2931" s="26">
        <v>0.1042</v>
      </c>
      <c r="H2931" s="26">
        <v>0.14580000000000001</v>
      </c>
      <c r="I2931" s="26">
        <v>6.25E-2</v>
      </c>
      <c r="J2931" s="26">
        <v>7.2900000000000006E-2</v>
      </c>
      <c r="K2931" s="26">
        <v>5.21E-2</v>
      </c>
      <c r="L2931" s="26">
        <v>7.2900000000000006E-2</v>
      </c>
      <c r="M2931" s="26">
        <v>4.1700000000000001E-2</v>
      </c>
      <c r="N2931" s="26">
        <v>1.04E-2</v>
      </c>
      <c r="P2931" s="26">
        <v>1.04E-2</v>
      </c>
      <c r="S2931">
        <v>96</v>
      </c>
    </row>
    <row r="2932" spans="1:19" x14ac:dyDescent="0.35">
      <c r="A2932" t="s">
        <v>227</v>
      </c>
      <c r="B2932" t="s">
        <v>245</v>
      </c>
      <c r="C2932" s="26">
        <v>0.50939999999999996</v>
      </c>
      <c r="D2932" s="26">
        <v>0.33960000000000001</v>
      </c>
      <c r="E2932" s="26">
        <v>0.16980000000000001</v>
      </c>
      <c r="F2932" s="26">
        <v>3.7699999999999997E-2</v>
      </c>
      <c r="G2932" s="26">
        <v>7.5499999999999998E-2</v>
      </c>
      <c r="H2932" s="26">
        <v>7.5499999999999998E-2</v>
      </c>
      <c r="I2932" s="26">
        <v>3.7699999999999997E-2</v>
      </c>
      <c r="J2932" s="26">
        <v>1.89E-2</v>
      </c>
      <c r="K2932" s="26">
        <v>3.7699999999999997E-2</v>
      </c>
      <c r="L2932" s="26">
        <v>1.89E-2</v>
      </c>
      <c r="N2932" s="26">
        <v>3.7699999999999997E-2</v>
      </c>
      <c r="S2932">
        <v>53</v>
      </c>
    </row>
    <row r="2933" spans="1:19" x14ac:dyDescent="0.35">
      <c r="A2933" s="27" t="s">
        <v>227</v>
      </c>
      <c r="B2933" s="27" t="s">
        <v>246</v>
      </c>
      <c r="C2933" s="28">
        <v>0.41670000000000001</v>
      </c>
      <c r="D2933" s="28">
        <v>0.25</v>
      </c>
      <c r="E2933" s="28">
        <v>8.3299999999999999E-2</v>
      </c>
      <c r="F2933" s="28">
        <v>0.16669999999999999</v>
      </c>
      <c r="G2933" s="29"/>
      <c r="H2933" s="28">
        <v>0.16669999999999999</v>
      </c>
      <c r="I2933" s="28">
        <v>0.16669999999999999</v>
      </c>
      <c r="J2933" s="28">
        <v>8.3299999999999999E-2</v>
      </c>
      <c r="K2933" s="28">
        <v>8.3299999999999999E-2</v>
      </c>
      <c r="L2933" s="28">
        <v>8.3299999999999999E-2</v>
      </c>
      <c r="M2933" s="28">
        <v>8.3299999999999999E-2</v>
      </c>
      <c r="N2933" s="28">
        <v>8.3299999999999999E-2</v>
      </c>
      <c r="O2933" s="29"/>
      <c r="P2933" s="29"/>
      <c r="Q2933" s="29"/>
      <c r="R2933" s="29"/>
      <c r="S2933" s="29" t="s">
        <v>342</v>
      </c>
    </row>
    <row r="2934" spans="1:19" x14ac:dyDescent="0.35">
      <c r="A2934" t="s">
        <v>228</v>
      </c>
      <c r="B2934" t="s">
        <v>244</v>
      </c>
      <c r="C2934" s="26">
        <v>0.3478</v>
      </c>
      <c r="D2934" s="26">
        <v>0.33610000000000001</v>
      </c>
      <c r="E2934" s="26">
        <v>0.2114</v>
      </c>
      <c r="F2934" s="26">
        <v>0.127</v>
      </c>
      <c r="G2934" s="26">
        <v>9.69E-2</v>
      </c>
      <c r="H2934" s="26">
        <v>9.1399999999999995E-2</v>
      </c>
      <c r="I2934" s="26">
        <v>7.4499999999999997E-2</v>
      </c>
      <c r="J2934" s="26">
        <v>8.0500000000000002E-2</v>
      </c>
      <c r="K2934" s="26">
        <v>5.67E-2</v>
      </c>
      <c r="L2934" s="26">
        <v>3.8300000000000001E-2</v>
      </c>
      <c r="M2934" s="26">
        <v>5.21E-2</v>
      </c>
      <c r="N2934" s="26">
        <v>3.5499999999999997E-2</v>
      </c>
      <c r="O2934" s="26">
        <v>3.0800000000000001E-2</v>
      </c>
      <c r="P2934" s="26">
        <v>1.52E-2</v>
      </c>
      <c r="Q2934" s="26">
        <v>1.8E-3</v>
      </c>
      <c r="R2934" s="26">
        <v>1.4E-3</v>
      </c>
      <c r="S2934">
        <v>633</v>
      </c>
    </row>
    <row r="2935" spans="1:19" x14ac:dyDescent="0.35">
      <c r="A2935" t="s">
        <v>228</v>
      </c>
      <c r="B2935" t="s">
        <v>245</v>
      </c>
      <c r="C2935" s="26">
        <v>0.439</v>
      </c>
      <c r="D2935" s="26">
        <v>0.34100000000000003</v>
      </c>
      <c r="E2935" s="26">
        <v>0.20030000000000001</v>
      </c>
      <c r="F2935" s="26">
        <v>8.9099999999999999E-2</v>
      </c>
      <c r="G2935" s="26">
        <v>0.1239</v>
      </c>
      <c r="H2935" s="26">
        <v>4.87E-2</v>
      </c>
      <c r="I2935" s="26">
        <v>3.1800000000000002E-2</v>
      </c>
      <c r="J2935" s="26">
        <v>2.5499999999999998E-2</v>
      </c>
      <c r="K2935" s="26">
        <v>2.98E-2</v>
      </c>
      <c r="L2935" s="26">
        <v>3.49E-2</v>
      </c>
      <c r="M2935" s="26">
        <v>8.8000000000000005E-3</v>
      </c>
      <c r="N2935" s="26">
        <v>2.4899999999999999E-2</v>
      </c>
      <c r="O2935" s="26">
        <v>5.5999999999999999E-3</v>
      </c>
      <c r="P2935" s="26">
        <v>4.8999999999999998E-3</v>
      </c>
      <c r="Q2935" s="26">
        <v>3.0999999999999999E-3</v>
      </c>
      <c r="S2935">
        <v>322</v>
      </c>
    </row>
    <row r="2936" spans="1:19" x14ac:dyDescent="0.35">
      <c r="A2936" t="s">
        <v>228</v>
      </c>
      <c r="B2936" t="s">
        <v>246</v>
      </c>
      <c r="C2936" s="26">
        <v>0.26590000000000003</v>
      </c>
      <c r="D2936" s="26">
        <v>0.33560000000000001</v>
      </c>
      <c r="E2936" s="26">
        <v>0.36499999999999999</v>
      </c>
      <c r="F2936" s="26">
        <v>6.9199999999999998E-2</v>
      </c>
      <c r="G2936" s="26">
        <v>4.9200000000000001E-2</v>
      </c>
      <c r="H2936" s="26">
        <v>0.29620000000000002</v>
      </c>
      <c r="I2936" s="26">
        <v>1.7500000000000002E-2</v>
      </c>
      <c r="J2936" s="26">
        <v>4.3799999999999999E-2</v>
      </c>
      <c r="K2936" s="26">
        <v>8.1900000000000001E-2</v>
      </c>
      <c r="L2936" s="26">
        <v>7.22E-2</v>
      </c>
      <c r="M2936" s="26">
        <v>0.16089999999999999</v>
      </c>
      <c r="N2936" s="26">
        <v>0.13</v>
      </c>
      <c r="O2936" s="26">
        <v>2.7799999999999998E-2</v>
      </c>
      <c r="P2936" s="26">
        <v>2.1000000000000001E-2</v>
      </c>
      <c r="Q2936" s="26">
        <v>5.3E-3</v>
      </c>
      <c r="S2936">
        <v>65</v>
      </c>
    </row>
    <row r="2937" spans="1:19" x14ac:dyDescent="0.35">
      <c r="A2937" t="s">
        <v>229</v>
      </c>
      <c r="B2937" t="s">
        <v>244</v>
      </c>
      <c r="C2937" s="26">
        <v>0.40529999999999999</v>
      </c>
      <c r="D2937" s="26">
        <v>0.3095</v>
      </c>
      <c r="E2937" s="26">
        <v>0.19600000000000001</v>
      </c>
      <c r="F2937" s="26">
        <v>9.3399999999999997E-2</v>
      </c>
      <c r="G2937" s="26">
        <v>0.1134</v>
      </c>
      <c r="H2937" s="26">
        <v>8.8300000000000003E-2</v>
      </c>
      <c r="I2937" s="26">
        <v>9.6500000000000002E-2</v>
      </c>
      <c r="J2937" s="26">
        <v>8.5699999999999998E-2</v>
      </c>
      <c r="K2937" s="26">
        <v>4.1799999999999997E-2</v>
      </c>
      <c r="L2937" s="26">
        <v>3.9600000000000003E-2</v>
      </c>
      <c r="M2937" s="26">
        <v>6.5500000000000003E-2</v>
      </c>
      <c r="N2937" s="26">
        <v>5.1499999999999997E-2</v>
      </c>
      <c r="O2937" s="26">
        <v>1.95E-2</v>
      </c>
      <c r="P2937" s="26">
        <v>1.9400000000000001E-2</v>
      </c>
      <c r="Q2937" s="26">
        <v>4.0000000000000002E-4</v>
      </c>
      <c r="R2937" s="26">
        <v>1E-4</v>
      </c>
      <c r="S2937">
        <v>555</v>
      </c>
    </row>
    <row r="2938" spans="1:19" x14ac:dyDescent="0.35">
      <c r="A2938" t="s">
        <v>229</v>
      </c>
      <c r="B2938" t="s">
        <v>245</v>
      </c>
      <c r="C2938" s="26">
        <v>0.47949999999999998</v>
      </c>
      <c r="D2938" s="26">
        <v>0.32469999999999999</v>
      </c>
      <c r="E2938" s="26">
        <v>0.14019999999999999</v>
      </c>
      <c r="F2938" s="26">
        <v>0.1004</v>
      </c>
      <c r="G2938" s="26">
        <v>8.9899999999999994E-2</v>
      </c>
      <c r="H2938" s="26">
        <v>7.0599999999999996E-2</v>
      </c>
      <c r="I2938" s="26">
        <v>7.9200000000000007E-2</v>
      </c>
      <c r="J2938" s="26">
        <v>3.3999999999999998E-3</v>
      </c>
      <c r="K2938" s="26">
        <v>6.0100000000000001E-2</v>
      </c>
      <c r="L2938" s="26">
        <v>9.1999999999999998E-3</v>
      </c>
      <c r="M2938" s="26">
        <v>1.29E-2</v>
      </c>
      <c r="N2938" s="26">
        <v>1.7500000000000002E-2</v>
      </c>
      <c r="P2938" s="26">
        <v>2.3099999999999999E-2</v>
      </c>
      <c r="Q2938" s="26">
        <v>2.1700000000000001E-2</v>
      </c>
      <c r="R2938" s="26">
        <v>6.9999999999999999E-4</v>
      </c>
      <c r="S2938">
        <v>291</v>
      </c>
    </row>
    <row r="2939" spans="1:19" x14ac:dyDescent="0.35">
      <c r="A2939" t="s">
        <v>229</v>
      </c>
      <c r="B2939" t="s">
        <v>246</v>
      </c>
      <c r="C2939" s="26">
        <v>0.33129999999999998</v>
      </c>
      <c r="D2939" s="26">
        <v>0.53669999999999995</v>
      </c>
      <c r="E2939" s="26">
        <v>0.37</v>
      </c>
      <c r="F2939" s="26">
        <v>0.1036</v>
      </c>
      <c r="G2939" s="26">
        <v>6.3E-3</v>
      </c>
      <c r="H2939" s="26">
        <v>0.25950000000000001</v>
      </c>
      <c r="I2939" s="26">
        <v>9.74E-2</v>
      </c>
      <c r="J2939" s="26">
        <v>0.1128</v>
      </c>
      <c r="K2939" s="26">
        <v>4.7100000000000003E-2</v>
      </c>
      <c r="L2939" s="26">
        <v>4.7100000000000003E-2</v>
      </c>
      <c r="M2939" s="26">
        <v>6.1999999999999998E-3</v>
      </c>
      <c r="N2939" s="26">
        <v>9.4200000000000006E-2</v>
      </c>
      <c r="O2939" s="26">
        <v>5.6399999999999999E-2</v>
      </c>
      <c r="P2939" s="26">
        <v>4.7100000000000003E-2</v>
      </c>
      <c r="S2939">
        <v>45</v>
      </c>
    </row>
    <row r="2940" spans="1:19" x14ac:dyDescent="0.35">
      <c r="A2940" t="s">
        <v>230</v>
      </c>
      <c r="B2940" t="s">
        <v>244</v>
      </c>
      <c r="C2940" s="26">
        <v>0.3952</v>
      </c>
      <c r="D2940" s="26">
        <v>0.33379999999999999</v>
      </c>
      <c r="E2940" s="26">
        <v>0.20349999999999999</v>
      </c>
      <c r="F2940" s="26">
        <v>0.1038</v>
      </c>
      <c r="G2940" s="26">
        <v>5.5399999999999998E-2</v>
      </c>
      <c r="H2940" s="26">
        <v>6.08E-2</v>
      </c>
      <c r="I2940" s="26">
        <v>5.8200000000000002E-2</v>
      </c>
      <c r="J2940" s="26">
        <v>7.0900000000000005E-2</v>
      </c>
      <c r="K2940" s="26">
        <v>5.6099999999999997E-2</v>
      </c>
      <c r="L2940" s="26">
        <v>7.4099999999999999E-2</v>
      </c>
      <c r="M2940" s="26">
        <v>1.3899999999999999E-2</v>
      </c>
      <c r="N2940" s="26">
        <v>3.3799999999999997E-2</v>
      </c>
      <c r="O2940" s="26">
        <v>3.3500000000000002E-2</v>
      </c>
      <c r="P2940" s="26">
        <v>2.0400000000000001E-2</v>
      </c>
      <c r="Q2940" s="26">
        <v>1.2999999999999999E-3</v>
      </c>
      <c r="S2940">
        <v>367</v>
      </c>
    </row>
    <row r="2941" spans="1:19" x14ac:dyDescent="0.35">
      <c r="A2941" t="s">
        <v>230</v>
      </c>
      <c r="B2941" t="s">
        <v>245</v>
      </c>
      <c r="C2941" s="26">
        <v>0.5212</v>
      </c>
      <c r="D2941" s="26">
        <v>0.24859999999999999</v>
      </c>
      <c r="E2941" s="26">
        <v>0.25130000000000002</v>
      </c>
      <c r="F2941" s="26">
        <v>9.7000000000000003E-2</v>
      </c>
      <c r="G2941" s="26">
        <v>0.1623</v>
      </c>
      <c r="H2941" s="26">
        <v>4.2900000000000001E-2</v>
      </c>
      <c r="I2941" s="26">
        <v>3.5900000000000001E-2</v>
      </c>
      <c r="J2941" s="26">
        <v>3.5000000000000001E-3</v>
      </c>
      <c r="K2941" s="26">
        <v>4.3900000000000002E-2</v>
      </c>
      <c r="L2941" s="26">
        <v>7.1000000000000004E-3</v>
      </c>
      <c r="M2941" s="26">
        <v>3.5000000000000001E-3</v>
      </c>
      <c r="N2941" s="26">
        <v>2.6499999999999999E-2</v>
      </c>
      <c r="O2941" s="26">
        <v>3.3999999999999998E-3</v>
      </c>
      <c r="P2941" s="26">
        <v>2.4400000000000002E-2</v>
      </c>
      <c r="S2941">
        <v>158</v>
      </c>
    </row>
    <row r="2942" spans="1:19" x14ac:dyDescent="0.35">
      <c r="A2942" s="27" t="s">
        <v>230</v>
      </c>
      <c r="B2942" s="27" t="s">
        <v>246</v>
      </c>
      <c r="C2942" s="28">
        <v>0.31840000000000002</v>
      </c>
      <c r="D2942" s="28">
        <v>0.44180000000000003</v>
      </c>
      <c r="E2942" s="28">
        <v>0.20899999999999999</v>
      </c>
      <c r="F2942" s="28">
        <v>0.23280000000000001</v>
      </c>
      <c r="G2942" s="28">
        <v>0.1716</v>
      </c>
      <c r="H2942" s="28">
        <v>0.24030000000000001</v>
      </c>
      <c r="I2942" s="28">
        <v>6.13E-2</v>
      </c>
      <c r="J2942" s="28">
        <v>0.1295</v>
      </c>
      <c r="K2942" s="28">
        <v>1.83E-2</v>
      </c>
      <c r="L2942" s="28">
        <v>0.129</v>
      </c>
      <c r="M2942" s="28">
        <v>0.129</v>
      </c>
      <c r="N2942" s="29"/>
      <c r="O2942" s="28">
        <v>5.5999999999999999E-3</v>
      </c>
      <c r="P2942" s="28">
        <v>1.8700000000000001E-2</v>
      </c>
      <c r="Q2942" s="29"/>
      <c r="R2942" s="29"/>
      <c r="S2942" s="29" t="s">
        <v>329</v>
      </c>
    </row>
    <row r="2943" spans="1:19" x14ac:dyDescent="0.35">
      <c r="A2943" t="s">
        <v>231</v>
      </c>
      <c r="B2943" t="s">
        <v>244</v>
      </c>
      <c r="C2943" s="26">
        <v>0.34739999999999999</v>
      </c>
      <c r="D2943" s="26">
        <v>0.36840000000000001</v>
      </c>
      <c r="E2943" s="26">
        <v>0.2316</v>
      </c>
      <c r="F2943" s="26">
        <v>0.1053</v>
      </c>
      <c r="G2943" s="26">
        <v>0.1263</v>
      </c>
      <c r="H2943" s="26">
        <v>8.4199999999999997E-2</v>
      </c>
      <c r="I2943" s="26">
        <v>8.4199999999999997E-2</v>
      </c>
      <c r="J2943" s="26">
        <v>0.1053</v>
      </c>
      <c r="K2943" s="26">
        <v>6.3200000000000006E-2</v>
      </c>
      <c r="L2943" s="26">
        <v>9.4700000000000006E-2</v>
      </c>
      <c r="M2943" s="26">
        <v>5.2600000000000001E-2</v>
      </c>
      <c r="N2943" s="26">
        <v>3.1600000000000003E-2</v>
      </c>
      <c r="O2943" s="26">
        <v>2.1100000000000001E-2</v>
      </c>
      <c r="R2943" s="26">
        <v>1.0500000000000001E-2</v>
      </c>
      <c r="S2943">
        <v>95</v>
      </c>
    </row>
    <row r="2944" spans="1:19" x14ac:dyDescent="0.35">
      <c r="A2944" t="s">
        <v>231</v>
      </c>
      <c r="B2944" t="s">
        <v>245</v>
      </c>
      <c r="C2944" s="26">
        <v>0.51790000000000003</v>
      </c>
      <c r="D2944" s="26">
        <v>0.39290000000000003</v>
      </c>
      <c r="E2944" s="26">
        <v>0.19639999999999999</v>
      </c>
      <c r="F2944" s="26">
        <v>8.9300000000000004E-2</v>
      </c>
      <c r="G2944" s="26">
        <v>0.125</v>
      </c>
      <c r="H2944" s="26">
        <v>3.5700000000000003E-2</v>
      </c>
      <c r="I2944" s="26">
        <v>1.7899999999999999E-2</v>
      </c>
      <c r="K2944" s="26">
        <v>7.1400000000000005E-2</v>
      </c>
      <c r="L2944" s="26">
        <v>1.7899999999999999E-2</v>
      </c>
      <c r="N2944" s="26">
        <v>3.5700000000000003E-2</v>
      </c>
      <c r="P2944" s="26">
        <v>1.7899999999999999E-2</v>
      </c>
      <c r="S2944">
        <v>56</v>
      </c>
    </row>
    <row r="2945" spans="1:19" x14ac:dyDescent="0.35">
      <c r="A2945" s="27" t="s">
        <v>231</v>
      </c>
      <c r="B2945" s="27" t="s">
        <v>246</v>
      </c>
      <c r="C2945" s="28">
        <v>0.25</v>
      </c>
      <c r="D2945" s="28">
        <v>0.33329999999999999</v>
      </c>
      <c r="E2945" s="28">
        <v>0.16669999999999999</v>
      </c>
      <c r="F2945" s="28">
        <v>0.33329999999999999</v>
      </c>
      <c r="G2945" s="28">
        <v>8.3299999999999999E-2</v>
      </c>
      <c r="H2945" s="29"/>
      <c r="I2945" s="28">
        <v>0.25</v>
      </c>
      <c r="J2945" s="28">
        <v>8.3299999999999999E-2</v>
      </c>
      <c r="K2945" s="29"/>
      <c r="L2945" s="29"/>
      <c r="M2945" s="28">
        <v>8.3299999999999999E-2</v>
      </c>
      <c r="N2945" s="28">
        <v>8.3299999999999999E-2</v>
      </c>
      <c r="O2945" s="29"/>
      <c r="P2945" s="29"/>
      <c r="Q2945" s="29"/>
      <c r="R2945" s="29"/>
      <c r="S2945" s="29" t="s">
        <v>342</v>
      </c>
    </row>
    <row r="2946" spans="1:19" x14ac:dyDescent="0.35">
      <c r="A2946" t="s">
        <v>232</v>
      </c>
      <c r="B2946" t="s">
        <v>232</v>
      </c>
      <c r="C2946" s="26">
        <v>0.40010000000000001</v>
      </c>
      <c r="D2946" s="26">
        <v>0.35039999999999999</v>
      </c>
      <c r="E2946" s="26">
        <v>0.2084</v>
      </c>
      <c r="F2946" s="26">
        <v>0.1074</v>
      </c>
      <c r="G2946" s="26">
        <v>0.10390000000000001</v>
      </c>
      <c r="H2946" s="26">
        <v>8.6499999999999994E-2</v>
      </c>
      <c r="I2946" s="26">
        <v>7.2300000000000003E-2</v>
      </c>
      <c r="J2946" s="26">
        <v>6.3399999999999998E-2</v>
      </c>
      <c r="K2946" s="26">
        <v>5.2499999999999998E-2</v>
      </c>
      <c r="L2946" s="26">
        <v>4.7899999999999998E-2</v>
      </c>
      <c r="M2946" s="26">
        <v>3.9600000000000003E-2</v>
      </c>
      <c r="N2946" s="26">
        <v>3.7199999999999997E-2</v>
      </c>
      <c r="O2946" s="26">
        <v>1.4999999999999999E-2</v>
      </c>
      <c r="P2946" s="26">
        <v>1.34E-2</v>
      </c>
      <c r="Q2946" s="26">
        <v>2.2000000000000001E-3</v>
      </c>
      <c r="R2946" s="26">
        <v>1.9E-3</v>
      </c>
      <c r="S2946">
        <v>2789</v>
      </c>
    </row>
    <row r="2948" spans="1:19" x14ac:dyDescent="0.35">
      <c r="A2948" s="1" t="s">
        <v>567</v>
      </c>
    </row>
    <row r="2949" spans="1:19" x14ac:dyDescent="0.35">
      <c r="A2949" t="s">
        <v>219</v>
      </c>
      <c r="B2949" t="s">
        <v>305</v>
      </c>
      <c r="C2949" t="s">
        <v>550</v>
      </c>
      <c r="D2949" t="s">
        <v>551</v>
      </c>
      <c r="E2949" t="s">
        <v>552</v>
      </c>
      <c r="F2949" t="s">
        <v>553</v>
      </c>
      <c r="G2949" t="s">
        <v>554</v>
      </c>
      <c r="H2949" t="s">
        <v>555</v>
      </c>
      <c r="I2949" t="s">
        <v>556</v>
      </c>
      <c r="J2949" t="s">
        <v>557</v>
      </c>
      <c r="K2949" t="s">
        <v>558</v>
      </c>
      <c r="L2949" t="s">
        <v>559</v>
      </c>
      <c r="M2949" t="s">
        <v>560</v>
      </c>
      <c r="N2949" t="s">
        <v>561</v>
      </c>
      <c r="O2949" t="s">
        <v>562</v>
      </c>
      <c r="P2949" t="s">
        <v>563</v>
      </c>
      <c r="Q2949" t="s">
        <v>286</v>
      </c>
      <c r="R2949" t="s">
        <v>281</v>
      </c>
      <c r="S2949" t="s">
        <v>226</v>
      </c>
    </row>
    <row r="2950" spans="1:19" x14ac:dyDescent="0.35">
      <c r="A2950" t="s">
        <v>227</v>
      </c>
      <c r="B2950" t="s">
        <v>360</v>
      </c>
      <c r="C2950" s="26">
        <v>0.3846</v>
      </c>
      <c r="D2950" s="26">
        <v>0.25640000000000002</v>
      </c>
      <c r="E2950" s="26">
        <v>0.17949999999999999</v>
      </c>
      <c r="F2950" s="26">
        <v>7.6899999999999996E-2</v>
      </c>
      <c r="G2950" s="26">
        <v>0.1026</v>
      </c>
      <c r="H2950" s="26">
        <v>0.12820000000000001</v>
      </c>
      <c r="I2950" s="26">
        <v>7.6899999999999996E-2</v>
      </c>
      <c r="J2950" s="26">
        <v>2.5600000000000001E-2</v>
      </c>
      <c r="K2950" s="26">
        <v>5.1299999999999998E-2</v>
      </c>
      <c r="L2950" s="26">
        <v>7.6899999999999996E-2</v>
      </c>
      <c r="M2950" s="26">
        <v>5.1299999999999998E-2</v>
      </c>
      <c r="N2950" s="26">
        <v>5.1299999999999998E-2</v>
      </c>
      <c r="S2950">
        <v>39</v>
      </c>
    </row>
    <row r="2951" spans="1:19" x14ac:dyDescent="0.35">
      <c r="A2951" t="s">
        <v>227</v>
      </c>
      <c r="B2951" t="s">
        <v>361</v>
      </c>
      <c r="C2951" s="26">
        <v>0.5625</v>
      </c>
      <c r="D2951" s="26">
        <v>0.21879999999999999</v>
      </c>
      <c r="E2951" s="26">
        <v>9.3799999999999994E-2</v>
      </c>
      <c r="F2951" s="26">
        <v>6.25E-2</v>
      </c>
      <c r="G2951" s="26">
        <v>3.1199999999999999E-2</v>
      </c>
      <c r="H2951" s="26">
        <v>0.15620000000000001</v>
      </c>
      <c r="I2951" s="26">
        <v>3.1199999999999999E-2</v>
      </c>
      <c r="J2951" s="26">
        <v>6.25E-2</v>
      </c>
      <c r="M2951" s="26">
        <v>3.1199999999999999E-2</v>
      </c>
      <c r="P2951" s="26">
        <v>3.1199999999999999E-2</v>
      </c>
      <c r="S2951">
        <v>32</v>
      </c>
    </row>
    <row r="2952" spans="1:19" x14ac:dyDescent="0.35">
      <c r="A2952" t="s">
        <v>227</v>
      </c>
      <c r="B2952" t="s">
        <v>362</v>
      </c>
      <c r="C2952" s="26">
        <v>0.1351</v>
      </c>
      <c r="D2952" s="26">
        <v>0.70269999999999999</v>
      </c>
      <c r="E2952" s="26">
        <v>0.37840000000000001</v>
      </c>
      <c r="F2952" s="26">
        <v>0.16220000000000001</v>
      </c>
      <c r="G2952" s="26">
        <v>0.1351</v>
      </c>
      <c r="H2952" s="26">
        <v>0.16220000000000001</v>
      </c>
      <c r="I2952" s="26">
        <v>0.1081</v>
      </c>
      <c r="J2952" s="26">
        <v>8.1100000000000005E-2</v>
      </c>
      <c r="K2952" s="26">
        <v>8.1100000000000005E-2</v>
      </c>
      <c r="L2952" s="26">
        <v>8.1100000000000005E-2</v>
      </c>
      <c r="M2952" s="26">
        <v>2.7E-2</v>
      </c>
      <c r="S2952">
        <v>37</v>
      </c>
    </row>
    <row r="2953" spans="1:19" x14ac:dyDescent="0.35">
      <c r="A2953" t="s">
        <v>227</v>
      </c>
      <c r="B2953" t="s">
        <v>363</v>
      </c>
      <c r="C2953" s="26">
        <v>0.42220000000000002</v>
      </c>
      <c r="D2953" s="26">
        <v>0.42220000000000002</v>
      </c>
      <c r="E2953" s="26">
        <v>0.17780000000000001</v>
      </c>
      <c r="F2953" s="26">
        <v>0.1333</v>
      </c>
      <c r="G2953" s="26">
        <v>6.6699999999999995E-2</v>
      </c>
      <c r="H2953" s="26">
        <v>8.8900000000000007E-2</v>
      </c>
      <c r="I2953" s="26">
        <v>4.4400000000000002E-2</v>
      </c>
      <c r="J2953" s="26">
        <v>4.4400000000000002E-2</v>
      </c>
      <c r="K2953" s="26">
        <v>6.6699999999999995E-2</v>
      </c>
      <c r="L2953" s="26">
        <v>4.4400000000000002E-2</v>
      </c>
      <c r="M2953" s="26">
        <v>2.2200000000000001E-2</v>
      </c>
      <c r="N2953" s="26">
        <v>4.4400000000000002E-2</v>
      </c>
      <c r="S2953">
        <v>45</v>
      </c>
    </row>
    <row r="2954" spans="1:19" x14ac:dyDescent="0.35">
      <c r="A2954" t="s">
        <v>228</v>
      </c>
      <c r="B2954" t="s">
        <v>360</v>
      </c>
      <c r="C2954" s="26">
        <v>0.30080000000000001</v>
      </c>
      <c r="D2954" s="26">
        <v>0.42149999999999999</v>
      </c>
      <c r="E2954" s="26">
        <v>0.2515</v>
      </c>
      <c r="F2954" s="26">
        <v>0.17330000000000001</v>
      </c>
      <c r="G2954" s="26">
        <v>0.1195</v>
      </c>
      <c r="H2954" s="26">
        <v>0.13189999999999999</v>
      </c>
      <c r="I2954" s="26">
        <v>3.4799999999999998E-2</v>
      </c>
      <c r="J2954" s="26">
        <v>7.22E-2</v>
      </c>
      <c r="K2954" s="26">
        <v>6.4899999999999999E-2</v>
      </c>
      <c r="L2954" s="26">
        <v>4.1500000000000002E-2</v>
      </c>
      <c r="M2954" s="26">
        <v>6.6600000000000006E-2</v>
      </c>
      <c r="N2954" s="26">
        <v>7.7100000000000002E-2</v>
      </c>
      <c r="O2954" s="26">
        <v>2.3699999999999999E-2</v>
      </c>
      <c r="P2954" s="26">
        <v>1.66E-2</v>
      </c>
      <c r="S2954">
        <v>253</v>
      </c>
    </row>
    <row r="2955" spans="1:19" x14ac:dyDescent="0.35">
      <c r="A2955" t="s">
        <v>228</v>
      </c>
      <c r="B2955" t="s">
        <v>361</v>
      </c>
      <c r="C2955" s="26">
        <v>0.45040000000000002</v>
      </c>
      <c r="D2955" s="26">
        <v>0.27139999999999997</v>
      </c>
      <c r="E2955" s="26">
        <v>0.16589999999999999</v>
      </c>
      <c r="F2955" s="26">
        <v>0.1026</v>
      </c>
      <c r="G2955" s="26">
        <v>5.9200000000000003E-2</v>
      </c>
      <c r="H2955" s="26">
        <v>5.1999999999999998E-2</v>
      </c>
      <c r="I2955" s="26">
        <v>4.3799999999999999E-2</v>
      </c>
      <c r="J2955" s="26">
        <v>7.0499999999999993E-2</v>
      </c>
      <c r="K2955" s="26">
        <v>5.9400000000000001E-2</v>
      </c>
      <c r="L2955" s="26">
        <v>5.96E-2</v>
      </c>
      <c r="M2955" s="26">
        <v>3.5700000000000003E-2</v>
      </c>
      <c r="N2955" s="26">
        <v>2.3099999999999999E-2</v>
      </c>
      <c r="O2955" s="26">
        <v>3.4599999999999999E-2</v>
      </c>
      <c r="P2955" s="26">
        <v>1.6999999999999999E-3</v>
      </c>
      <c r="Q2955" s="26">
        <v>3.5000000000000001E-3</v>
      </c>
      <c r="S2955">
        <v>192</v>
      </c>
    </row>
    <row r="2956" spans="1:19" x14ac:dyDescent="0.35">
      <c r="A2956" t="s">
        <v>228</v>
      </c>
      <c r="B2956" t="s">
        <v>363</v>
      </c>
      <c r="C2956" s="26">
        <v>0.4032</v>
      </c>
      <c r="D2956" s="26">
        <v>0.28849999999999998</v>
      </c>
      <c r="E2956" s="26">
        <v>0.1739</v>
      </c>
      <c r="F2956" s="26">
        <v>7.0900000000000005E-2</v>
      </c>
      <c r="G2956" s="26">
        <v>0.1211</v>
      </c>
      <c r="H2956" s="26">
        <v>8.0500000000000002E-2</v>
      </c>
      <c r="I2956" s="26">
        <v>6.1499999999999999E-2</v>
      </c>
      <c r="J2956" s="26">
        <v>4.3099999999999999E-2</v>
      </c>
      <c r="K2956" s="26">
        <v>4.6899999999999997E-2</v>
      </c>
      <c r="L2956" s="26">
        <v>2.6700000000000002E-2</v>
      </c>
      <c r="M2956" s="26">
        <v>5.21E-2</v>
      </c>
      <c r="N2956" s="26">
        <v>2.75E-2</v>
      </c>
      <c r="O2956" s="26">
        <v>1.89E-2</v>
      </c>
      <c r="P2956" s="26">
        <v>9.4999999999999998E-3</v>
      </c>
      <c r="S2956">
        <v>210</v>
      </c>
    </row>
    <row r="2957" spans="1:19" x14ac:dyDescent="0.35">
      <c r="A2957" t="s">
        <v>228</v>
      </c>
      <c r="B2957" t="s">
        <v>362</v>
      </c>
      <c r="C2957" s="26">
        <v>0.26229999999999998</v>
      </c>
      <c r="D2957" s="26">
        <v>0.40350000000000003</v>
      </c>
      <c r="E2957" s="26">
        <v>0.32040000000000002</v>
      </c>
      <c r="F2957" s="26">
        <v>0.1305</v>
      </c>
      <c r="G2957" s="26">
        <v>0.12039999999999999</v>
      </c>
      <c r="H2957" s="26">
        <v>0.1368</v>
      </c>
      <c r="I2957" s="26">
        <v>8.5400000000000004E-2</v>
      </c>
      <c r="J2957" s="26">
        <v>6.6699999999999995E-2</v>
      </c>
      <c r="K2957" s="26">
        <v>4.9599999999999998E-2</v>
      </c>
      <c r="L2957" s="26">
        <v>3.4599999999999999E-2</v>
      </c>
      <c r="M2957" s="26">
        <v>5.5100000000000003E-2</v>
      </c>
      <c r="N2957" s="26">
        <v>4.1700000000000001E-2</v>
      </c>
      <c r="O2957" s="26">
        <v>2.3800000000000002E-2</v>
      </c>
      <c r="P2957" s="26">
        <v>2.69E-2</v>
      </c>
      <c r="Q2957" s="26">
        <v>1.6000000000000001E-3</v>
      </c>
      <c r="S2957">
        <v>235</v>
      </c>
    </row>
    <row r="2958" spans="1:19" x14ac:dyDescent="0.35">
      <c r="A2958" t="s">
        <v>229</v>
      </c>
      <c r="B2958" t="s">
        <v>363</v>
      </c>
      <c r="C2958" s="26">
        <v>0.35560000000000003</v>
      </c>
      <c r="D2958" s="26">
        <v>0.3508</v>
      </c>
      <c r="E2958" s="26">
        <v>0.22059999999999999</v>
      </c>
      <c r="F2958" s="26">
        <v>0.11459999999999999</v>
      </c>
      <c r="G2958" s="26">
        <v>0.15390000000000001</v>
      </c>
      <c r="H2958" s="26">
        <v>9.74E-2</v>
      </c>
      <c r="I2958" s="26">
        <v>0.13300000000000001</v>
      </c>
      <c r="J2958" s="26">
        <v>2.29E-2</v>
      </c>
      <c r="K2958" s="26">
        <v>0.104</v>
      </c>
      <c r="L2958" s="26">
        <v>2.24E-2</v>
      </c>
      <c r="M2958" s="26">
        <v>8.4000000000000005E-2</v>
      </c>
      <c r="N2958" s="26">
        <v>5.2200000000000003E-2</v>
      </c>
      <c r="O2958" s="26">
        <v>2.06E-2</v>
      </c>
      <c r="P2958" s="26">
        <v>1.6E-2</v>
      </c>
      <c r="S2958">
        <v>190</v>
      </c>
    </row>
    <row r="2959" spans="1:19" x14ac:dyDescent="0.35">
      <c r="A2959" t="s">
        <v>229</v>
      </c>
      <c r="B2959" t="s">
        <v>360</v>
      </c>
      <c r="C2959" s="26">
        <v>0.26869999999999999</v>
      </c>
      <c r="D2959" s="26">
        <v>0.48749999999999999</v>
      </c>
      <c r="E2959" s="26">
        <v>0.31990000000000002</v>
      </c>
      <c r="F2959" s="26">
        <v>0.11459999999999999</v>
      </c>
      <c r="G2959" s="26">
        <v>0.1366</v>
      </c>
      <c r="H2959" s="26">
        <v>0.19170000000000001</v>
      </c>
      <c r="I2959" s="26">
        <v>0.1169</v>
      </c>
      <c r="J2959" s="26">
        <v>8.0500000000000002E-2</v>
      </c>
      <c r="K2959" s="26">
        <v>3.5799999999999998E-2</v>
      </c>
      <c r="L2959" s="26">
        <v>9.6100000000000005E-2</v>
      </c>
      <c r="M2959" s="26">
        <v>5.4600000000000003E-2</v>
      </c>
      <c r="N2959" s="26">
        <v>9.8199999999999996E-2</v>
      </c>
      <c r="O2959" s="26">
        <v>3.8800000000000001E-2</v>
      </c>
      <c r="P2959" s="26">
        <v>2.3699999999999999E-2</v>
      </c>
      <c r="R2959" s="26">
        <v>1.1000000000000001E-3</v>
      </c>
      <c r="S2959">
        <v>164</v>
      </c>
    </row>
    <row r="2960" spans="1:19" x14ac:dyDescent="0.35">
      <c r="A2960" t="s">
        <v>229</v>
      </c>
      <c r="B2960" t="s">
        <v>361</v>
      </c>
      <c r="C2960" s="26">
        <v>0.53910000000000002</v>
      </c>
      <c r="D2960" s="26">
        <v>0.21779999999999999</v>
      </c>
      <c r="E2960" s="26">
        <v>0.12559999999999999</v>
      </c>
      <c r="F2960" s="26">
        <v>7.3999999999999996E-2</v>
      </c>
      <c r="G2960" s="26">
        <v>4.9399999999999999E-2</v>
      </c>
      <c r="H2960" s="26">
        <v>7.6200000000000004E-2</v>
      </c>
      <c r="I2960" s="26">
        <v>7.46E-2</v>
      </c>
      <c r="J2960" s="26">
        <v>8.5099999999999995E-2</v>
      </c>
      <c r="K2960" s="26">
        <v>2.9700000000000001E-2</v>
      </c>
      <c r="L2960" s="26">
        <v>1.2699999999999999E-2</v>
      </c>
      <c r="M2960" s="26">
        <v>4.2999999999999997E-2</v>
      </c>
      <c r="N2960" s="26">
        <v>2.12E-2</v>
      </c>
      <c r="O2960" s="26">
        <v>1.8E-3</v>
      </c>
      <c r="P2960" s="26">
        <v>2.7900000000000001E-2</v>
      </c>
      <c r="Q2960" s="26">
        <v>6.8999999999999999E-3</v>
      </c>
      <c r="S2960">
        <v>241</v>
      </c>
    </row>
    <row r="2961" spans="1:19" x14ac:dyDescent="0.35">
      <c r="A2961" t="s">
        <v>229</v>
      </c>
      <c r="B2961" t="s">
        <v>362</v>
      </c>
      <c r="C2961" s="26">
        <v>0.31619999999999998</v>
      </c>
      <c r="D2961" s="26">
        <v>0.43819999999999998</v>
      </c>
      <c r="E2961" s="26">
        <v>0.2442</v>
      </c>
      <c r="F2961" s="26">
        <v>0.13750000000000001</v>
      </c>
      <c r="G2961" s="26">
        <v>0.14779999999999999</v>
      </c>
      <c r="H2961" s="26">
        <v>8.0699999999999994E-2</v>
      </c>
      <c r="I2961" s="26">
        <v>9.7600000000000006E-2</v>
      </c>
      <c r="J2961" s="26">
        <v>4.65E-2</v>
      </c>
      <c r="K2961" s="26">
        <v>3.2899999999999999E-2</v>
      </c>
      <c r="L2961" s="26">
        <v>3.3700000000000001E-2</v>
      </c>
      <c r="M2961" s="26">
        <v>5.3699999999999998E-2</v>
      </c>
      <c r="N2961" s="26">
        <v>4.1399999999999999E-2</v>
      </c>
      <c r="P2961" s="26">
        <v>2.8400000000000002E-2</v>
      </c>
      <c r="S2961">
        <v>170</v>
      </c>
    </row>
    <row r="2962" spans="1:19" x14ac:dyDescent="0.35">
      <c r="A2962" t="s">
        <v>230</v>
      </c>
      <c r="B2962" t="s">
        <v>360</v>
      </c>
      <c r="C2962" s="26">
        <v>0.2429</v>
      </c>
      <c r="D2962" s="26">
        <v>0.35820000000000002</v>
      </c>
      <c r="E2962" s="26">
        <v>0.2114</v>
      </c>
      <c r="F2962" s="26">
        <v>0.2228</v>
      </c>
      <c r="G2962" s="26">
        <v>0.25569999999999998</v>
      </c>
      <c r="H2962" s="26">
        <v>9.5600000000000004E-2</v>
      </c>
      <c r="I2962" s="26">
        <v>7.3200000000000001E-2</v>
      </c>
      <c r="J2962" s="26">
        <v>7.1800000000000003E-2</v>
      </c>
      <c r="K2962" s="26">
        <v>8.7800000000000003E-2</v>
      </c>
      <c r="L2962" s="26">
        <v>0.1037</v>
      </c>
      <c r="M2962" s="26">
        <v>4.7899999999999998E-2</v>
      </c>
      <c r="N2962" s="26">
        <v>4.0899999999999999E-2</v>
      </c>
      <c r="O2962" s="26">
        <v>6.2399999999999997E-2</v>
      </c>
      <c r="P2962" s="26">
        <v>4.7000000000000002E-3</v>
      </c>
      <c r="S2962">
        <v>119</v>
      </c>
    </row>
    <row r="2963" spans="1:19" x14ac:dyDescent="0.35">
      <c r="A2963" t="s">
        <v>230</v>
      </c>
      <c r="B2963" t="s">
        <v>363</v>
      </c>
      <c r="C2963" s="26">
        <v>0.36230000000000001</v>
      </c>
      <c r="D2963" s="26">
        <v>0.35020000000000001</v>
      </c>
      <c r="E2963" s="26">
        <v>0.25419999999999998</v>
      </c>
      <c r="F2963" s="26">
        <v>8.48E-2</v>
      </c>
      <c r="G2963" s="26">
        <v>6.1400000000000003E-2</v>
      </c>
      <c r="H2963" s="26">
        <v>6.4000000000000001E-2</v>
      </c>
      <c r="I2963" s="26">
        <v>7.0499999999999993E-2</v>
      </c>
      <c r="J2963" s="26">
        <v>3.1899999999999998E-2</v>
      </c>
      <c r="K2963" s="26">
        <v>8.2100000000000006E-2</v>
      </c>
      <c r="L2963" s="26">
        <v>7.7000000000000002E-3</v>
      </c>
      <c r="M2963" s="26">
        <v>1.1999999999999999E-3</v>
      </c>
      <c r="N2963" s="26">
        <v>8.2199999999999995E-2</v>
      </c>
      <c r="O2963" s="26">
        <v>3.8E-3</v>
      </c>
      <c r="P2963" s="26">
        <v>5.5199999999999999E-2</v>
      </c>
      <c r="S2963">
        <v>126</v>
      </c>
    </row>
    <row r="2964" spans="1:19" x14ac:dyDescent="0.35">
      <c r="A2964" t="s">
        <v>230</v>
      </c>
      <c r="B2964" t="s">
        <v>361</v>
      </c>
      <c r="C2964" s="26">
        <v>0.59599999999999997</v>
      </c>
      <c r="D2964" s="26">
        <v>0.2422</v>
      </c>
      <c r="E2964" s="26">
        <v>0.16819999999999999</v>
      </c>
      <c r="F2964" s="26">
        <v>6.6400000000000001E-2</v>
      </c>
      <c r="G2964" s="26">
        <v>1.4200000000000001E-2</v>
      </c>
      <c r="H2964" s="26">
        <v>8.3000000000000001E-3</v>
      </c>
      <c r="I2964" s="26">
        <v>8.3000000000000001E-3</v>
      </c>
      <c r="J2964" s="26">
        <v>7.6399999999999996E-2</v>
      </c>
      <c r="K2964" s="26">
        <v>5.8999999999999999E-3</v>
      </c>
      <c r="L2964" s="26">
        <v>4.3700000000000003E-2</v>
      </c>
      <c r="M2964" s="26">
        <v>2.5499999999999998E-2</v>
      </c>
      <c r="N2964" s="26">
        <v>3.5999999999999999E-3</v>
      </c>
      <c r="O2964" s="26">
        <v>2.52E-2</v>
      </c>
      <c r="Q2964" s="26">
        <v>3.5999999999999999E-3</v>
      </c>
      <c r="S2964">
        <v>106</v>
      </c>
    </row>
    <row r="2965" spans="1:19" x14ac:dyDescent="0.35">
      <c r="A2965" t="s">
        <v>230</v>
      </c>
      <c r="B2965" t="s">
        <v>362</v>
      </c>
      <c r="C2965" s="26">
        <v>0.42099999999999999</v>
      </c>
      <c r="D2965" s="26">
        <v>0.33250000000000002</v>
      </c>
      <c r="E2965" s="26">
        <v>0.24310000000000001</v>
      </c>
      <c r="F2965" s="26">
        <v>9.9900000000000003E-2</v>
      </c>
      <c r="G2965" s="26">
        <v>7.9500000000000001E-2</v>
      </c>
      <c r="H2965" s="26">
        <v>0.11360000000000001</v>
      </c>
      <c r="I2965" s="26">
        <v>7.51E-2</v>
      </c>
      <c r="J2965" s="26">
        <v>5.7099999999999998E-2</v>
      </c>
      <c r="K2965" s="26">
        <v>4.3999999999999997E-2</v>
      </c>
      <c r="L2965" s="26">
        <v>7.8899999999999998E-2</v>
      </c>
      <c r="M2965" s="26">
        <v>1.1000000000000001E-3</v>
      </c>
      <c r="N2965" s="26">
        <v>9.4000000000000004E-3</v>
      </c>
      <c r="O2965" s="26">
        <v>2.1499999999999998E-2</v>
      </c>
      <c r="P2965" s="26">
        <v>2.63E-2</v>
      </c>
      <c r="S2965">
        <v>147</v>
      </c>
    </row>
    <row r="2966" spans="1:19" x14ac:dyDescent="0.35">
      <c r="A2966" s="27" t="s">
        <v>231</v>
      </c>
      <c r="B2966" s="27" t="s">
        <v>362</v>
      </c>
      <c r="C2966" s="28">
        <v>0.3448</v>
      </c>
      <c r="D2966" s="28">
        <v>0.51719999999999999</v>
      </c>
      <c r="E2966" s="28">
        <v>0.1724</v>
      </c>
      <c r="F2966" s="28">
        <v>0.13789999999999999</v>
      </c>
      <c r="G2966" s="28">
        <v>0.13789999999999999</v>
      </c>
      <c r="H2966" s="28">
        <v>6.9000000000000006E-2</v>
      </c>
      <c r="I2966" s="28">
        <v>6.9000000000000006E-2</v>
      </c>
      <c r="J2966" s="29"/>
      <c r="K2966" s="28">
        <v>0.10340000000000001</v>
      </c>
      <c r="L2966" s="28">
        <v>6.9000000000000006E-2</v>
      </c>
      <c r="M2966" s="29"/>
      <c r="N2966" s="28">
        <v>3.4500000000000003E-2</v>
      </c>
      <c r="O2966" s="29"/>
      <c r="P2966" s="29"/>
      <c r="Q2966" s="29"/>
      <c r="R2966" s="29"/>
      <c r="S2966" s="29" t="s">
        <v>329</v>
      </c>
    </row>
    <row r="2967" spans="1:19" x14ac:dyDescent="0.35">
      <c r="A2967" t="s">
        <v>231</v>
      </c>
      <c r="B2967" t="s">
        <v>361</v>
      </c>
      <c r="C2967" s="26">
        <v>0.54</v>
      </c>
      <c r="D2967" s="26">
        <v>0.24</v>
      </c>
      <c r="E2967" s="26">
        <v>0.16</v>
      </c>
      <c r="F2967" s="26">
        <v>0.12</v>
      </c>
      <c r="G2967" s="26">
        <v>0.06</v>
      </c>
      <c r="H2967" s="26">
        <v>0.04</v>
      </c>
      <c r="I2967" s="26">
        <v>0.04</v>
      </c>
      <c r="J2967" s="26">
        <v>0.08</v>
      </c>
      <c r="L2967" s="26">
        <v>0.08</v>
      </c>
      <c r="M2967" s="26">
        <v>0.02</v>
      </c>
      <c r="N2967" s="26">
        <v>0.04</v>
      </c>
      <c r="O2967" s="26">
        <v>0.02</v>
      </c>
      <c r="P2967" s="26">
        <v>0.02</v>
      </c>
      <c r="R2967" s="26">
        <v>0.02</v>
      </c>
      <c r="S2967">
        <v>50</v>
      </c>
    </row>
    <row r="2968" spans="1:19" x14ac:dyDescent="0.35">
      <c r="A2968" t="s">
        <v>231</v>
      </c>
      <c r="B2968" t="s">
        <v>360</v>
      </c>
      <c r="C2968" s="26">
        <v>0.30230000000000001</v>
      </c>
      <c r="D2968" s="26">
        <v>0.37209999999999999</v>
      </c>
      <c r="E2968" s="26">
        <v>0.25580000000000003</v>
      </c>
      <c r="F2968" s="26">
        <v>0.1628</v>
      </c>
      <c r="G2968" s="26">
        <v>9.2999999999999999E-2</v>
      </c>
      <c r="H2968" s="26">
        <v>4.65E-2</v>
      </c>
      <c r="I2968" s="26">
        <v>9.2999999999999999E-2</v>
      </c>
      <c r="J2968" s="26">
        <v>9.2999999999999999E-2</v>
      </c>
      <c r="K2968" s="26">
        <v>0.1163</v>
      </c>
      <c r="L2968" s="26">
        <v>2.3300000000000001E-2</v>
      </c>
      <c r="M2968" s="26">
        <v>4.65E-2</v>
      </c>
      <c r="N2968" s="26">
        <v>2.3300000000000001E-2</v>
      </c>
      <c r="S2968">
        <v>43</v>
      </c>
    </row>
    <row r="2969" spans="1:19" x14ac:dyDescent="0.35">
      <c r="A2969" s="27" t="s">
        <v>231</v>
      </c>
      <c r="B2969" s="27" t="s">
        <v>363</v>
      </c>
      <c r="C2969" s="28">
        <v>0.22220000000000001</v>
      </c>
      <c r="D2969" s="28">
        <v>0.55559999999999998</v>
      </c>
      <c r="E2969" s="28">
        <v>0.33329999999999999</v>
      </c>
      <c r="F2969" s="28">
        <v>7.4099999999999999E-2</v>
      </c>
      <c r="G2969" s="28">
        <v>0.25929999999999997</v>
      </c>
      <c r="H2969" s="28">
        <v>0.1111</v>
      </c>
      <c r="I2969" s="28">
        <v>7.4099999999999999E-2</v>
      </c>
      <c r="J2969" s="28">
        <v>7.4099999999999999E-2</v>
      </c>
      <c r="K2969" s="28">
        <v>3.6999999999999998E-2</v>
      </c>
      <c r="L2969" s="28">
        <v>7.4099999999999999E-2</v>
      </c>
      <c r="M2969" s="28">
        <v>0.1111</v>
      </c>
      <c r="N2969" s="28">
        <v>7.4099999999999999E-2</v>
      </c>
      <c r="O2969" s="29"/>
      <c r="P2969" s="29"/>
      <c r="Q2969" s="29"/>
      <c r="R2969" s="29"/>
      <c r="S2969" s="29" t="s">
        <v>338</v>
      </c>
    </row>
    <row r="2970" spans="1:19" x14ac:dyDescent="0.35">
      <c r="A2970" t="s">
        <v>232</v>
      </c>
      <c r="B2970" t="s">
        <v>232</v>
      </c>
      <c r="C2970" s="26">
        <v>0.40010000000000001</v>
      </c>
      <c r="D2970" s="26">
        <v>0.35039999999999999</v>
      </c>
      <c r="E2970" s="26">
        <v>0.2084</v>
      </c>
      <c r="F2970" s="26">
        <v>0.1074</v>
      </c>
      <c r="G2970" s="26">
        <v>0.10390000000000001</v>
      </c>
      <c r="H2970" s="26">
        <v>8.6499999999999994E-2</v>
      </c>
      <c r="I2970" s="26">
        <v>7.2300000000000003E-2</v>
      </c>
      <c r="J2970" s="26">
        <v>6.3399999999999998E-2</v>
      </c>
      <c r="K2970" s="26">
        <v>5.2499999999999998E-2</v>
      </c>
      <c r="L2970" s="26">
        <v>4.7899999999999998E-2</v>
      </c>
      <c r="M2970" s="26">
        <v>3.9600000000000003E-2</v>
      </c>
      <c r="N2970" s="26">
        <v>3.7199999999999997E-2</v>
      </c>
      <c r="O2970" s="26">
        <v>1.4999999999999999E-2</v>
      </c>
      <c r="P2970" s="26">
        <v>1.34E-2</v>
      </c>
      <c r="Q2970" s="26">
        <v>2.2000000000000001E-3</v>
      </c>
      <c r="R2970" s="26">
        <v>1.9E-3</v>
      </c>
      <c r="S2970">
        <v>2455</v>
      </c>
    </row>
    <row r="2972" spans="1:19" x14ac:dyDescent="0.35">
      <c r="A2972" s="1" t="s">
        <v>568</v>
      </c>
    </row>
    <row r="2973" spans="1:19" x14ac:dyDescent="0.35">
      <c r="A2973" t="s">
        <v>219</v>
      </c>
      <c r="B2973" t="s">
        <v>305</v>
      </c>
      <c r="C2973" t="s">
        <v>550</v>
      </c>
      <c r="D2973" t="s">
        <v>551</v>
      </c>
      <c r="E2973" t="s">
        <v>552</v>
      </c>
      <c r="F2973" t="s">
        <v>553</v>
      </c>
      <c r="G2973" t="s">
        <v>554</v>
      </c>
      <c r="H2973" t="s">
        <v>555</v>
      </c>
      <c r="I2973" t="s">
        <v>556</v>
      </c>
      <c r="J2973" t="s">
        <v>557</v>
      </c>
      <c r="K2973" t="s">
        <v>558</v>
      </c>
      <c r="L2973" t="s">
        <v>559</v>
      </c>
      <c r="M2973" t="s">
        <v>560</v>
      </c>
      <c r="N2973" t="s">
        <v>561</v>
      </c>
      <c r="O2973" t="s">
        <v>562</v>
      </c>
      <c r="P2973" t="s">
        <v>563</v>
      </c>
      <c r="Q2973" t="s">
        <v>286</v>
      </c>
      <c r="R2973" t="s">
        <v>281</v>
      </c>
      <c r="S2973" t="s">
        <v>226</v>
      </c>
    </row>
    <row r="2974" spans="1:19" x14ac:dyDescent="0.35">
      <c r="A2974" t="s">
        <v>227</v>
      </c>
      <c r="B2974" t="s">
        <v>267</v>
      </c>
      <c r="C2974" s="26">
        <v>0.5</v>
      </c>
      <c r="D2974" s="26">
        <v>0.33329999999999999</v>
      </c>
      <c r="E2974" s="26">
        <v>0.16669999999999999</v>
      </c>
      <c r="F2974" s="26">
        <v>0.16669999999999999</v>
      </c>
      <c r="G2974" s="26">
        <v>2.7799999999999998E-2</v>
      </c>
      <c r="H2974" s="26">
        <v>2.7799999999999998E-2</v>
      </c>
      <c r="I2974" s="26">
        <v>2.7799999999999998E-2</v>
      </c>
      <c r="J2974" s="26">
        <v>5.5599999999999997E-2</v>
      </c>
      <c r="K2974" s="26">
        <v>2.7799999999999998E-2</v>
      </c>
      <c r="L2974" s="26">
        <v>2.7799999999999998E-2</v>
      </c>
      <c r="N2974" s="26">
        <v>2.7799999999999998E-2</v>
      </c>
      <c r="S2974">
        <v>36</v>
      </c>
    </row>
    <row r="2975" spans="1:19" x14ac:dyDescent="0.35">
      <c r="A2975" t="s">
        <v>227</v>
      </c>
      <c r="B2975" t="s">
        <v>266</v>
      </c>
      <c r="C2975" s="26">
        <v>0.47460000000000002</v>
      </c>
      <c r="D2975" s="26">
        <v>0.37290000000000001</v>
      </c>
      <c r="E2975" s="26">
        <v>0.2034</v>
      </c>
      <c r="F2975" s="26">
        <v>5.0799999999999998E-2</v>
      </c>
      <c r="G2975" s="26">
        <v>8.4699999999999998E-2</v>
      </c>
      <c r="H2975" s="26">
        <v>0.1186</v>
      </c>
      <c r="I2975" s="26">
        <v>6.7799999999999999E-2</v>
      </c>
      <c r="J2975" s="26">
        <v>3.39E-2</v>
      </c>
      <c r="K2975" s="26">
        <v>3.39E-2</v>
      </c>
      <c r="L2975" s="26">
        <v>6.7799999999999999E-2</v>
      </c>
      <c r="N2975" s="26">
        <v>3.39E-2</v>
      </c>
      <c r="P2975" s="26">
        <v>1.6899999999999998E-2</v>
      </c>
      <c r="S2975">
        <v>59</v>
      </c>
    </row>
    <row r="2976" spans="1:19" x14ac:dyDescent="0.35">
      <c r="A2976" t="s">
        <v>227</v>
      </c>
      <c r="B2976" t="s">
        <v>265</v>
      </c>
      <c r="C2976" s="26">
        <v>0.2576</v>
      </c>
      <c r="D2976" s="26">
        <v>0.43940000000000001</v>
      </c>
      <c r="E2976" s="26">
        <v>0.2424</v>
      </c>
      <c r="F2976" s="26">
        <v>0.1212</v>
      </c>
      <c r="G2976" s="26">
        <v>0.1212</v>
      </c>
      <c r="H2976" s="26">
        <v>0.18179999999999999</v>
      </c>
      <c r="I2976" s="26">
        <v>7.5800000000000006E-2</v>
      </c>
      <c r="J2976" s="26">
        <v>7.5800000000000006E-2</v>
      </c>
      <c r="K2976" s="26">
        <v>7.5800000000000006E-2</v>
      </c>
      <c r="L2976" s="26">
        <v>6.0600000000000001E-2</v>
      </c>
      <c r="M2976" s="26">
        <v>7.5800000000000006E-2</v>
      </c>
      <c r="N2976" s="26">
        <v>1.52E-2</v>
      </c>
      <c r="S2976">
        <v>66</v>
      </c>
    </row>
    <row r="2977" spans="1:19" x14ac:dyDescent="0.35">
      <c r="A2977" t="s">
        <v>228</v>
      </c>
      <c r="B2977" t="s">
        <v>267</v>
      </c>
      <c r="C2977" s="26">
        <v>0.41270000000000001</v>
      </c>
      <c r="D2977" s="26">
        <v>0.27529999999999999</v>
      </c>
      <c r="E2977" s="26">
        <v>0.17829999999999999</v>
      </c>
      <c r="F2977" s="26">
        <v>5.5599999999999997E-2</v>
      </c>
      <c r="G2977" s="26">
        <v>0.1162</v>
      </c>
      <c r="H2977" s="26">
        <v>0.1019</v>
      </c>
      <c r="I2977" s="26">
        <v>1.8499999999999999E-2</v>
      </c>
      <c r="J2977" s="26">
        <v>4.1000000000000002E-2</v>
      </c>
      <c r="K2977" s="26">
        <v>4.3499999999999997E-2</v>
      </c>
      <c r="L2977" s="26">
        <v>2.7900000000000001E-2</v>
      </c>
      <c r="M2977" s="26">
        <v>3.2899999999999999E-2</v>
      </c>
      <c r="N2977" s="26">
        <v>3.15E-2</v>
      </c>
      <c r="O2977" s="26">
        <v>1.2E-2</v>
      </c>
      <c r="P2977" s="26">
        <v>5.7000000000000002E-3</v>
      </c>
      <c r="Q2977" s="26">
        <v>4.8999999999999998E-3</v>
      </c>
      <c r="R2977" s="26">
        <v>3.2000000000000002E-3</v>
      </c>
      <c r="S2977">
        <v>198</v>
      </c>
    </row>
    <row r="2978" spans="1:19" x14ac:dyDescent="0.35">
      <c r="A2978" t="s">
        <v>228</v>
      </c>
      <c r="B2978" t="s">
        <v>265</v>
      </c>
      <c r="C2978" s="26">
        <v>0.33900000000000002</v>
      </c>
      <c r="D2978" s="26">
        <v>0.32469999999999999</v>
      </c>
      <c r="E2978" s="26">
        <v>0.20319999999999999</v>
      </c>
      <c r="F2978" s="26">
        <v>0.1191</v>
      </c>
      <c r="G2978" s="26">
        <v>7.7100000000000002E-2</v>
      </c>
      <c r="H2978" s="26">
        <v>8.7599999999999997E-2</v>
      </c>
      <c r="I2978" s="26">
        <v>6.7799999999999999E-2</v>
      </c>
      <c r="J2978" s="26">
        <v>8.1000000000000003E-2</v>
      </c>
      <c r="K2978" s="26">
        <v>5.5E-2</v>
      </c>
      <c r="L2978" s="26">
        <v>4.8599999999999997E-2</v>
      </c>
      <c r="M2978" s="26">
        <v>5.0700000000000002E-2</v>
      </c>
      <c r="N2978" s="26">
        <v>3.8800000000000001E-2</v>
      </c>
      <c r="O2978" s="26">
        <v>3.1099999999999999E-2</v>
      </c>
      <c r="P2978" s="26">
        <v>2.1499999999999998E-2</v>
      </c>
      <c r="Q2978" s="26">
        <v>3.7000000000000002E-3</v>
      </c>
      <c r="R2978" s="26">
        <v>8.9999999999999998E-4</v>
      </c>
      <c r="S2978">
        <v>380</v>
      </c>
    </row>
    <row r="2979" spans="1:19" x14ac:dyDescent="0.35">
      <c r="A2979" s="27" t="s">
        <v>228</v>
      </c>
      <c r="B2979" s="27" t="s">
        <v>236</v>
      </c>
      <c r="C2979" s="29"/>
      <c r="D2979" s="28">
        <v>1</v>
      </c>
      <c r="E2979" s="28">
        <v>1</v>
      </c>
      <c r="F2979" s="28">
        <v>0.5</v>
      </c>
      <c r="G2979" s="28">
        <v>1</v>
      </c>
      <c r="H2979" s="28">
        <v>0.5</v>
      </c>
      <c r="I2979" s="29"/>
      <c r="J2979" s="29"/>
      <c r="K2979" s="29"/>
      <c r="L2979" s="29"/>
      <c r="M2979" s="28">
        <v>0.5</v>
      </c>
      <c r="N2979" s="29"/>
      <c r="O2979" s="29"/>
      <c r="P2979" s="29"/>
      <c r="Q2979" s="29"/>
      <c r="R2979" s="29"/>
      <c r="S2979" s="29" t="s">
        <v>314</v>
      </c>
    </row>
    <row r="2980" spans="1:19" x14ac:dyDescent="0.35">
      <c r="A2980" t="s">
        <v>228</v>
      </c>
      <c r="B2980" t="s">
        <v>266</v>
      </c>
      <c r="C2980" s="26">
        <v>0.3826</v>
      </c>
      <c r="D2980" s="26">
        <v>0.36599999999999999</v>
      </c>
      <c r="E2980" s="26">
        <v>0.2397</v>
      </c>
      <c r="F2980" s="26">
        <v>0.1239</v>
      </c>
      <c r="G2980" s="26">
        <v>0.1041</v>
      </c>
      <c r="H2980" s="26">
        <v>9.0300000000000005E-2</v>
      </c>
      <c r="I2980" s="26">
        <v>6.8099999999999994E-2</v>
      </c>
      <c r="J2980" s="26">
        <v>5.4800000000000001E-2</v>
      </c>
      <c r="K2980" s="26">
        <v>5.11E-2</v>
      </c>
      <c r="L2980" s="26">
        <v>3.61E-2</v>
      </c>
      <c r="M2980" s="26">
        <v>4.3700000000000003E-2</v>
      </c>
      <c r="N2980" s="26">
        <v>4.3499999999999997E-2</v>
      </c>
      <c r="O2980" s="26">
        <v>2.1499999999999998E-2</v>
      </c>
      <c r="P2980" s="26">
        <v>7.0000000000000001E-3</v>
      </c>
      <c r="S2980">
        <v>440</v>
      </c>
    </row>
    <row r="2981" spans="1:19" x14ac:dyDescent="0.35">
      <c r="A2981" t="s">
        <v>229</v>
      </c>
      <c r="B2981" t="s">
        <v>266</v>
      </c>
      <c r="C2981" s="26">
        <v>0.39429999999999998</v>
      </c>
      <c r="D2981" s="26">
        <v>0.34689999999999999</v>
      </c>
      <c r="E2981" s="26">
        <v>0.14580000000000001</v>
      </c>
      <c r="F2981" s="26">
        <v>0.10580000000000001</v>
      </c>
      <c r="G2981" s="26">
        <v>0.14099999999999999</v>
      </c>
      <c r="H2981" s="26">
        <v>7.85E-2</v>
      </c>
      <c r="I2981" s="26">
        <v>8.4699999999999998E-2</v>
      </c>
      <c r="J2981" s="26">
        <v>2.5399999999999999E-2</v>
      </c>
      <c r="K2981" s="26">
        <v>7.6799999999999993E-2</v>
      </c>
      <c r="L2981" s="26">
        <v>2.3199999999999998E-2</v>
      </c>
      <c r="M2981" s="26">
        <v>3.7999999999999999E-2</v>
      </c>
      <c r="N2981" s="26">
        <v>6.4199999999999993E-2</v>
      </c>
      <c r="O2981" s="26">
        <v>2.3999999999999998E-3</v>
      </c>
      <c r="P2981" s="26">
        <v>1.8100000000000002E-2</v>
      </c>
      <c r="Q2981" s="26">
        <v>1.7000000000000001E-2</v>
      </c>
      <c r="R2981" s="26">
        <v>5.0000000000000001E-4</v>
      </c>
      <c r="S2981">
        <v>356</v>
      </c>
    </row>
    <row r="2982" spans="1:19" x14ac:dyDescent="0.35">
      <c r="A2982" t="s">
        <v>229</v>
      </c>
      <c r="B2982" t="s">
        <v>267</v>
      </c>
      <c r="C2982" s="26">
        <v>0.54949999999999999</v>
      </c>
      <c r="D2982" s="26">
        <v>0.21329999999999999</v>
      </c>
      <c r="E2982" s="26">
        <v>0.18390000000000001</v>
      </c>
      <c r="F2982" s="26">
        <v>3.9800000000000002E-2</v>
      </c>
      <c r="G2982" s="26">
        <v>9.6799999999999997E-2</v>
      </c>
      <c r="H2982" s="26">
        <v>8.7800000000000003E-2</v>
      </c>
      <c r="I2982" s="26">
        <v>0.1182</v>
      </c>
      <c r="J2982" s="26">
        <v>5.9299999999999999E-2</v>
      </c>
      <c r="K2982" s="26">
        <v>3.2300000000000002E-2</v>
      </c>
      <c r="L2982" s="26">
        <v>2.23E-2</v>
      </c>
      <c r="M2982" s="26">
        <v>2.63E-2</v>
      </c>
      <c r="N2982" s="26">
        <v>2.9000000000000001E-2</v>
      </c>
      <c r="O2982" s="26">
        <v>1.35E-2</v>
      </c>
      <c r="P2982" s="26">
        <v>4.0599999999999997E-2</v>
      </c>
      <c r="Q2982" s="26">
        <v>8.0000000000000004E-4</v>
      </c>
      <c r="S2982">
        <v>200</v>
      </c>
    </row>
    <row r="2983" spans="1:19" x14ac:dyDescent="0.35">
      <c r="A2983" t="s">
        <v>229</v>
      </c>
      <c r="B2983" t="s">
        <v>265</v>
      </c>
      <c r="C2983" s="26">
        <v>0.37519999999999998</v>
      </c>
      <c r="D2983" s="26">
        <v>0.3654</v>
      </c>
      <c r="E2983" s="26">
        <v>0.22720000000000001</v>
      </c>
      <c r="F2983" s="26">
        <v>0.11600000000000001</v>
      </c>
      <c r="G2983" s="26">
        <v>7.5899999999999995E-2</v>
      </c>
      <c r="H2983" s="26">
        <v>0.10589999999999999</v>
      </c>
      <c r="I2983" s="26">
        <v>8.4599999999999995E-2</v>
      </c>
      <c r="J2983" s="26">
        <v>9.8799999999999999E-2</v>
      </c>
      <c r="K2983" s="26">
        <v>3.2300000000000002E-2</v>
      </c>
      <c r="L2983" s="26">
        <v>4.36E-2</v>
      </c>
      <c r="M2983" s="26">
        <v>6.7900000000000002E-2</v>
      </c>
      <c r="N2983" s="26">
        <v>3.9300000000000002E-2</v>
      </c>
      <c r="O2983" s="26">
        <v>2.81E-2</v>
      </c>
      <c r="P2983" s="26">
        <v>1.52E-2</v>
      </c>
      <c r="Q2983" s="26">
        <v>2.0000000000000001E-4</v>
      </c>
      <c r="R2983" s="26">
        <v>2.0000000000000001E-4</v>
      </c>
      <c r="S2983">
        <v>335</v>
      </c>
    </row>
    <row r="2984" spans="1:19" x14ac:dyDescent="0.35">
      <c r="A2984" t="s">
        <v>230</v>
      </c>
      <c r="B2984" t="s">
        <v>267</v>
      </c>
      <c r="C2984" s="26">
        <v>0.55300000000000005</v>
      </c>
      <c r="D2984" s="26">
        <v>0.24479999999999999</v>
      </c>
      <c r="E2984" s="26">
        <v>0.17610000000000001</v>
      </c>
      <c r="F2984" s="26">
        <v>7.8700000000000006E-2</v>
      </c>
      <c r="G2984" s="26">
        <v>2.2800000000000001E-2</v>
      </c>
      <c r="H2984" s="26">
        <v>6.9500000000000006E-2</v>
      </c>
      <c r="I2984" s="26">
        <v>3.39E-2</v>
      </c>
      <c r="J2984" s="26">
        <v>3.1E-2</v>
      </c>
      <c r="K2984" s="26">
        <v>4.3299999999999998E-2</v>
      </c>
      <c r="L2984" s="26">
        <v>5.8299999999999998E-2</v>
      </c>
      <c r="M2984" s="26">
        <v>9.4000000000000004E-3</v>
      </c>
      <c r="N2984" s="26">
        <v>2.9700000000000001E-2</v>
      </c>
      <c r="P2984" s="26">
        <v>3.39E-2</v>
      </c>
      <c r="Q2984" s="26">
        <v>4.0000000000000001E-3</v>
      </c>
      <c r="S2984">
        <v>119</v>
      </c>
    </row>
    <row r="2985" spans="1:19" x14ac:dyDescent="0.35">
      <c r="A2985" t="s">
        <v>230</v>
      </c>
      <c r="B2985" t="s">
        <v>266</v>
      </c>
      <c r="C2985" s="26">
        <v>0.4582</v>
      </c>
      <c r="D2985" s="26">
        <v>0.24079999999999999</v>
      </c>
      <c r="E2985" s="26">
        <v>0.21290000000000001</v>
      </c>
      <c r="F2985" s="26">
        <v>0.10730000000000001</v>
      </c>
      <c r="G2985" s="26">
        <v>0.16600000000000001</v>
      </c>
      <c r="H2985" s="26">
        <v>6.4399999999999999E-2</v>
      </c>
      <c r="I2985" s="26">
        <v>3.95E-2</v>
      </c>
      <c r="J2985" s="26">
        <v>3.4799999999999998E-2</v>
      </c>
      <c r="K2985" s="26">
        <v>8.3900000000000002E-2</v>
      </c>
      <c r="L2985" s="26">
        <v>4.4900000000000002E-2</v>
      </c>
      <c r="M2985" s="26">
        <v>3.3E-3</v>
      </c>
      <c r="N2985" s="26">
        <v>5.5399999999999998E-2</v>
      </c>
      <c r="O2985" s="26">
        <v>3.32E-2</v>
      </c>
      <c r="P2985" s="26">
        <v>0.03</v>
      </c>
      <c r="S2985">
        <v>229</v>
      </c>
    </row>
    <row r="2986" spans="1:19" x14ac:dyDescent="0.35">
      <c r="A2986" t="s">
        <v>230</v>
      </c>
      <c r="B2986" t="s">
        <v>265</v>
      </c>
      <c r="C2986" s="26">
        <v>0.32569999999999999</v>
      </c>
      <c r="D2986" s="26">
        <v>0.4219</v>
      </c>
      <c r="E2986" s="26">
        <v>0.24060000000000001</v>
      </c>
      <c r="F2986" s="26">
        <v>0.12520000000000001</v>
      </c>
      <c r="G2986" s="26">
        <v>5.6899999999999999E-2</v>
      </c>
      <c r="H2986" s="26">
        <v>6.3E-2</v>
      </c>
      <c r="I2986" s="26">
        <v>7.3899999999999993E-2</v>
      </c>
      <c r="J2986" s="26">
        <v>8.8499999999999995E-2</v>
      </c>
      <c r="K2986" s="26">
        <v>2.6700000000000002E-2</v>
      </c>
      <c r="L2986" s="26">
        <v>7.2499999999999995E-2</v>
      </c>
      <c r="M2986" s="26">
        <v>3.2599999999999997E-2</v>
      </c>
      <c r="N2986" s="26">
        <v>8.6E-3</v>
      </c>
      <c r="O2986" s="26">
        <v>2.9600000000000001E-2</v>
      </c>
      <c r="P2986" s="26">
        <v>7.1999999999999998E-3</v>
      </c>
      <c r="S2986">
        <v>206</v>
      </c>
    </row>
    <row r="2987" spans="1:19" x14ac:dyDescent="0.35">
      <c r="A2987" t="s">
        <v>231</v>
      </c>
      <c r="B2987" t="s">
        <v>267</v>
      </c>
      <c r="C2987" s="26">
        <v>0.47060000000000002</v>
      </c>
      <c r="D2987" s="26">
        <v>0.29409999999999997</v>
      </c>
      <c r="E2987" s="26">
        <v>0.14710000000000001</v>
      </c>
      <c r="F2987" s="26">
        <v>2.9399999999999999E-2</v>
      </c>
      <c r="G2987" s="26">
        <v>0.1176</v>
      </c>
      <c r="H2987" s="26">
        <v>5.8799999999999998E-2</v>
      </c>
      <c r="I2987" s="26">
        <v>0.1176</v>
      </c>
      <c r="J2987" s="26">
        <v>8.8200000000000001E-2</v>
      </c>
      <c r="K2987" s="26">
        <v>5.8799999999999998E-2</v>
      </c>
      <c r="L2987" s="26">
        <v>2.9399999999999999E-2</v>
      </c>
      <c r="M2987" s="26">
        <v>2.9399999999999999E-2</v>
      </c>
      <c r="N2987" s="26">
        <v>5.8799999999999998E-2</v>
      </c>
      <c r="O2987" s="26">
        <v>2.9399999999999999E-2</v>
      </c>
      <c r="S2987">
        <v>34</v>
      </c>
    </row>
    <row r="2988" spans="1:19" x14ac:dyDescent="0.35">
      <c r="A2988" t="s">
        <v>231</v>
      </c>
      <c r="B2988" t="s">
        <v>266</v>
      </c>
      <c r="C2988" s="26">
        <v>0.4194</v>
      </c>
      <c r="D2988" s="26">
        <v>0.4355</v>
      </c>
      <c r="E2988" s="26">
        <v>0.19350000000000001</v>
      </c>
      <c r="F2988" s="26">
        <v>0.1129</v>
      </c>
      <c r="G2988" s="26">
        <v>0.1613</v>
      </c>
      <c r="H2988" s="26">
        <v>3.2300000000000002E-2</v>
      </c>
      <c r="I2988" s="26">
        <v>8.0600000000000005E-2</v>
      </c>
      <c r="J2988" s="26">
        <v>3.2300000000000002E-2</v>
      </c>
      <c r="K2988" s="26">
        <v>9.6799999999999997E-2</v>
      </c>
      <c r="L2988" s="26">
        <v>3.2300000000000002E-2</v>
      </c>
      <c r="M2988" s="26">
        <v>1.61E-2</v>
      </c>
      <c r="N2988" s="26">
        <v>3.2300000000000002E-2</v>
      </c>
      <c r="P2988" s="26">
        <v>1.61E-2</v>
      </c>
      <c r="S2988">
        <v>62</v>
      </c>
    </row>
    <row r="2989" spans="1:19" x14ac:dyDescent="0.35">
      <c r="A2989" t="s">
        <v>231</v>
      </c>
      <c r="B2989" t="s">
        <v>265</v>
      </c>
      <c r="C2989" s="26">
        <v>0.34329999999999999</v>
      </c>
      <c r="D2989" s="26">
        <v>0.35820000000000002</v>
      </c>
      <c r="E2989" s="26">
        <v>0.26869999999999999</v>
      </c>
      <c r="F2989" s="26">
        <v>0.16420000000000001</v>
      </c>
      <c r="G2989" s="26">
        <v>8.9599999999999999E-2</v>
      </c>
      <c r="H2989" s="26">
        <v>8.9599999999999999E-2</v>
      </c>
      <c r="I2989" s="26">
        <v>4.48E-2</v>
      </c>
      <c r="J2989" s="26">
        <v>8.9599999999999999E-2</v>
      </c>
      <c r="K2989" s="26">
        <v>2.9899999999999999E-2</v>
      </c>
      <c r="L2989" s="26">
        <v>0.1045</v>
      </c>
      <c r="M2989" s="26">
        <v>5.9700000000000003E-2</v>
      </c>
      <c r="N2989" s="26">
        <v>2.9899999999999999E-2</v>
      </c>
      <c r="O2989" s="26">
        <v>1.49E-2</v>
      </c>
      <c r="R2989" s="26">
        <v>1.49E-2</v>
      </c>
      <c r="S2989">
        <v>67</v>
      </c>
    </row>
    <row r="2990" spans="1:19" x14ac:dyDescent="0.35">
      <c r="A2990" t="s">
        <v>232</v>
      </c>
      <c r="B2990" t="s">
        <v>232</v>
      </c>
      <c r="C2990" s="26">
        <v>0.40010000000000001</v>
      </c>
      <c r="D2990" s="26">
        <v>0.35039999999999999</v>
      </c>
      <c r="E2990" s="26">
        <v>0.2084</v>
      </c>
      <c r="F2990" s="26">
        <v>0.1074</v>
      </c>
      <c r="G2990" s="26">
        <v>0.10390000000000001</v>
      </c>
      <c r="H2990" s="26">
        <v>8.6499999999999994E-2</v>
      </c>
      <c r="I2990" s="26">
        <v>7.2300000000000003E-2</v>
      </c>
      <c r="J2990" s="26">
        <v>6.3399999999999998E-2</v>
      </c>
      <c r="K2990" s="26">
        <v>5.2499999999999998E-2</v>
      </c>
      <c r="L2990" s="26">
        <v>4.7899999999999998E-2</v>
      </c>
      <c r="M2990" s="26">
        <v>3.9600000000000003E-2</v>
      </c>
      <c r="N2990" s="26">
        <v>3.7199999999999997E-2</v>
      </c>
      <c r="O2990" s="26">
        <v>1.4999999999999999E-2</v>
      </c>
      <c r="P2990" s="26">
        <v>1.34E-2</v>
      </c>
      <c r="Q2990" s="26">
        <v>2.2000000000000001E-3</v>
      </c>
      <c r="R2990" s="26">
        <v>1.9E-3</v>
      </c>
      <c r="S2990">
        <v>2789</v>
      </c>
    </row>
    <row r="2992" spans="1:19" x14ac:dyDescent="0.35">
      <c r="A2992" s="1" t="s">
        <v>569</v>
      </c>
    </row>
    <row r="2993" spans="1:19" x14ac:dyDescent="0.35">
      <c r="A2993" t="s">
        <v>219</v>
      </c>
      <c r="B2993" t="s">
        <v>305</v>
      </c>
      <c r="C2993" t="s">
        <v>550</v>
      </c>
      <c r="D2993" t="s">
        <v>551</v>
      </c>
      <c r="E2993" t="s">
        <v>552</v>
      </c>
      <c r="F2993" t="s">
        <v>553</v>
      </c>
      <c r="G2993" t="s">
        <v>554</v>
      </c>
      <c r="H2993" t="s">
        <v>555</v>
      </c>
      <c r="I2993" t="s">
        <v>556</v>
      </c>
      <c r="J2993" t="s">
        <v>557</v>
      </c>
      <c r="K2993" t="s">
        <v>558</v>
      </c>
      <c r="L2993" t="s">
        <v>559</v>
      </c>
      <c r="M2993" t="s">
        <v>560</v>
      </c>
      <c r="N2993" t="s">
        <v>561</v>
      </c>
      <c r="O2993" t="s">
        <v>562</v>
      </c>
      <c r="P2993" t="s">
        <v>563</v>
      </c>
      <c r="Q2993" t="s">
        <v>286</v>
      </c>
      <c r="R2993" t="s">
        <v>281</v>
      </c>
      <c r="S2993" t="s">
        <v>226</v>
      </c>
    </row>
    <row r="2994" spans="1:19" x14ac:dyDescent="0.35">
      <c r="A2994" t="s">
        <v>227</v>
      </c>
      <c r="B2994" t="s">
        <v>252</v>
      </c>
      <c r="C2994" s="26">
        <v>0.17780000000000001</v>
      </c>
      <c r="D2994" s="26">
        <v>0.57779999999999998</v>
      </c>
      <c r="E2994" s="26">
        <v>0.37780000000000002</v>
      </c>
      <c r="F2994" s="26">
        <v>0.2</v>
      </c>
      <c r="G2994" s="26">
        <v>0.1333</v>
      </c>
      <c r="H2994" s="26">
        <v>6.6699999999999995E-2</v>
      </c>
      <c r="I2994" s="26">
        <v>8.8900000000000007E-2</v>
      </c>
      <c r="J2994" s="26">
        <v>6.6699999999999995E-2</v>
      </c>
      <c r="K2994" s="26">
        <v>4.4400000000000002E-2</v>
      </c>
      <c r="L2994" s="26">
        <v>8.8900000000000007E-2</v>
      </c>
      <c r="M2994" s="26">
        <v>2.2200000000000001E-2</v>
      </c>
      <c r="N2994" s="26">
        <v>6.6699999999999995E-2</v>
      </c>
      <c r="S2994">
        <v>45</v>
      </c>
    </row>
    <row r="2995" spans="1:19" x14ac:dyDescent="0.35">
      <c r="A2995" t="s">
        <v>227</v>
      </c>
      <c r="B2995" t="s">
        <v>253</v>
      </c>
      <c r="C2995" s="26">
        <v>0.1176</v>
      </c>
      <c r="D2995" s="26">
        <v>0.64710000000000001</v>
      </c>
      <c r="E2995" s="26">
        <v>0.29409999999999997</v>
      </c>
      <c r="F2995" s="26">
        <v>0.14710000000000001</v>
      </c>
      <c r="G2995" s="26">
        <v>0.1176</v>
      </c>
      <c r="H2995" s="26">
        <v>0.2059</v>
      </c>
      <c r="I2995" s="26">
        <v>5.8799999999999998E-2</v>
      </c>
      <c r="J2995" s="26">
        <v>2.9399999999999999E-2</v>
      </c>
      <c r="K2995" s="26">
        <v>8.8200000000000001E-2</v>
      </c>
      <c r="L2995" s="26">
        <v>8.8200000000000001E-2</v>
      </c>
      <c r="M2995" s="26">
        <v>2.9399999999999999E-2</v>
      </c>
      <c r="N2995" s="26">
        <v>2.9399999999999999E-2</v>
      </c>
      <c r="S2995">
        <v>34</v>
      </c>
    </row>
    <row r="2996" spans="1:19" x14ac:dyDescent="0.35">
      <c r="A2996" t="s">
        <v>227</v>
      </c>
      <c r="B2996" t="s">
        <v>251</v>
      </c>
      <c r="C2996" s="26">
        <v>0.622</v>
      </c>
      <c r="D2996" s="26">
        <v>0.18290000000000001</v>
      </c>
      <c r="E2996" s="26">
        <v>8.5400000000000004E-2</v>
      </c>
      <c r="F2996" s="26">
        <v>3.6600000000000001E-2</v>
      </c>
      <c r="G2996" s="26">
        <v>4.8800000000000003E-2</v>
      </c>
      <c r="H2996" s="26">
        <v>0.122</v>
      </c>
      <c r="I2996" s="26">
        <v>4.8800000000000003E-2</v>
      </c>
      <c r="J2996" s="26">
        <v>6.0999999999999999E-2</v>
      </c>
      <c r="K2996" s="26">
        <v>3.6600000000000001E-2</v>
      </c>
      <c r="L2996" s="26">
        <v>2.4400000000000002E-2</v>
      </c>
      <c r="M2996" s="26">
        <v>3.6600000000000001E-2</v>
      </c>
      <c r="P2996" s="26">
        <v>1.2200000000000001E-2</v>
      </c>
      <c r="S2996">
        <v>82</v>
      </c>
    </row>
    <row r="2997" spans="1:19" x14ac:dyDescent="0.35">
      <c r="A2997" t="s">
        <v>228</v>
      </c>
      <c r="B2997" t="s">
        <v>252</v>
      </c>
      <c r="C2997" s="26">
        <v>0.2054</v>
      </c>
      <c r="D2997" s="26">
        <v>0.55000000000000004</v>
      </c>
      <c r="E2997" s="26">
        <v>0.31190000000000001</v>
      </c>
      <c r="F2997" s="26">
        <v>0.1862</v>
      </c>
      <c r="G2997" s="26">
        <v>0.16120000000000001</v>
      </c>
      <c r="H2997" s="26">
        <v>7.6399999999999996E-2</v>
      </c>
      <c r="I2997" s="26">
        <v>6.3799999999999996E-2</v>
      </c>
      <c r="J2997" s="26">
        <v>4.7100000000000003E-2</v>
      </c>
      <c r="K2997" s="26">
        <v>7.1599999999999997E-2</v>
      </c>
      <c r="L2997" s="26">
        <v>3.2500000000000001E-2</v>
      </c>
      <c r="M2997" s="26">
        <v>3.04E-2</v>
      </c>
      <c r="N2997" s="26">
        <v>5.5899999999999998E-2</v>
      </c>
      <c r="O2997" s="26">
        <v>8.8000000000000005E-3</v>
      </c>
      <c r="P2997" s="26">
        <v>8.0000000000000002E-3</v>
      </c>
      <c r="S2997">
        <v>339</v>
      </c>
    </row>
    <row r="2998" spans="1:19" x14ac:dyDescent="0.35">
      <c r="A2998" t="s">
        <v>228</v>
      </c>
      <c r="B2998" t="s">
        <v>253</v>
      </c>
      <c r="C2998" s="26">
        <v>0.1704</v>
      </c>
      <c r="D2998" s="26">
        <v>0.45929999999999999</v>
      </c>
      <c r="E2998" s="26">
        <v>0.34129999999999999</v>
      </c>
      <c r="F2998" s="26">
        <v>0.17399999999999999</v>
      </c>
      <c r="G2998" s="26">
        <v>0.1024</v>
      </c>
      <c r="H2998" s="26">
        <v>0.16639999999999999</v>
      </c>
      <c r="I2998" s="26">
        <v>8.6400000000000005E-2</v>
      </c>
      <c r="J2998" s="26">
        <v>7.7200000000000005E-2</v>
      </c>
      <c r="K2998" s="26">
        <v>7.6100000000000001E-2</v>
      </c>
      <c r="L2998" s="26">
        <v>3.4799999999999998E-2</v>
      </c>
      <c r="M2998" s="26">
        <v>0.105</v>
      </c>
      <c r="N2998" s="26">
        <v>8.3099999999999993E-2</v>
      </c>
      <c r="O2998" s="26">
        <v>5.3999999999999999E-2</v>
      </c>
      <c r="P2998" s="26">
        <v>3.7199999999999997E-2</v>
      </c>
      <c r="Q2998" s="26">
        <v>5.7000000000000002E-3</v>
      </c>
      <c r="S2998">
        <v>221</v>
      </c>
    </row>
    <row r="2999" spans="1:19" x14ac:dyDescent="0.35">
      <c r="A2999" t="s">
        <v>228</v>
      </c>
      <c r="B2999" t="s">
        <v>251</v>
      </c>
      <c r="C2999" s="26">
        <v>0.56030000000000002</v>
      </c>
      <c r="D2999" s="26">
        <v>0.14249999999999999</v>
      </c>
      <c r="E2999" s="26">
        <v>0.1037</v>
      </c>
      <c r="F2999" s="26">
        <v>3.6999999999999998E-2</v>
      </c>
      <c r="G2999" s="26">
        <v>6.0199999999999997E-2</v>
      </c>
      <c r="H2999" s="26">
        <v>7.3899999999999993E-2</v>
      </c>
      <c r="I2999" s="26">
        <v>4.3799999999999999E-2</v>
      </c>
      <c r="J2999" s="26">
        <v>6.7400000000000002E-2</v>
      </c>
      <c r="K2999" s="26">
        <v>2.6599999999999999E-2</v>
      </c>
      <c r="L2999" s="26">
        <v>4.6600000000000003E-2</v>
      </c>
      <c r="M2999" s="26">
        <v>3.4500000000000003E-2</v>
      </c>
      <c r="N2999" s="26">
        <v>8.8000000000000005E-3</v>
      </c>
      <c r="O2999" s="26">
        <v>2.0500000000000001E-2</v>
      </c>
      <c r="P2999" s="26">
        <v>5.3E-3</v>
      </c>
      <c r="Q2999" s="26">
        <v>2.5000000000000001E-3</v>
      </c>
      <c r="R2999" s="26">
        <v>1.9E-3</v>
      </c>
      <c r="S2999">
        <v>460</v>
      </c>
    </row>
    <row r="3000" spans="1:19" x14ac:dyDescent="0.35">
      <c r="A3000" t="s">
        <v>229</v>
      </c>
      <c r="B3000" t="s">
        <v>252</v>
      </c>
      <c r="C3000" s="26">
        <v>0.20330000000000001</v>
      </c>
      <c r="D3000" s="26">
        <v>0.5595</v>
      </c>
      <c r="E3000" s="26">
        <v>0.31659999999999999</v>
      </c>
      <c r="F3000" s="26">
        <v>0.17960000000000001</v>
      </c>
      <c r="G3000" s="26">
        <v>0.2109</v>
      </c>
      <c r="H3000" s="26">
        <v>0.1298</v>
      </c>
      <c r="I3000" s="26">
        <v>0.1089</v>
      </c>
      <c r="J3000" s="26">
        <v>2.4299999999999999E-2</v>
      </c>
      <c r="K3000" s="26">
        <v>9.9699999999999997E-2</v>
      </c>
      <c r="L3000" s="26">
        <v>2.53E-2</v>
      </c>
      <c r="M3000" s="26">
        <v>2.8000000000000001E-2</v>
      </c>
      <c r="N3000" s="26">
        <v>4.58E-2</v>
      </c>
      <c r="O3000" s="26">
        <v>1.34E-2</v>
      </c>
      <c r="P3000" s="26">
        <v>1.5299999999999999E-2</v>
      </c>
      <c r="R3000" s="26">
        <v>8.0000000000000004E-4</v>
      </c>
      <c r="S3000">
        <v>197</v>
      </c>
    </row>
    <row r="3001" spans="1:19" x14ac:dyDescent="0.35">
      <c r="A3001" t="s">
        <v>229</v>
      </c>
      <c r="B3001" t="s">
        <v>253</v>
      </c>
      <c r="C3001" s="26">
        <v>0.13100000000000001</v>
      </c>
      <c r="D3001" s="26">
        <v>0.62339999999999995</v>
      </c>
      <c r="E3001" s="26">
        <v>0.41570000000000001</v>
      </c>
      <c r="F3001" s="26">
        <v>0.1895</v>
      </c>
      <c r="G3001" s="26">
        <v>0.11119999999999999</v>
      </c>
      <c r="H3001" s="26">
        <v>0.22559999999999999</v>
      </c>
      <c r="I3001" s="26">
        <v>0.14249999999999999</v>
      </c>
      <c r="J3001" s="26">
        <v>0.1263</v>
      </c>
      <c r="K3001" s="26">
        <v>5.3100000000000001E-2</v>
      </c>
      <c r="L3001" s="26">
        <v>6.2700000000000006E-2</v>
      </c>
      <c r="M3001" s="26">
        <v>6.0900000000000003E-2</v>
      </c>
      <c r="N3001" s="26">
        <v>0.1275</v>
      </c>
      <c r="O3001" s="26">
        <v>1.6400000000000001E-2</v>
      </c>
      <c r="P3001" s="26">
        <v>5.1200000000000002E-2</v>
      </c>
      <c r="S3001">
        <v>145</v>
      </c>
    </row>
    <row r="3002" spans="1:19" x14ac:dyDescent="0.35">
      <c r="A3002" t="s">
        <v>229</v>
      </c>
      <c r="B3002" t="s">
        <v>251</v>
      </c>
      <c r="C3002" s="26">
        <v>0.59760000000000002</v>
      </c>
      <c r="D3002" s="26">
        <v>0.13880000000000001</v>
      </c>
      <c r="E3002" s="26">
        <v>6.9900000000000004E-2</v>
      </c>
      <c r="F3002" s="26">
        <v>3.3000000000000002E-2</v>
      </c>
      <c r="G3002" s="26">
        <v>5.6599999999999998E-2</v>
      </c>
      <c r="H3002" s="26">
        <v>3.5700000000000003E-2</v>
      </c>
      <c r="I3002" s="26">
        <v>6.93E-2</v>
      </c>
      <c r="J3002" s="26">
        <v>6.2700000000000006E-2</v>
      </c>
      <c r="K3002" s="26">
        <v>2.4299999999999999E-2</v>
      </c>
      <c r="L3002" s="26">
        <v>2.5000000000000001E-2</v>
      </c>
      <c r="M3002" s="26">
        <v>5.2999999999999999E-2</v>
      </c>
      <c r="N3002" s="26">
        <v>1.8100000000000002E-2</v>
      </c>
      <c r="O3002" s="26">
        <v>1.77E-2</v>
      </c>
      <c r="P3002" s="26">
        <v>1.4800000000000001E-2</v>
      </c>
      <c r="Q3002" s="26">
        <v>9.9000000000000008E-3</v>
      </c>
      <c r="R3002" s="26">
        <v>2.0000000000000001E-4</v>
      </c>
      <c r="S3002">
        <v>549</v>
      </c>
    </row>
    <row r="3003" spans="1:19" x14ac:dyDescent="0.35">
      <c r="A3003" t="s">
        <v>230</v>
      </c>
      <c r="B3003" t="s">
        <v>252</v>
      </c>
      <c r="C3003" s="26">
        <v>0.2165</v>
      </c>
      <c r="D3003" s="26">
        <v>0.48060000000000003</v>
      </c>
      <c r="E3003" s="26">
        <v>0.40150000000000002</v>
      </c>
      <c r="F3003" s="26">
        <v>0.21290000000000001</v>
      </c>
      <c r="G3003" s="26">
        <v>0.16869999999999999</v>
      </c>
      <c r="H3003" s="26">
        <v>5.62E-2</v>
      </c>
      <c r="I3003" s="26">
        <v>0.05</v>
      </c>
      <c r="J3003" s="26">
        <v>2.3300000000000001E-2</v>
      </c>
      <c r="K3003" s="26">
        <v>6.7599999999999993E-2</v>
      </c>
      <c r="L3003" s="26">
        <v>8.2000000000000007E-3</v>
      </c>
      <c r="M3003" s="26">
        <v>3.5999999999999999E-3</v>
      </c>
      <c r="N3003" s="26">
        <v>5.04E-2</v>
      </c>
      <c r="P3003" s="26">
        <v>4.3299999999999998E-2</v>
      </c>
      <c r="S3003">
        <v>157</v>
      </c>
    </row>
    <row r="3004" spans="1:19" x14ac:dyDescent="0.35">
      <c r="A3004" t="s">
        <v>230</v>
      </c>
      <c r="B3004" t="s">
        <v>253</v>
      </c>
      <c r="C3004" s="26">
        <v>0.21190000000000001</v>
      </c>
      <c r="D3004" s="26">
        <v>0.55189999999999995</v>
      </c>
      <c r="E3004" s="26">
        <v>0.32519999999999999</v>
      </c>
      <c r="F3004" s="26">
        <v>0.155</v>
      </c>
      <c r="G3004" s="26">
        <v>0.1363</v>
      </c>
      <c r="H3004" s="26">
        <v>5.57E-2</v>
      </c>
      <c r="I3004" s="26">
        <v>9.1999999999999998E-2</v>
      </c>
      <c r="J3004" s="26">
        <v>5.7000000000000002E-2</v>
      </c>
      <c r="K3004" s="26">
        <v>2.1999999999999999E-2</v>
      </c>
      <c r="L3004" s="26">
        <v>4.7800000000000002E-2</v>
      </c>
      <c r="M3004" s="26">
        <v>6.3E-3</v>
      </c>
      <c r="N3004" s="26">
        <v>5.3800000000000001E-2</v>
      </c>
      <c r="O3004" s="26">
        <v>7.7000000000000002E-3</v>
      </c>
      <c r="P3004" s="26">
        <v>3.8300000000000001E-2</v>
      </c>
      <c r="S3004">
        <v>108</v>
      </c>
    </row>
    <row r="3005" spans="1:19" x14ac:dyDescent="0.35">
      <c r="A3005" t="s">
        <v>230</v>
      </c>
      <c r="B3005" t="s">
        <v>251</v>
      </c>
      <c r="C3005" s="26">
        <v>0.59299999999999997</v>
      </c>
      <c r="D3005" s="26">
        <v>0.1608</v>
      </c>
      <c r="E3005" s="26">
        <v>9.3100000000000002E-2</v>
      </c>
      <c r="F3005" s="26">
        <v>4.3999999999999997E-2</v>
      </c>
      <c r="G3005" s="26">
        <v>3.5700000000000003E-2</v>
      </c>
      <c r="H3005" s="26">
        <v>7.22E-2</v>
      </c>
      <c r="I3005" s="26">
        <v>4.0300000000000002E-2</v>
      </c>
      <c r="J3005" s="26">
        <v>7.1300000000000002E-2</v>
      </c>
      <c r="K3005" s="26">
        <v>5.3400000000000003E-2</v>
      </c>
      <c r="L3005" s="26">
        <v>8.6999999999999994E-2</v>
      </c>
      <c r="M3005" s="26">
        <v>2.6599999999999999E-2</v>
      </c>
      <c r="N3005" s="26">
        <v>1.29E-2</v>
      </c>
      <c r="O3005" s="26">
        <v>4.1300000000000003E-2</v>
      </c>
      <c r="P3005" s="26">
        <v>5.4000000000000003E-3</v>
      </c>
      <c r="Q3005" s="26">
        <v>1.6000000000000001E-3</v>
      </c>
      <c r="S3005">
        <v>289</v>
      </c>
    </row>
    <row r="3006" spans="1:19" x14ac:dyDescent="0.35">
      <c r="A3006" t="s">
        <v>231</v>
      </c>
      <c r="B3006" t="s">
        <v>252</v>
      </c>
      <c r="C3006" s="26">
        <v>0.22450000000000001</v>
      </c>
      <c r="D3006" s="26">
        <v>0.53059999999999996</v>
      </c>
      <c r="E3006" s="26">
        <v>0.32650000000000001</v>
      </c>
      <c r="F3006" s="26">
        <v>0.1429</v>
      </c>
      <c r="G3006" s="26">
        <v>0.2041</v>
      </c>
      <c r="H3006" s="26">
        <v>8.1600000000000006E-2</v>
      </c>
      <c r="I3006" s="26">
        <v>4.0800000000000003E-2</v>
      </c>
      <c r="J3006" s="26">
        <v>2.0400000000000001E-2</v>
      </c>
      <c r="K3006" s="26">
        <v>0.10199999999999999</v>
      </c>
      <c r="L3006" s="26">
        <v>6.1199999999999997E-2</v>
      </c>
      <c r="N3006" s="26">
        <v>4.0800000000000003E-2</v>
      </c>
      <c r="O3006" s="26">
        <v>2.0400000000000001E-2</v>
      </c>
      <c r="S3006">
        <v>49</v>
      </c>
    </row>
    <row r="3007" spans="1:19" x14ac:dyDescent="0.35">
      <c r="A3007" t="s">
        <v>231</v>
      </c>
      <c r="B3007" t="s">
        <v>253</v>
      </c>
      <c r="C3007" s="26">
        <v>0.2</v>
      </c>
      <c r="D3007" s="26">
        <v>0.56669999999999998</v>
      </c>
      <c r="E3007" s="26">
        <v>0.3</v>
      </c>
      <c r="F3007" s="26">
        <v>0.26669999999999999</v>
      </c>
      <c r="G3007" s="26">
        <v>0.1333</v>
      </c>
      <c r="H3007" s="26">
        <v>6.6699999999999995E-2</v>
      </c>
      <c r="I3007" s="26">
        <v>6.6699999999999995E-2</v>
      </c>
      <c r="J3007" s="26">
        <v>6.6699999999999995E-2</v>
      </c>
      <c r="K3007" s="26">
        <v>6.6699999999999995E-2</v>
      </c>
      <c r="L3007" s="26">
        <v>0.1333</v>
      </c>
      <c r="M3007" s="26">
        <v>6.6699999999999995E-2</v>
      </c>
      <c r="N3007" s="26">
        <v>0.1333</v>
      </c>
      <c r="S3007">
        <v>30</v>
      </c>
    </row>
    <row r="3008" spans="1:19" x14ac:dyDescent="0.35">
      <c r="A3008" t="s">
        <v>231</v>
      </c>
      <c r="B3008" t="s">
        <v>251</v>
      </c>
      <c r="C3008" s="26">
        <v>0.57140000000000002</v>
      </c>
      <c r="D3008" s="26">
        <v>0.21429999999999999</v>
      </c>
      <c r="E3008" s="26">
        <v>0.11899999999999999</v>
      </c>
      <c r="F3008" s="26">
        <v>4.7600000000000003E-2</v>
      </c>
      <c r="G3008" s="26">
        <v>7.1400000000000005E-2</v>
      </c>
      <c r="H3008" s="26">
        <v>4.7600000000000003E-2</v>
      </c>
      <c r="I3008" s="26">
        <v>9.5200000000000007E-2</v>
      </c>
      <c r="J3008" s="26">
        <v>9.5200000000000007E-2</v>
      </c>
      <c r="K3008" s="26">
        <v>3.5700000000000003E-2</v>
      </c>
      <c r="L3008" s="26">
        <v>3.5700000000000003E-2</v>
      </c>
      <c r="M3008" s="26">
        <v>4.7600000000000003E-2</v>
      </c>
      <c r="O3008" s="26">
        <v>1.1900000000000001E-2</v>
      </c>
      <c r="P3008" s="26">
        <v>1.1900000000000001E-2</v>
      </c>
      <c r="R3008" s="26">
        <v>1.1900000000000001E-2</v>
      </c>
      <c r="S3008">
        <v>84</v>
      </c>
    </row>
    <row r="3009" spans="1:19" x14ac:dyDescent="0.35">
      <c r="A3009" t="s">
        <v>232</v>
      </c>
      <c r="B3009" t="s">
        <v>232</v>
      </c>
      <c r="C3009" s="26">
        <v>0.40010000000000001</v>
      </c>
      <c r="D3009" s="26">
        <v>0.35039999999999999</v>
      </c>
      <c r="E3009" s="26">
        <v>0.2084</v>
      </c>
      <c r="F3009" s="26">
        <v>0.1074</v>
      </c>
      <c r="G3009" s="26">
        <v>0.10390000000000001</v>
      </c>
      <c r="H3009" s="26">
        <v>8.6499999999999994E-2</v>
      </c>
      <c r="I3009" s="26">
        <v>7.2300000000000003E-2</v>
      </c>
      <c r="J3009" s="26">
        <v>6.3399999999999998E-2</v>
      </c>
      <c r="K3009" s="26">
        <v>5.2499999999999998E-2</v>
      </c>
      <c r="L3009" s="26">
        <v>4.7899999999999998E-2</v>
      </c>
      <c r="M3009" s="26">
        <v>3.9600000000000003E-2</v>
      </c>
      <c r="N3009" s="26">
        <v>3.7199999999999997E-2</v>
      </c>
      <c r="O3009" s="26">
        <v>1.4999999999999999E-2</v>
      </c>
      <c r="P3009" s="26">
        <v>1.34E-2</v>
      </c>
      <c r="Q3009" s="26">
        <v>2.2000000000000001E-3</v>
      </c>
      <c r="R3009" s="26">
        <v>1.9E-3</v>
      </c>
      <c r="S3009">
        <v>2789</v>
      </c>
    </row>
    <row r="3011" spans="1:19" x14ac:dyDescent="0.35">
      <c r="A3011" s="1" t="s">
        <v>570</v>
      </c>
    </row>
    <row r="3012" spans="1:19" x14ac:dyDescent="0.35">
      <c r="A3012" t="s">
        <v>219</v>
      </c>
      <c r="B3012" t="s">
        <v>305</v>
      </c>
      <c r="C3012" t="s">
        <v>550</v>
      </c>
      <c r="D3012" t="s">
        <v>551</v>
      </c>
      <c r="E3012" t="s">
        <v>552</v>
      </c>
      <c r="F3012" t="s">
        <v>553</v>
      </c>
      <c r="G3012" t="s">
        <v>554</v>
      </c>
      <c r="H3012" t="s">
        <v>555</v>
      </c>
      <c r="I3012" t="s">
        <v>556</v>
      </c>
      <c r="J3012" t="s">
        <v>557</v>
      </c>
      <c r="K3012" t="s">
        <v>558</v>
      </c>
      <c r="L3012" t="s">
        <v>559</v>
      </c>
      <c r="M3012" t="s">
        <v>560</v>
      </c>
      <c r="N3012" t="s">
        <v>561</v>
      </c>
      <c r="O3012" t="s">
        <v>562</v>
      </c>
      <c r="P3012" t="s">
        <v>563</v>
      </c>
      <c r="Q3012" t="s">
        <v>286</v>
      </c>
      <c r="R3012" t="s">
        <v>281</v>
      </c>
      <c r="S3012" t="s">
        <v>226</v>
      </c>
    </row>
    <row r="3013" spans="1:19" x14ac:dyDescent="0.35">
      <c r="A3013" t="s">
        <v>227</v>
      </c>
      <c r="B3013" t="s">
        <v>249</v>
      </c>
      <c r="C3013" s="26">
        <v>0.5</v>
      </c>
      <c r="D3013" s="26">
        <v>0.20449999999999999</v>
      </c>
      <c r="E3013" s="26">
        <v>0.15909999999999999</v>
      </c>
      <c r="F3013" s="26">
        <v>0.13639999999999999</v>
      </c>
      <c r="G3013" s="26">
        <v>6.8199999999999997E-2</v>
      </c>
      <c r="H3013" s="26">
        <v>0.13639999999999999</v>
      </c>
      <c r="I3013" s="26">
        <v>4.5499999999999999E-2</v>
      </c>
      <c r="J3013" s="26">
        <v>6.8199999999999997E-2</v>
      </c>
      <c r="K3013" s="26">
        <v>2.2700000000000001E-2</v>
      </c>
      <c r="L3013" s="26">
        <v>2.2700000000000001E-2</v>
      </c>
      <c r="M3013" s="26">
        <v>4.5499999999999999E-2</v>
      </c>
      <c r="N3013" s="26">
        <v>2.2700000000000001E-2</v>
      </c>
      <c r="S3013">
        <v>44</v>
      </c>
    </row>
    <row r="3014" spans="1:19" x14ac:dyDescent="0.35">
      <c r="A3014" t="s">
        <v>227</v>
      </c>
      <c r="B3014" t="s">
        <v>248</v>
      </c>
      <c r="C3014" s="26">
        <v>0.35039999999999999</v>
      </c>
      <c r="D3014" s="26">
        <v>0.46150000000000002</v>
      </c>
      <c r="E3014" s="26">
        <v>0.23080000000000001</v>
      </c>
      <c r="F3014" s="26">
        <v>9.4E-2</v>
      </c>
      <c r="G3014" s="26">
        <v>9.4E-2</v>
      </c>
      <c r="H3014" s="26">
        <v>0.1197</v>
      </c>
      <c r="I3014" s="26">
        <v>6.8400000000000002E-2</v>
      </c>
      <c r="J3014" s="26">
        <v>5.1299999999999998E-2</v>
      </c>
      <c r="K3014" s="26">
        <v>5.9799999999999999E-2</v>
      </c>
      <c r="L3014" s="26">
        <v>6.8400000000000002E-2</v>
      </c>
      <c r="M3014" s="26">
        <v>2.5600000000000001E-2</v>
      </c>
      <c r="N3014" s="26">
        <v>2.5600000000000001E-2</v>
      </c>
      <c r="P3014" s="26">
        <v>8.5000000000000006E-3</v>
      </c>
      <c r="S3014">
        <v>117</v>
      </c>
    </row>
    <row r="3015" spans="1:19" x14ac:dyDescent="0.35">
      <c r="A3015" t="s">
        <v>228</v>
      </c>
      <c r="B3015" t="s">
        <v>249</v>
      </c>
      <c r="C3015" s="26">
        <v>0.50580000000000003</v>
      </c>
      <c r="D3015" s="26">
        <v>0.18110000000000001</v>
      </c>
      <c r="E3015" s="26">
        <v>0.1484</v>
      </c>
      <c r="F3015" s="26">
        <v>4.07E-2</v>
      </c>
      <c r="G3015" s="26">
        <v>2.47E-2</v>
      </c>
      <c r="H3015" s="26">
        <v>0.13350000000000001</v>
      </c>
      <c r="I3015" s="26">
        <v>3.9E-2</v>
      </c>
      <c r="J3015" s="26">
        <v>5.7700000000000001E-2</v>
      </c>
      <c r="K3015" s="26">
        <v>2.9399999999999999E-2</v>
      </c>
      <c r="L3015" s="26">
        <v>6.0299999999999999E-2</v>
      </c>
      <c r="M3015" s="26">
        <v>7.2099999999999997E-2</v>
      </c>
      <c r="N3015" s="26">
        <v>3.56E-2</v>
      </c>
      <c r="O3015" s="26">
        <v>2.86E-2</v>
      </c>
      <c r="P3015" s="26">
        <v>7.7999999999999996E-3</v>
      </c>
      <c r="Q3015" s="26">
        <v>1.1999999999999999E-3</v>
      </c>
      <c r="R3015" s="26">
        <v>1.1999999999999999E-3</v>
      </c>
      <c r="S3015">
        <v>270</v>
      </c>
    </row>
    <row r="3016" spans="1:19" x14ac:dyDescent="0.35">
      <c r="A3016" t="s">
        <v>228</v>
      </c>
      <c r="B3016" t="s">
        <v>248</v>
      </c>
      <c r="C3016" s="26">
        <v>0.30649999999999999</v>
      </c>
      <c r="D3016" s="26">
        <v>0.40539999999999998</v>
      </c>
      <c r="E3016" s="26">
        <v>0.24979999999999999</v>
      </c>
      <c r="F3016" s="26">
        <v>0.14399999999999999</v>
      </c>
      <c r="G3016" s="26">
        <v>0.1341</v>
      </c>
      <c r="H3016" s="26">
        <v>7.6700000000000004E-2</v>
      </c>
      <c r="I3016" s="26">
        <v>6.7699999999999996E-2</v>
      </c>
      <c r="J3016" s="26">
        <v>6.54E-2</v>
      </c>
      <c r="K3016" s="26">
        <v>6.0600000000000001E-2</v>
      </c>
      <c r="L3016" s="26">
        <v>3.0700000000000002E-2</v>
      </c>
      <c r="M3016" s="26">
        <v>3.73E-2</v>
      </c>
      <c r="N3016" s="26">
        <v>4.07E-2</v>
      </c>
      <c r="O3016" s="26">
        <v>2.1600000000000001E-2</v>
      </c>
      <c r="P3016" s="26">
        <v>1.4999999999999999E-2</v>
      </c>
      <c r="Q3016" s="26">
        <v>2.8999999999999998E-3</v>
      </c>
      <c r="R3016" s="26">
        <v>8.0000000000000004E-4</v>
      </c>
      <c r="S3016">
        <v>750</v>
      </c>
    </row>
    <row r="3017" spans="1:19" x14ac:dyDescent="0.35">
      <c r="A3017" t="s">
        <v>229</v>
      </c>
      <c r="B3017" t="s">
        <v>249</v>
      </c>
      <c r="C3017" s="26">
        <v>0.53649999999999998</v>
      </c>
      <c r="D3017" s="26">
        <v>0.20549999999999999</v>
      </c>
      <c r="E3017" s="26">
        <v>0.14949999999999999</v>
      </c>
      <c r="F3017" s="26">
        <v>3.9699999999999999E-2</v>
      </c>
      <c r="G3017" s="26">
        <v>4.9700000000000001E-2</v>
      </c>
      <c r="H3017" s="26">
        <v>8.7099999999999997E-2</v>
      </c>
      <c r="I3017" s="26">
        <v>7.8299999999999995E-2</v>
      </c>
      <c r="J3017" s="26">
        <v>9.8100000000000007E-2</v>
      </c>
      <c r="K3017" s="26">
        <v>2.01E-2</v>
      </c>
      <c r="L3017" s="26">
        <v>3.7199999999999997E-2</v>
      </c>
      <c r="M3017" s="26">
        <v>5.11E-2</v>
      </c>
      <c r="N3017" s="26">
        <v>5.3100000000000001E-2</v>
      </c>
      <c r="O3017" s="26">
        <v>1.8499999999999999E-2</v>
      </c>
      <c r="P3017" s="26">
        <v>2.01E-2</v>
      </c>
      <c r="Q3017" s="26">
        <v>2.9999999999999997E-4</v>
      </c>
      <c r="S3017">
        <v>257</v>
      </c>
    </row>
    <row r="3018" spans="1:19" x14ac:dyDescent="0.35">
      <c r="A3018" t="s">
        <v>229</v>
      </c>
      <c r="B3018" t="s">
        <v>248</v>
      </c>
      <c r="C3018" s="26">
        <v>0.36420000000000002</v>
      </c>
      <c r="D3018" s="26">
        <v>0.38340000000000002</v>
      </c>
      <c r="E3018" s="26">
        <v>0.2112</v>
      </c>
      <c r="F3018" s="26">
        <v>0.1227</v>
      </c>
      <c r="G3018" s="26">
        <v>0.1268</v>
      </c>
      <c r="H3018" s="26">
        <v>9.5799999999999996E-2</v>
      </c>
      <c r="I3018" s="26">
        <v>9.8799999999999999E-2</v>
      </c>
      <c r="J3018" s="26">
        <v>5.0700000000000002E-2</v>
      </c>
      <c r="K3018" s="26">
        <v>5.96E-2</v>
      </c>
      <c r="L3018" s="26">
        <v>2.9899999999999999E-2</v>
      </c>
      <c r="M3018" s="26">
        <v>4.7899999999999998E-2</v>
      </c>
      <c r="N3018" s="26">
        <v>4.1300000000000003E-2</v>
      </c>
      <c r="O3018" s="26">
        <v>1.55E-2</v>
      </c>
      <c r="P3018" s="26">
        <v>2.2599999999999999E-2</v>
      </c>
      <c r="Q3018" s="26">
        <v>8.5000000000000006E-3</v>
      </c>
      <c r="R3018" s="26">
        <v>4.0000000000000002E-4</v>
      </c>
      <c r="S3018">
        <v>634</v>
      </c>
    </row>
    <row r="3019" spans="1:19" x14ac:dyDescent="0.35">
      <c r="A3019" t="s">
        <v>230</v>
      </c>
      <c r="B3019" t="s">
        <v>249</v>
      </c>
      <c r="C3019" s="26">
        <v>0.4667</v>
      </c>
      <c r="D3019" s="26">
        <v>0.21840000000000001</v>
      </c>
      <c r="E3019" s="26">
        <v>7.2400000000000006E-2</v>
      </c>
      <c r="F3019" s="26">
        <v>7.5700000000000003E-2</v>
      </c>
      <c r="G3019" s="26">
        <v>8.9899999999999994E-2</v>
      </c>
      <c r="H3019" s="26">
        <v>0.1237</v>
      </c>
      <c r="I3019" s="26">
        <v>6.9500000000000006E-2</v>
      </c>
      <c r="J3019" s="26">
        <v>0.112</v>
      </c>
      <c r="K3019" s="26">
        <v>7.7700000000000005E-2</v>
      </c>
      <c r="L3019" s="26">
        <v>0.13830000000000001</v>
      </c>
      <c r="M3019" s="26">
        <v>2.4299999999999999E-2</v>
      </c>
      <c r="N3019" s="26">
        <v>2.07E-2</v>
      </c>
      <c r="O3019" s="26">
        <v>4.9599999999999998E-2</v>
      </c>
      <c r="P3019" s="26">
        <v>2.2499999999999999E-2</v>
      </c>
      <c r="Q3019" s="26">
        <v>2.7000000000000001E-3</v>
      </c>
      <c r="S3019">
        <v>169</v>
      </c>
    </row>
    <row r="3020" spans="1:19" x14ac:dyDescent="0.35">
      <c r="A3020" t="s">
        <v>230</v>
      </c>
      <c r="B3020" t="s">
        <v>248</v>
      </c>
      <c r="C3020" s="26">
        <v>0.40289999999999998</v>
      </c>
      <c r="D3020" s="26">
        <v>0.36630000000000001</v>
      </c>
      <c r="E3020" s="26">
        <v>0.2883</v>
      </c>
      <c r="F3020" s="26">
        <v>0.12479999999999999</v>
      </c>
      <c r="G3020" s="26">
        <v>8.8400000000000006E-2</v>
      </c>
      <c r="H3020" s="26">
        <v>3.5499999999999997E-2</v>
      </c>
      <c r="I3020" s="26">
        <v>4.3999999999999997E-2</v>
      </c>
      <c r="J3020" s="26">
        <v>2.8299999999999999E-2</v>
      </c>
      <c r="K3020" s="26">
        <v>3.78E-2</v>
      </c>
      <c r="L3020" s="26">
        <v>1.9800000000000002E-2</v>
      </c>
      <c r="M3020" s="26">
        <v>1.3100000000000001E-2</v>
      </c>
      <c r="N3020" s="26">
        <v>3.5099999999999999E-2</v>
      </c>
      <c r="O3020" s="26">
        <v>1.17E-2</v>
      </c>
      <c r="P3020" s="26">
        <v>2.0799999999999999E-2</v>
      </c>
      <c r="S3020">
        <v>385</v>
      </c>
    </row>
    <row r="3021" spans="1:19" x14ac:dyDescent="0.35">
      <c r="A3021" t="s">
        <v>231</v>
      </c>
      <c r="B3021" t="s">
        <v>249</v>
      </c>
      <c r="C3021" s="26">
        <v>0.4118</v>
      </c>
      <c r="D3021" s="26">
        <v>0.32350000000000001</v>
      </c>
      <c r="E3021" s="26">
        <v>0.14710000000000001</v>
      </c>
      <c r="F3021" s="26">
        <v>0.14710000000000001</v>
      </c>
      <c r="G3021" s="26">
        <v>8.8200000000000001E-2</v>
      </c>
      <c r="H3021" s="26">
        <v>5.8799999999999998E-2</v>
      </c>
      <c r="I3021" s="26">
        <v>0.2059</v>
      </c>
      <c r="J3021" s="26">
        <v>0.14710000000000001</v>
      </c>
      <c r="K3021" s="26">
        <v>5.8799999999999998E-2</v>
      </c>
      <c r="L3021" s="26">
        <v>5.8799999999999998E-2</v>
      </c>
      <c r="M3021" s="26">
        <v>2.9399999999999999E-2</v>
      </c>
      <c r="N3021" s="26">
        <v>2.9399999999999999E-2</v>
      </c>
      <c r="S3021">
        <v>34</v>
      </c>
    </row>
    <row r="3022" spans="1:19" x14ac:dyDescent="0.35">
      <c r="A3022" t="s">
        <v>231</v>
      </c>
      <c r="B3022" t="s">
        <v>248</v>
      </c>
      <c r="C3022" s="26">
        <v>0.39529999999999998</v>
      </c>
      <c r="D3022" s="26">
        <v>0.3876</v>
      </c>
      <c r="E3022" s="26">
        <v>0.2326</v>
      </c>
      <c r="F3022" s="26">
        <v>0.1085</v>
      </c>
      <c r="G3022" s="26">
        <v>0.1318</v>
      </c>
      <c r="H3022" s="26">
        <v>6.2E-2</v>
      </c>
      <c r="I3022" s="26">
        <v>3.8800000000000001E-2</v>
      </c>
      <c r="J3022" s="26">
        <v>4.65E-2</v>
      </c>
      <c r="K3022" s="26">
        <v>6.2E-2</v>
      </c>
      <c r="L3022" s="26">
        <v>6.2E-2</v>
      </c>
      <c r="M3022" s="26">
        <v>3.8800000000000001E-2</v>
      </c>
      <c r="N3022" s="26">
        <v>3.8800000000000001E-2</v>
      </c>
      <c r="O3022" s="26">
        <v>1.55E-2</v>
      </c>
      <c r="P3022" s="26">
        <v>7.7999999999999996E-3</v>
      </c>
      <c r="R3022" s="26">
        <v>7.7999999999999996E-3</v>
      </c>
      <c r="S3022">
        <v>129</v>
      </c>
    </row>
    <row r="3023" spans="1:19" x14ac:dyDescent="0.35">
      <c r="A3023" t="s">
        <v>232</v>
      </c>
      <c r="B3023" t="s">
        <v>232</v>
      </c>
      <c r="C3023" s="26">
        <v>0.40010000000000001</v>
      </c>
      <c r="D3023" s="26">
        <v>0.35039999999999999</v>
      </c>
      <c r="E3023" s="26">
        <v>0.2084</v>
      </c>
      <c r="F3023" s="26">
        <v>0.1074</v>
      </c>
      <c r="G3023" s="26">
        <v>0.10390000000000001</v>
      </c>
      <c r="H3023" s="26">
        <v>8.6499999999999994E-2</v>
      </c>
      <c r="I3023" s="26">
        <v>7.2300000000000003E-2</v>
      </c>
      <c r="J3023" s="26">
        <v>6.3399999999999998E-2</v>
      </c>
      <c r="K3023" s="26">
        <v>5.2499999999999998E-2</v>
      </c>
      <c r="L3023" s="26">
        <v>4.7899999999999998E-2</v>
      </c>
      <c r="M3023" s="26">
        <v>3.9600000000000003E-2</v>
      </c>
      <c r="N3023" s="26">
        <v>3.7199999999999997E-2</v>
      </c>
      <c r="O3023" s="26">
        <v>1.4999999999999999E-2</v>
      </c>
      <c r="P3023" s="26">
        <v>1.34E-2</v>
      </c>
      <c r="Q3023" s="26">
        <v>2.2000000000000001E-3</v>
      </c>
      <c r="R3023" s="26">
        <v>1.9E-3</v>
      </c>
      <c r="S3023">
        <v>2789</v>
      </c>
    </row>
    <row r="3025" spans="1:19" x14ac:dyDescent="0.35">
      <c r="A3025" s="1" t="s">
        <v>571</v>
      </c>
    </row>
    <row r="3026" spans="1:19" x14ac:dyDescent="0.35">
      <c r="A3026" t="s">
        <v>219</v>
      </c>
      <c r="B3026" t="s">
        <v>305</v>
      </c>
      <c r="C3026" t="s">
        <v>550</v>
      </c>
      <c r="D3026" t="s">
        <v>551</v>
      </c>
      <c r="E3026" t="s">
        <v>552</v>
      </c>
      <c r="F3026" t="s">
        <v>553</v>
      </c>
      <c r="G3026" t="s">
        <v>554</v>
      </c>
      <c r="H3026" t="s">
        <v>555</v>
      </c>
      <c r="I3026" t="s">
        <v>556</v>
      </c>
      <c r="J3026" t="s">
        <v>557</v>
      </c>
      <c r="K3026" t="s">
        <v>558</v>
      </c>
      <c r="L3026" t="s">
        <v>559</v>
      </c>
      <c r="M3026" t="s">
        <v>560</v>
      </c>
      <c r="N3026" t="s">
        <v>561</v>
      </c>
      <c r="O3026" t="s">
        <v>562</v>
      </c>
      <c r="P3026" t="s">
        <v>563</v>
      </c>
      <c r="Q3026" t="s">
        <v>286</v>
      </c>
      <c r="R3026" t="s">
        <v>281</v>
      </c>
      <c r="S3026" t="s">
        <v>226</v>
      </c>
    </row>
    <row r="3027" spans="1:19" x14ac:dyDescent="0.35">
      <c r="A3027" s="27" t="s">
        <v>227</v>
      </c>
      <c r="B3027" s="27" t="s">
        <v>263</v>
      </c>
      <c r="C3027" s="28">
        <v>0.66669999999999996</v>
      </c>
      <c r="D3027" s="28">
        <v>0.33329999999999999</v>
      </c>
      <c r="E3027" s="29"/>
      <c r="F3027" s="29"/>
      <c r="G3027" s="29"/>
      <c r="H3027" s="28">
        <v>0.33329999999999999</v>
      </c>
      <c r="I3027" s="29"/>
      <c r="J3027" s="29"/>
      <c r="K3027" s="29"/>
      <c r="L3027" s="29"/>
      <c r="M3027" s="29"/>
      <c r="N3027" s="29"/>
      <c r="O3027" s="29"/>
      <c r="P3027" s="29"/>
      <c r="Q3027" s="29"/>
      <c r="R3027" s="29"/>
      <c r="S3027" s="29" t="s">
        <v>315</v>
      </c>
    </row>
    <row r="3028" spans="1:19" x14ac:dyDescent="0.35">
      <c r="A3028" t="s">
        <v>227</v>
      </c>
      <c r="B3028" t="s">
        <v>261</v>
      </c>
      <c r="C3028" s="26">
        <v>0.21210000000000001</v>
      </c>
      <c r="D3028" s="26">
        <v>0.54549999999999998</v>
      </c>
      <c r="E3028" s="26">
        <v>0.30299999999999999</v>
      </c>
      <c r="F3028" s="26">
        <v>0.1212</v>
      </c>
      <c r="G3028" s="26">
        <v>6.0600000000000001E-2</v>
      </c>
      <c r="H3028" s="26">
        <v>0.1515</v>
      </c>
      <c r="I3028" s="26">
        <v>0.1212</v>
      </c>
      <c r="J3028" s="26">
        <v>6.0600000000000001E-2</v>
      </c>
      <c r="K3028" s="26">
        <v>9.0899999999999995E-2</v>
      </c>
      <c r="L3028" s="26">
        <v>9.0899999999999995E-2</v>
      </c>
      <c r="M3028" s="26">
        <v>3.0300000000000001E-2</v>
      </c>
      <c r="N3028" s="26">
        <v>3.0300000000000001E-2</v>
      </c>
      <c r="S3028">
        <v>33</v>
      </c>
    </row>
    <row r="3029" spans="1:19" x14ac:dyDescent="0.35">
      <c r="A3029" s="27" t="s">
        <v>227</v>
      </c>
      <c r="B3029" s="27" t="s">
        <v>262</v>
      </c>
      <c r="C3029" s="28">
        <v>0.66669999999999996</v>
      </c>
      <c r="D3029" s="28">
        <v>0.33329999999999999</v>
      </c>
      <c r="E3029" s="29"/>
      <c r="F3029" s="29"/>
      <c r="G3029" s="29"/>
      <c r="H3029" s="29"/>
      <c r="I3029" s="29"/>
      <c r="J3029" s="29"/>
      <c r="K3029" s="29"/>
      <c r="L3029" s="29"/>
      <c r="M3029" s="29"/>
      <c r="N3029" s="29"/>
      <c r="O3029" s="29"/>
      <c r="P3029" s="29"/>
      <c r="Q3029" s="29"/>
      <c r="R3029" s="29"/>
      <c r="S3029" s="29" t="s">
        <v>315</v>
      </c>
    </row>
    <row r="3030" spans="1:19" x14ac:dyDescent="0.35">
      <c r="A3030" t="s">
        <v>227</v>
      </c>
      <c r="B3030" t="s">
        <v>260</v>
      </c>
      <c r="C3030" s="26">
        <v>0.42620000000000002</v>
      </c>
      <c r="D3030" s="26">
        <v>0.35249999999999998</v>
      </c>
      <c r="E3030" s="26">
        <v>0.19670000000000001</v>
      </c>
      <c r="F3030" s="26">
        <v>0.1066</v>
      </c>
      <c r="G3030" s="26">
        <v>9.8400000000000001E-2</v>
      </c>
      <c r="H3030" s="26">
        <v>0.1148</v>
      </c>
      <c r="I3030" s="26">
        <v>4.9200000000000001E-2</v>
      </c>
      <c r="J3030" s="26">
        <v>5.74E-2</v>
      </c>
      <c r="K3030" s="26">
        <v>4.1000000000000002E-2</v>
      </c>
      <c r="L3030" s="26">
        <v>4.9200000000000001E-2</v>
      </c>
      <c r="M3030" s="26">
        <v>3.2800000000000003E-2</v>
      </c>
      <c r="N3030" s="26">
        <v>2.46E-2</v>
      </c>
      <c r="P3030" s="26">
        <v>8.2000000000000007E-3</v>
      </c>
      <c r="S3030">
        <v>122</v>
      </c>
    </row>
    <row r="3031" spans="1:19" x14ac:dyDescent="0.35">
      <c r="A3031" t="s">
        <v>228</v>
      </c>
      <c r="B3031" t="s">
        <v>261</v>
      </c>
      <c r="C3031" s="26">
        <v>0.30070000000000002</v>
      </c>
      <c r="D3031" s="26">
        <v>0.31830000000000003</v>
      </c>
      <c r="E3031" s="26">
        <v>0.26579999999999998</v>
      </c>
      <c r="F3031" s="26">
        <v>0.15029999999999999</v>
      </c>
      <c r="G3031" s="26">
        <v>0.1532</v>
      </c>
      <c r="H3031" s="26">
        <v>8.6599999999999996E-2</v>
      </c>
      <c r="I3031" s="26">
        <v>6.3200000000000006E-2</v>
      </c>
      <c r="J3031" s="26">
        <v>2.81E-2</v>
      </c>
      <c r="K3031" s="26">
        <v>8.0699999999999994E-2</v>
      </c>
      <c r="L3031" s="26">
        <v>3.09E-2</v>
      </c>
      <c r="M3031" s="26">
        <v>9.0899999999999995E-2</v>
      </c>
      <c r="N3031" s="26">
        <v>0.1075</v>
      </c>
      <c r="O3031" s="26">
        <v>2.0899999999999998E-2</v>
      </c>
      <c r="P3031" s="26">
        <v>5.3E-3</v>
      </c>
      <c r="R3031" s="26">
        <v>2.8999999999999998E-3</v>
      </c>
      <c r="S3031">
        <v>189</v>
      </c>
    </row>
    <row r="3032" spans="1:19" x14ac:dyDescent="0.35">
      <c r="A3032" s="27" t="s">
        <v>228</v>
      </c>
      <c r="B3032" s="27" t="s">
        <v>263</v>
      </c>
      <c r="C3032" s="28">
        <v>0.26169999999999999</v>
      </c>
      <c r="D3032" s="28">
        <v>0.45610000000000001</v>
      </c>
      <c r="E3032" s="28">
        <v>0.152</v>
      </c>
      <c r="F3032" s="29"/>
      <c r="G3032" s="29"/>
      <c r="H3032" s="28">
        <v>0.11260000000000001</v>
      </c>
      <c r="I3032" s="29"/>
      <c r="J3032" s="28">
        <v>0.14230000000000001</v>
      </c>
      <c r="K3032" s="28">
        <v>0.2261</v>
      </c>
      <c r="L3032" s="28">
        <v>0.1085</v>
      </c>
      <c r="M3032" s="28">
        <v>7.4800000000000005E-2</v>
      </c>
      <c r="N3032" s="29"/>
      <c r="O3032" s="28">
        <v>2.9700000000000001E-2</v>
      </c>
      <c r="P3032" s="29"/>
      <c r="Q3032" s="29"/>
      <c r="R3032" s="29"/>
      <c r="S3032" s="29" t="s">
        <v>310</v>
      </c>
    </row>
    <row r="3033" spans="1:19" x14ac:dyDescent="0.35">
      <c r="A3033" s="27" t="s">
        <v>228</v>
      </c>
      <c r="B3033" s="27" t="s">
        <v>236</v>
      </c>
      <c r="C3033" s="28">
        <v>0.53400000000000003</v>
      </c>
      <c r="D3033" s="28">
        <v>0.3216</v>
      </c>
      <c r="E3033" s="28">
        <v>0.17269999999999999</v>
      </c>
      <c r="F3033" s="28">
        <v>6.6500000000000004E-2</v>
      </c>
      <c r="G3033" s="28">
        <v>0.13370000000000001</v>
      </c>
      <c r="H3033" s="28">
        <v>0.13370000000000001</v>
      </c>
      <c r="I3033" s="29"/>
      <c r="J3033" s="28">
        <v>0.18790000000000001</v>
      </c>
      <c r="K3033" s="28">
        <v>3.9E-2</v>
      </c>
      <c r="L3033" s="28">
        <v>0.18790000000000001</v>
      </c>
      <c r="M3033" s="29"/>
      <c r="N3033" s="29"/>
      <c r="O3033" s="29"/>
      <c r="P3033" s="28">
        <v>0.13370000000000001</v>
      </c>
      <c r="Q3033" s="29"/>
      <c r="R3033" s="29"/>
      <c r="S3033" s="29" t="s">
        <v>335</v>
      </c>
    </row>
    <row r="3034" spans="1:19" x14ac:dyDescent="0.35">
      <c r="A3034" t="s">
        <v>228</v>
      </c>
      <c r="B3034" t="s">
        <v>262</v>
      </c>
      <c r="C3034" s="26">
        <v>0.38219999999999998</v>
      </c>
      <c r="D3034" s="26">
        <v>0.25609999999999999</v>
      </c>
      <c r="E3034" s="26">
        <v>0.17019999999999999</v>
      </c>
      <c r="F3034" s="26">
        <v>9.8699999999999996E-2</v>
      </c>
      <c r="G3034" s="26">
        <v>0.1084</v>
      </c>
      <c r="H3034" s="26">
        <v>4.5199999999999997E-2</v>
      </c>
      <c r="I3034" s="26">
        <v>0.16420000000000001</v>
      </c>
      <c r="J3034" s="26">
        <v>0.1021</v>
      </c>
      <c r="K3034" s="26">
        <v>2.7099999999999999E-2</v>
      </c>
      <c r="L3034" s="26">
        <v>8.8700000000000001E-2</v>
      </c>
      <c r="M3034" s="26">
        <v>5.5500000000000001E-2</v>
      </c>
      <c r="N3034" s="26">
        <v>3.3000000000000002E-2</v>
      </c>
      <c r="O3034" s="26">
        <v>5.6000000000000001E-2</v>
      </c>
      <c r="P3034" s="26">
        <v>1.3599999999999999E-2</v>
      </c>
      <c r="S3034">
        <v>198</v>
      </c>
    </row>
    <row r="3035" spans="1:19" x14ac:dyDescent="0.35">
      <c r="A3035" t="s">
        <v>228</v>
      </c>
      <c r="B3035" t="s">
        <v>260</v>
      </c>
      <c r="C3035" s="26">
        <v>0.38500000000000001</v>
      </c>
      <c r="D3035" s="26">
        <v>0.36220000000000002</v>
      </c>
      <c r="E3035" s="26">
        <v>0.22020000000000001</v>
      </c>
      <c r="F3035" s="26">
        <v>0.1086</v>
      </c>
      <c r="G3035" s="26">
        <v>8.5199999999999998E-2</v>
      </c>
      <c r="H3035" s="26">
        <v>0.1086</v>
      </c>
      <c r="I3035" s="26">
        <v>3.1199999999999999E-2</v>
      </c>
      <c r="J3035" s="26">
        <v>5.96E-2</v>
      </c>
      <c r="K3035" s="26">
        <v>4.3099999999999999E-2</v>
      </c>
      <c r="L3035" s="26">
        <v>2.5399999999999999E-2</v>
      </c>
      <c r="M3035" s="26">
        <v>3.1899999999999998E-2</v>
      </c>
      <c r="N3035" s="26">
        <v>2.1000000000000001E-2</v>
      </c>
      <c r="O3035" s="26">
        <v>1.5800000000000002E-2</v>
      </c>
      <c r="P3035" s="26">
        <v>1.41E-2</v>
      </c>
      <c r="Q3035" s="26">
        <v>3.8999999999999998E-3</v>
      </c>
      <c r="R3035" s="26">
        <v>5.9999999999999995E-4</v>
      </c>
      <c r="S3035">
        <v>603</v>
      </c>
    </row>
    <row r="3036" spans="1:19" x14ac:dyDescent="0.35">
      <c r="A3036" s="27" t="s">
        <v>229</v>
      </c>
      <c r="B3036" s="27" t="s">
        <v>263</v>
      </c>
      <c r="C3036" s="28">
        <v>0.58020000000000005</v>
      </c>
      <c r="D3036" s="28">
        <v>0.21240000000000001</v>
      </c>
      <c r="E3036" s="28">
        <v>0.25919999999999999</v>
      </c>
      <c r="F3036" s="28">
        <v>3.9600000000000003E-2</v>
      </c>
      <c r="G3036" s="29"/>
      <c r="H3036" s="28">
        <v>0.17280000000000001</v>
      </c>
      <c r="I3036" s="28">
        <v>3.4700000000000002E-2</v>
      </c>
      <c r="J3036" s="29"/>
      <c r="K3036" s="28">
        <v>1.7100000000000001E-2</v>
      </c>
      <c r="L3036" s="28">
        <v>1.7100000000000001E-2</v>
      </c>
      <c r="M3036" s="29"/>
      <c r="N3036" s="28">
        <v>3.9600000000000003E-2</v>
      </c>
      <c r="O3036" s="29"/>
      <c r="P3036" s="28">
        <v>0.15570000000000001</v>
      </c>
      <c r="Q3036" s="29"/>
      <c r="R3036" s="29"/>
      <c r="S3036" s="29" t="s">
        <v>379</v>
      </c>
    </row>
    <row r="3037" spans="1:19" x14ac:dyDescent="0.35">
      <c r="A3037" t="s">
        <v>229</v>
      </c>
      <c r="B3037" t="s">
        <v>262</v>
      </c>
      <c r="C3037" s="26">
        <v>0.40989999999999999</v>
      </c>
      <c r="D3037" s="26">
        <v>0.25640000000000002</v>
      </c>
      <c r="E3037" s="26">
        <v>0.15409999999999999</v>
      </c>
      <c r="F3037" s="26">
        <v>6.2899999999999998E-2</v>
      </c>
      <c r="G3037" s="26">
        <v>7.9399999999999998E-2</v>
      </c>
      <c r="H3037" s="26">
        <v>8.9899999999999994E-2</v>
      </c>
      <c r="I3037" s="26">
        <v>0.1041</v>
      </c>
      <c r="J3037" s="26">
        <v>8.8099999999999998E-2</v>
      </c>
      <c r="K3037" s="26">
        <v>3.6200000000000003E-2</v>
      </c>
      <c r="L3037" s="26">
        <v>3.5999999999999997E-2</v>
      </c>
      <c r="M3037" s="26">
        <v>3.6499999999999998E-2</v>
      </c>
      <c r="N3037" s="26">
        <v>4.3700000000000003E-2</v>
      </c>
      <c r="O3037" s="26">
        <v>1.09E-2</v>
      </c>
      <c r="P3037" s="26">
        <v>1.3100000000000001E-2</v>
      </c>
      <c r="Q3037" s="26">
        <v>9.4999999999999998E-3</v>
      </c>
      <c r="S3037">
        <v>186</v>
      </c>
    </row>
    <row r="3038" spans="1:19" x14ac:dyDescent="0.35">
      <c r="A3038" t="s">
        <v>229</v>
      </c>
      <c r="B3038" t="s">
        <v>261</v>
      </c>
      <c r="C3038" s="26">
        <v>0.31969999999999998</v>
      </c>
      <c r="D3038" s="26">
        <v>0.31440000000000001</v>
      </c>
      <c r="E3038" s="26">
        <v>0.1918</v>
      </c>
      <c r="F3038" s="26">
        <v>0.1236</v>
      </c>
      <c r="G3038" s="26">
        <v>0.1666</v>
      </c>
      <c r="H3038" s="26">
        <v>0.11749999999999999</v>
      </c>
      <c r="I3038" s="26">
        <v>0.13250000000000001</v>
      </c>
      <c r="J3038" s="26">
        <v>4.7100000000000003E-2</v>
      </c>
      <c r="K3038" s="26">
        <v>7.9200000000000007E-2</v>
      </c>
      <c r="L3038" s="26">
        <v>5.9999999999999995E-4</v>
      </c>
      <c r="M3038" s="26">
        <v>7.4099999999999999E-2</v>
      </c>
      <c r="N3038" s="26">
        <v>8.2900000000000001E-2</v>
      </c>
      <c r="O3038" s="26">
        <v>2.0199999999999999E-2</v>
      </c>
      <c r="P3038" s="26">
        <v>2.2000000000000001E-3</v>
      </c>
      <c r="S3038">
        <v>96</v>
      </c>
    </row>
    <row r="3039" spans="1:19" x14ac:dyDescent="0.35">
      <c r="A3039" s="27" t="s">
        <v>229</v>
      </c>
      <c r="B3039" s="27" t="s">
        <v>236</v>
      </c>
      <c r="C3039" s="28">
        <v>1</v>
      </c>
      <c r="D3039" s="29"/>
      <c r="E3039" s="29"/>
      <c r="F3039" s="29"/>
      <c r="G3039" s="29"/>
      <c r="H3039" s="29"/>
      <c r="I3039" s="29"/>
      <c r="J3039" s="29"/>
      <c r="K3039" s="29"/>
      <c r="L3039" s="29"/>
      <c r="M3039" s="29"/>
      <c r="N3039" s="29"/>
      <c r="O3039" s="29"/>
      <c r="P3039" s="29"/>
      <c r="Q3039" s="29"/>
      <c r="R3039" s="29"/>
      <c r="S3039" s="29" t="s">
        <v>331</v>
      </c>
    </row>
    <row r="3040" spans="1:19" x14ac:dyDescent="0.35">
      <c r="A3040" t="s">
        <v>229</v>
      </c>
      <c r="B3040" t="s">
        <v>260</v>
      </c>
      <c r="C3040" s="26">
        <v>0.4466</v>
      </c>
      <c r="D3040" s="26">
        <v>0.3669</v>
      </c>
      <c r="E3040" s="26">
        <v>0.20699999999999999</v>
      </c>
      <c r="F3040" s="26">
        <v>0.1065</v>
      </c>
      <c r="G3040" s="26">
        <v>9.8900000000000002E-2</v>
      </c>
      <c r="H3040" s="26">
        <v>8.5099999999999995E-2</v>
      </c>
      <c r="I3040" s="26">
        <v>7.7299999999999994E-2</v>
      </c>
      <c r="J3040" s="26">
        <v>6.2700000000000006E-2</v>
      </c>
      <c r="K3040" s="26">
        <v>4.4299999999999999E-2</v>
      </c>
      <c r="L3040" s="26">
        <v>3.9399999999999998E-2</v>
      </c>
      <c r="M3040" s="26">
        <v>0.05</v>
      </c>
      <c r="N3040" s="26">
        <v>3.5799999999999998E-2</v>
      </c>
      <c r="O3040" s="26">
        <v>1.89E-2</v>
      </c>
      <c r="P3040" s="26">
        <v>2.6700000000000002E-2</v>
      </c>
      <c r="Q3040" s="26">
        <v>5.7000000000000002E-3</v>
      </c>
      <c r="R3040" s="26">
        <v>5.0000000000000001E-4</v>
      </c>
      <c r="S3040">
        <v>594</v>
      </c>
    </row>
    <row r="3041" spans="1:19" x14ac:dyDescent="0.35">
      <c r="A3041" s="27" t="s">
        <v>230</v>
      </c>
      <c r="B3041" s="27" t="s">
        <v>236</v>
      </c>
      <c r="C3041" s="28">
        <v>0.11899999999999999</v>
      </c>
      <c r="D3041" s="28">
        <v>3.6600000000000001E-2</v>
      </c>
      <c r="E3041" s="28">
        <v>3.6600000000000001E-2</v>
      </c>
      <c r="F3041" s="28">
        <v>3.6600000000000001E-2</v>
      </c>
      <c r="G3041" s="28">
        <v>0.72240000000000004</v>
      </c>
      <c r="H3041" s="29"/>
      <c r="I3041" s="29"/>
      <c r="J3041" s="29"/>
      <c r="K3041" s="28">
        <v>0.12189999999999999</v>
      </c>
      <c r="L3041" s="29"/>
      <c r="M3041" s="29"/>
      <c r="N3041" s="29"/>
      <c r="O3041" s="29"/>
      <c r="P3041" s="29"/>
      <c r="Q3041" s="29"/>
      <c r="R3041" s="29"/>
      <c r="S3041" s="29" t="s">
        <v>337</v>
      </c>
    </row>
    <row r="3042" spans="1:19" x14ac:dyDescent="0.35">
      <c r="A3042" t="s">
        <v>230</v>
      </c>
      <c r="B3042" t="s">
        <v>262</v>
      </c>
      <c r="C3042" s="26">
        <v>0.50939999999999996</v>
      </c>
      <c r="D3042" s="26">
        <v>0.18279999999999999</v>
      </c>
      <c r="E3042" s="26">
        <v>0.1714</v>
      </c>
      <c r="F3042" s="26">
        <v>6.9199999999999998E-2</v>
      </c>
      <c r="G3042" s="26">
        <v>4.5199999999999997E-2</v>
      </c>
      <c r="H3042" s="26">
        <v>9.5100000000000004E-2</v>
      </c>
      <c r="I3042" s="26">
        <v>4.7399999999999998E-2</v>
      </c>
      <c r="J3042" s="26">
        <v>2.76E-2</v>
      </c>
      <c r="K3042" s="26">
        <v>5.9200000000000003E-2</v>
      </c>
      <c r="L3042" s="26">
        <v>1.1900000000000001E-2</v>
      </c>
      <c r="M3042" s="26">
        <v>5.3999999999999999E-2</v>
      </c>
      <c r="N3042" s="26">
        <v>6.9800000000000001E-2</v>
      </c>
      <c r="O3042" s="26">
        <v>5.8999999999999999E-3</v>
      </c>
      <c r="P3042" s="26">
        <v>2.01E-2</v>
      </c>
      <c r="Q3042" s="26">
        <v>5.8999999999999999E-3</v>
      </c>
      <c r="S3042">
        <v>121</v>
      </c>
    </row>
    <row r="3043" spans="1:19" x14ac:dyDescent="0.35">
      <c r="A3043" t="s">
        <v>230</v>
      </c>
      <c r="B3043" t="s">
        <v>261</v>
      </c>
      <c r="C3043" s="26">
        <v>0.3014</v>
      </c>
      <c r="D3043" s="26">
        <v>0.46379999999999999</v>
      </c>
      <c r="E3043" s="26">
        <v>0.21290000000000001</v>
      </c>
      <c r="F3043" s="26">
        <v>0.1744</v>
      </c>
      <c r="G3043" s="26">
        <v>7.3899999999999993E-2</v>
      </c>
      <c r="H3043" s="26">
        <v>0.1278</v>
      </c>
      <c r="I3043" s="26">
        <v>4.7E-2</v>
      </c>
      <c r="J3043" s="26">
        <v>8.0699999999999994E-2</v>
      </c>
      <c r="K3043" s="26">
        <v>6.0600000000000001E-2</v>
      </c>
      <c r="L3043" s="26">
        <v>0.20180000000000001</v>
      </c>
      <c r="M3043" s="26">
        <v>6.7999999999999996E-3</v>
      </c>
      <c r="N3043" s="26">
        <v>4.1000000000000003E-3</v>
      </c>
      <c r="O3043" s="26">
        <v>8.0699999999999994E-2</v>
      </c>
      <c r="P3043" s="26">
        <v>4.7E-2</v>
      </c>
      <c r="S3043">
        <v>57</v>
      </c>
    </row>
    <row r="3044" spans="1:19" x14ac:dyDescent="0.35">
      <c r="A3044" s="27" t="s">
        <v>230</v>
      </c>
      <c r="B3044" s="27" t="s">
        <v>263</v>
      </c>
      <c r="C3044" s="28">
        <v>0.15890000000000001</v>
      </c>
      <c r="D3044" s="28">
        <v>0.58720000000000006</v>
      </c>
      <c r="E3044" s="28">
        <v>0.64259999999999995</v>
      </c>
      <c r="F3044" s="28">
        <v>3.4099999999999998E-2</v>
      </c>
      <c r="G3044" s="28">
        <v>0.40839999999999999</v>
      </c>
      <c r="H3044" s="28">
        <v>0.3926</v>
      </c>
      <c r="I3044" s="28">
        <v>6.8099999999999994E-2</v>
      </c>
      <c r="J3044" s="28">
        <v>7.2400000000000006E-2</v>
      </c>
      <c r="K3044" s="28">
        <v>5.5399999999999998E-2</v>
      </c>
      <c r="L3044" s="28">
        <v>7.3700000000000002E-2</v>
      </c>
      <c r="M3044" s="29"/>
      <c r="N3044" s="28">
        <v>3.4099999999999998E-2</v>
      </c>
      <c r="O3044" s="28">
        <v>8.9399999999999993E-2</v>
      </c>
      <c r="P3044" s="29"/>
      <c r="Q3044" s="29"/>
      <c r="R3044" s="29"/>
      <c r="S3044" s="29" t="s">
        <v>310</v>
      </c>
    </row>
    <row r="3045" spans="1:19" x14ac:dyDescent="0.35">
      <c r="A3045" t="s">
        <v>230</v>
      </c>
      <c r="B3045" t="s">
        <v>260</v>
      </c>
      <c r="C3045" s="26">
        <v>0.439</v>
      </c>
      <c r="D3045" s="26">
        <v>0.31430000000000002</v>
      </c>
      <c r="E3045" s="26">
        <v>0.21859999999999999</v>
      </c>
      <c r="F3045" s="26">
        <v>0.1066</v>
      </c>
      <c r="G3045" s="26">
        <v>8.6999999999999994E-2</v>
      </c>
      <c r="H3045" s="26">
        <v>3.9199999999999999E-2</v>
      </c>
      <c r="I3045" s="26">
        <v>5.4899999999999997E-2</v>
      </c>
      <c r="J3045" s="26">
        <v>5.8000000000000003E-2</v>
      </c>
      <c r="K3045" s="26">
        <v>4.6600000000000003E-2</v>
      </c>
      <c r="L3045" s="26">
        <v>4.2299999999999997E-2</v>
      </c>
      <c r="M3045" s="26">
        <v>1.12E-2</v>
      </c>
      <c r="N3045" s="26">
        <v>2.7E-2</v>
      </c>
      <c r="O3045" s="26">
        <v>1.61E-2</v>
      </c>
      <c r="P3045" s="26">
        <v>1.7399999999999999E-2</v>
      </c>
      <c r="S3045">
        <v>348</v>
      </c>
    </row>
    <row r="3046" spans="1:19" x14ac:dyDescent="0.35">
      <c r="A3046" s="27" t="s">
        <v>231</v>
      </c>
      <c r="B3046" s="27" t="s">
        <v>263</v>
      </c>
      <c r="C3046" s="28">
        <v>0.5</v>
      </c>
      <c r="D3046" s="28">
        <v>0.5</v>
      </c>
      <c r="E3046" s="28">
        <v>0.5</v>
      </c>
      <c r="F3046" s="29"/>
      <c r="G3046" s="28">
        <v>0.5</v>
      </c>
      <c r="H3046" s="29"/>
      <c r="I3046" s="29"/>
      <c r="J3046" s="29"/>
      <c r="K3046" s="29"/>
      <c r="L3046" s="29"/>
      <c r="M3046" s="29"/>
      <c r="N3046" s="29"/>
      <c r="O3046" s="29"/>
      <c r="P3046" s="29"/>
      <c r="Q3046" s="29"/>
      <c r="R3046" s="29"/>
      <c r="S3046" s="29" t="s">
        <v>314</v>
      </c>
    </row>
    <row r="3047" spans="1:19" x14ac:dyDescent="0.35">
      <c r="A3047" t="s">
        <v>231</v>
      </c>
      <c r="B3047" t="s">
        <v>260</v>
      </c>
      <c r="C3047" s="26">
        <v>0.39019999999999999</v>
      </c>
      <c r="D3047" s="26">
        <v>0.374</v>
      </c>
      <c r="E3047" s="26">
        <v>0.2276</v>
      </c>
      <c r="F3047" s="26">
        <v>0.122</v>
      </c>
      <c r="G3047" s="26">
        <v>0.13009999999999999</v>
      </c>
      <c r="H3047" s="26">
        <v>5.6899999999999999E-2</v>
      </c>
      <c r="I3047" s="26">
        <v>8.1299999999999997E-2</v>
      </c>
      <c r="J3047" s="26">
        <v>6.5000000000000002E-2</v>
      </c>
      <c r="K3047" s="26">
        <v>4.07E-2</v>
      </c>
      <c r="L3047" s="26">
        <v>6.5000000000000002E-2</v>
      </c>
      <c r="M3047" s="26">
        <v>4.07E-2</v>
      </c>
      <c r="N3047" s="26">
        <v>4.07E-2</v>
      </c>
      <c r="P3047" s="26">
        <v>8.0999999999999996E-3</v>
      </c>
      <c r="R3047" s="26">
        <v>8.0999999999999996E-3</v>
      </c>
      <c r="S3047">
        <v>123</v>
      </c>
    </row>
    <row r="3048" spans="1:19" x14ac:dyDescent="0.35">
      <c r="A3048" s="27" t="s">
        <v>231</v>
      </c>
      <c r="B3048" s="27" t="s">
        <v>261</v>
      </c>
      <c r="C3048" s="28">
        <v>0.40739999999999998</v>
      </c>
      <c r="D3048" s="28">
        <v>0.40739999999999998</v>
      </c>
      <c r="E3048" s="28">
        <v>0.14810000000000001</v>
      </c>
      <c r="F3048" s="28">
        <v>0.14810000000000001</v>
      </c>
      <c r="G3048" s="28">
        <v>7.4099999999999999E-2</v>
      </c>
      <c r="H3048" s="28">
        <v>0.1111</v>
      </c>
      <c r="I3048" s="28">
        <v>3.6999999999999998E-2</v>
      </c>
      <c r="J3048" s="28">
        <v>7.4099999999999999E-2</v>
      </c>
      <c r="K3048" s="28">
        <v>0.14810000000000001</v>
      </c>
      <c r="L3048" s="28">
        <v>7.4099999999999999E-2</v>
      </c>
      <c r="M3048" s="29"/>
      <c r="N3048" s="28">
        <v>3.6999999999999998E-2</v>
      </c>
      <c r="O3048" s="28">
        <v>3.6999999999999998E-2</v>
      </c>
      <c r="P3048" s="29"/>
      <c r="Q3048" s="29"/>
      <c r="R3048" s="29"/>
      <c r="S3048" s="29" t="s">
        <v>338</v>
      </c>
    </row>
    <row r="3049" spans="1:19" x14ac:dyDescent="0.35">
      <c r="A3049" s="27" t="s">
        <v>231</v>
      </c>
      <c r="B3049" s="27" t="s">
        <v>262</v>
      </c>
      <c r="C3049" s="28">
        <v>0.45450000000000002</v>
      </c>
      <c r="D3049" s="28">
        <v>0.2727</v>
      </c>
      <c r="E3049" s="28">
        <v>0.18179999999999999</v>
      </c>
      <c r="F3049" s="29"/>
      <c r="G3049" s="28">
        <v>9.0899999999999995E-2</v>
      </c>
      <c r="H3049" s="29"/>
      <c r="I3049" s="28">
        <v>9.0899999999999995E-2</v>
      </c>
      <c r="J3049" s="28">
        <v>9.0899999999999995E-2</v>
      </c>
      <c r="K3049" s="28">
        <v>9.0899999999999995E-2</v>
      </c>
      <c r="L3049" s="29"/>
      <c r="M3049" s="28">
        <v>9.0899999999999995E-2</v>
      </c>
      <c r="N3049" s="29"/>
      <c r="O3049" s="28">
        <v>9.0899999999999995E-2</v>
      </c>
      <c r="P3049" s="29"/>
      <c r="Q3049" s="29"/>
      <c r="R3049" s="29"/>
      <c r="S3049" s="29" t="s">
        <v>352</v>
      </c>
    </row>
    <row r="3050" spans="1:19" x14ac:dyDescent="0.35">
      <c r="A3050" t="s">
        <v>232</v>
      </c>
      <c r="B3050" t="s">
        <v>232</v>
      </c>
      <c r="C3050" s="26">
        <v>0.40010000000000001</v>
      </c>
      <c r="D3050" s="26">
        <v>0.35039999999999999</v>
      </c>
      <c r="E3050" s="26">
        <v>0.2084</v>
      </c>
      <c r="F3050" s="26">
        <v>0.1074</v>
      </c>
      <c r="G3050" s="26">
        <v>0.10390000000000001</v>
      </c>
      <c r="H3050" s="26">
        <v>8.6499999999999994E-2</v>
      </c>
      <c r="I3050" s="26">
        <v>7.2300000000000003E-2</v>
      </c>
      <c r="J3050" s="26">
        <v>6.3399999999999998E-2</v>
      </c>
      <c r="K3050" s="26">
        <v>5.2499999999999998E-2</v>
      </c>
      <c r="L3050" s="26">
        <v>4.7899999999999998E-2</v>
      </c>
      <c r="M3050" s="26">
        <v>3.9600000000000003E-2</v>
      </c>
      <c r="N3050" s="26">
        <v>3.7199999999999997E-2</v>
      </c>
      <c r="O3050" s="26">
        <v>1.4999999999999999E-2</v>
      </c>
      <c r="P3050" s="26">
        <v>1.34E-2</v>
      </c>
      <c r="Q3050" s="26">
        <v>2.2000000000000001E-3</v>
      </c>
      <c r="R3050" s="26">
        <v>1.9E-3</v>
      </c>
      <c r="S3050">
        <v>2789</v>
      </c>
    </row>
    <row r="3052" spans="1:19" x14ac:dyDescent="0.35">
      <c r="A3052" s="1" t="s">
        <v>572</v>
      </c>
    </row>
    <row r="3053" spans="1:19" x14ac:dyDescent="0.35">
      <c r="A3053" t="s">
        <v>219</v>
      </c>
      <c r="B3053" t="s">
        <v>305</v>
      </c>
      <c r="C3053" t="s">
        <v>550</v>
      </c>
      <c r="D3053" t="s">
        <v>551</v>
      </c>
      <c r="E3053" t="s">
        <v>552</v>
      </c>
      <c r="F3053" t="s">
        <v>553</v>
      </c>
      <c r="G3053" t="s">
        <v>554</v>
      </c>
      <c r="H3053" t="s">
        <v>555</v>
      </c>
      <c r="I3053" t="s">
        <v>556</v>
      </c>
      <c r="J3053" t="s">
        <v>557</v>
      </c>
      <c r="K3053" t="s">
        <v>558</v>
      </c>
      <c r="L3053" t="s">
        <v>559</v>
      </c>
      <c r="M3053" t="s">
        <v>560</v>
      </c>
      <c r="N3053" t="s">
        <v>561</v>
      </c>
      <c r="O3053" t="s">
        <v>562</v>
      </c>
      <c r="P3053" t="s">
        <v>563</v>
      </c>
      <c r="Q3053" t="s">
        <v>286</v>
      </c>
      <c r="R3053" t="s">
        <v>281</v>
      </c>
      <c r="S3053" t="s">
        <v>226</v>
      </c>
    </row>
    <row r="3054" spans="1:19" x14ac:dyDescent="0.35">
      <c r="A3054" t="s">
        <v>227</v>
      </c>
      <c r="B3054" t="s">
        <v>368</v>
      </c>
      <c r="C3054" s="26">
        <v>0.21210000000000001</v>
      </c>
      <c r="D3054" s="26">
        <v>0.54549999999999998</v>
      </c>
      <c r="E3054" s="26">
        <v>0.30299999999999999</v>
      </c>
      <c r="F3054" s="26">
        <v>0.1212</v>
      </c>
      <c r="G3054" s="26">
        <v>6.0600000000000001E-2</v>
      </c>
      <c r="H3054" s="26">
        <v>0.1515</v>
      </c>
      <c r="I3054" s="26">
        <v>0.1212</v>
      </c>
      <c r="J3054" s="26">
        <v>6.0600000000000001E-2</v>
      </c>
      <c r="K3054" s="26">
        <v>9.0899999999999995E-2</v>
      </c>
      <c r="L3054" s="26">
        <v>9.0899999999999995E-2</v>
      </c>
      <c r="M3054" s="26">
        <v>3.0300000000000001E-2</v>
      </c>
      <c r="N3054" s="26">
        <v>3.0300000000000001E-2</v>
      </c>
      <c r="S3054">
        <v>33</v>
      </c>
    </row>
    <row r="3055" spans="1:19" x14ac:dyDescent="0.35">
      <c r="A3055" t="s">
        <v>227</v>
      </c>
      <c r="B3055" t="s">
        <v>369</v>
      </c>
      <c r="C3055" s="26">
        <v>0.4375</v>
      </c>
      <c r="D3055" s="26">
        <v>0.35160000000000002</v>
      </c>
      <c r="E3055" s="26">
        <v>0.1875</v>
      </c>
      <c r="F3055" s="26">
        <v>0.1016</v>
      </c>
      <c r="G3055" s="26">
        <v>9.3799999999999994E-2</v>
      </c>
      <c r="H3055" s="26">
        <v>0.1172</v>
      </c>
      <c r="I3055" s="26">
        <v>4.6899999999999997E-2</v>
      </c>
      <c r="J3055" s="26">
        <v>5.4699999999999999E-2</v>
      </c>
      <c r="K3055" s="26">
        <v>3.9100000000000003E-2</v>
      </c>
      <c r="L3055" s="26">
        <v>4.6899999999999997E-2</v>
      </c>
      <c r="M3055" s="26">
        <v>3.1199999999999999E-2</v>
      </c>
      <c r="N3055" s="26">
        <v>2.3400000000000001E-2</v>
      </c>
      <c r="P3055" s="26">
        <v>7.7999999999999996E-3</v>
      </c>
      <c r="S3055">
        <v>128</v>
      </c>
    </row>
    <row r="3056" spans="1:19" x14ac:dyDescent="0.35">
      <c r="A3056" t="s">
        <v>228</v>
      </c>
      <c r="B3056" t="s">
        <v>368</v>
      </c>
      <c r="C3056" s="26">
        <v>0.30070000000000002</v>
      </c>
      <c r="D3056" s="26">
        <v>0.31830000000000003</v>
      </c>
      <c r="E3056" s="26">
        <v>0.26579999999999998</v>
      </c>
      <c r="F3056" s="26">
        <v>0.15029999999999999</v>
      </c>
      <c r="G3056" s="26">
        <v>0.1532</v>
      </c>
      <c r="H3056" s="26">
        <v>8.6599999999999996E-2</v>
      </c>
      <c r="I3056" s="26">
        <v>6.3200000000000006E-2</v>
      </c>
      <c r="J3056" s="26">
        <v>2.81E-2</v>
      </c>
      <c r="K3056" s="26">
        <v>8.0699999999999994E-2</v>
      </c>
      <c r="L3056" s="26">
        <v>3.09E-2</v>
      </c>
      <c r="M3056" s="26">
        <v>9.0899999999999995E-2</v>
      </c>
      <c r="N3056" s="26">
        <v>0.1075</v>
      </c>
      <c r="O3056" s="26">
        <v>2.0899999999999998E-2</v>
      </c>
      <c r="P3056" s="26">
        <v>5.3E-3</v>
      </c>
      <c r="R3056" s="26">
        <v>2.8999999999999998E-3</v>
      </c>
      <c r="S3056">
        <v>189</v>
      </c>
    </row>
    <row r="3057" spans="1:19" x14ac:dyDescent="0.35">
      <c r="A3057" t="s">
        <v>228</v>
      </c>
      <c r="B3057" t="s">
        <v>369</v>
      </c>
      <c r="C3057" s="26">
        <v>0.38279999999999997</v>
      </c>
      <c r="D3057" s="26">
        <v>0.34189999999999998</v>
      </c>
      <c r="E3057" s="26">
        <v>0.20780000000000001</v>
      </c>
      <c r="F3057" s="26">
        <v>0.1037</v>
      </c>
      <c r="G3057" s="26">
        <v>8.8400000000000006E-2</v>
      </c>
      <c r="H3057" s="26">
        <v>9.5699999999999993E-2</v>
      </c>
      <c r="I3057" s="26">
        <v>5.8000000000000003E-2</v>
      </c>
      <c r="J3057" s="26">
        <v>7.1400000000000005E-2</v>
      </c>
      <c r="K3057" s="26">
        <v>4.3999999999999997E-2</v>
      </c>
      <c r="L3057" s="26">
        <v>4.1799999999999997E-2</v>
      </c>
      <c r="M3057" s="26">
        <v>3.7499999999999999E-2</v>
      </c>
      <c r="N3057" s="26">
        <v>2.2800000000000001E-2</v>
      </c>
      <c r="O3057" s="26">
        <v>2.4400000000000002E-2</v>
      </c>
      <c r="P3057" s="26">
        <v>1.46E-2</v>
      </c>
      <c r="Q3057" s="26">
        <v>3.0000000000000001E-3</v>
      </c>
      <c r="R3057" s="26">
        <v>5.0000000000000001E-4</v>
      </c>
      <c r="S3057">
        <v>831</v>
      </c>
    </row>
    <row r="3058" spans="1:19" x14ac:dyDescent="0.35">
      <c r="A3058" t="s">
        <v>229</v>
      </c>
      <c r="B3058" t="s">
        <v>368</v>
      </c>
      <c r="C3058" s="26">
        <v>0.31969999999999998</v>
      </c>
      <c r="D3058" s="26">
        <v>0.31440000000000001</v>
      </c>
      <c r="E3058" s="26">
        <v>0.1918</v>
      </c>
      <c r="F3058" s="26">
        <v>0.1236</v>
      </c>
      <c r="G3058" s="26">
        <v>0.1666</v>
      </c>
      <c r="H3058" s="26">
        <v>0.11749999999999999</v>
      </c>
      <c r="I3058" s="26">
        <v>0.13250000000000001</v>
      </c>
      <c r="J3058" s="26">
        <v>4.7100000000000003E-2</v>
      </c>
      <c r="K3058" s="26">
        <v>7.9200000000000007E-2</v>
      </c>
      <c r="L3058" s="26">
        <v>5.9999999999999995E-4</v>
      </c>
      <c r="M3058" s="26">
        <v>7.4099999999999999E-2</v>
      </c>
      <c r="N3058" s="26">
        <v>8.2900000000000001E-2</v>
      </c>
      <c r="O3058" s="26">
        <v>2.0199999999999999E-2</v>
      </c>
      <c r="P3058" s="26">
        <v>2.2000000000000001E-3</v>
      </c>
      <c r="S3058">
        <v>96</v>
      </c>
    </row>
    <row r="3059" spans="1:19" x14ac:dyDescent="0.35">
      <c r="A3059" t="s">
        <v>229</v>
      </c>
      <c r="B3059" t="s">
        <v>369</v>
      </c>
      <c r="C3059" s="26">
        <v>0.43790000000000001</v>
      </c>
      <c r="D3059" s="26">
        <v>0.32750000000000001</v>
      </c>
      <c r="E3059" s="26">
        <v>0.191</v>
      </c>
      <c r="F3059" s="26">
        <v>9.0800000000000006E-2</v>
      </c>
      <c r="G3059" s="26">
        <v>9.0300000000000005E-2</v>
      </c>
      <c r="H3059" s="26">
        <v>8.8599999999999998E-2</v>
      </c>
      <c r="I3059" s="26">
        <v>8.5000000000000006E-2</v>
      </c>
      <c r="J3059" s="26">
        <v>6.9500000000000006E-2</v>
      </c>
      <c r="K3059" s="26">
        <v>4.1099999999999998E-2</v>
      </c>
      <c r="L3059" s="26">
        <v>3.78E-2</v>
      </c>
      <c r="M3059" s="26">
        <v>4.4499999999999998E-2</v>
      </c>
      <c r="N3059" s="26">
        <v>3.85E-2</v>
      </c>
      <c r="O3059" s="26">
        <v>1.5900000000000001E-2</v>
      </c>
      <c r="P3059" s="26">
        <v>2.53E-2</v>
      </c>
      <c r="Q3059" s="26">
        <v>6.7999999999999996E-3</v>
      </c>
      <c r="R3059" s="26">
        <v>2.9999999999999997E-4</v>
      </c>
      <c r="S3059">
        <v>795</v>
      </c>
    </row>
    <row r="3060" spans="1:19" x14ac:dyDescent="0.35">
      <c r="A3060" t="s">
        <v>230</v>
      </c>
      <c r="B3060" t="s">
        <v>368</v>
      </c>
      <c r="C3060" s="26">
        <v>0.3014</v>
      </c>
      <c r="D3060" s="26">
        <v>0.46379999999999999</v>
      </c>
      <c r="E3060" s="26">
        <v>0.21290000000000001</v>
      </c>
      <c r="F3060" s="26">
        <v>0.1744</v>
      </c>
      <c r="G3060" s="26">
        <v>7.3899999999999993E-2</v>
      </c>
      <c r="H3060" s="26">
        <v>0.1278</v>
      </c>
      <c r="I3060" s="26">
        <v>4.7E-2</v>
      </c>
      <c r="J3060" s="26">
        <v>8.0699999999999994E-2</v>
      </c>
      <c r="K3060" s="26">
        <v>6.0600000000000001E-2</v>
      </c>
      <c r="L3060" s="26">
        <v>0.20180000000000001</v>
      </c>
      <c r="M3060" s="26">
        <v>6.7999999999999996E-3</v>
      </c>
      <c r="N3060" s="26">
        <v>4.1000000000000003E-3</v>
      </c>
      <c r="O3060" s="26">
        <v>8.0699999999999994E-2</v>
      </c>
      <c r="P3060" s="26">
        <v>4.7E-2</v>
      </c>
      <c r="S3060">
        <v>57</v>
      </c>
    </row>
    <row r="3061" spans="1:19" x14ac:dyDescent="0.35">
      <c r="A3061" t="s">
        <v>230</v>
      </c>
      <c r="B3061" t="s">
        <v>369</v>
      </c>
      <c r="C3061" s="26">
        <v>0.44330000000000003</v>
      </c>
      <c r="D3061" s="26">
        <v>0.29409999999999997</v>
      </c>
      <c r="E3061" s="26">
        <v>0.2167</v>
      </c>
      <c r="F3061" s="26">
        <v>9.8100000000000007E-2</v>
      </c>
      <c r="G3061" s="26">
        <v>9.1200000000000003E-2</v>
      </c>
      <c r="H3061" s="26">
        <v>5.5199999999999999E-2</v>
      </c>
      <c r="I3061" s="26">
        <v>5.3400000000000003E-2</v>
      </c>
      <c r="J3061" s="26">
        <v>5.2400000000000002E-2</v>
      </c>
      <c r="K3061" s="26">
        <v>4.9599999999999998E-2</v>
      </c>
      <c r="L3061" s="26">
        <v>3.7199999999999997E-2</v>
      </c>
      <c r="M3061" s="26">
        <v>1.84E-2</v>
      </c>
      <c r="N3061" s="26">
        <v>3.4299999999999997E-2</v>
      </c>
      <c r="O3061" s="26">
        <v>1.5599999999999999E-2</v>
      </c>
      <c r="P3061" s="26">
        <v>1.7399999999999999E-2</v>
      </c>
      <c r="Q3061" s="26">
        <v>1E-3</v>
      </c>
      <c r="S3061">
        <v>497</v>
      </c>
    </row>
    <row r="3062" spans="1:19" x14ac:dyDescent="0.35">
      <c r="A3062" s="27" t="s">
        <v>231</v>
      </c>
      <c r="B3062" s="27" t="s">
        <v>368</v>
      </c>
      <c r="C3062" s="28">
        <v>0.40739999999999998</v>
      </c>
      <c r="D3062" s="28">
        <v>0.40739999999999998</v>
      </c>
      <c r="E3062" s="28">
        <v>0.14810000000000001</v>
      </c>
      <c r="F3062" s="28">
        <v>0.14810000000000001</v>
      </c>
      <c r="G3062" s="28">
        <v>7.4099999999999999E-2</v>
      </c>
      <c r="H3062" s="28">
        <v>0.1111</v>
      </c>
      <c r="I3062" s="28">
        <v>3.6999999999999998E-2</v>
      </c>
      <c r="J3062" s="28">
        <v>7.4099999999999999E-2</v>
      </c>
      <c r="K3062" s="28">
        <v>0.14810000000000001</v>
      </c>
      <c r="L3062" s="28">
        <v>7.4099999999999999E-2</v>
      </c>
      <c r="M3062" s="29"/>
      <c r="N3062" s="28">
        <v>3.6999999999999998E-2</v>
      </c>
      <c r="O3062" s="28">
        <v>3.6999999999999998E-2</v>
      </c>
      <c r="P3062" s="29"/>
      <c r="Q3062" s="29"/>
      <c r="R3062" s="29"/>
      <c r="S3062" s="29" t="s">
        <v>338</v>
      </c>
    </row>
    <row r="3063" spans="1:19" x14ac:dyDescent="0.35">
      <c r="A3063" t="s">
        <v>231</v>
      </c>
      <c r="B3063" t="s">
        <v>369</v>
      </c>
      <c r="C3063" s="26">
        <v>0.39710000000000001</v>
      </c>
      <c r="D3063" s="26">
        <v>0.36759999999999998</v>
      </c>
      <c r="E3063" s="26">
        <v>0.22789999999999999</v>
      </c>
      <c r="F3063" s="26">
        <v>0.1103</v>
      </c>
      <c r="G3063" s="26">
        <v>0.13239999999999999</v>
      </c>
      <c r="H3063" s="26">
        <v>5.1499999999999997E-2</v>
      </c>
      <c r="I3063" s="26">
        <v>8.09E-2</v>
      </c>
      <c r="J3063" s="26">
        <v>6.6199999999999995E-2</v>
      </c>
      <c r="K3063" s="26">
        <v>4.41E-2</v>
      </c>
      <c r="L3063" s="26">
        <v>5.8799999999999998E-2</v>
      </c>
      <c r="M3063" s="26">
        <v>4.41E-2</v>
      </c>
      <c r="N3063" s="26">
        <v>3.6799999999999999E-2</v>
      </c>
      <c r="O3063" s="26">
        <v>7.4000000000000003E-3</v>
      </c>
      <c r="P3063" s="26">
        <v>7.4000000000000003E-3</v>
      </c>
      <c r="R3063" s="26">
        <v>7.4000000000000003E-3</v>
      </c>
      <c r="S3063">
        <v>136</v>
      </c>
    </row>
    <row r="3064" spans="1:19" x14ac:dyDescent="0.35">
      <c r="A3064" t="s">
        <v>232</v>
      </c>
      <c r="B3064" t="s">
        <v>232</v>
      </c>
      <c r="C3064" s="26">
        <v>0.40010000000000001</v>
      </c>
      <c r="D3064" s="26">
        <v>0.35039999999999999</v>
      </c>
      <c r="E3064" s="26">
        <v>0.2084</v>
      </c>
      <c r="F3064" s="26">
        <v>0.1074</v>
      </c>
      <c r="G3064" s="26">
        <v>0.10390000000000001</v>
      </c>
      <c r="H3064" s="26">
        <v>8.6499999999999994E-2</v>
      </c>
      <c r="I3064" s="26">
        <v>7.2300000000000003E-2</v>
      </c>
      <c r="J3064" s="26">
        <v>6.3399999999999998E-2</v>
      </c>
      <c r="K3064" s="26">
        <v>5.2499999999999998E-2</v>
      </c>
      <c r="L3064" s="26">
        <v>4.7899999999999998E-2</v>
      </c>
      <c r="M3064" s="26">
        <v>3.9600000000000003E-2</v>
      </c>
      <c r="N3064" s="26">
        <v>3.7199999999999997E-2</v>
      </c>
      <c r="O3064" s="26">
        <v>1.4999999999999999E-2</v>
      </c>
      <c r="P3064" s="26">
        <v>1.34E-2</v>
      </c>
      <c r="Q3064" s="26">
        <v>2.2000000000000001E-3</v>
      </c>
      <c r="R3064" s="26">
        <v>1.9E-3</v>
      </c>
      <c r="S3064">
        <v>2789</v>
      </c>
    </row>
    <row r="3066" spans="1:19" x14ac:dyDescent="0.35">
      <c r="A3066" s="1" t="s">
        <v>573</v>
      </c>
    </row>
    <row r="3067" spans="1:19" x14ac:dyDescent="0.35">
      <c r="A3067" t="s">
        <v>219</v>
      </c>
      <c r="B3067" t="s">
        <v>305</v>
      </c>
      <c r="C3067" t="s">
        <v>550</v>
      </c>
      <c r="D3067" t="s">
        <v>551</v>
      </c>
      <c r="E3067" t="s">
        <v>552</v>
      </c>
      <c r="F3067" t="s">
        <v>553</v>
      </c>
      <c r="G3067" t="s">
        <v>554</v>
      </c>
      <c r="H3067" t="s">
        <v>555</v>
      </c>
      <c r="I3067" t="s">
        <v>556</v>
      </c>
      <c r="J3067" t="s">
        <v>557</v>
      </c>
      <c r="K3067" t="s">
        <v>558</v>
      </c>
      <c r="L3067" t="s">
        <v>559</v>
      </c>
      <c r="M3067" t="s">
        <v>560</v>
      </c>
      <c r="N3067" t="s">
        <v>561</v>
      </c>
      <c r="O3067" t="s">
        <v>562</v>
      </c>
      <c r="P3067" t="s">
        <v>563</v>
      </c>
      <c r="Q3067" t="s">
        <v>286</v>
      </c>
      <c r="R3067" t="s">
        <v>281</v>
      </c>
      <c r="S3067" t="s">
        <v>226</v>
      </c>
    </row>
    <row r="3068" spans="1:19" x14ac:dyDescent="0.35">
      <c r="A3068" t="s">
        <v>227</v>
      </c>
      <c r="B3068" t="s">
        <v>371</v>
      </c>
      <c r="C3068" s="26">
        <v>0.39129999999999998</v>
      </c>
      <c r="D3068" s="26">
        <v>0.39129999999999998</v>
      </c>
      <c r="E3068" s="26">
        <v>0.2112</v>
      </c>
      <c r="F3068" s="26">
        <v>0.1056</v>
      </c>
      <c r="G3068" s="26">
        <v>8.6999999999999994E-2</v>
      </c>
      <c r="H3068" s="26">
        <v>0.1242</v>
      </c>
      <c r="I3068" s="26">
        <v>6.2100000000000002E-2</v>
      </c>
      <c r="J3068" s="26">
        <v>5.5899999999999998E-2</v>
      </c>
      <c r="K3068" s="26">
        <v>4.9700000000000001E-2</v>
      </c>
      <c r="L3068" s="26">
        <v>5.5899999999999998E-2</v>
      </c>
      <c r="M3068" s="26">
        <v>3.1099999999999999E-2</v>
      </c>
      <c r="N3068" s="26">
        <v>2.4799999999999999E-2</v>
      </c>
      <c r="P3068" s="26">
        <v>6.1999999999999998E-3</v>
      </c>
      <c r="S3068">
        <v>161</v>
      </c>
    </row>
    <row r="3069" spans="1:19" x14ac:dyDescent="0.35">
      <c r="A3069" t="s">
        <v>228</v>
      </c>
      <c r="B3069" t="s">
        <v>371</v>
      </c>
      <c r="C3069" s="26">
        <v>0.35620000000000002</v>
      </c>
      <c r="D3069" s="26">
        <v>0.31900000000000001</v>
      </c>
      <c r="E3069" s="26">
        <v>0.21920000000000001</v>
      </c>
      <c r="F3069" s="26">
        <v>0.1052</v>
      </c>
      <c r="G3069" s="26">
        <v>0.10730000000000001</v>
      </c>
      <c r="H3069" s="26">
        <v>0.1095</v>
      </c>
      <c r="I3069" s="26">
        <v>4.7500000000000001E-2</v>
      </c>
      <c r="J3069" s="26">
        <v>8.2400000000000001E-2</v>
      </c>
      <c r="K3069" s="26">
        <v>4.9200000000000001E-2</v>
      </c>
      <c r="L3069" s="26">
        <v>3.4200000000000001E-2</v>
      </c>
      <c r="M3069" s="26">
        <v>6.9599999999999995E-2</v>
      </c>
      <c r="N3069" s="26">
        <v>4.1300000000000003E-2</v>
      </c>
      <c r="O3069" s="26">
        <v>2.75E-2</v>
      </c>
      <c r="P3069" s="26">
        <v>8.8000000000000005E-3</v>
      </c>
      <c r="Q3069" s="26">
        <v>6.9999999999999999E-4</v>
      </c>
      <c r="R3069" s="26">
        <v>6.9999999999999999E-4</v>
      </c>
      <c r="S3069">
        <v>287</v>
      </c>
    </row>
    <row r="3070" spans="1:19" x14ac:dyDescent="0.35">
      <c r="A3070" t="s">
        <v>228</v>
      </c>
      <c r="B3070" t="s">
        <v>372</v>
      </c>
      <c r="C3070" s="26">
        <v>0.27039999999999997</v>
      </c>
      <c r="D3070" s="26">
        <v>0.4521</v>
      </c>
      <c r="E3070" s="26">
        <v>0.28710000000000002</v>
      </c>
      <c r="F3070" s="26">
        <v>0.1661</v>
      </c>
      <c r="G3070" s="26">
        <v>0.1767</v>
      </c>
      <c r="H3070" s="26">
        <v>6.9000000000000006E-2</v>
      </c>
      <c r="I3070" s="26">
        <v>3.78E-2</v>
      </c>
      <c r="J3070" s="26">
        <v>4.5900000000000003E-2</v>
      </c>
      <c r="K3070" s="26">
        <v>7.2900000000000006E-2</v>
      </c>
      <c r="L3070" s="26">
        <v>1.2699999999999999E-2</v>
      </c>
      <c r="M3070" s="26">
        <v>5.21E-2</v>
      </c>
      <c r="N3070" s="26">
        <v>5.5899999999999998E-2</v>
      </c>
      <c r="O3070" s="26">
        <v>6.1699999999999998E-2</v>
      </c>
      <c r="P3070" s="26">
        <v>1.4800000000000001E-2</v>
      </c>
      <c r="S3070">
        <v>213</v>
      </c>
    </row>
    <row r="3071" spans="1:19" x14ac:dyDescent="0.35">
      <c r="A3071" t="s">
        <v>228</v>
      </c>
      <c r="B3071" t="s">
        <v>373</v>
      </c>
      <c r="C3071" s="26">
        <v>0.40160000000000001</v>
      </c>
      <c r="D3071" s="26">
        <v>0.33660000000000001</v>
      </c>
      <c r="E3071" s="26">
        <v>0.20419999999999999</v>
      </c>
      <c r="F3071" s="26">
        <v>0.1109</v>
      </c>
      <c r="G3071" s="26">
        <v>7.6399999999999996E-2</v>
      </c>
      <c r="H3071" s="26">
        <v>7.9000000000000001E-2</v>
      </c>
      <c r="I3071" s="26">
        <v>7.85E-2</v>
      </c>
      <c r="J3071" s="26">
        <v>4.1500000000000002E-2</v>
      </c>
      <c r="K3071" s="26">
        <v>4.8800000000000003E-2</v>
      </c>
      <c r="L3071" s="26">
        <v>5.2699999999999997E-2</v>
      </c>
      <c r="M3071" s="26">
        <v>1.8499999999999999E-2</v>
      </c>
      <c r="N3071" s="26">
        <v>3.2800000000000003E-2</v>
      </c>
      <c r="O3071" s="26">
        <v>1.06E-2</v>
      </c>
      <c r="P3071" s="26">
        <v>1.7600000000000001E-2</v>
      </c>
      <c r="Q3071" s="26">
        <v>5.1000000000000004E-3</v>
      </c>
      <c r="R3071" s="26">
        <v>1.4E-3</v>
      </c>
      <c r="S3071">
        <v>520</v>
      </c>
    </row>
    <row r="3072" spans="1:19" x14ac:dyDescent="0.35">
      <c r="A3072" t="s">
        <v>229</v>
      </c>
      <c r="B3072" t="s">
        <v>371</v>
      </c>
      <c r="C3072" s="26">
        <v>0.41649999999999998</v>
      </c>
      <c r="D3072" s="26">
        <v>0.32850000000000001</v>
      </c>
      <c r="E3072" s="26">
        <v>0.19059999999999999</v>
      </c>
      <c r="F3072" s="26">
        <v>9.3799999999999994E-2</v>
      </c>
      <c r="G3072" s="26">
        <v>0.1041</v>
      </c>
      <c r="H3072" s="26">
        <v>9.4600000000000004E-2</v>
      </c>
      <c r="I3072" s="26">
        <v>9.5699999999999993E-2</v>
      </c>
      <c r="J3072" s="26">
        <v>6.7900000000000002E-2</v>
      </c>
      <c r="K3072" s="26">
        <v>4.5100000000000001E-2</v>
      </c>
      <c r="L3072" s="26">
        <v>3.3399999999999999E-2</v>
      </c>
      <c r="M3072" s="26">
        <v>5.1400000000000001E-2</v>
      </c>
      <c r="N3072" s="26">
        <v>4.4200000000000003E-2</v>
      </c>
      <c r="O3072" s="26">
        <v>1.78E-2</v>
      </c>
      <c r="P3072" s="26">
        <v>2.2499999999999999E-2</v>
      </c>
      <c r="Q3072" s="26">
        <v>6.1999999999999998E-3</v>
      </c>
      <c r="R3072" s="26">
        <v>2.0000000000000001E-4</v>
      </c>
      <c r="S3072">
        <v>580</v>
      </c>
    </row>
    <row r="3073" spans="1:19" x14ac:dyDescent="0.35">
      <c r="A3073" t="s">
        <v>229</v>
      </c>
      <c r="B3073" t="s">
        <v>372</v>
      </c>
      <c r="C3073" s="26">
        <v>0.45200000000000001</v>
      </c>
      <c r="D3073" s="26">
        <v>0.29570000000000002</v>
      </c>
      <c r="E3073" s="26">
        <v>0.2203</v>
      </c>
      <c r="F3073" s="26">
        <v>0.1384</v>
      </c>
      <c r="G3073" s="26">
        <v>8.9499999999999996E-2</v>
      </c>
      <c r="H3073" s="26">
        <v>7.0599999999999996E-2</v>
      </c>
      <c r="I3073" s="26">
        <v>5.28E-2</v>
      </c>
      <c r="J3073" s="26">
        <v>4.24E-2</v>
      </c>
      <c r="K3073" s="26">
        <v>7.5300000000000006E-2</v>
      </c>
      <c r="L3073" s="26">
        <v>2.0799999999999999E-2</v>
      </c>
      <c r="M3073" s="26">
        <v>8.5000000000000006E-3</v>
      </c>
      <c r="N3073" s="26">
        <v>6.6799999999999998E-2</v>
      </c>
      <c r="O3073" s="26">
        <v>1.9E-3</v>
      </c>
      <c r="P3073" s="26">
        <v>8.5000000000000006E-3</v>
      </c>
      <c r="Q3073" s="26">
        <v>1.9E-3</v>
      </c>
      <c r="R3073" s="26">
        <v>1.9E-3</v>
      </c>
      <c r="S3073">
        <v>221</v>
      </c>
    </row>
    <row r="3074" spans="1:19" x14ac:dyDescent="0.35">
      <c r="A3074" t="s">
        <v>229</v>
      </c>
      <c r="B3074" t="s">
        <v>373</v>
      </c>
      <c r="C3074" s="26">
        <v>0.48930000000000001</v>
      </c>
      <c r="D3074" s="26">
        <v>0.27860000000000001</v>
      </c>
      <c r="E3074" s="26">
        <v>0.1542</v>
      </c>
      <c r="F3074" s="26">
        <v>8.0299999999999996E-2</v>
      </c>
      <c r="G3074" s="26">
        <v>4.3299999999999998E-2</v>
      </c>
      <c r="H3074" s="26">
        <v>7.7499999999999999E-2</v>
      </c>
      <c r="I3074" s="26">
        <v>4.3299999999999998E-2</v>
      </c>
      <c r="J3074" s="26">
        <v>4.9299999999999997E-2</v>
      </c>
      <c r="K3074" s="26">
        <v>4.9299999999999997E-2</v>
      </c>
      <c r="L3074" s="26">
        <v>1.23E-2</v>
      </c>
      <c r="M3074" s="26">
        <v>3.6999999999999998E-2</v>
      </c>
      <c r="N3074" s="26">
        <v>3.6999999999999998E-2</v>
      </c>
      <c r="P3074" s="26">
        <v>2.47E-2</v>
      </c>
      <c r="S3074">
        <v>90</v>
      </c>
    </row>
    <row r="3075" spans="1:19" x14ac:dyDescent="0.35">
      <c r="A3075" t="s">
        <v>230</v>
      </c>
      <c r="B3075" t="s">
        <v>371</v>
      </c>
      <c r="C3075" s="26">
        <v>0.42280000000000001</v>
      </c>
      <c r="D3075" s="26">
        <v>0.32190000000000002</v>
      </c>
      <c r="E3075" s="26">
        <v>0.21870000000000001</v>
      </c>
      <c r="F3075" s="26">
        <v>9.9900000000000003E-2</v>
      </c>
      <c r="G3075" s="26">
        <v>8.4400000000000003E-2</v>
      </c>
      <c r="H3075" s="26">
        <v>6.2199999999999998E-2</v>
      </c>
      <c r="I3075" s="26">
        <v>0.05</v>
      </c>
      <c r="J3075" s="26">
        <v>5.9900000000000002E-2</v>
      </c>
      <c r="K3075" s="26">
        <v>4.6699999999999998E-2</v>
      </c>
      <c r="L3075" s="26">
        <v>6.4299999999999996E-2</v>
      </c>
      <c r="M3075" s="26">
        <v>1.55E-2</v>
      </c>
      <c r="N3075" s="26">
        <v>0.03</v>
      </c>
      <c r="O3075" s="26">
        <v>2.6599999999999999E-2</v>
      </c>
      <c r="P3075" s="26">
        <v>2.3300000000000001E-2</v>
      </c>
      <c r="S3075">
        <v>261</v>
      </c>
    </row>
    <row r="3076" spans="1:19" x14ac:dyDescent="0.35">
      <c r="A3076" t="s">
        <v>230</v>
      </c>
      <c r="B3076" t="s">
        <v>372</v>
      </c>
      <c r="C3076" s="26">
        <v>0.41549999999999998</v>
      </c>
      <c r="D3076" s="26">
        <v>0.35630000000000001</v>
      </c>
      <c r="E3076" s="26">
        <v>0.25600000000000001</v>
      </c>
      <c r="F3076" s="26">
        <v>0.1196</v>
      </c>
      <c r="G3076" s="26">
        <v>0.1401</v>
      </c>
      <c r="H3076" s="26">
        <v>7.6100000000000001E-2</v>
      </c>
      <c r="I3076" s="26">
        <v>7.9699999999999993E-2</v>
      </c>
      <c r="J3076" s="26">
        <v>4.4699999999999997E-2</v>
      </c>
      <c r="K3076" s="26">
        <v>4.9500000000000002E-2</v>
      </c>
      <c r="L3076" s="26">
        <v>2.5399999999999999E-2</v>
      </c>
      <c r="M3076" s="26">
        <v>2.5399999999999999E-2</v>
      </c>
      <c r="N3076" s="26">
        <v>5.4300000000000001E-2</v>
      </c>
      <c r="O3076" s="26">
        <v>3.0200000000000001E-2</v>
      </c>
      <c r="P3076" s="26">
        <v>9.7000000000000003E-3</v>
      </c>
      <c r="S3076">
        <v>144</v>
      </c>
    </row>
    <row r="3077" spans="1:19" x14ac:dyDescent="0.35">
      <c r="A3077" t="s">
        <v>230</v>
      </c>
      <c r="B3077" t="s">
        <v>373</v>
      </c>
      <c r="C3077" s="26">
        <v>0.43719999999999998</v>
      </c>
      <c r="D3077" s="26">
        <v>0.26690000000000003</v>
      </c>
      <c r="E3077" s="26">
        <v>0.182</v>
      </c>
      <c r="F3077" s="26">
        <v>0.1585</v>
      </c>
      <c r="G3077" s="26">
        <v>9.4700000000000006E-2</v>
      </c>
      <c r="H3077" s="26">
        <v>7.7600000000000002E-2</v>
      </c>
      <c r="I3077" s="26">
        <v>5.6800000000000003E-2</v>
      </c>
      <c r="J3077" s="26">
        <v>3.7699999999999997E-2</v>
      </c>
      <c r="K3077" s="26">
        <v>8.0299999999999996E-2</v>
      </c>
      <c r="L3077" s="26">
        <v>4.2599999999999999E-2</v>
      </c>
      <c r="M3077" s="26">
        <v>2.1299999999999999E-2</v>
      </c>
      <c r="N3077" s="26">
        <v>2.1299999999999999E-2</v>
      </c>
      <c r="O3077" s="26">
        <v>7.1000000000000004E-3</v>
      </c>
      <c r="P3077" s="26">
        <v>1.4200000000000001E-2</v>
      </c>
      <c r="Q3077" s="26">
        <v>7.1000000000000004E-3</v>
      </c>
      <c r="S3077">
        <v>149</v>
      </c>
    </row>
    <row r="3078" spans="1:19" x14ac:dyDescent="0.35">
      <c r="A3078" t="s">
        <v>231</v>
      </c>
      <c r="B3078" t="s">
        <v>371</v>
      </c>
      <c r="C3078" s="26">
        <v>0.39879999999999999</v>
      </c>
      <c r="D3078" s="26">
        <v>0.37419999999999998</v>
      </c>
      <c r="E3078" s="26">
        <v>0.2147</v>
      </c>
      <c r="F3078" s="26">
        <v>0.1166</v>
      </c>
      <c r="G3078" s="26">
        <v>0.1227</v>
      </c>
      <c r="H3078" s="26">
        <v>6.13E-2</v>
      </c>
      <c r="I3078" s="26">
        <v>7.3599999999999999E-2</v>
      </c>
      <c r="J3078" s="26">
        <v>6.7500000000000004E-2</v>
      </c>
      <c r="K3078" s="26">
        <v>6.13E-2</v>
      </c>
      <c r="L3078" s="26">
        <v>6.13E-2</v>
      </c>
      <c r="M3078" s="26">
        <v>3.6799999999999999E-2</v>
      </c>
      <c r="N3078" s="26">
        <v>3.6799999999999999E-2</v>
      </c>
      <c r="O3078" s="26">
        <v>1.23E-2</v>
      </c>
      <c r="P3078" s="26">
        <v>6.1000000000000004E-3</v>
      </c>
      <c r="R3078" s="26">
        <v>6.1000000000000004E-3</v>
      </c>
      <c r="S3078">
        <v>163</v>
      </c>
    </row>
    <row r="3079" spans="1:19" x14ac:dyDescent="0.35">
      <c r="A3079" t="s">
        <v>232</v>
      </c>
      <c r="B3079" t="s">
        <v>232</v>
      </c>
      <c r="C3079" s="26">
        <v>0.40010000000000001</v>
      </c>
      <c r="D3079" s="26">
        <v>0.35039999999999999</v>
      </c>
      <c r="E3079" s="26">
        <v>0.2084</v>
      </c>
      <c r="F3079" s="26">
        <v>0.1074</v>
      </c>
      <c r="G3079" s="26">
        <v>0.10390000000000001</v>
      </c>
      <c r="H3079" s="26">
        <v>8.6499999999999994E-2</v>
      </c>
      <c r="I3079" s="26">
        <v>7.2300000000000003E-2</v>
      </c>
      <c r="J3079" s="26">
        <v>6.3399999999999998E-2</v>
      </c>
      <c r="K3079" s="26">
        <v>5.2499999999999998E-2</v>
      </c>
      <c r="L3079" s="26">
        <v>4.7899999999999998E-2</v>
      </c>
      <c r="M3079" s="26">
        <v>3.9600000000000003E-2</v>
      </c>
      <c r="N3079" s="26">
        <v>3.7199999999999997E-2</v>
      </c>
      <c r="O3079" s="26">
        <v>1.4999999999999999E-2</v>
      </c>
      <c r="P3079" s="26">
        <v>1.34E-2</v>
      </c>
      <c r="Q3079" s="26">
        <v>2.2000000000000001E-3</v>
      </c>
      <c r="R3079" s="26">
        <v>1.9E-3</v>
      </c>
      <c r="S3079">
        <v>2789</v>
      </c>
    </row>
    <row r="3081" spans="1:19" x14ac:dyDescent="0.35">
      <c r="A3081" s="1" t="s">
        <v>574</v>
      </c>
    </row>
    <row r="3082" spans="1:19" x14ac:dyDescent="0.35">
      <c r="A3082" t="s">
        <v>219</v>
      </c>
      <c r="B3082" t="s">
        <v>305</v>
      </c>
      <c r="C3082" t="s">
        <v>550</v>
      </c>
      <c r="D3082" t="s">
        <v>551</v>
      </c>
      <c r="E3082" t="s">
        <v>552</v>
      </c>
      <c r="F3082" t="s">
        <v>553</v>
      </c>
      <c r="G3082" t="s">
        <v>554</v>
      </c>
      <c r="H3082" t="s">
        <v>555</v>
      </c>
      <c r="I3082" t="s">
        <v>556</v>
      </c>
      <c r="J3082" t="s">
        <v>557</v>
      </c>
      <c r="K3082" t="s">
        <v>558</v>
      </c>
      <c r="L3082" t="s">
        <v>559</v>
      </c>
      <c r="M3082" t="s">
        <v>560</v>
      </c>
      <c r="N3082" t="s">
        <v>561</v>
      </c>
      <c r="O3082" t="s">
        <v>562</v>
      </c>
      <c r="P3082" t="s">
        <v>563</v>
      </c>
      <c r="Q3082" t="s">
        <v>286</v>
      </c>
      <c r="R3082" t="s">
        <v>281</v>
      </c>
      <c r="S3082" t="s">
        <v>226</v>
      </c>
    </row>
    <row r="3083" spans="1:19" x14ac:dyDescent="0.35">
      <c r="A3083" t="s">
        <v>227</v>
      </c>
      <c r="B3083" t="s">
        <v>255</v>
      </c>
      <c r="C3083" s="26">
        <v>0.35039999999999999</v>
      </c>
      <c r="D3083" s="26">
        <v>0.46150000000000002</v>
      </c>
      <c r="E3083" s="26">
        <v>0.23080000000000001</v>
      </c>
      <c r="F3083" s="26">
        <v>9.4E-2</v>
      </c>
      <c r="G3083" s="26">
        <v>9.4E-2</v>
      </c>
      <c r="H3083" s="26">
        <v>0.1197</v>
      </c>
      <c r="I3083" s="26">
        <v>6.8400000000000002E-2</v>
      </c>
      <c r="J3083" s="26">
        <v>5.1299999999999998E-2</v>
      </c>
      <c r="K3083" s="26">
        <v>5.9799999999999999E-2</v>
      </c>
      <c r="L3083" s="26">
        <v>6.8400000000000002E-2</v>
      </c>
      <c r="M3083" s="26">
        <v>2.5600000000000001E-2</v>
      </c>
      <c r="N3083" s="26">
        <v>2.5600000000000001E-2</v>
      </c>
      <c r="P3083" s="26">
        <v>8.5000000000000006E-3</v>
      </c>
      <c r="S3083">
        <v>117</v>
      </c>
    </row>
    <row r="3084" spans="1:19" x14ac:dyDescent="0.35">
      <c r="A3084" s="27" t="s">
        <v>227</v>
      </c>
      <c r="B3084" s="27" t="s">
        <v>257</v>
      </c>
      <c r="C3084" s="28">
        <v>0.77780000000000005</v>
      </c>
      <c r="D3084" s="28">
        <v>0.22220000000000001</v>
      </c>
      <c r="E3084" s="28">
        <v>0.1111</v>
      </c>
      <c r="F3084" s="28">
        <v>0.1111</v>
      </c>
      <c r="G3084" s="28">
        <v>0.1111</v>
      </c>
      <c r="H3084" s="28">
        <v>0.1111</v>
      </c>
      <c r="I3084" s="29"/>
      <c r="J3084" s="29"/>
      <c r="K3084" s="29"/>
      <c r="L3084" s="29"/>
      <c r="M3084" s="29"/>
      <c r="N3084" s="29"/>
      <c r="O3084" s="29"/>
      <c r="P3084" s="29"/>
      <c r="Q3084" s="29"/>
      <c r="R3084" s="29"/>
      <c r="S3084" s="29" t="s">
        <v>334</v>
      </c>
    </row>
    <row r="3085" spans="1:19" x14ac:dyDescent="0.35">
      <c r="A3085" t="s">
        <v>227</v>
      </c>
      <c r="B3085" t="s">
        <v>256</v>
      </c>
      <c r="C3085" s="26">
        <v>0.42859999999999998</v>
      </c>
      <c r="D3085" s="26">
        <v>0.2</v>
      </c>
      <c r="E3085" s="26">
        <v>0.1714</v>
      </c>
      <c r="F3085" s="26">
        <v>0.1429</v>
      </c>
      <c r="G3085" s="26">
        <v>5.7099999999999998E-2</v>
      </c>
      <c r="H3085" s="26">
        <v>0.1429</v>
      </c>
      <c r="I3085" s="26">
        <v>5.7099999999999998E-2</v>
      </c>
      <c r="J3085" s="26">
        <v>8.5699999999999998E-2</v>
      </c>
      <c r="K3085" s="26">
        <v>2.86E-2</v>
      </c>
      <c r="L3085" s="26">
        <v>2.86E-2</v>
      </c>
      <c r="M3085" s="26">
        <v>5.7099999999999998E-2</v>
      </c>
      <c r="N3085" s="26">
        <v>2.86E-2</v>
      </c>
      <c r="S3085">
        <v>35</v>
      </c>
    </row>
    <row r="3086" spans="1:19" x14ac:dyDescent="0.35">
      <c r="A3086" t="s">
        <v>228</v>
      </c>
      <c r="B3086" t="s">
        <v>257</v>
      </c>
      <c r="C3086" s="26">
        <v>0.74339999999999995</v>
      </c>
      <c r="D3086" s="26">
        <v>8.4400000000000003E-2</v>
      </c>
      <c r="E3086" s="26">
        <v>8.4400000000000003E-2</v>
      </c>
      <c r="G3086" s="26">
        <v>2.6499999999999999E-2</v>
      </c>
      <c r="H3086" s="26">
        <v>6.4899999999999999E-2</v>
      </c>
      <c r="J3086" s="26">
        <v>7.9000000000000008E-3</v>
      </c>
      <c r="K3086" s="26">
        <v>7.17E-2</v>
      </c>
      <c r="L3086" s="26">
        <v>1.26E-2</v>
      </c>
      <c r="M3086" s="26">
        <v>1.84E-2</v>
      </c>
      <c r="N3086" s="26">
        <v>1.6E-2</v>
      </c>
      <c r="P3086" s="26">
        <v>1.6E-2</v>
      </c>
      <c r="S3086">
        <v>49</v>
      </c>
    </row>
    <row r="3087" spans="1:19" x14ac:dyDescent="0.35">
      <c r="A3087" s="27" t="s">
        <v>228</v>
      </c>
      <c r="B3087" s="27" t="s">
        <v>258</v>
      </c>
      <c r="C3087" s="28">
        <v>0.30730000000000002</v>
      </c>
      <c r="D3087" s="28">
        <v>0.59470000000000001</v>
      </c>
      <c r="E3087" s="29"/>
      <c r="F3087" s="29"/>
      <c r="G3087" s="28">
        <v>9.8100000000000007E-2</v>
      </c>
      <c r="H3087" s="29"/>
      <c r="I3087" s="29"/>
      <c r="J3087" s="29"/>
      <c r="K3087" s="29"/>
      <c r="L3087" s="29"/>
      <c r="M3087" s="29"/>
      <c r="N3087" s="29"/>
      <c r="O3087" s="29"/>
      <c r="P3087" s="29"/>
      <c r="Q3087" s="29"/>
      <c r="R3087" s="29"/>
      <c r="S3087" s="29" t="s">
        <v>337</v>
      </c>
    </row>
    <row r="3088" spans="1:19" x14ac:dyDescent="0.35">
      <c r="A3088" t="s">
        <v>228</v>
      </c>
      <c r="B3088" t="s">
        <v>256</v>
      </c>
      <c r="C3088" s="26">
        <v>0.45889999999999997</v>
      </c>
      <c r="D3088" s="26">
        <v>0.1925</v>
      </c>
      <c r="E3088" s="26">
        <v>0.16569999999999999</v>
      </c>
      <c r="F3088" s="26">
        <v>5.0500000000000003E-2</v>
      </c>
      <c r="G3088" s="26">
        <v>2.2599999999999999E-2</v>
      </c>
      <c r="H3088" s="26">
        <v>0.1515</v>
      </c>
      <c r="I3088" s="26">
        <v>4.8399999999999999E-2</v>
      </c>
      <c r="J3088" s="26">
        <v>6.9800000000000001E-2</v>
      </c>
      <c r="K3088" s="26">
        <v>2.0899999999999998E-2</v>
      </c>
      <c r="L3088" s="26">
        <v>7.2099999999999997E-2</v>
      </c>
      <c r="M3088" s="26">
        <v>8.5400000000000004E-2</v>
      </c>
      <c r="N3088" s="26">
        <v>4.07E-2</v>
      </c>
      <c r="O3088" s="26">
        <v>3.5499999999999997E-2</v>
      </c>
      <c r="P3088" s="26">
        <v>6.1999999999999998E-3</v>
      </c>
      <c r="Q3088" s="26">
        <v>1.5E-3</v>
      </c>
      <c r="R3088" s="26">
        <v>1.5E-3</v>
      </c>
      <c r="S3088">
        <v>217</v>
      </c>
    </row>
    <row r="3089" spans="1:19" x14ac:dyDescent="0.35">
      <c r="A3089" t="s">
        <v>228</v>
      </c>
      <c r="B3089" t="s">
        <v>255</v>
      </c>
      <c r="C3089" s="26">
        <v>0.30649999999999999</v>
      </c>
      <c r="D3089" s="26">
        <v>0.40539999999999998</v>
      </c>
      <c r="E3089" s="26">
        <v>0.24979999999999999</v>
      </c>
      <c r="F3089" s="26">
        <v>0.14399999999999999</v>
      </c>
      <c r="G3089" s="26">
        <v>0.1341</v>
      </c>
      <c r="H3089" s="26">
        <v>7.6700000000000004E-2</v>
      </c>
      <c r="I3089" s="26">
        <v>6.7699999999999996E-2</v>
      </c>
      <c r="J3089" s="26">
        <v>6.54E-2</v>
      </c>
      <c r="K3089" s="26">
        <v>6.0600000000000001E-2</v>
      </c>
      <c r="L3089" s="26">
        <v>3.0700000000000002E-2</v>
      </c>
      <c r="M3089" s="26">
        <v>3.73E-2</v>
      </c>
      <c r="N3089" s="26">
        <v>4.07E-2</v>
      </c>
      <c r="O3089" s="26">
        <v>2.1600000000000001E-2</v>
      </c>
      <c r="P3089" s="26">
        <v>1.4999999999999999E-2</v>
      </c>
      <c r="Q3089" s="26">
        <v>2.8999999999999998E-3</v>
      </c>
      <c r="R3089" s="26">
        <v>8.0000000000000004E-4</v>
      </c>
      <c r="S3089">
        <v>750</v>
      </c>
    </row>
    <row r="3090" spans="1:19" x14ac:dyDescent="0.35">
      <c r="A3090" t="s">
        <v>229</v>
      </c>
      <c r="B3090" t="s">
        <v>256</v>
      </c>
      <c r="C3090" s="26">
        <v>0.49690000000000001</v>
      </c>
      <c r="D3090" s="26">
        <v>0.23039999999999999</v>
      </c>
      <c r="E3090" s="26">
        <v>0.1673</v>
      </c>
      <c r="F3090" s="26">
        <v>4.6800000000000001E-2</v>
      </c>
      <c r="G3090" s="26">
        <v>4.7100000000000003E-2</v>
      </c>
      <c r="H3090" s="26">
        <v>7.9100000000000004E-2</v>
      </c>
      <c r="I3090" s="26">
        <v>8.5199999999999998E-2</v>
      </c>
      <c r="J3090" s="26">
        <v>0.11310000000000001</v>
      </c>
      <c r="K3090" s="26">
        <v>2.3099999999999999E-2</v>
      </c>
      <c r="L3090" s="26">
        <v>3.4799999999999998E-2</v>
      </c>
      <c r="M3090" s="26">
        <v>5.7799999999999997E-2</v>
      </c>
      <c r="N3090" s="26">
        <v>6.2700000000000006E-2</v>
      </c>
      <c r="O3090" s="26">
        <v>2.1899999999999999E-2</v>
      </c>
      <c r="P3090" s="26">
        <v>2.3699999999999999E-2</v>
      </c>
      <c r="Q3090" s="26">
        <v>2.9999999999999997E-4</v>
      </c>
      <c r="S3090">
        <v>207</v>
      </c>
    </row>
    <row r="3091" spans="1:19" x14ac:dyDescent="0.35">
      <c r="A3091" t="s">
        <v>229</v>
      </c>
      <c r="B3091" t="s">
        <v>255</v>
      </c>
      <c r="C3091" s="26">
        <v>0.36420000000000002</v>
      </c>
      <c r="D3091" s="26">
        <v>0.38340000000000002</v>
      </c>
      <c r="E3091" s="26">
        <v>0.2112</v>
      </c>
      <c r="F3091" s="26">
        <v>0.1227</v>
      </c>
      <c r="G3091" s="26">
        <v>0.1268</v>
      </c>
      <c r="H3091" s="26">
        <v>9.5799999999999996E-2</v>
      </c>
      <c r="I3091" s="26">
        <v>9.8799999999999999E-2</v>
      </c>
      <c r="J3091" s="26">
        <v>5.0700000000000002E-2</v>
      </c>
      <c r="K3091" s="26">
        <v>5.96E-2</v>
      </c>
      <c r="L3091" s="26">
        <v>2.9899999999999999E-2</v>
      </c>
      <c r="M3091" s="26">
        <v>4.7899999999999998E-2</v>
      </c>
      <c r="N3091" s="26">
        <v>4.1300000000000003E-2</v>
      </c>
      <c r="O3091" s="26">
        <v>1.55E-2</v>
      </c>
      <c r="P3091" s="26">
        <v>2.2599999999999999E-2</v>
      </c>
      <c r="Q3091" s="26">
        <v>8.5000000000000006E-3</v>
      </c>
      <c r="R3091" s="26">
        <v>4.0000000000000002E-4</v>
      </c>
      <c r="S3091">
        <v>634</v>
      </c>
    </row>
    <row r="3092" spans="1:19" x14ac:dyDescent="0.35">
      <c r="A3092" t="s">
        <v>229</v>
      </c>
      <c r="B3092" t="s">
        <v>257</v>
      </c>
      <c r="C3092" s="26">
        <v>0.75349999999999995</v>
      </c>
      <c r="D3092" s="26">
        <v>6.8000000000000005E-2</v>
      </c>
      <c r="E3092" s="26">
        <v>5.0999999999999997E-2</v>
      </c>
      <c r="G3092" s="26">
        <v>6.4600000000000005E-2</v>
      </c>
      <c r="H3092" s="26">
        <v>0.1323</v>
      </c>
      <c r="I3092" s="26">
        <v>4.0800000000000003E-2</v>
      </c>
      <c r="J3092" s="26">
        <v>1.55E-2</v>
      </c>
      <c r="K3092" s="26">
        <v>3.3999999999999998E-3</v>
      </c>
      <c r="L3092" s="26">
        <v>5.0999999999999997E-2</v>
      </c>
      <c r="M3092" s="26">
        <v>1.3599999999999999E-2</v>
      </c>
      <c r="S3092">
        <v>48</v>
      </c>
    </row>
    <row r="3093" spans="1:19" x14ac:dyDescent="0.35">
      <c r="A3093" s="27" t="s">
        <v>229</v>
      </c>
      <c r="B3093" s="27" t="s">
        <v>258</v>
      </c>
      <c r="C3093" s="28">
        <v>1</v>
      </c>
      <c r="D3093" s="29"/>
      <c r="E3093" s="29"/>
      <c r="F3093" s="29"/>
      <c r="G3093" s="29"/>
      <c r="H3093" s="29"/>
      <c r="I3093" s="29"/>
      <c r="J3093" s="29"/>
      <c r="K3093" s="29"/>
      <c r="L3093" s="29"/>
      <c r="M3093" s="29"/>
      <c r="N3093" s="29"/>
      <c r="O3093" s="29"/>
      <c r="P3093" s="29"/>
      <c r="Q3093" s="29"/>
      <c r="R3093" s="29"/>
      <c r="S3093" s="29" t="s">
        <v>314</v>
      </c>
    </row>
    <row r="3094" spans="1:19" x14ac:dyDescent="0.35">
      <c r="A3094" t="s">
        <v>230</v>
      </c>
      <c r="B3094" t="s">
        <v>256</v>
      </c>
      <c r="C3094" s="26">
        <v>0.4103</v>
      </c>
      <c r="D3094" s="26">
        <v>0.28129999999999999</v>
      </c>
      <c r="E3094" s="26">
        <v>9.4500000000000001E-2</v>
      </c>
      <c r="F3094" s="26">
        <v>9.8699999999999996E-2</v>
      </c>
      <c r="G3094" s="26">
        <v>9.2499999999999999E-2</v>
      </c>
      <c r="H3094" s="26">
        <v>0.1331</v>
      </c>
      <c r="I3094" s="26">
        <v>9.0700000000000003E-2</v>
      </c>
      <c r="J3094" s="26">
        <v>0.1462</v>
      </c>
      <c r="K3094" s="26">
        <v>7.3099999999999998E-2</v>
      </c>
      <c r="L3094" s="26">
        <v>0.13789999999999999</v>
      </c>
      <c r="M3094" s="26">
        <v>3.1699999999999999E-2</v>
      </c>
      <c r="N3094" s="26">
        <v>2.7E-2</v>
      </c>
      <c r="O3094" s="26">
        <v>2.23E-2</v>
      </c>
      <c r="P3094" s="26">
        <v>2.9399999999999999E-2</v>
      </c>
      <c r="Q3094" s="26">
        <v>3.5000000000000001E-3</v>
      </c>
      <c r="S3094">
        <v>128</v>
      </c>
    </row>
    <row r="3095" spans="1:19" x14ac:dyDescent="0.35">
      <c r="A3095" t="s">
        <v>230</v>
      </c>
      <c r="B3095" t="s">
        <v>255</v>
      </c>
      <c r="C3095" s="26">
        <v>0.40289999999999998</v>
      </c>
      <c r="D3095" s="26">
        <v>0.36630000000000001</v>
      </c>
      <c r="E3095" s="26">
        <v>0.2883</v>
      </c>
      <c r="F3095" s="26">
        <v>0.12479999999999999</v>
      </c>
      <c r="G3095" s="26">
        <v>8.8400000000000006E-2</v>
      </c>
      <c r="H3095" s="26">
        <v>3.5499999999999997E-2</v>
      </c>
      <c r="I3095" s="26">
        <v>4.3999999999999997E-2</v>
      </c>
      <c r="J3095" s="26">
        <v>2.8299999999999999E-2</v>
      </c>
      <c r="K3095" s="26">
        <v>3.78E-2</v>
      </c>
      <c r="L3095" s="26">
        <v>1.9800000000000002E-2</v>
      </c>
      <c r="M3095" s="26">
        <v>1.3100000000000001E-2</v>
      </c>
      <c r="N3095" s="26">
        <v>3.5099999999999999E-2</v>
      </c>
      <c r="O3095" s="26">
        <v>1.17E-2</v>
      </c>
      <c r="P3095" s="26">
        <v>2.0799999999999999E-2</v>
      </c>
      <c r="S3095">
        <v>385</v>
      </c>
    </row>
    <row r="3096" spans="1:19" x14ac:dyDescent="0.35">
      <c r="A3096" t="s">
        <v>230</v>
      </c>
      <c r="B3096" t="s">
        <v>257</v>
      </c>
      <c r="C3096" s="26">
        <v>0.61939999999999995</v>
      </c>
      <c r="D3096" s="26">
        <v>1.2800000000000001E-2</v>
      </c>
      <c r="G3096" s="26">
        <v>8.8700000000000001E-2</v>
      </c>
      <c r="H3096" s="26">
        <v>0.10150000000000001</v>
      </c>
      <c r="K3096" s="26">
        <v>0.10150000000000001</v>
      </c>
      <c r="L3096" s="26">
        <v>0.1522</v>
      </c>
      <c r="O3096" s="26">
        <v>0.1522</v>
      </c>
      <c r="S3096">
        <v>38</v>
      </c>
    </row>
    <row r="3097" spans="1:19" x14ac:dyDescent="0.35">
      <c r="A3097" s="27" t="s">
        <v>230</v>
      </c>
      <c r="B3097" s="27" t="s">
        <v>258</v>
      </c>
      <c r="C3097" s="28">
        <v>1</v>
      </c>
      <c r="D3097" s="29"/>
      <c r="E3097" s="29"/>
      <c r="F3097" s="29"/>
      <c r="G3097" s="29"/>
      <c r="H3097" s="29"/>
      <c r="I3097" s="29"/>
      <c r="J3097" s="29"/>
      <c r="K3097" s="29"/>
      <c r="L3097" s="29"/>
      <c r="M3097" s="29"/>
      <c r="N3097" s="29"/>
      <c r="O3097" s="29"/>
      <c r="P3097" s="29"/>
      <c r="Q3097" s="29"/>
      <c r="R3097" s="29"/>
      <c r="S3097" s="29" t="s">
        <v>315</v>
      </c>
    </row>
    <row r="3098" spans="1:19" x14ac:dyDescent="0.35">
      <c r="A3098" s="27" t="s">
        <v>231</v>
      </c>
      <c r="B3098" s="27" t="s">
        <v>257</v>
      </c>
      <c r="C3098" s="28">
        <v>0.71430000000000005</v>
      </c>
      <c r="D3098" s="28">
        <v>0.1429</v>
      </c>
      <c r="E3098" s="29"/>
      <c r="F3098" s="28">
        <v>0.1429</v>
      </c>
      <c r="G3098" s="29"/>
      <c r="H3098" s="29"/>
      <c r="I3098" s="29"/>
      <c r="J3098" s="29"/>
      <c r="K3098" s="28">
        <v>0.1429</v>
      </c>
      <c r="L3098" s="29"/>
      <c r="M3098" s="29"/>
      <c r="N3098" s="29"/>
      <c r="O3098" s="29"/>
      <c r="P3098" s="29"/>
      <c r="Q3098" s="29"/>
      <c r="R3098" s="29"/>
      <c r="S3098" s="29" t="s">
        <v>339</v>
      </c>
    </row>
    <row r="3099" spans="1:19" x14ac:dyDescent="0.35">
      <c r="A3099" t="s">
        <v>231</v>
      </c>
      <c r="B3099" t="s">
        <v>255</v>
      </c>
      <c r="C3099" s="26">
        <v>0.39529999999999998</v>
      </c>
      <c r="D3099" s="26">
        <v>0.3876</v>
      </c>
      <c r="E3099" s="26">
        <v>0.2326</v>
      </c>
      <c r="F3099" s="26">
        <v>0.1085</v>
      </c>
      <c r="G3099" s="26">
        <v>0.1318</v>
      </c>
      <c r="H3099" s="26">
        <v>6.2E-2</v>
      </c>
      <c r="I3099" s="26">
        <v>3.8800000000000001E-2</v>
      </c>
      <c r="J3099" s="26">
        <v>4.65E-2</v>
      </c>
      <c r="K3099" s="26">
        <v>6.2E-2</v>
      </c>
      <c r="L3099" s="26">
        <v>6.2E-2</v>
      </c>
      <c r="M3099" s="26">
        <v>3.8800000000000001E-2</v>
      </c>
      <c r="N3099" s="26">
        <v>3.8800000000000001E-2</v>
      </c>
      <c r="O3099" s="26">
        <v>1.55E-2</v>
      </c>
      <c r="P3099" s="26">
        <v>7.7999999999999996E-3</v>
      </c>
      <c r="R3099" s="26">
        <v>7.7999999999999996E-3</v>
      </c>
      <c r="S3099">
        <v>129</v>
      </c>
    </row>
    <row r="3100" spans="1:19" x14ac:dyDescent="0.35">
      <c r="A3100" s="27" t="s">
        <v>231</v>
      </c>
      <c r="B3100" s="27" t="s">
        <v>256</v>
      </c>
      <c r="C3100" s="28">
        <v>0.33329999999999999</v>
      </c>
      <c r="D3100" s="28">
        <v>0.37040000000000001</v>
      </c>
      <c r="E3100" s="28">
        <v>0.1852</v>
      </c>
      <c r="F3100" s="28">
        <v>0.14810000000000001</v>
      </c>
      <c r="G3100" s="28">
        <v>0.1111</v>
      </c>
      <c r="H3100" s="28">
        <v>7.4099999999999999E-2</v>
      </c>
      <c r="I3100" s="28">
        <v>0.25929999999999997</v>
      </c>
      <c r="J3100" s="28">
        <v>0.1852</v>
      </c>
      <c r="K3100" s="28">
        <v>3.6999999999999998E-2</v>
      </c>
      <c r="L3100" s="28">
        <v>7.4099999999999999E-2</v>
      </c>
      <c r="M3100" s="28">
        <v>3.6999999999999998E-2</v>
      </c>
      <c r="N3100" s="28">
        <v>3.6999999999999998E-2</v>
      </c>
      <c r="O3100" s="29"/>
      <c r="P3100" s="29"/>
      <c r="Q3100" s="29"/>
      <c r="R3100" s="29"/>
      <c r="S3100" s="29" t="s">
        <v>338</v>
      </c>
    </row>
    <row r="3101" spans="1:19" x14ac:dyDescent="0.35">
      <c r="A3101" t="s">
        <v>232</v>
      </c>
      <c r="B3101" t="s">
        <v>232</v>
      </c>
      <c r="C3101" s="26">
        <v>0.40010000000000001</v>
      </c>
      <c r="D3101" s="26">
        <v>0.35039999999999999</v>
      </c>
      <c r="E3101" s="26">
        <v>0.2084</v>
      </c>
      <c r="F3101" s="26">
        <v>0.1074</v>
      </c>
      <c r="G3101" s="26">
        <v>0.10390000000000001</v>
      </c>
      <c r="H3101" s="26">
        <v>8.6499999999999994E-2</v>
      </c>
      <c r="I3101" s="26">
        <v>7.2300000000000003E-2</v>
      </c>
      <c r="J3101" s="26">
        <v>6.3399999999999998E-2</v>
      </c>
      <c r="K3101" s="26">
        <v>5.2499999999999998E-2</v>
      </c>
      <c r="L3101" s="26">
        <v>4.7899999999999998E-2</v>
      </c>
      <c r="M3101" s="26">
        <v>3.9600000000000003E-2</v>
      </c>
      <c r="N3101" s="26">
        <v>3.7199999999999997E-2</v>
      </c>
      <c r="O3101" s="26">
        <v>1.4999999999999999E-2</v>
      </c>
      <c r="P3101" s="26">
        <v>1.34E-2</v>
      </c>
      <c r="Q3101" s="26">
        <v>2.2000000000000001E-3</v>
      </c>
      <c r="R3101" s="26">
        <v>1.9E-3</v>
      </c>
      <c r="S3101">
        <v>2789</v>
      </c>
    </row>
    <row r="3103" spans="1:19" x14ac:dyDescent="0.35">
      <c r="A3103" s="1" t="s">
        <v>575</v>
      </c>
    </row>
    <row r="3104" spans="1:19" x14ac:dyDescent="0.35">
      <c r="A3104" t="s">
        <v>219</v>
      </c>
      <c r="B3104" t="s">
        <v>576</v>
      </c>
      <c r="C3104" t="s">
        <v>577</v>
      </c>
      <c r="D3104" t="s">
        <v>578</v>
      </c>
      <c r="E3104" t="s">
        <v>579</v>
      </c>
      <c r="F3104" t="s">
        <v>580</v>
      </c>
      <c r="G3104" t="s">
        <v>281</v>
      </c>
      <c r="H3104" t="s">
        <v>286</v>
      </c>
      <c r="I3104" t="s">
        <v>226</v>
      </c>
    </row>
    <row r="3105" spans="1:10" x14ac:dyDescent="0.35">
      <c r="A3105" t="s">
        <v>227</v>
      </c>
      <c r="B3105" s="26">
        <v>0.79590000000000005</v>
      </c>
      <c r="C3105" s="26">
        <v>7.1400000000000005E-2</v>
      </c>
      <c r="D3105" s="26">
        <v>5.0999999999999997E-2</v>
      </c>
      <c r="E3105" s="26">
        <v>6.1199999999999997E-2</v>
      </c>
      <c r="G3105" s="26">
        <v>2.0400000000000001E-2</v>
      </c>
      <c r="I3105">
        <v>98</v>
      </c>
    </row>
    <row r="3106" spans="1:10" x14ac:dyDescent="0.35">
      <c r="A3106" t="s">
        <v>228</v>
      </c>
      <c r="B3106" s="26">
        <v>0.7762</v>
      </c>
      <c r="C3106" s="26">
        <v>8.3900000000000002E-2</v>
      </c>
      <c r="D3106" s="26">
        <v>5.3999999999999999E-2</v>
      </c>
      <c r="E3106" s="26">
        <v>3.0499999999999999E-2</v>
      </c>
      <c r="F3106" s="26">
        <v>4.58E-2</v>
      </c>
      <c r="G3106" s="26">
        <v>9.7000000000000003E-3</v>
      </c>
      <c r="I3106">
        <v>679</v>
      </c>
    </row>
    <row r="3107" spans="1:10" x14ac:dyDescent="0.35">
      <c r="A3107" t="s">
        <v>229</v>
      </c>
      <c r="B3107" s="26">
        <v>0.70099999999999996</v>
      </c>
      <c r="C3107" s="26">
        <v>0.1055</v>
      </c>
      <c r="D3107" s="26">
        <v>7.9000000000000001E-2</v>
      </c>
      <c r="E3107" s="26">
        <v>5.3600000000000002E-2</v>
      </c>
      <c r="F3107" s="26">
        <v>4.65E-2</v>
      </c>
      <c r="G3107" s="26">
        <v>1.4500000000000001E-2</v>
      </c>
      <c r="I3107">
        <v>467</v>
      </c>
    </row>
    <row r="3108" spans="1:10" x14ac:dyDescent="0.35">
      <c r="A3108" t="s">
        <v>230</v>
      </c>
      <c r="B3108" s="26">
        <v>0.73939999999999995</v>
      </c>
      <c r="C3108" s="26">
        <v>7.5499999999999998E-2</v>
      </c>
      <c r="D3108" s="26">
        <v>7.0099999999999996E-2</v>
      </c>
      <c r="E3108" s="26">
        <v>2.7300000000000001E-2</v>
      </c>
      <c r="F3108" s="26">
        <v>5.9400000000000001E-2</v>
      </c>
      <c r="G3108" s="26">
        <v>1.9099999999999999E-2</v>
      </c>
      <c r="H3108" s="26">
        <v>9.2999999999999992E-3</v>
      </c>
      <c r="I3108">
        <v>329</v>
      </c>
    </row>
    <row r="3109" spans="1:10" x14ac:dyDescent="0.35">
      <c r="A3109" t="s">
        <v>231</v>
      </c>
      <c r="B3109" s="26">
        <v>0.78569999999999995</v>
      </c>
      <c r="C3109" s="26">
        <v>7.1400000000000005E-2</v>
      </c>
      <c r="D3109" s="26">
        <v>7.1400000000000005E-2</v>
      </c>
      <c r="E3109" s="26">
        <v>3.0599999999999999E-2</v>
      </c>
      <c r="F3109" s="26">
        <v>3.0599999999999999E-2</v>
      </c>
      <c r="G3109" s="26">
        <v>1.0200000000000001E-2</v>
      </c>
      <c r="I3109">
        <v>98</v>
      </c>
    </row>
    <row r="3110" spans="1:10" x14ac:dyDescent="0.35">
      <c r="A3110" t="s">
        <v>232</v>
      </c>
      <c r="B3110" s="26">
        <v>0.75780000000000003</v>
      </c>
      <c r="C3110" s="26">
        <v>8.3699999999999997E-2</v>
      </c>
      <c r="D3110" s="26">
        <v>6.6600000000000006E-2</v>
      </c>
      <c r="E3110" s="26">
        <v>4.1300000000000003E-2</v>
      </c>
      <c r="F3110" s="26">
        <v>3.5999999999999997E-2</v>
      </c>
      <c r="G3110" s="26">
        <v>1.37E-2</v>
      </c>
      <c r="H3110" s="26">
        <v>8.9999999999999998E-4</v>
      </c>
      <c r="I3110">
        <v>1671</v>
      </c>
    </row>
    <row r="3112" spans="1:10" x14ac:dyDescent="0.35">
      <c r="A3112" s="1" t="s">
        <v>581</v>
      </c>
    </row>
    <row r="3113" spans="1:10" x14ac:dyDescent="0.35">
      <c r="A3113" t="s">
        <v>219</v>
      </c>
      <c r="B3113" t="s">
        <v>305</v>
      </c>
      <c r="C3113" t="s">
        <v>576</v>
      </c>
      <c r="D3113" t="s">
        <v>577</v>
      </c>
      <c r="E3113" t="s">
        <v>578</v>
      </c>
      <c r="F3113" t="s">
        <v>579</v>
      </c>
      <c r="G3113" t="s">
        <v>580</v>
      </c>
      <c r="H3113" t="s">
        <v>281</v>
      </c>
      <c r="I3113" t="s">
        <v>286</v>
      </c>
      <c r="J3113" t="s">
        <v>226</v>
      </c>
    </row>
    <row r="3114" spans="1:10" x14ac:dyDescent="0.35">
      <c r="A3114" t="s">
        <v>227</v>
      </c>
      <c r="B3114" t="s">
        <v>242</v>
      </c>
      <c r="C3114" s="26">
        <v>0.76270000000000004</v>
      </c>
      <c r="D3114" s="26">
        <v>6.7799999999999999E-2</v>
      </c>
      <c r="E3114" s="26">
        <v>8.4699999999999998E-2</v>
      </c>
      <c r="F3114" s="26">
        <v>8.4699999999999998E-2</v>
      </c>
      <c r="J3114">
        <v>59</v>
      </c>
    </row>
    <row r="3115" spans="1:10" x14ac:dyDescent="0.35">
      <c r="A3115" t="s">
        <v>227</v>
      </c>
      <c r="B3115" t="s">
        <v>241</v>
      </c>
      <c r="C3115" s="26">
        <v>0.84619999999999995</v>
      </c>
      <c r="D3115" s="26">
        <v>7.6899999999999996E-2</v>
      </c>
      <c r="F3115" s="26">
        <v>2.5600000000000001E-2</v>
      </c>
      <c r="H3115" s="26">
        <v>5.1299999999999998E-2</v>
      </c>
      <c r="J3115">
        <v>39</v>
      </c>
    </row>
    <row r="3116" spans="1:10" x14ac:dyDescent="0.35">
      <c r="A3116" t="s">
        <v>228</v>
      </c>
      <c r="B3116" t="s">
        <v>242</v>
      </c>
      <c r="C3116" s="26">
        <v>0.69399999999999995</v>
      </c>
      <c r="D3116" s="26">
        <v>0.113</v>
      </c>
      <c r="E3116" s="26">
        <v>7.2700000000000001E-2</v>
      </c>
      <c r="F3116" s="26">
        <v>4.1000000000000002E-2</v>
      </c>
      <c r="G3116" s="26">
        <v>7.5700000000000003E-2</v>
      </c>
      <c r="H3116" s="26">
        <v>3.5999999999999999E-3</v>
      </c>
      <c r="J3116">
        <v>362</v>
      </c>
    </row>
    <row r="3117" spans="1:10" x14ac:dyDescent="0.35">
      <c r="A3117" t="s">
        <v>228</v>
      </c>
      <c r="B3117" t="s">
        <v>241</v>
      </c>
      <c r="C3117" s="26">
        <v>0.85760000000000003</v>
      </c>
      <c r="D3117" s="26">
        <v>5.5100000000000003E-2</v>
      </c>
      <c r="E3117" s="26">
        <v>3.5400000000000001E-2</v>
      </c>
      <c r="F3117" s="26">
        <v>0.02</v>
      </c>
      <c r="G3117" s="26">
        <v>1.6199999999999999E-2</v>
      </c>
      <c r="H3117" s="26">
        <v>1.5800000000000002E-2</v>
      </c>
      <c r="J3117">
        <v>317</v>
      </c>
    </row>
    <row r="3118" spans="1:10" x14ac:dyDescent="0.35">
      <c r="A3118" t="s">
        <v>229</v>
      </c>
      <c r="B3118" t="s">
        <v>242</v>
      </c>
      <c r="C3118" s="26">
        <v>0.65029999999999999</v>
      </c>
      <c r="D3118" s="26">
        <v>0.1002</v>
      </c>
      <c r="E3118" s="26">
        <v>8.6400000000000005E-2</v>
      </c>
      <c r="F3118" s="26">
        <v>7.7200000000000005E-2</v>
      </c>
      <c r="G3118" s="26">
        <v>6.0900000000000003E-2</v>
      </c>
      <c r="H3118" s="26">
        <v>2.4899999999999999E-2</v>
      </c>
      <c r="J3118">
        <v>245</v>
      </c>
    </row>
    <row r="3119" spans="1:10" x14ac:dyDescent="0.35">
      <c r="A3119" t="s">
        <v>229</v>
      </c>
      <c r="B3119" t="s">
        <v>241</v>
      </c>
      <c r="C3119" s="26">
        <v>0.76829999999999998</v>
      </c>
      <c r="D3119" s="26">
        <v>0.1124</v>
      </c>
      <c r="E3119" s="26">
        <v>6.9099999999999995E-2</v>
      </c>
      <c r="F3119" s="26">
        <v>2.23E-2</v>
      </c>
      <c r="G3119" s="26">
        <v>2.7300000000000001E-2</v>
      </c>
      <c r="H3119" s="26">
        <v>6.9999999999999999E-4</v>
      </c>
      <c r="J3119">
        <v>222</v>
      </c>
    </row>
    <row r="3120" spans="1:10" x14ac:dyDescent="0.35">
      <c r="A3120" t="s">
        <v>230</v>
      </c>
      <c r="B3120" t="s">
        <v>242</v>
      </c>
      <c r="C3120" s="26">
        <v>0.60719999999999996</v>
      </c>
      <c r="D3120" s="26">
        <v>0.1002</v>
      </c>
      <c r="E3120" s="26">
        <v>9.8299999999999998E-2</v>
      </c>
      <c r="F3120" s="26">
        <v>5.3999999999999999E-2</v>
      </c>
      <c r="G3120" s="26">
        <v>8.0699999999999994E-2</v>
      </c>
      <c r="H3120" s="26">
        <v>3.9800000000000002E-2</v>
      </c>
      <c r="I3120" s="26">
        <v>1.9900000000000001E-2</v>
      </c>
      <c r="J3120">
        <v>158</v>
      </c>
    </row>
    <row r="3121" spans="1:10" x14ac:dyDescent="0.35">
      <c r="A3121" t="s">
        <v>230</v>
      </c>
      <c r="B3121" t="s">
        <v>241</v>
      </c>
      <c r="C3121" s="26">
        <v>0.85540000000000005</v>
      </c>
      <c r="D3121" s="26">
        <v>5.3900000000000003E-2</v>
      </c>
      <c r="E3121" s="26">
        <v>4.53E-2</v>
      </c>
      <c r="F3121" s="26">
        <v>3.8E-3</v>
      </c>
      <c r="G3121" s="26">
        <v>4.07E-2</v>
      </c>
      <c r="H3121" s="26">
        <v>8.9999999999999998E-4</v>
      </c>
      <c r="J3121">
        <v>171</v>
      </c>
    </row>
    <row r="3122" spans="1:10" x14ac:dyDescent="0.35">
      <c r="A3122" t="s">
        <v>231</v>
      </c>
      <c r="B3122" t="s">
        <v>242</v>
      </c>
      <c r="C3122" s="26">
        <v>0.76600000000000001</v>
      </c>
      <c r="D3122" s="26">
        <v>4.2599999999999999E-2</v>
      </c>
      <c r="E3122" s="26">
        <v>8.5099999999999995E-2</v>
      </c>
      <c r="F3122" s="26">
        <v>6.3799999999999996E-2</v>
      </c>
      <c r="G3122" s="26">
        <v>4.2599999999999999E-2</v>
      </c>
      <c r="J3122">
        <v>47</v>
      </c>
    </row>
    <row r="3123" spans="1:10" x14ac:dyDescent="0.35">
      <c r="A3123" t="s">
        <v>231</v>
      </c>
      <c r="B3123" t="s">
        <v>241</v>
      </c>
      <c r="C3123" s="26">
        <v>0.80389999999999995</v>
      </c>
      <c r="D3123" s="26">
        <v>9.8000000000000004E-2</v>
      </c>
      <c r="E3123" s="26">
        <v>5.8799999999999998E-2</v>
      </c>
      <c r="G3123" s="26">
        <v>1.9599999999999999E-2</v>
      </c>
      <c r="H3123" s="26">
        <v>1.9599999999999999E-2</v>
      </c>
      <c r="J3123">
        <v>51</v>
      </c>
    </row>
    <row r="3124" spans="1:10" x14ac:dyDescent="0.35">
      <c r="A3124" t="s">
        <v>232</v>
      </c>
      <c r="B3124" t="s">
        <v>232</v>
      </c>
      <c r="C3124" s="26">
        <v>0.75780000000000003</v>
      </c>
      <c r="D3124" s="26">
        <v>8.3699999999999997E-2</v>
      </c>
      <c r="E3124" s="26">
        <v>6.6600000000000006E-2</v>
      </c>
      <c r="F3124" s="26">
        <v>4.1300000000000003E-2</v>
      </c>
      <c r="G3124" s="26">
        <v>3.5999999999999997E-2</v>
      </c>
      <c r="H3124" s="26">
        <v>1.37E-2</v>
      </c>
      <c r="I3124" s="26">
        <v>8.9999999999999998E-4</v>
      </c>
      <c r="J3124">
        <v>1671</v>
      </c>
    </row>
    <row r="3126" spans="1:10" x14ac:dyDescent="0.35">
      <c r="A3126" s="1" t="s">
        <v>582</v>
      </c>
    </row>
    <row r="3127" spans="1:10" x14ac:dyDescent="0.35">
      <c r="A3127" t="s">
        <v>219</v>
      </c>
      <c r="B3127" t="s">
        <v>305</v>
      </c>
      <c r="C3127" t="s">
        <v>576</v>
      </c>
      <c r="D3127" t="s">
        <v>577</v>
      </c>
      <c r="E3127" t="s">
        <v>578</v>
      </c>
      <c r="F3127" t="s">
        <v>579</v>
      </c>
      <c r="G3127" t="s">
        <v>580</v>
      </c>
      <c r="H3127" t="s">
        <v>281</v>
      </c>
      <c r="I3127" t="s">
        <v>286</v>
      </c>
      <c r="J3127" t="s">
        <v>226</v>
      </c>
    </row>
    <row r="3128" spans="1:10" x14ac:dyDescent="0.35">
      <c r="A3128" t="s">
        <v>227</v>
      </c>
      <c r="B3128" t="s">
        <v>239</v>
      </c>
      <c r="C3128" s="26">
        <v>0.71430000000000005</v>
      </c>
      <c r="D3128" s="26">
        <v>7.1400000000000005E-2</v>
      </c>
      <c r="E3128" s="26">
        <v>4.7600000000000003E-2</v>
      </c>
      <c r="F3128" s="26">
        <v>0.11899999999999999</v>
      </c>
      <c r="H3128" s="26">
        <v>4.7600000000000003E-2</v>
      </c>
      <c r="J3128">
        <v>42</v>
      </c>
    </row>
    <row r="3129" spans="1:10" x14ac:dyDescent="0.35">
      <c r="A3129" t="s">
        <v>227</v>
      </c>
      <c r="B3129" t="s">
        <v>238</v>
      </c>
      <c r="C3129" s="26">
        <v>0.85709999999999997</v>
      </c>
      <c r="D3129" s="26">
        <v>7.1400000000000005E-2</v>
      </c>
      <c r="E3129" s="26">
        <v>5.3600000000000002E-2</v>
      </c>
      <c r="F3129" s="26">
        <v>1.7899999999999999E-2</v>
      </c>
      <c r="J3129">
        <v>56</v>
      </c>
    </row>
    <row r="3130" spans="1:10" x14ac:dyDescent="0.35">
      <c r="A3130" t="s">
        <v>228</v>
      </c>
      <c r="B3130" t="s">
        <v>239</v>
      </c>
      <c r="C3130" s="26">
        <v>0.76829999999999998</v>
      </c>
      <c r="D3130" s="26">
        <v>8.3000000000000004E-2</v>
      </c>
      <c r="E3130" s="26">
        <v>4.9700000000000001E-2</v>
      </c>
      <c r="F3130" s="26">
        <v>3.4200000000000001E-2</v>
      </c>
      <c r="G3130" s="26">
        <v>6.0600000000000001E-2</v>
      </c>
      <c r="H3130" s="26">
        <v>4.1999999999999997E-3</v>
      </c>
      <c r="J3130">
        <v>227</v>
      </c>
    </row>
    <row r="3131" spans="1:10" x14ac:dyDescent="0.35">
      <c r="A3131" t="s">
        <v>228</v>
      </c>
      <c r="B3131" t="s">
        <v>238</v>
      </c>
      <c r="C3131" s="26">
        <v>0.77839999999999998</v>
      </c>
      <c r="D3131" s="26">
        <v>8.4099999999999994E-2</v>
      </c>
      <c r="E3131" s="26">
        <v>5.5199999999999999E-2</v>
      </c>
      <c r="F3131" s="26">
        <v>2.9399999999999999E-2</v>
      </c>
      <c r="G3131" s="26">
        <v>4.1500000000000002E-2</v>
      </c>
      <c r="H3131" s="26">
        <v>1.1299999999999999E-2</v>
      </c>
      <c r="J3131">
        <v>452</v>
      </c>
    </row>
    <row r="3132" spans="1:10" x14ac:dyDescent="0.35">
      <c r="A3132" t="s">
        <v>229</v>
      </c>
      <c r="B3132" t="s">
        <v>239</v>
      </c>
      <c r="C3132" s="26">
        <v>0.66400000000000003</v>
      </c>
      <c r="D3132" s="26">
        <v>0.1144</v>
      </c>
      <c r="E3132" s="26">
        <v>9.2600000000000002E-2</v>
      </c>
      <c r="F3132" s="26">
        <v>5.4100000000000002E-2</v>
      </c>
      <c r="G3132" s="26">
        <v>7.0499999999999993E-2</v>
      </c>
      <c r="H3132" s="26">
        <v>4.4999999999999997E-3</v>
      </c>
      <c r="J3132">
        <v>162</v>
      </c>
    </row>
    <row r="3133" spans="1:10" x14ac:dyDescent="0.35">
      <c r="A3133" t="s">
        <v>229</v>
      </c>
      <c r="B3133" t="s">
        <v>238</v>
      </c>
      <c r="C3133" s="26">
        <v>0.71389999999999998</v>
      </c>
      <c r="D3133" s="26">
        <v>0.1024</v>
      </c>
      <c r="E3133" s="26">
        <v>7.4300000000000005E-2</v>
      </c>
      <c r="F3133" s="26">
        <v>5.3400000000000003E-2</v>
      </c>
      <c r="G3133" s="26">
        <v>3.8100000000000002E-2</v>
      </c>
      <c r="H3133" s="26">
        <v>1.7999999999999999E-2</v>
      </c>
      <c r="J3133">
        <v>305</v>
      </c>
    </row>
    <row r="3134" spans="1:10" x14ac:dyDescent="0.35">
      <c r="A3134" t="s">
        <v>230</v>
      </c>
      <c r="B3134" t="s">
        <v>239</v>
      </c>
      <c r="C3134" s="26">
        <v>0.68169999999999997</v>
      </c>
      <c r="D3134" s="26">
        <v>7.2300000000000003E-2</v>
      </c>
      <c r="E3134" s="26">
        <v>0.12790000000000001</v>
      </c>
      <c r="F3134" s="26">
        <v>3.5400000000000001E-2</v>
      </c>
      <c r="G3134" s="26">
        <v>5.0799999999999998E-2</v>
      </c>
      <c r="H3134" s="26">
        <v>3.1899999999999998E-2</v>
      </c>
      <c r="J3134">
        <v>132</v>
      </c>
    </row>
    <row r="3135" spans="1:10" x14ac:dyDescent="0.35">
      <c r="A3135" t="s">
        <v>230</v>
      </c>
      <c r="B3135" t="s">
        <v>238</v>
      </c>
      <c r="C3135" s="26">
        <v>0.76490000000000002</v>
      </c>
      <c r="D3135" s="26">
        <v>7.6999999999999999E-2</v>
      </c>
      <c r="E3135" s="26">
        <v>4.4499999999999998E-2</v>
      </c>
      <c r="F3135" s="26">
        <v>2.3699999999999999E-2</v>
      </c>
      <c r="G3135" s="26">
        <v>6.3200000000000006E-2</v>
      </c>
      <c r="H3135" s="26">
        <v>1.34E-2</v>
      </c>
      <c r="I3135" s="26">
        <v>1.34E-2</v>
      </c>
      <c r="J3135">
        <v>197</v>
      </c>
    </row>
    <row r="3136" spans="1:10" x14ac:dyDescent="0.35">
      <c r="A3136" t="s">
        <v>231</v>
      </c>
      <c r="B3136" t="s">
        <v>239</v>
      </c>
      <c r="C3136" s="26">
        <v>0.8095</v>
      </c>
      <c r="D3136" s="26">
        <v>9.5200000000000007E-2</v>
      </c>
      <c r="E3136" s="26">
        <v>2.3800000000000002E-2</v>
      </c>
      <c r="F3136" s="26">
        <v>4.7600000000000003E-2</v>
      </c>
      <c r="G3136" s="26">
        <v>2.3800000000000002E-2</v>
      </c>
      <c r="J3136">
        <v>42</v>
      </c>
    </row>
    <row r="3137" spans="1:10" x14ac:dyDescent="0.35">
      <c r="A3137" t="s">
        <v>231</v>
      </c>
      <c r="B3137" t="s">
        <v>238</v>
      </c>
      <c r="C3137" s="26">
        <v>0.76790000000000003</v>
      </c>
      <c r="D3137" s="26">
        <v>5.3600000000000002E-2</v>
      </c>
      <c r="E3137" s="26">
        <v>0.1071</v>
      </c>
      <c r="F3137" s="26">
        <v>1.7899999999999999E-2</v>
      </c>
      <c r="G3137" s="26">
        <v>3.5700000000000003E-2</v>
      </c>
      <c r="H3137" s="26">
        <v>1.7899999999999999E-2</v>
      </c>
      <c r="J3137">
        <v>56</v>
      </c>
    </row>
    <row r="3138" spans="1:10" x14ac:dyDescent="0.35">
      <c r="A3138" t="s">
        <v>232</v>
      </c>
      <c r="B3138" t="s">
        <v>232</v>
      </c>
      <c r="C3138" s="26">
        <v>0.75780000000000003</v>
      </c>
      <c r="D3138" s="26">
        <v>8.3699999999999997E-2</v>
      </c>
      <c r="E3138" s="26">
        <v>6.6600000000000006E-2</v>
      </c>
      <c r="F3138" s="26">
        <v>4.1300000000000003E-2</v>
      </c>
      <c r="G3138" s="26">
        <v>3.5999999999999997E-2</v>
      </c>
      <c r="H3138" s="26">
        <v>1.37E-2</v>
      </c>
      <c r="I3138" s="26">
        <v>8.9999999999999998E-4</v>
      </c>
      <c r="J3138">
        <v>1671</v>
      </c>
    </row>
    <row r="3140" spans="1:10" x14ac:dyDescent="0.35">
      <c r="A3140" s="1" t="s">
        <v>583</v>
      </c>
    </row>
    <row r="3141" spans="1:10" x14ac:dyDescent="0.35">
      <c r="A3141" t="s">
        <v>219</v>
      </c>
      <c r="B3141" t="s">
        <v>305</v>
      </c>
      <c r="C3141" t="s">
        <v>576</v>
      </c>
      <c r="D3141" t="s">
        <v>577</v>
      </c>
      <c r="E3141" t="s">
        <v>578</v>
      </c>
      <c r="F3141" t="s">
        <v>579</v>
      </c>
      <c r="G3141" t="s">
        <v>580</v>
      </c>
      <c r="H3141" t="s">
        <v>281</v>
      </c>
      <c r="I3141" t="s">
        <v>286</v>
      </c>
      <c r="J3141" t="s">
        <v>226</v>
      </c>
    </row>
    <row r="3142" spans="1:10" x14ac:dyDescent="0.35">
      <c r="A3142" t="s">
        <v>227</v>
      </c>
      <c r="B3142" t="s">
        <v>244</v>
      </c>
      <c r="C3142" s="26">
        <v>0.86150000000000004</v>
      </c>
      <c r="D3142" s="26">
        <v>3.0800000000000001E-2</v>
      </c>
      <c r="E3142" s="26">
        <v>4.6199999999999998E-2</v>
      </c>
      <c r="F3142" s="26">
        <v>4.6199999999999998E-2</v>
      </c>
      <c r="H3142" s="26">
        <v>1.54E-2</v>
      </c>
      <c r="J3142">
        <v>65</v>
      </c>
    </row>
    <row r="3143" spans="1:10" x14ac:dyDescent="0.35">
      <c r="A3143" s="27" t="s">
        <v>227</v>
      </c>
      <c r="B3143" s="27" t="s">
        <v>245</v>
      </c>
      <c r="C3143" s="28">
        <v>0.73080000000000001</v>
      </c>
      <c r="D3143" s="28">
        <v>0.15379999999999999</v>
      </c>
      <c r="E3143" s="28">
        <v>3.85E-2</v>
      </c>
      <c r="F3143" s="28">
        <v>3.85E-2</v>
      </c>
      <c r="G3143" s="29"/>
      <c r="H3143" s="28">
        <v>3.85E-2</v>
      </c>
      <c r="I3143" s="29"/>
      <c r="J3143" s="29" t="s">
        <v>357</v>
      </c>
    </row>
    <row r="3144" spans="1:10" x14ac:dyDescent="0.35">
      <c r="A3144" s="27" t="s">
        <v>227</v>
      </c>
      <c r="B3144" s="27" t="s">
        <v>246</v>
      </c>
      <c r="C3144" s="28">
        <v>0.42859999999999998</v>
      </c>
      <c r="D3144" s="28">
        <v>0.1429</v>
      </c>
      <c r="E3144" s="28">
        <v>0.1429</v>
      </c>
      <c r="F3144" s="28">
        <v>0.28570000000000001</v>
      </c>
      <c r="G3144" s="29"/>
      <c r="H3144" s="29"/>
      <c r="I3144" s="29"/>
      <c r="J3144" s="29" t="s">
        <v>339</v>
      </c>
    </row>
    <row r="3145" spans="1:10" x14ac:dyDescent="0.35">
      <c r="A3145" t="s">
        <v>228</v>
      </c>
      <c r="B3145" t="s">
        <v>244</v>
      </c>
      <c r="C3145" s="26">
        <v>0.8105</v>
      </c>
      <c r="D3145" s="26">
        <v>7.2099999999999997E-2</v>
      </c>
      <c r="E3145" s="26">
        <v>4.7E-2</v>
      </c>
      <c r="F3145" s="26">
        <v>1.6299999999999999E-2</v>
      </c>
      <c r="G3145" s="26">
        <v>4.2999999999999997E-2</v>
      </c>
      <c r="H3145" s="26">
        <v>1.09E-2</v>
      </c>
      <c r="J3145">
        <v>418</v>
      </c>
    </row>
    <row r="3146" spans="1:10" x14ac:dyDescent="0.35">
      <c r="A3146" t="s">
        <v>228</v>
      </c>
      <c r="B3146" t="s">
        <v>245</v>
      </c>
      <c r="C3146" s="26">
        <v>0.74070000000000003</v>
      </c>
      <c r="D3146" s="26">
        <v>0.1089</v>
      </c>
      <c r="E3146" s="26">
        <v>6.3399999999999998E-2</v>
      </c>
      <c r="F3146" s="26">
        <v>5.28E-2</v>
      </c>
      <c r="G3146" s="26">
        <v>3.2000000000000001E-2</v>
      </c>
      <c r="H3146" s="26">
        <v>2.2000000000000001E-3</v>
      </c>
      <c r="J3146">
        <v>213</v>
      </c>
    </row>
    <row r="3147" spans="1:10" x14ac:dyDescent="0.35">
      <c r="A3147" t="s">
        <v>228</v>
      </c>
      <c r="B3147" t="s">
        <v>246</v>
      </c>
      <c r="C3147" s="26">
        <v>0.59740000000000004</v>
      </c>
      <c r="D3147" s="26">
        <v>0.1036</v>
      </c>
      <c r="E3147" s="26">
        <v>8.2900000000000001E-2</v>
      </c>
      <c r="F3147" s="26">
        <v>7.9399999999999998E-2</v>
      </c>
      <c r="G3147" s="26">
        <v>0.1133</v>
      </c>
      <c r="H3147" s="26">
        <v>2.3300000000000001E-2</v>
      </c>
      <c r="J3147">
        <v>48</v>
      </c>
    </row>
    <row r="3148" spans="1:10" x14ac:dyDescent="0.35">
      <c r="A3148" t="s">
        <v>229</v>
      </c>
      <c r="B3148" t="s">
        <v>244</v>
      </c>
      <c r="C3148" s="26">
        <v>0.72389999999999999</v>
      </c>
      <c r="D3148" s="26">
        <v>8.5800000000000001E-2</v>
      </c>
      <c r="E3148" s="26">
        <v>7.8700000000000006E-2</v>
      </c>
      <c r="F3148" s="26">
        <v>5.4399999999999997E-2</v>
      </c>
      <c r="G3148" s="26">
        <v>4.9500000000000002E-2</v>
      </c>
      <c r="H3148" s="26">
        <v>7.7000000000000002E-3</v>
      </c>
      <c r="J3148">
        <v>309</v>
      </c>
    </row>
    <row r="3149" spans="1:10" x14ac:dyDescent="0.35">
      <c r="A3149" t="s">
        <v>229</v>
      </c>
      <c r="B3149" t="s">
        <v>245</v>
      </c>
      <c r="C3149" s="26">
        <v>0.63049999999999995</v>
      </c>
      <c r="D3149" s="26">
        <v>0.17780000000000001</v>
      </c>
      <c r="E3149" s="26">
        <v>5.7700000000000001E-2</v>
      </c>
      <c r="F3149" s="26">
        <v>6.3299999999999995E-2</v>
      </c>
      <c r="G3149" s="26">
        <v>2.9700000000000001E-2</v>
      </c>
      <c r="H3149" s="26">
        <v>4.1000000000000002E-2</v>
      </c>
      <c r="J3149">
        <v>131</v>
      </c>
    </row>
    <row r="3150" spans="1:10" x14ac:dyDescent="0.35">
      <c r="A3150" s="27" t="s">
        <v>229</v>
      </c>
      <c r="B3150" s="27" t="s">
        <v>246</v>
      </c>
      <c r="C3150" s="28">
        <v>0.68510000000000004</v>
      </c>
      <c r="D3150" s="28">
        <v>7.7899999999999997E-2</v>
      </c>
      <c r="E3150" s="28">
        <v>0.15740000000000001</v>
      </c>
      <c r="F3150" s="28">
        <v>9.1999999999999998E-3</v>
      </c>
      <c r="G3150" s="28">
        <v>7.0400000000000004E-2</v>
      </c>
      <c r="H3150" s="29"/>
      <c r="I3150" s="29"/>
      <c r="J3150" s="29" t="s">
        <v>338</v>
      </c>
    </row>
    <row r="3151" spans="1:10" x14ac:dyDescent="0.35">
      <c r="A3151" t="s">
        <v>230</v>
      </c>
      <c r="B3151" t="s">
        <v>244</v>
      </c>
      <c r="C3151" s="26">
        <v>0.76380000000000003</v>
      </c>
      <c r="D3151" s="26">
        <v>7.5600000000000001E-2</v>
      </c>
      <c r="E3151" s="26">
        <v>5.6800000000000003E-2</v>
      </c>
      <c r="F3151" s="26">
        <v>3.2599999999999997E-2</v>
      </c>
      <c r="G3151" s="26">
        <v>5.8299999999999998E-2</v>
      </c>
      <c r="H3151" s="26">
        <v>1.2800000000000001E-2</v>
      </c>
      <c r="J3151">
        <v>227</v>
      </c>
    </row>
    <row r="3152" spans="1:10" x14ac:dyDescent="0.35">
      <c r="A3152" t="s">
        <v>230</v>
      </c>
      <c r="B3152" t="s">
        <v>245</v>
      </c>
      <c r="C3152" s="26">
        <v>0.70499999999999996</v>
      </c>
      <c r="D3152" s="26">
        <v>4.4999999999999998E-2</v>
      </c>
      <c r="E3152" s="26">
        <v>7.3899999999999993E-2</v>
      </c>
      <c r="F3152" s="26">
        <v>1.6500000000000001E-2</v>
      </c>
      <c r="G3152" s="26">
        <v>7.1599999999999997E-2</v>
      </c>
      <c r="H3152" s="26">
        <v>4.5100000000000001E-2</v>
      </c>
      <c r="I3152" s="26">
        <v>4.2900000000000001E-2</v>
      </c>
      <c r="J3152">
        <v>83</v>
      </c>
    </row>
    <row r="3153" spans="1:10" x14ac:dyDescent="0.35">
      <c r="A3153" s="27" t="s">
        <v>230</v>
      </c>
      <c r="B3153" s="27" t="s">
        <v>246</v>
      </c>
      <c r="C3153" s="28">
        <v>0.55900000000000005</v>
      </c>
      <c r="D3153" s="28">
        <v>0.18990000000000001</v>
      </c>
      <c r="E3153" s="28">
        <v>0.2243</v>
      </c>
      <c r="F3153" s="29"/>
      <c r="G3153" s="28">
        <v>2.6800000000000001E-2</v>
      </c>
      <c r="H3153" s="29"/>
      <c r="I3153" s="29"/>
      <c r="J3153" s="29" t="s">
        <v>349</v>
      </c>
    </row>
    <row r="3154" spans="1:10" x14ac:dyDescent="0.35">
      <c r="A3154" t="s">
        <v>231</v>
      </c>
      <c r="B3154" t="s">
        <v>244</v>
      </c>
      <c r="C3154" s="26">
        <v>0.75409999999999999</v>
      </c>
      <c r="D3154" s="26">
        <v>6.5600000000000006E-2</v>
      </c>
      <c r="E3154" s="26">
        <v>8.2000000000000003E-2</v>
      </c>
      <c r="F3154" s="26">
        <v>4.9200000000000001E-2</v>
      </c>
      <c r="G3154" s="26">
        <v>3.2800000000000003E-2</v>
      </c>
      <c r="H3154" s="26">
        <v>1.6400000000000001E-2</v>
      </c>
      <c r="J3154">
        <v>61</v>
      </c>
    </row>
    <row r="3155" spans="1:10" x14ac:dyDescent="0.35">
      <c r="A3155" s="27" t="s">
        <v>231</v>
      </c>
      <c r="B3155" s="27" t="s">
        <v>245</v>
      </c>
      <c r="C3155" s="28">
        <v>0.85189999999999999</v>
      </c>
      <c r="D3155" s="28">
        <v>7.4099999999999999E-2</v>
      </c>
      <c r="E3155" s="28">
        <v>3.6999999999999998E-2</v>
      </c>
      <c r="F3155" s="29"/>
      <c r="G3155" s="28">
        <v>3.6999999999999998E-2</v>
      </c>
      <c r="H3155" s="29"/>
      <c r="I3155" s="29"/>
      <c r="J3155" s="29" t="s">
        <v>338</v>
      </c>
    </row>
    <row r="3156" spans="1:10" x14ac:dyDescent="0.35">
      <c r="A3156" s="27" t="s">
        <v>231</v>
      </c>
      <c r="B3156" s="27" t="s">
        <v>246</v>
      </c>
      <c r="C3156" s="28">
        <v>0.8</v>
      </c>
      <c r="D3156" s="28">
        <v>0.1</v>
      </c>
      <c r="E3156" s="28">
        <v>0.1</v>
      </c>
      <c r="F3156" s="29"/>
      <c r="G3156" s="29"/>
      <c r="H3156" s="29"/>
      <c r="I3156" s="29"/>
      <c r="J3156" s="29" t="s">
        <v>307</v>
      </c>
    </row>
    <row r="3157" spans="1:10" x14ac:dyDescent="0.35">
      <c r="A3157" t="s">
        <v>232</v>
      </c>
      <c r="B3157" t="s">
        <v>232</v>
      </c>
      <c r="C3157" s="26">
        <v>0.75780000000000003</v>
      </c>
      <c r="D3157" s="26">
        <v>8.3699999999999997E-2</v>
      </c>
      <c r="E3157" s="26">
        <v>6.6600000000000006E-2</v>
      </c>
      <c r="F3157" s="26">
        <v>4.1300000000000003E-2</v>
      </c>
      <c r="G3157" s="26">
        <v>3.5999999999999997E-2</v>
      </c>
      <c r="H3157" s="26">
        <v>1.37E-2</v>
      </c>
      <c r="I3157" s="26">
        <v>8.9999999999999998E-4</v>
      </c>
      <c r="J3157">
        <v>1671</v>
      </c>
    </row>
    <row r="3159" spans="1:10" x14ac:dyDescent="0.35">
      <c r="A3159" s="1" t="s">
        <v>584</v>
      </c>
    </row>
    <row r="3160" spans="1:10" x14ac:dyDescent="0.35">
      <c r="A3160" t="s">
        <v>219</v>
      </c>
      <c r="B3160" t="s">
        <v>305</v>
      </c>
      <c r="C3160" t="s">
        <v>576</v>
      </c>
      <c r="D3160" t="s">
        <v>577</v>
      </c>
      <c r="E3160" t="s">
        <v>578</v>
      </c>
      <c r="F3160" t="s">
        <v>579</v>
      </c>
      <c r="G3160" t="s">
        <v>580</v>
      </c>
      <c r="H3160" t="s">
        <v>281</v>
      </c>
      <c r="I3160" t="s">
        <v>286</v>
      </c>
      <c r="J3160" t="s">
        <v>226</v>
      </c>
    </row>
    <row r="3161" spans="1:10" x14ac:dyDescent="0.35">
      <c r="A3161" s="27" t="s">
        <v>227</v>
      </c>
      <c r="B3161" s="27" t="s">
        <v>360</v>
      </c>
      <c r="C3161" s="28">
        <v>0.58330000000000004</v>
      </c>
      <c r="D3161" s="28">
        <v>8.3299999999999999E-2</v>
      </c>
      <c r="E3161" s="28">
        <v>0.16669999999999999</v>
      </c>
      <c r="F3161" s="28">
        <v>0.125</v>
      </c>
      <c r="G3161" s="29"/>
      <c r="H3161" s="28">
        <v>4.1700000000000001E-2</v>
      </c>
      <c r="I3161" s="29"/>
      <c r="J3161" s="29" t="s">
        <v>310</v>
      </c>
    </row>
    <row r="3162" spans="1:10" x14ac:dyDescent="0.35">
      <c r="A3162" s="27" t="s">
        <v>227</v>
      </c>
      <c r="B3162" s="27" t="s">
        <v>361</v>
      </c>
      <c r="C3162" s="28">
        <v>1</v>
      </c>
      <c r="D3162" s="29"/>
      <c r="E3162" s="29"/>
      <c r="F3162" s="29"/>
      <c r="G3162" s="29"/>
      <c r="H3162" s="29"/>
      <c r="I3162" s="29"/>
      <c r="J3162" s="29" t="s">
        <v>379</v>
      </c>
    </row>
    <row r="3163" spans="1:10" x14ac:dyDescent="0.35">
      <c r="A3163" t="s">
        <v>227</v>
      </c>
      <c r="B3163" t="s">
        <v>362</v>
      </c>
      <c r="C3163" s="26">
        <v>0.84379999999999999</v>
      </c>
      <c r="D3163" s="26">
        <v>6.25E-2</v>
      </c>
      <c r="E3163" s="26">
        <v>3.1199999999999999E-2</v>
      </c>
      <c r="F3163" s="26">
        <v>3.1199999999999999E-2</v>
      </c>
      <c r="H3163" s="26">
        <v>3.1199999999999999E-2</v>
      </c>
      <c r="J3163">
        <v>32</v>
      </c>
    </row>
    <row r="3164" spans="1:10" x14ac:dyDescent="0.35">
      <c r="A3164" s="27" t="s">
        <v>227</v>
      </c>
      <c r="B3164" s="27" t="s">
        <v>363</v>
      </c>
      <c r="C3164" s="28">
        <v>0.80769999999999997</v>
      </c>
      <c r="D3164" s="28">
        <v>0.1154</v>
      </c>
      <c r="E3164" s="29"/>
      <c r="F3164" s="28">
        <v>7.6899999999999996E-2</v>
      </c>
      <c r="G3164" s="29"/>
      <c r="H3164" s="29"/>
      <c r="I3164" s="29"/>
      <c r="J3164" s="29" t="s">
        <v>357</v>
      </c>
    </row>
    <row r="3165" spans="1:10" x14ac:dyDescent="0.35">
      <c r="A3165" t="s">
        <v>228</v>
      </c>
      <c r="B3165" t="s">
        <v>360</v>
      </c>
      <c r="C3165" s="26">
        <v>0.62039999999999995</v>
      </c>
      <c r="D3165" s="26">
        <v>0.1167</v>
      </c>
      <c r="E3165" s="26">
        <v>8.5099999999999995E-2</v>
      </c>
      <c r="F3165" s="26">
        <v>8.8300000000000003E-2</v>
      </c>
      <c r="G3165" s="26">
        <v>8.4000000000000005E-2</v>
      </c>
      <c r="H3165" s="26">
        <v>5.7000000000000002E-3</v>
      </c>
      <c r="J3165">
        <v>200</v>
      </c>
    </row>
    <row r="3166" spans="1:10" x14ac:dyDescent="0.35">
      <c r="A3166" t="s">
        <v>228</v>
      </c>
      <c r="B3166" t="s">
        <v>361</v>
      </c>
      <c r="C3166" s="26">
        <v>0.9113</v>
      </c>
      <c r="D3166" s="26">
        <v>0.03</v>
      </c>
      <c r="E3166" s="26">
        <v>4.7500000000000001E-2</v>
      </c>
      <c r="F3166" s="26">
        <v>6.3E-3</v>
      </c>
      <c r="G3166" s="26">
        <v>5.0000000000000001E-3</v>
      </c>
      <c r="J3166">
        <v>96</v>
      </c>
    </row>
    <row r="3167" spans="1:10" x14ac:dyDescent="0.35">
      <c r="A3167" t="s">
        <v>228</v>
      </c>
      <c r="B3167" t="s">
        <v>363</v>
      </c>
      <c r="C3167" s="26">
        <v>0.74019999999999997</v>
      </c>
      <c r="D3167" s="26">
        <v>0.14169999999999999</v>
      </c>
      <c r="E3167" s="26">
        <v>2.7400000000000001E-2</v>
      </c>
      <c r="F3167" s="26">
        <v>1.6999999999999999E-3</v>
      </c>
      <c r="G3167" s="26">
        <v>8.0799999999999997E-2</v>
      </c>
      <c r="H3167" s="26">
        <v>8.2000000000000007E-3</v>
      </c>
      <c r="J3167">
        <v>130</v>
      </c>
    </row>
    <row r="3168" spans="1:10" x14ac:dyDescent="0.35">
      <c r="A3168" t="s">
        <v>228</v>
      </c>
      <c r="B3168" t="s">
        <v>362</v>
      </c>
      <c r="C3168" s="26">
        <v>0.81610000000000005</v>
      </c>
      <c r="D3168" s="26">
        <v>7.0000000000000007E-2</v>
      </c>
      <c r="E3168" s="26">
        <v>5.62E-2</v>
      </c>
      <c r="F3168" s="26">
        <v>2.8199999999999999E-2</v>
      </c>
      <c r="G3168" s="26">
        <v>2.75E-2</v>
      </c>
      <c r="H3168" s="26">
        <v>2.0999999999999999E-3</v>
      </c>
      <c r="J3168">
        <v>183</v>
      </c>
    </row>
    <row r="3169" spans="1:10" x14ac:dyDescent="0.35">
      <c r="A3169" t="s">
        <v>229</v>
      </c>
      <c r="B3169" t="s">
        <v>363</v>
      </c>
      <c r="C3169" s="26">
        <v>0.60809999999999997</v>
      </c>
      <c r="D3169" s="26">
        <v>0.11020000000000001</v>
      </c>
      <c r="E3169" s="26">
        <v>0.12809999999999999</v>
      </c>
      <c r="F3169" s="26">
        <v>7.2099999999999997E-2</v>
      </c>
      <c r="G3169" s="26">
        <v>7.5800000000000006E-2</v>
      </c>
      <c r="H3169" s="26">
        <v>5.7000000000000002E-3</v>
      </c>
      <c r="J3169">
        <v>100</v>
      </c>
    </row>
    <row r="3170" spans="1:10" x14ac:dyDescent="0.35">
      <c r="A3170" t="s">
        <v>229</v>
      </c>
      <c r="B3170" t="s">
        <v>360</v>
      </c>
      <c r="C3170" s="26">
        <v>0.64549999999999996</v>
      </c>
      <c r="D3170" s="26">
        <v>0.11840000000000001</v>
      </c>
      <c r="E3170" s="26">
        <v>8.2400000000000001E-2</v>
      </c>
      <c r="F3170" s="26">
        <v>0.10199999999999999</v>
      </c>
      <c r="G3170" s="26">
        <v>2.81E-2</v>
      </c>
      <c r="H3170" s="26">
        <v>2.3699999999999999E-2</v>
      </c>
      <c r="J3170">
        <v>111</v>
      </c>
    </row>
    <row r="3171" spans="1:10" x14ac:dyDescent="0.35">
      <c r="A3171" t="s">
        <v>229</v>
      </c>
      <c r="B3171" t="s">
        <v>361</v>
      </c>
      <c r="C3171" s="26">
        <v>0.67959999999999998</v>
      </c>
      <c r="D3171" s="26">
        <v>0.1308</v>
      </c>
      <c r="E3171" s="26">
        <v>6.0699999999999997E-2</v>
      </c>
      <c r="F3171" s="26">
        <v>4.7399999999999998E-2</v>
      </c>
      <c r="G3171" s="26">
        <v>8.1500000000000003E-2</v>
      </c>
      <c r="J3171">
        <v>96</v>
      </c>
    </row>
    <row r="3172" spans="1:10" x14ac:dyDescent="0.35">
      <c r="A3172" t="s">
        <v>229</v>
      </c>
      <c r="B3172" t="s">
        <v>362</v>
      </c>
      <c r="C3172" s="26">
        <v>0.84760000000000002</v>
      </c>
      <c r="D3172" s="26">
        <v>1.8800000000000001E-2</v>
      </c>
      <c r="E3172" s="26">
        <v>8.8200000000000001E-2</v>
      </c>
      <c r="F3172" s="26">
        <v>2.2700000000000001E-2</v>
      </c>
      <c r="H3172" s="26">
        <v>2.2700000000000001E-2</v>
      </c>
      <c r="J3172">
        <v>112</v>
      </c>
    </row>
    <row r="3173" spans="1:10" x14ac:dyDescent="0.35">
      <c r="A3173" t="s">
        <v>230</v>
      </c>
      <c r="B3173" t="s">
        <v>360</v>
      </c>
      <c r="C3173" s="26">
        <v>0.57889999999999997</v>
      </c>
      <c r="D3173" s="26">
        <v>8.7900000000000006E-2</v>
      </c>
      <c r="E3173" s="26">
        <v>3.5499999999999997E-2</v>
      </c>
      <c r="F3173" s="26">
        <v>4.4299999999999999E-2</v>
      </c>
      <c r="G3173" s="26">
        <v>0.13950000000000001</v>
      </c>
      <c r="H3173" s="26">
        <v>7.5999999999999998E-2</v>
      </c>
      <c r="I3173" s="26">
        <v>3.7999999999999999E-2</v>
      </c>
      <c r="J3173">
        <v>86</v>
      </c>
    </row>
    <row r="3174" spans="1:10" x14ac:dyDescent="0.35">
      <c r="A3174" t="s">
        <v>230</v>
      </c>
      <c r="B3174" t="s">
        <v>363</v>
      </c>
      <c r="C3174" s="26">
        <v>0.78639999999999999</v>
      </c>
      <c r="D3174" s="26">
        <v>8.9499999999999996E-2</v>
      </c>
      <c r="E3174" s="26">
        <v>0.1061</v>
      </c>
      <c r="F3174" s="26">
        <v>1.7999999999999999E-2</v>
      </c>
      <c r="J3174">
        <v>79</v>
      </c>
    </row>
    <row r="3175" spans="1:10" x14ac:dyDescent="0.35">
      <c r="A3175" t="s">
        <v>230</v>
      </c>
      <c r="B3175" t="s">
        <v>361</v>
      </c>
      <c r="C3175" s="26">
        <v>0.85329999999999995</v>
      </c>
      <c r="D3175" s="26">
        <v>6.7799999999999999E-2</v>
      </c>
      <c r="E3175" s="26">
        <v>1.95E-2</v>
      </c>
      <c r="G3175" s="26">
        <v>5.9299999999999999E-2</v>
      </c>
      <c r="J3175">
        <v>50</v>
      </c>
    </row>
    <row r="3176" spans="1:10" x14ac:dyDescent="0.35">
      <c r="A3176" t="s">
        <v>230</v>
      </c>
      <c r="B3176" t="s">
        <v>362</v>
      </c>
      <c r="C3176" s="26">
        <v>0.72130000000000005</v>
      </c>
      <c r="D3176" s="26">
        <v>5.9400000000000001E-2</v>
      </c>
      <c r="E3176" s="26">
        <v>0.11310000000000001</v>
      </c>
      <c r="F3176" s="26">
        <v>4.6899999999999997E-2</v>
      </c>
      <c r="G3176" s="26">
        <v>5.74E-2</v>
      </c>
      <c r="H3176" s="26">
        <v>1.9E-3</v>
      </c>
      <c r="J3176">
        <v>91</v>
      </c>
    </row>
    <row r="3177" spans="1:10" x14ac:dyDescent="0.35">
      <c r="A3177" s="27" t="s">
        <v>231</v>
      </c>
      <c r="B3177" s="27" t="s">
        <v>362</v>
      </c>
      <c r="C3177" s="28">
        <v>0.73680000000000001</v>
      </c>
      <c r="D3177" s="28">
        <v>0.1053</v>
      </c>
      <c r="E3177" s="28">
        <v>0.1053</v>
      </c>
      <c r="F3177" s="29"/>
      <c r="G3177" s="28">
        <v>5.2600000000000001E-2</v>
      </c>
      <c r="H3177" s="29"/>
      <c r="I3177" s="29"/>
      <c r="J3177" s="29" t="s">
        <v>349</v>
      </c>
    </row>
    <row r="3178" spans="1:10" x14ac:dyDescent="0.35">
      <c r="A3178" s="27" t="s">
        <v>231</v>
      </c>
      <c r="B3178" s="27" t="s">
        <v>361</v>
      </c>
      <c r="C3178" s="28">
        <v>0.81820000000000004</v>
      </c>
      <c r="D3178" s="28">
        <v>4.5499999999999999E-2</v>
      </c>
      <c r="E3178" s="28">
        <v>9.0899999999999995E-2</v>
      </c>
      <c r="F3178" s="29"/>
      <c r="G3178" s="28">
        <v>4.5499999999999999E-2</v>
      </c>
      <c r="H3178" s="29"/>
      <c r="I3178" s="29"/>
      <c r="J3178" s="29" t="s">
        <v>347</v>
      </c>
    </row>
    <row r="3179" spans="1:10" x14ac:dyDescent="0.35">
      <c r="A3179" t="s">
        <v>231</v>
      </c>
      <c r="B3179" t="s">
        <v>360</v>
      </c>
      <c r="C3179" s="26">
        <v>0.7097</v>
      </c>
      <c r="D3179" s="26">
        <v>0.129</v>
      </c>
      <c r="E3179" s="26">
        <v>6.4500000000000002E-2</v>
      </c>
      <c r="F3179" s="26">
        <v>3.2300000000000002E-2</v>
      </c>
      <c r="G3179" s="26">
        <v>3.2300000000000002E-2</v>
      </c>
      <c r="H3179" s="26">
        <v>3.2300000000000002E-2</v>
      </c>
      <c r="J3179">
        <v>31</v>
      </c>
    </row>
    <row r="3180" spans="1:10" x14ac:dyDescent="0.35">
      <c r="A3180" s="27" t="s">
        <v>231</v>
      </c>
      <c r="B3180" s="27" t="s">
        <v>363</v>
      </c>
      <c r="C3180" s="28">
        <v>0.90480000000000005</v>
      </c>
      <c r="D3180" s="29"/>
      <c r="E3180" s="29"/>
      <c r="F3180" s="28">
        <v>9.5200000000000007E-2</v>
      </c>
      <c r="G3180" s="29"/>
      <c r="H3180" s="29"/>
      <c r="I3180" s="29"/>
      <c r="J3180" s="29" t="s">
        <v>351</v>
      </c>
    </row>
    <row r="3181" spans="1:10" x14ac:dyDescent="0.35">
      <c r="A3181" t="s">
        <v>232</v>
      </c>
      <c r="B3181" t="s">
        <v>232</v>
      </c>
      <c r="C3181" s="26">
        <v>0.75780000000000003</v>
      </c>
      <c r="D3181" s="26">
        <v>8.3699999999999997E-2</v>
      </c>
      <c r="E3181" s="26">
        <v>6.6600000000000006E-2</v>
      </c>
      <c r="F3181" s="26">
        <v>4.1300000000000003E-2</v>
      </c>
      <c r="G3181" s="26">
        <v>3.5999999999999997E-2</v>
      </c>
      <c r="H3181" s="26">
        <v>1.37E-2</v>
      </c>
      <c r="I3181" s="26">
        <v>8.9999999999999998E-4</v>
      </c>
      <c r="J3181">
        <v>1523</v>
      </c>
    </row>
    <row r="3183" spans="1:10" x14ac:dyDescent="0.35">
      <c r="A3183" s="1" t="s">
        <v>585</v>
      </c>
    </row>
    <row r="3184" spans="1:10" x14ac:dyDescent="0.35">
      <c r="A3184" t="s">
        <v>219</v>
      </c>
      <c r="B3184" t="s">
        <v>305</v>
      </c>
      <c r="C3184" t="s">
        <v>576</v>
      </c>
      <c r="D3184" t="s">
        <v>577</v>
      </c>
      <c r="E3184" t="s">
        <v>578</v>
      </c>
      <c r="F3184" t="s">
        <v>579</v>
      </c>
      <c r="G3184" t="s">
        <v>580</v>
      </c>
      <c r="H3184" t="s">
        <v>281</v>
      </c>
      <c r="I3184" t="s">
        <v>286</v>
      </c>
      <c r="J3184" t="s">
        <v>226</v>
      </c>
    </row>
    <row r="3185" spans="1:10" x14ac:dyDescent="0.35">
      <c r="A3185" s="27" t="s">
        <v>227</v>
      </c>
      <c r="B3185" s="27" t="s">
        <v>267</v>
      </c>
      <c r="C3185" s="28">
        <v>0.88890000000000002</v>
      </c>
      <c r="D3185" s="28">
        <v>5.5599999999999997E-2</v>
      </c>
      <c r="E3185" s="29"/>
      <c r="F3185" s="28">
        <v>5.5599999999999997E-2</v>
      </c>
      <c r="G3185" s="29"/>
      <c r="H3185" s="29"/>
      <c r="I3185" s="29"/>
      <c r="J3185" s="29" t="s">
        <v>353</v>
      </c>
    </row>
    <row r="3186" spans="1:10" x14ac:dyDescent="0.35">
      <c r="A3186" t="s">
        <v>227</v>
      </c>
      <c r="B3186" t="s">
        <v>265</v>
      </c>
      <c r="C3186" s="26">
        <v>0.77549999999999997</v>
      </c>
      <c r="D3186" s="26">
        <v>6.1199999999999997E-2</v>
      </c>
      <c r="E3186" s="26">
        <v>6.1199999999999997E-2</v>
      </c>
      <c r="F3186" s="26">
        <v>8.1600000000000006E-2</v>
      </c>
      <c r="H3186" s="26">
        <v>2.0400000000000001E-2</v>
      </c>
      <c r="J3186">
        <v>49</v>
      </c>
    </row>
    <row r="3187" spans="1:10" x14ac:dyDescent="0.35">
      <c r="A3187" t="s">
        <v>227</v>
      </c>
      <c r="B3187" t="s">
        <v>266</v>
      </c>
      <c r="C3187" s="26">
        <v>0.7742</v>
      </c>
      <c r="D3187" s="26">
        <v>9.6799999999999997E-2</v>
      </c>
      <c r="E3187" s="26">
        <v>6.4500000000000002E-2</v>
      </c>
      <c r="F3187" s="26">
        <v>3.2300000000000002E-2</v>
      </c>
      <c r="H3187" s="26">
        <v>3.2300000000000002E-2</v>
      </c>
      <c r="J3187">
        <v>31</v>
      </c>
    </row>
    <row r="3188" spans="1:10" x14ac:dyDescent="0.35">
      <c r="A3188" t="s">
        <v>228</v>
      </c>
      <c r="B3188" t="s">
        <v>265</v>
      </c>
      <c r="C3188" s="26">
        <v>0.8115</v>
      </c>
      <c r="D3188" s="26">
        <v>3.9600000000000003E-2</v>
      </c>
      <c r="E3188" s="26">
        <v>3.5200000000000002E-2</v>
      </c>
      <c r="F3188" s="26">
        <v>2.8400000000000002E-2</v>
      </c>
      <c r="G3188" s="26">
        <v>6.6799999999999998E-2</v>
      </c>
      <c r="H3188" s="26">
        <v>1.8499999999999999E-2</v>
      </c>
      <c r="J3188">
        <v>259</v>
      </c>
    </row>
    <row r="3189" spans="1:10" x14ac:dyDescent="0.35">
      <c r="A3189" t="s">
        <v>228</v>
      </c>
      <c r="B3189" t="s">
        <v>267</v>
      </c>
      <c r="C3189" s="26">
        <v>0.83940000000000003</v>
      </c>
      <c r="D3189" s="26">
        <v>5.4199999999999998E-2</v>
      </c>
      <c r="E3189" s="26">
        <v>6.3600000000000004E-2</v>
      </c>
      <c r="F3189" s="26">
        <v>2.63E-2</v>
      </c>
      <c r="G3189" s="26">
        <v>1.09E-2</v>
      </c>
      <c r="H3189" s="26">
        <v>5.5999999999999999E-3</v>
      </c>
      <c r="J3189">
        <v>113</v>
      </c>
    </row>
    <row r="3190" spans="1:10" x14ac:dyDescent="0.35">
      <c r="A3190" t="s">
        <v>228</v>
      </c>
      <c r="B3190" t="s">
        <v>266</v>
      </c>
      <c r="C3190" s="26">
        <v>0.72219999999999995</v>
      </c>
      <c r="D3190" s="26">
        <v>0.13100000000000001</v>
      </c>
      <c r="E3190" s="26">
        <v>7.1400000000000005E-2</v>
      </c>
      <c r="F3190" s="26">
        <v>3.5099999999999999E-2</v>
      </c>
      <c r="G3190" s="26">
        <v>3.7999999999999999E-2</v>
      </c>
      <c r="H3190" s="26">
        <v>2.3E-3</v>
      </c>
      <c r="J3190">
        <v>305</v>
      </c>
    </row>
    <row r="3191" spans="1:10" x14ac:dyDescent="0.35">
      <c r="A3191" s="27" t="s">
        <v>228</v>
      </c>
      <c r="B3191" s="27" t="s">
        <v>236</v>
      </c>
      <c r="C3191" s="28">
        <v>0.5</v>
      </c>
      <c r="D3191" s="28">
        <v>0.5</v>
      </c>
      <c r="E3191" s="29"/>
      <c r="F3191" s="29"/>
      <c r="G3191" s="29"/>
      <c r="H3191" s="29"/>
      <c r="I3191" s="29"/>
      <c r="J3191" s="29" t="s">
        <v>314</v>
      </c>
    </row>
    <row r="3192" spans="1:10" x14ac:dyDescent="0.35">
      <c r="A3192" t="s">
        <v>229</v>
      </c>
      <c r="B3192" t="s">
        <v>265</v>
      </c>
      <c r="C3192" s="26">
        <v>0.7349</v>
      </c>
      <c r="D3192" s="26">
        <v>8.9599999999999999E-2</v>
      </c>
      <c r="E3192" s="26">
        <v>8.4000000000000005E-2</v>
      </c>
      <c r="F3192" s="26">
        <v>0.06</v>
      </c>
      <c r="G3192" s="26">
        <v>2.0199999999999999E-2</v>
      </c>
      <c r="H3192" s="26">
        <v>1.1299999999999999E-2</v>
      </c>
      <c r="J3192">
        <v>200</v>
      </c>
    </row>
    <row r="3193" spans="1:10" x14ac:dyDescent="0.35">
      <c r="A3193" t="s">
        <v>229</v>
      </c>
      <c r="B3193" t="s">
        <v>266</v>
      </c>
      <c r="C3193" s="26">
        <v>0.70050000000000001</v>
      </c>
      <c r="D3193" s="26">
        <v>8.6099999999999996E-2</v>
      </c>
      <c r="E3193" s="26">
        <v>8.2199999999999995E-2</v>
      </c>
      <c r="F3193" s="26">
        <v>5.7200000000000001E-2</v>
      </c>
      <c r="G3193" s="26">
        <v>4.8300000000000003E-2</v>
      </c>
      <c r="H3193" s="26">
        <v>2.5700000000000001E-2</v>
      </c>
      <c r="J3193">
        <v>176</v>
      </c>
    </row>
    <row r="3194" spans="1:10" x14ac:dyDescent="0.35">
      <c r="A3194" t="s">
        <v>229</v>
      </c>
      <c r="B3194" t="s">
        <v>267</v>
      </c>
      <c r="C3194" s="26">
        <v>0.60670000000000002</v>
      </c>
      <c r="D3194" s="26">
        <v>0.18790000000000001</v>
      </c>
      <c r="E3194" s="26">
        <v>5.8400000000000001E-2</v>
      </c>
      <c r="F3194" s="26">
        <v>2.8400000000000002E-2</v>
      </c>
      <c r="G3194" s="26">
        <v>0.1169</v>
      </c>
      <c r="H3194" s="26">
        <v>1.6999999999999999E-3</v>
      </c>
      <c r="J3194">
        <v>91</v>
      </c>
    </row>
    <row r="3195" spans="1:10" x14ac:dyDescent="0.35">
      <c r="A3195" t="s">
        <v>230</v>
      </c>
      <c r="B3195" t="s">
        <v>265</v>
      </c>
      <c r="C3195" s="26">
        <v>0.75419999999999998</v>
      </c>
      <c r="D3195" s="26">
        <v>0.1087</v>
      </c>
      <c r="E3195" s="26">
        <v>4.2599999999999999E-2</v>
      </c>
      <c r="F3195" s="26">
        <v>4.7199999999999999E-2</v>
      </c>
      <c r="G3195" s="26">
        <v>4.7300000000000002E-2</v>
      </c>
      <c r="J3195">
        <v>137</v>
      </c>
    </row>
    <row r="3196" spans="1:10" x14ac:dyDescent="0.35">
      <c r="A3196" t="s">
        <v>230</v>
      </c>
      <c r="B3196" t="s">
        <v>267</v>
      </c>
      <c r="C3196" s="26">
        <v>0.77910000000000001</v>
      </c>
      <c r="D3196" s="26">
        <v>7.0599999999999996E-2</v>
      </c>
      <c r="E3196" s="26">
        <v>9.2299999999999993E-2</v>
      </c>
      <c r="H3196" s="26">
        <v>5.8000000000000003E-2</v>
      </c>
      <c r="J3196">
        <v>59</v>
      </c>
    </row>
    <row r="3197" spans="1:10" x14ac:dyDescent="0.35">
      <c r="A3197" t="s">
        <v>230</v>
      </c>
      <c r="B3197" t="s">
        <v>266</v>
      </c>
      <c r="C3197" s="26">
        <v>0.69830000000000003</v>
      </c>
      <c r="D3197" s="26">
        <v>2.9899999999999999E-2</v>
      </c>
      <c r="E3197" s="26">
        <v>9.8799999999999999E-2</v>
      </c>
      <c r="F3197" s="26">
        <v>1.1900000000000001E-2</v>
      </c>
      <c r="G3197" s="26">
        <v>0.10630000000000001</v>
      </c>
      <c r="H3197" s="26">
        <v>2.7400000000000001E-2</v>
      </c>
      <c r="I3197" s="26">
        <v>2.7400000000000001E-2</v>
      </c>
      <c r="J3197">
        <v>133</v>
      </c>
    </row>
    <row r="3198" spans="1:10" x14ac:dyDescent="0.35">
      <c r="A3198" t="s">
        <v>231</v>
      </c>
      <c r="B3198" t="s">
        <v>266</v>
      </c>
      <c r="C3198" s="26">
        <v>0.77780000000000005</v>
      </c>
      <c r="D3198" s="26">
        <v>8.3299999999999999E-2</v>
      </c>
      <c r="E3198" s="26">
        <v>2.7799999999999998E-2</v>
      </c>
      <c r="F3198" s="26">
        <v>5.5599999999999997E-2</v>
      </c>
      <c r="G3198" s="26">
        <v>5.5599999999999997E-2</v>
      </c>
      <c r="J3198">
        <v>36</v>
      </c>
    </row>
    <row r="3199" spans="1:10" x14ac:dyDescent="0.35">
      <c r="A3199" t="s">
        <v>231</v>
      </c>
      <c r="B3199" t="s">
        <v>265</v>
      </c>
      <c r="C3199" s="26">
        <v>0.77270000000000005</v>
      </c>
      <c r="D3199" s="26">
        <v>6.8199999999999997E-2</v>
      </c>
      <c r="E3199" s="26">
        <v>0.11360000000000001</v>
      </c>
      <c r="F3199" s="26">
        <v>2.2700000000000001E-2</v>
      </c>
      <c r="H3199" s="26">
        <v>2.2700000000000001E-2</v>
      </c>
      <c r="J3199">
        <v>44</v>
      </c>
    </row>
    <row r="3200" spans="1:10" x14ac:dyDescent="0.35">
      <c r="A3200" s="27" t="s">
        <v>231</v>
      </c>
      <c r="B3200" s="27" t="s">
        <v>267</v>
      </c>
      <c r="C3200" s="28">
        <v>0.83330000000000004</v>
      </c>
      <c r="D3200" s="28">
        <v>5.5599999999999997E-2</v>
      </c>
      <c r="E3200" s="28">
        <v>5.5599999999999997E-2</v>
      </c>
      <c r="F3200" s="29"/>
      <c r="G3200" s="28">
        <v>5.5599999999999997E-2</v>
      </c>
      <c r="H3200" s="29"/>
      <c r="I3200" s="29"/>
      <c r="J3200" s="29" t="s">
        <v>353</v>
      </c>
    </row>
    <row r="3201" spans="1:10" x14ac:dyDescent="0.35">
      <c r="A3201" t="s">
        <v>232</v>
      </c>
      <c r="B3201" t="s">
        <v>232</v>
      </c>
      <c r="C3201" s="26">
        <v>0.75780000000000003</v>
      </c>
      <c r="D3201" s="26">
        <v>8.3699999999999997E-2</v>
      </c>
      <c r="E3201" s="26">
        <v>6.6600000000000006E-2</v>
      </c>
      <c r="F3201" s="26">
        <v>4.1300000000000003E-2</v>
      </c>
      <c r="G3201" s="26">
        <v>3.5999999999999997E-2</v>
      </c>
      <c r="H3201" s="26">
        <v>1.37E-2</v>
      </c>
      <c r="I3201" s="26">
        <v>8.9999999999999998E-4</v>
      </c>
      <c r="J3201">
        <v>1671</v>
      </c>
    </row>
    <row r="3203" spans="1:10" x14ac:dyDescent="0.35">
      <c r="A3203" s="1" t="s">
        <v>586</v>
      </c>
    </row>
    <row r="3204" spans="1:10" x14ac:dyDescent="0.35">
      <c r="A3204" t="s">
        <v>219</v>
      </c>
      <c r="B3204" t="s">
        <v>305</v>
      </c>
      <c r="C3204" t="s">
        <v>576</v>
      </c>
      <c r="D3204" t="s">
        <v>577</v>
      </c>
      <c r="E3204" t="s">
        <v>578</v>
      </c>
      <c r="F3204" t="s">
        <v>579</v>
      </c>
      <c r="G3204" t="s">
        <v>580</v>
      </c>
      <c r="H3204" t="s">
        <v>281</v>
      </c>
      <c r="I3204" t="s">
        <v>286</v>
      </c>
      <c r="J3204" t="s">
        <v>226</v>
      </c>
    </row>
    <row r="3205" spans="1:10" x14ac:dyDescent="0.35">
      <c r="A3205" t="s">
        <v>227</v>
      </c>
      <c r="B3205" t="s">
        <v>252</v>
      </c>
      <c r="C3205" s="26">
        <v>0.89190000000000003</v>
      </c>
      <c r="D3205" s="26">
        <v>5.4100000000000002E-2</v>
      </c>
      <c r="E3205" s="26">
        <v>2.7E-2</v>
      </c>
      <c r="H3205" s="26">
        <v>2.7E-2</v>
      </c>
      <c r="J3205">
        <v>37</v>
      </c>
    </row>
    <row r="3206" spans="1:10" x14ac:dyDescent="0.35">
      <c r="A3206" t="s">
        <v>227</v>
      </c>
      <c r="B3206" t="s">
        <v>253</v>
      </c>
      <c r="C3206" s="26">
        <v>0.76670000000000005</v>
      </c>
      <c r="D3206" s="26">
        <v>6.6699999999999995E-2</v>
      </c>
      <c r="E3206" s="26">
        <v>6.6699999999999995E-2</v>
      </c>
      <c r="F3206" s="26">
        <v>0.1</v>
      </c>
      <c r="J3206">
        <v>30</v>
      </c>
    </row>
    <row r="3207" spans="1:10" x14ac:dyDescent="0.35">
      <c r="A3207" t="s">
        <v>227</v>
      </c>
      <c r="B3207" t="s">
        <v>251</v>
      </c>
      <c r="C3207" s="26">
        <v>0.7097</v>
      </c>
      <c r="D3207" s="26">
        <v>9.6799999999999997E-2</v>
      </c>
      <c r="E3207" s="26">
        <v>6.4500000000000002E-2</v>
      </c>
      <c r="F3207" s="26">
        <v>9.6799999999999997E-2</v>
      </c>
      <c r="H3207" s="26">
        <v>3.2300000000000002E-2</v>
      </c>
      <c r="J3207">
        <v>31</v>
      </c>
    </row>
    <row r="3208" spans="1:10" x14ac:dyDescent="0.35">
      <c r="A3208" t="s">
        <v>228</v>
      </c>
      <c r="B3208" t="s">
        <v>252</v>
      </c>
      <c r="C3208" s="26">
        <v>0.754</v>
      </c>
      <c r="D3208" s="26">
        <v>9.6000000000000002E-2</v>
      </c>
      <c r="E3208" s="26">
        <v>5.1799999999999999E-2</v>
      </c>
      <c r="F3208" s="26">
        <v>3.3000000000000002E-2</v>
      </c>
      <c r="G3208" s="26">
        <v>6.0699999999999997E-2</v>
      </c>
      <c r="H3208" s="26">
        <v>4.4999999999999997E-3</v>
      </c>
      <c r="J3208">
        <v>287</v>
      </c>
    </row>
    <row r="3209" spans="1:10" x14ac:dyDescent="0.35">
      <c r="A3209" t="s">
        <v>228</v>
      </c>
      <c r="B3209" t="s">
        <v>253</v>
      </c>
      <c r="C3209" s="26">
        <v>0.77070000000000005</v>
      </c>
      <c r="D3209" s="26">
        <v>8.0100000000000005E-2</v>
      </c>
      <c r="E3209" s="26">
        <v>8.6300000000000002E-2</v>
      </c>
      <c r="F3209" s="26">
        <v>1.09E-2</v>
      </c>
      <c r="G3209" s="26">
        <v>4.1799999999999997E-2</v>
      </c>
      <c r="H3209" s="26">
        <v>1.0200000000000001E-2</v>
      </c>
      <c r="J3209">
        <v>182</v>
      </c>
    </row>
    <row r="3210" spans="1:10" x14ac:dyDescent="0.35">
      <c r="A3210" t="s">
        <v>228</v>
      </c>
      <c r="B3210" t="s">
        <v>251</v>
      </c>
      <c r="C3210" s="26">
        <v>0.80740000000000001</v>
      </c>
      <c r="D3210" s="26">
        <v>7.2300000000000003E-2</v>
      </c>
      <c r="E3210" s="26">
        <v>3.0800000000000001E-2</v>
      </c>
      <c r="F3210" s="26">
        <v>4.2999999999999997E-2</v>
      </c>
      <c r="G3210" s="26">
        <v>3.0800000000000001E-2</v>
      </c>
      <c r="H3210" s="26">
        <v>1.5699999999999999E-2</v>
      </c>
      <c r="J3210">
        <v>210</v>
      </c>
    </row>
    <row r="3211" spans="1:10" x14ac:dyDescent="0.35">
      <c r="A3211" t="s">
        <v>229</v>
      </c>
      <c r="B3211" t="s">
        <v>252</v>
      </c>
      <c r="C3211" s="26">
        <v>0.74239999999999995</v>
      </c>
      <c r="D3211" s="26">
        <v>9.8000000000000004E-2</v>
      </c>
      <c r="E3211" s="26">
        <v>5.4800000000000001E-2</v>
      </c>
      <c r="F3211" s="26">
        <v>4.2099999999999999E-2</v>
      </c>
      <c r="G3211" s="26">
        <v>1.9599999999999999E-2</v>
      </c>
      <c r="H3211" s="26">
        <v>4.3099999999999999E-2</v>
      </c>
      <c r="J3211">
        <v>161</v>
      </c>
    </row>
    <row r="3212" spans="1:10" x14ac:dyDescent="0.35">
      <c r="A3212" t="s">
        <v>229</v>
      </c>
      <c r="B3212" t="s">
        <v>253</v>
      </c>
      <c r="C3212" s="26">
        <v>0.64049999999999996</v>
      </c>
      <c r="D3212" s="26">
        <v>0.1072</v>
      </c>
      <c r="E3212" s="26">
        <v>0.1072</v>
      </c>
      <c r="F3212" s="26">
        <v>7.1999999999999995E-2</v>
      </c>
      <c r="G3212" s="26">
        <v>6.9099999999999995E-2</v>
      </c>
      <c r="H3212" s="26">
        <v>4.1000000000000003E-3</v>
      </c>
      <c r="J3212">
        <v>121</v>
      </c>
    </row>
    <row r="3213" spans="1:10" x14ac:dyDescent="0.35">
      <c r="A3213" t="s">
        <v>229</v>
      </c>
      <c r="B3213" t="s">
        <v>251</v>
      </c>
      <c r="C3213" s="26">
        <v>0.71189999999999998</v>
      </c>
      <c r="D3213" s="26">
        <v>0.11</v>
      </c>
      <c r="E3213" s="26">
        <v>7.7600000000000002E-2</v>
      </c>
      <c r="F3213" s="26">
        <v>4.9299999999999997E-2</v>
      </c>
      <c r="G3213" s="26">
        <v>5.11E-2</v>
      </c>
      <c r="J3213">
        <v>185</v>
      </c>
    </row>
    <row r="3214" spans="1:10" x14ac:dyDescent="0.35">
      <c r="A3214" t="s">
        <v>230</v>
      </c>
      <c r="B3214" t="s">
        <v>252</v>
      </c>
      <c r="C3214" s="26">
        <v>0.69199999999999995</v>
      </c>
      <c r="D3214" s="26">
        <v>8.48E-2</v>
      </c>
      <c r="E3214" s="26">
        <v>5.96E-2</v>
      </c>
      <c r="F3214" s="26">
        <v>3.7100000000000001E-2</v>
      </c>
      <c r="G3214" s="26">
        <v>7.1499999999999994E-2</v>
      </c>
      <c r="H3214" s="26">
        <v>2.8199999999999999E-2</v>
      </c>
      <c r="I3214" s="26">
        <v>2.6800000000000001E-2</v>
      </c>
      <c r="J3214">
        <v>122</v>
      </c>
    </row>
    <row r="3215" spans="1:10" x14ac:dyDescent="0.35">
      <c r="A3215" t="s">
        <v>230</v>
      </c>
      <c r="B3215" t="s">
        <v>253</v>
      </c>
      <c r="C3215" s="26">
        <v>0.80920000000000003</v>
      </c>
      <c r="D3215" s="26">
        <v>5.7200000000000001E-2</v>
      </c>
      <c r="E3215" s="26">
        <v>6.5699999999999995E-2</v>
      </c>
      <c r="F3215" s="26">
        <v>5.3999999999999999E-2</v>
      </c>
      <c r="G3215" s="26">
        <v>1.3899999999999999E-2</v>
      </c>
      <c r="J3215">
        <v>93</v>
      </c>
    </row>
    <row r="3216" spans="1:10" x14ac:dyDescent="0.35">
      <c r="A3216" t="s">
        <v>230</v>
      </c>
      <c r="B3216" t="s">
        <v>251</v>
      </c>
      <c r="C3216" s="26">
        <v>0.73540000000000005</v>
      </c>
      <c r="D3216" s="26">
        <v>7.9299999999999995E-2</v>
      </c>
      <c r="E3216" s="26">
        <v>8.2100000000000006E-2</v>
      </c>
      <c r="F3216" s="26">
        <v>1.1999999999999999E-3</v>
      </c>
      <c r="G3216" s="26">
        <v>7.85E-2</v>
      </c>
      <c r="H3216" s="26">
        <v>2.35E-2</v>
      </c>
      <c r="J3216">
        <v>114</v>
      </c>
    </row>
    <row r="3217" spans="1:10" x14ac:dyDescent="0.35">
      <c r="A3217" t="s">
        <v>231</v>
      </c>
      <c r="B3217" t="s">
        <v>252</v>
      </c>
      <c r="C3217" s="26">
        <v>0.84209999999999996</v>
      </c>
      <c r="D3217" s="26">
        <v>5.2600000000000001E-2</v>
      </c>
      <c r="E3217" s="26">
        <v>5.2600000000000001E-2</v>
      </c>
      <c r="F3217" s="26">
        <v>2.63E-2</v>
      </c>
      <c r="G3217" s="26">
        <v>2.63E-2</v>
      </c>
      <c r="J3217">
        <v>38</v>
      </c>
    </row>
    <row r="3218" spans="1:10" x14ac:dyDescent="0.35">
      <c r="A3218" s="27" t="s">
        <v>231</v>
      </c>
      <c r="B3218" s="27" t="s">
        <v>253</v>
      </c>
      <c r="C3218" s="28">
        <v>0.79169999999999996</v>
      </c>
      <c r="D3218" s="28">
        <v>8.3299999999999999E-2</v>
      </c>
      <c r="E3218" s="29"/>
      <c r="F3218" s="28">
        <v>8.3299999999999999E-2</v>
      </c>
      <c r="G3218" s="28">
        <v>4.1700000000000001E-2</v>
      </c>
      <c r="H3218" s="29"/>
      <c r="I3218" s="29"/>
      <c r="J3218" s="29" t="s">
        <v>310</v>
      </c>
    </row>
    <row r="3219" spans="1:10" x14ac:dyDescent="0.35">
      <c r="A3219" t="s">
        <v>231</v>
      </c>
      <c r="B3219" t="s">
        <v>251</v>
      </c>
      <c r="C3219" s="26">
        <v>0.72219999999999995</v>
      </c>
      <c r="D3219" s="26">
        <v>8.3299999999999999E-2</v>
      </c>
      <c r="E3219" s="26">
        <v>0.1389</v>
      </c>
      <c r="G3219" s="26">
        <v>2.7799999999999998E-2</v>
      </c>
      <c r="H3219" s="26">
        <v>2.7799999999999998E-2</v>
      </c>
      <c r="J3219">
        <v>36</v>
      </c>
    </row>
    <row r="3220" spans="1:10" x14ac:dyDescent="0.35">
      <c r="A3220" t="s">
        <v>232</v>
      </c>
      <c r="B3220" t="s">
        <v>232</v>
      </c>
      <c r="C3220" s="26">
        <v>0.75780000000000003</v>
      </c>
      <c r="D3220" s="26">
        <v>8.3699999999999997E-2</v>
      </c>
      <c r="E3220" s="26">
        <v>6.6600000000000006E-2</v>
      </c>
      <c r="F3220" s="26">
        <v>4.1300000000000003E-2</v>
      </c>
      <c r="G3220" s="26">
        <v>3.5999999999999997E-2</v>
      </c>
      <c r="H3220" s="26">
        <v>1.37E-2</v>
      </c>
      <c r="I3220" s="26">
        <v>8.9999999999999998E-4</v>
      </c>
      <c r="J3220">
        <v>1671</v>
      </c>
    </row>
    <row r="3222" spans="1:10" x14ac:dyDescent="0.35">
      <c r="A3222" s="1" t="s">
        <v>587</v>
      </c>
    </row>
    <row r="3223" spans="1:10" x14ac:dyDescent="0.35">
      <c r="A3223" t="s">
        <v>219</v>
      </c>
      <c r="B3223" t="s">
        <v>305</v>
      </c>
      <c r="C3223" t="s">
        <v>576</v>
      </c>
      <c r="D3223" t="s">
        <v>577</v>
      </c>
      <c r="E3223" t="s">
        <v>578</v>
      </c>
      <c r="F3223" t="s">
        <v>579</v>
      </c>
      <c r="G3223" t="s">
        <v>580</v>
      </c>
      <c r="H3223" t="s">
        <v>281</v>
      </c>
      <c r="I3223" t="s">
        <v>286</v>
      </c>
      <c r="J3223" t="s">
        <v>226</v>
      </c>
    </row>
    <row r="3224" spans="1:10" x14ac:dyDescent="0.35">
      <c r="A3224" s="27" t="s">
        <v>227</v>
      </c>
      <c r="B3224" s="27" t="s">
        <v>249</v>
      </c>
      <c r="C3224" s="28">
        <v>0.77270000000000005</v>
      </c>
      <c r="D3224" s="28">
        <v>4.5499999999999999E-2</v>
      </c>
      <c r="E3224" s="28">
        <v>4.5499999999999999E-2</v>
      </c>
      <c r="F3224" s="28">
        <v>0.13639999999999999</v>
      </c>
      <c r="G3224" s="29"/>
      <c r="H3224" s="29"/>
      <c r="I3224" s="29"/>
      <c r="J3224" s="29" t="s">
        <v>347</v>
      </c>
    </row>
    <row r="3225" spans="1:10" x14ac:dyDescent="0.35">
      <c r="A3225" t="s">
        <v>227</v>
      </c>
      <c r="B3225" t="s">
        <v>248</v>
      </c>
      <c r="C3225" s="26">
        <v>0.80259999999999998</v>
      </c>
      <c r="D3225" s="26">
        <v>7.8899999999999998E-2</v>
      </c>
      <c r="E3225" s="26">
        <v>5.2600000000000001E-2</v>
      </c>
      <c r="F3225" s="26">
        <v>3.95E-2</v>
      </c>
      <c r="H3225" s="26">
        <v>2.63E-2</v>
      </c>
      <c r="J3225">
        <v>76</v>
      </c>
    </row>
    <row r="3226" spans="1:10" x14ac:dyDescent="0.35">
      <c r="A3226" t="s">
        <v>228</v>
      </c>
      <c r="B3226" t="s">
        <v>249</v>
      </c>
      <c r="C3226" s="26">
        <v>0.78720000000000001</v>
      </c>
      <c r="D3226" s="26">
        <v>7.7100000000000002E-2</v>
      </c>
      <c r="E3226" s="26">
        <v>4.87E-2</v>
      </c>
      <c r="F3226" s="26">
        <v>3.4200000000000001E-2</v>
      </c>
      <c r="G3226" s="26">
        <v>4.1200000000000001E-2</v>
      </c>
      <c r="H3226" s="26">
        <v>1.1599999999999999E-2</v>
      </c>
      <c r="J3226">
        <v>132</v>
      </c>
    </row>
    <row r="3227" spans="1:10" x14ac:dyDescent="0.35">
      <c r="A3227" t="s">
        <v>228</v>
      </c>
      <c r="B3227" t="s">
        <v>248</v>
      </c>
      <c r="C3227" s="26">
        <v>0.77280000000000004</v>
      </c>
      <c r="D3227" s="26">
        <v>8.5900000000000004E-2</v>
      </c>
      <c r="E3227" s="26">
        <v>5.5599999999999997E-2</v>
      </c>
      <c r="F3227" s="26">
        <v>2.9399999999999999E-2</v>
      </c>
      <c r="G3227" s="26">
        <v>4.7100000000000003E-2</v>
      </c>
      <c r="H3227" s="26">
        <v>9.1000000000000004E-3</v>
      </c>
      <c r="J3227">
        <v>547</v>
      </c>
    </row>
    <row r="3228" spans="1:10" x14ac:dyDescent="0.35">
      <c r="A3228" t="s">
        <v>229</v>
      </c>
      <c r="B3228" t="s">
        <v>249</v>
      </c>
      <c r="C3228" s="26">
        <v>0.69269999999999998</v>
      </c>
      <c r="D3228" s="26">
        <v>9.6500000000000002E-2</v>
      </c>
      <c r="E3228" s="26">
        <v>0.12909999999999999</v>
      </c>
      <c r="F3228" s="26">
        <v>1.9400000000000001E-2</v>
      </c>
      <c r="G3228" s="26">
        <v>6.2300000000000001E-2</v>
      </c>
      <c r="J3228">
        <v>112</v>
      </c>
    </row>
    <row r="3229" spans="1:10" x14ac:dyDescent="0.35">
      <c r="A3229" t="s">
        <v>229</v>
      </c>
      <c r="B3229" t="s">
        <v>248</v>
      </c>
      <c r="C3229" s="26">
        <v>0.70409999999999995</v>
      </c>
      <c r="D3229" s="26">
        <v>0.10879999999999999</v>
      </c>
      <c r="E3229" s="26">
        <v>6.0499999999999998E-2</v>
      </c>
      <c r="F3229" s="26">
        <v>6.6100000000000006E-2</v>
      </c>
      <c r="G3229" s="26">
        <v>4.0599999999999997E-2</v>
      </c>
      <c r="H3229" s="26">
        <v>1.9800000000000002E-2</v>
      </c>
      <c r="J3229">
        <v>355</v>
      </c>
    </row>
    <row r="3230" spans="1:10" x14ac:dyDescent="0.35">
      <c r="A3230" t="s">
        <v>230</v>
      </c>
      <c r="B3230" t="s">
        <v>249</v>
      </c>
      <c r="C3230" s="26">
        <v>0.71460000000000001</v>
      </c>
      <c r="D3230" s="26">
        <v>7.8600000000000003E-2</v>
      </c>
      <c r="E3230" s="26">
        <v>0.1229</v>
      </c>
      <c r="F3230" s="26">
        <v>9.9000000000000008E-3</v>
      </c>
      <c r="G3230" s="26">
        <v>4.4499999999999998E-2</v>
      </c>
      <c r="H3230" s="26">
        <v>2.9600000000000001E-2</v>
      </c>
      <c r="J3230">
        <v>86</v>
      </c>
    </row>
    <row r="3231" spans="1:10" x14ac:dyDescent="0.35">
      <c r="A3231" t="s">
        <v>230</v>
      </c>
      <c r="B3231" t="s">
        <v>248</v>
      </c>
      <c r="C3231" s="26">
        <v>0.75070000000000003</v>
      </c>
      <c r="D3231" s="26">
        <v>7.4099999999999999E-2</v>
      </c>
      <c r="E3231" s="26">
        <v>4.5900000000000003E-2</v>
      </c>
      <c r="F3231" s="26">
        <v>3.5200000000000002E-2</v>
      </c>
      <c r="G3231" s="26">
        <v>6.6199999999999995E-2</v>
      </c>
      <c r="H3231" s="26">
        <v>1.4200000000000001E-2</v>
      </c>
      <c r="I3231" s="26">
        <v>1.3599999999999999E-2</v>
      </c>
      <c r="J3231">
        <v>243</v>
      </c>
    </row>
    <row r="3232" spans="1:10" x14ac:dyDescent="0.35">
      <c r="A3232" s="27" t="s">
        <v>231</v>
      </c>
      <c r="B3232" s="27" t="s">
        <v>249</v>
      </c>
      <c r="C3232" s="28">
        <v>0.76190000000000002</v>
      </c>
      <c r="D3232" s="28">
        <v>9.5200000000000007E-2</v>
      </c>
      <c r="E3232" s="28">
        <v>9.5200000000000007E-2</v>
      </c>
      <c r="F3232" s="29"/>
      <c r="G3232" s="29"/>
      <c r="H3232" s="28">
        <v>4.7600000000000003E-2</v>
      </c>
      <c r="I3232" s="29"/>
      <c r="J3232" s="29" t="s">
        <v>351</v>
      </c>
    </row>
    <row r="3233" spans="1:10" x14ac:dyDescent="0.35">
      <c r="A3233" t="s">
        <v>231</v>
      </c>
      <c r="B3233" t="s">
        <v>248</v>
      </c>
      <c r="C3233" s="26">
        <v>0.79220000000000002</v>
      </c>
      <c r="D3233" s="26">
        <v>6.4899999999999999E-2</v>
      </c>
      <c r="E3233" s="26">
        <v>6.4899999999999999E-2</v>
      </c>
      <c r="F3233" s="26">
        <v>3.9E-2</v>
      </c>
      <c r="G3233" s="26">
        <v>3.9E-2</v>
      </c>
      <c r="J3233">
        <v>77</v>
      </c>
    </row>
    <row r="3234" spans="1:10" x14ac:dyDescent="0.35">
      <c r="A3234" t="s">
        <v>232</v>
      </c>
      <c r="B3234" t="s">
        <v>232</v>
      </c>
      <c r="C3234" s="26">
        <v>0.75780000000000003</v>
      </c>
      <c r="D3234" s="26">
        <v>8.3699999999999997E-2</v>
      </c>
      <c r="E3234" s="26">
        <v>6.6600000000000006E-2</v>
      </c>
      <c r="F3234" s="26">
        <v>4.1300000000000003E-2</v>
      </c>
      <c r="G3234" s="26">
        <v>3.5999999999999997E-2</v>
      </c>
      <c r="H3234" s="26">
        <v>1.37E-2</v>
      </c>
      <c r="I3234" s="26">
        <v>8.9999999999999998E-4</v>
      </c>
      <c r="J3234">
        <v>1671</v>
      </c>
    </row>
    <row r="3236" spans="1:10" x14ac:dyDescent="0.35">
      <c r="A3236" s="1" t="s">
        <v>588</v>
      </c>
    </row>
    <row r="3237" spans="1:10" x14ac:dyDescent="0.35">
      <c r="A3237" t="s">
        <v>219</v>
      </c>
      <c r="B3237" t="s">
        <v>305</v>
      </c>
      <c r="C3237" t="s">
        <v>576</v>
      </c>
      <c r="D3237" t="s">
        <v>577</v>
      </c>
      <c r="E3237" t="s">
        <v>578</v>
      </c>
      <c r="F3237" t="s">
        <v>579</v>
      </c>
      <c r="G3237" t="s">
        <v>580</v>
      </c>
      <c r="H3237" t="s">
        <v>281</v>
      </c>
      <c r="I3237" t="s">
        <v>286</v>
      </c>
      <c r="J3237" t="s">
        <v>226</v>
      </c>
    </row>
    <row r="3238" spans="1:10" x14ac:dyDescent="0.35">
      <c r="A3238" s="27" t="s">
        <v>227</v>
      </c>
      <c r="B3238" s="27" t="s">
        <v>263</v>
      </c>
      <c r="C3238" s="28">
        <v>1</v>
      </c>
      <c r="D3238" s="29"/>
      <c r="E3238" s="29"/>
      <c r="F3238" s="29"/>
      <c r="G3238" s="29"/>
      <c r="H3238" s="29"/>
      <c r="I3238" s="29"/>
      <c r="J3238" s="29" t="s">
        <v>331</v>
      </c>
    </row>
    <row r="3239" spans="1:10" x14ac:dyDescent="0.35">
      <c r="A3239" t="s">
        <v>227</v>
      </c>
      <c r="B3239" t="s">
        <v>260</v>
      </c>
      <c r="C3239" s="26">
        <v>0.78569999999999995</v>
      </c>
      <c r="D3239" s="26">
        <v>7.1400000000000005E-2</v>
      </c>
      <c r="E3239" s="26">
        <v>4.2900000000000001E-2</v>
      </c>
      <c r="F3239" s="26">
        <v>7.1400000000000005E-2</v>
      </c>
      <c r="H3239" s="26">
        <v>2.86E-2</v>
      </c>
      <c r="J3239">
        <v>70</v>
      </c>
    </row>
    <row r="3240" spans="1:10" x14ac:dyDescent="0.35">
      <c r="A3240" s="27" t="s">
        <v>227</v>
      </c>
      <c r="B3240" s="27" t="s">
        <v>261</v>
      </c>
      <c r="C3240" s="28">
        <v>0.80769999999999997</v>
      </c>
      <c r="D3240" s="28">
        <v>7.6899999999999996E-2</v>
      </c>
      <c r="E3240" s="28">
        <v>7.6899999999999996E-2</v>
      </c>
      <c r="F3240" s="28">
        <v>3.85E-2</v>
      </c>
      <c r="G3240" s="29"/>
      <c r="H3240" s="29"/>
      <c r="I3240" s="29"/>
      <c r="J3240" s="29" t="s">
        <v>357</v>
      </c>
    </row>
    <row r="3241" spans="1:10" x14ac:dyDescent="0.35">
      <c r="A3241" s="27" t="s">
        <v>227</v>
      </c>
      <c r="B3241" s="27" t="s">
        <v>262</v>
      </c>
      <c r="C3241" s="28">
        <v>1</v>
      </c>
      <c r="D3241" s="29"/>
      <c r="E3241" s="29"/>
      <c r="F3241" s="29"/>
      <c r="G3241" s="29"/>
      <c r="H3241" s="29"/>
      <c r="I3241" s="29"/>
      <c r="J3241" s="29" t="s">
        <v>331</v>
      </c>
    </row>
    <row r="3242" spans="1:10" x14ac:dyDescent="0.35">
      <c r="A3242" s="27" t="s">
        <v>228</v>
      </c>
      <c r="B3242" s="27" t="s">
        <v>263</v>
      </c>
      <c r="C3242" s="28">
        <v>0.89959999999999996</v>
      </c>
      <c r="D3242" s="28">
        <v>6.54E-2</v>
      </c>
      <c r="E3242" s="28">
        <v>3.5000000000000003E-2</v>
      </c>
      <c r="F3242" s="29"/>
      <c r="G3242" s="29"/>
      <c r="H3242" s="29"/>
      <c r="I3242" s="29"/>
      <c r="J3242" s="29" t="s">
        <v>349</v>
      </c>
    </row>
    <row r="3243" spans="1:10" x14ac:dyDescent="0.35">
      <c r="A3243" s="27" t="s">
        <v>228</v>
      </c>
      <c r="B3243" s="27" t="s">
        <v>236</v>
      </c>
      <c r="C3243" s="28">
        <v>0.57040000000000002</v>
      </c>
      <c r="D3243" s="29"/>
      <c r="E3243" s="28">
        <v>0.28689999999999999</v>
      </c>
      <c r="F3243" s="29"/>
      <c r="G3243" s="28">
        <v>0.14269999999999999</v>
      </c>
      <c r="H3243" s="29"/>
      <c r="I3243" s="29"/>
      <c r="J3243" s="29" t="s">
        <v>332</v>
      </c>
    </row>
    <row r="3244" spans="1:10" x14ac:dyDescent="0.35">
      <c r="A3244" t="s">
        <v>228</v>
      </c>
      <c r="B3244" t="s">
        <v>261</v>
      </c>
      <c r="C3244" s="26">
        <v>0.67030000000000001</v>
      </c>
      <c r="D3244" s="26">
        <v>0.1056</v>
      </c>
      <c r="E3244" s="26">
        <v>8.7499999999999994E-2</v>
      </c>
      <c r="F3244" s="26">
        <v>2.1399999999999999E-2</v>
      </c>
      <c r="G3244" s="26">
        <v>0.1111</v>
      </c>
      <c r="H3244" s="26">
        <v>4.0000000000000001E-3</v>
      </c>
      <c r="J3244">
        <v>132</v>
      </c>
    </row>
    <row r="3245" spans="1:10" x14ac:dyDescent="0.35">
      <c r="A3245" t="s">
        <v>228</v>
      </c>
      <c r="B3245" t="s">
        <v>262</v>
      </c>
      <c r="C3245" s="26">
        <v>0.85899999999999999</v>
      </c>
      <c r="D3245" s="26">
        <v>6.25E-2</v>
      </c>
      <c r="E3245" s="26">
        <v>1.61E-2</v>
      </c>
      <c r="F3245" s="26">
        <v>2.5100000000000001E-2</v>
      </c>
      <c r="G3245" s="26">
        <v>1.84E-2</v>
      </c>
      <c r="H3245" s="26">
        <v>1.9E-2</v>
      </c>
      <c r="J3245">
        <v>132</v>
      </c>
    </row>
    <row r="3246" spans="1:10" x14ac:dyDescent="0.35">
      <c r="A3246" t="s">
        <v>228</v>
      </c>
      <c r="B3246" t="s">
        <v>260</v>
      </c>
      <c r="C3246" s="26">
        <v>0.78900000000000003</v>
      </c>
      <c r="D3246" s="26">
        <v>8.3099999999999993E-2</v>
      </c>
      <c r="E3246" s="26">
        <v>5.0999999999999997E-2</v>
      </c>
      <c r="F3246" s="26">
        <v>3.6600000000000001E-2</v>
      </c>
      <c r="G3246" s="26">
        <v>3.0499999999999999E-2</v>
      </c>
      <c r="H3246" s="26">
        <v>9.7000000000000003E-3</v>
      </c>
      <c r="J3246">
        <v>391</v>
      </c>
    </row>
    <row r="3247" spans="1:10" x14ac:dyDescent="0.35">
      <c r="A3247" s="27" t="s">
        <v>229</v>
      </c>
      <c r="B3247" s="27" t="s">
        <v>263</v>
      </c>
      <c r="C3247" s="28">
        <v>0.91739999999999999</v>
      </c>
      <c r="D3247" s="28">
        <v>8.2600000000000007E-2</v>
      </c>
      <c r="E3247" s="29"/>
      <c r="F3247" s="29"/>
      <c r="G3247" s="29"/>
      <c r="H3247" s="29"/>
      <c r="I3247" s="29"/>
      <c r="J3247" s="29" t="s">
        <v>339</v>
      </c>
    </row>
    <row r="3248" spans="1:10" x14ac:dyDescent="0.35">
      <c r="A3248" t="s">
        <v>229</v>
      </c>
      <c r="B3248" t="s">
        <v>262</v>
      </c>
      <c r="C3248" s="26">
        <v>0.6794</v>
      </c>
      <c r="D3248" s="26">
        <v>0.14299999999999999</v>
      </c>
      <c r="E3248" s="26">
        <v>5.4800000000000001E-2</v>
      </c>
      <c r="F3248" s="26">
        <v>5.1799999999999999E-2</v>
      </c>
      <c r="G3248" s="26">
        <v>7.0999999999999994E-2</v>
      </c>
      <c r="J3248">
        <v>101</v>
      </c>
    </row>
    <row r="3249" spans="1:10" x14ac:dyDescent="0.35">
      <c r="A3249" t="s">
        <v>229</v>
      </c>
      <c r="B3249" t="s">
        <v>260</v>
      </c>
      <c r="C3249" s="26">
        <v>0.74490000000000001</v>
      </c>
      <c r="D3249" s="26">
        <v>8.1799999999999998E-2</v>
      </c>
      <c r="E3249" s="26">
        <v>7.4899999999999994E-2</v>
      </c>
      <c r="F3249" s="26">
        <v>3.0800000000000001E-2</v>
      </c>
      <c r="G3249" s="26">
        <v>0.04</v>
      </c>
      <c r="H3249" s="26">
        <v>2.76E-2</v>
      </c>
      <c r="J3249">
        <v>300</v>
      </c>
    </row>
    <row r="3250" spans="1:10" x14ac:dyDescent="0.35">
      <c r="A3250" t="s">
        <v>229</v>
      </c>
      <c r="B3250" t="s">
        <v>261</v>
      </c>
      <c r="C3250" s="26">
        <v>0.58740000000000003</v>
      </c>
      <c r="D3250" s="26">
        <v>0.1172</v>
      </c>
      <c r="E3250" s="26">
        <v>0.13689999999999999</v>
      </c>
      <c r="F3250" s="26">
        <v>0.1288</v>
      </c>
      <c r="G3250" s="26">
        <v>2.9700000000000001E-2</v>
      </c>
      <c r="J3250">
        <v>59</v>
      </c>
    </row>
    <row r="3251" spans="1:10" x14ac:dyDescent="0.35">
      <c r="A3251" t="s">
        <v>230</v>
      </c>
      <c r="B3251" t="s">
        <v>262</v>
      </c>
      <c r="C3251" s="26">
        <v>0.74119999999999997</v>
      </c>
      <c r="D3251" s="26">
        <v>0.12970000000000001</v>
      </c>
      <c r="E3251" s="26">
        <v>6.0199999999999997E-2</v>
      </c>
      <c r="F3251" s="26">
        <v>4.0300000000000002E-2</v>
      </c>
      <c r="G3251" s="26">
        <v>2.4799999999999999E-2</v>
      </c>
      <c r="H3251" s="26">
        <v>3.7000000000000002E-3</v>
      </c>
      <c r="J3251">
        <v>70</v>
      </c>
    </row>
    <row r="3252" spans="1:10" x14ac:dyDescent="0.35">
      <c r="A3252" t="s">
        <v>230</v>
      </c>
      <c r="B3252" t="s">
        <v>261</v>
      </c>
      <c r="C3252" s="26">
        <v>0.66279999999999994</v>
      </c>
      <c r="D3252" s="26">
        <v>0.12529999999999999</v>
      </c>
      <c r="E3252" s="26">
        <v>2.9000000000000001E-2</v>
      </c>
      <c r="G3252" s="26">
        <v>0.12509999999999999</v>
      </c>
      <c r="H3252" s="26">
        <v>5.7799999999999997E-2</v>
      </c>
      <c r="J3252">
        <v>38</v>
      </c>
    </row>
    <row r="3253" spans="1:10" x14ac:dyDescent="0.35">
      <c r="A3253" t="s">
        <v>230</v>
      </c>
      <c r="B3253" t="s">
        <v>260</v>
      </c>
      <c r="C3253" s="26">
        <v>0.78169999999999995</v>
      </c>
      <c r="D3253" s="26">
        <v>5.2200000000000003E-2</v>
      </c>
      <c r="E3253" s="26">
        <v>6.7000000000000004E-2</v>
      </c>
      <c r="F3253" s="26">
        <v>3.2000000000000001E-2</v>
      </c>
      <c r="G3253" s="26">
        <v>5.33E-2</v>
      </c>
      <c r="H3253" s="26">
        <v>1.37E-2</v>
      </c>
      <c r="J3253">
        <v>200</v>
      </c>
    </row>
    <row r="3254" spans="1:10" x14ac:dyDescent="0.35">
      <c r="A3254" s="27" t="s">
        <v>230</v>
      </c>
      <c r="B3254" s="27" t="s">
        <v>236</v>
      </c>
      <c r="C3254" s="28">
        <v>0.1799</v>
      </c>
      <c r="D3254" s="29"/>
      <c r="E3254" s="29"/>
      <c r="F3254" s="29"/>
      <c r="G3254" s="29"/>
      <c r="H3254" s="29"/>
      <c r="I3254" s="28">
        <v>0.82010000000000005</v>
      </c>
      <c r="J3254" s="29" t="s">
        <v>315</v>
      </c>
    </row>
    <row r="3255" spans="1:10" x14ac:dyDescent="0.35">
      <c r="A3255" s="27" t="s">
        <v>230</v>
      </c>
      <c r="B3255" s="27" t="s">
        <v>263</v>
      </c>
      <c r="C3255" s="28">
        <v>0.30769999999999997</v>
      </c>
      <c r="D3255" s="28">
        <v>0.15040000000000001</v>
      </c>
      <c r="E3255" s="28">
        <v>0.52210000000000001</v>
      </c>
      <c r="F3255" s="28">
        <v>1.9900000000000001E-2</v>
      </c>
      <c r="G3255" s="29"/>
      <c r="H3255" s="29"/>
      <c r="I3255" s="29"/>
      <c r="J3255" s="29" t="s">
        <v>353</v>
      </c>
    </row>
    <row r="3256" spans="1:10" x14ac:dyDescent="0.35">
      <c r="A3256" t="s">
        <v>231</v>
      </c>
      <c r="B3256" t="s">
        <v>260</v>
      </c>
      <c r="C3256" s="26">
        <v>0.76</v>
      </c>
      <c r="D3256" s="26">
        <v>0.08</v>
      </c>
      <c r="E3256" s="26">
        <v>6.6699999999999995E-2</v>
      </c>
      <c r="F3256" s="26">
        <v>0.04</v>
      </c>
      <c r="G3256" s="26">
        <v>0.04</v>
      </c>
      <c r="H3256" s="26">
        <v>1.3299999999999999E-2</v>
      </c>
      <c r="J3256">
        <v>75</v>
      </c>
    </row>
    <row r="3257" spans="1:10" x14ac:dyDescent="0.35">
      <c r="A3257" s="27" t="s">
        <v>231</v>
      </c>
      <c r="B3257" s="27" t="s">
        <v>261</v>
      </c>
      <c r="C3257" s="28">
        <v>0.875</v>
      </c>
      <c r="D3257" s="29"/>
      <c r="E3257" s="28">
        <v>0.125</v>
      </c>
      <c r="F3257" s="29"/>
      <c r="G3257" s="29"/>
      <c r="H3257" s="29"/>
      <c r="I3257" s="29"/>
      <c r="J3257" s="29" t="s">
        <v>348</v>
      </c>
    </row>
    <row r="3258" spans="1:10" x14ac:dyDescent="0.35">
      <c r="A3258" s="27" t="s">
        <v>231</v>
      </c>
      <c r="B3258" s="27" t="s">
        <v>263</v>
      </c>
      <c r="C3258" s="28">
        <v>1</v>
      </c>
      <c r="D3258" s="29"/>
      <c r="E3258" s="29"/>
      <c r="F3258" s="29"/>
      <c r="G3258" s="29"/>
      <c r="H3258" s="29"/>
      <c r="I3258" s="29"/>
      <c r="J3258" s="29" t="s">
        <v>331</v>
      </c>
    </row>
    <row r="3259" spans="1:10" x14ac:dyDescent="0.35">
      <c r="A3259" s="27" t="s">
        <v>231</v>
      </c>
      <c r="B3259" s="27" t="s">
        <v>262</v>
      </c>
      <c r="C3259" s="28">
        <v>0.83330000000000004</v>
      </c>
      <c r="D3259" s="28">
        <v>0.16669999999999999</v>
      </c>
      <c r="E3259" s="29"/>
      <c r="F3259" s="29"/>
      <c r="G3259" s="29"/>
      <c r="H3259" s="29"/>
      <c r="I3259" s="29"/>
      <c r="J3259" s="29" t="s">
        <v>335</v>
      </c>
    </row>
    <row r="3260" spans="1:10" x14ac:dyDescent="0.35">
      <c r="A3260" t="s">
        <v>232</v>
      </c>
      <c r="B3260" t="s">
        <v>232</v>
      </c>
      <c r="C3260" s="26">
        <v>0.75780000000000003</v>
      </c>
      <c r="D3260" s="26">
        <v>8.3699999999999997E-2</v>
      </c>
      <c r="E3260" s="26">
        <v>6.6600000000000006E-2</v>
      </c>
      <c r="F3260" s="26">
        <v>4.1300000000000003E-2</v>
      </c>
      <c r="G3260" s="26">
        <v>3.5999999999999997E-2</v>
      </c>
      <c r="H3260" s="26">
        <v>1.37E-2</v>
      </c>
      <c r="I3260" s="26">
        <v>8.9999999999999998E-4</v>
      </c>
      <c r="J3260">
        <v>1671</v>
      </c>
    </row>
    <row r="3262" spans="1:10" x14ac:dyDescent="0.35">
      <c r="A3262" s="1" t="s">
        <v>589</v>
      </c>
    </row>
    <row r="3263" spans="1:10" x14ac:dyDescent="0.35">
      <c r="A3263" t="s">
        <v>219</v>
      </c>
      <c r="B3263" t="s">
        <v>305</v>
      </c>
      <c r="C3263" t="s">
        <v>576</v>
      </c>
      <c r="D3263" t="s">
        <v>577</v>
      </c>
      <c r="E3263" t="s">
        <v>578</v>
      </c>
      <c r="F3263" t="s">
        <v>579</v>
      </c>
      <c r="G3263" t="s">
        <v>580</v>
      </c>
      <c r="H3263" t="s">
        <v>281</v>
      </c>
      <c r="I3263" t="s">
        <v>286</v>
      </c>
      <c r="J3263" t="s">
        <v>226</v>
      </c>
    </row>
    <row r="3264" spans="1:10" x14ac:dyDescent="0.35">
      <c r="A3264" s="27" t="s">
        <v>227</v>
      </c>
      <c r="B3264" s="27" t="s">
        <v>368</v>
      </c>
      <c r="C3264" s="28">
        <v>0.80769999999999997</v>
      </c>
      <c r="D3264" s="28">
        <v>7.6899999999999996E-2</v>
      </c>
      <c r="E3264" s="28">
        <v>7.6899999999999996E-2</v>
      </c>
      <c r="F3264" s="28">
        <v>3.85E-2</v>
      </c>
      <c r="G3264" s="29"/>
      <c r="H3264" s="29"/>
      <c r="I3264" s="29"/>
      <c r="J3264" s="29" t="s">
        <v>357</v>
      </c>
    </row>
    <row r="3265" spans="1:10" x14ac:dyDescent="0.35">
      <c r="A3265" t="s">
        <v>227</v>
      </c>
      <c r="B3265" t="s">
        <v>369</v>
      </c>
      <c r="C3265" s="26">
        <v>0.79169999999999996</v>
      </c>
      <c r="D3265" s="26">
        <v>6.9400000000000003E-2</v>
      </c>
      <c r="E3265" s="26">
        <v>4.1700000000000001E-2</v>
      </c>
      <c r="F3265" s="26">
        <v>6.9400000000000003E-2</v>
      </c>
      <c r="H3265" s="26">
        <v>2.7799999999999998E-2</v>
      </c>
      <c r="J3265">
        <v>72</v>
      </c>
    </row>
    <row r="3266" spans="1:10" x14ac:dyDescent="0.35">
      <c r="A3266" t="s">
        <v>228</v>
      </c>
      <c r="B3266" t="s">
        <v>368</v>
      </c>
      <c r="C3266" s="26">
        <v>0.67030000000000001</v>
      </c>
      <c r="D3266" s="26">
        <v>0.1056</v>
      </c>
      <c r="E3266" s="26">
        <v>8.7499999999999994E-2</v>
      </c>
      <c r="F3266" s="26">
        <v>2.1399999999999999E-2</v>
      </c>
      <c r="G3266" s="26">
        <v>0.1111</v>
      </c>
      <c r="H3266" s="26">
        <v>4.0000000000000001E-3</v>
      </c>
      <c r="J3266">
        <v>132</v>
      </c>
    </row>
    <row r="3267" spans="1:10" x14ac:dyDescent="0.35">
      <c r="A3267" t="s">
        <v>228</v>
      </c>
      <c r="B3267" t="s">
        <v>369</v>
      </c>
      <c r="C3267" s="26">
        <v>0.80520000000000003</v>
      </c>
      <c r="D3267" s="26">
        <v>7.7899999999999997E-2</v>
      </c>
      <c r="E3267" s="26">
        <v>4.48E-2</v>
      </c>
      <c r="F3267" s="26">
        <v>3.3000000000000002E-2</v>
      </c>
      <c r="G3267" s="26">
        <v>2.7799999999999998E-2</v>
      </c>
      <c r="H3267" s="26">
        <v>1.1299999999999999E-2</v>
      </c>
      <c r="J3267">
        <v>547</v>
      </c>
    </row>
    <row r="3268" spans="1:10" x14ac:dyDescent="0.35">
      <c r="A3268" t="s">
        <v>229</v>
      </c>
      <c r="B3268" t="s">
        <v>368</v>
      </c>
      <c r="C3268" s="26">
        <v>0.58740000000000003</v>
      </c>
      <c r="D3268" s="26">
        <v>0.1172</v>
      </c>
      <c r="E3268" s="26">
        <v>0.13689999999999999</v>
      </c>
      <c r="F3268" s="26">
        <v>0.1288</v>
      </c>
      <c r="G3268" s="26">
        <v>2.9700000000000001E-2</v>
      </c>
      <c r="J3268">
        <v>59</v>
      </c>
    </row>
    <row r="3269" spans="1:10" x14ac:dyDescent="0.35">
      <c r="A3269" t="s">
        <v>229</v>
      </c>
      <c r="B3269" t="s">
        <v>369</v>
      </c>
      <c r="C3269" s="26">
        <v>0.72519999999999996</v>
      </c>
      <c r="D3269" s="26">
        <v>0.10299999999999999</v>
      </c>
      <c r="E3269" s="26">
        <v>6.6600000000000006E-2</v>
      </c>
      <c r="F3269" s="26">
        <v>3.7499999999999999E-2</v>
      </c>
      <c r="G3269" s="26">
        <v>0.05</v>
      </c>
      <c r="H3269" s="26">
        <v>1.7600000000000001E-2</v>
      </c>
      <c r="J3269">
        <v>408</v>
      </c>
    </row>
    <row r="3270" spans="1:10" x14ac:dyDescent="0.35">
      <c r="A3270" t="s">
        <v>230</v>
      </c>
      <c r="B3270" t="s">
        <v>368</v>
      </c>
      <c r="C3270" s="26">
        <v>0.66279999999999994</v>
      </c>
      <c r="D3270" s="26">
        <v>0.12529999999999999</v>
      </c>
      <c r="E3270" s="26">
        <v>2.9000000000000001E-2</v>
      </c>
      <c r="G3270" s="26">
        <v>0.12509999999999999</v>
      </c>
      <c r="H3270" s="26">
        <v>5.7799999999999997E-2</v>
      </c>
      <c r="J3270">
        <v>38</v>
      </c>
    </row>
    <row r="3271" spans="1:10" x14ac:dyDescent="0.35">
      <c r="A3271" t="s">
        <v>230</v>
      </c>
      <c r="B3271" t="s">
        <v>369</v>
      </c>
      <c r="C3271" s="26">
        <v>0.75409999999999999</v>
      </c>
      <c r="D3271" s="26">
        <v>6.6000000000000003E-2</v>
      </c>
      <c r="E3271" s="26">
        <v>7.7899999999999997E-2</v>
      </c>
      <c r="F3271" s="26">
        <v>3.2500000000000001E-2</v>
      </c>
      <c r="G3271" s="26">
        <v>4.6800000000000001E-2</v>
      </c>
      <c r="H3271" s="26">
        <v>1.1599999999999999E-2</v>
      </c>
      <c r="I3271" s="26">
        <v>1.11E-2</v>
      </c>
      <c r="J3271">
        <v>291</v>
      </c>
    </row>
    <row r="3272" spans="1:10" x14ac:dyDescent="0.35">
      <c r="A3272" s="27" t="s">
        <v>231</v>
      </c>
      <c r="B3272" s="27" t="s">
        <v>368</v>
      </c>
      <c r="C3272" s="28">
        <v>0.875</v>
      </c>
      <c r="D3272" s="29"/>
      <c r="E3272" s="28">
        <v>0.125</v>
      </c>
      <c r="F3272" s="29"/>
      <c r="G3272" s="29"/>
      <c r="H3272" s="29"/>
      <c r="I3272" s="29"/>
      <c r="J3272" s="29" t="s">
        <v>348</v>
      </c>
    </row>
    <row r="3273" spans="1:10" x14ac:dyDescent="0.35">
      <c r="A3273" t="s">
        <v>231</v>
      </c>
      <c r="B3273" t="s">
        <v>369</v>
      </c>
      <c r="C3273" s="26">
        <v>0.76829999999999998</v>
      </c>
      <c r="D3273" s="26">
        <v>8.5400000000000004E-2</v>
      </c>
      <c r="E3273" s="26">
        <v>6.0999999999999999E-2</v>
      </c>
      <c r="F3273" s="26">
        <v>3.6600000000000001E-2</v>
      </c>
      <c r="G3273" s="26">
        <v>3.6600000000000001E-2</v>
      </c>
      <c r="H3273" s="26">
        <v>1.2200000000000001E-2</v>
      </c>
      <c r="J3273">
        <v>82</v>
      </c>
    </row>
    <row r="3274" spans="1:10" x14ac:dyDescent="0.35">
      <c r="A3274" t="s">
        <v>232</v>
      </c>
      <c r="B3274" t="s">
        <v>232</v>
      </c>
      <c r="C3274" s="26">
        <v>0.75780000000000003</v>
      </c>
      <c r="D3274" s="26">
        <v>8.3699999999999997E-2</v>
      </c>
      <c r="E3274" s="26">
        <v>6.6600000000000006E-2</v>
      </c>
      <c r="F3274" s="26">
        <v>4.1300000000000003E-2</v>
      </c>
      <c r="G3274" s="26">
        <v>3.5999999999999997E-2</v>
      </c>
      <c r="H3274" s="26">
        <v>1.37E-2</v>
      </c>
      <c r="I3274" s="26">
        <v>8.9999999999999998E-4</v>
      </c>
      <c r="J3274">
        <v>1671</v>
      </c>
    </row>
    <row r="3276" spans="1:10" x14ac:dyDescent="0.35">
      <c r="A3276" s="1" t="s">
        <v>590</v>
      </c>
    </row>
    <row r="3277" spans="1:10" x14ac:dyDescent="0.35">
      <c r="A3277" t="s">
        <v>219</v>
      </c>
      <c r="B3277" t="s">
        <v>305</v>
      </c>
      <c r="C3277" t="s">
        <v>576</v>
      </c>
      <c r="D3277" t="s">
        <v>577</v>
      </c>
      <c r="E3277" t="s">
        <v>578</v>
      </c>
      <c r="F3277" t="s">
        <v>579</v>
      </c>
      <c r="G3277" t="s">
        <v>580</v>
      </c>
      <c r="H3277" t="s">
        <v>281</v>
      </c>
      <c r="I3277" t="s">
        <v>286</v>
      </c>
      <c r="J3277" t="s">
        <v>226</v>
      </c>
    </row>
    <row r="3278" spans="1:10" x14ac:dyDescent="0.35">
      <c r="A3278" t="s">
        <v>227</v>
      </c>
      <c r="B3278" t="s">
        <v>371</v>
      </c>
      <c r="C3278" s="26">
        <v>0.79590000000000005</v>
      </c>
      <c r="D3278" s="26">
        <v>7.1400000000000005E-2</v>
      </c>
      <c r="E3278" s="26">
        <v>5.0999999999999997E-2</v>
      </c>
      <c r="F3278" s="26">
        <v>6.1199999999999997E-2</v>
      </c>
      <c r="H3278" s="26">
        <v>2.0400000000000001E-2</v>
      </c>
      <c r="J3278">
        <v>98</v>
      </c>
    </row>
    <row r="3279" spans="1:10" x14ac:dyDescent="0.35">
      <c r="A3279" t="s">
        <v>228</v>
      </c>
      <c r="B3279" t="s">
        <v>371</v>
      </c>
      <c r="C3279" s="26">
        <v>0.77129999999999999</v>
      </c>
      <c r="D3279" s="26">
        <v>8.5599999999999996E-2</v>
      </c>
      <c r="E3279" s="26">
        <v>4.7300000000000002E-2</v>
      </c>
      <c r="F3279" s="26">
        <v>3.0499999999999999E-2</v>
      </c>
      <c r="G3279" s="26">
        <v>5.45E-2</v>
      </c>
      <c r="H3279" s="26">
        <v>1.0800000000000001E-2</v>
      </c>
      <c r="J3279">
        <v>184</v>
      </c>
    </row>
    <row r="3280" spans="1:10" x14ac:dyDescent="0.35">
      <c r="A3280" t="s">
        <v>228</v>
      </c>
      <c r="B3280" t="s">
        <v>372</v>
      </c>
      <c r="C3280" s="26">
        <v>0.72960000000000003</v>
      </c>
      <c r="D3280" s="26">
        <v>9.7699999999999995E-2</v>
      </c>
      <c r="E3280" s="26">
        <v>7.3300000000000004E-2</v>
      </c>
      <c r="F3280" s="26">
        <v>1.0500000000000001E-2</v>
      </c>
      <c r="G3280" s="26">
        <v>8.8900000000000007E-2</v>
      </c>
      <c r="J3280">
        <v>165</v>
      </c>
    </row>
    <row r="3281" spans="1:10" x14ac:dyDescent="0.35">
      <c r="A3281" t="s">
        <v>228</v>
      </c>
      <c r="B3281" t="s">
        <v>373</v>
      </c>
      <c r="C3281" s="26">
        <v>0.79579999999999995</v>
      </c>
      <c r="D3281" s="26">
        <v>7.7700000000000005E-2</v>
      </c>
      <c r="E3281" s="26">
        <v>5.8500000000000003E-2</v>
      </c>
      <c r="F3281" s="26">
        <v>3.5900000000000001E-2</v>
      </c>
      <c r="G3281" s="26">
        <v>2.1399999999999999E-2</v>
      </c>
      <c r="H3281" s="26">
        <v>1.0699999999999999E-2</v>
      </c>
      <c r="J3281">
        <v>330</v>
      </c>
    </row>
    <row r="3282" spans="1:10" x14ac:dyDescent="0.35">
      <c r="A3282" t="s">
        <v>229</v>
      </c>
      <c r="B3282" t="s">
        <v>371</v>
      </c>
      <c r="C3282" s="26">
        <v>0.69669999999999999</v>
      </c>
      <c r="D3282" s="26">
        <v>0.1066</v>
      </c>
      <c r="E3282" s="26">
        <v>7.7899999999999997E-2</v>
      </c>
      <c r="F3282" s="26">
        <v>5.6399999999999999E-2</v>
      </c>
      <c r="G3282" s="26">
        <v>4.6800000000000001E-2</v>
      </c>
      <c r="H3282" s="26">
        <v>1.5599999999999999E-2</v>
      </c>
      <c r="J3282">
        <v>302</v>
      </c>
    </row>
    <row r="3283" spans="1:10" x14ac:dyDescent="0.35">
      <c r="A3283" t="s">
        <v>229</v>
      </c>
      <c r="B3283" t="s">
        <v>372</v>
      </c>
      <c r="C3283" s="26">
        <v>0.79430000000000001</v>
      </c>
      <c r="D3283" s="26">
        <v>7.5999999999999998E-2</v>
      </c>
      <c r="E3283" s="26">
        <v>6.5799999999999997E-2</v>
      </c>
      <c r="G3283" s="26">
        <v>6.3899999999999998E-2</v>
      </c>
      <c r="J3283">
        <v>119</v>
      </c>
    </row>
    <row r="3284" spans="1:10" x14ac:dyDescent="0.35">
      <c r="A3284" t="s">
        <v>229</v>
      </c>
      <c r="B3284" t="s">
        <v>373</v>
      </c>
      <c r="C3284" s="26">
        <v>0.68559999999999999</v>
      </c>
      <c r="D3284" s="26">
        <v>0.1207</v>
      </c>
      <c r="E3284" s="26">
        <v>0.1454</v>
      </c>
      <c r="F3284" s="26">
        <v>4.8300000000000003E-2</v>
      </c>
      <c r="J3284">
        <v>46</v>
      </c>
    </row>
    <row r="3285" spans="1:10" x14ac:dyDescent="0.35">
      <c r="A3285" t="s">
        <v>230</v>
      </c>
      <c r="B3285" t="s">
        <v>371</v>
      </c>
      <c r="C3285" s="26">
        <v>0.72989999999999999</v>
      </c>
      <c r="D3285" s="26">
        <v>7.2300000000000003E-2</v>
      </c>
      <c r="E3285" s="26">
        <v>7.0499999999999993E-2</v>
      </c>
      <c r="F3285" s="26">
        <v>2.6599999999999999E-2</v>
      </c>
      <c r="G3285" s="26">
        <v>6.6500000000000004E-2</v>
      </c>
      <c r="H3285" s="26">
        <v>2.2800000000000001E-2</v>
      </c>
      <c r="I3285" s="26">
        <v>1.14E-2</v>
      </c>
      <c r="J3285">
        <v>156</v>
      </c>
    </row>
    <row r="3286" spans="1:10" x14ac:dyDescent="0.35">
      <c r="A3286" t="s">
        <v>230</v>
      </c>
      <c r="B3286" t="s">
        <v>372</v>
      </c>
      <c r="C3286" s="26">
        <v>0.72650000000000003</v>
      </c>
      <c r="D3286" s="26">
        <v>0.17560000000000001</v>
      </c>
      <c r="E3286" s="26">
        <v>6.59E-2</v>
      </c>
      <c r="F3286" s="26">
        <v>1.6E-2</v>
      </c>
      <c r="G3286" s="26">
        <v>8.0000000000000002E-3</v>
      </c>
      <c r="H3286" s="26">
        <v>8.0000000000000002E-3</v>
      </c>
      <c r="J3286">
        <v>87</v>
      </c>
    </row>
    <row r="3287" spans="1:10" x14ac:dyDescent="0.35">
      <c r="A3287" t="s">
        <v>230</v>
      </c>
      <c r="B3287" t="s">
        <v>373</v>
      </c>
      <c r="C3287" s="26">
        <v>0.80769999999999997</v>
      </c>
      <c r="D3287" s="26">
        <v>4.9299999999999997E-2</v>
      </c>
      <c r="E3287" s="26">
        <v>6.9199999999999998E-2</v>
      </c>
      <c r="F3287" s="26">
        <v>3.6900000000000002E-2</v>
      </c>
      <c r="G3287" s="26">
        <v>3.6900000000000002E-2</v>
      </c>
      <c r="J3287">
        <v>86</v>
      </c>
    </row>
    <row r="3288" spans="1:10" x14ac:dyDescent="0.35">
      <c r="A3288" t="s">
        <v>231</v>
      </c>
      <c r="B3288" t="s">
        <v>371</v>
      </c>
      <c r="C3288" s="26">
        <v>0.78569999999999995</v>
      </c>
      <c r="D3288" s="26">
        <v>7.1400000000000005E-2</v>
      </c>
      <c r="E3288" s="26">
        <v>7.1400000000000005E-2</v>
      </c>
      <c r="F3288" s="26">
        <v>3.0599999999999999E-2</v>
      </c>
      <c r="G3288" s="26">
        <v>3.0599999999999999E-2</v>
      </c>
      <c r="H3288" s="26">
        <v>1.0200000000000001E-2</v>
      </c>
      <c r="J3288">
        <v>98</v>
      </c>
    </row>
    <row r="3289" spans="1:10" x14ac:dyDescent="0.35">
      <c r="A3289" t="s">
        <v>232</v>
      </c>
      <c r="B3289" t="s">
        <v>232</v>
      </c>
      <c r="C3289" s="26">
        <v>0.75780000000000003</v>
      </c>
      <c r="D3289" s="26">
        <v>8.3699999999999997E-2</v>
      </c>
      <c r="E3289" s="26">
        <v>6.6600000000000006E-2</v>
      </c>
      <c r="F3289" s="26">
        <v>4.1300000000000003E-2</v>
      </c>
      <c r="G3289" s="26">
        <v>3.5999999999999997E-2</v>
      </c>
      <c r="H3289" s="26">
        <v>1.37E-2</v>
      </c>
      <c r="I3289" s="26">
        <v>8.9999999999999998E-4</v>
      </c>
      <c r="J3289">
        <v>1671</v>
      </c>
    </row>
    <row r="3291" spans="1:10" x14ac:dyDescent="0.35">
      <c r="A3291" s="1" t="s">
        <v>591</v>
      </c>
    </row>
    <row r="3292" spans="1:10" x14ac:dyDescent="0.35">
      <c r="A3292" t="s">
        <v>219</v>
      </c>
      <c r="B3292" t="s">
        <v>305</v>
      </c>
      <c r="C3292" t="s">
        <v>576</v>
      </c>
      <c r="D3292" t="s">
        <v>577</v>
      </c>
      <c r="E3292" t="s">
        <v>578</v>
      </c>
      <c r="F3292" t="s">
        <v>579</v>
      </c>
      <c r="G3292" t="s">
        <v>580</v>
      </c>
      <c r="H3292" t="s">
        <v>281</v>
      </c>
      <c r="I3292" t="s">
        <v>286</v>
      </c>
      <c r="J3292" t="s">
        <v>226</v>
      </c>
    </row>
    <row r="3293" spans="1:10" x14ac:dyDescent="0.35">
      <c r="A3293" t="s">
        <v>227</v>
      </c>
      <c r="B3293" t="s">
        <v>255</v>
      </c>
      <c r="C3293" s="26">
        <v>0.80259999999999998</v>
      </c>
      <c r="D3293" s="26">
        <v>7.8899999999999998E-2</v>
      </c>
      <c r="E3293" s="26">
        <v>5.2600000000000001E-2</v>
      </c>
      <c r="F3293" s="26">
        <v>3.95E-2</v>
      </c>
      <c r="H3293" s="26">
        <v>2.63E-2</v>
      </c>
      <c r="J3293">
        <v>76</v>
      </c>
    </row>
    <row r="3294" spans="1:10" x14ac:dyDescent="0.35">
      <c r="A3294" s="27" t="s">
        <v>227</v>
      </c>
      <c r="B3294" s="27" t="s">
        <v>257</v>
      </c>
      <c r="C3294" s="28">
        <v>1</v>
      </c>
      <c r="D3294" s="29"/>
      <c r="E3294" s="29"/>
      <c r="F3294" s="29"/>
      <c r="G3294" s="29"/>
      <c r="H3294" s="29"/>
      <c r="I3294" s="29"/>
      <c r="J3294" s="29" t="s">
        <v>314</v>
      </c>
    </row>
    <row r="3295" spans="1:10" x14ac:dyDescent="0.35">
      <c r="A3295" s="27" t="s">
        <v>227</v>
      </c>
      <c r="B3295" s="27" t="s">
        <v>256</v>
      </c>
      <c r="C3295" s="28">
        <v>0.75</v>
      </c>
      <c r="D3295" s="28">
        <v>0.05</v>
      </c>
      <c r="E3295" s="28">
        <v>0.05</v>
      </c>
      <c r="F3295" s="28">
        <v>0.15</v>
      </c>
      <c r="G3295" s="29"/>
      <c r="H3295" s="29"/>
      <c r="I3295" s="29"/>
      <c r="J3295" s="29" t="s">
        <v>350</v>
      </c>
    </row>
    <row r="3296" spans="1:10" x14ac:dyDescent="0.35">
      <c r="A3296" s="27" t="s">
        <v>228</v>
      </c>
      <c r="B3296" s="27" t="s">
        <v>257</v>
      </c>
      <c r="C3296" s="28">
        <v>0.87870000000000004</v>
      </c>
      <c r="D3296" s="28">
        <v>1.8100000000000002E-2</v>
      </c>
      <c r="E3296" s="28">
        <v>0.1032</v>
      </c>
      <c r="F3296" s="29"/>
      <c r="G3296" s="29"/>
      <c r="H3296" s="29"/>
      <c r="I3296" s="29"/>
      <c r="J3296" s="29" t="s">
        <v>379</v>
      </c>
    </row>
    <row r="3297" spans="1:20" x14ac:dyDescent="0.35">
      <c r="A3297" t="s">
        <v>228</v>
      </c>
      <c r="B3297" t="s">
        <v>255</v>
      </c>
      <c r="C3297" s="26">
        <v>0.77280000000000004</v>
      </c>
      <c r="D3297" s="26">
        <v>8.5900000000000004E-2</v>
      </c>
      <c r="E3297" s="26">
        <v>5.5599999999999997E-2</v>
      </c>
      <c r="F3297" s="26">
        <v>2.9399999999999999E-2</v>
      </c>
      <c r="G3297" s="26">
        <v>4.7100000000000003E-2</v>
      </c>
      <c r="H3297" s="26">
        <v>9.1000000000000004E-3</v>
      </c>
      <c r="J3297">
        <v>547</v>
      </c>
    </row>
    <row r="3298" spans="1:20" x14ac:dyDescent="0.35">
      <c r="A3298" t="s">
        <v>228</v>
      </c>
      <c r="B3298" t="s">
        <v>256</v>
      </c>
      <c r="C3298" s="26">
        <v>0.77139999999999997</v>
      </c>
      <c r="D3298" s="26">
        <v>8.5400000000000004E-2</v>
      </c>
      <c r="E3298" s="26">
        <v>4.4499999999999998E-2</v>
      </c>
      <c r="F3298" s="26">
        <v>3.8699999999999998E-2</v>
      </c>
      <c r="G3298" s="26">
        <v>4.6699999999999998E-2</v>
      </c>
      <c r="H3298" s="26">
        <v>1.32E-2</v>
      </c>
      <c r="J3298">
        <v>116</v>
      </c>
    </row>
    <row r="3299" spans="1:20" x14ac:dyDescent="0.35">
      <c r="A3299" s="27" t="s">
        <v>228</v>
      </c>
      <c r="B3299" s="27" t="s">
        <v>258</v>
      </c>
      <c r="C3299" s="28">
        <v>1</v>
      </c>
      <c r="D3299" s="29"/>
      <c r="E3299" s="29"/>
      <c r="F3299" s="29"/>
      <c r="G3299" s="29"/>
      <c r="H3299" s="29"/>
      <c r="I3299" s="29"/>
      <c r="J3299" s="29" t="s">
        <v>314</v>
      </c>
    </row>
    <row r="3300" spans="1:20" x14ac:dyDescent="0.35">
      <c r="A3300" s="27" t="s">
        <v>229</v>
      </c>
      <c r="B3300" s="27" t="s">
        <v>257</v>
      </c>
      <c r="C3300" s="28">
        <v>0.81499999999999995</v>
      </c>
      <c r="D3300" s="29"/>
      <c r="E3300" s="28">
        <v>0.17510000000000001</v>
      </c>
      <c r="F3300" s="28">
        <v>9.9000000000000008E-3</v>
      </c>
      <c r="G3300" s="29"/>
      <c r="H3300" s="29"/>
      <c r="I3300" s="29"/>
      <c r="J3300" s="29" t="s">
        <v>379</v>
      </c>
    </row>
    <row r="3301" spans="1:20" x14ac:dyDescent="0.35">
      <c r="A3301" t="s">
        <v>229</v>
      </c>
      <c r="B3301" t="s">
        <v>256</v>
      </c>
      <c r="C3301" s="26">
        <v>0.67749999999999999</v>
      </c>
      <c r="D3301" s="26">
        <v>0.1085</v>
      </c>
      <c r="E3301" s="26">
        <v>0.1234</v>
      </c>
      <c r="F3301" s="26">
        <v>2.06E-2</v>
      </c>
      <c r="G3301" s="26">
        <v>7.0000000000000007E-2</v>
      </c>
      <c r="J3301">
        <v>98</v>
      </c>
    </row>
    <row r="3302" spans="1:20" x14ac:dyDescent="0.35">
      <c r="A3302" t="s">
        <v>229</v>
      </c>
      <c r="B3302" t="s">
        <v>255</v>
      </c>
      <c r="C3302" s="26">
        <v>0.70409999999999995</v>
      </c>
      <c r="D3302" s="26">
        <v>0.10879999999999999</v>
      </c>
      <c r="E3302" s="26">
        <v>6.0499999999999998E-2</v>
      </c>
      <c r="F3302" s="26">
        <v>6.6100000000000006E-2</v>
      </c>
      <c r="G3302" s="26">
        <v>4.0599999999999997E-2</v>
      </c>
      <c r="H3302" s="26">
        <v>1.9800000000000002E-2</v>
      </c>
      <c r="J3302">
        <v>355</v>
      </c>
    </row>
    <row r="3303" spans="1:20" x14ac:dyDescent="0.35">
      <c r="A3303" s="27" t="s">
        <v>230</v>
      </c>
      <c r="B3303" s="27" t="s">
        <v>257</v>
      </c>
      <c r="C3303" s="28">
        <v>0.49959999999999999</v>
      </c>
      <c r="D3303" s="28">
        <v>3.3000000000000002E-2</v>
      </c>
      <c r="E3303" s="28">
        <v>0.23369999999999999</v>
      </c>
      <c r="F3303" s="29"/>
      <c r="G3303" s="28">
        <v>0.23369999999999999</v>
      </c>
      <c r="H3303" s="29"/>
      <c r="I3303" s="29"/>
      <c r="J3303" s="29" t="s">
        <v>307</v>
      </c>
    </row>
    <row r="3304" spans="1:20" x14ac:dyDescent="0.35">
      <c r="A3304" t="s">
        <v>230</v>
      </c>
      <c r="B3304" t="s">
        <v>255</v>
      </c>
      <c r="C3304" s="26">
        <v>0.75070000000000003</v>
      </c>
      <c r="D3304" s="26">
        <v>7.4099999999999999E-2</v>
      </c>
      <c r="E3304" s="26">
        <v>4.5900000000000003E-2</v>
      </c>
      <c r="F3304" s="26">
        <v>3.5200000000000002E-2</v>
      </c>
      <c r="G3304" s="26">
        <v>6.6199999999999995E-2</v>
      </c>
      <c r="H3304" s="26">
        <v>1.4200000000000001E-2</v>
      </c>
      <c r="I3304" s="26">
        <v>1.3599999999999999E-2</v>
      </c>
      <c r="J3304">
        <v>243</v>
      </c>
    </row>
    <row r="3305" spans="1:20" x14ac:dyDescent="0.35">
      <c r="A3305" t="s">
        <v>230</v>
      </c>
      <c r="B3305" t="s">
        <v>256</v>
      </c>
      <c r="C3305" s="26">
        <v>0.75190000000000001</v>
      </c>
      <c r="D3305" s="26">
        <v>8.6499999999999994E-2</v>
      </c>
      <c r="E3305" s="26">
        <v>0.1037</v>
      </c>
      <c r="F3305" s="26">
        <v>1.1599999999999999E-2</v>
      </c>
      <c r="G3305" s="26">
        <v>1.1599999999999999E-2</v>
      </c>
      <c r="H3305" s="26">
        <v>3.4700000000000002E-2</v>
      </c>
      <c r="J3305">
        <v>76</v>
      </c>
    </row>
    <row r="3306" spans="1:20" x14ac:dyDescent="0.35">
      <c r="A3306" s="27" t="s">
        <v>231</v>
      </c>
      <c r="B3306" s="27" t="s">
        <v>256</v>
      </c>
      <c r="C3306" s="28">
        <v>0.73680000000000001</v>
      </c>
      <c r="D3306" s="28">
        <v>0.1053</v>
      </c>
      <c r="E3306" s="28">
        <v>0.1053</v>
      </c>
      <c r="F3306" s="29"/>
      <c r="G3306" s="29"/>
      <c r="H3306" s="28">
        <v>5.2600000000000001E-2</v>
      </c>
      <c r="I3306" s="29"/>
      <c r="J3306" s="29" t="s">
        <v>349</v>
      </c>
    </row>
    <row r="3307" spans="1:20" x14ac:dyDescent="0.35">
      <c r="A3307" s="27" t="s">
        <v>231</v>
      </c>
      <c r="B3307" s="27" t="s">
        <v>257</v>
      </c>
      <c r="C3307" s="28">
        <v>1</v>
      </c>
      <c r="D3307" s="29"/>
      <c r="E3307" s="29"/>
      <c r="F3307" s="29"/>
      <c r="G3307" s="29"/>
      <c r="H3307" s="29"/>
      <c r="I3307" s="29"/>
      <c r="J3307" s="29" t="s">
        <v>314</v>
      </c>
    </row>
    <row r="3308" spans="1:20" x14ac:dyDescent="0.35">
      <c r="A3308" t="s">
        <v>231</v>
      </c>
      <c r="B3308" t="s">
        <v>255</v>
      </c>
      <c r="C3308" s="26">
        <v>0.79220000000000002</v>
      </c>
      <c r="D3308" s="26">
        <v>6.4899999999999999E-2</v>
      </c>
      <c r="E3308" s="26">
        <v>6.4899999999999999E-2</v>
      </c>
      <c r="F3308" s="26">
        <v>3.9E-2</v>
      </c>
      <c r="G3308" s="26">
        <v>3.9E-2</v>
      </c>
      <c r="J3308">
        <v>77</v>
      </c>
    </row>
    <row r="3309" spans="1:20" x14ac:dyDescent="0.35">
      <c r="A3309" t="s">
        <v>232</v>
      </c>
      <c r="B3309" t="s">
        <v>232</v>
      </c>
      <c r="C3309" s="26">
        <v>0.75780000000000003</v>
      </c>
      <c r="D3309" s="26">
        <v>8.3699999999999997E-2</v>
      </c>
      <c r="E3309" s="26">
        <v>6.6600000000000006E-2</v>
      </c>
      <c r="F3309" s="26">
        <v>4.1300000000000003E-2</v>
      </c>
      <c r="G3309" s="26">
        <v>3.5999999999999997E-2</v>
      </c>
      <c r="H3309" s="26">
        <v>1.37E-2</v>
      </c>
      <c r="I3309" s="26">
        <v>8.9999999999999998E-4</v>
      </c>
      <c r="J3309">
        <v>1671</v>
      </c>
    </row>
    <row r="3311" spans="1:20" x14ac:dyDescent="0.35">
      <c r="A3311" s="1" t="s">
        <v>592</v>
      </c>
    </row>
    <row r="3312" spans="1:20" x14ac:dyDescent="0.35">
      <c r="A3312" t="s">
        <v>219</v>
      </c>
      <c r="B3312" t="s">
        <v>320</v>
      </c>
      <c r="C3312" t="s">
        <v>593</v>
      </c>
      <c r="D3312" t="s">
        <v>594</v>
      </c>
      <c r="E3312" t="s">
        <v>595</v>
      </c>
      <c r="F3312" t="s">
        <v>596</v>
      </c>
      <c r="G3312" t="s">
        <v>597</v>
      </c>
      <c r="H3312" t="s">
        <v>598</v>
      </c>
      <c r="I3312" t="s">
        <v>599</v>
      </c>
      <c r="J3312" t="s">
        <v>600</v>
      </c>
      <c r="K3312" t="s">
        <v>601</v>
      </c>
      <c r="L3312" t="s">
        <v>602</v>
      </c>
      <c r="M3312" t="s">
        <v>603</v>
      </c>
      <c r="N3312" t="s">
        <v>604</v>
      </c>
      <c r="O3312" t="s">
        <v>605</v>
      </c>
      <c r="P3312" t="s">
        <v>606</v>
      </c>
      <c r="Q3312" t="s">
        <v>607</v>
      </c>
      <c r="R3312" t="s">
        <v>281</v>
      </c>
      <c r="S3312" t="s">
        <v>286</v>
      </c>
      <c r="T3312" t="s">
        <v>226</v>
      </c>
    </row>
    <row r="3313" spans="1:21" x14ac:dyDescent="0.35">
      <c r="A3313" t="s">
        <v>227</v>
      </c>
      <c r="B3313" s="26">
        <v>0.60980000000000001</v>
      </c>
      <c r="C3313" s="26">
        <v>0.2114</v>
      </c>
      <c r="D3313" s="26">
        <v>0.1138</v>
      </c>
      <c r="E3313" s="26">
        <v>4.07E-2</v>
      </c>
      <c r="F3313" s="26">
        <v>3.2500000000000001E-2</v>
      </c>
      <c r="G3313" s="26">
        <v>2.4400000000000002E-2</v>
      </c>
      <c r="H3313" s="26">
        <v>2.4400000000000002E-2</v>
      </c>
      <c r="I3313" s="26">
        <v>2.4400000000000002E-2</v>
      </c>
      <c r="J3313" s="26">
        <v>1.6299999999999999E-2</v>
      </c>
      <c r="K3313" s="26">
        <v>1.6299999999999999E-2</v>
      </c>
      <c r="N3313" s="26">
        <v>8.0999999999999996E-3</v>
      </c>
      <c r="O3313" s="26">
        <v>8.0999999999999996E-3</v>
      </c>
      <c r="P3313" s="26">
        <v>1.6299999999999999E-2</v>
      </c>
      <c r="R3313" s="26">
        <v>8.0999999999999996E-3</v>
      </c>
      <c r="T3313">
        <v>123</v>
      </c>
    </row>
    <row r="3314" spans="1:21" x14ac:dyDescent="0.35">
      <c r="A3314" t="s">
        <v>228</v>
      </c>
      <c r="B3314" s="26">
        <v>0.55389999999999995</v>
      </c>
      <c r="C3314" s="26">
        <v>0.21099999999999999</v>
      </c>
      <c r="D3314" s="26">
        <v>0.1658</v>
      </c>
      <c r="E3314" s="26">
        <v>5.9799999999999999E-2</v>
      </c>
      <c r="F3314" s="26">
        <v>8.1900000000000001E-2</v>
      </c>
      <c r="G3314" s="26">
        <v>7.0199999999999999E-2</v>
      </c>
      <c r="H3314" s="26">
        <v>5.8599999999999999E-2</v>
      </c>
      <c r="I3314" s="26">
        <v>9.1999999999999998E-3</v>
      </c>
      <c r="J3314" s="26">
        <v>2.3599999999999999E-2</v>
      </c>
      <c r="K3314" s="26">
        <v>1.2500000000000001E-2</v>
      </c>
      <c r="L3314" s="26">
        <v>2.7799999999999998E-2</v>
      </c>
      <c r="M3314" s="26">
        <v>1.2200000000000001E-2</v>
      </c>
      <c r="N3314" s="26">
        <v>1.3100000000000001E-2</v>
      </c>
      <c r="O3314" s="26">
        <v>1.1900000000000001E-2</v>
      </c>
      <c r="P3314" s="26">
        <v>2.29E-2</v>
      </c>
      <c r="Q3314" s="26">
        <v>8.3999999999999995E-3</v>
      </c>
      <c r="R3314" s="26">
        <v>2E-3</v>
      </c>
      <c r="T3314">
        <v>803</v>
      </c>
    </row>
    <row r="3315" spans="1:21" x14ac:dyDescent="0.35">
      <c r="A3315" t="s">
        <v>229</v>
      </c>
      <c r="B3315" s="26">
        <v>0.53549999999999998</v>
      </c>
      <c r="C3315" s="26">
        <v>0.2145</v>
      </c>
      <c r="D3315" s="26">
        <v>0.1522</v>
      </c>
      <c r="E3315" s="26">
        <v>7.9100000000000004E-2</v>
      </c>
      <c r="F3315" s="26">
        <v>4.6199999999999998E-2</v>
      </c>
      <c r="G3315" s="26">
        <v>6.6199999999999995E-2</v>
      </c>
      <c r="H3315" s="26">
        <v>4.4499999999999998E-2</v>
      </c>
      <c r="I3315" s="26">
        <v>2.29E-2</v>
      </c>
      <c r="J3315" s="26">
        <v>3.1E-2</v>
      </c>
      <c r="K3315" s="26">
        <v>1.2699999999999999E-2</v>
      </c>
      <c r="L3315" s="26">
        <v>9.9000000000000008E-3</v>
      </c>
      <c r="M3315" s="26">
        <v>2.07E-2</v>
      </c>
      <c r="N3315" s="26">
        <v>1.6899999999999998E-2</v>
      </c>
      <c r="O3315" s="26">
        <v>2.6700000000000002E-2</v>
      </c>
      <c r="P3315" s="26">
        <v>7.7999999999999996E-3</v>
      </c>
      <c r="Q3315" s="26">
        <v>4.1999999999999997E-3</v>
      </c>
      <c r="S3315" s="26">
        <v>8.9999999999999998E-4</v>
      </c>
      <c r="T3315">
        <v>624</v>
      </c>
    </row>
    <row r="3316" spans="1:21" x14ac:dyDescent="0.35">
      <c r="A3316" t="s">
        <v>230</v>
      </c>
      <c r="B3316" s="26">
        <v>0.54330000000000001</v>
      </c>
      <c r="C3316" s="26">
        <v>0.2452</v>
      </c>
      <c r="D3316" s="26">
        <v>0.13950000000000001</v>
      </c>
      <c r="E3316" s="26">
        <v>0.1091</v>
      </c>
      <c r="F3316" s="26">
        <v>7.0300000000000001E-2</v>
      </c>
      <c r="G3316" s="26">
        <v>5.9400000000000001E-2</v>
      </c>
      <c r="H3316" s="26">
        <v>0.05</v>
      </c>
      <c r="I3316" s="26">
        <v>2.18E-2</v>
      </c>
      <c r="J3316" s="26">
        <v>1.18E-2</v>
      </c>
      <c r="K3316" s="26">
        <v>7.4999999999999997E-3</v>
      </c>
      <c r="L3316" s="26">
        <v>1.8499999999999999E-2</v>
      </c>
      <c r="M3316" s="26">
        <v>1.66E-2</v>
      </c>
      <c r="N3316" s="26">
        <v>3.2399999999999998E-2</v>
      </c>
      <c r="O3316" s="26">
        <v>4.0000000000000002E-4</v>
      </c>
      <c r="P3316" s="26">
        <v>8.6999999999999994E-3</v>
      </c>
      <c r="R3316" s="26">
        <v>1.1999999999999999E-3</v>
      </c>
      <c r="T3316">
        <v>410</v>
      </c>
    </row>
    <row r="3317" spans="1:21" x14ac:dyDescent="0.35">
      <c r="A3317" t="s">
        <v>231</v>
      </c>
      <c r="B3317" s="26">
        <v>0.626</v>
      </c>
      <c r="C3317" s="26">
        <v>0.1951</v>
      </c>
      <c r="D3317" s="26">
        <v>9.7600000000000006E-2</v>
      </c>
      <c r="E3317" s="26">
        <v>7.3200000000000001E-2</v>
      </c>
      <c r="F3317" s="26">
        <v>7.3200000000000001E-2</v>
      </c>
      <c r="G3317" s="26">
        <v>5.6899999999999999E-2</v>
      </c>
      <c r="H3317" s="26">
        <v>2.4400000000000002E-2</v>
      </c>
      <c r="I3317" s="26">
        <v>2.4400000000000002E-2</v>
      </c>
      <c r="J3317" s="26">
        <v>8.0999999999999996E-3</v>
      </c>
      <c r="K3317" s="26">
        <v>1.6299999999999999E-2</v>
      </c>
      <c r="L3317" s="26">
        <v>8.0999999999999996E-3</v>
      </c>
      <c r="M3317" s="26">
        <v>8.0999999999999996E-3</v>
      </c>
      <c r="T3317">
        <v>123</v>
      </c>
    </row>
    <row r="3318" spans="1:21" x14ac:dyDescent="0.35">
      <c r="A3318" t="s">
        <v>232</v>
      </c>
      <c r="B3318" s="26">
        <v>0.57579999999999998</v>
      </c>
      <c r="C3318" s="26">
        <v>0.21099999999999999</v>
      </c>
      <c r="D3318" s="26">
        <v>0.13300000000000001</v>
      </c>
      <c r="E3318" s="26">
        <v>7.0599999999999996E-2</v>
      </c>
      <c r="F3318" s="26">
        <v>6.08E-2</v>
      </c>
      <c r="G3318" s="26">
        <v>5.74E-2</v>
      </c>
      <c r="H3318" s="26">
        <v>3.9300000000000002E-2</v>
      </c>
      <c r="I3318" s="26">
        <v>2.07E-2</v>
      </c>
      <c r="J3318" s="26">
        <v>1.9199999999999998E-2</v>
      </c>
      <c r="K3318" s="26">
        <v>1.37E-2</v>
      </c>
      <c r="L3318" s="26">
        <v>1.23E-2</v>
      </c>
      <c r="M3318" s="26">
        <v>1.2E-2</v>
      </c>
      <c r="N3318" s="26">
        <v>1.17E-2</v>
      </c>
      <c r="O3318" s="26">
        <v>1.12E-2</v>
      </c>
      <c r="P3318" s="26">
        <v>1.01E-2</v>
      </c>
      <c r="Q3318" s="26">
        <v>2.8999999999999998E-3</v>
      </c>
      <c r="R3318" s="26">
        <v>1.8E-3</v>
      </c>
      <c r="S3318" s="26">
        <v>2.9999999999999997E-4</v>
      </c>
      <c r="T3318">
        <v>2083</v>
      </c>
    </row>
    <row r="3320" spans="1:21" x14ac:dyDescent="0.35">
      <c r="A3320" s="1" t="s">
        <v>608</v>
      </c>
    </row>
    <row r="3321" spans="1:21" x14ac:dyDescent="0.35">
      <c r="A3321" t="s">
        <v>219</v>
      </c>
      <c r="B3321" t="s">
        <v>305</v>
      </c>
      <c r="C3321" t="s">
        <v>320</v>
      </c>
      <c r="D3321" t="s">
        <v>593</v>
      </c>
      <c r="E3321" t="s">
        <v>594</v>
      </c>
      <c r="F3321" t="s">
        <v>595</v>
      </c>
      <c r="G3321" t="s">
        <v>596</v>
      </c>
      <c r="H3321" t="s">
        <v>597</v>
      </c>
      <c r="I3321" t="s">
        <v>598</v>
      </c>
      <c r="J3321" t="s">
        <v>599</v>
      </c>
      <c r="K3321" t="s">
        <v>600</v>
      </c>
      <c r="L3321" t="s">
        <v>601</v>
      </c>
      <c r="M3321" t="s">
        <v>602</v>
      </c>
      <c r="N3321" t="s">
        <v>603</v>
      </c>
      <c r="O3321" t="s">
        <v>604</v>
      </c>
      <c r="P3321" t="s">
        <v>605</v>
      </c>
      <c r="Q3321" t="s">
        <v>606</v>
      </c>
      <c r="R3321" t="s">
        <v>607</v>
      </c>
      <c r="S3321" t="s">
        <v>281</v>
      </c>
      <c r="T3321" t="s">
        <v>286</v>
      </c>
      <c r="U3321" t="s">
        <v>226</v>
      </c>
    </row>
    <row r="3322" spans="1:21" x14ac:dyDescent="0.35">
      <c r="A3322" t="s">
        <v>227</v>
      </c>
      <c r="B3322" t="s">
        <v>242</v>
      </c>
      <c r="C3322" s="26">
        <v>0.6129</v>
      </c>
      <c r="D3322" s="26">
        <v>0.2742</v>
      </c>
      <c r="E3322" s="26">
        <v>9.6799999999999997E-2</v>
      </c>
      <c r="F3322" s="26">
        <v>3.2300000000000002E-2</v>
      </c>
      <c r="G3322" s="26">
        <v>1.61E-2</v>
      </c>
      <c r="J3322" s="26">
        <v>3.2300000000000002E-2</v>
      </c>
      <c r="K3322" s="26">
        <v>1.61E-2</v>
      </c>
      <c r="L3322" s="26">
        <v>3.2300000000000002E-2</v>
      </c>
      <c r="O3322" s="26">
        <v>1.61E-2</v>
      </c>
      <c r="P3322" s="26">
        <v>1.61E-2</v>
      </c>
      <c r="U3322">
        <v>62</v>
      </c>
    </row>
    <row r="3323" spans="1:21" x14ac:dyDescent="0.35">
      <c r="A3323" t="s">
        <v>227</v>
      </c>
      <c r="B3323" t="s">
        <v>241</v>
      </c>
      <c r="C3323" s="26">
        <v>0.60660000000000003</v>
      </c>
      <c r="D3323" s="26">
        <v>0.14749999999999999</v>
      </c>
      <c r="E3323" s="26">
        <v>0.13109999999999999</v>
      </c>
      <c r="F3323" s="26">
        <v>4.9200000000000001E-2</v>
      </c>
      <c r="G3323" s="26">
        <v>4.9200000000000001E-2</v>
      </c>
      <c r="H3323" s="26">
        <v>4.9200000000000001E-2</v>
      </c>
      <c r="I3323" s="26">
        <v>4.9200000000000001E-2</v>
      </c>
      <c r="J3323" s="26">
        <v>1.6400000000000001E-2</v>
      </c>
      <c r="K3323" s="26">
        <v>1.6400000000000001E-2</v>
      </c>
      <c r="Q3323" s="26">
        <v>3.2800000000000003E-2</v>
      </c>
      <c r="S3323" s="26">
        <v>1.6400000000000001E-2</v>
      </c>
      <c r="U3323">
        <v>61</v>
      </c>
    </row>
    <row r="3324" spans="1:21" x14ac:dyDescent="0.35">
      <c r="A3324" t="s">
        <v>228</v>
      </c>
      <c r="B3324" t="s">
        <v>242</v>
      </c>
      <c r="C3324" s="26">
        <v>0.4254</v>
      </c>
      <c r="D3324" s="26">
        <v>0.32079999999999997</v>
      </c>
      <c r="E3324" s="26">
        <v>0.23400000000000001</v>
      </c>
      <c r="F3324" s="26">
        <v>6.3600000000000004E-2</v>
      </c>
      <c r="G3324" s="26">
        <v>0.1154</v>
      </c>
      <c r="H3324" s="26">
        <v>6.9900000000000004E-2</v>
      </c>
      <c r="I3324" s="26">
        <v>8.2799999999999999E-2</v>
      </c>
      <c r="J3324" s="26">
        <v>2.1499999999999998E-2</v>
      </c>
      <c r="K3324" s="26">
        <v>3.9899999999999998E-2</v>
      </c>
      <c r="L3324" s="26">
        <v>1.7299999999999999E-2</v>
      </c>
      <c r="M3324" s="26">
        <v>4.1200000000000001E-2</v>
      </c>
      <c r="N3324" s="26">
        <v>2.3599999999999999E-2</v>
      </c>
      <c r="O3324" s="26">
        <v>2.6499999999999999E-2</v>
      </c>
      <c r="P3324" s="26">
        <v>1.5299999999999999E-2</v>
      </c>
      <c r="Q3324" s="26">
        <v>3.2300000000000002E-2</v>
      </c>
      <c r="R3324" s="26">
        <v>1.5299999999999999E-2</v>
      </c>
      <c r="U3324">
        <v>376</v>
      </c>
    </row>
    <row r="3325" spans="1:21" x14ac:dyDescent="0.35">
      <c r="A3325" t="s">
        <v>228</v>
      </c>
      <c r="B3325" t="s">
        <v>241</v>
      </c>
      <c r="C3325" s="26">
        <v>0.65029999999999999</v>
      </c>
      <c r="D3325" s="26">
        <v>0.12859999999999999</v>
      </c>
      <c r="E3325" s="26">
        <v>0.1147</v>
      </c>
      <c r="F3325" s="26">
        <v>5.6800000000000003E-2</v>
      </c>
      <c r="G3325" s="26">
        <v>5.6800000000000003E-2</v>
      </c>
      <c r="H3325" s="26">
        <v>7.0400000000000004E-2</v>
      </c>
      <c r="I3325" s="26">
        <v>4.0399999999999998E-2</v>
      </c>
      <c r="K3325" s="26">
        <v>1.14E-2</v>
      </c>
      <c r="L3325" s="26">
        <v>8.9999999999999993E-3</v>
      </c>
      <c r="M3325" s="26">
        <v>1.78E-2</v>
      </c>
      <c r="N3325" s="26">
        <v>3.5999999999999999E-3</v>
      </c>
      <c r="O3325" s="26">
        <v>3.0999999999999999E-3</v>
      </c>
      <c r="P3325" s="26">
        <v>9.2999999999999992E-3</v>
      </c>
      <c r="Q3325" s="26">
        <v>1.5699999999999999E-2</v>
      </c>
      <c r="R3325" s="26">
        <v>3.2000000000000002E-3</v>
      </c>
      <c r="S3325" s="26">
        <v>3.5999999999999999E-3</v>
      </c>
      <c r="U3325">
        <v>427</v>
      </c>
    </row>
    <row r="3326" spans="1:21" x14ac:dyDescent="0.35">
      <c r="A3326" t="s">
        <v>229</v>
      </c>
      <c r="B3326" t="s">
        <v>242</v>
      </c>
      <c r="C3326" s="26">
        <v>0.4299</v>
      </c>
      <c r="D3326" s="26">
        <v>0.34320000000000001</v>
      </c>
      <c r="E3326" s="26">
        <v>0.2394</v>
      </c>
      <c r="F3326" s="26">
        <v>5.0099999999999999E-2</v>
      </c>
      <c r="G3326" s="26">
        <v>7.0900000000000005E-2</v>
      </c>
      <c r="H3326" s="26">
        <v>6.6299999999999998E-2</v>
      </c>
      <c r="I3326" s="26">
        <v>7.0599999999999996E-2</v>
      </c>
      <c r="J3326" s="26">
        <v>3.9199999999999999E-2</v>
      </c>
      <c r="K3326" s="26">
        <v>3.0099999999999998E-2</v>
      </c>
      <c r="L3326" s="26">
        <v>1.0500000000000001E-2</v>
      </c>
      <c r="M3326" s="26">
        <v>9.7999999999999997E-3</v>
      </c>
      <c r="N3326" s="26">
        <v>2.3999999999999998E-3</v>
      </c>
      <c r="O3326" s="26">
        <v>9.4999999999999998E-3</v>
      </c>
      <c r="P3326" s="26">
        <v>5.0099999999999999E-2</v>
      </c>
      <c r="Q3326" s="26">
        <v>9.1000000000000004E-3</v>
      </c>
      <c r="R3326" s="26">
        <v>7.1999999999999998E-3</v>
      </c>
      <c r="U3326">
        <v>265</v>
      </c>
    </row>
    <row r="3327" spans="1:21" x14ac:dyDescent="0.35">
      <c r="A3327" t="s">
        <v>229</v>
      </c>
      <c r="B3327" t="s">
        <v>241</v>
      </c>
      <c r="C3327" s="26">
        <v>0.62780000000000002</v>
      </c>
      <c r="D3327" s="26">
        <v>0.1022</v>
      </c>
      <c r="E3327" s="26">
        <v>7.6200000000000004E-2</v>
      </c>
      <c r="F3327" s="26">
        <v>0.10440000000000001</v>
      </c>
      <c r="G3327" s="26">
        <v>2.4500000000000001E-2</v>
      </c>
      <c r="H3327" s="26">
        <v>6.6100000000000006E-2</v>
      </c>
      <c r="I3327" s="26">
        <v>2.1700000000000001E-2</v>
      </c>
      <c r="J3327" s="26">
        <v>8.8000000000000005E-3</v>
      </c>
      <c r="K3327" s="26">
        <v>3.1699999999999999E-2</v>
      </c>
      <c r="L3327" s="26">
        <v>1.46E-2</v>
      </c>
      <c r="M3327" s="26">
        <v>0.01</v>
      </c>
      <c r="N3327" s="26">
        <v>3.6700000000000003E-2</v>
      </c>
      <c r="O3327" s="26">
        <v>2.3300000000000001E-2</v>
      </c>
      <c r="P3327" s="26">
        <v>6.3E-3</v>
      </c>
      <c r="Q3327" s="26">
        <v>6.7000000000000002E-3</v>
      </c>
      <c r="R3327" s="26">
        <v>1.6999999999999999E-3</v>
      </c>
      <c r="T3327" s="26">
        <v>1.6999999999999999E-3</v>
      </c>
      <c r="U3327">
        <v>359</v>
      </c>
    </row>
    <row r="3328" spans="1:21" x14ac:dyDescent="0.35">
      <c r="A3328" t="s">
        <v>230</v>
      </c>
      <c r="B3328" t="s">
        <v>242</v>
      </c>
      <c r="C3328" s="26">
        <v>0.42299999999999999</v>
      </c>
      <c r="D3328" s="26">
        <v>0.39610000000000001</v>
      </c>
      <c r="E3328" s="26">
        <v>0.23139999999999999</v>
      </c>
      <c r="F3328" s="26">
        <v>0.1138</v>
      </c>
      <c r="G3328" s="26">
        <v>0.1318</v>
      </c>
      <c r="H3328" s="26">
        <v>7.22E-2</v>
      </c>
      <c r="I3328" s="26">
        <v>6.7000000000000004E-2</v>
      </c>
      <c r="J3328" s="26">
        <v>3.5099999999999999E-2</v>
      </c>
      <c r="K3328" s="26">
        <v>8.3000000000000001E-3</v>
      </c>
      <c r="L3328" s="26">
        <v>8.9999999999999998E-4</v>
      </c>
      <c r="M3328" s="26">
        <v>2.2599999999999999E-2</v>
      </c>
      <c r="N3328" s="26">
        <v>2.2700000000000001E-2</v>
      </c>
      <c r="O3328" s="26">
        <v>4.0800000000000003E-2</v>
      </c>
      <c r="P3328" s="26">
        <v>8.9999999999999998E-4</v>
      </c>
      <c r="Q3328" s="26">
        <v>1.7999999999999999E-2</v>
      </c>
      <c r="U3328">
        <v>175</v>
      </c>
    </row>
    <row r="3329" spans="1:21" x14ac:dyDescent="0.35">
      <c r="A3329" t="s">
        <v>230</v>
      </c>
      <c r="B3329" t="s">
        <v>241</v>
      </c>
      <c r="C3329" s="26">
        <v>0.62929999999999997</v>
      </c>
      <c r="D3329" s="26">
        <v>0.13739999999999999</v>
      </c>
      <c r="E3329" s="26">
        <v>7.3800000000000004E-2</v>
      </c>
      <c r="F3329" s="26">
        <v>0.1057</v>
      </c>
      <c r="G3329" s="26">
        <v>2.63E-2</v>
      </c>
      <c r="H3329" s="26">
        <v>5.0200000000000002E-2</v>
      </c>
      <c r="I3329" s="26">
        <v>3.78E-2</v>
      </c>
      <c r="J3329" s="26">
        <v>1.2200000000000001E-2</v>
      </c>
      <c r="K3329" s="26">
        <v>1.4200000000000001E-2</v>
      </c>
      <c r="L3329" s="26">
        <v>1.2200000000000001E-2</v>
      </c>
      <c r="M3329" s="26">
        <v>1.55E-2</v>
      </c>
      <c r="N3329" s="26">
        <v>1.2200000000000001E-2</v>
      </c>
      <c r="O3329" s="26">
        <v>2.6499999999999999E-2</v>
      </c>
      <c r="Q3329" s="26">
        <v>2.0999999999999999E-3</v>
      </c>
      <c r="S3329" s="26">
        <v>2.0999999999999999E-3</v>
      </c>
      <c r="U3329">
        <v>235</v>
      </c>
    </row>
    <row r="3330" spans="1:21" x14ac:dyDescent="0.35">
      <c r="A3330" t="s">
        <v>231</v>
      </c>
      <c r="B3330" t="s">
        <v>242</v>
      </c>
      <c r="C3330" s="26">
        <v>0.44900000000000001</v>
      </c>
      <c r="D3330" s="26">
        <v>0.32650000000000001</v>
      </c>
      <c r="E3330" s="26">
        <v>0.10199999999999999</v>
      </c>
      <c r="F3330" s="26">
        <v>0.1633</v>
      </c>
      <c r="G3330" s="26">
        <v>0.12239999999999999</v>
      </c>
      <c r="H3330" s="26">
        <v>4.0800000000000003E-2</v>
      </c>
      <c r="I3330" s="26">
        <v>2.0400000000000001E-2</v>
      </c>
      <c r="J3330" s="26">
        <v>2.0400000000000001E-2</v>
      </c>
      <c r="K3330" s="26">
        <v>2.0400000000000001E-2</v>
      </c>
      <c r="M3330" s="26">
        <v>2.0400000000000001E-2</v>
      </c>
      <c r="U3330">
        <v>49</v>
      </c>
    </row>
    <row r="3331" spans="1:21" x14ac:dyDescent="0.35">
      <c r="A3331" t="s">
        <v>231</v>
      </c>
      <c r="B3331" t="s">
        <v>241</v>
      </c>
      <c r="C3331" s="26">
        <v>0.74319999999999997</v>
      </c>
      <c r="D3331" s="26">
        <v>0.1081</v>
      </c>
      <c r="E3331" s="26">
        <v>9.4600000000000004E-2</v>
      </c>
      <c r="F3331" s="26">
        <v>1.35E-2</v>
      </c>
      <c r="G3331" s="26">
        <v>4.0500000000000001E-2</v>
      </c>
      <c r="H3331" s="26">
        <v>6.7599999999999993E-2</v>
      </c>
      <c r="I3331" s="26">
        <v>2.7E-2</v>
      </c>
      <c r="J3331" s="26">
        <v>2.7E-2</v>
      </c>
      <c r="L3331" s="26">
        <v>2.7E-2</v>
      </c>
      <c r="N3331" s="26">
        <v>1.35E-2</v>
      </c>
      <c r="U3331">
        <v>74</v>
      </c>
    </row>
    <row r="3332" spans="1:21" x14ac:dyDescent="0.35">
      <c r="A3332" t="s">
        <v>232</v>
      </c>
      <c r="B3332" t="s">
        <v>232</v>
      </c>
      <c r="C3332" s="26">
        <v>0.57579999999999998</v>
      </c>
      <c r="D3332" s="26">
        <v>0.21099999999999999</v>
      </c>
      <c r="E3332" s="26">
        <v>0.13300000000000001</v>
      </c>
      <c r="F3332" s="26">
        <v>7.0599999999999996E-2</v>
      </c>
      <c r="G3332" s="26">
        <v>6.08E-2</v>
      </c>
      <c r="H3332" s="26">
        <v>5.74E-2</v>
      </c>
      <c r="I3332" s="26">
        <v>3.9300000000000002E-2</v>
      </c>
      <c r="J3332" s="26">
        <v>2.07E-2</v>
      </c>
      <c r="K3332" s="26">
        <v>1.9199999999999998E-2</v>
      </c>
      <c r="L3332" s="26">
        <v>1.37E-2</v>
      </c>
      <c r="M3332" s="26">
        <v>1.23E-2</v>
      </c>
      <c r="N3332" s="26">
        <v>1.2E-2</v>
      </c>
      <c r="O3332" s="26">
        <v>1.17E-2</v>
      </c>
      <c r="P3332" s="26">
        <v>1.12E-2</v>
      </c>
      <c r="Q3332" s="26">
        <v>1.01E-2</v>
      </c>
      <c r="R3332" s="26">
        <v>2.8999999999999998E-3</v>
      </c>
      <c r="S3332" s="26">
        <v>1.8E-3</v>
      </c>
      <c r="T3332" s="26">
        <v>2.9999999999999997E-4</v>
      </c>
      <c r="U3332">
        <v>2083</v>
      </c>
    </row>
    <row r="3334" spans="1:21" x14ac:dyDescent="0.35">
      <c r="A3334" s="1" t="s">
        <v>609</v>
      </c>
    </row>
    <row r="3335" spans="1:21" x14ac:dyDescent="0.35">
      <c r="A3335" t="s">
        <v>219</v>
      </c>
      <c r="B3335" t="s">
        <v>305</v>
      </c>
      <c r="C3335" t="s">
        <v>320</v>
      </c>
      <c r="D3335" t="s">
        <v>593</v>
      </c>
      <c r="E3335" t="s">
        <v>594</v>
      </c>
      <c r="F3335" t="s">
        <v>595</v>
      </c>
      <c r="G3335" t="s">
        <v>596</v>
      </c>
      <c r="H3335" t="s">
        <v>597</v>
      </c>
      <c r="I3335" t="s">
        <v>598</v>
      </c>
      <c r="J3335" t="s">
        <v>599</v>
      </c>
      <c r="K3335" t="s">
        <v>600</v>
      </c>
      <c r="L3335" t="s">
        <v>601</v>
      </c>
      <c r="M3335" t="s">
        <v>602</v>
      </c>
      <c r="N3335" t="s">
        <v>603</v>
      </c>
      <c r="O3335" t="s">
        <v>604</v>
      </c>
      <c r="P3335" t="s">
        <v>605</v>
      </c>
      <c r="Q3335" t="s">
        <v>606</v>
      </c>
      <c r="R3335" t="s">
        <v>607</v>
      </c>
      <c r="S3335" t="s">
        <v>281</v>
      </c>
      <c r="T3335" t="s">
        <v>286</v>
      </c>
      <c r="U3335" t="s">
        <v>226</v>
      </c>
    </row>
    <row r="3336" spans="1:21" x14ac:dyDescent="0.35">
      <c r="A3336" t="s">
        <v>227</v>
      </c>
      <c r="B3336" t="s">
        <v>239</v>
      </c>
      <c r="C3336" s="26">
        <v>0.44230000000000003</v>
      </c>
      <c r="D3336" s="26">
        <v>0.26919999999999999</v>
      </c>
      <c r="E3336" s="26">
        <v>0.1923</v>
      </c>
      <c r="F3336" s="26">
        <v>9.6199999999999994E-2</v>
      </c>
      <c r="G3336" s="26">
        <v>7.6899999999999996E-2</v>
      </c>
      <c r="H3336" s="26">
        <v>3.85E-2</v>
      </c>
      <c r="I3336" s="26">
        <v>3.85E-2</v>
      </c>
      <c r="J3336" s="26">
        <v>3.85E-2</v>
      </c>
      <c r="K3336" s="26">
        <v>3.85E-2</v>
      </c>
      <c r="L3336" s="26">
        <v>3.85E-2</v>
      </c>
      <c r="P3336" s="26">
        <v>1.9199999999999998E-2</v>
      </c>
      <c r="Q3336" s="26">
        <v>1.9199999999999998E-2</v>
      </c>
      <c r="U3336">
        <v>52</v>
      </c>
    </row>
    <row r="3337" spans="1:21" x14ac:dyDescent="0.35">
      <c r="A3337" t="s">
        <v>227</v>
      </c>
      <c r="B3337" t="s">
        <v>238</v>
      </c>
      <c r="C3337" s="26">
        <v>0.73240000000000005</v>
      </c>
      <c r="D3337" s="26">
        <v>0.16900000000000001</v>
      </c>
      <c r="E3337" s="26">
        <v>5.6300000000000003E-2</v>
      </c>
      <c r="H3337" s="26">
        <v>1.41E-2</v>
      </c>
      <c r="I3337" s="26">
        <v>1.41E-2</v>
      </c>
      <c r="J3337" s="26">
        <v>1.41E-2</v>
      </c>
      <c r="O3337" s="26">
        <v>1.41E-2</v>
      </c>
      <c r="Q3337" s="26">
        <v>1.41E-2</v>
      </c>
      <c r="S3337" s="26">
        <v>1.41E-2</v>
      </c>
      <c r="U3337">
        <v>71</v>
      </c>
    </row>
    <row r="3338" spans="1:21" x14ac:dyDescent="0.35">
      <c r="A3338" t="s">
        <v>228</v>
      </c>
      <c r="B3338" t="s">
        <v>239</v>
      </c>
      <c r="C3338" s="26">
        <v>0.52980000000000005</v>
      </c>
      <c r="D3338" s="26">
        <v>0.26440000000000002</v>
      </c>
      <c r="E3338" s="26">
        <v>0.1648</v>
      </c>
      <c r="F3338" s="26">
        <v>4.4600000000000001E-2</v>
      </c>
      <c r="G3338" s="26">
        <v>0.2006</v>
      </c>
      <c r="H3338" s="26">
        <v>8.3400000000000002E-2</v>
      </c>
      <c r="I3338" s="26">
        <v>5.7799999999999997E-2</v>
      </c>
      <c r="J3338" s="26">
        <v>1.4E-3</v>
      </c>
      <c r="K3338" s="26">
        <v>3.44E-2</v>
      </c>
      <c r="M3338" s="26">
        <v>2.4199999999999999E-2</v>
      </c>
      <c r="N3338" s="26">
        <v>2.23E-2</v>
      </c>
      <c r="O3338" s="26">
        <v>4.8999999999999998E-3</v>
      </c>
      <c r="P3338" s="26">
        <v>2.1999999999999999E-2</v>
      </c>
      <c r="Q3338" s="26">
        <v>5.3800000000000001E-2</v>
      </c>
      <c r="R3338" s="26">
        <v>1.4E-3</v>
      </c>
      <c r="S3338" s="26">
        <v>2.5000000000000001E-3</v>
      </c>
      <c r="U3338">
        <v>266</v>
      </c>
    </row>
    <row r="3339" spans="1:21" x14ac:dyDescent="0.35">
      <c r="A3339" t="s">
        <v>228</v>
      </c>
      <c r="B3339" t="s">
        <v>238</v>
      </c>
      <c r="C3339" s="26">
        <v>0.5605</v>
      </c>
      <c r="D3339" s="26">
        <v>0.1963</v>
      </c>
      <c r="E3339" s="26">
        <v>0.1661</v>
      </c>
      <c r="F3339" s="26">
        <v>6.3899999999999998E-2</v>
      </c>
      <c r="G3339" s="26">
        <v>4.9200000000000001E-2</v>
      </c>
      <c r="H3339" s="26">
        <v>6.6500000000000004E-2</v>
      </c>
      <c r="I3339" s="26">
        <v>5.8799999999999998E-2</v>
      </c>
      <c r="J3339" s="26">
        <v>1.1299999999999999E-2</v>
      </c>
      <c r="K3339" s="26">
        <v>2.07E-2</v>
      </c>
      <c r="L3339" s="26">
        <v>1.6E-2</v>
      </c>
      <c r="M3339" s="26">
        <v>2.8799999999999999E-2</v>
      </c>
      <c r="N3339" s="26">
        <v>9.4000000000000004E-3</v>
      </c>
      <c r="O3339" s="26">
        <v>1.54E-2</v>
      </c>
      <c r="P3339" s="26">
        <v>9.1000000000000004E-3</v>
      </c>
      <c r="Q3339" s="26">
        <v>1.43E-2</v>
      </c>
      <c r="R3339" s="26">
        <v>1.03E-2</v>
      </c>
      <c r="S3339" s="26">
        <v>1.9E-3</v>
      </c>
      <c r="U3339">
        <v>537</v>
      </c>
    </row>
    <row r="3340" spans="1:21" x14ac:dyDescent="0.35">
      <c r="A3340" t="s">
        <v>229</v>
      </c>
      <c r="B3340" t="s">
        <v>239</v>
      </c>
      <c r="C3340" s="26">
        <v>0.52910000000000001</v>
      </c>
      <c r="D3340" s="26">
        <v>0.23419999999999999</v>
      </c>
      <c r="E3340" s="26">
        <v>0.13500000000000001</v>
      </c>
      <c r="F3340" s="26">
        <v>7.5600000000000001E-2</v>
      </c>
      <c r="G3340" s="26">
        <v>0.1043</v>
      </c>
      <c r="H3340" s="26">
        <v>3.5700000000000003E-2</v>
      </c>
      <c r="I3340" s="26">
        <v>2.9899999999999999E-2</v>
      </c>
      <c r="J3340" s="26">
        <v>3.95E-2</v>
      </c>
      <c r="K3340" s="26">
        <v>2.24E-2</v>
      </c>
      <c r="L3340" s="26">
        <v>1.6999999999999999E-3</v>
      </c>
      <c r="M3340" s="26">
        <v>2.2000000000000001E-3</v>
      </c>
      <c r="N3340" s="26">
        <v>1.67E-2</v>
      </c>
      <c r="O3340" s="26">
        <v>1.5800000000000002E-2</v>
      </c>
      <c r="P3340" s="26">
        <v>1.32E-2</v>
      </c>
      <c r="Q3340" s="26">
        <v>2.7300000000000001E-2</v>
      </c>
      <c r="T3340" s="26">
        <v>3.5000000000000001E-3</v>
      </c>
      <c r="U3340">
        <v>218</v>
      </c>
    </row>
    <row r="3341" spans="1:21" x14ac:dyDescent="0.35">
      <c r="A3341" t="s">
        <v>229</v>
      </c>
      <c r="B3341" t="s">
        <v>238</v>
      </c>
      <c r="C3341" s="26">
        <v>0.53769999999999996</v>
      </c>
      <c r="D3341" s="26">
        <v>0.20780000000000001</v>
      </c>
      <c r="E3341" s="26">
        <v>0.15809999999999999</v>
      </c>
      <c r="F3341" s="26">
        <v>8.0299999999999996E-2</v>
      </c>
      <c r="G3341" s="26">
        <v>2.64E-2</v>
      </c>
      <c r="H3341" s="26">
        <v>7.6600000000000001E-2</v>
      </c>
      <c r="I3341" s="26">
        <v>4.9500000000000002E-2</v>
      </c>
      <c r="J3341" s="26">
        <v>1.7299999999999999E-2</v>
      </c>
      <c r="K3341" s="26">
        <v>3.39E-2</v>
      </c>
      <c r="L3341" s="26">
        <v>1.6400000000000001E-2</v>
      </c>
      <c r="M3341" s="26">
        <v>1.2500000000000001E-2</v>
      </c>
      <c r="N3341" s="26">
        <v>2.2100000000000002E-2</v>
      </c>
      <c r="O3341" s="26">
        <v>1.7299999999999999E-2</v>
      </c>
      <c r="P3341" s="26">
        <v>3.1300000000000001E-2</v>
      </c>
      <c r="Q3341" s="26">
        <v>1.1999999999999999E-3</v>
      </c>
      <c r="R3341" s="26">
        <v>5.7000000000000002E-3</v>
      </c>
      <c r="U3341">
        <v>406</v>
      </c>
    </row>
    <row r="3342" spans="1:21" x14ac:dyDescent="0.35">
      <c r="A3342" t="s">
        <v>230</v>
      </c>
      <c r="B3342" t="s">
        <v>239</v>
      </c>
      <c r="C3342" s="26">
        <v>0.4864</v>
      </c>
      <c r="D3342" s="26">
        <v>0.2472</v>
      </c>
      <c r="E3342" s="26">
        <v>0.12970000000000001</v>
      </c>
      <c r="F3342" s="26">
        <v>0.1787</v>
      </c>
      <c r="G3342" s="26">
        <v>8.8499999999999995E-2</v>
      </c>
      <c r="H3342" s="26">
        <v>9.3700000000000006E-2</v>
      </c>
      <c r="I3342" s="26">
        <v>7.3400000000000007E-2</v>
      </c>
      <c r="J3342" s="26">
        <v>4.6199999999999998E-2</v>
      </c>
      <c r="K3342" s="26">
        <v>2.8199999999999999E-2</v>
      </c>
      <c r="L3342" s="26">
        <v>1.1999999999999999E-3</v>
      </c>
      <c r="M3342" s="26">
        <v>3.8999999999999998E-3</v>
      </c>
      <c r="O3342" s="26">
        <v>5.0099999999999999E-2</v>
      </c>
      <c r="Q3342" s="26">
        <v>2.7E-2</v>
      </c>
      <c r="U3342">
        <v>163</v>
      </c>
    </row>
    <row r="3343" spans="1:21" x14ac:dyDescent="0.35">
      <c r="A3343" t="s">
        <v>230</v>
      </c>
      <c r="B3343" t="s">
        <v>238</v>
      </c>
      <c r="C3343" s="26">
        <v>0.56869999999999998</v>
      </c>
      <c r="D3343" s="26">
        <v>0.24440000000000001</v>
      </c>
      <c r="E3343" s="26">
        <v>0.1439</v>
      </c>
      <c r="F3343" s="26">
        <v>7.8E-2</v>
      </c>
      <c r="G3343" s="26">
        <v>6.2100000000000002E-2</v>
      </c>
      <c r="H3343" s="26">
        <v>4.3999999999999997E-2</v>
      </c>
      <c r="I3343" s="26">
        <v>3.95E-2</v>
      </c>
      <c r="J3343" s="26">
        <v>1.0800000000000001E-2</v>
      </c>
      <c r="K3343" s="26">
        <v>4.4000000000000003E-3</v>
      </c>
      <c r="L3343" s="26">
        <v>1.03E-2</v>
      </c>
      <c r="M3343" s="26">
        <v>2.5000000000000001E-2</v>
      </c>
      <c r="N3343" s="26">
        <v>2.4E-2</v>
      </c>
      <c r="O3343" s="26">
        <v>2.4500000000000001E-2</v>
      </c>
      <c r="P3343" s="26">
        <v>5.0000000000000001E-4</v>
      </c>
      <c r="Q3343" s="26">
        <v>5.0000000000000001E-4</v>
      </c>
      <c r="S3343" s="26">
        <v>1.6999999999999999E-3</v>
      </c>
      <c r="U3343">
        <v>247</v>
      </c>
    </row>
    <row r="3344" spans="1:21" x14ac:dyDescent="0.35">
      <c r="A3344" t="s">
        <v>231</v>
      </c>
      <c r="B3344" t="s">
        <v>239</v>
      </c>
      <c r="C3344" s="26">
        <v>0.61219999999999997</v>
      </c>
      <c r="D3344" s="26">
        <v>0.1633</v>
      </c>
      <c r="E3344" s="26">
        <v>0.12239999999999999</v>
      </c>
      <c r="F3344" s="26">
        <v>6.1199999999999997E-2</v>
      </c>
      <c r="G3344" s="26">
        <v>0.12239999999999999</v>
      </c>
      <c r="H3344" s="26">
        <v>4.0800000000000003E-2</v>
      </c>
      <c r="I3344" s="26">
        <v>2.0400000000000001E-2</v>
      </c>
      <c r="J3344" s="26">
        <v>2.0400000000000001E-2</v>
      </c>
      <c r="L3344" s="26">
        <v>2.0400000000000001E-2</v>
      </c>
      <c r="U3344">
        <v>49</v>
      </c>
    </row>
    <row r="3345" spans="1:21" x14ac:dyDescent="0.35">
      <c r="A3345" t="s">
        <v>231</v>
      </c>
      <c r="B3345" t="s">
        <v>238</v>
      </c>
      <c r="C3345" s="26">
        <v>0.6351</v>
      </c>
      <c r="D3345" s="26">
        <v>0.2162</v>
      </c>
      <c r="E3345" s="26">
        <v>8.1100000000000005E-2</v>
      </c>
      <c r="F3345" s="26">
        <v>8.1100000000000005E-2</v>
      </c>
      <c r="G3345" s="26">
        <v>4.0500000000000001E-2</v>
      </c>
      <c r="H3345" s="26">
        <v>6.7599999999999993E-2</v>
      </c>
      <c r="I3345" s="26">
        <v>2.7E-2</v>
      </c>
      <c r="J3345" s="26">
        <v>2.7E-2</v>
      </c>
      <c r="K3345" s="26">
        <v>1.35E-2</v>
      </c>
      <c r="L3345" s="26">
        <v>1.35E-2</v>
      </c>
      <c r="M3345" s="26">
        <v>1.35E-2</v>
      </c>
      <c r="N3345" s="26">
        <v>1.35E-2</v>
      </c>
      <c r="U3345">
        <v>74</v>
      </c>
    </row>
    <row r="3346" spans="1:21" x14ac:dyDescent="0.35">
      <c r="A3346" t="s">
        <v>232</v>
      </c>
      <c r="B3346" t="s">
        <v>232</v>
      </c>
      <c r="C3346" s="26">
        <v>0.57579999999999998</v>
      </c>
      <c r="D3346" s="26">
        <v>0.21099999999999999</v>
      </c>
      <c r="E3346" s="26">
        <v>0.13300000000000001</v>
      </c>
      <c r="F3346" s="26">
        <v>7.0599999999999996E-2</v>
      </c>
      <c r="G3346" s="26">
        <v>6.08E-2</v>
      </c>
      <c r="H3346" s="26">
        <v>5.74E-2</v>
      </c>
      <c r="I3346" s="26">
        <v>3.9300000000000002E-2</v>
      </c>
      <c r="J3346" s="26">
        <v>2.07E-2</v>
      </c>
      <c r="K3346" s="26">
        <v>1.9199999999999998E-2</v>
      </c>
      <c r="L3346" s="26">
        <v>1.37E-2</v>
      </c>
      <c r="M3346" s="26">
        <v>1.23E-2</v>
      </c>
      <c r="N3346" s="26">
        <v>1.2E-2</v>
      </c>
      <c r="O3346" s="26">
        <v>1.17E-2</v>
      </c>
      <c r="P3346" s="26">
        <v>1.12E-2</v>
      </c>
      <c r="Q3346" s="26">
        <v>1.01E-2</v>
      </c>
      <c r="R3346" s="26">
        <v>2.8999999999999998E-3</v>
      </c>
      <c r="S3346" s="26">
        <v>1.8E-3</v>
      </c>
      <c r="T3346" s="26">
        <v>2.9999999999999997E-4</v>
      </c>
      <c r="U3346">
        <v>2083</v>
      </c>
    </row>
    <row r="3348" spans="1:21" x14ac:dyDescent="0.35">
      <c r="A3348" s="1" t="s">
        <v>610</v>
      </c>
    </row>
    <row r="3349" spans="1:21" x14ac:dyDescent="0.35">
      <c r="A3349" t="s">
        <v>219</v>
      </c>
      <c r="B3349" t="s">
        <v>305</v>
      </c>
      <c r="C3349" t="s">
        <v>320</v>
      </c>
      <c r="D3349" t="s">
        <v>593</v>
      </c>
      <c r="E3349" t="s">
        <v>594</v>
      </c>
      <c r="F3349" t="s">
        <v>595</v>
      </c>
      <c r="G3349" t="s">
        <v>596</v>
      </c>
      <c r="H3349" t="s">
        <v>597</v>
      </c>
      <c r="I3349" t="s">
        <v>598</v>
      </c>
      <c r="J3349" t="s">
        <v>599</v>
      </c>
      <c r="K3349" t="s">
        <v>600</v>
      </c>
      <c r="L3349" t="s">
        <v>601</v>
      </c>
      <c r="M3349" t="s">
        <v>602</v>
      </c>
      <c r="N3349" t="s">
        <v>603</v>
      </c>
      <c r="O3349" t="s">
        <v>604</v>
      </c>
      <c r="P3349" t="s">
        <v>605</v>
      </c>
      <c r="Q3349" t="s">
        <v>606</v>
      </c>
      <c r="R3349" t="s">
        <v>607</v>
      </c>
      <c r="S3349" t="s">
        <v>281</v>
      </c>
      <c r="T3349" t="s">
        <v>286</v>
      </c>
      <c r="U3349" t="s">
        <v>226</v>
      </c>
    </row>
    <row r="3350" spans="1:21" x14ac:dyDescent="0.35">
      <c r="A3350" t="s">
        <v>227</v>
      </c>
      <c r="B3350" t="s">
        <v>244</v>
      </c>
      <c r="C3350" s="26">
        <v>0.64559999999999995</v>
      </c>
      <c r="D3350" s="26">
        <v>0.20250000000000001</v>
      </c>
      <c r="E3350" s="26">
        <v>6.3299999999999995E-2</v>
      </c>
      <c r="F3350" s="26">
        <v>3.7999999999999999E-2</v>
      </c>
      <c r="G3350" s="26">
        <v>3.7999999999999999E-2</v>
      </c>
      <c r="H3350" s="26">
        <v>2.53E-2</v>
      </c>
      <c r="I3350" s="26">
        <v>2.53E-2</v>
      </c>
      <c r="J3350" s="26">
        <v>2.53E-2</v>
      </c>
      <c r="K3350" s="26">
        <v>1.2699999999999999E-2</v>
      </c>
      <c r="L3350" s="26">
        <v>2.53E-2</v>
      </c>
      <c r="O3350" s="26">
        <v>1.2699999999999999E-2</v>
      </c>
      <c r="P3350" s="26">
        <v>1.2699999999999999E-2</v>
      </c>
      <c r="Q3350" s="26">
        <v>1.2699999999999999E-2</v>
      </c>
      <c r="U3350">
        <v>79</v>
      </c>
    </row>
    <row r="3351" spans="1:21" x14ac:dyDescent="0.35">
      <c r="A3351" t="s">
        <v>227</v>
      </c>
      <c r="B3351" t="s">
        <v>245</v>
      </c>
      <c r="C3351" s="26">
        <v>0.53120000000000001</v>
      </c>
      <c r="D3351" s="26">
        <v>0.1875</v>
      </c>
      <c r="E3351" s="26">
        <v>0.21879999999999999</v>
      </c>
      <c r="F3351" s="26">
        <v>3.1199999999999999E-2</v>
      </c>
      <c r="G3351" s="26">
        <v>3.1199999999999999E-2</v>
      </c>
      <c r="H3351" s="26">
        <v>3.1199999999999999E-2</v>
      </c>
      <c r="I3351" s="26">
        <v>3.1199999999999999E-2</v>
      </c>
      <c r="K3351" s="26">
        <v>3.1199999999999999E-2</v>
      </c>
      <c r="Q3351" s="26">
        <v>3.1199999999999999E-2</v>
      </c>
      <c r="S3351" s="26">
        <v>3.1199999999999999E-2</v>
      </c>
      <c r="U3351">
        <v>32</v>
      </c>
    </row>
    <row r="3352" spans="1:21" x14ac:dyDescent="0.35">
      <c r="A3352" s="27" t="s">
        <v>227</v>
      </c>
      <c r="B3352" s="27" t="s">
        <v>246</v>
      </c>
      <c r="C3352" s="28">
        <v>0.58330000000000004</v>
      </c>
      <c r="D3352" s="28">
        <v>0.33329999999999999</v>
      </c>
      <c r="E3352" s="28">
        <v>0.16669999999999999</v>
      </c>
      <c r="F3352" s="28">
        <v>8.3299999999999999E-2</v>
      </c>
      <c r="G3352" s="29"/>
      <c r="H3352" s="29"/>
      <c r="I3352" s="29"/>
      <c r="J3352" s="28">
        <v>8.3299999999999999E-2</v>
      </c>
      <c r="K3352" s="29"/>
      <c r="L3352" s="29"/>
      <c r="M3352" s="29"/>
      <c r="N3352" s="29"/>
      <c r="O3352" s="29"/>
      <c r="P3352" s="29"/>
      <c r="Q3352" s="29"/>
      <c r="R3352" s="29"/>
      <c r="S3352" s="29"/>
      <c r="T3352" s="29"/>
      <c r="U3352" s="29" t="s">
        <v>342</v>
      </c>
    </row>
    <row r="3353" spans="1:21" x14ac:dyDescent="0.35">
      <c r="A3353" t="s">
        <v>228</v>
      </c>
      <c r="B3353" t="s">
        <v>244</v>
      </c>
      <c r="C3353" s="26">
        <v>0.56559999999999999</v>
      </c>
      <c r="D3353" s="26">
        <v>0.17130000000000001</v>
      </c>
      <c r="E3353" s="26">
        <v>0.14410000000000001</v>
      </c>
      <c r="F3353" s="26">
        <v>6.4299999999999996E-2</v>
      </c>
      <c r="G3353" s="26">
        <v>8.1799999999999998E-2</v>
      </c>
      <c r="H3353" s="26">
        <v>6.6799999999999998E-2</v>
      </c>
      <c r="I3353" s="26">
        <v>5.67E-2</v>
      </c>
      <c r="J3353" s="26">
        <v>1.35E-2</v>
      </c>
      <c r="K3353" s="26">
        <v>2.9000000000000001E-2</v>
      </c>
      <c r="L3353" s="26">
        <v>1.7100000000000001E-2</v>
      </c>
      <c r="M3353" s="26">
        <v>2.93E-2</v>
      </c>
      <c r="N3353" s="26">
        <v>2.3999999999999998E-3</v>
      </c>
      <c r="O3353" s="26">
        <v>1.2999999999999999E-2</v>
      </c>
      <c r="P3353" s="26">
        <v>1.0699999999999999E-2</v>
      </c>
      <c r="Q3353" s="26">
        <v>2.6700000000000002E-2</v>
      </c>
      <c r="R3353" s="26">
        <v>8.8999999999999999E-3</v>
      </c>
      <c r="S3353" s="26">
        <v>8.0000000000000004E-4</v>
      </c>
      <c r="U3353">
        <v>514</v>
      </c>
    </row>
    <row r="3354" spans="1:21" x14ac:dyDescent="0.35">
      <c r="A3354" t="s">
        <v>228</v>
      </c>
      <c r="B3354" t="s">
        <v>245</v>
      </c>
      <c r="C3354" s="26">
        <v>0.57679999999999998</v>
      </c>
      <c r="D3354" s="26">
        <v>0.23910000000000001</v>
      </c>
      <c r="E3354" s="26">
        <v>0.15079999999999999</v>
      </c>
      <c r="F3354" s="26">
        <v>5.9299999999999999E-2</v>
      </c>
      <c r="G3354" s="26">
        <v>6.5000000000000002E-2</v>
      </c>
      <c r="H3354" s="26">
        <v>7.9200000000000007E-2</v>
      </c>
      <c r="I3354" s="26">
        <v>7.0099999999999996E-2</v>
      </c>
      <c r="K3354" s="26">
        <v>1.41E-2</v>
      </c>
      <c r="L3354" s="26">
        <v>3.5999999999999999E-3</v>
      </c>
      <c r="M3354" s="26">
        <v>2.8799999999999999E-2</v>
      </c>
      <c r="N3354" s="26">
        <v>2.4799999999999999E-2</v>
      </c>
      <c r="O3354" s="26">
        <v>1.18E-2</v>
      </c>
      <c r="P3354" s="26">
        <v>1.2999999999999999E-3</v>
      </c>
      <c r="Q3354" s="26">
        <v>1.2200000000000001E-2</v>
      </c>
      <c r="R3354" s="26">
        <v>7.7999999999999996E-3</v>
      </c>
      <c r="S3354" s="26">
        <v>6.4999999999999997E-3</v>
      </c>
      <c r="U3354">
        <v>230</v>
      </c>
    </row>
    <row r="3355" spans="1:21" x14ac:dyDescent="0.35">
      <c r="A3355" t="s">
        <v>228</v>
      </c>
      <c r="B3355" t="s">
        <v>246</v>
      </c>
      <c r="C3355" s="26">
        <v>0.39169999999999999</v>
      </c>
      <c r="D3355" s="26">
        <v>0.46029999999999999</v>
      </c>
      <c r="E3355" s="26">
        <v>0.38790000000000002</v>
      </c>
      <c r="F3355" s="26">
        <v>2.3599999999999999E-2</v>
      </c>
      <c r="G3355" s="26">
        <v>0.13089999999999999</v>
      </c>
      <c r="H3355" s="26">
        <v>7.2599999999999998E-2</v>
      </c>
      <c r="I3355" s="26">
        <v>4.2099999999999999E-2</v>
      </c>
      <c r="K3355" s="26">
        <v>6.4999999999999997E-3</v>
      </c>
      <c r="M3355" s="26">
        <v>1.29E-2</v>
      </c>
      <c r="N3355" s="26">
        <v>5.7500000000000002E-2</v>
      </c>
      <c r="O3355" s="26">
        <v>1.83E-2</v>
      </c>
      <c r="P3355" s="26">
        <v>5.1900000000000002E-2</v>
      </c>
      <c r="Q3355" s="26">
        <v>2.1499999999999998E-2</v>
      </c>
      <c r="R3355" s="26">
        <v>5.5999999999999999E-3</v>
      </c>
      <c r="U3355">
        <v>59</v>
      </c>
    </row>
    <row r="3356" spans="1:21" x14ac:dyDescent="0.35">
      <c r="A3356" t="s">
        <v>229</v>
      </c>
      <c r="B3356" t="s">
        <v>244</v>
      </c>
      <c r="C3356" s="26">
        <v>0.54469999999999996</v>
      </c>
      <c r="D3356" s="26">
        <v>0.19719999999999999</v>
      </c>
      <c r="E3356" s="26">
        <v>0.13650000000000001</v>
      </c>
      <c r="F3356" s="26">
        <v>8.5000000000000006E-2</v>
      </c>
      <c r="G3356" s="26">
        <v>5.33E-2</v>
      </c>
      <c r="H3356" s="26">
        <v>6.8500000000000005E-2</v>
      </c>
      <c r="I3356" s="26">
        <v>4.02E-2</v>
      </c>
      <c r="J3356" s="26">
        <v>1.7600000000000001E-2</v>
      </c>
      <c r="K3356" s="26">
        <v>3.44E-2</v>
      </c>
      <c r="L3356" s="26">
        <v>0.01</v>
      </c>
      <c r="M3356" s="26">
        <v>1.1999999999999999E-3</v>
      </c>
      <c r="N3356" s="26">
        <v>2.3699999999999999E-2</v>
      </c>
      <c r="O3356" s="26">
        <v>1.3100000000000001E-2</v>
      </c>
      <c r="P3356" s="26">
        <v>2.47E-2</v>
      </c>
      <c r="Q3356" s="26">
        <v>4.5999999999999999E-3</v>
      </c>
      <c r="R3356" s="26">
        <v>4.5999999999999999E-3</v>
      </c>
      <c r="T3356" s="26">
        <v>1.1999999999999999E-3</v>
      </c>
      <c r="U3356">
        <v>423</v>
      </c>
    </row>
    <row r="3357" spans="1:21" x14ac:dyDescent="0.35">
      <c r="A3357" t="s">
        <v>229</v>
      </c>
      <c r="B3357" t="s">
        <v>245</v>
      </c>
      <c r="C3357" s="26">
        <v>0.52259999999999995</v>
      </c>
      <c r="D3357" s="26">
        <v>0.23880000000000001</v>
      </c>
      <c r="E3357" s="26">
        <v>0.16400000000000001</v>
      </c>
      <c r="F3357" s="26">
        <v>4.8599999999999997E-2</v>
      </c>
      <c r="G3357" s="26">
        <v>3.3700000000000001E-2</v>
      </c>
      <c r="H3357" s="26">
        <v>7.4800000000000005E-2</v>
      </c>
      <c r="I3357" s="26">
        <v>7.22E-2</v>
      </c>
      <c r="K3357" s="26">
        <v>1.2E-2</v>
      </c>
      <c r="L3357" s="26">
        <v>2.6200000000000001E-2</v>
      </c>
      <c r="M3357" s="26">
        <v>4.4200000000000003E-2</v>
      </c>
      <c r="N3357" s="26">
        <v>1.6400000000000001E-2</v>
      </c>
      <c r="O3357" s="26">
        <v>1.9599999999999999E-2</v>
      </c>
      <c r="P3357" s="26">
        <v>4.2599999999999999E-2</v>
      </c>
      <c r="Q3357" s="26">
        <v>2.1399999999999999E-2</v>
      </c>
      <c r="R3357" s="26">
        <v>4.4000000000000003E-3</v>
      </c>
      <c r="U3357">
        <v>161</v>
      </c>
    </row>
    <row r="3358" spans="1:21" x14ac:dyDescent="0.35">
      <c r="A3358" t="s">
        <v>229</v>
      </c>
      <c r="B3358" t="s">
        <v>246</v>
      </c>
      <c r="C3358" s="26">
        <v>0.47310000000000002</v>
      </c>
      <c r="D3358" s="26">
        <v>0.33329999999999999</v>
      </c>
      <c r="E3358" s="26">
        <v>0.29249999999999998</v>
      </c>
      <c r="F3358" s="26">
        <v>0.108</v>
      </c>
      <c r="G3358" s="26">
        <v>5.4000000000000003E-3</v>
      </c>
      <c r="H3358" s="26">
        <v>1.37E-2</v>
      </c>
      <c r="I3358" s="26">
        <v>6.7000000000000002E-3</v>
      </c>
      <c r="J3358" s="26">
        <v>0.15390000000000001</v>
      </c>
      <c r="K3358" s="26">
        <v>5.1299999999999998E-2</v>
      </c>
      <c r="O3358" s="26">
        <v>5.1299999999999998E-2</v>
      </c>
      <c r="Q3358" s="26">
        <v>1.9E-3</v>
      </c>
      <c r="U3358">
        <v>40</v>
      </c>
    </row>
    <row r="3359" spans="1:21" x14ac:dyDescent="0.35">
      <c r="A3359" t="s">
        <v>230</v>
      </c>
      <c r="B3359" t="s">
        <v>244</v>
      </c>
      <c r="C3359" s="26">
        <v>0.5978</v>
      </c>
      <c r="D3359" s="26">
        <v>0.20369999999999999</v>
      </c>
      <c r="E3359" s="26">
        <v>0.1087</v>
      </c>
      <c r="F3359" s="26">
        <v>0.12130000000000001</v>
      </c>
      <c r="G3359" s="26">
        <v>3.9100000000000003E-2</v>
      </c>
      <c r="H3359" s="26">
        <v>4.19E-2</v>
      </c>
      <c r="I3359" s="26">
        <v>5.0700000000000002E-2</v>
      </c>
      <c r="J3359" s="26">
        <v>2.01E-2</v>
      </c>
      <c r="K3359" s="26">
        <v>1.41E-2</v>
      </c>
      <c r="L3359" s="26">
        <v>1.03E-2</v>
      </c>
      <c r="M3359" s="26">
        <v>2.4899999999999999E-2</v>
      </c>
      <c r="N3359" s="26">
        <v>3.2000000000000002E-3</v>
      </c>
      <c r="O3359" s="26">
        <v>3.1600000000000003E-2</v>
      </c>
      <c r="P3359" s="26">
        <v>5.0000000000000001E-4</v>
      </c>
      <c r="Q3359" s="26">
        <v>5.0000000000000001E-4</v>
      </c>
      <c r="S3359" s="26">
        <v>1.6999999999999999E-3</v>
      </c>
      <c r="U3359">
        <v>287</v>
      </c>
    </row>
    <row r="3360" spans="1:21" x14ac:dyDescent="0.35">
      <c r="A3360" t="s">
        <v>230</v>
      </c>
      <c r="B3360" t="s">
        <v>245</v>
      </c>
      <c r="C3360" s="26">
        <v>0.37390000000000001</v>
      </c>
      <c r="D3360" s="26">
        <v>0.34379999999999999</v>
      </c>
      <c r="E3360" s="26">
        <v>0.17499999999999999</v>
      </c>
      <c r="F3360" s="26">
        <v>5.2699999999999997E-2</v>
      </c>
      <c r="G3360" s="26">
        <v>0.1086</v>
      </c>
      <c r="H3360" s="26">
        <v>9.7799999999999998E-2</v>
      </c>
      <c r="I3360" s="26">
        <v>2.7099999999999999E-2</v>
      </c>
      <c r="K3360" s="26">
        <v>7.3000000000000001E-3</v>
      </c>
      <c r="M3360" s="26">
        <v>1.6999999999999999E-3</v>
      </c>
      <c r="N3360" s="26">
        <v>6.7699999999999996E-2</v>
      </c>
      <c r="O3360" s="26">
        <v>4.5100000000000001E-2</v>
      </c>
      <c r="Q3360" s="26">
        <v>5.7000000000000002E-3</v>
      </c>
      <c r="U3360">
        <v>97</v>
      </c>
    </row>
    <row r="3361" spans="1:21" x14ac:dyDescent="0.35">
      <c r="A3361" s="27" t="s">
        <v>230</v>
      </c>
      <c r="B3361" s="27" t="s">
        <v>246</v>
      </c>
      <c r="C3361" s="28">
        <v>0.48209999999999997</v>
      </c>
      <c r="D3361" s="28">
        <v>0.39369999999999999</v>
      </c>
      <c r="E3361" s="28">
        <v>0.37519999999999998</v>
      </c>
      <c r="F3361" s="28">
        <v>0.15640000000000001</v>
      </c>
      <c r="G3361" s="28">
        <v>0.30009999999999998</v>
      </c>
      <c r="H3361" s="28">
        <v>0.13120000000000001</v>
      </c>
      <c r="I3361" s="28">
        <v>0.11840000000000001</v>
      </c>
      <c r="J3361" s="28">
        <v>0.11269999999999999</v>
      </c>
      <c r="K3361" s="29"/>
      <c r="L3361" s="29"/>
      <c r="M3361" s="29"/>
      <c r="N3361" s="29"/>
      <c r="O3361" s="29"/>
      <c r="P3361" s="29"/>
      <c r="Q3361" s="28">
        <v>0.11269999999999999</v>
      </c>
      <c r="R3361" s="29"/>
      <c r="S3361" s="29"/>
      <c r="T3361" s="29"/>
      <c r="U3361" s="29" t="s">
        <v>357</v>
      </c>
    </row>
    <row r="3362" spans="1:21" x14ac:dyDescent="0.35">
      <c r="A3362" t="s">
        <v>231</v>
      </c>
      <c r="B3362" t="s">
        <v>244</v>
      </c>
      <c r="C3362" s="26">
        <v>0.62160000000000004</v>
      </c>
      <c r="D3362" s="26">
        <v>0.18920000000000001</v>
      </c>
      <c r="E3362" s="26">
        <v>0.1081</v>
      </c>
      <c r="F3362" s="26">
        <v>6.7599999999999993E-2</v>
      </c>
      <c r="G3362" s="26">
        <v>5.4100000000000002E-2</v>
      </c>
      <c r="H3362" s="26">
        <v>8.1100000000000005E-2</v>
      </c>
      <c r="I3362" s="26">
        <v>4.0500000000000001E-2</v>
      </c>
      <c r="J3362" s="26">
        <v>4.0500000000000001E-2</v>
      </c>
      <c r="L3362" s="26">
        <v>1.35E-2</v>
      </c>
      <c r="M3362" s="26">
        <v>1.35E-2</v>
      </c>
      <c r="N3362" s="26">
        <v>1.35E-2</v>
      </c>
      <c r="U3362">
        <v>74</v>
      </c>
    </row>
    <row r="3363" spans="1:21" x14ac:dyDescent="0.35">
      <c r="A3363" t="s">
        <v>231</v>
      </c>
      <c r="B3363" t="s">
        <v>245</v>
      </c>
      <c r="C3363" s="26">
        <v>0.5897</v>
      </c>
      <c r="D3363" s="26">
        <v>0.23080000000000001</v>
      </c>
      <c r="E3363" s="26">
        <v>0.1026</v>
      </c>
      <c r="F3363" s="26">
        <v>7.6899999999999996E-2</v>
      </c>
      <c r="G3363" s="26">
        <v>0.1026</v>
      </c>
      <c r="K3363" s="26">
        <v>2.5600000000000001E-2</v>
      </c>
      <c r="L3363" s="26">
        <v>2.5600000000000001E-2</v>
      </c>
      <c r="U3363">
        <v>39</v>
      </c>
    </row>
    <row r="3364" spans="1:21" x14ac:dyDescent="0.35">
      <c r="A3364" s="27" t="s">
        <v>231</v>
      </c>
      <c r="B3364" s="27" t="s">
        <v>246</v>
      </c>
      <c r="C3364" s="28">
        <v>0.8</v>
      </c>
      <c r="D3364" s="28">
        <v>0.1</v>
      </c>
      <c r="E3364" s="29"/>
      <c r="F3364" s="28">
        <v>0.1</v>
      </c>
      <c r="G3364" s="28">
        <v>0.1</v>
      </c>
      <c r="H3364" s="28">
        <v>0.1</v>
      </c>
      <c r="I3364" s="29"/>
      <c r="J3364" s="29"/>
      <c r="K3364" s="29"/>
      <c r="L3364" s="29"/>
      <c r="M3364" s="29"/>
      <c r="N3364" s="29"/>
      <c r="O3364" s="29"/>
      <c r="P3364" s="29"/>
      <c r="Q3364" s="29"/>
      <c r="R3364" s="29"/>
      <c r="S3364" s="29"/>
      <c r="T3364" s="29"/>
      <c r="U3364" s="29" t="s">
        <v>307</v>
      </c>
    </row>
    <row r="3365" spans="1:21" x14ac:dyDescent="0.35">
      <c r="A3365" t="s">
        <v>232</v>
      </c>
      <c r="B3365" t="s">
        <v>232</v>
      </c>
      <c r="C3365" s="26">
        <v>0.57579999999999998</v>
      </c>
      <c r="D3365" s="26">
        <v>0.21099999999999999</v>
      </c>
      <c r="E3365" s="26">
        <v>0.13300000000000001</v>
      </c>
      <c r="F3365" s="26">
        <v>7.0599999999999996E-2</v>
      </c>
      <c r="G3365" s="26">
        <v>6.08E-2</v>
      </c>
      <c r="H3365" s="26">
        <v>5.74E-2</v>
      </c>
      <c r="I3365" s="26">
        <v>3.9300000000000002E-2</v>
      </c>
      <c r="J3365" s="26">
        <v>2.07E-2</v>
      </c>
      <c r="K3365" s="26">
        <v>1.9199999999999998E-2</v>
      </c>
      <c r="L3365" s="26">
        <v>1.37E-2</v>
      </c>
      <c r="M3365" s="26">
        <v>1.23E-2</v>
      </c>
      <c r="N3365" s="26">
        <v>1.2E-2</v>
      </c>
      <c r="O3365" s="26">
        <v>1.17E-2</v>
      </c>
      <c r="P3365" s="26">
        <v>1.12E-2</v>
      </c>
      <c r="Q3365" s="26">
        <v>1.01E-2</v>
      </c>
      <c r="R3365" s="26">
        <v>2.8999999999999998E-3</v>
      </c>
      <c r="S3365" s="26">
        <v>1.8E-3</v>
      </c>
      <c r="T3365" s="26">
        <v>2.9999999999999997E-4</v>
      </c>
      <c r="U3365">
        <v>2083</v>
      </c>
    </row>
    <row r="3367" spans="1:21" x14ac:dyDescent="0.35">
      <c r="A3367" s="1" t="s">
        <v>611</v>
      </c>
    </row>
    <row r="3368" spans="1:21" x14ac:dyDescent="0.35">
      <c r="A3368" t="s">
        <v>219</v>
      </c>
      <c r="B3368" t="s">
        <v>305</v>
      </c>
      <c r="C3368" t="s">
        <v>320</v>
      </c>
      <c r="D3368" t="s">
        <v>593</v>
      </c>
      <c r="E3368" t="s">
        <v>594</v>
      </c>
      <c r="F3368" t="s">
        <v>595</v>
      </c>
      <c r="G3368" t="s">
        <v>596</v>
      </c>
      <c r="H3368" t="s">
        <v>597</v>
      </c>
      <c r="I3368" t="s">
        <v>598</v>
      </c>
      <c r="J3368" t="s">
        <v>599</v>
      </c>
      <c r="K3368" t="s">
        <v>600</v>
      </c>
      <c r="L3368" t="s">
        <v>601</v>
      </c>
      <c r="M3368" t="s">
        <v>602</v>
      </c>
      <c r="N3368" t="s">
        <v>603</v>
      </c>
      <c r="O3368" t="s">
        <v>604</v>
      </c>
      <c r="P3368" t="s">
        <v>605</v>
      </c>
      <c r="Q3368" t="s">
        <v>606</v>
      </c>
      <c r="R3368" t="s">
        <v>607</v>
      </c>
      <c r="S3368" t="s">
        <v>281</v>
      </c>
      <c r="T3368" t="s">
        <v>286</v>
      </c>
      <c r="U3368" t="s">
        <v>226</v>
      </c>
    </row>
    <row r="3369" spans="1:21" x14ac:dyDescent="0.35">
      <c r="A3369" t="s">
        <v>227</v>
      </c>
      <c r="B3369" t="s">
        <v>360</v>
      </c>
      <c r="C3369" s="26">
        <v>0.4194</v>
      </c>
      <c r="D3369" s="26">
        <v>0.3548</v>
      </c>
      <c r="E3369" s="26">
        <v>0.1613</v>
      </c>
      <c r="F3369" s="26">
        <v>9.6799999999999997E-2</v>
      </c>
      <c r="G3369" s="26">
        <v>3.2300000000000002E-2</v>
      </c>
      <c r="I3369" s="26">
        <v>3.2300000000000002E-2</v>
      </c>
      <c r="J3369" s="26">
        <v>9.6799999999999997E-2</v>
      </c>
      <c r="K3369" s="26">
        <v>6.4500000000000002E-2</v>
      </c>
      <c r="L3369" s="26">
        <v>3.2300000000000002E-2</v>
      </c>
      <c r="P3369" s="26">
        <v>3.2300000000000002E-2</v>
      </c>
      <c r="Q3369" s="26">
        <v>6.4500000000000002E-2</v>
      </c>
      <c r="U3369">
        <v>31</v>
      </c>
    </row>
    <row r="3370" spans="1:21" x14ac:dyDescent="0.35">
      <c r="A3370" s="27" t="s">
        <v>227</v>
      </c>
      <c r="B3370" s="27" t="s">
        <v>361</v>
      </c>
      <c r="C3370" s="28">
        <v>0.90480000000000005</v>
      </c>
      <c r="D3370" s="28">
        <v>4.7600000000000003E-2</v>
      </c>
      <c r="E3370" s="28">
        <v>9.5200000000000007E-2</v>
      </c>
      <c r="F3370" s="29"/>
      <c r="G3370" s="29"/>
      <c r="H3370" s="28">
        <v>4.7600000000000003E-2</v>
      </c>
      <c r="I3370" s="29"/>
      <c r="J3370" s="29"/>
      <c r="K3370" s="29"/>
      <c r="L3370" s="29"/>
      <c r="M3370" s="29"/>
      <c r="N3370" s="29"/>
      <c r="O3370" s="29"/>
      <c r="P3370" s="29"/>
      <c r="Q3370" s="29"/>
      <c r="R3370" s="29"/>
      <c r="S3370" s="29"/>
      <c r="T3370" s="29"/>
      <c r="U3370" s="29" t="s">
        <v>351</v>
      </c>
    </row>
    <row r="3371" spans="1:21" x14ac:dyDescent="0.35">
      <c r="A3371" t="s">
        <v>227</v>
      </c>
      <c r="B3371" t="s">
        <v>362</v>
      </c>
      <c r="C3371" s="26">
        <v>0.58819999999999995</v>
      </c>
      <c r="D3371" s="26">
        <v>0.23530000000000001</v>
      </c>
      <c r="E3371" s="26">
        <v>8.8200000000000001E-2</v>
      </c>
      <c r="F3371" s="26">
        <v>2.9399999999999999E-2</v>
      </c>
      <c r="G3371" s="26">
        <v>5.8799999999999998E-2</v>
      </c>
      <c r="H3371" s="26">
        <v>2.9399999999999999E-2</v>
      </c>
      <c r="L3371" s="26">
        <v>2.9399999999999999E-2</v>
      </c>
      <c r="U3371">
        <v>34</v>
      </c>
    </row>
    <row r="3372" spans="1:21" x14ac:dyDescent="0.35">
      <c r="A3372" t="s">
        <v>227</v>
      </c>
      <c r="B3372" t="s">
        <v>363</v>
      </c>
      <c r="C3372" s="26">
        <v>0.59379999999999999</v>
      </c>
      <c r="D3372" s="26">
        <v>0.1875</v>
      </c>
      <c r="E3372" s="26">
        <v>0.125</v>
      </c>
      <c r="G3372" s="26">
        <v>3.1199999999999999E-2</v>
      </c>
      <c r="H3372" s="26">
        <v>3.1199999999999999E-2</v>
      </c>
      <c r="I3372" s="26">
        <v>6.25E-2</v>
      </c>
      <c r="O3372" s="26">
        <v>3.1199999999999999E-2</v>
      </c>
      <c r="S3372" s="26">
        <v>3.1199999999999999E-2</v>
      </c>
      <c r="U3372">
        <v>32</v>
      </c>
    </row>
    <row r="3373" spans="1:21" x14ac:dyDescent="0.35">
      <c r="A3373" t="s">
        <v>228</v>
      </c>
      <c r="B3373" t="s">
        <v>360</v>
      </c>
      <c r="C3373" s="26">
        <v>0.43080000000000002</v>
      </c>
      <c r="D3373" s="26">
        <v>0.35139999999999999</v>
      </c>
      <c r="E3373" s="26">
        <v>0.2591</v>
      </c>
      <c r="F3373" s="26">
        <v>5.4199999999999998E-2</v>
      </c>
      <c r="G3373" s="26">
        <v>0.1749</v>
      </c>
      <c r="H3373" s="26">
        <v>7.2700000000000001E-2</v>
      </c>
      <c r="I3373" s="26">
        <v>5.4399999999999997E-2</v>
      </c>
      <c r="J3373" s="26">
        <v>1.4E-3</v>
      </c>
      <c r="K3373" s="26">
        <v>1.9300000000000001E-2</v>
      </c>
      <c r="L3373" s="26">
        <v>3.8E-3</v>
      </c>
      <c r="M3373" s="26">
        <v>4.1399999999999999E-2</v>
      </c>
      <c r="N3373" s="26">
        <v>2.1499999999999998E-2</v>
      </c>
      <c r="O3373" s="26">
        <v>4.1200000000000001E-2</v>
      </c>
      <c r="P3373" s="26">
        <v>2.0799999999999999E-2</v>
      </c>
      <c r="Q3373" s="26">
        <v>3.1899999999999998E-2</v>
      </c>
      <c r="R3373" s="26">
        <v>3.5000000000000001E-3</v>
      </c>
      <c r="U3373">
        <v>224</v>
      </c>
    </row>
    <row r="3374" spans="1:21" x14ac:dyDescent="0.35">
      <c r="A3374" t="s">
        <v>228</v>
      </c>
      <c r="B3374" t="s">
        <v>361</v>
      </c>
      <c r="C3374" s="26">
        <v>0.59589999999999999</v>
      </c>
      <c r="D3374" s="26">
        <v>0.11650000000000001</v>
      </c>
      <c r="E3374" s="26">
        <v>7.9200000000000007E-2</v>
      </c>
      <c r="F3374" s="26">
        <v>9.9299999999999999E-2</v>
      </c>
      <c r="G3374" s="26">
        <v>1.8700000000000001E-2</v>
      </c>
      <c r="H3374" s="26">
        <v>7.7600000000000002E-2</v>
      </c>
      <c r="I3374" s="26">
        <v>7.6600000000000001E-2</v>
      </c>
      <c r="K3374" s="26">
        <v>3.2599999999999997E-2</v>
      </c>
      <c r="L3374" s="26">
        <v>2.5100000000000001E-2</v>
      </c>
      <c r="M3374" s="26">
        <v>3.5000000000000003E-2</v>
      </c>
      <c r="O3374" s="26">
        <v>3.3E-3</v>
      </c>
      <c r="Q3374" s="26">
        <v>2.5100000000000001E-2</v>
      </c>
      <c r="R3374" s="26">
        <v>7.1000000000000004E-3</v>
      </c>
      <c r="U3374">
        <v>127</v>
      </c>
    </row>
    <row r="3375" spans="1:21" x14ac:dyDescent="0.35">
      <c r="A3375" t="s">
        <v>228</v>
      </c>
      <c r="B3375" t="s">
        <v>363</v>
      </c>
      <c r="C3375" s="26">
        <v>0.56540000000000001</v>
      </c>
      <c r="D3375" s="26">
        <v>0.1694</v>
      </c>
      <c r="E3375" s="26">
        <v>0.15210000000000001</v>
      </c>
      <c r="F3375" s="26">
        <v>2.23E-2</v>
      </c>
      <c r="G3375" s="26">
        <v>8.7599999999999997E-2</v>
      </c>
      <c r="H3375" s="26">
        <v>0.1041</v>
      </c>
      <c r="I3375" s="26">
        <v>4.1500000000000002E-2</v>
      </c>
      <c r="J3375" s="26">
        <v>1.77E-2</v>
      </c>
      <c r="K3375" s="26">
        <v>3.0300000000000001E-2</v>
      </c>
      <c r="L3375" s="26">
        <v>1.77E-2</v>
      </c>
      <c r="M3375" s="26">
        <v>2.24E-2</v>
      </c>
      <c r="N3375" s="26">
        <v>3.0499999999999999E-2</v>
      </c>
      <c r="O3375" s="26">
        <v>6.1999999999999998E-3</v>
      </c>
      <c r="P3375" s="26">
        <v>1.9E-2</v>
      </c>
      <c r="Q3375" s="26">
        <v>1.0999999999999999E-2</v>
      </c>
      <c r="U3375">
        <v>167</v>
      </c>
    </row>
    <row r="3376" spans="1:21" x14ac:dyDescent="0.35">
      <c r="A3376" t="s">
        <v>228</v>
      </c>
      <c r="B3376" t="s">
        <v>362</v>
      </c>
      <c r="C3376" s="26">
        <v>0.56999999999999995</v>
      </c>
      <c r="D3376" s="26">
        <v>0.21909999999999999</v>
      </c>
      <c r="E3376" s="26">
        <v>0.18559999999999999</v>
      </c>
      <c r="F3376" s="26">
        <v>6.3899999999999998E-2</v>
      </c>
      <c r="G3376" s="26">
        <v>5.7299999999999997E-2</v>
      </c>
      <c r="H3376" s="26">
        <v>4.3999999999999997E-2</v>
      </c>
      <c r="I3376" s="26">
        <v>7.6399999999999996E-2</v>
      </c>
      <c r="J3376" s="26">
        <v>1.77E-2</v>
      </c>
      <c r="K3376" s="26">
        <v>1.3100000000000001E-2</v>
      </c>
      <c r="L3376" s="26">
        <v>8.3999999999999995E-3</v>
      </c>
      <c r="M3376" s="26">
        <v>1.78E-2</v>
      </c>
      <c r="O3376" s="26">
        <v>6.1999999999999998E-3</v>
      </c>
      <c r="P3376" s="26">
        <v>8.0999999999999996E-3</v>
      </c>
      <c r="Q3376" s="26">
        <v>2.9399999999999999E-2</v>
      </c>
      <c r="R3376" s="26">
        <v>2.52E-2</v>
      </c>
      <c r="S3376" s="26">
        <v>8.3999999999999995E-3</v>
      </c>
      <c r="U3376">
        <v>200</v>
      </c>
    </row>
    <row r="3377" spans="1:21" x14ac:dyDescent="0.35">
      <c r="A3377" t="s">
        <v>229</v>
      </c>
      <c r="B3377" t="s">
        <v>363</v>
      </c>
      <c r="C3377" s="26">
        <v>0.5121</v>
      </c>
      <c r="D3377" s="26">
        <v>0.2301</v>
      </c>
      <c r="E3377" s="26">
        <v>0.1178</v>
      </c>
      <c r="F3377" s="26">
        <v>0.1036</v>
      </c>
      <c r="G3377" s="26">
        <v>2.3900000000000001E-2</v>
      </c>
      <c r="H3377" s="26">
        <v>8.6599999999999996E-2</v>
      </c>
      <c r="I3377" s="26">
        <v>3.3099999999999997E-2</v>
      </c>
      <c r="K3377" s="26">
        <v>6.9999999999999999E-4</v>
      </c>
      <c r="L3377" s="26">
        <v>2.0899999999999998E-2</v>
      </c>
      <c r="M3377" s="26">
        <v>2.3199999999999998E-2</v>
      </c>
      <c r="O3377" s="26">
        <v>1.7500000000000002E-2</v>
      </c>
      <c r="P3377" s="26">
        <v>5.9299999999999999E-2</v>
      </c>
      <c r="U3377">
        <v>128</v>
      </c>
    </row>
    <row r="3378" spans="1:21" x14ac:dyDescent="0.35">
      <c r="A3378" t="s">
        <v>229</v>
      </c>
      <c r="B3378" t="s">
        <v>360</v>
      </c>
      <c r="C3378" s="26">
        <v>0.42420000000000002</v>
      </c>
      <c r="D3378" s="26">
        <v>0.3705</v>
      </c>
      <c r="E3378" s="26">
        <v>0.20710000000000001</v>
      </c>
      <c r="F3378" s="26">
        <v>5.3699999999999998E-2</v>
      </c>
      <c r="G3378" s="26">
        <v>0.13339999999999999</v>
      </c>
      <c r="H3378" s="26">
        <v>1.4200000000000001E-2</v>
      </c>
      <c r="I3378" s="26">
        <v>3.3000000000000002E-2</v>
      </c>
      <c r="J3378" s="26">
        <v>3.8800000000000001E-2</v>
      </c>
      <c r="K3378" s="26">
        <v>5.4300000000000001E-2</v>
      </c>
      <c r="L3378" s="26">
        <v>7.7000000000000002E-3</v>
      </c>
      <c r="M3378" s="26">
        <v>6.9999999999999999E-4</v>
      </c>
      <c r="N3378" s="26">
        <v>1.2999999999999999E-3</v>
      </c>
      <c r="O3378" s="26">
        <v>2.07E-2</v>
      </c>
      <c r="P3378" s="26">
        <v>2.46E-2</v>
      </c>
      <c r="Q3378" s="26">
        <v>2.6100000000000002E-2</v>
      </c>
      <c r="R3378" s="26">
        <v>2.46E-2</v>
      </c>
      <c r="U3378">
        <v>135</v>
      </c>
    </row>
    <row r="3379" spans="1:21" x14ac:dyDescent="0.35">
      <c r="A3379" t="s">
        <v>229</v>
      </c>
      <c r="B3379" t="s">
        <v>361</v>
      </c>
      <c r="C3379" s="26">
        <v>0.5151</v>
      </c>
      <c r="D3379" s="26">
        <v>0.1986</v>
      </c>
      <c r="E3379" s="26">
        <v>0.1754</v>
      </c>
      <c r="F3379" s="26">
        <v>0.12180000000000001</v>
      </c>
      <c r="G3379" s="26">
        <v>2.3E-2</v>
      </c>
      <c r="H3379" s="26">
        <v>9.9299999999999999E-2</v>
      </c>
      <c r="I3379" s="26">
        <v>3.73E-2</v>
      </c>
      <c r="J3379" s="26">
        <v>4.19E-2</v>
      </c>
      <c r="K3379" s="26">
        <v>3.49E-2</v>
      </c>
      <c r="L3379" s="26">
        <v>2.1899999999999999E-2</v>
      </c>
      <c r="M3379" s="26">
        <v>1.2999999999999999E-3</v>
      </c>
      <c r="N3379" s="26">
        <v>4.65E-2</v>
      </c>
      <c r="O3379" s="26">
        <v>2.3900000000000001E-2</v>
      </c>
      <c r="P3379" s="26">
        <v>2.1899999999999999E-2</v>
      </c>
      <c r="Q3379" s="26">
        <v>0.01</v>
      </c>
      <c r="U3379">
        <v>146</v>
      </c>
    </row>
    <row r="3380" spans="1:21" x14ac:dyDescent="0.35">
      <c r="A3380" t="s">
        <v>229</v>
      </c>
      <c r="B3380" t="s">
        <v>362</v>
      </c>
      <c r="C3380" s="26">
        <v>0.61650000000000005</v>
      </c>
      <c r="D3380" s="26">
        <v>0.1333</v>
      </c>
      <c r="E3380" s="26">
        <v>0.14319999999999999</v>
      </c>
      <c r="F3380" s="26">
        <v>2.8000000000000001E-2</v>
      </c>
      <c r="G3380" s="26">
        <v>5.7599999999999998E-2</v>
      </c>
      <c r="H3380" s="26">
        <v>3.4700000000000002E-2</v>
      </c>
      <c r="I3380" s="26">
        <v>7.9500000000000001E-2</v>
      </c>
      <c r="J3380" s="26">
        <v>7.1000000000000004E-3</v>
      </c>
      <c r="K3380" s="26">
        <v>2.9600000000000001E-2</v>
      </c>
      <c r="M3380" s="26">
        <v>2.3E-3</v>
      </c>
      <c r="N3380" s="26">
        <v>2.6100000000000002E-2</v>
      </c>
      <c r="O3380" s="26">
        <v>4.7000000000000002E-3</v>
      </c>
      <c r="P3380" s="26">
        <v>2.0199999999999999E-2</v>
      </c>
      <c r="U3380">
        <v>139</v>
      </c>
    </row>
    <row r="3381" spans="1:21" x14ac:dyDescent="0.35">
      <c r="A3381" t="s">
        <v>230</v>
      </c>
      <c r="B3381" t="s">
        <v>360</v>
      </c>
      <c r="C3381" s="26">
        <v>0.39500000000000002</v>
      </c>
      <c r="D3381" s="26">
        <v>0.35970000000000002</v>
      </c>
      <c r="E3381" s="26">
        <v>0.22159999999999999</v>
      </c>
      <c r="F3381" s="26">
        <v>0.2009</v>
      </c>
      <c r="G3381" s="26">
        <v>4.7199999999999999E-2</v>
      </c>
      <c r="H3381" s="26">
        <v>4.4299999999999999E-2</v>
      </c>
      <c r="I3381" s="26">
        <v>5.6800000000000003E-2</v>
      </c>
      <c r="J3381" s="26">
        <v>1.6000000000000001E-3</v>
      </c>
      <c r="L3381" s="26">
        <v>1.6000000000000001E-3</v>
      </c>
      <c r="M3381" s="26">
        <v>3.2000000000000002E-3</v>
      </c>
      <c r="N3381" s="26">
        <v>5.3E-3</v>
      </c>
      <c r="O3381" s="26">
        <v>4.2700000000000002E-2</v>
      </c>
      <c r="P3381" s="26">
        <v>1.6000000000000001E-3</v>
      </c>
      <c r="Q3381" s="26">
        <v>5.4000000000000003E-3</v>
      </c>
      <c r="U3381">
        <v>104</v>
      </c>
    </row>
    <row r="3382" spans="1:21" x14ac:dyDescent="0.35">
      <c r="A3382" t="s">
        <v>230</v>
      </c>
      <c r="B3382" t="s">
        <v>363</v>
      </c>
      <c r="C3382" s="26">
        <v>0.59060000000000001</v>
      </c>
      <c r="D3382" s="26">
        <v>0.2162</v>
      </c>
      <c r="E3382" s="26">
        <v>0.1507</v>
      </c>
      <c r="F3382" s="26">
        <v>5.11E-2</v>
      </c>
      <c r="G3382" s="26">
        <v>6.7500000000000004E-2</v>
      </c>
      <c r="H3382" s="26">
        <v>4.3400000000000001E-2</v>
      </c>
      <c r="I3382" s="26">
        <v>1.37E-2</v>
      </c>
      <c r="K3382" s="26">
        <v>4.7999999999999996E-3</v>
      </c>
      <c r="L3382" s="26">
        <v>2.8899999999999999E-2</v>
      </c>
      <c r="M3382" s="26">
        <v>3.0300000000000001E-2</v>
      </c>
      <c r="O3382" s="26">
        <v>1.5E-3</v>
      </c>
      <c r="U3382">
        <v>99</v>
      </c>
    </row>
    <row r="3383" spans="1:21" x14ac:dyDescent="0.35">
      <c r="A3383" t="s">
        <v>230</v>
      </c>
      <c r="B3383" t="s">
        <v>361</v>
      </c>
      <c r="C3383" s="26">
        <v>0.68269999999999997</v>
      </c>
      <c r="D3383" s="26">
        <v>0.15629999999999999</v>
      </c>
      <c r="E3383" s="26">
        <v>3.8100000000000002E-2</v>
      </c>
      <c r="F3383" s="26">
        <v>7.2700000000000001E-2</v>
      </c>
      <c r="G3383" s="26">
        <v>3.9899999999999998E-2</v>
      </c>
      <c r="H3383" s="26">
        <v>7.8100000000000003E-2</v>
      </c>
      <c r="I3383" s="26">
        <v>1.7600000000000001E-2</v>
      </c>
      <c r="J3383" s="26">
        <v>3.2800000000000003E-2</v>
      </c>
      <c r="K3383" s="26">
        <v>3.3E-3</v>
      </c>
      <c r="M3383" s="26">
        <v>3.2800000000000003E-2</v>
      </c>
      <c r="N3383" s="26">
        <v>3.2800000000000003E-2</v>
      </c>
      <c r="O3383" s="26">
        <v>3.2800000000000003E-2</v>
      </c>
      <c r="Q3383" s="26">
        <v>1.6999999999999999E-3</v>
      </c>
      <c r="U3383">
        <v>71</v>
      </c>
    </row>
    <row r="3384" spans="1:21" x14ac:dyDescent="0.35">
      <c r="A3384" t="s">
        <v>230</v>
      </c>
      <c r="B3384" t="s">
        <v>362</v>
      </c>
      <c r="C3384" s="26">
        <v>0.53600000000000003</v>
      </c>
      <c r="D3384" s="26">
        <v>0.27650000000000002</v>
      </c>
      <c r="E3384" s="26">
        <v>0.1472</v>
      </c>
      <c r="F3384" s="26">
        <v>0.1116</v>
      </c>
      <c r="G3384" s="26">
        <v>0.13439999999999999</v>
      </c>
      <c r="H3384" s="26">
        <v>8.8099999999999998E-2</v>
      </c>
      <c r="I3384" s="26">
        <v>9.3100000000000002E-2</v>
      </c>
      <c r="J3384" s="26">
        <v>5.7700000000000001E-2</v>
      </c>
      <c r="K3384" s="26">
        <v>3.5099999999999999E-2</v>
      </c>
      <c r="M3384" s="26">
        <v>6.3E-3</v>
      </c>
      <c r="N3384" s="26">
        <v>4.7999999999999996E-3</v>
      </c>
      <c r="O3384" s="26">
        <v>5.7700000000000001E-2</v>
      </c>
      <c r="Q3384" s="26">
        <v>2.8799999999999999E-2</v>
      </c>
      <c r="U3384">
        <v>108</v>
      </c>
    </row>
    <row r="3385" spans="1:21" x14ac:dyDescent="0.35">
      <c r="A3385" s="27" t="s">
        <v>231</v>
      </c>
      <c r="B3385" s="27" t="s">
        <v>362</v>
      </c>
      <c r="C3385" s="28">
        <v>0.66669999999999996</v>
      </c>
      <c r="D3385" s="28">
        <v>0.25</v>
      </c>
      <c r="E3385" s="28">
        <v>0.20830000000000001</v>
      </c>
      <c r="F3385" s="28">
        <v>4.1700000000000001E-2</v>
      </c>
      <c r="G3385" s="28">
        <v>8.3299999999999999E-2</v>
      </c>
      <c r="H3385" s="29"/>
      <c r="I3385" s="29"/>
      <c r="J3385" s="29"/>
      <c r="K3385" s="29"/>
      <c r="L3385" s="29"/>
      <c r="M3385" s="29"/>
      <c r="N3385" s="29"/>
      <c r="O3385" s="29"/>
      <c r="P3385" s="29"/>
      <c r="Q3385" s="29"/>
      <c r="R3385" s="29"/>
      <c r="S3385" s="29"/>
      <c r="T3385" s="29"/>
      <c r="U3385" s="29" t="s">
        <v>310</v>
      </c>
    </row>
    <row r="3386" spans="1:21" x14ac:dyDescent="0.35">
      <c r="A3386" t="s">
        <v>231</v>
      </c>
      <c r="B3386" t="s">
        <v>361</v>
      </c>
      <c r="C3386" s="26">
        <v>0.64710000000000001</v>
      </c>
      <c r="D3386" s="26">
        <v>0.14710000000000001</v>
      </c>
      <c r="F3386" s="26">
        <v>0.14710000000000001</v>
      </c>
      <c r="G3386" s="26">
        <v>2.9399999999999999E-2</v>
      </c>
      <c r="H3386" s="26">
        <v>5.8799999999999998E-2</v>
      </c>
      <c r="J3386" s="26">
        <v>2.9399999999999999E-2</v>
      </c>
      <c r="L3386" s="26">
        <v>2.9399999999999999E-2</v>
      </c>
      <c r="U3386">
        <v>34</v>
      </c>
    </row>
    <row r="3387" spans="1:21" x14ac:dyDescent="0.35">
      <c r="A3387" t="s">
        <v>231</v>
      </c>
      <c r="B3387" t="s">
        <v>360</v>
      </c>
      <c r="C3387" s="26">
        <v>0.58819999999999995</v>
      </c>
      <c r="D3387" s="26">
        <v>0.26469999999999999</v>
      </c>
      <c r="E3387" s="26">
        <v>0.14710000000000001</v>
      </c>
      <c r="F3387" s="26">
        <v>5.8799999999999998E-2</v>
      </c>
      <c r="G3387" s="26">
        <v>0.1176</v>
      </c>
      <c r="H3387" s="26">
        <v>8.8200000000000001E-2</v>
      </c>
      <c r="I3387" s="26">
        <v>2.9399999999999999E-2</v>
      </c>
      <c r="J3387" s="26">
        <v>5.8799999999999998E-2</v>
      </c>
      <c r="K3387" s="26">
        <v>2.9399999999999999E-2</v>
      </c>
      <c r="N3387" s="26">
        <v>2.9399999999999999E-2</v>
      </c>
      <c r="U3387">
        <v>34</v>
      </c>
    </row>
    <row r="3388" spans="1:21" x14ac:dyDescent="0.35">
      <c r="A3388" s="27" t="s">
        <v>231</v>
      </c>
      <c r="B3388" s="27" t="s">
        <v>363</v>
      </c>
      <c r="C3388" s="28">
        <v>0.59089999999999998</v>
      </c>
      <c r="D3388" s="28">
        <v>0.13639999999999999</v>
      </c>
      <c r="E3388" s="28">
        <v>4.5499999999999999E-2</v>
      </c>
      <c r="F3388" s="28">
        <v>4.5499999999999999E-2</v>
      </c>
      <c r="G3388" s="28">
        <v>9.0899999999999995E-2</v>
      </c>
      <c r="H3388" s="28">
        <v>4.5499999999999999E-2</v>
      </c>
      <c r="I3388" s="29"/>
      <c r="J3388" s="29"/>
      <c r="K3388" s="29"/>
      <c r="L3388" s="28">
        <v>4.5499999999999999E-2</v>
      </c>
      <c r="M3388" s="28">
        <v>4.5499999999999999E-2</v>
      </c>
      <c r="N3388" s="29"/>
      <c r="O3388" s="29"/>
      <c r="P3388" s="29"/>
      <c r="Q3388" s="29"/>
      <c r="R3388" s="29"/>
      <c r="S3388" s="29"/>
      <c r="T3388" s="29"/>
      <c r="U3388" s="29" t="s">
        <v>347</v>
      </c>
    </row>
    <row r="3389" spans="1:21" x14ac:dyDescent="0.35">
      <c r="A3389" t="s">
        <v>232</v>
      </c>
      <c r="B3389" t="s">
        <v>232</v>
      </c>
      <c r="C3389" s="26">
        <v>0.57579999999999998</v>
      </c>
      <c r="D3389" s="26">
        <v>0.21099999999999999</v>
      </c>
      <c r="E3389" s="26">
        <v>0.13300000000000001</v>
      </c>
      <c r="F3389" s="26">
        <v>7.0599999999999996E-2</v>
      </c>
      <c r="G3389" s="26">
        <v>6.08E-2</v>
      </c>
      <c r="H3389" s="26">
        <v>5.74E-2</v>
      </c>
      <c r="I3389" s="26">
        <v>3.9300000000000002E-2</v>
      </c>
      <c r="J3389" s="26">
        <v>2.07E-2</v>
      </c>
      <c r="K3389" s="26">
        <v>1.9199999999999998E-2</v>
      </c>
      <c r="L3389" s="26">
        <v>1.37E-2</v>
      </c>
      <c r="M3389" s="26">
        <v>1.23E-2</v>
      </c>
      <c r="N3389" s="26">
        <v>1.2E-2</v>
      </c>
      <c r="O3389" s="26">
        <v>1.17E-2</v>
      </c>
      <c r="P3389" s="26">
        <v>1.12E-2</v>
      </c>
      <c r="Q3389" s="26">
        <v>1.01E-2</v>
      </c>
      <c r="R3389" s="26">
        <v>2.8999999999999998E-3</v>
      </c>
      <c r="S3389" s="26">
        <v>1.8E-3</v>
      </c>
      <c r="T3389" s="26">
        <v>2.9999999999999997E-4</v>
      </c>
      <c r="U3389">
        <v>1880</v>
      </c>
    </row>
    <row r="3391" spans="1:21" x14ac:dyDescent="0.35">
      <c r="A3391" s="1" t="s">
        <v>612</v>
      </c>
    </row>
    <row r="3392" spans="1:21" x14ac:dyDescent="0.35">
      <c r="A3392" t="s">
        <v>219</v>
      </c>
      <c r="B3392" t="s">
        <v>305</v>
      </c>
      <c r="C3392" t="s">
        <v>320</v>
      </c>
      <c r="D3392" t="s">
        <v>593</v>
      </c>
      <c r="E3392" t="s">
        <v>594</v>
      </c>
      <c r="F3392" t="s">
        <v>595</v>
      </c>
      <c r="G3392" t="s">
        <v>596</v>
      </c>
      <c r="H3392" t="s">
        <v>597</v>
      </c>
      <c r="I3392" t="s">
        <v>598</v>
      </c>
      <c r="J3392" t="s">
        <v>599</v>
      </c>
      <c r="K3392" t="s">
        <v>600</v>
      </c>
      <c r="L3392" t="s">
        <v>601</v>
      </c>
      <c r="M3392" t="s">
        <v>602</v>
      </c>
      <c r="N3392" t="s">
        <v>603</v>
      </c>
      <c r="O3392" t="s">
        <v>604</v>
      </c>
      <c r="P3392" t="s">
        <v>605</v>
      </c>
      <c r="Q3392" t="s">
        <v>606</v>
      </c>
      <c r="R3392" t="s">
        <v>607</v>
      </c>
      <c r="S3392" t="s">
        <v>281</v>
      </c>
      <c r="T3392" t="s">
        <v>286</v>
      </c>
      <c r="U3392" t="s">
        <v>226</v>
      </c>
    </row>
    <row r="3393" spans="1:21" x14ac:dyDescent="0.35">
      <c r="A3393" s="27" t="s">
        <v>227</v>
      </c>
      <c r="B3393" s="27" t="s">
        <v>267</v>
      </c>
      <c r="C3393" s="28">
        <v>0.72729999999999995</v>
      </c>
      <c r="D3393" s="28">
        <v>0.2273</v>
      </c>
      <c r="E3393" s="28">
        <v>0.18179999999999999</v>
      </c>
      <c r="F3393" s="29"/>
      <c r="G3393" s="29"/>
      <c r="H3393" s="29"/>
      <c r="I3393" s="29"/>
      <c r="J3393" s="29"/>
      <c r="K3393" s="29"/>
      <c r="L3393" s="29"/>
      <c r="M3393" s="29"/>
      <c r="N3393" s="29"/>
      <c r="O3393" s="29"/>
      <c r="P3393" s="29"/>
      <c r="Q3393" s="28">
        <v>4.5499999999999999E-2</v>
      </c>
      <c r="R3393" s="29"/>
      <c r="S3393" s="29"/>
      <c r="T3393" s="29"/>
      <c r="U3393" s="29" t="s">
        <v>347</v>
      </c>
    </row>
    <row r="3394" spans="1:21" x14ac:dyDescent="0.35">
      <c r="A3394" t="s">
        <v>227</v>
      </c>
      <c r="B3394" t="s">
        <v>265</v>
      </c>
      <c r="C3394" s="26">
        <v>0.60340000000000005</v>
      </c>
      <c r="D3394" s="26">
        <v>0.27589999999999998</v>
      </c>
      <c r="E3394" s="26">
        <v>8.6199999999999999E-2</v>
      </c>
      <c r="F3394" s="26">
        <v>3.4500000000000003E-2</v>
      </c>
      <c r="G3394" s="26">
        <v>1.72E-2</v>
      </c>
      <c r="H3394" s="26">
        <v>3.4500000000000003E-2</v>
      </c>
      <c r="I3394" s="26">
        <v>3.4500000000000003E-2</v>
      </c>
      <c r="J3394" s="26">
        <v>5.1700000000000003E-2</v>
      </c>
      <c r="K3394" s="26">
        <v>1.72E-2</v>
      </c>
      <c r="L3394" s="26">
        <v>1.72E-2</v>
      </c>
      <c r="P3394" s="26">
        <v>1.72E-2</v>
      </c>
      <c r="Q3394" s="26">
        <v>1.72E-2</v>
      </c>
      <c r="U3394">
        <v>58</v>
      </c>
    </row>
    <row r="3395" spans="1:21" x14ac:dyDescent="0.35">
      <c r="A3395" t="s">
        <v>227</v>
      </c>
      <c r="B3395" t="s">
        <v>266</v>
      </c>
      <c r="C3395" s="26">
        <v>0.55810000000000004</v>
      </c>
      <c r="D3395" s="26">
        <v>0.1163</v>
      </c>
      <c r="E3395" s="26">
        <v>0.1163</v>
      </c>
      <c r="F3395" s="26">
        <v>6.9800000000000001E-2</v>
      </c>
      <c r="G3395" s="26">
        <v>6.9800000000000001E-2</v>
      </c>
      <c r="H3395" s="26">
        <v>2.3300000000000001E-2</v>
      </c>
      <c r="I3395" s="26">
        <v>2.3300000000000001E-2</v>
      </c>
      <c r="K3395" s="26">
        <v>2.3300000000000001E-2</v>
      </c>
      <c r="L3395" s="26">
        <v>2.3300000000000001E-2</v>
      </c>
      <c r="O3395" s="26">
        <v>2.3300000000000001E-2</v>
      </c>
      <c r="S3395" s="26">
        <v>2.3300000000000001E-2</v>
      </c>
      <c r="U3395">
        <v>43</v>
      </c>
    </row>
    <row r="3396" spans="1:21" x14ac:dyDescent="0.35">
      <c r="A3396" t="s">
        <v>228</v>
      </c>
      <c r="B3396" t="s">
        <v>265</v>
      </c>
      <c r="C3396" s="26">
        <v>0.54469999999999996</v>
      </c>
      <c r="D3396" s="26">
        <v>0.18079999999999999</v>
      </c>
      <c r="E3396" s="26">
        <v>0.1641</v>
      </c>
      <c r="F3396" s="26">
        <v>6.8000000000000005E-2</v>
      </c>
      <c r="G3396" s="26">
        <v>5.5399999999999998E-2</v>
      </c>
      <c r="H3396" s="26">
        <v>8.3199999999999996E-2</v>
      </c>
      <c r="I3396" s="26">
        <v>4.8800000000000003E-2</v>
      </c>
      <c r="J3396" s="26">
        <v>1.1299999999999999E-2</v>
      </c>
      <c r="K3396" s="26">
        <v>3.2099999999999997E-2</v>
      </c>
      <c r="L3396" s="26">
        <v>2.35E-2</v>
      </c>
      <c r="M3396" s="26">
        <v>2.6700000000000002E-2</v>
      </c>
      <c r="N3396" s="26">
        <v>1.34E-2</v>
      </c>
      <c r="O3396" s="26">
        <v>1.78E-2</v>
      </c>
      <c r="P3396" s="26">
        <v>1.4999999999999999E-2</v>
      </c>
      <c r="Q3396" s="26">
        <v>1.49E-2</v>
      </c>
      <c r="R3396" s="26">
        <v>1.1000000000000001E-3</v>
      </c>
      <c r="S3396" s="26">
        <v>1.1999999999999999E-3</v>
      </c>
      <c r="U3396">
        <v>315</v>
      </c>
    </row>
    <row r="3397" spans="1:21" x14ac:dyDescent="0.35">
      <c r="A3397" t="s">
        <v>228</v>
      </c>
      <c r="B3397" t="s">
        <v>267</v>
      </c>
      <c r="C3397" s="26">
        <v>0.6018</v>
      </c>
      <c r="D3397" s="26">
        <v>0.1434</v>
      </c>
      <c r="E3397" s="26">
        <v>0.1018</v>
      </c>
      <c r="F3397" s="26">
        <v>7.0999999999999994E-2</v>
      </c>
      <c r="G3397" s="26">
        <v>6.5100000000000005E-2</v>
      </c>
      <c r="H3397" s="26">
        <v>9.0300000000000005E-2</v>
      </c>
      <c r="I3397" s="26">
        <v>8.6400000000000005E-2</v>
      </c>
      <c r="J3397" s="26">
        <v>2.7799999999999998E-2</v>
      </c>
      <c r="K3397" s="26">
        <v>2.3300000000000001E-2</v>
      </c>
      <c r="M3397" s="26">
        <v>2.7799999999999998E-2</v>
      </c>
      <c r="O3397" s="26">
        <v>9.1999999999999998E-3</v>
      </c>
      <c r="Q3397" s="26">
        <v>5.4999999999999997E-3</v>
      </c>
      <c r="R3397" s="26">
        <v>2.98E-2</v>
      </c>
      <c r="S3397" s="26">
        <v>9.7999999999999997E-3</v>
      </c>
      <c r="U3397">
        <v>139</v>
      </c>
    </row>
    <row r="3398" spans="1:21" x14ac:dyDescent="0.35">
      <c r="A3398" t="s">
        <v>228</v>
      </c>
      <c r="B3398" t="s">
        <v>266</v>
      </c>
      <c r="C3398" s="26">
        <v>0.54649999999999999</v>
      </c>
      <c r="D3398" s="26">
        <v>0.2631</v>
      </c>
      <c r="E3398" s="26">
        <v>0.185</v>
      </c>
      <c r="F3398" s="26">
        <v>4.7800000000000002E-2</v>
      </c>
      <c r="G3398" s="26">
        <v>0.1079</v>
      </c>
      <c r="H3398" s="26">
        <v>0.05</v>
      </c>
      <c r="I3398" s="26">
        <v>5.9700000000000003E-2</v>
      </c>
      <c r="K3398" s="26">
        <v>1.5299999999999999E-2</v>
      </c>
      <c r="L3398" s="26">
        <v>5.7999999999999996E-3</v>
      </c>
      <c r="M3398" s="26">
        <v>2.9600000000000001E-2</v>
      </c>
      <c r="N3398" s="26">
        <v>1.5699999999999999E-2</v>
      </c>
      <c r="O3398" s="26">
        <v>9.9000000000000008E-3</v>
      </c>
      <c r="P3398" s="26">
        <v>1.3299999999999999E-2</v>
      </c>
      <c r="Q3398" s="26">
        <v>2.7900000000000001E-2</v>
      </c>
      <c r="R3398" s="26">
        <v>8.2000000000000007E-3</v>
      </c>
      <c r="U3398">
        <v>347</v>
      </c>
    </row>
    <row r="3399" spans="1:21" x14ac:dyDescent="0.35">
      <c r="A3399" s="27" t="s">
        <v>228</v>
      </c>
      <c r="B3399" s="27" t="s">
        <v>236</v>
      </c>
      <c r="C3399" s="28">
        <v>0.5</v>
      </c>
      <c r="D3399" s="28">
        <v>0.5</v>
      </c>
      <c r="E3399" s="28">
        <v>0.5</v>
      </c>
      <c r="F3399" s="29"/>
      <c r="G3399" s="28">
        <v>0.5</v>
      </c>
      <c r="H3399" s="29"/>
      <c r="I3399" s="29"/>
      <c r="J3399" s="29"/>
      <c r="K3399" s="29"/>
      <c r="L3399" s="29"/>
      <c r="M3399" s="29"/>
      <c r="N3399" s="29"/>
      <c r="O3399" s="29"/>
      <c r="P3399" s="29"/>
      <c r="Q3399" s="28">
        <v>0.5</v>
      </c>
      <c r="R3399" s="29"/>
      <c r="S3399" s="29"/>
      <c r="T3399" s="29"/>
      <c r="U3399" s="29" t="s">
        <v>314</v>
      </c>
    </row>
    <row r="3400" spans="1:21" x14ac:dyDescent="0.35">
      <c r="A3400" t="s">
        <v>229</v>
      </c>
      <c r="B3400" t="s">
        <v>265</v>
      </c>
      <c r="C3400" s="26">
        <v>0.59740000000000004</v>
      </c>
      <c r="D3400" s="26">
        <v>0.16650000000000001</v>
      </c>
      <c r="E3400" s="26">
        <v>0.13109999999999999</v>
      </c>
      <c r="F3400" s="26">
        <v>9.1999999999999998E-2</v>
      </c>
      <c r="G3400" s="26">
        <v>5.21E-2</v>
      </c>
      <c r="H3400" s="26">
        <v>7.1499999999999994E-2</v>
      </c>
      <c r="I3400" s="26">
        <v>9.4999999999999998E-3</v>
      </c>
      <c r="J3400" s="26">
        <v>1.8499999999999999E-2</v>
      </c>
      <c r="K3400" s="26">
        <v>5.6500000000000002E-2</v>
      </c>
      <c r="M3400" s="26">
        <v>1.8E-3</v>
      </c>
      <c r="N3400" s="26">
        <v>1.89E-2</v>
      </c>
      <c r="O3400" s="26">
        <v>9.7000000000000003E-3</v>
      </c>
      <c r="P3400" s="26">
        <v>6.8999999999999999E-3</v>
      </c>
      <c r="Q3400" s="26">
        <v>7.1999999999999998E-3</v>
      </c>
      <c r="R3400" s="26">
        <v>6.8999999999999999E-3</v>
      </c>
      <c r="T3400" s="26">
        <v>1.8E-3</v>
      </c>
      <c r="U3400">
        <v>265</v>
      </c>
    </row>
    <row r="3401" spans="1:21" x14ac:dyDescent="0.35">
      <c r="A3401" t="s">
        <v>229</v>
      </c>
      <c r="B3401" t="s">
        <v>266</v>
      </c>
      <c r="C3401" s="26">
        <v>0.45889999999999997</v>
      </c>
      <c r="D3401" s="26">
        <v>0.25259999999999999</v>
      </c>
      <c r="E3401" s="26">
        <v>0.17879999999999999</v>
      </c>
      <c r="F3401" s="26">
        <v>7.3800000000000004E-2</v>
      </c>
      <c r="G3401" s="26">
        <v>4.0500000000000001E-2</v>
      </c>
      <c r="H3401" s="26">
        <v>5.79E-2</v>
      </c>
      <c r="I3401" s="26">
        <v>7.9899999999999999E-2</v>
      </c>
      <c r="J3401" s="26">
        <v>1.95E-2</v>
      </c>
      <c r="K3401" s="26">
        <v>1.0800000000000001E-2</v>
      </c>
      <c r="L3401" s="26">
        <v>3.6999999999999998E-2</v>
      </c>
      <c r="M3401" s="26">
        <v>2.5899999999999999E-2</v>
      </c>
      <c r="N3401" s="26">
        <v>1.23E-2</v>
      </c>
      <c r="O3401" s="26">
        <v>1.43E-2</v>
      </c>
      <c r="P3401" s="26">
        <v>2.53E-2</v>
      </c>
      <c r="Q3401" s="26">
        <v>3.0000000000000001E-3</v>
      </c>
      <c r="R3401" s="26">
        <v>2.5999999999999999E-3</v>
      </c>
      <c r="U3401">
        <v>233</v>
      </c>
    </row>
    <row r="3402" spans="1:21" x14ac:dyDescent="0.35">
      <c r="A3402" t="s">
        <v>229</v>
      </c>
      <c r="B3402" t="s">
        <v>267</v>
      </c>
      <c r="C3402" s="26">
        <v>0.51500000000000001</v>
      </c>
      <c r="D3402" s="26">
        <v>0.2722</v>
      </c>
      <c r="E3402" s="26">
        <v>0.15859999999999999</v>
      </c>
      <c r="F3402" s="26">
        <v>5.3800000000000001E-2</v>
      </c>
      <c r="G3402" s="26">
        <v>4.0800000000000003E-2</v>
      </c>
      <c r="H3402" s="26">
        <v>6.8000000000000005E-2</v>
      </c>
      <c r="I3402" s="26">
        <v>7.1800000000000003E-2</v>
      </c>
      <c r="J3402" s="26">
        <v>4.19E-2</v>
      </c>
      <c r="M3402" s="26">
        <v>6.9999999999999999E-4</v>
      </c>
      <c r="N3402" s="26">
        <v>4.19E-2</v>
      </c>
      <c r="O3402" s="26">
        <v>4.19E-2</v>
      </c>
      <c r="P3402" s="26">
        <v>8.3699999999999997E-2</v>
      </c>
      <c r="Q3402" s="26">
        <v>1.9099999999999999E-2</v>
      </c>
      <c r="U3402">
        <v>126</v>
      </c>
    </row>
    <row r="3403" spans="1:21" x14ac:dyDescent="0.35">
      <c r="A3403" t="s">
        <v>230</v>
      </c>
      <c r="B3403" t="s">
        <v>265</v>
      </c>
      <c r="C3403" s="26">
        <v>0.62409999999999999</v>
      </c>
      <c r="D3403" s="26">
        <v>0.224</v>
      </c>
      <c r="E3403" s="26">
        <v>0.129</v>
      </c>
      <c r="F3403" s="26">
        <v>0.10879999999999999</v>
      </c>
      <c r="G3403" s="26">
        <v>8.0199999999999994E-2</v>
      </c>
      <c r="H3403" s="26">
        <v>4.1399999999999999E-2</v>
      </c>
      <c r="I3403" s="26">
        <v>4.3799999999999999E-2</v>
      </c>
      <c r="J3403" s="26">
        <v>4.6399999999999997E-2</v>
      </c>
      <c r="L3403" s="26">
        <v>1.52E-2</v>
      </c>
      <c r="M3403" s="26">
        <v>3.3E-3</v>
      </c>
      <c r="N3403" s="26">
        <v>2.5000000000000001E-3</v>
      </c>
      <c r="O3403" s="26">
        <v>1.77E-2</v>
      </c>
      <c r="P3403" s="26">
        <v>8.0000000000000004E-4</v>
      </c>
      <c r="Q3403" s="26">
        <v>1.52E-2</v>
      </c>
      <c r="S3403" s="26">
        <v>2.5999999999999999E-3</v>
      </c>
      <c r="U3403">
        <v>168</v>
      </c>
    </row>
    <row r="3404" spans="1:21" x14ac:dyDescent="0.35">
      <c r="A3404" t="s">
        <v>230</v>
      </c>
      <c r="B3404" t="s">
        <v>267</v>
      </c>
      <c r="C3404" s="26">
        <v>0.56610000000000005</v>
      </c>
      <c r="D3404" s="26">
        <v>0.2069</v>
      </c>
      <c r="E3404" s="26">
        <v>2.0799999999999999E-2</v>
      </c>
      <c r="F3404" s="26">
        <v>2.52E-2</v>
      </c>
      <c r="G3404" s="26">
        <v>3.3500000000000002E-2</v>
      </c>
      <c r="H3404" s="26">
        <v>5.8400000000000001E-2</v>
      </c>
      <c r="I3404" s="26">
        <v>9.5500000000000002E-2</v>
      </c>
      <c r="M3404" s="26">
        <v>4.58E-2</v>
      </c>
      <c r="N3404" s="26">
        <v>3.7600000000000001E-2</v>
      </c>
      <c r="O3404" s="26">
        <v>8.2000000000000007E-3</v>
      </c>
      <c r="U3404">
        <v>75</v>
      </c>
    </row>
    <row r="3405" spans="1:21" x14ac:dyDescent="0.35">
      <c r="A3405" t="s">
        <v>230</v>
      </c>
      <c r="B3405" t="s">
        <v>266</v>
      </c>
      <c r="C3405" s="26">
        <v>0.4199</v>
      </c>
      <c r="D3405" s="26">
        <v>0.29559999999999997</v>
      </c>
      <c r="E3405" s="26">
        <v>0.2198</v>
      </c>
      <c r="F3405" s="26">
        <v>0.15590000000000001</v>
      </c>
      <c r="G3405" s="26">
        <v>7.7100000000000002E-2</v>
      </c>
      <c r="H3405" s="26">
        <v>8.4599999999999995E-2</v>
      </c>
      <c r="I3405" s="26">
        <v>3.32E-2</v>
      </c>
      <c r="K3405" s="26">
        <v>3.44E-2</v>
      </c>
      <c r="L3405" s="26">
        <v>1.1000000000000001E-3</v>
      </c>
      <c r="M3405" s="26">
        <v>2.4E-2</v>
      </c>
      <c r="N3405" s="26">
        <v>2.4299999999999999E-2</v>
      </c>
      <c r="O3405" s="26">
        <v>6.6000000000000003E-2</v>
      </c>
      <c r="Q3405" s="26">
        <v>4.5999999999999999E-3</v>
      </c>
      <c r="U3405">
        <v>167</v>
      </c>
    </row>
    <row r="3406" spans="1:21" x14ac:dyDescent="0.35">
      <c r="A3406" t="s">
        <v>231</v>
      </c>
      <c r="B3406" t="s">
        <v>266</v>
      </c>
      <c r="C3406" s="26">
        <v>0.59089999999999998</v>
      </c>
      <c r="D3406" s="26">
        <v>0.25</v>
      </c>
      <c r="E3406" s="26">
        <v>0.13639999999999999</v>
      </c>
      <c r="F3406" s="26">
        <v>6.8199999999999997E-2</v>
      </c>
      <c r="G3406" s="26">
        <v>0.11360000000000001</v>
      </c>
      <c r="H3406" s="26">
        <v>4.5499999999999999E-2</v>
      </c>
      <c r="J3406" s="26">
        <v>2.2700000000000001E-2</v>
      </c>
      <c r="U3406">
        <v>44</v>
      </c>
    </row>
    <row r="3407" spans="1:21" x14ac:dyDescent="0.35">
      <c r="A3407" t="s">
        <v>231</v>
      </c>
      <c r="B3407" t="s">
        <v>265</v>
      </c>
      <c r="C3407" s="26">
        <v>0.67269999999999996</v>
      </c>
      <c r="D3407" s="26">
        <v>0.1091</v>
      </c>
      <c r="E3407" s="26">
        <v>7.2700000000000001E-2</v>
      </c>
      <c r="F3407" s="26">
        <v>7.2700000000000001E-2</v>
      </c>
      <c r="G3407" s="26">
        <v>5.45E-2</v>
      </c>
      <c r="H3407" s="26">
        <v>9.0899999999999995E-2</v>
      </c>
      <c r="I3407" s="26">
        <v>5.45E-2</v>
      </c>
      <c r="J3407" s="26">
        <v>3.6400000000000002E-2</v>
      </c>
      <c r="L3407" s="26">
        <v>1.8200000000000001E-2</v>
      </c>
      <c r="M3407" s="26">
        <v>1.8200000000000001E-2</v>
      </c>
      <c r="N3407" s="26">
        <v>1.8200000000000001E-2</v>
      </c>
      <c r="U3407">
        <v>55</v>
      </c>
    </row>
    <row r="3408" spans="1:21" x14ac:dyDescent="0.35">
      <c r="A3408" s="27" t="s">
        <v>231</v>
      </c>
      <c r="B3408" s="27" t="s">
        <v>267</v>
      </c>
      <c r="C3408" s="28">
        <v>0.58330000000000004</v>
      </c>
      <c r="D3408" s="28">
        <v>0.29170000000000001</v>
      </c>
      <c r="E3408" s="28">
        <v>8.3299999999999999E-2</v>
      </c>
      <c r="F3408" s="28">
        <v>8.3299999999999999E-2</v>
      </c>
      <c r="G3408" s="28">
        <v>4.1700000000000001E-2</v>
      </c>
      <c r="H3408" s="29"/>
      <c r="I3408" s="29"/>
      <c r="J3408" s="29"/>
      <c r="K3408" s="28">
        <v>4.1700000000000001E-2</v>
      </c>
      <c r="L3408" s="28">
        <v>4.1700000000000001E-2</v>
      </c>
      <c r="M3408" s="29"/>
      <c r="N3408" s="29"/>
      <c r="O3408" s="29"/>
      <c r="P3408" s="29"/>
      <c r="Q3408" s="29"/>
      <c r="R3408" s="29"/>
      <c r="S3408" s="29"/>
      <c r="T3408" s="29"/>
      <c r="U3408" s="29" t="s">
        <v>310</v>
      </c>
    </row>
    <row r="3409" spans="1:21" x14ac:dyDescent="0.35">
      <c r="A3409" t="s">
        <v>232</v>
      </c>
      <c r="B3409" t="s">
        <v>232</v>
      </c>
      <c r="C3409" s="26">
        <v>0.57579999999999998</v>
      </c>
      <c r="D3409" s="26">
        <v>0.21099999999999999</v>
      </c>
      <c r="E3409" s="26">
        <v>0.13300000000000001</v>
      </c>
      <c r="F3409" s="26">
        <v>7.0599999999999996E-2</v>
      </c>
      <c r="G3409" s="26">
        <v>6.08E-2</v>
      </c>
      <c r="H3409" s="26">
        <v>5.74E-2</v>
      </c>
      <c r="I3409" s="26">
        <v>3.9300000000000002E-2</v>
      </c>
      <c r="J3409" s="26">
        <v>2.07E-2</v>
      </c>
      <c r="K3409" s="26">
        <v>1.9199999999999998E-2</v>
      </c>
      <c r="L3409" s="26">
        <v>1.37E-2</v>
      </c>
      <c r="M3409" s="26">
        <v>1.23E-2</v>
      </c>
      <c r="N3409" s="26">
        <v>1.2E-2</v>
      </c>
      <c r="O3409" s="26">
        <v>1.17E-2</v>
      </c>
      <c r="P3409" s="26">
        <v>1.12E-2</v>
      </c>
      <c r="Q3409" s="26">
        <v>1.01E-2</v>
      </c>
      <c r="R3409" s="26">
        <v>2.8999999999999998E-3</v>
      </c>
      <c r="S3409" s="26">
        <v>1.8E-3</v>
      </c>
      <c r="T3409" s="26">
        <v>2.9999999999999997E-4</v>
      </c>
      <c r="U3409">
        <v>2083</v>
      </c>
    </row>
    <row r="3411" spans="1:21" x14ac:dyDescent="0.35">
      <c r="A3411" s="1" t="s">
        <v>613</v>
      </c>
    </row>
    <row r="3412" spans="1:21" x14ac:dyDescent="0.35">
      <c r="A3412" t="s">
        <v>219</v>
      </c>
      <c r="B3412" t="s">
        <v>305</v>
      </c>
      <c r="C3412" t="s">
        <v>320</v>
      </c>
      <c r="D3412" t="s">
        <v>593</v>
      </c>
      <c r="E3412" t="s">
        <v>594</v>
      </c>
      <c r="F3412" t="s">
        <v>595</v>
      </c>
      <c r="G3412" t="s">
        <v>596</v>
      </c>
      <c r="H3412" t="s">
        <v>597</v>
      </c>
      <c r="I3412" t="s">
        <v>598</v>
      </c>
      <c r="J3412" t="s">
        <v>599</v>
      </c>
      <c r="K3412" t="s">
        <v>600</v>
      </c>
      <c r="L3412" t="s">
        <v>601</v>
      </c>
      <c r="M3412" t="s">
        <v>602</v>
      </c>
      <c r="N3412" t="s">
        <v>603</v>
      </c>
      <c r="O3412" t="s">
        <v>604</v>
      </c>
      <c r="P3412" t="s">
        <v>605</v>
      </c>
      <c r="Q3412" t="s">
        <v>606</v>
      </c>
      <c r="R3412" t="s">
        <v>607</v>
      </c>
      <c r="S3412" t="s">
        <v>281</v>
      </c>
      <c r="T3412" t="s">
        <v>286</v>
      </c>
      <c r="U3412" t="s">
        <v>226</v>
      </c>
    </row>
    <row r="3413" spans="1:21" x14ac:dyDescent="0.35">
      <c r="A3413" t="s">
        <v>227</v>
      </c>
      <c r="B3413" t="s">
        <v>252</v>
      </c>
      <c r="C3413" s="26">
        <v>0.65790000000000004</v>
      </c>
      <c r="D3413" s="26">
        <v>0.15790000000000001</v>
      </c>
      <c r="E3413" s="26">
        <v>0.1053</v>
      </c>
      <c r="F3413" s="26">
        <v>5.2600000000000001E-2</v>
      </c>
      <c r="G3413" s="26">
        <v>2.63E-2</v>
      </c>
      <c r="H3413" s="26">
        <v>2.63E-2</v>
      </c>
      <c r="K3413" s="26">
        <v>2.63E-2</v>
      </c>
      <c r="S3413" s="26">
        <v>2.63E-2</v>
      </c>
      <c r="U3413">
        <v>38</v>
      </c>
    </row>
    <row r="3414" spans="1:21" x14ac:dyDescent="0.35">
      <c r="A3414" t="s">
        <v>227</v>
      </c>
      <c r="B3414" t="s">
        <v>253</v>
      </c>
      <c r="C3414" s="26">
        <v>0.5484</v>
      </c>
      <c r="D3414" s="26">
        <v>0.3548</v>
      </c>
      <c r="E3414" s="26">
        <v>0.129</v>
      </c>
      <c r="G3414" s="26">
        <v>3.2300000000000002E-2</v>
      </c>
      <c r="J3414" s="26">
        <v>3.2300000000000002E-2</v>
      </c>
      <c r="K3414" s="26">
        <v>3.2300000000000002E-2</v>
      </c>
      <c r="L3414" s="26">
        <v>3.2300000000000002E-2</v>
      </c>
      <c r="O3414" s="26">
        <v>3.2300000000000002E-2</v>
      </c>
      <c r="Q3414" s="26">
        <v>3.2300000000000002E-2</v>
      </c>
      <c r="U3414">
        <v>31</v>
      </c>
    </row>
    <row r="3415" spans="1:21" x14ac:dyDescent="0.35">
      <c r="A3415" t="s">
        <v>227</v>
      </c>
      <c r="B3415" t="s">
        <v>251</v>
      </c>
      <c r="C3415" s="26">
        <v>0.61109999999999998</v>
      </c>
      <c r="D3415" s="26">
        <v>0.16669999999999999</v>
      </c>
      <c r="E3415" s="26">
        <v>0.1111</v>
      </c>
      <c r="F3415" s="26">
        <v>5.5599999999999997E-2</v>
      </c>
      <c r="G3415" s="26">
        <v>3.6999999999999998E-2</v>
      </c>
      <c r="H3415" s="26">
        <v>3.6999999999999998E-2</v>
      </c>
      <c r="I3415" s="26">
        <v>5.5599999999999997E-2</v>
      </c>
      <c r="J3415" s="26">
        <v>3.6999999999999998E-2</v>
      </c>
      <c r="L3415" s="26">
        <v>1.8499999999999999E-2</v>
      </c>
      <c r="P3415" s="26">
        <v>1.8499999999999999E-2</v>
      </c>
      <c r="Q3415" s="26">
        <v>1.8499999999999999E-2</v>
      </c>
      <c r="U3415">
        <v>54</v>
      </c>
    </row>
    <row r="3416" spans="1:21" x14ac:dyDescent="0.35">
      <c r="A3416" t="s">
        <v>228</v>
      </c>
      <c r="B3416" t="s">
        <v>252</v>
      </c>
      <c r="C3416" s="26">
        <v>0.55630000000000002</v>
      </c>
      <c r="D3416" s="26">
        <v>0.25140000000000001</v>
      </c>
      <c r="E3416" s="26">
        <v>0.1666</v>
      </c>
      <c r="F3416" s="26">
        <v>4.3400000000000001E-2</v>
      </c>
      <c r="G3416" s="26">
        <v>9.7900000000000001E-2</v>
      </c>
      <c r="H3416" s="26">
        <v>7.4300000000000005E-2</v>
      </c>
      <c r="I3416" s="26">
        <v>4.2799999999999998E-2</v>
      </c>
      <c r="J3416" s="26">
        <v>1.24E-2</v>
      </c>
      <c r="K3416" s="26">
        <v>1.66E-2</v>
      </c>
      <c r="L3416" s="26">
        <v>1.83E-2</v>
      </c>
      <c r="M3416" s="26">
        <v>3.7900000000000003E-2</v>
      </c>
      <c r="N3416" s="26">
        <v>1.6799999999999999E-2</v>
      </c>
      <c r="O3416" s="26">
        <v>1.9800000000000002E-2</v>
      </c>
      <c r="P3416" s="26">
        <v>8.9999999999999998E-4</v>
      </c>
      <c r="Q3416" s="26">
        <v>1.37E-2</v>
      </c>
      <c r="R3416" s="26">
        <v>5.3E-3</v>
      </c>
      <c r="U3416">
        <v>301</v>
      </c>
    </row>
    <row r="3417" spans="1:21" x14ac:dyDescent="0.35">
      <c r="A3417" t="s">
        <v>228</v>
      </c>
      <c r="B3417" t="s">
        <v>253</v>
      </c>
      <c r="C3417" s="26">
        <v>0.50280000000000002</v>
      </c>
      <c r="D3417" s="26">
        <v>0.22739999999999999</v>
      </c>
      <c r="E3417" s="26">
        <v>0.1888</v>
      </c>
      <c r="F3417" s="26">
        <v>4.6600000000000003E-2</v>
      </c>
      <c r="G3417" s="26">
        <v>8.8599999999999998E-2</v>
      </c>
      <c r="H3417" s="26">
        <v>4.8599999999999997E-2</v>
      </c>
      <c r="I3417" s="26">
        <v>7.3300000000000004E-2</v>
      </c>
      <c r="J3417" s="26">
        <v>1.2999999999999999E-3</v>
      </c>
      <c r="K3417" s="26">
        <v>3.6999999999999998E-2</v>
      </c>
      <c r="L3417" s="26">
        <v>2.23E-2</v>
      </c>
      <c r="M3417" s="26">
        <v>3.5400000000000001E-2</v>
      </c>
      <c r="N3417" s="26">
        <v>4.4999999999999997E-3</v>
      </c>
      <c r="O3417" s="26">
        <v>1.2699999999999999E-2</v>
      </c>
      <c r="Q3417" s="26">
        <v>4.5100000000000001E-2</v>
      </c>
      <c r="R3417" s="26">
        <v>1.9199999999999998E-2</v>
      </c>
      <c r="U3417">
        <v>202</v>
      </c>
    </row>
    <row r="3418" spans="1:21" x14ac:dyDescent="0.35">
      <c r="A3418" t="s">
        <v>228</v>
      </c>
      <c r="B3418" t="s">
        <v>251</v>
      </c>
      <c r="C3418" s="26">
        <v>0.58150000000000002</v>
      </c>
      <c r="D3418" s="26">
        <v>0.1678</v>
      </c>
      <c r="E3418" s="26">
        <v>0.15179999999999999</v>
      </c>
      <c r="F3418" s="26">
        <v>8.1100000000000005E-2</v>
      </c>
      <c r="G3418" s="26">
        <v>6.4699999999999994E-2</v>
      </c>
      <c r="H3418" s="26">
        <v>7.9200000000000007E-2</v>
      </c>
      <c r="I3418" s="26">
        <v>6.3299999999999995E-2</v>
      </c>
      <c r="J3418" s="26">
        <v>1.11E-2</v>
      </c>
      <c r="K3418" s="26">
        <v>2.1700000000000001E-2</v>
      </c>
      <c r="L3418" s="26">
        <v>2E-3</v>
      </c>
      <c r="M3418" s="26">
        <v>1.4999999999999999E-2</v>
      </c>
      <c r="N3418" s="26">
        <v>1.2800000000000001E-2</v>
      </c>
      <c r="O3418" s="26">
        <v>7.7999999999999996E-3</v>
      </c>
      <c r="P3418" s="26">
        <v>2.8000000000000001E-2</v>
      </c>
      <c r="Q3418" s="26">
        <v>1.7600000000000001E-2</v>
      </c>
      <c r="R3418" s="26">
        <v>4.7999999999999996E-3</v>
      </c>
      <c r="S3418" s="26">
        <v>4.8999999999999998E-3</v>
      </c>
      <c r="U3418">
        <v>300</v>
      </c>
    </row>
    <row r="3419" spans="1:21" x14ac:dyDescent="0.35">
      <c r="A3419" t="s">
        <v>229</v>
      </c>
      <c r="B3419" t="s">
        <v>252</v>
      </c>
      <c r="C3419" s="26">
        <v>0.59160000000000001</v>
      </c>
      <c r="D3419" s="26">
        <v>0.18679999999999999</v>
      </c>
      <c r="E3419" s="26">
        <v>0.12130000000000001</v>
      </c>
      <c r="F3419" s="26">
        <v>9.9000000000000008E-3</v>
      </c>
      <c r="G3419" s="26">
        <v>2.76E-2</v>
      </c>
      <c r="H3419" s="26">
        <v>7.2900000000000006E-2</v>
      </c>
      <c r="I3419" s="26">
        <v>4.8099999999999997E-2</v>
      </c>
      <c r="K3419" s="26">
        <v>2.23E-2</v>
      </c>
      <c r="L3419" s="26">
        <v>2.0500000000000001E-2</v>
      </c>
      <c r="M3419" s="26">
        <v>1.7600000000000001E-2</v>
      </c>
      <c r="O3419" s="26">
        <v>1.29E-2</v>
      </c>
      <c r="P3419" s="26">
        <v>6.1699999999999998E-2</v>
      </c>
      <c r="Q3419" s="26">
        <v>3.8999999999999998E-3</v>
      </c>
      <c r="U3419">
        <v>176</v>
      </c>
    </row>
    <row r="3420" spans="1:21" x14ac:dyDescent="0.35">
      <c r="A3420" t="s">
        <v>229</v>
      </c>
      <c r="B3420" t="s">
        <v>253</v>
      </c>
      <c r="C3420" s="26">
        <v>0.48070000000000002</v>
      </c>
      <c r="D3420" s="26">
        <v>0.32419999999999999</v>
      </c>
      <c r="E3420" s="26">
        <v>0.2185</v>
      </c>
      <c r="F3420" s="26">
        <v>6.8199999999999997E-2</v>
      </c>
      <c r="G3420" s="26">
        <v>8.8900000000000007E-2</v>
      </c>
      <c r="H3420" s="26">
        <v>3.6299999999999999E-2</v>
      </c>
      <c r="I3420" s="26">
        <v>4.2000000000000003E-2</v>
      </c>
      <c r="J3420" s="26">
        <v>7.5499999999999998E-2</v>
      </c>
      <c r="K3420" s="26">
        <v>3.44E-2</v>
      </c>
      <c r="N3420" s="26">
        <v>3.8999999999999998E-3</v>
      </c>
      <c r="O3420" s="26">
        <v>3.1899999999999998E-2</v>
      </c>
      <c r="P3420" s="26">
        <v>3.1899999999999998E-2</v>
      </c>
      <c r="Q3420" s="26">
        <v>1.4500000000000001E-2</v>
      </c>
      <c r="U3420">
        <v>129</v>
      </c>
    </row>
    <row r="3421" spans="1:21" x14ac:dyDescent="0.35">
      <c r="A3421" t="s">
        <v>229</v>
      </c>
      <c r="B3421" t="s">
        <v>251</v>
      </c>
      <c r="C3421" s="26">
        <v>0.53180000000000005</v>
      </c>
      <c r="D3421" s="26">
        <v>0.1792</v>
      </c>
      <c r="E3421" s="26">
        <v>0.1381</v>
      </c>
      <c r="F3421" s="26">
        <v>0.1192</v>
      </c>
      <c r="G3421" s="26">
        <v>3.6299999999999999E-2</v>
      </c>
      <c r="H3421" s="26">
        <v>7.6300000000000007E-2</v>
      </c>
      <c r="I3421" s="26">
        <v>4.3799999999999999E-2</v>
      </c>
      <c r="J3421" s="26">
        <v>1.09E-2</v>
      </c>
      <c r="K3421" s="26">
        <v>3.3799999999999997E-2</v>
      </c>
      <c r="L3421" s="26">
        <v>1.44E-2</v>
      </c>
      <c r="M3421" s="26">
        <v>1.04E-2</v>
      </c>
      <c r="N3421" s="26">
        <v>3.8800000000000001E-2</v>
      </c>
      <c r="O3421" s="26">
        <v>1.2200000000000001E-2</v>
      </c>
      <c r="P3421" s="26">
        <v>6.4999999999999997E-3</v>
      </c>
      <c r="Q3421" s="26">
        <v>6.7999999999999996E-3</v>
      </c>
      <c r="R3421" s="26">
        <v>8.3000000000000001E-3</v>
      </c>
      <c r="T3421" s="26">
        <v>1.6999999999999999E-3</v>
      </c>
      <c r="U3421">
        <v>319</v>
      </c>
    </row>
    <row r="3422" spans="1:21" x14ac:dyDescent="0.35">
      <c r="A3422" t="s">
        <v>230</v>
      </c>
      <c r="B3422" t="s">
        <v>252</v>
      </c>
      <c r="C3422" s="26">
        <v>0.49430000000000002</v>
      </c>
      <c r="D3422" s="26">
        <v>0.32</v>
      </c>
      <c r="E3422" s="26">
        <v>0.1222</v>
      </c>
      <c r="F3422" s="26">
        <v>6.5100000000000005E-2</v>
      </c>
      <c r="G3422" s="26">
        <v>0.1046</v>
      </c>
      <c r="H3422" s="26">
        <v>5.0299999999999997E-2</v>
      </c>
      <c r="I3422" s="26">
        <v>1.61E-2</v>
      </c>
      <c r="K3422" s="26">
        <v>9.1999999999999998E-3</v>
      </c>
      <c r="M3422" s="26">
        <v>2.3999999999999998E-3</v>
      </c>
      <c r="N3422" s="26">
        <v>3.8999999999999998E-3</v>
      </c>
      <c r="O3422" s="26">
        <v>3.1899999999999998E-2</v>
      </c>
      <c r="P3422" s="26">
        <v>1.1999999999999999E-3</v>
      </c>
      <c r="Q3422" s="26">
        <v>4.0000000000000001E-3</v>
      </c>
      <c r="U3422">
        <v>136</v>
      </c>
    </row>
    <row r="3423" spans="1:21" x14ac:dyDescent="0.35">
      <c r="A3423" t="s">
        <v>230</v>
      </c>
      <c r="B3423" t="s">
        <v>253</v>
      </c>
      <c r="C3423" s="26">
        <v>0.65990000000000004</v>
      </c>
      <c r="D3423" s="26">
        <v>0.24229999999999999</v>
      </c>
      <c r="E3423" s="26">
        <v>0.18329999999999999</v>
      </c>
      <c r="F3423" s="26">
        <v>2.3300000000000001E-2</v>
      </c>
      <c r="G3423" s="26">
        <v>4.19E-2</v>
      </c>
      <c r="H3423" s="26">
        <v>7.3000000000000001E-3</v>
      </c>
      <c r="I3423" s="26">
        <v>5.8799999999999998E-2</v>
      </c>
      <c r="J3423" s="26">
        <v>3.3099999999999997E-2</v>
      </c>
      <c r="K3423" s="26">
        <v>8.8000000000000005E-3</v>
      </c>
      <c r="O3423" s="26">
        <v>7.1000000000000004E-3</v>
      </c>
      <c r="Q3423" s="26">
        <v>1.6999999999999999E-3</v>
      </c>
      <c r="U3423">
        <v>100</v>
      </c>
    </row>
    <row r="3424" spans="1:21" x14ac:dyDescent="0.35">
      <c r="A3424" t="s">
        <v>230</v>
      </c>
      <c r="B3424" t="s">
        <v>251</v>
      </c>
      <c r="C3424" s="26">
        <v>0.52159999999999995</v>
      </c>
      <c r="D3424" s="26">
        <v>0.20069999999999999</v>
      </c>
      <c r="E3424" s="26">
        <v>0.1308</v>
      </c>
      <c r="F3424" s="26">
        <v>0.1739</v>
      </c>
      <c r="G3424" s="26">
        <v>6.1800000000000001E-2</v>
      </c>
      <c r="H3424" s="26">
        <v>8.7999999999999995E-2</v>
      </c>
      <c r="I3424" s="26">
        <v>6.6799999999999998E-2</v>
      </c>
      <c r="J3424" s="26">
        <v>0.03</v>
      </c>
      <c r="K3424" s="26">
        <v>1.47E-2</v>
      </c>
      <c r="L3424" s="26">
        <v>1.54E-2</v>
      </c>
      <c r="M3424" s="26">
        <v>3.6499999999999998E-2</v>
      </c>
      <c r="N3424" s="26">
        <v>3.1699999999999999E-2</v>
      </c>
      <c r="O3424" s="26">
        <v>4.3999999999999997E-2</v>
      </c>
      <c r="Q3424" s="26">
        <v>1.47E-2</v>
      </c>
      <c r="S3424" s="26">
        <v>2.5000000000000001E-3</v>
      </c>
      <c r="U3424">
        <v>174</v>
      </c>
    </row>
    <row r="3425" spans="1:21" x14ac:dyDescent="0.35">
      <c r="A3425" t="s">
        <v>231</v>
      </c>
      <c r="B3425" t="s">
        <v>252</v>
      </c>
      <c r="C3425" s="26">
        <v>0.62790000000000001</v>
      </c>
      <c r="D3425" s="26">
        <v>0.2326</v>
      </c>
      <c r="E3425" s="26">
        <v>6.9800000000000001E-2</v>
      </c>
      <c r="F3425" s="26">
        <v>4.65E-2</v>
      </c>
      <c r="G3425" s="26">
        <v>9.2999999999999999E-2</v>
      </c>
      <c r="H3425" s="26">
        <v>2.3300000000000001E-2</v>
      </c>
      <c r="K3425" s="26">
        <v>2.3300000000000001E-2</v>
      </c>
      <c r="U3425">
        <v>43</v>
      </c>
    </row>
    <row r="3426" spans="1:21" x14ac:dyDescent="0.35">
      <c r="A3426" s="27" t="s">
        <v>231</v>
      </c>
      <c r="B3426" s="27" t="s">
        <v>253</v>
      </c>
      <c r="C3426" s="28">
        <v>0.62960000000000005</v>
      </c>
      <c r="D3426" s="28">
        <v>0.14810000000000001</v>
      </c>
      <c r="E3426" s="28">
        <v>0.14810000000000001</v>
      </c>
      <c r="F3426" s="28">
        <v>7.4099999999999999E-2</v>
      </c>
      <c r="G3426" s="28">
        <v>7.4099999999999999E-2</v>
      </c>
      <c r="H3426" s="28">
        <v>3.6999999999999998E-2</v>
      </c>
      <c r="I3426" s="29"/>
      <c r="J3426" s="28">
        <v>3.6999999999999998E-2</v>
      </c>
      <c r="K3426" s="29"/>
      <c r="L3426" s="29"/>
      <c r="M3426" s="28">
        <v>3.6999999999999998E-2</v>
      </c>
      <c r="N3426" s="29"/>
      <c r="O3426" s="29"/>
      <c r="P3426" s="29"/>
      <c r="Q3426" s="29"/>
      <c r="R3426" s="29"/>
      <c r="S3426" s="29"/>
      <c r="T3426" s="29"/>
      <c r="U3426" s="29" t="s">
        <v>338</v>
      </c>
    </row>
    <row r="3427" spans="1:21" x14ac:dyDescent="0.35">
      <c r="A3427" t="s">
        <v>231</v>
      </c>
      <c r="B3427" t="s">
        <v>251</v>
      </c>
      <c r="C3427" s="26">
        <v>0.62260000000000004</v>
      </c>
      <c r="D3427" s="26">
        <v>0.18870000000000001</v>
      </c>
      <c r="E3427" s="26">
        <v>9.4299999999999995E-2</v>
      </c>
      <c r="F3427" s="26">
        <v>9.4299999999999995E-2</v>
      </c>
      <c r="G3427" s="26">
        <v>5.6599999999999998E-2</v>
      </c>
      <c r="H3427" s="26">
        <v>9.4299999999999995E-2</v>
      </c>
      <c r="I3427" s="26">
        <v>5.6599999999999998E-2</v>
      </c>
      <c r="J3427" s="26">
        <v>3.7699999999999997E-2</v>
      </c>
      <c r="L3427" s="26">
        <v>3.7699999999999997E-2</v>
      </c>
      <c r="N3427" s="26">
        <v>1.89E-2</v>
      </c>
      <c r="U3427">
        <v>53</v>
      </c>
    </row>
    <row r="3428" spans="1:21" x14ac:dyDescent="0.35">
      <c r="A3428" t="s">
        <v>232</v>
      </c>
      <c r="B3428" t="s">
        <v>232</v>
      </c>
      <c r="C3428" s="26">
        <v>0.57579999999999998</v>
      </c>
      <c r="D3428" s="26">
        <v>0.21099999999999999</v>
      </c>
      <c r="E3428" s="26">
        <v>0.13300000000000001</v>
      </c>
      <c r="F3428" s="26">
        <v>7.0599999999999996E-2</v>
      </c>
      <c r="G3428" s="26">
        <v>6.08E-2</v>
      </c>
      <c r="H3428" s="26">
        <v>5.74E-2</v>
      </c>
      <c r="I3428" s="26">
        <v>3.9300000000000002E-2</v>
      </c>
      <c r="J3428" s="26">
        <v>2.07E-2</v>
      </c>
      <c r="K3428" s="26">
        <v>1.9199999999999998E-2</v>
      </c>
      <c r="L3428" s="26">
        <v>1.37E-2</v>
      </c>
      <c r="M3428" s="26">
        <v>1.23E-2</v>
      </c>
      <c r="N3428" s="26">
        <v>1.2E-2</v>
      </c>
      <c r="O3428" s="26">
        <v>1.17E-2</v>
      </c>
      <c r="P3428" s="26">
        <v>1.12E-2</v>
      </c>
      <c r="Q3428" s="26">
        <v>1.01E-2</v>
      </c>
      <c r="R3428" s="26">
        <v>2.8999999999999998E-3</v>
      </c>
      <c r="S3428" s="26">
        <v>1.8E-3</v>
      </c>
      <c r="T3428" s="26">
        <v>2.9999999999999997E-4</v>
      </c>
      <c r="U3428">
        <v>2083</v>
      </c>
    </row>
    <row r="3430" spans="1:21" x14ac:dyDescent="0.35">
      <c r="A3430" s="1" t="s">
        <v>614</v>
      </c>
    </row>
    <row r="3431" spans="1:21" x14ac:dyDescent="0.35">
      <c r="A3431" t="s">
        <v>219</v>
      </c>
      <c r="B3431" t="s">
        <v>305</v>
      </c>
      <c r="C3431" t="s">
        <v>320</v>
      </c>
      <c r="D3431" t="s">
        <v>593</v>
      </c>
      <c r="E3431" t="s">
        <v>594</v>
      </c>
      <c r="F3431" t="s">
        <v>595</v>
      </c>
      <c r="G3431" t="s">
        <v>596</v>
      </c>
      <c r="H3431" t="s">
        <v>597</v>
      </c>
      <c r="I3431" t="s">
        <v>598</v>
      </c>
      <c r="J3431" t="s">
        <v>599</v>
      </c>
      <c r="K3431" t="s">
        <v>600</v>
      </c>
      <c r="L3431" t="s">
        <v>601</v>
      </c>
      <c r="M3431" t="s">
        <v>602</v>
      </c>
      <c r="N3431" t="s">
        <v>603</v>
      </c>
      <c r="O3431" t="s">
        <v>604</v>
      </c>
      <c r="P3431" t="s">
        <v>605</v>
      </c>
      <c r="Q3431" t="s">
        <v>606</v>
      </c>
      <c r="R3431" t="s">
        <v>607</v>
      </c>
      <c r="S3431" t="s">
        <v>281</v>
      </c>
      <c r="T3431" t="s">
        <v>286</v>
      </c>
      <c r="U3431" t="s">
        <v>226</v>
      </c>
    </row>
    <row r="3432" spans="1:21" x14ac:dyDescent="0.35">
      <c r="A3432" t="s">
        <v>227</v>
      </c>
      <c r="B3432" t="s">
        <v>249</v>
      </c>
      <c r="C3432" s="26">
        <v>0.56759999999999999</v>
      </c>
      <c r="D3432" s="26">
        <v>0.2432</v>
      </c>
      <c r="E3432" s="26">
        <v>0.1081</v>
      </c>
      <c r="F3432" s="26">
        <v>2.7E-2</v>
      </c>
      <c r="G3432" s="26">
        <v>5.4100000000000002E-2</v>
      </c>
      <c r="H3432" s="26">
        <v>2.7E-2</v>
      </c>
      <c r="I3432" s="26">
        <v>5.4100000000000002E-2</v>
      </c>
      <c r="J3432" s="26">
        <v>5.4100000000000002E-2</v>
      </c>
      <c r="U3432">
        <v>37</v>
      </c>
    </row>
    <row r="3433" spans="1:21" x14ac:dyDescent="0.35">
      <c r="A3433" t="s">
        <v>227</v>
      </c>
      <c r="B3433" t="s">
        <v>248</v>
      </c>
      <c r="C3433" s="26">
        <v>0.62790000000000001</v>
      </c>
      <c r="D3433" s="26">
        <v>0.19769999999999999</v>
      </c>
      <c r="E3433" s="26">
        <v>0.1163</v>
      </c>
      <c r="F3433" s="26">
        <v>4.65E-2</v>
      </c>
      <c r="G3433" s="26">
        <v>2.3300000000000001E-2</v>
      </c>
      <c r="H3433" s="26">
        <v>2.3300000000000001E-2</v>
      </c>
      <c r="I3433" s="26">
        <v>1.1599999999999999E-2</v>
      </c>
      <c r="J3433" s="26">
        <v>1.1599999999999999E-2</v>
      </c>
      <c r="K3433" s="26">
        <v>2.3300000000000001E-2</v>
      </c>
      <c r="L3433" s="26">
        <v>2.3300000000000001E-2</v>
      </c>
      <c r="O3433" s="26">
        <v>1.1599999999999999E-2</v>
      </c>
      <c r="P3433" s="26">
        <v>1.1599999999999999E-2</v>
      </c>
      <c r="Q3433" s="26">
        <v>2.3300000000000001E-2</v>
      </c>
      <c r="S3433" s="26">
        <v>1.1599999999999999E-2</v>
      </c>
      <c r="U3433">
        <v>86</v>
      </c>
    </row>
    <row r="3434" spans="1:21" x14ac:dyDescent="0.35">
      <c r="A3434" t="s">
        <v>228</v>
      </c>
      <c r="B3434" t="s">
        <v>249</v>
      </c>
      <c r="C3434" s="26">
        <v>0.56610000000000005</v>
      </c>
      <c r="D3434" s="26">
        <v>0.20430000000000001</v>
      </c>
      <c r="E3434" s="26">
        <v>0.19550000000000001</v>
      </c>
      <c r="F3434" s="26">
        <v>4.5400000000000003E-2</v>
      </c>
      <c r="G3434" s="26">
        <v>9.5200000000000007E-2</v>
      </c>
      <c r="H3434" s="26">
        <v>5.3100000000000001E-2</v>
      </c>
      <c r="I3434" s="26">
        <v>5.6099999999999997E-2</v>
      </c>
      <c r="J3434" s="26">
        <v>1.5299999999999999E-2</v>
      </c>
      <c r="K3434" s="26">
        <v>2.8400000000000002E-2</v>
      </c>
      <c r="L3434" s="26">
        <v>1.8E-3</v>
      </c>
      <c r="M3434" s="26">
        <v>1.9599999999999999E-2</v>
      </c>
      <c r="N3434" s="26">
        <v>1.7600000000000001E-2</v>
      </c>
      <c r="O3434" s="26">
        <v>6.6E-3</v>
      </c>
      <c r="P3434" s="26">
        <v>1.77E-2</v>
      </c>
      <c r="Q3434" s="26">
        <v>2.4799999999999999E-2</v>
      </c>
      <c r="R3434" s="26">
        <v>2.5999999999999999E-3</v>
      </c>
      <c r="U3434">
        <v>203</v>
      </c>
    </row>
    <row r="3435" spans="1:21" x14ac:dyDescent="0.35">
      <c r="A3435" t="s">
        <v>228</v>
      </c>
      <c r="B3435" t="s">
        <v>248</v>
      </c>
      <c r="C3435" s="26">
        <v>0.54859999999999998</v>
      </c>
      <c r="D3435" s="26">
        <v>0.21390000000000001</v>
      </c>
      <c r="E3435" s="26">
        <v>0.15310000000000001</v>
      </c>
      <c r="F3435" s="26">
        <v>6.59E-2</v>
      </c>
      <c r="G3435" s="26">
        <v>7.6200000000000004E-2</v>
      </c>
      <c r="H3435" s="26">
        <v>7.7499999999999999E-2</v>
      </c>
      <c r="I3435" s="26">
        <v>5.9700000000000003E-2</v>
      </c>
      <c r="J3435" s="26">
        <v>6.6E-3</v>
      </c>
      <c r="K3435" s="26">
        <v>2.1600000000000001E-2</v>
      </c>
      <c r="L3435" s="26">
        <v>1.72E-2</v>
      </c>
      <c r="M3435" s="26">
        <v>3.1399999999999997E-2</v>
      </c>
      <c r="N3435" s="26">
        <v>9.7999999999999997E-3</v>
      </c>
      <c r="O3435" s="26">
        <v>1.6E-2</v>
      </c>
      <c r="P3435" s="26">
        <v>9.4000000000000004E-3</v>
      </c>
      <c r="Q3435" s="26">
        <v>2.1999999999999999E-2</v>
      </c>
      <c r="R3435" s="26">
        <v>1.09E-2</v>
      </c>
      <c r="S3435" s="26">
        <v>2.8999999999999998E-3</v>
      </c>
      <c r="U3435">
        <v>600</v>
      </c>
    </row>
    <row r="3436" spans="1:21" x14ac:dyDescent="0.35">
      <c r="A3436" t="s">
        <v>229</v>
      </c>
      <c r="B3436" t="s">
        <v>249</v>
      </c>
      <c r="C3436" s="26">
        <v>0.5111</v>
      </c>
      <c r="D3436" s="26">
        <v>0.1915</v>
      </c>
      <c r="E3436" s="26">
        <v>0.1721</v>
      </c>
      <c r="F3436" s="26">
        <v>0.1246</v>
      </c>
      <c r="G3436" s="26">
        <v>3.9399999999999998E-2</v>
      </c>
      <c r="H3436" s="26">
        <v>7.2400000000000006E-2</v>
      </c>
      <c r="I3436" s="26">
        <v>4.9000000000000002E-2</v>
      </c>
      <c r="J3436" s="26">
        <v>3.5299999999999998E-2</v>
      </c>
      <c r="K3436" s="26">
        <v>5.5399999999999998E-2</v>
      </c>
      <c r="L3436" s="26">
        <v>2.0799999999999999E-2</v>
      </c>
      <c r="M3436" s="26">
        <v>1.1999999999999999E-3</v>
      </c>
      <c r="N3436" s="26">
        <v>2.1399999999999999E-2</v>
      </c>
      <c r="O3436" s="26">
        <v>2.46E-2</v>
      </c>
      <c r="P3436" s="26">
        <v>1.1299999999999999E-2</v>
      </c>
      <c r="Q3436" s="26">
        <v>4.0000000000000002E-4</v>
      </c>
      <c r="T3436" s="26">
        <v>2.5000000000000001E-3</v>
      </c>
      <c r="U3436">
        <v>204</v>
      </c>
    </row>
    <row r="3437" spans="1:21" x14ac:dyDescent="0.35">
      <c r="A3437" t="s">
        <v>229</v>
      </c>
      <c r="B3437" t="s">
        <v>248</v>
      </c>
      <c r="C3437" s="26">
        <v>0.54890000000000005</v>
      </c>
      <c r="D3437" s="26">
        <v>0.2271</v>
      </c>
      <c r="E3437" s="26">
        <v>0.1414</v>
      </c>
      <c r="F3437" s="26">
        <v>5.4199999999999998E-2</v>
      </c>
      <c r="G3437" s="26">
        <v>4.99E-2</v>
      </c>
      <c r="H3437" s="26">
        <v>6.2799999999999995E-2</v>
      </c>
      <c r="I3437" s="26">
        <v>4.2099999999999999E-2</v>
      </c>
      <c r="J3437" s="26">
        <v>1.6199999999999999E-2</v>
      </c>
      <c r="K3437" s="26">
        <v>1.7600000000000001E-2</v>
      </c>
      <c r="L3437" s="26">
        <v>8.2000000000000007E-3</v>
      </c>
      <c r="M3437" s="26">
        <v>1.46E-2</v>
      </c>
      <c r="N3437" s="26">
        <v>2.0299999999999999E-2</v>
      </c>
      <c r="O3437" s="26">
        <v>1.2699999999999999E-2</v>
      </c>
      <c r="P3437" s="26">
        <v>3.5099999999999999E-2</v>
      </c>
      <c r="Q3437" s="26">
        <v>1.1900000000000001E-2</v>
      </c>
      <c r="R3437" s="26">
        <v>6.4999999999999997E-3</v>
      </c>
      <c r="U3437">
        <v>420</v>
      </c>
    </row>
    <row r="3438" spans="1:21" x14ac:dyDescent="0.35">
      <c r="A3438" t="s">
        <v>230</v>
      </c>
      <c r="B3438" t="s">
        <v>249</v>
      </c>
      <c r="C3438" s="26">
        <v>0.53449999999999998</v>
      </c>
      <c r="D3438" s="26">
        <v>0.22459999999999999</v>
      </c>
      <c r="E3438" s="26">
        <v>0.12889999999999999</v>
      </c>
      <c r="F3438" s="26">
        <v>0.16619999999999999</v>
      </c>
      <c r="G3438" s="26">
        <v>8.0299999999999996E-2</v>
      </c>
      <c r="H3438" s="26">
        <v>7.1800000000000003E-2</v>
      </c>
      <c r="I3438" s="26">
        <v>7.6799999999999993E-2</v>
      </c>
      <c r="J3438" s="26">
        <v>2.06E-2</v>
      </c>
      <c r="K3438" s="26">
        <v>1.9599999999999999E-2</v>
      </c>
      <c r="M3438" s="26">
        <v>4.0099999999999997E-2</v>
      </c>
      <c r="N3438" s="26">
        <v>3.2000000000000002E-3</v>
      </c>
      <c r="O3438" s="26">
        <v>3.9100000000000003E-2</v>
      </c>
      <c r="Q3438" s="26">
        <v>1.9599999999999999E-2</v>
      </c>
      <c r="S3438" s="26">
        <v>3.3E-3</v>
      </c>
      <c r="U3438">
        <v>129</v>
      </c>
    </row>
    <row r="3439" spans="1:21" x14ac:dyDescent="0.35">
      <c r="A3439" t="s">
        <v>230</v>
      </c>
      <c r="B3439" t="s">
        <v>248</v>
      </c>
      <c r="C3439" s="26">
        <v>0.54830000000000001</v>
      </c>
      <c r="D3439" s="26">
        <v>0.2571</v>
      </c>
      <c r="E3439" s="26">
        <v>0.14560000000000001</v>
      </c>
      <c r="F3439" s="26">
        <v>7.6300000000000007E-2</v>
      </c>
      <c r="G3439" s="26">
        <v>6.4500000000000002E-2</v>
      </c>
      <c r="H3439" s="26">
        <v>5.2200000000000003E-2</v>
      </c>
      <c r="I3439" s="26">
        <v>3.4599999999999999E-2</v>
      </c>
      <c r="J3439" s="26">
        <v>2.24E-2</v>
      </c>
      <c r="K3439" s="26">
        <v>7.3000000000000001E-3</v>
      </c>
      <c r="L3439" s="26">
        <v>1.18E-2</v>
      </c>
      <c r="M3439" s="26">
        <v>6.1000000000000004E-3</v>
      </c>
      <c r="N3439" s="26">
        <v>2.4299999999999999E-2</v>
      </c>
      <c r="O3439" s="26">
        <v>2.86E-2</v>
      </c>
      <c r="P3439" s="26">
        <v>5.9999999999999995E-4</v>
      </c>
      <c r="Q3439" s="26">
        <v>2.5000000000000001E-3</v>
      </c>
      <c r="U3439">
        <v>281</v>
      </c>
    </row>
    <row r="3440" spans="1:21" x14ac:dyDescent="0.35">
      <c r="A3440" s="27" t="s">
        <v>231</v>
      </c>
      <c r="B3440" s="27" t="s">
        <v>249</v>
      </c>
      <c r="C3440" s="28">
        <v>0.73080000000000001</v>
      </c>
      <c r="D3440" s="28">
        <v>0.15379999999999999</v>
      </c>
      <c r="E3440" s="28">
        <v>0.1154</v>
      </c>
      <c r="F3440" s="28">
        <v>7.6899999999999996E-2</v>
      </c>
      <c r="G3440" s="28">
        <v>7.6899999999999996E-2</v>
      </c>
      <c r="H3440" s="28">
        <v>7.6899999999999996E-2</v>
      </c>
      <c r="I3440" s="28">
        <v>3.85E-2</v>
      </c>
      <c r="J3440" s="28">
        <v>7.6899999999999996E-2</v>
      </c>
      <c r="K3440" s="29"/>
      <c r="L3440" s="28">
        <v>3.85E-2</v>
      </c>
      <c r="M3440" s="29"/>
      <c r="N3440" s="28">
        <v>3.85E-2</v>
      </c>
      <c r="O3440" s="29"/>
      <c r="P3440" s="29"/>
      <c r="Q3440" s="29"/>
      <c r="R3440" s="29"/>
      <c r="S3440" s="29"/>
      <c r="T3440" s="29"/>
      <c r="U3440" s="29" t="s">
        <v>357</v>
      </c>
    </row>
    <row r="3441" spans="1:21" x14ac:dyDescent="0.35">
      <c r="A3441" t="s">
        <v>231</v>
      </c>
      <c r="B3441" t="s">
        <v>248</v>
      </c>
      <c r="C3441" s="26">
        <v>0.59789999999999999</v>
      </c>
      <c r="D3441" s="26">
        <v>0.20619999999999999</v>
      </c>
      <c r="E3441" s="26">
        <v>9.2799999999999994E-2</v>
      </c>
      <c r="F3441" s="26">
        <v>7.22E-2</v>
      </c>
      <c r="G3441" s="26">
        <v>7.22E-2</v>
      </c>
      <c r="H3441" s="26">
        <v>5.1499999999999997E-2</v>
      </c>
      <c r="I3441" s="26">
        <v>2.06E-2</v>
      </c>
      <c r="J3441" s="26">
        <v>1.03E-2</v>
      </c>
      <c r="K3441" s="26">
        <v>1.03E-2</v>
      </c>
      <c r="L3441" s="26">
        <v>1.03E-2</v>
      </c>
      <c r="M3441" s="26">
        <v>1.03E-2</v>
      </c>
      <c r="U3441">
        <v>97</v>
      </c>
    </row>
    <row r="3442" spans="1:21" x14ac:dyDescent="0.35">
      <c r="A3442" t="s">
        <v>232</v>
      </c>
      <c r="B3442" t="s">
        <v>232</v>
      </c>
      <c r="C3442" s="26">
        <v>0.57579999999999998</v>
      </c>
      <c r="D3442" s="26">
        <v>0.21099999999999999</v>
      </c>
      <c r="E3442" s="26">
        <v>0.13300000000000001</v>
      </c>
      <c r="F3442" s="26">
        <v>7.0599999999999996E-2</v>
      </c>
      <c r="G3442" s="26">
        <v>6.08E-2</v>
      </c>
      <c r="H3442" s="26">
        <v>5.74E-2</v>
      </c>
      <c r="I3442" s="26">
        <v>3.9300000000000002E-2</v>
      </c>
      <c r="J3442" s="26">
        <v>2.07E-2</v>
      </c>
      <c r="K3442" s="26">
        <v>1.9199999999999998E-2</v>
      </c>
      <c r="L3442" s="26">
        <v>1.37E-2</v>
      </c>
      <c r="M3442" s="26">
        <v>1.23E-2</v>
      </c>
      <c r="N3442" s="26">
        <v>1.2E-2</v>
      </c>
      <c r="O3442" s="26">
        <v>1.17E-2</v>
      </c>
      <c r="P3442" s="26">
        <v>1.12E-2</v>
      </c>
      <c r="Q3442" s="26">
        <v>1.01E-2</v>
      </c>
      <c r="R3442" s="26">
        <v>2.8999999999999998E-3</v>
      </c>
      <c r="S3442" s="26">
        <v>1.8E-3</v>
      </c>
      <c r="T3442" s="26">
        <v>2.9999999999999997E-4</v>
      </c>
      <c r="U3442">
        <v>2083</v>
      </c>
    </row>
    <row r="3444" spans="1:21" x14ac:dyDescent="0.35">
      <c r="A3444" s="1" t="s">
        <v>615</v>
      </c>
    </row>
    <row r="3445" spans="1:21" x14ac:dyDescent="0.35">
      <c r="A3445" t="s">
        <v>219</v>
      </c>
      <c r="B3445" t="s">
        <v>305</v>
      </c>
      <c r="C3445" t="s">
        <v>320</v>
      </c>
      <c r="D3445" t="s">
        <v>593</v>
      </c>
      <c r="E3445" t="s">
        <v>594</v>
      </c>
      <c r="F3445" t="s">
        <v>595</v>
      </c>
      <c r="G3445" t="s">
        <v>596</v>
      </c>
      <c r="H3445" t="s">
        <v>597</v>
      </c>
      <c r="I3445" t="s">
        <v>598</v>
      </c>
      <c r="J3445" t="s">
        <v>599</v>
      </c>
      <c r="K3445" t="s">
        <v>600</v>
      </c>
      <c r="L3445" t="s">
        <v>601</v>
      </c>
      <c r="M3445" t="s">
        <v>602</v>
      </c>
      <c r="N3445" t="s">
        <v>603</v>
      </c>
      <c r="O3445" t="s">
        <v>604</v>
      </c>
      <c r="P3445" t="s">
        <v>605</v>
      </c>
      <c r="Q3445" t="s">
        <v>606</v>
      </c>
      <c r="R3445" t="s">
        <v>607</v>
      </c>
      <c r="S3445" t="s">
        <v>281</v>
      </c>
      <c r="T3445" t="s">
        <v>286</v>
      </c>
      <c r="U3445" t="s">
        <v>226</v>
      </c>
    </row>
    <row r="3446" spans="1:21" x14ac:dyDescent="0.35">
      <c r="A3446" s="27" t="s">
        <v>227</v>
      </c>
      <c r="B3446" s="27" t="s">
        <v>263</v>
      </c>
      <c r="C3446" s="28">
        <v>1</v>
      </c>
      <c r="D3446" s="29"/>
      <c r="E3446" s="29"/>
      <c r="F3446" s="29"/>
      <c r="G3446" s="29"/>
      <c r="H3446" s="29"/>
      <c r="I3446" s="29"/>
      <c r="J3446" s="29"/>
      <c r="K3446" s="29"/>
      <c r="L3446" s="29"/>
      <c r="M3446" s="29"/>
      <c r="N3446" s="29"/>
      <c r="O3446" s="29"/>
      <c r="P3446" s="29"/>
      <c r="Q3446" s="29"/>
      <c r="R3446" s="29"/>
      <c r="S3446" s="29"/>
      <c r="T3446" s="29"/>
      <c r="U3446" s="29" t="s">
        <v>315</v>
      </c>
    </row>
    <row r="3447" spans="1:21" x14ac:dyDescent="0.35">
      <c r="A3447" t="s">
        <v>227</v>
      </c>
      <c r="B3447" t="s">
        <v>261</v>
      </c>
      <c r="C3447" s="26">
        <v>0.63329999999999997</v>
      </c>
      <c r="D3447" s="26">
        <v>0.2</v>
      </c>
      <c r="E3447" s="26">
        <v>3.3300000000000003E-2</v>
      </c>
      <c r="F3447" s="26">
        <v>6.6699999999999995E-2</v>
      </c>
      <c r="G3447" s="26">
        <v>3.3300000000000003E-2</v>
      </c>
      <c r="H3447" s="26">
        <v>3.3300000000000003E-2</v>
      </c>
      <c r="J3447" s="26">
        <v>3.3300000000000003E-2</v>
      </c>
      <c r="L3447" s="26">
        <v>6.6699999999999995E-2</v>
      </c>
      <c r="P3447" s="26">
        <v>3.3300000000000003E-2</v>
      </c>
      <c r="S3447" s="26">
        <v>3.3300000000000003E-2</v>
      </c>
      <c r="U3447">
        <v>30</v>
      </c>
    </row>
    <row r="3448" spans="1:21" x14ac:dyDescent="0.35">
      <c r="A3448" s="27" t="s">
        <v>227</v>
      </c>
      <c r="B3448" s="27" t="s">
        <v>262</v>
      </c>
      <c r="C3448" s="28">
        <v>1</v>
      </c>
      <c r="D3448" s="29"/>
      <c r="E3448" s="29"/>
      <c r="F3448" s="29"/>
      <c r="G3448" s="29"/>
      <c r="H3448" s="29"/>
      <c r="I3448" s="29"/>
      <c r="J3448" s="29"/>
      <c r="K3448" s="29"/>
      <c r="L3448" s="29"/>
      <c r="M3448" s="29"/>
      <c r="N3448" s="29"/>
      <c r="O3448" s="29"/>
      <c r="P3448" s="29"/>
      <c r="Q3448" s="29"/>
      <c r="R3448" s="29"/>
      <c r="S3448" s="29"/>
      <c r="T3448" s="29"/>
      <c r="U3448" s="29" t="s">
        <v>314</v>
      </c>
    </row>
    <row r="3449" spans="1:21" x14ac:dyDescent="0.35">
      <c r="A3449" t="s">
        <v>227</v>
      </c>
      <c r="B3449" t="s">
        <v>260</v>
      </c>
      <c r="C3449" s="26">
        <v>0.57950000000000002</v>
      </c>
      <c r="D3449" s="26">
        <v>0.2273</v>
      </c>
      <c r="E3449" s="26">
        <v>0.1477</v>
      </c>
      <c r="F3449" s="26">
        <v>3.4099999999999998E-2</v>
      </c>
      <c r="G3449" s="26">
        <v>3.4099999999999998E-2</v>
      </c>
      <c r="H3449" s="26">
        <v>2.2700000000000001E-2</v>
      </c>
      <c r="I3449" s="26">
        <v>3.4099999999999998E-2</v>
      </c>
      <c r="J3449" s="26">
        <v>2.2700000000000001E-2</v>
      </c>
      <c r="K3449" s="26">
        <v>2.2700000000000001E-2</v>
      </c>
      <c r="O3449" s="26">
        <v>1.14E-2</v>
      </c>
      <c r="Q3449" s="26">
        <v>2.2700000000000001E-2</v>
      </c>
      <c r="U3449">
        <v>88</v>
      </c>
    </row>
    <row r="3450" spans="1:21" x14ac:dyDescent="0.35">
      <c r="A3450" t="s">
        <v>228</v>
      </c>
      <c r="B3450" t="s">
        <v>261</v>
      </c>
      <c r="C3450" s="26">
        <v>0.43540000000000001</v>
      </c>
      <c r="D3450" s="26">
        <v>0.26</v>
      </c>
      <c r="E3450" s="26">
        <v>0.24</v>
      </c>
      <c r="F3450" s="26">
        <v>2.7300000000000001E-2</v>
      </c>
      <c r="G3450" s="26">
        <v>0.14860000000000001</v>
      </c>
      <c r="H3450" s="26">
        <v>3.0599999999999999E-2</v>
      </c>
      <c r="I3450" s="26">
        <v>5.91E-2</v>
      </c>
      <c r="J3450" s="26">
        <v>1.5E-3</v>
      </c>
      <c r="K3450" s="26">
        <v>1.8599999999999998E-2</v>
      </c>
      <c r="L3450" s="26">
        <v>4.9799999999999997E-2</v>
      </c>
      <c r="M3450" s="26">
        <v>5.7200000000000001E-2</v>
      </c>
      <c r="O3450" s="26">
        <v>2.9399999999999999E-2</v>
      </c>
      <c r="P3450" s="26">
        <v>5.28E-2</v>
      </c>
      <c r="Q3450" s="26">
        <v>3.1099999999999999E-2</v>
      </c>
      <c r="R3450" s="26">
        <v>8.5000000000000006E-3</v>
      </c>
      <c r="U3450">
        <v>159</v>
      </c>
    </row>
    <row r="3451" spans="1:21" x14ac:dyDescent="0.35">
      <c r="A3451" s="27" t="s">
        <v>228</v>
      </c>
      <c r="B3451" s="27" t="s">
        <v>236</v>
      </c>
      <c r="C3451" s="28">
        <v>0.2263</v>
      </c>
      <c r="D3451" s="28">
        <v>0.77370000000000005</v>
      </c>
      <c r="E3451" s="28">
        <v>0.28689999999999999</v>
      </c>
      <c r="F3451" s="29"/>
      <c r="G3451" s="28">
        <v>0.28689999999999999</v>
      </c>
      <c r="H3451" s="29"/>
      <c r="I3451" s="29"/>
      <c r="J3451" s="29"/>
      <c r="K3451" s="29"/>
      <c r="L3451" s="29"/>
      <c r="M3451" s="29"/>
      <c r="N3451" s="29"/>
      <c r="O3451" s="29"/>
      <c r="P3451" s="29"/>
      <c r="Q3451" s="28">
        <v>0.28689999999999999</v>
      </c>
      <c r="R3451" s="29"/>
      <c r="S3451" s="29"/>
      <c r="T3451" s="29"/>
      <c r="U3451" s="29" t="s">
        <v>332</v>
      </c>
    </row>
    <row r="3452" spans="1:21" x14ac:dyDescent="0.35">
      <c r="A3452" s="27" t="s">
        <v>228</v>
      </c>
      <c r="B3452" s="27" t="s">
        <v>263</v>
      </c>
      <c r="C3452" s="28">
        <v>0.71240000000000003</v>
      </c>
      <c r="D3452" s="28">
        <v>9.8699999999999996E-2</v>
      </c>
      <c r="E3452" s="28">
        <v>0.1179</v>
      </c>
      <c r="F3452" s="28">
        <v>1.43E-2</v>
      </c>
      <c r="G3452" s="28">
        <v>0.11990000000000001</v>
      </c>
      <c r="H3452" s="28">
        <v>4.9000000000000002E-2</v>
      </c>
      <c r="I3452" s="28">
        <v>0.1167</v>
      </c>
      <c r="J3452" s="29"/>
      <c r="K3452" s="29"/>
      <c r="L3452" s="28">
        <v>7.3400000000000007E-2</v>
      </c>
      <c r="M3452" s="28">
        <v>3.8699999999999998E-2</v>
      </c>
      <c r="N3452" s="29"/>
      <c r="O3452" s="29"/>
      <c r="P3452" s="29"/>
      <c r="Q3452" s="28">
        <v>1.43E-2</v>
      </c>
      <c r="R3452" s="29"/>
      <c r="S3452" s="29"/>
      <c r="T3452" s="29"/>
      <c r="U3452" s="29" t="s">
        <v>328</v>
      </c>
    </row>
    <row r="3453" spans="1:21" x14ac:dyDescent="0.35">
      <c r="A3453" t="s">
        <v>228</v>
      </c>
      <c r="B3453" t="s">
        <v>262</v>
      </c>
      <c r="C3453" s="26">
        <v>0.56720000000000004</v>
      </c>
      <c r="D3453" s="26">
        <v>0.19220000000000001</v>
      </c>
      <c r="E3453" s="26">
        <v>0.16839999999999999</v>
      </c>
      <c r="F3453" s="26">
        <v>8.8800000000000004E-2</v>
      </c>
      <c r="G3453" s="26">
        <v>6.6100000000000006E-2</v>
      </c>
      <c r="H3453" s="26">
        <v>6.7100000000000007E-2</v>
      </c>
      <c r="I3453" s="26">
        <v>0.10920000000000001</v>
      </c>
      <c r="J3453" s="26">
        <v>1.8E-3</v>
      </c>
      <c r="K3453" s="26">
        <v>3.2000000000000001E-2</v>
      </c>
      <c r="L3453" s="26">
        <v>1.8E-3</v>
      </c>
      <c r="M3453" s="26">
        <v>3.1399999999999997E-2</v>
      </c>
      <c r="N3453" s="26">
        <v>1.4500000000000001E-2</v>
      </c>
      <c r="O3453" s="26">
        <v>1.46E-2</v>
      </c>
      <c r="Q3453" s="26">
        <v>2.1899999999999999E-2</v>
      </c>
      <c r="R3453" s="26">
        <v>4.4999999999999997E-3</v>
      </c>
      <c r="U3453">
        <v>161</v>
      </c>
    </row>
    <row r="3454" spans="1:21" x14ac:dyDescent="0.35">
      <c r="A3454" t="s">
        <v>228</v>
      </c>
      <c r="B3454" t="s">
        <v>260</v>
      </c>
      <c r="C3454" s="26">
        <v>0.58899999999999997</v>
      </c>
      <c r="D3454" s="26">
        <v>0.19939999999999999</v>
      </c>
      <c r="E3454" s="26">
        <v>0.13919999999999999</v>
      </c>
      <c r="F3454" s="26">
        <v>6.5100000000000005E-2</v>
      </c>
      <c r="G3454" s="26">
        <v>5.9700000000000003E-2</v>
      </c>
      <c r="H3454" s="26">
        <v>8.6699999999999999E-2</v>
      </c>
      <c r="I3454" s="26">
        <v>4.1799999999999997E-2</v>
      </c>
      <c r="J3454" s="26">
        <v>1.46E-2</v>
      </c>
      <c r="K3454" s="26">
        <v>2.4E-2</v>
      </c>
      <c r="M3454" s="26">
        <v>1.5900000000000001E-2</v>
      </c>
      <c r="N3454" s="26">
        <v>1.6400000000000001E-2</v>
      </c>
      <c r="O3454" s="26">
        <v>7.4000000000000003E-3</v>
      </c>
      <c r="P3454" s="26">
        <v>1.1000000000000001E-3</v>
      </c>
      <c r="Q3454" s="26">
        <v>1.8800000000000001E-2</v>
      </c>
      <c r="R3454" s="26">
        <v>9.9000000000000008E-3</v>
      </c>
      <c r="S3454" s="26">
        <v>3.5000000000000001E-3</v>
      </c>
      <c r="U3454">
        <v>455</v>
      </c>
    </row>
    <row r="3455" spans="1:21" x14ac:dyDescent="0.35">
      <c r="A3455" s="27" t="s">
        <v>229</v>
      </c>
      <c r="B3455" s="27" t="s">
        <v>263</v>
      </c>
      <c r="C3455" s="28">
        <v>0.53259999999999996</v>
      </c>
      <c r="D3455" s="28">
        <v>0.21029999999999999</v>
      </c>
      <c r="E3455" s="29"/>
      <c r="F3455" s="28">
        <v>0.21029999999999999</v>
      </c>
      <c r="G3455" s="29"/>
      <c r="H3455" s="28">
        <v>0.2571</v>
      </c>
      <c r="I3455" s="29"/>
      <c r="J3455" s="28">
        <v>4.6800000000000001E-2</v>
      </c>
      <c r="K3455" s="29"/>
      <c r="L3455" s="29"/>
      <c r="M3455" s="29"/>
      <c r="N3455" s="28">
        <v>0.21029999999999999</v>
      </c>
      <c r="O3455" s="29"/>
      <c r="P3455" s="29"/>
      <c r="Q3455" s="29"/>
      <c r="R3455" s="29"/>
      <c r="S3455" s="29"/>
      <c r="T3455" s="29"/>
      <c r="U3455" s="29" t="s">
        <v>307</v>
      </c>
    </row>
    <row r="3456" spans="1:21" x14ac:dyDescent="0.35">
      <c r="A3456" t="s">
        <v>229</v>
      </c>
      <c r="B3456" t="s">
        <v>262</v>
      </c>
      <c r="C3456" s="26">
        <v>0.48509999999999998</v>
      </c>
      <c r="D3456" s="26">
        <v>0.19020000000000001</v>
      </c>
      <c r="E3456" s="26">
        <v>0.13869999999999999</v>
      </c>
      <c r="F3456" s="26">
        <v>0.11409999999999999</v>
      </c>
      <c r="G3456" s="26">
        <v>6.0600000000000001E-2</v>
      </c>
      <c r="H3456" s="26">
        <v>8.5800000000000001E-2</v>
      </c>
      <c r="I3456" s="26">
        <v>2.0799999999999999E-2</v>
      </c>
      <c r="J3456" s="26">
        <v>1.0500000000000001E-2</v>
      </c>
      <c r="K3456" s="26">
        <v>5.3600000000000002E-2</v>
      </c>
      <c r="L3456" s="26">
        <v>2.3099999999999999E-2</v>
      </c>
      <c r="M3456" s="26">
        <v>4.1000000000000003E-3</v>
      </c>
      <c r="N3456" s="26">
        <v>2.3099999999999999E-2</v>
      </c>
      <c r="O3456" s="26">
        <v>6.9999999999999999E-4</v>
      </c>
      <c r="P3456" s="26">
        <v>1.0500000000000001E-2</v>
      </c>
      <c r="R3456" s="26">
        <v>1.0500000000000001E-2</v>
      </c>
      <c r="T3456" s="26">
        <v>2.8E-3</v>
      </c>
      <c r="U3456">
        <v>148</v>
      </c>
    </row>
    <row r="3457" spans="1:21" x14ac:dyDescent="0.35">
      <c r="A3457" t="s">
        <v>229</v>
      </c>
      <c r="B3457" t="s">
        <v>261</v>
      </c>
      <c r="C3457" s="26">
        <v>0.50670000000000004</v>
      </c>
      <c r="D3457" s="26">
        <v>0.22170000000000001</v>
      </c>
      <c r="E3457" s="26">
        <v>0.22189999999999999</v>
      </c>
      <c r="F3457" s="26">
        <v>7.3200000000000001E-2</v>
      </c>
      <c r="G3457" s="26">
        <v>3.5900000000000001E-2</v>
      </c>
      <c r="H3457" s="26">
        <v>4.3900000000000002E-2</v>
      </c>
      <c r="I3457" s="26">
        <v>7.3899999999999993E-2</v>
      </c>
      <c r="J3457" s="26">
        <v>5.3E-3</v>
      </c>
      <c r="K3457" s="26">
        <v>2.53E-2</v>
      </c>
      <c r="M3457" s="26">
        <v>2.6499999999999999E-2</v>
      </c>
      <c r="N3457" s="26">
        <v>2.1299999999999999E-2</v>
      </c>
      <c r="O3457" s="26">
        <v>5.3E-3</v>
      </c>
      <c r="P3457" s="26">
        <v>0.1104</v>
      </c>
      <c r="U3457">
        <v>78</v>
      </c>
    </row>
    <row r="3458" spans="1:21" x14ac:dyDescent="0.35">
      <c r="A3458" s="27" t="s">
        <v>229</v>
      </c>
      <c r="B3458" s="27" t="s">
        <v>236</v>
      </c>
      <c r="C3458" s="28">
        <v>1</v>
      </c>
      <c r="D3458" s="29"/>
      <c r="E3458" s="29"/>
      <c r="F3458" s="29"/>
      <c r="G3458" s="29"/>
      <c r="H3458" s="29"/>
      <c r="I3458" s="29"/>
      <c r="J3458" s="29"/>
      <c r="K3458" s="29"/>
      <c r="L3458" s="29"/>
      <c r="M3458" s="29"/>
      <c r="N3458" s="29"/>
      <c r="O3458" s="29"/>
      <c r="P3458" s="29"/>
      <c r="Q3458" s="29"/>
      <c r="R3458" s="29"/>
      <c r="S3458" s="29"/>
      <c r="T3458" s="29"/>
      <c r="U3458" s="29" t="s">
        <v>331</v>
      </c>
    </row>
    <row r="3459" spans="1:21" x14ac:dyDescent="0.35">
      <c r="A3459" t="s">
        <v>229</v>
      </c>
      <c r="B3459" t="s">
        <v>260</v>
      </c>
      <c r="C3459" s="26">
        <v>0.57740000000000002</v>
      </c>
      <c r="D3459" s="26">
        <v>0.22800000000000001</v>
      </c>
      <c r="E3459" s="26">
        <v>0.1434</v>
      </c>
      <c r="F3459" s="26">
        <v>5.3699999999999998E-2</v>
      </c>
      <c r="G3459" s="26">
        <v>4.2200000000000001E-2</v>
      </c>
      <c r="H3459" s="26">
        <v>5.3900000000000003E-2</v>
      </c>
      <c r="I3459" s="26">
        <v>5.1499999999999997E-2</v>
      </c>
      <c r="J3459" s="26">
        <v>3.5900000000000001E-2</v>
      </c>
      <c r="K3459" s="26">
        <v>1.9599999999999999E-2</v>
      </c>
      <c r="L3459" s="26">
        <v>1.0699999999999999E-2</v>
      </c>
      <c r="M3459" s="26">
        <v>8.3000000000000001E-3</v>
      </c>
      <c r="N3459" s="26">
        <v>1.1599999999999999E-2</v>
      </c>
      <c r="O3459" s="26">
        <v>3.1800000000000002E-2</v>
      </c>
      <c r="P3459" s="26">
        <v>9.9000000000000008E-3</v>
      </c>
      <c r="Q3459" s="26">
        <v>1.5800000000000002E-2</v>
      </c>
      <c r="R3459" s="26">
        <v>1.8E-3</v>
      </c>
      <c r="U3459">
        <v>387</v>
      </c>
    </row>
    <row r="3460" spans="1:21" x14ac:dyDescent="0.35">
      <c r="A3460" s="27" t="s">
        <v>230</v>
      </c>
      <c r="B3460" s="27" t="s">
        <v>236</v>
      </c>
      <c r="C3460" s="28">
        <v>0.2409</v>
      </c>
      <c r="D3460" s="28">
        <v>0.7591</v>
      </c>
      <c r="E3460" s="29"/>
      <c r="F3460" s="29"/>
      <c r="G3460" s="29"/>
      <c r="H3460" s="29"/>
      <c r="I3460" s="29"/>
      <c r="J3460" s="29"/>
      <c r="K3460" s="29"/>
      <c r="L3460" s="29"/>
      <c r="M3460" s="29"/>
      <c r="N3460" s="29"/>
      <c r="O3460" s="29"/>
      <c r="P3460" s="29"/>
      <c r="Q3460" s="29"/>
      <c r="R3460" s="29"/>
      <c r="S3460" s="29"/>
      <c r="T3460" s="29"/>
      <c r="U3460" s="29" t="s">
        <v>337</v>
      </c>
    </row>
    <row r="3461" spans="1:21" x14ac:dyDescent="0.35">
      <c r="A3461" t="s">
        <v>230</v>
      </c>
      <c r="B3461" t="s">
        <v>262</v>
      </c>
      <c r="C3461" s="26">
        <v>0.50890000000000002</v>
      </c>
      <c r="D3461" s="26">
        <v>0.216</v>
      </c>
      <c r="E3461" s="26">
        <v>0.16880000000000001</v>
      </c>
      <c r="F3461" s="26">
        <v>0.1157</v>
      </c>
      <c r="G3461" s="26">
        <v>2.98E-2</v>
      </c>
      <c r="H3461" s="26">
        <v>6.8199999999999997E-2</v>
      </c>
      <c r="I3461" s="26">
        <v>8.1699999999999995E-2</v>
      </c>
      <c r="J3461" s="26">
        <v>2.3E-3</v>
      </c>
      <c r="K3461" s="26">
        <v>2.3E-3</v>
      </c>
      <c r="M3461" s="26">
        <v>5.4800000000000001E-2</v>
      </c>
      <c r="N3461" s="26">
        <v>1.4999999999999999E-2</v>
      </c>
      <c r="O3461" s="26">
        <v>5.2999999999999999E-2</v>
      </c>
      <c r="U3461">
        <v>95</v>
      </c>
    </row>
    <row r="3462" spans="1:21" x14ac:dyDescent="0.35">
      <c r="A3462" t="s">
        <v>230</v>
      </c>
      <c r="B3462" t="s">
        <v>261</v>
      </c>
      <c r="C3462" s="26">
        <v>0.50539999999999996</v>
      </c>
      <c r="D3462" s="26">
        <v>0.36730000000000002</v>
      </c>
      <c r="E3462" s="26">
        <v>0.13880000000000001</v>
      </c>
      <c r="F3462" s="26">
        <v>0.19109999999999999</v>
      </c>
      <c r="G3462" s="26">
        <v>6.0900000000000003E-2</v>
      </c>
      <c r="H3462" s="26">
        <v>6.0900000000000003E-2</v>
      </c>
      <c r="I3462" s="26">
        <v>2.2700000000000001E-2</v>
      </c>
      <c r="J3462" s="26">
        <v>5.21E-2</v>
      </c>
      <c r="O3462" s="26">
        <v>5.21E-2</v>
      </c>
      <c r="S3462" s="26">
        <v>8.8000000000000005E-3</v>
      </c>
      <c r="U3462">
        <v>45</v>
      </c>
    </row>
    <row r="3463" spans="1:21" x14ac:dyDescent="0.35">
      <c r="A3463" s="27" t="s">
        <v>230</v>
      </c>
      <c r="B3463" s="27" t="s">
        <v>263</v>
      </c>
      <c r="C3463" s="28">
        <v>0.1002</v>
      </c>
      <c r="D3463" s="28">
        <v>0.55940000000000001</v>
      </c>
      <c r="E3463" s="28">
        <v>0.49740000000000001</v>
      </c>
      <c r="F3463" s="28">
        <v>0.1623</v>
      </c>
      <c r="G3463" s="28">
        <v>0.45290000000000002</v>
      </c>
      <c r="H3463" s="28">
        <v>0.44009999999999999</v>
      </c>
      <c r="I3463" s="28">
        <v>0.47199999999999998</v>
      </c>
      <c r="J3463" s="28">
        <v>0.37659999999999999</v>
      </c>
      <c r="K3463" s="28">
        <v>1.9099999999999999E-2</v>
      </c>
      <c r="L3463" s="29"/>
      <c r="M3463" s="28">
        <v>8.2600000000000007E-2</v>
      </c>
      <c r="N3463" s="29"/>
      <c r="O3463" s="28">
        <v>6.2E-2</v>
      </c>
      <c r="P3463" s="28">
        <v>1.9099999999999999E-2</v>
      </c>
      <c r="Q3463" s="28">
        <v>0.39560000000000001</v>
      </c>
      <c r="R3463" s="29"/>
      <c r="S3463" s="29"/>
      <c r="T3463" s="29"/>
      <c r="U3463" s="29" t="s">
        <v>350</v>
      </c>
    </row>
    <row r="3464" spans="1:21" x14ac:dyDescent="0.35">
      <c r="A3464" t="s">
        <v>230</v>
      </c>
      <c r="B3464" t="s">
        <v>260</v>
      </c>
      <c r="C3464" s="26">
        <v>0.5756</v>
      </c>
      <c r="D3464" s="26">
        <v>0.21110000000000001</v>
      </c>
      <c r="E3464" s="26">
        <v>0.125</v>
      </c>
      <c r="F3464" s="26">
        <v>9.11E-2</v>
      </c>
      <c r="G3464" s="26">
        <v>7.1900000000000006E-2</v>
      </c>
      <c r="H3464" s="26">
        <v>4.7199999999999999E-2</v>
      </c>
      <c r="I3464" s="26">
        <v>3.7100000000000001E-2</v>
      </c>
      <c r="J3464" s="26">
        <v>1.0500000000000001E-2</v>
      </c>
      <c r="K3464" s="26">
        <v>1.6299999999999999E-2</v>
      </c>
      <c r="L3464" s="26">
        <v>1.11E-2</v>
      </c>
      <c r="M3464" s="26">
        <v>1.23E-2</v>
      </c>
      <c r="N3464" s="26">
        <v>2.1000000000000001E-2</v>
      </c>
      <c r="O3464" s="26">
        <v>2.3300000000000001E-2</v>
      </c>
      <c r="Q3464" s="26">
        <v>1.8E-3</v>
      </c>
      <c r="U3464">
        <v>246</v>
      </c>
    </row>
    <row r="3465" spans="1:21" x14ac:dyDescent="0.35">
      <c r="A3465" s="27" t="s">
        <v>231</v>
      </c>
      <c r="B3465" s="27" t="s">
        <v>263</v>
      </c>
      <c r="C3465" s="28">
        <v>0.5</v>
      </c>
      <c r="D3465" s="28">
        <v>0.5</v>
      </c>
      <c r="E3465" s="29"/>
      <c r="F3465" s="29"/>
      <c r="G3465" s="29"/>
      <c r="H3465" s="29"/>
      <c r="I3465" s="29"/>
      <c r="J3465" s="29"/>
      <c r="K3465" s="29"/>
      <c r="L3465" s="29"/>
      <c r="M3465" s="29"/>
      <c r="N3465" s="29"/>
      <c r="O3465" s="29"/>
      <c r="P3465" s="29"/>
      <c r="Q3465" s="29"/>
      <c r="R3465" s="29"/>
      <c r="S3465" s="29"/>
      <c r="T3465" s="29"/>
      <c r="U3465" s="29" t="s">
        <v>314</v>
      </c>
    </row>
    <row r="3466" spans="1:21" x14ac:dyDescent="0.35">
      <c r="A3466" t="s">
        <v>231</v>
      </c>
      <c r="B3466" t="s">
        <v>260</v>
      </c>
      <c r="C3466" s="26">
        <v>0.61539999999999995</v>
      </c>
      <c r="D3466" s="26">
        <v>0.1978</v>
      </c>
      <c r="E3466" s="26">
        <v>8.7900000000000006E-2</v>
      </c>
      <c r="F3466" s="26">
        <v>7.6899999999999996E-2</v>
      </c>
      <c r="G3466" s="26">
        <v>7.6899999999999996E-2</v>
      </c>
      <c r="H3466" s="26">
        <v>7.6899999999999996E-2</v>
      </c>
      <c r="I3466" s="26">
        <v>2.1999999999999999E-2</v>
      </c>
      <c r="J3466" s="26">
        <v>3.3000000000000002E-2</v>
      </c>
      <c r="K3466" s="26">
        <v>1.0999999999999999E-2</v>
      </c>
      <c r="L3466" s="26">
        <v>2.1999999999999999E-2</v>
      </c>
      <c r="N3466" s="26">
        <v>1.0999999999999999E-2</v>
      </c>
      <c r="U3466">
        <v>91</v>
      </c>
    </row>
    <row r="3467" spans="1:21" x14ac:dyDescent="0.35">
      <c r="A3467" s="27" t="s">
        <v>231</v>
      </c>
      <c r="B3467" s="27" t="s">
        <v>261</v>
      </c>
      <c r="C3467" s="28">
        <v>0.63639999999999997</v>
      </c>
      <c r="D3467" s="28">
        <v>0.18179999999999999</v>
      </c>
      <c r="E3467" s="28">
        <v>0.13639999999999999</v>
      </c>
      <c r="F3467" s="28">
        <v>4.5499999999999999E-2</v>
      </c>
      <c r="G3467" s="28">
        <v>4.5499999999999999E-2</v>
      </c>
      <c r="H3467" s="29"/>
      <c r="I3467" s="28">
        <v>4.5499999999999999E-2</v>
      </c>
      <c r="J3467" s="29"/>
      <c r="K3467" s="29"/>
      <c r="L3467" s="29"/>
      <c r="M3467" s="28">
        <v>4.5499999999999999E-2</v>
      </c>
      <c r="N3467" s="29"/>
      <c r="O3467" s="29"/>
      <c r="P3467" s="29"/>
      <c r="Q3467" s="29"/>
      <c r="R3467" s="29"/>
      <c r="S3467" s="29"/>
      <c r="T3467" s="29"/>
      <c r="U3467" s="29" t="s">
        <v>347</v>
      </c>
    </row>
    <row r="3468" spans="1:21" x14ac:dyDescent="0.35">
      <c r="A3468" s="27" t="s">
        <v>231</v>
      </c>
      <c r="B3468" s="27" t="s">
        <v>262</v>
      </c>
      <c r="C3468" s="28">
        <v>0.75</v>
      </c>
      <c r="D3468" s="28">
        <v>0.125</v>
      </c>
      <c r="E3468" s="28">
        <v>0.125</v>
      </c>
      <c r="F3468" s="28">
        <v>0.125</v>
      </c>
      <c r="G3468" s="28">
        <v>0.125</v>
      </c>
      <c r="H3468" s="29"/>
      <c r="I3468" s="29"/>
      <c r="J3468" s="29"/>
      <c r="K3468" s="29"/>
      <c r="L3468" s="29"/>
      <c r="M3468" s="29"/>
      <c r="N3468" s="29"/>
      <c r="O3468" s="29"/>
      <c r="P3468" s="29"/>
      <c r="Q3468" s="29"/>
      <c r="R3468" s="29"/>
      <c r="S3468" s="29"/>
      <c r="T3468" s="29"/>
      <c r="U3468" s="29" t="s">
        <v>333</v>
      </c>
    </row>
    <row r="3469" spans="1:21" x14ac:dyDescent="0.35">
      <c r="A3469" t="s">
        <v>232</v>
      </c>
      <c r="B3469" t="s">
        <v>232</v>
      </c>
      <c r="C3469" s="26">
        <v>0.57579999999999998</v>
      </c>
      <c r="D3469" s="26">
        <v>0.21099999999999999</v>
      </c>
      <c r="E3469" s="26">
        <v>0.13300000000000001</v>
      </c>
      <c r="F3469" s="26">
        <v>7.0599999999999996E-2</v>
      </c>
      <c r="G3469" s="26">
        <v>6.08E-2</v>
      </c>
      <c r="H3469" s="26">
        <v>5.74E-2</v>
      </c>
      <c r="I3469" s="26">
        <v>3.9300000000000002E-2</v>
      </c>
      <c r="J3469" s="26">
        <v>2.07E-2</v>
      </c>
      <c r="K3469" s="26">
        <v>1.9199999999999998E-2</v>
      </c>
      <c r="L3469" s="26">
        <v>1.37E-2</v>
      </c>
      <c r="M3469" s="26">
        <v>1.23E-2</v>
      </c>
      <c r="N3469" s="26">
        <v>1.2E-2</v>
      </c>
      <c r="O3469" s="26">
        <v>1.17E-2</v>
      </c>
      <c r="P3469" s="26">
        <v>1.12E-2</v>
      </c>
      <c r="Q3469" s="26">
        <v>1.01E-2</v>
      </c>
      <c r="R3469" s="26">
        <v>2.8999999999999998E-3</v>
      </c>
      <c r="S3469" s="26">
        <v>1.8E-3</v>
      </c>
      <c r="T3469" s="26">
        <v>2.9999999999999997E-4</v>
      </c>
      <c r="U3469">
        <v>2083</v>
      </c>
    </row>
    <row r="3471" spans="1:21" x14ac:dyDescent="0.35">
      <c r="A3471" s="1" t="s">
        <v>616</v>
      </c>
    </row>
    <row r="3472" spans="1:21" x14ac:dyDescent="0.35">
      <c r="A3472" t="s">
        <v>219</v>
      </c>
      <c r="B3472" t="s">
        <v>305</v>
      </c>
      <c r="C3472" t="s">
        <v>320</v>
      </c>
      <c r="D3472" t="s">
        <v>593</v>
      </c>
      <c r="E3472" t="s">
        <v>594</v>
      </c>
      <c r="F3472" t="s">
        <v>595</v>
      </c>
      <c r="G3472" t="s">
        <v>596</v>
      </c>
      <c r="H3472" t="s">
        <v>597</v>
      </c>
      <c r="I3472" t="s">
        <v>598</v>
      </c>
      <c r="J3472" t="s">
        <v>599</v>
      </c>
      <c r="K3472" t="s">
        <v>600</v>
      </c>
      <c r="L3472" t="s">
        <v>601</v>
      </c>
      <c r="M3472" t="s">
        <v>602</v>
      </c>
      <c r="N3472" t="s">
        <v>603</v>
      </c>
      <c r="O3472" t="s">
        <v>604</v>
      </c>
      <c r="P3472" t="s">
        <v>605</v>
      </c>
      <c r="Q3472" t="s">
        <v>606</v>
      </c>
      <c r="R3472" t="s">
        <v>607</v>
      </c>
      <c r="S3472" t="s">
        <v>281</v>
      </c>
      <c r="T3472" t="s">
        <v>286</v>
      </c>
      <c r="U3472" t="s">
        <v>226</v>
      </c>
    </row>
    <row r="3473" spans="1:21" x14ac:dyDescent="0.35">
      <c r="A3473" t="s">
        <v>227</v>
      </c>
      <c r="B3473" t="s">
        <v>368</v>
      </c>
      <c r="C3473" s="26">
        <v>0.63329999999999997</v>
      </c>
      <c r="D3473" s="26">
        <v>0.2</v>
      </c>
      <c r="E3473" s="26">
        <v>3.3300000000000003E-2</v>
      </c>
      <c r="F3473" s="26">
        <v>6.6699999999999995E-2</v>
      </c>
      <c r="G3473" s="26">
        <v>3.3300000000000003E-2</v>
      </c>
      <c r="H3473" s="26">
        <v>3.3300000000000003E-2</v>
      </c>
      <c r="J3473" s="26">
        <v>3.3300000000000003E-2</v>
      </c>
      <c r="L3473" s="26">
        <v>6.6699999999999995E-2</v>
      </c>
      <c r="P3473" s="26">
        <v>3.3300000000000003E-2</v>
      </c>
      <c r="S3473" s="26">
        <v>3.3300000000000003E-2</v>
      </c>
      <c r="U3473">
        <v>30</v>
      </c>
    </row>
    <row r="3474" spans="1:21" x14ac:dyDescent="0.35">
      <c r="A3474" t="s">
        <v>227</v>
      </c>
      <c r="B3474" t="s">
        <v>369</v>
      </c>
      <c r="C3474" s="26">
        <v>0.60219999999999996</v>
      </c>
      <c r="D3474" s="26">
        <v>0.21510000000000001</v>
      </c>
      <c r="E3474" s="26">
        <v>0.13980000000000001</v>
      </c>
      <c r="F3474" s="26">
        <v>3.2300000000000002E-2</v>
      </c>
      <c r="G3474" s="26">
        <v>3.2300000000000002E-2</v>
      </c>
      <c r="H3474" s="26">
        <v>2.1499999999999998E-2</v>
      </c>
      <c r="I3474" s="26">
        <v>3.2300000000000002E-2</v>
      </c>
      <c r="J3474" s="26">
        <v>2.1499999999999998E-2</v>
      </c>
      <c r="K3474" s="26">
        <v>2.1499999999999998E-2</v>
      </c>
      <c r="O3474" s="26">
        <v>1.0800000000000001E-2</v>
      </c>
      <c r="Q3474" s="26">
        <v>2.1499999999999998E-2</v>
      </c>
      <c r="U3474">
        <v>93</v>
      </c>
    </row>
    <row r="3475" spans="1:21" x14ac:dyDescent="0.35">
      <c r="A3475" t="s">
        <v>228</v>
      </c>
      <c r="B3475" t="s">
        <v>368</v>
      </c>
      <c r="C3475" s="26">
        <v>0.43540000000000001</v>
      </c>
      <c r="D3475" s="26">
        <v>0.26</v>
      </c>
      <c r="E3475" s="26">
        <v>0.24</v>
      </c>
      <c r="F3475" s="26">
        <v>2.7300000000000001E-2</v>
      </c>
      <c r="G3475" s="26">
        <v>0.14860000000000001</v>
      </c>
      <c r="H3475" s="26">
        <v>3.0599999999999999E-2</v>
      </c>
      <c r="I3475" s="26">
        <v>5.91E-2</v>
      </c>
      <c r="J3475" s="26">
        <v>1.5E-3</v>
      </c>
      <c r="K3475" s="26">
        <v>1.8599999999999998E-2</v>
      </c>
      <c r="L3475" s="26">
        <v>4.9799999999999997E-2</v>
      </c>
      <c r="M3475" s="26">
        <v>5.7200000000000001E-2</v>
      </c>
      <c r="O3475" s="26">
        <v>2.9399999999999999E-2</v>
      </c>
      <c r="P3475" s="26">
        <v>5.28E-2</v>
      </c>
      <c r="Q3475" s="26">
        <v>3.1099999999999999E-2</v>
      </c>
      <c r="R3475" s="26">
        <v>8.5000000000000006E-3</v>
      </c>
      <c r="U3475">
        <v>159</v>
      </c>
    </row>
    <row r="3476" spans="1:21" x14ac:dyDescent="0.35">
      <c r="A3476" t="s">
        <v>228</v>
      </c>
      <c r="B3476" t="s">
        <v>369</v>
      </c>
      <c r="C3476" s="26">
        <v>0.58589999999999998</v>
      </c>
      <c r="D3476" s="26">
        <v>0.1978</v>
      </c>
      <c r="E3476" s="26">
        <v>0.1457</v>
      </c>
      <c r="F3476" s="26">
        <v>6.8500000000000005E-2</v>
      </c>
      <c r="G3476" s="26">
        <v>6.3899999999999998E-2</v>
      </c>
      <c r="H3476" s="26">
        <v>8.09E-2</v>
      </c>
      <c r="I3476" s="26">
        <v>5.8500000000000003E-2</v>
      </c>
      <c r="J3476" s="26">
        <v>1.1299999999999999E-2</v>
      </c>
      <c r="K3476" s="26">
        <v>2.5000000000000001E-2</v>
      </c>
      <c r="L3476" s="26">
        <v>2.3999999999999998E-3</v>
      </c>
      <c r="M3476" s="26">
        <v>1.9800000000000002E-2</v>
      </c>
      <c r="N3476" s="26">
        <v>1.55E-2</v>
      </c>
      <c r="O3476" s="26">
        <v>8.8000000000000005E-3</v>
      </c>
      <c r="P3476" s="26">
        <v>8.0000000000000004E-4</v>
      </c>
      <c r="Q3476" s="26">
        <v>2.06E-2</v>
      </c>
      <c r="R3476" s="26">
        <v>8.3999999999999995E-3</v>
      </c>
      <c r="S3476" s="26">
        <v>2.5999999999999999E-3</v>
      </c>
      <c r="U3476">
        <v>644</v>
      </c>
    </row>
    <row r="3477" spans="1:21" x14ac:dyDescent="0.35">
      <c r="A3477" t="s">
        <v>229</v>
      </c>
      <c r="B3477" t="s">
        <v>368</v>
      </c>
      <c r="C3477" s="26">
        <v>0.50670000000000004</v>
      </c>
      <c r="D3477" s="26">
        <v>0.22170000000000001</v>
      </c>
      <c r="E3477" s="26">
        <v>0.22189999999999999</v>
      </c>
      <c r="F3477" s="26">
        <v>7.3200000000000001E-2</v>
      </c>
      <c r="G3477" s="26">
        <v>3.5900000000000001E-2</v>
      </c>
      <c r="H3477" s="26">
        <v>4.3900000000000002E-2</v>
      </c>
      <c r="I3477" s="26">
        <v>7.3899999999999993E-2</v>
      </c>
      <c r="J3477" s="26">
        <v>5.3E-3</v>
      </c>
      <c r="K3477" s="26">
        <v>2.53E-2</v>
      </c>
      <c r="M3477" s="26">
        <v>2.6499999999999999E-2</v>
      </c>
      <c r="N3477" s="26">
        <v>2.1299999999999999E-2</v>
      </c>
      <c r="O3477" s="26">
        <v>5.3E-3</v>
      </c>
      <c r="P3477" s="26">
        <v>0.1104</v>
      </c>
      <c r="U3477">
        <v>78</v>
      </c>
    </row>
    <row r="3478" spans="1:21" x14ac:dyDescent="0.35">
      <c r="A3478" t="s">
        <v>229</v>
      </c>
      <c r="B3478" t="s">
        <v>369</v>
      </c>
      <c r="C3478" s="26">
        <v>0.5413</v>
      </c>
      <c r="D3478" s="26">
        <v>0.21310000000000001</v>
      </c>
      <c r="E3478" s="26">
        <v>0.13830000000000001</v>
      </c>
      <c r="F3478" s="26">
        <v>8.0299999999999996E-2</v>
      </c>
      <c r="G3478" s="26">
        <v>4.82E-2</v>
      </c>
      <c r="H3478" s="26">
        <v>7.0699999999999999E-2</v>
      </c>
      <c r="I3478" s="26">
        <v>3.8600000000000002E-2</v>
      </c>
      <c r="J3478" s="26">
        <v>2.6499999999999999E-2</v>
      </c>
      <c r="K3478" s="26">
        <v>3.2099999999999997E-2</v>
      </c>
      <c r="L3478" s="26">
        <v>1.52E-2</v>
      </c>
      <c r="M3478" s="26">
        <v>6.4999999999999997E-3</v>
      </c>
      <c r="N3478" s="26">
        <v>2.06E-2</v>
      </c>
      <c r="O3478" s="26">
        <v>1.9199999999999998E-2</v>
      </c>
      <c r="P3478" s="26">
        <v>9.9000000000000008E-3</v>
      </c>
      <c r="Q3478" s="26">
        <v>9.4000000000000004E-3</v>
      </c>
      <c r="R3478" s="26">
        <v>5.1000000000000004E-3</v>
      </c>
      <c r="T3478" s="26">
        <v>1.1000000000000001E-3</v>
      </c>
      <c r="U3478">
        <v>546</v>
      </c>
    </row>
    <row r="3479" spans="1:21" x14ac:dyDescent="0.35">
      <c r="A3479" t="s">
        <v>230</v>
      </c>
      <c r="B3479" t="s">
        <v>368</v>
      </c>
      <c r="C3479" s="26">
        <v>0.50539999999999996</v>
      </c>
      <c r="D3479" s="26">
        <v>0.36730000000000002</v>
      </c>
      <c r="E3479" s="26">
        <v>0.13880000000000001</v>
      </c>
      <c r="F3479" s="26">
        <v>0.19109999999999999</v>
      </c>
      <c r="G3479" s="26">
        <v>6.0900000000000003E-2</v>
      </c>
      <c r="H3479" s="26">
        <v>6.0900000000000003E-2</v>
      </c>
      <c r="I3479" s="26">
        <v>2.2700000000000001E-2</v>
      </c>
      <c r="J3479" s="26">
        <v>5.21E-2</v>
      </c>
      <c r="O3479" s="26">
        <v>5.21E-2</v>
      </c>
      <c r="S3479" s="26">
        <v>8.8000000000000005E-3</v>
      </c>
      <c r="U3479">
        <v>45</v>
      </c>
    </row>
    <row r="3480" spans="1:21" x14ac:dyDescent="0.35">
      <c r="A3480" t="s">
        <v>230</v>
      </c>
      <c r="B3480" t="s">
        <v>369</v>
      </c>
      <c r="C3480" s="26">
        <v>0.54930000000000001</v>
      </c>
      <c r="D3480" s="26">
        <v>0.22589999999999999</v>
      </c>
      <c r="E3480" s="26">
        <v>0.13969999999999999</v>
      </c>
      <c r="F3480" s="26">
        <v>9.6100000000000005E-2</v>
      </c>
      <c r="G3480" s="26">
        <v>7.1800000000000003E-2</v>
      </c>
      <c r="H3480" s="26">
        <v>5.91E-2</v>
      </c>
      <c r="I3480" s="26">
        <v>5.4300000000000001E-2</v>
      </c>
      <c r="J3480" s="26">
        <v>1.6899999999999998E-2</v>
      </c>
      <c r="K3480" s="26">
        <v>1.3599999999999999E-2</v>
      </c>
      <c r="L3480" s="26">
        <v>8.6999999999999994E-3</v>
      </c>
      <c r="M3480" s="26">
        <v>2.1399999999999999E-2</v>
      </c>
      <c r="N3480" s="26">
        <v>1.9199999999999998E-2</v>
      </c>
      <c r="O3480" s="26">
        <v>2.93E-2</v>
      </c>
      <c r="P3480" s="26">
        <v>4.0000000000000002E-4</v>
      </c>
      <c r="Q3480" s="26">
        <v>1.01E-2</v>
      </c>
      <c r="U3480">
        <v>365</v>
      </c>
    </row>
    <row r="3481" spans="1:21" x14ac:dyDescent="0.35">
      <c r="A3481" s="27" t="s">
        <v>231</v>
      </c>
      <c r="B3481" s="27" t="s">
        <v>368</v>
      </c>
      <c r="C3481" s="28">
        <v>0.63639999999999997</v>
      </c>
      <c r="D3481" s="28">
        <v>0.18179999999999999</v>
      </c>
      <c r="E3481" s="28">
        <v>0.13639999999999999</v>
      </c>
      <c r="F3481" s="28">
        <v>4.5499999999999999E-2</v>
      </c>
      <c r="G3481" s="28">
        <v>4.5499999999999999E-2</v>
      </c>
      <c r="H3481" s="29"/>
      <c r="I3481" s="28">
        <v>4.5499999999999999E-2</v>
      </c>
      <c r="J3481" s="29"/>
      <c r="K3481" s="29"/>
      <c r="L3481" s="29"/>
      <c r="M3481" s="28">
        <v>4.5499999999999999E-2</v>
      </c>
      <c r="N3481" s="29"/>
      <c r="O3481" s="29"/>
      <c r="P3481" s="29"/>
      <c r="Q3481" s="29"/>
      <c r="R3481" s="29"/>
      <c r="S3481" s="29"/>
      <c r="T3481" s="29"/>
      <c r="U3481" s="29" t="s">
        <v>347</v>
      </c>
    </row>
    <row r="3482" spans="1:21" x14ac:dyDescent="0.35">
      <c r="A3482" t="s">
        <v>231</v>
      </c>
      <c r="B3482" t="s">
        <v>369</v>
      </c>
      <c r="C3482" s="26">
        <v>0.62380000000000002</v>
      </c>
      <c r="D3482" s="26">
        <v>0.19800000000000001</v>
      </c>
      <c r="E3482" s="26">
        <v>8.9099999999999999E-2</v>
      </c>
      <c r="F3482" s="26">
        <v>7.9200000000000007E-2</v>
      </c>
      <c r="G3482" s="26">
        <v>7.9200000000000007E-2</v>
      </c>
      <c r="H3482" s="26">
        <v>6.93E-2</v>
      </c>
      <c r="I3482" s="26">
        <v>1.9800000000000002E-2</v>
      </c>
      <c r="J3482" s="26">
        <v>2.9700000000000001E-2</v>
      </c>
      <c r="K3482" s="26">
        <v>9.9000000000000008E-3</v>
      </c>
      <c r="L3482" s="26">
        <v>1.9800000000000002E-2</v>
      </c>
      <c r="N3482" s="26">
        <v>9.9000000000000008E-3</v>
      </c>
      <c r="U3482">
        <v>101</v>
      </c>
    </row>
    <row r="3483" spans="1:21" x14ac:dyDescent="0.35">
      <c r="A3483" t="s">
        <v>232</v>
      </c>
      <c r="B3483" t="s">
        <v>232</v>
      </c>
      <c r="C3483" s="26">
        <v>0.57579999999999998</v>
      </c>
      <c r="D3483" s="26">
        <v>0.21099999999999999</v>
      </c>
      <c r="E3483" s="26">
        <v>0.13300000000000001</v>
      </c>
      <c r="F3483" s="26">
        <v>7.0599999999999996E-2</v>
      </c>
      <c r="G3483" s="26">
        <v>6.08E-2</v>
      </c>
      <c r="H3483" s="26">
        <v>5.74E-2</v>
      </c>
      <c r="I3483" s="26">
        <v>3.9300000000000002E-2</v>
      </c>
      <c r="J3483" s="26">
        <v>2.07E-2</v>
      </c>
      <c r="K3483" s="26">
        <v>1.9199999999999998E-2</v>
      </c>
      <c r="L3483" s="26">
        <v>1.37E-2</v>
      </c>
      <c r="M3483" s="26">
        <v>1.23E-2</v>
      </c>
      <c r="N3483" s="26">
        <v>1.2E-2</v>
      </c>
      <c r="O3483" s="26">
        <v>1.17E-2</v>
      </c>
      <c r="P3483" s="26">
        <v>1.12E-2</v>
      </c>
      <c r="Q3483" s="26">
        <v>1.01E-2</v>
      </c>
      <c r="R3483" s="26">
        <v>2.8999999999999998E-3</v>
      </c>
      <c r="S3483" s="26">
        <v>1.8E-3</v>
      </c>
      <c r="T3483" s="26">
        <v>2.9999999999999997E-4</v>
      </c>
      <c r="U3483">
        <v>2083</v>
      </c>
    </row>
    <row r="3485" spans="1:21" x14ac:dyDescent="0.35">
      <c r="A3485" s="1" t="s">
        <v>617</v>
      </c>
    </row>
    <row r="3486" spans="1:21" x14ac:dyDescent="0.35">
      <c r="A3486" t="s">
        <v>219</v>
      </c>
      <c r="B3486" t="s">
        <v>305</v>
      </c>
      <c r="C3486" t="s">
        <v>320</v>
      </c>
      <c r="D3486" t="s">
        <v>593</v>
      </c>
      <c r="E3486" t="s">
        <v>594</v>
      </c>
      <c r="F3486" t="s">
        <v>595</v>
      </c>
      <c r="G3486" t="s">
        <v>596</v>
      </c>
      <c r="H3486" t="s">
        <v>597</v>
      </c>
      <c r="I3486" t="s">
        <v>598</v>
      </c>
      <c r="J3486" t="s">
        <v>599</v>
      </c>
      <c r="K3486" t="s">
        <v>600</v>
      </c>
      <c r="L3486" t="s">
        <v>601</v>
      </c>
      <c r="M3486" t="s">
        <v>602</v>
      </c>
      <c r="N3486" t="s">
        <v>603</v>
      </c>
      <c r="O3486" t="s">
        <v>604</v>
      </c>
      <c r="P3486" t="s">
        <v>605</v>
      </c>
      <c r="Q3486" t="s">
        <v>606</v>
      </c>
      <c r="R3486" t="s">
        <v>607</v>
      </c>
      <c r="S3486" t="s">
        <v>281</v>
      </c>
      <c r="T3486" t="s">
        <v>286</v>
      </c>
      <c r="U3486" t="s">
        <v>226</v>
      </c>
    </row>
    <row r="3487" spans="1:21" x14ac:dyDescent="0.35">
      <c r="A3487" t="s">
        <v>227</v>
      </c>
      <c r="B3487" t="s">
        <v>371</v>
      </c>
      <c r="C3487" s="26">
        <v>0.60980000000000001</v>
      </c>
      <c r="D3487" s="26">
        <v>0.2114</v>
      </c>
      <c r="E3487" s="26">
        <v>0.1138</v>
      </c>
      <c r="F3487" s="26">
        <v>4.07E-2</v>
      </c>
      <c r="G3487" s="26">
        <v>3.2500000000000001E-2</v>
      </c>
      <c r="H3487" s="26">
        <v>2.4400000000000002E-2</v>
      </c>
      <c r="I3487" s="26">
        <v>2.4400000000000002E-2</v>
      </c>
      <c r="J3487" s="26">
        <v>2.4400000000000002E-2</v>
      </c>
      <c r="K3487" s="26">
        <v>1.6299999999999999E-2</v>
      </c>
      <c r="L3487" s="26">
        <v>1.6299999999999999E-2</v>
      </c>
      <c r="O3487" s="26">
        <v>8.0999999999999996E-3</v>
      </c>
      <c r="P3487" s="26">
        <v>8.0999999999999996E-3</v>
      </c>
      <c r="Q3487" s="26">
        <v>1.6299999999999999E-2</v>
      </c>
      <c r="S3487" s="26">
        <v>8.0999999999999996E-3</v>
      </c>
      <c r="U3487">
        <v>123</v>
      </c>
    </row>
    <row r="3488" spans="1:21" x14ac:dyDescent="0.35">
      <c r="A3488" t="s">
        <v>228</v>
      </c>
      <c r="B3488" t="s">
        <v>371</v>
      </c>
      <c r="C3488" s="26">
        <v>0.57310000000000005</v>
      </c>
      <c r="D3488" s="26">
        <v>0.18590000000000001</v>
      </c>
      <c r="E3488" s="26">
        <v>0.1754</v>
      </c>
      <c r="F3488" s="26">
        <v>6.3299999999999995E-2</v>
      </c>
      <c r="G3488" s="26">
        <v>7.7299999999999994E-2</v>
      </c>
      <c r="H3488" s="26">
        <v>6.6600000000000006E-2</v>
      </c>
      <c r="I3488" s="26">
        <v>2.9700000000000001E-2</v>
      </c>
      <c r="J3488" s="26">
        <v>1.6E-2</v>
      </c>
      <c r="K3488" s="26">
        <v>1.7999999999999999E-2</v>
      </c>
      <c r="L3488" s="26">
        <v>1.6E-2</v>
      </c>
      <c r="M3488" s="26">
        <v>1.6799999999999999E-2</v>
      </c>
      <c r="N3488" s="26">
        <v>1.6799999999999999E-2</v>
      </c>
      <c r="O3488" s="26">
        <v>8.8000000000000005E-3</v>
      </c>
      <c r="P3488" s="26">
        <v>1.6E-2</v>
      </c>
      <c r="Q3488" s="26">
        <v>1.78E-2</v>
      </c>
      <c r="R3488" s="26">
        <v>8.8000000000000005E-3</v>
      </c>
      <c r="U3488">
        <v>228</v>
      </c>
    </row>
    <row r="3489" spans="1:21" x14ac:dyDescent="0.35">
      <c r="A3489" t="s">
        <v>228</v>
      </c>
      <c r="B3489" t="s">
        <v>372</v>
      </c>
      <c r="C3489" s="26">
        <v>0.43469999999999998</v>
      </c>
      <c r="D3489" s="26">
        <v>0.29580000000000001</v>
      </c>
      <c r="E3489" s="26">
        <v>0.184</v>
      </c>
      <c r="F3489" s="26">
        <v>7.1900000000000006E-2</v>
      </c>
      <c r="G3489" s="26">
        <v>0.1406</v>
      </c>
      <c r="H3489" s="26">
        <v>8.77E-2</v>
      </c>
      <c r="I3489" s="26">
        <v>0.1628</v>
      </c>
      <c r="J3489" s="26">
        <v>3.5000000000000001E-3</v>
      </c>
      <c r="K3489" s="26">
        <v>6.5299999999999997E-2</v>
      </c>
      <c r="L3489" s="26">
        <v>6.0000000000000001E-3</v>
      </c>
      <c r="M3489" s="26">
        <v>9.3399999999999997E-2</v>
      </c>
      <c r="O3489" s="26">
        <v>9.4999999999999998E-3</v>
      </c>
      <c r="P3489" s="26">
        <v>1.14E-2</v>
      </c>
      <c r="Q3489" s="26">
        <v>0.1128</v>
      </c>
      <c r="R3489" s="26">
        <v>3.5000000000000001E-3</v>
      </c>
      <c r="S3489" s="26">
        <v>6.0000000000000001E-3</v>
      </c>
      <c r="U3489">
        <v>180</v>
      </c>
    </row>
    <row r="3490" spans="1:21" x14ac:dyDescent="0.35">
      <c r="A3490" t="s">
        <v>228</v>
      </c>
      <c r="B3490" t="s">
        <v>373</v>
      </c>
      <c r="C3490" s="26">
        <v>0.55469999999999997</v>
      </c>
      <c r="D3490" s="26">
        <v>0.22689999999999999</v>
      </c>
      <c r="E3490" s="26">
        <v>0.1477</v>
      </c>
      <c r="F3490" s="26">
        <v>5.1700000000000003E-2</v>
      </c>
      <c r="G3490" s="26">
        <v>7.4499999999999997E-2</v>
      </c>
      <c r="H3490" s="26">
        <v>7.1099999999999997E-2</v>
      </c>
      <c r="I3490" s="26">
        <v>7.5200000000000003E-2</v>
      </c>
      <c r="J3490" s="26">
        <v>8.0000000000000004E-4</v>
      </c>
      <c r="K3490" s="26">
        <v>2.1899999999999999E-2</v>
      </c>
      <c r="L3490" s="26">
        <v>9.1999999999999998E-3</v>
      </c>
      <c r="M3490" s="26">
        <v>2.7900000000000001E-2</v>
      </c>
      <c r="N3490" s="26">
        <v>8.3000000000000001E-3</v>
      </c>
      <c r="O3490" s="26">
        <v>2.0199999999999999E-2</v>
      </c>
      <c r="P3490" s="26">
        <v>6.1000000000000004E-3</v>
      </c>
      <c r="Q3490" s="26">
        <v>8.6E-3</v>
      </c>
      <c r="R3490" s="26">
        <v>8.8999999999999999E-3</v>
      </c>
      <c r="S3490" s="26">
        <v>4.0000000000000001E-3</v>
      </c>
      <c r="U3490">
        <v>395</v>
      </c>
    </row>
    <row r="3491" spans="1:21" x14ac:dyDescent="0.35">
      <c r="A3491" t="s">
        <v>229</v>
      </c>
      <c r="B3491" t="s">
        <v>371</v>
      </c>
      <c r="C3491" s="26">
        <v>0.52649999999999997</v>
      </c>
      <c r="D3491" s="26">
        <v>0.2175</v>
      </c>
      <c r="E3491" s="26">
        <v>0.157</v>
      </c>
      <c r="F3491" s="26">
        <v>8.1299999999999997E-2</v>
      </c>
      <c r="G3491" s="26">
        <v>4.5199999999999997E-2</v>
      </c>
      <c r="H3491" s="26">
        <v>6.8699999999999997E-2</v>
      </c>
      <c r="I3491" s="26">
        <v>4.1599999999999998E-2</v>
      </c>
      <c r="J3491" s="26">
        <v>2.4299999999999999E-2</v>
      </c>
      <c r="K3491" s="26">
        <v>3.2599999999999997E-2</v>
      </c>
      <c r="L3491" s="26">
        <v>1.32E-2</v>
      </c>
      <c r="M3491" s="26">
        <v>8.6E-3</v>
      </c>
      <c r="N3491" s="26">
        <v>2.23E-2</v>
      </c>
      <c r="O3491" s="26">
        <v>1.7299999999999999E-2</v>
      </c>
      <c r="P3491" s="26">
        <v>2.8299999999999999E-2</v>
      </c>
      <c r="Q3491" s="26">
        <v>8.2000000000000007E-3</v>
      </c>
      <c r="R3491" s="26">
        <v>4.5999999999999999E-3</v>
      </c>
      <c r="T3491" s="26">
        <v>1E-3</v>
      </c>
      <c r="U3491">
        <v>404</v>
      </c>
    </row>
    <row r="3492" spans="1:21" x14ac:dyDescent="0.35">
      <c r="A3492" t="s">
        <v>229</v>
      </c>
      <c r="B3492" t="s">
        <v>372</v>
      </c>
      <c r="C3492" s="26">
        <v>0.62890000000000001</v>
      </c>
      <c r="D3492" s="26">
        <v>0.1817</v>
      </c>
      <c r="E3492" s="26">
        <v>9.0399999999999994E-2</v>
      </c>
      <c r="F3492" s="26">
        <v>5.8400000000000001E-2</v>
      </c>
      <c r="G3492" s="26">
        <v>6.8699999999999997E-2</v>
      </c>
      <c r="H3492" s="26">
        <v>3.6900000000000002E-2</v>
      </c>
      <c r="I3492" s="26">
        <v>7.4999999999999997E-2</v>
      </c>
      <c r="K3492" s="26">
        <v>1.4E-2</v>
      </c>
      <c r="L3492" s="26">
        <v>8.8999999999999999E-3</v>
      </c>
      <c r="M3492" s="26">
        <v>3.8100000000000002E-2</v>
      </c>
      <c r="P3492" s="26">
        <v>8.8999999999999999E-3</v>
      </c>
      <c r="Q3492" s="26">
        <v>5.1000000000000004E-3</v>
      </c>
      <c r="U3492">
        <v>161</v>
      </c>
    </row>
    <row r="3493" spans="1:21" x14ac:dyDescent="0.35">
      <c r="A3493" t="s">
        <v>229</v>
      </c>
      <c r="B3493" t="s">
        <v>373</v>
      </c>
      <c r="C3493" s="26">
        <v>0.69599999999999995</v>
      </c>
      <c r="D3493" s="26">
        <v>0.16600000000000001</v>
      </c>
      <c r="E3493" s="26">
        <v>9.4799999999999995E-2</v>
      </c>
      <c r="F3493" s="26">
        <v>3.4000000000000002E-2</v>
      </c>
      <c r="G3493" s="26">
        <v>3.8199999999999998E-2</v>
      </c>
      <c r="H3493" s="26">
        <v>2.8500000000000001E-2</v>
      </c>
      <c r="I3493" s="26">
        <v>9.4299999999999995E-2</v>
      </c>
      <c r="J3493" s="26">
        <v>1.89E-2</v>
      </c>
      <c r="O3493" s="26">
        <v>3.7699999999999997E-2</v>
      </c>
      <c r="U3493">
        <v>59</v>
      </c>
    </row>
    <row r="3494" spans="1:21" x14ac:dyDescent="0.35">
      <c r="A3494" t="s">
        <v>230</v>
      </c>
      <c r="B3494" t="s">
        <v>371</v>
      </c>
      <c r="C3494" s="26">
        <v>0.53510000000000002</v>
      </c>
      <c r="D3494" s="26">
        <v>0.25330000000000003</v>
      </c>
      <c r="E3494" s="26">
        <v>0.14680000000000001</v>
      </c>
      <c r="F3494" s="26">
        <v>0.11799999999999999</v>
      </c>
      <c r="G3494" s="26">
        <v>7.2099999999999997E-2</v>
      </c>
      <c r="H3494" s="26">
        <v>6.3299999999999995E-2</v>
      </c>
      <c r="I3494" s="26">
        <v>4.1700000000000001E-2</v>
      </c>
      <c r="J3494" s="26">
        <v>2.5899999999999999E-2</v>
      </c>
      <c r="K3494" s="26">
        <v>1.01E-2</v>
      </c>
      <c r="L3494" s="26">
        <v>8.6E-3</v>
      </c>
      <c r="M3494" s="26">
        <v>2.01E-2</v>
      </c>
      <c r="N3494" s="26">
        <v>1.72E-2</v>
      </c>
      <c r="O3494" s="26">
        <v>3.5900000000000001E-2</v>
      </c>
      <c r="Q3494" s="26">
        <v>1.01E-2</v>
      </c>
      <c r="S3494" s="26">
        <v>1.5E-3</v>
      </c>
      <c r="U3494">
        <v>200</v>
      </c>
    </row>
    <row r="3495" spans="1:21" x14ac:dyDescent="0.35">
      <c r="A3495" t="s">
        <v>230</v>
      </c>
      <c r="B3495" t="s">
        <v>372</v>
      </c>
      <c r="C3495" s="26">
        <v>0.4491</v>
      </c>
      <c r="D3495" s="26">
        <v>0.25519999999999998</v>
      </c>
      <c r="E3495" s="26">
        <v>0.1212</v>
      </c>
      <c r="F3495" s="26">
        <v>9.3700000000000006E-2</v>
      </c>
      <c r="G3495" s="26">
        <v>6.4600000000000005E-2</v>
      </c>
      <c r="H3495" s="26">
        <v>1.29E-2</v>
      </c>
      <c r="I3495" s="26">
        <v>0.2213</v>
      </c>
      <c r="J3495" s="26">
        <v>6.4999999999999997E-3</v>
      </c>
      <c r="K3495" s="26">
        <v>1.9400000000000001E-2</v>
      </c>
      <c r="L3495" s="26">
        <v>6.4999999999999997E-3</v>
      </c>
      <c r="M3495" s="26">
        <v>3.2300000000000002E-2</v>
      </c>
      <c r="O3495" s="26">
        <v>6.4999999999999997E-3</v>
      </c>
      <c r="P3495" s="26">
        <v>6.4999999999999997E-3</v>
      </c>
      <c r="Q3495" s="26">
        <v>6.4999999999999997E-3</v>
      </c>
      <c r="U3495">
        <v>103</v>
      </c>
    </row>
    <row r="3496" spans="1:21" x14ac:dyDescent="0.35">
      <c r="A3496" t="s">
        <v>230</v>
      </c>
      <c r="B3496" t="s">
        <v>373</v>
      </c>
      <c r="C3496" s="26">
        <v>0.6462</v>
      </c>
      <c r="D3496" s="26">
        <v>0.18360000000000001</v>
      </c>
      <c r="E3496" s="26">
        <v>9.6699999999999994E-2</v>
      </c>
      <c r="F3496" s="26">
        <v>5.3400000000000003E-2</v>
      </c>
      <c r="G3496" s="26">
        <v>6.0299999999999999E-2</v>
      </c>
      <c r="H3496" s="26">
        <v>5.3400000000000003E-2</v>
      </c>
      <c r="I3496" s="26">
        <v>2.63E-2</v>
      </c>
      <c r="K3496" s="26">
        <v>2.01E-2</v>
      </c>
      <c r="N3496" s="26">
        <v>2.01E-2</v>
      </c>
      <c r="O3496" s="26">
        <v>2.01E-2</v>
      </c>
      <c r="U3496">
        <v>107</v>
      </c>
    </row>
    <row r="3497" spans="1:21" x14ac:dyDescent="0.35">
      <c r="A3497" t="s">
        <v>231</v>
      </c>
      <c r="B3497" t="s">
        <v>371</v>
      </c>
      <c r="C3497" s="26">
        <v>0.626</v>
      </c>
      <c r="D3497" s="26">
        <v>0.1951</v>
      </c>
      <c r="E3497" s="26">
        <v>9.7600000000000006E-2</v>
      </c>
      <c r="F3497" s="26">
        <v>7.3200000000000001E-2</v>
      </c>
      <c r="G3497" s="26">
        <v>7.3200000000000001E-2</v>
      </c>
      <c r="H3497" s="26">
        <v>5.6899999999999999E-2</v>
      </c>
      <c r="I3497" s="26">
        <v>2.4400000000000002E-2</v>
      </c>
      <c r="J3497" s="26">
        <v>2.4400000000000002E-2</v>
      </c>
      <c r="K3497" s="26">
        <v>8.0999999999999996E-3</v>
      </c>
      <c r="L3497" s="26">
        <v>1.6299999999999999E-2</v>
      </c>
      <c r="M3497" s="26">
        <v>8.0999999999999996E-3</v>
      </c>
      <c r="N3497" s="26">
        <v>8.0999999999999996E-3</v>
      </c>
      <c r="U3497">
        <v>123</v>
      </c>
    </row>
    <row r="3498" spans="1:21" x14ac:dyDescent="0.35">
      <c r="A3498" t="s">
        <v>232</v>
      </c>
      <c r="B3498" t="s">
        <v>232</v>
      </c>
      <c r="C3498" s="26">
        <v>0.57579999999999998</v>
      </c>
      <c r="D3498" s="26">
        <v>0.21099999999999999</v>
      </c>
      <c r="E3498" s="26">
        <v>0.13300000000000001</v>
      </c>
      <c r="F3498" s="26">
        <v>7.0599999999999996E-2</v>
      </c>
      <c r="G3498" s="26">
        <v>6.08E-2</v>
      </c>
      <c r="H3498" s="26">
        <v>5.74E-2</v>
      </c>
      <c r="I3498" s="26">
        <v>3.9300000000000002E-2</v>
      </c>
      <c r="J3498" s="26">
        <v>2.07E-2</v>
      </c>
      <c r="K3498" s="26">
        <v>1.9199999999999998E-2</v>
      </c>
      <c r="L3498" s="26">
        <v>1.37E-2</v>
      </c>
      <c r="M3498" s="26">
        <v>1.23E-2</v>
      </c>
      <c r="N3498" s="26">
        <v>1.2E-2</v>
      </c>
      <c r="O3498" s="26">
        <v>1.17E-2</v>
      </c>
      <c r="P3498" s="26">
        <v>1.12E-2</v>
      </c>
      <c r="Q3498" s="26">
        <v>1.01E-2</v>
      </c>
      <c r="R3498" s="26">
        <v>2.8999999999999998E-3</v>
      </c>
      <c r="S3498" s="26">
        <v>1.8E-3</v>
      </c>
      <c r="T3498" s="26">
        <v>2.9999999999999997E-4</v>
      </c>
      <c r="U3498">
        <v>2083</v>
      </c>
    </row>
    <row r="3500" spans="1:21" x14ac:dyDescent="0.35">
      <c r="A3500" s="1" t="s">
        <v>618</v>
      </c>
    </row>
    <row r="3501" spans="1:21" x14ac:dyDescent="0.35">
      <c r="A3501" t="s">
        <v>219</v>
      </c>
      <c r="B3501" t="s">
        <v>305</v>
      </c>
      <c r="C3501" t="s">
        <v>320</v>
      </c>
      <c r="D3501" t="s">
        <v>593</v>
      </c>
      <c r="E3501" t="s">
        <v>594</v>
      </c>
      <c r="F3501" t="s">
        <v>595</v>
      </c>
      <c r="G3501" t="s">
        <v>596</v>
      </c>
      <c r="H3501" t="s">
        <v>597</v>
      </c>
      <c r="I3501" t="s">
        <v>598</v>
      </c>
      <c r="J3501" t="s">
        <v>599</v>
      </c>
      <c r="K3501" t="s">
        <v>600</v>
      </c>
      <c r="L3501" t="s">
        <v>601</v>
      </c>
      <c r="M3501" t="s">
        <v>602</v>
      </c>
      <c r="N3501" t="s">
        <v>603</v>
      </c>
      <c r="O3501" t="s">
        <v>604</v>
      </c>
      <c r="P3501" t="s">
        <v>605</v>
      </c>
      <c r="Q3501" t="s">
        <v>606</v>
      </c>
      <c r="R3501" t="s">
        <v>607</v>
      </c>
      <c r="S3501" t="s">
        <v>281</v>
      </c>
      <c r="T3501" t="s">
        <v>286</v>
      </c>
      <c r="U3501" t="s">
        <v>226</v>
      </c>
    </row>
    <row r="3502" spans="1:21" x14ac:dyDescent="0.35">
      <c r="A3502" t="s">
        <v>227</v>
      </c>
      <c r="B3502" t="s">
        <v>255</v>
      </c>
      <c r="C3502" s="26">
        <v>0.62790000000000001</v>
      </c>
      <c r="D3502" s="26">
        <v>0.19769999999999999</v>
      </c>
      <c r="E3502" s="26">
        <v>0.1163</v>
      </c>
      <c r="F3502" s="26">
        <v>4.65E-2</v>
      </c>
      <c r="G3502" s="26">
        <v>2.3300000000000001E-2</v>
      </c>
      <c r="H3502" s="26">
        <v>2.3300000000000001E-2</v>
      </c>
      <c r="I3502" s="26">
        <v>1.1599999999999999E-2</v>
      </c>
      <c r="J3502" s="26">
        <v>1.1599999999999999E-2</v>
      </c>
      <c r="K3502" s="26">
        <v>2.3300000000000001E-2</v>
      </c>
      <c r="L3502" s="26">
        <v>2.3300000000000001E-2</v>
      </c>
      <c r="O3502" s="26">
        <v>1.1599999999999999E-2</v>
      </c>
      <c r="P3502" s="26">
        <v>1.1599999999999999E-2</v>
      </c>
      <c r="Q3502" s="26">
        <v>2.3300000000000001E-2</v>
      </c>
      <c r="S3502" s="26">
        <v>1.1599999999999999E-2</v>
      </c>
      <c r="U3502">
        <v>86</v>
      </c>
    </row>
    <row r="3503" spans="1:21" x14ac:dyDescent="0.35">
      <c r="A3503" s="27" t="s">
        <v>227</v>
      </c>
      <c r="B3503" s="27" t="s">
        <v>257</v>
      </c>
      <c r="C3503" s="28">
        <v>0.625</v>
      </c>
      <c r="D3503" s="29"/>
      <c r="E3503" s="29"/>
      <c r="F3503" s="28">
        <v>0.125</v>
      </c>
      <c r="G3503" s="28">
        <v>0.25</v>
      </c>
      <c r="H3503" s="29"/>
      <c r="I3503" s="29"/>
      <c r="J3503" s="29"/>
      <c r="K3503" s="29"/>
      <c r="L3503" s="29"/>
      <c r="M3503" s="29"/>
      <c r="N3503" s="29"/>
      <c r="O3503" s="29"/>
      <c r="P3503" s="29"/>
      <c r="Q3503" s="29"/>
      <c r="R3503" s="29"/>
      <c r="S3503" s="29"/>
      <c r="T3503" s="29"/>
      <c r="U3503" s="29" t="s">
        <v>333</v>
      </c>
    </row>
    <row r="3504" spans="1:21" x14ac:dyDescent="0.35">
      <c r="A3504" s="27" t="s">
        <v>227</v>
      </c>
      <c r="B3504" s="27" t="s">
        <v>256</v>
      </c>
      <c r="C3504" s="28">
        <v>0.55169999999999997</v>
      </c>
      <c r="D3504" s="28">
        <v>0.31030000000000002</v>
      </c>
      <c r="E3504" s="28">
        <v>0.13789999999999999</v>
      </c>
      <c r="F3504" s="29"/>
      <c r="G3504" s="29"/>
      <c r="H3504" s="28">
        <v>3.4500000000000003E-2</v>
      </c>
      <c r="I3504" s="28">
        <v>6.9000000000000006E-2</v>
      </c>
      <c r="J3504" s="28">
        <v>6.9000000000000006E-2</v>
      </c>
      <c r="K3504" s="29"/>
      <c r="L3504" s="29"/>
      <c r="M3504" s="29"/>
      <c r="N3504" s="29"/>
      <c r="O3504" s="29"/>
      <c r="P3504" s="29"/>
      <c r="Q3504" s="29"/>
      <c r="R3504" s="29"/>
      <c r="S3504" s="29"/>
      <c r="T3504" s="29"/>
      <c r="U3504" s="29" t="s">
        <v>329</v>
      </c>
    </row>
    <row r="3505" spans="1:21" x14ac:dyDescent="0.35">
      <c r="A3505" t="s">
        <v>228</v>
      </c>
      <c r="B3505" t="s">
        <v>257</v>
      </c>
      <c r="C3505" s="26">
        <v>0.58220000000000005</v>
      </c>
      <c r="D3505" s="26">
        <v>0.25719999999999998</v>
      </c>
      <c r="E3505" s="26">
        <v>0.2152</v>
      </c>
      <c r="F3505" s="26">
        <v>9.2399999999999996E-2</v>
      </c>
      <c r="G3505" s="26">
        <v>0.13869999999999999</v>
      </c>
      <c r="H3505" s="26">
        <v>2.6700000000000002E-2</v>
      </c>
      <c r="I3505" s="26">
        <v>2.1999999999999999E-2</v>
      </c>
      <c r="M3505" s="26">
        <v>2.98E-2</v>
      </c>
      <c r="N3505" s="26">
        <v>1.15E-2</v>
      </c>
      <c r="P3505" s="26">
        <v>9.2399999999999996E-2</v>
      </c>
      <c r="Q3505" s="26">
        <v>2.3099999999999999E-2</v>
      </c>
      <c r="U3505">
        <v>30</v>
      </c>
    </row>
    <row r="3506" spans="1:21" x14ac:dyDescent="0.35">
      <c r="A3506" s="27" t="s">
        <v>228</v>
      </c>
      <c r="B3506" s="27" t="s">
        <v>258</v>
      </c>
      <c r="C3506" s="28">
        <v>0.876</v>
      </c>
      <c r="D3506" s="28">
        <v>0.124</v>
      </c>
      <c r="E3506" s="28">
        <v>0.124</v>
      </c>
      <c r="F3506" s="29"/>
      <c r="G3506" s="29"/>
      <c r="H3506" s="29"/>
      <c r="I3506" s="29"/>
      <c r="J3506" s="29"/>
      <c r="K3506" s="29"/>
      <c r="L3506" s="29"/>
      <c r="M3506" s="29"/>
      <c r="N3506" s="29"/>
      <c r="O3506" s="29"/>
      <c r="P3506" s="29"/>
      <c r="Q3506" s="29"/>
      <c r="R3506" s="29"/>
      <c r="S3506" s="29"/>
      <c r="T3506" s="29"/>
      <c r="U3506" s="29" t="s">
        <v>315</v>
      </c>
    </row>
    <row r="3507" spans="1:21" x14ac:dyDescent="0.35">
      <c r="A3507" t="s">
        <v>228</v>
      </c>
      <c r="B3507" t="s">
        <v>256</v>
      </c>
      <c r="C3507" s="26">
        <v>0.55600000000000005</v>
      </c>
      <c r="D3507" s="26">
        <v>0.1963</v>
      </c>
      <c r="E3507" s="26">
        <v>0.19350000000000001</v>
      </c>
      <c r="F3507" s="26">
        <v>3.7699999999999997E-2</v>
      </c>
      <c r="G3507" s="26">
        <v>8.9300000000000004E-2</v>
      </c>
      <c r="H3507" s="26">
        <v>5.9200000000000003E-2</v>
      </c>
      <c r="I3507" s="26">
        <v>6.3799999999999996E-2</v>
      </c>
      <c r="J3507" s="26">
        <v>1.8499999999999999E-2</v>
      </c>
      <c r="K3507" s="26">
        <v>3.4299999999999997E-2</v>
      </c>
      <c r="L3507" s="26">
        <v>2.2000000000000001E-3</v>
      </c>
      <c r="M3507" s="26">
        <v>1.8100000000000002E-2</v>
      </c>
      <c r="N3507" s="26">
        <v>1.9099999999999999E-2</v>
      </c>
      <c r="O3507" s="26">
        <v>7.9000000000000008E-3</v>
      </c>
      <c r="P3507" s="26">
        <v>4.1000000000000003E-3</v>
      </c>
      <c r="Q3507" s="26">
        <v>2.5700000000000001E-2</v>
      </c>
      <c r="R3507" s="26">
        <v>3.0999999999999999E-3</v>
      </c>
      <c r="U3507">
        <v>170</v>
      </c>
    </row>
    <row r="3508" spans="1:21" x14ac:dyDescent="0.35">
      <c r="A3508" t="s">
        <v>228</v>
      </c>
      <c r="B3508" t="s">
        <v>255</v>
      </c>
      <c r="C3508" s="26">
        <v>0.54859999999999998</v>
      </c>
      <c r="D3508" s="26">
        <v>0.21390000000000001</v>
      </c>
      <c r="E3508" s="26">
        <v>0.15310000000000001</v>
      </c>
      <c r="F3508" s="26">
        <v>6.59E-2</v>
      </c>
      <c r="G3508" s="26">
        <v>7.6200000000000004E-2</v>
      </c>
      <c r="H3508" s="26">
        <v>7.7499999999999999E-2</v>
      </c>
      <c r="I3508" s="26">
        <v>5.9700000000000003E-2</v>
      </c>
      <c r="J3508" s="26">
        <v>6.6E-3</v>
      </c>
      <c r="K3508" s="26">
        <v>2.1600000000000001E-2</v>
      </c>
      <c r="L3508" s="26">
        <v>1.72E-2</v>
      </c>
      <c r="M3508" s="26">
        <v>3.1399999999999997E-2</v>
      </c>
      <c r="N3508" s="26">
        <v>9.7999999999999997E-3</v>
      </c>
      <c r="O3508" s="26">
        <v>1.6E-2</v>
      </c>
      <c r="P3508" s="26">
        <v>9.4000000000000004E-3</v>
      </c>
      <c r="Q3508" s="26">
        <v>2.1999999999999999E-2</v>
      </c>
      <c r="R3508" s="26">
        <v>1.09E-2</v>
      </c>
      <c r="S3508" s="26">
        <v>2.8999999999999998E-3</v>
      </c>
      <c r="U3508">
        <v>600</v>
      </c>
    </row>
    <row r="3509" spans="1:21" x14ac:dyDescent="0.35">
      <c r="A3509" t="s">
        <v>229</v>
      </c>
      <c r="B3509" t="s">
        <v>256</v>
      </c>
      <c r="C3509" s="26">
        <v>0.52710000000000001</v>
      </c>
      <c r="D3509" s="26">
        <v>0.18129999999999999</v>
      </c>
      <c r="E3509" s="26">
        <v>0.17369999999999999</v>
      </c>
      <c r="F3509" s="26">
        <v>0.15049999999999999</v>
      </c>
      <c r="G3509" s="26">
        <v>3.0099999999999998E-2</v>
      </c>
      <c r="H3509" s="26">
        <v>7.3800000000000004E-2</v>
      </c>
      <c r="I3509" s="26">
        <v>4.5499999999999999E-2</v>
      </c>
      <c r="J3509" s="26">
        <v>4.2599999999999999E-2</v>
      </c>
      <c r="K3509" s="26">
        <v>6.3799999999999996E-2</v>
      </c>
      <c r="M3509" s="26">
        <v>1.5E-3</v>
      </c>
      <c r="N3509" s="26">
        <v>1.2200000000000001E-2</v>
      </c>
      <c r="O3509" s="26">
        <v>2.8899999999999999E-2</v>
      </c>
      <c r="P3509" s="26">
        <v>1.37E-2</v>
      </c>
      <c r="Q3509" s="26">
        <v>4.0000000000000002E-4</v>
      </c>
      <c r="T3509" s="26">
        <v>3.0000000000000001E-3</v>
      </c>
      <c r="U3509">
        <v>165</v>
      </c>
    </row>
    <row r="3510" spans="1:21" x14ac:dyDescent="0.35">
      <c r="A3510" t="s">
        <v>229</v>
      </c>
      <c r="B3510" t="s">
        <v>255</v>
      </c>
      <c r="C3510" s="26">
        <v>0.54890000000000005</v>
      </c>
      <c r="D3510" s="26">
        <v>0.2271</v>
      </c>
      <c r="E3510" s="26">
        <v>0.1414</v>
      </c>
      <c r="F3510" s="26">
        <v>5.4199999999999998E-2</v>
      </c>
      <c r="G3510" s="26">
        <v>4.99E-2</v>
      </c>
      <c r="H3510" s="26">
        <v>6.2799999999999995E-2</v>
      </c>
      <c r="I3510" s="26">
        <v>4.2099999999999999E-2</v>
      </c>
      <c r="J3510" s="26">
        <v>1.6199999999999999E-2</v>
      </c>
      <c r="K3510" s="26">
        <v>1.7600000000000001E-2</v>
      </c>
      <c r="L3510" s="26">
        <v>8.2000000000000007E-3</v>
      </c>
      <c r="M3510" s="26">
        <v>1.46E-2</v>
      </c>
      <c r="N3510" s="26">
        <v>2.0299999999999999E-2</v>
      </c>
      <c r="O3510" s="26">
        <v>1.2699999999999999E-2</v>
      </c>
      <c r="P3510" s="26">
        <v>3.5099999999999999E-2</v>
      </c>
      <c r="Q3510" s="26">
        <v>1.1900000000000001E-2</v>
      </c>
      <c r="R3510" s="26">
        <v>6.4999999999999997E-3</v>
      </c>
      <c r="U3510">
        <v>420</v>
      </c>
    </row>
    <row r="3511" spans="1:21" x14ac:dyDescent="0.35">
      <c r="A3511" t="s">
        <v>229</v>
      </c>
      <c r="B3511" t="s">
        <v>257</v>
      </c>
      <c r="C3511" s="26">
        <v>0.433</v>
      </c>
      <c r="D3511" s="26">
        <v>0.24079999999999999</v>
      </c>
      <c r="E3511" s="26">
        <v>0.16520000000000001</v>
      </c>
      <c r="G3511" s="26">
        <v>8.43E-2</v>
      </c>
      <c r="H3511" s="26">
        <v>6.59E-2</v>
      </c>
      <c r="I3511" s="26">
        <v>6.59E-2</v>
      </c>
      <c r="K3511" s="26">
        <v>1.47E-2</v>
      </c>
      <c r="L3511" s="26">
        <v>0.121</v>
      </c>
      <c r="N3511" s="26">
        <v>6.59E-2</v>
      </c>
      <c r="O3511" s="26">
        <v>3.7000000000000002E-3</v>
      </c>
      <c r="U3511">
        <v>38</v>
      </c>
    </row>
    <row r="3512" spans="1:21" x14ac:dyDescent="0.35">
      <c r="A3512" s="27" t="s">
        <v>229</v>
      </c>
      <c r="B3512" s="27" t="s">
        <v>258</v>
      </c>
      <c r="C3512" s="28">
        <v>1</v>
      </c>
      <c r="D3512" s="29"/>
      <c r="E3512" s="29"/>
      <c r="F3512" s="29"/>
      <c r="G3512" s="29"/>
      <c r="H3512" s="29"/>
      <c r="I3512" s="29"/>
      <c r="J3512" s="29"/>
      <c r="K3512" s="29"/>
      <c r="L3512" s="29"/>
      <c r="M3512" s="29"/>
      <c r="N3512" s="29"/>
      <c r="O3512" s="29"/>
      <c r="P3512" s="29"/>
      <c r="Q3512" s="29"/>
      <c r="R3512" s="29"/>
      <c r="S3512" s="29"/>
      <c r="T3512" s="29"/>
      <c r="U3512" s="29" t="s">
        <v>331</v>
      </c>
    </row>
    <row r="3513" spans="1:21" x14ac:dyDescent="0.35">
      <c r="A3513" t="s">
        <v>230</v>
      </c>
      <c r="B3513" t="s">
        <v>256</v>
      </c>
      <c r="C3513" s="26">
        <v>0.57489999999999997</v>
      </c>
      <c r="D3513" s="26">
        <v>0.21709999999999999</v>
      </c>
      <c r="E3513" s="26">
        <v>0.1236</v>
      </c>
      <c r="F3513" s="26">
        <v>9.7500000000000003E-2</v>
      </c>
      <c r="G3513" s="26">
        <v>9.74E-2</v>
      </c>
      <c r="H3513" s="26">
        <v>3.1600000000000003E-2</v>
      </c>
      <c r="I3513" s="26">
        <v>9.3200000000000005E-2</v>
      </c>
      <c r="J3513" s="26">
        <v>2.5000000000000001E-2</v>
      </c>
      <c r="M3513" s="26">
        <v>4.87E-2</v>
      </c>
      <c r="N3513" s="26">
        <v>3.8999999999999998E-3</v>
      </c>
      <c r="Q3513" s="26">
        <v>2.3800000000000002E-2</v>
      </c>
      <c r="S3513" s="26">
        <v>4.0000000000000001E-3</v>
      </c>
      <c r="U3513">
        <v>103</v>
      </c>
    </row>
    <row r="3514" spans="1:21" x14ac:dyDescent="0.35">
      <c r="A3514" t="s">
        <v>230</v>
      </c>
      <c r="B3514" t="s">
        <v>255</v>
      </c>
      <c r="C3514" s="26">
        <v>0.54830000000000001</v>
      </c>
      <c r="D3514" s="26">
        <v>0.2571</v>
      </c>
      <c r="E3514" s="26">
        <v>0.14560000000000001</v>
      </c>
      <c r="F3514" s="26">
        <v>7.6300000000000007E-2</v>
      </c>
      <c r="G3514" s="26">
        <v>6.4500000000000002E-2</v>
      </c>
      <c r="H3514" s="26">
        <v>5.2200000000000003E-2</v>
      </c>
      <c r="I3514" s="26">
        <v>3.4599999999999999E-2</v>
      </c>
      <c r="J3514" s="26">
        <v>2.24E-2</v>
      </c>
      <c r="K3514" s="26">
        <v>7.3000000000000001E-3</v>
      </c>
      <c r="L3514" s="26">
        <v>1.18E-2</v>
      </c>
      <c r="M3514" s="26">
        <v>6.1000000000000004E-3</v>
      </c>
      <c r="N3514" s="26">
        <v>2.4299999999999999E-2</v>
      </c>
      <c r="O3514" s="26">
        <v>2.86E-2</v>
      </c>
      <c r="P3514" s="26">
        <v>5.9999999999999995E-4</v>
      </c>
      <c r="Q3514" s="26">
        <v>2.5000000000000001E-3</v>
      </c>
      <c r="U3514">
        <v>281</v>
      </c>
    </row>
    <row r="3515" spans="1:21" x14ac:dyDescent="0.35">
      <c r="A3515" s="27" t="s">
        <v>230</v>
      </c>
      <c r="B3515" s="27" t="s">
        <v>257</v>
      </c>
      <c r="C3515" s="28">
        <v>0.33260000000000001</v>
      </c>
      <c r="D3515" s="28">
        <v>0.2646</v>
      </c>
      <c r="E3515" s="28">
        <v>0.15690000000000001</v>
      </c>
      <c r="F3515" s="28">
        <v>0.49709999999999999</v>
      </c>
      <c r="G3515" s="29"/>
      <c r="H3515" s="28">
        <v>0.26500000000000001</v>
      </c>
      <c r="I3515" s="29"/>
      <c r="J3515" s="29"/>
      <c r="K3515" s="28">
        <v>0.1134</v>
      </c>
      <c r="L3515" s="29"/>
      <c r="M3515" s="29"/>
      <c r="N3515" s="29"/>
      <c r="O3515" s="28">
        <v>0.2268</v>
      </c>
      <c r="P3515" s="29"/>
      <c r="Q3515" s="29"/>
      <c r="R3515" s="29"/>
      <c r="S3515" s="29"/>
      <c r="T3515" s="29"/>
      <c r="U3515" s="29" t="s">
        <v>312</v>
      </c>
    </row>
    <row r="3516" spans="1:21" x14ac:dyDescent="0.35">
      <c r="A3516" s="27" t="s">
        <v>230</v>
      </c>
      <c r="B3516" s="27" t="s">
        <v>258</v>
      </c>
      <c r="C3516" s="28">
        <v>1</v>
      </c>
      <c r="D3516" s="29"/>
      <c r="E3516" s="29"/>
      <c r="F3516" s="29"/>
      <c r="G3516" s="29"/>
      <c r="H3516" s="29"/>
      <c r="I3516" s="29"/>
      <c r="J3516" s="29"/>
      <c r="K3516" s="29"/>
      <c r="L3516" s="29"/>
      <c r="M3516" s="29"/>
      <c r="N3516" s="29"/>
      <c r="O3516" s="29"/>
      <c r="P3516" s="29"/>
      <c r="Q3516" s="29"/>
      <c r="R3516" s="29"/>
      <c r="S3516" s="29"/>
      <c r="T3516" s="29"/>
      <c r="U3516" s="29" t="s">
        <v>331</v>
      </c>
    </row>
    <row r="3517" spans="1:21" x14ac:dyDescent="0.35">
      <c r="A3517" s="27" t="s">
        <v>231</v>
      </c>
      <c r="B3517" s="27" t="s">
        <v>257</v>
      </c>
      <c r="C3517" s="28">
        <v>1</v>
      </c>
      <c r="D3517" s="29"/>
      <c r="E3517" s="29"/>
      <c r="F3517" s="29"/>
      <c r="G3517" s="29"/>
      <c r="H3517" s="29"/>
      <c r="I3517" s="29"/>
      <c r="J3517" s="29"/>
      <c r="K3517" s="29"/>
      <c r="L3517" s="29"/>
      <c r="M3517" s="29"/>
      <c r="N3517" s="29"/>
      <c r="O3517" s="29"/>
      <c r="P3517" s="29"/>
      <c r="Q3517" s="29"/>
      <c r="R3517" s="29"/>
      <c r="S3517" s="29"/>
      <c r="T3517" s="29"/>
      <c r="U3517" s="29" t="s">
        <v>315</v>
      </c>
    </row>
    <row r="3518" spans="1:21" x14ac:dyDescent="0.35">
      <c r="A3518" t="s">
        <v>231</v>
      </c>
      <c r="B3518" t="s">
        <v>255</v>
      </c>
      <c r="C3518" s="26">
        <v>0.59789999999999999</v>
      </c>
      <c r="D3518" s="26">
        <v>0.20619999999999999</v>
      </c>
      <c r="E3518" s="26">
        <v>9.2799999999999994E-2</v>
      </c>
      <c r="F3518" s="26">
        <v>7.22E-2</v>
      </c>
      <c r="G3518" s="26">
        <v>7.22E-2</v>
      </c>
      <c r="H3518" s="26">
        <v>5.1499999999999997E-2</v>
      </c>
      <c r="I3518" s="26">
        <v>2.06E-2</v>
      </c>
      <c r="J3518" s="26">
        <v>1.03E-2</v>
      </c>
      <c r="K3518" s="26">
        <v>1.03E-2</v>
      </c>
      <c r="L3518" s="26">
        <v>1.03E-2</v>
      </c>
      <c r="M3518" s="26">
        <v>1.03E-2</v>
      </c>
      <c r="U3518">
        <v>97</v>
      </c>
    </row>
    <row r="3519" spans="1:21" x14ac:dyDescent="0.35">
      <c r="A3519" s="27" t="s">
        <v>231</v>
      </c>
      <c r="B3519" s="27" t="s">
        <v>256</v>
      </c>
      <c r="C3519" s="28">
        <v>0.69569999999999999</v>
      </c>
      <c r="D3519" s="28">
        <v>0.1739</v>
      </c>
      <c r="E3519" s="28">
        <v>0.13039999999999999</v>
      </c>
      <c r="F3519" s="28">
        <v>8.6999999999999994E-2</v>
      </c>
      <c r="G3519" s="28">
        <v>8.6999999999999994E-2</v>
      </c>
      <c r="H3519" s="28">
        <v>8.6999999999999994E-2</v>
      </c>
      <c r="I3519" s="28">
        <v>4.3499999999999997E-2</v>
      </c>
      <c r="J3519" s="28">
        <v>8.6999999999999994E-2</v>
      </c>
      <c r="K3519" s="29"/>
      <c r="L3519" s="28">
        <v>4.3499999999999997E-2</v>
      </c>
      <c r="M3519" s="29"/>
      <c r="N3519" s="28">
        <v>4.3499999999999997E-2</v>
      </c>
      <c r="O3519" s="29"/>
      <c r="P3519" s="29"/>
      <c r="Q3519" s="29"/>
      <c r="R3519" s="29"/>
      <c r="S3519" s="29"/>
      <c r="T3519" s="29"/>
      <c r="U3519" s="29" t="s">
        <v>328</v>
      </c>
    </row>
    <row r="3520" spans="1:21" x14ac:dyDescent="0.35">
      <c r="A3520" t="s">
        <v>232</v>
      </c>
      <c r="B3520" t="s">
        <v>232</v>
      </c>
      <c r="C3520" s="26">
        <v>0.57579999999999998</v>
      </c>
      <c r="D3520" s="26">
        <v>0.21099999999999999</v>
      </c>
      <c r="E3520" s="26">
        <v>0.13300000000000001</v>
      </c>
      <c r="F3520" s="26">
        <v>7.0599999999999996E-2</v>
      </c>
      <c r="G3520" s="26">
        <v>6.08E-2</v>
      </c>
      <c r="H3520" s="26">
        <v>5.74E-2</v>
      </c>
      <c r="I3520" s="26">
        <v>3.9300000000000002E-2</v>
      </c>
      <c r="J3520" s="26">
        <v>2.07E-2</v>
      </c>
      <c r="K3520" s="26">
        <v>1.9199999999999998E-2</v>
      </c>
      <c r="L3520" s="26">
        <v>1.37E-2</v>
      </c>
      <c r="M3520" s="26">
        <v>1.23E-2</v>
      </c>
      <c r="N3520" s="26">
        <v>1.2E-2</v>
      </c>
      <c r="O3520" s="26">
        <v>1.17E-2</v>
      </c>
      <c r="P3520" s="26">
        <v>1.12E-2</v>
      </c>
      <c r="Q3520" s="26">
        <v>1.01E-2</v>
      </c>
      <c r="R3520" s="26">
        <v>2.8999999999999998E-3</v>
      </c>
      <c r="S3520" s="26">
        <v>1.8E-3</v>
      </c>
      <c r="T3520" s="26">
        <v>2.9999999999999997E-4</v>
      </c>
      <c r="U3520">
        <v>2083</v>
      </c>
    </row>
    <row r="3522" spans="1:7" x14ac:dyDescent="0.35">
      <c r="A3522" s="1" t="s">
        <v>619</v>
      </c>
    </row>
    <row r="3523" spans="1:7" x14ac:dyDescent="0.35">
      <c r="A3523" t="s">
        <v>219</v>
      </c>
      <c r="B3523" t="s">
        <v>303</v>
      </c>
      <c r="C3523" t="s">
        <v>302</v>
      </c>
      <c r="D3523" t="s">
        <v>281</v>
      </c>
      <c r="E3523" t="s">
        <v>286</v>
      </c>
      <c r="F3523" t="s">
        <v>226</v>
      </c>
    </row>
    <row r="3524" spans="1:7" x14ac:dyDescent="0.35">
      <c r="A3524" t="s">
        <v>227</v>
      </c>
      <c r="B3524" s="26">
        <v>0.56520000000000004</v>
      </c>
      <c r="C3524" s="26">
        <v>0.43480000000000002</v>
      </c>
      <c r="F3524">
        <v>161</v>
      </c>
    </row>
    <row r="3525" spans="1:7" x14ac:dyDescent="0.35">
      <c r="A3525" t="s">
        <v>228</v>
      </c>
      <c r="B3525" s="26">
        <v>0.63980000000000004</v>
      </c>
      <c r="C3525" s="26">
        <v>0.35189999999999999</v>
      </c>
      <c r="D3525" s="26">
        <v>6.6E-3</v>
      </c>
      <c r="E3525" s="26">
        <v>1.6999999999999999E-3</v>
      </c>
      <c r="F3525">
        <v>1033</v>
      </c>
    </row>
    <row r="3526" spans="1:7" x14ac:dyDescent="0.35">
      <c r="A3526" t="s">
        <v>229</v>
      </c>
      <c r="B3526" s="26">
        <v>0.64939999999999998</v>
      </c>
      <c r="C3526" s="26">
        <v>0.3417</v>
      </c>
      <c r="D3526" s="26">
        <v>6.4000000000000003E-3</v>
      </c>
      <c r="E3526" s="26">
        <v>2.5000000000000001E-3</v>
      </c>
      <c r="F3526">
        <v>895</v>
      </c>
    </row>
    <row r="3527" spans="1:7" x14ac:dyDescent="0.35">
      <c r="A3527" t="s">
        <v>230</v>
      </c>
      <c r="B3527" s="26">
        <v>0.64639999999999997</v>
      </c>
      <c r="C3527" s="26">
        <v>0.35270000000000001</v>
      </c>
      <c r="E3527" s="26">
        <v>8.9999999999999998E-4</v>
      </c>
      <c r="F3527">
        <v>560</v>
      </c>
    </row>
    <row r="3528" spans="1:7" x14ac:dyDescent="0.35">
      <c r="A3528" t="s">
        <v>231</v>
      </c>
      <c r="B3528" s="26">
        <v>0.622</v>
      </c>
      <c r="C3528" s="26">
        <v>0.3659</v>
      </c>
      <c r="D3528" s="26">
        <v>1.2200000000000001E-2</v>
      </c>
      <c r="F3528">
        <v>164</v>
      </c>
    </row>
    <row r="3529" spans="1:7" x14ac:dyDescent="0.35">
      <c r="A3529" t="s">
        <v>232</v>
      </c>
      <c r="B3529" s="26">
        <v>0.627</v>
      </c>
      <c r="C3529" s="26">
        <v>0.3654</v>
      </c>
      <c r="D3529" s="26">
        <v>6.4000000000000003E-3</v>
      </c>
      <c r="E3529" s="26">
        <v>1.1000000000000001E-3</v>
      </c>
      <c r="F3529">
        <v>2813</v>
      </c>
    </row>
    <row r="3531" spans="1:7" x14ac:dyDescent="0.35">
      <c r="A3531" s="1" t="s">
        <v>620</v>
      </c>
    </row>
    <row r="3532" spans="1:7" x14ac:dyDescent="0.35">
      <c r="A3532" t="s">
        <v>219</v>
      </c>
      <c r="B3532" t="s">
        <v>305</v>
      </c>
      <c r="C3532" t="s">
        <v>303</v>
      </c>
      <c r="D3532" t="s">
        <v>302</v>
      </c>
      <c r="E3532" t="s">
        <v>281</v>
      </c>
      <c r="F3532" t="s">
        <v>286</v>
      </c>
      <c r="G3532" t="s">
        <v>226</v>
      </c>
    </row>
    <row r="3533" spans="1:7" x14ac:dyDescent="0.35">
      <c r="A3533" t="s">
        <v>227</v>
      </c>
      <c r="B3533" t="s">
        <v>242</v>
      </c>
      <c r="C3533" s="26">
        <v>0.72060000000000002</v>
      </c>
      <c r="D3533" s="26">
        <v>0.27939999999999998</v>
      </c>
      <c r="G3533">
        <v>68</v>
      </c>
    </row>
    <row r="3534" spans="1:7" x14ac:dyDescent="0.35">
      <c r="A3534" t="s">
        <v>227</v>
      </c>
      <c r="B3534" t="s">
        <v>241</v>
      </c>
      <c r="C3534" s="26">
        <v>0.4516</v>
      </c>
      <c r="D3534" s="26">
        <v>0.5484</v>
      </c>
      <c r="G3534">
        <v>93</v>
      </c>
    </row>
    <row r="3535" spans="1:7" x14ac:dyDescent="0.35">
      <c r="A3535" t="s">
        <v>228</v>
      </c>
      <c r="B3535" t="s">
        <v>242</v>
      </c>
      <c r="C3535" s="26">
        <v>0.76729999999999998</v>
      </c>
      <c r="D3535" s="26">
        <v>0.22289999999999999</v>
      </c>
      <c r="E3535" s="26">
        <v>9.7999999999999997E-3</v>
      </c>
      <c r="G3535">
        <v>402</v>
      </c>
    </row>
    <row r="3536" spans="1:7" x14ac:dyDescent="0.35">
      <c r="A3536" t="s">
        <v>228</v>
      </c>
      <c r="B3536" t="s">
        <v>241</v>
      </c>
      <c r="C3536" s="26">
        <v>0.56699999999999995</v>
      </c>
      <c r="D3536" s="26">
        <v>0.42559999999999998</v>
      </c>
      <c r="E3536" s="26">
        <v>4.7000000000000002E-3</v>
      </c>
      <c r="F3536" s="26">
        <v>2.7000000000000001E-3</v>
      </c>
      <c r="G3536">
        <v>631</v>
      </c>
    </row>
    <row r="3537" spans="1:7" x14ac:dyDescent="0.35">
      <c r="A3537" t="s">
        <v>229</v>
      </c>
      <c r="B3537" t="s">
        <v>242</v>
      </c>
      <c r="C3537" s="26">
        <v>0.78290000000000004</v>
      </c>
      <c r="D3537" s="26">
        <v>0.1953</v>
      </c>
      <c r="E3537" s="26">
        <v>1.54E-2</v>
      </c>
      <c r="F3537" s="26">
        <v>6.4000000000000003E-3</v>
      </c>
      <c r="G3537">
        <v>292</v>
      </c>
    </row>
    <row r="3538" spans="1:7" x14ac:dyDescent="0.35">
      <c r="A3538" t="s">
        <v>229</v>
      </c>
      <c r="B3538" t="s">
        <v>241</v>
      </c>
      <c r="C3538" s="26">
        <v>0.56399999999999995</v>
      </c>
      <c r="D3538" s="26">
        <v>0.43530000000000002</v>
      </c>
      <c r="E3538" s="26">
        <v>6.9999999999999999E-4</v>
      </c>
      <c r="G3538">
        <v>603</v>
      </c>
    </row>
    <row r="3539" spans="1:7" x14ac:dyDescent="0.35">
      <c r="A3539" t="s">
        <v>230</v>
      </c>
      <c r="B3539" t="s">
        <v>242</v>
      </c>
      <c r="C3539" s="26">
        <v>0.74160000000000004</v>
      </c>
      <c r="D3539" s="26">
        <v>0.25840000000000002</v>
      </c>
      <c r="G3539">
        <v>189</v>
      </c>
    </row>
    <row r="3540" spans="1:7" x14ac:dyDescent="0.35">
      <c r="A3540" t="s">
        <v>230</v>
      </c>
      <c r="B3540" t="s">
        <v>241</v>
      </c>
      <c r="C3540" s="26">
        <v>0.5978</v>
      </c>
      <c r="D3540" s="26">
        <v>0.40089999999999998</v>
      </c>
      <c r="F3540" s="26">
        <v>1.4E-3</v>
      </c>
      <c r="G3540">
        <v>371</v>
      </c>
    </row>
    <row r="3541" spans="1:7" x14ac:dyDescent="0.35">
      <c r="A3541" t="s">
        <v>231</v>
      </c>
      <c r="B3541" t="s">
        <v>242</v>
      </c>
      <c r="C3541" s="26">
        <v>0.79630000000000001</v>
      </c>
      <c r="D3541" s="26">
        <v>0.1852</v>
      </c>
      <c r="E3541" s="26">
        <v>1.8499999999999999E-2</v>
      </c>
      <c r="G3541">
        <v>54</v>
      </c>
    </row>
    <row r="3542" spans="1:7" x14ac:dyDescent="0.35">
      <c r="A3542" t="s">
        <v>231</v>
      </c>
      <c r="B3542" t="s">
        <v>241</v>
      </c>
      <c r="C3542" s="26">
        <v>0.53639999999999999</v>
      </c>
      <c r="D3542" s="26">
        <v>0.45450000000000002</v>
      </c>
      <c r="E3542" s="26">
        <v>9.1000000000000004E-3</v>
      </c>
      <c r="G3542">
        <v>110</v>
      </c>
    </row>
    <row r="3543" spans="1:7" x14ac:dyDescent="0.35">
      <c r="A3543" t="s">
        <v>232</v>
      </c>
      <c r="B3543" t="s">
        <v>232</v>
      </c>
      <c r="C3543" s="26">
        <v>0.627</v>
      </c>
      <c r="D3543" s="26">
        <v>0.3654</v>
      </c>
      <c r="E3543" s="26">
        <v>6.4000000000000003E-3</v>
      </c>
      <c r="F3543" s="26">
        <v>1.1000000000000001E-3</v>
      </c>
      <c r="G3543">
        <v>2813</v>
      </c>
    </row>
    <row r="3545" spans="1:7" x14ac:dyDescent="0.35">
      <c r="A3545" s="1" t="s">
        <v>621</v>
      </c>
    </row>
    <row r="3546" spans="1:7" x14ac:dyDescent="0.35">
      <c r="A3546" t="s">
        <v>219</v>
      </c>
      <c r="B3546" t="s">
        <v>305</v>
      </c>
      <c r="C3546" t="s">
        <v>303</v>
      </c>
      <c r="D3546" t="s">
        <v>302</v>
      </c>
      <c r="E3546" t="s">
        <v>281</v>
      </c>
      <c r="F3546" t="s">
        <v>286</v>
      </c>
      <c r="G3546" t="s">
        <v>226</v>
      </c>
    </row>
    <row r="3547" spans="1:7" x14ac:dyDescent="0.35">
      <c r="A3547" t="s">
        <v>227</v>
      </c>
      <c r="B3547" t="s">
        <v>239</v>
      </c>
      <c r="C3547" s="26">
        <v>0.5645</v>
      </c>
      <c r="D3547" s="26">
        <v>0.4355</v>
      </c>
      <c r="G3547">
        <v>62</v>
      </c>
    </row>
    <row r="3548" spans="1:7" x14ac:dyDescent="0.35">
      <c r="A3548" t="s">
        <v>227</v>
      </c>
      <c r="B3548" t="s">
        <v>238</v>
      </c>
      <c r="C3548" s="26">
        <v>0.56569999999999998</v>
      </c>
      <c r="D3548" s="26">
        <v>0.43430000000000002</v>
      </c>
      <c r="G3548">
        <v>99</v>
      </c>
    </row>
    <row r="3549" spans="1:7" x14ac:dyDescent="0.35">
      <c r="A3549" t="s">
        <v>228</v>
      </c>
      <c r="B3549" t="s">
        <v>239</v>
      </c>
      <c r="C3549" s="26">
        <v>0.66020000000000001</v>
      </c>
      <c r="D3549" s="26">
        <v>0.33539999999999998</v>
      </c>
      <c r="E3549" s="26">
        <v>4.3E-3</v>
      </c>
      <c r="G3549">
        <v>330</v>
      </c>
    </row>
    <row r="3550" spans="1:7" x14ac:dyDescent="0.35">
      <c r="A3550" t="s">
        <v>228</v>
      </c>
      <c r="B3550" t="s">
        <v>238</v>
      </c>
      <c r="C3550" s="26">
        <v>0.63449999999999995</v>
      </c>
      <c r="D3550" s="26">
        <v>0.35620000000000002</v>
      </c>
      <c r="E3550" s="26">
        <v>7.1000000000000004E-3</v>
      </c>
      <c r="F3550" s="26">
        <v>2.2000000000000001E-3</v>
      </c>
      <c r="G3550">
        <v>703</v>
      </c>
    </row>
    <row r="3551" spans="1:7" x14ac:dyDescent="0.35">
      <c r="A3551" t="s">
        <v>229</v>
      </c>
      <c r="B3551" t="s">
        <v>239</v>
      </c>
      <c r="C3551" s="26">
        <v>0.61850000000000005</v>
      </c>
      <c r="D3551" s="26">
        <v>0.37030000000000002</v>
      </c>
      <c r="E3551" s="26">
        <v>1.2999999999999999E-3</v>
      </c>
      <c r="F3551" s="26">
        <v>9.7999999999999997E-3</v>
      </c>
      <c r="G3551">
        <v>332</v>
      </c>
    </row>
    <row r="3552" spans="1:7" x14ac:dyDescent="0.35">
      <c r="A3552" t="s">
        <v>229</v>
      </c>
      <c r="B3552" t="s">
        <v>238</v>
      </c>
      <c r="C3552" s="26">
        <v>0.65990000000000004</v>
      </c>
      <c r="D3552" s="26">
        <v>0.33189999999999997</v>
      </c>
      <c r="E3552" s="26">
        <v>8.2000000000000007E-3</v>
      </c>
      <c r="G3552">
        <v>563</v>
      </c>
    </row>
    <row r="3553" spans="1:7" x14ac:dyDescent="0.35">
      <c r="A3553" t="s">
        <v>230</v>
      </c>
      <c r="B3553" t="s">
        <v>239</v>
      </c>
      <c r="C3553" s="26">
        <v>0.62580000000000002</v>
      </c>
      <c r="D3553" s="26">
        <v>0.37119999999999997</v>
      </c>
      <c r="F3553" s="26">
        <v>3.0000000000000001E-3</v>
      </c>
      <c r="G3553">
        <v>211</v>
      </c>
    </row>
    <row r="3554" spans="1:7" x14ac:dyDescent="0.35">
      <c r="A3554" t="s">
        <v>230</v>
      </c>
      <c r="B3554" t="s">
        <v>238</v>
      </c>
      <c r="C3554" s="26">
        <v>0.65529999999999999</v>
      </c>
      <c r="D3554" s="26">
        <v>0.34470000000000001</v>
      </c>
      <c r="G3554">
        <v>349</v>
      </c>
    </row>
    <row r="3555" spans="1:7" x14ac:dyDescent="0.35">
      <c r="A3555" t="s">
        <v>231</v>
      </c>
      <c r="B3555" t="s">
        <v>239</v>
      </c>
      <c r="C3555" s="26">
        <v>0.66669999999999996</v>
      </c>
      <c r="D3555" s="26">
        <v>0.33329999999999999</v>
      </c>
      <c r="G3555">
        <v>57</v>
      </c>
    </row>
    <row r="3556" spans="1:7" x14ac:dyDescent="0.35">
      <c r="A3556" t="s">
        <v>231</v>
      </c>
      <c r="B3556" t="s">
        <v>238</v>
      </c>
      <c r="C3556" s="26">
        <v>0.59809999999999997</v>
      </c>
      <c r="D3556" s="26">
        <v>0.38319999999999999</v>
      </c>
      <c r="E3556" s="26">
        <v>1.8700000000000001E-2</v>
      </c>
      <c r="G3556">
        <v>107</v>
      </c>
    </row>
    <row r="3557" spans="1:7" x14ac:dyDescent="0.35">
      <c r="A3557" t="s">
        <v>232</v>
      </c>
      <c r="B3557" t="s">
        <v>232</v>
      </c>
      <c r="C3557" s="26">
        <v>0.627</v>
      </c>
      <c r="D3557" s="26">
        <v>0.3654</v>
      </c>
      <c r="E3557" s="26">
        <v>6.4000000000000003E-3</v>
      </c>
      <c r="F3557" s="26">
        <v>1.1000000000000001E-3</v>
      </c>
      <c r="G3557">
        <v>2813</v>
      </c>
    </row>
    <row r="3559" spans="1:7" x14ac:dyDescent="0.35">
      <c r="A3559" s="1" t="s">
        <v>622</v>
      </c>
    </row>
    <row r="3560" spans="1:7" x14ac:dyDescent="0.35">
      <c r="A3560" t="s">
        <v>219</v>
      </c>
      <c r="B3560" t="s">
        <v>305</v>
      </c>
      <c r="C3560" t="s">
        <v>303</v>
      </c>
      <c r="D3560" t="s">
        <v>302</v>
      </c>
      <c r="E3560" t="s">
        <v>281</v>
      </c>
      <c r="F3560" t="s">
        <v>286</v>
      </c>
      <c r="G3560" t="s">
        <v>226</v>
      </c>
    </row>
    <row r="3561" spans="1:7" x14ac:dyDescent="0.35">
      <c r="A3561" t="s">
        <v>227</v>
      </c>
      <c r="B3561" t="s">
        <v>244</v>
      </c>
      <c r="C3561" s="26">
        <v>0.59379999999999999</v>
      </c>
      <c r="D3561" s="26">
        <v>0.40620000000000001</v>
      </c>
      <c r="G3561">
        <v>96</v>
      </c>
    </row>
    <row r="3562" spans="1:7" x14ac:dyDescent="0.35">
      <c r="A3562" t="s">
        <v>227</v>
      </c>
      <c r="B3562" t="s">
        <v>245</v>
      </c>
      <c r="C3562" s="26">
        <v>0.52829999999999999</v>
      </c>
      <c r="D3562" s="26">
        <v>0.47170000000000001</v>
      </c>
      <c r="G3562">
        <v>53</v>
      </c>
    </row>
    <row r="3563" spans="1:7" x14ac:dyDescent="0.35">
      <c r="A3563" s="27" t="s">
        <v>227</v>
      </c>
      <c r="B3563" s="27" t="s">
        <v>246</v>
      </c>
      <c r="C3563" s="28">
        <v>0.5</v>
      </c>
      <c r="D3563" s="28">
        <v>0.5</v>
      </c>
      <c r="E3563" s="29"/>
      <c r="F3563" s="29"/>
      <c r="G3563" s="29" t="s">
        <v>342</v>
      </c>
    </row>
    <row r="3564" spans="1:7" x14ac:dyDescent="0.35">
      <c r="A3564" t="s">
        <v>228</v>
      </c>
      <c r="B3564" t="s">
        <v>244</v>
      </c>
      <c r="C3564" s="26">
        <v>0.65429999999999999</v>
      </c>
      <c r="D3564" s="26">
        <v>0.33600000000000002</v>
      </c>
      <c r="E3564" s="26">
        <v>7.9000000000000008E-3</v>
      </c>
      <c r="F3564" s="26">
        <v>1.8E-3</v>
      </c>
      <c r="G3564">
        <v>638</v>
      </c>
    </row>
    <row r="3565" spans="1:7" x14ac:dyDescent="0.35">
      <c r="A3565" t="s">
        <v>228</v>
      </c>
      <c r="B3565" t="s">
        <v>245</v>
      </c>
      <c r="C3565" s="26">
        <v>0.58709999999999996</v>
      </c>
      <c r="D3565" s="26">
        <v>0.40589999999999998</v>
      </c>
      <c r="E3565" s="26">
        <v>5.1000000000000004E-3</v>
      </c>
      <c r="F3565" s="26">
        <v>2E-3</v>
      </c>
      <c r="G3565">
        <v>328</v>
      </c>
    </row>
    <row r="3566" spans="1:7" x14ac:dyDescent="0.35">
      <c r="A3566" t="s">
        <v>228</v>
      </c>
      <c r="B3566" t="s">
        <v>246</v>
      </c>
      <c r="C3566" s="26">
        <v>0.71609999999999996</v>
      </c>
      <c r="D3566" s="26">
        <v>0.28389999999999999</v>
      </c>
      <c r="G3566">
        <v>67</v>
      </c>
    </row>
    <row r="3567" spans="1:7" x14ac:dyDescent="0.35">
      <c r="A3567" t="s">
        <v>229</v>
      </c>
      <c r="B3567" t="s">
        <v>244</v>
      </c>
      <c r="C3567" s="26">
        <v>0.65049999999999997</v>
      </c>
      <c r="D3567" s="26">
        <v>0.3402</v>
      </c>
      <c r="E3567" s="26">
        <v>9.2999999999999992E-3</v>
      </c>
      <c r="G3567">
        <v>557</v>
      </c>
    </row>
    <row r="3568" spans="1:7" x14ac:dyDescent="0.35">
      <c r="A3568" t="s">
        <v>229</v>
      </c>
      <c r="B3568" t="s">
        <v>245</v>
      </c>
      <c r="C3568" s="26">
        <v>0.64790000000000003</v>
      </c>
      <c r="D3568" s="26">
        <v>0.3422</v>
      </c>
      <c r="F3568" s="26">
        <v>9.9000000000000008E-3</v>
      </c>
      <c r="G3568">
        <v>293</v>
      </c>
    </row>
    <row r="3569" spans="1:7" x14ac:dyDescent="0.35">
      <c r="A3569" t="s">
        <v>229</v>
      </c>
      <c r="B3569" t="s">
        <v>246</v>
      </c>
      <c r="C3569" s="26">
        <v>0.64219999999999999</v>
      </c>
      <c r="D3569" s="26">
        <v>0.35780000000000001</v>
      </c>
      <c r="G3569">
        <v>45</v>
      </c>
    </row>
    <row r="3570" spans="1:7" x14ac:dyDescent="0.35">
      <c r="A3570" t="s">
        <v>230</v>
      </c>
      <c r="B3570" t="s">
        <v>244</v>
      </c>
      <c r="C3570" s="26">
        <v>0.67530000000000001</v>
      </c>
      <c r="D3570" s="26">
        <v>0.32340000000000002</v>
      </c>
      <c r="F3570" s="26">
        <v>1.2999999999999999E-3</v>
      </c>
      <c r="G3570">
        <v>370</v>
      </c>
    </row>
    <row r="3571" spans="1:7" x14ac:dyDescent="0.35">
      <c r="A3571" t="s">
        <v>230</v>
      </c>
      <c r="B3571" t="s">
        <v>245</v>
      </c>
      <c r="C3571" s="26">
        <v>0.57420000000000004</v>
      </c>
      <c r="D3571" s="26">
        <v>0.42580000000000001</v>
      </c>
      <c r="G3571">
        <v>161</v>
      </c>
    </row>
    <row r="3572" spans="1:7" x14ac:dyDescent="0.35">
      <c r="A3572" s="27" t="s">
        <v>230</v>
      </c>
      <c r="B3572" s="27" t="s">
        <v>246</v>
      </c>
      <c r="C3572" s="28">
        <v>0.62080000000000002</v>
      </c>
      <c r="D3572" s="28">
        <v>0.37919999999999998</v>
      </c>
      <c r="E3572" s="29"/>
      <c r="F3572" s="29"/>
      <c r="G3572" s="29" t="s">
        <v>329</v>
      </c>
    </row>
    <row r="3573" spans="1:7" x14ac:dyDescent="0.35">
      <c r="A3573" t="s">
        <v>231</v>
      </c>
      <c r="B3573" t="s">
        <v>244</v>
      </c>
      <c r="C3573" s="26">
        <v>0.65259999999999996</v>
      </c>
      <c r="D3573" s="26">
        <v>0.32629999999999998</v>
      </c>
      <c r="E3573" s="26">
        <v>2.1100000000000001E-2</v>
      </c>
      <c r="G3573">
        <v>95</v>
      </c>
    </row>
    <row r="3574" spans="1:7" x14ac:dyDescent="0.35">
      <c r="A3574" t="s">
        <v>231</v>
      </c>
      <c r="B3574" t="s">
        <v>245</v>
      </c>
      <c r="C3574" s="26">
        <v>0.60709999999999997</v>
      </c>
      <c r="D3574" s="26">
        <v>0.39290000000000003</v>
      </c>
      <c r="G3574">
        <v>56</v>
      </c>
    </row>
    <row r="3575" spans="1:7" x14ac:dyDescent="0.35">
      <c r="A3575" s="27" t="s">
        <v>231</v>
      </c>
      <c r="B3575" s="27" t="s">
        <v>246</v>
      </c>
      <c r="C3575" s="28">
        <v>0.46150000000000002</v>
      </c>
      <c r="D3575" s="28">
        <v>0.53849999999999998</v>
      </c>
      <c r="E3575" s="29"/>
      <c r="F3575" s="29"/>
      <c r="G3575" s="29" t="s">
        <v>341</v>
      </c>
    </row>
    <row r="3576" spans="1:7" x14ac:dyDescent="0.35">
      <c r="A3576" t="s">
        <v>232</v>
      </c>
      <c r="B3576" t="s">
        <v>232</v>
      </c>
      <c r="C3576" s="26">
        <v>0.627</v>
      </c>
      <c r="D3576" s="26">
        <v>0.3654</v>
      </c>
      <c r="E3576" s="26">
        <v>6.4000000000000003E-3</v>
      </c>
      <c r="F3576" s="26">
        <v>1.1000000000000001E-3</v>
      </c>
      <c r="G3576">
        <v>2813</v>
      </c>
    </row>
    <row r="3578" spans="1:7" x14ac:dyDescent="0.35">
      <c r="A3578" s="1" t="s">
        <v>623</v>
      </c>
    </row>
    <row r="3579" spans="1:7" x14ac:dyDescent="0.35">
      <c r="A3579" t="s">
        <v>219</v>
      </c>
      <c r="B3579" t="s">
        <v>305</v>
      </c>
      <c r="C3579" t="s">
        <v>303</v>
      </c>
      <c r="D3579" t="s">
        <v>302</v>
      </c>
      <c r="E3579" t="s">
        <v>281</v>
      </c>
      <c r="F3579" t="s">
        <v>286</v>
      </c>
      <c r="G3579" t="s">
        <v>226</v>
      </c>
    </row>
    <row r="3580" spans="1:7" x14ac:dyDescent="0.35">
      <c r="A3580" t="s">
        <v>227</v>
      </c>
      <c r="B3580" t="s">
        <v>360</v>
      </c>
      <c r="C3580" s="26">
        <v>0.61539999999999995</v>
      </c>
      <c r="D3580" s="26">
        <v>0.3846</v>
      </c>
      <c r="G3580">
        <v>39</v>
      </c>
    </row>
    <row r="3581" spans="1:7" x14ac:dyDescent="0.35">
      <c r="A3581" t="s">
        <v>227</v>
      </c>
      <c r="B3581" t="s">
        <v>361</v>
      </c>
      <c r="C3581" s="26">
        <v>0.5</v>
      </c>
      <c r="D3581" s="26">
        <v>0.5</v>
      </c>
      <c r="G3581">
        <v>32</v>
      </c>
    </row>
    <row r="3582" spans="1:7" x14ac:dyDescent="0.35">
      <c r="A3582" t="s">
        <v>227</v>
      </c>
      <c r="B3582" t="s">
        <v>362</v>
      </c>
      <c r="C3582" s="26">
        <v>0.59460000000000002</v>
      </c>
      <c r="D3582" s="26">
        <v>0.40539999999999998</v>
      </c>
      <c r="G3582">
        <v>37</v>
      </c>
    </row>
    <row r="3583" spans="1:7" x14ac:dyDescent="0.35">
      <c r="A3583" t="s">
        <v>227</v>
      </c>
      <c r="B3583" t="s">
        <v>363</v>
      </c>
      <c r="C3583" s="26">
        <v>0.55559999999999998</v>
      </c>
      <c r="D3583" s="26">
        <v>0.44440000000000002</v>
      </c>
      <c r="G3583">
        <v>45</v>
      </c>
    </row>
    <row r="3584" spans="1:7" x14ac:dyDescent="0.35">
      <c r="A3584" t="s">
        <v>228</v>
      </c>
      <c r="B3584" t="s">
        <v>360</v>
      </c>
      <c r="C3584" s="26">
        <v>0.77939999999999998</v>
      </c>
      <c r="D3584" s="26">
        <v>0.21940000000000001</v>
      </c>
      <c r="E3584" s="26">
        <v>1.1999999999999999E-3</v>
      </c>
      <c r="G3584">
        <v>258</v>
      </c>
    </row>
    <row r="3585" spans="1:7" x14ac:dyDescent="0.35">
      <c r="A3585" t="s">
        <v>228</v>
      </c>
      <c r="B3585" t="s">
        <v>361</v>
      </c>
      <c r="C3585" s="26">
        <v>0.61570000000000003</v>
      </c>
      <c r="D3585" s="26">
        <v>0.38200000000000001</v>
      </c>
      <c r="F3585" s="26">
        <v>2.3E-3</v>
      </c>
      <c r="G3585">
        <v>194</v>
      </c>
    </row>
    <row r="3586" spans="1:7" x14ac:dyDescent="0.35">
      <c r="A3586" t="s">
        <v>228</v>
      </c>
      <c r="B3586" t="s">
        <v>363</v>
      </c>
      <c r="C3586" s="26">
        <v>0.59699999999999998</v>
      </c>
      <c r="D3586" s="26">
        <v>0.39810000000000001</v>
      </c>
      <c r="F3586" s="26">
        <v>4.8999999999999998E-3</v>
      </c>
      <c r="G3586">
        <v>212</v>
      </c>
    </row>
    <row r="3587" spans="1:7" x14ac:dyDescent="0.35">
      <c r="A3587" t="s">
        <v>228</v>
      </c>
      <c r="B3587" t="s">
        <v>362</v>
      </c>
      <c r="C3587" s="26">
        <v>0.62670000000000003</v>
      </c>
      <c r="D3587" s="26">
        <v>0.35399999999999998</v>
      </c>
      <c r="E3587" s="26">
        <v>1.9300000000000001E-2</v>
      </c>
      <c r="G3587">
        <v>236</v>
      </c>
    </row>
    <row r="3588" spans="1:7" x14ac:dyDescent="0.35">
      <c r="A3588" t="s">
        <v>229</v>
      </c>
      <c r="B3588" t="s">
        <v>363</v>
      </c>
      <c r="C3588" s="26">
        <v>0.65369999999999995</v>
      </c>
      <c r="D3588" s="26">
        <v>0.34449999999999997</v>
      </c>
      <c r="E3588" s="26">
        <v>1.8E-3</v>
      </c>
      <c r="G3588">
        <v>191</v>
      </c>
    </row>
    <row r="3589" spans="1:7" x14ac:dyDescent="0.35">
      <c r="A3589" t="s">
        <v>229</v>
      </c>
      <c r="B3589" t="s">
        <v>360</v>
      </c>
      <c r="C3589" s="26">
        <v>0.6492</v>
      </c>
      <c r="D3589" s="26">
        <v>0.31830000000000003</v>
      </c>
      <c r="E3589" s="26">
        <v>1.6199999999999999E-2</v>
      </c>
      <c r="F3589" s="26">
        <v>1.6199999999999999E-2</v>
      </c>
      <c r="G3589">
        <v>164</v>
      </c>
    </row>
    <row r="3590" spans="1:7" x14ac:dyDescent="0.35">
      <c r="A3590" t="s">
        <v>229</v>
      </c>
      <c r="B3590" t="s">
        <v>361</v>
      </c>
      <c r="C3590" s="26">
        <v>0.65890000000000004</v>
      </c>
      <c r="D3590" s="26">
        <v>0.34110000000000001</v>
      </c>
      <c r="G3590">
        <v>243</v>
      </c>
    </row>
    <row r="3591" spans="1:7" x14ac:dyDescent="0.35">
      <c r="A3591" t="s">
        <v>229</v>
      </c>
      <c r="B3591" t="s">
        <v>362</v>
      </c>
      <c r="C3591" s="26">
        <v>0.66920000000000002</v>
      </c>
      <c r="D3591" s="26">
        <v>0.31469999999999998</v>
      </c>
      <c r="E3591" s="26">
        <v>1.61E-2</v>
      </c>
      <c r="G3591">
        <v>171</v>
      </c>
    </row>
    <row r="3592" spans="1:7" x14ac:dyDescent="0.35">
      <c r="A3592" t="s">
        <v>230</v>
      </c>
      <c r="B3592" t="s">
        <v>360</v>
      </c>
      <c r="C3592" s="26">
        <v>0.73109999999999997</v>
      </c>
      <c r="D3592" s="26">
        <v>0.26889999999999997</v>
      </c>
      <c r="G3592">
        <v>120</v>
      </c>
    </row>
    <row r="3593" spans="1:7" x14ac:dyDescent="0.35">
      <c r="A3593" t="s">
        <v>230</v>
      </c>
      <c r="B3593" t="s">
        <v>363</v>
      </c>
      <c r="C3593" s="26">
        <v>0.6804</v>
      </c>
      <c r="D3593" s="26">
        <v>0.3196</v>
      </c>
      <c r="G3593">
        <v>127</v>
      </c>
    </row>
    <row r="3594" spans="1:7" x14ac:dyDescent="0.35">
      <c r="A3594" t="s">
        <v>230</v>
      </c>
      <c r="B3594" t="s">
        <v>361</v>
      </c>
      <c r="C3594" s="26">
        <v>0.63280000000000003</v>
      </c>
      <c r="D3594" s="26">
        <v>0.36720000000000003</v>
      </c>
      <c r="G3594">
        <v>109</v>
      </c>
    </row>
    <row r="3595" spans="1:7" x14ac:dyDescent="0.35">
      <c r="A3595" t="s">
        <v>230</v>
      </c>
      <c r="B3595" t="s">
        <v>362</v>
      </c>
      <c r="C3595" s="26">
        <v>0.6149</v>
      </c>
      <c r="D3595" s="26">
        <v>0.3851</v>
      </c>
      <c r="G3595">
        <v>148</v>
      </c>
    </row>
    <row r="3596" spans="1:7" x14ac:dyDescent="0.35">
      <c r="A3596" s="27" t="s">
        <v>231</v>
      </c>
      <c r="B3596" s="27" t="s">
        <v>362</v>
      </c>
      <c r="C3596" s="28">
        <v>0.6552</v>
      </c>
      <c r="D3596" s="28">
        <v>0.3448</v>
      </c>
      <c r="E3596" s="29"/>
      <c r="F3596" s="29"/>
      <c r="G3596" s="29" t="s">
        <v>329</v>
      </c>
    </row>
    <row r="3597" spans="1:7" x14ac:dyDescent="0.35">
      <c r="A3597" t="s">
        <v>231</v>
      </c>
      <c r="B3597" t="s">
        <v>361</v>
      </c>
      <c r="C3597" s="26">
        <v>0.54</v>
      </c>
      <c r="D3597" s="26">
        <v>0.42</v>
      </c>
      <c r="E3597" s="26">
        <v>0.04</v>
      </c>
      <c r="G3597">
        <v>50</v>
      </c>
    </row>
    <row r="3598" spans="1:7" x14ac:dyDescent="0.35">
      <c r="A3598" t="s">
        <v>231</v>
      </c>
      <c r="B3598" t="s">
        <v>360</v>
      </c>
      <c r="C3598" s="26">
        <v>0.61360000000000003</v>
      </c>
      <c r="D3598" s="26">
        <v>0.38640000000000002</v>
      </c>
      <c r="G3598">
        <v>44</v>
      </c>
    </row>
    <row r="3599" spans="1:7" x14ac:dyDescent="0.35">
      <c r="A3599" s="27" t="s">
        <v>231</v>
      </c>
      <c r="B3599" s="27" t="s">
        <v>363</v>
      </c>
      <c r="C3599" s="28">
        <v>0.66669999999999996</v>
      </c>
      <c r="D3599" s="28">
        <v>0.33329999999999999</v>
      </c>
      <c r="E3599" s="29"/>
      <c r="F3599" s="29"/>
      <c r="G3599" s="29" t="s">
        <v>338</v>
      </c>
    </row>
    <row r="3600" spans="1:7" x14ac:dyDescent="0.35">
      <c r="A3600" t="s">
        <v>232</v>
      </c>
      <c r="B3600" t="s">
        <v>232</v>
      </c>
      <c r="C3600" s="26">
        <v>0.627</v>
      </c>
      <c r="D3600" s="26">
        <v>0.3654</v>
      </c>
      <c r="E3600" s="26">
        <v>6.4000000000000003E-3</v>
      </c>
      <c r="F3600" s="26">
        <v>1.1000000000000001E-3</v>
      </c>
      <c r="G3600">
        <v>2476</v>
      </c>
    </row>
    <row r="3602" spans="1:7" x14ac:dyDescent="0.35">
      <c r="A3602" s="1" t="s">
        <v>624</v>
      </c>
    </row>
    <row r="3603" spans="1:7" x14ac:dyDescent="0.35">
      <c r="A3603" t="s">
        <v>219</v>
      </c>
      <c r="B3603" t="s">
        <v>305</v>
      </c>
      <c r="C3603" t="s">
        <v>303</v>
      </c>
      <c r="D3603" t="s">
        <v>302</v>
      </c>
      <c r="E3603" t="s">
        <v>281</v>
      </c>
      <c r="F3603" t="s">
        <v>286</v>
      </c>
      <c r="G3603" t="s">
        <v>226</v>
      </c>
    </row>
    <row r="3604" spans="1:7" x14ac:dyDescent="0.35">
      <c r="A3604" t="s">
        <v>227</v>
      </c>
      <c r="B3604" t="s">
        <v>267</v>
      </c>
      <c r="C3604" s="26">
        <v>0.5</v>
      </c>
      <c r="D3604" s="26">
        <v>0.5</v>
      </c>
      <c r="G3604">
        <v>36</v>
      </c>
    </row>
    <row r="3605" spans="1:7" x14ac:dyDescent="0.35">
      <c r="A3605" t="s">
        <v>227</v>
      </c>
      <c r="B3605" t="s">
        <v>266</v>
      </c>
      <c r="C3605" s="26">
        <v>0.59319999999999995</v>
      </c>
      <c r="D3605" s="26">
        <v>0.40679999999999999</v>
      </c>
      <c r="G3605">
        <v>59</v>
      </c>
    </row>
    <row r="3606" spans="1:7" x14ac:dyDescent="0.35">
      <c r="A3606" t="s">
        <v>227</v>
      </c>
      <c r="B3606" t="s">
        <v>265</v>
      </c>
      <c r="C3606" s="26">
        <v>0.57579999999999998</v>
      </c>
      <c r="D3606" s="26">
        <v>0.42420000000000002</v>
      </c>
      <c r="G3606">
        <v>66</v>
      </c>
    </row>
    <row r="3607" spans="1:7" x14ac:dyDescent="0.35">
      <c r="A3607" t="s">
        <v>228</v>
      </c>
      <c r="B3607" t="s">
        <v>267</v>
      </c>
      <c r="C3607" s="26">
        <v>0.55010000000000003</v>
      </c>
      <c r="D3607" s="26">
        <v>0.4108</v>
      </c>
      <c r="E3607" s="26">
        <v>2.9000000000000001E-2</v>
      </c>
      <c r="F3607" s="26">
        <v>1.01E-2</v>
      </c>
      <c r="G3607">
        <v>199</v>
      </c>
    </row>
    <row r="3608" spans="1:7" x14ac:dyDescent="0.35">
      <c r="A3608" t="s">
        <v>228</v>
      </c>
      <c r="B3608" t="s">
        <v>265</v>
      </c>
      <c r="C3608" s="26">
        <v>0.65269999999999995</v>
      </c>
      <c r="D3608" s="26">
        <v>0.34389999999999998</v>
      </c>
      <c r="E3608" s="26">
        <v>3.3999999999999998E-3</v>
      </c>
      <c r="G3608">
        <v>384</v>
      </c>
    </row>
    <row r="3609" spans="1:7" x14ac:dyDescent="0.35">
      <c r="A3609" s="27" t="s">
        <v>228</v>
      </c>
      <c r="B3609" s="27" t="s">
        <v>236</v>
      </c>
      <c r="C3609" s="28">
        <v>1</v>
      </c>
      <c r="D3609" s="29"/>
      <c r="E3609" s="29"/>
      <c r="F3609" s="29"/>
      <c r="G3609" s="29" t="s">
        <v>314</v>
      </c>
    </row>
    <row r="3610" spans="1:7" x14ac:dyDescent="0.35">
      <c r="A3610" t="s">
        <v>228</v>
      </c>
      <c r="B3610" t="s">
        <v>266</v>
      </c>
      <c r="C3610" s="26">
        <v>0.65800000000000003</v>
      </c>
      <c r="D3610" s="26">
        <v>0.34150000000000003</v>
      </c>
      <c r="E3610" s="26">
        <v>5.9999999999999995E-4</v>
      </c>
      <c r="G3610">
        <v>448</v>
      </c>
    </row>
    <row r="3611" spans="1:7" x14ac:dyDescent="0.35">
      <c r="A3611" t="s">
        <v>229</v>
      </c>
      <c r="B3611" t="s">
        <v>266</v>
      </c>
      <c r="C3611" s="26">
        <v>0.6835</v>
      </c>
      <c r="D3611" s="26">
        <v>0.2979</v>
      </c>
      <c r="E3611" s="26">
        <v>1.09E-2</v>
      </c>
      <c r="F3611" s="26">
        <v>7.6E-3</v>
      </c>
      <c r="G3611">
        <v>359</v>
      </c>
    </row>
    <row r="3612" spans="1:7" x14ac:dyDescent="0.35">
      <c r="A3612" t="s">
        <v>229</v>
      </c>
      <c r="B3612" t="s">
        <v>267</v>
      </c>
      <c r="C3612" s="26">
        <v>0.62990000000000002</v>
      </c>
      <c r="D3612" s="26">
        <v>0.37009999999999998</v>
      </c>
      <c r="G3612">
        <v>201</v>
      </c>
    </row>
    <row r="3613" spans="1:7" x14ac:dyDescent="0.35">
      <c r="A3613" t="s">
        <v>229</v>
      </c>
      <c r="B3613" t="s">
        <v>265</v>
      </c>
      <c r="C3613" s="26">
        <v>0.6341</v>
      </c>
      <c r="D3613" s="26">
        <v>0.35959999999999998</v>
      </c>
      <c r="E3613" s="26">
        <v>6.3E-3</v>
      </c>
      <c r="G3613">
        <v>335</v>
      </c>
    </row>
    <row r="3614" spans="1:7" x14ac:dyDescent="0.35">
      <c r="A3614" t="s">
        <v>230</v>
      </c>
      <c r="B3614" t="s">
        <v>267</v>
      </c>
      <c r="C3614" s="26">
        <v>0.58289999999999997</v>
      </c>
      <c r="D3614" s="26">
        <v>0.41710000000000003</v>
      </c>
      <c r="G3614">
        <v>119</v>
      </c>
    </row>
    <row r="3615" spans="1:7" x14ac:dyDescent="0.35">
      <c r="A3615" t="s">
        <v>230</v>
      </c>
      <c r="B3615" t="s">
        <v>266</v>
      </c>
      <c r="C3615" s="26">
        <v>0.68400000000000005</v>
      </c>
      <c r="D3615" s="26">
        <v>0.3135</v>
      </c>
      <c r="F3615" s="26">
        <v>2.5000000000000001E-3</v>
      </c>
      <c r="G3615">
        <v>232</v>
      </c>
    </row>
    <row r="3616" spans="1:7" x14ac:dyDescent="0.35">
      <c r="A3616" t="s">
        <v>230</v>
      </c>
      <c r="B3616" t="s">
        <v>265</v>
      </c>
      <c r="C3616" s="26">
        <v>0.64729999999999999</v>
      </c>
      <c r="D3616" s="26">
        <v>0.35270000000000001</v>
      </c>
      <c r="G3616">
        <v>209</v>
      </c>
    </row>
    <row r="3617" spans="1:7" x14ac:dyDescent="0.35">
      <c r="A3617" t="s">
        <v>231</v>
      </c>
      <c r="B3617" t="s">
        <v>267</v>
      </c>
      <c r="C3617" s="26">
        <v>0.47060000000000002</v>
      </c>
      <c r="D3617" s="26">
        <v>0.52939999999999998</v>
      </c>
      <c r="G3617">
        <v>34</v>
      </c>
    </row>
    <row r="3618" spans="1:7" x14ac:dyDescent="0.35">
      <c r="A3618" t="s">
        <v>231</v>
      </c>
      <c r="B3618" t="s">
        <v>266</v>
      </c>
      <c r="C3618" s="26">
        <v>0.6452</v>
      </c>
      <c r="D3618" s="26">
        <v>0.3548</v>
      </c>
      <c r="G3618">
        <v>62</v>
      </c>
    </row>
    <row r="3619" spans="1:7" x14ac:dyDescent="0.35">
      <c r="A3619" t="s">
        <v>231</v>
      </c>
      <c r="B3619" t="s">
        <v>265</v>
      </c>
      <c r="C3619" s="26">
        <v>0.67649999999999999</v>
      </c>
      <c r="D3619" s="26">
        <v>0.29409999999999997</v>
      </c>
      <c r="E3619" s="26">
        <v>2.9399999999999999E-2</v>
      </c>
      <c r="G3619">
        <v>68</v>
      </c>
    </row>
    <row r="3620" spans="1:7" x14ac:dyDescent="0.35">
      <c r="A3620" t="s">
        <v>232</v>
      </c>
      <c r="B3620" t="s">
        <v>232</v>
      </c>
      <c r="C3620" s="26">
        <v>0.627</v>
      </c>
      <c r="D3620" s="26">
        <v>0.3654</v>
      </c>
      <c r="E3620" s="26">
        <v>6.4000000000000003E-3</v>
      </c>
      <c r="F3620" s="26">
        <v>1.1000000000000001E-3</v>
      </c>
      <c r="G3620">
        <v>2813</v>
      </c>
    </row>
    <row r="3622" spans="1:7" x14ac:dyDescent="0.35">
      <c r="A3622" s="1" t="s">
        <v>625</v>
      </c>
    </row>
    <row r="3623" spans="1:7" x14ac:dyDescent="0.35">
      <c r="A3623" t="s">
        <v>219</v>
      </c>
      <c r="B3623" t="s">
        <v>305</v>
      </c>
      <c r="C3623" t="s">
        <v>303</v>
      </c>
      <c r="D3623" t="s">
        <v>302</v>
      </c>
      <c r="E3623" t="s">
        <v>281</v>
      </c>
      <c r="F3623" t="s">
        <v>286</v>
      </c>
      <c r="G3623" t="s">
        <v>226</v>
      </c>
    </row>
    <row r="3624" spans="1:7" x14ac:dyDescent="0.35">
      <c r="A3624" t="s">
        <v>227</v>
      </c>
      <c r="B3624" t="s">
        <v>252</v>
      </c>
      <c r="C3624" s="26">
        <v>0.64439999999999997</v>
      </c>
      <c r="D3624" s="26">
        <v>0.35560000000000003</v>
      </c>
      <c r="G3624">
        <v>45</v>
      </c>
    </row>
    <row r="3625" spans="1:7" x14ac:dyDescent="0.35">
      <c r="A3625" t="s">
        <v>227</v>
      </c>
      <c r="B3625" t="s">
        <v>253</v>
      </c>
      <c r="C3625" s="26">
        <v>0.67649999999999999</v>
      </c>
      <c r="D3625" s="26">
        <v>0.32350000000000001</v>
      </c>
      <c r="G3625">
        <v>34</v>
      </c>
    </row>
    <row r="3626" spans="1:7" x14ac:dyDescent="0.35">
      <c r="A3626" t="s">
        <v>227</v>
      </c>
      <c r="B3626" t="s">
        <v>251</v>
      </c>
      <c r="C3626" s="26">
        <v>0.47560000000000002</v>
      </c>
      <c r="D3626" s="26">
        <v>0.52439999999999998</v>
      </c>
      <c r="G3626">
        <v>82</v>
      </c>
    </row>
    <row r="3627" spans="1:7" x14ac:dyDescent="0.35">
      <c r="A3627" t="s">
        <v>228</v>
      </c>
      <c r="B3627" t="s">
        <v>252</v>
      </c>
      <c r="C3627" s="26">
        <v>0.69710000000000005</v>
      </c>
      <c r="D3627" s="26">
        <v>0.29849999999999999</v>
      </c>
      <c r="E3627" s="26">
        <v>4.4000000000000003E-3</v>
      </c>
      <c r="G3627">
        <v>344</v>
      </c>
    </row>
    <row r="3628" spans="1:7" x14ac:dyDescent="0.35">
      <c r="A3628" t="s">
        <v>228</v>
      </c>
      <c r="B3628" t="s">
        <v>253</v>
      </c>
      <c r="C3628" s="26">
        <v>0.70809999999999995</v>
      </c>
      <c r="D3628" s="26">
        <v>0.27450000000000002</v>
      </c>
      <c r="E3628" s="26">
        <v>1.7399999999999999E-2</v>
      </c>
      <c r="G3628">
        <v>222</v>
      </c>
    </row>
    <row r="3629" spans="1:7" x14ac:dyDescent="0.35">
      <c r="A3629" t="s">
        <v>228</v>
      </c>
      <c r="B3629" t="s">
        <v>251</v>
      </c>
      <c r="C3629" s="26">
        <v>0.57189999999999996</v>
      </c>
      <c r="D3629" s="26">
        <v>0.42120000000000002</v>
      </c>
      <c r="E3629" s="26">
        <v>3.3E-3</v>
      </c>
      <c r="F3629" s="26">
        <v>3.5999999999999999E-3</v>
      </c>
      <c r="G3629">
        <v>467</v>
      </c>
    </row>
    <row r="3630" spans="1:7" x14ac:dyDescent="0.35">
      <c r="A3630" t="s">
        <v>229</v>
      </c>
      <c r="B3630" t="s">
        <v>252</v>
      </c>
      <c r="C3630" s="26">
        <v>0.72019999999999995</v>
      </c>
      <c r="D3630" s="26">
        <v>0.25600000000000001</v>
      </c>
      <c r="E3630" s="26">
        <v>1.26E-2</v>
      </c>
      <c r="F3630" s="26">
        <v>1.12E-2</v>
      </c>
      <c r="G3630">
        <v>199</v>
      </c>
    </row>
    <row r="3631" spans="1:7" x14ac:dyDescent="0.35">
      <c r="A3631" t="s">
        <v>229</v>
      </c>
      <c r="B3631" t="s">
        <v>253</v>
      </c>
      <c r="C3631" s="26">
        <v>0.76429999999999998</v>
      </c>
      <c r="D3631" s="26">
        <v>0.23569999999999999</v>
      </c>
      <c r="G3631">
        <v>145</v>
      </c>
    </row>
    <row r="3632" spans="1:7" x14ac:dyDescent="0.35">
      <c r="A3632" t="s">
        <v>229</v>
      </c>
      <c r="B3632" t="s">
        <v>251</v>
      </c>
      <c r="C3632" s="26">
        <v>0.58540000000000003</v>
      </c>
      <c r="D3632" s="26">
        <v>0.40849999999999997</v>
      </c>
      <c r="E3632" s="26">
        <v>6.1000000000000004E-3</v>
      </c>
      <c r="G3632">
        <v>551</v>
      </c>
    </row>
    <row r="3633" spans="1:7" x14ac:dyDescent="0.35">
      <c r="A3633" t="s">
        <v>230</v>
      </c>
      <c r="B3633" t="s">
        <v>252</v>
      </c>
      <c r="C3633" s="26">
        <v>0.70240000000000002</v>
      </c>
      <c r="D3633" s="26">
        <v>0.29759999999999998</v>
      </c>
      <c r="G3633">
        <v>159</v>
      </c>
    </row>
    <row r="3634" spans="1:7" x14ac:dyDescent="0.35">
      <c r="A3634" t="s">
        <v>230</v>
      </c>
      <c r="B3634" t="s">
        <v>253</v>
      </c>
      <c r="C3634" s="26">
        <v>0.68410000000000004</v>
      </c>
      <c r="D3634" s="26">
        <v>0.31590000000000001</v>
      </c>
      <c r="G3634">
        <v>110</v>
      </c>
    </row>
    <row r="3635" spans="1:7" x14ac:dyDescent="0.35">
      <c r="A3635" t="s">
        <v>230</v>
      </c>
      <c r="B3635" t="s">
        <v>251</v>
      </c>
      <c r="C3635" s="26">
        <v>0.60780000000000001</v>
      </c>
      <c r="D3635" s="26">
        <v>0.3906</v>
      </c>
      <c r="F3635" s="26">
        <v>1.6000000000000001E-3</v>
      </c>
      <c r="G3635">
        <v>291</v>
      </c>
    </row>
    <row r="3636" spans="1:7" x14ac:dyDescent="0.35">
      <c r="A3636" t="s">
        <v>231</v>
      </c>
      <c r="B3636" t="s">
        <v>252</v>
      </c>
      <c r="C3636" s="26">
        <v>0.65310000000000001</v>
      </c>
      <c r="D3636" s="26">
        <v>0.34689999999999999</v>
      </c>
      <c r="G3636">
        <v>49</v>
      </c>
    </row>
    <row r="3637" spans="1:7" x14ac:dyDescent="0.35">
      <c r="A3637" t="s">
        <v>231</v>
      </c>
      <c r="B3637" t="s">
        <v>253</v>
      </c>
      <c r="C3637" s="26">
        <v>0.7</v>
      </c>
      <c r="D3637" s="26">
        <v>0.3</v>
      </c>
      <c r="G3637">
        <v>30</v>
      </c>
    </row>
    <row r="3638" spans="1:7" x14ac:dyDescent="0.35">
      <c r="A3638" t="s">
        <v>231</v>
      </c>
      <c r="B3638" t="s">
        <v>251</v>
      </c>
      <c r="C3638" s="26">
        <v>0.57650000000000001</v>
      </c>
      <c r="D3638" s="26">
        <v>0.4</v>
      </c>
      <c r="E3638" s="26">
        <v>2.35E-2</v>
      </c>
      <c r="G3638">
        <v>85</v>
      </c>
    </row>
    <row r="3639" spans="1:7" x14ac:dyDescent="0.35">
      <c r="A3639" t="s">
        <v>232</v>
      </c>
      <c r="B3639" t="s">
        <v>232</v>
      </c>
      <c r="C3639" s="26">
        <v>0.627</v>
      </c>
      <c r="D3639" s="26">
        <v>0.3654</v>
      </c>
      <c r="E3639" s="26">
        <v>6.4000000000000003E-3</v>
      </c>
      <c r="F3639" s="26">
        <v>1.1000000000000001E-3</v>
      </c>
      <c r="G3639">
        <v>2813</v>
      </c>
    </row>
    <row r="3641" spans="1:7" x14ac:dyDescent="0.35">
      <c r="A3641" s="1" t="s">
        <v>626</v>
      </c>
    </row>
    <row r="3642" spans="1:7" x14ac:dyDescent="0.35">
      <c r="A3642" t="s">
        <v>219</v>
      </c>
      <c r="B3642" t="s">
        <v>305</v>
      </c>
      <c r="C3642" t="s">
        <v>303</v>
      </c>
      <c r="D3642" t="s">
        <v>302</v>
      </c>
      <c r="E3642" t="s">
        <v>281</v>
      </c>
      <c r="F3642" t="s">
        <v>286</v>
      </c>
      <c r="G3642" t="s">
        <v>226</v>
      </c>
    </row>
    <row r="3643" spans="1:7" x14ac:dyDescent="0.35">
      <c r="A3643" t="s">
        <v>227</v>
      </c>
      <c r="B3643" t="s">
        <v>249</v>
      </c>
      <c r="C3643" s="26">
        <v>0.54549999999999998</v>
      </c>
      <c r="D3643" s="26">
        <v>0.45450000000000002</v>
      </c>
      <c r="G3643">
        <v>44</v>
      </c>
    </row>
    <row r="3644" spans="1:7" x14ac:dyDescent="0.35">
      <c r="A3644" t="s">
        <v>227</v>
      </c>
      <c r="B3644" t="s">
        <v>248</v>
      </c>
      <c r="C3644" s="26">
        <v>0.5726</v>
      </c>
      <c r="D3644" s="26">
        <v>0.4274</v>
      </c>
      <c r="G3644">
        <v>117</v>
      </c>
    </row>
    <row r="3645" spans="1:7" x14ac:dyDescent="0.35">
      <c r="A3645" t="s">
        <v>228</v>
      </c>
      <c r="B3645" t="s">
        <v>249</v>
      </c>
      <c r="C3645" s="26">
        <v>0.59660000000000002</v>
      </c>
      <c r="D3645" s="26">
        <v>0.39950000000000002</v>
      </c>
      <c r="F3645" s="26">
        <v>3.8999999999999998E-3</v>
      </c>
      <c r="G3645">
        <v>274</v>
      </c>
    </row>
    <row r="3646" spans="1:7" x14ac:dyDescent="0.35">
      <c r="A3646" t="s">
        <v>228</v>
      </c>
      <c r="B3646" t="s">
        <v>248</v>
      </c>
      <c r="C3646" s="26">
        <v>0.65820000000000001</v>
      </c>
      <c r="D3646" s="26">
        <v>0.33160000000000001</v>
      </c>
      <c r="E3646" s="26">
        <v>9.4000000000000004E-3</v>
      </c>
      <c r="F3646" s="26">
        <v>8.0000000000000004E-4</v>
      </c>
      <c r="G3646">
        <v>759</v>
      </c>
    </row>
    <row r="3647" spans="1:7" x14ac:dyDescent="0.35">
      <c r="A3647" t="s">
        <v>229</v>
      </c>
      <c r="B3647" t="s">
        <v>249</v>
      </c>
      <c r="C3647" s="26">
        <v>0.59840000000000004</v>
      </c>
      <c r="D3647" s="26">
        <v>0.3906</v>
      </c>
      <c r="E3647" s="26">
        <v>1.09E-2</v>
      </c>
      <c r="G3647">
        <v>259</v>
      </c>
    </row>
    <row r="3648" spans="1:7" x14ac:dyDescent="0.35">
      <c r="A3648" t="s">
        <v>229</v>
      </c>
      <c r="B3648" t="s">
        <v>248</v>
      </c>
      <c r="C3648" s="26">
        <v>0.6744</v>
      </c>
      <c r="D3648" s="26">
        <v>0.31769999999999998</v>
      </c>
      <c r="E3648" s="26">
        <v>4.1999999999999997E-3</v>
      </c>
      <c r="F3648" s="26">
        <v>3.7000000000000002E-3</v>
      </c>
      <c r="G3648">
        <v>636</v>
      </c>
    </row>
    <row r="3649" spans="1:7" x14ac:dyDescent="0.35">
      <c r="A3649" t="s">
        <v>230</v>
      </c>
      <c r="B3649" t="s">
        <v>249</v>
      </c>
      <c r="C3649" s="26">
        <v>0.69730000000000003</v>
      </c>
      <c r="D3649" s="26">
        <v>0.3</v>
      </c>
      <c r="F3649" s="26">
        <v>2.7000000000000001E-3</v>
      </c>
      <c r="G3649">
        <v>171</v>
      </c>
    </row>
    <row r="3650" spans="1:7" x14ac:dyDescent="0.35">
      <c r="A3650" t="s">
        <v>230</v>
      </c>
      <c r="B3650" t="s">
        <v>248</v>
      </c>
      <c r="C3650" s="26">
        <v>0.62050000000000005</v>
      </c>
      <c r="D3650" s="26">
        <v>0.3795</v>
      </c>
      <c r="G3650">
        <v>389</v>
      </c>
    </row>
    <row r="3651" spans="1:7" x14ac:dyDescent="0.35">
      <c r="A3651" t="s">
        <v>231</v>
      </c>
      <c r="B3651" t="s">
        <v>249</v>
      </c>
      <c r="C3651" s="26">
        <v>0.62860000000000005</v>
      </c>
      <c r="D3651" s="26">
        <v>0.37140000000000001</v>
      </c>
      <c r="G3651">
        <v>35</v>
      </c>
    </row>
    <row r="3652" spans="1:7" x14ac:dyDescent="0.35">
      <c r="A3652" t="s">
        <v>231</v>
      </c>
      <c r="B3652" t="s">
        <v>248</v>
      </c>
      <c r="C3652" s="26">
        <v>0.62019999999999997</v>
      </c>
      <c r="D3652" s="26">
        <v>0.36430000000000001</v>
      </c>
      <c r="E3652" s="26">
        <v>1.55E-2</v>
      </c>
      <c r="G3652">
        <v>129</v>
      </c>
    </row>
    <row r="3653" spans="1:7" x14ac:dyDescent="0.35">
      <c r="A3653" t="s">
        <v>232</v>
      </c>
      <c r="B3653" t="s">
        <v>232</v>
      </c>
      <c r="C3653" s="26">
        <v>0.627</v>
      </c>
      <c r="D3653" s="26">
        <v>0.3654</v>
      </c>
      <c r="E3653" s="26">
        <v>6.4000000000000003E-3</v>
      </c>
      <c r="F3653" s="26">
        <v>1.1000000000000001E-3</v>
      </c>
      <c r="G3653">
        <v>2813</v>
      </c>
    </row>
    <row r="3655" spans="1:7" x14ac:dyDescent="0.35">
      <c r="A3655" s="1" t="s">
        <v>627</v>
      </c>
    </row>
    <row r="3656" spans="1:7" x14ac:dyDescent="0.35">
      <c r="A3656" t="s">
        <v>219</v>
      </c>
      <c r="B3656" t="s">
        <v>305</v>
      </c>
      <c r="C3656" t="s">
        <v>303</v>
      </c>
      <c r="D3656" t="s">
        <v>302</v>
      </c>
      <c r="E3656" t="s">
        <v>281</v>
      </c>
      <c r="F3656" t="s">
        <v>286</v>
      </c>
      <c r="G3656" t="s">
        <v>226</v>
      </c>
    </row>
    <row r="3657" spans="1:7" x14ac:dyDescent="0.35">
      <c r="A3657" s="27" t="s">
        <v>227</v>
      </c>
      <c r="B3657" s="27" t="s">
        <v>263</v>
      </c>
      <c r="C3657" s="28">
        <v>0.33329999999999999</v>
      </c>
      <c r="D3657" s="28">
        <v>0.66669999999999996</v>
      </c>
      <c r="E3657" s="29"/>
      <c r="F3657" s="29"/>
      <c r="G3657" s="29" t="s">
        <v>315</v>
      </c>
    </row>
    <row r="3658" spans="1:7" x14ac:dyDescent="0.35">
      <c r="A3658" t="s">
        <v>227</v>
      </c>
      <c r="B3658" t="s">
        <v>261</v>
      </c>
      <c r="C3658" s="26">
        <v>0.75760000000000005</v>
      </c>
      <c r="D3658" s="26">
        <v>0.2424</v>
      </c>
      <c r="G3658">
        <v>33</v>
      </c>
    </row>
    <row r="3659" spans="1:7" x14ac:dyDescent="0.35">
      <c r="A3659" s="27" t="s">
        <v>227</v>
      </c>
      <c r="B3659" s="27" t="s">
        <v>262</v>
      </c>
      <c r="C3659" s="28">
        <v>0.66669999999999996</v>
      </c>
      <c r="D3659" s="28">
        <v>0.33329999999999999</v>
      </c>
      <c r="E3659" s="29"/>
      <c r="F3659" s="29"/>
      <c r="G3659" s="29" t="s">
        <v>315</v>
      </c>
    </row>
    <row r="3660" spans="1:7" x14ac:dyDescent="0.35">
      <c r="A3660" t="s">
        <v>227</v>
      </c>
      <c r="B3660" t="s">
        <v>260</v>
      </c>
      <c r="C3660" s="26">
        <v>0.51639999999999997</v>
      </c>
      <c r="D3660" s="26">
        <v>0.48359999999999997</v>
      </c>
      <c r="G3660">
        <v>122</v>
      </c>
    </row>
    <row r="3661" spans="1:7" x14ac:dyDescent="0.35">
      <c r="A3661" t="s">
        <v>228</v>
      </c>
      <c r="B3661" t="s">
        <v>261</v>
      </c>
      <c r="C3661" s="26">
        <v>0.70530000000000004</v>
      </c>
      <c r="D3661" s="26">
        <v>0.29470000000000002</v>
      </c>
      <c r="G3661">
        <v>192</v>
      </c>
    </row>
    <row r="3662" spans="1:7" x14ac:dyDescent="0.35">
      <c r="A3662" s="27" t="s">
        <v>228</v>
      </c>
      <c r="B3662" s="27" t="s">
        <v>263</v>
      </c>
      <c r="C3662" s="28">
        <v>0.77490000000000003</v>
      </c>
      <c r="D3662" s="28">
        <v>0.22509999999999999</v>
      </c>
      <c r="E3662" s="29"/>
      <c r="F3662" s="29"/>
      <c r="G3662" s="29" t="s">
        <v>312</v>
      </c>
    </row>
    <row r="3663" spans="1:7" x14ac:dyDescent="0.35">
      <c r="A3663" s="27" t="s">
        <v>228</v>
      </c>
      <c r="B3663" s="27" t="s">
        <v>236</v>
      </c>
      <c r="C3663" s="28">
        <v>0.89459999999999995</v>
      </c>
      <c r="D3663" s="28">
        <v>0.10539999999999999</v>
      </c>
      <c r="E3663" s="29"/>
      <c r="F3663" s="29"/>
      <c r="G3663" s="29" t="s">
        <v>335</v>
      </c>
    </row>
    <row r="3664" spans="1:7" x14ac:dyDescent="0.35">
      <c r="A3664" t="s">
        <v>228</v>
      </c>
      <c r="B3664" t="s">
        <v>262</v>
      </c>
      <c r="C3664" s="26">
        <v>0.72170000000000001</v>
      </c>
      <c r="D3664" s="26">
        <v>0.26279999999999998</v>
      </c>
      <c r="E3664" s="26">
        <v>8.5000000000000006E-3</v>
      </c>
      <c r="F3664" s="26">
        <v>7.0000000000000001E-3</v>
      </c>
      <c r="G3664">
        <v>201</v>
      </c>
    </row>
    <row r="3665" spans="1:7" x14ac:dyDescent="0.35">
      <c r="A3665" t="s">
        <v>228</v>
      </c>
      <c r="B3665" t="s">
        <v>260</v>
      </c>
      <c r="C3665" s="26">
        <v>0.59019999999999995</v>
      </c>
      <c r="D3665" s="26">
        <v>0.40050000000000002</v>
      </c>
      <c r="E3665" s="26">
        <v>8.3999999999999995E-3</v>
      </c>
      <c r="F3665" s="26">
        <v>8.9999999999999998E-4</v>
      </c>
      <c r="G3665">
        <v>609</v>
      </c>
    </row>
    <row r="3666" spans="1:7" x14ac:dyDescent="0.35">
      <c r="A3666" s="27" t="s">
        <v>229</v>
      </c>
      <c r="B3666" s="27" t="s">
        <v>263</v>
      </c>
      <c r="C3666" s="28">
        <v>0.874</v>
      </c>
      <c r="D3666" s="28">
        <v>0.126</v>
      </c>
      <c r="E3666" s="29"/>
      <c r="F3666" s="29"/>
      <c r="G3666" s="29" t="s">
        <v>379</v>
      </c>
    </row>
    <row r="3667" spans="1:7" x14ac:dyDescent="0.35">
      <c r="A3667" t="s">
        <v>229</v>
      </c>
      <c r="B3667" t="s">
        <v>262</v>
      </c>
      <c r="C3667" s="26">
        <v>0.71860000000000002</v>
      </c>
      <c r="D3667" s="26">
        <v>0.27779999999999999</v>
      </c>
      <c r="E3667" s="26">
        <v>3.5999999999999999E-3</v>
      </c>
      <c r="G3667">
        <v>188</v>
      </c>
    </row>
    <row r="3668" spans="1:7" x14ac:dyDescent="0.35">
      <c r="A3668" t="s">
        <v>229</v>
      </c>
      <c r="B3668" t="s">
        <v>261</v>
      </c>
      <c r="C3668" s="26">
        <v>0.80779999999999996</v>
      </c>
      <c r="D3668" s="26">
        <v>0.19220000000000001</v>
      </c>
      <c r="G3668">
        <v>96</v>
      </c>
    </row>
    <row r="3669" spans="1:7" x14ac:dyDescent="0.35">
      <c r="A3669" s="27" t="s">
        <v>229</v>
      </c>
      <c r="B3669" s="27" t="s">
        <v>236</v>
      </c>
      <c r="C3669" s="29"/>
      <c r="D3669" s="28">
        <v>1</v>
      </c>
      <c r="E3669" s="29"/>
      <c r="F3669" s="29"/>
      <c r="G3669" s="29" t="s">
        <v>331</v>
      </c>
    </row>
    <row r="3670" spans="1:7" x14ac:dyDescent="0.35">
      <c r="A3670" t="s">
        <v>229</v>
      </c>
      <c r="B3670" t="s">
        <v>260</v>
      </c>
      <c r="C3670" s="26">
        <v>0.56420000000000003</v>
      </c>
      <c r="D3670" s="26">
        <v>0.4214</v>
      </c>
      <c r="E3670" s="26">
        <v>9.7999999999999997E-3</v>
      </c>
      <c r="F3670" s="26">
        <v>4.4999999999999997E-3</v>
      </c>
      <c r="G3670">
        <v>596</v>
      </c>
    </row>
    <row r="3671" spans="1:7" x14ac:dyDescent="0.35">
      <c r="A3671" s="27" t="s">
        <v>230</v>
      </c>
      <c r="B3671" s="27" t="s">
        <v>236</v>
      </c>
      <c r="C3671" s="28">
        <v>0.87809999999999999</v>
      </c>
      <c r="D3671" s="28">
        <v>0.12189999999999999</v>
      </c>
      <c r="E3671" s="29"/>
      <c r="F3671" s="29"/>
      <c r="G3671" s="29" t="s">
        <v>337</v>
      </c>
    </row>
    <row r="3672" spans="1:7" x14ac:dyDescent="0.35">
      <c r="A3672" t="s">
        <v>230</v>
      </c>
      <c r="B3672" t="s">
        <v>262</v>
      </c>
      <c r="C3672" s="26">
        <v>0.80179999999999996</v>
      </c>
      <c r="D3672" s="26">
        <v>0.19819999999999999</v>
      </c>
      <c r="G3672">
        <v>122</v>
      </c>
    </row>
    <row r="3673" spans="1:7" x14ac:dyDescent="0.35">
      <c r="A3673" t="s">
        <v>230</v>
      </c>
      <c r="B3673" t="s">
        <v>261</v>
      </c>
      <c r="C3673" s="26">
        <v>0.86860000000000004</v>
      </c>
      <c r="D3673" s="26">
        <v>0.13139999999999999</v>
      </c>
      <c r="G3673">
        <v>57</v>
      </c>
    </row>
    <row r="3674" spans="1:7" x14ac:dyDescent="0.35">
      <c r="A3674" s="27" t="s">
        <v>230</v>
      </c>
      <c r="B3674" s="27" t="s">
        <v>263</v>
      </c>
      <c r="C3674" s="28">
        <v>0.92879999999999996</v>
      </c>
      <c r="D3674" s="28">
        <v>7.1199999999999999E-2</v>
      </c>
      <c r="E3674" s="29"/>
      <c r="F3674" s="29"/>
      <c r="G3674" s="29" t="s">
        <v>312</v>
      </c>
    </row>
    <row r="3675" spans="1:7" x14ac:dyDescent="0.35">
      <c r="A3675" t="s">
        <v>230</v>
      </c>
      <c r="B3675" t="s">
        <v>260</v>
      </c>
      <c r="C3675" s="26">
        <v>0.56089999999999995</v>
      </c>
      <c r="D3675" s="26">
        <v>0.43780000000000002</v>
      </c>
      <c r="F3675" s="26">
        <v>1.2999999999999999E-3</v>
      </c>
      <c r="G3675">
        <v>352</v>
      </c>
    </row>
    <row r="3676" spans="1:7" x14ac:dyDescent="0.35">
      <c r="A3676" s="27" t="s">
        <v>231</v>
      </c>
      <c r="B3676" s="27" t="s">
        <v>263</v>
      </c>
      <c r="C3676" s="28">
        <v>1</v>
      </c>
      <c r="D3676" s="29"/>
      <c r="E3676" s="29"/>
      <c r="F3676" s="29"/>
      <c r="G3676" s="29" t="s">
        <v>314</v>
      </c>
    </row>
    <row r="3677" spans="1:7" x14ac:dyDescent="0.35">
      <c r="A3677" t="s">
        <v>231</v>
      </c>
      <c r="B3677" t="s">
        <v>260</v>
      </c>
      <c r="C3677" s="26">
        <v>0.6129</v>
      </c>
      <c r="D3677" s="26">
        <v>0.371</v>
      </c>
      <c r="E3677" s="26">
        <v>1.61E-2</v>
      </c>
      <c r="G3677">
        <v>124</v>
      </c>
    </row>
    <row r="3678" spans="1:7" x14ac:dyDescent="0.35">
      <c r="A3678" s="27" t="s">
        <v>231</v>
      </c>
      <c r="B3678" s="27" t="s">
        <v>261</v>
      </c>
      <c r="C3678" s="28">
        <v>0.66669999999999996</v>
      </c>
      <c r="D3678" s="28">
        <v>0.33329999999999999</v>
      </c>
      <c r="E3678" s="29"/>
      <c r="F3678" s="29"/>
      <c r="G3678" s="29" t="s">
        <v>338</v>
      </c>
    </row>
    <row r="3679" spans="1:7" x14ac:dyDescent="0.35">
      <c r="A3679" s="27" t="s">
        <v>231</v>
      </c>
      <c r="B3679" s="27" t="s">
        <v>262</v>
      </c>
      <c r="C3679" s="28">
        <v>0.54549999999999998</v>
      </c>
      <c r="D3679" s="28">
        <v>0.45450000000000002</v>
      </c>
      <c r="E3679" s="29"/>
      <c r="F3679" s="29"/>
      <c r="G3679" s="29" t="s">
        <v>352</v>
      </c>
    </row>
    <row r="3680" spans="1:7" x14ac:dyDescent="0.35">
      <c r="A3680" t="s">
        <v>232</v>
      </c>
      <c r="B3680" t="s">
        <v>232</v>
      </c>
      <c r="C3680" s="26">
        <v>0.627</v>
      </c>
      <c r="D3680" s="26">
        <v>0.3654</v>
      </c>
      <c r="E3680" s="26">
        <v>6.4000000000000003E-3</v>
      </c>
      <c r="F3680" s="26">
        <v>1.1000000000000001E-3</v>
      </c>
      <c r="G3680">
        <v>2813</v>
      </c>
    </row>
    <row r="3682" spans="1:7" x14ac:dyDescent="0.35">
      <c r="A3682" s="1" t="s">
        <v>628</v>
      </c>
    </row>
    <row r="3683" spans="1:7" x14ac:dyDescent="0.35">
      <c r="A3683" t="s">
        <v>219</v>
      </c>
      <c r="B3683" t="s">
        <v>305</v>
      </c>
      <c r="C3683" t="s">
        <v>303</v>
      </c>
      <c r="D3683" t="s">
        <v>302</v>
      </c>
      <c r="E3683" t="s">
        <v>281</v>
      </c>
      <c r="F3683" t="s">
        <v>286</v>
      </c>
      <c r="G3683" t="s">
        <v>226</v>
      </c>
    </row>
    <row r="3684" spans="1:7" x14ac:dyDescent="0.35">
      <c r="A3684" t="s">
        <v>227</v>
      </c>
      <c r="B3684" t="s">
        <v>368</v>
      </c>
      <c r="C3684" s="26">
        <v>0.75760000000000005</v>
      </c>
      <c r="D3684" s="26">
        <v>0.2424</v>
      </c>
      <c r="G3684">
        <v>33</v>
      </c>
    </row>
    <row r="3685" spans="1:7" x14ac:dyDescent="0.35">
      <c r="A3685" t="s">
        <v>227</v>
      </c>
      <c r="B3685" t="s">
        <v>369</v>
      </c>
      <c r="C3685" s="26">
        <v>0.51559999999999995</v>
      </c>
      <c r="D3685" s="26">
        <v>0.4844</v>
      </c>
      <c r="G3685">
        <v>128</v>
      </c>
    </row>
    <row r="3686" spans="1:7" x14ac:dyDescent="0.35">
      <c r="A3686" t="s">
        <v>228</v>
      </c>
      <c r="B3686" t="s">
        <v>368</v>
      </c>
      <c r="C3686" s="26">
        <v>0.70530000000000004</v>
      </c>
      <c r="D3686" s="26">
        <v>0.29470000000000002</v>
      </c>
      <c r="G3686">
        <v>192</v>
      </c>
    </row>
    <row r="3687" spans="1:7" x14ac:dyDescent="0.35">
      <c r="A3687" t="s">
        <v>228</v>
      </c>
      <c r="B3687" t="s">
        <v>369</v>
      </c>
      <c r="C3687" s="26">
        <v>0.624</v>
      </c>
      <c r="D3687" s="26">
        <v>0.36570000000000003</v>
      </c>
      <c r="E3687" s="26">
        <v>8.0999999999999996E-3</v>
      </c>
      <c r="F3687" s="26">
        <v>2.0999999999999999E-3</v>
      </c>
      <c r="G3687">
        <v>841</v>
      </c>
    </row>
    <row r="3688" spans="1:7" x14ac:dyDescent="0.35">
      <c r="A3688" t="s">
        <v>229</v>
      </c>
      <c r="B3688" t="s">
        <v>368</v>
      </c>
      <c r="C3688" s="26">
        <v>0.80779999999999996</v>
      </c>
      <c r="D3688" s="26">
        <v>0.19220000000000001</v>
      </c>
      <c r="G3688">
        <v>96</v>
      </c>
    </row>
    <row r="3689" spans="1:7" x14ac:dyDescent="0.35">
      <c r="A3689" t="s">
        <v>229</v>
      </c>
      <c r="B3689" t="s">
        <v>369</v>
      </c>
      <c r="C3689" s="26">
        <v>0.62180000000000002</v>
      </c>
      <c r="D3689" s="26">
        <v>0.36770000000000003</v>
      </c>
      <c r="E3689" s="26">
        <v>7.6E-3</v>
      </c>
      <c r="F3689" s="26">
        <v>2.8999999999999998E-3</v>
      </c>
      <c r="G3689">
        <v>799</v>
      </c>
    </row>
    <row r="3690" spans="1:7" x14ac:dyDescent="0.35">
      <c r="A3690" t="s">
        <v>230</v>
      </c>
      <c r="B3690" t="s">
        <v>368</v>
      </c>
      <c r="C3690" s="26">
        <v>0.86860000000000004</v>
      </c>
      <c r="D3690" s="26">
        <v>0.13139999999999999</v>
      </c>
      <c r="G3690">
        <v>57</v>
      </c>
    </row>
    <row r="3691" spans="1:7" x14ac:dyDescent="0.35">
      <c r="A3691" t="s">
        <v>230</v>
      </c>
      <c r="B3691" t="s">
        <v>369</v>
      </c>
      <c r="C3691" s="26">
        <v>0.61219999999999997</v>
      </c>
      <c r="D3691" s="26">
        <v>0.38669999999999999</v>
      </c>
      <c r="F3691" s="26">
        <v>1E-3</v>
      </c>
      <c r="G3691">
        <v>503</v>
      </c>
    </row>
    <row r="3692" spans="1:7" x14ac:dyDescent="0.35">
      <c r="A3692" s="27" t="s">
        <v>231</v>
      </c>
      <c r="B3692" s="27" t="s">
        <v>368</v>
      </c>
      <c r="C3692" s="28">
        <v>0.66669999999999996</v>
      </c>
      <c r="D3692" s="28">
        <v>0.33329999999999999</v>
      </c>
      <c r="E3692" s="29"/>
      <c r="F3692" s="29"/>
      <c r="G3692" s="29" t="s">
        <v>338</v>
      </c>
    </row>
    <row r="3693" spans="1:7" x14ac:dyDescent="0.35">
      <c r="A3693" t="s">
        <v>231</v>
      </c>
      <c r="B3693" t="s">
        <v>369</v>
      </c>
      <c r="C3693" s="26">
        <v>0.61309999999999998</v>
      </c>
      <c r="D3693" s="26">
        <v>0.37230000000000002</v>
      </c>
      <c r="E3693" s="26">
        <v>1.46E-2</v>
      </c>
      <c r="G3693">
        <v>137</v>
      </c>
    </row>
    <row r="3694" spans="1:7" x14ac:dyDescent="0.35">
      <c r="A3694" t="s">
        <v>232</v>
      </c>
      <c r="B3694" t="s">
        <v>232</v>
      </c>
      <c r="C3694" s="26">
        <v>0.627</v>
      </c>
      <c r="D3694" s="26">
        <v>0.3654</v>
      </c>
      <c r="E3694" s="26">
        <v>6.4000000000000003E-3</v>
      </c>
      <c r="F3694" s="26">
        <v>1.1000000000000001E-3</v>
      </c>
      <c r="G3694">
        <v>2813</v>
      </c>
    </row>
    <row r="3696" spans="1:7" x14ac:dyDescent="0.35">
      <c r="A3696" s="1" t="s">
        <v>629</v>
      </c>
    </row>
    <row r="3697" spans="1:7" x14ac:dyDescent="0.35">
      <c r="A3697" t="s">
        <v>219</v>
      </c>
      <c r="B3697" t="s">
        <v>305</v>
      </c>
      <c r="C3697" t="s">
        <v>303</v>
      </c>
      <c r="D3697" t="s">
        <v>302</v>
      </c>
      <c r="E3697" t="s">
        <v>281</v>
      </c>
      <c r="F3697" t="s">
        <v>286</v>
      </c>
      <c r="G3697" t="s">
        <v>226</v>
      </c>
    </row>
    <row r="3698" spans="1:7" x14ac:dyDescent="0.35">
      <c r="A3698" t="s">
        <v>227</v>
      </c>
      <c r="B3698" t="s">
        <v>371</v>
      </c>
      <c r="C3698" s="26">
        <v>0.56520000000000004</v>
      </c>
      <c r="D3698" s="26">
        <v>0.43480000000000002</v>
      </c>
      <c r="G3698">
        <v>161</v>
      </c>
    </row>
    <row r="3699" spans="1:7" x14ac:dyDescent="0.35">
      <c r="A3699" t="s">
        <v>228</v>
      </c>
      <c r="B3699" t="s">
        <v>371</v>
      </c>
      <c r="C3699" s="26">
        <v>0.61770000000000003</v>
      </c>
      <c r="D3699" s="26">
        <v>0.376</v>
      </c>
      <c r="E3699" s="26">
        <v>6.4000000000000003E-3</v>
      </c>
      <c r="G3699">
        <v>292</v>
      </c>
    </row>
    <row r="3700" spans="1:7" x14ac:dyDescent="0.35">
      <c r="A3700" t="s">
        <v>228</v>
      </c>
      <c r="B3700" t="s">
        <v>372</v>
      </c>
      <c r="C3700" s="26">
        <v>0.69320000000000004</v>
      </c>
      <c r="D3700" s="26">
        <v>0.29470000000000002</v>
      </c>
      <c r="E3700" s="26">
        <v>5.7000000000000002E-3</v>
      </c>
      <c r="F3700" s="26">
        <v>6.4000000000000003E-3</v>
      </c>
      <c r="G3700">
        <v>218</v>
      </c>
    </row>
    <row r="3701" spans="1:7" x14ac:dyDescent="0.35">
      <c r="A3701" t="s">
        <v>228</v>
      </c>
      <c r="B3701" t="s">
        <v>373</v>
      </c>
      <c r="C3701" s="26">
        <v>0.65769999999999995</v>
      </c>
      <c r="D3701" s="26">
        <v>0.33229999999999998</v>
      </c>
      <c r="E3701" s="26">
        <v>7.0000000000000001E-3</v>
      </c>
      <c r="F3701" s="26">
        <v>3.0000000000000001E-3</v>
      </c>
      <c r="G3701">
        <v>523</v>
      </c>
    </row>
    <row r="3702" spans="1:7" x14ac:dyDescent="0.35">
      <c r="A3702" t="s">
        <v>229</v>
      </c>
      <c r="B3702" t="s">
        <v>371</v>
      </c>
      <c r="C3702" s="26">
        <v>0.65169999999999995</v>
      </c>
      <c r="D3702" s="26">
        <v>0.33910000000000001</v>
      </c>
      <c r="E3702" s="26">
        <v>6.4999999999999997E-3</v>
      </c>
      <c r="F3702" s="26">
        <v>2.7000000000000001E-3</v>
      </c>
      <c r="G3702">
        <v>584</v>
      </c>
    </row>
    <row r="3703" spans="1:7" x14ac:dyDescent="0.35">
      <c r="A3703" t="s">
        <v>229</v>
      </c>
      <c r="B3703" t="s">
        <v>372</v>
      </c>
      <c r="C3703" s="26">
        <v>0.66469999999999996</v>
      </c>
      <c r="D3703" s="26">
        <v>0.33339999999999997</v>
      </c>
      <c r="E3703" s="26">
        <v>1.9E-3</v>
      </c>
      <c r="G3703">
        <v>221</v>
      </c>
    </row>
    <row r="3704" spans="1:7" x14ac:dyDescent="0.35">
      <c r="A3704" t="s">
        <v>229</v>
      </c>
      <c r="B3704" t="s">
        <v>373</v>
      </c>
      <c r="C3704" s="26">
        <v>0.54220000000000002</v>
      </c>
      <c r="D3704" s="26">
        <v>0.44550000000000001</v>
      </c>
      <c r="E3704" s="26">
        <v>1.23E-2</v>
      </c>
      <c r="G3704">
        <v>90</v>
      </c>
    </row>
    <row r="3705" spans="1:7" x14ac:dyDescent="0.35">
      <c r="A3705" t="s">
        <v>230</v>
      </c>
      <c r="B3705" t="s">
        <v>371</v>
      </c>
      <c r="C3705" s="26">
        <v>0.64929999999999999</v>
      </c>
      <c r="D3705" s="26">
        <v>0.34960000000000002</v>
      </c>
      <c r="F3705" s="26">
        <v>1.1000000000000001E-3</v>
      </c>
      <c r="G3705">
        <v>262</v>
      </c>
    </row>
    <row r="3706" spans="1:7" x14ac:dyDescent="0.35">
      <c r="A3706" t="s">
        <v>230</v>
      </c>
      <c r="B3706" t="s">
        <v>372</v>
      </c>
      <c r="C3706" s="26">
        <v>0.75029999999999997</v>
      </c>
      <c r="D3706" s="26">
        <v>0.24970000000000001</v>
      </c>
      <c r="G3706">
        <v>146</v>
      </c>
    </row>
    <row r="3707" spans="1:7" x14ac:dyDescent="0.35">
      <c r="A3707" t="s">
        <v>230</v>
      </c>
      <c r="B3707" t="s">
        <v>373</v>
      </c>
      <c r="C3707" s="26">
        <v>0.58099999999999996</v>
      </c>
      <c r="D3707" s="26">
        <v>0.41899999999999998</v>
      </c>
      <c r="G3707">
        <v>152</v>
      </c>
    </row>
    <row r="3708" spans="1:7" x14ac:dyDescent="0.35">
      <c r="A3708" t="s">
        <v>231</v>
      </c>
      <c r="B3708" t="s">
        <v>371</v>
      </c>
      <c r="C3708" s="26">
        <v>0.622</v>
      </c>
      <c r="D3708" s="26">
        <v>0.3659</v>
      </c>
      <c r="E3708" s="26">
        <v>1.2200000000000001E-2</v>
      </c>
      <c r="G3708">
        <v>164</v>
      </c>
    </row>
    <row r="3709" spans="1:7" x14ac:dyDescent="0.35">
      <c r="A3709" t="s">
        <v>232</v>
      </c>
      <c r="B3709" t="s">
        <v>232</v>
      </c>
      <c r="C3709" s="26">
        <v>0.627</v>
      </c>
      <c r="D3709" s="26">
        <v>0.3654</v>
      </c>
      <c r="E3709" s="26">
        <v>6.4000000000000003E-3</v>
      </c>
      <c r="F3709" s="26">
        <v>1.1000000000000001E-3</v>
      </c>
      <c r="G3709">
        <v>2813</v>
      </c>
    </row>
    <row r="3711" spans="1:7" x14ac:dyDescent="0.35">
      <c r="A3711" s="1" t="s">
        <v>630</v>
      </c>
    </row>
    <row r="3712" spans="1:7" x14ac:dyDescent="0.35">
      <c r="A3712" t="s">
        <v>219</v>
      </c>
      <c r="B3712" t="s">
        <v>305</v>
      </c>
      <c r="C3712" t="s">
        <v>303</v>
      </c>
      <c r="D3712" t="s">
        <v>302</v>
      </c>
      <c r="E3712" t="s">
        <v>281</v>
      </c>
      <c r="F3712" t="s">
        <v>286</v>
      </c>
      <c r="G3712" t="s">
        <v>226</v>
      </c>
    </row>
    <row r="3713" spans="1:7" x14ac:dyDescent="0.35">
      <c r="A3713" t="s">
        <v>227</v>
      </c>
      <c r="B3713" t="s">
        <v>255</v>
      </c>
      <c r="C3713" s="26">
        <v>0.5726</v>
      </c>
      <c r="D3713" s="26">
        <v>0.4274</v>
      </c>
      <c r="G3713">
        <v>117</v>
      </c>
    </row>
    <row r="3714" spans="1:7" x14ac:dyDescent="0.35">
      <c r="A3714" s="27" t="s">
        <v>227</v>
      </c>
      <c r="B3714" s="27" t="s">
        <v>257</v>
      </c>
      <c r="C3714" s="28">
        <v>0.33329999999999999</v>
      </c>
      <c r="D3714" s="28">
        <v>0.66669999999999996</v>
      </c>
      <c r="E3714" s="29"/>
      <c r="F3714" s="29"/>
      <c r="G3714" s="29" t="s">
        <v>334</v>
      </c>
    </row>
    <row r="3715" spans="1:7" x14ac:dyDescent="0.35">
      <c r="A3715" t="s">
        <v>227</v>
      </c>
      <c r="B3715" t="s">
        <v>256</v>
      </c>
      <c r="C3715" s="26">
        <v>0.6</v>
      </c>
      <c r="D3715" s="26">
        <v>0.4</v>
      </c>
      <c r="G3715">
        <v>35</v>
      </c>
    </row>
    <row r="3716" spans="1:7" x14ac:dyDescent="0.35">
      <c r="A3716" t="s">
        <v>228</v>
      </c>
      <c r="B3716" t="s">
        <v>257</v>
      </c>
      <c r="C3716" s="26">
        <v>0.5252</v>
      </c>
      <c r="D3716" s="26">
        <v>0.4748</v>
      </c>
      <c r="G3716">
        <v>49</v>
      </c>
    </row>
    <row r="3717" spans="1:7" x14ac:dyDescent="0.35">
      <c r="A3717" s="27" t="s">
        <v>228</v>
      </c>
      <c r="B3717" s="27" t="s">
        <v>258</v>
      </c>
      <c r="C3717" s="28">
        <v>1</v>
      </c>
      <c r="D3717" s="29"/>
      <c r="E3717" s="29"/>
      <c r="F3717" s="29"/>
      <c r="G3717" s="29" t="s">
        <v>337</v>
      </c>
    </row>
    <row r="3718" spans="1:7" x14ac:dyDescent="0.35">
      <c r="A3718" t="s">
        <v>228</v>
      </c>
      <c r="B3718" t="s">
        <v>256</v>
      </c>
      <c r="C3718" s="26">
        <v>0.60270000000000001</v>
      </c>
      <c r="D3718" s="26">
        <v>0.39250000000000002</v>
      </c>
      <c r="F3718" s="26">
        <v>4.7999999999999996E-3</v>
      </c>
      <c r="G3718">
        <v>221</v>
      </c>
    </row>
    <row r="3719" spans="1:7" x14ac:dyDescent="0.35">
      <c r="A3719" t="s">
        <v>228</v>
      </c>
      <c r="B3719" t="s">
        <v>255</v>
      </c>
      <c r="C3719" s="26">
        <v>0.65820000000000001</v>
      </c>
      <c r="D3719" s="26">
        <v>0.33160000000000001</v>
      </c>
      <c r="E3719" s="26">
        <v>9.4000000000000004E-3</v>
      </c>
      <c r="F3719" s="26">
        <v>8.0000000000000004E-4</v>
      </c>
      <c r="G3719">
        <v>759</v>
      </c>
    </row>
    <row r="3720" spans="1:7" x14ac:dyDescent="0.35">
      <c r="A3720" t="s">
        <v>229</v>
      </c>
      <c r="B3720" t="s">
        <v>256</v>
      </c>
      <c r="C3720" s="26">
        <v>0.62050000000000005</v>
      </c>
      <c r="D3720" s="26">
        <v>0.3795</v>
      </c>
      <c r="G3720">
        <v>207</v>
      </c>
    </row>
    <row r="3721" spans="1:7" x14ac:dyDescent="0.35">
      <c r="A3721" t="s">
        <v>229</v>
      </c>
      <c r="B3721" t="s">
        <v>255</v>
      </c>
      <c r="C3721" s="26">
        <v>0.6744</v>
      </c>
      <c r="D3721" s="26">
        <v>0.31769999999999998</v>
      </c>
      <c r="E3721" s="26">
        <v>4.1999999999999997E-3</v>
      </c>
      <c r="F3721" s="26">
        <v>3.7000000000000002E-3</v>
      </c>
      <c r="G3721">
        <v>636</v>
      </c>
    </row>
    <row r="3722" spans="1:7" x14ac:dyDescent="0.35">
      <c r="A3722" t="s">
        <v>229</v>
      </c>
      <c r="B3722" t="s">
        <v>257</v>
      </c>
      <c r="C3722" s="26">
        <v>0.4834</v>
      </c>
      <c r="D3722" s="26">
        <v>0.4501</v>
      </c>
      <c r="E3722" s="26">
        <v>6.6500000000000004E-2</v>
      </c>
      <c r="G3722">
        <v>50</v>
      </c>
    </row>
    <row r="3723" spans="1:7" x14ac:dyDescent="0.35">
      <c r="A3723" s="27" t="s">
        <v>229</v>
      </c>
      <c r="B3723" s="27" t="s">
        <v>258</v>
      </c>
      <c r="C3723" s="28">
        <v>1</v>
      </c>
      <c r="D3723" s="29"/>
      <c r="E3723" s="29"/>
      <c r="F3723" s="29"/>
      <c r="G3723" s="29" t="s">
        <v>314</v>
      </c>
    </row>
    <row r="3724" spans="1:7" x14ac:dyDescent="0.35">
      <c r="A3724" t="s">
        <v>230</v>
      </c>
      <c r="B3724" t="s">
        <v>256</v>
      </c>
      <c r="C3724" s="26">
        <v>0.7268</v>
      </c>
      <c r="D3724" s="26">
        <v>0.2697</v>
      </c>
      <c r="F3724" s="26">
        <v>3.5000000000000001E-3</v>
      </c>
      <c r="G3724">
        <v>130</v>
      </c>
    </row>
    <row r="3725" spans="1:7" x14ac:dyDescent="0.35">
      <c r="A3725" t="s">
        <v>230</v>
      </c>
      <c r="B3725" t="s">
        <v>255</v>
      </c>
      <c r="C3725" s="26">
        <v>0.62050000000000005</v>
      </c>
      <c r="D3725" s="26">
        <v>0.3795</v>
      </c>
      <c r="G3725">
        <v>389</v>
      </c>
    </row>
    <row r="3726" spans="1:7" x14ac:dyDescent="0.35">
      <c r="A3726" t="s">
        <v>230</v>
      </c>
      <c r="B3726" t="s">
        <v>257</v>
      </c>
      <c r="C3726" s="26">
        <v>0.65369999999999995</v>
      </c>
      <c r="D3726" s="26">
        <v>0.3463</v>
      </c>
      <c r="G3726">
        <v>38</v>
      </c>
    </row>
    <row r="3727" spans="1:7" x14ac:dyDescent="0.35">
      <c r="A3727" s="27" t="s">
        <v>230</v>
      </c>
      <c r="B3727" s="27" t="s">
        <v>258</v>
      </c>
      <c r="C3727" s="29"/>
      <c r="D3727" s="28">
        <v>1</v>
      </c>
      <c r="E3727" s="29"/>
      <c r="F3727" s="29"/>
      <c r="G3727" s="29" t="s">
        <v>315</v>
      </c>
    </row>
    <row r="3728" spans="1:7" x14ac:dyDescent="0.35">
      <c r="A3728" s="27" t="s">
        <v>231</v>
      </c>
      <c r="B3728" s="27" t="s">
        <v>257</v>
      </c>
      <c r="C3728" s="29"/>
      <c r="D3728" s="28">
        <v>1</v>
      </c>
      <c r="E3728" s="29"/>
      <c r="F3728" s="29"/>
      <c r="G3728" s="29" t="s">
        <v>339</v>
      </c>
    </row>
    <row r="3729" spans="1:8" x14ac:dyDescent="0.35">
      <c r="A3729" t="s">
        <v>231</v>
      </c>
      <c r="B3729" t="s">
        <v>255</v>
      </c>
      <c r="C3729" s="26">
        <v>0.62019999999999997</v>
      </c>
      <c r="D3729" s="26">
        <v>0.36430000000000001</v>
      </c>
      <c r="E3729" s="26">
        <v>1.55E-2</v>
      </c>
      <c r="G3729">
        <v>129</v>
      </c>
    </row>
    <row r="3730" spans="1:8" x14ac:dyDescent="0.35">
      <c r="A3730" s="27" t="s">
        <v>231</v>
      </c>
      <c r="B3730" s="27" t="s">
        <v>256</v>
      </c>
      <c r="C3730" s="28">
        <v>0.78569999999999995</v>
      </c>
      <c r="D3730" s="28">
        <v>0.21429999999999999</v>
      </c>
      <c r="E3730" s="29"/>
      <c r="F3730" s="29"/>
      <c r="G3730" s="29" t="s">
        <v>336</v>
      </c>
    </row>
    <row r="3731" spans="1:8" x14ac:dyDescent="0.35">
      <c r="A3731" t="s">
        <v>232</v>
      </c>
      <c r="B3731" t="s">
        <v>232</v>
      </c>
      <c r="C3731" s="26">
        <v>0.627</v>
      </c>
      <c r="D3731" s="26">
        <v>0.3654</v>
      </c>
      <c r="E3731" s="26">
        <v>6.4000000000000003E-3</v>
      </c>
      <c r="F3731" s="26">
        <v>1.1000000000000001E-3</v>
      </c>
      <c r="G3731">
        <v>2813</v>
      </c>
    </row>
    <row r="3733" spans="1:8" x14ac:dyDescent="0.35">
      <c r="A3733" s="1" t="s">
        <v>631</v>
      </c>
    </row>
    <row r="3734" spans="1:8" x14ac:dyDescent="0.35">
      <c r="A3734" t="s">
        <v>219</v>
      </c>
      <c r="B3734" t="s">
        <v>632</v>
      </c>
      <c r="C3734" t="s">
        <v>633</v>
      </c>
      <c r="D3734" t="s">
        <v>634</v>
      </c>
      <c r="E3734" t="s">
        <v>635</v>
      </c>
      <c r="F3734" t="s">
        <v>281</v>
      </c>
      <c r="G3734" t="s">
        <v>226</v>
      </c>
    </row>
    <row r="3735" spans="1:8" x14ac:dyDescent="0.35">
      <c r="A3735" t="s">
        <v>227</v>
      </c>
      <c r="B3735" s="26">
        <v>0.29670000000000002</v>
      </c>
      <c r="C3735" s="26">
        <v>0.23080000000000001</v>
      </c>
      <c r="D3735" s="26">
        <v>0.23080000000000001</v>
      </c>
      <c r="E3735" s="26">
        <v>0.23080000000000001</v>
      </c>
      <c r="F3735" s="26">
        <v>1.0999999999999999E-2</v>
      </c>
      <c r="G3735">
        <v>91</v>
      </c>
    </row>
    <row r="3736" spans="1:8" x14ac:dyDescent="0.35">
      <c r="A3736" t="s">
        <v>228</v>
      </c>
      <c r="B3736" s="26">
        <v>0.34599999999999997</v>
      </c>
      <c r="C3736" s="26">
        <v>0.26190000000000002</v>
      </c>
      <c r="D3736" s="26">
        <v>0.21010000000000001</v>
      </c>
      <c r="E3736" s="26">
        <v>0.17069999999999999</v>
      </c>
      <c r="F3736" s="26">
        <v>1.1299999999999999E-2</v>
      </c>
      <c r="G3736">
        <v>688</v>
      </c>
    </row>
    <row r="3737" spans="1:8" x14ac:dyDescent="0.35">
      <c r="A3737" t="s">
        <v>229</v>
      </c>
      <c r="B3737" s="26">
        <v>0.28210000000000002</v>
      </c>
      <c r="C3737" s="26">
        <v>0.23930000000000001</v>
      </c>
      <c r="D3737" s="26">
        <v>0.24299999999999999</v>
      </c>
      <c r="E3737" s="26">
        <v>0.21060000000000001</v>
      </c>
      <c r="F3737" s="26">
        <v>2.5000000000000001E-2</v>
      </c>
      <c r="G3737">
        <v>534</v>
      </c>
    </row>
    <row r="3738" spans="1:8" x14ac:dyDescent="0.35">
      <c r="A3738" t="s">
        <v>230</v>
      </c>
      <c r="B3738" s="26">
        <v>0.35560000000000003</v>
      </c>
      <c r="C3738" s="26">
        <v>0.31319999999999998</v>
      </c>
      <c r="D3738" s="26">
        <v>0.21310000000000001</v>
      </c>
      <c r="E3738" s="26">
        <v>0.1079</v>
      </c>
      <c r="F3738" s="26">
        <v>1.01E-2</v>
      </c>
      <c r="G3738">
        <v>362</v>
      </c>
    </row>
    <row r="3739" spans="1:8" x14ac:dyDescent="0.35">
      <c r="A3739" t="s">
        <v>231</v>
      </c>
      <c r="B3739" s="26">
        <v>0.38240000000000002</v>
      </c>
      <c r="C3739" s="26">
        <v>0.1961</v>
      </c>
      <c r="D3739" s="26">
        <v>0.23530000000000001</v>
      </c>
      <c r="E3739" s="26">
        <v>0.16669999999999999</v>
      </c>
      <c r="F3739" s="26">
        <v>1.9599999999999999E-2</v>
      </c>
      <c r="G3739">
        <v>102</v>
      </c>
    </row>
    <row r="3740" spans="1:8" x14ac:dyDescent="0.35">
      <c r="A3740" t="s">
        <v>232</v>
      </c>
      <c r="B3740" s="26">
        <v>0.33129999999999998</v>
      </c>
      <c r="C3740" s="26">
        <v>0.2382</v>
      </c>
      <c r="D3740" s="26">
        <v>0.2298</v>
      </c>
      <c r="E3740" s="26">
        <v>0.18329999999999999</v>
      </c>
      <c r="F3740" s="26">
        <v>1.7399999999999999E-2</v>
      </c>
      <c r="G3740">
        <v>1777</v>
      </c>
    </row>
    <row r="3742" spans="1:8" x14ac:dyDescent="0.35">
      <c r="A3742" s="1" t="s">
        <v>636</v>
      </c>
    </row>
    <row r="3743" spans="1:8" x14ac:dyDescent="0.35">
      <c r="A3743" t="s">
        <v>219</v>
      </c>
      <c r="B3743" t="s">
        <v>305</v>
      </c>
      <c r="C3743" t="s">
        <v>632</v>
      </c>
      <c r="D3743" t="s">
        <v>633</v>
      </c>
      <c r="E3743" t="s">
        <v>634</v>
      </c>
      <c r="F3743" t="s">
        <v>635</v>
      </c>
      <c r="G3743" t="s">
        <v>281</v>
      </c>
      <c r="H3743" t="s">
        <v>226</v>
      </c>
    </row>
    <row r="3744" spans="1:8" x14ac:dyDescent="0.35">
      <c r="A3744" t="s">
        <v>227</v>
      </c>
      <c r="B3744" t="s">
        <v>242</v>
      </c>
      <c r="C3744" s="26">
        <v>0.26529999999999998</v>
      </c>
      <c r="D3744" s="26">
        <v>0.22450000000000001</v>
      </c>
      <c r="E3744" s="26">
        <v>0.2041</v>
      </c>
      <c r="F3744" s="26">
        <v>0.30609999999999998</v>
      </c>
      <c r="H3744">
        <v>49</v>
      </c>
    </row>
    <row r="3745" spans="1:8" x14ac:dyDescent="0.35">
      <c r="A3745" t="s">
        <v>227</v>
      </c>
      <c r="B3745" t="s">
        <v>241</v>
      </c>
      <c r="C3745" s="26">
        <v>0.33329999999999999</v>
      </c>
      <c r="D3745" s="26">
        <v>0.23810000000000001</v>
      </c>
      <c r="E3745" s="26">
        <v>0.26190000000000002</v>
      </c>
      <c r="F3745" s="26">
        <v>0.1429</v>
      </c>
      <c r="G3745" s="26">
        <v>2.3800000000000002E-2</v>
      </c>
      <c r="H3745">
        <v>42</v>
      </c>
    </row>
    <row r="3746" spans="1:8" x14ac:dyDescent="0.35">
      <c r="A3746" t="s">
        <v>228</v>
      </c>
      <c r="B3746" t="s">
        <v>242</v>
      </c>
      <c r="C3746" s="26">
        <v>0.29049999999999998</v>
      </c>
      <c r="D3746" s="26">
        <v>0.2296</v>
      </c>
      <c r="E3746" s="26">
        <v>0.22339999999999999</v>
      </c>
      <c r="F3746" s="26">
        <v>0.25030000000000002</v>
      </c>
      <c r="G3746" s="26">
        <v>6.3E-3</v>
      </c>
      <c r="H3746">
        <v>324</v>
      </c>
    </row>
    <row r="3747" spans="1:8" x14ac:dyDescent="0.35">
      <c r="A3747" t="s">
        <v>228</v>
      </c>
      <c r="B3747" t="s">
        <v>241</v>
      </c>
      <c r="C3747" s="26">
        <v>0.38900000000000001</v>
      </c>
      <c r="D3747" s="26">
        <v>0.28699999999999998</v>
      </c>
      <c r="E3747" s="26">
        <v>0.19980000000000001</v>
      </c>
      <c r="F3747" s="26">
        <v>0.1091</v>
      </c>
      <c r="G3747" s="26">
        <v>1.5100000000000001E-2</v>
      </c>
      <c r="H3747">
        <v>364</v>
      </c>
    </row>
    <row r="3748" spans="1:8" x14ac:dyDescent="0.35">
      <c r="A3748" t="s">
        <v>229</v>
      </c>
      <c r="B3748" t="s">
        <v>242</v>
      </c>
      <c r="C3748" s="26">
        <v>0.2177</v>
      </c>
      <c r="D3748" s="26">
        <v>0.2069</v>
      </c>
      <c r="E3748" s="26">
        <v>0.26740000000000003</v>
      </c>
      <c r="F3748" s="26">
        <v>0.28660000000000002</v>
      </c>
      <c r="G3748" s="26">
        <v>2.12E-2</v>
      </c>
      <c r="H3748">
        <v>228</v>
      </c>
    </row>
    <row r="3749" spans="1:8" x14ac:dyDescent="0.35">
      <c r="A3749" t="s">
        <v>229</v>
      </c>
      <c r="B3749" t="s">
        <v>241</v>
      </c>
      <c r="C3749" s="26">
        <v>0.33939999999999998</v>
      </c>
      <c r="D3749" s="26">
        <v>0.26800000000000002</v>
      </c>
      <c r="E3749" s="26">
        <v>0.2213</v>
      </c>
      <c r="F3749" s="26">
        <v>0.14299999999999999</v>
      </c>
      <c r="G3749" s="26">
        <v>2.8400000000000002E-2</v>
      </c>
      <c r="H3749">
        <v>306</v>
      </c>
    </row>
    <row r="3750" spans="1:8" x14ac:dyDescent="0.35">
      <c r="A3750" t="s">
        <v>230</v>
      </c>
      <c r="B3750" t="s">
        <v>242</v>
      </c>
      <c r="C3750" s="26">
        <v>0.26029999999999998</v>
      </c>
      <c r="D3750" s="26">
        <v>0.30719999999999997</v>
      </c>
      <c r="E3750" s="26">
        <v>0.21210000000000001</v>
      </c>
      <c r="F3750" s="26">
        <v>0.19900000000000001</v>
      </c>
      <c r="G3750" s="26">
        <v>2.1499999999999998E-2</v>
      </c>
      <c r="H3750">
        <v>146</v>
      </c>
    </row>
    <row r="3751" spans="1:8" x14ac:dyDescent="0.35">
      <c r="A3751" t="s">
        <v>230</v>
      </c>
      <c r="B3751" t="s">
        <v>241</v>
      </c>
      <c r="C3751" s="26">
        <v>0.41610000000000003</v>
      </c>
      <c r="D3751" s="26">
        <v>0.317</v>
      </c>
      <c r="E3751" s="26">
        <v>0.21379999999999999</v>
      </c>
      <c r="F3751" s="26">
        <v>5.0200000000000002E-2</v>
      </c>
      <c r="G3751" s="26">
        <v>2.8999999999999998E-3</v>
      </c>
      <c r="H3751">
        <v>216</v>
      </c>
    </row>
    <row r="3752" spans="1:8" x14ac:dyDescent="0.35">
      <c r="A3752" t="s">
        <v>231</v>
      </c>
      <c r="B3752" t="s">
        <v>242</v>
      </c>
      <c r="C3752" s="26">
        <v>0.37209999999999999</v>
      </c>
      <c r="D3752" s="26">
        <v>0.2326</v>
      </c>
      <c r="E3752" s="26">
        <v>0.20930000000000001</v>
      </c>
      <c r="F3752" s="26">
        <v>0.1628</v>
      </c>
      <c r="G3752" s="26">
        <v>2.3300000000000001E-2</v>
      </c>
      <c r="H3752">
        <v>43</v>
      </c>
    </row>
    <row r="3753" spans="1:8" x14ac:dyDescent="0.35">
      <c r="A3753" t="s">
        <v>231</v>
      </c>
      <c r="B3753" t="s">
        <v>241</v>
      </c>
      <c r="C3753" s="26">
        <v>0.38979999999999998</v>
      </c>
      <c r="D3753" s="26">
        <v>0.16950000000000001</v>
      </c>
      <c r="E3753" s="26">
        <v>0.25419999999999998</v>
      </c>
      <c r="F3753" s="26">
        <v>0.16950000000000001</v>
      </c>
      <c r="G3753" s="26">
        <v>1.6899999999999998E-2</v>
      </c>
      <c r="H3753">
        <v>59</v>
      </c>
    </row>
    <row r="3754" spans="1:8" x14ac:dyDescent="0.35">
      <c r="A3754" t="s">
        <v>232</v>
      </c>
      <c r="B3754" t="s">
        <v>232</v>
      </c>
      <c r="C3754" s="26">
        <v>0.33129999999999998</v>
      </c>
      <c r="D3754" s="26">
        <v>0.2382</v>
      </c>
      <c r="E3754" s="26">
        <v>0.2298</v>
      </c>
      <c r="F3754" s="26">
        <v>0.18329999999999999</v>
      </c>
      <c r="G3754" s="26">
        <v>1.7399999999999999E-2</v>
      </c>
      <c r="H3754">
        <v>1777</v>
      </c>
    </row>
    <row r="3756" spans="1:8" x14ac:dyDescent="0.35">
      <c r="A3756" s="1" t="s">
        <v>637</v>
      </c>
    </row>
    <row r="3757" spans="1:8" x14ac:dyDescent="0.35">
      <c r="A3757" t="s">
        <v>219</v>
      </c>
      <c r="B3757" t="s">
        <v>305</v>
      </c>
      <c r="C3757" t="s">
        <v>632</v>
      </c>
      <c r="D3757" t="s">
        <v>633</v>
      </c>
      <c r="E3757" t="s">
        <v>634</v>
      </c>
      <c r="F3757" t="s">
        <v>635</v>
      </c>
      <c r="G3757" t="s">
        <v>281</v>
      </c>
      <c r="H3757" t="s">
        <v>226</v>
      </c>
    </row>
    <row r="3758" spans="1:8" x14ac:dyDescent="0.35">
      <c r="A3758" t="s">
        <v>227</v>
      </c>
      <c r="B3758" t="s">
        <v>239</v>
      </c>
      <c r="C3758" s="26">
        <v>0.2571</v>
      </c>
      <c r="D3758" s="26">
        <v>0.2</v>
      </c>
      <c r="E3758" s="26">
        <v>0.34289999999999998</v>
      </c>
      <c r="F3758" s="26">
        <v>0.2</v>
      </c>
      <c r="H3758">
        <v>35</v>
      </c>
    </row>
    <row r="3759" spans="1:8" x14ac:dyDescent="0.35">
      <c r="A3759" t="s">
        <v>227</v>
      </c>
      <c r="B3759" t="s">
        <v>238</v>
      </c>
      <c r="C3759" s="26">
        <v>0.32140000000000002</v>
      </c>
      <c r="D3759" s="26">
        <v>0.25</v>
      </c>
      <c r="E3759" s="26">
        <v>0.16070000000000001</v>
      </c>
      <c r="F3759" s="26">
        <v>0.25</v>
      </c>
      <c r="G3759" s="26">
        <v>1.7899999999999999E-2</v>
      </c>
      <c r="H3759">
        <v>56</v>
      </c>
    </row>
    <row r="3760" spans="1:8" x14ac:dyDescent="0.35">
      <c r="A3760" t="s">
        <v>228</v>
      </c>
      <c r="B3760" t="s">
        <v>239</v>
      </c>
      <c r="C3760" s="26">
        <v>0.33100000000000002</v>
      </c>
      <c r="D3760" s="26">
        <v>0.246</v>
      </c>
      <c r="E3760" s="26">
        <v>0.27079999999999999</v>
      </c>
      <c r="F3760" s="26">
        <v>0.14949999999999999</v>
      </c>
      <c r="G3760" s="26">
        <v>2.5999999999999999E-3</v>
      </c>
      <c r="H3760">
        <v>217</v>
      </c>
    </row>
    <row r="3761" spans="1:8" x14ac:dyDescent="0.35">
      <c r="A3761" t="s">
        <v>228</v>
      </c>
      <c r="B3761" t="s">
        <v>238</v>
      </c>
      <c r="C3761" s="26">
        <v>0.35010000000000002</v>
      </c>
      <c r="D3761" s="26">
        <v>0.26629999999999998</v>
      </c>
      <c r="E3761" s="26">
        <v>0.19359999999999999</v>
      </c>
      <c r="F3761" s="26">
        <v>0.1764</v>
      </c>
      <c r="G3761" s="26">
        <v>1.3599999999999999E-2</v>
      </c>
      <c r="H3761">
        <v>471</v>
      </c>
    </row>
    <row r="3762" spans="1:8" x14ac:dyDescent="0.35">
      <c r="A3762" t="s">
        <v>229</v>
      </c>
      <c r="B3762" t="s">
        <v>239</v>
      </c>
      <c r="C3762" s="26">
        <v>0.318</v>
      </c>
      <c r="D3762" s="26">
        <v>0.17319999999999999</v>
      </c>
      <c r="E3762" s="26">
        <v>0.18709999999999999</v>
      </c>
      <c r="F3762" s="26">
        <v>0.30259999999999998</v>
      </c>
      <c r="G3762" s="26">
        <v>1.9099999999999999E-2</v>
      </c>
      <c r="H3762">
        <v>187</v>
      </c>
    </row>
    <row r="3763" spans="1:8" x14ac:dyDescent="0.35">
      <c r="A3763" t="s">
        <v>229</v>
      </c>
      <c r="B3763" t="s">
        <v>238</v>
      </c>
      <c r="C3763" s="26">
        <v>0.2707</v>
      </c>
      <c r="D3763" s="26">
        <v>0.26040000000000002</v>
      </c>
      <c r="E3763" s="26">
        <v>0.26090000000000002</v>
      </c>
      <c r="F3763" s="26">
        <v>0.18110000000000001</v>
      </c>
      <c r="G3763" s="26">
        <v>2.69E-2</v>
      </c>
      <c r="H3763">
        <v>347</v>
      </c>
    </row>
    <row r="3764" spans="1:8" x14ac:dyDescent="0.35">
      <c r="A3764" t="s">
        <v>230</v>
      </c>
      <c r="B3764" t="s">
        <v>239</v>
      </c>
      <c r="C3764" s="26">
        <v>0.46089999999999998</v>
      </c>
      <c r="D3764" s="26">
        <v>0.26140000000000002</v>
      </c>
      <c r="E3764" s="26">
        <v>0.1706</v>
      </c>
      <c r="F3764" s="26">
        <v>7.85E-2</v>
      </c>
      <c r="G3764" s="26">
        <v>2.8500000000000001E-2</v>
      </c>
      <c r="H3764">
        <v>135</v>
      </c>
    </row>
    <row r="3765" spans="1:8" x14ac:dyDescent="0.35">
      <c r="A3765" t="s">
        <v>230</v>
      </c>
      <c r="B3765" t="s">
        <v>238</v>
      </c>
      <c r="C3765" s="26">
        <v>0.31230000000000002</v>
      </c>
      <c r="D3765" s="26">
        <v>0.33450000000000002</v>
      </c>
      <c r="E3765" s="26">
        <v>0.2306</v>
      </c>
      <c r="F3765" s="26">
        <v>0.12</v>
      </c>
      <c r="G3765" s="26">
        <v>2.5000000000000001E-3</v>
      </c>
      <c r="H3765">
        <v>227</v>
      </c>
    </row>
    <row r="3766" spans="1:8" x14ac:dyDescent="0.35">
      <c r="A3766" t="s">
        <v>231</v>
      </c>
      <c r="B3766" t="s">
        <v>239</v>
      </c>
      <c r="C3766" s="26">
        <v>0.3947</v>
      </c>
      <c r="D3766" s="26">
        <v>0.15790000000000001</v>
      </c>
      <c r="E3766" s="26">
        <v>0.28949999999999998</v>
      </c>
      <c r="F3766" s="26">
        <v>0.13159999999999999</v>
      </c>
      <c r="G3766" s="26">
        <v>2.63E-2</v>
      </c>
      <c r="H3766">
        <v>38</v>
      </c>
    </row>
    <row r="3767" spans="1:8" x14ac:dyDescent="0.35">
      <c r="A3767" t="s">
        <v>231</v>
      </c>
      <c r="B3767" t="s">
        <v>238</v>
      </c>
      <c r="C3767" s="26">
        <v>0.375</v>
      </c>
      <c r="D3767" s="26">
        <v>0.21879999999999999</v>
      </c>
      <c r="E3767" s="26">
        <v>0.2031</v>
      </c>
      <c r="F3767" s="26">
        <v>0.1875</v>
      </c>
      <c r="G3767" s="26">
        <v>1.5599999999999999E-2</v>
      </c>
      <c r="H3767">
        <v>64</v>
      </c>
    </row>
    <row r="3768" spans="1:8" x14ac:dyDescent="0.35">
      <c r="A3768" t="s">
        <v>232</v>
      </c>
      <c r="B3768" t="s">
        <v>232</v>
      </c>
      <c r="C3768" s="26">
        <v>0.33129999999999998</v>
      </c>
      <c r="D3768" s="26">
        <v>0.2382</v>
      </c>
      <c r="E3768" s="26">
        <v>0.2298</v>
      </c>
      <c r="F3768" s="26">
        <v>0.18329999999999999</v>
      </c>
      <c r="G3768" s="26">
        <v>1.7399999999999999E-2</v>
      </c>
      <c r="H3768">
        <v>1777</v>
      </c>
    </row>
    <row r="3770" spans="1:8" x14ac:dyDescent="0.35">
      <c r="A3770" s="1" t="s">
        <v>638</v>
      </c>
    </row>
    <row r="3771" spans="1:8" x14ac:dyDescent="0.35">
      <c r="A3771" t="s">
        <v>219</v>
      </c>
      <c r="B3771" t="s">
        <v>305</v>
      </c>
      <c r="C3771" t="s">
        <v>632</v>
      </c>
      <c r="D3771" t="s">
        <v>633</v>
      </c>
      <c r="E3771" t="s">
        <v>634</v>
      </c>
      <c r="F3771" t="s">
        <v>635</v>
      </c>
      <c r="G3771" t="s">
        <v>281</v>
      </c>
      <c r="H3771" t="s">
        <v>226</v>
      </c>
    </row>
    <row r="3772" spans="1:8" x14ac:dyDescent="0.35">
      <c r="A3772" t="s">
        <v>227</v>
      </c>
      <c r="B3772" t="s">
        <v>244</v>
      </c>
      <c r="C3772" s="26">
        <v>0.35089999999999999</v>
      </c>
      <c r="D3772" s="26">
        <v>0.21049999999999999</v>
      </c>
      <c r="E3772" s="26">
        <v>0.21049999999999999</v>
      </c>
      <c r="F3772" s="26">
        <v>0.21049999999999999</v>
      </c>
      <c r="G3772" s="26">
        <v>1.7500000000000002E-2</v>
      </c>
      <c r="H3772">
        <v>57</v>
      </c>
    </row>
    <row r="3773" spans="1:8" x14ac:dyDescent="0.35">
      <c r="A3773" s="27" t="s">
        <v>227</v>
      </c>
      <c r="B3773" s="27" t="s">
        <v>245</v>
      </c>
      <c r="C3773" s="28">
        <v>0.21429999999999999</v>
      </c>
      <c r="D3773" s="28">
        <v>0.28570000000000001</v>
      </c>
      <c r="E3773" s="28">
        <v>0.28570000000000001</v>
      </c>
      <c r="F3773" s="28">
        <v>0.21429999999999999</v>
      </c>
      <c r="G3773" s="29"/>
      <c r="H3773" s="29" t="s">
        <v>336</v>
      </c>
    </row>
    <row r="3774" spans="1:8" x14ac:dyDescent="0.35">
      <c r="A3774" s="27" t="s">
        <v>227</v>
      </c>
      <c r="B3774" s="27" t="s">
        <v>246</v>
      </c>
      <c r="C3774" s="28">
        <v>0.16669999999999999</v>
      </c>
      <c r="D3774" s="28">
        <v>0.16669999999999999</v>
      </c>
      <c r="E3774" s="28">
        <v>0.16669999999999999</v>
      </c>
      <c r="F3774" s="28">
        <v>0.5</v>
      </c>
      <c r="G3774" s="29"/>
      <c r="H3774" s="29" t="s">
        <v>335</v>
      </c>
    </row>
    <row r="3775" spans="1:8" x14ac:dyDescent="0.35">
      <c r="A3775" t="s">
        <v>228</v>
      </c>
      <c r="B3775" t="s">
        <v>244</v>
      </c>
      <c r="C3775" s="26">
        <v>0.35859999999999997</v>
      </c>
      <c r="D3775" s="26">
        <v>0.27410000000000001</v>
      </c>
      <c r="E3775" s="26">
        <v>0.17219999999999999</v>
      </c>
      <c r="F3775" s="26">
        <v>0.18260000000000001</v>
      </c>
      <c r="G3775" s="26">
        <v>1.2500000000000001E-2</v>
      </c>
      <c r="H3775">
        <v>421</v>
      </c>
    </row>
    <row r="3776" spans="1:8" x14ac:dyDescent="0.35">
      <c r="A3776" t="s">
        <v>228</v>
      </c>
      <c r="B3776" t="s">
        <v>245</v>
      </c>
      <c r="C3776" s="26">
        <v>0.33560000000000001</v>
      </c>
      <c r="D3776" s="26">
        <v>0.25869999999999999</v>
      </c>
      <c r="E3776" s="26">
        <v>0.27029999999999998</v>
      </c>
      <c r="F3776" s="26">
        <v>0.1239</v>
      </c>
      <c r="G3776" s="26">
        <v>1.15E-2</v>
      </c>
      <c r="H3776">
        <v>219</v>
      </c>
    </row>
    <row r="3777" spans="1:8" x14ac:dyDescent="0.35">
      <c r="A3777" t="s">
        <v>228</v>
      </c>
      <c r="B3777" t="s">
        <v>246</v>
      </c>
      <c r="C3777" s="26">
        <v>0.27139999999999997</v>
      </c>
      <c r="D3777" s="26">
        <v>0.16639999999999999</v>
      </c>
      <c r="E3777" s="26">
        <v>0.33950000000000002</v>
      </c>
      <c r="F3777" s="26">
        <v>0.22259999999999999</v>
      </c>
      <c r="H3777">
        <v>48</v>
      </c>
    </row>
    <row r="3778" spans="1:8" x14ac:dyDescent="0.35">
      <c r="A3778" t="s">
        <v>229</v>
      </c>
      <c r="B3778" t="s">
        <v>244</v>
      </c>
      <c r="C3778" s="26">
        <v>0.29210000000000003</v>
      </c>
      <c r="D3778" s="26">
        <v>0.26400000000000001</v>
      </c>
      <c r="E3778" s="26">
        <v>0.23719999999999999</v>
      </c>
      <c r="F3778" s="26">
        <v>0.18509999999999999</v>
      </c>
      <c r="G3778" s="26">
        <v>2.1600000000000001E-2</v>
      </c>
      <c r="H3778">
        <v>344</v>
      </c>
    </row>
    <row r="3779" spans="1:8" x14ac:dyDescent="0.35">
      <c r="A3779" t="s">
        <v>229</v>
      </c>
      <c r="B3779" t="s">
        <v>245</v>
      </c>
      <c r="C3779" s="26">
        <v>0.27100000000000002</v>
      </c>
      <c r="D3779" s="26">
        <v>0.1608</v>
      </c>
      <c r="E3779" s="26">
        <v>0.28539999999999999</v>
      </c>
      <c r="F3779" s="26">
        <v>0.24329999999999999</v>
      </c>
      <c r="G3779" s="26">
        <v>3.95E-2</v>
      </c>
      <c r="H3779">
        <v>162</v>
      </c>
    </row>
    <row r="3780" spans="1:8" x14ac:dyDescent="0.35">
      <c r="A3780" s="27" t="s">
        <v>229</v>
      </c>
      <c r="B3780" s="27" t="s">
        <v>246</v>
      </c>
      <c r="C3780" s="28">
        <v>0.20480000000000001</v>
      </c>
      <c r="D3780" s="28">
        <v>0.29049999999999998</v>
      </c>
      <c r="E3780" s="28">
        <v>0.11559999999999999</v>
      </c>
      <c r="F3780" s="28">
        <v>0.3891</v>
      </c>
      <c r="G3780" s="29"/>
      <c r="H3780" s="29" t="s">
        <v>336</v>
      </c>
    </row>
    <row r="3781" spans="1:8" x14ac:dyDescent="0.35">
      <c r="A3781" t="s">
        <v>230</v>
      </c>
      <c r="B3781" t="s">
        <v>244</v>
      </c>
      <c r="C3781" s="26">
        <v>0.35420000000000001</v>
      </c>
      <c r="D3781" s="26">
        <v>0.32290000000000002</v>
      </c>
      <c r="E3781" s="26">
        <v>0.2039</v>
      </c>
      <c r="F3781" s="26">
        <v>0.1075</v>
      </c>
      <c r="G3781" s="26">
        <v>1.15E-2</v>
      </c>
      <c r="H3781">
        <v>254</v>
      </c>
    </row>
    <row r="3782" spans="1:8" x14ac:dyDescent="0.35">
      <c r="A3782" t="s">
        <v>230</v>
      </c>
      <c r="B3782" t="s">
        <v>245</v>
      </c>
      <c r="C3782" s="26">
        <v>0.30980000000000002</v>
      </c>
      <c r="D3782" s="26">
        <v>0.29820000000000002</v>
      </c>
      <c r="E3782" s="26">
        <v>0.2611</v>
      </c>
      <c r="F3782" s="26">
        <v>0.1231</v>
      </c>
      <c r="G3782" s="26">
        <v>7.7999999999999996E-3</v>
      </c>
      <c r="H3782">
        <v>93</v>
      </c>
    </row>
    <row r="3783" spans="1:8" x14ac:dyDescent="0.35">
      <c r="A3783" s="27" t="s">
        <v>230</v>
      </c>
      <c r="B3783" s="27" t="s">
        <v>246</v>
      </c>
      <c r="C3783" s="28">
        <v>0.60389999999999999</v>
      </c>
      <c r="D3783" s="28">
        <v>0.2379</v>
      </c>
      <c r="E3783" s="28">
        <v>0.1197</v>
      </c>
      <c r="F3783" s="28">
        <v>3.8399999999999997E-2</v>
      </c>
      <c r="G3783" s="29"/>
      <c r="H3783" s="29" t="s">
        <v>346</v>
      </c>
    </row>
    <row r="3784" spans="1:8" x14ac:dyDescent="0.35">
      <c r="A3784" t="s">
        <v>231</v>
      </c>
      <c r="B3784" t="s">
        <v>244</v>
      </c>
      <c r="C3784" s="26">
        <v>0.371</v>
      </c>
      <c r="D3784" s="26">
        <v>0.19350000000000001</v>
      </c>
      <c r="E3784" s="26">
        <v>0.2581</v>
      </c>
      <c r="F3784" s="26">
        <v>0.1613</v>
      </c>
      <c r="G3784" s="26">
        <v>1.61E-2</v>
      </c>
      <c r="H3784">
        <v>62</v>
      </c>
    </row>
    <row r="3785" spans="1:8" x14ac:dyDescent="0.35">
      <c r="A3785" t="s">
        <v>231</v>
      </c>
      <c r="B3785" t="s">
        <v>245</v>
      </c>
      <c r="C3785" s="26">
        <v>0.38240000000000002</v>
      </c>
      <c r="D3785" s="26">
        <v>0.23530000000000001</v>
      </c>
      <c r="E3785" s="26">
        <v>0.2059</v>
      </c>
      <c r="F3785" s="26">
        <v>0.14710000000000001</v>
      </c>
      <c r="G3785" s="26">
        <v>2.9399999999999999E-2</v>
      </c>
      <c r="H3785">
        <v>34</v>
      </c>
    </row>
    <row r="3786" spans="1:8" x14ac:dyDescent="0.35">
      <c r="A3786" s="27" t="s">
        <v>231</v>
      </c>
      <c r="B3786" s="27" t="s">
        <v>246</v>
      </c>
      <c r="C3786" s="28">
        <v>0.5</v>
      </c>
      <c r="D3786" s="29"/>
      <c r="E3786" s="28">
        <v>0.16669999999999999</v>
      </c>
      <c r="F3786" s="28">
        <v>0.33329999999999999</v>
      </c>
      <c r="G3786" s="29"/>
      <c r="H3786" s="29" t="s">
        <v>335</v>
      </c>
    </row>
    <row r="3787" spans="1:8" x14ac:dyDescent="0.35">
      <c r="A3787" t="s">
        <v>232</v>
      </c>
      <c r="B3787" t="s">
        <v>232</v>
      </c>
      <c r="C3787" s="26">
        <v>0.33129999999999998</v>
      </c>
      <c r="D3787" s="26">
        <v>0.2382</v>
      </c>
      <c r="E3787" s="26">
        <v>0.2298</v>
      </c>
      <c r="F3787" s="26">
        <v>0.18329999999999999</v>
      </c>
      <c r="G3787" s="26">
        <v>1.7399999999999999E-2</v>
      </c>
      <c r="H3787">
        <v>1777</v>
      </c>
    </row>
    <row r="3789" spans="1:8" x14ac:dyDescent="0.35">
      <c r="A3789" s="1" t="s">
        <v>639</v>
      </c>
    </row>
    <row r="3790" spans="1:8" x14ac:dyDescent="0.35">
      <c r="A3790" t="s">
        <v>219</v>
      </c>
      <c r="B3790" t="s">
        <v>305</v>
      </c>
      <c r="C3790" t="s">
        <v>632</v>
      </c>
      <c r="D3790" t="s">
        <v>633</v>
      </c>
      <c r="E3790" t="s">
        <v>634</v>
      </c>
      <c r="F3790" t="s">
        <v>635</v>
      </c>
      <c r="G3790" t="s">
        <v>281</v>
      </c>
      <c r="H3790" t="s">
        <v>226</v>
      </c>
    </row>
    <row r="3791" spans="1:8" x14ac:dyDescent="0.35">
      <c r="A3791" s="27" t="s">
        <v>227</v>
      </c>
      <c r="B3791" s="27" t="s">
        <v>360</v>
      </c>
      <c r="C3791" s="28">
        <v>0.16669999999999999</v>
      </c>
      <c r="D3791" s="28">
        <v>0.25</v>
      </c>
      <c r="E3791" s="28">
        <v>0.29170000000000001</v>
      </c>
      <c r="F3791" s="28">
        <v>0.29170000000000001</v>
      </c>
      <c r="G3791" s="29"/>
      <c r="H3791" s="29" t="s">
        <v>310</v>
      </c>
    </row>
    <row r="3792" spans="1:8" x14ac:dyDescent="0.35">
      <c r="A3792" s="27" t="s">
        <v>227</v>
      </c>
      <c r="B3792" s="27" t="s">
        <v>361</v>
      </c>
      <c r="C3792" s="28">
        <v>0.3125</v>
      </c>
      <c r="D3792" s="28">
        <v>0.3125</v>
      </c>
      <c r="E3792" s="28">
        <v>0.1875</v>
      </c>
      <c r="F3792" s="28">
        <v>0.1875</v>
      </c>
      <c r="G3792" s="29"/>
      <c r="H3792" s="29" t="s">
        <v>348</v>
      </c>
    </row>
    <row r="3793" spans="1:8" x14ac:dyDescent="0.35">
      <c r="A3793" s="27" t="s">
        <v>227</v>
      </c>
      <c r="B3793" s="27" t="s">
        <v>362</v>
      </c>
      <c r="C3793" s="28">
        <v>0.36359999999999998</v>
      </c>
      <c r="D3793" s="28">
        <v>0.18179999999999999</v>
      </c>
      <c r="E3793" s="28">
        <v>0.18179999999999999</v>
      </c>
      <c r="F3793" s="28">
        <v>0.2727</v>
      </c>
      <c r="G3793" s="29"/>
      <c r="H3793" s="29" t="s">
        <v>347</v>
      </c>
    </row>
    <row r="3794" spans="1:8" x14ac:dyDescent="0.35">
      <c r="A3794" s="27" t="s">
        <v>227</v>
      </c>
      <c r="B3794" s="27" t="s">
        <v>363</v>
      </c>
      <c r="C3794" s="28">
        <v>0.36</v>
      </c>
      <c r="D3794" s="28">
        <v>0.2</v>
      </c>
      <c r="E3794" s="28">
        <v>0.24</v>
      </c>
      <c r="F3794" s="28">
        <v>0.16</v>
      </c>
      <c r="G3794" s="28">
        <v>0.04</v>
      </c>
      <c r="H3794" s="29" t="s">
        <v>312</v>
      </c>
    </row>
    <row r="3795" spans="1:8" x14ac:dyDescent="0.35">
      <c r="A3795" t="s">
        <v>228</v>
      </c>
      <c r="B3795" t="s">
        <v>360</v>
      </c>
      <c r="C3795" s="26">
        <v>0.32450000000000001</v>
      </c>
      <c r="D3795" s="26">
        <v>0.21429999999999999</v>
      </c>
      <c r="E3795" s="26">
        <v>0.26800000000000002</v>
      </c>
      <c r="F3795" s="26">
        <v>0.18140000000000001</v>
      </c>
      <c r="G3795" s="26">
        <v>1.18E-2</v>
      </c>
      <c r="H3795">
        <v>201</v>
      </c>
    </row>
    <row r="3796" spans="1:8" x14ac:dyDescent="0.35">
      <c r="A3796" t="s">
        <v>228</v>
      </c>
      <c r="B3796" t="s">
        <v>361</v>
      </c>
      <c r="C3796" s="26">
        <v>0.40200000000000002</v>
      </c>
      <c r="D3796" s="26">
        <v>0.22090000000000001</v>
      </c>
      <c r="E3796" s="26">
        <v>0.19109999999999999</v>
      </c>
      <c r="F3796" s="26">
        <v>0.1782</v>
      </c>
      <c r="G3796" s="26">
        <v>7.9000000000000008E-3</v>
      </c>
      <c r="H3796">
        <v>117</v>
      </c>
    </row>
    <row r="3797" spans="1:8" x14ac:dyDescent="0.35">
      <c r="A3797" t="s">
        <v>228</v>
      </c>
      <c r="B3797" t="s">
        <v>363</v>
      </c>
      <c r="C3797" s="26">
        <v>0.35449999999999998</v>
      </c>
      <c r="D3797" s="26">
        <v>0.25219999999999998</v>
      </c>
      <c r="E3797" s="26">
        <v>0.2238</v>
      </c>
      <c r="F3797" s="26">
        <v>0.16689999999999999</v>
      </c>
      <c r="G3797" s="26">
        <v>2.5000000000000001E-3</v>
      </c>
      <c r="H3797">
        <v>134</v>
      </c>
    </row>
    <row r="3798" spans="1:8" x14ac:dyDescent="0.35">
      <c r="A3798" t="s">
        <v>228</v>
      </c>
      <c r="B3798" t="s">
        <v>362</v>
      </c>
      <c r="C3798" s="26">
        <v>0.3634</v>
      </c>
      <c r="D3798" s="26">
        <v>0.31090000000000001</v>
      </c>
      <c r="E3798" s="26">
        <v>0.15870000000000001</v>
      </c>
      <c r="F3798" s="26">
        <v>0.1633</v>
      </c>
      <c r="G3798" s="26">
        <v>3.8E-3</v>
      </c>
      <c r="H3798">
        <v>165</v>
      </c>
    </row>
    <row r="3799" spans="1:8" x14ac:dyDescent="0.35">
      <c r="A3799" t="s">
        <v>229</v>
      </c>
      <c r="B3799" t="s">
        <v>363</v>
      </c>
      <c r="C3799" s="26">
        <v>0.3085</v>
      </c>
      <c r="D3799" s="26">
        <v>0.18790000000000001</v>
      </c>
      <c r="E3799" s="26">
        <v>0.23780000000000001</v>
      </c>
      <c r="F3799" s="26">
        <v>0.2407</v>
      </c>
      <c r="G3799" s="26">
        <v>2.5100000000000001E-2</v>
      </c>
      <c r="H3799">
        <v>111</v>
      </c>
    </row>
    <row r="3800" spans="1:8" x14ac:dyDescent="0.35">
      <c r="A3800" t="s">
        <v>229</v>
      </c>
      <c r="B3800" t="s">
        <v>360</v>
      </c>
      <c r="C3800" s="26">
        <v>0.25090000000000001</v>
      </c>
      <c r="D3800" s="26">
        <v>0.1968</v>
      </c>
      <c r="E3800" s="26">
        <v>0.22770000000000001</v>
      </c>
      <c r="F3800" s="26">
        <v>0.31709999999999999</v>
      </c>
      <c r="G3800" s="26">
        <v>7.4999999999999997E-3</v>
      </c>
      <c r="H3800">
        <v>107</v>
      </c>
    </row>
    <row r="3801" spans="1:8" x14ac:dyDescent="0.35">
      <c r="A3801" t="s">
        <v>229</v>
      </c>
      <c r="B3801" t="s">
        <v>361</v>
      </c>
      <c r="C3801" s="26">
        <v>0.29320000000000002</v>
      </c>
      <c r="D3801" s="26">
        <v>0.27250000000000002</v>
      </c>
      <c r="E3801" s="26">
        <v>0.23469999999999999</v>
      </c>
      <c r="F3801" s="26">
        <v>0.18690000000000001</v>
      </c>
      <c r="G3801" s="26">
        <v>1.26E-2</v>
      </c>
      <c r="H3801">
        <v>141</v>
      </c>
    </row>
    <row r="3802" spans="1:8" x14ac:dyDescent="0.35">
      <c r="A3802" t="s">
        <v>229</v>
      </c>
      <c r="B3802" t="s">
        <v>362</v>
      </c>
      <c r="C3802" s="26">
        <v>0.24329999999999999</v>
      </c>
      <c r="D3802" s="26">
        <v>0.2369</v>
      </c>
      <c r="E3802" s="26">
        <v>0.31719999999999998</v>
      </c>
      <c r="F3802" s="26">
        <v>0.16889999999999999</v>
      </c>
      <c r="G3802" s="26">
        <v>3.3799999999999997E-2</v>
      </c>
      <c r="H3802">
        <v>112</v>
      </c>
    </row>
    <row r="3803" spans="1:8" x14ac:dyDescent="0.35">
      <c r="A3803" t="s">
        <v>230</v>
      </c>
      <c r="B3803" t="s">
        <v>360</v>
      </c>
      <c r="C3803" s="26">
        <v>0.31950000000000001</v>
      </c>
      <c r="D3803" s="26">
        <v>0.29210000000000003</v>
      </c>
      <c r="E3803" s="26">
        <v>0.20399999999999999</v>
      </c>
      <c r="F3803" s="26">
        <v>0.14510000000000001</v>
      </c>
      <c r="G3803" s="26">
        <v>3.9399999999999998E-2</v>
      </c>
      <c r="H3803">
        <v>87</v>
      </c>
    </row>
    <row r="3804" spans="1:8" x14ac:dyDescent="0.35">
      <c r="A3804" t="s">
        <v>230</v>
      </c>
      <c r="B3804" t="s">
        <v>363</v>
      </c>
      <c r="C3804" s="26">
        <v>0.2515</v>
      </c>
      <c r="D3804" s="26">
        <v>0.42080000000000001</v>
      </c>
      <c r="E3804" s="26">
        <v>0.2288</v>
      </c>
      <c r="F3804" s="26">
        <v>9.8799999999999999E-2</v>
      </c>
      <c r="H3804">
        <v>86</v>
      </c>
    </row>
    <row r="3805" spans="1:8" x14ac:dyDescent="0.35">
      <c r="A3805" t="s">
        <v>230</v>
      </c>
      <c r="B3805" t="s">
        <v>361</v>
      </c>
      <c r="C3805" s="26">
        <v>0.37709999999999999</v>
      </c>
      <c r="D3805" s="26">
        <v>0.24</v>
      </c>
      <c r="E3805" s="26">
        <v>0.29570000000000002</v>
      </c>
      <c r="F3805" s="26">
        <v>8.1699999999999995E-2</v>
      </c>
      <c r="G3805" s="26">
        <v>5.4999999999999997E-3</v>
      </c>
      <c r="H3805">
        <v>68</v>
      </c>
    </row>
    <row r="3806" spans="1:8" x14ac:dyDescent="0.35">
      <c r="A3806" t="s">
        <v>230</v>
      </c>
      <c r="B3806" t="s">
        <v>362</v>
      </c>
      <c r="C3806" s="26">
        <v>0.4829</v>
      </c>
      <c r="D3806" s="26">
        <v>0.29389999999999999</v>
      </c>
      <c r="E3806" s="26">
        <v>8.6300000000000002E-2</v>
      </c>
      <c r="F3806" s="26">
        <v>0.13689999999999999</v>
      </c>
      <c r="H3806">
        <v>97</v>
      </c>
    </row>
    <row r="3807" spans="1:8" x14ac:dyDescent="0.35">
      <c r="A3807" s="27" t="s">
        <v>231</v>
      </c>
      <c r="B3807" s="27" t="s">
        <v>362</v>
      </c>
      <c r="C3807" s="28">
        <v>0.36840000000000001</v>
      </c>
      <c r="D3807" s="28">
        <v>0.21049999999999999</v>
      </c>
      <c r="E3807" s="28">
        <v>0.36840000000000001</v>
      </c>
      <c r="F3807" s="29"/>
      <c r="G3807" s="28">
        <v>5.2600000000000001E-2</v>
      </c>
      <c r="H3807" s="29" t="s">
        <v>349</v>
      </c>
    </row>
    <row r="3808" spans="1:8" x14ac:dyDescent="0.35">
      <c r="A3808" s="27" t="s">
        <v>231</v>
      </c>
      <c r="B3808" s="27" t="s">
        <v>361</v>
      </c>
      <c r="C3808" s="28">
        <v>0.40739999999999998</v>
      </c>
      <c r="D3808" s="28">
        <v>0.14810000000000001</v>
      </c>
      <c r="E3808" s="28">
        <v>0.22220000000000001</v>
      </c>
      <c r="F3808" s="28">
        <v>0.1852</v>
      </c>
      <c r="G3808" s="28">
        <v>3.6999999999999998E-2</v>
      </c>
      <c r="H3808" s="29" t="s">
        <v>338</v>
      </c>
    </row>
    <row r="3809" spans="1:8" x14ac:dyDescent="0.35">
      <c r="A3809" s="27" t="s">
        <v>231</v>
      </c>
      <c r="B3809" s="27" t="s">
        <v>360</v>
      </c>
      <c r="C3809" s="28">
        <v>0.37040000000000001</v>
      </c>
      <c r="D3809" s="28">
        <v>0.1111</v>
      </c>
      <c r="E3809" s="28">
        <v>0.25929999999999997</v>
      </c>
      <c r="F3809" s="28">
        <v>0.25929999999999997</v>
      </c>
      <c r="G3809" s="29"/>
      <c r="H3809" s="29" t="s">
        <v>338</v>
      </c>
    </row>
    <row r="3810" spans="1:8" x14ac:dyDescent="0.35">
      <c r="A3810" s="27" t="s">
        <v>231</v>
      </c>
      <c r="B3810" s="27" t="s">
        <v>363</v>
      </c>
      <c r="C3810" s="28">
        <v>0.33329999999999999</v>
      </c>
      <c r="D3810" s="28">
        <v>0.33329999999999999</v>
      </c>
      <c r="E3810" s="28">
        <v>0.16669999999999999</v>
      </c>
      <c r="F3810" s="28">
        <v>0.16669999999999999</v>
      </c>
      <c r="G3810" s="29"/>
      <c r="H3810" s="29" t="s">
        <v>353</v>
      </c>
    </row>
    <row r="3811" spans="1:8" x14ac:dyDescent="0.35">
      <c r="A3811" t="s">
        <v>232</v>
      </c>
      <c r="B3811" t="s">
        <v>232</v>
      </c>
      <c r="C3811" s="26">
        <v>0.33129999999999998</v>
      </c>
      <c r="D3811" s="26">
        <v>0.2382</v>
      </c>
      <c r="E3811" s="26">
        <v>0.2298</v>
      </c>
      <c r="F3811" s="26">
        <v>0.18329999999999999</v>
      </c>
      <c r="G3811" s="26">
        <v>1.7399999999999999E-2</v>
      </c>
      <c r="H3811">
        <v>1604</v>
      </c>
    </row>
    <row r="3813" spans="1:8" x14ac:dyDescent="0.35">
      <c r="A3813" s="1" t="s">
        <v>640</v>
      </c>
    </row>
    <row r="3814" spans="1:8" x14ac:dyDescent="0.35">
      <c r="A3814" t="s">
        <v>219</v>
      </c>
      <c r="B3814" t="s">
        <v>305</v>
      </c>
      <c r="C3814" t="s">
        <v>632</v>
      </c>
      <c r="D3814" t="s">
        <v>633</v>
      </c>
      <c r="E3814" t="s">
        <v>634</v>
      </c>
      <c r="F3814" t="s">
        <v>635</v>
      </c>
      <c r="G3814" t="s">
        <v>281</v>
      </c>
      <c r="H3814" t="s">
        <v>226</v>
      </c>
    </row>
    <row r="3815" spans="1:8" x14ac:dyDescent="0.35">
      <c r="A3815" s="27" t="s">
        <v>227</v>
      </c>
      <c r="B3815" s="27" t="s">
        <v>267</v>
      </c>
      <c r="C3815" s="28">
        <v>0.38890000000000002</v>
      </c>
      <c r="D3815" s="28">
        <v>0.22220000000000001</v>
      </c>
      <c r="E3815" s="28">
        <v>0.16669999999999999</v>
      </c>
      <c r="F3815" s="28">
        <v>0.22220000000000001</v>
      </c>
      <c r="G3815" s="29"/>
      <c r="H3815" s="29" t="s">
        <v>353</v>
      </c>
    </row>
    <row r="3816" spans="1:8" x14ac:dyDescent="0.35">
      <c r="A3816" t="s">
        <v>227</v>
      </c>
      <c r="B3816" t="s">
        <v>266</v>
      </c>
      <c r="C3816" s="26">
        <v>0.2571</v>
      </c>
      <c r="D3816" s="26">
        <v>0.2571</v>
      </c>
      <c r="E3816" s="26">
        <v>0.28570000000000001</v>
      </c>
      <c r="F3816" s="26">
        <v>0.2</v>
      </c>
      <c r="H3816">
        <v>35</v>
      </c>
    </row>
    <row r="3817" spans="1:8" x14ac:dyDescent="0.35">
      <c r="A3817" t="s">
        <v>227</v>
      </c>
      <c r="B3817" t="s">
        <v>265</v>
      </c>
      <c r="C3817" s="26">
        <v>0.28949999999999998</v>
      </c>
      <c r="D3817" s="26">
        <v>0.21049999999999999</v>
      </c>
      <c r="E3817" s="26">
        <v>0.21049999999999999</v>
      </c>
      <c r="F3817" s="26">
        <v>0.26319999999999999</v>
      </c>
      <c r="G3817" s="26">
        <v>2.63E-2</v>
      </c>
      <c r="H3817">
        <v>38</v>
      </c>
    </row>
    <row r="3818" spans="1:8" x14ac:dyDescent="0.35">
      <c r="A3818" t="s">
        <v>228</v>
      </c>
      <c r="B3818" t="s">
        <v>267</v>
      </c>
      <c r="C3818" s="26">
        <v>0.32169999999999999</v>
      </c>
      <c r="D3818" s="26">
        <v>0.26219999999999999</v>
      </c>
      <c r="E3818" s="26">
        <v>0.28870000000000001</v>
      </c>
      <c r="F3818" s="26">
        <v>0.1215</v>
      </c>
      <c r="G3818" s="26">
        <v>5.8999999999999999E-3</v>
      </c>
      <c r="H3818">
        <v>110</v>
      </c>
    </row>
    <row r="3819" spans="1:8" x14ac:dyDescent="0.35">
      <c r="A3819" t="s">
        <v>228</v>
      </c>
      <c r="B3819" t="s">
        <v>265</v>
      </c>
      <c r="C3819" s="26">
        <v>0.4073</v>
      </c>
      <c r="D3819" s="26">
        <v>0.25140000000000001</v>
      </c>
      <c r="E3819" s="26">
        <v>0.1341</v>
      </c>
      <c r="F3819" s="26">
        <v>0.18840000000000001</v>
      </c>
      <c r="G3819" s="26">
        <v>1.89E-2</v>
      </c>
      <c r="H3819">
        <v>255</v>
      </c>
    </row>
    <row r="3820" spans="1:8" x14ac:dyDescent="0.35">
      <c r="A3820" s="27" t="s">
        <v>228</v>
      </c>
      <c r="B3820" s="27" t="s">
        <v>236</v>
      </c>
      <c r="C3820" s="28">
        <v>0.5</v>
      </c>
      <c r="D3820" s="29"/>
      <c r="E3820" s="29"/>
      <c r="F3820" s="28">
        <v>0.5</v>
      </c>
      <c r="G3820" s="29"/>
      <c r="H3820" s="29" t="s">
        <v>314</v>
      </c>
    </row>
    <row r="3821" spans="1:8" x14ac:dyDescent="0.35">
      <c r="A3821" t="s">
        <v>228</v>
      </c>
      <c r="B3821" t="s">
        <v>266</v>
      </c>
      <c r="C3821" s="26">
        <v>0.28939999999999999</v>
      </c>
      <c r="D3821" s="26">
        <v>0.27889999999999998</v>
      </c>
      <c r="E3821" s="26">
        <v>0.2641</v>
      </c>
      <c r="F3821" s="26">
        <v>0.1618</v>
      </c>
      <c r="G3821" s="26">
        <v>5.7999999999999996E-3</v>
      </c>
      <c r="H3821">
        <v>321</v>
      </c>
    </row>
    <row r="3822" spans="1:8" x14ac:dyDescent="0.35">
      <c r="A3822" t="s">
        <v>229</v>
      </c>
      <c r="B3822" t="s">
        <v>266</v>
      </c>
      <c r="C3822" s="26">
        <v>0.2616</v>
      </c>
      <c r="D3822" s="26">
        <v>0.1724</v>
      </c>
      <c r="E3822" s="26">
        <v>0.29470000000000002</v>
      </c>
      <c r="F3822" s="26">
        <v>0.23130000000000001</v>
      </c>
      <c r="G3822" s="26">
        <v>4.0099999999999997E-2</v>
      </c>
      <c r="H3822">
        <v>221</v>
      </c>
    </row>
    <row r="3823" spans="1:8" x14ac:dyDescent="0.35">
      <c r="A3823" t="s">
        <v>229</v>
      </c>
      <c r="B3823" t="s">
        <v>267</v>
      </c>
      <c r="C3823" s="26">
        <v>0.245</v>
      </c>
      <c r="D3823" s="26">
        <v>0.31359999999999999</v>
      </c>
      <c r="E3823" s="26">
        <v>0.26950000000000002</v>
      </c>
      <c r="F3823" s="26">
        <v>0.16950000000000001</v>
      </c>
      <c r="G3823" s="26">
        <v>2.3999999999999998E-3</v>
      </c>
      <c r="H3823">
        <v>108</v>
      </c>
    </row>
    <row r="3824" spans="1:8" x14ac:dyDescent="0.35">
      <c r="A3824" t="s">
        <v>229</v>
      </c>
      <c r="B3824" t="s">
        <v>265</v>
      </c>
      <c r="C3824" s="26">
        <v>0.3165</v>
      </c>
      <c r="D3824" s="26">
        <v>0.2555</v>
      </c>
      <c r="E3824" s="26">
        <v>0.1893</v>
      </c>
      <c r="F3824" s="26">
        <v>0.21440000000000001</v>
      </c>
      <c r="G3824" s="26">
        <v>2.4299999999999999E-2</v>
      </c>
      <c r="H3824">
        <v>205</v>
      </c>
    </row>
    <row r="3825" spans="1:8" x14ac:dyDescent="0.35">
      <c r="A3825" t="s">
        <v>230</v>
      </c>
      <c r="B3825" t="s">
        <v>267</v>
      </c>
      <c r="C3825" s="26">
        <v>0.39329999999999998</v>
      </c>
      <c r="D3825" s="26">
        <v>0.3029</v>
      </c>
      <c r="E3825" s="26">
        <v>0.2324</v>
      </c>
      <c r="F3825" s="26">
        <v>2.9399999999999999E-2</v>
      </c>
      <c r="G3825" s="26">
        <v>4.2000000000000003E-2</v>
      </c>
      <c r="H3825">
        <v>69</v>
      </c>
    </row>
    <row r="3826" spans="1:8" x14ac:dyDescent="0.35">
      <c r="A3826" t="s">
        <v>230</v>
      </c>
      <c r="B3826" t="s">
        <v>266</v>
      </c>
      <c r="C3826" s="26">
        <v>0.24410000000000001</v>
      </c>
      <c r="D3826" s="26">
        <v>0.32300000000000001</v>
      </c>
      <c r="E3826" s="26">
        <v>0.22509999999999999</v>
      </c>
      <c r="F3826" s="26">
        <v>0.2031</v>
      </c>
      <c r="G3826" s="26">
        <v>4.7000000000000002E-3</v>
      </c>
      <c r="H3826">
        <v>157</v>
      </c>
    </row>
    <row r="3827" spans="1:8" x14ac:dyDescent="0.35">
      <c r="A3827" t="s">
        <v>230</v>
      </c>
      <c r="B3827" t="s">
        <v>265</v>
      </c>
      <c r="C3827" s="26">
        <v>0.4395</v>
      </c>
      <c r="D3827" s="26">
        <v>0.30909999999999999</v>
      </c>
      <c r="E3827" s="26">
        <v>0.19309999999999999</v>
      </c>
      <c r="F3827" s="26">
        <v>5.8200000000000002E-2</v>
      </c>
      <c r="H3827">
        <v>136</v>
      </c>
    </row>
    <row r="3828" spans="1:8" x14ac:dyDescent="0.35">
      <c r="A3828" s="27" t="s">
        <v>231</v>
      </c>
      <c r="B3828" s="27" t="s">
        <v>267</v>
      </c>
      <c r="C3828" s="28">
        <v>0.375</v>
      </c>
      <c r="D3828" s="28">
        <v>6.25E-2</v>
      </c>
      <c r="E3828" s="28">
        <v>0.25</v>
      </c>
      <c r="F3828" s="28">
        <v>0.25</v>
      </c>
      <c r="G3828" s="28">
        <v>6.25E-2</v>
      </c>
      <c r="H3828" s="29" t="s">
        <v>348</v>
      </c>
    </row>
    <row r="3829" spans="1:8" x14ac:dyDescent="0.35">
      <c r="A3829" t="s">
        <v>231</v>
      </c>
      <c r="B3829" t="s">
        <v>266</v>
      </c>
      <c r="C3829" s="26">
        <v>0.4</v>
      </c>
      <c r="D3829" s="26">
        <v>0.25</v>
      </c>
      <c r="E3829" s="26">
        <v>0.22500000000000001</v>
      </c>
      <c r="F3829" s="26">
        <v>0.125</v>
      </c>
      <c r="H3829">
        <v>40</v>
      </c>
    </row>
    <row r="3830" spans="1:8" x14ac:dyDescent="0.35">
      <c r="A3830" t="s">
        <v>231</v>
      </c>
      <c r="B3830" t="s">
        <v>265</v>
      </c>
      <c r="C3830" s="26">
        <v>0.36959999999999998</v>
      </c>
      <c r="D3830" s="26">
        <v>0.19570000000000001</v>
      </c>
      <c r="E3830" s="26">
        <v>0.23910000000000001</v>
      </c>
      <c r="F3830" s="26">
        <v>0.1739</v>
      </c>
      <c r="G3830" s="26">
        <v>2.1700000000000001E-2</v>
      </c>
      <c r="H3830">
        <v>46</v>
      </c>
    </row>
    <row r="3831" spans="1:8" x14ac:dyDescent="0.35">
      <c r="A3831" t="s">
        <v>232</v>
      </c>
      <c r="B3831" t="s">
        <v>232</v>
      </c>
      <c r="C3831" s="26">
        <v>0.33129999999999998</v>
      </c>
      <c r="D3831" s="26">
        <v>0.2382</v>
      </c>
      <c r="E3831" s="26">
        <v>0.2298</v>
      </c>
      <c r="F3831" s="26">
        <v>0.18329999999999999</v>
      </c>
      <c r="G3831" s="26">
        <v>1.7399999999999999E-2</v>
      </c>
      <c r="H3831">
        <v>1777</v>
      </c>
    </row>
    <row r="3833" spans="1:8" x14ac:dyDescent="0.35">
      <c r="A3833" s="1" t="s">
        <v>641</v>
      </c>
    </row>
    <row r="3834" spans="1:8" x14ac:dyDescent="0.35">
      <c r="A3834" t="s">
        <v>219</v>
      </c>
      <c r="B3834" t="s">
        <v>305</v>
      </c>
      <c r="C3834" t="s">
        <v>632</v>
      </c>
      <c r="D3834" t="s">
        <v>633</v>
      </c>
      <c r="E3834" t="s">
        <v>634</v>
      </c>
      <c r="F3834" t="s">
        <v>635</v>
      </c>
      <c r="G3834" t="s">
        <v>281</v>
      </c>
      <c r="H3834" t="s">
        <v>226</v>
      </c>
    </row>
    <row r="3835" spans="1:8" x14ac:dyDescent="0.35">
      <c r="A3835" s="27" t="s">
        <v>227</v>
      </c>
      <c r="B3835" s="27" t="s">
        <v>252</v>
      </c>
      <c r="C3835" s="28">
        <v>0.27589999999999998</v>
      </c>
      <c r="D3835" s="28">
        <v>0.2414</v>
      </c>
      <c r="E3835" s="28">
        <v>0.27589999999999998</v>
      </c>
      <c r="F3835" s="28">
        <v>0.2069</v>
      </c>
      <c r="G3835" s="29"/>
      <c r="H3835" s="29" t="s">
        <v>329</v>
      </c>
    </row>
    <row r="3836" spans="1:8" x14ac:dyDescent="0.35">
      <c r="A3836" s="27" t="s">
        <v>227</v>
      </c>
      <c r="B3836" s="27" t="s">
        <v>253</v>
      </c>
      <c r="C3836" s="28">
        <v>0.30430000000000001</v>
      </c>
      <c r="D3836" s="28">
        <v>0.26090000000000002</v>
      </c>
      <c r="E3836" s="28">
        <v>0.21740000000000001</v>
      </c>
      <c r="F3836" s="28">
        <v>0.1739</v>
      </c>
      <c r="G3836" s="28">
        <v>4.3499999999999997E-2</v>
      </c>
      <c r="H3836" s="29" t="s">
        <v>328</v>
      </c>
    </row>
    <row r="3837" spans="1:8" x14ac:dyDescent="0.35">
      <c r="A3837" t="s">
        <v>227</v>
      </c>
      <c r="B3837" t="s">
        <v>251</v>
      </c>
      <c r="C3837" s="26">
        <v>0.30769999999999997</v>
      </c>
      <c r="D3837" s="26">
        <v>0.2051</v>
      </c>
      <c r="E3837" s="26">
        <v>0.2051</v>
      </c>
      <c r="F3837" s="26">
        <v>0.28210000000000002</v>
      </c>
      <c r="H3837">
        <v>39</v>
      </c>
    </row>
    <row r="3838" spans="1:8" x14ac:dyDescent="0.35">
      <c r="A3838" t="s">
        <v>228</v>
      </c>
      <c r="B3838" t="s">
        <v>252</v>
      </c>
      <c r="C3838" s="26">
        <v>0.40350000000000003</v>
      </c>
      <c r="D3838" s="26">
        <v>0.24959999999999999</v>
      </c>
      <c r="E3838" s="26">
        <v>0.18440000000000001</v>
      </c>
      <c r="F3838" s="26">
        <v>0.15540000000000001</v>
      </c>
      <c r="G3838" s="26">
        <v>7.0000000000000001E-3</v>
      </c>
      <c r="H3838">
        <v>261</v>
      </c>
    </row>
    <row r="3839" spans="1:8" x14ac:dyDescent="0.35">
      <c r="A3839" t="s">
        <v>228</v>
      </c>
      <c r="B3839" t="s">
        <v>253</v>
      </c>
      <c r="C3839" s="26">
        <v>0.33069999999999999</v>
      </c>
      <c r="D3839" s="26">
        <v>0.2162</v>
      </c>
      <c r="E3839" s="26">
        <v>0.25659999999999999</v>
      </c>
      <c r="F3839" s="26">
        <v>0.18840000000000001</v>
      </c>
      <c r="G3839" s="26">
        <v>8.0999999999999996E-3</v>
      </c>
      <c r="H3839">
        <v>157</v>
      </c>
    </row>
    <row r="3840" spans="1:8" x14ac:dyDescent="0.35">
      <c r="A3840" t="s">
        <v>228</v>
      </c>
      <c r="B3840" t="s">
        <v>251</v>
      </c>
      <c r="C3840" s="26">
        <v>0.30709999999999998</v>
      </c>
      <c r="D3840" s="26">
        <v>0.29649999999999999</v>
      </c>
      <c r="E3840" s="26">
        <v>0.20630000000000001</v>
      </c>
      <c r="F3840" s="26">
        <v>0.17369999999999999</v>
      </c>
      <c r="G3840" s="26">
        <v>1.6400000000000001E-2</v>
      </c>
      <c r="H3840">
        <v>270</v>
      </c>
    </row>
    <row r="3841" spans="1:8" x14ac:dyDescent="0.35">
      <c r="A3841" t="s">
        <v>229</v>
      </c>
      <c r="B3841" t="s">
        <v>252</v>
      </c>
      <c r="C3841" s="26">
        <v>0.3105</v>
      </c>
      <c r="D3841" s="26">
        <v>0.13189999999999999</v>
      </c>
      <c r="E3841" s="26">
        <v>0.2722</v>
      </c>
      <c r="F3841" s="26">
        <v>0.2467</v>
      </c>
      <c r="G3841" s="26">
        <v>3.8800000000000001E-2</v>
      </c>
      <c r="H3841">
        <v>142</v>
      </c>
    </row>
    <row r="3842" spans="1:8" x14ac:dyDescent="0.35">
      <c r="A3842" t="s">
        <v>229</v>
      </c>
      <c r="B3842" t="s">
        <v>253</v>
      </c>
      <c r="C3842" s="26">
        <v>0.2185</v>
      </c>
      <c r="D3842" s="26">
        <v>0.27600000000000002</v>
      </c>
      <c r="E3842" s="26">
        <v>0.21790000000000001</v>
      </c>
      <c r="F3842" s="26">
        <v>0.24959999999999999</v>
      </c>
      <c r="G3842" s="26">
        <v>3.8100000000000002E-2</v>
      </c>
      <c r="H3842">
        <v>109</v>
      </c>
    </row>
    <row r="3843" spans="1:8" x14ac:dyDescent="0.35">
      <c r="A3843" t="s">
        <v>229</v>
      </c>
      <c r="B3843" t="s">
        <v>251</v>
      </c>
      <c r="C3843" s="26">
        <v>0.29559999999999997</v>
      </c>
      <c r="D3843" s="26">
        <v>0.27429999999999999</v>
      </c>
      <c r="E3843" s="26">
        <v>0.23980000000000001</v>
      </c>
      <c r="F3843" s="26">
        <v>0.1772</v>
      </c>
      <c r="G3843" s="26">
        <v>1.3100000000000001E-2</v>
      </c>
      <c r="H3843">
        <v>283</v>
      </c>
    </row>
    <row r="3844" spans="1:8" x14ac:dyDescent="0.35">
      <c r="A3844" t="s">
        <v>230</v>
      </c>
      <c r="B3844" t="s">
        <v>252</v>
      </c>
      <c r="C3844" s="26">
        <v>0.34010000000000001</v>
      </c>
      <c r="D3844" s="26">
        <v>0.32190000000000002</v>
      </c>
      <c r="E3844" s="26">
        <v>0.20119999999999999</v>
      </c>
      <c r="F3844" s="26">
        <v>0.1368</v>
      </c>
      <c r="H3844">
        <v>110</v>
      </c>
    </row>
    <row r="3845" spans="1:8" x14ac:dyDescent="0.35">
      <c r="A3845" t="s">
        <v>230</v>
      </c>
      <c r="B3845" t="s">
        <v>253</v>
      </c>
      <c r="C3845" s="26">
        <v>0.4163</v>
      </c>
      <c r="D3845" s="26">
        <v>0.29089999999999999</v>
      </c>
      <c r="E3845" s="26">
        <v>0.11849999999999999</v>
      </c>
      <c r="F3845" s="26">
        <v>0.17430000000000001</v>
      </c>
      <c r="H3845">
        <v>80</v>
      </c>
    </row>
    <row r="3846" spans="1:8" x14ac:dyDescent="0.35">
      <c r="A3846" t="s">
        <v>230</v>
      </c>
      <c r="B3846" t="s">
        <v>251</v>
      </c>
      <c r="C3846" s="26">
        <v>0.3407</v>
      </c>
      <c r="D3846" s="26">
        <v>0.31709999999999999</v>
      </c>
      <c r="E3846" s="26">
        <v>0.25569999999999998</v>
      </c>
      <c r="F3846" s="26">
        <v>6.7000000000000004E-2</v>
      </c>
      <c r="G3846" s="26">
        <v>1.9400000000000001E-2</v>
      </c>
      <c r="H3846">
        <v>172</v>
      </c>
    </row>
    <row r="3847" spans="1:8" x14ac:dyDescent="0.35">
      <c r="A3847" t="s">
        <v>231</v>
      </c>
      <c r="B3847" t="s">
        <v>252</v>
      </c>
      <c r="C3847" s="26">
        <v>0.46870000000000001</v>
      </c>
      <c r="D3847" s="26">
        <v>0.1875</v>
      </c>
      <c r="E3847" s="26">
        <v>0.1875</v>
      </c>
      <c r="F3847" s="26">
        <v>0.15620000000000001</v>
      </c>
      <c r="H3847">
        <v>32</v>
      </c>
    </row>
    <row r="3848" spans="1:8" x14ac:dyDescent="0.35">
      <c r="A3848" s="27" t="s">
        <v>231</v>
      </c>
      <c r="B3848" s="27" t="s">
        <v>253</v>
      </c>
      <c r="C3848" s="28">
        <v>0.47620000000000001</v>
      </c>
      <c r="D3848" s="28">
        <v>9.5200000000000007E-2</v>
      </c>
      <c r="E3848" s="28">
        <v>0.23810000000000001</v>
      </c>
      <c r="F3848" s="28">
        <v>0.1905</v>
      </c>
      <c r="G3848" s="29"/>
      <c r="H3848" s="29" t="s">
        <v>351</v>
      </c>
    </row>
    <row r="3849" spans="1:8" x14ac:dyDescent="0.35">
      <c r="A3849" t="s">
        <v>231</v>
      </c>
      <c r="B3849" t="s">
        <v>251</v>
      </c>
      <c r="C3849" s="26">
        <v>0.28570000000000001</v>
      </c>
      <c r="D3849" s="26">
        <v>0.24490000000000001</v>
      </c>
      <c r="E3849" s="26">
        <v>0.26529999999999998</v>
      </c>
      <c r="F3849" s="26">
        <v>0.1633</v>
      </c>
      <c r="G3849" s="26">
        <v>4.0800000000000003E-2</v>
      </c>
      <c r="H3849">
        <v>49</v>
      </c>
    </row>
    <row r="3850" spans="1:8" x14ac:dyDescent="0.35">
      <c r="A3850" t="s">
        <v>232</v>
      </c>
      <c r="B3850" t="s">
        <v>232</v>
      </c>
      <c r="C3850" s="26">
        <v>0.33129999999999998</v>
      </c>
      <c r="D3850" s="26">
        <v>0.2382</v>
      </c>
      <c r="E3850" s="26">
        <v>0.2298</v>
      </c>
      <c r="F3850" s="26">
        <v>0.18329999999999999</v>
      </c>
      <c r="G3850" s="26">
        <v>1.7399999999999999E-2</v>
      </c>
      <c r="H3850">
        <v>1777</v>
      </c>
    </row>
    <row r="3852" spans="1:8" x14ac:dyDescent="0.35">
      <c r="A3852" s="1" t="s">
        <v>642</v>
      </c>
    </row>
    <row r="3853" spans="1:8" x14ac:dyDescent="0.35">
      <c r="A3853" t="s">
        <v>219</v>
      </c>
      <c r="B3853" t="s">
        <v>305</v>
      </c>
      <c r="C3853" t="s">
        <v>632</v>
      </c>
      <c r="D3853" t="s">
        <v>633</v>
      </c>
      <c r="E3853" t="s">
        <v>634</v>
      </c>
      <c r="F3853" t="s">
        <v>635</v>
      </c>
      <c r="G3853" t="s">
        <v>281</v>
      </c>
      <c r="H3853" t="s">
        <v>226</v>
      </c>
    </row>
    <row r="3854" spans="1:8" x14ac:dyDescent="0.35">
      <c r="A3854" s="27" t="s">
        <v>227</v>
      </c>
      <c r="B3854" s="27" t="s">
        <v>249</v>
      </c>
      <c r="C3854" s="28">
        <v>0.41670000000000001</v>
      </c>
      <c r="D3854" s="28">
        <v>0.20830000000000001</v>
      </c>
      <c r="E3854" s="28">
        <v>0.125</v>
      </c>
      <c r="F3854" s="28">
        <v>0.20830000000000001</v>
      </c>
      <c r="G3854" s="28">
        <v>4.1700000000000001E-2</v>
      </c>
      <c r="H3854" s="29" t="s">
        <v>310</v>
      </c>
    </row>
    <row r="3855" spans="1:8" x14ac:dyDescent="0.35">
      <c r="A3855" t="s">
        <v>227</v>
      </c>
      <c r="B3855" t="s">
        <v>248</v>
      </c>
      <c r="C3855" s="26">
        <v>0.25369999999999998</v>
      </c>
      <c r="D3855" s="26">
        <v>0.23880000000000001</v>
      </c>
      <c r="E3855" s="26">
        <v>0.26869999999999999</v>
      </c>
      <c r="F3855" s="26">
        <v>0.23880000000000001</v>
      </c>
      <c r="H3855">
        <v>67</v>
      </c>
    </row>
    <row r="3856" spans="1:8" x14ac:dyDescent="0.35">
      <c r="A3856" t="s">
        <v>228</v>
      </c>
      <c r="B3856" t="s">
        <v>249</v>
      </c>
      <c r="C3856" s="26">
        <v>0.41089999999999999</v>
      </c>
      <c r="D3856" s="26">
        <v>0.2455</v>
      </c>
      <c r="E3856" s="26">
        <v>0.18140000000000001</v>
      </c>
      <c r="F3856" s="26">
        <v>0.15890000000000001</v>
      </c>
      <c r="G3856" s="26">
        <v>3.3999999999999998E-3</v>
      </c>
      <c r="H3856">
        <v>165</v>
      </c>
    </row>
    <row r="3857" spans="1:8" x14ac:dyDescent="0.35">
      <c r="A3857" t="s">
        <v>228</v>
      </c>
      <c r="B3857" t="s">
        <v>248</v>
      </c>
      <c r="C3857" s="26">
        <v>0.32100000000000001</v>
      </c>
      <c r="D3857" s="26">
        <v>0.26829999999999998</v>
      </c>
      <c r="E3857" s="26">
        <v>0.22120000000000001</v>
      </c>
      <c r="F3857" s="26">
        <v>0.17519999999999999</v>
      </c>
      <c r="G3857" s="26">
        <v>1.43E-2</v>
      </c>
      <c r="H3857">
        <v>523</v>
      </c>
    </row>
    <row r="3858" spans="1:8" x14ac:dyDescent="0.35">
      <c r="A3858" t="s">
        <v>229</v>
      </c>
      <c r="B3858" t="s">
        <v>249</v>
      </c>
      <c r="C3858" s="26">
        <v>0.24360000000000001</v>
      </c>
      <c r="D3858" s="26">
        <v>0.28160000000000002</v>
      </c>
      <c r="E3858" s="26">
        <v>0.21390000000000001</v>
      </c>
      <c r="F3858" s="26">
        <v>0.2414</v>
      </c>
      <c r="G3858" s="26">
        <v>1.9400000000000001E-2</v>
      </c>
      <c r="H3858">
        <v>152</v>
      </c>
    </row>
    <row r="3859" spans="1:8" x14ac:dyDescent="0.35">
      <c r="A3859" t="s">
        <v>229</v>
      </c>
      <c r="B3859" t="s">
        <v>248</v>
      </c>
      <c r="C3859" s="26">
        <v>0.2989</v>
      </c>
      <c r="D3859" s="26">
        <v>0.22090000000000001</v>
      </c>
      <c r="E3859" s="26">
        <v>0.25559999999999999</v>
      </c>
      <c r="F3859" s="26">
        <v>0.19719999999999999</v>
      </c>
      <c r="G3859" s="26">
        <v>2.7400000000000001E-2</v>
      </c>
      <c r="H3859">
        <v>382</v>
      </c>
    </row>
    <row r="3860" spans="1:8" x14ac:dyDescent="0.35">
      <c r="A3860" t="s">
        <v>230</v>
      </c>
      <c r="B3860" t="s">
        <v>249</v>
      </c>
      <c r="C3860" s="26">
        <v>0.31319999999999998</v>
      </c>
      <c r="D3860" s="26">
        <v>0.29270000000000002</v>
      </c>
      <c r="E3860" s="26">
        <v>0.25180000000000002</v>
      </c>
      <c r="F3860" s="26">
        <v>0.11940000000000001</v>
      </c>
      <c r="G3860" s="26">
        <v>2.29E-2</v>
      </c>
      <c r="H3860">
        <v>111</v>
      </c>
    </row>
    <row r="3861" spans="1:8" x14ac:dyDescent="0.35">
      <c r="A3861" t="s">
        <v>230</v>
      </c>
      <c r="B3861" t="s">
        <v>248</v>
      </c>
      <c r="C3861" s="26">
        <v>0.37990000000000002</v>
      </c>
      <c r="D3861" s="26">
        <v>0.32490000000000002</v>
      </c>
      <c r="E3861" s="26">
        <v>0.191</v>
      </c>
      <c r="F3861" s="26">
        <v>0.1013</v>
      </c>
      <c r="G3861" s="26">
        <v>2.8E-3</v>
      </c>
      <c r="H3861">
        <v>251</v>
      </c>
    </row>
    <row r="3862" spans="1:8" x14ac:dyDescent="0.35">
      <c r="A3862" s="27" t="s">
        <v>231</v>
      </c>
      <c r="B3862" s="27" t="s">
        <v>249</v>
      </c>
      <c r="C3862" s="28">
        <v>0.2273</v>
      </c>
      <c r="D3862" s="28">
        <v>0.18179999999999999</v>
      </c>
      <c r="E3862" s="28">
        <v>0.31819999999999998</v>
      </c>
      <c r="F3862" s="28">
        <v>0.2273</v>
      </c>
      <c r="G3862" s="28">
        <v>4.5499999999999999E-2</v>
      </c>
      <c r="H3862" s="29" t="s">
        <v>347</v>
      </c>
    </row>
    <row r="3863" spans="1:8" x14ac:dyDescent="0.35">
      <c r="A3863" t="s">
        <v>231</v>
      </c>
      <c r="B3863" t="s">
        <v>248</v>
      </c>
      <c r="C3863" s="26">
        <v>0.42499999999999999</v>
      </c>
      <c r="D3863" s="26">
        <v>0.2</v>
      </c>
      <c r="E3863" s="26">
        <v>0.21249999999999999</v>
      </c>
      <c r="F3863" s="26">
        <v>0.15</v>
      </c>
      <c r="G3863" s="26">
        <v>1.2500000000000001E-2</v>
      </c>
      <c r="H3863">
        <v>80</v>
      </c>
    </row>
    <row r="3864" spans="1:8" x14ac:dyDescent="0.35">
      <c r="A3864" t="s">
        <v>232</v>
      </c>
      <c r="B3864" t="s">
        <v>232</v>
      </c>
      <c r="C3864" s="26">
        <v>0.33129999999999998</v>
      </c>
      <c r="D3864" s="26">
        <v>0.2382</v>
      </c>
      <c r="E3864" s="26">
        <v>0.2298</v>
      </c>
      <c r="F3864" s="26">
        <v>0.18329999999999999</v>
      </c>
      <c r="G3864" s="26">
        <v>1.7399999999999999E-2</v>
      </c>
      <c r="H3864">
        <v>1777</v>
      </c>
    </row>
    <row r="3866" spans="1:8" x14ac:dyDescent="0.35">
      <c r="A3866" s="1" t="s">
        <v>643</v>
      </c>
    </row>
    <row r="3867" spans="1:8" x14ac:dyDescent="0.35">
      <c r="A3867" t="s">
        <v>219</v>
      </c>
      <c r="B3867" t="s">
        <v>305</v>
      </c>
      <c r="C3867" t="s">
        <v>632</v>
      </c>
      <c r="D3867" t="s">
        <v>633</v>
      </c>
      <c r="E3867" t="s">
        <v>634</v>
      </c>
      <c r="F3867" t="s">
        <v>635</v>
      </c>
      <c r="G3867" t="s">
        <v>281</v>
      </c>
      <c r="H3867" t="s">
        <v>226</v>
      </c>
    </row>
    <row r="3868" spans="1:8" x14ac:dyDescent="0.35">
      <c r="A3868" s="27" t="s">
        <v>227</v>
      </c>
      <c r="B3868" s="27" t="s">
        <v>263</v>
      </c>
      <c r="C3868" s="29"/>
      <c r="D3868" s="29"/>
      <c r="E3868" s="28">
        <v>1</v>
      </c>
      <c r="F3868" s="29"/>
      <c r="G3868" s="29"/>
      <c r="H3868" s="29" t="s">
        <v>331</v>
      </c>
    </row>
    <row r="3869" spans="1:8" x14ac:dyDescent="0.35">
      <c r="A3869" t="s">
        <v>227</v>
      </c>
      <c r="B3869" t="s">
        <v>260</v>
      </c>
      <c r="C3869" s="26">
        <v>0.28570000000000001</v>
      </c>
      <c r="D3869" s="26">
        <v>0.20630000000000001</v>
      </c>
      <c r="E3869" s="26">
        <v>0.26979999999999998</v>
      </c>
      <c r="F3869" s="26">
        <v>0.23810000000000001</v>
      </c>
      <c r="H3869">
        <v>63</v>
      </c>
    </row>
    <row r="3870" spans="1:8" x14ac:dyDescent="0.35">
      <c r="A3870" s="27" t="s">
        <v>227</v>
      </c>
      <c r="B3870" s="27" t="s">
        <v>261</v>
      </c>
      <c r="C3870" s="28">
        <v>0.32</v>
      </c>
      <c r="D3870" s="28">
        <v>0.28000000000000003</v>
      </c>
      <c r="E3870" s="28">
        <v>0.12</v>
      </c>
      <c r="F3870" s="28">
        <v>0.24</v>
      </c>
      <c r="G3870" s="28">
        <v>0.04</v>
      </c>
      <c r="H3870" s="29" t="s">
        <v>312</v>
      </c>
    </row>
    <row r="3871" spans="1:8" x14ac:dyDescent="0.35">
      <c r="A3871" s="27" t="s">
        <v>227</v>
      </c>
      <c r="B3871" s="27" t="s">
        <v>262</v>
      </c>
      <c r="C3871" s="28">
        <v>0.5</v>
      </c>
      <c r="D3871" s="28">
        <v>0.5</v>
      </c>
      <c r="E3871" s="29"/>
      <c r="F3871" s="29"/>
      <c r="G3871" s="29"/>
      <c r="H3871" s="29" t="s">
        <v>314</v>
      </c>
    </row>
    <row r="3872" spans="1:8" x14ac:dyDescent="0.35">
      <c r="A3872" s="27" t="s">
        <v>228</v>
      </c>
      <c r="B3872" s="27" t="s">
        <v>236</v>
      </c>
      <c r="C3872" s="28">
        <v>0.74639999999999995</v>
      </c>
      <c r="D3872" s="28">
        <v>0.21</v>
      </c>
      <c r="E3872" s="29"/>
      <c r="F3872" s="28">
        <v>4.36E-2</v>
      </c>
      <c r="G3872" s="29"/>
      <c r="H3872" s="29" t="s">
        <v>337</v>
      </c>
    </row>
    <row r="3873" spans="1:8" x14ac:dyDescent="0.35">
      <c r="A3873" t="s">
        <v>228</v>
      </c>
      <c r="B3873" t="s">
        <v>261</v>
      </c>
      <c r="C3873" s="26">
        <v>0.3271</v>
      </c>
      <c r="D3873" s="26">
        <v>0.23430000000000001</v>
      </c>
      <c r="E3873" s="26">
        <v>0.2397</v>
      </c>
      <c r="F3873" s="26">
        <v>0.19450000000000001</v>
      </c>
      <c r="G3873" s="26">
        <v>4.4000000000000003E-3</v>
      </c>
      <c r="H3873">
        <v>149</v>
      </c>
    </row>
    <row r="3874" spans="1:8" x14ac:dyDescent="0.35">
      <c r="A3874" t="s">
        <v>228</v>
      </c>
      <c r="B3874" t="s">
        <v>262</v>
      </c>
      <c r="C3874" s="26">
        <v>0.32300000000000001</v>
      </c>
      <c r="D3874" s="26">
        <v>0.25929999999999997</v>
      </c>
      <c r="E3874" s="26">
        <v>0.2127</v>
      </c>
      <c r="F3874" s="26">
        <v>0.20499999999999999</v>
      </c>
      <c r="H3874">
        <v>147</v>
      </c>
    </row>
    <row r="3875" spans="1:8" x14ac:dyDescent="0.35">
      <c r="A3875" t="s">
        <v>228</v>
      </c>
      <c r="B3875" t="s">
        <v>260</v>
      </c>
      <c r="C3875" s="26">
        <v>0.35610000000000003</v>
      </c>
      <c r="D3875" s="26">
        <v>0.2702</v>
      </c>
      <c r="E3875" s="26">
        <v>0.20080000000000001</v>
      </c>
      <c r="F3875" s="26">
        <v>0.1552</v>
      </c>
      <c r="G3875" s="26">
        <v>1.7600000000000001E-2</v>
      </c>
      <c r="H3875">
        <v>369</v>
      </c>
    </row>
    <row r="3876" spans="1:8" x14ac:dyDescent="0.35">
      <c r="A3876" s="27" t="s">
        <v>228</v>
      </c>
      <c r="B3876" s="27" t="s">
        <v>263</v>
      </c>
      <c r="C3876" s="28">
        <v>0.31009999999999999</v>
      </c>
      <c r="D3876" s="28">
        <v>0.35809999999999997</v>
      </c>
      <c r="E3876" s="28">
        <v>0.21970000000000001</v>
      </c>
      <c r="F3876" s="28">
        <v>9.5299999999999996E-2</v>
      </c>
      <c r="G3876" s="28">
        <v>1.67E-2</v>
      </c>
      <c r="H3876" s="29" t="s">
        <v>349</v>
      </c>
    </row>
    <row r="3877" spans="1:8" x14ac:dyDescent="0.35">
      <c r="A3877" s="27" t="s">
        <v>229</v>
      </c>
      <c r="B3877" s="27" t="s">
        <v>263</v>
      </c>
      <c r="C3877" s="28">
        <v>0.1489</v>
      </c>
      <c r="D3877" s="28">
        <v>0.55400000000000005</v>
      </c>
      <c r="E3877" s="28">
        <v>0.25750000000000001</v>
      </c>
      <c r="F3877" s="28">
        <v>3.9699999999999999E-2</v>
      </c>
      <c r="G3877" s="29"/>
      <c r="H3877" s="29" t="s">
        <v>334</v>
      </c>
    </row>
    <row r="3878" spans="1:8" x14ac:dyDescent="0.35">
      <c r="A3878" t="s">
        <v>229</v>
      </c>
      <c r="B3878" t="s">
        <v>262</v>
      </c>
      <c r="C3878" s="26">
        <v>0.26850000000000002</v>
      </c>
      <c r="D3878" s="26">
        <v>0.21809999999999999</v>
      </c>
      <c r="E3878" s="26">
        <v>0.3332</v>
      </c>
      <c r="F3878" s="26">
        <v>0.16120000000000001</v>
      </c>
      <c r="G3878" s="26">
        <v>1.9099999999999999E-2</v>
      </c>
      <c r="H3878">
        <v>131</v>
      </c>
    </row>
    <row r="3879" spans="1:8" x14ac:dyDescent="0.35">
      <c r="A3879" t="s">
        <v>229</v>
      </c>
      <c r="B3879" t="s">
        <v>260</v>
      </c>
      <c r="C3879" s="26">
        <v>0.3301</v>
      </c>
      <c r="D3879" s="26">
        <v>0.1802</v>
      </c>
      <c r="E3879" s="26">
        <v>0.23119999999999999</v>
      </c>
      <c r="F3879" s="26">
        <v>0.2283</v>
      </c>
      <c r="G3879" s="26">
        <v>3.0200000000000001E-2</v>
      </c>
      <c r="H3879">
        <v>321</v>
      </c>
    </row>
    <row r="3880" spans="1:8" x14ac:dyDescent="0.35">
      <c r="A3880" t="s">
        <v>229</v>
      </c>
      <c r="B3880" t="s">
        <v>261</v>
      </c>
      <c r="C3880" s="26">
        <v>0.19919999999999999</v>
      </c>
      <c r="D3880" s="26">
        <v>0.3841</v>
      </c>
      <c r="E3880" s="26">
        <v>0.1208</v>
      </c>
      <c r="F3880" s="26">
        <v>0.27089999999999997</v>
      </c>
      <c r="G3880" s="26">
        <v>2.5000000000000001E-2</v>
      </c>
      <c r="H3880">
        <v>73</v>
      </c>
    </row>
    <row r="3881" spans="1:8" x14ac:dyDescent="0.35">
      <c r="A3881" s="27" t="s">
        <v>230</v>
      </c>
      <c r="B3881" s="27" t="s">
        <v>263</v>
      </c>
      <c r="C3881" s="28">
        <v>0.14879999999999999</v>
      </c>
      <c r="D3881" s="28">
        <v>0.54779999999999995</v>
      </c>
      <c r="E3881" s="28">
        <v>0.24929999999999999</v>
      </c>
      <c r="F3881" s="28">
        <v>5.4100000000000002E-2</v>
      </c>
      <c r="G3881" s="29"/>
      <c r="H3881" s="29" t="s">
        <v>328</v>
      </c>
    </row>
    <row r="3882" spans="1:8" x14ac:dyDescent="0.35">
      <c r="A3882" t="s">
        <v>230</v>
      </c>
      <c r="B3882" t="s">
        <v>262</v>
      </c>
      <c r="C3882" s="26">
        <v>0.32029999999999997</v>
      </c>
      <c r="D3882" s="26">
        <v>0.33379999999999999</v>
      </c>
      <c r="E3882" s="26">
        <v>0.307</v>
      </c>
      <c r="F3882" s="26">
        <v>3.8899999999999997E-2</v>
      </c>
      <c r="H3882">
        <v>89</v>
      </c>
    </row>
    <row r="3883" spans="1:8" x14ac:dyDescent="0.35">
      <c r="A3883" t="s">
        <v>230</v>
      </c>
      <c r="B3883" t="s">
        <v>261</v>
      </c>
      <c r="C3883" s="26">
        <v>0.34320000000000001</v>
      </c>
      <c r="D3883" s="26">
        <v>0.31440000000000001</v>
      </c>
      <c r="E3883" s="26">
        <v>0.22159999999999999</v>
      </c>
      <c r="F3883" s="26">
        <v>7.4300000000000005E-2</v>
      </c>
      <c r="G3883" s="26">
        <v>4.65E-2</v>
      </c>
      <c r="H3883">
        <v>44</v>
      </c>
    </row>
    <row r="3884" spans="1:8" x14ac:dyDescent="0.35">
      <c r="A3884" t="s">
        <v>230</v>
      </c>
      <c r="B3884" t="s">
        <v>260</v>
      </c>
      <c r="C3884" s="26">
        <v>0.3836</v>
      </c>
      <c r="D3884" s="26">
        <v>0.28649999999999998</v>
      </c>
      <c r="E3884" s="26">
        <v>0.1837</v>
      </c>
      <c r="F3884" s="26">
        <v>0.14319999999999999</v>
      </c>
      <c r="G3884" s="26">
        <v>3.0000000000000001E-3</v>
      </c>
      <c r="H3884">
        <v>203</v>
      </c>
    </row>
    <row r="3885" spans="1:8" x14ac:dyDescent="0.35">
      <c r="A3885" s="27" t="s">
        <v>230</v>
      </c>
      <c r="B3885" s="27" t="s">
        <v>236</v>
      </c>
      <c r="C3885" s="28">
        <v>4.1700000000000001E-2</v>
      </c>
      <c r="D3885" s="28">
        <v>0.95830000000000004</v>
      </c>
      <c r="E3885" s="29"/>
      <c r="F3885" s="29"/>
      <c r="G3885" s="29"/>
      <c r="H3885" s="29" t="s">
        <v>315</v>
      </c>
    </row>
    <row r="3886" spans="1:8" x14ac:dyDescent="0.35">
      <c r="A3886" t="s">
        <v>231</v>
      </c>
      <c r="B3886" t="s">
        <v>260</v>
      </c>
      <c r="C3886" s="26">
        <v>0.42109999999999997</v>
      </c>
      <c r="D3886" s="26">
        <v>0.1711</v>
      </c>
      <c r="E3886" s="26">
        <v>0.22370000000000001</v>
      </c>
      <c r="F3886" s="26">
        <v>0.1711</v>
      </c>
      <c r="G3886" s="26">
        <v>1.32E-2</v>
      </c>
      <c r="H3886">
        <v>76</v>
      </c>
    </row>
    <row r="3887" spans="1:8" x14ac:dyDescent="0.35">
      <c r="A3887" s="27" t="s">
        <v>231</v>
      </c>
      <c r="B3887" s="27" t="s">
        <v>261</v>
      </c>
      <c r="C3887" s="28">
        <v>0.27779999999999999</v>
      </c>
      <c r="D3887" s="28">
        <v>0.22220000000000001</v>
      </c>
      <c r="E3887" s="28">
        <v>0.22220000000000001</v>
      </c>
      <c r="F3887" s="28">
        <v>0.22220000000000001</v>
      </c>
      <c r="G3887" s="28">
        <v>5.5599999999999997E-2</v>
      </c>
      <c r="H3887" s="29" t="s">
        <v>353</v>
      </c>
    </row>
    <row r="3888" spans="1:8" x14ac:dyDescent="0.35">
      <c r="A3888" s="27" t="s">
        <v>231</v>
      </c>
      <c r="B3888" s="27" t="s">
        <v>263</v>
      </c>
      <c r="C3888" s="29"/>
      <c r="D3888" s="28">
        <v>1</v>
      </c>
      <c r="E3888" s="29"/>
      <c r="F3888" s="29"/>
      <c r="G3888" s="29"/>
      <c r="H3888" s="29" t="s">
        <v>314</v>
      </c>
    </row>
    <row r="3889" spans="1:8" x14ac:dyDescent="0.35">
      <c r="A3889" s="27" t="s">
        <v>231</v>
      </c>
      <c r="B3889" s="27" t="s">
        <v>262</v>
      </c>
      <c r="C3889" s="28">
        <v>0.33329999999999999</v>
      </c>
      <c r="D3889" s="28">
        <v>0.16669999999999999</v>
      </c>
      <c r="E3889" s="28">
        <v>0.5</v>
      </c>
      <c r="F3889" s="29"/>
      <c r="G3889" s="29"/>
      <c r="H3889" s="29" t="s">
        <v>335</v>
      </c>
    </row>
    <row r="3890" spans="1:8" x14ac:dyDescent="0.35">
      <c r="A3890" t="s">
        <v>232</v>
      </c>
      <c r="B3890" t="s">
        <v>232</v>
      </c>
      <c r="C3890" s="26">
        <v>0.33129999999999998</v>
      </c>
      <c r="D3890" s="26">
        <v>0.2382</v>
      </c>
      <c r="E3890" s="26">
        <v>0.2298</v>
      </c>
      <c r="F3890" s="26">
        <v>0.18329999999999999</v>
      </c>
      <c r="G3890" s="26">
        <v>1.7399999999999999E-2</v>
      </c>
      <c r="H3890">
        <v>1777</v>
      </c>
    </row>
    <row r="3892" spans="1:8" x14ac:dyDescent="0.35">
      <c r="A3892" s="1" t="s">
        <v>644</v>
      </c>
    </row>
    <row r="3893" spans="1:8" x14ac:dyDescent="0.35">
      <c r="A3893" t="s">
        <v>219</v>
      </c>
      <c r="B3893" t="s">
        <v>305</v>
      </c>
      <c r="C3893" t="s">
        <v>632</v>
      </c>
      <c r="D3893" t="s">
        <v>633</v>
      </c>
      <c r="E3893" t="s">
        <v>634</v>
      </c>
      <c r="F3893" t="s">
        <v>635</v>
      </c>
      <c r="G3893" t="s">
        <v>281</v>
      </c>
      <c r="H3893" t="s">
        <v>226</v>
      </c>
    </row>
    <row r="3894" spans="1:8" x14ac:dyDescent="0.35">
      <c r="A3894" s="27" t="s">
        <v>227</v>
      </c>
      <c r="B3894" s="27" t="s">
        <v>368</v>
      </c>
      <c r="C3894" s="28">
        <v>0.32</v>
      </c>
      <c r="D3894" s="28">
        <v>0.28000000000000003</v>
      </c>
      <c r="E3894" s="28">
        <v>0.12</v>
      </c>
      <c r="F3894" s="28">
        <v>0.24</v>
      </c>
      <c r="G3894" s="28">
        <v>0.04</v>
      </c>
      <c r="H3894" s="29" t="s">
        <v>312</v>
      </c>
    </row>
    <row r="3895" spans="1:8" x14ac:dyDescent="0.35">
      <c r="A3895" t="s">
        <v>227</v>
      </c>
      <c r="B3895" t="s">
        <v>369</v>
      </c>
      <c r="C3895" s="26">
        <v>0.28789999999999999</v>
      </c>
      <c r="D3895" s="26">
        <v>0.21210000000000001</v>
      </c>
      <c r="E3895" s="26">
        <v>0.2727</v>
      </c>
      <c r="F3895" s="26">
        <v>0.2273</v>
      </c>
      <c r="H3895">
        <v>66</v>
      </c>
    </row>
    <row r="3896" spans="1:8" x14ac:dyDescent="0.35">
      <c r="A3896" t="s">
        <v>228</v>
      </c>
      <c r="B3896" t="s">
        <v>368</v>
      </c>
      <c r="C3896" s="26">
        <v>0.3271</v>
      </c>
      <c r="D3896" s="26">
        <v>0.23430000000000001</v>
      </c>
      <c r="E3896" s="26">
        <v>0.2397</v>
      </c>
      <c r="F3896" s="26">
        <v>0.19450000000000001</v>
      </c>
      <c r="G3896" s="26">
        <v>4.4000000000000003E-3</v>
      </c>
      <c r="H3896">
        <v>149</v>
      </c>
    </row>
    <row r="3897" spans="1:8" x14ac:dyDescent="0.35">
      <c r="A3897" t="s">
        <v>228</v>
      </c>
      <c r="B3897" t="s">
        <v>369</v>
      </c>
      <c r="C3897" s="26">
        <v>0.35120000000000001</v>
      </c>
      <c r="D3897" s="26">
        <v>0.26950000000000002</v>
      </c>
      <c r="E3897" s="26">
        <v>0.20200000000000001</v>
      </c>
      <c r="F3897" s="26">
        <v>0.16420000000000001</v>
      </c>
      <c r="G3897" s="26">
        <v>1.3100000000000001E-2</v>
      </c>
      <c r="H3897">
        <v>539</v>
      </c>
    </row>
    <row r="3898" spans="1:8" x14ac:dyDescent="0.35">
      <c r="A3898" t="s">
        <v>229</v>
      </c>
      <c r="B3898" t="s">
        <v>368</v>
      </c>
      <c r="C3898" s="26">
        <v>0.19919999999999999</v>
      </c>
      <c r="D3898" s="26">
        <v>0.3841</v>
      </c>
      <c r="E3898" s="26">
        <v>0.1208</v>
      </c>
      <c r="F3898" s="26">
        <v>0.27089999999999997</v>
      </c>
      <c r="G3898" s="26">
        <v>2.5000000000000001E-2</v>
      </c>
      <c r="H3898">
        <v>73</v>
      </c>
    </row>
    <row r="3899" spans="1:8" x14ac:dyDescent="0.35">
      <c r="A3899" t="s">
        <v>229</v>
      </c>
      <c r="B3899" t="s">
        <v>369</v>
      </c>
      <c r="C3899" s="26">
        <v>0.30099999999999999</v>
      </c>
      <c r="D3899" s="26">
        <v>0.2064</v>
      </c>
      <c r="E3899" s="26">
        <v>0.2707</v>
      </c>
      <c r="F3899" s="26">
        <v>0.19689999999999999</v>
      </c>
      <c r="G3899" s="26">
        <v>2.5000000000000001E-2</v>
      </c>
      <c r="H3899">
        <v>461</v>
      </c>
    </row>
    <row r="3900" spans="1:8" x14ac:dyDescent="0.35">
      <c r="A3900" t="s">
        <v>230</v>
      </c>
      <c r="B3900" t="s">
        <v>368</v>
      </c>
      <c r="C3900" s="26">
        <v>0.34320000000000001</v>
      </c>
      <c r="D3900" s="26">
        <v>0.31440000000000001</v>
      </c>
      <c r="E3900" s="26">
        <v>0.22159999999999999</v>
      </c>
      <c r="F3900" s="26">
        <v>7.4300000000000005E-2</v>
      </c>
      <c r="G3900" s="26">
        <v>4.65E-2</v>
      </c>
      <c r="H3900">
        <v>44</v>
      </c>
    </row>
    <row r="3901" spans="1:8" x14ac:dyDescent="0.35">
      <c r="A3901" t="s">
        <v>230</v>
      </c>
      <c r="B3901" t="s">
        <v>369</v>
      </c>
      <c r="C3901" s="26">
        <v>0.3584</v>
      </c>
      <c r="D3901" s="26">
        <v>0.313</v>
      </c>
      <c r="E3901" s="26">
        <v>0.21129999999999999</v>
      </c>
      <c r="F3901" s="26">
        <v>0.1152</v>
      </c>
      <c r="G3901" s="26">
        <v>2.2000000000000001E-3</v>
      </c>
      <c r="H3901">
        <v>318</v>
      </c>
    </row>
    <row r="3902" spans="1:8" x14ac:dyDescent="0.35">
      <c r="A3902" s="27" t="s">
        <v>231</v>
      </c>
      <c r="B3902" s="27" t="s">
        <v>368</v>
      </c>
      <c r="C3902" s="28">
        <v>0.27779999999999999</v>
      </c>
      <c r="D3902" s="28">
        <v>0.22220000000000001</v>
      </c>
      <c r="E3902" s="28">
        <v>0.22220000000000001</v>
      </c>
      <c r="F3902" s="28">
        <v>0.22220000000000001</v>
      </c>
      <c r="G3902" s="28">
        <v>5.5599999999999997E-2</v>
      </c>
      <c r="H3902" s="29" t="s">
        <v>353</v>
      </c>
    </row>
    <row r="3903" spans="1:8" x14ac:dyDescent="0.35">
      <c r="A3903" t="s">
        <v>231</v>
      </c>
      <c r="B3903" t="s">
        <v>369</v>
      </c>
      <c r="C3903" s="26">
        <v>0.40479999999999999</v>
      </c>
      <c r="D3903" s="26">
        <v>0.1905</v>
      </c>
      <c r="E3903" s="26">
        <v>0.23810000000000001</v>
      </c>
      <c r="F3903" s="26">
        <v>0.15479999999999999</v>
      </c>
      <c r="G3903" s="26">
        <v>1.1900000000000001E-2</v>
      </c>
      <c r="H3903">
        <v>84</v>
      </c>
    </row>
    <row r="3904" spans="1:8" x14ac:dyDescent="0.35">
      <c r="A3904" t="s">
        <v>232</v>
      </c>
      <c r="B3904" t="s">
        <v>232</v>
      </c>
      <c r="C3904" s="26">
        <v>0.33129999999999998</v>
      </c>
      <c r="D3904" s="26">
        <v>0.2382</v>
      </c>
      <c r="E3904" s="26">
        <v>0.2298</v>
      </c>
      <c r="F3904" s="26">
        <v>0.18329999999999999</v>
      </c>
      <c r="G3904" s="26">
        <v>1.7399999999999999E-2</v>
      </c>
      <c r="H3904">
        <v>1777</v>
      </c>
    </row>
    <row r="3906" spans="1:8" x14ac:dyDescent="0.35">
      <c r="A3906" s="1" t="s">
        <v>645</v>
      </c>
    </row>
    <row r="3907" spans="1:8" x14ac:dyDescent="0.35">
      <c r="A3907" t="s">
        <v>219</v>
      </c>
      <c r="B3907" t="s">
        <v>305</v>
      </c>
      <c r="C3907" t="s">
        <v>632</v>
      </c>
      <c r="D3907" t="s">
        <v>633</v>
      </c>
      <c r="E3907" t="s">
        <v>634</v>
      </c>
      <c r="F3907" t="s">
        <v>635</v>
      </c>
      <c r="G3907" t="s">
        <v>281</v>
      </c>
      <c r="H3907" t="s">
        <v>226</v>
      </c>
    </row>
    <row r="3908" spans="1:8" x14ac:dyDescent="0.35">
      <c r="A3908" t="s">
        <v>227</v>
      </c>
      <c r="B3908" t="s">
        <v>371</v>
      </c>
      <c r="C3908" s="26">
        <v>0.29670000000000002</v>
      </c>
      <c r="D3908" s="26">
        <v>0.23080000000000001</v>
      </c>
      <c r="E3908" s="26">
        <v>0.23080000000000001</v>
      </c>
      <c r="F3908" s="26">
        <v>0.23080000000000001</v>
      </c>
      <c r="G3908" s="26">
        <v>1.0999999999999999E-2</v>
      </c>
      <c r="H3908">
        <v>91</v>
      </c>
    </row>
    <row r="3909" spans="1:8" x14ac:dyDescent="0.35">
      <c r="A3909" t="s">
        <v>228</v>
      </c>
      <c r="B3909" t="s">
        <v>371</v>
      </c>
      <c r="C3909" s="26">
        <v>0.38869999999999999</v>
      </c>
      <c r="D3909" s="26">
        <v>0.2263</v>
      </c>
      <c r="E3909" s="26">
        <v>0.18140000000000001</v>
      </c>
      <c r="F3909" s="26">
        <v>0.19109999999999999</v>
      </c>
      <c r="G3909" s="26">
        <v>1.2500000000000001E-2</v>
      </c>
      <c r="H3909">
        <v>175</v>
      </c>
    </row>
    <row r="3910" spans="1:8" x14ac:dyDescent="0.35">
      <c r="A3910" t="s">
        <v>228</v>
      </c>
      <c r="B3910" t="s">
        <v>372</v>
      </c>
      <c r="C3910" s="26">
        <v>0.1842</v>
      </c>
      <c r="D3910" s="26">
        <v>0.2707</v>
      </c>
      <c r="E3910" s="26">
        <v>0.33019999999999999</v>
      </c>
      <c r="F3910" s="26">
        <v>0.2026</v>
      </c>
      <c r="G3910" s="26">
        <v>1.23E-2</v>
      </c>
      <c r="H3910">
        <v>156</v>
      </c>
    </row>
    <row r="3911" spans="1:8" x14ac:dyDescent="0.35">
      <c r="A3911" t="s">
        <v>228</v>
      </c>
      <c r="B3911" t="s">
        <v>373</v>
      </c>
      <c r="C3911" s="26">
        <v>0.32979999999999998</v>
      </c>
      <c r="D3911" s="26">
        <v>0.30449999999999999</v>
      </c>
      <c r="E3911" s="26">
        <v>0.21840000000000001</v>
      </c>
      <c r="F3911" s="26">
        <v>0.13780000000000001</v>
      </c>
      <c r="G3911" s="26">
        <v>9.4999999999999998E-3</v>
      </c>
      <c r="H3911">
        <v>357</v>
      </c>
    </row>
    <row r="3912" spans="1:8" x14ac:dyDescent="0.35">
      <c r="A3912" t="s">
        <v>229</v>
      </c>
      <c r="B3912" t="s">
        <v>371</v>
      </c>
      <c r="C3912" s="26">
        <v>0.27989999999999998</v>
      </c>
      <c r="D3912" s="26">
        <v>0.23760000000000001</v>
      </c>
      <c r="E3912" s="26">
        <v>0.24399999999999999</v>
      </c>
      <c r="F3912" s="26">
        <v>0.21379999999999999</v>
      </c>
      <c r="G3912" s="26">
        <v>2.47E-2</v>
      </c>
      <c r="H3912">
        <v>342</v>
      </c>
    </row>
    <row r="3913" spans="1:8" x14ac:dyDescent="0.35">
      <c r="A3913" t="s">
        <v>229</v>
      </c>
      <c r="B3913" t="s">
        <v>372</v>
      </c>
      <c r="C3913" s="26">
        <v>0.30590000000000001</v>
      </c>
      <c r="D3913" s="26">
        <v>0.24349999999999999</v>
      </c>
      <c r="E3913" s="26">
        <v>0.27360000000000001</v>
      </c>
      <c r="F3913" s="26">
        <v>0.17419999999999999</v>
      </c>
      <c r="G3913" s="26">
        <v>2.8999999999999998E-3</v>
      </c>
      <c r="H3913">
        <v>143</v>
      </c>
    </row>
    <row r="3914" spans="1:8" x14ac:dyDescent="0.35">
      <c r="A3914" t="s">
        <v>229</v>
      </c>
      <c r="B3914" t="s">
        <v>373</v>
      </c>
      <c r="C3914" s="26">
        <v>0.32040000000000002</v>
      </c>
      <c r="D3914" s="26">
        <v>0.29759999999999998</v>
      </c>
      <c r="E3914" s="26">
        <v>0.13189999999999999</v>
      </c>
      <c r="F3914" s="26">
        <v>0.15920000000000001</v>
      </c>
      <c r="G3914" s="26">
        <v>9.0899999999999995E-2</v>
      </c>
      <c r="H3914">
        <v>49</v>
      </c>
    </row>
    <row r="3915" spans="1:8" x14ac:dyDescent="0.35">
      <c r="A3915" t="s">
        <v>230</v>
      </c>
      <c r="B3915" t="s">
        <v>371</v>
      </c>
      <c r="C3915" s="26">
        <v>0.35639999999999999</v>
      </c>
      <c r="D3915" s="26">
        <v>0.31929999999999997</v>
      </c>
      <c r="E3915" s="26">
        <v>0.20880000000000001</v>
      </c>
      <c r="F3915" s="26">
        <v>0.1053</v>
      </c>
      <c r="G3915" s="26">
        <v>1.0200000000000001E-2</v>
      </c>
      <c r="H3915">
        <v>164</v>
      </c>
    </row>
    <row r="3916" spans="1:8" x14ac:dyDescent="0.35">
      <c r="A3916" t="s">
        <v>230</v>
      </c>
      <c r="B3916" t="s">
        <v>372</v>
      </c>
      <c r="C3916" s="26">
        <v>0.31390000000000001</v>
      </c>
      <c r="D3916" s="26">
        <v>0.2555</v>
      </c>
      <c r="E3916" s="26">
        <v>0.2697</v>
      </c>
      <c r="F3916" s="26">
        <v>0.15459999999999999</v>
      </c>
      <c r="G3916" s="26">
        <v>6.3E-3</v>
      </c>
      <c r="H3916">
        <v>109</v>
      </c>
    </row>
    <row r="3917" spans="1:8" x14ac:dyDescent="0.35">
      <c r="A3917" t="s">
        <v>230</v>
      </c>
      <c r="B3917" t="s">
        <v>373</v>
      </c>
      <c r="C3917" s="26">
        <v>0.37430000000000002</v>
      </c>
      <c r="D3917" s="26">
        <v>0.30330000000000001</v>
      </c>
      <c r="E3917" s="26">
        <v>0.2109</v>
      </c>
      <c r="F3917" s="26">
        <v>9.9500000000000005E-2</v>
      </c>
      <c r="G3917" s="26">
        <v>1.2E-2</v>
      </c>
      <c r="H3917">
        <v>89</v>
      </c>
    </row>
    <row r="3918" spans="1:8" x14ac:dyDescent="0.35">
      <c r="A3918" t="s">
        <v>231</v>
      </c>
      <c r="B3918" t="s">
        <v>371</v>
      </c>
      <c r="C3918" s="26">
        <v>0.38240000000000002</v>
      </c>
      <c r="D3918" s="26">
        <v>0.1961</v>
      </c>
      <c r="E3918" s="26">
        <v>0.23530000000000001</v>
      </c>
      <c r="F3918" s="26">
        <v>0.16669999999999999</v>
      </c>
      <c r="G3918" s="26">
        <v>1.9599999999999999E-2</v>
      </c>
      <c r="H3918">
        <v>102</v>
      </c>
    </row>
    <row r="3919" spans="1:8" x14ac:dyDescent="0.35">
      <c r="A3919" t="s">
        <v>232</v>
      </c>
      <c r="B3919" t="s">
        <v>232</v>
      </c>
      <c r="C3919" s="26">
        <v>0.33129999999999998</v>
      </c>
      <c r="D3919" s="26">
        <v>0.2382</v>
      </c>
      <c r="E3919" s="26">
        <v>0.2298</v>
      </c>
      <c r="F3919" s="26">
        <v>0.18329999999999999</v>
      </c>
      <c r="G3919" s="26">
        <v>1.7399999999999999E-2</v>
      </c>
      <c r="H3919">
        <v>1777</v>
      </c>
    </row>
    <row r="3921" spans="1:8" x14ac:dyDescent="0.35">
      <c r="A3921" s="1" t="s">
        <v>646</v>
      </c>
    </row>
    <row r="3922" spans="1:8" x14ac:dyDescent="0.35">
      <c r="A3922" t="s">
        <v>219</v>
      </c>
      <c r="B3922" t="s">
        <v>305</v>
      </c>
      <c r="C3922" t="s">
        <v>632</v>
      </c>
      <c r="D3922" t="s">
        <v>633</v>
      </c>
      <c r="E3922" t="s">
        <v>634</v>
      </c>
      <c r="F3922" t="s">
        <v>635</v>
      </c>
      <c r="G3922" t="s">
        <v>281</v>
      </c>
      <c r="H3922" t="s">
        <v>226</v>
      </c>
    </row>
    <row r="3923" spans="1:8" x14ac:dyDescent="0.35">
      <c r="A3923" t="s">
        <v>227</v>
      </c>
      <c r="B3923" t="s">
        <v>255</v>
      </c>
      <c r="C3923" s="26">
        <v>0.25369999999999998</v>
      </c>
      <c r="D3923" s="26">
        <v>0.23880000000000001</v>
      </c>
      <c r="E3923" s="26">
        <v>0.26869999999999999</v>
      </c>
      <c r="F3923" s="26">
        <v>0.23880000000000001</v>
      </c>
      <c r="H3923">
        <v>67</v>
      </c>
    </row>
    <row r="3924" spans="1:8" x14ac:dyDescent="0.35">
      <c r="A3924" s="27" t="s">
        <v>227</v>
      </c>
      <c r="B3924" s="27" t="s">
        <v>256</v>
      </c>
      <c r="C3924" s="28">
        <v>0.38100000000000001</v>
      </c>
      <c r="D3924" s="28">
        <v>0.23810000000000001</v>
      </c>
      <c r="E3924" s="28">
        <v>0.1429</v>
      </c>
      <c r="F3924" s="28">
        <v>0.1905</v>
      </c>
      <c r="G3924" s="28">
        <v>4.7600000000000003E-2</v>
      </c>
      <c r="H3924" s="29" t="s">
        <v>351</v>
      </c>
    </row>
    <row r="3925" spans="1:8" x14ac:dyDescent="0.35">
      <c r="A3925" s="27" t="s">
        <v>227</v>
      </c>
      <c r="B3925" s="27" t="s">
        <v>257</v>
      </c>
      <c r="C3925" s="28">
        <v>0.66669999999999996</v>
      </c>
      <c r="D3925" s="29"/>
      <c r="E3925" s="29"/>
      <c r="F3925" s="28">
        <v>0.33329999999999999</v>
      </c>
      <c r="G3925" s="29"/>
      <c r="H3925" s="29" t="s">
        <v>315</v>
      </c>
    </row>
    <row r="3926" spans="1:8" x14ac:dyDescent="0.35">
      <c r="A3926" s="27" t="s">
        <v>228</v>
      </c>
      <c r="B3926" s="27" t="s">
        <v>257</v>
      </c>
      <c r="C3926" s="28">
        <v>0.16539999999999999</v>
      </c>
      <c r="D3926" s="28">
        <v>0.61709999999999998</v>
      </c>
      <c r="E3926" s="28">
        <v>0.19359999999999999</v>
      </c>
      <c r="F3926" s="28">
        <v>1.5100000000000001E-2</v>
      </c>
      <c r="G3926" s="28">
        <v>8.8999999999999999E-3</v>
      </c>
      <c r="H3926" s="29" t="s">
        <v>336</v>
      </c>
    </row>
    <row r="3927" spans="1:8" x14ac:dyDescent="0.35">
      <c r="A3927" t="s">
        <v>228</v>
      </c>
      <c r="B3927" t="s">
        <v>255</v>
      </c>
      <c r="C3927" s="26">
        <v>0.32100000000000001</v>
      </c>
      <c r="D3927" s="26">
        <v>0.26829999999999998</v>
      </c>
      <c r="E3927" s="26">
        <v>0.22120000000000001</v>
      </c>
      <c r="F3927" s="26">
        <v>0.17519999999999999</v>
      </c>
      <c r="G3927" s="26">
        <v>1.43E-2</v>
      </c>
      <c r="H3927">
        <v>523</v>
      </c>
    </row>
    <row r="3928" spans="1:8" x14ac:dyDescent="0.35">
      <c r="A3928" t="s">
        <v>228</v>
      </c>
      <c r="B3928" t="s">
        <v>256</v>
      </c>
      <c r="C3928" s="26">
        <v>0.45</v>
      </c>
      <c r="D3928" s="26">
        <v>0.18509999999999999</v>
      </c>
      <c r="E3928" s="26">
        <v>0.17419999999999999</v>
      </c>
      <c r="F3928" s="26">
        <v>0.18820000000000001</v>
      </c>
      <c r="G3928" s="26">
        <v>2.5000000000000001E-3</v>
      </c>
      <c r="H3928">
        <v>133</v>
      </c>
    </row>
    <row r="3929" spans="1:8" x14ac:dyDescent="0.35">
      <c r="A3929" s="27" t="s">
        <v>228</v>
      </c>
      <c r="B3929" s="27" t="s">
        <v>258</v>
      </c>
      <c r="C3929" s="28">
        <v>0.59470000000000001</v>
      </c>
      <c r="D3929" s="29"/>
      <c r="E3929" s="28">
        <v>0.30730000000000002</v>
      </c>
      <c r="F3929" s="28">
        <v>9.8100000000000007E-2</v>
      </c>
      <c r="G3929" s="29"/>
      <c r="H3929" s="29" t="s">
        <v>337</v>
      </c>
    </row>
    <row r="3930" spans="1:8" x14ac:dyDescent="0.35">
      <c r="A3930" s="27" t="s">
        <v>229</v>
      </c>
      <c r="B3930" s="27" t="s">
        <v>258</v>
      </c>
      <c r="C3930" s="29"/>
      <c r="D3930" s="29"/>
      <c r="E3930" s="28">
        <v>0.22409999999999999</v>
      </c>
      <c r="F3930" s="29"/>
      <c r="G3930" s="28">
        <v>0.77590000000000003</v>
      </c>
      <c r="H3930" s="29" t="s">
        <v>314</v>
      </c>
    </row>
    <row r="3931" spans="1:8" x14ac:dyDescent="0.35">
      <c r="A3931" s="27" t="s">
        <v>229</v>
      </c>
      <c r="B3931" s="27" t="s">
        <v>257</v>
      </c>
      <c r="C3931" s="28">
        <v>0.14360000000000001</v>
      </c>
      <c r="D3931" s="28">
        <v>0.1447</v>
      </c>
      <c r="E3931" s="28">
        <v>0.44</v>
      </c>
      <c r="F3931" s="28">
        <v>0.2717</v>
      </c>
      <c r="G3931" s="29"/>
      <c r="H3931" s="29" t="s">
        <v>312</v>
      </c>
    </row>
    <row r="3932" spans="1:8" x14ac:dyDescent="0.35">
      <c r="A3932" t="s">
        <v>229</v>
      </c>
      <c r="B3932" t="s">
        <v>256</v>
      </c>
      <c r="C3932" s="26">
        <v>0.2596</v>
      </c>
      <c r="D3932" s="26">
        <v>0.30330000000000001</v>
      </c>
      <c r="E3932" s="26">
        <v>0.17910000000000001</v>
      </c>
      <c r="F3932" s="26">
        <v>0.2374</v>
      </c>
      <c r="G3932" s="26">
        <v>2.06E-2</v>
      </c>
      <c r="H3932">
        <v>125</v>
      </c>
    </row>
    <row r="3933" spans="1:8" x14ac:dyDescent="0.35">
      <c r="A3933" t="s">
        <v>229</v>
      </c>
      <c r="B3933" t="s">
        <v>255</v>
      </c>
      <c r="C3933" s="26">
        <v>0.2989</v>
      </c>
      <c r="D3933" s="26">
        <v>0.22090000000000001</v>
      </c>
      <c r="E3933" s="26">
        <v>0.25559999999999999</v>
      </c>
      <c r="F3933" s="26">
        <v>0.19719999999999999</v>
      </c>
      <c r="G3933" s="26">
        <v>2.7400000000000001E-2</v>
      </c>
      <c r="H3933">
        <v>382</v>
      </c>
    </row>
    <row r="3934" spans="1:8" x14ac:dyDescent="0.35">
      <c r="A3934" s="27" t="s">
        <v>230</v>
      </c>
      <c r="B3934" s="27" t="s">
        <v>257</v>
      </c>
      <c r="C3934" s="28">
        <v>8.8999999999999996E-2</v>
      </c>
      <c r="D3934" s="28">
        <v>0.41870000000000002</v>
      </c>
      <c r="E3934" s="28">
        <v>0.33700000000000002</v>
      </c>
      <c r="F3934" s="28">
        <v>0.15529999999999999</v>
      </c>
      <c r="G3934" s="29"/>
      <c r="H3934" s="29" t="s">
        <v>312</v>
      </c>
    </row>
    <row r="3935" spans="1:8" x14ac:dyDescent="0.35">
      <c r="A3935" t="s">
        <v>230</v>
      </c>
      <c r="B3935" t="s">
        <v>255</v>
      </c>
      <c r="C3935" s="26">
        <v>0.37990000000000002</v>
      </c>
      <c r="D3935" s="26">
        <v>0.32490000000000002</v>
      </c>
      <c r="E3935" s="26">
        <v>0.191</v>
      </c>
      <c r="F3935" s="26">
        <v>0.1013</v>
      </c>
      <c r="G3935" s="26">
        <v>2.8E-3</v>
      </c>
      <c r="H3935">
        <v>251</v>
      </c>
    </row>
    <row r="3936" spans="1:8" x14ac:dyDescent="0.35">
      <c r="A3936" t="s">
        <v>230</v>
      </c>
      <c r="B3936" t="s">
        <v>256</v>
      </c>
      <c r="C3936" s="26">
        <v>0.36799999999999999</v>
      </c>
      <c r="D3936" s="26">
        <v>0.26179999999999998</v>
      </c>
      <c r="E3936" s="26">
        <v>0.23100000000000001</v>
      </c>
      <c r="F3936" s="26">
        <v>0.1106</v>
      </c>
      <c r="G3936" s="26">
        <v>2.8500000000000001E-2</v>
      </c>
      <c r="H3936">
        <v>86</v>
      </c>
    </row>
    <row r="3937" spans="1:10" x14ac:dyDescent="0.35">
      <c r="A3937" s="27" t="s">
        <v>231</v>
      </c>
      <c r="B3937" s="27" t="s">
        <v>256</v>
      </c>
      <c r="C3937" s="28">
        <v>0.2273</v>
      </c>
      <c r="D3937" s="28">
        <v>0.18179999999999999</v>
      </c>
      <c r="E3937" s="28">
        <v>0.31819999999999998</v>
      </c>
      <c r="F3937" s="28">
        <v>0.2273</v>
      </c>
      <c r="G3937" s="28">
        <v>4.5499999999999999E-2</v>
      </c>
      <c r="H3937" s="29" t="s">
        <v>347</v>
      </c>
    </row>
    <row r="3938" spans="1:10" x14ac:dyDescent="0.35">
      <c r="A3938" t="s">
        <v>231</v>
      </c>
      <c r="B3938" t="s">
        <v>255</v>
      </c>
      <c r="C3938" s="26">
        <v>0.42499999999999999</v>
      </c>
      <c r="D3938" s="26">
        <v>0.2</v>
      </c>
      <c r="E3938" s="26">
        <v>0.21249999999999999</v>
      </c>
      <c r="F3938" s="26">
        <v>0.15</v>
      </c>
      <c r="G3938" s="26">
        <v>1.2500000000000001E-2</v>
      </c>
      <c r="H3938">
        <v>80</v>
      </c>
    </row>
    <row r="3939" spans="1:10" x14ac:dyDescent="0.35">
      <c r="A3939" t="s">
        <v>232</v>
      </c>
      <c r="B3939" t="s">
        <v>232</v>
      </c>
      <c r="C3939" s="26">
        <v>0.33129999999999998</v>
      </c>
      <c r="D3939" s="26">
        <v>0.2382</v>
      </c>
      <c r="E3939" s="26">
        <v>0.2298</v>
      </c>
      <c r="F3939" s="26">
        <v>0.18329999999999999</v>
      </c>
      <c r="G3939" s="26">
        <v>1.7399999999999999E-2</v>
      </c>
      <c r="H3939">
        <v>1777</v>
      </c>
    </row>
    <row r="3941" spans="1:10" x14ac:dyDescent="0.35">
      <c r="A3941" s="1" t="s">
        <v>647</v>
      </c>
    </row>
    <row r="3942" spans="1:10" x14ac:dyDescent="0.35">
      <c r="A3942" t="s">
        <v>219</v>
      </c>
      <c r="B3942" t="s">
        <v>302</v>
      </c>
      <c r="C3942" t="s">
        <v>648</v>
      </c>
      <c r="D3942" t="s">
        <v>649</v>
      </c>
      <c r="E3942" t="s">
        <v>650</v>
      </c>
      <c r="F3942" t="s">
        <v>651</v>
      </c>
      <c r="G3942" t="s">
        <v>652</v>
      </c>
      <c r="H3942" t="s">
        <v>281</v>
      </c>
      <c r="I3942" t="s">
        <v>226</v>
      </c>
    </row>
    <row r="3943" spans="1:10" x14ac:dyDescent="0.35">
      <c r="A3943" t="s">
        <v>227</v>
      </c>
      <c r="B3943" s="26">
        <v>0.81110000000000004</v>
      </c>
      <c r="C3943" s="26">
        <v>3.3300000000000003E-2</v>
      </c>
      <c r="D3943" s="26">
        <v>8.8900000000000007E-2</v>
      </c>
      <c r="E3943" s="26">
        <v>3.3300000000000003E-2</v>
      </c>
      <c r="F3943" s="26">
        <v>3.3300000000000003E-2</v>
      </c>
      <c r="G3943" s="26">
        <v>1.11E-2</v>
      </c>
      <c r="H3943" s="26">
        <v>1.11E-2</v>
      </c>
      <c r="I3943">
        <v>90</v>
      </c>
    </row>
    <row r="3944" spans="1:10" x14ac:dyDescent="0.35">
      <c r="A3944" t="s">
        <v>228</v>
      </c>
      <c r="B3944" s="26">
        <v>0.8024</v>
      </c>
      <c r="C3944" s="26">
        <v>7.9299999999999995E-2</v>
      </c>
      <c r="D3944" s="26">
        <v>6.9099999999999995E-2</v>
      </c>
      <c r="E3944" s="26">
        <v>3.1199999999999999E-2</v>
      </c>
      <c r="F3944" s="26">
        <v>1.9E-2</v>
      </c>
      <c r="G3944" s="26">
        <v>2.0799999999999999E-2</v>
      </c>
      <c r="H3944" s="26">
        <v>4.0000000000000002E-4</v>
      </c>
      <c r="I3944">
        <v>687</v>
      </c>
    </row>
    <row r="3945" spans="1:10" x14ac:dyDescent="0.35">
      <c r="A3945" t="s">
        <v>229</v>
      </c>
      <c r="B3945" s="26">
        <v>0.79110000000000003</v>
      </c>
      <c r="C3945" s="26">
        <v>6.8599999999999994E-2</v>
      </c>
      <c r="D3945" s="26">
        <v>8.4000000000000005E-2</v>
      </c>
      <c r="E3945" s="26">
        <v>4.1399999999999999E-2</v>
      </c>
      <c r="F3945" s="26">
        <v>3.2899999999999999E-2</v>
      </c>
      <c r="G3945" s="26">
        <v>7.0000000000000001E-3</v>
      </c>
      <c r="H3945" s="26">
        <v>4.4000000000000003E-3</v>
      </c>
      <c r="I3945">
        <v>531</v>
      </c>
    </row>
    <row r="3946" spans="1:10" x14ac:dyDescent="0.35">
      <c r="A3946" t="s">
        <v>230</v>
      </c>
      <c r="B3946" s="26">
        <v>0.79830000000000001</v>
      </c>
      <c r="C3946" s="26">
        <v>8.3699999999999997E-2</v>
      </c>
      <c r="D3946" s="26">
        <v>6.4199999999999993E-2</v>
      </c>
      <c r="E3946" s="26">
        <v>4.0099999999999997E-2</v>
      </c>
      <c r="F3946" s="26">
        <v>4.3799999999999999E-2</v>
      </c>
      <c r="G3946" s="26">
        <v>5.7999999999999996E-3</v>
      </c>
      <c r="I3946">
        <v>361</v>
      </c>
    </row>
    <row r="3947" spans="1:10" x14ac:dyDescent="0.35">
      <c r="A3947" t="s">
        <v>231</v>
      </c>
      <c r="B3947" s="26">
        <v>0.73</v>
      </c>
      <c r="C3947" s="26">
        <v>0.13</v>
      </c>
      <c r="D3947" s="26">
        <v>7.0000000000000007E-2</v>
      </c>
      <c r="E3947" s="26">
        <v>0.08</v>
      </c>
      <c r="F3947" s="26">
        <v>0.01</v>
      </c>
      <c r="G3947" s="26">
        <v>0.03</v>
      </c>
      <c r="H3947" s="26">
        <v>0.01</v>
      </c>
      <c r="I3947">
        <v>100</v>
      </c>
    </row>
    <row r="3948" spans="1:10" x14ac:dyDescent="0.35">
      <c r="A3948" t="s">
        <v>232</v>
      </c>
      <c r="B3948" s="26">
        <v>0.78029999999999999</v>
      </c>
      <c r="C3948" s="26">
        <v>8.4000000000000005E-2</v>
      </c>
      <c r="D3948" s="26">
        <v>7.5899999999999995E-2</v>
      </c>
      <c r="E3948" s="26">
        <v>4.8500000000000001E-2</v>
      </c>
      <c r="F3948" s="26">
        <v>2.5100000000000001E-2</v>
      </c>
      <c r="G3948" s="26">
        <v>1.6400000000000001E-2</v>
      </c>
      <c r="H3948" s="26">
        <v>5.5999999999999999E-3</v>
      </c>
      <c r="I3948">
        <v>1769</v>
      </c>
    </row>
    <row r="3950" spans="1:10" x14ac:dyDescent="0.35">
      <c r="A3950" s="1" t="s">
        <v>653</v>
      </c>
    </row>
    <row r="3951" spans="1:10" x14ac:dyDescent="0.35">
      <c r="A3951" t="s">
        <v>219</v>
      </c>
      <c r="B3951" t="s">
        <v>305</v>
      </c>
      <c r="C3951" t="s">
        <v>302</v>
      </c>
      <c r="D3951" t="s">
        <v>648</v>
      </c>
      <c r="E3951" t="s">
        <v>649</v>
      </c>
      <c r="F3951" t="s">
        <v>650</v>
      </c>
      <c r="G3951" t="s">
        <v>651</v>
      </c>
      <c r="H3951" t="s">
        <v>652</v>
      </c>
      <c r="I3951" t="s">
        <v>281</v>
      </c>
      <c r="J3951" t="s">
        <v>226</v>
      </c>
    </row>
    <row r="3952" spans="1:10" x14ac:dyDescent="0.35">
      <c r="A3952" t="s">
        <v>227</v>
      </c>
      <c r="B3952" t="s">
        <v>242</v>
      </c>
      <c r="C3952" s="26">
        <v>0.8367</v>
      </c>
      <c r="E3952" s="26">
        <v>0.10199999999999999</v>
      </c>
      <c r="F3952" s="26">
        <v>4.0800000000000003E-2</v>
      </c>
      <c r="G3952" s="26">
        <v>4.0800000000000003E-2</v>
      </c>
      <c r="H3952" s="26">
        <v>2.0400000000000001E-2</v>
      </c>
      <c r="J3952">
        <v>49</v>
      </c>
    </row>
    <row r="3953" spans="1:10" x14ac:dyDescent="0.35">
      <c r="A3953" t="s">
        <v>227</v>
      </c>
      <c r="B3953" t="s">
        <v>241</v>
      </c>
      <c r="C3953" s="26">
        <v>0.78049999999999997</v>
      </c>
      <c r="D3953" s="26">
        <v>7.3200000000000001E-2</v>
      </c>
      <c r="E3953" s="26">
        <v>7.3200000000000001E-2</v>
      </c>
      <c r="F3953" s="26">
        <v>2.4400000000000002E-2</v>
      </c>
      <c r="G3953" s="26">
        <v>2.4400000000000002E-2</v>
      </c>
      <c r="I3953" s="26">
        <v>2.4400000000000002E-2</v>
      </c>
      <c r="J3953">
        <v>41</v>
      </c>
    </row>
    <row r="3954" spans="1:10" x14ac:dyDescent="0.35">
      <c r="A3954" t="s">
        <v>228</v>
      </c>
      <c r="B3954" t="s">
        <v>242</v>
      </c>
      <c r="C3954" s="26">
        <v>0.83720000000000006</v>
      </c>
      <c r="D3954" s="26">
        <v>6.2199999999999998E-2</v>
      </c>
      <c r="E3954" s="26">
        <v>6.9400000000000003E-2</v>
      </c>
      <c r="F3954" s="26">
        <v>2.4E-2</v>
      </c>
      <c r="G3954" s="26">
        <v>1.52E-2</v>
      </c>
      <c r="H3954" s="26">
        <v>1.2999999999999999E-2</v>
      </c>
      <c r="I3954" s="26">
        <v>8.9999999999999998E-4</v>
      </c>
      <c r="J3954">
        <v>323</v>
      </c>
    </row>
    <row r="3955" spans="1:10" x14ac:dyDescent="0.35">
      <c r="A3955" t="s">
        <v>228</v>
      </c>
      <c r="B3955" t="s">
        <v>241</v>
      </c>
      <c r="C3955" s="26">
        <v>0.77559999999999996</v>
      </c>
      <c r="D3955" s="26">
        <v>9.2399999999999996E-2</v>
      </c>
      <c r="E3955" s="26">
        <v>6.88E-2</v>
      </c>
      <c r="F3955" s="26">
        <v>3.6700000000000003E-2</v>
      </c>
      <c r="G3955" s="26">
        <v>2.1899999999999999E-2</v>
      </c>
      <c r="H3955" s="26">
        <v>2.6800000000000001E-2</v>
      </c>
      <c r="J3955">
        <v>364</v>
      </c>
    </row>
    <row r="3956" spans="1:10" x14ac:dyDescent="0.35">
      <c r="A3956" t="s">
        <v>229</v>
      </c>
      <c r="B3956" t="s">
        <v>242</v>
      </c>
      <c r="C3956" s="26">
        <v>0.75590000000000002</v>
      </c>
      <c r="D3956" s="26">
        <v>6.5500000000000003E-2</v>
      </c>
      <c r="E3956" s="26">
        <v>0.1069</v>
      </c>
      <c r="F3956" s="26">
        <v>3.7199999999999997E-2</v>
      </c>
      <c r="G3956" s="26">
        <v>3.1899999999999998E-2</v>
      </c>
      <c r="H3956" s="26">
        <v>1.15E-2</v>
      </c>
      <c r="I3956" s="26">
        <v>9.4000000000000004E-3</v>
      </c>
      <c r="J3956">
        <v>227</v>
      </c>
    </row>
    <row r="3957" spans="1:10" x14ac:dyDescent="0.35">
      <c r="A3957" t="s">
        <v>229</v>
      </c>
      <c r="B3957" t="s">
        <v>241</v>
      </c>
      <c r="C3957" s="26">
        <v>0.8226</v>
      </c>
      <c r="D3957" s="26">
        <v>7.1300000000000002E-2</v>
      </c>
      <c r="E3957" s="26">
        <v>6.3399999999999998E-2</v>
      </c>
      <c r="F3957" s="26">
        <v>4.5100000000000001E-2</v>
      </c>
      <c r="G3957" s="26">
        <v>3.3799999999999997E-2</v>
      </c>
      <c r="H3957" s="26">
        <v>2.8999999999999998E-3</v>
      </c>
      <c r="J3957">
        <v>304</v>
      </c>
    </row>
    <row r="3958" spans="1:10" x14ac:dyDescent="0.35">
      <c r="A3958" t="s">
        <v>230</v>
      </c>
      <c r="B3958" t="s">
        <v>242</v>
      </c>
      <c r="C3958" s="26">
        <v>0.78280000000000005</v>
      </c>
      <c r="D3958" s="26">
        <v>8.1900000000000001E-2</v>
      </c>
      <c r="E3958" s="26">
        <v>8.2000000000000003E-2</v>
      </c>
      <c r="F3958" s="26">
        <v>5.0099999999999999E-2</v>
      </c>
      <c r="G3958" s="26">
        <v>5.8200000000000002E-2</v>
      </c>
      <c r="H3958" s="26">
        <v>1.29E-2</v>
      </c>
      <c r="J3958">
        <v>146</v>
      </c>
    </row>
    <row r="3959" spans="1:10" x14ac:dyDescent="0.35">
      <c r="A3959" t="s">
        <v>230</v>
      </c>
      <c r="B3959" t="s">
        <v>241</v>
      </c>
      <c r="C3959" s="26">
        <v>0.80810000000000004</v>
      </c>
      <c r="D3959" s="26">
        <v>8.48E-2</v>
      </c>
      <c r="E3959" s="26">
        <v>5.2900000000000003E-2</v>
      </c>
      <c r="F3959" s="26">
        <v>3.3799999999999997E-2</v>
      </c>
      <c r="G3959" s="26">
        <v>3.4599999999999999E-2</v>
      </c>
      <c r="H3959" s="26">
        <v>1.4E-3</v>
      </c>
      <c r="J3959">
        <v>215</v>
      </c>
    </row>
    <row r="3960" spans="1:10" x14ac:dyDescent="0.35">
      <c r="A3960" t="s">
        <v>231</v>
      </c>
      <c r="B3960" t="s">
        <v>242</v>
      </c>
      <c r="C3960" s="26">
        <v>0.6512</v>
      </c>
      <c r="D3960" s="26">
        <v>0.1163</v>
      </c>
      <c r="E3960" s="26">
        <v>0.1628</v>
      </c>
      <c r="F3960" s="26">
        <v>0.1163</v>
      </c>
      <c r="H3960" s="26">
        <v>4.65E-2</v>
      </c>
      <c r="J3960">
        <v>43</v>
      </c>
    </row>
    <row r="3961" spans="1:10" x14ac:dyDescent="0.35">
      <c r="A3961" t="s">
        <v>231</v>
      </c>
      <c r="B3961" t="s">
        <v>241</v>
      </c>
      <c r="C3961" s="26">
        <v>0.78949999999999998</v>
      </c>
      <c r="D3961" s="26">
        <v>0.1404</v>
      </c>
      <c r="F3961" s="26">
        <v>5.2600000000000001E-2</v>
      </c>
      <c r="G3961" s="26">
        <v>1.7500000000000002E-2</v>
      </c>
      <c r="H3961" s="26">
        <v>1.7500000000000002E-2</v>
      </c>
      <c r="I3961" s="26">
        <v>1.7500000000000002E-2</v>
      </c>
      <c r="J3961">
        <v>57</v>
      </c>
    </row>
    <row r="3962" spans="1:10" x14ac:dyDescent="0.35">
      <c r="A3962" t="s">
        <v>232</v>
      </c>
      <c r="B3962" t="s">
        <v>232</v>
      </c>
      <c r="C3962" s="26">
        <v>0.78029999999999999</v>
      </c>
      <c r="D3962" s="26">
        <v>8.4000000000000005E-2</v>
      </c>
      <c r="E3962" s="26">
        <v>7.5899999999999995E-2</v>
      </c>
      <c r="F3962" s="26">
        <v>4.8500000000000001E-2</v>
      </c>
      <c r="G3962" s="26">
        <v>2.5100000000000001E-2</v>
      </c>
      <c r="H3962" s="26">
        <v>1.6400000000000001E-2</v>
      </c>
      <c r="I3962" s="26">
        <v>5.5999999999999999E-3</v>
      </c>
      <c r="J3962">
        <v>1769</v>
      </c>
    </row>
    <row r="3964" spans="1:10" x14ac:dyDescent="0.35">
      <c r="A3964" s="1" t="s">
        <v>654</v>
      </c>
    </row>
    <row r="3965" spans="1:10" x14ac:dyDescent="0.35">
      <c r="A3965" t="s">
        <v>219</v>
      </c>
      <c r="B3965" t="s">
        <v>305</v>
      </c>
      <c r="C3965" t="s">
        <v>302</v>
      </c>
      <c r="D3965" t="s">
        <v>648</v>
      </c>
      <c r="E3965" t="s">
        <v>649</v>
      </c>
      <c r="F3965" t="s">
        <v>650</v>
      </c>
      <c r="G3965" t="s">
        <v>651</v>
      </c>
      <c r="H3965" t="s">
        <v>652</v>
      </c>
      <c r="I3965" t="s">
        <v>281</v>
      </c>
      <c r="J3965" t="s">
        <v>226</v>
      </c>
    </row>
    <row r="3966" spans="1:10" x14ac:dyDescent="0.35">
      <c r="A3966" t="s">
        <v>227</v>
      </c>
      <c r="B3966" t="s">
        <v>239</v>
      </c>
      <c r="C3966" s="26">
        <v>0.8286</v>
      </c>
      <c r="D3966" s="26">
        <v>5.7099999999999998E-2</v>
      </c>
      <c r="E3966" s="26">
        <v>2.86E-2</v>
      </c>
      <c r="F3966" s="26">
        <v>2.86E-2</v>
      </c>
      <c r="G3966" s="26">
        <v>2.86E-2</v>
      </c>
      <c r="H3966" s="26">
        <v>2.86E-2</v>
      </c>
      <c r="J3966">
        <v>35</v>
      </c>
    </row>
    <row r="3967" spans="1:10" x14ac:dyDescent="0.35">
      <c r="A3967" t="s">
        <v>227</v>
      </c>
      <c r="B3967" t="s">
        <v>238</v>
      </c>
      <c r="C3967" s="26">
        <v>0.8</v>
      </c>
      <c r="D3967" s="26">
        <v>1.8200000000000001E-2</v>
      </c>
      <c r="E3967" s="26">
        <v>0.1273</v>
      </c>
      <c r="F3967" s="26">
        <v>3.6400000000000002E-2</v>
      </c>
      <c r="G3967" s="26">
        <v>3.6400000000000002E-2</v>
      </c>
      <c r="I3967" s="26">
        <v>1.8200000000000001E-2</v>
      </c>
      <c r="J3967">
        <v>55</v>
      </c>
    </row>
    <row r="3968" spans="1:10" x14ac:dyDescent="0.35">
      <c r="A3968" t="s">
        <v>228</v>
      </c>
      <c r="B3968" t="s">
        <v>239</v>
      </c>
      <c r="C3968" s="26">
        <v>0.74950000000000006</v>
      </c>
      <c r="D3968" s="26">
        <v>9.6299999999999997E-2</v>
      </c>
      <c r="E3968" s="26">
        <v>8.5000000000000006E-2</v>
      </c>
      <c r="F3968" s="26">
        <v>3.9699999999999999E-2</v>
      </c>
      <c r="G3968" s="26">
        <v>3.9699999999999999E-2</v>
      </c>
      <c r="H3968" s="26">
        <v>1.06E-2</v>
      </c>
      <c r="I3968" s="26">
        <v>1.8E-3</v>
      </c>
      <c r="J3968">
        <v>216</v>
      </c>
    </row>
    <row r="3969" spans="1:10" x14ac:dyDescent="0.35">
      <c r="A3969" t="s">
        <v>228</v>
      </c>
      <c r="B3969" t="s">
        <v>238</v>
      </c>
      <c r="C3969" s="26">
        <v>0.81669999999999998</v>
      </c>
      <c r="D3969" s="26">
        <v>7.4700000000000003E-2</v>
      </c>
      <c r="E3969" s="26">
        <v>6.4799999999999996E-2</v>
      </c>
      <c r="F3969" s="26">
        <v>2.8899999999999999E-2</v>
      </c>
      <c r="G3969" s="26">
        <v>1.34E-2</v>
      </c>
      <c r="H3969" s="26">
        <v>2.3599999999999999E-2</v>
      </c>
      <c r="J3969">
        <v>471</v>
      </c>
    </row>
    <row r="3970" spans="1:10" x14ac:dyDescent="0.35">
      <c r="A3970" t="s">
        <v>229</v>
      </c>
      <c r="B3970" t="s">
        <v>239</v>
      </c>
      <c r="C3970" s="26">
        <v>0.76590000000000003</v>
      </c>
      <c r="D3970" s="26">
        <v>7.5999999999999998E-2</v>
      </c>
      <c r="E3970" s="26">
        <v>8.6900000000000005E-2</v>
      </c>
      <c r="F3970" s="26">
        <v>4.8500000000000001E-2</v>
      </c>
      <c r="G3970" s="26">
        <v>2.2100000000000002E-2</v>
      </c>
      <c r="H3970" s="26">
        <v>3.2000000000000002E-3</v>
      </c>
      <c r="I3970" s="26">
        <v>1.6199999999999999E-2</v>
      </c>
      <c r="J3970">
        <v>186</v>
      </c>
    </row>
    <row r="3971" spans="1:10" x14ac:dyDescent="0.35">
      <c r="A3971" t="s">
        <v>229</v>
      </c>
      <c r="B3971" t="s">
        <v>238</v>
      </c>
      <c r="C3971" s="26">
        <v>0.79910000000000003</v>
      </c>
      <c r="D3971" s="26">
        <v>6.6199999999999995E-2</v>
      </c>
      <c r="E3971" s="26">
        <v>8.3000000000000004E-2</v>
      </c>
      <c r="F3971" s="26">
        <v>3.9100000000000003E-2</v>
      </c>
      <c r="G3971" s="26">
        <v>3.6299999999999999E-2</v>
      </c>
      <c r="H3971" s="26">
        <v>8.2000000000000007E-3</v>
      </c>
      <c r="I3971" s="26">
        <v>6.9999999999999999E-4</v>
      </c>
      <c r="J3971">
        <v>345</v>
      </c>
    </row>
    <row r="3972" spans="1:10" x14ac:dyDescent="0.35">
      <c r="A3972" t="s">
        <v>230</v>
      </c>
      <c r="B3972" t="s">
        <v>239</v>
      </c>
      <c r="C3972" s="26">
        <v>0.79990000000000006</v>
      </c>
      <c r="D3972" s="26">
        <v>5.1499999999999997E-2</v>
      </c>
      <c r="E3972" s="26">
        <v>9.06E-2</v>
      </c>
      <c r="F3972" s="26">
        <v>4.24E-2</v>
      </c>
      <c r="G3972" s="26">
        <v>1.0999999999999999E-2</v>
      </c>
      <c r="H3972" s="26">
        <v>8.9999999999999993E-3</v>
      </c>
      <c r="J3972">
        <v>135</v>
      </c>
    </row>
    <row r="3973" spans="1:10" x14ac:dyDescent="0.35">
      <c r="A3973" t="s">
        <v>230</v>
      </c>
      <c r="B3973" t="s">
        <v>238</v>
      </c>
      <c r="C3973" s="26">
        <v>0.79769999999999996</v>
      </c>
      <c r="D3973" s="26">
        <v>9.69E-2</v>
      </c>
      <c r="E3973" s="26">
        <v>5.33E-2</v>
      </c>
      <c r="F3973" s="26">
        <v>3.9199999999999999E-2</v>
      </c>
      <c r="G3973" s="26">
        <v>5.7299999999999997E-2</v>
      </c>
      <c r="H3973" s="26">
        <v>4.4999999999999997E-3</v>
      </c>
      <c r="J3973">
        <v>226</v>
      </c>
    </row>
    <row r="3974" spans="1:10" x14ac:dyDescent="0.35">
      <c r="A3974" t="s">
        <v>231</v>
      </c>
      <c r="B3974" t="s">
        <v>239</v>
      </c>
      <c r="C3974" s="26">
        <v>0.72970000000000002</v>
      </c>
      <c r="D3974" s="26">
        <v>0.1081</v>
      </c>
      <c r="E3974" s="26">
        <v>0.1081</v>
      </c>
      <c r="F3974" s="26">
        <v>0.1081</v>
      </c>
      <c r="H3974" s="26">
        <v>2.7E-2</v>
      </c>
      <c r="J3974">
        <v>37</v>
      </c>
    </row>
    <row r="3975" spans="1:10" x14ac:dyDescent="0.35">
      <c r="A3975" t="s">
        <v>231</v>
      </c>
      <c r="B3975" t="s">
        <v>238</v>
      </c>
      <c r="C3975" s="26">
        <v>0.73019999999999996</v>
      </c>
      <c r="D3975" s="26">
        <v>0.1429</v>
      </c>
      <c r="E3975" s="26">
        <v>4.7600000000000003E-2</v>
      </c>
      <c r="F3975" s="26">
        <v>6.3500000000000001E-2</v>
      </c>
      <c r="G3975" s="26">
        <v>1.5900000000000001E-2</v>
      </c>
      <c r="H3975" s="26">
        <v>3.1699999999999999E-2</v>
      </c>
      <c r="I3975" s="26">
        <v>1.5900000000000001E-2</v>
      </c>
      <c r="J3975">
        <v>63</v>
      </c>
    </row>
    <row r="3976" spans="1:10" x14ac:dyDescent="0.35">
      <c r="A3976" t="s">
        <v>232</v>
      </c>
      <c r="B3976" t="s">
        <v>232</v>
      </c>
      <c r="C3976" s="26">
        <v>0.78029999999999999</v>
      </c>
      <c r="D3976" s="26">
        <v>8.4000000000000005E-2</v>
      </c>
      <c r="E3976" s="26">
        <v>7.5899999999999995E-2</v>
      </c>
      <c r="F3976" s="26">
        <v>4.8500000000000001E-2</v>
      </c>
      <c r="G3976" s="26">
        <v>2.5100000000000001E-2</v>
      </c>
      <c r="H3976" s="26">
        <v>1.6400000000000001E-2</v>
      </c>
      <c r="I3976" s="26">
        <v>5.5999999999999999E-3</v>
      </c>
      <c r="J3976">
        <v>1769</v>
      </c>
    </row>
    <row r="3978" spans="1:10" x14ac:dyDescent="0.35">
      <c r="A3978" s="1" t="s">
        <v>655</v>
      </c>
    </row>
    <row r="3979" spans="1:10" x14ac:dyDescent="0.35">
      <c r="A3979" t="s">
        <v>219</v>
      </c>
      <c r="B3979" t="s">
        <v>305</v>
      </c>
      <c r="C3979" t="s">
        <v>302</v>
      </c>
      <c r="D3979" t="s">
        <v>648</v>
      </c>
      <c r="E3979" t="s">
        <v>649</v>
      </c>
      <c r="F3979" t="s">
        <v>650</v>
      </c>
      <c r="G3979" t="s">
        <v>651</v>
      </c>
      <c r="H3979" t="s">
        <v>652</v>
      </c>
      <c r="I3979" t="s">
        <v>281</v>
      </c>
      <c r="J3979" t="s">
        <v>226</v>
      </c>
    </row>
    <row r="3980" spans="1:10" x14ac:dyDescent="0.35">
      <c r="A3980" t="s">
        <v>227</v>
      </c>
      <c r="B3980" t="s">
        <v>244</v>
      </c>
      <c r="C3980" s="26">
        <v>0.76790000000000003</v>
      </c>
      <c r="D3980" s="26">
        <v>5.3600000000000002E-2</v>
      </c>
      <c r="E3980" s="26">
        <v>8.9300000000000004E-2</v>
      </c>
      <c r="F3980" s="26">
        <v>5.3600000000000002E-2</v>
      </c>
      <c r="G3980" s="26">
        <v>3.5700000000000003E-2</v>
      </c>
      <c r="H3980" s="26">
        <v>1.7899999999999999E-2</v>
      </c>
      <c r="J3980">
        <v>56</v>
      </c>
    </row>
    <row r="3981" spans="1:10" x14ac:dyDescent="0.35">
      <c r="A3981" s="27" t="s">
        <v>227</v>
      </c>
      <c r="B3981" s="27" t="s">
        <v>245</v>
      </c>
      <c r="C3981" s="28">
        <v>0.85709999999999997</v>
      </c>
      <c r="D3981" s="29"/>
      <c r="E3981" s="28">
        <v>0.1071</v>
      </c>
      <c r="F3981" s="29"/>
      <c r="G3981" s="28">
        <v>3.5700000000000003E-2</v>
      </c>
      <c r="H3981" s="29"/>
      <c r="I3981" s="28">
        <v>3.5700000000000003E-2</v>
      </c>
      <c r="J3981" s="29" t="s">
        <v>336</v>
      </c>
    </row>
    <row r="3982" spans="1:10" x14ac:dyDescent="0.35">
      <c r="A3982" s="27" t="s">
        <v>227</v>
      </c>
      <c r="B3982" s="27" t="s">
        <v>246</v>
      </c>
      <c r="C3982" s="28">
        <v>1</v>
      </c>
      <c r="D3982" s="29"/>
      <c r="E3982" s="29"/>
      <c r="F3982" s="29"/>
      <c r="G3982" s="29"/>
      <c r="H3982" s="29"/>
      <c r="I3982" s="29"/>
      <c r="J3982" s="29" t="s">
        <v>335</v>
      </c>
    </row>
    <row r="3983" spans="1:10" x14ac:dyDescent="0.35">
      <c r="A3983" t="s">
        <v>228</v>
      </c>
      <c r="B3983" t="s">
        <v>244</v>
      </c>
      <c r="C3983" s="26">
        <v>0.79359999999999997</v>
      </c>
      <c r="D3983" s="26">
        <v>8.6999999999999994E-2</v>
      </c>
      <c r="E3983" s="26">
        <v>8.0100000000000005E-2</v>
      </c>
      <c r="F3983" s="26">
        <v>2.3699999999999999E-2</v>
      </c>
      <c r="G3983" s="26">
        <v>1.9E-2</v>
      </c>
      <c r="H3983" s="26">
        <v>2.6100000000000002E-2</v>
      </c>
      <c r="I3983" s="26">
        <v>5.9999999999999995E-4</v>
      </c>
      <c r="J3983">
        <v>421</v>
      </c>
    </row>
    <row r="3984" spans="1:10" x14ac:dyDescent="0.35">
      <c r="A3984" t="s">
        <v>228</v>
      </c>
      <c r="B3984" t="s">
        <v>245</v>
      </c>
      <c r="C3984" s="26">
        <v>0.83340000000000003</v>
      </c>
      <c r="D3984" s="26">
        <v>5.5199999999999999E-2</v>
      </c>
      <c r="E3984" s="26">
        <v>5.8500000000000003E-2</v>
      </c>
      <c r="F3984" s="26">
        <v>3.1399999999999997E-2</v>
      </c>
      <c r="G3984" s="26">
        <v>1.2800000000000001E-2</v>
      </c>
      <c r="H3984" s="26">
        <v>1.3100000000000001E-2</v>
      </c>
      <c r="J3984">
        <v>218</v>
      </c>
    </row>
    <row r="3985" spans="1:10" x14ac:dyDescent="0.35">
      <c r="A3985" t="s">
        <v>228</v>
      </c>
      <c r="B3985" t="s">
        <v>246</v>
      </c>
      <c r="C3985" s="26">
        <v>0.77580000000000005</v>
      </c>
      <c r="D3985" s="26">
        <v>9.1999999999999998E-2</v>
      </c>
      <c r="E3985" s="26">
        <v>8.3999999999999995E-3</v>
      </c>
      <c r="F3985" s="26">
        <v>9.5699999999999993E-2</v>
      </c>
      <c r="G3985" s="26">
        <v>3.9199999999999999E-2</v>
      </c>
      <c r="J3985">
        <v>48</v>
      </c>
    </row>
    <row r="3986" spans="1:10" x14ac:dyDescent="0.35">
      <c r="A3986" t="s">
        <v>229</v>
      </c>
      <c r="B3986" t="s">
        <v>244</v>
      </c>
      <c r="C3986" s="26">
        <v>0.74739999999999995</v>
      </c>
      <c r="D3986" s="26">
        <v>8.9099999999999999E-2</v>
      </c>
      <c r="E3986" s="26">
        <v>0.104</v>
      </c>
      <c r="F3986" s="26">
        <v>5.9200000000000003E-2</v>
      </c>
      <c r="G3986" s="26">
        <v>3.4500000000000003E-2</v>
      </c>
      <c r="H3986" s="26">
        <v>1.1000000000000001E-3</v>
      </c>
      <c r="I3986" s="26">
        <v>5.7000000000000002E-3</v>
      </c>
      <c r="J3986">
        <v>341</v>
      </c>
    </row>
    <row r="3987" spans="1:10" x14ac:dyDescent="0.35">
      <c r="A3987" t="s">
        <v>229</v>
      </c>
      <c r="B3987" t="s">
        <v>245</v>
      </c>
      <c r="C3987" s="26">
        <v>0.90990000000000004</v>
      </c>
      <c r="D3987" s="26">
        <v>5.1999999999999998E-3</v>
      </c>
      <c r="E3987" s="26">
        <v>4.7399999999999998E-2</v>
      </c>
      <c r="F3987" s="26">
        <v>2E-3</v>
      </c>
      <c r="G3987" s="26">
        <v>1.52E-2</v>
      </c>
      <c r="H3987" s="26">
        <v>2.23E-2</v>
      </c>
      <c r="I3987" s="26">
        <v>2E-3</v>
      </c>
      <c r="J3987">
        <v>162</v>
      </c>
    </row>
    <row r="3988" spans="1:10" x14ac:dyDescent="0.35">
      <c r="A3988" s="27" t="s">
        <v>229</v>
      </c>
      <c r="B3988" s="27" t="s">
        <v>246</v>
      </c>
      <c r="C3988" s="28">
        <v>0.78569999999999995</v>
      </c>
      <c r="D3988" s="28">
        <v>0.10730000000000001</v>
      </c>
      <c r="E3988" s="29"/>
      <c r="F3988" s="29"/>
      <c r="G3988" s="28">
        <v>9.74E-2</v>
      </c>
      <c r="H3988" s="28">
        <v>9.5999999999999992E-3</v>
      </c>
      <c r="I3988" s="29"/>
      <c r="J3988" s="29" t="s">
        <v>336</v>
      </c>
    </row>
    <row r="3989" spans="1:10" x14ac:dyDescent="0.35">
      <c r="A3989" t="s">
        <v>230</v>
      </c>
      <c r="B3989" t="s">
        <v>244</v>
      </c>
      <c r="C3989" s="26">
        <v>0.77629999999999999</v>
      </c>
      <c r="D3989" s="26">
        <v>9.7299999999999998E-2</v>
      </c>
      <c r="E3989" s="26">
        <v>7.1499999999999994E-2</v>
      </c>
      <c r="F3989" s="26">
        <v>4.3400000000000001E-2</v>
      </c>
      <c r="G3989" s="26">
        <v>3.5099999999999999E-2</v>
      </c>
      <c r="H3989" s="26">
        <v>3.0999999999999999E-3</v>
      </c>
      <c r="J3989">
        <v>253</v>
      </c>
    </row>
    <row r="3990" spans="1:10" x14ac:dyDescent="0.35">
      <c r="A3990" t="s">
        <v>230</v>
      </c>
      <c r="B3990" t="s">
        <v>245</v>
      </c>
      <c r="C3990" s="26">
        <v>0.84050000000000002</v>
      </c>
      <c r="D3990" s="26">
        <v>4.3900000000000002E-2</v>
      </c>
      <c r="E3990" s="26">
        <v>5.4399999999999997E-2</v>
      </c>
      <c r="F3990" s="26">
        <v>3.7900000000000003E-2</v>
      </c>
      <c r="G3990" s="26">
        <v>0.08</v>
      </c>
      <c r="H3990" s="26">
        <v>1.5599999999999999E-2</v>
      </c>
      <c r="J3990">
        <v>93</v>
      </c>
    </row>
    <row r="3991" spans="1:10" x14ac:dyDescent="0.35">
      <c r="A3991" s="27" t="s">
        <v>230</v>
      </c>
      <c r="B3991" s="27" t="s">
        <v>246</v>
      </c>
      <c r="C3991" s="28">
        <v>0.93140000000000001</v>
      </c>
      <c r="D3991" s="28">
        <v>6.8599999999999994E-2</v>
      </c>
      <c r="E3991" s="29"/>
      <c r="F3991" s="29"/>
      <c r="G3991" s="29"/>
      <c r="H3991" s="29"/>
      <c r="I3991" s="29"/>
      <c r="J3991" s="29" t="s">
        <v>346</v>
      </c>
    </row>
    <row r="3992" spans="1:10" x14ac:dyDescent="0.35">
      <c r="A3992" t="s">
        <v>231</v>
      </c>
      <c r="B3992" t="s">
        <v>244</v>
      </c>
      <c r="C3992" s="26">
        <v>0.63329999999999997</v>
      </c>
      <c r="D3992" s="26">
        <v>0.16669999999999999</v>
      </c>
      <c r="E3992" s="26">
        <v>0.1</v>
      </c>
      <c r="F3992" s="26">
        <v>0.1333</v>
      </c>
      <c r="G3992" s="26">
        <v>1.67E-2</v>
      </c>
      <c r="H3992" s="26">
        <v>3.3300000000000003E-2</v>
      </c>
      <c r="I3992" s="26">
        <v>1.67E-2</v>
      </c>
      <c r="J3992">
        <v>60</v>
      </c>
    </row>
    <row r="3993" spans="1:10" x14ac:dyDescent="0.35">
      <c r="A3993" t="s">
        <v>231</v>
      </c>
      <c r="B3993" t="s">
        <v>245</v>
      </c>
      <c r="C3993" s="26">
        <v>0.85289999999999999</v>
      </c>
      <c r="D3993" s="26">
        <v>8.8200000000000001E-2</v>
      </c>
      <c r="E3993" s="26">
        <v>2.9399999999999999E-2</v>
      </c>
      <c r="H3993" s="26">
        <v>2.9399999999999999E-2</v>
      </c>
      <c r="J3993">
        <v>34</v>
      </c>
    </row>
    <row r="3994" spans="1:10" x14ac:dyDescent="0.35">
      <c r="A3994" s="27" t="s">
        <v>231</v>
      </c>
      <c r="B3994" s="27" t="s">
        <v>246</v>
      </c>
      <c r="C3994" s="28">
        <v>1</v>
      </c>
      <c r="D3994" s="29"/>
      <c r="E3994" s="29"/>
      <c r="F3994" s="29"/>
      <c r="G3994" s="29"/>
      <c r="H3994" s="29"/>
      <c r="I3994" s="29"/>
      <c r="J3994" s="29" t="s">
        <v>335</v>
      </c>
    </row>
    <row r="3995" spans="1:10" x14ac:dyDescent="0.35">
      <c r="A3995" t="s">
        <v>232</v>
      </c>
      <c r="B3995" t="s">
        <v>232</v>
      </c>
      <c r="C3995" s="26">
        <v>0.78029999999999999</v>
      </c>
      <c r="D3995" s="26">
        <v>8.4000000000000005E-2</v>
      </c>
      <c r="E3995" s="26">
        <v>7.5899999999999995E-2</v>
      </c>
      <c r="F3995" s="26">
        <v>4.8500000000000001E-2</v>
      </c>
      <c r="G3995" s="26">
        <v>2.5100000000000001E-2</v>
      </c>
      <c r="H3995" s="26">
        <v>1.6400000000000001E-2</v>
      </c>
      <c r="I3995" s="26">
        <v>5.5999999999999999E-3</v>
      </c>
      <c r="J3995">
        <v>1769</v>
      </c>
    </row>
    <row r="3997" spans="1:10" x14ac:dyDescent="0.35">
      <c r="A3997" s="1" t="s">
        <v>656</v>
      </c>
    </row>
    <row r="3998" spans="1:10" x14ac:dyDescent="0.35">
      <c r="A3998" t="s">
        <v>219</v>
      </c>
      <c r="B3998" t="s">
        <v>305</v>
      </c>
      <c r="C3998" t="s">
        <v>302</v>
      </c>
      <c r="D3998" t="s">
        <v>648</v>
      </c>
      <c r="E3998" t="s">
        <v>649</v>
      </c>
      <c r="F3998" t="s">
        <v>650</v>
      </c>
      <c r="G3998" t="s">
        <v>651</v>
      </c>
      <c r="H3998" t="s">
        <v>652</v>
      </c>
      <c r="I3998" t="s">
        <v>281</v>
      </c>
      <c r="J3998" t="s">
        <v>226</v>
      </c>
    </row>
    <row r="3999" spans="1:10" x14ac:dyDescent="0.35">
      <c r="A3999" s="27" t="s">
        <v>227</v>
      </c>
      <c r="B3999" s="27" t="s">
        <v>360</v>
      </c>
      <c r="C3999" s="28">
        <v>0.83330000000000004</v>
      </c>
      <c r="D3999" s="29"/>
      <c r="E3999" s="28">
        <v>8.3299999999999999E-2</v>
      </c>
      <c r="F3999" s="28">
        <v>4.1700000000000001E-2</v>
      </c>
      <c r="G3999" s="29"/>
      <c r="H3999" s="29"/>
      <c r="I3999" s="28">
        <v>4.1700000000000001E-2</v>
      </c>
      <c r="J3999" s="29" t="s">
        <v>310</v>
      </c>
    </row>
    <row r="4000" spans="1:10" x14ac:dyDescent="0.35">
      <c r="A4000" s="27" t="s">
        <v>227</v>
      </c>
      <c r="B4000" s="27" t="s">
        <v>361</v>
      </c>
      <c r="C4000" s="28">
        <v>0.66669999999999996</v>
      </c>
      <c r="D4000" s="28">
        <v>0.1333</v>
      </c>
      <c r="E4000" s="28">
        <v>6.6699999999999995E-2</v>
      </c>
      <c r="F4000" s="28">
        <v>0.1333</v>
      </c>
      <c r="G4000" s="28">
        <v>6.6699999999999995E-2</v>
      </c>
      <c r="H4000" s="29"/>
      <c r="I4000" s="29"/>
      <c r="J4000" s="29" t="s">
        <v>346</v>
      </c>
    </row>
    <row r="4001" spans="1:10" x14ac:dyDescent="0.35">
      <c r="A4001" s="27" t="s">
        <v>227</v>
      </c>
      <c r="B4001" s="27" t="s">
        <v>362</v>
      </c>
      <c r="C4001" s="28">
        <v>0.86360000000000003</v>
      </c>
      <c r="D4001" s="29"/>
      <c r="E4001" s="28">
        <v>9.0899999999999995E-2</v>
      </c>
      <c r="F4001" s="29"/>
      <c r="G4001" s="28">
        <v>4.5499999999999999E-2</v>
      </c>
      <c r="H4001" s="28">
        <v>4.5499999999999999E-2</v>
      </c>
      <c r="I4001" s="29"/>
      <c r="J4001" s="29" t="s">
        <v>347</v>
      </c>
    </row>
    <row r="4002" spans="1:10" x14ac:dyDescent="0.35">
      <c r="A4002" s="27" t="s">
        <v>227</v>
      </c>
      <c r="B4002" s="27" t="s">
        <v>363</v>
      </c>
      <c r="C4002" s="28">
        <v>0.8</v>
      </c>
      <c r="D4002" s="28">
        <v>0.04</v>
      </c>
      <c r="E4002" s="28">
        <v>0.12</v>
      </c>
      <c r="F4002" s="29"/>
      <c r="G4002" s="28">
        <v>0.04</v>
      </c>
      <c r="H4002" s="29"/>
      <c r="I4002" s="29"/>
      <c r="J4002" s="29" t="s">
        <v>312</v>
      </c>
    </row>
    <row r="4003" spans="1:10" x14ac:dyDescent="0.35">
      <c r="A4003" t="s">
        <v>228</v>
      </c>
      <c r="B4003" t="s">
        <v>360</v>
      </c>
      <c r="C4003" s="26">
        <v>0.78339999999999999</v>
      </c>
      <c r="D4003" s="26">
        <v>8.7300000000000003E-2</v>
      </c>
      <c r="E4003" s="26">
        <v>7.5399999999999995E-2</v>
      </c>
      <c r="F4003" s="26">
        <v>3.8600000000000002E-2</v>
      </c>
      <c r="G4003" s="26">
        <v>2.2599999999999999E-2</v>
      </c>
      <c r="H4003" s="26">
        <v>2.7E-2</v>
      </c>
      <c r="I4003" s="26">
        <v>1.6000000000000001E-3</v>
      </c>
      <c r="J4003">
        <v>201</v>
      </c>
    </row>
    <row r="4004" spans="1:10" x14ac:dyDescent="0.35">
      <c r="A4004" t="s">
        <v>228</v>
      </c>
      <c r="B4004" t="s">
        <v>361</v>
      </c>
      <c r="C4004" s="26">
        <v>0.76849999999999996</v>
      </c>
      <c r="D4004" s="26">
        <v>0.1326</v>
      </c>
      <c r="E4004" s="26">
        <v>3.73E-2</v>
      </c>
      <c r="F4004" s="26">
        <v>3.39E-2</v>
      </c>
      <c r="G4004" s="26">
        <v>1.9900000000000001E-2</v>
      </c>
      <c r="H4004" s="26">
        <v>3.7999999999999999E-2</v>
      </c>
      <c r="J4004">
        <v>117</v>
      </c>
    </row>
    <row r="4005" spans="1:10" x14ac:dyDescent="0.35">
      <c r="A4005" t="s">
        <v>228</v>
      </c>
      <c r="B4005" t="s">
        <v>363</v>
      </c>
      <c r="C4005" s="26">
        <v>0.80710000000000004</v>
      </c>
      <c r="D4005" s="26">
        <v>4.02E-2</v>
      </c>
      <c r="E4005" s="26">
        <v>0.106</v>
      </c>
      <c r="F4005" s="26">
        <v>2.92E-2</v>
      </c>
      <c r="G4005" s="26">
        <v>2.12E-2</v>
      </c>
      <c r="H4005" s="26">
        <v>7.3000000000000001E-3</v>
      </c>
      <c r="J4005">
        <v>134</v>
      </c>
    </row>
    <row r="4006" spans="1:10" x14ac:dyDescent="0.35">
      <c r="A4006" t="s">
        <v>228</v>
      </c>
      <c r="B4006" t="s">
        <v>362</v>
      </c>
      <c r="C4006" s="26">
        <v>0.83950000000000002</v>
      </c>
      <c r="D4006" s="26">
        <v>7.1300000000000002E-2</v>
      </c>
      <c r="E4006" s="26">
        <v>7.7299999999999994E-2</v>
      </c>
      <c r="F4006" s="26">
        <v>1.37E-2</v>
      </c>
      <c r="G4006" s="26">
        <v>4.4999999999999997E-3</v>
      </c>
      <c r="H4006" s="26">
        <v>1.1299999999999999E-2</v>
      </c>
      <c r="J4006">
        <v>165</v>
      </c>
    </row>
    <row r="4007" spans="1:10" x14ac:dyDescent="0.35">
      <c r="A4007" t="s">
        <v>229</v>
      </c>
      <c r="B4007" t="s">
        <v>363</v>
      </c>
      <c r="C4007" s="26">
        <v>0.81089999999999995</v>
      </c>
      <c r="D4007" s="26">
        <v>6.88E-2</v>
      </c>
      <c r="E4007" s="26">
        <v>6.2300000000000001E-2</v>
      </c>
      <c r="F4007" s="26">
        <v>8.2299999999999998E-2</v>
      </c>
      <c r="G4007" s="26">
        <v>5.7000000000000002E-3</v>
      </c>
      <c r="J4007">
        <v>110</v>
      </c>
    </row>
    <row r="4008" spans="1:10" x14ac:dyDescent="0.35">
      <c r="A4008" t="s">
        <v>229</v>
      </c>
      <c r="B4008" t="s">
        <v>360</v>
      </c>
      <c r="C4008" s="26">
        <v>0.77200000000000002</v>
      </c>
      <c r="D4008" s="26">
        <v>4.2500000000000003E-2</v>
      </c>
      <c r="E4008" s="26">
        <v>0.14249999999999999</v>
      </c>
      <c r="F4008" s="26">
        <v>1.6999999999999999E-3</v>
      </c>
      <c r="G4008" s="26">
        <v>8.2000000000000007E-3</v>
      </c>
      <c r="H4008" s="26">
        <v>6.6E-3</v>
      </c>
      <c r="I4008" s="26">
        <v>2.8299999999999999E-2</v>
      </c>
      <c r="J4008">
        <v>107</v>
      </c>
    </row>
    <row r="4009" spans="1:10" x14ac:dyDescent="0.35">
      <c r="A4009" t="s">
        <v>229</v>
      </c>
      <c r="B4009" t="s">
        <v>361</v>
      </c>
      <c r="C4009" s="26">
        <v>0.75690000000000002</v>
      </c>
      <c r="D4009" s="26">
        <v>8.5199999999999998E-2</v>
      </c>
      <c r="E4009" s="26">
        <v>8.2799999999999999E-2</v>
      </c>
      <c r="F4009" s="26">
        <v>5.7299999999999997E-2</v>
      </c>
      <c r="G4009" s="26">
        <v>6.4399999999999999E-2</v>
      </c>
      <c r="H4009" s="26">
        <v>2.7000000000000001E-3</v>
      </c>
      <c r="J4009">
        <v>140</v>
      </c>
    </row>
    <row r="4010" spans="1:10" x14ac:dyDescent="0.35">
      <c r="A4010" t="s">
        <v>229</v>
      </c>
      <c r="B4010" t="s">
        <v>362</v>
      </c>
      <c r="C4010" s="26">
        <v>0.76939999999999997</v>
      </c>
      <c r="D4010" s="26">
        <v>6.7799999999999999E-2</v>
      </c>
      <c r="E4010" s="26">
        <v>0.1067</v>
      </c>
      <c r="F4010" s="26">
        <v>2.3699999999999999E-2</v>
      </c>
      <c r="G4010" s="26">
        <v>3.0800000000000001E-2</v>
      </c>
      <c r="H4010" s="26">
        <v>2.8400000000000002E-2</v>
      </c>
      <c r="J4010">
        <v>111</v>
      </c>
    </row>
    <row r="4011" spans="1:10" x14ac:dyDescent="0.35">
      <c r="A4011" t="s">
        <v>230</v>
      </c>
      <c r="B4011" t="s">
        <v>360</v>
      </c>
      <c r="C4011" s="26">
        <v>0.87890000000000001</v>
      </c>
      <c r="D4011" s="26">
        <v>6.7100000000000007E-2</v>
      </c>
      <c r="E4011" s="26">
        <v>2.5700000000000001E-2</v>
      </c>
      <c r="F4011" s="26">
        <v>4.7899999999999998E-2</v>
      </c>
      <c r="G4011" s="26">
        <v>1.32E-2</v>
      </c>
      <c r="H4011" s="26">
        <v>1.0699999999999999E-2</v>
      </c>
      <c r="J4011">
        <v>86</v>
      </c>
    </row>
    <row r="4012" spans="1:10" x14ac:dyDescent="0.35">
      <c r="A4012" t="s">
        <v>230</v>
      </c>
      <c r="B4012" t="s">
        <v>363</v>
      </c>
      <c r="C4012" s="26">
        <v>0.80689999999999995</v>
      </c>
      <c r="D4012" s="26">
        <v>2.0199999999999999E-2</v>
      </c>
      <c r="E4012" s="26">
        <v>0.1074</v>
      </c>
      <c r="F4012" s="26">
        <v>1.32E-2</v>
      </c>
      <c r="G4012" s="26">
        <v>5.4100000000000002E-2</v>
      </c>
      <c r="J4012">
        <v>86</v>
      </c>
    </row>
    <row r="4013" spans="1:10" x14ac:dyDescent="0.35">
      <c r="A4013" t="s">
        <v>230</v>
      </c>
      <c r="B4013" t="s">
        <v>361</v>
      </c>
      <c r="C4013" s="26">
        <v>0.63360000000000005</v>
      </c>
      <c r="D4013" s="26">
        <v>0.2064</v>
      </c>
      <c r="E4013" s="26">
        <v>8.5699999999999998E-2</v>
      </c>
      <c r="F4013" s="26">
        <v>6.7100000000000007E-2</v>
      </c>
      <c r="G4013" s="26">
        <v>0.1062</v>
      </c>
      <c r="H4013" s="26">
        <v>1.6999999999999999E-3</v>
      </c>
      <c r="J4013">
        <v>68</v>
      </c>
    </row>
    <row r="4014" spans="1:10" x14ac:dyDescent="0.35">
      <c r="A4014" t="s">
        <v>230</v>
      </c>
      <c r="B4014" t="s">
        <v>362</v>
      </c>
      <c r="C4014" s="26">
        <v>0.91930000000000001</v>
      </c>
      <c r="D4014" s="26">
        <v>1.9E-2</v>
      </c>
      <c r="E4014" s="26">
        <v>1.18E-2</v>
      </c>
      <c r="F4014" s="26">
        <v>4.24E-2</v>
      </c>
      <c r="H4014" s="26">
        <v>1.3299999999999999E-2</v>
      </c>
      <c r="J4014">
        <v>97</v>
      </c>
    </row>
    <row r="4015" spans="1:10" x14ac:dyDescent="0.35">
      <c r="A4015" s="27" t="s">
        <v>231</v>
      </c>
      <c r="B4015" s="27" t="s">
        <v>362</v>
      </c>
      <c r="C4015" s="28">
        <v>0.94740000000000002</v>
      </c>
      <c r="D4015" s="29"/>
      <c r="E4015" s="28">
        <v>5.2600000000000001E-2</v>
      </c>
      <c r="F4015" s="29"/>
      <c r="G4015" s="29"/>
      <c r="H4015" s="29"/>
      <c r="I4015" s="29"/>
      <c r="J4015" s="29" t="s">
        <v>349</v>
      </c>
    </row>
    <row r="4016" spans="1:10" x14ac:dyDescent="0.35">
      <c r="A4016" s="27" t="s">
        <v>231</v>
      </c>
      <c r="B4016" s="27" t="s">
        <v>361</v>
      </c>
      <c r="C4016" s="28">
        <v>0.61539999999999995</v>
      </c>
      <c r="D4016" s="28">
        <v>0.26919999999999999</v>
      </c>
      <c r="E4016" s="28">
        <v>3.85E-2</v>
      </c>
      <c r="F4016" s="28">
        <v>0.1154</v>
      </c>
      <c r="G4016" s="29"/>
      <c r="H4016" s="28">
        <v>7.6899999999999996E-2</v>
      </c>
      <c r="I4016" s="29"/>
      <c r="J4016" s="29" t="s">
        <v>357</v>
      </c>
    </row>
    <row r="4017" spans="1:10" x14ac:dyDescent="0.35">
      <c r="A4017" s="27" t="s">
        <v>231</v>
      </c>
      <c r="B4017" s="27" t="s">
        <v>360</v>
      </c>
      <c r="C4017" s="28">
        <v>0.74070000000000003</v>
      </c>
      <c r="D4017" s="28">
        <v>7.4099999999999999E-2</v>
      </c>
      <c r="E4017" s="28">
        <v>7.4099999999999999E-2</v>
      </c>
      <c r="F4017" s="28">
        <v>7.4099999999999999E-2</v>
      </c>
      <c r="G4017" s="29"/>
      <c r="H4017" s="28">
        <v>3.6999999999999998E-2</v>
      </c>
      <c r="I4017" s="28">
        <v>3.6999999999999998E-2</v>
      </c>
      <c r="J4017" s="29" t="s">
        <v>338</v>
      </c>
    </row>
    <row r="4018" spans="1:10" x14ac:dyDescent="0.35">
      <c r="A4018" s="27" t="s">
        <v>231</v>
      </c>
      <c r="B4018" s="27" t="s">
        <v>363</v>
      </c>
      <c r="C4018" s="28">
        <v>0.64710000000000001</v>
      </c>
      <c r="D4018" s="28">
        <v>0.1176</v>
      </c>
      <c r="E4018" s="28">
        <v>0.1176</v>
      </c>
      <c r="F4018" s="28">
        <v>0.17649999999999999</v>
      </c>
      <c r="G4018" s="29"/>
      <c r="H4018" s="29"/>
      <c r="I4018" s="29"/>
      <c r="J4018" s="29" t="s">
        <v>343</v>
      </c>
    </row>
    <row r="4019" spans="1:10" x14ac:dyDescent="0.35">
      <c r="A4019" t="s">
        <v>232</v>
      </c>
      <c r="B4019" t="s">
        <v>232</v>
      </c>
      <c r="C4019" s="26">
        <v>0.78029999999999999</v>
      </c>
      <c r="D4019" s="26">
        <v>8.4000000000000005E-2</v>
      </c>
      <c r="E4019" s="26">
        <v>7.5899999999999995E-2</v>
      </c>
      <c r="F4019" s="26">
        <v>4.8500000000000001E-2</v>
      </c>
      <c r="G4019" s="26">
        <v>2.5100000000000001E-2</v>
      </c>
      <c r="H4019" s="26">
        <v>1.6400000000000001E-2</v>
      </c>
      <c r="I4019" s="26">
        <v>5.5999999999999999E-3</v>
      </c>
      <c r="J4019">
        <v>1597</v>
      </c>
    </row>
    <row r="4021" spans="1:10" x14ac:dyDescent="0.35">
      <c r="A4021" s="1" t="s">
        <v>657</v>
      </c>
    </row>
    <row r="4022" spans="1:10" x14ac:dyDescent="0.35">
      <c r="A4022" t="s">
        <v>219</v>
      </c>
      <c r="B4022" t="s">
        <v>305</v>
      </c>
      <c r="C4022" t="s">
        <v>302</v>
      </c>
      <c r="D4022" t="s">
        <v>648</v>
      </c>
      <c r="E4022" t="s">
        <v>649</v>
      </c>
      <c r="F4022" t="s">
        <v>650</v>
      </c>
      <c r="G4022" t="s">
        <v>651</v>
      </c>
      <c r="H4022" t="s">
        <v>652</v>
      </c>
      <c r="I4022" t="s">
        <v>281</v>
      </c>
      <c r="J4022" t="s">
        <v>226</v>
      </c>
    </row>
    <row r="4023" spans="1:10" x14ac:dyDescent="0.35">
      <c r="A4023" s="27" t="s">
        <v>227</v>
      </c>
      <c r="B4023" s="27" t="s">
        <v>267</v>
      </c>
      <c r="C4023" s="28">
        <v>0.72219999999999995</v>
      </c>
      <c r="D4023" s="28">
        <v>5.5599999999999997E-2</v>
      </c>
      <c r="E4023" s="28">
        <v>0.16669999999999999</v>
      </c>
      <c r="F4023" s="29"/>
      <c r="G4023" s="28">
        <v>5.5599999999999997E-2</v>
      </c>
      <c r="H4023" s="29"/>
      <c r="I4023" s="28">
        <v>5.5599999999999997E-2</v>
      </c>
      <c r="J4023" s="29" t="s">
        <v>353</v>
      </c>
    </row>
    <row r="4024" spans="1:10" x14ac:dyDescent="0.35">
      <c r="A4024" t="s">
        <v>227</v>
      </c>
      <c r="B4024" t="s">
        <v>266</v>
      </c>
      <c r="C4024" s="26">
        <v>0.9143</v>
      </c>
      <c r="D4024" s="26">
        <v>2.86E-2</v>
      </c>
      <c r="E4024" s="26">
        <v>5.7099999999999998E-2</v>
      </c>
      <c r="J4024">
        <v>35</v>
      </c>
    </row>
    <row r="4025" spans="1:10" x14ac:dyDescent="0.35">
      <c r="A4025" t="s">
        <v>227</v>
      </c>
      <c r="B4025" t="s">
        <v>265</v>
      </c>
      <c r="C4025" s="26">
        <v>0.75680000000000003</v>
      </c>
      <c r="D4025" s="26">
        <v>2.7E-2</v>
      </c>
      <c r="E4025" s="26">
        <v>8.1100000000000005E-2</v>
      </c>
      <c r="F4025" s="26">
        <v>8.1100000000000005E-2</v>
      </c>
      <c r="G4025" s="26">
        <v>5.4100000000000002E-2</v>
      </c>
      <c r="H4025" s="26">
        <v>2.7E-2</v>
      </c>
      <c r="J4025">
        <v>37</v>
      </c>
    </row>
    <row r="4026" spans="1:10" x14ac:dyDescent="0.35">
      <c r="A4026" t="s">
        <v>228</v>
      </c>
      <c r="B4026" t="s">
        <v>267</v>
      </c>
      <c r="C4026" s="26">
        <v>0.84650000000000003</v>
      </c>
      <c r="D4026" s="26">
        <v>5.5599999999999997E-2</v>
      </c>
      <c r="E4026" s="26">
        <v>7.5999999999999998E-2</v>
      </c>
      <c r="F4026" s="26">
        <v>5.8999999999999999E-3</v>
      </c>
      <c r="G4026" s="26">
        <v>1.2999999999999999E-2</v>
      </c>
      <c r="H4026" s="26">
        <v>8.9999999999999993E-3</v>
      </c>
      <c r="J4026">
        <v>109</v>
      </c>
    </row>
    <row r="4027" spans="1:10" x14ac:dyDescent="0.35">
      <c r="A4027" t="s">
        <v>228</v>
      </c>
      <c r="B4027" t="s">
        <v>265</v>
      </c>
      <c r="C4027" s="26">
        <v>0.82589999999999997</v>
      </c>
      <c r="D4027" s="26">
        <v>7.0400000000000004E-2</v>
      </c>
      <c r="E4027" s="26">
        <v>6.6199999999999995E-2</v>
      </c>
      <c r="F4027" s="26">
        <v>1.9900000000000001E-2</v>
      </c>
      <c r="G4027" s="26">
        <v>1.8800000000000001E-2</v>
      </c>
      <c r="H4027" s="26">
        <v>1.2500000000000001E-2</v>
      </c>
      <c r="I4027" s="26">
        <v>8.9999999999999998E-4</v>
      </c>
      <c r="J4027">
        <v>255</v>
      </c>
    </row>
    <row r="4028" spans="1:10" x14ac:dyDescent="0.35">
      <c r="A4028" s="27" t="s">
        <v>228</v>
      </c>
      <c r="B4028" s="27" t="s">
        <v>236</v>
      </c>
      <c r="C4028" s="28">
        <v>0.5</v>
      </c>
      <c r="D4028" s="28">
        <v>0.5</v>
      </c>
      <c r="E4028" s="29"/>
      <c r="F4028" s="29"/>
      <c r="G4028" s="29"/>
      <c r="H4028" s="29"/>
      <c r="I4028" s="29"/>
      <c r="J4028" s="29" t="s">
        <v>314</v>
      </c>
    </row>
    <row r="4029" spans="1:10" x14ac:dyDescent="0.35">
      <c r="A4029" t="s">
        <v>228</v>
      </c>
      <c r="B4029" t="s">
        <v>266</v>
      </c>
      <c r="C4029" s="26">
        <v>0.7712</v>
      </c>
      <c r="D4029" s="26">
        <v>8.5900000000000004E-2</v>
      </c>
      <c r="E4029" s="26">
        <v>7.1300000000000002E-2</v>
      </c>
      <c r="F4029" s="26">
        <v>5.1999999999999998E-2</v>
      </c>
      <c r="G4029" s="26">
        <v>2.18E-2</v>
      </c>
      <c r="H4029" s="26">
        <v>3.3700000000000001E-2</v>
      </c>
      <c r="J4029">
        <v>321</v>
      </c>
    </row>
    <row r="4030" spans="1:10" x14ac:dyDescent="0.35">
      <c r="A4030" t="s">
        <v>229</v>
      </c>
      <c r="B4030" t="s">
        <v>266</v>
      </c>
      <c r="C4030" s="26">
        <v>0.81179999999999997</v>
      </c>
      <c r="D4030" s="26">
        <v>4.1700000000000001E-2</v>
      </c>
      <c r="E4030" s="26">
        <v>0.1105</v>
      </c>
      <c r="F4030" s="26">
        <v>1.6299999999999999E-2</v>
      </c>
      <c r="G4030" s="26">
        <v>2.2700000000000001E-2</v>
      </c>
      <c r="H4030" s="26">
        <v>1.34E-2</v>
      </c>
      <c r="I4030" s="26">
        <v>1.5E-3</v>
      </c>
      <c r="J4030">
        <v>221</v>
      </c>
    </row>
    <row r="4031" spans="1:10" x14ac:dyDescent="0.35">
      <c r="A4031" t="s">
        <v>229</v>
      </c>
      <c r="B4031" t="s">
        <v>267</v>
      </c>
      <c r="C4031" s="26">
        <v>0.8478</v>
      </c>
      <c r="D4031" s="26">
        <v>6.83E-2</v>
      </c>
      <c r="E4031" s="26">
        <v>7.1499999999999994E-2</v>
      </c>
      <c r="F4031" s="26">
        <v>2.4799999999999999E-2</v>
      </c>
      <c r="G4031" s="26">
        <v>2.7199999999999998E-2</v>
      </c>
      <c r="H4031" s="26">
        <v>5.0000000000000001E-3</v>
      </c>
      <c r="J4031">
        <v>106</v>
      </c>
    </row>
    <row r="4032" spans="1:10" x14ac:dyDescent="0.35">
      <c r="A4032" t="s">
        <v>229</v>
      </c>
      <c r="B4032" t="s">
        <v>265</v>
      </c>
      <c r="C4032" s="26">
        <v>0.74770000000000003</v>
      </c>
      <c r="D4032" s="26">
        <v>0.09</v>
      </c>
      <c r="E4032" s="26">
        <v>6.8699999999999997E-2</v>
      </c>
      <c r="F4032" s="26">
        <v>6.9099999999999995E-2</v>
      </c>
      <c r="G4032" s="26">
        <v>4.36E-2</v>
      </c>
      <c r="H4032" s="26">
        <v>2.8999999999999998E-3</v>
      </c>
      <c r="I4032" s="26">
        <v>8.8999999999999999E-3</v>
      </c>
      <c r="J4032">
        <v>204</v>
      </c>
    </row>
    <row r="4033" spans="1:10" x14ac:dyDescent="0.35">
      <c r="A4033" t="s">
        <v>230</v>
      </c>
      <c r="B4033" t="s">
        <v>267</v>
      </c>
      <c r="C4033" s="26">
        <v>0.73460000000000003</v>
      </c>
      <c r="D4033" s="26">
        <v>9.3200000000000005E-2</v>
      </c>
      <c r="E4033" s="26">
        <v>0.1002</v>
      </c>
      <c r="F4033" s="26">
        <v>1.4E-2</v>
      </c>
      <c r="G4033" s="26">
        <v>9.9900000000000003E-2</v>
      </c>
      <c r="J4033">
        <v>69</v>
      </c>
    </row>
    <row r="4034" spans="1:10" x14ac:dyDescent="0.35">
      <c r="A4034" t="s">
        <v>230</v>
      </c>
      <c r="B4034" t="s">
        <v>266</v>
      </c>
      <c r="C4034" s="26">
        <v>0.87050000000000005</v>
      </c>
      <c r="D4034" s="26">
        <v>3.95E-2</v>
      </c>
      <c r="E4034" s="26">
        <v>1.5599999999999999E-2</v>
      </c>
      <c r="F4034" s="26">
        <v>4.58E-2</v>
      </c>
      <c r="G4034" s="26">
        <v>4.1000000000000002E-2</v>
      </c>
      <c r="H4034" s="26">
        <v>1.1599999999999999E-2</v>
      </c>
      <c r="J4034">
        <v>156</v>
      </c>
    </row>
    <row r="4035" spans="1:10" x14ac:dyDescent="0.35">
      <c r="A4035" t="s">
        <v>230</v>
      </c>
      <c r="B4035" t="s">
        <v>265</v>
      </c>
      <c r="C4035" s="26">
        <v>0.76270000000000004</v>
      </c>
      <c r="D4035" s="26">
        <v>0.11940000000000001</v>
      </c>
      <c r="E4035" s="26">
        <v>9.1399999999999995E-2</v>
      </c>
      <c r="F4035" s="26">
        <v>4.7300000000000002E-2</v>
      </c>
      <c r="G4035" s="26">
        <v>1.9900000000000001E-2</v>
      </c>
      <c r="H4035" s="26">
        <v>3.3E-3</v>
      </c>
      <c r="J4035">
        <v>136</v>
      </c>
    </row>
    <row r="4036" spans="1:10" x14ac:dyDescent="0.35">
      <c r="A4036" s="27" t="s">
        <v>231</v>
      </c>
      <c r="B4036" s="27" t="s">
        <v>267</v>
      </c>
      <c r="C4036" s="28">
        <v>0.8125</v>
      </c>
      <c r="D4036" s="28">
        <v>6.25E-2</v>
      </c>
      <c r="E4036" s="28">
        <v>6.25E-2</v>
      </c>
      <c r="F4036" s="28">
        <v>0.125</v>
      </c>
      <c r="G4036" s="29"/>
      <c r="H4036" s="29"/>
      <c r="I4036" s="29"/>
      <c r="J4036" s="29" t="s">
        <v>348</v>
      </c>
    </row>
    <row r="4037" spans="1:10" x14ac:dyDescent="0.35">
      <c r="A4037" t="s">
        <v>231</v>
      </c>
      <c r="B4037" t="s">
        <v>266</v>
      </c>
      <c r="C4037" s="26">
        <v>0.82499999999999996</v>
      </c>
      <c r="D4037" s="26">
        <v>7.4999999999999997E-2</v>
      </c>
      <c r="E4037" s="26">
        <v>2.5000000000000001E-2</v>
      </c>
      <c r="F4037" s="26">
        <v>2.5000000000000001E-2</v>
      </c>
      <c r="H4037" s="26">
        <v>2.5000000000000001E-2</v>
      </c>
      <c r="I4037" s="26">
        <v>2.5000000000000001E-2</v>
      </c>
      <c r="J4037">
        <v>40</v>
      </c>
    </row>
    <row r="4038" spans="1:10" x14ac:dyDescent="0.35">
      <c r="A4038" t="s">
        <v>231</v>
      </c>
      <c r="B4038" t="s">
        <v>265</v>
      </c>
      <c r="C4038" s="26">
        <v>0.61360000000000003</v>
      </c>
      <c r="D4038" s="26">
        <v>0.20449999999999999</v>
      </c>
      <c r="E4038" s="26">
        <v>0.11360000000000001</v>
      </c>
      <c r="F4038" s="26">
        <v>0.11360000000000001</v>
      </c>
      <c r="G4038" s="26">
        <v>2.2700000000000001E-2</v>
      </c>
      <c r="H4038" s="26">
        <v>4.5499999999999999E-2</v>
      </c>
      <c r="J4038">
        <v>44</v>
      </c>
    </row>
    <row r="4039" spans="1:10" x14ac:dyDescent="0.35">
      <c r="A4039" t="s">
        <v>232</v>
      </c>
      <c r="B4039" t="s">
        <v>232</v>
      </c>
      <c r="C4039" s="26">
        <v>0.78029999999999999</v>
      </c>
      <c r="D4039" s="26">
        <v>8.4000000000000005E-2</v>
      </c>
      <c r="E4039" s="26">
        <v>7.5899999999999995E-2</v>
      </c>
      <c r="F4039" s="26">
        <v>4.8500000000000001E-2</v>
      </c>
      <c r="G4039" s="26">
        <v>2.5100000000000001E-2</v>
      </c>
      <c r="H4039" s="26">
        <v>1.6400000000000001E-2</v>
      </c>
      <c r="I4039" s="26">
        <v>5.5999999999999999E-3</v>
      </c>
      <c r="J4039">
        <v>1769</v>
      </c>
    </row>
    <row r="4041" spans="1:10" x14ac:dyDescent="0.35">
      <c r="A4041" s="1" t="s">
        <v>658</v>
      </c>
    </row>
    <row r="4042" spans="1:10" x14ac:dyDescent="0.35">
      <c r="A4042" t="s">
        <v>219</v>
      </c>
      <c r="B4042" t="s">
        <v>305</v>
      </c>
      <c r="C4042" t="s">
        <v>302</v>
      </c>
      <c r="D4042" t="s">
        <v>648</v>
      </c>
      <c r="E4042" t="s">
        <v>649</v>
      </c>
      <c r="F4042" t="s">
        <v>650</v>
      </c>
      <c r="G4042" t="s">
        <v>651</v>
      </c>
      <c r="H4042" t="s">
        <v>652</v>
      </c>
      <c r="I4042" t="s">
        <v>281</v>
      </c>
      <c r="J4042" t="s">
        <v>226</v>
      </c>
    </row>
    <row r="4043" spans="1:10" x14ac:dyDescent="0.35">
      <c r="A4043" s="27" t="s">
        <v>227</v>
      </c>
      <c r="B4043" s="27" t="s">
        <v>252</v>
      </c>
      <c r="C4043" s="28">
        <v>0.8276</v>
      </c>
      <c r="D4043" s="29"/>
      <c r="E4043" s="28">
        <v>0.13789999999999999</v>
      </c>
      <c r="F4043" s="29"/>
      <c r="G4043" s="28">
        <v>3.4500000000000003E-2</v>
      </c>
      <c r="H4043" s="28">
        <v>3.4500000000000003E-2</v>
      </c>
      <c r="I4043" s="29"/>
      <c r="J4043" s="29" t="s">
        <v>329</v>
      </c>
    </row>
    <row r="4044" spans="1:10" x14ac:dyDescent="0.35">
      <c r="A4044" s="27" t="s">
        <v>227</v>
      </c>
      <c r="B4044" s="27" t="s">
        <v>253</v>
      </c>
      <c r="C4044" s="28">
        <v>0.95650000000000002</v>
      </c>
      <c r="D4044" s="29"/>
      <c r="E4044" s="28">
        <v>4.3499999999999997E-2</v>
      </c>
      <c r="F4044" s="29"/>
      <c r="G4044" s="29"/>
      <c r="H4044" s="29"/>
      <c r="I4044" s="29"/>
      <c r="J4044" s="29" t="s">
        <v>328</v>
      </c>
    </row>
    <row r="4045" spans="1:10" x14ac:dyDescent="0.35">
      <c r="A4045" t="s">
        <v>227</v>
      </c>
      <c r="B4045" t="s">
        <v>251</v>
      </c>
      <c r="C4045" s="26">
        <v>0.71050000000000002</v>
      </c>
      <c r="D4045" s="26">
        <v>7.8899999999999998E-2</v>
      </c>
      <c r="E4045" s="26">
        <v>7.8899999999999998E-2</v>
      </c>
      <c r="F4045" s="26">
        <v>7.8899999999999998E-2</v>
      </c>
      <c r="G4045" s="26">
        <v>5.2600000000000001E-2</v>
      </c>
      <c r="I4045" s="26">
        <v>2.63E-2</v>
      </c>
      <c r="J4045">
        <v>38</v>
      </c>
    </row>
    <row r="4046" spans="1:10" x14ac:dyDescent="0.35">
      <c r="A4046" t="s">
        <v>228</v>
      </c>
      <c r="B4046" t="s">
        <v>252</v>
      </c>
      <c r="C4046" s="26">
        <v>0.82199999999999995</v>
      </c>
      <c r="D4046" s="26">
        <v>3.4500000000000003E-2</v>
      </c>
      <c r="E4046" s="26">
        <v>0.10539999999999999</v>
      </c>
      <c r="F4046" s="26">
        <v>2.8000000000000001E-2</v>
      </c>
      <c r="G4046" s="26">
        <v>1.1299999999999999E-2</v>
      </c>
      <c r="H4046" s="26">
        <v>1.04E-2</v>
      </c>
      <c r="I4046" s="26">
        <v>1.1000000000000001E-3</v>
      </c>
      <c r="J4046">
        <v>260</v>
      </c>
    </row>
    <row r="4047" spans="1:10" x14ac:dyDescent="0.35">
      <c r="A4047" t="s">
        <v>228</v>
      </c>
      <c r="B4047" t="s">
        <v>253</v>
      </c>
      <c r="C4047" s="26">
        <v>0.76819999999999999</v>
      </c>
      <c r="D4047" s="26">
        <v>0.1208</v>
      </c>
      <c r="E4047" s="26">
        <v>5.9900000000000002E-2</v>
      </c>
      <c r="F4047" s="26">
        <v>3.8100000000000002E-2</v>
      </c>
      <c r="G4047" s="26">
        <v>3.78E-2</v>
      </c>
      <c r="H4047" s="26">
        <v>3.8199999999999998E-2</v>
      </c>
      <c r="J4047">
        <v>157</v>
      </c>
    </row>
    <row r="4048" spans="1:10" x14ac:dyDescent="0.35">
      <c r="A4048" t="s">
        <v>228</v>
      </c>
      <c r="B4048" t="s">
        <v>251</v>
      </c>
      <c r="C4048" s="26">
        <v>0.80459999999999998</v>
      </c>
      <c r="D4048" s="26">
        <v>9.3899999999999997E-2</v>
      </c>
      <c r="E4048" s="26">
        <v>4.4200000000000003E-2</v>
      </c>
      <c r="F4048" s="26">
        <v>3.0200000000000001E-2</v>
      </c>
      <c r="G4048" s="26">
        <v>1.5299999999999999E-2</v>
      </c>
      <c r="H4048" s="26">
        <v>2.01E-2</v>
      </c>
      <c r="J4048">
        <v>270</v>
      </c>
    </row>
    <row r="4049" spans="1:10" x14ac:dyDescent="0.35">
      <c r="A4049" t="s">
        <v>229</v>
      </c>
      <c r="B4049" t="s">
        <v>252</v>
      </c>
      <c r="C4049" s="26">
        <v>0.88429999999999997</v>
      </c>
      <c r="E4049" s="26">
        <v>4.9399999999999999E-2</v>
      </c>
      <c r="G4049" s="26">
        <v>4.0599999999999997E-2</v>
      </c>
      <c r="H4049" s="26">
        <v>2.5600000000000001E-2</v>
      </c>
      <c r="I4049" s="26">
        <v>2.0999999999999999E-3</v>
      </c>
      <c r="J4049">
        <v>140</v>
      </c>
    </row>
    <row r="4050" spans="1:10" x14ac:dyDescent="0.35">
      <c r="A4050" t="s">
        <v>229</v>
      </c>
      <c r="B4050" t="s">
        <v>253</v>
      </c>
      <c r="C4050" s="26">
        <v>0.87990000000000002</v>
      </c>
      <c r="D4050" s="26">
        <v>4.3299999999999998E-2</v>
      </c>
      <c r="E4050" s="26">
        <v>7.0999999999999994E-2</v>
      </c>
      <c r="F4050" s="26">
        <v>1.9599999999999999E-2</v>
      </c>
      <c r="G4050" s="26">
        <v>2.3E-3</v>
      </c>
      <c r="H4050" s="26">
        <v>1.1999999999999999E-3</v>
      </c>
      <c r="J4050">
        <v>109</v>
      </c>
    </row>
    <row r="4051" spans="1:10" x14ac:dyDescent="0.35">
      <c r="A4051" t="s">
        <v>229</v>
      </c>
      <c r="B4051" t="s">
        <v>251</v>
      </c>
      <c r="C4051" s="26">
        <v>0.71079999999999999</v>
      </c>
      <c r="D4051" s="26">
        <v>0.1106</v>
      </c>
      <c r="E4051" s="26">
        <v>0.1052</v>
      </c>
      <c r="F4051" s="26">
        <v>6.9500000000000006E-2</v>
      </c>
      <c r="G4051" s="26">
        <v>4.2299999999999997E-2</v>
      </c>
      <c r="H4051" s="26">
        <v>1E-3</v>
      </c>
      <c r="I4051" s="26">
        <v>7.3000000000000001E-3</v>
      </c>
      <c r="J4051">
        <v>282</v>
      </c>
    </row>
    <row r="4052" spans="1:10" x14ac:dyDescent="0.35">
      <c r="A4052" t="s">
        <v>230</v>
      </c>
      <c r="B4052" t="s">
        <v>252</v>
      </c>
      <c r="C4052" s="26">
        <v>0.83209999999999995</v>
      </c>
      <c r="D4052" s="26">
        <v>2.4299999999999999E-2</v>
      </c>
      <c r="E4052" s="26">
        <v>8.3000000000000004E-2</v>
      </c>
      <c r="F4052" s="26">
        <v>1.29E-2</v>
      </c>
      <c r="G4052" s="26">
        <v>7.1300000000000002E-2</v>
      </c>
      <c r="H4052" s="26">
        <v>1.44E-2</v>
      </c>
      <c r="J4052">
        <v>110</v>
      </c>
    </row>
    <row r="4053" spans="1:10" x14ac:dyDescent="0.35">
      <c r="A4053" t="s">
        <v>230</v>
      </c>
      <c r="B4053" t="s">
        <v>253</v>
      </c>
      <c r="C4053" s="26">
        <v>0.8367</v>
      </c>
      <c r="D4053" s="26">
        <v>1.5299999999999999E-2</v>
      </c>
      <c r="E4053" s="26">
        <v>0.13389999999999999</v>
      </c>
      <c r="F4053" s="26">
        <v>9.1000000000000004E-3</v>
      </c>
      <c r="G4053" s="26">
        <v>7.0000000000000001E-3</v>
      </c>
      <c r="J4053">
        <v>80</v>
      </c>
    </row>
    <row r="4054" spans="1:10" x14ac:dyDescent="0.35">
      <c r="A4054" t="s">
        <v>230</v>
      </c>
      <c r="B4054" t="s">
        <v>251</v>
      </c>
      <c r="C4054" s="26">
        <v>0.76559999999999995</v>
      </c>
      <c r="D4054" s="26">
        <v>0.14149999999999999</v>
      </c>
      <c r="E4054" s="26">
        <v>2.75E-2</v>
      </c>
      <c r="F4054" s="26">
        <v>6.6500000000000004E-2</v>
      </c>
      <c r="G4054" s="26">
        <v>4.3299999999999998E-2</v>
      </c>
      <c r="H4054" s="26">
        <v>3.5000000000000001E-3</v>
      </c>
      <c r="J4054">
        <v>171</v>
      </c>
    </row>
    <row r="4055" spans="1:10" x14ac:dyDescent="0.35">
      <c r="A4055" t="s">
        <v>231</v>
      </c>
      <c r="B4055" t="s">
        <v>252</v>
      </c>
      <c r="C4055" s="26">
        <v>0.71879999999999999</v>
      </c>
      <c r="D4055" s="26">
        <v>0.125</v>
      </c>
      <c r="E4055" s="26">
        <v>0.125</v>
      </c>
      <c r="F4055" s="26">
        <v>3.1199999999999999E-2</v>
      </c>
      <c r="H4055" s="26">
        <v>6.25E-2</v>
      </c>
      <c r="J4055">
        <v>32</v>
      </c>
    </row>
    <row r="4056" spans="1:10" x14ac:dyDescent="0.35">
      <c r="A4056" s="27" t="s">
        <v>231</v>
      </c>
      <c r="B4056" s="27" t="s">
        <v>253</v>
      </c>
      <c r="C4056" s="28">
        <v>0.7</v>
      </c>
      <c r="D4056" s="28">
        <v>0.05</v>
      </c>
      <c r="E4056" s="28">
        <v>0.05</v>
      </c>
      <c r="F4056" s="28">
        <v>0.2</v>
      </c>
      <c r="G4056" s="29"/>
      <c r="H4056" s="29"/>
      <c r="I4056" s="28">
        <v>0.05</v>
      </c>
      <c r="J4056" s="29" t="s">
        <v>350</v>
      </c>
    </row>
    <row r="4057" spans="1:10" x14ac:dyDescent="0.35">
      <c r="A4057" t="s">
        <v>231</v>
      </c>
      <c r="B4057" t="s">
        <v>251</v>
      </c>
      <c r="C4057" s="26">
        <v>0.75</v>
      </c>
      <c r="D4057" s="26">
        <v>0.16669999999999999</v>
      </c>
      <c r="E4057" s="26">
        <v>4.1700000000000001E-2</v>
      </c>
      <c r="F4057" s="26">
        <v>6.25E-2</v>
      </c>
      <c r="G4057" s="26">
        <v>2.0799999999999999E-2</v>
      </c>
      <c r="H4057" s="26">
        <v>2.0799999999999999E-2</v>
      </c>
      <c r="J4057">
        <v>48</v>
      </c>
    </row>
    <row r="4058" spans="1:10" x14ac:dyDescent="0.35">
      <c r="A4058" t="s">
        <v>232</v>
      </c>
      <c r="B4058" t="s">
        <v>232</v>
      </c>
      <c r="C4058" s="26">
        <v>0.78029999999999999</v>
      </c>
      <c r="D4058" s="26">
        <v>8.4000000000000005E-2</v>
      </c>
      <c r="E4058" s="26">
        <v>7.5899999999999995E-2</v>
      </c>
      <c r="F4058" s="26">
        <v>4.8500000000000001E-2</v>
      </c>
      <c r="G4058" s="26">
        <v>2.5100000000000001E-2</v>
      </c>
      <c r="H4058" s="26">
        <v>1.6400000000000001E-2</v>
      </c>
      <c r="I4058" s="26">
        <v>5.5999999999999999E-3</v>
      </c>
      <c r="J4058">
        <v>1769</v>
      </c>
    </row>
    <row r="4060" spans="1:10" x14ac:dyDescent="0.35">
      <c r="A4060" s="1" t="s">
        <v>659</v>
      </c>
    </row>
    <row r="4061" spans="1:10" x14ac:dyDescent="0.35">
      <c r="A4061" t="s">
        <v>219</v>
      </c>
      <c r="B4061" t="s">
        <v>305</v>
      </c>
      <c r="C4061" t="s">
        <v>302</v>
      </c>
      <c r="D4061" t="s">
        <v>648</v>
      </c>
      <c r="E4061" t="s">
        <v>649</v>
      </c>
      <c r="F4061" t="s">
        <v>650</v>
      </c>
      <c r="G4061" t="s">
        <v>651</v>
      </c>
      <c r="H4061" t="s">
        <v>652</v>
      </c>
      <c r="I4061" t="s">
        <v>281</v>
      </c>
      <c r="J4061" t="s">
        <v>226</v>
      </c>
    </row>
    <row r="4062" spans="1:10" x14ac:dyDescent="0.35">
      <c r="A4062" s="27" t="s">
        <v>227</v>
      </c>
      <c r="B4062" s="27" t="s">
        <v>249</v>
      </c>
      <c r="C4062" s="28">
        <v>0.83330000000000004</v>
      </c>
      <c r="D4062" s="28">
        <v>8.3299999999999999E-2</v>
      </c>
      <c r="E4062" s="28">
        <v>4.1700000000000001E-2</v>
      </c>
      <c r="F4062" s="29"/>
      <c r="G4062" s="28">
        <v>4.1700000000000001E-2</v>
      </c>
      <c r="H4062" s="29"/>
      <c r="I4062" s="29"/>
      <c r="J4062" s="29" t="s">
        <v>310</v>
      </c>
    </row>
    <row r="4063" spans="1:10" x14ac:dyDescent="0.35">
      <c r="A4063" t="s">
        <v>227</v>
      </c>
      <c r="B4063" t="s">
        <v>248</v>
      </c>
      <c r="C4063" s="26">
        <v>0.80300000000000005</v>
      </c>
      <c r="D4063" s="26">
        <v>1.52E-2</v>
      </c>
      <c r="E4063" s="26">
        <v>0.1061</v>
      </c>
      <c r="F4063" s="26">
        <v>4.5499999999999999E-2</v>
      </c>
      <c r="G4063" s="26">
        <v>3.0300000000000001E-2</v>
      </c>
      <c r="H4063" s="26">
        <v>1.52E-2</v>
      </c>
      <c r="I4063" s="26">
        <v>1.52E-2</v>
      </c>
      <c r="J4063">
        <v>66</v>
      </c>
    </row>
    <row r="4064" spans="1:10" x14ac:dyDescent="0.35">
      <c r="A4064" t="s">
        <v>228</v>
      </c>
      <c r="B4064" t="s">
        <v>249</v>
      </c>
      <c r="C4064" s="26">
        <v>0.77270000000000005</v>
      </c>
      <c r="D4064" s="26">
        <v>0.1384</v>
      </c>
      <c r="E4064" s="26">
        <v>2.76E-2</v>
      </c>
      <c r="F4064" s="26">
        <v>3.2899999999999999E-2</v>
      </c>
      <c r="G4064" s="26">
        <v>1.52E-2</v>
      </c>
      <c r="H4064" s="26">
        <v>2.23E-2</v>
      </c>
      <c r="J4064">
        <v>165</v>
      </c>
    </row>
    <row r="4065" spans="1:10" x14ac:dyDescent="0.35">
      <c r="A4065" t="s">
        <v>228</v>
      </c>
      <c r="B4065" t="s">
        <v>248</v>
      </c>
      <c r="C4065" s="26">
        <v>0.81389999999999996</v>
      </c>
      <c r="D4065" s="26">
        <v>5.6399999999999999E-2</v>
      </c>
      <c r="E4065" s="26">
        <v>8.5099999999999995E-2</v>
      </c>
      <c r="F4065" s="26">
        <v>3.0599999999999999E-2</v>
      </c>
      <c r="G4065" s="26">
        <v>2.0500000000000001E-2</v>
      </c>
      <c r="H4065" s="26">
        <v>2.0199999999999999E-2</v>
      </c>
      <c r="I4065" s="26">
        <v>5.0000000000000001E-4</v>
      </c>
      <c r="J4065">
        <v>522</v>
      </c>
    </row>
    <row r="4066" spans="1:10" x14ac:dyDescent="0.35">
      <c r="A4066" t="s">
        <v>229</v>
      </c>
      <c r="B4066" t="s">
        <v>249</v>
      </c>
      <c r="C4066" s="26">
        <v>0.64300000000000002</v>
      </c>
      <c r="D4066" s="26">
        <v>0.13220000000000001</v>
      </c>
      <c r="E4066" s="26">
        <v>0.1234</v>
      </c>
      <c r="F4066" s="26">
        <v>8.9899999999999994E-2</v>
      </c>
      <c r="G4066" s="26">
        <v>7.3400000000000007E-2</v>
      </c>
      <c r="H4066" s="26">
        <v>2.5000000000000001E-3</v>
      </c>
      <c r="J4066">
        <v>152</v>
      </c>
    </row>
    <row r="4067" spans="1:10" x14ac:dyDescent="0.35">
      <c r="A4067" t="s">
        <v>229</v>
      </c>
      <c r="B4067" t="s">
        <v>248</v>
      </c>
      <c r="C4067" s="26">
        <v>0.85650000000000004</v>
      </c>
      <c r="D4067" s="26">
        <v>4.0399999999999998E-2</v>
      </c>
      <c r="E4067" s="26">
        <v>6.6500000000000004E-2</v>
      </c>
      <c r="F4067" s="26">
        <v>1.9900000000000001E-2</v>
      </c>
      <c r="G4067" s="26">
        <v>1.4999999999999999E-2</v>
      </c>
      <c r="H4067" s="26">
        <v>8.9999999999999993E-3</v>
      </c>
      <c r="I4067" s="26">
        <v>6.4000000000000003E-3</v>
      </c>
      <c r="J4067">
        <v>379</v>
      </c>
    </row>
    <row r="4068" spans="1:10" x14ac:dyDescent="0.35">
      <c r="A4068" t="s">
        <v>230</v>
      </c>
      <c r="B4068" t="s">
        <v>249</v>
      </c>
      <c r="C4068" s="26">
        <v>0.79679999999999995</v>
      </c>
      <c r="D4068" s="26">
        <v>8.3699999999999997E-2</v>
      </c>
      <c r="E4068" s="26">
        <v>3.56E-2</v>
      </c>
      <c r="F4068" s="26">
        <v>7.2599999999999998E-2</v>
      </c>
      <c r="G4068" s="26">
        <v>5.7200000000000001E-2</v>
      </c>
      <c r="J4068">
        <v>110</v>
      </c>
    </row>
    <row r="4069" spans="1:10" x14ac:dyDescent="0.35">
      <c r="A4069" t="s">
        <v>230</v>
      </c>
      <c r="B4069" t="s">
        <v>248</v>
      </c>
      <c r="C4069" s="26">
        <v>0.79920000000000002</v>
      </c>
      <c r="D4069" s="26">
        <v>8.3699999999999997E-2</v>
      </c>
      <c r="E4069" s="26">
        <v>8.0500000000000002E-2</v>
      </c>
      <c r="F4069" s="26">
        <v>2.1600000000000001E-2</v>
      </c>
      <c r="G4069" s="26">
        <v>3.6200000000000003E-2</v>
      </c>
      <c r="H4069" s="26">
        <v>9.1999999999999998E-3</v>
      </c>
      <c r="J4069">
        <v>251</v>
      </c>
    </row>
    <row r="4070" spans="1:10" x14ac:dyDescent="0.35">
      <c r="A4070" s="27" t="s">
        <v>231</v>
      </c>
      <c r="B4070" s="27" t="s">
        <v>249</v>
      </c>
      <c r="C4070" s="28">
        <v>0.85709999999999997</v>
      </c>
      <c r="D4070" s="28">
        <v>0.1429</v>
      </c>
      <c r="E4070" s="29"/>
      <c r="F4070" s="28">
        <v>4.7600000000000003E-2</v>
      </c>
      <c r="G4070" s="29"/>
      <c r="H4070" s="29"/>
      <c r="I4070" s="29"/>
      <c r="J4070" s="29" t="s">
        <v>351</v>
      </c>
    </row>
    <row r="4071" spans="1:10" x14ac:dyDescent="0.35">
      <c r="A4071" t="s">
        <v>231</v>
      </c>
      <c r="B4071" t="s">
        <v>248</v>
      </c>
      <c r="C4071" s="26">
        <v>0.69620000000000004</v>
      </c>
      <c r="D4071" s="26">
        <v>0.12659999999999999</v>
      </c>
      <c r="E4071" s="26">
        <v>8.8599999999999998E-2</v>
      </c>
      <c r="F4071" s="26">
        <v>8.8599999999999998E-2</v>
      </c>
      <c r="G4071" s="26">
        <v>1.2699999999999999E-2</v>
      </c>
      <c r="H4071" s="26">
        <v>3.7999999999999999E-2</v>
      </c>
      <c r="I4071" s="26">
        <v>1.2699999999999999E-2</v>
      </c>
      <c r="J4071">
        <v>79</v>
      </c>
    </row>
    <row r="4072" spans="1:10" x14ac:dyDescent="0.35">
      <c r="A4072" t="s">
        <v>232</v>
      </c>
      <c r="B4072" t="s">
        <v>232</v>
      </c>
      <c r="C4072" s="26">
        <v>0.78029999999999999</v>
      </c>
      <c r="D4072" s="26">
        <v>8.4000000000000005E-2</v>
      </c>
      <c r="E4072" s="26">
        <v>7.5899999999999995E-2</v>
      </c>
      <c r="F4072" s="26">
        <v>4.8500000000000001E-2</v>
      </c>
      <c r="G4072" s="26">
        <v>2.5100000000000001E-2</v>
      </c>
      <c r="H4072" s="26">
        <v>1.6400000000000001E-2</v>
      </c>
      <c r="I4072" s="26">
        <v>5.5999999999999999E-3</v>
      </c>
      <c r="J4072">
        <v>1769</v>
      </c>
    </row>
    <row r="4074" spans="1:10" x14ac:dyDescent="0.35">
      <c r="A4074" s="1" t="s">
        <v>660</v>
      </c>
    </row>
    <row r="4075" spans="1:10" x14ac:dyDescent="0.35">
      <c r="A4075" t="s">
        <v>219</v>
      </c>
      <c r="B4075" t="s">
        <v>305</v>
      </c>
      <c r="C4075" t="s">
        <v>302</v>
      </c>
      <c r="D4075" t="s">
        <v>648</v>
      </c>
      <c r="E4075" t="s">
        <v>649</v>
      </c>
      <c r="F4075" t="s">
        <v>650</v>
      </c>
      <c r="G4075" t="s">
        <v>651</v>
      </c>
      <c r="H4075" t="s">
        <v>652</v>
      </c>
      <c r="I4075" t="s">
        <v>281</v>
      </c>
      <c r="J4075" t="s">
        <v>226</v>
      </c>
    </row>
    <row r="4076" spans="1:10" x14ac:dyDescent="0.35">
      <c r="A4076" s="27" t="s">
        <v>227</v>
      </c>
      <c r="B4076" s="27" t="s">
        <v>263</v>
      </c>
      <c r="C4076" s="29"/>
      <c r="D4076" s="28">
        <v>1</v>
      </c>
      <c r="E4076" s="29"/>
      <c r="F4076" s="29"/>
      <c r="G4076" s="29"/>
      <c r="H4076" s="29"/>
      <c r="I4076" s="29"/>
      <c r="J4076" s="29" t="s">
        <v>331</v>
      </c>
    </row>
    <row r="4077" spans="1:10" x14ac:dyDescent="0.35">
      <c r="A4077" t="s">
        <v>227</v>
      </c>
      <c r="B4077" t="s">
        <v>260</v>
      </c>
      <c r="C4077" s="26">
        <v>0.76190000000000002</v>
      </c>
      <c r="D4077" s="26">
        <v>3.1699999999999999E-2</v>
      </c>
      <c r="E4077" s="26">
        <v>0.127</v>
      </c>
      <c r="F4077" s="26">
        <v>3.1699999999999999E-2</v>
      </c>
      <c r="G4077" s="26">
        <v>4.7600000000000003E-2</v>
      </c>
      <c r="H4077" s="26">
        <v>1.5900000000000001E-2</v>
      </c>
      <c r="I4077" s="26">
        <v>1.5900000000000001E-2</v>
      </c>
      <c r="J4077">
        <v>63</v>
      </c>
    </row>
    <row r="4078" spans="1:10" x14ac:dyDescent="0.35">
      <c r="A4078" s="27" t="s">
        <v>227</v>
      </c>
      <c r="B4078" s="27" t="s">
        <v>261</v>
      </c>
      <c r="C4078" s="28">
        <v>0.95830000000000004</v>
      </c>
      <c r="D4078" s="29"/>
      <c r="E4078" s="29"/>
      <c r="F4078" s="28">
        <v>4.1700000000000001E-2</v>
      </c>
      <c r="G4078" s="29"/>
      <c r="H4078" s="29"/>
      <c r="I4078" s="29"/>
      <c r="J4078" s="29" t="s">
        <v>310</v>
      </c>
    </row>
    <row r="4079" spans="1:10" x14ac:dyDescent="0.35">
      <c r="A4079" s="27" t="s">
        <v>227</v>
      </c>
      <c r="B4079" s="27" t="s">
        <v>262</v>
      </c>
      <c r="C4079" s="28">
        <v>1</v>
      </c>
      <c r="D4079" s="29"/>
      <c r="E4079" s="29"/>
      <c r="F4079" s="29"/>
      <c r="G4079" s="29"/>
      <c r="H4079" s="29"/>
      <c r="I4079" s="29"/>
      <c r="J4079" s="29" t="s">
        <v>314</v>
      </c>
    </row>
    <row r="4080" spans="1:10" x14ac:dyDescent="0.35">
      <c r="A4080" s="27" t="s">
        <v>228</v>
      </c>
      <c r="B4080" s="27" t="s">
        <v>236</v>
      </c>
      <c r="C4080" s="28">
        <v>0.85060000000000002</v>
      </c>
      <c r="D4080" s="28">
        <v>0.14940000000000001</v>
      </c>
      <c r="E4080" s="28">
        <v>0.14940000000000001</v>
      </c>
      <c r="F4080" s="29"/>
      <c r="G4080" s="29"/>
      <c r="H4080" s="29"/>
      <c r="I4080" s="29"/>
      <c r="J4080" s="29" t="s">
        <v>337</v>
      </c>
    </row>
    <row r="4081" spans="1:10" x14ac:dyDescent="0.35">
      <c r="A4081" t="s">
        <v>228</v>
      </c>
      <c r="B4081" t="s">
        <v>261</v>
      </c>
      <c r="C4081" s="26">
        <v>0.72909999999999997</v>
      </c>
      <c r="D4081" s="26">
        <v>0.1278</v>
      </c>
      <c r="E4081" s="26">
        <v>4.7500000000000001E-2</v>
      </c>
      <c r="F4081" s="26">
        <v>4.1799999999999997E-2</v>
      </c>
      <c r="G4081" s="26">
        <v>2.12E-2</v>
      </c>
      <c r="H4081" s="26">
        <v>5.6899999999999999E-2</v>
      </c>
      <c r="J4081">
        <v>149</v>
      </c>
    </row>
    <row r="4082" spans="1:10" x14ac:dyDescent="0.35">
      <c r="A4082" t="s">
        <v>228</v>
      </c>
      <c r="B4082" t="s">
        <v>262</v>
      </c>
      <c r="C4082" s="26">
        <v>0.7994</v>
      </c>
      <c r="D4082" s="26">
        <v>0.1197</v>
      </c>
      <c r="E4082" s="26">
        <v>3.1300000000000001E-2</v>
      </c>
      <c r="F4082" s="26">
        <v>5.5199999999999999E-2</v>
      </c>
      <c r="G4082" s="26">
        <v>2.53E-2</v>
      </c>
      <c r="H4082" s="26">
        <v>4.5999999999999999E-3</v>
      </c>
      <c r="I4082" s="26">
        <v>2E-3</v>
      </c>
      <c r="J4082">
        <v>147</v>
      </c>
    </row>
    <row r="4083" spans="1:10" x14ac:dyDescent="0.35">
      <c r="A4083" t="s">
        <v>228</v>
      </c>
      <c r="B4083" t="s">
        <v>260</v>
      </c>
      <c r="C4083" s="26">
        <v>0.82899999999999996</v>
      </c>
      <c r="D4083" s="26">
        <v>4.7300000000000002E-2</v>
      </c>
      <c r="E4083" s="26">
        <v>8.8999999999999996E-2</v>
      </c>
      <c r="F4083" s="26">
        <v>2.1000000000000001E-2</v>
      </c>
      <c r="G4083" s="26">
        <v>1.6E-2</v>
      </c>
      <c r="H4083" s="26">
        <v>1.2999999999999999E-2</v>
      </c>
      <c r="J4083">
        <v>368</v>
      </c>
    </row>
    <row r="4084" spans="1:10" x14ac:dyDescent="0.35">
      <c r="A4084" s="27" t="s">
        <v>228</v>
      </c>
      <c r="B4084" s="27" t="s">
        <v>263</v>
      </c>
      <c r="C4084" s="28">
        <v>0.83979999999999999</v>
      </c>
      <c r="D4084" s="28">
        <v>5.74E-2</v>
      </c>
      <c r="E4084" s="28">
        <v>5.74E-2</v>
      </c>
      <c r="F4084" s="29"/>
      <c r="G4084" s="28">
        <v>2.86E-2</v>
      </c>
      <c r="H4084" s="28">
        <v>1.67E-2</v>
      </c>
      <c r="I4084" s="29"/>
      <c r="J4084" s="29" t="s">
        <v>349</v>
      </c>
    </row>
    <row r="4085" spans="1:10" x14ac:dyDescent="0.35">
      <c r="A4085" s="27" t="s">
        <v>229</v>
      </c>
      <c r="B4085" s="27" t="s">
        <v>263</v>
      </c>
      <c r="C4085" s="28">
        <v>0.65339999999999998</v>
      </c>
      <c r="D4085" s="28">
        <v>1.95E-2</v>
      </c>
      <c r="E4085" s="29"/>
      <c r="F4085" s="29"/>
      <c r="G4085" s="29"/>
      <c r="H4085" s="28">
        <v>0.17810000000000001</v>
      </c>
      <c r="I4085" s="28">
        <v>0.1489</v>
      </c>
      <c r="J4085" s="29" t="s">
        <v>334</v>
      </c>
    </row>
    <row r="4086" spans="1:10" x14ac:dyDescent="0.35">
      <c r="A4086" t="s">
        <v>229</v>
      </c>
      <c r="B4086" t="s">
        <v>262</v>
      </c>
      <c r="C4086" s="26">
        <v>0.7409</v>
      </c>
      <c r="D4086" s="26">
        <v>0.1065</v>
      </c>
      <c r="E4086" s="26">
        <v>8.8800000000000004E-2</v>
      </c>
      <c r="F4086" s="26">
        <v>6.8199999999999997E-2</v>
      </c>
      <c r="G4086" s="26">
        <v>4.7899999999999998E-2</v>
      </c>
      <c r="H4086" s="26">
        <v>3.3E-3</v>
      </c>
      <c r="J4086">
        <v>130</v>
      </c>
    </row>
    <row r="4087" spans="1:10" x14ac:dyDescent="0.35">
      <c r="A4087" t="s">
        <v>229</v>
      </c>
      <c r="B4087" t="s">
        <v>260</v>
      </c>
      <c r="C4087" s="26">
        <v>0.82379999999999998</v>
      </c>
      <c r="D4087" s="26">
        <v>4.2500000000000003E-2</v>
      </c>
      <c r="E4087" s="26">
        <v>8.3400000000000002E-2</v>
      </c>
      <c r="F4087" s="26">
        <v>2.2700000000000001E-2</v>
      </c>
      <c r="G4087" s="26">
        <v>3.7600000000000001E-2</v>
      </c>
      <c r="H4087" s="26">
        <v>2.7000000000000001E-3</v>
      </c>
      <c r="I4087" s="26">
        <v>1.1000000000000001E-3</v>
      </c>
      <c r="J4087">
        <v>320</v>
      </c>
    </row>
    <row r="4088" spans="1:10" x14ac:dyDescent="0.35">
      <c r="A4088" t="s">
        <v>229</v>
      </c>
      <c r="B4088" t="s">
        <v>261</v>
      </c>
      <c r="C4088" s="26">
        <v>0.80930000000000002</v>
      </c>
      <c r="D4088" s="26">
        <v>8.0199999999999994E-2</v>
      </c>
      <c r="E4088" s="26">
        <v>8.9200000000000002E-2</v>
      </c>
      <c r="F4088" s="26">
        <v>5.11E-2</v>
      </c>
      <c r="J4088">
        <v>72</v>
      </c>
    </row>
    <row r="4089" spans="1:10" x14ac:dyDescent="0.35">
      <c r="A4089" s="27" t="s">
        <v>230</v>
      </c>
      <c r="B4089" s="27" t="s">
        <v>263</v>
      </c>
      <c r="C4089" s="28">
        <v>0.8679</v>
      </c>
      <c r="D4089" s="28">
        <v>3.61E-2</v>
      </c>
      <c r="E4089" s="28">
        <v>9.6100000000000005E-2</v>
      </c>
      <c r="F4089" s="29"/>
      <c r="G4089" s="29"/>
      <c r="H4089" s="29"/>
      <c r="I4089" s="29"/>
      <c r="J4089" s="29" t="s">
        <v>328</v>
      </c>
    </row>
    <row r="4090" spans="1:10" x14ac:dyDescent="0.35">
      <c r="A4090" t="s">
        <v>230</v>
      </c>
      <c r="B4090" t="s">
        <v>262</v>
      </c>
      <c r="C4090" s="26">
        <v>0.79790000000000005</v>
      </c>
      <c r="D4090" s="26">
        <v>9.1200000000000003E-2</v>
      </c>
      <c r="E4090" s="26">
        <v>8.43E-2</v>
      </c>
      <c r="F4090" s="26">
        <v>1.47E-2</v>
      </c>
      <c r="G4090" s="26">
        <v>5.9400000000000001E-2</v>
      </c>
      <c r="H4090" s="26">
        <v>4.4999999999999997E-3</v>
      </c>
      <c r="J4090">
        <v>89</v>
      </c>
    </row>
    <row r="4091" spans="1:10" x14ac:dyDescent="0.35">
      <c r="A4091" t="s">
        <v>230</v>
      </c>
      <c r="B4091" t="s">
        <v>261</v>
      </c>
      <c r="C4091" s="26">
        <v>0.78390000000000004</v>
      </c>
      <c r="D4091" s="26">
        <v>9.5299999999999996E-2</v>
      </c>
      <c r="E4091" s="26">
        <v>9.2899999999999996E-2</v>
      </c>
      <c r="F4091" s="26">
        <v>4.8800000000000003E-2</v>
      </c>
      <c r="G4091" s="26">
        <v>2.5499999999999998E-2</v>
      </c>
      <c r="J4091">
        <v>44</v>
      </c>
    </row>
    <row r="4092" spans="1:10" x14ac:dyDescent="0.35">
      <c r="A4092" t="s">
        <v>230</v>
      </c>
      <c r="B4092" t="s">
        <v>260</v>
      </c>
      <c r="C4092" s="26">
        <v>0.79659999999999997</v>
      </c>
      <c r="D4092" s="26">
        <v>8.1100000000000005E-2</v>
      </c>
      <c r="E4092" s="26">
        <v>4.9200000000000001E-2</v>
      </c>
      <c r="F4092" s="26">
        <v>4.7699999999999999E-2</v>
      </c>
      <c r="G4092" s="26">
        <v>4.6800000000000001E-2</v>
      </c>
      <c r="H4092" s="26">
        <v>8.3000000000000001E-3</v>
      </c>
      <c r="J4092">
        <v>202</v>
      </c>
    </row>
    <row r="4093" spans="1:10" x14ac:dyDescent="0.35">
      <c r="A4093" s="27" t="s">
        <v>230</v>
      </c>
      <c r="B4093" s="27" t="s">
        <v>236</v>
      </c>
      <c r="C4093" s="28">
        <v>1</v>
      </c>
      <c r="D4093" s="29"/>
      <c r="E4093" s="29"/>
      <c r="F4093" s="29"/>
      <c r="G4093" s="29"/>
      <c r="H4093" s="29"/>
      <c r="I4093" s="29"/>
      <c r="J4093" s="29" t="s">
        <v>315</v>
      </c>
    </row>
    <row r="4094" spans="1:10" x14ac:dyDescent="0.35">
      <c r="A4094" t="s">
        <v>231</v>
      </c>
      <c r="B4094" t="s">
        <v>260</v>
      </c>
      <c r="C4094" s="26">
        <v>0.74319999999999997</v>
      </c>
      <c r="D4094" s="26">
        <v>0.1081</v>
      </c>
      <c r="E4094" s="26">
        <v>8.1100000000000005E-2</v>
      </c>
      <c r="F4094" s="26">
        <v>8.1100000000000005E-2</v>
      </c>
      <c r="G4094" s="26">
        <v>1.35E-2</v>
      </c>
      <c r="H4094" s="26">
        <v>2.7E-2</v>
      </c>
      <c r="I4094" s="26">
        <v>1.35E-2</v>
      </c>
      <c r="J4094">
        <v>74</v>
      </c>
    </row>
    <row r="4095" spans="1:10" x14ac:dyDescent="0.35">
      <c r="A4095" s="27" t="s">
        <v>231</v>
      </c>
      <c r="B4095" s="27" t="s">
        <v>261</v>
      </c>
      <c r="C4095" s="28">
        <v>0.61109999999999998</v>
      </c>
      <c r="D4095" s="28">
        <v>0.27779999999999999</v>
      </c>
      <c r="E4095" s="28">
        <v>5.5599999999999997E-2</v>
      </c>
      <c r="F4095" s="28">
        <v>0.1111</v>
      </c>
      <c r="G4095" s="29"/>
      <c r="H4095" s="29"/>
      <c r="I4095" s="29"/>
      <c r="J4095" s="29" t="s">
        <v>353</v>
      </c>
    </row>
    <row r="4096" spans="1:10" x14ac:dyDescent="0.35">
      <c r="A4096" s="27" t="s">
        <v>231</v>
      </c>
      <c r="B4096" s="27" t="s">
        <v>263</v>
      </c>
      <c r="C4096" s="28">
        <v>1</v>
      </c>
      <c r="D4096" s="29"/>
      <c r="E4096" s="29"/>
      <c r="F4096" s="29"/>
      <c r="G4096" s="29"/>
      <c r="H4096" s="29"/>
      <c r="I4096" s="29"/>
      <c r="J4096" s="29" t="s">
        <v>314</v>
      </c>
    </row>
    <row r="4097" spans="1:10" x14ac:dyDescent="0.35">
      <c r="A4097" s="27" t="s">
        <v>231</v>
      </c>
      <c r="B4097" s="27" t="s">
        <v>262</v>
      </c>
      <c r="C4097" s="28">
        <v>0.83330000000000004</v>
      </c>
      <c r="D4097" s="29"/>
      <c r="E4097" s="29"/>
      <c r="F4097" s="29"/>
      <c r="G4097" s="29"/>
      <c r="H4097" s="28">
        <v>0.16669999999999999</v>
      </c>
      <c r="I4097" s="29"/>
      <c r="J4097" s="29" t="s">
        <v>335</v>
      </c>
    </row>
    <row r="4098" spans="1:10" x14ac:dyDescent="0.35">
      <c r="A4098" t="s">
        <v>232</v>
      </c>
      <c r="B4098" t="s">
        <v>232</v>
      </c>
      <c r="C4098" s="26">
        <v>0.78029999999999999</v>
      </c>
      <c r="D4098" s="26">
        <v>8.4000000000000005E-2</v>
      </c>
      <c r="E4098" s="26">
        <v>7.5899999999999995E-2</v>
      </c>
      <c r="F4098" s="26">
        <v>4.8500000000000001E-2</v>
      </c>
      <c r="G4098" s="26">
        <v>2.5100000000000001E-2</v>
      </c>
      <c r="H4098" s="26">
        <v>1.6400000000000001E-2</v>
      </c>
      <c r="I4098" s="26">
        <v>5.5999999999999999E-3</v>
      </c>
      <c r="J4098">
        <v>1769</v>
      </c>
    </row>
    <row r="4100" spans="1:10" x14ac:dyDescent="0.35">
      <c r="A4100" s="1" t="s">
        <v>661</v>
      </c>
    </row>
    <row r="4101" spans="1:10" x14ac:dyDescent="0.35">
      <c r="A4101" t="s">
        <v>219</v>
      </c>
      <c r="B4101" t="s">
        <v>305</v>
      </c>
      <c r="C4101" t="s">
        <v>302</v>
      </c>
      <c r="D4101" t="s">
        <v>648</v>
      </c>
      <c r="E4101" t="s">
        <v>649</v>
      </c>
      <c r="F4101" t="s">
        <v>650</v>
      </c>
      <c r="G4101" t="s">
        <v>651</v>
      </c>
      <c r="H4101" t="s">
        <v>652</v>
      </c>
      <c r="I4101" t="s">
        <v>281</v>
      </c>
      <c r="J4101" t="s">
        <v>226</v>
      </c>
    </row>
    <row r="4102" spans="1:10" x14ac:dyDescent="0.35">
      <c r="A4102" s="27" t="s">
        <v>227</v>
      </c>
      <c r="B4102" s="27" t="s">
        <v>368</v>
      </c>
      <c r="C4102" s="28">
        <v>0.95830000000000004</v>
      </c>
      <c r="D4102" s="29"/>
      <c r="E4102" s="29"/>
      <c r="F4102" s="28">
        <v>4.1700000000000001E-2</v>
      </c>
      <c r="G4102" s="29"/>
      <c r="H4102" s="29"/>
      <c r="I4102" s="29"/>
      <c r="J4102" s="29" t="s">
        <v>310</v>
      </c>
    </row>
    <row r="4103" spans="1:10" x14ac:dyDescent="0.35">
      <c r="A4103" t="s">
        <v>227</v>
      </c>
      <c r="B4103" t="s">
        <v>369</v>
      </c>
      <c r="C4103" s="26">
        <v>0.75760000000000005</v>
      </c>
      <c r="D4103" s="26">
        <v>4.5499999999999999E-2</v>
      </c>
      <c r="E4103" s="26">
        <v>0.1212</v>
      </c>
      <c r="F4103" s="26">
        <v>3.0300000000000001E-2</v>
      </c>
      <c r="G4103" s="26">
        <v>4.5499999999999999E-2</v>
      </c>
      <c r="H4103" s="26">
        <v>1.52E-2</v>
      </c>
      <c r="I4103" s="26">
        <v>1.52E-2</v>
      </c>
      <c r="J4103">
        <v>66</v>
      </c>
    </row>
    <row r="4104" spans="1:10" x14ac:dyDescent="0.35">
      <c r="A4104" t="s">
        <v>228</v>
      </c>
      <c r="B4104" t="s">
        <v>368</v>
      </c>
      <c r="C4104" s="26">
        <v>0.72909999999999997</v>
      </c>
      <c r="D4104" s="26">
        <v>0.1278</v>
      </c>
      <c r="E4104" s="26">
        <v>4.7500000000000001E-2</v>
      </c>
      <c r="F4104" s="26">
        <v>4.1799999999999997E-2</v>
      </c>
      <c r="G4104" s="26">
        <v>2.12E-2</v>
      </c>
      <c r="H4104" s="26">
        <v>5.6899999999999999E-2</v>
      </c>
      <c r="J4104">
        <v>149</v>
      </c>
    </row>
    <row r="4105" spans="1:10" x14ac:dyDescent="0.35">
      <c r="A4105" t="s">
        <v>228</v>
      </c>
      <c r="B4105" t="s">
        <v>369</v>
      </c>
      <c r="C4105" s="26">
        <v>0.82250000000000001</v>
      </c>
      <c r="D4105" s="26">
        <v>6.6000000000000003E-2</v>
      </c>
      <c r="E4105" s="26">
        <v>7.4999999999999997E-2</v>
      </c>
      <c r="F4105" s="26">
        <v>2.8299999999999999E-2</v>
      </c>
      <c r="G4105" s="26">
        <v>1.84E-2</v>
      </c>
      <c r="H4105" s="26">
        <v>1.09E-2</v>
      </c>
      <c r="I4105" s="26">
        <v>5.0000000000000001E-4</v>
      </c>
      <c r="J4105">
        <v>538</v>
      </c>
    </row>
    <row r="4106" spans="1:10" x14ac:dyDescent="0.35">
      <c r="A4106" t="s">
        <v>229</v>
      </c>
      <c r="B4106" t="s">
        <v>368</v>
      </c>
      <c r="C4106" s="26">
        <v>0.80930000000000002</v>
      </c>
      <c r="D4106" s="26">
        <v>8.0199999999999994E-2</v>
      </c>
      <c r="E4106" s="26">
        <v>8.9200000000000002E-2</v>
      </c>
      <c r="F4106" s="26">
        <v>5.11E-2</v>
      </c>
      <c r="J4106">
        <v>72</v>
      </c>
    </row>
    <row r="4107" spans="1:10" x14ac:dyDescent="0.35">
      <c r="A4107" t="s">
        <v>229</v>
      </c>
      <c r="B4107" t="s">
        <v>369</v>
      </c>
      <c r="C4107" s="26">
        <v>0.78700000000000003</v>
      </c>
      <c r="D4107" s="26">
        <v>6.6000000000000003E-2</v>
      </c>
      <c r="E4107" s="26">
        <v>8.2799999999999999E-2</v>
      </c>
      <c r="F4107" s="26">
        <v>3.9199999999999999E-2</v>
      </c>
      <c r="G4107" s="26">
        <v>4.0300000000000002E-2</v>
      </c>
      <c r="H4107" s="26">
        <v>8.6E-3</v>
      </c>
      <c r="I4107" s="26">
        <v>5.4000000000000003E-3</v>
      </c>
      <c r="J4107">
        <v>459</v>
      </c>
    </row>
    <row r="4108" spans="1:10" x14ac:dyDescent="0.35">
      <c r="A4108" t="s">
        <v>230</v>
      </c>
      <c r="B4108" t="s">
        <v>368</v>
      </c>
      <c r="C4108" s="26">
        <v>0.78390000000000004</v>
      </c>
      <c r="D4108" s="26">
        <v>9.5299999999999996E-2</v>
      </c>
      <c r="E4108" s="26">
        <v>9.2899999999999996E-2</v>
      </c>
      <c r="F4108" s="26">
        <v>4.8800000000000003E-2</v>
      </c>
      <c r="G4108" s="26">
        <v>2.5499999999999998E-2</v>
      </c>
      <c r="J4108">
        <v>44</v>
      </c>
    </row>
    <row r="4109" spans="1:10" x14ac:dyDescent="0.35">
      <c r="A4109" t="s">
        <v>230</v>
      </c>
      <c r="B4109" t="s">
        <v>369</v>
      </c>
      <c r="C4109" s="26">
        <v>0.80149999999999999</v>
      </c>
      <c r="D4109" s="26">
        <v>8.1100000000000005E-2</v>
      </c>
      <c r="E4109" s="26">
        <v>5.79E-2</v>
      </c>
      <c r="F4109" s="26">
        <v>3.8199999999999998E-2</v>
      </c>
      <c r="G4109" s="26">
        <v>4.7800000000000002E-2</v>
      </c>
      <c r="H4109" s="26">
        <v>7.1000000000000004E-3</v>
      </c>
      <c r="J4109">
        <v>317</v>
      </c>
    </row>
    <row r="4110" spans="1:10" x14ac:dyDescent="0.35">
      <c r="A4110" s="27" t="s">
        <v>231</v>
      </c>
      <c r="B4110" s="27" t="s">
        <v>368</v>
      </c>
      <c r="C4110" s="28">
        <v>0.61109999999999998</v>
      </c>
      <c r="D4110" s="28">
        <v>0.27779999999999999</v>
      </c>
      <c r="E4110" s="28">
        <v>5.5599999999999997E-2</v>
      </c>
      <c r="F4110" s="28">
        <v>0.1111</v>
      </c>
      <c r="G4110" s="29"/>
      <c r="H4110" s="29"/>
      <c r="I4110" s="29"/>
      <c r="J4110" s="29" t="s">
        <v>353</v>
      </c>
    </row>
    <row r="4111" spans="1:10" x14ac:dyDescent="0.35">
      <c r="A4111" t="s">
        <v>231</v>
      </c>
      <c r="B4111" t="s">
        <v>369</v>
      </c>
      <c r="C4111" s="26">
        <v>0.75609999999999999</v>
      </c>
      <c r="D4111" s="26">
        <v>9.7600000000000006E-2</v>
      </c>
      <c r="E4111" s="26">
        <v>7.3200000000000001E-2</v>
      </c>
      <c r="F4111" s="26">
        <v>7.3200000000000001E-2</v>
      </c>
      <c r="G4111" s="26">
        <v>1.2200000000000001E-2</v>
      </c>
      <c r="H4111" s="26">
        <v>3.6600000000000001E-2</v>
      </c>
      <c r="I4111" s="26">
        <v>1.2200000000000001E-2</v>
      </c>
      <c r="J4111">
        <v>82</v>
      </c>
    </row>
    <row r="4112" spans="1:10" x14ac:dyDescent="0.35">
      <c r="A4112" t="s">
        <v>232</v>
      </c>
      <c r="B4112" t="s">
        <v>232</v>
      </c>
      <c r="C4112" s="26">
        <v>0.78029999999999999</v>
      </c>
      <c r="D4112" s="26">
        <v>8.4000000000000005E-2</v>
      </c>
      <c r="E4112" s="26">
        <v>7.5899999999999995E-2</v>
      </c>
      <c r="F4112" s="26">
        <v>4.8500000000000001E-2</v>
      </c>
      <c r="G4112" s="26">
        <v>2.5100000000000001E-2</v>
      </c>
      <c r="H4112" s="26">
        <v>1.6400000000000001E-2</v>
      </c>
      <c r="I4112" s="26">
        <v>5.5999999999999999E-3</v>
      </c>
      <c r="J4112">
        <v>1769</v>
      </c>
    </row>
    <row r="4114" spans="1:10" x14ac:dyDescent="0.35">
      <c r="A4114" s="1" t="s">
        <v>662</v>
      </c>
    </row>
    <row r="4115" spans="1:10" x14ac:dyDescent="0.35">
      <c r="A4115" t="s">
        <v>219</v>
      </c>
      <c r="B4115" t="s">
        <v>305</v>
      </c>
      <c r="C4115" t="s">
        <v>302</v>
      </c>
      <c r="D4115" t="s">
        <v>648</v>
      </c>
      <c r="E4115" t="s">
        <v>649</v>
      </c>
      <c r="F4115" t="s">
        <v>650</v>
      </c>
      <c r="G4115" t="s">
        <v>651</v>
      </c>
      <c r="H4115" t="s">
        <v>652</v>
      </c>
      <c r="I4115" t="s">
        <v>281</v>
      </c>
      <c r="J4115" t="s">
        <v>226</v>
      </c>
    </row>
    <row r="4116" spans="1:10" x14ac:dyDescent="0.35">
      <c r="A4116" t="s">
        <v>227</v>
      </c>
      <c r="B4116" t="s">
        <v>371</v>
      </c>
      <c r="C4116" s="26">
        <v>0.81110000000000004</v>
      </c>
      <c r="D4116" s="26">
        <v>3.3300000000000003E-2</v>
      </c>
      <c r="E4116" s="26">
        <v>8.8900000000000007E-2</v>
      </c>
      <c r="F4116" s="26">
        <v>3.3300000000000003E-2</v>
      </c>
      <c r="G4116" s="26">
        <v>3.3300000000000003E-2</v>
      </c>
      <c r="H4116" s="26">
        <v>1.11E-2</v>
      </c>
      <c r="I4116" s="26">
        <v>1.11E-2</v>
      </c>
      <c r="J4116">
        <v>90</v>
      </c>
    </row>
    <row r="4117" spans="1:10" x14ac:dyDescent="0.35">
      <c r="A4117" t="s">
        <v>228</v>
      </c>
      <c r="B4117" t="s">
        <v>371</v>
      </c>
      <c r="C4117" s="26">
        <v>0.80720000000000003</v>
      </c>
      <c r="D4117" s="26">
        <v>8.7300000000000003E-2</v>
      </c>
      <c r="E4117" s="26">
        <v>7.0900000000000005E-2</v>
      </c>
      <c r="F4117" s="26">
        <v>3.09E-2</v>
      </c>
      <c r="G4117" s="26">
        <v>2.3999999999999998E-3</v>
      </c>
      <c r="H4117" s="26">
        <v>2.1899999999999999E-2</v>
      </c>
      <c r="J4117">
        <v>174</v>
      </c>
    </row>
    <row r="4118" spans="1:10" x14ac:dyDescent="0.35">
      <c r="A4118" t="s">
        <v>228</v>
      </c>
      <c r="B4118" t="s">
        <v>372</v>
      </c>
      <c r="C4118" s="26">
        <v>0.76639999999999997</v>
      </c>
      <c r="D4118" s="26">
        <v>7.5899999999999995E-2</v>
      </c>
      <c r="E4118" s="26">
        <v>5.6000000000000001E-2</v>
      </c>
      <c r="F4118" s="26">
        <v>4.2099999999999999E-2</v>
      </c>
      <c r="G4118" s="26">
        <v>4.2700000000000002E-2</v>
      </c>
      <c r="H4118" s="26">
        <v>4.0399999999999998E-2</v>
      </c>
      <c r="I4118" s="26">
        <v>4.1000000000000003E-3</v>
      </c>
      <c r="J4118">
        <v>156</v>
      </c>
    </row>
    <row r="4119" spans="1:10" x14ac:dyDescent="0.35">
      <c r="A4119" t="s">
        <v>228</v>
      </c>
      <c r="B4119" t="s">
        <v>373</v>
      </c>
      <c r="C4119" s="26">
        <v>0.80469999999999997</v>
      </c>
      <c r="D4119" s="26">
        <v>7.0099999999999996E-2</v>
      </c>
      <c r="E4119" s="26">
        <v>6.9699999999999998E-2</v>
      </c>
      <c r="F4119" s="26">
        <v>2.9100000000000001E-2</v>
      </c>
      <c r="G4119" s="26">
        <v>3.4299999999999997E-2</v>
      </c>
      <c r="H4119" s="26">
        <v>1.4999999999999999E-2</v>
      </c>
      <c r="J4119">
        <v>357</v>
      </c>
    </row>
    <row r="4120" spans="1:10" x14ac:dyDescent="0.35">
      <c r="A4120" t="s">
        <v>229</v>
      </c>
      <c r="B4120" t="s">
        <v>371</v>
      </c>
      <c r="C4120" s="26">
        <v>0.78869999999999996</v>
      </c>
      <c r="D4120" s="26">
        <v>6.9900000000000004E-2</v>
      </c>
      <c r="E4120" s="26">
        <v>8.5699999999999998E-2</v>
      </c>
      <c r="F4120" s="26">
        <v>4.2700000000000002E-2</v>
      </c>
      <c r="G4120" s="26">
        <v>3.2599999999999997E-2</v>
      </c>
      <c r="H4120" s="26">
        <v>6.4999999999999997E-3</v>
      </c>
      <c r="I4120" s="26">
        <v>4.1999999999999997E-3</v>
      </c>
      <c r="J4120">
        <v>339</v>
      </c>
    </row>
    <row r="4121" spans="1:10" x14ac:dyDescent="0.35">
      <c r="A4121" t="s">
        <v>229</v>
      </c>
      <c r="B4121" t="s">
        <v>372</v>
      </c>
      <c r="C4121" s="26">
        <v>0.83699999999999997</v>
      </c>
      <c r="D4121" s="26">
        <v>5.0999999999999997E-2</v>
      </c>
      <c r="E4121" s="26">
        <v>5.67E-2</v>
      </c>
      <c r="F4121" s="26">
        <v>2.5499999999999998E-2</v>
      </c>
      <c r="G4121" s="26">
        <v>2.9700000000000001E-2</v>
      </c>
      <c r="H4121" s="26">
        <v>9.9000000000000008E-3</v>
      </c>
      <c r="J4121">
        <v>143</v>
      </c>
    </row>
    <row r="4122" spans="1:10" x14ac:dyDescent="0.35">
      <c r="A4122" t="s">
        <v>229</v>
      </c>
      <c r="B4122" t="s">
        <v>373</v>
      </c>
      <c r="C4122" s="26">
        <v>0.78220000000000001</v>
      </c>
      <c r="D4122" s="26">
        <v>5.1999999999999998E-2</v>
      </c>
      <c r="E4122" s="26">
        <v>7.4800000000000005E-2</v>
      </c>
      <c r="F4122" s="26">
        <v>2.2700000000000001E-2</v>
      </c>
      <c r="G4122" s="26">
        <v>5.1999999999999998E-2</v>
      </c>
      <c r="H4122" s="26">
        <v>2.2700000000000001E-2</v>
      </c>
      <c r="I4122" s="26">
        <v>2.2700000000000001E-2</v>
      </c>
      <c r="J4122">
        <v>49</v>
      </c>
    </row>
    <row r="4123" spans="1:10" x14ac:dyDescent="0.35">
      <c r="A4123" t="s">
        <v>230</v>
      </c>
      <c r="B4123" t="s">
        <v>371</v>
      </c>
      <c r="C4123" s="26">
        <v>0.79800000000000004</v>
      </c>
      <c r="D4123" s="26">
        <v>8.3099999999999993E-2</v>
      </c>
      <c r="E4123" s="26">
        <v>7.1300000000000002E-2</v>
      </c>
      <c r="F4123" s="26">
        <v>4.41E-2</v>
      </c>
      <c r="G4123" s="26">
        <v>4.24E-2</v>
      </c>
      <c r="H4123" s="26">
        <v>1.6999999999999999E-3</v>
      </c>
      <c r="J4123">
        <v>164</v>
      </c>
    </row>
    <row r="4124" spans="1:10" x14ac:dyDescent="0.35">
      <c r="A4124" t="s">
        <v>230</v>
      </c>
      <c r="B4124" t="s">
        <v>372</v>
      </c>
      <c r="C4124" s="26">
        <v>0.83650000000000002</v>
      </c>
      <c r="D4124" s="26">
        <v>5.0799999999999998E-2</v>
      </c>
      <c r="E4124" s="26">
        <v>4.5999999999999999E-2</v>
      </c>
      <c r="G4124" s="26">
        <v>4.7600000000000003E-2</v>
      </c>
      <c r="H4124" s="26">
        <v>1.9E-2</v>
      </c>
      <c r="J4124">
        <v>108</v>
      </c>
    </row>
    <row r="4125" spans="1:10" x14ac:dyDescent="0.35">
      <c r="A4125" t="s">
        <v>230</v>
      </c>
      <c r="B4125" t="s">
        <v>373</v>
      </c>
      <c r="C4125" s="26">
        <v>0.77800000000000002</v>
      </c>
      <c r="D4125" s="26">
        <v>0.1069</v>
      </c>
      <c r="E4125" s="26">
        <v>2.3900000000000001E-2</v>
      </c>
      <c r="F4125" s="26">
        <v>3.5000000000000003E-2</v>
      </c>
      <c r="G4125" s="26">
        <v>5.16E-2</v>
      </c>
      <c r="H4125" s="26">
        <v>2.76E-2</v>
      </c>
      <c r="J4125">
        <v>89</v>
      </c>
    </row>
    <row r="4126" spans="1:10" x14ac:dyDescent="0.35">
      <c r="A4126" t="s">
        <v>231</v>
      </c>
      <c r="B4126" t="s">
        <v>371</v>
      </c>
      <c r="C4126" s="26">
        <v>0.73</v>
      </c>
      <c r="D4126" s="26">
        <v>0.13</v>
      </c>
      <c r="E4126" s="26">
        <v>7.0000000000000007E-2</v>
      </c>
      <c r="F4126" s="26">
        <v>0.08</v>
      </c>
      <c r="G4126" s="26">
        <v>0.01</v>
      </c>
      <c r="H4126" s="26">
        <v>0.03</v>
      </c>
      <c r="I4126" s="26">
        <v>0.01</v>
      </c>
      <c r="J4126">
        <v>100</v>
      </c>
    </row>
    <row r="4127" spans="1:10" x14ac:dyDescent="0.35">
      <c r="A4127" t="s">
        <v>232</v>
      </c>
      <c r="B4127" t="s">
        <v>232</v>
      </c>
      <c r="C4127" s="26">
        <v>0.78029999999999999</v>
      </c>
      <c r="D4127" s="26">
        <v>8.4000000000000005E-2</v>
      </c>
      <c r="E4127" s="26">
        <v>7.5899999999999995E-2</v>
      </c>
      <c r="F4127" s="26">
        <v>4.8500000000000001E-2</v>
      </c>
      <c r="G4127" s="26">
        <v>2.5100000000000001E-2</v>
      </c>
      <c r="H4127" s="26">
        <v>1.6400000000000001E-2</v>
      </c>
      <c r="I4127" s="26">
        <v>5.5999999999999999E-3</v>
      </c>
      <c r="J4127">
        <v>1769</v>
      </c>
    </row>
    <row r="4129" spans="1:10" x14ac:dyDescent="0.35">
      <c r="A4129" s="1" t="s">
        <v>663</v>
      </c>
    </row>
    <row r="4130" spans="1:10" x14ac:dyDescent="0.35">
      <c r="A4130" t="s">
        <v>219</v>
      </c>
      <c r="B4130" t="s">
        <v>305</v>
      </c>
      <c r="C4130" t="s">
        <v>302</v>
      </c>
      <c r="D4130" t="s">
        <v>648</v>
      </c>
      <c r="E4130" t="s">
        <v>649</v>
      </c>
      <c r="F4130" t="s">
        <v>650</v>
      </c>
      <c r="G4130" t="s">
        <v>651</v>
      </c>
      <c r="H4130" t="s">
        <v>652</v>
      </c>
      <c r="I4130" t="s">
        <v>281</v>
      </c>
      <c r="J4130" t="s">
        <v>226</v>
      </c>
    </row>
    <row r="4131" spans="1:10" x14ac:dyDescent="0.35">
      <c r="A4131" t="s">
        <v>227</v>
      </c>
      <c r="B4131" t="s">
        <v>255</v>
      </c>
      <c r="C4131" s="26">
        <v>0.80300000000000005</v>
      </c>
      <c r="D4131" s="26">
        <v>1.52E-2</v>
      </c>
      <c r="E4131" s="26">
        <v>0.1061</v>
      </c>
      <c r="F4131" s="26">
        <v>4.5499999999999999E-2</v>
      </c>
      <c r="G4131" s="26">
        <v>3.0300000000000001E-2</v>
      </c>
      <c r="H4131" s="26">
        <v>1.52E-2</v>
      </c>
      <c r="I4131" s="26">
        <v>1.52E-2</v>
      </c>
      <c r="J4131">
        <v>66</v>
      </c>
    </row>
    <row r="4132" spans="1:10" x14ac:dyDescent="0.35">
      <c r="A4132" s="27" t="s">
        <v>227</v>
      </c>
      <c r="B4132" s="27" t="s">
        <v>256</v>
      </c>
      <c r="C4132" s="28">
        <v>0.8095</v>
      </c>
      <c r="D4132" s="28">
        <v>9.5200000000000007E-2</v>
      </c>
      <c r="E4132" s="28">
        <v>4.7600000000000003E-2</v>
      </c>
      <c r="F4132" s="29"/>
      <c r="G4132" s="28">
        <v>4.7600000000000003E-2</v>
      </c>
      <c r="H4132" s="29"/>
      <c r="I4132" s="29"/>
      <c r="J4132" s="29" t="s">
        <v>351</v>
      </c>
    </row>
    <row r="4133" spans="1:10" x14ac:dyDescent="0.35">
      <c r="A4133" s="27" t="s">
        <v>227</v>
      </c>
      <c r="B4133" s="27" t="s">
        <v>257</v>
      </c>
      <c r="C4133" s="28">
        <v>1</v>
      </c>
      <c r="D4133" s="29"/>
      <c r="E4133" s="29"/>
      <c r="F4133" s="29"/>
      <c r="G4133" s="29"/>
      <c r="H4133" s="29"/>
      <c r="I4133" s="29"/>
      <c r="J4133" s="29" t="s">
        <v>315</v>
      </c>
    </row>
    <row r="4134" spans="1:10" x14ac:dyDescent="0.35">
      <c r="A4134" s="27" t="s">
        <v>228</v>
      </c>
      <c r="B4134" s="27" t="s">
        <v>257</v>
      </c>
      <c r="C4134" s="28">
        <v>0.63619999999999999</v>
      </c>
      <c r="D4134" s="28">
        <v>0.2336</v>
      </c>
      <c r="E4134" s="28">
        <v>3.04E-2</v>
      </c>
      <c r="F4134" s="28">
        <v>0.12139999999999999</v>
      </c>
      <c r="G4134" s="28">
        <v>8.8999999999999999E-3</v>
      </c>
      <c r="H4134" s="28">
        <v>8.8999999999999999E-3</v>
      </c>
      <c r="I4134" s="29"/>
      <c r="J4134" s="29" t="s">
        <v>336</v>
      </c>
    </row>
    <row r="4135" spans="1:10" x14ac:dyDescent="0.35">
      <c r="A4135" t="s">
        <v>228</v>
      </c>
      <c r="B4135" t="s">
        <v>255</v>
      </c>
      <c r="C4135" s="26">
        <v>0.81389999999999996</v>
      </c>
      <c r="D4135" s="26">
        <v>5.6399999999999999E-2</v>
      </c>
      <c r="E4135" s="26">
        <v>8.5099999999999995E-2</v>
      </c>
      <c r="F4135" s="26">
        <v>3.0599999999999999E-2</v>
      </c>
      <c r="G4135" s="26">
        <v>2.0500000000000001E-2</v>
      </c>
      <c r="H4135" s="26">
        <v>2.0199999999999999E-2</v>
      </c>
      <c r="I4135" s="26">
        <v>5.0000000000000001E-4</v>
      </c>
      <c r="J4135">
        <v>522</v>
      </c>
    </row>
    <row r="4136" spans="1:10" x14ac:dyDescent="0.35">
      <c r="A4136" t="s">
        <v>228</v>
      </c>
      <c r="B4136" t="s">
        <v>256</v>
      </c>
      <c r="C4136" s="26">
        <v>0.78969999999999996</v>
      </c>
      <c r="D4136" s="26">
        <v>0.1258</v>
      </c>
      <c r="E4136" s="26">
        <v>2.81E-2</v>
      </c>
      <c r="F4136" s="26">
        <v>1.7500000000000002E-2</v>
      </c>
      <c r="G4136" s="26">
        <v>1.7000000000000001E-2</v>
      </c>
      <c r="H4136" s="26">
        <v>2.5700000000000001E-2</v>
      </c>
      <c r="J4136">
        <v>133</v>
      </c>
    </row>
    <row r="4137" spans="1:10" x14ac:dyDescent="0.35">
      <c r="A4137" s="27" t="s">
        <v>228</v>
      </c>
      <c r="B4137" s="27" t="s">
        <v>258</v>
      </c>
      <c r="C4137" s="28">
        <v>1</v>
      </c>
      <c r="D4137" s="29"/>
      <c r="E4137" s="29"/>
      <c r="F4137" s="29"/>
      <c r="G4137" s="29"/>
      <c r="H4137" s="29"/>
      <c r="I4137" s="29"/>
      <c r="J4137" s="29" t="s">
        <v>337</v>
      </c>
    </row>
    <row r="4138" spans="1:10" x14ac:dyDescent="0.35">
      <c r="A4138" s="27" t="s">
        <v>229</v>
      </c>
      <c r="B4138" s="27" t="s">
        <v>258</v>
      </c>
      <c r="C4138" s="28">
        <v>0.22409999999999999</v>
      </c>
      <c r="D4138" s="29"/>
      <c r="E4138" s="29"/>
      <c r="F4138" s="29"/>
      <c r="G4138" s="28">
        <v>0.77590000000000003</v>
      </c>
      <c r="H4138" s="29"/>
      <c r="I4138" s="29"/>
      <c r="J4138" s="29" t="s">
        <v>314</v>
      </c>
    </row>
    <row r="4139" spans="1:10" x14ac:dyDescent="0.35">
      <c r="A4139" s="27" t="s">
        <v>229</v>
      </c>
      <c r="B4139" s="27" t="s">
        <v>257</v>
      </c>
      <c r="C4139" s="28">
        <v>0.4995</v>
      </c>
      <c r="D4139" s="28">
        <v>0.26719999999999999</v>
      </c>
      <c r="E4139" s="28">
        <v>0.1338</v>
      </c>
      <c r="F4139" s="28">
        <v>2.5499999999999998E-2</v>
      </c>
      <c r="G4139" s="28">
        <v>9.9400000000000002E-2</v>
      </c>
      <c r="H4139" s="29"/>
      <c r="I4139" s="29"/>
      <c r="J4139" s="29" t="s">
        <v>312</v>
      </c>
    </row>
    <row r="4140" spans="1:10" x14ac:dyDescent="0.35">
      <c r="A4140" t="s">
        <v>229</v>
      </c>
      <c r="B4140" t="s">
        <v>256</v>
      </c>
      <c r="C4140" s="26">
        <v>0.66610000000000003</v>
      </c>
      <c r="D4140" s="26">
        <v>0.11169999999999999</v>
      </c>
      <c r="E4140" s="26">
        <v>0.1221</v>
      </c>
      <c r="F4140" s="26">
        <v>0.1</v>
      </c>
      <c r="G4140" s="26">
        <v>6.7599999999999993E-2</v>
      </c>
      <c r="H4140" s="26">
        <v>2.8999999999999998E-3</v>
      </c>
      <c r="J4140">
        <v>125</v>
      </c>
    </row>
    <row r="4141" spans="1:10" x14ac:dyDescent="0.35">
      <c r="A4141" t="s">
        <v>229</v>
      </c>
      <c r="B4141" t="s">
        <v>255</v>
      </c>
      <c r="C4141" s="26">
        <v>0.85650000000000004</v>
      </c>
      <c r="D4141" s="26">
        <v>4.0399999999999998E-2</v>
      </c>
      <c r="E4141" s="26">
        <v>6.6500000000000004E-2</v>
      </c>
      <c r="F4141" s="26">
        <v>1.9900000000000001E-2</v>
      </c>
      <c r="G4141" s="26">
        <v>1.4999999999999999E-2</v>
      </c>
      <c r="H4141" s="26">
        <v>8.9999999999999993E-3</v>
      </c>
      <c r="I4141" s="26">
        <v>6.4000000000000003E-3</v>
      </c>
      <c r="J4141">
        <v>379</v>
      </c>
    </row>
    <row r="4142" spans="1:10" x14ac:dyDescent="0.35">
      <c r="A4142" s="27" t="s">
        <v>230</v>
      </c>
      <c r="B4142" s="27" t="s">
        <v>257</v>
      </c>
      <c r="C4142" s="28">
        <v>0.79930000000000001</v>
      </c>
      <c r="D4142" s="28">
        <v>2.52E-2</v>
      </c>
      <c r="E4142" s="28">
        <v>3.9100000000000003E-2</v>
      </c>
      <c r="F4142" s="28">
        <v>0.1171</v>
      </c>
      <c r="G4142" s="28">
        <v>1.9300000000000001E-2</v>
      </c>
      <c r="H4142" s="29"/>
      <c r="I4142" s="29"/>
      <c r="J4142" s="29" t="s">
        <v>310</v>
      </c>
    </row>
    <row r="4143" spans="1:10" x14ac:dyDescent="0.35">
      <c r="A4143" t="s">
        <v>230</v>
      </c>
      <c r="B4143" t="s">
        <v>255</v>
      </c>
      <c r="C4143" s="26">
        <v>0.79920000000000002</v>
      </c>
      <c r="D4143" s="26">
        <v>8.3699999999999997E-2</v>
      </c>
      <c r="E4143" s="26">
        <v>8.0500000000000002E-2</v>
      </c>
      <c r="F4143" s="26">
        <v>2.1600000000000001E-2</v>
      </c>
      <c r="G4143" s="26">
        <v>3.6200000000000003E-2</v>
      </c>
      <c r="H4143" s="26">
        <v>9.1999999999999998E-3</v>
      </c>
      <c r="J4143">
        <v>251</v>
      </c>
    </row>
    <row r="4144" spans="1:10" x14ac:dyDescent="0.35">
      <c r="A4144" t="s">
        <v>230</v>
      </c>
      <c r="B4144" t="s">
        <v>256</v>
      </c>
      <c r="C4144" s="26">
        <v>0.79620000000000002</v>
      </c>
      <c r="D4144" s="26">
        <v>9.7900000000000001E-2</v>
      </c>
      <c r="E4144" s="26">
        <v>3.4799999999999998E-2</v>
      </c>
      <c r="F4144" s="26">
        <v>6.1800000000000001E-2</v>
      </c>
      <c r="G4144" s="26">
        <v>6.6400000000000001E-2</v>
      </c>
      <c r="J4144">
        <v>86</v>
      </c>
    </row>
    <row r="4145" spans="1:10" x14ac:dyDescent="0.35">
      <c r="A4145" s="27" t="s">
        <v>231</v>
      </c>
      <c r="B4145" s="27" t="s">
        <v>256</v>
      </c>
      <c r="C4145" s="28">
        <v>0.85709999999999997</v>
      </c>
      <c r="D4145" s="28">
        <v>0.1429</v>
      </c>
      <c r="E4145" s="29"/>
      <c r="F4145" s="28">
        <v>4.7600000000000003E-2</v>
      </c>
      <c r="G4145" s="29"/>
      <c r="H4145" s="29"/>
      <c r="I4145" s="29"/>
      <c r="J4145" s="29" t="s">
        <v>351</v>
      </c>
    </row>
    <row r="4146" spans="1:10" x14ac:dyDescent="0.35">
      <c r="A4146" t="s">
        <v>231</v>
      </c>
      <c r="B4146" t="s">
        <v>255</v>
      </c>
      <c r="C4146" s="26">
        <v>0.69620000000000004</v>
      </c>
      <c r="D4146" s="26">
        <v>0.12659999999999999</v>
      </c>
      <c r="E4146" s="26">
        <v>8.8599999999999998E-2</v>
      </c>
      <c r="F4146" s="26">
        <v>8.8599999999999998E-2</v>
      </c>
      <c r="G4146" s="26">
        <v>1.2699999999999999E-2</v>
      </c>
      <c r="H4146" s="26">
        <v>3.7999999999999999E-2</v>
      </c>
      <c r="I4146" s="26">
        <v>1.2699999999999999E-2</v>
      </c>
      <c r="J4146">
        <v>79</v>
      </c>
    </row>
    <row r="4147" spans="1:10" x14ac:dyDescent="0.35">
      <c r="A4147" t="s">
        <v>232</v>
      </c>
      <c r="B4147" t="s">
        <v>232</v>
      </c>
      <c r="C4147" s="26">
        <v>0.78029999999999999</v>
      </c>
      <c r="D4147" s="26">
        <v>8.4000000000000005E-2</v>
      </c>
      <c r="E4147" s="26">
        <v>7.5899999999999995E-2</v>
      </c>
      <c r="F4147" s="26">
        <v>4.8500000000000001E-2</v>
      </c>
      <c r="G4147" s="26">
        <v>2.5100000000000001E-2</v>
      </c>
      <c r="H4147" s="26">
        <v>1.6400000000000001E-2</v>
      </c>
      <c r="I4147" s="26">
        <v>5.5999999999999999E-3</v>
      </c>
      <c r="J4147">
        <v>1769</v>
      </c>
    </row>
    <row r="4149" spans="1:10" x14ac:dyDescent="0.35">
      <c r="A4149" s="1" t="s">
        <v>664</v>
      </c>
    </row>
    <row r="4150" spans="1:10" x14ac:dyDescent="0.35">
      <c r="A4150" t="s">
        <v>219</v>
      </c>
      <c r="B4150" t="s">
        <v>302</v>
      </c>
      <c r="C4150" t="s">
        <v>665</v>
      </c>
      <c r="D4150" t="s">
        <v>666</v>
      </c>
      <c r="E4150" t="s">
        <v>667</v>
      </c>
      <c r="F4150" t="s">
        <v>668</v>
      </c>
      <c r="G4150" t="s">
        <v>281</v>
      </c>
      <c r="H4150" t="s">
        <v>226</v>
      </c>
    </row>
    <row r="4151" spans="1:10" x14ac:dyDescent="0.35">
      <c r="A4151" t="s">
        <v>227</v>
      </c>
      <c r="B4151" s="26">
        <v>0.7702</v>
      </c>
      <c r="C4151" s="26">
        <v>0.13039999999999999</v>
      </c>
      <c r="D4151" s="26">
        <v>7.4499999999999997E-2</v>
      </c>
      <c r="E4151" s="26">
        <v>3.1099999999999999E-2</v>
      </c>
      <c r="F4151" s="26">
        <v>6.1999999999999998E-3</v>
      </c>
      <c r="H4151">
        <v>161</v>
      </c>
    </row>
    <row r="4152" spans="1:10" x14ac:dyDescent="0.35">
      <c r="A4152" t="s">
        <v>228</v>
      </c>
      <c r="B4152" s="26">
        <v>0.79310000000000003</v>
      </c>
      <c r="C4152" s="26">
        <v>9.2299999999999993E-2</v>
      </c>
      <c r="D4152" s="26">
        <v>7.2800000000000004E-2</v>
      </c>
      <c r="E4152" s="26">
        <v>2.4899999999999999E-2</v>
      </c>
      <c r="F4152" s="26">
        <v>2.0899999999999998E-2</v>
      </c>
      <c r="G4152" s="26">
        <v>2E-3</v>
      </c>
      <c r="H4152">
        <v>1033</v>
      </c>
    </row>
    <row r="4153" spans="1:10" x14ac:dyDescent="0.35">
      <c r="A4153" t="s">
        <v>229</v>
      </c>
      <c r="B4153" s="26">
        <v>0.77649999999999997</v>
      </c>
      <c r="C4153" s="26">
        <v>0.1008</v>
      </c>
      <c r="D4153" s="26">
        <v>0.10970000000000001</v>
      </c>
      <c r="E4153" s="26">
        <v>2.4199999999999999E-2</v>
      </c>
      <c r="F4153" s="26">
        <v>4.4999999999999997E-3</v>
      </c>
      <c r="G4153" s="26">
        <v>3.0999999999999999E-3</v>
      </c>
      <c r="H4153">
        <v>895</v>
      </c>
    </row>
    <row r="4154" spans="1:10" x14ac:dyDescent="0.35">
      <c r="A4154" t="s">
        <v>230</v>
      </c>
      <c r="B4154" s="26">
        <v>0.7631</v>
      </c>
      <c r="C4154" s="26">
        <v>0.10440000000000001</v>
      </c>
      <c r="D4154" s="26">
        <v>9.0200000000000002E-2</v>
      </c>
      <c r="E4154" s="26">
        <v>4.0300000000000002E-2</v>
      </c>
      <c r="F4154" s="26">
        <v>9.9000000000000008E-3</v>
      </c>
      <c r="G4154" s="26">
        <v>6.4999999999999997E-3</v>
      </c>
      <c r="H4154">
        <v>560</v>
      </c>
    </row>
    <row r="4155" spans="1:10" x14ac:dyDescent="0.35">
      <c r="A4155" t="s">
        <v>231</v>
      </c>
      <c r="B4155" s="26">
        <v>0.81100000000000005</v>
      </c>
      <c r="C4155" s="26">
        <v>9.7600000000000006E-2</v>
      </c>
      <c r="D4155" s="26">
        <v>4.8800000000000003E-2</v>
      </c>
      <c r="E4155" s="26">
        <v>4.8800000000000003E-2</v>
      </c>
      <c r="F4155" s="26">
        <v>6.1000000000000004E-3</v>
      </c>
      <c r="G4155" s="26">
        <v>6.1000000000000004E-3</v>
      </c>
      <c r="H4155">
        <v>164</v>
      </c>
    </row>
    <row r="4156" spans="1:10" x14ac:dyDescent="0.35">
      <c r="A4156" t="s">
        <v>232</v>
      </c>
      <c r="B4156" s="26">
        <v>0.78690000000000004</v>
      </c>
      <c r="C4156" s="26">
        <v>0.1031</v>
      </c>
      <c r="D4156" s="26">
        <v>7.8700000000000006E-2</v>
      </c>
      <c r="E4156" s="26">
        <v>3.3700000000000001E-2</v>
      </c>
      <c r="F4156" s="26">
        <v>8.8999999999999999E-3</v>
      </c>
      <c r="G4156" s="26">
        <v>3.5999999999999999E-3</v>
      </c>
      <c r="H4156">
        <v>2813</v>
      </c>
    </row>
    <row r="4158" spans="1:10" x14ac:dyDescent="0.35">
      <c r="A4158" s="1" t="s">
        <v>669</v>
      </c>
    </row>
    <row r="4159" spans="1:10" x14ac:dyDescent="0.35">
      <c r="A4159" t="s">
        <v>219</v>
      </c>
      <c r="B4159" t="s">
        <v>305</v>
      </c>
      <c r="C4159" t="s">
        <v>302</v>
      </c>
      <c r="D4159" t="s">
        <v>665</v>
      </c>
      <c r="E4159" t="s">
        <v>666</v>
      </c>
      <c r="F4159" t="s">
        <v>667</v>
      </c>
      <c r="G4159" t="s">
        <v>668</v>
      </c>
      <c r="H4159" t="s">
        <v>281</v>
      </c>
      <c r="I4159" t="s">
        <v>226</v>
      </c>
    </row>
    <row r="4160" spans="1:10" x14ac:dyDescent="0.35">
      <c r="A4160" t="s">
        <v>227</v>
      </c>
      <c r="B4160" t="s">
        <v>242</v>
      </c>
      <c r="C4160" s="26">
        <v>0.45590000000000003</v>
      </c>
      <c r="D4160" s="26">
        <v>0.30880000000000002</v>
      </c>
      <c r="E4160" s="26">
        <v>0.17649999999999999</v>
      </c>
      <c r="F4160" s="26">
        <v>7.3499999999999996E-2</v>
      </c>
      <c r="G4160" s="26">
        <v>1.47E-2</v>
      </c>
      <c r="I4160">
        <v>68</v>
      </c>
    </row>
    <row r="4161" spans="1:9" x14ac:dyDescent="0.35">
      <c r="A4161" t="s">
        <v>227</v>
      </c>
      <c r="B4161" t="s">
        <v>241</v>
      </c>
      <c r="C4161" s="26">
        <v>1</v>
      </c>
      <c r="I4161">
        <v>93</v>
      </c>
    </row>
    <row r="4162" spans="1:9" x14ac:dyDescent="0.35">
      <c r="A4162" t="s">
        <v>228</v>
      </c>
      <c r="B4162" t="s">
        <v>242</v>
      </c>
      <c r="C4162" s="26">
        <v>0.43519999999999998</v>
      </c>
      <c r="D4162" s="26">
        <v>0.254</v>
      </c>
      <c r="E4162" s="26">
        <v>0.20030000000000001</v>
      </c>
      <c r="F4162" s="26">
        <v>6.8599999999999994E-2</v>
      </c>
      <c r="G4162" s="26">
        <v>5.7500000000000002E-2</v>
      </c>
      <c r="H4162" s="26">
        <v>1.1000000000000001E-3</v>
      </c>
      <c r="I4162">
        <v>402</v>
      </c>
    </row>
    <row r="4163" spans="1:9" x14ac:dyDescent="0.35">
      <c r="A4163" t="s">
        <v>228</v>
      </c>
      <c r="B4163" t="s">
        <v>241</v>
      </c>
      <c r="C4163" s="26">
        <v>0.99750000000000005</v>
      </c>
      <c r="H4163" s="26">
        <v>2.5000000000000001E-3</v>
      </c>
      <c r="I4163">
        <v>631</v>
      </c>
    </row>
    <row r="4164" spans="1:9" x14ac:dyDescent="0.35">
      <c r="A4164" t="s">
        <v>229</v>
      </c>
      <c r="B4164" t="s">
        <v>242</v>
      </c>
      <c r="C4164" s="26">
        <v>0.42749999999999999</v>
      </c>
      <c r="D4164" s="26">
        <v>0.25829999999999997</v>
      </c>
      <c r="E4164" s="26">
        <v>0.28100000000000003</v>
      </c>
      <c r="F4164" s="26">
        <v>6.2E-2</v>
      </c>
      <c r="G4164" s="26">
        <v>1.15E-2</v>
      </c>
      <c r="H4164" s="26">
        <v>7.7000000000000002E-3</v>
      </c>
      <c r="I4164">
        <v>292</v>
      </c>
    </row>
    <row r="4165" spans="1:9" x14ac:dyDescent="0.35">
      <c r="A4165" t="s">
        <v>229</v>
      </c>
      <c r="B4165" t="s">
        <v>241</v>
      </c>
      <c r="C4165" s="26">
        <v>0.99980000000000002</v>
      </c>
      <c r="H4165" s="26">
        <v>2.0000000000000001E-4</v>
      </c>
      <c r="I4165">
        <v>603</v>
      </c>
    </row>
    <row r="4166" spans="1:9" x14ac:dyDescent="0.35">
      <c r="A4166" t="s">
        <v>230</v>
      </c>
      <c r="B4166" t="s">
        <v>242</v>
      </c>
      <c r="C4166" s="26">
        <v>0.30209999999999998</v>
      </c>
      <c r="D4166" s="26">
        <v>0.30859999999999999</v>
      </c>
      <c r="E4166" s="26">
        <v>0.26669999999999999</v>
      </c>
      <c r="F4166" s="26">
        <v>0.1192</v>
      </c>
      <c r="G4166" s="26">
        <v>2.92E-2</v>
      </c>
      <c r="H4166" s="26">
        <v>1.67E-2</v>
      </c>
      <c r="I4166">
        <v>189</v>
      </c>
    </row>
    <row r="4167" spans="1:9" x14ac:dyDescent="0.35">
      <c r="A4167" t="s">
        <v>230</v>
      </c>
      <c r="B4167" t="s">
        <v>241</v>
      </c>
      <c r="C4167" s="26">
        <v>0.99870000000000003</v>
      </c>
      <c r="H4167" s="26">
        <v>1.2999999999999999E-3</v>
      </c>
      <c r="I4167">
        <v>371</v>
      </c>
    </row>
    <row r="4168" spans="1:9" x14ac:dyDescent="0.35">
      <c r="A4168" t="s">
        <v>231</v>
      </c>
      <c r="B4168" t="s">
        <v>242</v>
      </c>
      <c r="C4168" s="26">
        <v>0.44440000000000002</v>
      </c>
      <c r="D4168" s="26">
        <v>0.29630000000000001</v>
      </c>
      <c r="E4168" s="26">
        <v>0.14810000000000001</v>
      </c>
      <c r="F4168" s="26">
        <v>0.14810000000000001</v>
      </c>
      <c r="G4168" s="26">
        <v>1.8499999999999999E-2</v>
      </c>
      <c r="I4168">
        <v>54</v>
      </c>
    </row>
    <row r="4169" spans="1:9" x14ac:dyDescent="0.35">
      <c r="A4169" t="s">
        <v>231</v>
      </c>
      <c r="B4169" t="s">
        <v>241</v>
      </c>
      <c r="C4169" s="26">
        <v>0.9909</v>
      </c>
      <c r="H4169" s="26">
        <v>9.1000000000000004E-3</v>
      </c>
      <c r="I4169">
        <v>110</v>
      </c>
    </row>
    <row r="4170" spans="1:9" x14ac:dyDescent="0.35">
      <c r="A4170" t="s">
        <v>232</v>
      </c>
      <c r="B4170" t="s">
        <v>232</v>
      </c>
      <c r="C4170" s="26">
        <v>0.78690000000000004</v>
      </c>
      <c r="D4170" s="26">
        <v>0.1031</v>
      </c>
      <c r="E4170" s="26">
        <v>7.8700000000000006E-2</v>
      </c>
      <c r="F4170" s="26">
        <v>3.3700000000000001E-2</v>
      </c>
      <c r="G4170" s="26">
        <v>8.8999999999999999E-3</v>
      </c>
      <c r="H4170" s="26">
        <v>3.5999999999999999E-3</v>
      </c>
      <c r="I4170">
        <v>2813</v>
      </c>
    </row>
    <row r="4172" spans="1:9" x14ac:dyDescent="0.35">
      <c r="A4172" s="1" t="s">
        <v>670</v>
      </c>
    </row>
    <row r="4173" spans="1:9" x14ac:dyDescent="0.35">
      <c r="A4173" t="s">
        <v>219</v>
      </c>
      <c r="B4173" t="s">
        <v>305</v>
      </c>
      <c r="C4173" t="s">
        <v>302</v>
      </c>
      <c r="D4173" t="s">
        <v>665</v>
      </c>
      <c r="E4173" t="s">
        <v>666</v>
      </c>
      <c r="F4173" t="s">
        <v>667</v>
      </c>
      <c r="G4173" t="s">
        <v>668</v>
      </c>
      <c r="H4173" t="s">
        <v>281</v>
      </c>
      <c r="I4173" t="s">
        <v>226</v>
      </c>
    </row>
    <row r="4174" spans="1:9" x14ac:dyDescent="0.35">
      <c r="A4174" t="s">
        <v>227</v>
      </c>
      <c r="B4174" t="s">
        <v>239</v>
      </c>
      <c r="C4174" s="26">
        <v>0.7581</v>
      </c>
      <c r="D4174" s="26">
        <v>0.1613</v>
      </c>
      <c r="E4174" s="26">
        <v>4.8399999999999999E-2</v>
      </c>
      <c r="F4174" s="26">
        <v>3.2300000000000002E-2</v>
      </c>
      <c r="G4174" s="26">
        <v>1.61E-2</v>
      </c>
      <c r="I4174">
        <v>62</v>
      </c>
    </row>
    <row r="4175" spans="1:9" x14ac:dyDescent="0.35">
      <c r="A4175" t="s">
        <v>227</v>
      </c>
      <c r="B4175" t="s">
        <v>238</v>
      </c>
      <c r="C4175" s="26">
        <v>0.77780000000000005</v>
      </c>
      <c r="D4175" s="26">
        <v>0.1111</v>
      </c>
      <c r="E4175" s="26">
        <v>9.0899999999999995E-2</v>
      </c>
      <c r="F4175" s="26">
        <v>3.0300000000000001E-2</v>
      </c>
      <c r="I4175">
        <v>99</v>
      </c>
    </row>
    <row r="4176" spans="1:9" x14ac:dyDescent="0.35">
      <c r="A4176" t="s">
        <v>228</v>
      </c>
      <c r="B4176" t="s">
        <v>239</v>
      </c>
      <c r="C4176" s="26">
        <v>0.78520000000000001</v>
      </c>
      <c r="D4176" s="26">
        <v>0.10340000000000001</v>
      </c>
      <c r="E4176" s="26">
        <v>8.5300000000000001E-2</v>
      </c>
      <c r="F4176" s="26">
        <v>1.95E-2</v>
      </c>
      <c r="G4176" s="26">
        <v>6.4000000000000003E-3</v>
      </c>
      <c r="H4176" s="26">
        <v>2E-3</v>
      </c>
      <c r="I4176">
        <v>330</v>
      </c>
    </row>
    <row r="4177" spans="1:9" x14ac:dyDescent="0.35">
      <c r="A4177" t="s">
        <v>228</v>
      </c>
      <c r="B4177" t="s">
        <v>238</v>
      </c>
      <c r="C4177" s="26">
        <v>0.79510000000000003</v>
      </c>
      <c r="D4177" s="26">
        <v>8.9499999999999996E-2</v>
      </c>
      <c r="E4177" s="26">
        <v>6.9599999999999995E-2</v>
      </c>
      <c r="F4177" s="26">
        <v>2.64E-2</v>
      </c>
      <c r="G4177" s="26">
        <v>2.47E-2</v>
      </c>
      <c r="H4177" s="26">
        <v>2E-3</v>
      </c>
      <c r="I4177">
        <v>703</v>
      </c>
    </row>
    <row r="4178" spans="1:9" x14ac:dyDescent="0.35">
      <c r="A4178" t="s">
        <v>229</v>
      </c>
      <c r="B4178" t="s">
        <v>239</v>
      </c>
      <c r="C4178" s="26">
        <v>0.76590000000000003</v>
      </c>
      <c r="D4178" s="26">
        <v>0.1205</v>
      </c>
      <c r="E4178" s="26">
        <v>7.1800000000000003E-2</v>
      </c>
      <c r="F4178" s="26">
        <v>4.4999999999999998E-2</v>
      </c>
      <c r="G4178" s="26">
        <v>1.0500000000000001E-2</v>
      </c>
      <c r="I4178">
        <v>332</v>
      </c>
    </row>
    <row r="4179" spans="1:9" x14ac:dyDescent="0.35">
      <c r="A4179" t="s">
        <v>229</v>
      </c>
      <c r="B4179" t="s">
        <v>238</v>
      </c>
      <c r="C4179" s="26">
        <v>0.78010000000000002</v>
      </c>
      <c r="D4179" s="26">
        <v>9.4100000000000003E-2</v>
      </c>
      <c r="E4179" s="26">
        <v>0.1226</v>
      </c>
      <c r="F4179" s="26">
        <v>1.7100000000000001E-2</v>
      </c>
      <c r="G4179" s="26">
        <v>2.5000000000000001E-3</v>
      </c>
      <c r="H4179" s="26">
        <v>4.1000000000000003E-3</v>
      </c>
      <c r="I4179">
        <v>563</v>
      </c>
    </row>
    <row r="4180" spans="1:9" x14ac:dyDescent="0.35">
      <c r="A4180" t="s">
        <v>230</v>
      </c>
      <c r="B4180" t="s">
        <v>239</v>
      </c>
      <c r="C4180" s="26">
        <v>0.76600000000000001</v>
      </c>
      <c r="D4180" s="26">
        <v>7.3200000000000001E-2</v>
      </c>
      <c r="E4180" s="26">
        <v>0.1211</v>
      </c>
      <c r="F4180" s="26">
        <v>2.69E-2</v>
      </c>
      <c r="G4180" s="26">
        <v>2.0899999999999998E-2</v>
      </c>
      <c r="H4180" s="26">
        <v>8.9999999999999998E-4</v>
      </c>
      <c r="I4180">
        <v>211</v>
      </c>
    </row>
    <row r="4181" spans="1:9" x14ac:dyDescent="0.35">
      <c r="A4181" t="s">
        <v>230</v>
      </c>
      <c r="B4181" t="s">
        <v>238</v>
      </c>
      <c r="C4181" s="26">
        <v>0.76190000000000002</v>
      </c>
      <c r="D4181" s="26">
        <v>0.1178</v>
      </c>
      <c r="E4181" s="26">
        <v>7.6799999999999993E-2</v>
      </c>
      <c r="F4181" s="26">
        <v>4.6100000000000002E-2</v>
      </c>
      <c r="G4181" s="26">
        <v>5.1000000000000004E-3</v>
      </c>
      <c r="H4181" s="26">
        <v>8.9999999999999993E-3</v>
      </c>
      <c r="I4181">
        <v>349</v>
      </c>
    </row>
    <row r="4182" spans="1:9" x14ac:dyDescent="0.35">
      <c r="A4182" t="s">
        <v>231</v>
      </c>
      <c r="B4182" t="s">
        <v>239</v>
      </c>
      <c r="C4182" s="26">
        <v>0.71930000000000005</v>
      </c>
      <c r="D4182" s="26">
        <v>0.15790000000000001</v>
      </c>
      <c r="E4182" s="26">
        <v>5.2600000000000001E-2</v>
      </c>
      <c r="F4182" s="26">
        <v>8.77E-2</v>
      </c>
      <c r="G4182" s="26">
        <v>1.7500000000000002E-2</v>
      </c>
      <c r="I4182">
        <v>57</v>
      </c>
    </row>
    <row r="4183" spans="1:9" x14ac:dyDescent="0.35">
      <c r="A4183" t="s">
        <v>231</v>
      </c>
      <c r="B4183" t="s">
        <v>238</v>
      </c>
      <c r="C4183" s="26">
        <v>0.85980000000000001</v>
      </c>
      <c r="D4183" s="26">
        <v>6.54E-2</v>
      </c>
      <c r="E4183" s="26">
        <v>4.6699999999999998E-2</v>
      </c>
      <c r="F4183" s="26">
        <v>2.8000000000000001E-2</v>
      </c>
      <c r="H4183" s="26">
        <v>9.2999999999999992E-3</v>
      </c>
      <c r="I4183">
        <v>107</v>
      </c>
    </row>
    <row r="4184" spans="1:9" x14ac:dyDescent="0.35">
      <c r="A4184" t="s">
        <v>232</v>
      </c>
      <c r="B4184" t="s">
        <v>232</v>
      </c>
      <c r="C4184" s="26">
        <v>0.78690000000000004</v>
      </c>
      <c r="D4184" s="26">
        <v>0.1031</v>
      </c>
      <c r="E4184" s="26">
        <v>7.8700000000000006E-2</v>
      </c>
      <c r="F4184" s="26">
        <v>3.3700000000000001E-2</v>
      </c>
      <c r="G4184" s="26">
        <v>8.8999999999999999E-3</v>
      </c>
      <c r="H4184" s="26">
        <v>3.5999999999999999E-3</v>
      </c>
      <c r="I4184">
        <v>2813</v>
      </c>
    </row>
    <row r="4186" spans="1:9" x14ac:dyDescent="0.35">
      <c r="A4186" s="1" t="s">
        <v>671</v>
      </c>
    </row>
    <row r="4187" spans="1:9" x14ac:dyDescent="0.35">
      <c r="A4187" t="s">
        <v>219</v>
      </c>
      <c r="B4187" t="s">
        <v>305</v>
      </c>
      <c r="C4187" t="s">
        <v>302</v>
      </c>
      <c r="D4187" t="s">
        <v>665</v>
      </c>
      <c r="E4187" t="s">
        <v>666</v>
      </c>
      <c r="F4187" t="s">
        <v>667</v>
      </c>
      <c r="G4187" t="s">
        <v>668</v>
      </c>
      <c r="H4187" t="s">
        <v>281</v>
      </c>
      <c r="I4187" t="s">
        <v>226</v>
      </c>
    </row>
    <row r="4188" spans="1:9" x14ac:dyDescent="0.35">
      <c r="A4188" t="s">
        <v>227</v>
      </c>
      <c r="B4188" t="s">
        <v>244</v>
      </c>
      <c r="C4188" s="26">
        <v>0.73960000000000004</v>
      </c>
      <c r="D4188" s="26">
        <v>0.14580000000000001</v>
      </c>
      <c r="E4188" s="26">
        <v>8.3299999999999999E-2</v>
      </c>
      <c r="F4188" s="26">
        <v>4.1700000000000001E-2</v>
      </c>
      <c r="I4188">
        <v>96</v>
      </c>
    </row>
    <row r="4189" spans="1:9" x14ac:dyDescent="0.35">
      <c r="A4189" t="s">
        <v>227</v>
      </c>
      <c r="B4189" t="s">
        <v>245</v>
      </c>
      <c r="C4189" s="26">
        <v>0.88680000000000003</v>
      </c>
      <c r="D4189" s="26">
        <v>7.5499999999999998E-2</v>
      </c>
      <c r="E4189" s="26">
        <v>3.7699999999999997E-2</v>
      </c>
      <c r="I4189">
        <v>53</v>
      </c>
    </row>
    <row r="4190" spans="1:9" x14ac:dyDescent="0.35">
      <c r="A4190" s="27" t="s">
        <v>227</v>
      </c>
      <c r="B4190" s="27" t="s">
        <v>246</v>
      </c>
      <c r="C4190" s="28">
        <v>0.5</v>
      </c>
      <c r="D4190" s="28">
        <v>0.25</v>
      </c>
      <c r="E4190" s="28">
        <v>0.16669999999999999</v>
      </c>
      <c r="F4190" s="28">
        <v>8.3299999999999999E-2</v>
      </c>
      <c r="G4190" s="28">
        <v>8.3299999999999999E-2</v>
      </c>
      <c r="H4190" s="29"/>
      <c r="I4190" s="29" t="s">
        <v>342</v>
      </c>
    </row>
    <row r="4191" spans="1:9" x14ac:dyDescent="0.35">
      <c r="A4191" t="s">
        <v>228</v>
      </c>
      <c r="B4191" t="s">
        <v>244</v>
      </c>
      <c r="C4191" s="26">
        <v>0.76649999999999996</v>
      </c>
      <c r="D4191" s="26">
        <v>9.5000000000000001E-2</v>
      </c>
      <c r="E4191" s="26">
        <v>8.9800000000000005E-2</v>
      </c>
      <c r="F4191" s="26">
        <v>2.5000000000000001E-2</v>
      </c>
      <c r="G4191" s="26">
        <v>2.8799999999999999E-2</v>
      </c>
      <c r="H4191" s="26">
        <v>2.3999999999999998E-3</v>
      </c>
      <c r="I4191">
        <v>638</v>
      </c>
    </row>
    <row r="4192" spans="1:9" x14ac:dyDescent="0.35">
      <c r="A4192" t="s">
        <v>228</v>
      </c>
      <c r="B4192" t="s">
        <v>245</v>
      </c>
      <c r="C4192" s="26">
        <v>0.88600000000000001</v>
      </c>
      <c r="D4192" s="26">
        <v>7.5499999999999998E-2</v>
      </c>
      <c r="E4192" s="26">
        <v>2.81E-2</v>
      </c>
      <c r="F4192" s="26">
        <v>8.8999999999999999E-3</v>
      </c>
      <c r="H4192" s="26">
        <v>1.5E-3</v>
      </c>
      <c r="I4192">
        <v>328</v>
      </c>
    </row>
    <row r="4193" spans="1:9" x14ac:dyDescent="0.35">
      <c r="A4193" t="s">
        <v>228</v>
      </c>
      <c r="B4193" t="s">
        <v>246</v>
      </c>
      <c r="C4193" s="26">
        <v>0.66849999999999998</v>
      </c>
      <c r="D4193" s="26">
        <v>0.1351</v>
      </c>
      <c r="E4193" s="26">
        <v>9.3299999999999994E-2</v>
      </c>
      <c r="F4193" s="26">
        <v>8.8999999999999996E-2</v>
      </c>
      <c r="G4193" s="26">
        <v>3.1099999999999999E-2</v>
      </c>
      <c r="I4193">
        <v>67</v>
      </c>
    </row>
    <row r="4194" spans="1:9" x14ac:dyDescent="0.35">
      <c r="A4194" t="s">
        <v>229</v>
      </c>
      <c r="B4194" t="s">
        <v>244</v>
      </c>
      <c r="C4194" s="26">
        <v>0.73499999999999999</v>
      </c>
      <c r="D4194" s="26">
        <v>0.13059999999999999</v>
      </c>
      <c r="E4194" s="26">
        <v>0.124</v>
      </c>
      <c r="F4194" s="26">
        <v>3.0700000000000002E-2</v>
      </c>
      <c r="G4194" s="26">
        <v>6.3E-3</v>
      </c>
      <c r="I4194">
        <v>557</v>
      </c>
    </row>
    <row r="4195" spans="1:9" x14ac:dyDescent="0.35">
      <c r="A4195" t="s">
        <v>229</v>
      </c>
      <c r="B4195" t="s">
        <v>245</v>
      </c>
      <c r="C4195" s="26">
        <v>0.89070000000000005</v>
      </c>
      <c r="D4195" s="26">
        <v>3.0599999999999999E-2</v>
      </c>
      <c r="E4195" s="26">
        <v>6.6900000000000001E-2</v>
      </c>
      <c r="H4195" s="26">
        <v>1.18E-2</v>
      </c>
      <c r="I4195">
        <v>293</v>
      </c>
    </row>
    <row r="4196" spans="1:9" x14ac:dyDescent="0.35">
      <c r="A4196" t="s">
        <v>229</v>
      </c>
      <c r="B4196" t="s">
        <v>246</v>
      </c>
      <c r="C4196" s="26">
        <v>0.77180000000000004</v>
      </c>
      <c r="D4196" s="26">
        <v>4.7100000000000003E-2</v>
      </c>
      <c r="E4196" s="26">
        <v>0.1273</v>
      </c>
      <c r="F4196" s="26">
        <v>5.5100000000000003E-2</v>
      </c>
      <c r="G4196" s="26">
        <v>3.2000000000000002E-3</v>
      </c>
      <c r="H4196" s="26">
        <v>1.8E-3</v>
      </c>
      <c r="I4196">
        <v>45</v>
      </c>
    </row>
    <row r="4197" spans="1:9" x14ac:dyDescent="0.35">
      <c r="A4197" t="s">
        <v>230</v>
      </c>
      <c r="B4197" t="s">
        <v>244</v>
      </c>
      <c r="C4197" s="26">
        <v>0.7278</v>
      </c>
      <c r="D4197" s="26">
        <v>0.1203</v>
      </c>
      <c r="E4197" s="26">
        <v>0.1144</v>
      </c>
      <c r="F4197" s="26">
        <v>4.0099999999999997E-2</v>
      </c>
      <c r="G4197" s="26">
        <v>1.4200000000000001E-2</v>
      </c>
      <c r="H4197" s="26">
        <v>1.2999999999999999E-3</v>
      </c>
      <c r="I4197">
        <v>370</v>
      </c>
    </row>
    <row r="4198" spans="1:9" x14ac:dyDescent="0.35">
      <c r="A4198" t="s">
        <v>230</v>
      </c>
      <c r="B4198" t="s">
        <v>245</v>
      </c>
      <c r="C4198" s="26">
        <v>0.90500000000000003</v>
      </c>
      <c r="D4198" s="26">
        <v>4.5600000000000002E-2</v>
      </c>
      <c r="E4198" s="26">
        <v>8.0000000000000002E-3</v>
      </c>
      <c r="F4198" s="26">
        <v>2.07E-2</v>
      </c>
      <c r="H4198" s="26">
        <v>2.07E-2</v>
      </c>
      <c r="I4198">
        <v>161</v>
      </c>
    </row>
    <row r="4199" spans="1:9" x14ac:dyDescent="0.35">
      <c r="A4199" s="27" t="s">
        <v>230</v>
      </c>
      <c r="B4199" s="27" t="s">
        <v>246</v>
      </c>
      <c r="C4199" s="28">
        <v>0.50819999999999999</v>
      </c>
      <c r="D4199" s="28">
        <v>0.19070000000000001</v>
      </c>
      <c r="E4199" s="28">
        <v>0.1847</v>
      </c>
      <c r="F4199" s="28">
        <v>0.1482</v>
      </c>
      <c r="G4199" s="29"/>
      <c r="H4199" s="28">
        <v>5.5999999999999999E-3</v>
      </c>
      <c r="I4199" s="29" t="s">
        <v>329</v>
      </c>
    </row>
    <row r="4200" spans="1:9" x14ac:dyDescent="0.35">
      <c r="A4200" t="s">
        <v>231</v>
      </c>
      <c r="B4200" t="s">
        <v>244</v>
      </c>
      <c r="C4200" s="26">
        <v>0.8</v>
      </c>
      <c r="D4200" s="26">
        <v>0.1053</v>
      </c>
      <c r="E4200" s="26">
        <v>7.3700000000000002E-2</v>
      </c>
      <c r="F4200" s="26">
        <v>4.2099999999999999E-2</v>
      </c>
      <c r="I4200">
        <v>95</v>
      </c>
    </row>
    <row r="4201" spans="1:9" x14ac:dyDescent="0.35">
      <c r="A4201" t="s">
        <v>231</v>
      </c>
      <c r="B4201" t="s">
        <v>245</v>
      </c>
      <c r="C4201" s="26">
        <v>0.875</v>
      </c>
      <c r="D4201" s="26">
        <v>7.1400000000000005E-2</v>
      </c>
      <c r="E4201" s="26">
        <v>1.7899999999999999E-2</v>
      </c>
      <c r="F4201" s="26">
        <v>3.5700000000000003E-2</v>
      </c>
      <c r="I4201">
        <v>56</v>
      </c>
    </row>
    <row r="4202" spans="1:9" x14ac:dyDescent="0.35">
      <c r="A4202" s="27" t="s">
        <v>231</v>
      </c>
      <c r="B4202" s="27" t="s">
        <v>246</v>
      </c>
      <c r="C4202" s="28">
        <v>0.61539999999999995</v>
      </c>
      <c r="D4202" s="28">
        <v>0.15379999999999999</v>
      </c>
      <c r="E4202" s="29"/>
      <c r="F4202" s="28">
        <v>0.15379999999999999</v>
      </c>
      <c r="G4202" s="28">
        <v>7.6899999999999996E-2</v>
      </c>
      <c r="H4202" s="28">
        <v>7.6899999999999996E-2</v>
      </c>
      <c r="I4202" s="29" t="s">
        <v>341</v>
      </c>
    </row>
    <row r="4203" spans="1:9" x14ac:dyDescent="0.35">
      <c r="A4203" t="s">
        <v>232</v>
      </c>
      <c r="B4203" t="s">
        <v>232</v>
      </c>
      <c r="C4203" s="26">
        <v>0.78690000000000004</v>
      </c>
      <c r="D4203" s="26">
        <v>0.1031</v>
      </c>
      <c r="E4203" s="26">
        <v>7.8700000000000006E-2</v>
      </c>
      <c r="F4203" s="26">
        <v>3.3700000000000001E-2</v>
      </c>
      <c r="G4203" s="26">
        <v>8.8999999999999999E-3</v>
      </c>
      <c r="H4203" s="26">
        <v>3.5999999999999999E-3</v>
      </c>
      <c r="I4203">
        <v>2813</v>
      </c>
    </row>
    <row r="4205" spans="1:9" x14ac:dyDescent="0.35">
      <c r="A4205" s="1" t="s">
        <v>672</v>
      </c>
    </row>
    <row r="4206" spans="1:9" x14ac:dyDescent="0.35">
      <c r="A4206" t="s">
        <v>219</v>
      </c>
      <c r="B4206" t="s">
        <v>305</v>
      </c>
      <c r="C4206" t="s">
        <v>302</v>
      </c>
      <c r="D4206" t="s">
        <v>665</v>
      </c>
      <c r="E4206" t="s">
        <v>666</v>
      </c>
      <c r="F4206" t="s">
        <v>667</v>
      </c>
      <c r="G4206" t="s">
        <v>668</v>
      </c>
      <c r="H4206" t="s">
        <v>281</v>
      </c>
      <c r="I4206" t="s">
        <v>226</v>
      </c>
    </row>
    <row r="4207" spans="1:9" x14ac:dyDescent="0.35">
      <c r="A4207" t="s">
        <v>227</v>
      </c>
      <c r="B4207" t="s">
        <v>360</v>
      </c>
      <c r="C4207" s="26">
        <v>0.69230000000000003</v>
      </c>
      <c r="D4207" s="26">
        <v>0.12820000000000001</v>
      </c>
      <c r="E4207" s="26">
        <v>0.1026</v>
      </c>
      <c r="F4207" s="26">
        <v>7.6899999999999996E-2</v>
      </c>
      <c r="G4207" s="26">
        <v>2.5600000000000001E-2</v>
      </c>
      <c r="I4207">
        <v>39</v>
      </c>
    </row>
    <row r="4208" spans="1:9" x14ac:dyDescent="0.35">
      <c r="A4208" t="s">
        <v>227</v>
      </c>
      <c r="B4208" t="s">
        <v>361</v>
      </c>
      <c r="C4208" s="26">
        <v>0.8125</v>
      </c>
      <c r="D4208" s="26">
        <v>9.3799999999999994E-2</v>
      </c>
      <c r="E4208" s="26">
        <v>6.25E-2</v>
      </c>
      <c r="F4208" s="26">
        <v>3.1199999999999999E-2</v>
      </c>
      <c r="I4208">
        <v>32</v>
      </c>
    </row>
    <row r="4209" spans="1:9" x14ac:dyDescent="0.35">
      <c r="A4209" t="s">
        <v>227</v>
      </c>
      <c r="B4209" t="s">
        <v>362</v>
      </c>
      <c r="C4209" s="26">
        <v>0.81079999999999997</v>
      </c>
      <c r="D4209" s="26">
        <v>8.1100000000000005E-2</v>
      </c>
      <c r="E4209" s="26">
        <v>8.1100000000000005E-2</v>
      </c>
      <c r="F4209" s="26">
        <v>2.7E-2</v>
      </c>
      <c r="I4209">
        <v>37</v>
      </c>
    </row>
    <row r="4210" spans="1:9" x14ac:dyDescent="0.35">
      <c r="A4210" t="s">
        <v>227</v>
      </c>
      <c r="B4210" t="s">
        <v>363</v>
      </c>
      <c r="C4210" s="26">
        <v>0.75560000000000005</v>
      </c>
      <c r="D4210" s="26">
        <v>0.2</v>
      </c>
      <c r="E4210" s="26">
        <v>6.6699999999999995E-2</v>
      </c>
      <c r="I4210">
        <v>45</v>
      </c>
    </row>
    <row r="4211" spans="1:9" x14ac:dyDescent="0.35">
      <c r="A4211" t="s">
        <v>228</v>
      </c>
      <c r="B4211" t="s">
        <v>360</v>
      </c>
      <c r="C4211" s="26">
        <v>0.73829999999999996</v>
      </c>
      <c r="D4211" s="26">
        <v>0.1182</v>
      </c>
      <c r="E4211" s="26">
        <v>0.109</v>
      </c>
      <c r="F4211" s="26">
        <v>4.0899999999999999E-2</v>
      </c>
      <c r="G4211" s="26">
        <v>4.8999999999999998E-3</v>
      </c>
      <c r="I4211">
        <v>258</v>
      </c>
    </row>
    <row r="4212" spans="1:9" x14ac:dyDescent="0.35">
      <c r="A4212" t="s">
        <v>228</v>
      </c>
      <c r="B4212" t="s">
        <v>361</v>
      </c>
      <c r="C4212" s="26">
        <v>0.85289999999999999</v>
      </c>
      <c r="D4212" s="26">
        <v>9.6799999999999997E-2</v>
      </c>
      <c r="E4212" s="26">
        <v>2.46E-2</v>
      </c>
      <c r="G4212" s="26">
        <v>2.93E-2</v>
      </c>
      <c r="I4212">
        <v>194</v>
      </c>
    </row>
    <row r="4213" spans="1:9" x14ac:dyDescent="0.35">
      <c r="A4213" t="s">
        <v>228</v>
      </c>
      <c r="B4213" t="s">
        <v>363</v>
      </c>
      <c r="C4213" s="26">
        <v>0.78369999999999995</v>
      </c>
      <c r="D4213" s="26">
        <v>9.3799999999999994E-2</v>
      </c>
      <c r="E4213" s="26">
        <v>7.9799999999999996E-2</v>
      </c>
      <c r="F4213" s="26">
        <v>2.8500000000000001E-2</v>
      </c>
      <c r="G4213" s="26">
        <v>2.0299999999999999E-2</v>
      </c>
      <c r="I4213">
        <v>212</v>
      </c>
    </row>
    <row r="4214" spans="1:9" x14ac:dyDescent="0.35">
      <c r="A4214" t="s">
        <v>228</v>
      </c>
      <c r="B4214" t="s">
        <v>362</v>
      </c>
      <c r="C4214" s="26">
        <v>0.745</v>
      </c>
      <c r="D4214" s="26">
        <v>9.0399999999999994E-2</v>
      </c>
      <c r="E4214" s="26">
        <v>9.6500000000000002E-2</v>
      </c>
      <c r="F4214" s="26">
        <v>3.9300000000000002E-2</v>
      </c>
      <c r="G4214" s="26">
        <v>3.3599999999999998E-2</v>
      </c>
      <c r="H4214" s="26">
        <v>1.8E-3</v>
      </c>
      <c r="I4214">
        <v>236</v>
      </c>
    </row>
    <row r="4215" spans="1:9" x14ac:dyDescent="0.35">
      <c r="A4215" t="s">
        <v>229</v>
      </c>
      <c r="B4215" t="s">
        <v>363</v>
      </c>
      <c r="C4215" s="26">
        <v>0.70689999999999997</v>
      </c>
      <c r="D4215" s="26">
        <v>0.12590000000000001</v>
      </c>
      <c r="E4215" s="26">
        <v>0.1699</v>
      </c>
      <c r="F4215" s="26">
        <v>1.6E-2</v>
      </c>
      <c r="I4215">
        <v>191</v>
      </c>
    </row>
    <row r="4216" spans="1:9" x14ac:dyDescent="0.35">
      <c r="A4216" t="s">
        <v>229</v>
      </c>
      <c r="B4216" t="s">
        <v>360</v>
      </c>
      <c r="C4216" s="26">
        <v>0.62350000000000005</v>
      </c>
      <c r="D4216" s="26">
        <v>0.12839999999999999</v>
      </c>
      <c r="E4216" s="26">
        <v>0.1696</v>
      </c>
      <c r="F4216" s="26">
        <v>0.1</v>
      </c>
      <c r="G4216" s="26">
        <v>5.4000000000000003E-3</v>
      </c>
      <c r="H4216" s="26">
        <v>1.9400000000000001E-2</v>
      </c>
      <c r="I4216">
        <v>164</v>
      </c>
    </row>
    <row r="4217" spans="1:9" x14ac:dyDescent="0.35">
      <c r="A4217" t="s">
        <v>229</v>
      </c>
      <c r="B4217" t="s">
        <v>361</v>
      </c>
      <c r="C4217" s="26">
        <v>0.88139999999999996</v>
      </c>
      <c r="D4217" s="26">
        <v>7.3999999999999996E-2</v>
      </c>
      <c r="E4217" s="26">
        <v>4.4200000000000003E-2</v>
      </c>
      <c r="G4217" s="26">
        <v>8.9999999999999998E-4</v>
      </c>
      <c r="I4217">
        <v>243</v>
      </c>
    </row>
    <row r="4218" spans="1:9" x14ac:dyDescent="0.35">
      <c r="A4218" t="s">
        <v>229</v>
      </c>
      <c r="B4218" t="s">
        <v>362</v>
      </c>
      <c r="C4218" s="26">
        <v>0.65739999999999998</v>
      </c>
      <c r="D4218" s="26">
        <v>0.16309999999999999</v>
      </c>
      <c r="E4218" s="26">
        <v>0.1769</v>
      </c>
      <c r="F4218" s="26">
        <v>3.61E-2</v>
      </c>
      <c r="G4218" s="26">
        <v>1.55E-2</v>
      </c>
      <c r="H4218" s="26">
        <v>5.9999999999999995E-4</v>
      </c>
      <c r="I4218">
        <v>171</v>
      </c>
    </row>
    <row r="4219" spans="1:9" x14ac:dyDescent="0.35">
      <c r="A4219" t="s">
        <v>230</v>
      </c>
      <c r="B4219" t="s">
        <v>360</v>
      </c>
      <c r="C4219" s="26">
        <v>0.67490000000000006</v>
      </c>
      <c r="D4219" s="26">
        <v>0.1046</v>
      </c>
      <c r="E4219" s="26">
        <v>0.1391</v>
      </c>
      <c r="F4219" s="26">
        <v>0.1056</v>
      </c>
      <c r="G4219" s="26">
        <v>9.4999999999999998E-3</v>
      </c>
      <c r="I4219">
        <v>120</v>
      </c>
    </row>
    <row r="4220" spans="1:9" x14ac:dyDescent="0.35">
      <c r="A4220" t="s">
        <v>230</v>
      </c>
      <c r="B4220" t="s">
        <v>363</v>
      </c>
      <c r="C4220" s="26">
        <v>0.74039999999999995</v>
      </c>
      <c r="D4220" s="26">
        <v>0.1188</v>
      </c>
      <c r="E4220" s="26">
        <v>0.13700000000000001</v>
      </c>
      <c r="F4220" s="26">
        <v>2.69E-2</v>
      </c>
      <c r="I4220">
        <v>127</v>
      </c>
    </row>
    <row r="4221" spans="1:9" x14ac:dyDescent="0.35">
      <c r="A4221" t="s">
        <v>230</v>
      </c>
      <c r="B4221" t="s">
        <v>361</v>
      </c>
      <c r="C4221" s="26">
        <v>0.82469999999999999</v>
      </c>
      <c r="D4221" s="26">
        <v>0.1132</v>
      </c>
      <c r="E4221" s="26">
        <v>3.2800000000000003E-2</v>
      </c>
      <c r="F4221" s="26">
        <v>2.12E-2</v>
      </c>
      <c r="G4221" s="26">
        <v>3.5000000000000001E-3</v>
      </c>
      <c r="H4221" s="26">
        <v>4.5999999999999999E-3</v>
      </c>
      <c r="I4221">
        <v>109</v>
      </c>
    </row>
    <row r="4222" spans="1:9" x14ac:dyDescent="0.35">
      <c r="A4222" t="s">
        <v>230</v>
      </c>
      <c r="B4222" t="s">
        <v>362</v>
      </c>
      <c r="C4222" s="26">
        <v>0.73099999999999998</v>
      </c>
      <c r="D4222" s="26">
        <v>0.10589999999999999</v>
      </c>
      <c r="E4222" s="26">
        <v>8.09E-2</v>
      </c>
      <c r="F4222" s="26">
        <v>3.5499999999999997E-2</v>
      </c>
      <c r="G4222" s="26">
        <v>2.87E-2</v>
      </c>
      <c r="H4222" s="26">
        <v>2.1499999999999998E-2</v>
      </c>
      <c r="I4222">
        <v>148</v>
      </c>
    </row>
    <row r="4223" spans="1:9" x14ac:dyDescent="0.35">
      <c r="A4223" s="27" t="s">
        <v>231</v>
      </c>
      <c r="B4223" s="27" t="s">
        <v>362</v>
      </c>
      <c r="C4223" s="28">
        <v>0.6552</v>
      </c>
      <c r="D4223" s="28">
        <v>0.2414</v>
      </c>
      <c r="E4223" s="28">
        <v>6.9000000000000006E-2</v>
      </c>
      <c r="F4223" s="28">
        <v>6.9000000000000006E-2</v>
      </c>
      <c r="G4223" s="29"/>
      <c r="H4223" s="29"/>
      <c r="I4223" s="29" t="s">
        <v>329</v>
      </c>
    </row>
    <row r="4224" spans="1:9" x14ac:dyDescent="0.35">
      <c r="A4224" t="s">
        <v>231</v>
      </c>
      <c r="B4224" t="s">
        <v>361</v>
      </c>
      <c r="C4224" s="26">
        <v>0.84</v>
      </c>
      <c r="D4224" s="26">
        <v>0.02</v>
      </c>
      <c r="E4224" s="26">
        <v>0.12</v>
      </c>
      <c r="H4224" s="26">
        <v>0.02</v>
      </c>
      <c r="I4224">
        <v>50</v>
      </c>
    </row>
    <row r="4225" spans="1:9" x14ac:dyDescent="0.35">
      <c r="A4225" t="s">
        <v>231</v>
      </c>
      <c r="B4225" t="s">
        <v>360</v>
      </c>
      <c r="C4225" s="26">
        <v>0.84089999999999998</v>
      </c>
      <c r="D4225" s="26">
        <v>9.0899999999999995E-2</v>
      </c>
      <c r="F4225" s="26">
        <v>9.0899999999999995E-2</v>
      </c>
      <c r="G4225" s="26">
        <v>2.2700000000000001E-2</v>
      </c>
      <c r="I4225">
        <v>44</v>
      </c>
    </row>
    <row r="4226" spans="1:9" x14ac:dyDescent="0.35">
      <c r="A4226" s="27" t="s">
        <v>231</v>
      </c>
      <c r="B4226" s="27" t="s">
        <v>363</v>
      </c>
      <c r="C4226" s="28">
        <v>0.77780000000000005</v>
      </c>
      <c r="D4226" s="28">
        <v>0.14810000000000001</v>
      </c>
      <c r="E4226" s="29"/>
      <c r="F4226" s="28">
        <v>7.4099999999999999E-2</v>
      </c>
      <c r="G4226" s="29"/>
      <c r="H4226" s="29"/>
      <c r="I4226" s="29" t="s">
        <v>338</v>
      </c>
    </row>
    <row r="4227" spans="1:9" x14ac:dyDescent="0.35">
      <c r="A4227" t="s">
        <v>232</v>
      </c>
      <c r="B4227" t="s">
        <v>232</v>
      </c>
      <c r="C4227" s="26">
        <v>0.78690000000000004</v>
      </c>
      <c r="D4227" s="26">
        <v>0.1031</v>
      </c>
      <c r="E4227" s="26">
        <v>7.8700000000000006E-2</v>
      </c>
      <c r="F4227" s="26">
        <v>3.3700000000000001E-2</v>
      </c>
      <c r="G4227" s="26">
        <v>8.8999999999999999E-3</v>
      </c>
      <c r="H4227" s="26">
        <v>3.5999999999999999E-3</v>
      </c>
      <c r="I4227">
        <v>2476</v>
      </c>
    </row>
    <row r="4229" spans="1:9" x14ac:dyDescent="0.35">
      <c r="A4229" s="1" t="s">
        <v>673</v>
      </c>
    </row>
    <row r="4230" spans="1:9" x14ac:dyDescent="0.35">
      <c r="A4230" t="s">
        <v>219</v>
      </c>
      <c r="B4230" t="s">
        <v>305</v>
      </c>
      <c r="C4230" t="s">
        <v>302</v>
      </c>
      <c r="D4230" t="s">
        <v>665</v>
      </c>
      <c r="E4230" t="s">
        <v>666</v>
      </c>
      <c r="F4230" t="s">
        <v>667</v>
      </c>
      <c r="G4230" t="s">
        <v>668</v>
      </c>
      <c r="H4230" t="s">
        <v>281</v>
      </c>
      <c r="I4230" t="s">
        <v>226</v>
      </c>
    </row>
    <row r="4231" spans="1:9" x14ac:dyDescent="0.35">
      <c r="A4231" t="s">
        <v>227</v>
      </c>
      <c r="B4231" t="s">
        <v>267</v>
      </c>
      <c r="C4231" s="26">
        <v>0.91669999999999996</v>
      </c>
      <c r="D4231" s="26">
        <v>8.3299999999999999E-2</v>
      </c>
      <c r="E4231" s="26">
        <v>2.7799999999999998E-2</v>
      </c>
      <c r="I4231">
        <v>36</v>
      </c>
    </row>
    <row r="4232" spans="1:9" x14ac:dyDescent="0.35">
      <c r="A4232" t="s">
        <v>227</v>
      </c>
      <c r="B4232" t="s">
        <v>266</v>
      </c>
      <c r="C4232" s="26">
        <v>0.81359999999999999</v>
      </c>
      <c r="D4232" s="26">
        <v>0.1017</v>
      </c>
      <c r="E4232" s="26">
        <v>6.7799999999999999E-2</v>
      </c>
      <c r="F4232" s="26">
        <v>1.6899999999999998E-2</v>
      </c>
      <c r="I4232">
        <v>59</v>
      </c>
    </row>
    <row r="4233" spans="1:9" x14ac:dyDescent="0.35">
      <c r="A4233" t="s">
        <v>227</v>
      </c>
      <c r="B4233" t="s">
        <v>265</v>
      </c>
      <c r="C4233" s="26">
        <v>0.65149999999999997</v>
      </c>
      <c r="D4233" s="26">
        <v>0.18179999999999999</v>
      </c>
      <c r="E4233" s="26">
        <v>0.1061</v>
      </c>
      <c r="F4233" s="26">
        <v>6.0600000000000001E-2</v>
      </c>
      <c r="G4233" s="26">
        <v>1.52E-2</v>
      </c>
      <c r="I4233">
        <v>66</v>
      </c>
    </row>
    <row r="4234" spans="1:9" x14ac:dyDescent="0.35">
      <c r="A4234" t="s">
        <v>228</v>
      </c>
      <c r="B4234" t="s">
        <v>267</v>
      </c>
      <c r="C4234" s="26">
        <v>0.75429999999999997</v>
      </c>
      <c r="D4234" s="26">
        <v>0.12559999999999999</v>
      </c>
      <c r="E4234" s="26">
        <v>5.6300000000000003E-2</v>
      </c>
      <c r="F4234" s="26">
        <v>3.73E-2</v>
      </c>
      <c r="G4234" s="26">
        <v>1.9599999999999999E-2</v>
      </c>
      <c r="H4234" s="26">
        <v>6.8999999999999999E-3</v>
      </c>
      <c r="I4234">
        <v>199</v>
      </c>
    </row>
    <row r="4235" spans="1:9" x14ac:dyDescent="0.35">
      <c r="A4235" t="s">
        <v>228</v>
      </c>
      <c r="B4235" t="s">
        <v>265</v>
      </c>
      <c r="C4235" s="26">
        <v>0.75880000000000003</v>
      </c>
      <c r="D4235" s="26">
        <v>9.0700000000000003E-2</v>
      </c>
      <c r="E4235" s="26">
        <v>0.10349999999999999</v>
      </c>
      <c r="F4235" s="26">
        <v>1.7600000000000001E-2</v>
      </c>
      <c r="G4235" s="26">
        <v>3.9699999999999999E-2</v>
      </c>
      <c r="H4235" s="26">
        <v>1E-3</v>
      </c>
      <c r="I4235">
        <v>384</v>
      </c>
    </row>
    <row r="4236" spans="1:9" x14ac:dyDescent="0.35">
      <c r="A4236" s="27" t="s">
        <v>228</v>
      </c>
      <c r="B4236" s="27" t="s">
        <v>236</v>
      </c>
      <c r="C4236" s="28">
        <v>1</v>
      </c>
      <c r="D4236" s="29"/>
      <c r="E4236" s="29"/>
      <c r="F4236" s="29"/>
      <c r="G4236" s="29"/>
      <c r="H4236" s="29"/>
      <c r="I4236" s="29" t="s">
        <v>314</v>
      </c>
    </row>
    <row r="4237" spans="1:9" x14ac:dyDescent="0.35">
      <c r="A4237" t="s">
        <v>228</v>
      </c>
      <c r="B4237" t="s">
        <v>266</v>
      </c>
      <c r="C4237" s="26">
        <v>0.84030000000000005</v>
      </c>
      <c r="D4237" s="26">
        <v>8.1799999999999998E-2</v>
      </c>
      <c r="E4237" s="26">
        <v>4.99E-2</v>
      </c>
      <c r="F4237" s="26">
        <v>2.7699999999999999E-2</v>
      </c>
      <c r="G4237" s="26">
        <v>2.8E-3</v>
      </c>
      <c r="H4237" s="26">
        <v>1E-3</v>
      </c>
      <c r="I4237">
        <v>448</v>
      </c>
    </row>
    <row r="4238" spans="1:9" x14ac:dyDescent="0.35">
      <c r="A4238" t="s">
        <v>229</v>
      </c>
      <c r="B4238" t="s">
        <v>266</v>
      </c>
      <c r="C4238" s="26">
        <v>0.81599999999999995</v>
      </c>
      <c r="D4238" s="26">
        <v>7.0099999999999996E-2</v>
      </c>
      <c r="E4238" s="26">
        <v>9.35E-2</v>
      </c>
      <c r="F4238" s="26">
        <v>1.9099999999999999E-2</v>
      </c>
      <c r="G4238" s="26">
        <v>9.7000000000000003E-3</v>
      </c>
      <c r="H4238" s="26">
        <v>9.1000000000000004E-3</v>
      </c>
      <c r="I4238">
        <v>359</v>
      </c>
    </row>
    <row r="4239" spans="1:9" x14ac:dyDescent="0.35">
      <c r="A4239" t="s">
        <v>229</v>
      </c>
      <c r="B4239" t="s">
        <v>267</v>
      </c>
      <c r="C4239" s="26">
        <v>0.83609999999999995</v>
      </c>
      <c r="D4239" s="26">
        <v>0.1008</v>
      </c>
      <c r="E4239" s="26">
        <v>5.8599999999999999E-2</v>
      </c>
      <c r="F4239" s="26">
        <v>4.4999999999999997E-3</v>
      </c>
      <c r="G4239" s="26">
        <v>3.8E-3</v>
      </c>
      <c r="I4239">
        <v>201</v>
      </c>
    </row>
    <row r="4240" spans="1:9" x14ac:dyDescent="0.35">
      <c r="A4240" t="s">
        <v>229</v>
      </c>
      <c r="B4240" t="s">
        <v>265</v>
      </c>
      <c r="C4240" s="26">
        <v>0.71819999999999995</v>
      </c>
      <c r="D4240" s="26">
        <v>0.1232</v>
      </c>
      <c r="E4240" s="26">
        <v>0.1467</v>
      </c>
      <c r="F4240" s="26">
        <v>3.7699999999999997E-2</v>
      </c>
      <c r="G4240" s="26">
        <v>1.1000000000000001E-3</v>
      </c>
      <c r="H4240" s="26">
        <v>2.0000000000000001E-4</v>
      </c>
      <c r="I4240">
        <v>335</v>
      </c>
    </row>
    <row r="4241" spans="1:9" x14ac:dyDescent="0.35">
      <c r="A4241" t="s">
        <v>230</v>
      </c>
      <c r="B4241" t="s">
        <v>267</v>
      </c>
      <c r="C4241" s="26">
        <v>0.73780000000000001</v>
      </c>
      <c r="D4241" s="26">
        <v>0.1221</v>
      </c>
      <c r="E4241" s="26">
        <v>0.13189999999999999</v>
      </c>
      <c r="F4241" s="26">
        <v>2.86E-2</v>
      </c>
      <c r="G4241" s="26">
        <v>1.23E-2</v>
      </c>
      <c r="I4241">
        <v>119</v>
      </c>
    </row>
    <row r="4242" spans="1:9" x14ac:dyDescent="0.35">
      <c r="A4242" t="s">
        <v>230</v>
      </c>
      <c r="B4242" t="s">
        <v>266</v>
      </c>
      <c r="C4242" s="26">
        <v>0.83760000000000001</v>
      </c>
      <c r="D4242" s="26">
        <v>8.5699999999999998E-2</v>
      </c>
      <c r="E4242" s="26">
        <v>4.1200000000000001E-2</v>
      </c>
      <c r="F4242" s="26">
        <v>3.3000000000000002E-2</v>
      </c>
      <c r="G4242" s="26">
        <v>2.5000000000000001E-3</v>
      </c>
      <c r="H4242" s="26">
        <v>1.49E-2</v>
      </c>
      <c r="I4242">
        <v>232</v>
      </c>
    </row>
    <row r="4243" spans="1:9" x14ac:dyDescent="0.35">
      <c r="A4243" t="s">
        <v>230</v>
      </c>
      <c r="B4243" t="s">
        <v>265</v>
      </c>
      <c r="C4243" s="26">
        <v>0.71209999999999996</v>
      </c>
      <c r="D4243" s="26">
        <v>0.1111</v>
      </c>
      <c r="E4243" s="26">
        <v>0.1105</v>
      </c>
      <c r="F4243" s="26">
        <v>5.28E-2</v>
      </c>
      <c r="G4243" s="26">
        <v>1.4999999999999999E-2</v>
      </c>
      <c r="H4243" s="26">
        <v>2.8E-3</v>
      </c>
      <c r="I4243">
        <v>209</v>
      </c>
    </row>
    <row r="4244" spans="1:9" x14ac:dyDescent="0.35">
      <c r="A4244" t="s">
        <v>231</v>
      </c>
      <c r="B4244" t="s">
        <v>267</v>
      </c>
      <c r="C4244" s="26">
        <v>0.73529999999999995</v>
      </c>
      <c r="D4244" s="26">
        <v>0.1176</v>
      </c>
      <c r="E4244" s="26">
        <v>5.8799999999999998E-2</v>
      </c>
      <c r="F4244" s="26">
        <v>0.1176</v>
      </c>
      <c r="I4244">
        <v>34</v>
      </c>
    </row>
    <row r="4245" spans="1:9" x14ac:dyDescent="0.35">
      <c r="A4245" t="s">
        <v>231</v>
      </c>
      <c r="B4245" t="s">
        <v>266</v>
      </c>
      <c r="C4245" s="26">
        <v>0.8871</v>
      </c>
      <c r="D4245" s="26">
        <v>6.4500000000000002E-2</v>
      </c>
      <c r="E4245" s="26">
        <v>3.2300000000000002E-2</v>
      </c>
      <c r="F4245" s="26">
        <v>1.61E-2</v>
      </c>
      <c r="I4245">
        <v>62</v>
      </c>
    </row>
    <row r="4246" spans="1:9" x14ac:dyDescent="0.35">
      <c r="A4246" t="s">
        <v>231</v>
      </c>
      <c r="B4246" t="s">
        <v>265</v>
      </c>
      <c r="C4246" s="26">
        <v>0.77939999999999998</v>
      </c>
      <c r="D4246" s="26">
        <v>0.1176</v>
      </c>
      <c r="E4246" s="26">
        <v>5.8799999999999998E-2</v>
      </c>
      <c r="F4246" s="26">
        <v>4.41E-2</v>
      </c>
      <c r="G4246" s="26">
        <v>1.47E-2</v>
      </c>
      <c r="H4246" s="26">
        <v>1.47E-2</v>
      </c>
      <c r="I4246">
        <v>68</v>
      </c>
    </row>
    <row r="4247" spans="1:9" x14ac:dyDescent="0.35">
      <c r="A4247" t="s">
        <v>232</v>
      </c>
      <c r="B4247" t="s">
        <v>232</v>
      </c>
      <c r="C4247" s="26">
        <v>0.78690000000000004</v>
      </c>
      <c r="D4247" s="26">
        <v>0.1031</v>
      </c>
      <c r="E4247" s="26">
        <v>7.8700000000000006E-2</v>
      </c>
      <c r="F4247" s="26">
        <v>3.3700000000000001E-2</v>
      </c>
      <c r="G4247" s="26">
        <v>8.8999999999999999E-3</v>
      </c>
      <c r="H4247" s="26">
        <v>3.5999999999999999E-3</v>
      </c>
      <c r="I4247">
        <v>2813</v>
      </c>
    </row>
    <row r="4249" spans="1:9" x14ac:dyDescent="0.35">
      <c r="A4249" s="1" t="s">
        <v>674</v>
      </c>
    </row>
    <row r="4250" spans="1:9" x14ac:dyDescent="0.35">
      <c r="A4250" t="s">
        <v>219</v>
      </c>
      <c r="B4250" t="s">
        <v>305</v>
      </c>
      <c r="C4250" t="s">
        <v>302</v>
      </c>
      <c r="D4250" t="s">
        <v>665</v>
      </c>
      <c r="E4250" t="s">
        <v>666</v>
      </c>
      <c r="F4250" t="s">
        <v>667</v>
      </c>
      <c r="G4250" t="s">
        <v>668</v>
      </c>
      <c r="H4250" t="s">
        <v>281</v>
      </c>
      <c r="I4250" t="s">
        <v>226</v>
      </c>
    </row>
    <row r="4251" spans="1:9" x14ac:dyDescent="0.35">
      <c r="A4251" t="s">
        <v>227</v>
      </c>
      <c r="B4251" t="s">
        <v>252</v>
      </c>
      <c r="C4251" s="26">
        <v>0.77780000000000005</v>
      </c>
      <c r="D4251" s="26">
        <v>0.15559999999999999</v>
      </c>
      <c r="E4251" s="26">
        <v>6.6699999999999995E-2</v>
      </c>
      <c r="F4251" s="26">
        <v>2.2200000000000001E-2</v>
      </c>
      <c r="I4251">
        <v>45</v>
      </c>
    </row>
    <row r="4252" spans="1:9" x14ac:dyDescent="0.35">
      <c r="A4252" t="s">
        <v>227</v>
      </c>
      <c r="B4252" t="s">
        <v>253</v>
      </c>
      <c r="C4252" s="26">
        <v>0.58819999999999995</v>
      </c>
      <c r="D4252" s="26">
        <v>0.23530000000000001</v>
      </c>
      <c r="E4252" s="26">
        <v>0.1176</v>
      </c>
      <c r="F4252" s="26">
        <v>5.8799999999999998E-2</v>
      </c>
      <c r="I4252">
        <v>34</v>
      </c>
    </row>
    <row r="4253" spans="1:9" x14ac:dyDescent="0.35">
      <c r="A4253" t="s">
        <v>227</v>
      </c>
      <c r="B4253" t="s">
        <v>251</v>
      </c>
      <c r="C4253" s="26">
        <v>0.84150000000000003</v>
      </c>
      <c r="D4253" s="26">
        <v>7.3200000000000001E-2</v>
      </c>
      <c r="E4253" s="26">
        <v>6.0999999999999999E-2</v>
      </c>
      <c r="F4253" s="26">
        <v>2.4400000000000002E-2</v>
      </c>
      <c r="G4253" s="26">
        <v>1.2200000000000001E-2</v>
      </c>
      <c r="I4253">
        <v>82</v>
      </c>
    </row>
    <row r="4254" spans="1:9" x14ac:dyDescent="0.35">
      <c r="A4254" t="s">
        <v>228</v>
      </c>
      <c r="B4254" t="s">
        <v>252</v>
      </c>
      <c r="C4254" s="26">
        <v>0.75749999999999995</v>
      </c>
      <c r="D4254" s="26">
        <v>0.10589999999999999</v>
      </c>
      <c r="E4254" s="26">
        <v>0.1115</v>
      </c>
      <c r="F4254" s="26">
        <v>3.3399999999999999E-2</v>
      </c>
      <c r="H4254" s="26">
        <v>1.2999999999999999E-3</v>
      </c>
      <c r="I4254">
        <v>344</v>
      </c>
    </row>
    <row r="4255" spans="1:9" x14ac:dyDescent="0.35">
      <c r="A4255" t="s">
        <v>228</v>
      </c>
      <c r="B4255" t="s">
        <v>253</v>
      </c>
      <c r="C4255" s="26">
        <v>0.63139999999999996</v>
      </c>
      <c r="D4255" s="26">
        <v>0.13189999999999999</v>
      </c>
      <c r="E4255" s="26">
        <v>0.14760000000000001</v>
      </c>
      <c r="F4255" s="26">
        <v>5.5199999999999999E-2</v>
      </c>
      <c r="G4255" s="26">
        <v>4.2900000000000001E-2</v>
      </c>
      <c r="I4255">
        <v>222</v>
      </c>
    </row>
    <row r="4256" spans="1:9" x14ac:dyDescent="0.35">
      <c r="A4256" t="s">
        <v>228</v>
      </c>
      <c r="B4256" t="s">
        <v>251</v>
      </c>
      <c r="C4256" s="26">
        <v>0.88660000000000005</v>
      </c>
      <c r="D4256" s="26">
        <v>6.6199999999999995E-2</v>
      </c>
      <c r="E4256" s="26">
        <v>1.46E-2</v>
      </c>
      <c r="F4256" s="26">
        <v>6.1999999999999998E-3</v>
      </c>
      <c r="G4256" s="26">
        <v>2.5600000000000001E-2</v>
      </c>
      <c r="H4256" s="26">
        <v>3.3E-3</v>
      </c>
      <c r="I4256">
        <v>467</v>
      </c>
    </row>
    <row r="4257" spans="1:9" x14ac:dyDescent="0.35">
      <c r="A4257" t="s">
        <v>229</v>
      </c>
      <c r="B4257" t="s">
        <v>252</v>
      </c>
      <c r="C4257" s="26">
        <v>0.70709999999999995</v>
      </c>
      <c r="D4257" s="26">
        <v>0.1172</v>
      </c>
      <c r="E4257" s="26">
        <v>0.1764</v>
      </c>
      <c r="F4257" s="26">
        <v>1.34E-2</v>
      </c>
      <c r="H4257" s="26">
        <v>1.34E-2</v>
      </c>
      <c r="I4257">
        <v>199</v>
      </c>
    </row>
    <row r="4258" spans="1:9" x14ac:dyDescent="0.35">
      <c r="A4258" t="s">
        <v>229</v>
      </c>
      <c r="B4258" t="s">
        <v>253</v>
      </c>
      <c r="C4258" s="26">
        <v>0.65229999999999999</v>
      </c>
      <c r="D4258" s="26">
        <v>0.13389999999999999</v>
      </c>
      <c r="E4258" s="26">
        <v>0.17710000000000001</v>
      </c>
      <c r="F4258" s="26">
        <v>9.4899999999999998E-2</v>
      </c>
      <c r="G4258" s="26">
        <v>4.4000000000000003E-3</v>
      </c>
      <c r="I4258">
        <v>145</v>
      </c>
    </row>
    <row r="4259" spans="1:9" x14ac:dyDescent="0.35">
      <c r="A4259" t="s">
        <v>229</v>
      </c>
      <c r="B4259" t="s">
        <v>251</v>
      </c>
      <c r="C4259" s="26">
        <v>0.84289999999999998</v>
      </c>
      <c r="D4259" s="26">
        <v>8.3900000000000002E-2</v>
      </c>
      <c r="E4259" s="26">
        <v>6.25E-2</v>
      </c>
      <c r="F4259" s="26">
        <v>5.5999999999999999E-3</v>
      </c>
      <c r="G4259" s="26">
        <v>6.3E-3</v>
      </c>
      <c r="H4259" s="26">
        <v>2.0000000000000001E-4</v>
      </c>
      <c r="I4259">
        <v>551</v>
      </c>
    </row>
    <row r="4260" spans="1:9" x14ac:dyDescent="0.35">
      <c r="A4260" t="s">
        <v>230</v>
      </c>
      <c r="B4260" t="s">
        <v>252</v>
      </c>
      <c r="C4260" s="26">
        <v>0.80759999999999998</v>
      </c>
      <c r="D4260" s="26">
        <v>5.0999999999999997E-2</v>
      </c>
      <c r="E4260" s="26">
        <v>9.5799999999999996E-2</v>
      </c>
      <c r="F4260" s="26">
        <v>4.5499999999999999E-2</v>
      </c>
      <c r="H4260" s="26">
        <v>2.1000000000000001E-2</v>
      </c>
      <c r="I4260">
        <v>159</v>
      </c>
    </row>
    <row r="4261" spans="1:9" x14ac:dyDescent="0.35">
      <c r="A4261" t="s">
        <v>230</v>
      </c>
      <c r="B4261" t="s">
        <v>253</v>
      </c>
      <c r="C4261" s="26">
        <v>0.6784</v>
      </c>
      <c r="D4261" s="26">
        <v>0.1197</v>
      </c>
      <c r="E4261" s="26">
        <v>0.1643</v>
      </c>
      <c r="F4261" s="26">
        <v>1.8599999999999998E-2</v>
      </c>
      <c r="G4261" s="26">
        <v>2.8500000000000001E-2</v>
      </c>
      <c r="I4261">
        <v>110</v>
      </c>
    </row>
    <row r="4262" spans="1:9" x14ac:dyDescent="0.35">
      <c r="A4262" t="s">
        <v>230</v>
      </c>
      <c r="B4262" t="s">
        <v>251</v>
      </c>
      <c r="C4262" s="26">
        <v>0.77149999999999996</v>
      </c>
      <c r="D4262" s="26">
        <v>0.1237</v>
      </c>
      <c r="E4262" s="26">
        <v>6.2300000000000001E-2</v>
      </c>
      <c r="F4262" s="26">
        <v>4.53E-2</v>
      </c>
      <c r="G4262" s="26">
        <v>8.0999999999999996E-3</v>
      </c>
      <c r="H4262" s="26">
        <v>2.0999999999999999E-3</v>
      </c>
      <c r="I4262">
        <v>291</v>
      </c>
    </row>
    <row r="4263" spans="1:9" x14ac:dyDescent="0.35">
      <c r="A4263" t="s">
        <v>231</v>
      </c>
      <c r="B4263" t="s">
        <v>252</v>
      </c>
      <c r="C4263" s="26">
        <v>0.81630000000000003</v>
      </c>
      <c r="D4263" s="26">
        <v>0.10199999999999999</v>
      </c>
      <c r="F4263" s="26">
        <v>8.1600000000000006E-2</v>
      </c>
      <c r="I4263">
        <v>49</v>
      </c>
    </row>
    <row r="4264" spans="1:9" x14ac:dyDescent="0.35">
      <c r="A4264" t="s">
        <v>231</v>
      </c>
      <c r="B4264" t="s">
        <v>253</v>
      </c>
      <c r="C4264" s="26">
        <v>0.76670000000000005</v>
      </c>
      <c r="D4264" s="26">
        <v>0.1</v>
      </c>
      <c r="E4264" s="26">
        <v>0.1</v>
      </c>
      <c r="F4264" s="26">
        <v>6.6699999999999995E-2</v>
      </c>
      <c r="G4264" s="26">
        <v>3.3300000000000003E-2</v>
      </c>
      <c r="I4264">
        <v>30</v>
      </c>
    </row>
    <row r="4265" spans="1:9" x14ac:dyDescent="0.35">
      <c r="A4265" t="s">
        <v>231</v>
      </c>
      <c r="B4265" t="s">
        <v>251</v>
      </c>
      <c r="C4265" s="26">
        <v>0.82350000000000001</v>
      </c>
      <c r="D4265" s="26">
        <v>9.4100000000000003E-2</v>
      </c>
      <c r="E4265" s="26">
        <v>5.8799999999999998E-2</v>
      </c>
      <c r="F4265" s="26">
        <v>2.35E-2</v>
      </c>
      <c r="H4265" s="26">
        <v>1.18E-2</v>
      </c>
      <c r="I4265">
        <v>85</v>
      </c>
    </row>
    <row r="4266" spans="1:9" x14ac:dyDescent="0.35">
      <c r="A4266" t="s">
        <v>232</v>
      </c>
      <c r="B4266" t="s">
        <v>232</v>
      </c>
      <c r="C4266" s="26">
        <v>0.78690000000000004</v>
      </c>
      <c r="D4266" s="26">
        <v>0.1031</v>
      </c>
      <c r="E4266" s="26">
        <v>7.8700000000000006E-2</v>
      </c>
      <c r="F4266" s="26">
        <v>3.3700000000000001E-2</v>
      </c>
      <c r="G4266" s="26">
        <v>8.8999999999999999E-3</v>
      </c>
      <c r="H4266" s="26">
        <v>3.5999999999999999E-3</v>
      </c>
      <c r="I4266">
        <v>2813</v>
      </c>
    </row>
    <row r="4268" spans="1:9" x14ac:dyDescent="0.35">
      <c r="A4268" s="1" t="s">
        <v>675</v>
      </c>
    </row>
    <row r="4269" spans="1:9" x14ac:dyDescent="0.35">
      <c r="A4269" t="s">
        <v>219</v>
      </c>
      <c r="B4269" t="s">
        <v>305</v>
      </c>
      <c r="C4269" t="s">
        <v>302</v>
      </c>
      <c r="D4269" t="s">
        <v>665</v>
      </c>
      <c r="E4269" t="s">
        <v>666</v>
      </c>
      <c r="F4269" t="s">
        <v>667</v>
      </c>
      <c r="G4269" t="s">
        <v>668</v>
      </c>
      <c r="H4269" t="s">
        <v>281</v>
      </c>
      <c r="I4269" t="s">
        <v>226</v>
      </c>
    </row>
    <row r="4270" spans="1:9" x14ac:dyDescent="0.35">
      <c r="A4270" t="s">
        <v>227</v>
      </c>
      <c r="B4270" t="s">
        <v>249</v>
      </c>
      <c r="C4270" s="26">
        <v>0.75</v>
      </c>
      <c r="D4270" s="26">
        <v>0.13639999999999999</v>
      </c>
      <c r="E4270" s="26">
        <v>9.0899999999999995E-2</v>
      </c>
      <c r="F4270" s="26">
        <v>2.2700000000000001E-2</v>
      </c>
      <c r="G4270" s="26">
        <v>2.2700000000000001E-2</v>
      </c>
      <c r="I4270">
        <v>44</v>
      </c>
    </row>
    <row r="4271" spans="1:9" x14ac:dyDescent="0.35">
      <c r="A4271" t="s">
        <v>227</v>
      </c>
      <c r="B4271" t="s">
        <v>248</v>
      </c>
      <c r="C4271" s="26">
        <v>0.77780000000000005</v>
      </c>
      <c r="D4271" s="26">
        <v>0.12820000000000001</v>
      </c>
      <c r="E4271" s="26">
        <v>6.8400000000000002E-2</v>
      </c>
      <c r="F4271" s="26">
        <v>3.4200000000000001E-2</v>
      </c>
      <c r="I4271">
        <v>117</v>
      </c>
    </row>
    <row r="4272" spans="1:9" x14ac:dyDescent="0.35">
      <c r="A4272" t="s">
        <v>228</v>
      </c>
      <c r="B4272" t="s">
        <v>249</v>
      </c>
      <c r="C4272" s="26">
        <v>0.83819999999999995</v>
      </c>
      <c r="D4272" s="26">
        <v>6.6600000000000006E-2</v>
      </c>
      <c r="E4272" s="26">
        <v>4.2999999999999997E-2</v>
      </c>
      <c r="F4272" s="26">
        <v>1.7999999999999999E-2</v>
      </c>
      <c r="G4272" s="26">
        <v>3.27E-2</v>
      </c>
      <c r="H4272" s="26">
        <v>1.4E-3</v>
      </c>
      <c r="I4272">
        <v>274</v>
      </c>
    </row>
    <row r="4273" spans="1:9" x14ac:dyDescent="0.35">
      <c r="A4273" t="s">
        <v>228</v>
      </c>
      <c r="B4273" t="s">
        <v>248</v>
      </c>
      <c r="C4273" s="26">
        <v>0.77380000000000004</v>
      </c>
      <c r="D4273" s="26">
        <v>0.1033</v>
      </c>
      <c r="E4273" s="26">
        <v>8.5599999999999996E-2</v>
      </c>
      <c r="F4273" s="26">
        <v>2.7900000000000001E-2</v>
      </c>
      <c r="G4273" s="26">
        <v>1.5900000000000001E-2</v>
      </c>
      <c r="H4273" s="26">
        <v>2.3E-3</v>
      </c>
      <c r="I4273">
        <v>759</v>
      </c>
    </row>
    <row r="4274" spans="1:9" x14ac:dyDescent="0.35">
      <c r="A4274" t="s">
        <v>229</v>
      </c>
      <c r="B4274" t="s">
        <v>249</v>
      </c>
      <c r="C4274" s="26">
        <v>0.8</v>
      </c>
      <c r="D4274" s="26">
        <v>0.1051</v>
      </c>
      <c r="E4274" s="26">
        <v>7.46E-2</v>
      </c>
      <c r="F4274" s="26">
        <v>1.2699999999999999E-2</v>
      </c>
      <c r="G4274" s="26">
        <v>1.12E-2</v>
      </c>
      <c r="I4274">
        <v>259</v>
      </c>
    </row>
    <row r="4275" spans="1:9" x14ac:dyDescent="0.35">
      <c r="A4275" t="s">
        <v>229</v>
      </c>
      <c r="B4275" t="s">
        <v>248</v>
      </c>
      <c r="C4275" s="26">
        <v>0.76500000000000001</v>
      </c>
      <c r="D4275" s="26">
        <v>9.8699999999999996E-2</v>
      </c>
      <c r="E4275" s="26">
        <v>0.12690000000000001</v>
      </c>
      <c r="F4275" s="26">
        <v>2.98E-2</v>
      </c>
      <c r="G4275" s="26">
        <v>1.1999999999999999E-3</v>
      </c>
      <c r="H4275" s="26">
        <v>4.5999999999999999E-3</v>
      </c>
      <c r="I4275">
        <v>636</v>
      </c>
    </row>
    <row r="4276" spans="1:9" x14ac:dyDescent="0.35">
      <c r="A4276" t="s">
        <v>230</v>
      </c>
      <c r="B4276" t="s">
        <v>249</v>
      </c>
      <c r="C4276" s="26">
        <v>0.68720000000000003</v>
      </c>
      <c r="D4276" s="26">
        <v>0.1462</v>
      </c>
      <c r="E4276" s="26">
        <v>8.2600000000000007E-2</v>
      </c>
      <c r="F4276" s="26">
        <v>5.9400000000000001E-2</v>
      </c>
      <c r="G4276" s="26">
        <v>2.92E-2</v>
      </c>
      <c r="H4276" s="26">
        <v>8.0000000000000004E-4</v>
      </c>
      <c r="I4276">
        <v>171</v>
      </c>
    </row>
    <row r="4277" spans="1:9" x14ac:dyDescent="0.35">
      <c r="A4277" t="s">
        <v>230</v>
      </c>
      <c r="B4277" t="s">
        <v>248</v>
      </c>
      <c r="C4277" s="26">
        <v>0.80169999999999997</v>
      </c>
      <c r="D4277" s="26">
        <v>8.3099999999999993E-2</v>
      </c>
      <c r="E4277" s="26">
        <v>9.4E-2</v>
      </c>
      <c r="F4277" s="26">
        <v>3.0599999999999999E-2</v>
      </c>
      <c r="H4277" s="26">
        <v>9.4999999999999998E-3</v>
      </c>
      <c r="I4277">
        <v>389</v>
      </c>
    </row>
    <row r="4278" spans="1:9" x14ac:dyDescent="0.35">
      <c r="A4278" t="s">
        <v>231</v>
      </c>
      <c r="B4278" t="s">
        <v>249</v>
      </c>
      <c r="C4278" s="26">
        <v>0.88570000000000004</v>
      </c>
      <c r="D4278" s="26">
        <v>8.5699999999999998E-2</v>
      </c>
      <c r="H4278" s="26">
        <v>2.86E-2</v>
      </c>
      <c r="I4278">
        <v>35</v>
      </c>
    </row>
    <row r="4279" spans="1:9" x14ac:dyDescent="0.35">
      <c r="A4279" t="s">
        <v>231</v>
      </c>
      <c r="B4279" t="s">
        <v>248</v>
      </c>
      <c r="C4279" s="26">
        <v>0.79069999999999996</v>
      </c>
      <c r="D4279" s="26">
        <v>0.1008</v>
      </c>
      <c r="E4279" s="26">
        <v>6.2E-2</v>
      </c>
      <c r="F4279" s="26">
        <v>6.2E-2</v>
      </c>
      <c r="G4279" s="26">
        <v>7.7999999999999996E-3</v>
      </c>
      <c r="I4279">
        <v>129</v>
      </c>
    </row>
    <row r="4280" spans="1:9" x14ac:dyDescent="0.35">
      <c r="A4280" t="s">
        <v>232</v>
      </c>
      <c r="B4280" t="s">
        <v>232</v>
      </c>
      <c r="C4280" s="26">
        <v>0.78690000000000004</v>
      </c>
      <c r="D4280" s="26">
        <v>0.1031</v>
      </c>
      <c r="E4280" s="26">
        <v>7.8700000000000006E-2</v>
      </c>
      <c r="F4280" s="26">
        <v>3.3700000000000001E-2</v>
      </c>
      <c r="G4280" s="26">
        <v>8.8999999999999999E-3</v>
      </c>
      <c r="H4280" s="26">
        <v>3.5999999999999999E-3</v>
      </c>
      <c r="I4280">
        <v>2813</v>
      </c>
    </row>
    <row r="4282" spans="1:9" x14ac:dyDescent="0.35">
      <c r="A4282" s="1" t="s">
        <v>676</v>
      </c>
    </row>
    <row r="4283" spans="1:9" x14ac:dyDescent="0.35">
      <c r="A4283" t="s">
        <v>219</v>
      </c>
      <c r="B4283" t="s">
        <v>305</v>
      </c>
      <c r="C4283" t="s">
        <v>302</v>
      </c>
      <c r="D4283" t="s">
        <v>665</v>
      </c>
      <c r="E4283" t="s">
        <v>666</v>
      </c>
      <c r="F4283" t="s">
        <v>667</v>
      </c>
      <c r="G4283" t="s">
        <v>668</v>
      </c>
      <c r="H4283" t="s">
        <v>281</v>
      </c>
      <c r="I4283" t="s">
        <v>226</v>
      </c>
    </row>
    <row r="4284" spans="1:9" x14ac:dyDescent="0.35">
      <c r="A4284" s="27" t="s">
        <v>227</v>
      </c>
      <c r="B4284" s="27" t="s">
        <v>263</v>
      </c>
      <c r="C4284" s="28">
        <v>1</v>
      </c>
      <c r="D4284" s="29"/>
      <c r="E4284" s="29"/>
      <c r="F4284" s="29"/>
      <c r="G4284" s="29"/>
      <c r="H4284" s="29"/>
      <c r="I4284" s="29" t="s">
        <v>315</v>
      </c>
    </row>
    <row r="4285" spans="1:9" x14ac:dyDescent="0.35">
      <c r="A4285" t="s">
        <v>227</v>
      </c>
      <c r="B4285" t="s">
        <v>261</v>
      </c>
      <c r="C4285" s="26">
        <v>0.63639999999999997</v>
      </c>
      <c r="D4285" s="26">
        <v>0.2727</v>
      </c>
      <c r="E4285" s="26">
        <v>9.0899999999999995E-2</v>
      </c>
      <c r="I4285">
        <v>33</v>
      </c>
    </row>
    <row r="4286" spans="1:9" x14ac:dyDescent="0.35">
      <c r="A4286" s="27" t="s">
        <v>227</v>
      </c>
      <c r="B4286" s="27" t="s">
        <v>262</v>
      </c>
      <c r="C4286" s="28">
        <v>1</v>
      </c>
      <c r="D4286" s="29"/>
      <c r="E4286" s="29"/>
      <c r="F4286" s="29"/>
      <c r="G4286" s="29"/>
      <c r="H4286" s="29"/>
      <c r="I4286" s="29" t="s">
        <v>315</v>
      </c>
    </row>
    <row r="4287" spans="1:9" x14ac:dyDescent="0.35">
      <c r="A4287" t="s">
        <v>227</v>
      </c>
      <c r="B4287" t="s">
        <v>260</v>
      </c>
      <c r="C4287" s="26">
        <v>0.79510000000000003</v>
      </c>
      <c r="D4287" s="26">
        <v>9.8400000000000001E-2</v>
      </c>
      <c r="E4287" s="26">
        <v>7.3800000000000004E-2</v>
      </c>
      <c r="F4287" s="26">
        <v>4.1000000000000002E-2</v>
      </c>
      <c r="G4287" s="26">
        <v>8.2000000000000007E-3</v>
      </c>
      <c r="I4287">
        <v>122</v>
      </c>
    </row>
    <row r="4288" spans="1:9" x14ac:dyDescent="0.35">
      <c r="A4288" t="s">
        <v>228</v>
      </c>
      <c r="B4288" t="s">
        <v>261</v>
      </c>
      <c r="C4288" s="26">
        <v>0.72260000000000002</v>
      </c>
      <c r="D4288" s="26">
        <v>0.13139999999999999</v>
      </c>
      <c r="E4288" s="26">
        <v>0.1031</v>
      </c>
      <c r="F4288" s="26">
        <v>1.9900000000000001E-2</v>
      </c>
      <c r="G4288" s="26">
        <v>2.4899999999999999E-2</v>
      </c>
      <c r="I4288">
        <v>192</v>
      </c>
    </row>
    <row r="4289" spans="1:9" x14ac:dyDescent="0.35">
      <c r="A4289" s="27" t="s">
        <v>228</v>
      </c>
      <c r="B4289" s="27" t="s">
        <v>263</v>
      </c>
      <c r="C4289" s="28">
        <v>0.91659999999999997</v>
      </c>
      <c r="D4289" s="28">
        <v>7.0400000000000004E-2</v>
      </c>
      <c r="E4289" s="28">
        <v>1.2999999999999999E-2</v>
      </c>
      <c r="F4289" s="28">
        <v>1.2999999999999999E-2</v>
      </c>
      <c r="G4289" s="29"/>
      <c r="H4289" s="29"/>
      <c r="I4289" s="29" t="s">
        <v>312</v>
      </c>
    </row>
    <row r="4290" spans="1:9" x14ac:dyDescent="0.35">
      <c r="A4290" s="27" t="s">
        <v>228</v>
      </c>
      <c r="B4290" s="27" t="s">
        <v>236</v>
      </c>
      <c r="C4290" s="28">
        <v>0.82730000000000004</v>
      </c>
      <c r="D4290" s="29"/>
      <c r="E4290" s="28">
        <v>0.17269999999999999</v>
      </c>
      <c r="F4290" s="29"/>
      <c r="G4290" s="29"/>
      <c r="H4290" s="29"/>
      <c r="I4290" s="29" t="s">
        <v>335</v>
      </c>
    </row>
    <row r="4291" spans="1:9" x14ac:dyDescent="0.35">
      <c r="A4291" t="s">
        <v>228</v>
      </c>
      <c r="B4291" t="s">
        <v>262</v>
      </c>
      <c r="C4291" s="26">
        <v>0.78849999999999998</v>
      </c>
      <c r="D4291" s="26">
        <v>6.9199999999999998E-2</v>
      </c>
      <c r="E4291" s="26">
        <v>8.2000000000000003E-2</v>
      </c>
      <c r="F4291" s="26">
        <v>2.75E-2</v>
      </c>
      <c r="G4291" s="26">
        <v>3.4299999999999997E-2</v>
      </c>
      <c r="I4291">
        <v>201</v>
      </c>
    </row>
    <row r="4292" spans="1:9" x14ac:dyDescent="0.35">
      <c r="A4292" t="s">
        <v>228</v>
      </c>
      <c r="B4292" t="s">
        <v>260</v>
      </c>
      <c r="C4292" s="26">
        <v>0.8125</v>
      </c>
      <c r="D4292" s="26">
        <v>8.7800000000000003E-2</v>
      </c>
      <c r="E4292" s="26">
        <v>6.1600000000000002E-2</v>
      </c>
      <c r="F4292" s="26">
        <v>2.6499999999999999E-2</v>
      </c>
      <c r="G4292" s="26">
        <v>1.6899999999999998E-2</v>
      </c>
      <c r="H4292" s="26">
        <v>3.2000000000000002E-3</v>
      </c>
      <c r="I4292">
        <v>609</v>
      </c>
    </row>
    <row r="4293" spans="1:9" x14ac:dyDescent="0.35">
      <c r="A4293" s="27" t="s">
        <v>229</v>
      </c>
      <c r="B4293" s="27" t="s">
        <v>263</v>
      </c>
      <c r="C4293" s="28">
        <v>0.69210000000000005</v>
      </c>
      <c r="D4293" s="28">
        <v>1.7100000000000001E-2</v>
      </c>
      <c r="E4293" s="28">
        <v>0.1777</v>
      </c>
      <c r="F4293" s="28">
        <v>0.13009999999999999</v>
      </c>
      <c r="G4293" s="29"/>
      <c r="H4293" s="29"/>
      <c r="I4293" s="29" t="s">
        <v>379</v>
      </c>
    </row>
    <row r="4294" spans="1:9" x14ac:dyDescent="0.35">
      <c r="A4294" t="s">
        <v>229</v>
      </c>
      <c r="B4294" t="s">
        <v>262</v>
      </c>
      <c r="C4294" s="26">
        <v>0.83830000000000005</v>
      </c>
      <c r="D4294" s="26">
        <v>4.48E-2</v>
      </c>
      <c r="E4294" s="26">
        <v>0.1002</v>
      </c>
      <c r="F4294" s="26">
        <v>1.43E-2</v>
      </c>
      <c r="G4294" s="26">
        <v>2.3999999999999998E-3</v>
      </c>
      <c r="I4294">
        <v>188</v>
      </c>
    </row>
    <row r="4295" spans="1:9" x14ac:dyDescent="0.35">
      <c r="A4295" t="s">
        <v>229</v>
      </c>
      <c r="B4295" t="s">
        <v>261</v>
      </c>
      <c r="C4295" s="26">
        <v>0.73180000000000001</v>
      </c>
      <c r="D4295" s="26">
        <v>0.14910000000000001</v>
      </c>
      <c r="E4295" s="26">
        <v>0.12180000000000001</v>
      </c>
      <c r="F4295" s="26">
        <v>1.9099999999999999E-2</v>
      </c>
      <c r="H4295" s="26">
        <v>5.9999999999999995E-4</v>
      </c>
      <c r="I4295">
        <v>96</v>
      </c>
    </row>
    <row r="4296" spans="1:9" x14ac:dyDescent="0.35">
      <c r="A4296" s="27" t="s">
        <v>229</v>
      </c>
      <c r="B4296" s="27" t="s">
        <v>236</v>
      </c>
      <c r="C4296" s="28">
        <v>1</v>
      </c>
      <c r="D4296" s="29"/>
      <c r="E4296" s="29"/>
      <c r="F4296" s="29"/>
      <c r="G4296" s="29"/>
      <c r="H4296" s="29"/>
      <c r="I4296" s="29" t="s">
        <v>331</v>
      </c>
    </row>
    <row r="4297" spans="1:9" x14ac:dyDescent="0.35">
      <c r="A4297" t="s">
        <v>229</v>
      </c>
      <c r="B4297" t="s">
        <v>260</v>
      </c>
      <c r="C4297" s="26">
        <v>0.7601</v>
      </c>
      <c r="D4297" s="26">
        <v>0.11899999999999999</v>
      </c>
      <c r="E4297" s="26">
        <v>0.1089</v>
      </c>
      <c r="F4297" s="26">
        <v>2.69E-2</v>
      </c>
      <c r="G4297" s="26">
        <v>6.8999999999999999E-3</v>
      </c>
      <c r="H4297" s="26">
        <v>5.4000000000000003E-3</v>
      </c>
      <c r="I4297">
        <v>596</v>
      </c>
    </row>
    <row r="4298" spans="1:9" x14ac:dyDescent="0.35">
      <c r="A4298" s="27" t="s">
        <v>230</v>
      </c>
      <c r="B4298" s="27" t="s">
        <v>236</v>
      </c>
      <c r="C4298" s="28">
        <v>1</v>
      </c>
      <c r="D4298" s="29"/>
      <c r="E4298" s="29"/>
      <c r="F4298" s="29"/>
      <c r="G4298" s="29"/>
      <c r="H4298" s="29"/>
      <c r="I4298" s="29" t="s">
        <v>337</v>
      </c>
    </row>
    <row r="4299" spans="1:9" x14ac:dyDescent="0.35">
      <c r="A4299" t="s">
        <v>230</v>
      </c>
      <c r="B4299" t="s">
        <v>262</v>
      </c>
      <c r="C4299" s="26">
        <v>0.84019999999999995</v>
      </c>
      <c r="D4299" s="26">
        <v>8.2900000000000001E-2</v>
      </c>
      <c r="E4299" s="26">
        <v>9.5000000000000001E-2</v>
      </c>
      <c r="F4299" s="26">
        <v>5.8999999999999999E-3</v>
      </c>
      <c r="G4299" s="26">
        <v>1.18E-2</v>
      </c>
      <c r="I4299">
        <v>122</v>
      </c>
    </row>
    <row r="4300" spans="1:9" x14ac:dyDescent="0.35">
      <c r="A4300" t="s">
        <v>230</v>
      </c>
      <c r="B4300" t="s">
        <v>261</v>
      </c>
      <c r="C4300" s="26">
        <v>0.5585</v>
      </c>
      <c r="D4300" s="26">
        <v>0.25309999999999999</v>
      </c>
      <c r="E4300" s="26">
        <v>9.4200000000000006E-2</v>
      </c>
      <c r="F4300" s="26">
        <v>8.0699999999999994E-2</v>
      </c>
      <c r="G4300" s="26">
        <v>6.7999999999999996E-3</v>
      </c>
      <c r="H4300" s="26">
        <v>6.7000000000000002E-3</v>
      </c>
      <c r="I4300">
        <v>57</v>
      </c>
    </row>
    <row r="4301" spans="1:9" x14ac:dyDescent="0.35">
      <c r="A4301" s="27" t="s">
        <v>230</v>
      </c>
      <c r="B4301" s="27" t="s">
        <v>263</v>
      </c>
      <c r="C4301" s="28">
        <v>0.4506</v>
      </c>
      <c r="D4301" s="28">
        <v>0.4405</v>
      </c>
      <c r="E4301" s="28">
        <v>0.1646</v>
      </c>
      <c r="F4301" s="29"/>
      <c r="G4301" s="29"/>
      <c r="H4301" s="29"/>
      <c r="I4301" s="29" t="s">
        <v>312</v>
      </c>
    </row>
    <row r="4302" spans="1:9" x14ac:dyDescent="0.35">
      <c r="A4302" t="s">
        <v>230</v>
      </c>
      <c r="B4302" t="s">
        <v>260</v>
      </c>
      <c r="C4302" s="26">
        <v>0.79059999999999997</v>
      </c>
      <c r="D4302" s="26">
        <v>7.3599999999999999E-2</v>
      </c>
      <c r="E4302" s="26">
        <v>8.7599999999999997E-2</v>
      </c>
      <c r="F4302" s="26">
        <v>4.1399999999999999E-2</v>
      </c>
      <c r="G4302" s="26">
        <v>1.04E-2</v>
      </c>
      <c r="H4302" s="26">
        <v>8.2000000000000007E-3</v>
      </c>
      <c r="I4302">
        <v>352</v>
      </c>
    </row>
    <row r="4303" spans="1:9" x14ac:dyDescent="0.35">
      <c r="A4303" s="27" t="s">
        <v>231</v>
      </c>
      <c r="B4303" s="27" t="s">
        <v>263</v>
      </c>
      <c r="C4303" s="28">
        <v>0.5</v>
      </c>
      <c r="D4303" s="28">
        <v>0.5</v>
      </c>
      <c r="E4303" s="29"/>
      <c r="F4303" s="29"/>
      <c r="G4303" s="29"/>
      <c r="H4303" s="29"/>
      <c r="I4303" s="29" t="s">
        <v>314</v>
      </c>
    </row>
    <row r="4304" spans="1:9" x14ac:dyDescent="0.35">
      <c r="A4304" t="s">
        <v>231</v>
      </c>
      <c r="B4304" t="s">
        <v>260</v>
      </c>
      <c r="C4304" s="26">
        <v>0.7903</v>
      </c>
      <c r="D4304" s="26">
        <v>9.6799999999999997E-2</v>
      </c>
      <c r="E4304" s="26">
        <v>6.4500000000000002E-2</v>
      </c>
      <c r="F4304" s="26">
        <v>5.6500000000000002E-2</v>
      </c>
      <c r="G4304" s="26">
        <v>8.0999999999999996E-3</v>
      </c>
      <c r="H4304" s="26">
        <v>8.0999999999999996E-3</v>
      </c>
      <c r="I4304">
        <v>124</v>
      </c>
    </row>
    <row r="4305" spans="1:9" x14ac:dyDescent="0.35">
      <c r="A4305" s="27" t="s">
        <v>231</v>
      </c>
      <c r="B4305" s="27" t="s">
        <v>261</v>
      </c>
      <c r="C4305" s="28">
        <v>0.92589999999999995</v>
      </c>
      <c r="D4305" s="28">
        <v>7.4099999999999999E-2</v>
      </c>
      <c r="E4305" s="29"/>
      <c r="F4305" s="29"/>
      <c r="G4305" s="29"/>
      <c r="H4305" s="29"/>
      <c r="I4305" s="29" t="s">
        <v>338</v>
      </c>
    </row>
    <row r="4306" spans="1:9" x14ac:dyDescent="0.35">
      <c r="A4306" s="27" t="s">
        <v>231</v>
      </c>
      <c r="B4306" s="27" t="s">
        <v>262</v>
      </c>
      <c r="C4306" s="28">
        <v>0.81820000000000004</v>
      </c>
      <c r="D4306" s="28">
        <v>9.0899999999999995E-2</v>
      </c>
      <c r="E4306" s="29"/>
      <c r="F4306" s="28">
        <v>9.0899999999999995E-2</v>
      </c>
      <c r="G4306" s="29"/>
      <c r="H4306" s="29"/>
      <c r="I4306" s="29" t="s">
        <v>352</v>
      </c>
    </row>
    <row r="4307" spans="1:9" x14ac:dyDescent="0.35">
      <c r="A4307" t="s">
        <v>232</v>
      </c>
      <c r="B4307" t="s">
        <v>232</v>
      </c>
      <c r="C4307" s="26">
        <v>0.78690000000000004</v>
      </c>
      <c r="D4307" s="26">
        <v>0.1031</v>
      </c>
      <c r="E4307" s="26">
        <v>7.8700000000000006E-2</v>
      </c>
      <c r="F4307" s="26">
        <v>3.3700000000000001E-2</v>
      </c>
      <c r="G4307" s="26">
        <v>8.8999999999999999E-3</v>
      </c>
      <c r="H4307" s="26">
        <v>3.5999999999999999E-3</v>
      </c>
      <c r="I4307">
        <v>2813</v>
      </c>
    </row>
    <row r="4309" spans="1:9" x14ac:dyDescent="0.35">
      <c r="A4309" s="1" t="s">
        <v>677</v>
      </c>
    </row>
    <row r="4310" spans="1:9" x14ac:dyDescent="0.35">
      <c r="A4310" t="s">
        <v>219</v>
      </c>
      <c r="B4310" t="s">
        <v>305</v>
      </c>
      <c r="C4310" t="s">
        <v>302</v>
      </c>
      <c r="D4310" t="s">
        <v>665</v>
      </c>
      <c r="E4310" t="s">
        <v>666</v>
      </c>
      <c r="F4310" t="s">
        <v>667</v>
      </c>
      <c r="G4310" t="s">
        <v>668</v>
      </c>
      <c r="H4310" t="s">
        <v>281</v>
      </c>
      <c r="I4310" t="s">
        <v>226</v>
      </c>
    </row>
    <row r="4311" spans="1:9" x14ac:dyDescent="0.35">
      <c r="A4311" t="s">
        <v>227</v>
      </c>
      <c r="B4311" t="s">
        <v>368</v>
      </c>
      <c r="C4311" s="26">
        <v>0.63639999999999997</v>
      </c>
      <c r="D4311" s="26">
        <v>0.2727</v>
      </c>
      <c r="E4311" s="26">
        <v>9.0899999999999995E-2</v>
      </c>
      <c r="I4311">
        <v>33</v>
      </c>
    </row>
    <row r="4312" spans="1:9" x14ac:dyDescent="0.35">
      <c r="A4312" t="s">
        <v>227</v>
      </c>
      <c r="B4312" t="s">
        <v>369</v>
      </c>
      <c r="C4312" s="26">
        <v>0.80469999999999997</v>
      </c>
      <c r="D4312" s="26">
        <v>9.3799999999999994E-2</v>
      </c>
      <c r="E4312" s="26">
        <v>7.0300000000000001E-2</v>
      </c>
      <c r="F4312" s="26">
        <v>3.9100000000000003E-2</v>
      </c>
      <c r="G4312" s="26">
        <v>7.7999999999999996E-3</v>
      </c>
      <c r="I4312">
        <v>128</v>
      </c>
    </row>
    <row r="4313" spans="1:9" x14ac:dyDescent="0.35">
      <c r="A4313" t="s">
        <v>228</v>
      </c>
      <c r="B4313" t="s">
        <v>368</v>
      </c>
      <c r="C4313" s="26">
        <v>0.72260000000000002</v>
      </c>
      <c r="D4313" s="26">
        <v>0.13139999999999999</v>
      </c>
      <c r="E4313" s="26">
        <v>0.1031</v>
      </c>
      <c r="F4313" s="26">
        <v>1.9900000000000001E-2</v>
      </c>
      <c r="G4313" s="26">
        <v>2.4899999999999999E-2</v>
      </c>
      <c r="I4313">
        <v>192</v>
      </c>
    </row>
    <row r="4314" spans="1:9" x14ac:dyDescent="0.35">
      <c r="A4314" t="s">
        <v>228</v>
      </c>
      <c r="B4314" t="s">
        <v>369</v>
      </c>
      <c r="C4314" s="26">
        <v>0.81010000000000004</v>
      </c>
      <c r="D4314" s="26">
        <v>8.2900000000000001E-2</v>
      </c>
      <c r="E4314" s="26">
        <v>6.5500000000000003E-2</v>
      </c>
      <c r="F4314" s="26">
        <v>2.6200000000000001E-2</v>
      </c>
      <c r="G4314" s="26">
        <v>0.02</v>
      </c>
      <c r="H4314" s="26">
        <v>2.5000000000000001E-3</v>
      </c>
      <c r="I4314">
        <v>841</v>
      </c>
    </row>
    <row r="4315" spans="1:9" x14ac:dyDescent="0.35">
      <c r="A4315" t="s">
        <v>229</v>
      </c>
      <c r="B4315" t="s">
        <v>368</v>
      </c>
      <c r="C4315" s="26">
        <v>0.73180000000000001</v>
      </c>
      <c r="D4315" s="26">
        <v>0.14910000000000001</v>
      </c>
      <c r="E4315" s="26">
        <v>0.12180000000000001</v>
      </c>
      <c r="F4315" s="26">
        <v>1.9099999999999999E-2</v>
      </c>
      <c r="H4315" s="26">
        <v>5.9999999999999995E-4</v>
      </c>
      <c r="I4315">
        <v>96</v>
      </c>
    </row>
    <row r="4316" spans="1:9" x14ac:dyDescent="0.35">
      <c r="A4316" t="s">
        <v>229</v>
      </c>
      <c r="B4316" t="s">
        <v>369</v>
      </c>
      <c r="C4316" s="26">
        <v>0.7843</v>
      </c>
      <c r="D4316" s="26">
        <v>9.2399999999999996E-2</v>
      </c>
      <c r="E4316" s="26">
        <v>0.1076</v>
      </c>
      <c r="F4316" s="26">
        <v>2.5100000000000001E-2</v>
      </c>
      <c r="G4316" s="26">
        <v>5.3E-3</v>
      </c>
      <c r="H4316" s="26">
        <v>3.5000000000000001E-3</v>
      </c>
      <c r="I4316">
        <v>799</v>
      </c>
    </row>
    <row r="4317" spans="1:9" x14ac:dyDescent="0.35">
      <c r="A4317" t="s">
        <v>230</v>
      </c>
      <c r="B4317" t="s">
        <v>368</v>
      </c>
      <c r="C4317" s="26">
        <v>0.5585</v>
      </c>
      <c r="D4317" s="26">
        <v>0.25309999999999999</v>
      </c>
      <c r="E4317" s="26">
        <v>9.4200000000000006E-2</v>
      </c>
      <c r="F4317" s="26">
        <v>8.0699999999999994E-2</v>
      </c>
      <c r="G4317" s="26">
        <v>6.7999999999999996E-3</v>
      </c>
      <c r="H4317" s="26">
        <v>6.7000000000000002E-3</v>
      </c>
      <c r="I4317">
        <v>57</v>
      </c>
    </row>
    <row r="4318" spans="1:9" x14ac:dyDescent="0.35">
      <c r="A4318" t="s">
        <v>230</v>
      </c>
      <c r="B4318" t="s">
        <v>369</v>
      </c>
      <c r="C4318" s="26">
        <v>0.79459999999999997</v>
      </c>
      <c r="D4318" s="26">
        <v>8.1500000000000003E-2</v>
      </c>
      <c r="E4318" s="26">
        <v>8.9599999999999999E-2</v>
      </c>
      <c r="F4318" s="26">
        <v>3.4099999999999998E-2</v>
      </c>
      <c r="G4318" s="26">
        <v>1.03E-2</v>
      </c>
      <c r="H4318" s="26">
        <v>6.4999999999999997E-3</v>
      </c>
      <c r="I4318">
        <v>503</v>
      </c>
    </row>
    <row r="4319" spans="1:9" x14ac:dyDescent="0.35">
      <c r="A4319" s="27" t="s">
        <v>231</v>
      </c>
      <c r="B4319" s="27" t="s">
        <v>368</v>
      </c>
      <c r="C4319" s="28">
        <v>0.92589999999999995</v>
      </c>
      <c r="D4319" s="28">
        <v>7.4099999999999999E-2</v>
      </c>
      <c r="E4319" s="29"/>
      <c r="F4319" s="29"/>
      <c r="G4319" s="29"/>
      <c r="H4319" s="29"/>
      <c r="I4319" s="29" t="s">
        <v>338</v>
      </c>
    </row>
    <row r="4320" spans="1:9" x14ac:dyDescent="0.35">
      <c r="A4320" t="s">
        <v>231</v>
      </c>
      <c r="B4320" t="s">
        <v>369</v>
      </c>
      <c r="C4320" s="26">
        <v>0.7883</v>
      </c>
      <c r="D4320" s="26">
        <v>0.1022</v>
      </c>
      <c r="E4320" s="26">
        <v>5.8400000000000001E-2</v>
      </c>
      <c r="F4320" s="26">
        <v>5.8400000000000001E-2</v>
      </c>
      <c r="G4320" s="26">
        <v>7.3000000000000001E-3</v>
      </c>
      <c r="H4320" s="26">
        <v>7.3000000000000001E-3</v>
      </c>
      <c r="I4320">
        <v>137</v>
      </c>
    </row>
    <row r="4321" spans="1:9" x14ac:dyDescent="0.35">
      <c r="A4321" t="s">
        <v>232</v>
      </c>
      <c r="B4321" t="s">
        <v>232</v>
      </c>
      <c r="C4321" s="26">
        <v>0.78690000000000004</v>
      </c>
      <c r="D4321" s="26">
        <v>0.1031</v>
      </c>
      <c r="E4321" s="26">
        <v>7.8700000000000006E-2</v>
      </c>
      <c r="F4321" s="26">
        <v>3.3700000000000001E-2</v>
      </c>
      <c r="G4321" s="26">
        <v>8.8999999999999999E-3</v>
      </c>
      <c r="H4321" s="26">
        <v>3.5999999999999999E-3</v>
      </c>
      <c r="I4321">
        <v>2813</v>
      </c>
    </row>
    <row r="4323" spans="1:9" x14ac:dyDescent="0.35">
      <c r="A4323" s="1" t="s">
        <v>678</v>
      </c>
    </row>
    <row r="4324" spans="1:9" x14ac:dyDescent="0.35">
      <c r="A4324" t="s">
        <v>219</v>
      </c>
      <c r="B4324" t="s">
        <v>305</v>
      </c>
      <c r="C4324" t="s">
        <v>302</v>
      </c>
      <c r="D4324" t="s">
        <v>665</v>
      </c>
      <c r="E4324" t="s">
        <v>666</v>
      </c>
      <c r="F4324" t="s">
        <v>667</v>
      </c>
      <c r="G4324" t="s">
        <v>668</v>
      </c>
      <c r="H4324" t="s">
        <v>281</v>
      </c>
      <c r="I4324" t="s">
        <v>226</v>
      </c>
    </row>
    <row r="4325" spans="1:9" x14ac:dyDescent="0.35">
      <c r="A4325" t="s">
        <v>227</v>
      </c>
      <c r="B4325" t="s">
        <v>371</v>
      </c>
      <c r="C4325" s="26">
        <v>0.7702</v>
      </c>
      <c r="D4325" s="26">
        <v>0.13039999999999999</v>
      </c>
      <c r="E4325" s="26">
        <v>7.4499999999999997E-2</v>
      </c>
      <c r="F4325" s="26">
        <v>3.1099999999999999E-2</v>
      </c>
      <c r="G4325" s="26">
        <v>6.1999999999999998E-3</v>
      </c>
      <c r="I4325">
        <v>161</v>
      </c>
    </row>
    <row r="4326" spans="1:9" x14ac:dyDescent="0.35">
      <c r="A4326" t="s">
        <v>228</v>
      </c>
      <c r="B4326" t="s">
        <v>371</v>
      </c>
      <c r="C4326" s="26">
        <v>0.78900000000000003</v>
      </c>
      <c r="D4326" s="26">
        <v>8.2699999999999996E-2</v>
      </c>
      <c r="E4326" s="26">
        <v>7.3700000000000002E-2</v>
      </c>
      <c r="F4326" s="26">
        <v>2.06E-2</v>
      </c>
      <c r="G4326" s="26">
        <v>3.3300000000000003E-2</v>
      </c>
      <c r="H4326" s="26">
        <v>8.0000000000000004E-4</v>
      </c>
      <c r="I4326">
        <v>292</v>
      </c>
    </row>
    <row r="4327" spans="1:9" x14ac:dyDescent="0.35">
      <c r="A4327" t="s">
        <v>228</v>
      </c>
      <c r="B4327" t="s">
        <v>372</v>
      </c>
      <c r="C4327" s="26">
        <v>0.73029999999999995</v>
      </c>
      <c r="D4327" s="26">
        <v>0.1394</v>
      </c>
      <c r="E4327" s="26">
        <v>8.8999999999999996E-2</v>
      </c>
      <c r="F4327" s="26">
        <v>3.2800000000000003E-2</v>
      </c>
      <c r="G4327" s="26">
        <v>1.41E-2</v>
      </c>
      <c r="H4327" s="26">
        <v>4.8999999999999998E-3</v>
      </c>
      <c r="I4327">
        <v>218</v>
      </c>
    </row>
    <row r="4328" spans="1:9" x14ac:dyDescent="0.35">
      <c r="A4328" t="s">
        <v>228</v>
      </c>
      <c r="B4328" t="s">
        <v>373</v>
      </c>
      <c r="C4328" s="26">
        <v>0.81210000000000004</v>
      </c>
      <c r="D4328" s="26">
        <v>9.4899999999999998E-2</v>
      </c>
      <c r="E4328" s="26">
        <v>6.8199999999999997E-2</v>
      </c>
      <c r="F4328" s="26">
        <v>2.9100000000000001E-2</v>
      </c>
      <c r="G4328" s="26">
        <v>6.0000000000000001E-3</v>
      </c>
      <c r="H4328" s="26">
        <v>3.0000000000000001E-3</v>
      </c>
      <c r="I4328">
        <v>523</v>
      </c>
    </row>
    <row r="4329" spans="1:9" x14ac:dyDescent="0.35">
      <c r="A4329" t="s">
        <v>229</v>
      </c>
      <c r="B4329" t="s">
        <v>371</v>
      </c>
      <c r="C4329" s="26">
        <v>0.77439999999999998</v>
      </c>
      <c r="D4329" s="26">
        <v>0.1013</v>
      </c>
      <c r="E4329" s="26">
        <v>0.1111</v>
      </c>
      <c r="F4329" s="26">
        <v>2.46E-2</v>
      </c>
      <c r="G4329" s="26">
        <v>4.4999999999999997E-3</v>
      </c>
      <c r="H4329" s="26">
        <v>3.2000000000000002E-3</v>
      </c>
      <c r="I4329">
        <v>584</v>
      </c>
    </row>
    <row r="4330" spans="1:9" x14ac:dyDescent="0.35">
      <c r="A4330" t="s">
        <v>229</v>
      </c>
      <c r="B4330" t="s">
        <v>372</v>
      </c>
      <c r="C4330" s="26">
        <v>0.78820000000000001</v>
      </c>
      <c r="D4330" s="26">
        <v>7.9100000000000004E-2</v>
      </c>
      <c r="E4330" s="26">
        <v>0.12889999999999999</v>
      </c>
      <c r="F4330" s="26">
        <v>1.7000000000000001E-2</v>
      </c>
      <c r="H4330" s="26">
        <v>1.9E-3</v>
      </c>
      <c r="I4330">
        <v>221</v>
      </c>
    </row>
    <row r="4331" spans="1:9" x14ac:dyDescent="0.35">
      <c r="A4331" t="s">
        <v>229</v>
      </c>
      <c r="B4331" t="s">
        <v>373</v>
      </c>
      <c r="C4331" s="26">
        <v>0.82740000000000002</v>
      </c>
      <c r="D4331" s="26">
        <v>0.12330000000000001</v>
      </c>
      <c r="E4331" s="26">
        <v>2.47E-2</v>
      </c>
      <c r="F4331" s="26">
        <v>2.47E-2</v>
      </c>
      <c r="G4331" s="26">
        <v>1.23E-2</v>
      </c>
      <c r="I4331">
        <v>90</v>
      </c>
    </row>
    <row r="4332" spans="1:9" x14ac:dyDescent="0.35">
      <c r="A4332" t="s">
        <v>230</v>
      </c>
      <c r="B4332" t="s">
        <v>371</v>
      </c>
      <c r="C4332" s="26">
        <v>0.74650000000000005</v>
      </c>
      <c r="D4332" s="26">
        <v>0.1113</v>
      </c>
      <c r="E4332" s="26">
        <v>9.8100000000000007E-2</v>
      </c>
      <c r="F4332" s="26">
        <v>4.5199999999999997E-2</v>
      </c>
      <c r="G4332" s="26">
        <v>8.8000000000000005E-3</v>
      </c>
      <c r="H4332" s="26">
        <v>6.6E-3</v>
      </c>
      <c r="I4332">
        <v>262</v>
      </c>
    </row>
    <row r="4333" spans="1:9" x14ac:dyDescent="0.35">
      <c r="A4333" t="s">
        <v>230</v>
      </c>
      <c r="B4333" t="s">
        <v>372</v>
      </c>
      <c r="C4333" s="26">
        <v>0.83309999999999995</v>
      </c>
      <c r="D4333" s="26">
        <v>9.35E-2</v>
      </c>
      <c r="E4333" s="26">
        <v>5.4399999999999997E-2</v>
      </c>
      <c r="F4333" s="26">
        <v>1.4200000000000001E-2</v>
      </c>
      <c r="H4333" s="26">
        <v>4.7000000000000002E-3</v>
      </c>
      <c r="I4333">
        <v>146</v>
      </c>
    </row>
    <row r="4334" spans="1:9" x14ac:dyDescent="0.35">
      <c r="A4334" t="s">
        <v>230</v>
      </c>
      <c r="B4334" t="s">
        <v>373</v>
      </c>
      <c r="C4334" s="26">
        <v>0.83779999999999999</v>
      </c>
      <c r="D4334" s="26">
        <v>6.4799999999999996E-2</v>
      </c>
      <c r="E4334" s="26">
        <v>5.57E-2</v>
      </c>
      <c r="F4334" s="26">
        <v>2.0899999999999998E-2</v>
      </c>
      <c r="G4334" s="26">
        <v>2.0899999999999998E-2</v>
      </c>
      <c r="H4334" s="26">
        <v>7.0000000000000001E-3</v>
      </c>
      <c r="I4334">
        <v>152</v>
      </c>
    </row>
    <row r="4335" spans="1:9" x14ac:dyDescent="0.35">
      <c r="A4335" t="s">
        <v>231</v>
      </c>
      <c r="B4335" t="s">
        <v>371</v>
      </c>
      <c r="C4335" s="26">
        <v>0.81100000000000005</v>
      </c>
      <c r="D4335" s="26">
        <v>9.7600000000000006E-2</v>
      </c>
      <c r="E4335" s="26">
        <v>4.8800000000000003E-2</v>
      </c>
      <c r="F4335" s="26">
        <v>4.8800000000000003E-2</v>
      </c>
      <c r="G4335" s="26">
        <v>6.1000000000000004E-3</v>
      </c>
      <c r="H4335" s="26">
        <v>6.1000000000000004E-3</v>
      </c>
      <c r="I4335">
        <v>164</v>
      </c>
    </row>
    <row r="4336" spans="1:9" x14ac:dyDescent="0.35">
      <c r="A4336" t="s">
        <v>232</v>
      </c>
      <c r="B4336" t="s">
        <v>232</v>
      </c>
      <c r="C4336" s="26">
        <v>0.78690000000000004</v>
      </c>
      <c r="D4336" s="26">
        <v>0.1031</v>
      </c>
      <c r="E4336" s="26">
        <v>7.8700000000000006E-2</v>
      </c>
      <c r="F4336" s="26">
        <v>3.3700000000000001E-2</v>
      </c>
      <c r="G4336" s="26">
        <v>8.8999999999999999E-3</v>
      </c>
      <c r="H4336" s="26">
        <v>3.5999999999999999E-3</v>
      </c>
      <c r="I4336">
        <v>2813</v>
      </c>
    </row>
    <row r="4338" spans="1:9" x14ac:dyDescent="0.35">
      <c r="A4338" s="1" t="s">
        <v>679</v>
      </c>
    </row>
    <row r="4339" spans="1:9" x14ac:dyDescent="0.35">
      <c r="A4339" t="s">
        <v>219</v>
      </c>
      <c r="B4339" t="s">
        <v>305</v>
      </c>
      <c r="C4339" t="s">
        <v>302</v>
      </c>
      <c r="D4339" t="s">
        <v>665</v>
      </c>
      <c r="E4339" t="s">
        <v>666</v>
      </c>
      <c r="F4339" t="s">
        <v>667</v>
      </c>
      <c r="G4339" t="s">
        <v>668</v>
      </c>
      <c r="H4339" t="s">
        <v>281</v>
      </c>
      <c r="I4339" t="s">
        <v>226</v>
      </c>
    </row>
    <row r="4340" spans="1:9" x14ac:dyDescent="0.35">
      <c r="A4340" t="s">
        <v>227</v>
      </c>
      <c r="B4340" t="s">
        <v>255</v>
      </c>
      <c r="C4340" s="26">
        <v>0.77780000000000005</v>
      </c>
      <c r="D4340" s="26">
        <v>0.12820000000000001</v>
      </c>
      <c r="E4340" s="26">
        <v>6.8400000000000002E-2</v>
      </c>
      <c r="F4340" s="26">
        <v>3.4200000000000001E-2</v>
      </c>
      <c r="I4340">
        <v>117</v>
      </c>
    </row>
    <row r="4341" spans="1:9" x14ac:dyDescent="0.35">
      <c r="A4341" s="27" t="s">
        <v>227</v>
      </c>
      <c r="B4341" s="27" t="s">
        <v>257</v>
      </c>
      <c r="C4341" s="28">
        <v>1</v>
      </c>
      <c r="D4341" s="29"/>
      <c r="E4341" s="29"/>
      <c r="F4341" s="29"/>
      <c r="G4341" s="29"/>
      <c r="H4341" s="29"/>
      <c r="I4341" s="29" t="s">
        <v>334</v>
      </c>
    </row>
    <row r="4342" spans="1:9" x14ac:dyDescent="0.35">
      <c r="A4342" t="s">
        <v>227</v>
      </c>
      <c r="B4342" t="s">
        <v>256</v>
      </c>
      <c r="C4342" s="26">
        <v>0.68569999999999998</v>
      </c>
      <c r="D4342" s="26">
        <v>0.1714</v>
      </c>
      <c r="E4342" s="26">
        <v>0.1143</v>
      </c>
      <c r="F4342" s="26">
        <v>2.86E-2</v>
      </c>
      <c r="G4342" s="26">
        <v>2.86E-2</v>
      </c>
      <c r="I4342">
        <v>35</v>
      </c>
    </row>
    <row r="4343" spans="1:9" x14ac:dyDescent="0.35">
      <c r="A4343" t="s">
        <v>228</v>
      </c>
      <c r="B4343" t="s">
        <v>257</v>
      </c>
      <c r="C4343" s="26">
        <v>0.93159999999999998</v>
      </c>
      <c r="D4343" s="26">
        <v>3.6499999999999998E-2</v>
      </c>
      <c r="E4343" s="26">
        <v>3.1899999999999998E-2</v>
      </c>
      <c r="I4343">
        <v>49</v>
      </c>
    </row>
    <row r="4344" spans="1:9" x14ac:dyDescent="0.35">
      <c r="A4344" s="27" t="s">
        <v>228</v>
      </c>
      <c r="B4344" s="27" t="s">
        <v>258</v>
      </c>
      <c r="C4344" s="28">
        <v>1</v>
      </c>
      <c r="D4344" s="29"/>
      <c r="E4344" s="29"/>
      <c r="F4344" s="29"/>
      <c r="G4344" s="29"/>
      <c r="H4344" s="29"/>
      <c r="I4344" s="29" t="s">
        <v>337</v>
      </c>
    </row>
    <row r="4345" spans="1:9" x14ac:dyDescent="0.35">
      <c r="A4345" t="s">
        <v>228</v>
      </c>
      <c r="B4345" t="s">
        <v>256</v>
      </c>
      <c r="C4345" s="26">
        <v>0.81430000000000002</v>
      </c>
      <c r="D4345" s="26">
        <v>7.46E-2</v>
      </c>
      <c r="E4345" s="26">
        <v>4.6399999999999997E-2</v>
      </c>
      <c r="F4345" s="26">
        <v>2.24E-2</v>
      </c>
      <c r="G4345" s="26">
        <v>4.0500000000000001E-2</v>
      </c>
      <c r="H4345" s="26">
        <v>1.6999999999999999E-3</v>
      </c>
      <c r="I4345">
        <v>221</v>
      </c>
    </row>
    <row r="4346" spans="1:9" x14ac:dyDescent="0.35">
      <c r="A4346" t="s">
        <v>228</v>
      </c>
      <c r="B4346" t="s">
        <v>255</v>
      </c>
      <c r="C4346" s="26">
        <v>0.77380000000000004</v>
      </c>
      <c r="D4346" s="26">
        <v>0.1033</v>
      </c>
      <c r="E4346" s="26">
        <v>8.5599999999999996E-2</v>
      </c>
      <c r="F4346" s="26">
        <v>2.7900000000000001E-2</v>
      </c>
      <c r="G4346" s="26">
        <v>1.5900000000000001E-2</v>
      </c>
      <c r="H4346" s="26">
        <v>2.3E-3</v>
      </c>
      <c r="I4346">
        <v>759</v>
      </c>
    </row>
    <row r="4347" spans="1:9" x14ac:dyDescent="0.35">
      <c r="A4347" t="s">
        <v>229</v>
      </c>
      <c r="B4347" t="s">
        <v>256</v>
      </c>
      <c r="C4347" s="26">
        <v>0.77539999999999998</v>
      </c>
      <c r="D4347" s="26">
        <v>0.1157</v>
      </c>
      <c r="E4347" s="26">
        <v>8.9399999999999993E-2</v>
      </c>
      <c r="F4347" s="26">
        <v>1.2800000000000001E-2</v>
      </c>
      <c r="G4347" s="26">
        <v>1.0999999999999999E-2</v>
      </c>
      <c r="I4347">
        <v>207</v>
      </c>
    </row>
    <row r="4348" spans="1:9" x14ac:dyDescent="0.35">
      <c r="A4348" t="s">
        <v>229</v>
      </c>
      <c r="B4348" t="s">
        <v>255</v>
      </c>
      <c r="C4348" s="26">
        <v>0.76500000000000001</v>
      </c>
      <c r="D4348" s="26">
        <v>9.8699999999999996E-2</v>
      </c>
      <c r="E4348" s="26">
        <v>0.12690000000000001</v>
      </c>
      <c r="F4348" s="26">
        <v>2.98E-2</v>
      </c>
      <c r="G4348" s="26">
        <v>1.1999999999999999E-3</v>
      </c>
      <c r="H4348" s="26">
        <v>4.5999999999999999E-3</v>
      </c>
      <c r="I4348">
        <v>636</v>
      </c>
    </row>
    <row r="4349" spans="1:9" x14ac:dyDescent="0.35">
      <c r="A4349" t="s">
        <v>229</v>
      </c>
      <c r="B4349" t="s">
        <v>257</v>
      </c>
      <c r="C4349" s="26">
        <v>0.92300000000000004</v>
      </c>
      <c r="D4349" s="26">
        <v>5.2400000000000002E-2</v>
      </c>
      <c r="F4349" s="26">
        <v>1.23E-2</v>
      </c>
      <c r="G4349" s="26">
        <v>1.23E-2</v>
      </c>
      <c r="I4349">
        <v>50</v>
      </c>
    </row>
    <row r="4350" spans="1:9" x14ac:dyDescent="0.35">
      <c r="A4350" s="27" t="s">
        <v>229</v>
      </c>
      <c r="B4350" s="27" t="s">
        <v>258</v>
      </c>
      <c r="C4350" s="28">
        <v>1</v>
      </c>
      <c r="D4350" s="29"/>
      <c r="E4350" s="29"/>
      <c r="F4350" s="29"/>
      <c r="G4350" s="29"/>
      <c r="H4350" s="29"/>
      <c r="I4350" s="29" t="s">
        <v>314</v>
      </c>
    </row>
    <row r="4351" spans="1:9" x14ac:dyDescent="0.35">
      <c r="A4351" t="s">
        <v>230</v>
      </c>
      <c r="B4351" t="s">
        <v>256</v>
      </c>
      <c r="C4351" s="26">
        <v>0.63900000000000001</v>
      </c>
      <c r="D4351" s="26">
        <v>0.1482</v>
      </c>
      <c r="E4351" s="26">
        <v>0.1071</v>
      </c>
      <c r="F4351" s="26">
        <v>7.6999999999999999E-2</v>
      </c>
      <c r="G4351" s="26">
        <v>3.4500000000000003E-2</v>
      </c>
      <c r="H4351" s="26">
        <v>1.1000000000000001E-3</v>
      </c>
      <c r="I4351">
        <v>130</v>
      </c>
    </row>
    <row r="4352" spans="1:9" x14ac:dyDescent="0.35">
      <c r="A4352" t="s">
        <v>230</v>
      </c>
      <c r="B4352" t="s">
        <v>255</v>
      </c>
      <c r="C4352" s="26">
        <v>0.80169999999999997</v>
      </c>
      <c r="D4352" s="26">
        <v>8.3099999999999993E-2</v>
      </c>
      <c r="E4352" s="26">
        <v>9.4E-2</v>
      </c>
      <c r="F4352" s="26">
        <v>3.0599999999999999E-2</v>
      </c>
      <c r="H4352" s="26">
        <v>9.4999999999999998E-3</v>
      </c>
      <c r="I4352">
        <v>389</v>
      </c>
    </row>
    <row r="4353" spans="1:9" x14ac:dyDescent="0.35">
      <c r="A4353" t="s">
        <v>230</v>
      </c>
      <c r="B4353" t="s">
        <v>257</v>
      </c>
      <c r="C4353" s="26">
        <v>0.83520000000000005</v>
      </c>
      <c r="D4353" s="26">
        <v>0.1522</v>
      </c>
      <c r="G4353" s="26">
        <v>1.2500000000000001E-2</v>
      </c>
      <c r="I4353">
        <v>38</v>
      </c>
    </row>
    <row r="4354" spans="1:9" x14ac:dyDescent="0.35">
      <c r="A4354" s="27" t="s">
        <v>230</v>
      </c>
      <c r="B4354" s="27" t="s">
        <v>258</v>
      </c>
      <c r="C4354" s="28">
        <v>1</v>
      </c>
      <c r="D4354" s="29"/>
      <c r="E4354" s="29"/>
      <c r="F4354" s="29"/>
      <c r="G4354" s="29"/>
      <c r="H4354" s="29"/>
      <c r="I4354" s="29" t="s">
        <v>315</v>
      </c>
    </row>
    <row r="4355" spans="1:9" x14ac:dyDescent="0.35">
      <c r="A4355" s="27" t="s">
        <v>231</v>
      </c>
      <c r="B4355" s="27" t="s">
        <v>257</v>
      </c>
      <c r="C4355" s="28">
        <v>1</v>
      </c>
      <c r="D4355" s="29"/>
      <c r="E4355" s="29"/>
      <c r="F4355" s="29"/>
      <c r="G4355" s="29"/>
      <c r="H4355" s="29"/>
      <c r="I4355" s="29" t="s">
        <v>339</v>
      </c>
    </row>
    <row r="4356" spans="1:9" x14ac:dyDescent="0.35">
      <c r="A4356" t="s">
        <v>231</v>
      </c>
      <c r="B4356" t="s">
        <v>255</v>
      </c>
      <c r="C4356" s="26">
        <v>0.79069999999999996</v>
      </c>
      <c r="D4356" s="26">
        <v>0.1008</v>
      </c>
      <c r="E4356" s="26">
        <v>6.2E-2</v>
      </c>
      <c r="F4356" s="26">
        <v>6.2E-2</v>
      </c>
      <c r="G4356" s="26">
        <v>7.7999999999999996E-3</v>
      </c>
      <c r="I4356">
        <v>129</v>
      </c>
    </row>
    <row r="4357" spans="1:9" x14ac:dyDescent="0.35">
      <c r="A4357" s="27" t="s">
        <v>231</v>
      </c>
      <c r="B4357" s="27" t="s">
        <v>256</v>
      </c>
      <c r="C4357" s="28">
        <v>0.85709999999999997</v>
      </c>
      <c r="D4357" s="28">
        <v>0.1071</v>
      </c>
      <c r="E4357" s="29"/>
      <c r="F4357" s="29"/>
      <c r="G4357" s="29"/>
      <c r="H4357" s="28">
        <v>3.5700000000000003E-2</v>
      </c>
      <c r="I4357" s="29" t="s">
        <v>336</v>
      </c>
    </row>
    <row r="4358" spans="1:9" x14ac:dyDescent="0.35">
      <c r="A4358" t="s">
        <v>232</v>
      </c>
      <c r="B4358" t="s">
        <v>232</v>
      </c>
      <c r="C4358" s="26">
        <v>0.78690000000000004</v>
      </c>
      <c r="D4358" s="26">
        <v>0.1031</v>
      </c>
      <c r="E4358" s="26">
        <v>7.8700000000000006E-2</v>
      </c>
      <c r="F4358" s="26">
        <v>3.3700000000000001E-2</v>
      </c>
      <c r="G4358" s="26">
        <v>8.8999999999999999E-3</v>
      </c>
      <c r="H4358" s="26">
        <v>3.5999999999999999E-3</v>
      </c>
      <c r="I4358">
        <v>2813</v>
      </c>
    </row>
    <row r="4360" spans="1:9" x14ac:dyDescent="0.35">
      <c r="A4360" s="1" t="s">
        <v>680</v>
      </c>
    </row>
    <row r="4361" spans="1:9" x14ac:dyDescent="0.35">
      <c r="A4361" t="s">
        <v>219</v>
      </c>
      <c r="B4361" t="s">
        <v>681</v>
      </c>
      <c r="C4361" t="s">
        <v>682</v>
      </c>
      <c r="D4361" t="s">
        <v>683</v>
      </c>
      <c r="E4361" t="s">
        <v>684</v>
      </c>
      <c r="F4361" t="s">
        <v>281</v>
      </c>
      <c r="G4361" t="s">
        <v>286</v>
      </c>
      <c r="H4361" t="s">
        <v>226</v>
      </c>
    </row>
    <row r="4362" spans="1:9" x14ac:dyDescent="0.35">
      <c r="A4362" t="s">
        <v>227</v>
      </c>
      <c r="B4362" s="26">
        <v>0.60870000000000002</v>
      </c>
      <c r="C4362" s="26">
        <v>0.27950000000000003</v>
      </c>
      <c r="D4362" s="26">
        <v>9.3200000000000005E-2</v>
      </c>
      <c r="E4362" s="26">
        <v>1.24E-2</v>
      </c>
      <c r="F4362" s="26">
        <v>6.1999999999999998E-3</v>
      </c>
      <c r="H4362">
        <v>161</v>
      </c>
    </row>
    <row r="4363" spans="1:9" x14ac:dyDescent="0.35">
      <c r="A4363" t="s">
        <v>228</v>
      </c>
      <c r="B4363" s="26">
        <v>0.64939999999999998</v>
      </c>
      <c r="C4363" s="26">
        <v>0.26369999999999999</v>
      </c>
      <c r="D4363" s="26">
        <v>7.1400000000000005E-2</v>
      </c>
      <c r="E4363" s="26">
        <v>6.8999999999999999E-3</v>
      </c>
      <c r="F4363" s="26">
        <v>7.7000000000000002E-3</v>
      </c>
      <c r="G4363" s="26">
        <v>8.0000000000000004E-4</v>
      </c>
      <c r="H4363">
        <v>1033</v>
      </c>
    </row>
    <row r="4364" spans="1:9" x14ac:dyDescent="0.35">
      <c r="A4364" t="s">
        <v>229</v>
      </c>
      <c r="B4364" s="26">
        <v>0.66290000000000004</v>
      </c>
      <c r="C4364" s="26">
        <v>0.23899999999999999</v>
      </c>
      <c r="D4364" s="26">
        <v>8.1000000000000003E-2</v>
      </c>
      <c r="E4364" s="26">
        <v>8.5000000000000006E-3</v>
      </c>
      <c r="F4364" s="26">
        <v>6.1000000000000004E-3</v>
      </c>
      <c r="G4364" s="26">
        <v>2.5000000000000001E-3</v>
      </c>
      <c r="H4364">
        <v>895</v>
      </c>
    </row>
    <row r="4365" spans="1:9" x14ac:dyDescent="0.35">
      <c r="A4365" t="s">
        <v>230</v>
      </c>
      <c r="B4365" s="26">
        <v>0.66559999999999997</v>
      </c>
      <c r="C4365" s="26">
        <v>0.27189999999999998</v>
      </c>
      <c r="D4365" s="26">
        <v>4.5900000000000003E-2</v>
      </c>
      <c r="E4365" s="26">
        <v>2.8999999999999998E-3</v>
      </c>
      <c r="F4365" s="26">
        <v>8.3000000000000001E-3</v>
      </c>
      <c r="G4365" s="26">
        <v>5.4000000000000003E-3</v>
      </c>
      <c r="H4365">
        <v>560</v>
      </c>
    </row>
    <row r="4366" spans="1:9" x14ac:dyDescent="0.35">
      <c r="A4366" t="s">
        <v>231</v>
      </c>
      <c r="B4366" s="26">
        <v>0.65849999999999997</v>
      </c>
      <c r="C4366" s="26">
        <v>0.26219999999999999</v>
      </c>
      <c r="D4366" s="26">
        <v>6.0999999999999999E-2</v>
      </c>
      <c r="E4366" s="26">
        <v>1.2200000000000001E-2</v>
      </c>
      <c r="F4366" s="26">
        <v>6.1000000000000004E-3</v>
      </c>
      <c r="H4366">
        <v>164</v>
      </c>
    </row>
    <row r="4367" spans="1:9" x14ac:dyDescent="0.35">
      <c r="A4367" t="s">
        <v>232</v>
      </c>
      <c r="B4367" s="26">
        <v>0.6512</v>
      </c>
      <c r="C4367" s="26">
        <v>0.25940000000000002</v>
      </c>
      <c r="D4367" s="26">
        <v>7.2099999999999997E-2</v>
      </c>
      <c r="E4367" s="26">
        <v>9.2999999999999992E-3</v>
      </c>
      <c r="F4367" s="26">
        <v>6.6E-3</v>
      </c>
      <c r="G4367" s="26">
        <v>1.4E-3</v>
      </c>
      <c r="H4367">
        <v>2813</v>
      </c>
    </row>
    <row r="4369" spans="1:9" x14ac:dyDescent="0.35">
      <c r="A4369" s="1" t="s">
        <v>685</v>
      </c>
    </row>
    <row r="4370" spans="1:9" x14ac:dyDescent="0.35">
      <c r="A4370" t="s">
        <v>219</v>
      </c>
      <c r="B4370" t="s">
        <v>305</v>
      </c>
      <c r="C4370" t="s">
        <v>681</v>
      </c>
      <c r="D4370" t="s">
        <v>682</v>
      </c>
      <c r="E4370" t="s">
        <v>683</v>
      </c>
      <c r="F4370" t="s">
        <v>684</v>
      </c>
      <c r="G4370" t="s">
        <v>281</v>
      </c>
      <c r="H4370" t="s">
        <v>286</v>
      </c>
      <c r="I4370" t="s">
        <v>226</v>
      </c>
    </row>
    <row r="4371" spans="1:9" x14ac:dyDescent="0.35">
      <c r="A4371" t="s">
        <v>227</v>
      </c>
      <c r="B4371" t="s">
        <v>242</v>
      </c>
      <c r="C4371" s="26">
        <v>0.36759999999999998</v>
      </c>
      <c r="D4371" s="26">
        <v>0.38240000000000002</v>
      </c>
      <c r="E4371" s="26">
        <v>0.22059999999999999</v>
      </c>
      <c r="F4371" s="26">
        <v>2.9399999999999999E-2</v>
      </c>
      <c r="I4371">
        <v>68</v>
      </c>
    </row>
    <row r="4372" spans="1:9" x14ac:dyDescent="0.35">
      <c r="A4372" t="s">
        <v>227</v>
      </c>
      <c r="B4372" t="s">
        <v>241</v>
      </c>
      <c r="C4372" s="26">
        <v>0.78490000000000004</v>
      </c>
      <c r="D4372" s="26">
        <v>0.20430000000000001</v>
      </c>
      <c r="G4372" s="26">
        <v>1.0800000000000001E-2</v>
      </c>
      <c r="I4372">
        <v>93</v>
      </c>
    </row>
    <row r="4373" spans="1:9" x14ac:dyDescent="0.35">
      <c r="A4373" t="s">
        <v>228</v>
      </c>
      <c r="B4373" t="s">
        <v>242</v>
      </c>
      <c r="C4373" s="26">
        <v>0.48520000000000002</v>
      </c>
      <c r="D4373" s="26">
        <v>0.29339999999999999</v>
      </c>
      <c r="E4373" s="26">
        <v>0.19650000000000001</v>
      </c>
      <c r="F4373" s="26">
        <v>1.9E-2</v>
      </c>
      <c r="G4373" s="26">
        <v>4.8999999999999998E-3</v>
      </c>
      <c r="H4373" s="26">
        <v>1E-3</v>
      </c>
      <c r="I4373">
        <v>402</v>
      </c>
    </row>
    <row r="4374" spans="1:9" x14ac:dyDescent="0.35">
      <c r="A4374" t="s">
        <v>228</v>
      </c>
      <c r="B4374" t="s">
        <v>241</v>
      </c>
      <c r="C4374" s="26">
        <v>0.74329999999999996</v>
      </c>
      <c r="D4374" s="26">
        <v>0.24679999999999999</v>
      </c>
      <c r="G4374" s="26">
        <v>9.2999999999999992E-3</v>
      </c>
      <c r="H4374" s="26">
        <v>5.9999999999999995E-4</v>
      </c>
      <c r="I4374">
        <v>631</v>
      </c>
    </row>
    <row r="4375" spans="1:9" x14ac:dyDescent="0.35">
      <c r="A4375" t="s">
        <v>229</v>
      </c>
      <c r="B4375" t="s">
        <v>242</v>
      </c>
      <c r="C4375" s="26">
        <v>0.42659999999999998</v>
      </c>
      <c r="D4375" s="26">
        <v>0.33050000000000002</v>
      </c>
      <c r="E4375" s="26">
        <v>0.2074</v>
      </c>
      <c r="F4375" s="26">
        <v>2.1700000000000001E-2</v>
      </c>
      <c r="G4375" s="26">
        <v>7.3000000000000001E-3</v>
      </c>
      <c r="H4375" s="26">
        <v>6.4000000000000003E-3</v>
      </c>
      <c r="I4375">
        <v>292</v>
      </c>
    </row>
    <row r="4376" spans="1:9" x14ac:dyDescent="0.35">
      <c r="A4376" t="s">
        <v>229</v>
      </c>
      <c r="B4376" t="s">
        <v>241</v>
      </c>
      <c r="C4376" s="26">
        <v>0.81420000000000003</v>
      </c>
      <c r="D4376" s="26">
        <v>0.1804</v>
      </c>
      <c r="G4376" s="26">
        <v>5.4000000000000003E-3</v>
      </c>
      <c r="I4376">
        <v>603</v>
      </c>
    </row>
    <row r="4377" spans="1:9" x14ac:dyDescent="0.35">
      <c r="A4377" t="s">
        <v>230</v>
      </c>
      <c r="B4377" t="s">
        <v>242</v>
      </c>
      <c r="C4377" s="26">
        <v>0.48180000000000001</v>
      </c>
      <c r="D4377" s="26">
        <v>0.35539999999999999</v>
      </c>
      <c r="E4377" s="26">
        <v>0.13569999999999999</v>
      </c>
      <c r="F4377" s="26">
        <v>8.5000000000000006E-3</v>
      </c>
      <c r="G4377" s="26">
        <v>2.5999999999999999E-3</v>
      </c>
      <c r="H4377" s="26">
        <v>1.5900000000000001E-2</v>
      </c>
      <c r="I4377">
        <v>189</v>
      </c>
    </row>
    <row r="4378" spans="1:9" x14ac:dyDescent="0.35">
      <c r="A4378" t="s">
        <v>230</v>
      </c>
      <c r="B4378" t="s">
        <v>241</v>
      </c>
      <c r="C4378" s="26">
        <v>0.75949999999999995</v>
      </c>
      <c r="D4378" s="26">
        <v>0.22919999999999999</v>
      </c>
      <c r="G4378" s="26">
        <v>1.1299999999999999E-2</v>
      </c>
      <c r="I4378">
        <v>371</v>
      </c>
    </row>
    <row r="4379" spans="1:9" x14ac:dyDescent="0.35">
      <c r="A4379" t="s">
        <v>231</v>
      </c>
      <c r="B4379" t="s">
        <v>242</v>
      </c>
      <c r="C4379" s="26">
        <v>0.5</v>
      </c>
      <c r="D4379" s="26">
        <v>0.27779999999999999</v>
      </c>
      <c r="E4379" s="26">
        <v>0.1852</v>
      </c>
      <c r="F4379" s="26">
        <v>3.6999999999999998E-2</v>
      </c>
      <c r="I4379">
        <v>54</v>
      </c>
    </row>
    <row r="4380" spans="1:9" x14ac:dyDescent="0.35">
      <c r="A4380" t="s">
        <v>231</v>
      </c>
      <c r="B4380" t="s">
        <v>241</v>
      </c>
      <c r="C4380" s="26">
        <v>0.73640000000000005</v>
      </c>
      <c r="D4380" s="26">
        <v>0.2545</v>
      </c>
      <c r="G4380" s="26">
        <v>9.1000000000000004E-3</v>
      </c>
      <c r="I4380">
        <v>110</v>
      </c>
    </row>
    <row r="4381" spans="1:9" x14ac:dyDescent="0.35">
      <c r="A4381" t="s">
        <v>232</v>
      </c>
      <c r="B4381" t="s">
        <v>232</v>
      </c>
      <c r="C4381" s="26">
        <v>0.6512</v>
      </c>
      <c r="D4381" s="26">
        <v>0.25940000000000002</v>
      </c>
      <c r="E4381" s="26">
        <v>7.2099999999999997E-2</v>
      </c>
      <c r="F4381" s="26">
        <v>9.2999999999999992E-3</v>
      </c>
      <c r="G4381" s="26">
        <v>6.6E-3</v>
      </c>
      <c r="H4381" s="26">
        <v>1.4E-3</v>
      </c>
      <c r="I4381">
        <v>2813</v>
      </c>
    </row>
    <row r="4383" spans="1:9" x14ac:dyDescent="0.35">
      <c r="A4383" s="1" t="s">
        <v>686</v>
      </c>
    </row>
    <row r="4384" spans="1:9" x14ac:dyDescent="0.35">
      <c r="A4384" t="s">
        <v>219</v>
      </c>
      <c r="B4384" t="s">
        <v>305</v>
      </c>
      <c r="C4384" t="s">
        <v>681</v>
      </c>
      <c r="D4384" t="s">
        <v>682</v>
      </c>
      <c r="E4384" t="s">
        <v>683</v>
      </c>
      <c r="F4384" t="s">
        <v>684</v>
      </c>
      <c r="G4384" t="s">
        <v>281</v>
      </c>
      <c r="H4384" t="s">
        <v>286</v>
      </c>
      <c r="I4384" t="s">
        <v>226</v>
      </c>
    </row>
    <row r="4385" spans="1:9" x14ac:dyDescent="0.35">
      <c r="A4385" t="s">
        <v>227</v>
      </c>
      <c r="B4385" t="s">
        <v>239</v>
      </c>
      <c r="C4385" s="26">
        <v>0.5806</v>
      </c>
      <c r="D4385" s="26">
        <v>0.30649999999999999</v>
      </c>
      <c r="E4385" s="26">
        <v>8.0600000000000005E-2</v>
      </c>
      <c r="F4385" s="26">
        <v>3.2300000000000002E-2</v>
      </c>
      <c r="I4385">
        <v>62</v>
      </c>
    </row>
    <row r="4386" spans="1:9" x14ac:dyDescent="0.35">
      <c r="A4386" t="s">
        <v>227</v>
      </c>
      <c r="B4386" t="s">
        <v>238</v>
      </c>
      <c r="C4386" s="26">
        <v>0.62629999999999997</v>
      </c>
      <c r="D4386" s="26">
        <v>0.2626</v>
      </c>
      <c r="E4386" s="26">
        <v>0.10100000000000001</v>
      </c>
      <c r="G4386" s="26">
        <v>1.01E-2</v>
      </c>
      <c r="I4386">
        <v>99</v>
      </c>
    </row>
    <row r="4387" spans="1:9" x14ac:dyDescent="0.35">
      <c r="A4387" t="s">
        <v>228</v>
      </c>
      <c r="B4387" t="s">
        <v>239</v>
      </c>
      <c r="C4387" s="26">
        <v>0.66149999999999998</v>
      </c>
      <c r="D4387" s="26">
        <v>0.22500000000000001</v>
      </c>
      <c r="E4387" s="26">
        <v>0.1071</v>
      </c>
      <c r="F4387" s="26">
        <v>4.7000000000000002E-3</v>
      </c>
      <c r="G4387" s="26">
        <v>1.6999999999999999E-3</v>
      </c>
      <c r="I4387">
        <v>330</v>
      </c>
    </row>
    <row r="4388" spans="1:9" x14ac:dyDescent="0.35">
      <c r="A4388" t="s">
        <v>228</v>
      </c>
      <c r="B4388" t="s">
        <v>238</v>
      </c>
      <c r="C4388" s="26">
        <v>0.64629999999999999</v>
      </c>
      <c r="D4388" s="26">
        <v>0.27379999999999999</v>
      </c>
      <c r="E4388" s="26">
        <v>6.2199999999999998E-2</v>
      </c>
      <c r="F4388" s="26">
        <v>7.4999999999999997E-3</v>
      </c>
      <c r="G4388" s="26">
        <v>9.1999999999999998E-3</v>
      </c>
      <c r="H4388" s="26">
        <v>1E-3</v>
      </c>
      <c r="I4388">
        <v>703</v>
      </c>
    </row>
    <row r="4389" spans="1:9" x14ac:dyDescent="0.35">
      <c r="A4389" t="s">
        <v>229</v>
      </c>
      <c r="B4389" t="s">
        <v>239</v>
      </c>
      <c r="C4389" s="26">
        <v>0.64280000000000004</v>
      </c>
      <c r="D4389" s="26">
        <v>0.23139999999999999</v>
      </c>
      <c r="E4389" s="26">
        <v>9.01E-2</v>
      </c>
      <c r="F4389" s="26">
        <v>1.5100000000000001E-2</v>
      </c>
      <c r="G4389" s="26">
        <v>1.09E-2</v>
      </c>
      <c r="H4389" s="26">
        <v>9.7999999999999997E-3</v>
      </c>
      <c r="I4389">
        <v>332</v>
      </c>
    </row>
    <row r="4390" spans="1:9" x14ac:dyDescent="0.35">
      <c r="A4390" t="s">
        <v>229</v>
      </c>
      <c r="B4390" t="s">
        <v>238</v>
      </c>
      <c r="C4390" s="26">
        <v>0.66979999999999995</v>
      </c>
      <c r="D4390" s="26">
        <v>0.24160000000000001</v>
      </c>
      <c r="E4390" s="26">
        <v>7.7899999999999997E-2</v>
      </c>
      <c r="F4390" s="26">
        <v>6.1999999999999998E-3</v>
      </c>
      <c r="G4390" s="26">
        <v>4.4999999999999997E-3</v>
      </c>
      <c r="I4390">
        <v>563</v>
      </c>
    </row>
    <row r="4391" spans="1:9" x14ac:dyDescent="0.35">
      <c r="A4391" t="s">
        <v>230</v>
      </c>
      <c r="B4391" t="s">
        <v>239</v>
      </c>
      <c r="C4391" s="26">
        <v>0.61219999999999997</v>
      </c>
      <c r="D4391" s="26">
        <v>0.33229999999999998</v>
      </c>
      <c r="E4391" s="26">
        <v>3.0800000000000001E-2</v>
      </c>
      <c r="F4391" s="26">
        <v>3.0000000000000001E-3</v>
      </c>
      <c r="G4391" s="26">
        <v>3.8999999999999998E-3</v>
      </c>
      <c r="H4391" s="26">
        <v>1.7899999999999999E-2</v>
      </c>
      <c r="I4391">
        <v>211</v>
      </c>
    </row>
    <row r="4392" spans="1:9" x14ac:dyDescent="0.35">
      <c r="A4392" t="s">
        <v>230</v>
      </c>
      <c r="B4392" t="s">
        <v>238</v>
      </c>
      <c r="C4392" s="26">
        <v>0.68859999999999999</v>
      </c>
      <c r="D4392" s="26">
        <v>0.24590000000000001</v>
      </c>
      <c r="E4392" s="26">
        <v>5.2400000000000002E-2</v>
      </c>
      <c r="F4392" s="26">
        <v>2.8E-3</v>
      </c>
      <c r="G4392" s="26">
        <v>1.0200000000000001E-2</v>
      </c>
      <c r="I4392">
        <v>349</v>
      </c>
    </row>
    <row r="4393" spans="1:9" x14ac:dyDescent="0.35">
      <c r="A4393" t="s">
        <v>231</v>
      </c>
      <c r="B4393" t="s">
        <v>239</v>
      </c>
      <c r="C4393" s="26">
        <v>0.56140000000000001</v>
      </c>
      <c r="D4393" s="26">
        <v>0.33329999999999999</v>
      </c>
      <c r="E4393" s="26">
        <v>8.77E-2</v>
      </c>
      <c r="F4393" s="26">
        <v>1.7500000000000002E-2</v>
      </c>
      <c r="I4393">
        <v>57</v>
      </c>
    </row>
    <row r="4394" spans="1:9" x14ac:dyDescent="0.35">
      <c r="A4394" t="s">
        <v>231</v>
      </c>
      <c r="B4394" t="s">
        <v>238</v>
      </c>
      <c r="C4394" s="26">
        <v>0.71030000000000004</v>
      </c>
      <c r="D4394" s="26">
        <v>0.2243</v>
      </c>
      <c r="E4394" s="26">
        <v>4.6699999999999998E-2</v>
      </c>
      <c r="F4394" s="26">
        <v>9.2999999999999992E-3</v>
      </c>
      <c r="G4394" s="26">
        <v>9.2999999999999992E-3</v>
      </c>
      <c r="I4394">
        <v>107</v>
      </c>
    </row>
    <row r="4395" spans="1:9" x14ac:dyDescent="0.35">
      <c r="A4395" t="s">
        <v>232</v>
      </c>
      <c r="B4395" t="s">
        <v>232</v>
      </c>
      <c r="C4395" s="26">
        <v>0.6512</v>
      </c>
      <c r="D4395" s="26">
        <v>0.25940000000000002</v>
      </c>
      <c r="E4395" s="26">
        <v>7.2099999999999997E-2</v>
      </c>
      <c r="F4395" s="26">
        <v>9.2999999999999992E-3</v>
      </c>
      <c r="G4395" s="26">
        <v>6.6E-3</v>
      </c>
      <c r="H4395" s="26">
        <v>1.4E-3</v>
      </c>
      <c r="I4395">
        <v>2813</v>
      </c>
    </row>
    <row r="4397" spans="1:9" x14ac:dyDescent="0.35">
      <c r="A4397" s="1" t="s">
        <v>687</v>
      </c>
    </row>
    <row r="4398" spans="1:9" x14ac:dyDescent="0.35">
      <c r="A4398" t="s">
        <v>219</v>
      </c>
      <c r="B4398" t="s">
        <v>305</v>
      </c>
      <c r="C4398" t="s">
        <v>681</v>
      </c>
      <c r="D4398" t="s">
        <v>682</v>
      </c>
      <c r="E4398" t="s">
        <v>683</v>
      </c>
      <c r="F4398" t="s">
        <v>684</v>
      </c>
      <c r="G4398" t="s">
        <v>281</v>
      </c>
      <c r="H4398" t="s">
        <v>286</v>
      </c>
      <c r="I4398" t="s">
        <v>226</v>
      </c>
    </row>
    <row r="4399" spans="1:9" x14ac:dyDescent="0.35">
      <c r="A4399" t="s">
        <v>227</v>
      </c>
      <c r="B4399" t="s">
        <v>244</v>
      </c>
      <c r="C4399" s="26">
        <v>0.5625</v>
      </c>
      <c r="D4399" s="26">
        <v>0.32290000000000002</v>
      </c>
      <c r="E4399" s="26">
        <v>0.1042</v>
      </c>
      <c r="G4399" s="26">
        <v>1.04E-2</v>
      </c>
      <c r="I4399">
        <v>96</v>
      </c>
    </row>
    <row r="4400" spans="1:9" x14ac:dyDescent="0.35">
      <c r="A4400" t="s">
        <v>227</v>
      </c>
      <c r="B4400" t="s">
        <v>245</v>
      </c>
      <c r="C4400" s="26">
        <v>0.69810000000000005</v>
      </c>
      <c r="D4400" s="26">
        <v>0.20749999999999999</v>
      </c>
      <c r="E4400" s="26">
        <v>7.5499999999999998E-2</v>
      </c>
      <c r="F4400" s="26">
        <v>1.89E-2</v>
      </c>
      <c r="I4400">
        <v>53</v>
      </c>
    </row>
    <row r="4401" spans="1:9" x14ac:dyDescent="0.35">
      <c r="A4401" s="27" t="s">
        <v>227</v>
      </c>
      <c r="B4401" s="27" t="s">
        <v>246</v>
      </c>
      <c r="C4401" s="28">
        <v>0.58330000000000004</v>
      </c>
      <c r="D4401" s="28">
        <v>0.25</v>
      </c>
      <c r="E4401" s="28">
        <v>8.3299999999999999E-2</v>
      </c>
      <c r="F4401" s="28">
        <v>8.3299999999999999E-2</v>
      </c>
      <c r="G4401" s="29"/>
      <c r="H4401" s="29"/>
      <c r="I4401" s="29" t="s">
        <v>342</v>
      </c>
    </row>
    <row r="4402" spans="1:9" x14ac:dyDescent="0.35">
      <c r="A4402" t="s">
        <v>228</v>
      </c>
      <c r="B4402" t="s">
        <v>244</v>
      </c>
      <c r="C4402" s="26">
        <v>0.65559999999999996</v>
      </c>
      <c r="D4402" s="26">
        <v>0.25829999999999997</v>
      </c>
      <c r="E4402" s="26">
        <v>6.8099999999999994E-2</v>
      </c>
      <c r="F4402" s="26">
        <v>7.9000000000000008E-3</v>
      </c>
      <c r="G4402" s="26">
        <v>9.4000000000000004E-3</v>
      </c>
      <c r="H4402" s="26">
        <v>5.9999999999999995E-4</v>
      </c>
      <c r="I4402">
        <v>638</v>
      </c>
    </row>
    <row r="4403" spans="1:9" x14ac:dyDescent="0.35">
      <c r="A4403" t="s">
        <v>228</v>
      </c>
      <c r="B4403" t="s">
        <v>245</v>
      </c>
      <c r="C4403" s="26">
        <v>0.65559999999999996</v>
      </c>
      <c r="D4403" s="26">
        <v>0.27010000000000001</v>
      </c>
      <c r="E4403" s="26">
        <v>6.2600000000000003E-2</v>
      </c>
      <c r="F4403" s="26">
        <v>6.1999999999999998E-3</v>
      </c>
      <c r="G4403" s="26">
        <v>4.1999999999999997E-3</v>
      </c>
      <c r="H4403" s="26">
        <v>1.2999999999999999E-3</v>
      </c>
      <c r="I4403">
        <v>328</v>
      </c>
    </row>
    <row r="4404" spans="1:9" x14ac:dyDescent="0.35">
      <c r="A4404" t="s">
        <v>228</v>
      </c>
      <c r="B4404" t="s">
        <v>246</v>
      </c>
      <c r="C4404" s="26">
        <v>0.56579999999999997</v>
      </c>
      <c r="D4404" s="26">
        <v>0.28970000000000001</v>
      </c>
      <c r="E4404" s="26">
        <v>0.13930000000000001</v>
      </c>
      <c r="G4404" s="26">
        <v>5.1999999999999998E-3</v>
      </c>
      <c r="I4404">
        <v>67</v>
      </c>
    </row>
    <row r="4405" spans="1:9" x14ac:dyDescent="0.35">
      <c r="A4405" t="s">
        <v>229</v>
      </c>
      <c r="B4405" t="s">
        <v>244</v>
      </c>
      <c r="C4405" s="26">
        <v>0.66659999999999997</v>
      </c>
      <c r="D4405" s="26">
        <v>0.24079999999999999</v>
      </c>
      <c r="E4405" s="26">
        <v>7.3499999999999996E-2</v>
      </c>
      <c r="F4405" s="26">
        <v>1.03E-2</v>
      </c>
      <c r="G4405" s="26">
        <v>8.6999999999999994E-3</v>
      </c>
      <c r="I4405">
        <v>557</v>
      </c>
    </row>
    <row r="4406" spans="1:9" x14ac:dyDescent="0.35">
      <c r="A4406" t="s">
        <v>229</v>
      </c>
      <c r="B4406" t="s">
        <v>245</v>
      </c>
      <c r="C4406" s="26">
        <v>0.67130000000000001</v>
      </c>
      <c r="D4406" s="26">
        <v>0.24010000000000001</v>
      </c>
      <c r="E4406" s="26">
        <v>7.3499999999999996E-2</v>
      </c>
      <c r="F4406" s="26">
        <v>5.1999999999999998E-3</v>
      </c>
      <c r="H4406" s="26">
        <v>9.9000000000000008E-3</v>
      </c>
      <c r="I4406">
        <v>293</v>
      </c>
    </row>
    <row r="4407" spans="1:9" x14ac:dyDescent="0.35">
      <c r="A4407" t="s">
        <v>229</v>
      </c>
      <c r="B4407" t="s">
        <v>246</v>
      </c>
      <c r="C4407" s="26">
        <v>0.5746</v>
      </c>
      <c r="D4407" s="26">
        <v>0.2102</v>
      </c>
      <c r="E4407" s="26">
        <v>0.21340000000000001</v>
      </c>
      <c r="G4407" s="26">
        <v>1.8E-3</v>
      </c>
      <c r="I4407">
        <v>45</v>
      </c>
    </row>
    <row r="4408" spans="1:9" x14ac:dyDescent="0.35">
      <c r="A4408" t="s">
        <v>230</v>
      </c>
      <c r="B4408" t="s">
        <v>244</v>
      </c>
      <c r="C4408" s="26">
        <v>0.65169999999999995</v>
      </c>
      <c r="D4408" s="26">
        <v>0.26690000000000003</v>
      </c>
      <c r="E4408" s="26">
        <v>6.08E-2</v>
      </c>
      <c r="F4408" s="26">
        <v>2.5000000000000001E-3</v>
      </c>
      <c r="G4408" s="26">
        <v>1.04E-2</v>
      </c>
      <c r="H4408" s="26">
        <v>7.7999999999999996E-3</v>
      </c>
      <c r="I4408">
        <v>370</v>
      </c>
    </row>
    <row r="4409" spans="1:9" x14ac:dyDescent="0.35">
      <c r="A4409" t="s">
        <v>230</v>
      </c>
      <c r="B4409" t="s">
        <v>245</v>
      </c>
      <c r="C4409" s="26">
        <v>0.70330000000000004</v>
      </c>
      <c r="D4409" s="26">
        <v>0.27279999999999999</v>
      </c>
      <c r="E4409" s="26">
        <v>1.49E-2</v>
      </c>
      <c r="F4409" s="26">
        <v>4.4999999999999997E-3</v>
      </c>
      <c r="G4409" s="26">
        <v>4.4999999999999997E-3</v>
      </c>
      <c r="I4409">
        <v>161</v>
      </c>
    </row>
    <row r="4410" spans="1:9" x14ac:dyDescent="0.35">
      <c r="A4410" s="27" t="s">
        <v>230</v>
      </c>
      <c r="B4410" s="27" t="s">
        <v>246</v>
      </c>
      <c r="C4410" s="28">
        <v>0.66159999999999997</v>
      </c>
      <c r="D4410" s="28">
        <v>0.33839999999999998</v>
      </c>
      <c r="E4410" s="29"/>
      <c r="F4410" s="29"/>
      <c r="G4410" s="29"/>
      <c r="H4410" s="29"/>
      <c r="I4410" s="29" t="s">
        <v>329</v>
      </c>
    </row>
    <row r="4411" spans="1:9" x14ac:dyDescent="0.35">
      <c r="A4411" t="s">
        <v>231</v>
      </c>
      <c r="B4411" t="s">
        <v>244</v>
      </c>
      <c r="C4411" s="26">
        <v>0.6421</v>
      </c>
      <c r="D4411" s="26">
        <v>0.2737</v>
      </c>
      <c r="E4411" s="26">
        <v>6.3200000000000006E-2</v>
      </c>
      <c r="F4411" s="26">
        <v>1.0500000000000001E-2</v>
      </c>
      <c r="G4411" s="26">
        <v>1.0500000000000001E-2</v>
      </c>
      <c r="I4411">
        <v>95</v>
      </c>
    </row>
    <row r="4412" spans="1:9" x14ac:dyDescent="0.35">
      <c r="A4412" t="s">
        <v>231</v>
      </c>
      <c r="B4412" t="s">
        <v>245</v>
      </c>
      <c r="C4412" s="26">
        <v>0.73209999999999997</v>
      </c>
      <c r="D4412" s="26">
        <v>0.21429999999999999</v>
      </c>
      <c r="E4412" s="26">
        <v>3.5700000000000003E-2</v>
      </c>
      <c r="F4412" s="26">
        <v>1.7899999999999999E-2</v>
      </c>
      <c r="I4412">
        <v>56</v>
      </c>
    </row>
    <row r="4413" spans="1:9" x14ac:dyDescent="0.35">
      <c r="A4413" s="27" t="s">
        <v>231</v>
      </c>
      <c r="B4413" s="27" t="s">
        <v>246</v>
      </c>
      <c r="C4413" s="28">
        <v>0.46150000000000002</v>
      </c>
      <c r="D4413" s="28">
        <v>0.3846</v>
      </c>
      <c r="E4413" s="28">
        <v>0.15379999999999999</v>
      </c>
      <c r="F4413" s="29"/>
      <c r="G4413" s="29"/>
      <c r="H4413" s="29"/>
      <c r="I4413" s="29" t="s">
        <v>341</v>
      </c>
    </row>
    <row r="4414" spans="1:9" x14ac:dyDescent="0.35">
      <c r="A4414" t="s">
        <v>232</v>
      </c>
      <c r="B4414" t="s">
        <v>232</v>
      </c>
      <c r="C4414" s="26">
        <v>0.6512</v>
      </c>
      <c r="D4414" s="26">
        <v>0.25940000000000002</v>
      </c>
      <c r="E4414" s="26">
        <v>7.2099999999999997E-2</v>
      </c>
      <c r="F4414" s="26">
        <v>9.2999999999999992E-3</v>
      </c>
      <c r="G4414" s="26">
        <v>6.6E-3</v>
      </c>
      <c r="H4414" s="26">
        <v>1.4E-3</v>
      </c>
      <c r="I4414">
        <v>2813</v>
      </c>
    </row>
    <row r="4416" spans="1:9" x14ac:dyDescent="0.35">
      <c r="A4416" s="1" t="s">
        <v>688</v>
      </c>
    </row>
    <row r="4417" spans="1:9" x14ac:dyDescent="0.35">
      <c r="A4417" t="s">
        <v>219</v>
      </c>
      <c r="B4417" t="s">
        <v>305</v>
      </c>
      <c r="C4417" t="s">
        <v>681</v>
      </c>
      <c r="D4417" t="s">
        <v>682</v>
      </c>
      <c r="E4417" t="s">
        <v>683</v>
      </c>
      <c r="F4417" t="s">
        <v>684</v>
      </c>
      <c r="G4417" t="s">
        <v>281</v>
      </c>
      <c r="H4417" t="s">
        <v>286</v>
      </c>
      <c r="I4417" t="s">
        <v>226</v>
      </c>
    </row>
    <row r="4418" spans="1:9" x14ac:dyDescent="0.35">
      <c r="A4418" t="s">
        <v>227</v>
      </c>
      <c r="B4418" t="s">
        <v>360</v>
      </c>
      <c r="C4418" s="26">
        <v>0.61539999999999995</v>
      </c>
      <c r="D4418" s="26">
        <v>0.23080000000000001</v>
      </c>
      <c r="E4418" s="26">
        <v>0.1026</v>
      </c>
      <c r="F4418" s="26">
        <v>5.1299999999999998E-2</v>
      </c>
      <c r="I4418">
        <v>39</v>
      </c>
    </row>
    <row r="4419" spans="1:9" x14ac:dyDescent="0.35">
      <c r="A4419" t="s">
        <v>227</v>
      </c>
      <c r="B4419" t="s">
        <v>361</v>
      </c>
      <c r="C4419" s="26">
        <v>0.65620000000000001</v>
      </c>
      <c r="D4419" s="26">
        <v>0.25</v>
      </c>
      <c r="E4419" s="26">
        <v>6.25E-2</v>
      </c>
      <c r="G4419" s="26">
        <v>3.1199999999999999E-2</v>
      </c>
      <c r="I4419">
        <v>32</v>
      </c>
    </row>
    <row r="4420" spans="1:9" x14ac:dyDescent="0.35">
      <c r="A4420" t="s">
        <v>227</v>
      </c>
      <c r="B4420" t="s">
        <v>362</v>
      </c>
      <c r="C4420" s="26">
        <v>0.54049999999999998</v>
      </c>
      <c r="D4420" s="26">
        <v>0.35139999999999999</v>
      </c>
      <c r="E4420" s="26">
        <v>0.1081</v>
      </c>
      <c r="I4420">
        <v>37</v>
      </c>
    </row>
    <row r="4421" spans="1:9" x14ac:dyDescent="0.35">
      <c r="A4421" t="s">
        <v>227</v>
      </c>
      <c r="B4421" t="s">
        <v>363</v>
      </c>
      <c r="C4421" s="26">
        <v>0.6</v>
      </c>
      <c r="D4421" s="26">
        <v>0.31109999999999999</v>
      </c>
      <c r="E4421" s="26">
        <v>8.8900000000000007E-2</v>
      </c>
      <c r="I4421">
        <v>45</v>
      </c>
    </row>
    <row r="4422" spans="1:9" x14ac:dyDescent="0.35">
      <c r="A4422" t="s">
        <v>228</v>
      </c>
      <c r="B4422" t="s">
        <v>360</v>
      </c>
      <c r="C4422" s="26">
        <v>0.54379999999999995</v>
      </c>
      <c r="D4422" s="26">
        <v>0.31340000000000001</v>
      </c>
      <c r="E4422" s="26">
        <v>0.1149</v>
      </c>
      <c r="F4422" s="26">
        <v>1.0999999999999999E-2</v>
      </c>
      <c r="G4422" s="26">
        <v>1.3100000000000001E-2</v>
      </c>
      <c r="H4422" s="26">
        <v>3.8999999999999998E-3</v>
      </c>
      <c r="I4422">
        <v>258</v>
      </c>
    </row>
    <row r="4423" spans="1:9" x14ac:dyDescent="0.35">
      <c r="A4423" t="s">
        <v>228</v>
      </c>
      <c r="B4423" t="s">
        <v>361</v>
      </c>
      <c r="C4423" s="26">
        <v>0.69569999999999999</v>
      </c>
      <c r="D4423" s="26">
        <v>0.2404</v>
      </c>
      <c r="E4423" s="26">
        <v>5.8000000000000003E-2</v>
      </c>
      <c r="G4423" s="26">
        <v>5.8999999999999999E-3</v>
      </c>
      <c r="I4423">
        <v>194</v>
      </c>
    </row>
    <row r="4424" spans="1:9" x14ac:dyDescent="0.35">
      <c r="A4424" t="s">
        <v>228</v>
      </c>
      <c r="B4424" t="s">
        <v>363</v>
      </c>
      <c r="C4424" s="26">
        <v>0.69579999999999997</v>
      </c>
      <c r="D4424" s="26">
        <v>0.2397</v>
      </c>
      <c r="E4424" s="26">
        <v>6.4500000000000002E-2</v>
      </c>
      <c r="I4424">
        <v>212</v>
      </c>
    </row>
    <row r="4425" spans="1:9" x14ac:dyDescent="0.35">
      <c r="A4425" t="s">
        <v>228</v>
      </c>
      <c r="B4425" t="s">
        <v>362</v>
      </c>
      <c r="C4425" s="26">
        <v>0.64859999999999995</v>
      </c>
      <c r="D4425" s="26">
        <v>0.2606</v>
      </c>
      <c r="E4425" s="26">
        <v>7.0400000000000004E-2</v>
      </c>
      <c r="F4425" s="26">
        <v>1.89E-2</v>
      </c>
      <c r="G4425" s="26">
        <v>1.5E-3</v>
      </c>
      <c r="I4425">
        <v>236</v>
      </c>
    </row>
    <row r="4426" spans="1:9" x14ac:dyDescent="0.35">
      <c r="A4426" t="s">
        <v>229</v>
      </c>
      <c r="B4426" t="s">
        <v>363</v>
      </c>
      <c r="C4426" s="26">
        <v>0.63090000000000002</v>
      </c>
      <c r="D4426" s="26">
        <v>0.25080000000000002</v>
      </c>
      <c r="E4426" s="26">
        <v>0.1</v>
      </c>
      <c r="F4426" s="26">
        <v>1.7399999999999999E-2</v>
      </c>
      <c r="G4426" s="26">
        <v>8.9999999999999998E-4</v>
      </c>
      <c r="I4426">
        <v>191</v>
      </c>
    </row>
    <row r="4427" spans="1:9" x14ac:dyDescent="0.35">
      <c r="A4427" t="s">
        <v>229</v>
      </c>
      <c r="B4427" t="s">
        <v>360</v>
      </c>
      <c r="C4427" s="26">
        <v>0.49299999999999999</v>
      </c>
      <c r="D4427" s="26">
        <v>0.27450000000000002</v>
      </c>
      <c r="E4427" s="26">
        <v>0.19739999999999999</v>
      </c>
      <c r="F4427" s="26">
        <v>1.84E-2</v>
      </c>
      <c r="G4427" s="26">
        <v>5.9999999999999995E-4</v>
      </c>
      <c r="H4427" s="26">
        <v>1.6199999999999999E-2</v>
      </c>
      <c r="I4427">
        <v>164</v>
      </c>
    </row>
    <row r="4428" spans="1:9" x14ac:dyDescent="0.35">
      <c r="A4428" t="s">
        <v>229</v>
      </c>
      <c r="B4428" t="s">
        <v>361</v>
      </c>
      <c r="C4428" s="26">
        <v>0.75349999999999995</v>
      </c>
      <c r="D4428" s="26">
        <v>0.21210000000000001</v>
      </c>
      <c r="E4428" s="26">
        <v>2.7799999999999998E-2</v>
      </c>
      <c r="G4428" s="26">
        <v>6.6E-3</v>
      </c>
      <c r="I4428">
        <v>243</v>
      </c>
    </row>
    <row r="4429" spans="1:9" x14ac:dyDescent="0.35">
      <c r="A4429" t="s">
        <v>229</v>
      </c>
      <c r="B4429" t="s">
        <v>362</v>
      </c>
      <c r="C4429" s="26">
        <v>0.58779999999999999</v>
      </c>
      <c r="D4429" s="26">
        <v>0.27550000000000002</v>
      </c>
      <c r="E4429" s="26">
        <v>0.10580000000000001</v>
      </c>
      <c r="F4429" s="26">
        <v>1.5299999999999999E-2</v>
      </c>
      <c r="G4429" s="26">
        <v>1.55E-2</v>
      </c>
      <c r="I4429">
        <v>171</v>
      </c>
    </row>
    <row r="4430" spans="1:9" x14ac:dyDescent="0.35">
      <c r="A4430" t="s">
        <v>230</v>
      </c>
      <c r="B4430" t="s">
        <v>360</v>
      </c>
      <c r="C4430" s="26">
        <v>0.51619999999999999</v>
      </c>
      <c r="D4430" s="26">
        <v>0.33729999999999999</v>
      </c>
      <c r="E4430" s="26">
        <v>0.1115</v>
      </c>
      <c r="F4430" s="26">
        <v>1.5E-3</v>
      </c>
      <c r="G4430" s="26">
        <v>4.7000000000000002E-3</v>
      </c>
      <c r="H4430" s="26">
        <v>2.8799999999999999E-2</v>
      </c>
      <c r="I4430">
        <v>120</v>
      </c>
    </row>
    <row r="4431" spans="1:9" x14ac:dyDescent="0.35">
      <c r="A4431" t="s">
        <v>230</v>
      </c>
      <c r="B4431" t="s">
        <v>363</v>
      </c>
      <c r="C4431" s="26">
        <v>0.64329999999999998</v>
      </c>
      <c r="D4431" s="26">
        <v>0.28520000000000001</v>
      </c>
      <c r="E4431" s="26">
        <v>6.2799999999999995E-2</v>
      </c>
      <c r="F4431" s="26">
        <v>5.0000000000000001E-3</v>
      </c>
      <c r="G4431" s="26">
        <v>3.8E-3</v>
      </c>
      <c r="I4431">
        <v>127</v>
      </c>
    </row>
    <row r="4432" spans="1:9" x14ac:dyDescent="0.35">
      <c r="A4432" t="s">
        <v>230</v>
      </c>
      <c r="B4432" t="s">
        <v>361</v>
      </c>
      <c r="C4432" s="26">
        <v>0.75529999999999997</v>
      </c>
      <c r="D4432" s="26">
        <v>0.22239999999999999</v>
      </c>
      <c r="E4432" s="26">
        <v>2.12E-2</v>
      </c>
      <c r="F4432" s="26">
        <v>1.1000000000000001E-3</v>
      </c>
      <c r="I4432">
        <v>109</v>
      </c>
    </row>
    <row r="4433" spans="1:9" x14ac:dyDescent="0.35">
      <c r="A4433" t="s">
        <v>230</v>
      </c>
      <c r="B4433" t="s">
        <v>362</v>
      </c>
      <c r="C4433" s="26">
        <v>0.69920000000000004</v>
      </c>
      <c r="D4433" s="26">
        <v>0.24990000000000001</v>
      </c>
      <c r="E4433" s="26">
        <v>0.02</v>
      </c>
      <c r="F4433" s="26">
        <v>4.7000000000000002E-3</v>
      </c>
      <c r="G4433" s="26">
        <v>2.6200000000000001E-2</v>
      </c>
      <c r="I4433">
        <v>148</v>
      </c>
    </row>
    <row r="4434" spans="1:9" x14ac:dyDescent="0.35">
      <c r="A4434" s="27" t="s">
        <v>231</v>
      </c>
      <c r="B4434" s="27" t="s">
        <v>362</v>
      </c>
      <c r="C4434" s="28">
        <v>0.75860000000000005</v>
      </c>
      <c r="D4434" s="28">
        <v>0.1724</v>
      </c>
      <c r="E4434" s="28">
        <v>3.4500000000000003E-2</v>
      </c>
      <c r="F4434" s="28">
        <v>3.4500000000000003E-2</v>
      </c>
      <c r="G4434" s="29"/>
      <c r="H4434" s="29"/>
      <c r="I4434" s="29" t="s">
        <v>329</v>
      </c>
    </row>
    <row r="4435" spans="1:9" x14ac:dyDescent="0.35">
      <c r="A4435" t="s">
        <v>231</v>
      </c>
      <c r="B4435" t="s">
        <v>361</v>
      </c>
      <c r="C4435" s="26">
        <v>0.64</v>
      </c>
      <c r="D4435" s="26">
        <v>0.26</v>
      </c>
      <c r="E4435" s="26">
        <v>0.08</v>
      </c>
      <c r="G4435" s="26">
        <v>0.02</v>
      </c>
      <c r="I4435">
        <v>50</v>
      </c>
    </row>
    <row r="4436" spans="1:9" x14ac:dyDescent="0.35">
      <c r="A4436" t="s">
        <v>231</v>
      </c>
      <c r="B4436" t="s">
        <v>360</v>
      </c>
      <c r="C4436" s="26">
        <v>0.61360000000000003</v>
      </c>
      <c r="D4436" s="26">
        <v>0.29549999999999998</v>
      </c>
      <c r="E4436" s="26">
        <v>6.8199999999999997E-2</v>
      </c>
      <c r="F4436" s="26">
        <v>2.2700000000000001E-2</v>
      </c>
      <c r="I4436">
        <v>44</v>
      </c>
    </row>
    <row r="4437" spans="1:9" x14ac:dyDescent="0.35">
      <c r="A4437" s="27" t="s">
        <v>231</v>
      </c>
      <c r="B4437" s="27" t="s">
        <v>363</v>
      </c>
      <c r="C4437" s="28">
        <v>0.70369999999999999</v>
      </c>
      <c r="D4437" s="28">
        <v>0.22220000000000001</v>
      </c>
      <c r="E4437" s="28">
        <v>7.4099999999999999E-2</v>
      </c>
      <c r="F4437" s="29"/>
      <c r="G4437" s="29"/>
      <c r="H4437" s="29"/>
      <c r="I4437" s="29" t="s">
        <v>338</v>
      </c>
    </row>
    <row r="4438" spans="1:9" x14ac:dyDescent="0.35">
      <c r="A4438" t="s">
        <v>232</v>
      </c>
      <c r="B4438" t="s">
        <v>232</v>
      </c>
      <c r="C4438" s="26">
        <v>0.6512</v>
      </c>
      <c r="D4438" s="26">
        <v>0.25940000000000002</v>
      </c>
      <c r="E4438" s="26">
        <v>7.2099999999999997E-2</v>
      </c>
      <c r="F4438" s="26">
        <v>9.2999999999999992E-3</v>
      </c>
      <c r="G4438" s="26">
        <v>6.6E-3</v>
      </c>
      <c r="H4438" s="26">
        <v>1.4E-3</v>
      </c>
      <c r="I4438">
        <v>2476</v>
      </c>
    </row>
    <row r="4440" spans="1:9" x14ac:dyDescent="0.35">
      <c r="A4440" s="1" t="s">
        <v>689</v>
      </c>
    </row>
    <row r="4441" spans="1:9" x14ac:dyDescent="0.35">
      <c r="A4441" t="s">
        <v>219</v>
      </c>
      <c r="B4441" t="s">
        <v>305</v>
      </c>
      <c r="C4441" t="s">
        <v>681</v>
      </c>
      <c r="D4441" t="s">
        <v>682</v>
      </c>
      <c r="E4441" t="s">
        <v>683</v>
      </c>
      <c r="F4441" t="s">
        <v>684</v>
      </c>
      <c r="G4441" t="s">
        <v>281</v>
      </c>
      <c r="H4441" t="s">
        <v>286</v>
      </c>
      <c r="I4441" t="s">
        <v>226</v>
      </c>
    </row>
    <row r="4442" spans="1:9" x14ac:dyDescent="0.35">
      <c r="A4442" t="s">
        <v>227</v>
      </c>
      <c r="B4442" t="s">
        <v>267</v>
      </c>
      <c r="C4442" s="26">
        <v>0.61109999999999998</v>
      </c>
      <c r="D4442" s="26">
        <v>0.25</v>
      </c>
      <c r="E4442" s="26">
        <v>0.1111</v>
      </c>
      <c r="F4442" s="26">
        <v>2.7799999999999998E-2</v>
      </c>
      <c r="I4442">
        <v>36</v>
      </c>
    </row>
    <row r="4443" spans="1:9" x14ac:dyDescent="0.35">
      <c r="A4443" t="s">
        <v>227</v>
      </c>
      <c r="B4443" t="s">
        <v>266</v>
      </c>
      <c r="C4443" s="26">
        <v>0.71189999999999998</v>
      </c>
      <c r="D4443" s="26">
        <v>0.18640000000000001</v>
      </c>
      <c r="E4443" s="26">
        <v>8.4699999999999998E-2</v>
      </c>
      <c r="F4443" s="26">
        <v>1.6899999999999998E-2</v>
      </c>
      <c r="I4443">
        <v>59</v>
      </c>
    </row>
    <row r="4444" spans="1:9" x14ac:dyDescent="0.35">
      <c r="A4444" t="s">
        <v>227</v>
      </c>
      <c r="B4444" t="s">
        <v>265</v>
      </c>
      <c r="C4444" s="26">
        <v>0.51519999999999999</v>
      </c>
      <c r="D4444" s="26">
        <v>0.37880000000000003</v>
      </c>
      <c r="E4444" s="26">
        <v>9.0899999999999995E-2</v>
      </c>
      <c r="G4444" s="26">
        <v>1.52E-2</v>
      </c>
      <c r="I4444">
        <v>66</v>
      </c>
    </row>
    <row r="4445" spans="1:9" x14ac:dyDescent="0.35">
      <c r="A4445" t="s">
        <v>228</v>
      </c>
      <c r="B4445" t="s">
        <v>267</v>
      </c>
      <c r="C4445" s="26">
        <v>0.65529999999999999</v>
      </c>
      <c r="D4445" s="26">
        <v>0.30059999999999998</v>
      </c>
      <c r="E4445" s="26">
        <v>4.1700000000000001E-2</v>
      </c>
      <c r="H4445" s="26">
        <v>2.3999999999999998E-3</v>
      </c>
      <c r="I4445">
        <v>199</v>
      </c>
    </row>
    <row r="4446" spans="1:9" x14ac:dyDescent="0.35">
      <c r="A4446" t="s">
        <v>228</v>
      </c>
      <c r="B4446" t="s">
        <v>265</v>
      </c>
      <c r="C4446" s="26">
        <v>0.63070000000000004</v>
      </c>
      <c r="D4446" s="26">
        <v>0.26590000000000003</v>
      </c>
      <c r="E4446" s="26">
        <v>7.5700000000000003E-2</v>
      </c>
      <c r="F4446" s="26">
        <v>1.2500000000000001E-2</v>
      </c>
      <c r="G4446" s="26">
        <v>1.5100000000000001E-2</v>
      </c>
      <c r="I4446">
        <v>384</v>
      </c>
    </row>
    <row r="4447" spans="1:9" x14ac:dyDescent="0.35">
      <c r="A4447" s="27" t="s">
        <v>228</v>
      </c>
      <c r="B4447" s="27" t="s">
        <v>236</v>
      </c>
      <c r="C4447" s="28">
        <v>0.5</v>
      </c>
      <c r="D4447" s="29"/>
      <c r="E4447" s="28">
        <v>0.5</v>
      </c>
      <c r="F4447" s="29"/>
      <c r="G4447" s="29"/>
      <c r="H4447" s="29"/>
      <c r="I4447" s="29" t="s">
        <v>314</v>
      </c>
    </row>
    <row r="4448" spans="1:9" x14ac:dyDescent="0.35">
      <c r="A4448" t="s">
        <v>228</v>
      </c>
      <c r="B4448" t="s">
        <v>266</v>
      </c>
      <c r="C4448" s="26">
        <v>0.66830000000000001</v>
      </c>
      <c r="D4448" s="26">
        <v>0.25069999999999998</v>
      </c>
      <c r="E4448" s="26">
        <v>7.2499999999999995E-2</v>
      </c>
      <c r="F4448" s="26">
        <v>4.1999999999999997E-3</v>
      </c>
      <c r="G4448" s="26">
        <v>3.3999999999999998E-3</v>
      </c>
      <c r="H4448" s="26">
        <v>8.9999999999999998E-4</v>
      </c>
      <c r="I4448">
        <v>448</v>
      </c>
    </row>
    <row r="4449" spans="1:9" x14ac:dyDescent="0.35">
      <c r="A4449" t="s">
        <v>229</v>
      </c>
      <c r="B4449" t="s">
        <v>266</v>
      </c>
      <c r="C4449" s="26">
        <v>0.62770000000000004</v>
      </c>
      <c r="D4449" s="26">
        <v>0.23480000000000001</v>
      </c>
      <c r="E4449" s="26">
        <v>9.9900000000000003E-2</v>
      </c>
      <c r="F4449" s="26">
        <v>1.4200000000000001E-2</v>
      </c>
      <c r="G4449" s="26">
        <v>1.5800000000000002E-2</v>
      </c>
      <c r="H4449" s="26">
        <v>7.6E-3</v>
      </c>
      <c r="I4449">
        <v>359</v>
      </c>
    </row>
    <row r="4450" spans="1:9" x14ac:dyDescent="0.35">
      <c r="A4450" t="s">
        <v>229</v>
      </c>
      <c r="B4450" t="s">
        <v>267</v>
      </c>
      <c r="C4450" s="26">
        <v>0.69110000000000005</v>
      </c>
      <c r="D4450" s="26">
        <v>0.24229999999999999</v>
      </c>
      <c r="E4450" s="26">
        <v>5.5300000000000002E-2</v>
      </c>
      <c r="F4450" s="26">
        <v>1.1299999999999999E-2</v>
      </c>
      <c r="I4450">
        <v>201</v>
      </c>
    </row>
    <row r="4451" spans="1:9" x14ac:dyDescent="0.35">
      <c r="A4451" t="s">
        <v>229</v>
      </c>
      <c r="B4451" t="s">
        <v>265</v>
      </c>
      <c r="C4451" s="26">
        <v>0.67469999999999997</v>
      </c>
      <c r="D4451" s="26">
        <v>0.24049999999999999</v>
      </c>
      <c r="E4451" s="26">
        <v>7.9799999999999996E-2</v>
      </c>
      <c r="F4451" s="26">
        <v>2.8999999999999998E-3</v>
      </c>
      <c r="G4451" s="26">
        <v>2.0999999999999999E-3</v>
      </c>
      <c r="I4451">
        <v>335</v>
      </c>
    </row>
    <row r="4452" spans="1:9" x14ac:dyDescent="0.35">
      <c r="A4452" t="s">
        <v>230</v>
      </c>
      <c r="B4452" t="s">
        <v>267</v>
      </c>
      <c r="C4452" s="26">
        <v>0.74480000000000002</v>
      </c>
      <c r="D4452" s="26">
        <v>0.16289999999999999</v>
      </c>
      <c r="E4452" s="26">
        <v>4.0899999999999999E-2</v>
      </c>
      <c r="F4452" s="26">
        <v>1.1999999999999999E-3</v>
      </c>
      <c r="G4452" s="26">
        <v>2.5700000000000001E-2</v>
      </c>
      <c r="H4452" s="26">
        <v>2.4500000000000001E-2</v>
      </c>
      <c r="I4452">
        <v>119</v>
      </c>
    </row>
    <row r="4453" spans="1:9" x14ac:dyDescent="0.35">
      <c r="A4453" t="s">
        <v>230</v>
      </c>
      <c r="B4453" t="s">
        <v>266</v>
      </c>
      <c r="C4453" s="26">
        <v>0.67379999999999995</v>
      </c>
      <c r="D4453" s="26">
        <v>0.2777</v>
      </c>
      <c r="E4453" s="26">
        <v>3.95E-2</v>
      </c>
      <c r="F4453" s="26">
        <v>4.0000000000000001E-3</v>
      </c>
      <c r="G4453" s="26">
        <v>5.0000000000000001E-3</v>
      </c>
      <c r="I4453">
        <v>232</v>
      </c>
    </row>
    <row r="4454" spans="1:9" x14ac:dyDescent="0.35">
      <c r="A4454" t="s">
        <v>230</v>
      </c>
      <c r="B4454" t="s">
        <v>265</v>
      </c>
      <c r="C4454" s="26">
        <v>0.6169</v>
      </c>
      <c r="D4454" s="26">
        <v>0.3241</v>
      </c>
      <c r="E4454" s="26">
        <v>5.4100000000000002E-2</v>
      </c>
      <c r="F4454" s="26">
        <v>2.8E-3</v>
      </c>
      <c r="G4454" s="26">
        <v>2.0999999999999999E-3</v>
      </c>
      <c r="I4454">
        <v>209</v>
      </c>
    </row>
    <row r="4455" spans="1:9" x14ac:dyDescent="0.35">
      <c r="A4455" t="s">
        <v>231</v>
      </c>
      <c r="B4455" t="s">
        <v>267</v>
      </c>
      <c r="C4455" s="26">
        <v>0.73529999999999995</v>
      </c>
      <c r="D4455" s="26">
        <v>0.17649999999999999</v>
      </c>
      <c r="E4455" s="26">
        <v>5.8799999999999998E-2</v>
      </c>
      <c r="F4455" s="26">
        <v>2.9399999999999999E-2</v>
      </c>
      <c r="I4455">
        <v>34</v>
      </c>
    </row>
    <row r="4456" spans="1:9" x14ac:dyDescent="0.35">
      <c r="A4456" t="s">
        <v>231</v>
      </c>
      <c r="B4456" t="s">
        <v>266</v>
      </c>
      <c r="C4456" s="26">
        <v>0.7419</v>
      </c>
      <c r="D4456" s="26">
        <v>0.2097</v>
      </c>
      <c r="E4456" s="26">
        <v>3.2300000000000002E-2</v>
      </c>
      <c r="F4456" s="26">
        <v>1.61E-2</v>
      </c>
      <c r="I4456">
        <v>62</v>
      </c>
    </row>
    <row r="4457" spans="1:9" x14ac:dyDescent="0.35">
      <c r="A4457" t="s">
        <v>231</v>
      </c>
      <c r="B4457" t="s">
        <v>265</v>
      </c>
      <c r="C4457" s="26">
        <v>0.54410000000000003</v>
      </c>
      <c r="D4457" s="26">
        <v>0.35289999999999999</v>
      </c>
      <c r="E4457" s="26">
        <v>8.8200000000000001E-2</v>
      </c>
      <c r="G4457" s="26">
        <v>1.47E-2</v>
      </c>
      <c r="I4457">
        <v>68</v>
      </c>
    </row>
    <row r="4458" spans="1:9" x14ac:dyDescent="0.35">
      <c r="A4458" t="s">
        <v>232</v>
      </c>
      <c r="B4458" t="s">
        <v>232</v>
      </c>
      <c r="C4458" s="26">
        <v>0.6512</v>
      </c>
      <c r="D4458" s="26">
        <v>0.25940000000000002</v>
      </c>
      <c r="E4458" s="26">
        <v>7.2099999999999997E-2</v>
      </c>
      <c r="F4458" s="26">
        <v>9.2999999999999992E-3</v>
      </c>
      <c r="G4458" s="26">
        <v>6.6E-3</v>
      </c>
      <c r="H4458" s="26">
        <v>1.4E-3</v>
      </c>
      <c r="I4458">
        <v>2813</v>
      </c>
    </row>
    <row r="4460" spans="1:9" x14ac:dyDescent="0.35">
      <c r="A4460" s="1" t="s">
        <v>690</v>
      </c>
    </row>
    <row r="4461" spans="1:9" x14ac:dyDescent="0.35">
      <c r="A4461" t="s">
        <v>219</v>
      </c>
      <c r="B4461" t="s">
        <v>305</v>
      </c>
      <c r="C4461" t="s">
        <v>681</v>
      </c>
      <c r="D4461" t="s">
        <v>682</v>
      </c>
      <c r="E4461" t="s">
        <v>683</v>
      </c>
      <c r="F4461" t="s">
        <v>684</v>
      </c>
      <c r="G4461" t="s">
        <v>281</v>
      </c>
      <c r="H4461" t="s">
        <v>286</v>
      </c>
      <c r="I4461" t="s">
        <v>226</v>
      </c>
    </row>
    <row r="4462" spans="1:9" x14ac:dyDescent="0.35">
      <c r="A4462" t="s">
        <v>227</v>
      </c>
      <c r="B4462" t="s">
        <v>252</v>
      </c>
      <c r="C4462" s="26">
        <v>0.57779999999999998</v>
      </c>
      <c r="D4462" s="26">
        <v>0.28889999999999999</v>
      </c>
      <c r="E4462" s="26">
        <v>0.1111</v>
      </c>
      <c r="F4462" s="26">
        <v>2.2200000000000001E-2</v>
      </c>
      <c r="I4462">
        <v>45</v>
      </c>
    </row>
    <row r="4463" spans="1:9" x14ac:dyDescent="0.35">
      <c r="A4463" t="s">
        <v>227</v>
      </c>
      <c r="B4463" t="s">
        <v>253</v>
      </c>
      <c r="C4463" s="26">
        <v>0.4118</v>
      </c>
      <c r="D4463" s="26">
        <v>0.47060000000000002</v>
      </c>
      <c r="E4463" s="26">
        <v>0.1176</v>
      </c>
      <c r="I4463">
        <v>34</v>
      </c>
    </row>
    <row r="4464" spans="1:9" x14ac:dyDescent="0.35">
      <c r="A4464" t="s">
        <v>227</v>
      </c>
      <c r="B4464" t="s">
        <v>251</v>
      </c>
      <c r="C4464" s="26">
        <v>0.70730000000000004</v>
      </c>
      <c r="D4464" s="26">
        <v>0.1951</v>
      </c>
      <c r="E4464" s="26">
        <v>7.3200000000000001E-2</v>
      </c>
      <c r="F4464" s="26">
        <v>1.2200000000000001E-2</v>
      </c>
      <c r="G4464" s="26">
        <v>1.2200000000000001E-2</v>
      </c>
      <c r="I4464">
        <v>82</v>
      </c>
    </row>
    <row r="4465" spans="1:9" x14ac:dyDescent="0.35">
      <c r="A4465" t="s">
        <v>228</v>
      </c>
      <c r="B4465" t="s">
        <v>252</v>
      </c>
      <c r="C4465" s="26">
        <v>0.59760000000000002</v>
      </c>
      <c r="D4465" s="26">
        <v>0.2777</v>
      </c>
      <c r="E4465" s="26">
        <v>0.1013</v>
      </c>
      <c r="F4465" s="26">
        <v>1.8599999999999998E-2</v>
      </c>
      <c r="G4465" s="26">
        <v>3.5999999999999999E-3</v>
      </c>
      <c r="H4465" s="26">
        <v>1.1000000000000001E-3</v>
      </c>
      <c r="I4465">
        <v>344</v>
      </c>
    </row>
    <row r="4466" spans="1:9" x14ac:dyDescent="0.35">
      <c r="A4466" t="s">
        <v>228</v>
      </c>
      <c r="B4466" t="s">
        <v>253</v>
      </c>
      <c r="C4466" s="26">
        <v>0.52580000000000005</v>
      </c>
      <c r="D4466" s="26">
        <v>0.33350000000000002</v>
      </c>
      <c r="E4466" s="26">
        <v>0.12609999999999999</v>
      </c>
      <c r="F4466" s="26">
        <v>4.7000000000000002E-3</v>
      </c>
      <c r="G4466" s="26">
        <v>9.7999999999999997E-3</v>
      </c>
      <c r="I4466">
        <v>222</v>
      </c>
    </row>
    <row r="4467" spans="1:9" x14ac:dyDescent="0.35">
      <c r="A4467" t="s">
        <v>228</v>
      </c>
      <c r="B4467" t="s">
        <v>251</v>
      </c>
      <c r="C4467" s="26">
        <v>0.73760000000000003</v>
      </c>
      <c r="D4467" s="26">
        <v>0.2243</v>
      </c>
      <c r="E4467" s="26">
        <v>2.7799999999999998E-2</v>
      </c>
      <c r="G4467" s="26">
        <v>9.4000000000000004E-3</v>
      </c>
      <c r="H4467" s="26">
        <v>8.9999999999999998E-4</v>
      </c>
      <c r="I4467">
        <v>467</v>
      </c>
    </row>
    <row r="4468" spans="1:9" x14ac:dyDescent="0.35">
      <c r="A4468" t="s">
        <v>229</v>
      </c>
      <c r="B4468" t="s">
        <v>252</v>
      </c>
      <c r="C4468" s="26">
        <v>0.55940000000000001</v>
      </c>
      <c r="D4468" s="26">
        <v>0.2545</v>
      </c>
      <c r="E4468" s="26">
        <v>0.15709999999999999</v>
      </c>
      <c r="F4468" s="26">
        <v>1.78E-2</v>
      </c>
      <c r="H4468" s="26">
        <v>1.12E-2</v>
      </c>
      <c r="I4468">
        <v>199</v>
      </c>
    </row>
    <row r="4469" spans="1:9" x14ac:dyDescent="0.35">
      <c r="A4469" t="s">
        <v>229</v>
      </c>
      <c r="B4469" t="s">
        <v>253</v>
      </c>
      <c r="C4469" s="26">
        <v>0.51180000000000003</v>
      </c>
      <c r="D4469" s="26">
        <v>0.3256</v>
      </c>
      <c r="E4469" s="26">
        <v>0.13650000000000001</v>
      </c>
      <c r="F4469" s="26">
        <v>2.3800000000000002E-2</v>
      </c>
      <c r="G4469" s="26">
        <v>2.3E-3</v>
      </c>
      <c r="I4469">
        <v>145</v>
      </c>
    </row>
    <row r="4470" spans="1:9" x14ac:dyDescent="0.35">
      <c r="A4470" t="s">
        <v>229</v>
      </c>
      <c r="B4470" t="s">
        <v>251</v>
      </c>
      <c r="C4470" s="26">
        <v>0.75109999999999999</v>
      </c>
      <c r="D4470" s="26">
        <v>0.20519999999999999</v>
      </c>
      <c r="E4470" s="26">
        <v>3.4000000000000002E-2</v>
      </c>
      <c r="G4470" s="26">
        <v>9.7000000000000003E-3</v>
      </c>
      <c r="I4470">
        <v>551</v>
      </c>
    </row>
    <row r="4471" spans="1:9" x14ac:dyDescent="0.35">
      <c r="A4471" t="s">
        <v>230</v>
      </c>
      <c r="B4471" t="s">
        <v>252</v>
      </c>
      <c r="C4471" s="26">
        <v>0.60560000000000003</v>
      </c>
      <c r="D4471" s="26">
        <v>0.30249999999999999</v>
      </c>
      <c r="E4471" s="26">
        <v>6.5100000000000005E-2</v>
      </c>
      <c r="F4471" s="26">
        <v>4.5999999999999999E-3</v>
      </c>
      <c r="G4471" s="26">
        <v>2.2100000000000002E-2</v>
      </c>
      <c r="I4471">
        <v>159</v>
      </c>
    </row>
    <row r="4472" spans="1:9" x14ac:dyDescent="0.35">
      <c r="A4472" t="s">
        <v>230</v>
      </c>
      <c r="B4472" t="s">
        <v>253</v>
      </c>
      <c r="C4472" s="26">
        <v>0.49769999999999998</v>
      </c>
      <c r="D4472" s="26">
        <v>0.43659999999999999</v>
      </c>
      <c r="E4472" s="26">
        <v>5.6599999999999998E-2</v>
      </c>
      <c r="F4472" s="26">
        <v>8.9999999999999993E-3</v>
      </c>
      <c r="I4472">
        <v>110</v>
      </c>
    </row>
    <row r="4473" spans="1:9" x14ac:dyDescent="0.35">
      <c r="A4473" t="s">
        <v>230</v>
      </c>
      <c r="B4473" t="s">
        <v>251</v>
      </c>
      <c r="C4473" s="26">
        <v>0.75039999999999996</v>
      </c>
      <c r="D4473" s="26">
        <v>0.20169999999999999</v>
      </c>
      <c r="E4473" s="26">
        <v>3.3399999999999999E-2</v>
      </c>
      <c r="G4473" s="26">
        <v>4.7999999999999996E-3</v>
      </c>
      <c r="H4473" s="26">
        <v>9.7000000000000003E-3</v>
      </c>
      <c r="I4473">
        <v>291</v>
      </c>
    </row>
    <row r="4474" spans="1:9" x14ac:dyDescent="0.35">
      <c r="A4474" t="s">
        <v>231</v>
      </c>
      <c r="B4474" t="s">
        <v>252</v>
      </c>
      <c r="C4474" s="26">
        <v>0.67349999999999999</v>
      </c>
      <c r="D4474" s="26">
        <v>0.24490000000000001</v>
      </c>
      <c r="E4474" s="26">
        <v>6.1199999999999997E-2</v>
      </c>
      <c r="F4474" s="26">
        <v>2.0400000000000001E-2</v>
      </c>
      <c r="I4474">
        <v>49</v>
      </c>
    </row>
    <row r="4475" spans="1:9" x14ac:dyDescent="0.35">
      <c r="A4475" t="s">
        <v>231</v>
      </c>
      <c r="B4475" t="s">
        <v>253</v>
      </c>
      <c r="C4475" s="26">
        <v>0.5333</v>
      </c>
      <c r="D4475" s="26">
        <v>0.33329999999999999</v>
      </c>
      <c r="E4475" s="26">
        <v>0.1333</v>
      </c>
      <c r="I4475">
        <v>30</v>
      </c>
    </row>
    <row r="4476" spans="1:9" x14ac:dyDescent="0.35">
      <c r="A4476" t="s">
        <v>231</v>
      </c>
      <c r="B4476" t="s">
        <v>251</v>
      </c>
      <c r="C4476" s="26">
        <v>0.69410000000000005</v>
      </c>
      <c r="D4476" s="26">
        <v>0.24709999999999999</v>
      </c>
      <c r="E4476" s="26">
        <v>3.5299999999999998E-2</v>
      </c>
      <c r="F4476" s="26">
        <v>1.18E-2</v>
      </c>
      <c r="G4476" s="26">
        <v>1.18E-2</v>
      </c>
      <c r="I4476">
        <v>85</v>
      </c>
    </row>
    <row r="4477" spans="1:9" x14ac:dyDescent="0.35">
      <c r="A4477" t="s">
        <v>232</v>
      </c>
      <c r="B4477" t="s">
        <v>232</v>
      </c>
      <c r="C4477" s="26">
        <v>0.6512</v>
      </c>
      <c r="D4477" s="26">
        <v>0.25940000000000002</v>
      </c>
      <c r="E4477" s="26">
        <v>7.2099999999999997E-2</v>
      </c>
      <c r="F4477" s="26">
        <v>9.2999999999999992E-3</v>
      </c>
      <c r="G4477" s="26">
        <v>6.6E-3</v>
      </c>
      <c r="H4477" s="26">
        <v>1.4E-3</v>
      </c>
      <c r="I4477">
        <v>2813</v>
      </c>
    </row>
    <row r="4479" spans="1:9" x14ac:dyDescent="0.35">
      <c r="A4479" s="1" t="s">
        <v>691</v>
      </c>
    </row>
    <row r="4480" spans="1:9" x14ac:dyDescent="0.35">
      <c r="A4480" t="s">
        <v>219</v>
      </c>
      <c r="B4480" t="s">
        <v>305</v>
      </c>
      <c r="C4480" t="s">
        <v>681</v>
      </c>
      <c r="D4480" t="s">
        <v>682</v>
      </c>
      <c r="E4480" t="s">
        <v>683</v>
      </c>
      <c r="F4480" t="s">
        <v>684</v>
      </c>
      <c r="G4480" t="s">
        <v>281</v>
      </c>
      <c r="H4480" t="s">
        <v>286</v>
      </c>
      <c r="I4480" t="s">
        <v>226</v>
      </c>
    </row>
    <row r="4481" spans="1:9" x14ac:dyDescent="0.35">
      <c r="A4481" t="s">
        <v>227</v>
      </c>
      <c r="B4481" t="s">
        <v>249</v>
      </c>
      <c r="C4481" s="26">
        <v>0.70450000000000002</v>
      </c>
      <c r="D4481" s="26">
        <v>0.18179999999999999</v>
      </c>
      <c r="E4481" s="26">
        <v>9.0899999999999995E-2</v>
      </c>
      <c r="F4481" s="26">
        <v>2.2700000000000001E-2</v>
      </c>
      <c r="I4481">
        <v>44</v>
      </c>
    </row>
    <row r="4482" spans="1:9" x14ac:dyDescent="0.35">
      <c r="A4482" t="s">
        <v>227</v>
      </c>
      <c r="B4482" t="s">
        <v>248</v>
      </c>
      <c r="C4482" s="26">
        <v>0.5726</v>
      </c>
      <c r="D4482" s="26">
        <v>0.31619999999999998</v>
      </c>
      <c r="E4482" s="26">
        <v>9.4E-2</v>
      </c>
      <c r="F4482" s="26">
        <v>8.5000000000000006E-3</v>
      </c>
      <c r="G4482" s="26">
        <v>8.5000000000000006E-3</v>
      </c>
      <c r="I4482">
        <v>117</v>
      </c>
    </row>
    <row r="4483" spans="1:9" x14ac:dyDescent="0.35">
      <c r="A4483" t="s">
        <v>228</v>
      </c>
      <c r="B4483" t="s">
        <v>249</v>
      </c>
      <c r="C4483" s="26">
        <v>0.7641</v>
      </c>
      <c r="D4483" s="26">
        <v>0.18379999999999999</v>
      </c>
      <c r="E4483" s="26">
        <v>4.5199999999999997E-2</v>
      </c>
      <c r="F4483" s="26">
        <v>1.4E-3</v>
      </c>
      <c r="G4483" s="26">
        <v>5.4999999999999997E-3</v>
      </c>
      <c r="I4483">
        <v>274</v>
      </c>
    </row>
    <row r="4484" spans="1:9" x14ac:dyDescent="0.35">
      <c r="A4484" t="s">
        <v>228</v>
      </c>
      <c r="B4484" t="s">
        <v>248</v>
      </c>
      <c r="C4484" s="26">
        <v>0.60050000000000003</v>
      </c>
      <c r="D4484" s="26">
        <v>0.2979</v>
      </c>
      <c r="E4484" s="26">
        <v>8.2600000000000007E-2</v>
      </c>
      <c r="F4484" s="26">
        <v>9.2999999999999992E-3</v>
      </c>
      <c r="G4484" s="26">
        <v>8.6E-3</v>
      </c>
      <c r="H4484" s="26">
        <v>1.1000000000000001E-3</v>
      </c>
      <c r="I4484">
        <v>759</v>
      </c>
    </row>
    <row r="4485" spans="1:9" x14ac:dyDescent="0.35">
      <c r="A4485" t="s">
        <v>229</v>
      </c>
      <c r="B4485" t="s">
        <v>249</v>
      </c>
      <c r="C4485" s="26">
        <v>0.75680000000000003</v>
      </c>
      <c r="D4485" s="26">
        <v>0.16800000000000001</v>
      </c>
      <c r="E4485" s="26">
        <v>5.6599999999999998E-2</v>
      </c>
      <c r="F4485" s="26">
        <v>2E-3</v>
      </c>
      <c r="G4485" s="26">
        <v>1.66E-2</v>
      </c>
      <c r="I4485">
        <v>259</v>
      </c>
    </row>
    <row r="4486" spans="1:9" x14ac:dyDescent="0.35">
      <c r="A4486" t="s">
        <v>229</v>
      </c>
      <c r="B4486" t="s">
        <v>248</v>
      </c>
      <c r="C4486" s="26">
        <v>0.61699999999999999</v>
      </c>
      <c r="D4486" s="26">
        <v>0.27379999999999999</v>
      </c>
      <c r="E4486" s="26">
        <v>9.2899999999999996E-2</v>
      </c>
      <c r="F4486" s="26">
        <v>1.1599999999999999E-2</v>
      </c>
      <c r="G4486" s="26">
        <v>1E-3</v>
      </c>
      <c r="H4486" s="26">
        <v>3.7000000000000002E-3</v>
      </c>
      <c r="I4486">
        <v>636</v>
      </c>
    </row>
    <row r="4487" spans="1:9" x14ac:dyDescent="0.35">
      <c r="A4487" t="s">
        <v>230</v>
      </c>
      <c r="B4487" t="s">
        <v>249</v>
      </c>
      <c r="C4487" s="26">
        <v>0.66869999999999996</v>
      </c>
      <c r="D4487" s="26">
        <v>0.2631</v>
      </c>
      <c r="E4487" s="26">
        <v>4.6100000000000002E-2</v>
      </c>
      <c r="F4487" s="26">
        <v>3.3999999999999998E-3</v>
      </c>
      <c r="G4487" s="26">
        <v>2.7000000000000001E-3</v>
      </c>
      <c r="H4487" s="26">
        <v>1.6E-2</v>
      </c>
      <c r="I4487">
        <v>171</v>
      </c>
    </row>
    <row r="4488" spans="1:9" x14ac:dyDescent="0.35">
      <c r="A4488" t="s">
        <v>230</v>
      </c>
      <c r="B4488" t="s">
        <v>248</v>
      </c>
      <c r="C4488" s="26">
        <v>0.66400000000000003</v>
      </c>
      <c r="D4488" s="26">
        <v>0.27639999999999998</v>
      </c>
      <c r="E4488" s="26">
        <v>4.58E-2</v>
      </c>
      <c r="F4488" s="26">
        <v>2.5999999999999999E-3</v>
      </c>
      <c r="G4488" s="26">
        <v>1.12E-2</v>
      </c>
      <c r="I4488">
        <v>389</v>
      </c>
    </row>
    <row r="4489" spans="1:9" x14ac:dyDescent="0.35">
      <c r="A4489" t="s">
        <v>231</v>
      </c>
      <c r="B4489" t="s">
        <v>249</v>
      </c>
      <c r="C4489" s="26">
        <v>0.65710000000000002</v>
      </c>
      <c r="D4489" s="26">
        <v>0.31430000000000002</v>
      </c>
      <c r="E4489" s="26">
        <v>2.86E-2</v>
      </c>
      <c r="I4489">
        <v>35</v>
      </c>
    </row>
    <row r="4490" spans="1:9" x14ac:dyDescent="0.35">
      <c r="A4490" t="s">
        <v>231</v>
      </c>
      <c r="B4490" t="s">
        <v>248</v>
      </c>
      <c r="C4490" s="26">
        <v>0.65890000000000004</v>
      </c>
      <c r="D4490" s="26">
        <v>0.24809999999999999</v>
      </c>
      <c r="E4490" s="26">
        <v>6.9800000000000001E-2</v>
      </c>
      <c r="F4490" s="26">
        <v>1.55E-2</v>
      </c>
      <c r="G4490" s="26">
        <v>7.7999999999999996E-3</v>
      </c>
      <c r="I4490">
        <v>129</v>
      </c>
    </row>
    <row r="4491" spans="1:9" x14ac:dyDescent="0.35">
      <c r="A4491" t="s">
        <v>232</v>
      </c>
      <c r="B4491" t="s">
        <v>232</v>
      </c>
      <c r="C4491" s="26">
        <v>0.6512</v>
      </c>
      <c r="D4491" s="26">
        <v>0.25940000000000002</v>
      </c>
      <c r="E4491" s="26">
        <v>7.2099999999999997E-2</v>
      </c>
      <c r="F4491" s="26">
        <v>9.2999999999999992E-3</v>
      </c>
      <c r="G4491" s="26">
        <v>6.6E-3</v>
      </c>
      <c r="H4491" s="26">
        <v>1.4E-3</v>
      </c>
      <c r="I4491">
        <v>2813</v>
      </c>
    </row>
    <row r="4493" spans="1:9" x14ac:dyDescent="0.35">
      <c r="A4493" s="1" t="s">
        <v>692</v>
      </c>
    </row>
    <row r="4494" spans="1:9" x14ac:dyDescent="0.35">
      <c r="A4494" t="s">
        <v>219</v>
      </c>
      <c r="B4494" t="s">
        <v>305</v>
      </c>
      <c r="C4494" t="s">
        <v>681</v>
      </c>
      <c r="D4494" t="s">
        <v>682</v>
      </c>
      <c r="E4494" t="s">
        <v>683</v>
      </c>
      <c r="F4494" t="s">
        <v>684</v>
      </c>
      <c r="G4494" t="s">
        <v>281</v>
      </c>
      <c r="H4494" t="s">
        <v>286</v>
      </c>
      <c r="I4494" t="s">
        <v>226</v>
      </c>
    </row>
    <row r="4495" spans="1:9" x14ac:dyDescent="0.35">
      <c r="A4495" s="27" t="s">
        <v>227</v>
      </c>
      <c r="B4495" s="27" t="s">
        <v>263</v>
      </c>
      <c r="C4495" s="28">
        <v>0.33329999999999999</v>
      </c>
      <c r="D4495" s="28">
        <v>0.66669999999999996</v>
      </c>
      <c r="E4495" s="29"/>
      <c r="F4495" s="29"/>
      <c r="G4495" s="29"/>
      <c r="H4495" s="29"/>
      <c r="I4495" s="29" t="s">
        <v>315</v>
      </c>
    </row>
    <row r="4496" spans="1:9" x14ac:dyDescent="0.35">
      <c r="A4496" t="s">
        <v>227</v>
      </c>
      <c r="B4496" t="s">
        <v>261</v>
      </c>
      <c r="C4496" s="26">
        <v>0.51519999999999999</v>
      </c>
      <c r="D4496" s="26">
        <v>0.36359999999999998</v>
      </c>
      <c r="E4496" s="26">
        <v>0.1212</v>
      </c>
      <c r="I4496">
        <v>33</v>
      </c>
    </row>
    <row r="4497" spans="1:9" x14ac:dyDescent="0.35">
      <c r="A4497" s="27" t="s">
        <v>227</v>
      </c>
      <c r="B4497" s="27" t="s">
        <v>262</v>
      </c>
      <c r="C4497" s="28">
        <v>1</v>
      </c>
      <c r="D4497" s="29"/>
      <c r="E4497" s="29"/>
      <c r="F4497" s="29"/>
      <c r="G4497" s="29"/>
      <c r="H4497" s="29"/>
      <c r="I4497" s="29" t="s">
        <v>315</v>
      </c>
    </row>
    <row r="4498" spans="1:9" x14ac:dyDescent="0.35">
      <c r="A4498" t="s">
        <v>227</v>
      </c>
      <c r="B4498" t="s">
        <v>260</v>
      </c>
      <c r="C4498" s="26">
        <v>0.63109999999999999</v>
      </c>
      <c r="D4498" s="26">
        <v>0.25409999999999999</v>
      </c>
      <c r="E4498" s="26">
        <v>9.0200000000000002E-2</v>
      </c>
      <c r="F4498" s="26">
        <v>1.6400000000000001E-2</v>
      </c>
      <c r="G4498" s="26">
        <v>8.2000000000000007E-3</v>
      </c>
      <c r="I4498">
        <v>122</v>
      </c>
    </row>
    <row r="4499" spans="1:9" x14ac:dyDescent="0.35">
      <c r="A4499" t="s">
        <v>228</v>
      </c>
      <c r="B4499" t="s">
        <v>261</v>
      </c>
      <c r="C4499" s="26">
        <v>0.60980000000000001</v>
      </c>
      <c r="D4499" s="26">
        <v>0.2515</v>
      </c>
      <c r="E4499" s="26">
        <v>0.1236</v>
      </c>
      <c r="F4499" s="26">
        <v>1.1999999999999999E-3</v>
      </c>
      <c r="G4499" s="26">
        <v>1.38E-2</v>
      </c>
      <c r="I4499">
        <v>192</v>
      </c>
    </row>
    <row r="4500" spans="1:9" x14ac:dyDescent="0.35">
      <c r="A4500" s="27" t="s">
        <v>228</v>
      </c>
      <c r="B4500" s="27" t="s">
        <v>263</v>
      </c>
      <c r="C4500" s="28">
        <v>0.75570000000000004</v>
      </c>
      <c r="D4500" s="28">
        <v>0.15049999999999999</v>
      </c>
      <c r="E4500" s="28">
        <v>7.1599999999999997E-2</v>
      </c>
      <c r="F4500" s="28">
        <v>2.2100000000000002E-2</v>
      </c>
      <c r="G4500" s="29"/>
      <c r="H4500" s="29"/>
      <c r="I4500" s="29" t="s">
        <v>312</v>
      </c>
    </row>
    <row r="4501" spans="1:9" x14ac:dyDescent="0.35">
      <c r="A4501" s="27" t="s">
        <v>228</v>
      </c>
      <c r="B4501" s="27" t="s">
        <v>236</v>
      </c>
      <c r="C4501" s="28">
        <v>0.17269999999999999</v>
      </c>
      <c r="D4501" s="28">
        <v>0.76090000000000002</v>
      </c>
      <c r="E4501" s="28">
        <v>6.6500000000000004E-2</v>
      </c>
      <c r="F4501" s="29"/>
      <c r="G4501" s="29"/>
      <c r="H4501" s="29"/>
      <c r="I4501" s="29" t="s">
        <v>335</v>
      </c>
    </row>
    <row r="4502" spans="1:9" x14ac:dyDescent="0.35">
      <c r="A4502" t="s">
        <v>228</v>
      </c>
      <c r="B4502" t="s">
        <v>262</v>
      </c>
      <c r="C4502" s="26">
        <v>0.64949999999999997</v>
      </c>
      <c r="D4502" s="26">
        <v>0.28439999999999999</v>
      </c>
      <c r="E4502" s="26">
        <v>6.0999999999999999E-2</v>
      </c>
      <c r="F4502" s="26">
        <v>2.2000000000000001E-3</v>
      </c>
      <c r="G4502" s="26">
        <v>2.8999999999999998E-3</v>
      </c>
      <c r="I4502">
        <v>201</v>
      </c>
    </row>
    <row r="4503" spans="1:9" x14ac:dyDescent="0.35">
      <c r="A4503" t="s">
        <v>228</v>
      </c>
      <c r="B4503" t="s">
        <v>260</v>
      </c>
      <c r="C4503" s="26">
        <v>0.66359999999999997</v>
      </c>
      <c r="D4503" s="26">
        <v>0.26040000000000002</v>
      </c>
      <c r="E4503" s="26">
        <v>5.7799999999999997E-2</v>
      </c>
      <c r="F4503" s="26">
        <v>9.5999999999999992E-3</v>
      </c>
      <c r="G4503" s="26">
        <v>7.3000000000000001E-3</v>
      </c>
      <c r="H4503" s="26">
        <v>1.2999999999999999E-3</v>
      </c>
      <c r="I4503">
        <v>609</v>
      </c>
    </row>
    <row r="4504" spans="1:9" x14ac:dyDescent="0.35">
      <c r="A4504" s="27" t="s">
        <v>229</v>
      </c>
      <c r="B4504" s="27" t="s">
        <v>263</v>
      </c>
      <c r="C4504" s="28">
        <v>0.35099999999999998</v>
      </c>
      <c r="D4504" s="28">
        <v>0.64900000000000002</v>
      </c>
      <c r="E4504" s="29"/>
      <c r="F4504" s="29"/>
      <c r="G4504" s="29"/>
      <c r="H4504" s="29"/>
      <c r="I4504" s="29" t="s">
        <v>379</v>
      </c>
    </row>
    <row r="4505" spans="1:9" x14ac:dyDescent="0.35">
      <c r="A4505" t="s">
        <v>229</v>
      </c>
      <c r="B4505" t="s">
        <v>262</v>
      </c>
      <c r="C4505" s="26">
        <v>0.7056</v>
      </c>
      <c r="D4505" s="26">
        <v>0.24829999999999999</v>
      </c>
      <c r="E4505" s="26">
        <v>3.3500000000000002E-2</v>
      </c>
      <c r="F4505" s="26">
        <v>1.1999999999999999E-3</v>
      </c>
      <c r="G4505" s="26">
        <v>1.14E-2</v>
      </c>
      <c r="I4505">
        <v>188</v>
      </c>
    </row>
    <row r="4506" spans="1:9" x14ac:dyDescent="0.35">
      <c r="A4506" t="s">
        <v>229</v>
      </c>
      <c r="B4506" t="s">
        <v>261</v>
      </c>
      <c r="C4506" s="26">
        <v>0.53820000000000001</v>
      </c>
      <c r="D4506" s="26">
        <v>0.28560000000000002</v>
      </c>
      <c r="E4506" s="26">
        <v>0.1515</v>
      </c>
      <c r="F4506" s="26">
        <v>2.47E-2</v>
      </c>
      <c r="I4506">
        <v>96</v>
      </c>
    </row>
    <row r="4507" spans="1:9" x14ac:dyDescent="0.35">
      <c r="A4507" s="27" t="s">
        <v>229</v>
      </c>
      <c r="B4507" s="27" t="s">
        <v>236</v>
      </c>
      <c r="C4507" s="28">
        <v>1</v>
      </c>
      <c r="D4507" s="29"/>
      <c r="E4507" s="29"/>
      <c r="F4507" s="29"/>
      <c r="G4507" s="29"/>
      <c r="H4507" s="29"/>
      <c r="I4507" s="29" t="s">
        <v>331</v>
      </c>
    </row>
    <row r="4508" spans="1:9" x14ac:dyDescent="0.35">
      <c r="A4508" t="s">
        <v>229</v>
      </c>
      <c r="B4508" t="s">
        <v>260</v>
      </c>
      <c r="C4508" s="26">
        <v>0.68559999999999999</v>
      </c>
      <c r="D4508" s="26">
        <v>0.20760000000000001</v>
      </c>
      <c r="E4508" s="26">
        <v>8.8800000000000004E-2</v>
      </c>
      <c r="F4508" s="26">
        <v>8.0999999999999996E-3</v>
      </c>
      <c r="G4508" s="26">
        <v>5.3E-3</v>
      </c>
      <c r="H4508" s="26">
        <v>4.4999999999999997E-3</v>
      </c>
      <c r="I4508">
        <v>596</v>
      </c>
    </row>
    <row r="4509" spans="1:9" x14ac:dyDescent="0.35">
      <c r="A4509" s="27" t="s">
        <v>230</v>
      </c>
      <c r="B4509" s="27" t="s">
        <v>236</v>
      </c>
      <c r="C4509" s="28">
        <v>0.15570000000000001</v>
      </c>
      <c r="D4509" s="28">
        <v>0.84430000000000005</v>
      </c>
      <c r="E4509" s="29"/>
      <c r="F4509" s="29"/>
      <c r="G4509" s="29"/>
      <c r="H4509" s="29"/>
      <c r="I4509" s="29" t="s">
        <v>337</v>
      </c>
    </row>
    <row r="4510" spans="1:9" x14ac:dyDescent="0.35">
      <c r="A4510" t="s">
        <v>230</v>
      </c>
      <c r="B4510" t="s">
        <v>262</v>
      </c>
      <c r="C4510" s="26">
        <v>0.7248</v>
      </c>
      <c r="D4510" s="26">
        <v>0.18790000000000001</v>
      </c>
      <c r="E4510" s="26">
        <v>7.3499999999999996E-2</v>
      </c>
      <c r="G4510" s="26">
        <v>1.38E-2</v>
      </c>
      <c r="I4510">
        <v>122</v>
      </c>
    </row>
    <row r="4511" spans="1:9" x14ac:dyDescent="0.35">
      <c r="A4511" t="s">
        <v>230</v>
      </c>
      <c r="B4511" t="s">
        <v>261</v>
      </c>
      <c r="C4511" s="26">
        <v>0.67500000000000004</v>
      </c>
      <c r="D4511" s="26">
        <v>0.2286</v>
      </c>
      <c r="E4511" s="26">
        <v>1.3599999999999999E-2</v>
      </c>
      <c r="F4511" s="26">
        <v>2E-3</v>
      </c>
      <c r="G4511" s="26">
        <v>4.0399999999999998E-2</v>
      </c>
      <c r="H4511" s="26">
        <v>4.0399999999999998E-2</v>
      </c>
      <c r="I4511">
        <v>57</v>
      </c>
    </row>
    <row r="4512" spans="1:9" x14ac:dyDescent="0.35">
      <c r="A4512" s="27" t="s">
        <v>230</v>
      </c>
      <c r="B4512" s="27" t="s">
        <v>263</v>
      </c>
      <c r="C4512" s="28">
        <v>0.3543</v>
      </c>
      <c r="D4512" s="28">
        <v>0.59540000000000004</v>
      </c>
      <c r="E4512" s="28">
        <v>5.0299999999999997E-2</v>
      </c>
      <c r="F4512" s="29"/>
      <c r="G4512" s="29"/>
      <c r="H4512" s="29"/>
      <c r="I4512" s="29" t="s">
        <v>312</v>
      </c>
    </row>
    <row r="4513" spans="1:9" x14ac:dyDescent="0.35">
      <c r="A4513" t="s">
        <v>230</v>
      </c>
      <c r="B4513" t="s">
        <v>260</v>
      </c>
      <c r="C4513" s="26">
        <v>0.66379999999999995</v>
      </c>
      <c r="D4513" s="26">
        <v>0.28470000000000001</v>
      </c>
      <c r="E4513" s="26">
        <v>4.65E-2</v>
      </c>
      <c r="F4513" s="26">
        <v>3.8E-3</v>
      </c>
      <c r="G4513" s="26">
        <v>1.2999999999999999E-3</v>
      </c>
      <c r="I4513">
        <v>352</v>
      </c>
    </row>
    <row r="4514" spans="1:9" x14ac:dyDescent="0.35">
      <c r="A4514" s="27" t="s">
        <v>231</v>
      </c>
      <c r="B4514" s="27" t="s">
        <v>263</v>
      </c>
      <c r="C4514" s="28">
        <v>0.5</v>
      </c>
      <c r="D4514" s="28">
        <v>0.5</v>
      </c>
      <c r="E4514" s="29"/>
      <c r="F4514" s="29"/>
      <c r="G4514" s="29"/>
      <c r="H4514" s="29"/>
      <c r="I4514" s="29" t="s">
        <v>314</v>
      </c>
    </row>
    <row r="4515" spans="1:9" x14ac:dyDescent="0.35">
      <c r="A4515" t="s">
        <v>231</v>
      </c>
      <c r="B4515" t="s">
        <v>260</v>
      </c>
      <c r="C4515" s="26">
        <v>0.6452</v>
      </c>
      <c r="D4515" s="26">
        <v>0.2581</v>
      </c>
      <c r="E4515" s="26">
        <v>7.2599999999999998E-2</v>
      </c>
      <c r="F4515" s="26">
        <v>1.61E-2</v>
      </c>
      <c r="G4515" s="26">
        <v>8.0999999999999996E-3</v>
      </c>
      <c r="I4515">
        <v>124</v>
      </c>
    </row>
    <row r="4516" spans="1:9" x14ac:dyDescent="0.35">
      <c r="A4516" s="27" t="s">
        <v>231</v>
      </c>
      <c r="B4516" s="27" t="s">
        <v>261</v>
      </c>
      <c r="C4516" s="28">
        <v>0.70369999999999999</v>
      </c>
      <c r="D4516" s="28">
        <v>0.25929999999999997</v>
      </c>
      <c r="E4516" s="28">
        <v>3.6999999999999998E-2</v>
      </c>
      <c r="F4516" s="29"/>
      <c r="G4516" s="29"/>
      <c r="H4516" s="29"/>
      <c r="I4516" s="29" t="s">
        <v>338</v>
      </c>
    </row>
    <row r="4517" spans="1:9" x14ac:dyDescent="0.35">
      <c r="A4517" s="27" t="s">
        <v>231</v>
      </c>
      <c r="B4517" s="27" t="s">
        <v>262</v>
      </c>
      <c r="C4517" s="28">
        <v>0.72729999999999995</v>
      </c>
      <c r="D4517" s="28">
        <v>0.2727</v>
      </c>
      <c r="E4517" s="29"/>
      <c r="F4517" s="29"/>
      <c r="G4517" s="29"/>
      <c r="H4517" s="29"/>
      <c r="I4517" s="29" t="s">
        <v>352</v>
      </c>
    </row>
    <row r="4518" spans="1:9" x14ac:dyDescent="0.35">
      <c r="A4518" t="s">
        <v>232</v>
      </c>
      <c r="B4518" t="s">
        <v>232</v>
      </c>
      <c r="C4518" s="26">
        <v>0.6512</v>
      </c>
      <c r="D4518" s="26">
        <v>0.25940000000000002</v>
      </c>
      <c r="E4518" s="26">
        <v>7.2099999999999997E-2</v>
      </c>
      <c r="F4518" s="26">
        <v>9.2999999999999992E-3</v>
      </c>
      <c r="G4518" s="26">
        <v>6.6E-3</v>
      </c>
      <c r="H4518" s="26">
        <v>1.4E-3</v>
      </c>
      <c r="I4518">
        <v>2813</v>
      </c>
    </row>
    <row r="4520" spans="1:9" x14ac:dyDescent="0.35">
      <c r="A4520" s="1" t="s">
        <v>693</v>
      </c>
    </row>
    <row r="4521" spans="1:9" x14ac:dyDescent="0.35">
      <c r="A4521" t="s">
        <v>219</v>
      </c>
      <c r="B4521" t="s">
        <v>305</v>
      </c>
      <c r="C4521" t="s">
        <v>681</v>
      </c>
      <c r="D4521" t="s">
        <v>682</v>
      </c>
      <c r="E4521" t="s">
        <v>683</v>
      </c>
      <c r="F4521" t="s">
        <v>684</v>
      </c>
      <c r="G4521" t="s">
        <v>281</v>
      </c>
      <c r="H4521" t="s">
        <v>286</v>
      </c>
      <c r="I4521" t="s">
        <v>226</v>
      </c>
    </row>
    <row r="4522" spans="1:9" x14ac:dyDescent="0.35">
      <c r="A4522" t="s">
        <v>227</v>
      </c>
      <c r="B4522" t="s">
        <v>368</v>
      </c>
      <c r="C4522" s="26">
        <v>0.51519999999999999</v>
      </c>
      <c r="D4522" s="26">
        <v>0.36359999999999998</v>
      </c>
      <c r="E4522" s="26">
        <v>0.1212</v>
      </c>
      <c r="I4522">
        <v>33</v>
      </c>
    </row>
    <row r="4523" spans="1:9" x14ac:dyDescent="0.35">
      <c r="A4523" t="s">
        <v>227</v>
      </c>
      <c r="B4523" t="s">
        <v>369</v>
      </c>
      <c r="C4523" s="26">
        <v>0.63280000000000003</v>
      </c>
      <c r="D4523" s="26">
        <v>0.25779999999999997</v>
      </c>
      <c r="E4523" s="26">
        <v>8.5900000000000004E-2</v>
      </c>
      <c r="F4523" s="26">
        <v>1.5599999999999999E-2</v>
      </c>
      <c r="G4523" s="26">
        <v>7.7999999999999996E-3</v>
      </c>
      <c r="I4523">
        <v>128</v>
      </c>
    </row>
    <row r="4524" spans="1:9" x14ac:dyDescent="0.35">
      <c r="A4524" t="s">
        <v>228</v>
      </c>
      <c r="B4524" t="s">
        <v>368</v>
      </c>
      <c r="C4524" s="26">
        <v>0.60980000000000001</v>
      </c>
      <c r="D4524" s="26">
        <v>0.2515</v>
      </c>
      <c r="E4524" s="26">
        <v>0.1236</v>
      </c>
      <c r="F4524" s="26">
        <v>1.1999999999999999E-3</v>
      </c>
      <c r="G4524" s="26">
        <v>1.38E-2</v>
      </c>
      <c r="I4524">
        <v>192</v>
      </c>
    </row>
    <row r="4525" spans="1:9" x14ac:dyDescent="0.35">
      <c r="A4525" t="s">
        <v>228</v>
      </c>
      <c r="B4525" t="s">
        <v>369</v>
      </c>
      <c r="C4525" s="26">
        <v>0.65900000000000003</v>
      </c>
      <c r="D4525" s="26">
        <v>0.26669999999999999</v>
      </c>
      <c r="E4525" s="26">
        <v>5.8799999999999998E-2</v>
      </c>
      <c r="F4525" s="26">
        <v>8.3000000000000001E-3</v>
      </c>
      <c r="G4525" s="26">
        <v>6.1999999999999998E-3</v>
      </c>
      <c r="H4525" s="26">
        <v>1E-3</v>
      </c>
      <c r="I4525">
        <v>841</v>
      </c>
    </row>
    <row r="4526" spans="1:9" x14ac:dyDescent="0.35">
      <c r="A4526" t="s">
        <v>229</v>
      </c>
      <c r="B4526" t="s">
        <v>368</v>
      </c>
      <c r="C4526" s="26">
        <v>0.53820000000000001</v>
      </c>
      <c r="D4526" s="26">
        <v>0.28560000000000002</v>
      </c>
      <c r="E4526" s="26">
        <v>0.1515</v>
      </c>
      <c r="F4526" s="26">
        <v>2.47E-2</v>
      </c>
      <c r="I4526">
        <v>96</v>
      </c>
    </row>
    <row r="4527" spans="1:9" x14ac:dyDescent="0.35">
      <c r="A4527" t="s">
        <v>229</v>
      </c>
      <c r="B4527" t="s">
        <v>369</v>
      </c>
      <c r="C4527" s="26">
        <v>0.68469999999999998</v>
      </c>
      <c r="D4527" s="26">
        <v>0.23089999999999999</v>
      </c>
      <c r="E4527" s="26">
        <v>6.8599999999999994E-2</v>
      </c>
      <c r="F4527" s="26">
        <v>5.7000000000000002E-3</v>
      </c>
      <c r="G4527" s="26">
        <v>7.1999999999999998E-3</v>
      </c>
      <c r="H4527" s="26">
        <v>2.8999999999999998E-3</v>
      </c>
      <c r="I4527">
        <v>799</v>
      </c>
    </row>
    <row r="4528" spans="1:9" x14ac:dyDescent="0.35">
      <c r="A4528" t="s">
        <v>230</v>
      </c>
      <c r="B4528" t="s">
        <v>368</v>
      </c>
      <c r="C4528" s="26">
        <v>0.67500000000000004</v>
      </c>
      <c r="D4528" s="26">
        <v>0.2286</v>
      </c>
      <c r="E4528" s="26">
        <v>1.3599999999999999E-2</v>
      </c>
      <c r="F4528" s="26">
        <v>2E-3</v>
      </c>
      <c r="G4528" s="26">
        <v>4.0399999999999998E-2</v>
      </c>
      <c r="H4528" s="26">
        <v>4.0399999999999998E-2</v>
      </c>
      <c r="I4528">
        <v>57</v>
      </c>
    </row>
    <row r="4529" spans="1:9" x14ac:dyDescent="0.35">
      <c r="A4529" t="s">
        <v>230</v>
      </c>
      <c r="B4529" t="s">
        <v>369</v>
      </c>
      <c r="C4529" s="26">
        <v>0.66410000000000002</v>
      </c>
      <c r="D4529" s="26">
        <v>0.27860000000000001</v>
      </c>
      <c r="E4529" s="26">
        <v>5.0900000000000001E-2</v>
      </c>
      <c r="F4529" s="26">
        <v>3.0000000000000001E-3</v>
      </c>
      <c r="G4529" s="26">
        <v>3.3999999999999998E-3</v>
      </c>
      <c r="I4529">
        <v>503</v>
      </c>
    </row>
    <row r="4530" spans="1:9" x14ac:dyDescent="0.35">
      <c r="A4530" s="27" t="s">
        <v>231</v>
      </c>
      <c r="B4530" s="27" t="s">
        <v>368</v>
      </c>
      <c r="C4530" s="28">
        <v>0.70369999999999999</v>
      </c>
      <c r="D4530" s="28">
        <v>0.25929999999999997</v>
      </c>
      <c r="E4530" s="28">
        <v>3.6999999999999998E-2</v>
      </c>
      <c r="F4530" s="29"/>
      <c r="G4530" s="29"/>
      <c r="H4530" s="29"/>
      <c r="I4530" s="29" t="s">
        <v>338</v>
      </c>
    </row>
    <row r="4531" spans="1:9" x14ac:dyDescent="0.35">
      <c r="A4531" t="s">
        <v>231</v>
      </c>
      <c r="B4531" t="s">
        <v>369</v>
      </c>
      <c r="C4531" s="26">
        <v>0.64959999999999996</v>
      </c>
      <c r="D4531" s="26">
        <v>0.26279999999999998</v>
      </c>
      <c r="E4531" s="26">
        <v>6.5699999999999995E-2</v>
      </c>
      <c r="F4531" s="26">
        <v>1.46E-2</v>
      </c>
      <c r="G4531" s="26">
        <v>7.3000000000000001E-3</v>
      </c>
      <c r="I4531">
        <v>137</v>
      </c>
    </row>
    <row r="4532" spans="1:9" x14ac:dyDescent="0.35">
      <c r="A4532" t="s">
        <v>232</v>
      </c>
      <c r="B4532" t="s">
        <v>232</v>
      </c>
      <c r="C4532" s="26">
        <v>0.6512</v>
      </c>
      <c r="D4532" s="26">
        <v>0.25940000000000002</v>
      </c>
      <c r="E4532" s="26">
        <v>7.2099999999999997E-2</v>
      </c>
      <c r="F4532" s="26">
        <v>9.2999999999999992E-3</v>
      </c>
      <c r="G4532" s="26">
        <v>6.6E-3</v>
      </c>
      <c r="H4532" s="26">
        <v>1.4E-3</v>
      </c>
      <c r="I4532">
        <v>2813</v>
      </c>
    </row>
    <row r="4534" spans="1:9" x14ac:dyDescent="0.35">
      <c r="A4534" s="1" t="s">
        <v>694</v>
      </c>
    </row>
    <row r="4535" spans="1:9" x14ac:dyDescent="0.35">
      <c r="A4535" t="s">
        <v>219</v>
      </c>
      <c r="B4535" t="s">
        <v>305</v>
      </c>
      <c r="C4535" t="s">
        <v>681</v>
      </c>
      <c r="D4535" t="s">
        <v>682</v>
      </c>
      <c r="E4535" t="s">
        <v>683</v>
      </c>
      <c r="F4535" t="s">
        <v>684</v>
      </c>
      <c r="G4535" t="s">
        <v>281</v>
      </c>
      <c r="H4535" t="s">
        <v>286</v>
      </c>
      <c r="I4535" t="s">
        <v>226</v>
      </c>
    </row>
    <row r="4536" spans="1:9" x14ac:dyDescent="0.35">
      <c r="A4536" t="s">
        <v>227</v>
      </c>
      <c r="B4536" t="s">
        <v>371</v>
      </c>
      <c r="C4536" s="26">
        <v>0.60870000000000002</v>
      </c>
      <c r="D4536" s="26">
        <v>0.27950000000000003</v>
      </c>
      <c r="E4536" s="26">
        <v>9.3200000000000005E-2</v>
      </c>
      <c r="F4536" s="26">
        <v>1.24E-2</v>
      </c>
      <c r="G4536" s="26">
        <v>6.1999999999999998E-3</v>
      </c>
      <c r="I4536">
        <v>161</v>
      </c>
    </row>
    <row r="4537" spans="1:9" x14ac:dyDescent="0.35">
      <c r="A4537" t="s">
        <v>228</v>
      </c>
      <c r="B4537" t="s">
        <v>371</v>
      </c>
      <c r="C4537" s="26">
        <v>0.6492</v>
      </c>
      <c r="D4537" s="26">
        <v>0.26369999999999999</v>
      </c>
      <c r="E4537" s="26">
        <v>7.2400000000000006E-2</v>
      </c>
      <c r="F4537" s="26">
        <v>7.0000000000000001E-3</v>
      </c>
      <c r="G4537" s="26">
        <v>7.0000000000000001E-3</v>
      </c>
      <c r="H4537" s="26">
        <v>6.9999999999999999E-4</v>
      </c>
      <c r="I4537">
        <v>292</v>
      </c>
    </row>
    <row r="4538" spans="1:9" x14ac:dyDescent="0.35">
      <c r="A4538" t="s">
        <v>228</v>
      </c>
      <c r="B4538" t="s">
        <v>372</v>
      </c>
      <c r="C4538" s="26">
        <v>0.53320000000000001</v>
      </c>
      <c r="D4538" s="26">
        <v>0.3377</v>
      </c>
      <c r="E4538" s="26">
        <v>0.1206</v>
      </c>
      <c r="F4538" s="26">
        <v>2.8E-3</v>
      </c>
      <c r="G4538" s="26">
        <v>5.7000000000000002E-3</v>
      </c>
      <c r="I4538">
        <v>218</v>
      </c>
    </row>
    <row r="4539" spans="1:9" x14ac:dyDescent="0.35">
      <c r="A4539" t="s">
        <v>228</v>
      </c>
      <c r="B4539" t="s">
        <v>373</v>
      </c>
      <c r="C4539" s="26">
        <v>0.67500000000000004</v>
      </c>
      <c r="D4539" s="26">
        <v>0.24779999999999999</v>
      </c>
      <c r="E4539" s="26">
        <v>5.96E-2</v>
      </c>
      <c r="F4539" s="26">
        <v>7.6E-3</v>
      </c>
      <c r="G4539" s="26">
        <v>8.8999999999999999E-3</v>
      </c>
      <c r="H4539" s="26">
        <v>1.1000000000000001E-3</v>
      </c>
      <c r="I4539">
        <v>523</v>
      </c>
    </row>
    <row r="4540" spans="1:9" x14ac:dyDescent="0.35">
      <c r="A4540" t="s">
        <v>229</v>
      </c>
      <c r="B4540" t="s">
        <v>371</v>
      </c>
      <c r="C4540" s="26">
        <v>0.66459999999999997</v>
      </c>
      <c r="D4540" s="26">
        <v>0.23719999999999999</v>
      </c>
      <c r="E4540" s="26">
        <v>8.1900000000000001E-2</v>
      </c>
      <c r="F4540" s="26">
        <v>7.1000000000000004E-3</v>
      </c>
      <c r="G4540" s="26">
        <v>6.4999999999999997E-3</v>
      </c>
      <c r="H4540" s="26">
        <v>2.7000000000000001E-3</v>
      </c>
      <c r="I4540">
        <v>584</v>
      </c>
    </row>
    <row r="4541" spans="1:9" x14ac:dyDescent="0.35">
      <c r="A4541" t="s">
        <v>229</v>
      </c>
      <c r="B4541" t="s">
        <v>372</v>
      </c>
      <c r="C4541" s="26">
        <v>0.60360000000000003</v>
      </c>
      <c r="D4541" s="26">
        <v>0.28910000000000002</v>
      </c>
      <c r="E4541" s="26">
        <v>7.4399999999999994E-2</v>
      </c>
      <c r="F4541" s="26">
        <v>3.2899999999999999E-2</v>
      </c>
      <c r="I4541">
        <v>221</v>
      </c>
    </row>
    <row r="4542" spans="1:9" x14ac:dyDescent="0.35">
      <c r="A4542" t="s">
        <v>229</v>
      </c>
      <c r="B4542" t="s">
        <v>373</v>
      </c>
      <c r="C4542" s="26">
        <v>0.7147</v>
      </c>
      <c r="D4542" s="26">
        <v>0.2074</v>
      </c>
      <c r="E4542" s="26">
        <v>6.2E-2</v>
      </c>
      <c r="F4542" s="26">
        <v>1.23E-2</v>
      </c>
      <c r="G4542" s="26">
        <v>3.5999999999999999E-3</v>
      </c>
      <c r="I4542">
        <v>90</v>
      </c>
    </row>
    <row r="4543" spans="1:9" x14ac:dyDescent="0.35">
      <c r="A4543" t="s">
        <v>230</v>
      </c>
      <c r="B4543" t="s">
        <v>371</v>
      </c>
      <c r="C4543" s="26">
        <v>0.65049999999999997</v>
      </c>
      <c r="D4543" s="26">
        <v>0.28770000000000001</v>
      </c>
      <c r="E4543" s="26">
        <v>4.6399999999999997E-2</v>
      </c>
      <c r="F4543" s="26">
        <v>1.1000000000000001E-3</v>
      </c>
      <c r="G4543" s="26">
        <v>7.7000000000000002E-3</v>
      </c>
      <c r="H4543" s="26">
        <v>6.6E-3</v>
      </c>
      <c r="I4543">
        <v>262</v>
      </c>
    </row>
    <row r="4544" spans="1:9" x14ac:dyDescent="0.35">
      <c r="A4544" t="s">
        <v>230</v>
      </c>
      <c r="B4544" t="s">
        <v>372</v>
      </c>
      <c r="C4544" s="26">
        <v>0.69230000000000003</v>
      </c>
      <c r="D4544" s="26">
        <v>0.23549999999999999</v>
      </c>
      <c r="E4544" s="26">
        <v>3.3099999999999997E-2</v>
      </c>
      <c r="F4544" s="26">
        <v>1.89E-2</v>
      </c>
      <c r="G4544" s="26">
        <v>2.01E-2</v>
      </c>
      <c r="I4544">
        <v>146</v>
      </c>
    </row>
    <row r="4545" spans="1:9" x14ac:dyDescent="0.35">
      <c r="A4545" t="s">
        <v>230</v>
      </c>
      <c r="B4545" t="s">
        <v>373</v>
      </c>
      <c r="C4545" s="26">
        <v>0.74990000000000001</v>
      </c>
      <c r="D4545" s="26">
        <v>0.1875</v>
      </c>
      <c r="E4545" s="26">
        <v>4.87E-2</v>
      </c>
      <c r="F4545" s="26">
        <v>7.0000000000000001E-3</v>
      </c>
      <c r="G4545" s="26">
        <v>7.0000000000000001E-3</v>
      </c>
      <c r="I4545">
        <v>152</v>
      </c>
    </row>
    <row r="4546" spans="1:9" x14ac:dyDescent="0.35">
      <c r="A4546" t="s">
        <v>231</v>
      </c>
      <c r="B4546" t="s">
        <v>371</v>
      </c>
      <c r="C4546" s="26">
        <v>0.65849999999999997</v>
      </c>
      <c r="D4546" s="26">
        <v>0.26219999999999999</v>
      </c>
      <c r="E4546" s="26">
        <v>6.0999999999999999E-2</v>
      </c>
      <c r="F4546" s="26">
        <v>1.2200000000000001E-2</v>
      </c>
      <c r="G4546" s="26">
        <v>6.1000000000000004E-3</v>
      </c>
      <c r="I4546">
        <v>164</v>
      </c>
    </row>
    <row r="4547" spans="1:9" x14ac:dyDescent="0.35">
      <c r="A4547" t="s">
        <v>232</v>
      </c>
      <c r="B4547" t="s">
        <v>232</v>
      </c>
      <c r="C4547" s="26">
        <v>0.6512</v>
      </c>
      <c r="D4547" s="26">
        <v>0.25940000000000002</v>
      </c>
      <c r="E4547" s="26">
        <v>7.2099999999999997E-2</v>
      </c>
      <c r="F4547" s="26">
        <v>9.2999999999999992E-3</v>
      </c>
      <c r="G4547" s="26">
        <v>6.6E-3</v>
      </c>
      <c r="H4547" s="26">
        <v>1.4E-3</v>
      </c>
      <c r="I4547">
        <v>2813</v>
      </c>
    </row>
    <row r="4549" spans="1:9" x14ac:dyDescent="0.35">
      <c r="A4549" s="1" t="s">
        <v>695</v>
      </c>
    </row>
    <row r="4550" spans="1:9" x14ac:dyDescent="0.35">
      <c r="A4550" t="s">
        <v>219</v>
      </c>
      <c r="B4550" t="s">
        <v>305</v>
      </c>
      <c r="C4550" t="s">
        <v>681</v>
      </c>
      <c r="D4550" t="s">
        <v>682</v>
      </c>
      <c r="E4550" t="s">
        <v>683</v>
      </c>
      <c r="F4550" t="s">
        <v>684</v>
      </c>
      <c r="G4550" t="s">
        <v>281</v>
      </c>
      <c r="H4550" t="s">
        <v>286</v>
      </c>
      <c r="I4550" t="s">
        <v>226</v>
      </c>
    </row>
    <row r="4551" spans="1:9" x14ac:dyDescent="0.35">
      <c r="A4551" t="s">
        <v>227</v>
      </c>
      <c r="B4551" t="s">
        <v>255</v>
      </c>
      <c r="C4551" s="26">
        <v>0.5726</v>
      </c>
      <c r="D4551" s="26">
        <v>0.31619999999999998</v>
      </c>
      <c r="E4551" s="26">
        <v>9.4E-2</v>
      </c>
      <c r="F4551" s="26">
        <v>8.5000000000000006E-3</v>
      </c>
      <c r="G4551" s="26">
        <v>8.5000000000000006E-3</v>
      </c>
      <c r="I4551">
        <v>117</v>
      </c>
    </row>
    <row r="4552" spans="1:9" x14ac:dyDescent="0.35">
      <c r="A4552" s="27" t="s">
        <v>227</v>
      </c>
      <c r="B4552" s="27" t="s">
        <v>257</v>
      </c>
      <c r="C4552" s="28">
        <v>0.77780000000000005</v>
      </c>
      <c r="D4552" s="28">
        <v>0.1111</v>
      </c>
      <c r="E4552" s="29"/>
      <c r="F4552" s="28">
        <v>0.1111</v>
      </c>
      <c r="G4552" s="29"/>
      <c r="H4552" s="29"/>
      <c r="I4552" s="29" t="s">
        <v>334</v>
      </c>
    </row>
    <row r="4553" spans="1:9" x14ac:dyDescent="0.35">
      <c r="A4553" t="s">
        <v>227</v>
      </c>
      <c r="B4553" t="s">
        <v>256</v>
      </c>
      <c r="C4553" s="26">
        <v>0.68569999999999998</v>
      </c>
      <c r="D4553" s="26">
        <v>0.2</v>
      </c>
      <c r="E4553" s="26">
        <v>0.1143</v>
      </c>
      <c r="I4553">
        <v>35</v>
      </c>
    </row>
    <row r="4554" spans="1:9" x14ac:dyDescent="0.35">
      <c r="A4554" t="s">
        <v>228</v>
      </c>
      <c r="B4554" t="s">
        <v>257</v>
      </c>
      <c r="C4554" s="26">
        <v>0.87939999999999996</v>
      </c>
      <c r="D4554" s="26">
        <v>0.1206</v>
      </c>
      <c r="I4554">
        <v>49</v>
      </c>
    </row>
    <row r="4555" spans="1:9" x14ac:dyDescent="0.35">
      <c r="A4555" s="27" t="s">
        <v>228</v>
      </c>
      <c r="B4555" s="27" t="s">
        <v>258</v>
      </c>
      <c r="C4555" s="28">
        <v>0.80389999999999995</v>
      </c>
      <c r="D4555" s="28">
        <v>0.1961</v>
      </c>
      <c r="E4555" s="29"/>
      <c r="F4555" s="29"/>
      <c r="G4555" s="29"/>
      <c r="H4555" s="29"/>
      <c r="I4555" s="29" t="s">
        <v>337</v>
      </c>
    </row>
    <row r="4556" spans="1:9" x14ac:dyDescent="0.35">
      <c r="A4556" t="s">
        <v>228</v>
      </c>
      <c r="B4556" t="s">
        <v>256</v>
      </c>
      <c r="C4556" s="26">
        <v>0.73829999999999996</v>
      </c>
      <c r="D4556" s="26">
        <v>0.1971</v>
      </c>
      <c r="E4556" s="26">
        <v>5.6000000000000001E-2</v>
      </c>
      <c r="F4556" s="26">
        <v>1.6999999999999999E-3</v>
      </c>
      <c r="G4556" s="26">
        <v>6.7999999999999996E-3</v>
      </c>
      <c r="I4556">
        <v>221</v>
      </c>
    </row>
    <row r="4557" spans="1:9" x14ac:dyDescent="0.35">
      <c r="A4557" t="s">
        <v>228</v>
      </c>
      <c r="B4557" t="s">
        <v>255</v>
      </c>
      <c r="C4557" s="26">
        <v>0.60050000000000003</v>
      </c>
      <c r="D4557" s="26">
        <v>0.2979</v>
      </c>
      <c r="E4557" s="26">
        <v>8.2600000000000007E-2</v>
      </c>
      <c r="F4557" s="26">
        <v>9.2999999999999992E-3</v>
      </c>
      <c r="G4557" s="26">
        <v>8.6E-3</v>
      </c>
      <c r="H4557" s="26">
        <v>1.1000000000000001E-3</v>
      </c>
      <c r="I4557">
        <v>759</v>
      </c>
    </row>
    <row r="4558" spans="1:9" x14ac:dyDescent="0.35">
      <c r="A4558" t="s">
        <v>229</v>
      </c>
      <c r="B4558" t="s">
        <v>256</v>
      </c>
      <c r="C4558" s="26">
        <v>0.76539999999999997</v>
      </c>
      <c r="D4558" s="26">
        <v>0.156</v>
      </c>
      <c r="E4558" s="26">
        <v>6.5500000000000003E-2</v>
      </c>
      <c r="F4558" s="26">
        <v>2.3999999999999998E-3</v>
      </c>
      <c r="G4558" s="26">
        <v>1.0699999999999999E-2</v>
      </c>
      <c r="I4558">
        <v>207</v>
      </c>
    </row>
    <row r="4559" spans="1:9" x14ac:dyDescent="0.35">
      <c r="A4559" t="s">
        <v>229</v>
      </c>
      <c r="B4559" t="s">
        <v>255</v>
      </c>
      <c r="C4559" s="26">
        <v>0.61699999999999999</v>
      </c>
      <c r="D4559" s="26">
        <v>0.27379999999999999</v>
      </c>
      <c r="E4559" s="26">
        <v>9.2899999999999996E-2</v>
      </c>
      <c r="F4559" s="26">
        <v>1.1599999999999999E-2</v>
      </c>
      <c r="G4559" s="26">
        <v>1E-3</v>
      </c>
      <c r="H4559" s="26">
        <v>3.7000000000000002E-3</v>
      </c>
      <c r="I4559">
        <v>636</v>
      </c>
    </row>
    <row r="4560" spans="1:9" x14ac:dyDescent="0.35">
      <c r="A4560" t="s">
        <v>229</v>
      </c>
      <c r="B4560" t="s">
        <v>257</v>
      </c>
      <c r="C4560" s="26">
        <v>0.71130000000000004</v>
      </c>
      <c r="D4560" s="26">
        <v>0.2301</v>
      </c>
      <c r="E4560" s="26">
        <v>1.23E-2</v>
      </c>
      <c r="G4560" s="26">
        <v>4.6300000000000001E-2</v>
      </c>
      <c r="I4560">
        <v>50</v>
      </c>
    </row>
    <row r="4561" spans="1:9" x14ac:dyDescent="0.35">
      <c r="A4561" s="27" t="s">
        <v>229</v>
      </c>
      <c r="B4561" s="27" t="s">
        <v>258</v>
      </c>
      <c r="C4561" s="28">
        <v>1</v>
      </c>
      <c r="D4561" s="29"/>
      <c r="E4561" s="29"/>
      <c r="F4561" s="29"/>
      <c r="G4561" s="29"/>
      <c r="H4561" s="29"/>
      <c r="I4561" s="29" t="s">
        <v>314</v>
      </c>
    </row>
    <row r="4562" spans="1:9" x14ac:dyDescent="0.35">
      <c r="A4562" t="s">
        <v>230</v>
      </c>
      <c r="B4562" t="s">
        <v>256</v>
      </c>
      <c r="C4562" s="26">
        <v>0.63100000000000001</v>
      </c>
      <c r="D4562" s="26">
        <v>0.28739999999999999</v>
      </c>
      <c r="E4562" s="26">
        <v>5.6399999999999999E-2</v>
      </c>
      <c r="F4562" s="26">
        <v>4.4999999999999997E-3</v>
      </c>
      <c r="H4562" s="26">
        <v>2.07E-2</v>
      </c>
      <c r="I4562">
        <v>130</v>
      </c>
    </row>
    <row r="4563" spans="1:9" x14ac:dyDescent="0.35">
      <c r="A4563" t="s">
        <v>230</v>
      </c>
      <c r="B4563" t="s">
        <v>255</v>
      </c>
      <c r="C4563" s="26">
        <v>0.66400000000000003</v>
      </c>
      <c r="D4563" s="26">
        <v>0.27639999999999998</v>
      </c>
      <c r="E4563" s="26">
        <v>4.58E-2</v>
      </c>
      <c r="F4563" s="26">
        <v>2.5999999999999999E-3</v>
      </c>
      <c r="G4563" s="26">
        <v>1.12E-2</v>
      </c>
      <c r="I4563">
        <v>389</v>
      </c>
    </row>
    <row r="4564" spans="1:9" x14ac:dyDescent="0.35">
      <c r="A4564" t="s">
        <v>230</v>
      </c>
      <c r="B4564" t="s">
        <v>257</v>
      </c>
      <c r="C4564" s="26">
        <v>0.78029999999999999</v>
      </c>
      <c r="D4564" s="26">
        <v>0.19400000000000001</v>
      </c>
      <c r="E4564" s="26">
        <v>1.2800000000000001E-2</v>
      </c>
      <c r="G4564" s="26">
        <v>1.2800000000000001E-2</v>
      </c>
      <c r="I4564">
        <v>38</v>
      </c>
    </row>
    <row r="4565" spans="1:9" x14ac:dyDescent="0.35">
      <c r="A4565" s="27" t="s">
        <v>230</v>
      </c>
      <c r="B4565" s="27" t="s">
        <v>258</v>
      </c>
      <c r="C4565" s="28">
        <v>0.95830000000000004</v>
      </c>
      <c r="D4565" s="28">
        <v>4.1700000000000001E-2</v>
      </c>
      <c r="E4565" s="29"/>
      <c r="F4565" s="29"/>
      <c r="G4565" s="29"/>
      <c r="H4565" s="29"/>
      <c r="I4565" s="29" t="s">
        <v>315</v>
      </c>
    </row>
    <row r="4566" spans="1:9" x14ac:dyDescent="0.35">
      <c r="A4566" s="27" t="s">
        <v>231</v>
      </c>
      <c r="B4566" s="27" t="s">
        <v>257</v>
      </c>
      <c r="C4566" s="28">
        <v>1</v>
      </c>
      <c r="D4566" s="29"/>
      <c r="E4566" s="29"/>
      <c r="F4566" s="29"/>
      <c r="G4566" s="29"/>
      <c r="H4566" s="29"/>
      <c r="I4566" s="29" t="s">
        <v>339</v>
      </c>
    </row>
    <row r="4567" spans="1:9" x14ac:dyDescent="0.35">
      <c r="A4567" t="s">
        <v>231</v>
      </c>
      <c r="B4567" t="s">
        <v>255</v>
      </c>
      <c r="C4567" s="26">
        <v>0.65890000000000004</v>
      </c>
      <c r="D4567" s="26">
        <v>0.24809999999999999</v>
      </c>
      <c r="E4567" s="26">
        <v>6.9800000000000001E-2</v>
      </c>
      <c r="F4567" s="26">
        <v>1.55E-2</v>
      </c>
      <c r="G4567" s="26">
        <v>7.7999999999999996E-3</v>
      </c>
      <c r="I4567">
        <v>129</v>
      </c>
    </row>
    <row r="4568" spans="1:9" x14ac:dyDescent="0.35">
      <c r="A4568" s="27" t="s">
        <v>231</v>
      </c>
      <c r="B4568" s="27" t="s">
        <v>256</v>
      </c>
      <c r="C4568" s="28">
        <v>0.57140000000000002</v>
      </c>
      <c r="D4568" s="28">
        <v>0.39290000000000003</v>
      </c>
      <c r="E4568" s="28">
        <v>3.5700000000000003E-2</v>
      </c>
      <c r="F4568" s="29"/>
      <c r="G4568" s="29"/>
      <c r="H4568" s="29"/>
      <c r="I4568" s="29" t="s">
        <v>336</v>
      </c>
    </row>
    <row r="4569" spans="1:9" x14ac:dyDescent="0.35">
      <c r="A4569" t="s">
        <v>232</v>
      </c>
      <c r="B4569" t="s">
        <v>232</v>
      </c>
      <c r="C4569" s="26">
        <v>0.6512</v>
      </c>
      <c r="D4569" s="26">
        <v>0.25940000000000002</v>
      </c>
      <c r="E4569" s="26">
        <v>7.2099999999999997E-2</v>
      </c>
      <c r="F4569" s="26">
        <v>9.2999999999999992E-3</v>
      </c>
      <c r="G4569" s="26">
        <v>6.6E-3</v>
      </c>
      <c r="H4569" s="26">
        <v>1.4E-3</v>
      </c>
      <c r="I4569">
        <v>2813</v>
      </c>
    </row>
    <row r="4571" spans="1:9" x14ac:dyDescent="0.35">
      <c r="A4571" s="1" t="s">
        <v>696</v>
      </c>
    </row>
    <row r="4572" spans="1:9" x14ac:dyDescent="0.35">
      <c r="A4572" t="s">
        <v>219</v>
      </c>
      <c r="B4572" t="s">
        <v>681</v>
      </c>
      <c r="C4572" t="s">
        <v>682</v>
      </c>
      <c r="D4572" t="s">
        <v>683</v>
      </c>
      <c r="E4572" t="s">
        <v>684</v>
      </c>
      <c r="F4572" t="s">
        <v>281</v>
      </c>
      <c r="G4572" t="s">
        <v>286</v>
      </c>
      <c r="H4572" t="s">
        <v>226</v>
      </c>
    </row>
    <row r="4573" spans="1:9" x14ac:dyDescent="0.35">
      <c r="A4573" t="s">
        <v>227</v>
      </c>
      <c r="B4573" s="26">
        <v>0.90059999999999996</v>
      </c>
      <c r="C4573" s="26">
        <v>6.83E-2</v>
      </c>
      <c r="D4573" s="26">
        <v>2.4799999999999999E-2</v>
      </c>
      <c r="E4573" s="26">
        <v>6.1999999999999998E-3</v>
      </c>
      <c r="H4573">
        <v>161</v>
      </c>
    </row>
    <row r="4574" spans="1:9" x14ac:dyDescent="0.35">
      <c r="A4574" t="s">
        <v>228</v>
      </c>
      <c r="B4574" s="26">
        <v>0.90369999999999995</v>
      </c>
      <c r="C4574" s="26">
        <v>7.2499999999999995E-2</v>
      </c>
      <c r="D4574" s="26">
        <v>1.7500000000000002E-2</v>
      </c>
      <c r="E4574" s="26">
        <v>3.3E-3</v>
      </c>
      <c r="F4574" s="26">
        <v>2.5000000000000001E-3</v>
      </c>
      <c r="G4574" s="26">
        <v>4.0000000000000002E-4</v>
      </c>
      <c r="H4574">
        <v>1033</v>
      </c>
    </row>
    <row r="4575" spans="1:9" x14ac:dyDescent="0.35">
      <c r="A4575" t="s">
        <v>229</v>
      </c>
      <c r="B4575" s="26">
        <v>0.93089999999999995</v>
      </c>
      <c r="C4575" s="26">
        <v>5.6099999999999997E-2</v>
      </c>
      <c r="D4575" s="26">
        <v>1.2699999999999999E-2</v>
      </c>
      <c r="F4575" s="26">
        <v>4.0000000000000002E-4</v>
      </c>
      <c r="H4575">
        <v>895</v>
      </c>
    </row>
    <row r="4576" spans="1:9" x14ac:dyDescent="0.35">
      <c r="A4576" t="s">
        <v>230</v>
      </c>
      <c r="B4576" s="26">
        <v>0.94089999999999996</v>
      </c>
      <c r="C4576" s="26">
        <v>4.7600000000000003E-2</v>
      </c>
      <c r="D4576" s="26">
        <v>1.0999999999999999E-2</v>
      </c>
      <c r="E4576" s="26">
        <v>5.0000000000000001E-4</v>
      </c>
      <c r="H4576">
        <v>560</v>
      </c>
    </row>
    <row r="4577" spans="1:9" x14ac:dyDescent="0.35">
      <c r="A4577" t="s">
        <v>231</v>
      </c>
      <c r="B4577" s="26">
        <v>0.93289999999999995</v>
      </c>
      <c r="C4577" s="26">
        <v>4.8800000000000003E-2</v>
      </c>
      <c r="D4577" s="26">
        <v>1.83E-2</v>
      </c>
      <c r="H4577">
        <v>164</v>
      </c>
    </row>
    <row r="4578" spans="1:9" x14ac:dyDescent="0.35">
      <c r="A4578" t="s">
        <v>232</v>
      </c>
      <c r="B4578" s="26">
        <v>0.92259999999999998</v>
      </c>
      <c r="C4578" s="26">
        <v>5.8299999999999998E-2</v>
      </c>
      <c r="D4578" s="26">
        <v>1.6799999999999999E-2</v>
      </c>
      <c r="E4578" s="26">
        <v>1.6000000000000001E-3</v>
      </c>
      <c r="F4578" s="26">
        <v>5.9999999999999995E-4</v>
      </c>
      <c r="G4578" s="26">
        <v>1E-4</v>
      </c>
      <c r="H4578">
        <v>2813</v>
      </c>
    </row>
    <row r="4580" spans="1:9" x14ac:dyDescent="0.35">
      <c r="A4580" s="1" t="s">
        <v>697</v>
      </c>
    </row>
    <row r="4581" spans="1:9" x14ac:dyDescent="0.35">
      <c r="A4581" t="s">
        <v>219</v>
      </c>
      <c r="B4581" t="s">
        <v>305</v>
      </c>
      <c r="C4581" t="s">
        <v>681</v>
      </c>
      <c r="D4581" t="s">
        <v>682</v>
      </c>
      <c r="E4581" t="s">
        <v>683</v>
      </c>
      <c r="F4581" t="s">
        <v>684</v>
      </c>
      <c r="G4581" t="s">
        <v>281</v>
      </c>
      <c r="H4581" t="s">
        <v>286</v>
      </c>
      <c r="I4581" t="s">
        <v>226</v>
      </c>
    </row>
    <row r="4582" spans="1:9" x14ac:dyDescent="0.35">
      <c r="A4582" t="s">
        <v>227</v>
      </c>
      <c r="B4582" t="s">
        <v>242</v>
      </c>
      <c r="C4582" s="26">
        <v>0.79410000000000003</v>
      </c>
      <c r="D4582" s="26">
        <v>0.13239999999999999</v>
      </c>
      <c r="E4582" s="26">
        <v>5.8799999999999998E-2</v>
      </c>
      <c r="F4582" s="26">
        <v>1.47E-2</v>
      </c>
      <c r="I4582">
        <v>68</v>
      </c>
    </row>
    <row r="4583" spans="1:9" x14ac:dyDescent="0.35">
      <c r="A4583" t="s">
        <v>227</v>
      </c>
      <c r="B4583" t="s">
        <v>241</v>
      </c>
      <c r="C4583" s="26">
        <v>0.97850000000000004</v>
      </c>
      <c r="D4583" s="26">
        <v>2.1499999999999998E-2</v>
      </c>
      <c r="I4583">
        <v>93</v>
      </c>
    </row>
    <row r="4584" spans="1:9" x14ac:dyDescent="0.35">
      <c r="A4584" t="s">
        <v>228</v>
      </c>
      <c r="B4584" t="s">
        <v>242</v>
      </c>
      <c r="C4584" s="26">
        <v>0.79730000000000001</v>
      </c>
      <c r="D4584" s="26">
        <v>0.14019999999999999</v>
      </c>
      <c r="E4584" s="26">
        <v>4.8300000000000003E-2</v>
      </c>
      <c r="F4584" s="26">
        <v>9.1000000000000004E-3</v>
      </c>
      <c r="G4584" s="26">
        <v>4.0000000000000001E-3</v>
      </c>
      <c r="H4584" s="26">
        <v>1.1000000000000001E-3</v>
      </c>
      <c r="I4584">
        <v>402</v>
      </c>
    </row>
    <row r="4585" spans="1:9" x14ac:dyDescent="0.35">
      <c r="A4585" t="s">
        <v>228</v>
      </c>
      <c r="B4585" t="s">
        <v>241</v>
      </c>
      <c r="C4585" s="26">
        <v>0.96460000000000001</v>
      </c>
      <c r="D4585" s="26">
        <v>3.3700000000000001E-2</v>
      </c>
      <c r="G4585" s="26">
        <v>1.6999999999999999E-3</v>
      </c>
      <c r="I4585">
        <v>631</v>
      </c>
    </row>
    <row r="4586" spans="1:9" x14ac:dyDescent="0.35">
      <c r="A4586" t="s">
        <v>229</v>
      </c>
      <c r="B4586" t="s">
        <v>242</v>
      </c>
      <c r="C4586" s="26">
        <v>0.86550000000000005</v>
      </c>
      <c r="D4586" s="26">
        <v>0.1013</v>
      </c>
      <c r="E4586" s="26">
        <v>3.2500000000000001E-2</v>
      </c>
      <c r="G4586" s="26">
        <v>6.9999999999999999E-4</v>
      </c>
      <c r="I4586">
        <v>292</v>
      </c>
    </row>
    <row r="4587" spans="1:9" x14ac:dyDescent="0.35">
      <c r="A4587" t="s">
        <v>229</v>
      </c>
      <c r="B4587" t="s">
        <v>241</v>
      </c>
      <c r="C4587" s="26">
        <v>0.97270000000000001</v>
      </c>
      <c r="D4587" s="26">
        <v>2.7099999999999999E-2</v>
      </c>
      <c r="G4587" s="26">
        <v>2.0000000000000001E-4</v>
      </c>
      <c r="I4587">
        <v>603</v>
      </c>
    </row>
    <row r="4588" spans="1:9" x14ac:dyDescent="0.35">
      <c r="A4588" t="s">
        <v>230</v>
      </c>
      <c r="B4588" t="s">
        <v>242</v>
      </c>
      <c r="C4588" s="26">
        <v>0.86450000000000005</v>
      </c>
      <c r="D4588" s="26">
        <v>0.1014</v>
      </c>
      <c r="E4588" s="26">
        <v>3.2500000000000001E-2</v>
      </c>
      <c r="F4588" s="26">
        <v>1.6000000000000001E-3</v>
      </c>
      <c r="I4588">
        <v>189</v>
      </c>
    </row>
    <row r="4589" spans="1:9" x14ac:dyDescent="0.35">
      <c r="A4589" t="s">
        <v>230</v>
      </c>
      <c r="B4589" t="s">
        <v>241</v>
      </c>
      <c r="C4589" s="26">
        <v>0.98</v>
      </c>
      <c r="D4589" s="26">
        <v>0.02</v>
      </c>
      <c r="I4589">
        <v>371</v>
      </c>
    </row>
    <row r="4590" spans="1:9" x14ac:dyDescent="0.35">
      <c r="A4590" t="s">
        <v>231</v>
      </c>
      <c r="B4590" t="s">
        <v>242</v>
      </c>
      <c r="C4590" s="26">
        <v>0.90739999999999998</v>
      </c>
      <c r="D4590" s="26">
        <v>3.6999999999999998E-2</v>
      </c>
      <c r="E4590" s="26">
        <v>5.5599999999999997E-2</v>
      </c>
      <c r="I4590">
        <v>54</v>
      </c>
    </row>
    <row r="4591" spans="1:9" x14ac:dyDescent="0.35">
      <c r="A4591" t="s">
        <v>231</v>
      </c>
      <c r="B4591" t="s">
        <v>241</v>
      </c>
      <c r="C4591" s="26">
        <v>0.94550000000000001</v>
      </c>
      <c r="D4591" s="26">
        <v>5.45E-2</v>
      </c>
      <c r="I4591">
        <v>110</v>
      </c>
    </row>
    <row r="4592" spans="1:9" x14ac:dyDescent="0.35">
      <c r="A4592" t="s">
        <v>232</v>
      </c>
      <c r="B4592" t="s">
        <v>232</v>
      </c>
      <c r="C4592" s="26">
        <v>0.92259999999999998</v>
      </c>
      <c r="D4592" s="26">
        <v>5.8299999999999998E-2</v>
      </c>
      <c r="E4592" s="26">
        <v>1.6799999999999999E-2</v>
      </c>
      <c r="F4592" s="26">
        <v>1.6000000000000001E-3</v>
      </c>
      <c r="G4592" s="26">
        <v>5.9999999999999995E-4</v>
      </c>
      <c r="H4592" s="26">
        <v>1E-4</v>
      </c>
      <c r="I4592">
        <v>2813</v>
      </c>
    </row>
    <row r="4594" spans="1:9" x14ac:dyDescent="0.35">
      <c r="A4594" s="1" t="s">
        <v>698</v>
      </c>
    </row>
    <row r="4595" spans="1:9" x14ac:dyDescent="0.35">
      <c r="A4595" t="s">
        <v>219</v>
      </c>
      <c r="B4595" t="s">
        <v>305</v>
      </c>
      <c r="C4595" t="s">
        <v>681</v>
      </c>
      <c r="D4595" t="s">
        <v>682</v>
      </c>
      <c r="E4595" t="s">
        <v>683</v>
      </c>
      <c r="F4595" t="s">
        <v>684</v>
      </c>
      <c r="G4595" t="s">
        <v>281</v>
      </c>
      <c r="H4595" t="s">
        <v>286</v>
      </c>
      <c r="I4595" t="s">
        <v>226</v>
      </c>
    </row>
    <row r="4596" spans="1:9" x14ac:dyDescent="0.35">
      <c r="A4596" t="s">
        <v>227</v>
      </c>
      <c r="B4596" t="s">
        <v>239</v>
      </c>
      <c r="C4596" s="26">
        <v>0.9194</v>
      </c>
      <c r="D4596" s="26">
        <v>3.2300000000000002E-2</v>
      </c>
      <c r="E4596" s="26">
        <v>3.2300000000000002E-2</v>
      </c>
      <c r="F4596" s="26">
        <v>1.61E-2</v>
      </c>
      <c r="I4596">
        <v>62</v>
      </c>
    </row>
    <row r="4597" spans="1:9" x14ac:dyDescent="0.35">
      <c r="A4597" t="s">
        <v>227</v>
      </c>
      <c r="B4597" t="s">
        <v>238</v>
      </c>
      <c r="C4597" s="26">
        <v>0.88890000000000002</v>
      </c>
      <c r="D4597" s="26">
        <v>9.0899999999999995E-2</v>
      </c>
      <c r="E4597" s="26">
        <v>2.0199999999999999E-2</v>
      </c>
      <c r="I4597">
        <v>99</v>
      </c>
    </row>
    <row r="4598" spans="1:9" x14ac:dyDescent="0.35">
      <c r="A4598" t="s">
        <v>228</v>
      </c>
      <c r="B4598" t="s">
        <v>239</v>
      </c>
      <c r="C4598" s="26">
        <v>0.88360000000000005</v>
      </c>
      <c r="D4598" s="26">
        <v>7.5600000000000001E-2</v>
      </c>
      <c r="E4598" s="26">
        <v>2.01E-2</v>
      </c>
      <c r="F4598" s="26">
        <v>1.61E-2</v>
      </c>
      <c r="G4598" s="26">
        <v>4.7000000000000002E-3</v>
      </c>
      <c r="I4598">
        <v>330</v>
      </c>
    </row>
    <row r="4599" spans="1:9" x14ac:dyDescent="0.35">
      <c r="A4599" t="s">
        <v>228</v>
      </c>
      <c r="B4599" t="s">
        <v>238</v>
      </c>
      <c r="C4599" s="26">
        <v>0.90900000000000003</v>
      </c>
      <c r="D4599" s="26">
        <v>7.1599999999999997E-2</v>
      </c>
      <c r="E4599" s="26">
        <v>1.6899999999999998E-2</v>
      </c>
      <c r="G4599" s="26">
        <v>2E-3</v>
      </c>
      <c r="H4599" s="26">
        <v>5.0000000000000001E-4</v>
      </c>
      <c r="I4599">
        <v>703</v>
      </c>
    </row>
    <row r="4600" spans="1:9" x14ac:dyDescent="0.35">
      <c r="A4600" t="s">
        <v>229</v>
      </c>
      <c r="B4600" t="s">
        <v>239</v>
      </c>
      <c r="C4600" s="26">
        <v>0.94199999999999995</v>
      </c>
      <c r="D4600" s="26">
        <v>4.4499999999999998E-2</v>
      </c>
      <c r="E4600" s="26">
        <v>1.2200000000000001E-2</v>
      </c>
      <c r="G4600" s="26">
        <v>1.4E-3</v>
      </c>
      <c r="I4600">
        <v>332</v>
      </c>
    </row>
    <row r="4601" spans="1:9" x14ac:dyDescent="0.35">
      <c r="A4601" t="s">
        <v>229</v>
      </c>
      <c r="B4601" t="s">
        <v>238</v>
      </c>
      <c r="C4601" s="26">
        <v>0.92710000000000004</v>
      </c>
      <c r="D4601" s="26">
        <v>0.06</v>
      </c>
      <c r="E4601" s="26">
        <v>1.29E-2</v>
      </c>
      <c r="I4601">
        <v>563</v>
      </c>
    </row>
    <row r="4602" spans="1:9" x14ac:dyDescent="0.35">
      <c r="A4602" t="s">
        <v>230</v>
      </c>
      <c r="B4602" t="s">
        <v>239</v>
      </c>
      <c r="C4602" s="26">
        <v>0.94169999999999998</v>
      </c>
      <c r="D4602" s="26">
        <v>5.04E-2</v>
      </c>
      <c r="E4602" s="26">
        <v>7.7999999999999996E-3</v>
      </c>
      <c r="I4602">
        <v>211</v>
      </c>
    </row>
    <row r="4603" spans="1:9" x14ac:dyDescent="0.35">
      <c r="A4603" t="s">
        <v>230</v>
      </c>
      <c r="B4603" t="s">
        <v>238</v>
      </c>
      <c r="C4603" s="26">
        <v>0.9405</v>
      </c>
      <c r="D4603" s="26">
        <v>4.6300000000000001E-2</v>
      </c>
      <c r="E4603" s="26">
        <v>1.24E-2</v>
      </c>
      <c r="F4603" s="26">
        <v>8.0000000000000004E-4</v>
      </c>
      <c r="I4603">
        <v>349</v>
      </c>
    </row>
    <row r="4604" spans="1:9" x14ac:dyDescent="0.35">
      <c r="A4604" t="s">
        <v>231</v>
      </c>
      <c r="B4604" t="s">
        <v>239</v>
      </c>
      <c r="C4604" s="26">
        <v>0.92979999999999996</v>
      </c>
      <c r="D4604" s="26">
        <v>3.5099999999999999E-2</v>
      </c>
      <c r="E4604" s="26">
        <v>3.5099999999999999E-2</v>
      </c>
      <c r="I4604">
        <v>57</v>
      </c>
    </row>
    <row r="4605" spans="1:9" x14ac:dyDescent="0.35">
      <c r="A4605" t="s">
        <v>231</v>
      </c>
      <c r="B4605" t="s">
        <v>238</v>
      </c>
      <c r="C4605" s="26">
        <v>0.93459999999999999</v>
      </c>
      <c r="D4605" s="26">
        <v>5.6099999999999997E-2</v>
      </c>
      <c r="E4605" s="26">
        <v>9.2999999999999992E-3</v>
      </c>
      <c r="I4605">
        <v>107</v>
      </c>
    </row>
    <row r="4606" spans="1:9" x14ac:dyDescent="0.35">
      <c r="A4606" t="s">
        <v>232</v>
      </c>
      <c r="B4606" t="s">
        <v>232</v>
      </c>
      <c r="C4606" s="26">
        <v>0.92259999999999998</v>
      </c>
      <c r="D4606" s="26">
        <v>5.8299999999999998E-2</v>
      </c>
      <c r="E4606" s="26">
        <v>1.6799999999999999E-2</v>
      </c>
      <c r="F4606" s="26">
        <v>1.6000000000000001E-3</v>
      </c>
      <c r="G4606" s="26">
        <v>5.9999999999999995E-4</v>
      </c>
      <c r="H4606" s="26">
        <v>1E-4</v>
      </c>
      <c r="I4606">
        <v>2813</v>
      </c>
    </row>
    <row r="4608" spans="1:9" x14ac:dyDescent="0.35">
      <c r="A4608" s="1" t="s">
        <v>699</v>
      </c>
    </row>
    <row r="4609" spans="1:9" x14ac:dyDescent="0.35">
      <c r="A4609" t="s">
        <v>219</v>
      </c>
      <c r="B4609" t="s">
        <v>305</v>
      </c>
      <c r="C4609" t="s">
        <v>681</v>
      </c>
      <c r="D4609" t="s">
        <v>682</v>
      </c>
      <c r="E4609" t="s">
        <v>683</v>
      </c>
      <c r="F4609" t="s">
        <v>684</v>
      </c>
      <c r="G4609" t="s">
        <v>281</v>
      </c>
      <c r="H4609" t="s">
        <v>286</v>
      </c>
      <c r="I4609" t="s">
        <v>226</v>
      </c>
    </row>
    <row r="4610" spans="1:9" x14ac:dyDescent="0.35">
      <c r="A4610" t="s">
        <v>227</v>
      </c>
      <c r="B4610" t="s">
        <v>244</v>
      </c>
      <c r="C4610" s="26">
        <v>0.89580000000000004</v>
      </c>
      <c r="D4610" s="26">
        <v>7.2900000000000006E-2</v>
      </c>
      <c r="E4610" s="26">
        <v>2.0799999999999999E-2</v>
      </c>
      <c r="F4610" s="26">
        <v>1.04E-2</v>
      </c>
      <c r="I4610">
        <v>96</v>
      </c>
    </row>
    <row r="4611" spans="1:9" x14ac:dyDescent="0.35">
      <c r="A4611" t="s">
        <v>227</v>
      </c>
      <c r="B4611" t="s">
        <v>245</v>
      </c>
      <c r="C4611" s="26">
        <v>0.90569999999999995</v>
      </c>
      <c r="D4611" s="26">
        <v>7.5499999999999998E-2</v>
      </c>
      <c r="E4611" s="26">
        <v>1.89E-2</v>
      </c>
      <c r="I4611">
        <v>53</v>
      </c>
    </row>
    <row r="4612" spans="1:9" x14ac:dyDescent="0.35">
      <c r="A4612" s="27" t="s">
        <v>227</v>
      </c>
      <c r="B4612" s="27" t="s">
        <v>246</v>
      </c>
      <c r="C4612" s="28">
        <v>0.91669999999999996</v>
      </c>
      <c r="D4612" s="29"/>
      <c r="E4612" s="28">
        <v>8.3299999999999999E-2</v>
      </c>
      <c r="F4612" s="29"/>
      <c r="G4612" s="29"/>
      <c r="H4612" s="29"/>
      <c r="I4612" s="29" t="s">
        <v>342</v>
      </c>
    </row>
    <row r="4613" spans="1:9" x14ac:dyDescent="0.35">
      <c r="A4613" t="s">
        <v>228</v>
      </c>
      <c r="B4613" t="s">
        <v>244</v>
      </c>
      <c r="C4613" s="26">
        <v>0.91279999999999994</v>
      </c>
      <c r="D4613" s="26">
        <v>6.8400000000000002E-2</v>
      </c>
      <c r="E4613" s="26">
        <v>1.5699999999999999E-2</v>
      </c>
      <c r="G4613" s="26">
        <v>2.5000000000000001E-3</v>
      </c>
      <c r="H4613" s="26">
        <v>5.9999999999999995E-4</v>
      </c>
      <c r="I4613">
        <v>638</v>
      </c>
    </row>
    <row r="4614" spans="1:9" x14ac:dyDescent="0.35">
      <c r="A4614" t="s">
        <v>228</v>
      </c>
      <c r="B4614" t="s">
        <v>245</v>
      </c>
      <c r="C4614" s="26">
        <v>0.88649999999999995</v>
      </c>
      <c r="D4614" s="26">
        <v>8.8800000000000004E-2</v>
      </c>
      <c r="E4614" s="26">
        <v>2.1499999999999998E-2</v>
      </c>
      <c r="G4614" s="26">
        <v>3.2000000000000002E-3</v>
      </c>
      <c r="I4614">
        <v>328</v>
      </c>
    </row>
    <row r="4615" spans="1:9" x14ac:dyDescent="0.35">
      <c r="A4615" t="s">
        <v>228</v>
      </c>
      <c r="B4615" t="s">
        <v>246</v>
      </c>
      <c r="C4615" s="26">
        <v>0.88739999999999997</v>
      </c>
      <c r="D4615" s="26">
        <v>4.48E-2</v>
      </c>
      <c r="E4615" s="26">
        <v>1.9300000000000001E-2</v>
      </c>
      <c r="F4615" s="26">
        <v>4.8500000000000001E-2</v>
      </c>
      <c r="I4615">
        <v>67</v>
      </c>
    </row>
    <row r="4616" spans="1:9" x14ac:dyDescent="0.35">
      <c r="A4616" t="s">
        <v>229</v>
      </c>
      <c r="B4616" t="s">
        <v>244</v>
      </c>
      <c r="C4616" s="26">
        <v>0.93030000000000002</v>
      </c>
      <c r="D4616" s="26">
        <v>5.1900000000000002E-2</v>
      </c>
      <c r="E4616" s="26">
        <v>1.7299999999999999E-2</v>
      </c>
      <c r="G4616" s="26">
        <v>5.0000000000000001E-4</v>
      </c>
      <c r="I4616">
        <v>557</v>
      </c>
    </row>
    <row r="4617" spans="1:9" x14ac:dyDescent="0.35">
      <c r="A4617" t="s">
        <v>229</v>
      </c>
      <c r="B4617" t="s">
        <v>245</v>
      </c>
      <c r="C4617" s="26">
        <v>0.92100000000000004</v>
      </c>
      <c r="D4617" s="26">
        <v>7.6300000000000007E-2</v>
      </c>
      <c r="E4617" s="26">
        <v>2.5999999999999999E-3</v>
      </c>
      <c r="I4617">
        <v>293</v>
      </c>
    </row>
    <row r="4618" spans="1:9" x14ac:dyDescent="0.35">
      <c r="A4618" t="s">
        <v>229</v>
      </c>
      <c r="B4618" t="s">
        <v>246</v>
      </c>
      <c r="C4618" s="26">
        <v>0.98570000000000002</v>
      </c>
      <c r="D4618" s="26">
        <v>1.43E-2</v>
      </c>
      <c r="I4618">
        <v>45</v>
      </c>
    </row>
    <row r="4619" spans="1:9" x14ac:dyDescent="0.35">
      <c r="A4619" t="s">
        <v>230</v>
      </c>
      <c r="B4619" t="s">
        <v>244</v>
      </c>
      <c r="C4619" s="26">
        <v>0.92959999999999998</v>
      </c>
      <c r="D4619" s="26">
        <v>5.5399999999999998E-2</v>
      </c>
      <c r="E4619" s="26">
        <v>1.4200000000000001E-2</v>
      </c>
      <c r="F4619" s="26">
        <v>8.0000000000000004E-4</v>
      </c>
      <c r="I4619">
        <v>370</v>
      </c>
    </row>
    <row r="4620" spans="1:9" x14ac:dyDescent="0.35">
      <c r="A4620" t="s">
        <v>230</v>
      </c>
      <c r="B4620" t="s">
        <v>245</v>
      </c>
      <c r="C4620" s="26">
        <v>0.96330000000000005</v>
      </c>
      <c r="D4620" s="26">
        <v>3.56E-2</v>
      </c>
      <c r="E4620" s="26">
        <v>1.1000000000000001E-3</v>
      </c>
      <c r="I4620">
        <v>161</v>
      </c>
    </row>
    <row r="4621" spans="1:9" x14ac:dyDescent="0.35">
      <c r="A4621" s="27" t="s">
        <v>230</v>
      </c>
      <c r="B4621" s="27" t="s">
        <v>246</v>
      </c>
      <c r="C4621" s="28">
        <v>0.98129999999999995</v>
      </c>
      <c r="D4621" s="29"/>
      <c r="E4621" s="28">
        <v>1.8700000000000001E-2</v>
      </c>
      <c r="F4621" s="29"/>
      <c r="G4621" s="29"/>
      <c r="H4621" s="29"/>
      <c r="I4621" s="29" t="s">
        <v>329</v>
      </c>
    </row>
    <row r="4622" spans="1:9" x14ac:dyDescent="0.35">
      <c r="A4622" t="s">
        <v>231</v>
      </c>
      <c r="B4622" t="s">
        <v>244</v>
      </c>
      <c r="C4622" s="26">
        <v>0.93679999999999997</v>
      </c>
      <c r="D4622" s="26">
        <v>4.2099999999999999E-2</v>
      </c>
      <c r="E4622" s="26">
        <v>2.1100000000000001E-2</v>
      </c>
      <c r="I4622">
        <v>95</v>
      </c>
    </row>
    <row r="4623" spans="1:9" x14ac:dyDescent="0.35">
      <c r="A4623" t="s">
        <v>231</v>
      </c>
      <c r="B4623" t="s">
        <v>245</v>
      </c>
      <c r="C4623" s="26">
        <v>0.92859999999999998</v>
      </c>
      <c r="D4623" s="26">
        <v>7.1400000000000005E-2</v>
      </c>
      <c r="I4623">
        <v>56</v>
      </c>
    </row>
    <row r="4624" spans="1:9" x14ac:dyDescent="0.35">
      <c r="A4624" s="27" t="s">
        <v>231</v>
      </c>
      <c r="B4624" s="27" t="s">
        <v>246</v>
      </c>
      <c r="C4624" s="28">
        <v>0.92310000000000003</v>
      </c>
      <c r="D4624" s="29"/>
      <c r="E4624" s="28">
        <v>7.6899999999999996E-2</v>
      </c>
      <c r="F4624" s="29"/>
      <c r="G4624" s="29"/>
      <c r="H4624" s="29"/>
      <c r="I4624" s="29" t="s">
        <v>341</v>
      </c>
    </row>
    <row r="4625" spans="1:9" x14ac:dyDescent="0.35">
      <c r="A4625" t="s">
        <v>232</v>
      </c>
      <c r="B4625" t="s">
        <v>232</v>
      </c>
      <c r="C4625" s="26">
        <v>0.92259999999999998</v>
      </c>
      <c r="D4625" s="26">
        <v>5.8299999999999998E-2</v>
      </c>
      <c r="E4625" s="26">
        <v>1.6799999999999999E-2</v>
      </c>
      <c r="F4625" s="26">
        <v>1.6000000000000001E-3</v>
      </c>
      <c r="G4625" s="26">
        <v>5.9999999999999995E-4</v>
      </c>
      <c r="H4625" s="26">
        <v>1E-4</v>
      </c>
      <c r="I4625">
        <v>2813</v>
      </c>
    </row>
    <row r="4627" spans="1:9" x14ac:dyDescent="0.35">
      <c r="A4627" s="1" t="s">
        <v>700</v>
      </c>
    </row>
    <row r="4628" spans="1:9" x14ac:dyDescent="0.35">
      <c r="A4628" t="s">
        <v>219</v>
      </c>
      <c r="B4628" t="s">
        <v>305</v>
      </c>
      <c r="C4628" t="s">
        <v>681</v>
      </c>
      <c r="D4628" t="s">
        <v>682</v>
      </c>
      <c r="E4628" t="s">
        <v>683</v>
      </c>
      <c r="F4628" t="s">
        <v>684</v>
      </c>
      <c r="G4628" t="s">
        <v>281</v>
      </c>
      <c r="H4628" t="s">
        <v>286</v>
      </c>
      <c r="I4628" t="s">
        <v>226</v>
      </c>
    </row>
    <row r="4629" spans="1:9" x14ac:dyDescent="0.35">
      <c r="A4629" t="s">
        <v>227</v>
      </c>
      <c r="B4629" t="s">
        <v>360</v>
      </c>
      <c r="C4629" s="26">
        <v>0.87180000000000002</v>
      </c>
      <c r="D4629" s="26">
        <v>0.1026</v>
      </c>
      <c r="E4629" s="26">
        <v>2.5600000000000001E-2</v>
      </c>
      <c r="I4629">
        <v>39</v>
      </c>
    </row>
    <row r="4630" spans="1:9" x14ac:dyDescent="0.35">
      <c r="A4630" t="s">
        <v>227</v>
      </c>
      <c r="B4630" t="s">
        <v>361</v>
      </c>
      <c r="C4630" s="26">
        <v>0.96879999999999999</v>
      </c>
      <c r="D4630" s="26">
        <v>3.1199999999999999E-2</v>
      </c>
      <c r="I4630">
        <v>32</v>
      </c>
    </row>
    <row r="4631" spans="1:9" x14ac:dyDescent="0.35">
      <c r="A4631" t="s">
        <v>227</v>
      </c>
      <c r="B4631" t="s">
        <v>362</v>
      </c>
      <c r="C4631" s="26">
        <v>0.91890000000000005</v>
      </c>
      <c r="D4631" s="26">
        <v>5.4100000000000002E-2</v>
      </c>
      <c r="E4631" s="26">
        <v>2.7E-2</v>
      </c>
      <c r="I4631">
        <v>37</v>
      </c>
    </row>
    <row r="4632" spans="1:9" x14ac:dyDescent="0.35">
      <c r="A4632" t="s">
        <v>227</v>
      </c>
      <c r="B4632" t="s">
        <v>363</v>
      </c>
      <c r="C4632" s="26">
        <v>0.88890000000000002</v>
      </c>
      <c r="D4632" s="26">
        <v>6.6699999999999995E-2</v>
      </c>
      <c r="E4632" s="26">
        <v>2.2200000000000001E-2</v>
      </c>
      <c r="F4632" s="26">
        <v>2.2200000000000001E-2</v>
      </c>
      <c r="I4632">
        <v>45</v>
      </c>
    </row>
    <row r="4633" spans="1:9" x14ac:dyDescent="0.35">
      <c r="A4633" t="s">
        <v>228</v>
      </c>
      <c r="B4633" t="s">
        <v>360</v>
      </c>
      <c r="C4633" s="26">
        <v>0.82779999999999998</v>
      </c>
      <c r="D4633" s="26">
        <v>0.12330000000000001</v>
      </c>
      <c r="E4633" s="26">
        <v>2.3900000000000001E-2</v>
      </c>
      <c r="F4633" s="26">
        <v>1.6799999999999999E-2</v>
      </c>
      <c r="G4633" s="26">
        <v>6.1000000000000004E-3</v>
      </c>
      <c r="H4633" s="26">
        <v>2.0999999999999999E-3</v>
      </c>
      <c r="I4633">
        <v>258</v>
      </c>
    </row>
    <row r="4634" spans="1:9" x14ac:dyDescent="0.35">
      <c r="A4634" t="s">
        <v>228</v>
      </c>
      <c r="B4634" t="s">
        <v>361</v>
      </c>
      <c r="C4634" s="26">
        <v>0.96579999999999999</v>
      </c>
      <c r="D4634" s="26">
        <v>2.58E-2</v>
      </c>
      <c r="E4634" s="26">
        <v>4.0000000000000001E-3</v>
      </c>
      <c r="G4634" s="26">
        <v>4.4999999999999997E-3</v>
      </c>
      <c r="I4634">
        <v>194</v>
      </c>
    </row>
    <row r="4635" spans="1:9" x14ac:dyDescent="0.35">
      <c r="A4635" t="s">
        <v>228</v>
      </c>
      <c r="B4635" t="s">
        <v>363</v>
      </c>
      <c r="C4635" s="26">
        <v>0.90820000000000001</v>
      </c>
      <c r="D4635" s="26">
        <v>8.7400000000000005E-2</v>
      </c>
      <c r="E4635" s="26">
        <v>4.3E-3</v>
      </c>
      <c r="I4635">
        <v>212</v>
      </c>
    </row>
    <row r="4636" spans="1:9" x14ac:dyDescent="0.35">
      <c r="A4636" t="s">
        <v>228</v>
      </c>
      <c r="B4636" t="s">
        <v>362</v>
      </c>
      <c r="C4636" s="26">
        <v>0.90590000000000004</v>
      </c>
      <c r="D4636" s="26">
        <v>5.2299999999999999E-2</v>
      </c>
      <c r="E4636" s="26">
        <v>4.0800000000000003E-2</v>
      </c>
      <c r="G4636" s="26">
        <v>1E-3</v>
      </c>
      <c r="I4636">
        <v>236</v>
      </c>
    </row>
    <row r="4637" spans="1:9" x14ac:dyDescent="0.35">
      <c r="A4637" t="s">
        <v>229</v>
      </c>
      <c r="B4637" t="s">
        <v>363</v>
      </c>
      <c r="C4637" s="26">
        <v>0.91839999999999999</v>
      </c>
      <c r="D4637" s="26">
        <v>8.1100000000000005E-2</v>
      </c>
      <c r="E4637" s="26">
        <v>5.0000000000000001E-4</v>
      </c>
      <c r="I4637">
        <v>191</v>
      </c>
    </row>
    <row r="4638" spans="1:9" x14ac:dyDescent="0.35">
      <c r="A4638" t="s">
        <v>229</v>
      </c>
      <c r="B4638" t="s">
        <v>360</v>
      </c>
      <c r="C4638" s="26">
        <v>0.92749999999999999</v>
      </c>
      <c r="D4638" s="26">
        <v>3.4099999999999998E-2</v>
      </c>
      <c r="E4638" s="26">
        <v>3.78E-2</v>
      </c>
      <c r="G4638" s="26">
        <v>5.9999999999999995E-4</v>
      </c>
      <c r="I4638">
        <v>164</v>
      </c>
    </row>
    <row r="4639" spans="1:9" x14ac:dyDescent="0.35">
      <c r="A4639" t="s">
        <v>229</v>
      </c>
      <c r="B4639" t="s">
        <v>361</v>
      </c>
      <c r="C4639" s="26">
        <v>0.94489999999999996</v>
      </c>
      <c r="D4639" s="26">
        <v>4.8599999999999997E-2</v>
      </c>
      <c r="E4639" s="26">
        <v>6.6E-3</v>
      </c>
      <c r="I4639">
        <v>243</v>
      </c>
    </row>
    <row r="4640" spans="1:9" x14ac:dyDescent="0.35">
      <c r="A4640" t="s">
        <v>229</v>
      </c>
      <c r="B4640" t="s">
        <v>362</v>
      </c>
      <c r="C4640" s="26">
        <v>0.89039999999999997</v>
      </c>
      <c r="D4640" s="26">
        <v>8.3199999999999996E-2</v>
      </c>
      <c r="E4640" s="26">
        <v>2.63E-2</v>
      </c>
      <c r="I4640">
        <v>171</v>
      </c>
    </row>
    <row r="4641" spans="1:9" x14ac:dyDescent="0.35">
      <c r="A4641" t="s">
        <v>230</v>
      </c>
      <c r="B4641" t="s">
        <v>360</v>
      </c>
      <c r="C4641" s="26">
        <v>0.89190000000000003</v>
      </c>
      <c r="D4641" s="26">
        <v>6.6699999999999995E-2</v>
      </c>
      <c r="E4641" s="26">
        <v>3.9899999999999998E-2</v>
      </c>
      <c r="F4641" s="26">
        <v>1.5E-3</v>
      </c>
      <c r="I4641">
        <v>120</v>
      </c>
    </row>
    <row r="4642" spans="1:9" x14ac:dyDescent="0.35">
      <c r="A4642" t="s">
        <v>230</v>
      </c>
      <c r="B4642" t="s">
        <v>363</v>
      </c>
      <c r="C4642" s="26">
        <v>0.90180000000000005</v>
      </c>
      <c r="D4642" s="26">
        <v>9.1999999999999998E-2</v>
      </c>
      <c r="E4642" s="26">
        <v>5.0000000000000001E-3</v>
      </c>
      <c r="F4642" s="26">
        <v>1.1999999999999999E-3</v>
      </c>
      <c r="I4642">
        <v>127</v>
      </c>
    </row>
    <row r="4643" spans="1:9" x14ac:dyDescent="0.35">
      <c r="A4643" t="s">
        <v>230</v>
      </c>
      <c r="B4643" t="s">
        <v>361</v>
      </c>
      <c r="C4643" s="26">
        <v>1</v>
      </c>
      <c r="I4643">
        <v>109</v>
      </c>
    </row>
    <row r="4644" spans="1:9" x14ac:dyDescent="0.35">
      <c r="A4644" t="s">
        <v>230</v>
      </c>
      <c r="B4644" t="s">
        <v>362</v>
      </c>
      <c r="C4644" s="26">
        <v>0.94340000000000002</v>
      </c>
      <c r="D4644" s="26">
        <v>4.7199999999999999E-2</v>
      </c>
      <c r="E4644" s="26">
        <v>9.4000000000000004E-3</v>
      </c>
      <c r="I4644">
        <v>148</v>
      </c>
    </row>
    <row r="4645" spans="1:9" x14ac:dyDescent="0.35">
      <c r="A4645" s="27" t="s">
        <v>231</v>
      </c>
      <c r="B4645" s="27" t="s">
        <v>362</v>
      </c>
      <c r="C4645" s="28">
        <v>0.93100000000000005</v>
      </c>
      <c r="D4645" s="28">
        <v>6.9000000000000006E-2</v>
      </c>
      <c r="E4645" s="29"/>
      <c r="F4645" s="29"/>
      <c r="G4645" s="29"/>
      <c r="H4645" s="29"/>
      <c r="I4645" s="29" t="s">
        <v>329</v>
      </c>
    </row>
    <row r="4646" spans="1:9" x14ac:dyDescent="0.35">
      <c r="A4646" t="s">
        <v>231</v>
      </c>
      <c r="B4646" t="s">
        <v>361</v>
      </c>
      <c r="C4646" s="26">
        <v>0.96</v>
      </c>
      <c r="D4646" s="26">
        <v>0.02</v>
      </c>
      <c r="E4646" s="26">
        <v>0.02</v>
      </c>
      <c r="I4646">
        <v>50</v>
      </c>
    </row>
    <row r="4647" spans="1:9" x14ac:dyDescent="0.35">
      <c r="A4647" t="s">
        <v>231</v>
      </c>
      <c r="B4647" t="s">
        <v>360</v>
      </c>
      <c r="C4647" s="26">
        <v>0.90910000000000002</v>
      </c>
      <c r="D4647" s="26">
        <v>6.8199999999999997E-2</v>
      </c>
      <c r="E4647" s="26">
        <v>2.2700000000000001E-2</v>
      </c>
      <c r="I4647">
        <v>44</v>
      </c>
    </row>
    <row r="4648" spans="1:9" x14ac:dyDescent="0.35">
      <c r="A4648" s="27" t="s">
        <v>231</v>
      </c>
      <c r="B4648" s="27" t="s">
        <v>363</v>
      </c>
      <c r="C4648" s="28">
        <v>0.92589999999999995</v>
      </c>
      <c r="D4648" s="28">
        <v>3.6999999999999998E-2</v>
      </c>
      <c r="E4648" s="28">
        <v>3.6999999999999998E-2</v>
      </c>
      <c r="F4648" s="29"/>
      <c r="G4648" s="29"/>
      <c r="H4648" s="29"/>
      <c r="I4648" s="29" t="s">
        <v>338</v>
      </c>
    </row>
    <row r="4649" spans="1:9" x14ac:dyDescent="0.35">
      <c r="A4649" t="s">
        <v>232</v>
      </c>
      <c r="B4649" t="s">
        <v>232</v>
      </c>
      <c r="C4649" s="26">
        <v>0.92259999999999998</v>
      </c>
      <c r="D4649" s="26">
        <v>5.8299999999999998E-2</v>
      </c>
      <c r="E4649" s="26">
        <v>1.6799999999999999E-2</v>
      </c>
      <c r="F4649" s="26">
        <v>1.6000000000000001E-3</v>
      </c>
      <c r="G4649" s="26">
        <v>5.9999999999999995E-4</v>
      </c>
      <c r="H4649" s="26">
        <v>1E-4</v>
      </c>
      <c r="I4649">
        <v>2476</v>
      </c>
    </row>
    <row r="4651" spans="1:9" x14ac:dyDescent="0.35">
      <c r="A4651" s="1" t="s">
        <v>701</v>
      </c>
    </row>
    <row r="4652" spans="1:9" x14ac:dyDescent="0.35">
      <c r="A4652" t="s">
        <v>219</v>
      </c>
      <c r="B4652" t="s">
        <v>305</v>
      </c>
      <c r="C4652" t="s">
        <v>681</v>
      </c>
      <c r="D4652" t="s">
        <v>682</v>
      </c>
      <c r="E4652" t="s">
        <v>683</v>
      </c>
      <c r="F4652" t="s">
        <v>684</v>
      </c>
      <c r="G4652" t="s">
        <v>281</v>
      </c>
      <c r="H4652" t="s">
        <v>286</v>
      </c>
      <c r="I4652" t="s">
        <v>226</v>
      </c>
    </row>
    <row r="4653" spans="1:9" x14ac:dyDescent="0.35">
      <c r="A4653" t="s">
        <v>227</v>
      </c>
      <c r="B4653" t="s">
        <v>267</v>
      </c>
      <c r="C4653" s="26">
        <v>0.86109999999999998</v>
      </c>
      <c r="D4653" s="26">
        <v>0.1389</v>
      </c>
      <c r="I4653">
        <v>36</v>
      </c>
    </row>
    <row r="4654" spans="1:9" x14ac:dyDescent="0.35">
      <c r="A4654" t="s">
        <v>227</v>
      </c>
      <c r="B4654" t="s">
        <v>266</v>
      </c>
      <c r="C4654" s="26">
        <v>0.89829999999999999</v>
      </c>
      <c r="D4654" s="26">
        <v>5.0799999999999998E-2</v>
      </c>
      <c r="E4654" s="26">
        <v>5.0799999999999998E-2</v>
      </c>
      <c r="I4654">
        <v>59</v>
      </c>
    </row>
    <row r="4655" spans="1:9" x14ac:dyDescent="0.35">
      <c r="A4655" t="s">
        <v>227</v>
      </c>
      <c r="B4655" t="s">
        <v>265</v>
      </c>
      <c r="C4655" s="26">
        <v>0.92420000000000002</v>
      </c>
      <c r="D4655" s="26">
        <v>4.5499999999999999E-2</v>
      </c>
      <c r="E4655" s="26">
        <v>1.52E-2</v>
      </c>
      <c r="F4655" s="26">
        <v>1.52E-2</v>
      </c>
      <c r="I4655">
        <v>66</v>
      </c>
    </row>
    <row r="4656" spans="1:9" x14ac:dyDescent="0.35">
      <c r="A4656" t="s">
        <v>228</v>
      </c>
      <c r="B4656" t="s">
        <v>267</v>
      </c>
      <c r="C4656" s="26">
        <v>0.92659999999999998</v>
      </c>
      <c r="D4656" s="26">
        <v>4.3400000000000001E-2</v>
      </c>
      <c r="E4656" s="26">
        <v>0.03</v>
      </c>
      <c r="I4656">
        <v>199</v>
      </c>
    </row>
    <row r="4657" spans="1:9" x14ac:dyDescent="0.35">
      <c r="A4657" t="s">
        <v>228</v>
      </c>
      <c r="B4657" t="s">
        <v>265</v>
      </c>
      <c r="C4657" s="26">
        <v>0.91820000000000002</v>
      </c>
      <c r="D4657" s="26">
        <v>6.5799999999999997E-2</v>
      </c>
      <c r="E4657" s="26">
        <v>1.11E-2</v>
      </c>
      <c r="G4657" s="26">
        <v>3.8999999999999998E-3</v>
      </c>
      <c r="H4657" s="26">
        <v>1E-3</v>
      </c>
      <c r="I4657">
        <v>384</v>
      </c>
    </row>
    <row r="4658" spans="1:9" x14ac:dyDescent="0.35">
      <c r="A4658" s="27" t="s">
        <v>228</v>
      </c>
      <c r="B4658" s="27" t="s">
        <v>236</v>
      </c>
      <c r="C4658" s="28">
        <v>1</v>
      </c>
      <c r="D4658" s="29"/>
      <c r="E4658" s="29"/>
      <c r="F4658" s="29"/>
      <c r="G4658" s="29"/>
      <c r="H4658" s="29"/>
      <c r="I4658" s="29" t="s">
        <v>314</v>
      </c>
    </row>
    <row r="4659" spans="1:9" x14ac:dyDescent="0.35">
      <c r="A4659" t="s">
        <v>228</v>
      </c>
      <c r="B4659" t="s">
        <v>266</v>
      </c>
      <c r="C4659" s="26">
        <v>0.87819999999999998</v>
      </c>
      <c r="D4659" s="26">
        <v>9.2299999999999993E-2</v>
      </c>
      <c r="E4659" s="26">
        <v>1.9199999999999998E-2</v>
      </c>
      <c r="F4659" s="26">
        <v>8.0999999999999996E-3</v>
      </c>
      <c r="G4659" s="26">
        <v>2.2000000000000001E-3</v>
      </c>
      <c r="I4659">
        <v>448</v>
      </c>
    </row>
    <row r="4660" spans="1:9" x14ac:dyDescent="0.35">
      <c r="A4660" t="s">
        <v>229</v>
      </c>
      <c r="B4660" t="s">
        <v>266</v>
      </c>
      <c r="C4660" s="26">
        <v>0.92730000000000001</v>
      </c>
      <c r="D4660" s="26">
        <v>4.3499999999999997E-2</v>
      </c>
      <c r="E4660" s="26">
        <v>2.92E-2</v>
      </c>
      <c r="I4660">
        <v>359</v>
      </c>
    </row>
    <row r="4661" spans="1:9" x14ac:dyDescent="0.35">
      <c r="A4661" t="s">
        <v>229</v>
      </c>
      <c r="B4661" t="s">
        <v>267</v>
      </c>
      <c r="C4661" s="26">
        <v>0.90859999999999996</v>
      </c>
      <c r="D4661" s="26">
        <v>8.0100000000000005E-2</v>
      </c>
      <c r="E4661" s="26">
        <v>1.1299999999999999E-2</v>
      </c>
      <c r="I4661">
        <v>201</v>
      </c>
    </row>
    <row r="4662" spans="1:9" x14ac:dyDescent="0.35">
      <c r="A4662" t="s">
        <v>229</v>
      </c>
      <c r="B4662" t="s">
        <v>265</v>
      </c>
      <c r="C4662" s="26">
        <v>0.94450000000000001</v>
      </c>
      <c r="D4662" s="26">
        <v>5.3400000000000003E-2</v>
      </c>
      <c r="E4662" s="26">
        <v>1.2999999999999999E-3</v>
      </c>
      <c r="G4662" s="26">
        <v>8.0000000000000004E-4</v>
      </c>
      <c r="I4662">
        <v>335</v>
      </c>
    </row>
    <row r="4663" spans="1:9" x14ac:dyDescent="0.35">
      <c r="A4663" t="s">
        <v>230</v>
      </c>
      <c r="B4663" t="s">
        <v>267</v>
      </c>
      <c r="C4663" s="26">
        <v>0.94720000000000004</v>
      </c>
      <c r="D4663" s="26">
        <v>4.4499999999999998E-2</v>
      </c>
      <c r="E4663" s="26">
        <v>8.3000000000000001E-3</v>
      </c>
      <c r="I4663">
        <v>119</v>
      </c>
    </row>
    <row r="4664" spans="1:9" x14ac:dyDescent="0.35">
      <c r="A4664" t="s">
        <v>230</v>
      </c>
      <c r="B4664" t="s">
        <v>266</v>
      </c>
      <c r="C4664" s="26">
        <v>0.93759999999999999</v>
      </c>
      <c r="D4664" s="26">
        <v>5.3600000000000002E-2</v>
      </c>
      <c r="E4664" s="26">
        <v>7.1999999999999998E-3</v>
      </c>
      <c r="F4664" s="26">
        <v>1.5E-3</v>
      </c>
      <c r="I4664">
        <v>232</v>
      </c>
    </row>
    <row r="4665" spans="1:9" x14ac:dyDescent="0.35">
      <c r="A4665" t="s">
        <v>230</v>
      </c>
      <c r="B4665" t="s">
        <v>265</v>
      </c>
      <c r="C4665" s="26">
        <v>0.94040000000000001</v>
      </c>
      <c r="D4665" s="26">
        <v>4.3900000000000002E-2</v>
      </c>
      <c r="E4665" s="26">
        <v>1.5699999999999999E-2</v>
      </c>
      <c r="I4665">
        <v>209</v>
      </c>
    </row>
    <row r="4666" spans="1:9" x14ac:dyDescent="0.35">
      <c r="A4666" t="s">
        <v>231</v>
      </c>
      <c r="B4666" t="s">
        <v>267</v>
      </c>
      <c r="C4666" s="26">
        <v>0.94120000000000004</v>
      </c>
      <c r="D4666" s="26">
        <v>2.9399999999999999E-2</v>
      </c>
      <c r="E4666" s="26">
        <v>2.9399999999999999E-2</v>
      </c>
      <c r="I4666">
        <v>34</v>
      </c>
    </row>
    <row r="4667" spans="1:9" x14ac:dyDescent="0.35">
      <c r="A4667" t="s">
        <v>231</v>
      </c>
      <c r="B4667" t="s">
        <v>266</v>
      </c>
      <c r="C4667" s="26">
        <v>0.9194</v>
      </c>
      <c r="D4667" s="26">
        <v>8.0600000000000005E-2</v>
      </c>
      <c r="I4667">
        <v>62</v>
      </c>
    </row>
    <row r="4668" spans="1:9" x14ac:dyDescent="0.35">
      <c r="A4668" t="s">
        <v>231</v>
      </c>
      <c r="B4668" t="s">
        <v>265</v>
      </c>
      <c r="C4668" s="26">
        <v>0.94120000000000004</v>
      </c>
      <c r="D4668" s="26">
        <v>2.9399999999999999E-2</v>
      </c>
      <c r="E4668" s="26">
        <v>2.9399999999999999E-2</v>
      </c>
      <c r="I4668">
        <v>68</v>
      </c>
    </row>
    <row r="4669" spans="1:9" x14ac:dyDescent="0.35">
      <c r="A4669" t="s">
        <v>232</v>
      </c>
      <c r="B4669" t="s">
        <v>232</v>
      </c>
      <c r="C4669" s="26">
        <v>0.92259999999999998</v>
      </c>
      <c r="D4669" s="26">
        <v>5.8299999999999998E-2</v>
      </c>
      <c r="E4669" s="26">
        <v>1.6799999999999999E-2</v>
      </c>
      <c r="F4669" s="26">
        <v>1.6000000000000001E-3</v>
      </c>
      <c r="G4669" s="26">
        <v>5.9999999999999995E-4</v>
      </c>
      <c r="H4669" s="26">
        <v>1E-4</v>
      </c>
      <c r="I4669">
        <v>2813</v>
      </c>
    </row>
    <row r="4671" spans="1:9" x14ac:dyDescent="0.35">
      <c r="A4671" s="1" t="s">
        <v>702</v>
      </c>
    </row>
    <row r="4672" spans="1:9" x14ac:dyDescent="0.35">
      <c r="A4672" t="s">
        <v>219</v>
      </c>
      <c r="B4672" t="s">
        <v>305</v>
      </c>
      <c r="C4672" t="s">
        <v>681</v>
      </c>
      <c r="D4672" t="s">
        <v>682</v>
      </c>
      <c r="E4672" t="s">
        <v>683</v>
      </c>
      <c r="F4672" t="s">
        <v>684</v>
      </c>
      <c r="G4672" t="s">
        <v>281</v>
      </c>
      <c r="H4672" t="s">
        <v>286</v>
      </c>
      <c r="I4672" t="s">
        <v>226</v>
      </c>
    </row>
    <row r="4673" spans="1:9" x14ac:dyDescent="0.35">
      <c r="A4673" t="s">
        <v>227</v>
      </c>
      <c r="B4673" t="s">
        <v>252</v>
      </c>
      <c r="C4673" s="26">
        <v>0.88890000000000002</v>
      </c>
      <c r="D4673" s="26">
        <v>8.8900000000000007E-2</v>
      </c>
      <c r="E4673" s="26">
        <v>2.2200000000000001E-2</v>
      </c>
      <c r="I4673">
        <v>45</v>
      </c>
    </row>
    <row r="4674" spans="1:9" x14ac:dyDescent="0.35">
      <c r="A4674" t="s">
        <v>227</v>
      </c>
      <c r="B4674" t="s">
        <v>253</v>
      </c>
      <c r="C4674" s="26">
        <v>0.79410000000000003</v>
      </c>
      <c r="D4674" s="26">
        <v>0.1176</v>
      </c>
      <c r="E4674" s="26">
        <v>5.8799999999999998E-2</v>
      </c>
      <c r="F4674" s="26">
        <v>2.9399999999999999E-2</v>
      </c>
      <c r="I4674">
        <v>34</v>
      </c>
    </row>
    <row r="4675" spans="1:9" x14ac:dyDescent="0.35">
      <c r="A4675" t="s">
        <v>227</v>
      </c>
      <c r="B4675" t="s">
        <v>251</v>
      </c>
      <c r="C4675" s="26">
        <v>0.95120000000000005</v>
      </c>
      <c r="D4675" s="26">
        <v>3.6600000000000001E-2</v>
      </c>
      <c r="E4675" s="26">
        <v>1.2200000000000001E-2</v>
      </c>
      <c r="I4675">
        <v>82</v>
      </c>
    </row>
    <row r="4676" spans="1:9" x14ac:dyDescent="0.35">
      <c r="A4676" t="s">
        <v>228</v>
      </c>
      <c r="B4676" t="s">
        <v>252</v>
      </c>
      <c r="C4676" s="26">
        <v>0.8498</v>
      </c>
      <c r="D4676" s="26">
        <v>0.1051</v>
      </c>
      <c r="E4676" s="26">
        <v>3.9300000000000002E-2</v>
      </c>
      <c r="G4676" s="26">
        <v>4.4999999999999997E-3</v>
      </c>
      <c r="H4676" s="26">
        <v>1.2999999999999999E-3</v>
      </c>
      <c r="I4676">
        <v>344</v>
      </c>
    </row>
    <row r="4677" spans="1:9" x14ac:dyDescent="0.35">
      <c r="A4677" t="s">
        <v>228</v>
      </c>
      <c r="B4677" t="s">
        <v>253</v>
      </c>
      <c r="C4677" s="26">
        <v>0.87119999999999997</v>
      </c>
      <c r="D4677" s="26">
        <v>8.6900000000000005E-2</v>
      </c>
      <c r="E4677" s="26">
        <v>2.0400000000000001E-2</v>
      </c>
      <c r="F4677" s="26">
        <v>1.6199999999999999E-2</v>
      </c>
      <c r="G4677" s="26">
        <v>5.1999999999999998E-3</v>
      </c>
      <c r="I4677">
        <v>222</v>
      </c>
    </row>
    <row r="4678" spans="1:9" x14ac:dyDescent="0.35">
      <c r="A4678" t="s">
        <v>228</v>
      </c>
      <c r="B4678" t="s">
        <v>251</v>
      </c>
      <c r="C4678" s="26">
        <v>0.95409999999999995</v>
      </c>
      <c r="D4678" s="26">
        <v>4.4200000000000003E-2</v>
      </c>
      <c r="E4678" s="26">
        <v>1.6999999999999999E-3</v>
      </c>
      <c r="I4678">
        <v>467</v>
      </c>
    </row>
    <row r="4679" spans="1:9" x14ac:dyDescent="0.35">
      <c r="A4679" t="s">
        <v>229</v>
      </c>
      <c r="B4679" t="s">
        <v>252</v>
      </c>
      <c r="C4679" s="26">
        <v>0.89090000000000003</v>
      </c>
      <c r="D4679" s="26">
        <v>9.0800000000000006E-2</v>
      </c>
      <c r="E4679" s="26">
        <v>1.8200000000000001E-2</v>
      </c>
      <c r="I4679">
        <v>199</v>
      </c>
    </row>
    <row r="4680" spans="1:9" x14ac:dyDescent="0.35">
      <c r="A4680" t="s">
        <v>229</v>
      </c>
      <c r="B4680" t="s">
        <v>253</v>
      </c>
      <c r="C4680" s="26">
        <v>0.90669999999999995</v>
      </c>
      <c r="D4680" s="26">
        <v>4.7300000000000002E-2</v>
      </c>
      <c r="E4680" s="26">
        <v>4.4600000000000001E-2</v>
      </c>
      <c r="G4680" s="26">
        <v>1.4E-3</v>
      </c>
      <c r="I4680">
        <v>145</v>
      </c>
    </row>
    <row r="4681" spans="1:9" x14ac:dyDescent="0.35">
      <c r="A4681" t="s">
        <v>229</v>
      </c>
      <c r="B4681" t="s">
        <v>251</v>
      </c>
      <c r="C4681" s="26">
        <v>0.95389999999999997</v>
      </c>
      <c r="D4681" s="26">
        <v>4.5600000000000002E-2</v>
      </c>
      <c r="E4681" s="26">
        <v>2.9999999999999997E-4</v>
      </c>
      <c r="G4681" s="26">
        <v>2.0000000000000001E-4</v>
      </c>
      <c r="I4681">
        <v>551</v>
      </c>
    </row>
    <row r="4682" spans="1:9" x14ac:dyDescent="0.35">
      <c r="A4682" t="s">
        <v>230</v>
      </c>
      <c r="B4682" t="s">
        <v>252</v>
      </c>
      <c r="C4682" s="26">
        <v>0.87670000000000003</v>
      </c>
      <c r="D4682" s="26">
        <v>0.1187</v>
      </c>
      <c r="E4682" s="26">
        <v>4.5999999999999999E-3</v>
      </c>
      <c r="I4682">
        <v>159</v>
      </c>
    </row>
    <row r="4683" spans="1:9" x14ac:dyDescent="0.35">
      <c r="A4683" t="s">
        <v>230</v>
      </c>
      <c r="B4683" t="s">
        <v>253</v>
      </c>
      <c r="C4683" s="26">
        <v>0.92200000000000004</v>
      </c>
      <c r="D4683" s="26">
        <v>6.4199999999999993E-2</v>
      </c>
      <c r="E4683" s="26">
        <v>1.24E-2</v>
      </c>
      <c r="F4683" s="26">
        <v>1.4E-3</v>
      </c>
      <c r="I4683">
        <v>110</v>
      </c>
    </row>
    <row r="4684" spans="1:9" x14ac:dyDescent="0.35">
      <c r="A4684" t="s">
        <v>230</v>
      </c>
      <c r="B4684" t="s">
        <v>251</v>
      </c>
      <c r="C4684" s="26">
        <v>0.97689999999999999</v>
      </c>
      <c r="D4684" s="26">
        <v>9.1000000000000004E-3</v>
      </c>
      <c r="E4684" s="26">
        <v>1.35E-2</v>
      </c>
      <c r="F4684" s="26">
        <v>5.0000000000000001E-4</v>
      </c>
      <c r="I4684">
        <v>291</v>
      </c>
    </row>
    <row r="4685" spans="1:9" x14ac:dyDescent="0.35">
      <c r="A4685" t="s">
        <v>231</v>
      </c>
      <c r="B4685" t="s">
        <v>252</v>
      </c>
      <c r="C4685" s="26">
        <v>0.87760000000000005</v>
      </c>
      <c r="D4685" s="26">
        <v>0.10199999999999999</v>
      </c>
      <c r="E4685" s="26">
        <v>2.0400000000000001E-2</v>
      </c>
      <c r="I4685">
        <v>49</v>
      </c>
    </row>
    <row r="4686" spans="1:9" x14ac:dyDescent="0.35">
      <c r="A4686" t="s">
        <v>231</v>
      </c>
      <c r="B4686" t="s">
        <v>253</v>
      </c>
      <c r="C4686" s="26">
        <v>0.9</v>
      </c>
      <c r="D4686" s="26">
        <v>3.3300000000000003E-2</v>
      </c>
      <c r="E4686" s="26">
        <v>6.6699999999999995E-2</v>
      </c>
      <c r="I4686">
        <v>30</v>
      </c>
    </row>
    <row r="4687" spans="1:9" x14ac:dyDescent="0.35">
      <c r="A4687" t="s">
        <v>231</v>
      </c>
      <c r="B4687" t="s">
        <v>251</v>
      </c>
      <c r="C4687" s="26">
        <v>0.97650000000000003</v>
      </c>
      <c r="D4687" s="26">
        <v>2.35E-2</v>
      </c>
      <c r="I4687">
        <v>85</v>
      </c>
    </row>
    <row r="4688" spans="1:9" x14ac:dyDescent="0.35">
      <c r="A4688" t="s">
        <v>232</v>
      </c>
      <c r="B4688" t="s">
        <v>232</v>
      </c>
      <c r="C4688" s="26">
        <v>0.92259999999999998</v>
      </c>
      <c r="D4688" s="26">
        <v>5.8299999999999998E-2</v>
      </c>
      <c r="E4688" s="26">
        <v>1.6799999999999999E-2</v>
      </c>
      <c r="F4688" s="26">
        <v>1.6000000000000001E-3</v>
      </c>
      <c r="G4688" s="26">
        <v>5.9999999999999995E-4</v>
      </c>
      <c r="H4688" s="26">
        <v>1E-4</v>
      </c>
      <c r="I4688">
        <v>2813</v>
      </c>
    </row>
    <row r="4690" spans="1:9" x14ac:dyDescent="0.35">
      <c r="A4690" s="1" t="s">
        <v>703</v>
      </c>
    </row>
    <row r="4691" spans="1:9" x14ac:dyDescent="0.35">
      <c r="A4691" t="s">
        <v>219</v>
      </c>
      <c r="B4691" t="s">
        <v>305</v>
      </c>
      <c r="C4691" t="s">
        <v>681</v>
      </c>
      <c r="D4691" t="s">
        <v>682</v>
      </c>
      <c r="E4691" t="s">
        <v>683</v>
      </c>
      <c r="F4691" t="s">
        <v>684</v>
      </c>
      <c r="G4691" t="s">
        <v>281</v>
      </c>
      <c r="H4691" t="s">
        <v>286</v>
      </c>
      <c r="I4691" t="s">
        <v>226</v>
      </c>
    </row>
    <row r="4692" spans="1:9" x14ac:dyDescent="0.35">
      <c r="A4692" t="s">
        <v>227</v>
      </c>
      <c r="B4692" t="s">
        <v>249</v>
      </c>
      <c r="C4692" s="26">
        <v>0.95450000000000002</v>
      </c>
      <c r="D4692" s="26">
        <v>2.2700000000000001E-2</v>
      </c>
      <c r="E4692" s="26">
        <v>2.2700000000000001E-2</v>
      </c>
      <c r="I4692">
        <v>44</v>
      </c>
    </row>
    <row r="4693" spans="1:9" x14ac:dyDescent="0.35">
      <c r="A4693" t="s">
        <v>227</v>
      </c>
      <c r="B4693" t="s">
        <v>248</v>
      </c>
      <c r="C4693" s="26">
        <v>0.88029999999999997</v>
      </c>
      <c r="D4693" s="26">
        <v>8.5500000000000007E-2</v>
      </c>
      <c r="E4693" s="26">
        <v>2.5600000000000001E-2</v>
      </c>
      <c r="F4693" s="26">
        <v>8.5000000000000006E-3</v>
      </c>
      <c r="I4693">
        <v>117</v>
      </c>
    </row>
    <row r="4694" spans="1:9" x14ac:dyDescent="0.35">
      <c r="A4694" t="s">
        <v>228</v>
      </c>
      <c r="B4694" t="s">
        <v>249</v>
      </c>
      <c r="C4694" s="26">
        <v>0.94410000000000005</v>
      </c>
      <c r="D4694" s="26">
        <v>3.6299999999999999E-2</v>
      </c>
      <c r="E4694" s="26">
        <v>7.6E-3</v>
      </c>
      <c r="F4694" s="26">
        <v>1.11E-2</v>
      </c>
      <c r="G4694" s="26">
        <v>8.0000000000000004E-4</v>
      </c>
      <c r="I4694">
        <v>274</v>
      </c>
    </row>
    <row r="4695" spans="1:9" x14ac:dyDescent="0.35">
      <c r="A4695" t="s">
        <v>228</v>
      </c>
      <c r="B4695" t="s">
        <v>248</v>
      </c>
      <c r="C4695" s="26">
        <v>0.88649999999999995</v>
      </c>
      <c r="D4695" s="26">
        <v>8.7900000000000006E-2</v>
      </c>
      <c r="E4695" s="26">
        <v>2.18E-2</v>
      </c>
      <c r="G4695" s="26">
        <v>3.2000000000000002E-3</v>
      </c>
      <c r="H4695" s="26">
        <v>5.9999999999999995E-4</v>
      </c>
      <c r="I4695">
        <v>759</v>
      </c>
    </row>
    <row r="4696" spans="1:9" x14ac:dyDescent="0.35">
      <c r="A4696" t="s">
        <v>229</v>
      </c>
      <c r="B4696" t="s">
        <v>249</v>
      </c>
      <c r="C4696" s="26">
        <v>0.97709999999999997</v>
      </c>
      <c r="D4696" s="26">
        <v>2.0799999999999999E-2</v>
      </c>
      <c r="E4696" s="26">
        <v>1E-3</v>
      </c>
      <c r="G4696" s="26">
        <v>1.1000000000000001E-3</v>
      </c>
      <c r="I4696">
        <v>259</v>
      </c>
    </row>
    <row r="4697" spans="1:9" x14ac:dyDescent="0.35">
      <c r="A4697" t="s">
        <v>229</v>
      </c>
      <c r="B4697" t="s">
        <v>248</v>
      </c>
      <c r="C4697" s="26">
        <v>0.90820000000000001</v>
      </c>
      <c r="D4697" s="26">
        <v>7.3400000000000007E-2</v>
      </c>
      <c r="E4697" s="26">
        <v>1.84E-2</v>
      </c>
      <c r="I4697">
        <v>636</v>
      </c>
    </row>
    <row r="4698" spans="1:9" x14ac:dyDescent="0.35">
      <c r="A4698" t="s">
        <v>230</v>
      </c>
      <c r="B4698" t="s">
        <v>249</v>
      </c>
      <c r="C4698" s="26">
        <v>0.96360000000000001</v>
      </c>
      <c r="D4698" s="26">
        <v>1.4999999999999999E-2</v>
      </c>
      <c r="E4698" s="26">
        <v>2.1399999999999999E-2</v>
      </c>
      <c r="I4698">
        <v>171</v>
      </c>
    </row>
    <row r="4699" spans="1:9" x14ac:dyDescent="0.35">
      <c r="A4699" t="s">
        <v>230</v>
      </c>
      <c r="B4699" t="s">
        <v>248</v>
      </c>
      <c r="C4699" s="26">
        <v>0.92930000000000001</v>
      </c>
      <c r="D4699" s="26">
        <v>6.4100000000000004E-2</v>
      </c>
      <c r="E4699" s="26">
        <v>5.7000000000000002E-3</v>
      </c>
      <c r="F4699" s="26">
        <v>8.0000000000000004E-4</v>
      </c>
      <c r="I4699">
        <v>389</v>
      </c>
    </row>
    <row r="4700" spans="1:9" x14ac:dyDescent="0.35">
      <c r="A4700" t="s">
        <v>231</v>
      </c>
      <c r="B4700" t="s">
        <v>249</v>
      </c>
      <c r="C4700" s="26">
        <v>1</v>
      </c>
      <c r="I4700">
        <v>35</v>
      </c>
    </row>
    <row r="4701" spans="1:9" x14ac:dyDescent="0.35">
      <c r="A4701" t="s">
        <v>231</v>
      </c>
      <c r="B4701" t="s">
        <v>248</v>
      </c>
      <c r="C4701" s="26">
        <v>0.91469999999999996</v>
      </c>
      <c r="D4701" s="26">
        <v>6.2E-2</v>
      </c>
      <c r="E4701" s="26">
        <v>2.3300000000000001E-2</v>
      </c>
      <c r="I4701">
        <v>129</v>
      </c>
    </row>
    <row r="4702" spans="1:9" x14ac:dyDescent="0.35">
      <c r="A4702" t="s">
        <v>232</v>
      </c>
      <c r="B4702" t="s">
        <v>232</v>
      </c>
      <c r="C4702" s="26">
        <v>0.92259999999999998</v>
      </c>
      <c r="D4702" s="26">
        <v>5.8299999999999998E-2</v>
      </c>
      <c r="E4702" s="26">
        <v>1.6799999999999999E-2</v>
      </c>
      <c r="F4702" s="26">
        <v>1.6000000000000001E-3</v>
      </c>
      <c r="G4702" s="26">
        <v>5.9999999999999995E-4</v>
      </c>
      <c r="H4702" s="26">
        <v>1E-4</v>
      </c>
      <c r="I4702">
        <v>2813</v>
      </c>
    </row>
    <row r="4704" spans="1:9" x14ac:dyDescent="0.35">
      <c r="A4704" s="1" t="s">
        <v>704</v>
      </c>
    </row>
    <row r="4705" spans="1:9" x14ac:dyDescent="0.35">
      <c r="A4705" t="s">
        <v>219</v>
      </c>
      <c r="B4705" t="s">
        <v>305</v>
      </c>
      <c r="C4705" t="s">
        <v>681</v>
      </c>
      <c r="D4705" t="s">
        <v>682</v>
      </c>
      <c r="E4705" t="s">
        <v>683</v>
      </c>
      <c r="F4705" t="s">
        <v>684</v>
      </c>
      <c r="G4705" t="s">
        <v>281</v>
      </c>
      <c r="H4705" t="s">
        <v>286</v>
      </c>
      <c r="I4705" t="s">
        <v>226</v>
      </c>
    </row>
    <row r="4706" spans="1:9" x14ac:dyDescent="0.35">
      <c r="A4706" s="27" t="s">
        <v>227</v>
      </c>
      <c r="B4706" s="27" t="s">
        <v>263</v>
      </c>
      <c r="C4706" s="28">
        <v>1</v>
      </c>
      <c r="D4706" s="29"/>
      <c r="E4706" s="29"/>
      <c r="F4706" s="29"/>
      <c r="G4706" s="29"/>
      <c r="H4706" s="29"/>
      <c r="I4706" s="29" t="s">
        <v>315</v>
      </c>
    </row>
    <row r="4707" spans="1:9" x14ac:dyDescent="0.35">
      <c r="A4707" t="s">
        <v>227</v>
      </c>
      <c r="B4707" t="s">
        <v>261</v>
      </c>
      <c r="C4707" s="26">
        <v>0.93940000000000001</v>
      </c>
      <c r="D4707" s="26">
        <v>6.0600000000000001E-2</v>
      </c>
      <c r="I4707">
        <v>33</v>
      </c>
    </row>
    <row r="4708" spans="1:9" x14ac:dyDescent="0.35">
      <c r="A4708" s="27" t="s">
        <v>227</v>
      </c>
      <c r="B4708" s="27" t="s">
        <v>262</v>
      </c>
      <c r="C4708" s="28">
        <v>1</v>
      </c>
      <c r="D4708" s="29"/>
      <c r="E4708" s="29"/>
      <c r="F4708" s="29"/>
      <c r="G4708" s="29"/>
      <c r="H4708" s="29"/>
      <c r="I4708" s="29" t="s">
        <v>315</v>
      </c>
    </row>
    <row r="4709" spans="1:9" x14ac:dyDescent="0.35">
      <c r="A4709" t="s">
        <v>227</v>
      </c>
      <c r="B4709" t="s">
        <v>260</v>
      </c>
      <c r="C4709" s="26">
        <v>0.88519999999999999</v>
      </c>
      <c r="D4709" s="26">
        <v>7.3800000000000004E-2</v>
      </c>
      <c r="E4709" s="26">
        <v>3.2800000000000003E-2</v>
      </c>
      <c r="F4709" s="26">
        <v>8.2000000000000007E-3</v>
      </c>
      <c r="I4709">
        <v>122</v>
      </c>
    </row>
    <row r="4710" spans="1:9" x14ac:dyDescent="0.35">
      <c r="A4710" t="s">
        <v>228</v>
      </c>
      <c r="B4710" t="s">
        <v>261</v>
      </c>
      <c r="C4710" s="26">
        <v>0.89129999999999998</v>
      </c>
      <c r="D4710" s="26">
        <v>7.7299999999999994E-2</v>
      </c>
      <c r="E4710" s="26">
        <v>1.43E-2</v>
      </c>
      <c r="F4710" s="26">
        <v>1.7100000000000001E-2</v>
      </c>
      <c r="I4710">
        <v>192</v>
      </c>
    </row>
    <row r="4711" spans="1:9" x14ac:dyDescent="0.35">
      <c r="A4711" s="27" t="s">
        <v>228</v>
      </c>
      <c r="B4711" s="27" t="s">
        <v>263</v>
      </c>
      <c r="C4711" s="28">
        <v>0.81220000000000003</v>
      </c>
      <c r="D4711" s="28">
        <v>0.1082</v>
      </c>
      <c r="E4711" s="28">
        <v>3.5099999999999999E-2</v>
      </c>
      <c r="F4711" s="29"/>
      <c r="G4711" s="28">
        <v>4.4499999999999998E-2</v>
      </c>
      <c r="H4711" s="29"/>
      <c r="I4711" s="29" t="s">
        <v>312</v>
      </c>
    </row>
    <row r="4712" spans="1:9" x14ac:dyDescent="0.35">
      <c r="A4712" s="27" t="s">
        <v>228</v>
      </c>
      <c r="B4712" s="27" t="s">
        <v>236</v>
      </c>
      <c r="C4712" s="28">
        <v>0.46600000000000003</v>
      </c>
      <c r="D4712" s="28">
        <v>0.53400000000000003</v>
      </c>
      <c r="E4712" s="29"/>
      <c r="F4712" s="29"/>
      <c r="G4712" s="29"/>
      <c r="H4712" s="29"/>
      <c r="I4712" s="29" t="s">
        <v>335</v>
      </c>
    </row>
    <row r="4713" spans="1:9" x14ac:dyDescent="0.35">
      <c r="A4713" t="s">
        <v>228</v>
      </c>
      <c r="B4713" t="s">
        <v>262</v>
      </c>
      <c r="C4713" s="26">
        <v>0.96020000000000005</v>
      </c>
      <c r="D4713" s="26">
        <v>3.0300000000000001E-2</v>
      </c>
      <c r="E4713" s="26">
        <v>8.0000000000000002E-3</v>
      </c>
      <c r="G4713" s="26">
        <v>1.5E-3</v>
      </c>
      <c r="I4713">
        <v>201</v>
      </c>
    </row>
    <row r="4714" spans="1:9" x14ac:dyDescent="0.35">
      <c r="A4714" t="s">
        <v>228</v>
      </c>
      <c r="B4714" t="s">
        <v>260</v>
      </c>
      <c r="C4714" s="26">
        <v>0.89959999999999996</v>
      </c>
      <c r="D4714" s="26">
        <v>7.6499999999999999E-2</v>
      </c>
      <c r="E4714" s="26">
        <v>2.0799999999999999E-2</v>
      </c>
      <c r="G4714" s="26">
        <v>2.3999999999999998E-3</v>
      </c>
      <c r="H4714" s="26">
        <v>6.9999999999999999E-4</v>
      </c>
      <c r="I4714">
        <v>609</v>
      </c>
    </row>
    <row r="4715" spans="1:9" x14ac:dyDescent="0.35">
      <c r="A4715" s="27" t="s">
        <v>229</v>
      </c>
      <c r="B4715" s="27" t="s">
        <v>263</v>
      </c>
      <c r="C4715" s="28">
        <v>0.84430000000000005</v>
      </c>
      <c r="D4715" s="28">
        <v>0.15570000000000001</v>
      </c>
      <c r="E4715" s="29"/>
      <c r="F4715" s="29"/>
      <c r="G4715" s="29"/>
      <c r="H4715" s="29"/>
      <c r="I4715" s="29" t="s">
        <v>379</v>
      </c>
    </row>
    <row r="4716" spans="1:9" x14ac:dyDescent="0.35">
      <c r="A4716" t="s">
        <v>229</v>
      </c>
      <c r="B4716" t="s">
        <v>262</v>
      </c>
      <c r="C4716" s="26">
        <v>0.96950000000000003</v>
      </c>
      <c r="D4716" s="26">
        <v>2.1600000000000001E-2</v>
      </c>
      <c r="E4716" s="26">
        <v>8.9999999999999993E-3</v>
      </c>
      <c r="I4716">
        <v>188</v>
      </c>
    </row>
    <row r="4717" spans="1:9" x14ac:dyDescent="0.35">
      <c r="A4717" t="s">
        <v>229</v>
      </c>
      <c r="B4717" t="s">
        <v>261</v>
      </c>
      <c r="C4717" s="26">
        <v>0.86539999999999995</v>
      </c>
      <c r="D4717" s="26">
        <v>7.7399999999999997E-2</v>
      </c>
      <c r="E4717" s="26">
        <v>5.7200000000000001E-2</v>
      </c>
      <c r="I4717">
        <v>96</v>
      </c>
    </row>
    <row r="4718" spans="1:9" x14ac:dyDescent="0.35">
      <c r="A4718" s="27" t="s">
        <v>229</v>
      </c>
      <c r="B4718" s="27" t="s">
        <v>236</v>
      </c>
      <c r="C4718" s="28">
        <v>1</v>
      </c>
      <c r="D4718" s="29"/>
      <c r="E4718" s="29"/>
      <c r="F4718" s="29"/>
      <c r="G4718" s="29"/>
      <c r="H4718" s="29"/>
      <c r="I4718" s="29" t="s">
        <v>331</v>
      </c>
    </row>
    <row r="4719" spans="1:9" x14ac:dyDescent="0.35">
      <c r="A4719" t="s">
        <v>229</v>
      </c>
      <c r="B4719" t="s">
        <v>260</v>
      </c>
      <c r="C4719" s="26">
        <v>0.93200000000000005</v>
      </c>
      <c r="D4719" s="26">
        <v>6.4299999999999996E-2</v>
      </c>
      <c r="E4719" s="26">
        <v>3.0000000000000001E-3</v>
      </c>
      <c r="G4719" s="26">
        <v>5.9999999999999995E-4</v>
      </c>
      <c r="I4719">
        <v>596</v>
      </c>
    </row>
    <row r="4720" spans="1:9" x14ac:dyDescent="0.35">
      <c r="A4720" s="27" t="s">
        <v>230</v>
      </c>
      <c r="B4720" s="27" t="s">
        <v>236</v>
      </c>
      <c r="C4720" s="28">
        <v>0.96340000000000003</v>
      </c>
      <c r="D4720" s="28">
        <v>3.6600000000000001E-2</v>
      </c>
      <c r="E4720" s="29"/>
      <c r="F4720" s="29"/>
      <c r="G4720" s="29"/>
      <c r="H4720" s="29"/>
      <c r="I4720" s="29" t="s">
        <v>337</v>
      </c>
    </row>
    <row r="4721" spans="1:9" x14ac:dyDescent="0.35">
      <c r="A4721" t="s">
        <v>230</v>
      </c>
      <c r="B4721" t="s">
        <v>262</v>
      </c>
      <c r="C4721" s="26">
        <v>0.96099999999999997</v>
      </c>
      <c r="D4721" s="26">
        <v>2.9399999999999999E-2</v>
      </c>
      <c r="E4721" s="26">
        <v>7.9000000000000008E-3</v>
      </c>
      <c r="F4721" s="26">
        <v>1.8E-3</v>
      </c>
      <c r="I4721">
        <v>122</v>
      </c>
    </row>
    <row r="4722" spans="1:9" x14ac:dyDescent="0.35">
      <c r="A4722" t="s">
        <v>230</v>
      </c>
      <c r="B4722" t="s">
        <v>261</v>
      </c>
      <c r="C4722" s="26">
        <v>0.89249999999999996</v>
      </c>
      <c r="D4722" s="26">
        <v>5.3699999999999998E-2</v>
      </c>
      <c r="E4722" s="26">
        <v>5.3800000000000001E-2</v>
      </c>
      <c r="I4722">
        <v>57</v>
      </c>
    </row>
    <row r="4723" spans="1:9" x14ac:dyDescent="0.35">
      <c r="A4723" s="27" t="s">
        <v>230</v>
      </c>
      <c r="B4723" s="27" t="s">
        <v>263</v>
      </c>
      <c r="C4723" s="28">
        <v>0.92879999999999996</v>
      </c>
      <c r="D4723" s="28">
        <v>5.4399999999999997E-2</v>
      </c>
      <c r="E4723" s="28">
        <v>1.6799999999999999E-2</v>
      </c>
      <c r="F4723" s="29"/>
      <c r="G4723" s="29"/>
      <c r="H4723" s="29"/>
      <c r="I4723" s="29" t="s">
        <v>312</v>
      </c>
    </row>
    <row r="4724" spans="1:9" x14ac:dyDescent="0.35">
      <c r="A4724" t="s">
        <v>230</v>
      </c>
      <c r="B4724" t="s">
        <v>260</v>
      </c>
      <c r="C4724" s="26">
        <v>0.94589999999999996</v>
      </c>
      <c r="D4724" s="26">
        <v>5.0299999999999997E-2</v>
      </c>
      <c r="E4724" s="26">
        <v>3.3999999999999998E-3</v>
      </c>
      <c r="F4724" s="26">
        <v>4.0000000000000002E-4</v>
      </c>
      <c r="I4724">
        <v>352</v>
      </c>
    </row>
    <row r="4725" spans="1:9" x14ac:dyDescent="0.35">
      <c r="A4725" s="27" t="s">
        <v>231</v>
      </c>
      <c r="B4725" s="27" t="s">
        <v>263</v>
      </c>
      <c r="C4725" s="28">
        <v>1</v>
      </c>
      <c r="D4725" s="29"/>
      <c r="E4725" s="29"/>
      <c r="F4725" s="29"/>
      <c r="G4725" s="29"/>
      <c r="H4725" s="29"/>
      <c r="I4725" s="29" t="s">
        <v>314</v>
      </c>
    </row>
    <row r="4726" spans="1:9" x14ac:dyDescent="0.35">
      <c r="A4726" t="s">
        <v>231</v>
      </c>
      <c r="B4726" t="s">
        <v>260</v>
      </c>
      <c r="C4726" s="26">
        <v>0.94350000000000001</v>
      </c>
      <c r="D4726" s="26">
        <v>4.0300000000000002E-2</v>
      </c>
      <c r="E4726" s="26">
        <v>1.61E-2</v>
      </c>
      <c r="I4726">
        <v>124</v>
      </c>
    </row>
    <row r="4727" spans="1:9" x14ac:dyDescent="0.35">
      <c r="A4727" s="27" t="s">
        <v>231</v>
      </c>
      <c r="B4727" s="27" t="s">
        <v>261</v>
      </c>
      <c r="C4727" s="28">
        <v>0.88890000000000002</v>
      </c>
      <c r="D4727" s="28">
        <v>7.4099999999999999E-2</v>
      </c>
      <c r="E4727" s="28">
        <v>3.6999999999999998E-2</v>
      </c>
      <c r="F4727" s="29"/>
      <c r="G4727" s="29"/>
      <c r="H4727" s="29"/>
      <c r="I4727" s="29" t="s">
        <v>338</v>
      </c>
    </row>
    <row r="4728" spans="1:9" x14ac:dyDescent="0.35">
      <c r="A4728" s="27" t="s">
        <v>231</v>
      </c>
      <c r="B4728" s="27" t="s">
        <v>262</v>
      </c>
      <c r="C4728" s="28">
        <v>0.90910000000000002</v>
      </c>
      <c r="D4728" s="28">
        <v>9.0899999999999995E-2</v>
      </c>
      <c r="E4728" s="29"/>
      <c r="F4728" s="29"/>
      <c r="G4728" s="29"/>
      <c r="H4728" s="29"/>
      <c r="I4728" s="29" t="s">
        <v>352</v>
      </c>
    </row>
    <row r="4729" spans="1:9" x14ac:dyDescent="0.35">
      <c r="A4729" t="s">
        <v>232</v>
      </c>
      <c r="B4729" t="s">
        <v>232</v>
      </c>
      <c r="C4729" s="26">
        <v>0.92259999999999998</v>
      </c>
      <c r="D4729" s="26">
        <v>5.8299999999999998E-2</v>
      </c>
      <c r="E4729" s="26">
        <v>1.6799999999999999E-2</v>
      </c>
      <c r="F4729" s="26">
        <v>1.6000000000000001E-3</v>
      </c>
      <c r="G4729" s="26">
        <v>5.9999999999999995E-4</v>
      </c>
      <c r="H4729" s="26">
        <v>1E-4</v>
      </c>
      <c r="I4729">
        <v>2813</v>
      </c>
    </row>
    <row r="4731" spans="1:9" x14ac:dyDescent="0.35">
      <c r="A4731" s="1" t="s">
        <v>705</v>
      </c>
    </row>
    <row r="4732" spans="1:9" x14ac:dyDescent="0.35">
      <c r="A4732" t="s">
        <v>219</v>
      </c>
      <c r="B4732" t="s">
        <v>305</v>
      </c>
      <c r="C4732" t="s">
        <v>681</v>
      </c>
      <c r="D4732" t="s">
        <v>682</v>
      </c>
      <c r="E4732" t="s">
        <v>683</v>
      </c>
      <c r="F4732" t="s">
        <v>684</v>
      </c>
      <c r="G4732" t="s">
        <v>281</v>
      </c>
      <c r="H4732" t="s">
        <v>286</v>
      </c>
      <c r="I4732" t="s">
        <v>226</v>
      </c>
    </row>
    <row r="4733" spans="1:9" x14ac:dyDescent="0.35">
      <c r="A4733" t="s">
        <v>227</v>
      </c>
      <c r="B4733" t="s">
        <v>368</v>
      </c>
      <c r="C4733" s="26">
        <v>0.93940000000000001</v>
      </c>
      <c r="D4733" s="26">
        <v>6.0600000000000001E-2</v>
      </c>
      <c r="I4733">
        <v>33</v>
      </c>
    </row>
    <row r="4734" spans="1:9" x14ac:dyDescent="0.35">
      <c r="A4734" t="s">
        <v>227</v>
      </c>
      <c r="B4734" t="s">
        <v>369</v>
      </c>
      <c r="C4734" s="26">
        <v>0.89059999999999995</v>
      </c>
      <c r="D4734" s="26">
        <v>7.0300000000000001E-2</v>
      </c>
      <c r="E4734" s="26">
        <v>3.1199999999999999E-2</v>
      </c>
      <c r="F4734" s="26">
        <v>7.7999999999999996E-3</v>
      </c>
      <c r="I4734">
        <v>128</v>
      </c>
    </row>
    <row r="4735" spans="1:9" x14ac:dyDescent="0.35">
      <c r="A4735" t="s">
        <v>228</v>
      </c>
      <c r="B4735" t="s">
        <v>368</v>
      </c>
      <c r="C4735" s="26">
        <v>0.89129999999999998</v>
      </c>
      <c r="D4735" s="26">
        <v>7.7299999999999994E-2</v>
      </c>
      <c r="E4735" s="26">
        <v>1.43E-2</v>
      </c>
      <c r="F4735" s="26">
        <v>1.7100000000000001E-2</v>
      </c>
      <c r="I4735">
        <v>192</v>
      </c>
    </row>
    <row r="4736" spans="1:9" x14ac:dyDescent="0.35">
      <c r="A4736" t="s">
        <v>228</v>
      </c>
      <c r="B4736" t="s">
        <v>369</v>
      </c>
      <c r="C4736" s="26">
        <v>0.90669999999999995</v>
      </c>
      <c r="D4736" s="26">
        <v>7.1300000000000002E-2</v>
      </c>
      <c r="E4736" s="26">
        <v>1.83E-2</v>
      </c>
      <c r="G4736" s="26">
        <v>3.0999999999999999E-3</v>
      </c>
      <c r="H4736" s="26">
        <v>5.0000000000000001E-4</v>
      </c>
      <c r="I4736">
        <v>841</v>
      </c>
    </row>
    <row r="4737" spans="1:9" x14ac:dyDescent="0.35">
      <c r="A4737" t="s">
        <v>229</v>
      </c>
      <c r="B4737" t="s">
        <v>368</v>
      </c>
      <c r="C4737" s="26">
        <v>0.86539999999999995</v>
      </c>
      <c r="D4737" s="26">
        <v>7.7399999999999997E-2</v>
      </c>
      <c r="E4737" s="26">
        <v>5.7200000000000001E-2</v>
      </c>
      <c r="I4737">
        <v>96</v>
      </c>
    </row>
    <row r="4738" spans="1:9" x14ac:dyDescent="0.35">
      <c r="A4738" t="s">
        <v>229</v>
      </c>
      <c r="B4738" t="s">
        <v>369</v>
      </c>
      <c r="C4738" s="26">
        <v>0.94230000000000003</v>
      </c>
      <c r="D4738" s="26">
        <v>5.2400000000000002E-2</v>
      </c>
      <c r="E4738" s="26">
        <v>4.8999999999999998E-3</v>
      </c>
      <c r="G4738" s="26">
        <v>4.0000000000000002E-4</v>
      </c>
      <c r="I4738">
        <v>799</v>
      </c>
    </row>
    <row r="4739" spans="1:9" x14ac:dyDescent="0.35">
      <c r="A4739" t="s">
        <v>230</v>
      </c>
      <c r="B4739" t="s">
        <v>368</v>
      </c>
      <c r="C4739" s="26">
        <v>0.89249999999999996</v>
      </c>
      <c r="D4739" s="26">
        <v>5.3699999999999998E-2</v>
      </c>
      <c r="E4739" s="26">
        <v>5.3800000000000001E-2</v>
      </c>
      <c r="I4739">
        <v>57</v>
      </c>
    </row>
    <row r="4740" spans="1:9" x14ac:dyDescent="0.35">
      <c r="A4740" t="s">
        <v>230</v>
      </c>
      <c r="B4740" t="s">
        <v>369</v>
      </c>
      <c r="C4740" s="26">
        <v>0.94830000000000003</v>
      </c>
      <c r="D4740" s="26">
        <v>4.6600000000000003E-2</v>
      </c>
      <c r="E4740" s="26">
        <v>4.4000000000000003E-3</v>
      </c>
      <c r="F4740" s="26">
        <v>5.9999999999999995E-4</v>
      </c>
      <c r="I4740">
        <v>503</v>
      </c>
    </row>
    <row r="4741" spans="1:9" x14ac:dyDescent="0.35">
      <c r="A4741" s="27" t="s">
        <v>231</v>
      </c>
      <c r="B4741" s="27" t="s">
        <v>368</v>
      </c>
      <c r="C4741" s="28">
        <v>0.88890000000000002</v>
      </c>
      <c r="D4741" s="28">
        <v>7.4099999999999999E-2</v>
      </c>
      <c r="E4741" s="28">
        <v>3.6999999999999998E-2</v>
      </c>
      <c r="F4741" s="29"/>
      <c r="G4741" s="29"/>
      <c r="H4741" s="29"/>
      <c r="I4741" s="29" t="s">
        <v>338</v>
      </c>
    </row>
    <row r="4742" spans="1:9" x14ac:dyDescent="0.35">
      <c r="A4742" t="s">
        <v>231</v>
      </c>
      <c r="B4742" t="s">
        <v>369</v>
      </c>
      <c r="C4742" s="26">
        <v>0.94159999999999999</v>
      </c>
      <c r="D4742" s="26">
        <v>4.3799999999999999E-2</v>
      </c>
      <c r="E4742" s="26">
        <v>1.46E-2</v>
      </c>
      <c r="I4742">
        <v>137</v>
      </c>
    </row>
    <row r="4743" spans="1:9" x14ac:dyDescent="0.35">
      <c r="A4743" t="s">
        <v>232</v>
      </c>
      <c r="B4743" t="s">
        <v>232</v>
      </c>
      <c r="C4743" s="26">
        <v>0.92259999999999998</v>
      </c>
      <c r="D4743" s="26">
        <v>5.8299999999999998E-2</v>
      </c>
      <c r="E4743" s="26">
        <v>1.6799999999999999E-2</v>
      </c>
      <c r="F4743" s="26">
        <v>1.6000000000000001E-3</v>
      </c>
      <c r="G4743" s="26">
        <v>5.9999999999999995E-4</v>
      </c>
      <c r="H4743" s="26">
        <v>1E-4</v>
      </c>
      <c r="I4743">
        <v>2813</v>
      </c>
    </row>
    <row r="4745" spans="1:9" x14ac:dyDescent="0.35">
      <c r="A4745" s="1" t="s">
        <v>706</v>
      </c>
    </row>
    <row r="4746" spans="1:9" x14ac:dyDescent="0.35">
      <c r="A4746" t="s">
        <v>219</v>
      </c>
      <c r="B4746" t="s">
        <v>305</v>
      </c>
      <c r="C4746" t="s">
        <v>681</v>
      </c>
      <c r="D4746" t="s">
        <v>682</v>
      </c>
      <c r="E4746" t="s">
        <v>683</v>
      </c>
      <c r="F4746" t="s">
        <v>684</v>
      </c>
      <c r="G4746" t="s">
        <v>281</v>
      </c>
      <c r="H4746" t="s">
        <v>286</v>
      </c>
      <c r="I4746" t="s">
        <v>226</v>
      </c>
    </row>
    <row r="4747" spans="1:9" x14ac:dyDescent="0.35">
      <c r="A4747" t="s">
        <v>227</v>
      </c>
      <c r="B4747" t="s">
        <v>371</v>
      </c>
      <c r="C4747" s="26">
        <v>0.90059999999999996</v>
      </c>
      <c r="D4747" s="26">
        <v>6.83E-2</v>
      </c>
      <c r="E4747" s="26">
        <v>2.4799999999999999E-2</v>
      </c>
      <c r="F4747" s="26">
        <v>6.1999999999999998E-3</v>
      </c>
      <c r="I4747">
        <v>161</v>
      </c>
    </row>
    <row r="4748" spans="1:9" x14ac:dyDescent="0.35">
      <c r="A4748" t="s">
        <v>228</v>
      </c>
      <c r="B4748" t="s">
        <v>371</v>
      </c>
      <c r="C4748" s="26">
        <v>0.90639999999999998</v>
      </c>
      <c r="D4748" s="26">
        <v>7.1400000000000005E-2</v>
      </c>
      <c r="E4748" s="26">
        <v>1.5100000000000001E-2</v>
      </c>
      <c r="F4748" s="26">
        <v>6.4000000000000003E-3</v>
      </c>
      <c r="G4748" s="26">
        <v>8.0000000000000004E-4</v>
      </c>
      <c r="I4748">
        <v>292</v>
      </c>
    </row>
    <row r="4749" spans="1:9" x14ac:dyDescent="0.35">
      <c r="A4749" t="s">
        <v>228</v>
      </c>
      <c r="B4749" t="s">
        <v>372</v>
      </c>
      <c r="C4749" s="26">
        <v>0.85589999999999999</v>
      </c>
      <c r="D4749" s="26">
        <v>9.7600000000000006E-2</v>
      </c>
      <c r="E4749" s="26">
        <v>3.32E-2</v>
      </c>
      <c r="G4749" s="26">
        <v>8.5000000000000006E-3</v>
      </c>
      <c r="H4749" s="26">
        <v>4.8999999999999998E-3</v>
      </c>
      <c r="I4749">
        <v>218</v>
      </c>
    </row>
    <row r="4750" spans="1:9" x14ac:dyDescent="0.35">
      <c r="A4750" t="s">
        <v>228</v>
      </c>
      <c r="B4750" t="s">
        <v>373</v>
      </c>
      <c r="C4750" s="26">
        <v>0.91069999999999995</v>
      </c>
      <c r="D4750" s="26">
        <v>6.8500000000000005E-2</v>
      </c>
      <c r="E4750" s="26">
        <v>1.7399999999999999E-2</v>
      </c>
      <c r="G4750" s="26">
        <v>3.5000000000000001E-3</v>
      </c>
      <c r="I4750">
        <v>523</v>
      </c>
    </row>
    <row r="4751" spans="1:9" x14ac:dyDescent="0.35">
      <c r="A4751" t="s">
        <v>229</v>
      </c>
      <c r="B4751" t="s">
        <v>371</v>
      </c>
      <c r="C4751" s="26">
        <v>0.92989999999999995</v>
      </c>
      <c r="D4751" s="26">
        <v>5.7099999999999998E-2</v>
      </c>
      <c r="E4751" s="26">
        <v>1.2800000000000001E-2</v>
      </c>
      <c r="G4751" s="26">
        <v>2.0000000000000001E-4</v>
      </c>
      <c r="I4751">
        <v>584</v>
      </c>
    </row>
    <row r="4752" spans="1:9" x14ac:dyDescent="0.35">
      <c r="A4752" t="s">
        <v>229</v>
      </c>
      <c r="B4752" t="s">
        <v>372</v>
      </c>
      <c r="C4752" s="26">
        <v>0.94810000000000005</v>
      </c>
      <c r="D4752" s="26">
        <v>3.7699999999999997E-2</v>
      </c>
      <c r="E4752" s="26">
        <v>1.04E-2</v>
      </c>
      <c r="G4752" s="26">
        <v>3.8E-3</v>
      </c>
      <c r="I4752">
        <v>221</v>
      </c>
    </row>
    <row r="4753" spans="1:9" x14ac:dyDescent="0.35">
      <c r="A4753" t="s">
        <v>229</v>
      </c>
      <c r="B4753" t="s">
        <v>373</v>
      </c>
      <c r="C4753" s="26">
        <v>0.93200000000000005</v>
      </c>
      <c r="D4753" s="26">
        <v>5.5599999999999997E-2</v>
      </c>
      <c r="E4753" s="26">
        <v>1.23E-2</v>
      </c>
      <c r="I4753">
        <v>90</v>
      </c>
    </row>
    <row r="4754" spans="1:9" x14ac:dyDescent="0.35">
      <c r="A4754" t="s">
        <v>230</v>
      </c>
      <c r="B4754" t="s">
        <v>371</v>
      </c>
      <c r="C4754" s="26">
        <v>0.94479999999999997</v>
      </c>
      <c r="D4754" s="26">
        <v>4.41E-2</v>
      </c>
      <c r="E4754" s="26">
        <v>1.11E-2</v>
      </c>
      <c r="I4754">
        <v>262</v>
      </c>
    </row>
    <row r="4755" spans="1:9" x14ac:dyDescent="0.35">
      <c r="A4755" t="s">
        <v>230</v>
      </c>
      <c r="B4755" t="s">
        <v>372</v>
      </c>
      <c r="C4755" s="26">
        <v>0.90890000000000004</v>
      </c>
      <c r="D4755" s="26">
        <v>6.2700000000000006E-2</v>
      </c>
      <c r="E4755" s="26">
        <v>1.89E-2</v>
      </c>
      <c r="F4755" s="26">
        <v>9.4999999999999998E-3</v>
      </c>
      <c r="I4755">
        <v>146</v>
      </c>
    </row>
    <row r="4756" spans="1:9" x14ac:dyDescent="0.35">
      <c r="A4756" t="s">
        <v>230</v>
      </c>
      <c r="B4756" t="s">
        <v>373</v>
      </c>
      <c r="C4756" s="26">
        <v>0.9304</v>
      </c>
      <c r="D4756" s="26">
        <v>6.2600000000000003E-2</v>
      </c>
      <c r="E4756" s="26">
        <v>7.0000000000000001E-3</v>
      </c>
      <c r="I4756">
        <v>152</v>
      </c>
    </row>
    <row r="4757" spans="1:9" x14ac:dyDescent="0.35">
      <c r="A4757" t="s">
        <v>231</v>
      </c>
      <c r="B4757" t="s">
        <v>371</v>
      </c>
      <c r="C4757" s="26">
        <v>0.93289999999999995</v>
      </c>
      <c r="D4757" s="26">
        <v>4.8800000000000003E-2</v>
      </c>
      <c r="E4757" s="26">
        <v>1.83E-2</v>
      </c>
      <c r="I4757">
        <v>164</v>
      </c>
    </row>
    <row r="4758" spans="1:9" x14ac:dyDescent="0.35">
      <c r="A4758" t="s">
        <v>232</v>
      </c>
      <c r="B4758" t="s">
        <v>232</v>
      </c>
      <c r="C4758" s="26">
        <v>0.92259999999999998</v>
      </c>
      <c r="D4758" s="26">
        <v>5.8299999999999998E-2</v>
      </c>
      <c r="E4758" s="26">
        <v>1.6799999999999999E-2</v>
      </c>
      <c r="F4758" s="26">
        <v>1.6000000000000001E-3</v>
      </c>
      <c r="G4758" s="26">
        <v>5.9999999999999995E-4</v>
      </c>
      <c r="H4758" s="26">
        <v>1E-4</v>
      </c>
      <c r="I4758">
        <v>2813</v>
      </c>
    </row>
    <row r="4760" spans="1:9" x14ac:dyDescent="0.35">
      <c r="A4760" s="1" t="s">
        <v>707</v>
      </c>
    </row>
    <row r="4761" spans="1:9" x14ac:dyDescent="0.35">
      <c r="A4761" t="s">
        <v>219</v>
      </c>
      <c r="B4761" t="s">
        <v>305</v>
      </c>
      <c r="C4761" t="s">
        <v>681</v>
      </c>
      <c r="D4761" t="s">
        <v>682</v>
      </c>
      <c r="E4761" t="s">
        <v>683</v>
      </c>
      <c r="F4761" t="s">
        <v>684</v>
      </c>
      <c r="G4761" t="s">
        <v>281</v>
      </c>
      <c r="H4761" t="s">
        <v>286</v>
      </c>
      <c r="I4761" t="s">
        <v>226</v>
      </c>
    </row>
    <row r="4762" spans="1:9" x14ac:dyDescent="0.35">
      <c r="A4762" t="s">
        <v>227</v>
      </c>
      <c r="B4762" t="s">
        <v>255</v>
      </c>
      <c r="C4762" s="26">
        <v>0.88029999999999997</v>
      </c>
      <c r="D4762" s="26">
        <v>8.5500000000000007E-2</v>
      </c>
      <c r="E4762" s="26">
        <v>2.5600000000000001E-2</v>
      </c>
      <c r="F4762" s="26">
        <v>8.5000000000000006E-3</v>
      </c>
      <c r="I4762">
        <v>117</v>
      </c>
    </row>
    <row r="4763" spans="1:9" x14ac:dyDescent="0.35">
      <c r="A4763" s="27" t="s">
        <v>227</v>
      </c>
      <c r="B4763" s="27" t="s">
        <v>257</v>
      </c>
      <c r="C4763" s="28">
        <v>0.88890000000000002</v>
      </c>
      <c r="D4763" s="29"/>
      <c r="E4763" s="28">
        <v>0.1111</v>
      </c>
      <c r="F4763" s="29"/>
      <c r="G4763" s="29"/>
      <c r="H4763" s="29"/>
      <c r="I4763" s="29" t="s">
        <v>334</v>
      </c>
    </row>
    <row r="4764" spans="1:9" x14ac:dyDescent="0.35">
      <c r="A4764" t="s">
        <v>227</v>
      </c>
      <c r="B4764" t="s">
        <v>256</v>
      </c>
      <c r="C4764" s="26">
        <v>0.97140000000000004</v>
      </c>
      <c r="D4764" s="26">
        <v>2.86E-2</v>
      </c>
      <c r="I4764">
        <v>35</v>
      </c>
    </row>
    <row r="4765" spans="1:9" x14ac:dyDescent="0.35">
      <c r="A4765" t="s">
        <v>228</v>
      </c>
      <c r="B4765" t="s">
        <v>257</v>
      </c>
      <c r="C4765" s="26">
        <v>1</v>
      </c>
      <c r="I4765">
        <v>49</v>
      </c>
    </row>
    <row r="4766" spans="1:9" x14ac:dyDescent="0.35">
      <c r="A4766" s="27" t="s">
        <v>228</v>
      </c>
      <c r="B4766" s="27" t="s">
        <v>258</v>
      </c>
      <c r="C4766" s="28">
        <v>1</v>
      </c>
      <c r="D4766" s="29"/>
      <c r="E4766" s="29"/>
      <c r="F4766" s="29"/>
      <c r="G4766" s="29"/>
      <c r="H4766" s="29"/>
      <c r="I4766" s="29" t="s">
        <v>337</v>
      </c>
    </row>
    <row r="4767" spans="1:9" x14ac:dyDescent="0.35">
      <c r="A4767" t="s">
        <v>228</v>
      </c>
      <c r="B4767" t="s">
        <v>256</v>
      </c>
      <c r="C4767" s="26">
        <v>0.93079999999999996</v>
      </c>
      <c r="D4767" s="26">
        <v>4.4999999999999998E-2</v>
      </c>
      <c r="E4767" s="26">
        <v>9.4999999999999998E-3</v>
      </c>
      <c r="F4767" s="26">
        <v>1.38E-2</v>
      </c>
      <c r="G4767" s="26">
        <v>1E-3</v>
      </c>
      <c r="I4767">
        <v>221</v>
      </c>
    </row>
    <row r="4768" spans="1:9" x14ac:dyDescent="0.35">
      <c r="A4768" t="s">
        <v>228</v>
      </c>
      <c r="B4768" t="s">
        <v>255</v>
      </c>
      <c r="C4768" s="26">
        <v>0.88649999999999995</v>
      </c>
      <c r="D4768" s="26">
        <v>8.7900000000000006E-2</v>
      </c>
      <c r="E4768" s="26">
        <v>2.18E-2</v>
      </c>
      <c r="G4768" s="26">
        <v>3.2000000000000002E-3</v>
      </c>
      <c r="H4768" s="26">
        <v>5.9999999999999995E-4</v>
      </c>
      <c r="I4768">
        <v>759</v>
      </c>
    </row>
    <row r="4769" spans="1:9" x14ac:dyDescent="0.35">
      <c r="A4769" t="s">
        <v>229</v>
      </c>
      <c r="B4769" t="s">
        <v>256</v>
      </c>
      <c r="C4769" s="26">
        <v>0.97319999999999995</v>
      </c>
      <c r="D4769" s="26">
        <v>2.4299999999999999E-2</v>
      </c>
      <c r="E4769" s="26">
        <v>1.1999999999999999E-3</v>
      </c>
      <c r="G4769" s="26">
        <v>1.2999999999999999E-3</v>
      </c>
      <c r="I4769">
        <v>207</v>
      </c>
    </row>
    <row r="4770" spans="1:9" x14ac:dyDescent="0.35">
      <c r="A4770" t="s">
        <v>229</v>
      </c>
      <c r="B4770" t="s">
        <v>255</v>
      </c>
      <c r="C4770" s="26">
        <v>0.90820000000000001</v>
      </c>
      <c r="D4770" s="26">
        <v>7.3400000000000007E-2</v>
      </c>
      <c r="E4770" s="26">
        <v>1.84E-2</v>
      </c>
      <c r="I4770">
        <v>636</v>
      </c>
    </row>
    <row r="4771" spans="1:9" x14ac:dyDescent="0.35">
      <c r="A4771" t="s">
        <v>229</v>
      </c>
      <c r="B4771" t="s">
        <v>257</v>
      </c>
      <c r="C4771" s="26">
        <v>0.99690000000000001</v>
      </c>
      <c r="D4771" s="26">
        <v>3.0999999999999999E-3</v>
      </c>
      <c r="I4771">
        <v>50</v>
      </c>
    </row>
    <row r="4772" spans="1:9" x14ac:dyDescent="0.35">
      <c r="A4772" s="27" t="s">
        <v>229</v>
      </c>
      <c r="B4772" s="27" t="s">
        <v>258</v>
      </c>
      <c r="C4772" s="28">
        <v>1</v>
      </c>
      <c r="D4772" s="29"/>
      <c r="E4772" s="29"/>
      <c r="F4772" s="29"/>
      <c r="G4772" s="29"/>
      <c r="H4772" s="29"/>
      <c r="I4772" s="29" t="s">
        <v>314</v>
      </c>
    </row>
    <row r="4773" spans="1:9" x14ac:dyDescent="0.35">
      <c r="A4773" t="s">
        <v>230</v>
      </c>
      <c r="B4773" t="s">
        <v>256</v>
      </c>
      <c r="C4773" s="26">
        <v>0.96079999999999999</v>
      </c>
      <c r="D4773" s="26">
        <v>1.15E-2</v>
      </c>
      <c r="E4773" s="26">
        <v>2.7699999999999999E-2</v>
      </c>
      <c r="I4773">
        <v>130</v>
      </c>
    </row>
    <row r="4774" spans="1:9" x14ac:dyDescent="0.35">
      <c r="A4774" t="s">
        <v>230</v>
      </c>
      <c r="B4774" t="s">
        <v>255</v>
      </c>
      <c r="C4774" s="26">
        <v>0.92930000000000001</v>
      </c>
      <c r="D4774" s="26">
        <v>6.4100000000000004E-2</v>
      </c>
      <c r="E4774" s="26">
        <v>5.7000000000000002E-3</v>
      </c>
      <c r="F4774" s="26">
        <v>8.0000000000000004E-4</v>
      </c>
      <c r="I4774">
        <v>389</v>
      </c>
    </row>
    <row r="4775" spans="1:9" x14ac:dyDescent="0.35">
      <c r="A4775" t="s">
        <v>230</v>
      </c>
      <c r="B4775" t="s">
        <v>257</v>
      </c>
      <c r="C4775" s="26">
        <v>0.9708</v>
      </c>
      <c r="D4775" s="26">
        <v>2.92E-2</v>
      </c>
      <c r="I4775">
        <v>38</v>
      </c>
    </row>
    <row r="4776" spans="1:9" x14ac:dyDescent="0.35">
      <c r="A4776" s="27" t="s">
        <v>230</v>
      </c>
      <c r="B4776" s="27" t="s">
        <v>258</v>
      </c>
      <c r="C4776" s="28">
        <v>1</v>
      </c>
      <c r="D4776" s="29"/>
      <c r="E4776" s="29"/>
      <c r="F4776" s="29"/>
      <c r="G4776" s="29"/>
      <c r="H4776" s="29"/>
      <c r="I4776" s="29" t="s">
        <v>315</v>
      </c>
    </row>
    <row r="4777" spans="1:9" x14ac:dyDescent="0.35">
      <c r="A4777" s="27" t="s">
        <v>231</v>
      </c>
      <c r="B4777" s="27" t="s">
        <v>257</v>
      </c>
      <c r="C4777" s="28">
        <v>1</v>
      </c>
      <c r="D4777" s="29"/>
      <c r="E4777" s="29"/>
      <c r="F4777" s="29"/>
      <c r="G4777" s="29"/>
      <c r="H4777" s="29"/>
      <c r="I4777" s="29" t="s">
        <v>339</v>
      </c>
    </row>
    <row r="4778" spans="1:9" x14ac:dyDescent="0.35">
      <c r="A4778" t="s">
        <v>231</v>
      </c>
      <c r="B4778" t="s">
        <v>255</v>
      </c>
      <c r="C4778" s="26">
        <v>0.91469999999999996</v>
      </c>
      <c r="D4778" s="26">
        <v>6.2E-2</v>
      </c>
      <c r="E4778" s="26">
        <v>2.3300000000000001E-2</v>
      </c>
      <c r="I4778">
        <v>129</v>
      </c>
    </row>
    <row r="4779" spans="1:9" x14ac:dyDescent="0.35">
      <c r="A4779" s="27" t="s">
        <v>231</v>
      </c>
      <c r="B4779" s="27" t="s">
        <v>256</v>
      </c>
      <c r="C4779" s="28">
        <v>1</v>
      </c>
      <c r="D4779" s="29"/>
      <c r="E4779" s="29"/>
      <c r="F4779" s="29"/>
      <c r="G4779" s="29"/>
      <c r="H4779" s="29"/>
      <c r="I4779" s="29" t="s">
        <v>336</v>
      </c>
    </row>
    <row r="4780" spans="1:9" x14ac:dyDescent="0.35">
      <c r="A4780" t="s">
        <v>232</v>
      </c>
      <c r="B4780" t="s">
        <v>232</v>
      </c>
      <c r="C4780" s="26">
        <v>0.92259999999999998</v>
      </c>
      <c r="D4780" s="26">
        <v>5.8299999999999998E-2</v>
      </c>
      <c r="E4780" s="26">
        <v>1.6799999999999999E-2</v>
      </c>
      <c r="F4780" s="26">
        <v>1.6000000000000001E-3</v>
      </c>
      <c r="G4780" s="26">
        <v>5.9999999999999995E-4</v>
      </c>
      <c r="H4780" s="26">
        <v>1E-4</v>
      </c>
      <c r="I4780">
        <v>2813</v>
      </c>
    </row>
    <row r="4782" spans="1:9" x14ac:dyDescent="0.35">
      <c r="A4782" s="1" t="s">
        <v>708</v>
      </c>
    </row>
    <row r="4783" spans="1:9" x14ac:dyDescent="0.35">
      <c r="A4783" t="s">
        <v>219</v>
      </c>
      <c r="B4783" t="s">
        <v>681</v>
      </c>
      <c r="C4783" t="s">
        <v>682</v>
      </c>
      <c r="D4783" t="s">
        <v>683</v>
      </c>
      <c r="E4783" t="s">
        <v>684</v>
      </c>
      <c r="F4783" t="s">
        <v>281</v>
      </c>
      <c r="G4783" t="s">
        <v>226</v>
      </c>
    </row>
    <row r="4784" spans="1:9" x14ac:dyDescent="0.35">
      <c r="A4784" t="s">
        <v>227</v>
      </c>
      <c r="B4784" s="26">
        <v>0.57140000000000002</v>
      </c>
      <c r="C4784" s="26">
        <v>0.2671</v>
      </c>
      <c r="D4784" s="26">
        <v>0.13039999999999999</v>
      </c>
      <c r="E4784" s="26">
        <v>2.4799999999999999E-2</v>
      </c>
      <c r="F4784" s="26">
        <v>6.1999999999999998E-3</v>
      </c>
      <c r="G4784">
        <v>161</v>
      </c>
    </row>
    <row r="4785" spans="1:8" x14ac:dyDescent="0.35">
      <c r="A4785" t="s">
        <v>228</v>
      </c>
      <c r="B4785" s="26">
        <v>0.59150000000000003</v>
      </c>
      <c r="C4785" s="26">
        <v>0.24840000000000001</v>
      </c>
      <c r="D4785" s="26">
        <v>0.13980000000000001</v>
      </c>
      <c r="E4785" s="26">
        <v>1.8100000000000002E-2</v>
      </c>
      <c r="F4785" s="26">
        <v>2.3E-3</v>
      </c>
      <c r="G4785">
        <v>1033</v>
      </c>
    </row>
    <row r="4786" spans="1:8" x14ac:dyDescent="0.35">
      <c r="A4786" t="s">
        <v>229</v>
      </c>
      <c r="B4786" s="26">
        <v>0.5786</v>
      </c>
      <c r="C4786" s="26">
        <v>0.2117</v>
      </c>
      <c r="D4786" s="26">
        <v>0.1797</v>
      </c>
      <c r="E4786" s="26">
        <v>2.2499999999999999E-2</v>
      </c>
      <c r="F4786" s="26">
        <v>7.4999999999999997E-3</v>
      </c>
      <c r="G4786">
        <v>895</v>
      </c>
    </row>
    <row r="4787" spans="1:8" x14ac:dyDescent="0.35">
      <c r="A4787" t="s">
        <v>230</v>
      </c>
      <c r="B4787" s="26">
        <v>0.60850000000000004</v>
      </c>
      <c r="C4787" s="26">
        <v>0.24479999999999999</v>
      </c>
      <c r="D4787" s="26">
        <v>0.1124</v>
      </c>
      <c r="E4787" s="26">
        <v>3.3500000000000002E-2</v>
      </c>
      <c r="F4787" s="26">
        <v>8.9999999999999998E-4</v>
      </c>
      <c r="G4787">
        <v>560</v>
      </c>
    </row>
    <row r="4788" spans="1:8" x14ac:dyDescent="0.35">
      <c r="A4788" t="s">
        <v>231</v>
      </c>
      <c r="B4788" s="26">
        <v>0.55489999999999995</v>
      </c>
      <c r="C4788" s="26">
        <v>0.26829999999999998</v>
      </c>
      <c r="D4788" s="26">
        <v>0.1585</v>
      </c>
      <c r="E4788" s="26">
        <v>1.2200000000000001E-2</v>
      </c>
      <c r="F4788" s="26">
        <v>6.1000000000000004E-3</v>
      </c>
      <c r="G4788">
        <v>164</v>
      </c>
    </row>
    <row r="4789" spans="1:8" x14ac:dyDescent="0.35">
      <c r="A4789" t="s">
        <v>232</v>
      </c>
      <c r="B4789" s="26">
        <v>0.57640000000000002</v>
      </c>
      <c r="C4789" s="26">
        <v>0.24590000000000001</v>
      </c>
      <c r="D4789" s="26">
        <v>0.1522</v>
      </c>
      <c r="E4789" s="26">
        <v>2.0199999999999999E-2</v>
      </c>
      <c r="F4789" s="26">
        <v>5.3E-3</v>
      </c>
      <c r="G4789">
        <v>2813</v>
      </c>
    </row>
    <row r="4791" spans="1:8" x14ac:dyDescent="0.35">
      <c r="A4791" s="1" t="s">
        <v>709</v>
      </c>
    </row>
    <row r="4792" spans="1:8" x14ac:dyDescent="0.35">
      <c r="A4792" t="s">
        <v>219</v>
      </c>
      <c r="B4792" t="s">
        <v>305</v>
      </c>
      <c r="C4792" t="s">
        <v>681</v>
      </c>
      <c r="D4792" t="s">
        <v>682</v>
      </c>
      <c r="E4792" t="s">
        <v>683</v>
      </c>
      <c r="F4792" t="s">
        <v>684</v>
      </c>
      <c r="G4792" t="s">
        <v>281</v>
      </c>
      <c r="H4792" t="s">
        <v>226</v>
      </c>
    </row>
    <row r="4793" spans="1:8" x14ac:dyDescent="0.35">
      <c r="A4793" t="s">
        <v>227</v>
      </c>
      <c r="B4793" t="s">
        <v>242</v>
      </c>
      <c r="C4793" s="26">
        <v>0.36759999999999998</v>
      </c>
      <c r="D4793" s="26">
        <v>0.26469999999999999</v>
      </c>
      <c r="E4793" s="26">
        <v>0.30880000000000002</v>
      </c>
      <c r="F4793" s="26">
        <v>5.8799999999999998E-2</v>
      </c>
      <c r="H4793">
        <v>68</v>
      </c>
    </row>
    <row r="4794" spans="1:8" x14ac:dyDescent="0.35">
      <c r="A4794" t="s">
        <v>227</v>
      </c>
      <c r="B4794" t="s">
        <v>241</v>
      </c>
      <c r="C4794" s="26">
        <v>0.72040000000000004</v>
      </c>
      <c r="D4794" s="26">
        <v>0.26879999999999998</v>
      </c>
      <c r="G4794" s="26">
        <v>1.0800000000000001E-2</v>
      </c>
      <c r="H4794">
        <v>93</v>
      </c>
    </row>
    <row r="4795" spans="1:8" x14ac:dyDescent="0.35">
      <c r="A4795" t="s">
        <v>228</v>
      </c>
      <c r="B4795" t="s">
        <v>242</v>
      </c>
      <c r="C4795" s="26">
        <v>0.26340000000000002</v>
      </c>
      <c r="D4795" s="26">
        <v>0.2994</v>
      </c>
      <c r="E4795" s="26">
        <v>0.38440000000000002</v>
      </c>
      <c r="F4795" s="26">
        <v>4.9700000000000001E-2</v>
      </c>
      <c r="G4795" s="26">
        <v>3.0000000000000001E-3</v>
      </c>
      <c r="H4795">
        <v>402</v>
      </c>
    </row>
    <row r="4796" spans="1:8" x14ac:dyDescent="0.35">
      <c r="A4796" t="s">
        <v>228</v>
      </c>
      <c r="B4796" t="s">
        <v>241</v>
      </c>
      <c r="C4796" s="26">
        <v>0.77890000000000004</v>
      </c>
      <c r="D4796" s="26">
        <v>0.21929999999999999</v>
      </c>
      <c r="G4796" s="26">
        <v>1.8E-3</v>
      </c>
      <c r="H4796">
        <v>631</v>
      </c>
    </row>
    <row r="4797" spans="1:8" x14ac:dyDescent="0.35">
      <c r="A4797" t="s">
        <v>229</v>
      </c>
      <c r="B4797" t="s">
        <v>242</v>
      </c>
      <c r="C4797" s="26">
        <v>0.29559999999999997</v>
      </c>
      <c r="D4797" s="26">
        <v>0.1799</v>
      </c>
      <c r="E4797" s="26">
        <v>0.46039999999999998</v>
      </c>
      <c r="F4797" s="26">
        <v>5.7700000000000001E-2</v>
      </c>
      <c r="G4797" s="26">
        <v>6.4000000000000003E-3</v>
      </c>
      <c r="H4797">
        <v>292</v>
      </c>
    </row>
    <row r="4798" spans="1:8" x14ac:dyDescent="0.35">
      <c r="A4798" t="s">
        <v>229</v>
      </c>
      <c r="B4798" t="s">
        <v>241</v>
      </c>
      <c r="C4798" s="26">
        <v>0.75980000000000003</v>
      </c>
      <c r="D4798" s="26">
        <v>0.23200000000000001</v>
      </c>
      <c r="G4798" s="26">
        <v>8.2000000000000007E-3</v>
      </c>
      <c r="H4798">
        <v>603</v>
      </c>
    </row>
    <row r="4799" spans="1:8" x14ac:dyDescent="0.35">
      <c r="A4799" t="s">
        <v>230</v>
      </c>
      <c r="B4799" t="s">
        <v>242</v>
      </c>
      <c r="C4799" s="26">
        <v>0.30259999999999998</v>
      </c>
      <c r="D4799" s="26">
        <v>0.26619999999999999</v>
      </c>
      <c r="E4799" s="26">
        <v>0.33229999999999998</v>
      </c>
      <c r="F4799" s="26">
        <v>9.8900000000000002E-2</v>
      </c>
      <c r="H4799">
        <v>189</v>
      </c>
    </row>
    <row r="4800" spans="1:8" x14ac:dyDescent="0.35">
      <c r="A4800" t="s">
        <v>230</v>
      </c>
      <c r="B4800" t="s">
        <v>241</v>
      </c>
      <c r="C4800" s="26">
        <v>0.76470000000000005</v>
      </c>
      <c r="D4800" s="26">
        <v>0.2339</v>
      </c>
      <c r="G4800" s="26">
        <v>1.2999999999999999E-3</v>
      </c>
      <c r="H4800">
        <v>371</v>
      </c>
    </row>
    <row r="4801" spans="1:8" x14ac:dyDescent="0.35">
      <c r="A4801" t="s">
        <v>231</v>
      </c>
      <c r="B4801" t="s">
        <v>242</v>
      </c>
      <c r="C4801" s="26">
        <v>0.22220000000000001</v>
      </c>
      <c r="D4801" s="26">
        <v>0.2407</v>
      </c>
      <c r="E4801" s="26">
        <v>0.48149999999999998</v>
      </c>
      <c r="F4801" s="26">
        <v>3.6999999999999998E-2</v>
      </c>
      <c r="G4801" s="26">
        <v>1.8499999999999999E-2</v>
      </c>
      <c r="H4801">
        <v>54</v>
      </c>
    </row>
    <row r="4802" spans="1:8" x14ac:dyDescent="0.35">
      <c r="A4802" t="s">
        <v>231</v>
      </c>
      <c r="B4802" t="s">
        <v>241</v>
      </c>
      <c r="C4802" s="26">
        <v>0.71819999999999995</v>
      </c>
      <c r="D4802" s="26">
        <v>0.28179999999999999</v>
      </c>
      <c r="H4802">
        <v>110</v>
      </c>
    </row>
    <row r="4803" spans="1:8" x14ac:dyDescent="0.35">
      <c r="A4803" t="s">
        <v>232</v>
      </c>
      <c r="B4803" t="s">
        <v>232</v>
      </c>
      <c r="C4803" s="26">
        <v>0.57640000000000002</v>
      </c>
      <c r="D4803" s="26">
        <v>0.24590000000000001</v>
      </c>
      <c r="E4803" s="26">
        <v>0.1522</v>
      </c>
      <c r="F4803" s="26">
        <v>2.0199999999999999E-2</v>
      </c>
      <c r="G4803" s="26">
        <v>5.3E-3</v>
      </c>
      <c r="H4803">
        <v>2813</v>
      </c>
    </row>
    <row r="4805" spans="1:8" x14ac:dyDescent="0.35">
      <c r="A4805" s="1" t="s">
        <v>710</v>
      </c>
    </row>
    <row r="4806" spans="1:8" x14ac:dyDescent="0.35">
      <c r="A4806" t="s">
        <v>219</v>
      </c>
      <c r="B4806" t="s">
        <v>305</v>
      </c>
      <c r="C4806" t="s">
        <v>681</v>
      </c>
      <c r="D4806" t="s">
        <v>682</v>
      </c>
      <c r="E4806" t="s">
        <v>683</v>
      </c>
      <c r="F4806" t="s">
        <v>684</v>
      </c>
      <c r="G4806" t="s">
        <v>281</v>
      </c>
      <c r="H4806" t="s">
        <v>226</v>
      </c>
    </row>
    <row r="4807" spans="1:8" x14ac:dyDescent="0.35">
      <c r="A4807" t="s">
        <v>227</v>
      </c>
      <c r="B4807" t="s">
        <v>239</v>
      </c>
      <c r="C4807" s="26">
        <v>0.5645</v>
      </c>
      <c r="D4807" s="26">
        <v>0.2581</v>
      </c>
      <c r="E4807" s="26">
        <v>0.129</v>
      </c>
      <c r="F4807" s="26">
        <v>4.8399999999999999E-2</v>
      </c>
      <c r="H4807">
        <v>62</v>
      </c>
    </row>
    <row r="4808" spans="1:8" x14ac:dyDescent="0.35">
      <c r="A4808" t="s">
        <v>227</v>
      </c>
      <c r="B4808" t="s">
        <v>238</v>
      </c>
      <c r="C4808" s="26">
        <v>0.57579999999999998</v>
      </c>
      <c r="D4808" s="26">
        <v>0.2727</v>
      </c>
      <c r="E4808" s="26">
        <v>0.1313</v>
      </c>
      <c r="F4808" s="26">
        <v>1.01E-2</v>
      </c>
      <c r="G4808" s="26">
        <v>1.01E-2</v>
      </c>
      <c r="H4808">
        <v>99</v>
      </c>
    </row>
    <row r="4809" spans="1:8" x14ac:dyDescent="0.35">
      <c r="A4809" t="s">
        <v>228</v>
      </c>
      <c r="B4809" t="s">
        <v>239</v>
      </c>
      <c r="C4809" s="26">
        <v>0.58050000000000002</v>
      </c>
      <c r="D4809" s="26">
        <v>0.22359999999999999</v>
      </c>
      <c r="E4809" s="26">
        <v>0.15740000000000001</v>
      </c>
      <c r="F4809" s="26">
        <v>3.5799999999999998E-2</v>
      </c>
      <c r="G4809" s="26">
        <v>2.7000000000000001E-3</v>
      </c>
      <c r="H4809">
        <v>330</v>
      </c>
    </row>
    <row r="4810" spans="1:8" x14ac:dyDescent="0.35">
      <c r="A4810" t="s">
        <v>228</v>
      </c>
      <c r="B4810" t="s">
        <v>238</v>
      </c>
      <c r="C4810" s="26">
        <v>0.59430000000000005</v>
      </c>
      <c r="D4810" s="26">
        <v>0.25490000000000002</v>
      </c>
      <c r="E4810" s="26">
        <v>0.13519999999999999</v>
      </c>
      <c r="F4810" s="26">
        <v>1.35E-2</v>
      </c>
      <c r="G4810" s="26">
        <v>2.2000000000000001E-3</v>
      </c>
      <c r="H4810">
        <v>703</v>
      </c>
    </row>
    <row r="4811" spans="1:8" x14ac:dyDescent="0.35">
      <c r="A4811" t="s">
        <v>229</v>
      </c>
      <c r="B4811" t="s">
        <v>239</v>
      </c>
      <c r="C4811" s="26">
        <v>0.52580000000000005</v>
      </c>
      <c r="D4811" s="26">
        <v>0.26869999999999999</v>
      </c>
      <c r="E4811" s="26">
        <v>0.17249999999999999</v>
      </c>
      <c r="F4811" s="26">
        <v>1.32E-2</v>
      </c>
      <c r="G4811" s="26">
        <v>1.9699999999999999E-2</v>
      </c>
      <c r="H4811">
        <v>332</v>
      </c>
    </row>
    <row r="4812" spans="1:8" x14ac:dyDescent="0.35">
      <c r="A4812" t="s">
        <v>229</v>
      </c>
      <c r="B4812" t="s">
        <v>238</v>
      </c>
      <c r="C4812" s="26">
        <v>0.59660000000000002</v>
      </c>
      <c r="D4812" s="26">
        <v>0.19220000000000001</v>
      </c>
      <c r="E4812" s="26">
        <v>0.18210000000000001</v>
      </c>
      <c r="F4812" s="26">
        <v>2.5700000000000001E-2</v>
      </c>
      <c r="G4812" s="26">
        <v>3.3999999999999998E-3</v>
      </c>
      <c r="H4812">
        <v>563</v>
      </c>
    </row>
    <row r="4813" spans="1:8" x14ac:dyDescent="0.35">
      <c r="A4813" t="s">
        <v>230</v>
      </c>
      <c r="B4813" t="s">
        <v>239</v>
      </c>
      <c r="C4813" s="26">
        <v>0.54159999999999997</v>
      </c>
      <c r="D4813" s="26">
        <v>0.33579999999999999</v>
      </c>
      <c r="E4813" s="26">
        <v>0.1038</v>
      </c>
      <c r="F4813" s="26">
        <v>1.5800000000000002E-2</v>
      </c>
      <c r="G4813" s="26">
        <v>2.8999999999999998E-3</v>
      </c>
      <c r="H4813">
        <v>211</v>
      </c>
    </row>
    <row r="4814" spans="1:8" x14ac:dyDescent="0.35">
      <c r="A4814" t="s">
        <v>230</v>
      </c>
      <c r="B4814" t="s">
        <v>238</v>
      </c>
      <c r="C4814" s="26">
        <v>0.63729999999999998</v>
      </c>
      <c r="D4814" s="26">
        <v>0.2056</v>
      </c>
      <c r="E4814" s="26">
        <v>0.11609999999999999</v>
      </c>
      <c r="F4814" s="26">
        <v>4.1000000000000002E-2</v>
      </c>
      <c r="H4814">
        <v>349</v>
      </c>
    </row>
    <row r="4815" spans="1:8" x14ac:dyDescent="0.35">
      <c r="A4815" t="s">
        <v>231</v>
      </c>
      <c r="B4815" t="s">
        <v>239</v>
      </c>
      <c r="C4815" s="26">
        <v>0.49120000000000003</v>
      </c>
      <c r="D4815" s="26">
        <v>0.31580000000000003</v>
      </c>
      <c r="E4815" s="26">
        <v>0.15790000000000001</v>
      </c>
      <c r="F4815" s="26">
        <v>1.7500000000000002E-2</v>
      </c>
      <c r="G4815" s="26">
        <v>1.7500000000000002E-2</v>
      </c>
      <c r="H4815">
        <v>57</v>
      </c>
    </row>
    <row r="4816" spans="1:8" x14ac:dyDescent="0.35">
      <c r="A4816" t="s">
        <v>231</v>
      </c>
      <c r="B4816" t="s">
        <v>238</v>
      </c>
      <c r="C4816" s="26">
        <v>0.58879999999999999</v>
      </c>
      <c r="D4816" s="26">
        <v>0.24299999999999999</v>
      </c>
      <c r="E4816" s="26">
        <v>0.15890000000000001</v>
      </c>
      <c r="F4816" s="26">
        <v>9.2999999999999992E-3</v>
      </c>
      <c r="H4816">
        <v>107</v>
      </c>
    </row>
    <row r="4817" spans="1:8" x14ac:dyDescent="0.35">
      <c r="A4817" t="s">
        <v>232</v>
      </c>
      <c r="B4817" t="s">
        <v>232</v>
      </c>
      <c r="C4817" s="26">
        <v>0.57640000000000002</v>
      </c>
      <c r="D4817" s="26">
        <v>0.24590000000000001</v>
      </c>
      <c r="E4817" s="26">
        <v>0.1522</v>
      </c>
      <c r="F4817" s="26">
        <v>2.0199999999999999E-2</v>
      </c>
      <c r="G4817" s="26">
        <v>5.3E-3</v>
      </c>
      <c r="H4817">
        <v>2813</v>
      </c>
    </row>
    <row r="4819" spans="1:8" x14ac:dyDescent="0.35">
      <c r="A4819" s="1" t="s">
        <v>711</v>
      </c>
    </row>
    <row r="4820" spans="1:8" x14ac:dyDescent="0.35">
      <c r="A4820" t="s">
        <v>219</v>
      </c>
      <c r="B4820" t="s">
        <v>305</v>
      </c>
      <c r="C4820" t="s">
        <v>681</v>
      </c>
      <c r="D4820" t="s">
        <v>682</v>
      </c>
      <c r="E4820" t="s">
        <v>683</v>
      </c>
      <c r="F4820" t="s">
        <v>684</v>
      </c>
      <c r="G4820" t="s">
        <v>281</v>
      </c>
      <c r="H4820" t="s">
        <v>226</v>
      </c>
    </row>
    <row r="4821" spans="1:8" x14ac:dyDescent="0.35">
      <c r="A4821" t="s">
        <v>227</v>
      </c>
      <c r="B4821" t="s">
        <v>244</v>
      </c>
      <c r="C4821" s="26">
        <v>0.58330000000000004</v>
      </c>
      <c r="D4821" s="26">
        <v>0.23960000000000001</v>
      </c>
      <c r="E4821" s="26">
        <v>0.14580000000000001</v>
      </c>
      <c r="F4821" s="26">
        <v>2.0799999999999999E-2</v>
      </c>
      <c r="G4821" s="26">
        <v>1.04E-2</v>
      </c>
      <c r="H4821">
        <v>96</v>
      </c>
    </row>
    <row r="4822" spans="1:8" x14ac:dyDescent="0.35">
      <c r="A4822" t="s">
        <v>227</v>
      </c>
      <c r="B4822" t="s">
        <v>245</v>
      </c>
      <c r="C4822" s="26">
        <v>0.50939999999999996</v>
      </c>
      <c r="D4822" s="26">
        <v>0.35849999999999999</v>
      </c>
      <c r="E4822" s="26">
        <v>0.1132</v>
      </c>
      <c r="F4822" s="26">
        <v>1.89E-2</v>
      </c>
      <c r="H4822">
        <v>53</v>
      </c>
    </row>
    <row r="4823" spans="1:8" x14ac:dyDescent="0.35">
      <c r="A4823" s="27" t="s">
        <v>227</v>
      </c>
      <c r="B4823" s="27" t="s">
        <v>246</v>
      </c>
      <c r="C4823" s="28">
        <v>0.75</v>
      </c>
      <c r="D4823" s="28">
        <v>8.3299999999999999E-2</v>
      </c>
      <c r="E4823" s="28">
        <v>8.3299999999999999E-2</v>
      </c>
      <c r="F4823" s="28">
        <v>8.3299999999999999E-2</v>
      </c>
      <c r="G4823" s="29"/>
      <c r="H4823" s="29" t="s">
        <v>342</v>
      </c>
    </row>
    <row r="4824" spans="1:8" x14ac:dyDescent="0.35">
      <c r="A4824" t="s">
        <v>228</v>
      </c>
      <c r="B4824" t="s">
        <v>244</v>
      </c>
      <c r="C4824" s="26">
        <v>0.62019999999999997</v>
      </c>
      <c r="D4824" s="26">
        <v>0.23949999999999999</v>
      </c>
      <c r="E4824" s="26">
        <v>0.1203</v>
      </c>
      <c r="F4824" s="26">
        <v>1.8200000000000001E-2</v>
      </c>
      <c r="G4824" s="26">
        <v>1.8E-3</v>
      </c>
      <c r="H4824">
        <v>638</v>
      </c>
    </row>
    <row r="4825" spans="1:8" x14ac:dyDescent="0.35">
      <c r="A4825" t="s">
        <v>228</v>
      </c>
      <c r="B4825" t="s">
        <v>245</v>
      </c>
      <c r="C4825" s="26">
        <v>0.54810000000000003</v>
      </c>
      <c r="D4825" s="26">
        <v>0.26290000000000002</v>
      </c>
      <c r="E4825" s="26">
        <v>0.1789</v>
      </c>
      <c r="F4825" s="26">
        <v>6.1999999999999998E-3</v>
      </c>
      <c r="G4825" s="26">
        <v>3.8999999999999998E-3</v>
      </c>
      <c r="H4825">
        <v>328</v>
      </c>
    </row>
    <row r="4826" spans="1:8" x14ac:dyDescent="0.35">
      <c r="A4826" t="s">
        <v>228</v>
      </c>
      <c r="B4826" t="s">
        <v>246</v>
      </c>
      <c r="C4826" s="26">
        <v>0.49330000000000002</v>
      </c>
      <c r="D4826" s="26">
        <v>0.27439999999999998</v>
      </c>
      <c r="E4826" s="26">
        <v>0.1663</v>
      </c>
      <c r="F4826" s="26">
        <v>6.59E-2</v>
      </c>
      <c r="H4826">
        <v>67</v>
      </c>
    </row>
    <row r="4827" spans="1:8" x14ac:dyDescent="0.35">
      <c r="A4827" t="s">
        <v>229</v>
      </c>
      <c r="B4827" t="s">
        <v>244</v>
      </c>
      <c r="C4827" s="26">
        <v>0.60819999999999996</v>
      </c>
      <c r="D4827" s="26">
        <v>0.17119999999999999</v>
      </c>
      <c r="E4827" s="26">
        <v>0.18540000000000001</v>
      </c>
      <c r="F4827" s="26">
        <v>2.4299999999999999E-2</v>
      </c>
      <c r="G4827" s="26">
        <v>1.0800000000000001E-2</v>
      </c>
      <c r="H4827">
        <v>557</v>
      </c>
    </row>
    <row r="4828" spans="1:8" x14ac:dyDescent="0.35">
      <c r="A4828" t="s">
        <v>229</v>
      </c>
      <c r="B4828" t="s">
        <v>245</v>
      </c>
      <c r="C4828" s="26">
        <v>0.51539999999999997</v>
      </c>
      <c r="D4828" s="26">
        <v>0.31819999999999998</v>
      </c>
      <c r="E4828" s="26">
        <v>0.154</v>
      </c>
      <c r="F4828" s="26">
        <v>1.2500000000000001E-2</v>
      </c>
      <c r="H4828">
        <v>293</v>
      </c>
    </row>
    <row r="4829" spans="1:8" x14ac:dyDescent="0.35">
      <c r="A4829" t="s">
        <v>229</v>
      </c>
      <c r="B4829" t="s">
        <v>246</v>
      </c>
      <c r="C4829" s="26">
        <v>0.49430000000000002</v>
      </c>
      <c r="D4829" s="26">
        <v>0.2311</v>
      </c>
      <c r="E4829" s="26">
        <v>0.22739999999999999</v>
      </c>
      <c r="F4829" s="26">
        <v>4.7100000000000003E-2</v>
      </c>
      <c r="H4829">
        <v>45</v>
      </c>
    </row>
    <row r="4830" spans="1:8" x14ac:dyDescent="0.35">
      <c r="A4830" t="s">
        <v>230</v>
      </c>
      <c r="B4830" t="s">
        <v>244</v>
      </c>
      <c r="C4830" s="26">
        <v>0.65559999999999996</v>
      </c>
      <c r="D4830" s="26">
        <v>0.23169999999999999</v>
      </c>
      <c r="E4830" s="26">
        <v>8.8900000000000007E-2</v>
      </c>
      <c r="F4830" s="26">
        <v>2.2499999999999999E-2</v>
      </c>
      <c r="G4830" s="26">
        <v>1.2999999999999999E-3</v>
      </c>
      <c r="H4830">
        <v>370</v>
      </c>
    </row>
    <row r="4831" spans="1:8" x14ac:dyDescent="0.35">
      <c r="A4831" t="s">
        <v>230</v>
      </c>
      <c r="B4831" t="s">
        <v>245</v>
      </c>
      <c r="C4831" s="26">
        <v>0.52200000000000002</v>
      </c>
      <c r="D4831" s="26">
        <v>0.26679999999999998</v>
      </c>
      <c r="E4831" s="26">
        <v>0.1628</v>
      </c>
      <c r="F4831" s="26">
        <v>4.8300000000000003E-2</v>
      </c>
      <c r="H4831">
        <v>161</v>
      </c>
    </row>
    <row r="4832" spans="1:8" x14ac:dyDescent="0.35">
      <c r="A4832" s="27" t="s">
        <v>230</v>
      </c>
      <c r="B4832" s="27" t="s">
        <v>246</v>
      </c>
      <c r="C4832" s="28">
        <v>0.39829999999999999</v>
      </c>
      <c r="D4832" s="28">
        <v>0.31369999999999998</v>
      </c>
      <c r="E4832" s="28">
        <v>0.1772</v>
      </c>
      <c r="F4832" s="28">
        <v>0.1108</v>
      </c>
      <c r="G4832" s="29"/>
      <c r="H4832" s="29" t="s">
        <v>329</v>
      </c>
    </row>
    <row r="4833" spans="1:8" x14ac:dyDescent="0.35">
      <c r="A4833" t="s">
        <v>231</v>
      </c>
      <c r="B4833" t="s">
        <v>244</v>
      </c>
      <c r="C4833" s="26">
        <v>0.56840000000000002</v>
      </c>
      <c r="D4833" s="26">
        <v>0.2737</v>
      </c>
      <c r="E4833" s="26">
        <v>0.1474</v>
      </c>
      <c r="G4833" s="26">
        <v>1.0500000000000001E-2</v>
      </c>
      <c r="H4833">
        <v>95</v>
      </c>
    </row>
    <row r="4834" spans="1:8" x14ac:dyDescent="0.35">
      <c r="A4834" t="s">
        <v>231</v>
      </c>
      <c r="B4834" t="s">
        <v>245</v>
      </c>
      <c r="C4834" s="26">
        <v>0.51790000000000003</v>
      </c>
      <c r="D4834" s="26">
        <v>0.25</v>
      </c>
      <c r="E4834" s="26">
        <v>0.21429999999999999</v>
      </c>
      <c r="F4834" s="26">
        <v>1.7899999999999999E-2</v>
      </c>
      <c r="H4834">
        <v>56</v>
      </c>
    </row>
    <row r="4835" spans="1:8" x14ac:dyDescent="0.35">
      <c r="A4835" s="27" t="s">
        <v>231</v>
      </c>
      <c r="B4835" s="27" t="s">
        <v>246</v>
      </c>
      <c r="C4835" s="28">
        <v>0.61539999999999995</v>
      </c>
      <c r="D4835" s="28">
        <v>0.30769999999999997</v>
      </c>
      <c r="E4835" s="29"/>
      <c r="F4835" s="28">
        <v>7.6899999999999996E-2</v>
      </c>
      <c r="G4835" s="29"/>
      <c r="H4835" s="29" t="s">
        <v>341</v>
      </c>
    </row>
    <row r="4836" spans="1:8" x14ac:dyDescent="0.35">
      <c r="A4836" t="s">
        <v>232</v>
      </c>
      <c r="B4836" t="s">
        <v>232</v>
      </c>
      <c r="C4836" s="26">
        <v>0.57640000000000002</v>
      </c>
      <c r="D4836" s="26">
        <v>0.24590000000000001</v>
      </c>
      <c r="E4836" s="26">
        <v>0.1522</v>
      </c>
      <c r="F4836" s="26">
        <v>2.0199999999999999E-2</v>
      </c>
      <c r="G4836" s="26">
        <v>5.3E-3</v>
      </c>
      <c r="H4836">
        <v>2813</v>
      </c>
    </row>
    <row r="4838" spans="1:8" x14ac:dyDescent="0.35">
      <c r="A4838" s="1" t="s">
        <v>712</v>
      </c>
    </row>
    <row r="4839" spans="1:8" x14ac:dyDescent="0.35">
      <c r="A4839" t="s">
        <v>219</v>
      </c>
      <c r="B4839" t="s">
        <v>305</v>
      </c>
      <c r="C4839" t="s">
        <v>681</v>
      </c>
      <c r="D4839" t="s">
        <v>682</v>
      </c>
      <c r="E4839" t="s">
        <v>683</v>
      </c>
      <c r="F4839" t="s">
        <v>684</v>
      </c>
      <c r="G4839" t="s">
        <v>281</v>
      </c>
      <c r="H4839" t="s">
        <v>226</v>
      </c>
    </row>
    <row r="4840" spans="1:8" x14ac:dyDescent="0.35">
      <c r="A4840" t="s">
        <v>227</v>
      </c>
      <c r="B4840" t="s">
        <v>360</v>
      </c>
      <c r="C4840" s="26">
        <v>0.53849999999999998</v>
      </c>
      <c r="D4840" s="26">
        <v>0.28210000000000002</v>
      </c>
      <c r="E4840" s="26">
        <v>0.1026</v>
      </c>
      <c r="F4840" s="26">
        <v>7.6899999999999996E-2</v>
      </c>
      <c r="H4840">
        <v>39</v>
      </c>
    </row>
    <row r="4841" spans="1:8" x14ac:dyDescent="0.35">
      <c r="A4841" t="s">
        <v>227</v>
      </c>
      <c r="B4841" t="s">
        <v>361</v>
      </c>
      <c r="C4841" s="26">
        <v>0.75</v>
      </c>
      <c r="D4841" s="26">
        <v>0.25</v>
      </c>
      <c r="H4841">
        <v>32</v>
      </c>
    </row>
    <row r="4842" spans="1:8" x14ac:dyDescent="0.35">
      <c r="A4842" t="s">
        <v>227</v>
      </c>
      <c r="B4842" t="s">
        <v>362</v>
      </c>
      <c r="C4842" s="26">
        <v>0.37840000000000001</v>
      </c>
      <c r="D4842" s="26">
        <v>0.40539999999999998</v>
      </c>
      <c r="E4842" s="26">
        <v>0.16220000000000001</v>
      </c>
      <c r="F4842" s="26">
        <v>2.7E-2</v>
      </c>
      <c r="G4842" s="26">
        <v>2.7E-2</v>
      </c>
      <c r="H4842">
        <v>37</v>
      </c>
    </row>
    <row r="4843" spans="1:8" x14ac:dyDescent="0.35">
      <c r="A4843" t="s">
        <v>227</v>
      </c>
      <c r="B4843" t="s">
        <v>363</v>
      </c>
      <c r="C4843" s="26">
        <v>0.6</v>
      </c>
      <c r="D4843" s="26">
        <v>0.2</v>
      </c>
      <c r="E4843" s="26">
        <v>0.2</v>
      </c>
      <c r="H4843">
        <v>45</v>
      </c>
    </row>
    <row r="4844" spans="1:8" x14ac:dyDescent="0.35">
      <c r="A4844" t="s">
        <v>228</v>
      </c>
      <c r="B4844" t="s">
        <v>360</v>
      </c>
      <c r="C4844" s="26">
        <v>0.44479999999999997</v>
      </c>
      <c r="D4844" s="26">
        <v>0.30149999999999999</v>
      </c>
      <c r="E4844" s="26">
        <v>0.21579999999999999</v>
      </c>
      <c r="F4844" s="26">
        <v>2.92E-2</v>
      </c>
      <c r="G4844" s="26">
        <v>8.6999999999999994E-3</v>
      </c>
      <c r="H4844">
        <v>258</v>
      </c>
    </row>
    <row r="4845" spans="1:8" x14ac:dyDescent="0.35">
      <c r="A4845" t="s">
        <v>228</v>
      </c>
      <c r="B4845" t="s">
        <v>361</v>
      </c>
      <c r="C4845" s="26">
        <v>0.71919999999999995</v>
      </c>
      <c r="D4845" s="26">
        <v>0.16789999999999999</v>
      </c>
      <c r="E4845" s="26">
        <v>0.1128</v>
      </c>
      <c r="H4845">
        <v>194</v>
      </c>
    </row>
    <row r="4846" spans="1:8" x14ac:dyDescent="0.35">
      <c r="A4846" t="s">
        <v>228</v>
      </c>
      <c r="B4846" t="s">
        <v>363</v>
      </c>
      <c r="C4846" s="26">
        <v>0.6341</v>
      </c>
      <c r="D4846" s="26">
        <v>0.22889999999999999</v>
      </c>
      <c r="E4846" s="26">
        <v>0.1132</v>
      </c>
      <c r="F4846" s="26">
        <v>2.3800000000000002E-2</v>
      </c>
      <c r="H4846">
        <v>212</v>
      </c>
    </row>
    <row r="4847" spans="1:8" x14ac:dyDescent="0.35">
      <c r="A4847" t="s">
        <v>228</v>
      </c>
      <c r="B4847" t="s">
        <v>362</v>
      </c>
      <c r="C4847" s="26">
        <v>0.48649999999999999</v>
      </c>
      <c r="D4847" s="26">
        <v>0.317</v>
      </c>
      <c r="E4847" s="26">
        <v>0.1656</v>
      </c>
      <c r="F4847" s="26">
        <v>2.8500000000000001E-2</v>
      </c>
      <c r="G4847" s="26">
        <v>2.3999999999999998E-3</v>
      </c>
      <c r="H4847">
        <v>236</v>
      </c>
    </row>
    <row r="4848" spans="1:8" x14ac:dyDescent="0.35">
      <c r="A4848" t="s">
        <v>229</v>
      </c>
      <c r="B4848" t="s">
        <v>363</v>
      </c>
      <c r="C4848" s="26">
        <v>0.47470000000000001</v>
      </c>
      <c r="D4848" s="26">
        <v>0.29339999999999999</v>
      </c>
      <c r="E4848" s="26">
        <v>0.18840000000000001</v>
      </c>
      <c r="F4848" s="26">
        <v>4.3400000000000001E-2</v>
      </c>
      <c r="H4848">
        <v>191</v>
      </c>
    </row>
    <row r="4849" spans="1:8" x14ac:dyDescent="0.35">
      <c r="A4849" t="s">
        <v>229</v>
      </c>
      <c r="B4849" t="s">
        <v>360</v>
      </c>
      <c r="C4849" s="26">
        <v>0.39829999999999999</v>
      </c>
      <c r="D4849" s="26">
        <v>0.2185</v>
      </c>
      <c r="E4849" s="26">
        <v>0.31130000000000002</v>
      </c>
      <c r="F4849" s="26">
        <v>5.57E-2</v>
      </c>
      <c r="G4849" s="26">
        <v>1.6199999999999999E-2</v>
      </c>
      <c r="H4849">
        <v>164</v>
      </c>
    </row>
    <row r="4850" spans="1:8" x14ac:dyDescent="0.35">
      <c r="A4850" t="s">
        <v>229</v>
      </c>
      <c r="B4850" t="s">
        <v>361</v>
      </c>
      <c r="C4850" s="26">
        <v>0.71209999999999996</v>
      </c>
      <c r="D4850" s="26">
        <v>0.19589999999999999</v>
      </c>
      <c r="E4850" s="26">
        <v>9.1999999999999998E-2</v>
      </c>
      <c r="H4850">
        <v>243</v>
      </c>
    </row>
    <row r="4851" spans="1:8" x14ac:dyDescent="0.35">
      <c r="A4851" t="s">
        <v>229</v>
      </c>
      <c r="B4851" t="s">
        <v>362</v>
      </c>
      <c r="C4851" s="26">
        <v>0.47399999999999998</v>
      </c>
      <c r="D4851" s="26">
        <v>0.2034</v>
      </c>
      <c r="E4851" s="26">
        <v>0.27</v>
      </c>
      <c r="F4851" s="26">
        <v>3.7100000000000001E-2</v>
      </c>
      <c r="G4851" s="26">
        <v>1.55E-2</v>
      </c>
      <c r="H4851">
        <v>171</v>
      </c>
    </row>
    <row r="4852" spans="1:8" x14ac:dyDescent="0.35">
      <c r="A4852" t="s">
        <v>230</v>
      </c>
      <c r="B4852" t="s">
        <v>360</v>
      </c>
      <c r="C4852" s="26">
        <v>0.3463</v>
      </c>
      <c r="D4852" s="26">
        <v>0.35970000000000002</v>
      </c>
      <c r="E4852" s="26">
        <v>0.246</v>
      </c>
      <c r="F4852" s="26">
        <v>4.8000000000000001E-2</v>
      </c>
      <c r="H4852">
        <v>120</v>
      </c>
    </row>
    <row r="4853" spans="1:8" x14ac:dyDescent="0.35">
      <c r="A4853" t="s">
        <v>230</v>
      </c>
      <c r="B4853" t="s">
        <v>363</v>
      </c>
      <c r="C4853" s="26">
        <v>0.60550000000000004</v>
      </c>
      <c r="D4853" s="26">
        <v>0.27829999999999999</v>
      </c>
      <c r="E4853" s="26">
        <v>8.9300000000000004E-2</v>
      </c>
      <c r="F4853" s="26">
        <v>2.69E-2</v>
      </c>
      <c r="H4853">
        <v>127</v>
      </c>
    </row>
    <row r="4854" spans="1:8" x14ac:dyDescent="0.35">
      <c r="A4854" t="s">
        <v>230</v>
      </c>
      <c r="B4854" t="s">
        <v>361</v>
      </c>
      <c r="C4854" s="26">
        <v>0.82599999999999996</v>
      </c>
      <c r="D4854" s="26">
        <v>0.1203</v>
      </c>
      <c r="E4854" s="26">
        <v>3.2500000000000001E-2</v>
      </c>
      <c r="F4854" s="26">
        <v>2.12E-2</v>
      </c>
      <c r="H4854">
        <v>109</v>
      </c>
    </row>
    <row r="4855" spans="1:8" x14ac:dyDescent="0.35">
      <c r="A4855" t="s">
        <v>230</v>
      </c>
      <c r="B4855" t="s">
        <v>362</v>
      </c>
      <c r="C4855" s="26">
        <v>0.55110000000000003</v>
      </c>
      <c r="D4855" s="26">
        <v>0.28339999999999999</v>
      </c>
      <c r="E4855" s="26">
        <v>0.1143</v>
      </c>
      <c r="F4855" s="26">
        <v>5.1200000000000002E-2</v>
      </c>
      <c r="H4855">
        <v>148</v>
      </c>
    </row>
    <row r="4856" spans="1:8" x14ac:dyDescent="0.35">
      <c r="A4856" s="27" t="s">
        <v>231</v>
      </c>
      <c r="B4856" s="27" t="s">
        <v>362</v>
      </c>
      <c r="C4856" s="28">
        <v>0.62070000000000003</v>
      </c>
      <c r="D4856" s="28">
        <v>0.2069</v>
      </c>
      <c r="E4856" s="28">
        <v>0.13789999999999999</v>
      </c>
      <c r="F4856" s="29"/>
      <c r="G4856" s="28">
        <v>3.4500000000000003E-2</v>
      </c>
      <c r="H4856" s="29" t="s">
        <v>329</v>
      </c>
    </row>
    <row r="4857" spans="1:8" x14ac:dyDescent="0.35">
      <c r="A4857" t="s">
        <v>231</v>
      </c>
      <c r="B4857" t="s">
        <v>361</v>
      </c>
      <c r="C4857" s="26">
        <v>0.57999999999999996</v>
      </c>
      <c r="D4857" s="26">
        <v>0.26</v>
      </c>
      <c r="E4857" s="26">
        <v>0.16</v>
      </c>
      <c r="H4857">
        <v>50</v>
      </c>
    </row>
    <row r="4858" spans="1:8" x14ac:dyDescent="0.35">
      <c r="A4858" t="s">
        <v>231</v>
      </c>
      <c r="B4858" t="s">
        <v>360</v>
      </c>
      <c r="C4858" s="26">
        <v>0.45450000000000002</v>
      </c>
      <c r="D4858" s="26">
        <v>0.31819999999999998</v>
      </c>
      <c r="E4858" s="26">
        <v>0.20449999999999999</v>
      </c>
      <c r="F4858" s="26">
        <v>2.2700000000000001E-2</v>
      </c>
      <c r="H4858">
        <v>44</v>
      </c>
    </row>
    <row r="4859" spans="1:8" x14ac:dyDescent="0.35">
      <c r="A4859" s="27" t="s">
        <v>231</v>
      </c>
      <c r="B4859" s="27" t="s">
        <v>363</v>
      </c>
      <c r="C4859" s="28">
        <v>0.51849999999999996</v>
      </c>
      <c r="D4859" s="28">
        <v>0.29630000000000001</v>
      </c>
      <c r="E4859" s="28">
        <v>0.14810000000000001</v>
      </c>
      <c r="F4859" s="28">
        <v>3.6999999999999998E-2</v>
      </c>
      <c r="G4859" s="29"/>
      <c r="H4859" s="29" t="s">
        <v>338</v>
      </c>
    </row>
    <row r="4860" spans="1:8" x14ac:dyDescent="0.35">
      <c r="A4860" t="s">
        <v>232</v>
      </c>
      <c r="B4860" t="s">
        <v>232</v>
      </c>
      <c r="C4860" s="26">
        <v>0.57640000000000002</v>
      </c>
      <c r="D4860" s="26">
        <v>0.24590000000000001</v>
      </c>
      <c r="E4860" s="26">
        <v>0.1522</v>
      </c>
      <c r="F4860" s="26">
        <v>2.0199999999999999E-2</v>
      </c>
      <c r="G4860" s="26">
        <v>5.3E-3</v>
      </c>
      <c r="H4860">
        <v>2476</v>
      </c>
    </row>
    <row r="4862" spans="1:8" x14ac:dyDescent="0.35">
      <c r="A4862" s="1" t="s">
        <v>713</v>
      </c>
    </row>
    <row r="4863" spans="1:8" x14ac:dyDescent="0.35">
      <c r="A4863" t="s">
        <v>219</v>
      </c>
      <c r="B4863" t="s">
        <v>305</v>
      </c>
      <c r="C4863" t="s">
        <v>681</v>
      </c>
      <c r="D4863" t="s">
        <v>682</v>
      </c>
      <c r="E4863" t="s">
        <v>683</v>
      </c>
      <c r="F4863" t="s">
        <v>684</v>
      </c>
      <c r="G4863" t="s">
        <v>281</v>
      </c>
      <c r="H4863" t="s">
        <v>226</v>
      </c>
    </row>
    <row r="4864" spans="1:8" x14ac:dyDescent="0.35">
      <c r="A4864" t="s">
        <v>227</v>
      </c>
      <c r="B4864" t="s">
        <v>267</v>
      </c>
      <c r="C4864" s="26">
        <v>0.61109999999999998</v>
      </c>
      <c r="D4864" s="26">
        <v>0.30559999999999998</v>
      </c>
      <c r="E4864" s="26">
        <v>8.3299999999999999E-2</v>
      </c>
      <c r="H4864">
        <v>36</v>
      </c>
    </row>
    <row r="4865" spans="1:8" x14ac:dyDescent="0.35">
      <c r="A4865" t="s">
        <v>227</v>
      </c>
      <c r="B4865" t="s">
        <v>266</v>
      </c>
      <c r="C4865" s="26">
        <v>0.52539999999999998</v>
      </c>
      <c r="D4865" s="26">
        <v>0.2712</v>
      </c>
      <c r="E4865" s="26">
        <v>0.16950000000000001</v>
      </c>
      <c r="F4865" s="26">
        <v>1.6899999999999998E-2</v>
      </c>
      <c r="G4865" s="26">
        <v>1.6899999999999998E-2</v>
      </c>
      <c r="H4865">
        <v>59</v>
      </c>
    </row>
    <row r="4866" spans="1:8" x14ac:dyDescent="0.35">
      <c r="A4866" t="s">
        <v>227</v>
      </c>
      <c r="B4866" t="s">
        <v>265</v>
      </c>
      <c r="C4866" s="26">
        <v>0.59089999999999998</v>
      </c>
      <c r="D4866" s="26">
        <v>0.2424</v>
      </c>
      <c r="E4866" s="26">
        <v>0.1212</v>
      </c>
      <c r="F4866" s="26">
        <v>4.5499999999999999E-2</v>
      </c>
      <c r="H4866">
        <v>66</v>
      </c>
    </row>
    <row r="4867" spans="1:8" x14ac:dyDescent="0.35">
      <c r="A4867" t="s">
        <v>228</v>
      </c>
      <c r="B4867" t="s">
        <v>267</v>
      </c>
      <c r="C4867" s="26">
        <v>0.65610000000000002</v>
      </c>
      <c r="D4867" s="26">
        <v>0.26469999999999999</v>
      </c>
      <c r="E4867" s="26">
        <v>6.6400000000000001E-2</v>
      </c>
      <c r="F4867" s="26">
        <v>9.5999999999999992E-3</v>
      </c>
      <c r="G4867" s="26">
        <v>3.2000000000000002E-3</v>
      </c>
      <c r="H4867">
        <v>199</v>
      </c>
    </row>
    <row r="4868" spans="1:8" x14ac:dyDescent="0.35">
      <c r="A4868" t="s">
        <v>228</v>
      </c>
      <c r="B4868" t="s">
        <v>265</v>
      </c>
      <c r="C4868" s="26">
        <v>0.60519999999999996</v>
      </c>
      <c r="D4868" s="26">
        <v>0.25969999999999999</v>
      </c>
      <c r="E4868" s="26">
        <v>0.1158</v>
      </c>
      <c r="F4868" s="26">
        <v>1.9199999999999998E-2</v>
      </c>
      <c r="H4868">
        <v>384</v>
      </c>
    </row>
    <row r="4869" spans="1:8" x14ac:dyDescent="0.35">
      <c r="A4869" s="27" t="s">
        <v>228</v>
      </c>
      <c r="B4869" s="27" t="s">
        <v>236</v>
      </c>
      <c r="C4869" s="29"/>
      <c r="D4869" s="28">
        <v>0.5</v>
      </c>
      <c r="E4869" s="28">
        <v>0.5</v>
      </c>
      <c r="F4869" s="29"/>
      <c r="G4869" s="29"/>
      <c r="H4869" s="29" t="s">
        <v>314</v>
      </c>
    </row>
    <row r="4870" spans="1:8" x14ac:dyDescent="0.35">
      <c r="A4870" t="s">
        <v>228</v>
      </c>
      <c r="B4870" t="s">
        <v>266</v>
      </c>
      <c r="C4870" s="26">
        <v>0.5605</v>
      </c>
      <c r="D4870" s="26">
        <v>0.2263</v>
      </c>
      <c r="E4870" s="26">
        <v>0.1883</v>
      </c>
      <c r="F4870" s="26">
        <v>2.07E-2</v>
      </c>
      <c r="G4870" s="26">
        <v>4.1999999999999997E-3</v>
      </c>
      <c r="H4870">
        <v>448</v>
      </c>
    </row>
    <row r="4871" spans="1:8" x14ac:dyDescent="0.35">
      <c r="A4871" t="s">
        <v>229</v>
      </c>
      <c r="B4871" t="s">
        <v>266</v>
      </c>
      <c r="C4871" s="26">
        <v>0.47449999999999998</v>
      </c>
      <c r="D4871" s="26">
        <v>0.25600000000000001</v>
      </c>
      <c r="E4871" s="26">
        <v>0.2492</v>
      </c>
      <c r="F4871" s="26">
        <v>2.0299999999999999E-2</v>
      </c>
      <c r="H4871">
        <v>359</v>
      </c>
    </row>
    <row r="4872" spans="1:8" x14ac:dyDescent="0.35">
      <c r="A4872" t="s">
        <v>229</v>
      </c>
      <c r="B4872" t="s">
        <v>267</v>
      </c>
      <c r="C4872" s="26">
        <v>0.67530000000000001</v>
      </c>
      <c r="D4872" s="26">
        <v>0.2036</v>
      </c>
      <c r="E4872" s="26">
        <v>0.1099</v>
      </c>
      <c r="G4872" s="26">
        <v>1.1299999999999999E-2</v>
      </c>
      <c r="H4872">
        <v>201</v>
      </c>
    </row>
    <row r="4873" spans="1:8" x14ac:dyDescent="0.35">
      <c r="A4873" t="s">
        <v>229</v>
      </c>
      <c r="B4873" t="s">
        <v>265</v>
      </c>
      <c r="C4873" s="26">
        <v>0.6069</v>
      </c>
      <c r="D4873" s="26">
        <v>0.18329999999999999</v>
      </c>
      <c r="E4873" s="26">
        <v>0.1633</v>
      </c>
      <c r="F4873" s="26">
        <v>3.5299999999999998E-2</v>
      </c>
      <c r="G4873" s="26">
        <v>1.11E-2</v>
      </c>
      <c r="H4873">
        <v>335</v>
      </c>
    </row>
    <row r="4874" spans="1:8" x14ac:dyDescent="0.35">
      <c r="A4874" t="s">
        <v>230</v>
      </c>
      <c r="B4874" t="s">
        <v>267</v>
      </c>
      <c r="C4874" s="26">
        <v>0.69379999999999997</v>
      </c>
      <c r="D4874" s="26">
        <v>0.20330000000000001</v>
      </c>
      <c r="E4874" s="26">
        <v>0.10290000000000001</v>
      </c>
      <c r="H4874">
        <v>119</v>
      </c>
    </row>
    <row r="4875" spans="1:8" x14ac:dyDescent="0.35">
      <c r="A4875" t="s">
        <v>230</v>
      </c>
      <c r="B4875" t="s">
        <v>266</v>
      </c>
      <c r="C4875" s="26">
        <v>0.51100000000000001</v>
      </c>
      <c r="D4875" s="26">
        <v>0.28999999999999998</v>
      </c>
      <c r="E4875" s="26">
        <v>0.15359999999999999</v>
      </c>
      <c r="F4875" s="26">
        <v>4.2900000000000001E-2</v>
      </c>
      <c r="G4875" s="26">
        <v>2.5000000000000001E-3</v>
      </c>
      <c r="H4875">
        <v>232</v>
      </c>
    </row>
    <row r="4876" spans="1:8" x14ac:dyDescent="0.35">
      <c r="A4876" t="s">
        <v>230</v>
      </c>
      <c r="B4876" t="s">
        <v>265</v>
      </c>
      <c r="C4876" s="26">
        <v>0.64770000000000005</v>
      </c>
      <c r="D4876" s="26">
        <v>0.2276</v>
      </c>
      <c r="E4876" s="26">
        <v>8.1799999999999998E-2</v>
      </c>
      <c r="F4876" s="26">
        <v>4.2799999999999998E-2</v>
      </c>
      <c r="H4876">
        <v>209</v>
      </c>
    </row>
    <row r="4877" spans="1:8" x14ac:dyDescent="0.35">
      <c r="A4877" t="s">
        <v>231</v>
      </c>
      <c r="B4877" t="s">
        <v>267</v>
      </c>
      <c r="C4877" s="26">
        <v>0.61760000000000004</v>
      </c>
      <c r="D4877" s="26">
        <v>0.23530000000000001</v>
      </c>
      <c r="E4877" s="26">
        <v>0.14710000000000001</v>
      </c>
      <c r="H4877">
        <v>34</v>
      </c>
    </row>
    <row r="4878" spans="1:8" x14ac:dyDescent="0.35">
      <c r="A4878" t="s">
        <v>231</v>
      </c>
      <c r="B4878" t="s">
        <v>266</v>
      </c>
      <c r="C4878" s="26">
        <v>0.5645</v>
      </c>
      <c r="D4878" s="26">
        <v>0.2419</v>
      </c>
      <c r="E4878" s="26">
        <v>0.1774</v>
      </c>
      <c r="F4878" s="26">
        <v>1.61E-2</v>
      </c>
      <c r="H4878">
        <v>62</v>
      </c>
    </row>
    <row r="4879" spans="1:8" x14ac:dyDescent="0.35">
      <c r="A4879" t="s">
        <v>231</v>
      </c>
      <c r="B4879" t="s">
        <v>265</v>
      </c>
      <c r="C4879" s="26">
        <v>0.51470000000000005</v>
      </c>
      <c r="D4879" s="26">
        <v>0.30880000000000002</v>
      </c>
      <c r="E4879" s="26">
        <v>0.14710000000000001</v>
      </c>
      <c r="F4879" s="26">
        <v>1.47E-2</v>
      </c>
      <c r="G4879" s="26">
        <v>1.47E-2</v>
      </c>
      <c r="H4879">
        <v>68</v>
      </c>
    </row>
    <row r="4880" spans="1:8" x14ac:dyDescent="0.35">
      <c r="A4880" t="s">
        <v>232</v>
      </c>
      <c r="B4880" t="s">
        <v>232</v>
      </c>
      <c r="C4880" s="26">
        <v>0.57640000000000002</v>
      </c>
      <c r="D4880" s="26">
        <v>0.24590000000000001</v>
      </c>
      <c r="E4880" s="26">
        <v>0.1522</v>
      </c>
      <c r="F4880" s="26">
        <v>2.0199999999999999E-2</v>
      </c>
      <c r="G4880" s="26">
        <v>5.3E-3</v>
      </c>
      <c r="H4880">
        <v>2813</v>
      </c>
    </row>
    <row r="4882" spans="1:8" x14ac:dyDescent="0.35">
      <c r="A4882" s="1" t="s">
        <v>714</v>
      </c>
    </row>
    <row r="4883" spans="1:8" x14ac:dyDescent="0.35">
      <c r="A4883" t="s">
        <v>219</v>
      </c>
      <c r="B4883" t="s">
        <v>305</v>
      </c>
      <c r="C4883" t="s">
        <v>681</v>
      </c>
      <c r="D4883" t="s">
        <v>682</v>
      </c>
      <c r="E4883" t="s">
        <v>683</v>
      </c>
      <c r="F4883" t="s">
        <v>684</v>
      </c>
      <c r="G4883" t="s">
        <v>281</v>
      </c>
      <c r="H4883" t="s">
        <v>226</v>
      </c>
    </row>
    <row r="4884" spans="1:8" x14ac:dyDescent="0.35">
      <c r="A4884" t="s">
        <v>227</v>
      </c>
      <c r="B4884" t="s">
        <v>252</v>
      </c>
      <c r="C4884" s="26">
        <v>0.31109999999999999</v>
      </c>
      <c r="D4884" s="26">
        <v>0.37780000000000002</v>
      </c>
      <c r="E4884" s="26">
        <v>0.24440000000000001</v>
      </c>
      <c r="F4884" s="26">
        <v>4.4400000000000002E-2</v>
      </c>
      <c r="G4884" s="26">
        <v>2.2200000000000001E-2</v>
      </c>
      <c r="H4884">
        <v>45</v>
      </c>
    </row>
    <row r="4885" spans="1:8" x14ac:dyDescent="0.35">
      <c r="A4885" t="s">
        <v>227</v>
      </c>
      <c r="B4885" t="s">
        <v>253</v>
      </c>
      <c r="C4885" s="26">
        <v>0.55879999999999996</v>
      </c>
      <c r="D4885" s="26">
        <v>0.2059</v>
      </c>
      <c r="E4885" s="26">
        <v>0.23530000000000001</v>
      </c>
      <c r="H4885">
        <v>34</v>
      </c>
    </row>
    <row r="4886" spans="1:8" x14ac:dyDescent="0.35">
      <c r="A4886" t="s">
        <v>227</v>
      </c>
      <c r="B4886" t="s">
        <v>251</v>
      </c>
      <c r="C4886" s="26">
        <v>0.71950000000000003</v>
      </c>
      <c r="D4886" s="26">
        <v>0.23169999999999999</v>
      </c>
      <c r="E4886" s="26">
        <v>2.4400000000000002E-2</v>
      </c>
      <c r="F4886" s="26">
        <v>2.4400000000000002E-2</v>
      </c>
      <c r="H4886">
        <v>82</v>
      </c>
    </row>
    <row r="4887" spans="1:8" x14ac:dyDescent="0.35">
      <c r="A4887" t="s">
        <v>228</v>
      </c>
      <c r="B4887" t="s">
        <v>252</v>
      </c>
      <c r="C4887" s="26">
        <v>0.39900000000000002</v>
      </c>
      <c r="D4887" s="26">
        <v>0.34350000000000003</v>
      </c>
      <c r="E4887" s="26">
        <v>0.22650000000000001</v>
      </c>
      <c r="F4887" s="26">
        <v>2.93E-2</v>
      </c>
      <c r="G4887" s="26">
        <v>1.6999999999999999E-3</v>
      </c>
      <c r="H4887">
        <v>344</v>
      </c>
    </row>
    <row r="4888" spans="1:8" x14ac:dyDescent="0.35">
      <c r="A4888" t="s">
        <v>228</v>
      </c>
      <c r="B4888" t="s">
        <v>253</v>
      </c>
      <c r="C4888" s="26">
        <v>0.39040000000000002</v>
      </c>
      <c r="D4888" s="26">
        <v>0.34970000000000001</v>
      </c>
      <c r="E4888" s="26">
        <v>0.2271</v>
      </c>
      <c r="F4888" s="26">
        <v>3.2800000000000003E-2</v>
      </c>
      <c r="H4888">
        <v>222</v>
      </c>
    </row>
    <row r="4889" spans="1:8" x14ac:dyDescent="0.35">
      <c r="A4889" t="s">
        <v>228</v>
      </c>
      <c r="B4889" t="s">
        <v>251</v>
      </c>
      <c r="C4889" s="26">
        <v>0.80769999999999997</v>
      </c>
      <c r="D4889" s="26">
        <v>0.14080000000000001</v>
      </c>
      <c r="E4889" s="26">
        <v>4.3700000000000003E-2</v>
      </c>
      <c r="F4889" s="26">
        <v>4.1999999999999997E-3</v>
      </c>
      <c r="G4889" s="26">
        <v>3.5999999999999999E-3</v>
      </c>
      <c r="H4889">
        <v>467</v>
      </c>
    </row>
    <row r="4890" spans="1:8" x14ac:dyDescent="0.35">
      <c r="A4890" t="s">
        <v>229</v>
      </c>
      <c r="B4890" t="s">
        <v>252</v>
      </c>
      <c r="C4890" s="26">
        <v>0.29649999999999999</v>
      </c>
      <c r="D4890" s="26">
        <v>0.38190000000000002</v>
      </c>
      <c r="E4890" s="26">
        <v>0.26989999999999997</v>
      </c>
      <c r="F4890" s="26">
        <v>2.9399999999999999E-2</v>
      </c>
      <c r="G4890" s="26">
        <v>2.24E-2</v>
      </c>
      <c r="H4890">
        <v>199</v>
      </c>
    </row>
    <row r="4891" spans="1:8" x14ac:dyDescent="0.35">
      <c r="A4891" t="s">
        <v>229</v>
      </c>
      <c r="B4891" t="s">
        <v>253</v>
      </c>
      <c r="C4891" s="26">
        <v>0.3765</v>
      </c>
      <c r="D4891" s="26">
        <v>0.17449999999999999</v>
      </c>
      <c r="E4891" s="26">
        <v>0.36630000000000001</v>
      </c>
      <c r="F4891" s="26">
        <v>8.2699999999999996E-2</v>
      </c>
      <c r="H4891">
        <v>145</v>
      </c>
    </row>
    <row r="4892" spans="1:8" x14ac:dyDescent="0.35">
      <c r="A4892" t="s">
        <v>229</v>
      </c>
      <c r="B4892" t="s">
        <v>251</v>
      </c>
      <c r="C4892" s="26">
        <v>0.75139999999999996</v>
      </c>
      <c r="D4892" s="26">
        <v>0.15870000000000001</v>
      </c>
      <c r="E4892" s="26">
        <v>8.5099999999999995E-2</v>
      </c>
      <c r="F4892" s="26">
        <v>5.9999999999999995E-4</v>
      </c>
      <c r="G4892" s="26">
        <v>4.3E-3</v>
      </c>
      <c r="H4892">
        <v>551</v>
      </c>
    </row>
    <row r="4893" spans="1:8" x14ac:dyDescent="0.35">
      <c r="A4893" t="s">
        <v>230</v>
      </c>
      <c r="B4893" t="s">
        <v>252</v>
      </c>
      <c r="C4893" s="26">
        <v>0.29520000000000002</v>
      </c>
      <c r="D4893" s="26">
        <v>0.40200000000000002</v>
      </c>
      <c r="E4893" s="26">
        <v>0.25030000000000002</v>
      </c>
      <c r="F4893" s="26">
        <v>5.2499999999999998E-2</v>
      </c>
      <c r="H4893">
        <v>159</v>
      </c>
    </row>
    <row r="4894" spans="1:8" x14ac:dyDescent="0.35">
      <c r="A4894" t="s">
        <v>230</v>
      </c>
      <c r="B4894" t="s">
        <v>253</v>
      </c>
      <c r="C4894" s="26">
        <v>0.59450000000000003</v>
      </c>
      <c r="D4894" s="26">
        <v>0.2848</v>
      </c>
      <c r="E4894" s="26">
        <v>7.6399999999999996E-2</v>
      </c>
      <c r="F4894" s="26">
        <v>4.4299999999999999E-2</v>
      </c>
      <c r="H4894">
        <v>110</v>
      </c>
    </row>
    <row r="4895" spans="1:8" x14ac:dyDescent="0.35">
      <c r="A4895" t="s">
        <v>230</v>
      </c>
      <c r="B4895" t="s">
        <v>251</v>
      </c>
      <c r="C4895" s="26">
        <v>0.75760000000000005</v>
      </c>
      <c r="D4895" s="26">
        <v>0.15870000000000001</v>
      </c>
      <c r="E4895" s="26">
        <v>6.0999999999999999E-2</v>
      </c>
      <c r="F4895" s="26">
        <v>2.1000000000000001E-2</v>
      </c>
      <c r="G4895" s="26">
        <v>1.6000000000000001E-3</v>
      </c>
      <c r="H4895">
        <v>291</v>
      </c>
    </row>
    <row r="4896" spans="1:8" x14ac:dyDescent="0.35">
      <c r="A4896" t="s">
        <v>231</v>
      </c>
      <c r="B4896" t="s">
        <v>252</v>
      </c>
      <c r="C4896" s="26">
        <v>0.42859999999999998</v>
      </c>
      <c r="D4896" s="26">
        <v>0.26529999999999998</v>
      </c>
      <c r="E4896" s="26">
        <v>0.26529999999999998</v>
      </c>
      <c r="F4896" s="26">
        <v>2.0400000000000001E-2</v>
      </c>
      <c r="G4896" s="26">
        <v>2.0400000000000001E-2</v>
      </c>
      <c r="H4896">
        <v>49</v>
      </c>
    </row>
    <row r="4897" spans="1:8" x14ac:dyDescent="0.35">
      <c r="A4897" t="s">
        <v>231</v>
      </c>
      <c r="B4897" t="s">
        <v>253</v>
      </c>
      <c r="C4897" s="26">
        <v>0.2</v>
      </c>
      <c r="D4897" s="26">
        <v>0.5</v>
      </c>
      <c r="E4897" s="26">
        <v>0.26669999999999999</v>
      </c>
      <c r="F4897" s="26">
        <v>3.3300000000000003E-2</v>
      </c>
      <c r="H4897">
        <v>30</v>
      </c>
    </row>
    <row r="4898" spans="1:8" x14ac:dyDescent="0.35">
      <c r="A4898" t="s">
        <v>231</v>
      </c>
      <c r="B4898" t="s">
        <v>251</v>
      </c>
      <c r="C4898" s="26">
        <v>0.75290000000000001</v>
      </c>
      <c r="D4898" s="26">
        <v>0.18820000000000001</v>
      </c>
      <c r="E4898" s="26">
        <v>5.8799999999999998E-2</v>
      </c>
      <c r="H4898">
        <v>85</v>
      </c>
    </row>
    <row r="4899" spans="1:8" x14ac:dyDescent="0.35">
      <c r="A4899" t="s">
        <v>232</v>
      </c>
      <c r="B4899" t="s">
        <v>232</v>
      </c>
      <c r="C4899" s="26">
        <v>0.57640000000000002</v>
      </c>
      <c r="D4899" s="26">
        <v>0.24590000000000001</v>
      </c>
      <c r="E4899" s="26">
        <v>0.1522</v>
      </c>
      <c r="F4899" s="26">
        <v>2.0199999999999999E-2</v>
      </c>
      <c r="G4899" s="26">
        <v>5.3E-3</v>
      </c>
      <c r="H4899">
        <v>2813</v>
      </c>
    </row>
    <row r="4901" spans="1:8" x14ac:dyDescent="0.35">
      <c r="A4901" s="1" t="s">
        <v>715</v>
      </c>
    </row>
    <row r="4902" spans="1:8" x14ac:dyDescent="0.35">
      <c r="A4902" t="s">
        <v>219</v>
      </c>
      <c r="B4902" t="s">
        <v>305</v>
      </c>
      <c r="C4902" t="s">
        <v>681</v>
      </c>
      <c r="D4902" t="s">
        <v>682</v>
      </c>
      <c r="E4902" t="s">
        <v>683</v>
      </c>
      <c r="F4902" t="s">
        <v>684</v>
      </c>
      <c r="G4902" t="s">
        <v>281</v>
      </c>
      <c r="H4902" t="s">
        <v>226</v>
      </c>
    </row>
    <row r="4903" spans="1:8" x14ac:dyDescent="0.35">
      <c r="A4903" t="s">
        <v>227</v>
      </c>
      <c r="B4903" t="s">
        <v>249</v>
      </c>
      <c r="C4903" s="26">
        <v>0.75</v>
      </c>
      <c r="D4903" s="26">
        <v>0.18179999999999999</v>
      </c>
      <c r="E4903" s="26">
        <v>4.5499999999999999E-2</v>
      </c>
      <c r="F4903" s="26">
        <v>2.2700000000000001E-2</v>
      </c>
      <c r="H4903">
        <v>44</v>
      </c>
    </row>
    <row r="4904" spans="1:8" x14ac:dyDescent="0.35">
      <c r="A4904" t="s">
        <v>227</v>
      </c>
      <c r="B4904" t="s">
        <v>248</v>
      </c>
      <c r="C4904" s="26">
        <v>0.50429999999999997</v>
      </c>
      <c r="D4904" s="26">
        <v>0.29909999999999998</v>
      </c>
      <c r="E4904" s="26">
        <v>0.16239999999999999</v>
      </c>
      <c r="F4904" s="26">
        <v>2.5600000000000001E-2</v>
      </c>
      <c r="G4904" s="26">
        <v>8.5000000000000006E-3</v>
      </c>
      <c r="H4904">
        <v>117</v>
      </c>
    </row>
    <row r="4905" spans="1:8" x14ac:dyDescent="0.35">
      <c r="A4905" t="s">
        <v>228</v>
      </c>
      <c r="B4905" t="s">
        <v>249</v>
      </c>
      <c r="C4905" s="26">
        <v>0.75290000000000001</v>
      </c>
      <c r="D4905" s="26">
        <v>0.156</v>
      </c>
      <c r="E4905" s="26">
        <v>7.46E-2</v>
      </c>
      <c r="F4905" s="26">
        <v>1.6500000000000001E-2</v>
      </c>
      <c r="H4905">
        <v>274</v>
      </c>
    </row>
    <row r="4906" spans="1:8" x14ac:dyDescent="0.35">
      <c r="A4906" t="s">
        <v>228</v>
      </c>
      <c r="B4906" t="s">
        <v>248</v>
      </c>
      <c r="C4906" s="26">
        <v>0.52259999999999995</v>
      </c>
      <c r="D4906" s="26">
        <v>0.28789999999999999</v>
      </c>
      <c r="E4906" s="26">
        <v>0.16750000000000001</v>
      </c>
      <c r="F4906" s="26">
        <v>1.8800000000000001E-2</v>
      </c>
      <c r="G4906" s="26">
        <v>3.2000000000000002E-3</v>
      </c>
      <c r="H4906">
        <v>759</v>
      </c>
    </row>
    <row r="4907" spans="1:8" x14ac:dyDescent="0.35">
      <c r="A4907" t="s">
        <v>229</v>
      </c>
      <c r="B4907" t="s">
        <v>249</v>
      </c>
      <c r="C4907" s="26">
        <v>0.72460000000000002</v>
      </c>
      <c r="D4907" s="26">
        <v>0.1409</v>
      </c>
      <c r="E4907" s="26">
        <v>0.12690000000000001</v>
      </c>
      <c r="F4907" s="26">
        <v>7.6E-3</v>
      </c>
      <c r="H4907">
        <v>259</v>
      </c>
    </row>
    <row r="4908" spans="1:8" x14ac:dyDescent="0.35">
      <c r="A4908" t="s">
        <v>229</v>
      </c>
      <c r="B4908" t="s">
        <v>248</v>
      </c>
      <c r="C4908" s="26">
        <v>0.5071</v>
      </c>
      <c r="D4908" s="26">
        <v>0.24629999999999999</v>
      </c>
      <c r="E4908" s="26">
        <v>0.20549999999999999</v>
      </c>
      <c r="F4908" s="26">
        <v>2.98E-2</v>
      </c>
      <c r="G4908" s="26">
        <v>1.12E-2</v>
      </c>
      <c r="H4908">
        <v>636</v>
      </c>
    </row>
    <row r="4909" spans="1:8" x14ac:dyDescent="0.35">
      <c r="A4909" t="s">
        <v>230</v>
      </c>
      <c r="B4909" t="s">
        <v>249</v>
      </c>
      <c r="C4909" s="26">
        <v>0.69920000000000004</v>
      </c>
      <c r="D4909" s="26">
        <v>0.19040000000000001</v>
      </c>
      <c r="E4909" s="26">
        <v>8.6499999999999994E-2</v>
      </c>
      <c r="F4909" s="26">
        <v>2.1299999999999999E-2</v>
      </c>
      <c r="G4909" s="26">
        <v>2.5999999999999999E-3</v>
      </c>
      <c r="H4909">
        <v>171</v>
      </c>
    </row>
    <row r="4910" spans="1:8" x14ac:dyDescent="0.35">
      <c r="A4910" t="s">
        <v>230</v>
      </c>
      <c r="B4910" t="s">
        <v>248</v>
      </c>
      <c r="C4910" s="26">
        <v>0.56230000000000002</v>
      </c>
      <c r="D4910" s="26">
        <v>0.27250000000000002</v>
      </c>
      <c r="E4910" s="26">
        <v>0.1255</v>
      </c>
      <c r="F4910" s="26">
        <v>3.9600000000000003E-2</v>
      </c>
      <c r="H4910">
        <v>389</v>
      </c>
    </row>
    <row r="4911" spans="1:8" x14ac:dyDescent="0.35">
      <c r="A4911" t="s">
        <v>231</v>
      </c>
      <c r="B4911" t="s">
        <v>249</v>
      </c>
      <c r="C4911" s="26">
        <v>0.7429</v>
      </c>
      <c r="D4911" s="26">
        <v>0.2286</v>
      </c>
      <c r="E4911" s="26">
        <v>2.86E-2</v>
      </c>
      <c r="H4911">
        <v>35</v>
      </c>
    </row>
    <row r="4912" spans="1:8" x14ac:dyDescent="0.35">
      <c r="A4912" t="s">
        <v>231</v>
      </c>
      <c r="B4912" t="s">
        <v>248</v>
      </c>
      <c r="C4912" s="26">
        <v>0.50390000000000001</v>
      </c>
      <c r="D4912" s="26">
        <v>0.27910000000000001</v>
      </c>
      <c r="E4912" s="26">
        <v>0.1938</v>
      </c>
      <c r="F4912" s="26">
        <v>1.55E-2</v>
      </c>
      <c r="G4912" s="26">
        <v>7.7999999999999996E-3</v>
      </c>
      <c r="H4912">
        <v>129</v>
      </c>
    </row>
    <row r="4913" spans="1:8" x14ac:dyDescent="0.35">
      <c r="A4913" t="s">
        <v>232</v>
      </c>
      <c r="B4913" t="s">
        <v>232</v>
      </c>
      <c r="C4913" s="26">
        <v>0.57640000000000002</v>
      </c>
      <c r="D4913" s="26">
        <v>0.24590000000000001</v>
      </c>
      <c r="E4913" s="26">
        <v>0.1522</v>
      </c>
      <c r="F4913" s="26">
        <v>2.0199999999999999E-2</v>
      </c>
      <c r="G4913" s="26">
        <v>5.3E-3</v>
      </c>
      <c r="H4913">
        <v>2813</v>
      </c>
    </row>
    <row r="4915" spans="1:8" x14ac:dyDescent="0.35">
      <c r="A4915" s="1" t="s">
        <v>716</v>
      </c>
    </row>
    <row r="4916" spans="1:8" x14ac:dyDescent="0.35">
      <c r="A4916" t="s">
        <v>219</v>
      </c>
      <c r="B4916" t="s">
        <v>305</v>
      </c>
      <c r="C4916" t="s">
        <v>681</v>
      </c>
      <c r="D4916" t="s">
        <v>682</v>
      </c>
      <c r="E4916" t="s">
        <v>683</v>
      </c>
      <c r="F4916" t="s">
        <v>684</v>
      </c>
      <c r="G4916" t="s">
        <v>281</v>
      </c>
      <c r="H4916" t="s">
        <v>226</v>
      </c>
    </row>
    <row r="4917" spans="1:8" x14ac:dyDescent="0.35">
      <c r="A4917" s="27" t="s">
        <v>227</v>
      </c>
      <c r="B4917" s="27" t="s">
        <v>263</v>
      </c>
      <c r="C4917" s="28">
        <v>0.33329999999999999</v>
      </c>
      <c r="D4917" s="28">
        <v>0.33329999999999999</v>
      </c>
      <c r="E4917" s="28">
        <v>0.33329999999999999</v>
      </c>
      <c r="F4917" s="29"/>
      <c r="G4917" s="29"/>
      <c r="H4917" s="29" t="s">
        <v>315</v>
      </c>
    </row>
    <row r="4918" spans="1:8" x14ac:dyDescent="0.35">
      <c r="A4918" t="s">
        <v>227</v>
      </c>
      <c r="B4918" t="s">
        <v>261</v>
      </c>
      <c r="C4918" s="26">
        <v>0.54549999999999998</v>
      </c>
      <c r="D4918" s="26">
        <v>0.21210000000000001</v>
      </c>
      <c r="E4918" s="26">
        <v>0.21210000000000001</v>
      </c>
      <c r="G4918" s="26">
        <v>3.0300000000000001E-2</v>
      </c>
      <c r="H4918">
        <v>33</v>
      </c>
    </row>
    <row r="4919" spans="1:8" x14ac:dyDescent="0.35">
      <c r="A4919" s="27" t="s">
        <v>227</v>
      </c>
      <c r="B4919" s="27" t="s">
        <v>262</v>
      </c>
      <c r="C4919" s="28">
        <v>1</v>
      </c>
      <c r="D4919" s="29"/>
      <c r="E4919" s="29"/>
      <c r="F4919" s="29"/>
      <c r="G4919" s="29"/>
      <c r="H4919" s="29" t="s">
        <v>315</v>
      </c>
    </row>
    <row r="4920" spans="1:8" x14ac:dyDescent="0.35">
      <c r="A4920" t="s">
        <v>227</v>
      </c>
      <c r="B4920" t="s">
        <v>260</v>
      </c>
      <c r="C4920" s="26">
        <v>0.57379999999999998</v>
      </c>
      <c r="D4920" s="26">
        <v>0.28689999999999999</v>
      </c>
      <c r="E4920" s="26">
        <v>0.1066</v>
      </c>
      <c r="F4920" s="26">
        <v>3.2800000000000003E-2</v>
      </c>
      <c r="H4920">
        <v>122</v>
      </c>
    </row>
    <row r="4921" spans="1:8" x14ac:dyDescent="0.35">
      <c r="A4921" t="s">
        <v>228</v>
      </c>
      <c r="B4921" t="s">
        <v>261</v>
      </c>
      <c r="C4921" s="26">
        <v>0.50149999999999995</v>
      </c>
      <c r="D4921" s="26">
        <v>0.2291</v>
      </c>
      <c r="E4921" s="26">
        <v>0.2384</v>
      </c>
      <c r="F4921" s="26">
        <v>3.1E-2</v>
      </c>
      <c r="H4921">
        <v>192</v>
      </c>
    </row>
    <row r="4922" spans="1:8" x14ac:dyDescent="0.35">
      <c r="A4922" s="27" t="s">
        <v>228</v>
      </c>
      <c r="B4922" s="27" t="s">
        <v>263</v>
      </c>
      <c r="C4922" s="28">
        <v>0.53810000000000002</v>
      </c>
      <c r="D4922" s="28">
        <v>0.2137</v>
      </c>
      <c r="E4922" s="28">
        <v>0.21890000000000001</v>
      </c>
      <c r="F4922" s="29"/>
      <c r="G4922" s="28">
        <v>2.93E-2</v>
      </c>
      <c r="H4922" s="29" t="s">
        <v>312</v>
      </c>
    </row>
    <row r="4923" spans="1:8" x14ac:dyDescent="0.35">
      <c r="A4923" s="27" t="s">
        <v>228</v>
      </c>
      <c r="B4923" s="27" t="s">
        <v>236</v>
      </c>
      <c r="C4923" s="28">
        <v>3.9E-2</v>
      </c>
      <c r="D4923" s="28">
        <v>0.42699999999999999</v>
      </c>
      <c r="E4923" s="28">
        <v>0.53400000000000003</v>
      </c>
      <c r="F4923" s="29"/>
      <c r="G4923" s="29"/>
      <c r="H4923" s="29" t="s">
        <v>335</v>
      </c>
    </row>
    <row r="4924" spans="1:8" x14ac:dyDescent="0.35">
      <c r="A4924" t="s">
        <v>228</v>
      </c>
      <c r="B4924" t="s">
        <v>262</v>
      </c>
      <c r="C4924" s="26">
        <v>0.6613</v>
      </c>
      <c r="D4924" s="26">
        <v>0.25040000000000001</v>
      </c>
      <c r="E4924" s="26">
        <v>7.5499999999999998E-2</v>
      </c>
      <c r="F4924" s="26">
        <v>5.7999999999999996E-3</v>
      </c>
      <c r="G4924" s="26">
        <v>7.0000000000000001E-3</v>
      </c>
      <c r="H4924">
        <v>201</v>
      </c>
    </row>
    <row r="4925" spans="1:8" x14ac:dyDescent="0.35">
      <c r="A4925" t="s">
        <v>228</v>
      </c>
      <c r="B4925" t="s">
        <v>260</v>
      </c>
      <c r="C4925" s="26">
        <v>0.60829999999999995</v>
      </c>
      <c r="D4925" s="26">
        <v>0.25330000000000003</v>
      </c>
      <c r="E4925" s="26">
        <v>0.1195</v>
      </c>
      <c r="F4925" s="26">
        <v>1.8100000000000002E-2</v>
      </c>
      <c r="G4925" s="26">
        <v>8.9999999999999998E-4</v>
      </c>
      <c r="H4925">
        <v>609</v>
      </c>
    </row>
    <row r="4926" spans="1:8" x14ac:dyDescent="0.35">
      <c r="A4926" s="27" t="s">
        <v>229</v>
      </c>
      <c r="B4926" s="27" t="s">
        <v>263</v>
      </c>
      <c r="C4926" s="28">
        <v>0.53639999999999999</v>
      </c>
      <c r="D4926" s="28">
        <v>2.1999999999999999E-2</v>
      </c>
      <c r="E4926" s="28">
        <v>0.31140000000000001</v>
      </c>
      <c r="F4926" s="29"/>
      <c r="G4926" s="28">
        <v>0.13009999999999999</v>
      </c>
      <c r="H4926" s="29" t="s">
        <v>379</v>
      </c>
    </row>
    <row r="4927" spans="1:8" x14ac:dyDescent="0.35">
      <c r="A4927" t="s">
        <v>229</v>
      </c>
      <c r="B4927" t="s">
        <v>262</v>
      </c>
      <c r="C4927" s="26">
        <v>0.70830000000000004</v>
      </c>
      <c r="D4927" s="26">
        <v>0.14099999999999999</v>
      </c>
      <c r="E4927" s="26">
        <v>0.14000000000000001</v>
      </c>
      <c r="F4927" s="26">
        <v>1.0699999999999999E-2</v>
      </c>
      <c r="H4927">
        <v>188</v>
      </c>
    </row>
    <row r="4928" spans="1:8" x14ac:dyDescent="0.35">
      <c r="A4928" t="s">
        <v>229</v>
      </c>
      <c r="B4928" t="s">
        <v>261</v>
      </c>
      <c r="C4928" s="26">
        <v>0.3679</v>
      </c>
      <c r="D4928" s="26">
        <v>0.27179999999999999</v>
      </c>
      <c r="E4928" s="26">
        <v>0.32100000000000001</v>
      </c>
      <c r="F4928" s="26">
        <v>3.9300000000000002E-2</v>
      </c>
      <c r="H4928">
        <v>96</v>
      </c>
    </row>
    <row r="4929" spans="1:8" x14ac:dyDescent="0.35">
      <c r="A4929" s="27" t="s">
        <v>229</v>
      </c>
      <c r="B4929" s="27" t="s">
        <v>236</v>
      </c>
      <c r="C4929" s="28">
        <v>1</v>
      </c>
      <c r="D4929" s="29"/>
      <c r="E4929" s="29"/>
      <c r="F4929" s="29"/>
      <c r="G4929" s="29"/>
      <c r="H4929" s="29" t="s">
        <v>331</v>
      </c>
    </row>
    <row r="4930" spans="1:8" x14ac:dyDescent="0.35">
      <c r="A4930" t="s">
        <v>229</v>
      </c>
      <c r="B4930" t="s">
        <v>260</v>
      </c>
      <c r="C4930" s="26">
        <v>0.57099999999999995</v>
      </c>
      <c r="D4930" s="26">
        <v>0.2379</v>
      </c>
      <c r="E4930" s="26">
        <v>0.15720000000000001</v>
      </c>
      <c r="F4930" s="26">
        <v>2.4799999999999999E-2</v>
      </c>
      <c r="G4930" s="26">
        <v>9.1000000000000004E-3</v>
      </c>
      <c r="H4930">
        <v>596</v>
      </c>
    </row>
    <row r="4931" spans="1:8" x14ac:dyDescent="0.35">
      <c r="A4931" s="27" t="s">
        <v>230</v>
      </c>
      <c r="B4931" s="27" t="s">
        <v>236</v>
      </c>
      <c r="C4931" s="28">
        <v>0.11899999999999999</v>
      </c>
      <c r="D4931" s="28">
        <v>0.1585</v>
      </c>
      <c r="E4931" s="28">
        <v>0.72240000000000004</v>
      </c>
      <c r="F4931" s="29"/>
      <c r="G4931" s="29"/>
      <c r="H4931" s="29" t="s">
        <v>337</v>
      </c>
    </row>
    <row r="4932" spans="1:8" x14ac:dyDescent="0.35">
      <c r="A4932" t="s">
        <v>230</v>
      </c>
      <c r="B4932" t="s">
        <v>262</v>
      </c>
      <c r="C4932" s="26">
        <v>0.65480000000000005</v>
      </c>
      <c r="D4932" s="26">
        <v>0.2049</v>
      </c>
      <c r="E4932" s="26">
        <v>0.13439999999999999</v>
      </c>
      <c r="F4932" s="26">
        <v>5.8999999999999999E-3</v>
      </c>
      <c r="H4932">
        <v>122</v>
      </c>
    </row>
    <row r="4933" spans="1:8" x14ac:dyDescent="0.35">
      <c r="A4933" t="s">
        <v>230</v>
      </c>
      <c r="B4933" t="s">
        <v>261</v>
      </c>
      <c r="C4933" s="26">
        <v>0.50339999999999996</v>
      </c>
      <c r="D4933" s="26">
        <v>0.27510000000000001</v>
      </c>
      <c r="E4933" s="26">
        <v>0.17430000000000001</v>
      </c>
      <c r="F4933" s="26">
        <v>4.7199999999999999E-2</v>
      </c>
      <c r="H4933">
        <v>57</v>
      </c>
    </row>
    <row r="4934" spans="1:8" x14ac:dyDescent="0.35">
      <c r="A4934" s="27" t="s">
        <v>230</v>
      </c>
      <c r="B4934" s="27" t="s">
        <v>263</v>
      </c>
      <c r="C4934" s="28">
        <v>0.2316</v>
      </c>
      <c r="D4934" s="28">
        <v>0.33760000000000001</v>
      </c>
      <c r="E4934" s="28">
        <v>0.43080000000000002</v>
      </c>
      <c r="F4934" s="29"/>
      <c r="G4934" s="29"/>
      <c r="H4934" s="29" t="s">
        <v>312</v>
      </c>
    </row>
    <row r="4935" spans="1:8" x14ac:dyDescent="0.35">
      <c r="A4935" t="s">
        <v>230</v>
      </c>
      <c r="B4935" t="s">
        <v>260</v>
      </c>
      <c r="C4935" s="26">
        <v>0.63270000000000004</v>
      </c>
      <c r="D4935" s="26">
        <v>0.24640000000000001</v>
      </c>
      <c r="E4935" s="26">
        <v>8.1699999999999995E-2</v>
      </c>
      <c r="F4935" s="26">
        <v>3.7900000000000003E-2</v>
      </c>
      <c r="G4935" s="26">
        <v>1.2999999999999999E-3</v>
      </c>
      <c r="H4935">
        <v>352</v>
      </c>
    </row>
    <row r="4936" spans="1:8" x14ac:dyDescent="0.35">
      <c r="A4936" s="27" t="s">
        <v>231</v>
      </c>
      <c r="B4936" s="27" t="s">
        <v>263</v>
      </c>
      <c r="C4936" s="28">
        <v>0.5</v>
      </c>
      <c r="D4936" s="29"/>
      <c r="E4936" s="28">
        <v>0.5</v>
      </c>
      <c r="F4936" s="29"/>
      <c r="G4936" s="29"/>
      <c r="H4936" s="29" t="s">
        <v>314</v>
      </c>
    </row>
    <row r="4937" spans="1:8" x14ac:dyDescent="0.35">
      <c r="A4937" t="s">
        <v>231</v>
      </c>
      <c r="B4937" t="s">
        <v>260</v>
      </c>
      <c r="C4937" s="26">
        <v>0.5403</v>
      </c>
      <c r="D4937" s="26">
        <v>0.2823</v>
      </c>
      <c r="E4937" s="26">
        <v>0.1532</v>
      </c>
      <c r="F4937" s="26">
        <v>1.61E-2</v>
      </c>
      <c r="G4937" s="26">
        <v>8.0999999999999996E-3</v>
      </c>
      <c r="H4937">
        <v>124</v>
      </c>
    </row>
    <row r="4938" spans="1:8" x14ac:dyDescent="0.35">
      <c r="A4938" s="27" t="s">
        <v>231</v>
      </c>
      <c r="B4938" s="27" t="s">
        <v>261</v>
      </c>
      <c r="C4938" s="28">
        <v>0.51849999999999996</v>
      </c>
      <c r="D4938" s="28">
        <v>0.29630000000000001</v>
      </c>
      <c r="E4938" s="28">
        <v>0.1852</v>
      </c>
      <c r="F4938" s="29"/>
      <c r="G4938" s="29"/>
      <c r="H4938" s="29" t="s">
        <v>338</v>
      </c>
    </row>
    <row r="4939" spans="1:8" x14ac:dyDescent="0.35">
      <c r="A4939" s="27" t="s">
        <v>231</v>
      </c>
      <c r="B4939" s="27" t="s">
        <v>262</v>
      </c>
      <c r="C4939" s="28">
        <v>0.81820000000000004</v>
      </c>
      <c r="D4939" s="28">
        <v>9.0899999999999995E-2</v>
      </c>
      <c r="E4939" s="28">
        <v>9.0899999999999995E-2</v>
      </c>
      <c r="F4939" s="29"/>
      <c r="G4939" s="29"/>
      <c r="H4939" s="29" t="s">
        <v>352</v>
      </c>
    </row>
    <row r="4940" spans="1:8" x14ac:dyDescent="0.35">
      <c r="A4940" t="s">
        <v>232</v>
      </c>
      <c r="B4940" t="s">
        <v>232</v>
      </c>
      <c r="C4940" s="26">
        <v>0.57640000000000002</v>
      </c>
      <c r="D4940" s="26">
        <v>0.24590000000000001</v>
      </c>
      <c r="E4940" s="26">
        <v>0.1522</v>
      </c>
      <c r="F4940" s="26">
        <v>2.0199999999999999E-2</v>
      </c>
      <c r="G4940" s="26">
        <v>5.3E-3</v>
      </c>
      <c r="H4940">
        <v>2813</v>
      </c>
    </row>
    <row r="4942" spans="1:8" x14ac:dyDescent="0.35">
      <c r="A4942" s="1" t="s">
        <v>717</v>
      </c>
    </row>
    <row r="4943" spans="1:8" x14ac:dyDescent="0.35">
      <c r="A4943" t="s">
        <v>219</v>
      </c>
      <c r="B4943" t="s">
        <v>305</v>
      </c>
      <c r="C4943" t="s">
        <v>681</v>
      </c>
      <c r="D4943" t="s">
        <v>682</v>
      </c>
      <c r="E4943" t="s">
        <v>683</v>
      </c>
      <c r="F4943" t="s">
        <v>684</v>
      </c>
      <c r="G4943" t="s">
        <v>281</v>
      </c>
      <c r="H4943" t="s">
        <v>226</v>
      </c>
    </row>
    <row r="4944" spans="1:8" x14ac:dyDescent="0.35">
      <c r="A4944" t="s">
        <v>227</v>
      </c>
      <c r="B4944" t="s">
        <v>368</v>
      </c>
      <c r="C4944" s="26">
        <v>0.54549999999999998</v>
      </c>
      <c r="D4944" s="26">
        <v>0.21210000000000001</v>
      </c>
      <c r="E4944" s="26">
        <v>0.21210000000000001</v>
      </c>
      <c r="G4944" s="26">
        <v>3.0300000000000001E-2</v>
      </c>
      <c r="H4944">
        <v>33</v>
      </c>
    </row>
    <row r="4945" spans="1:8" x14ac:dyDescent="0.35">
      <c r="A4945" t="s">
        <v>227</v>
      </c>
      <c r="B4945" t="s">
        <v>369</v>
      </c>
      <c r="C4945" s="26">
        <v>0.57809999999999995</v>
      </c>
      <c r="D4945" s="26">
        <v>0.28120000000000001</v>
      </c>
      <c r="E4945" s="26">
        <v>0.1094</v>
      </c>
      <c r="F4945" s="26">
        <v>3.1199999999999999E-2</v>
      </c>
      <c r="H4945">
        <v>128</v>
      </c>
    </row>
    <row r="4946" spans="1:8" x14ac:dyDescent="0.35">
      <c r="A4946" t="s">
        <v>228</v>
      </c>
      <c r="B4946" t="s">
        <v>368</v>
      </c>
      <c r="C4946" s="26">
        <v>0.50149999999999995</v>
      </c>
      <c r="D4946" s="26">
        <v>0.2291</v>
      </c>
      <c r="E4946" s="26">
        <v>0.2384</v>
      </c>
      <c r="F4946" s="26">
        <v>3.1E-2</v>
      </c>
      <c r="H4946">
        <v>192</v>
      </c>
    </row>
    <row r="4947" spans="1:8" x14ac:dyDescent="0.35">
      <c r="A4947" t="s">
        <v>228</v>
      </c>
      <c r="B4947" t="s">
        <v>369</v>
      </c>
      <c r="C4947" s="26">
        <v>0.61319999999999997</v>
      </c>
      <c r="D4947" s="26">
        <v>0.25309999999999999</v>
      </c>
      <c r="E4947" s="26">
        <v>0.1159</v>
      </c>
      <c r="F4947" s="26">
        <v>1.4999999999999999E-2</v>
      </c>
      <c r="G4947" s="26">
        <v>2.8E-3</v>
      </c>
      <c r="H4947">
        <v>841</v>
      </c>
    </row>
    <row r="4948" spans="1:8" x14ac:dyDescent="0.35">
      <c r="A4948" t="s">
        <v>229</v>
      </c>
      <c r="B4948" t="s">
        <v>368</v>
      </c>
      <c r="C4948" s="26">
        <v>0.3679</v>
      </c>
      <c r="D4948" s="26">
        <v>0.27179999999999999</v>
      </c>
      <c r="E4948" s="26">
        <v>0.32100000000000001</v>
      </c>
      <c r="F4948" s="26">
        <v>3.9300000000000002E-2</v>
      </c>
      <c r="H4948">
        <v>96</v>
      </c>
    </row>
    <row r="4949" spans="1:8" x14ac:dyDescent="0.35">
      <c r="A4949" t="s">
        <v>229</v>
      </c>
      <c r="B4949" t="s">
        <v>369</v>
      </c>
      <c r="C4949" s="26">
        <v>0.61529999999999996</v>
      </c>
      <c r="D4949" s="26">
        <v>0.20119999999999999</v>
      </c>
      <c r="E4949" s="26">
        <v>0.155</v>
      </c>
      <c r="F4949" s="26">
        <v>1.9599999999999999E-2</v>
      </c>
      <c r="G4949" s="26">
        <v>8.8000000000000005E-3</v>
      </c>
      <c r="H4949">
        <v>799</v>
      </c>
    </row>
    <row r="4950" spans="1:8" x14ac:dyDescent="0.35">
      <c r="A4950" t="s">
        <v>230</v>
      </c>
      <c r="B4950" t="s">
        <v>368</v>
      </c>
      <c r="C4950" s="26">
        <v>0.50339999999999996</v>
      </c>
      <c r="D4950" s="26">
        <v>0.27510000000000001</v>
      </c>
      <c r="E4950" s="26">
        <v>0.17430000000000001</v>
      </c>
      <c r="F4950" s="26">
        <v>4.7199999999999999E-2</v>
      </c>
      <c r="H4950">
        <v>57</v>
      </c>
    </row>
    <row r="4951" spans="1:8" x14ac:dyDescent="0.35">
      <c r="A4951" t="s">
        <v>230</v>
      </c>
      <c r="B4951" t="s">
        <v>369</v>
      </c>
      <c r="C4951" s="26">
        <v>0.62460000000000004</v>
      </c>
      <c r="D4951" s="26">
        <v>0.2402</v>
      </c>
      <c r="E4951" s="26">
        <v>0.10290000000000001</v>
      </c>
      <c r="F4951" s="26">
        <v>3.1300000000000001E-2</v>
      </c>
      <c r="G4951" s="26">
        <v>1E-3</v>
      </c>
      <c r="H4951">
        <v>503</v>
      </c>
    </row>
    <row r="4952" spans="1:8" x14ac:dyDescent="0.35">
      <c r="A4952" s="27" t="s">
        <v>231</v>
      </c>
      <c r="B4952" s="27" t="s">
        <v>368</v>
      </c>
      <c r="C4952" s="28">
        <v>0.51849999999999996</v>
      </c>
      <c r="D4952" s="28">
        <v>0.29630000000000001</v>
      </c>
      <c r="E4952" s="28">
        <v>0.1852</v>
      </c>
      <c r="F4952" s="29"/>
      <c r="G4952" s="29"/>
      <c r="H4952" s="29" t="s">
        <v>338</v>
      </c>
    </row>
    <row r="4953" spans="1:8" x14ac:dyDescent="0.35">
      <c r="A4953" t="s">
        <v>231</v>
      </c>
      <c r="B4953" t="s">
        <v>369</v>
      </c>
      <c r="C4953" s="26">
        <v>0.56200000000000006</v>
      </c>
      <c r="D4953" s="26">
        <v>0.26279999999999998</v>
      </c>
      <c r="E4953" s="26">
        <v>0.15329999999999999</v>
      </c>
      <c r="F4953" s="26">
        <v>1.46E-2</v>
      </c>
      <c r="G4953" s="26">
        <v>7.3000000000000001E-3</v>
      </c>
      <c r="H4953">
        <v>137</v>
      </c>
    </row>
    <row r="4954" spans="1:8" x14ac:dyDescent="0.35">
      <c r="A4954" t="s">
        <v>232</v>
      </c>
      <c r="B4954" t="s">
        <v>232</v>
      </c>
      <c r="C4954" s="26">
        <v>0.57640000000000002</v>
      </c>
      <c r="D4954" s="26">
        <v>0.24590000000000001</v>
      </c>
      <c r="E4954" s="26">
        <v>0.1522</v>
      </c>
      <c r="F4954" s="26">
        <v>2.0199999999999999E-2</v>
      </c>
      <c r="G4954" s="26">
        <v>5.3E-3</v>
      </c>
      <c r="H4954">
        <v>2813</v>
      </c>
    </row>
    <row r="4956" spans="1:8" x14ac:dyDescent="0.35">
      <c r="A4956" s="1" t="s">
        <v>718</v>
      </c>
    </row>
    <row r="4957" spans="1:8" x14ac:dyDescent="0.35">
      <c r="A4957" t="s">
        <v>219</v>
      </c>
      <c r="B4957" t="s">
        <v>305</v>
      </c>
      <c r="C4957" t="s">
        <v>681</v>
      </c>
      <c r="D4957" t="s">
        <v>682</v>
      </c>
      <c r="E4957" t="s">
        <v>683</v>
      </c>
      <c r="F4957" t="s">
        <v>684</v>
      </c>
      <c r="G4957" t="s">
        <v>281</v>
      </c>
      <c r="H4957" t="s">
        <v>226</v>
      </c>
    </row>
    <row r="4958" spans="1:8" x14ac:dyDescent="0.35">
      <c r="A4958" t="s">
        <v>227</v>
      </c>
      <c r="B4958" t="s">
        <v>371</v>
      </c>
      <c r="C4958" s="26">
        <v>0.57140000000000002</v>
      </c>
      <c r="D4958" s="26">
        <v>0.2671</v>
      </c>
      <c r="E4958" s="26">
        <v>0.13039999999999999</v>
      </c>
      <c r="F4958" s="26">
        <v>2.4799999999999999E-2</v>
      </c>
      <c r="G4958" s="26">
        <v>6.1999999999999998E-3</v>
      </c>
      <c r="H4958">
        <v>161</v>
      </c>
    </row>
    <row r="4959" spans="1:8" x14ac:dyDescent="0.35">
      <c r="A4959" t="s">
        <v>228</v>
      </c>
      <c r="B4959" t="s">
        <v>371</v>
      </c>
      <c r="C4959" s="26">
        <v>0.60029999999999994</v>
      </c>
      <c r="D4959" s="26">
        <v>0.23799999999999999</v>
      </c>
      <c r="E4959" s="26">
        <v>0.1454</v>
      </c>
      <c r="F4959" s="26">
        <v>1.6400000000000001E-2</v>
      </c>
      <c r="H4959">
        <v>292</v>
      </c>
    </row>
    <row r="4960" spans="1:8" x14ac:dyDescent="0.35">
      <c r="A4960" t="s">
        <v>228</v>
      </c>
      <c r="B4960" t="s">
        <v>372</v>
      </c>
      <c r="C4960" s="26">
        <v>0.45269999999999999</v>
      </c>
      <c r="D4960" s="26">
        <v>0.28639999999999999</v>
      </c>
      <c r="E4960" s="26">
        <v>0.22090000000000001</v>
      </c>
      <c r="F4960" s="26">
        <v>3.3599999999999998E-2</v>
      </c>
      <c r="G4960" s="26">
        <v>6.4000000000000003E-3</v>
      </c>
      <c r="H4960">
        <v>218</v>
      </c>
    </row>
    <row r="4961" spans="1:8" x14ac:dyDescent="0.35">
      <c r="A4961" t="s">
        <v>228</v>
      </c>
      <c r="B4961" t="s">
        <v>373</v>
      </c>
      <c r="C4961" s="26">
        <v>0.60980000000000001</v>
      </c>
      <c r="D4961" s="26">
        <v>0.25409999999999999</v>
      </c>
      <c r="E4961" s="26">
        <v>0.1147</v>
      </c>
      <c r="F4961" s="26">
        <v>1.7000000000000001E-2</v>
      </c>
      <c r="G4961" s="26">
        <v>4.4000000000000003E-3</v>
      </c>
      <c r="H4961">
        <v>523</v>
      </c>
    </row>
    <row r="4962" spans="1:8" x14ac:dyDescent="0.35">
      <c r="A4962" t="s">
        <v>229</v>
      </c>
      <c r="B4962" t="s">
        <v>371</v>
      </c>
      <c r="C4962" s="26">
        <v>0.57489999999999997</v>
      </c>
      <c r="D4962" s="26">
        <v>0.21029999999999999</v>
      </c>
      <c r="E4962" s="26">
        <v>0.1832</v>
      </c>
      <c r="F4962" s="26">
        <v>2.35E-2</v>
      </c>
      <c r="G4962" s="26">
        <v>8.0999999999999996E-3</v>
      </c>
      <c r="H4962">
        <v>584</v>
      </c>
    </row>
    <row r="4963" spans="1:8" x14ac:dyDescent="0.35">
      <c r="A4963" t="s">
        <v>229</v>
      </c>
      <c r="B4963" t="s">
        <v>372</v>
      </c>
      <c r="C4963" s="26">
        <v>0.60170000000000001</v>
      </c>
      <c r="D4963" s="26">
        <v>0.22040000000000001</v>
      </c>
      <c r="E4963" s="26">
        <v>0.16750000000000001</v>
      </c>
      <c r="F4963" s="26">
        <v>1.04E-2</v>
      </c>
      <c r="H4963">
        <v>221</v>
      </c>
    </row>
    <row r="4964" spans="1:8" x14ac:dyDescent="0.35">
      <c r="A4964" t="s">
        <v>229</v>
      </c>
      <c r="B4964" t="s">
        <v>373</v>
      </c>
      <c r="C4964" s="26">
        <v>0.66300000000000003</v>
      </c>
      <c r="D4964" s="26">
        <v>0.24440000000000001</v>
      </c>
      <c r="E4964" s="26">
        <v>8.0299999999999996E-2</v>
      </c>
      <c r="F4964" s="26">
        <v>1.23E-2</v>
      </c>
      <c r="H4964">
        <v>90</v>
      </c>
    </row>
    <row r="4965" spans="1:8" x14ac:dyDescent="0.35">
      <c r="A4965" t="s">
        <v>230</v>
      </c>
      <c r="B4965" t="s">
        <v>371</v>
      </c>
      <c r="C4965" s="26">
        <v>0.61729999999999996</v>
      </c>
      <c r="D4965" s="26">
        <v>0.2394</v>
      </c>
      <c r="E4965" s="26">
        <v>0.107</v>
      </c>
      <c r="F4965" s="26">
        <v>3.6400000000000002E-2</v>
      </c>
      <c r="H4965">
        <v>262</v>
      </c>
    </row>
    <row r="4966" spans="1:8" x14ac:dyDescent="0.35">
      <c r="A4966" t="s">
        <v>230</v>
      </c>
      <c r="B4966" t="s">
        <v>372</v>
      </c>
      <c r="C4966" s="26">
        <v>0.52429999999999999</v>
      </c>
      <c r="D4966" s="26">
        <v>0.27460000000000001</v>
      </c>
      <c r="E4966" s="26">
        <v>0.16569999999999999</v>
      </c>
      <c r="F4966" s="26">
        <v>2.01E-2</v>
      </c>
      <c r="G4966" s="26">
        <v>1.54E-2</v>
      </c>
      <c r="H4966">
        <v>146</v>
      </c>
    </row>
    <row r="4967" spans="1:8" x14ac:dyDescent="0.35">
      <c r="A4967" t="s">
        <v>230</v>
      </c>
      <c r="B4967" t="s">
        <v>373</v>
      </c>
      <c r="C4967" s="26">
        <v>0.59030000000000005</v>
      </c>
      <c r="D4967" s="26">
        <v>0.26629999999999998</v>
      </c>
      <c r="E4967" s="26">
        <v>0.1226</v>
      </c>
      <c r="F4967" s="26">
        <v>2.0899999999999998E-2</v>
      </c>
      <c r="H4967">
        <v>152</v>
      </c>
    </row>
    <row r="4968" spans="1:8" x14ac:dyDescent="0.35">
      <c r="A4968" t="s">
        <v>231</v>
      </c>
      <c r="B4968" t="s">
        <v>371</v>
      </c>
      <c r="C4968" s="26">
        <v>0.55489999999999995</v>
      </c>
      <c r="D4968" s="26">
        <v>0.26829999999999998</v>
      </c>
      <c r="E4968" s="26">
        <v>0.1585</v>
      </c>
      <c r="F4968" s="26">
        <v>1.2200000000000001E-2</v>
      </c>
      <c r="G4968" s="26">
        <v>6.1000000000000004E-3</v>
      </c>
      <c r="H4968">
        <v>164</v>
      </c>
    </row>
    <row r="4969" spans="1:8" x14ac:dyDescent="0.35">
      <c r="A4969" t="s">
        <v>232</v>
      </c>
      <c r="B4969" t="s">
        <v>232</v>
      </c>
      <c r="C4969" s="26">
        <v>0.57640000000000002</v>
      </c>
      <c r="D4969" s="26">
        <v>0.24590000000000001</v>
      </c>
      <c r="E4969" s="26">
        <v>0.1522</v>
      </c>
      <c r="F4969" s="26">
        <v>2.0199999999999999E-2</v>
      </c>
      <c r="G4969" s="26">
        <v>5.3E-3</v>
      </c>
      <c r="H4969">
        <v>2813</v>
      </c>
    </row>
    <row r="4971" spans="1:8" x14ac:dyDescent="0.35">
      <c r="A4971" s="1" t="s">
        <v>719</v>
      </c>
    </row>
    <row r="4972" spans="1:8" x14ac:dyDescent="0.35">
      <c r="A4972" t="s">
        <v>219</v>
      </c>
      <c r="B4972" t="s">
        <v>305</v>
      </c>
      <c r="C4972" t="s">
        <v>681</v>
      </c>
      <c r="D4972" t="s">
        <v>682</v>
      </c>
      <c r="E4972" t="s">
        <v>683</v>
      </c>
      <c r="F4972" t="s">
        <v>684</v>
      </c>
      <c r="G4972" t="s">
        <v>281</v>
      </c>
      <c r="H4972" t="s">
        <v>226</v>
      </c>
    </row>
    <row r="4973" spans="1:8" x14ac:dyDescent="0.35">
      <c r="A4973" t="s">
        <v>227</v>
      </c>
      <c r="B4973" t="s">
        <v>255</v>
      </c>
      <c r="C4973" s="26">
        <v>0.50429999999999997</v>
      </c>
      <c r="D4973" s="26">
        <v>0.29909999999999998</v>
      </c>
      <c r="E4973" s="26">
        <v>0.16239999999999999</v>
      </c>
      <c r="F4973" s="26">
        <v>2.5600000000000001E-2</v>
      </c>
      <c r="G4973" s="26">
        <v>8.5000000000000006E-3</v>
      </c>
      <c r="H4973">
        <v>117</v>
      </c>
    </row>
    <row r="4974" spans="1:8" x14ac:dyDescent="0.35">
      <c r="A4974" s="27" t="s">
        <v>227</v>
      </c>
      <c r="B4974" s="27" t="s">
        <v>257</v>
      </c>
      <c r="C4974" s="28">
        <v>0.77780000000000005</v>
      </c>
      <c r="D4974" s="28">
        <v>0.1111</v>
      </c>
      <c r="E4974" s="28">
        <v>0.1111</v>
      </c>
      <c r="F4974" s="29"/>
      <c r="G4974" s="29"/>
      <c r="H4974" s="29" t="s">
        <v>334</v>
      </c>
    </row>
    <row r="4975" spans="1:8" x14ac:dyDescent="0.35">
      <c r="A4975" t="s">
        <v>227</v>
      </c>
      <c r="B4975" t="s">
        <v>256</v>
      </c>
      <c r="C4975" s="26">
        <v>0.7429</v>
      </c>
      <c r="D4975" s="26">
        <v>0.2</v>
      </c>
      <c r="E4975" s="26">
        <v>2.86E-2</v>
      </c>
      <c r="F4975" s="26">
        <v>2.86E-2</v>
      </c>
      <c r="H4975">
        <v>35</v>
      </c>
    </row>
    <row r="4976" spans="1:8" x14ac:dyDescent="0.35">
      <c r="A4976" t="s">
        <v>228</v>
      </c>
      <c r="B4976" t="s">
        <v>257</v>
      </c>
      <c r="C4976" s="26">
        <v>0.93640000000000001</v>
      </c>
      <c r="D4976" s="26">
        <v>5.5599999999999997E-2</v>
      </c>
      <c r="F4976" s="26">
        <v>7.9000000000000008E-3</v>
      </c>
      <c r="H4976">
        <v>49</v>
      </c>
    </row>
    <row r="4977" spans="1:8" x14ac:dyDescent="0.35">
      <c r="A4977" s="27" t="s">
        <v>228</v>
      </c>
      <c r="B4977" s="27" t="s">
        <v>258</v>
      </c>
      <c r="C4977" s="28">
        <v>0.90190000000000003</v>
      </c>
      <c r="D4977" s="28">
        <v>9.8100000000000007E-2</v>
      </c>
      <c r="E4977" s="29"/>
      <c r="F4977" s="29"/>
      <c r="G4977" s="29"/>
      <c r="H4977" s="29" t="s">
        <v>337</v>
      </c>
    </row>
    <row r="4978" spans="1:8" x14ac:dyDescent="0.35">
      <c r="A4978" t="s">
        <v>228</v>
      </c>
      <c r="B4978" t="s">
        <v>256</v>
      </c>
      <c r="C4978" s="26">
        <v>0.70989999999999998</v>
      </c>
      <c r="D4978" s="26">
        <v>0.17899999999999999</v>
      </c>
      <c r="E4978" s="26">
        <v>9.2499999999999999E-2</v>
      </c>
      <c r="F4978" s="26">
        <v>1.8700000000000001E-2</v>
      </c>
      <c r="H4978">
        <v>221</v>
      </c>
    </row>
    <row r="4979" spans="1:8" x14ac:dyDescent="0.35">
      <c r="A4979" t="s">
        <v>228</v>
      </c>
      <c r="B4979" t="s">
        <v>255</v>
      </c>
      <c r="C4979" s="26">
        <v>0.52259999999999995</v>
      </c>
      <c r="D4979" s="26">
        <v>0.28789999999999999</v>
      </c>
      <c r="E4979" s="26">
        <v>0.16750000000000001</v>
      </c>
      <c r="F4979" s="26">
        <v>1.8800000000000001E-2</v>
      </c>
      <c r="G4979" s="26">
        <v>3.2000000000000002E-3</v>
      </c>
      <c r="H4979">
        <v>759</v>
      </c>
    </row>
    <row r="4980" spans="1:8" x14ac:dyDescent="0.35">
      <c r="A4980" t="s">
        <v>229</v>
      </c>
      <c r="B4980" t="s">
        <v>256</v>
      </c>
      <c r="C4980" s="26">
        <v>0.7026</v>
      </c>
      <c r="D4980" s="26">
        <v>0.1671</v>
      </c>
      <c r="E4980" s="26">
        <v>0.1211</v>
      </c>
      <c r="F4980" s="26">
        <v>9.1000000000000004E-3</v>
      </c>
      <c r="H4980">
        <v>207</v>
      </c>
    </row>
    <row r="4981" spans="1:8" x14ac:dyDescent="0.35">
      <c r="A4981" t="s">
        <v>229</v>
      </c>
      <c r="B4981" t="s">
        <v>255</v>
      </c>
      <c r="C4981" s="26">
        <v>0.5071</v>
      </c>
      <c r="D4981" s="26">
        <v>0.24629999999999999</v>
      </c>
      <c r="E4981" s="26">
        <v>0.20549999999999999</v>
      </c>
      <c r="F4981" s="26">
        <v>2.98E-2</v>
      </c>
      <c r="G4981" s="26">
        <v>1.12E-2</v>
      </c>
      <c r="H4981">
        <v>636</v>
      </c>
    </row>
    <row r="4982" spans="1:8" x14ac:dyDescent="0.35">
      <c r="A4982" t="s">
        <v>229</v>
      </c>
      <c r="B4982" t="s">
        <v>257</v>
      </c>
      <c r="C4982" s="26">
        <v>0.83350000000000002</v>
      </c>
      <c r="D4982" s="26">
        <v>9.1999999999999998E-3</v>
      </c>
      <c r="E4982" s="26">
        <v>0.1573</v>
      </c>
      <c r="H4982">
        <v>50</v>
      </c>
    </row>
    <row r="4983" spans="1:8" x14ac:dyDescent="0.35">
      <c r="A4983" s="27" t="s">
        <v>229</v>
      </c>
      <c r="B4983" s="27" t="s">
        <v>258</v>
      </c>
      <c r="C4983" s="28">
        <v>1</v>
      </c>
      <c r="D4983" s="29"/>
      <c r="E4983" s="29"/>
      <c r="F4983" s="29"/>
      <c r="G4983" s="29"/>
      <c r="H4983" s="29" t="s">
        <v>314</v>
      </c>
    </row>
    <row r="4984" spans="1:8" x14ac:dyDescent="0.35">
      <c r="A4984" t="s">
        <v>230</v>
      </c>
      <c r="B4984" t="s">
        <v>256</v>
      </c>
      <c r="C4984" s="26">
        <v>0.68779999999999997</v>
      </c>
      <c r="D4984" s="26">
        <v>0.19309999999999999</v>
      </c>
      <c r="E4984" s="26">
        <v>9.1499999999999998E-2</v>
      </c>
      <c r="F4984" s="26">
        <v>2.76E-2</v>
      </c>
      <c r="H4984">
        <v>130</v>
      </c>
    </row>
    <row r="4985" spans="1:8" x14ac:dyDescent="0.35">
      <c r="A4985" t="s">
        <v>230</v>
      </c>
      <c r="B4985" t="s">
        <v>255</v>
      </c>
      <c r="C4985" s="26">
        <v>0.56230000000000002</v>
      </c>
      <c r="D4985" s="26">
        <v>0.27250000000000002</v>
      </c>
      <c r="E4985" s="26">
        <v>0.1255</v>
      </c>
      <c r="F4985" s="26">
        <v>3.9600000000000003E-2</v>
      </c>
      <c r="H4985">
        <v>389</v>
      </c>
    </row>
    <row r="4986" spans="1:8" x14ac:dyDescent="0.35">
      <c r="A4986" t="s">
        <v>230</v>
      </c>
      <c r="B4986" t="s">
        <v>257</v>
      </c>
      <c r="C4986" s="26">
        <v>0.71699999999999997</v>
      </c>
      <c r="D4986" s="26">
        <v>0.1943</v>
      </c>
      <c r="E4986" s="26">
        <v>7.6100000000000001E-2</v>
      </c>
      <c r="G4986" s="26">
        <v>1.2500000000000001E-2</v>
      </c>
      <c r="H4986">
        <v>38</v>
      </c>
    </row>
    <row r="4987" spans="1:8" x14ac:dyDescent="0.35">
      <c r="A4987" s="27" t="s">
        <v>230</v>
      </c>
      <c r="B4987" s="27" t="s">
        <v>258</v>
      </c>
      <c r="C4987" s="28">
        <v>0.95830000000000004</v>
      </c>
      <c r="D4987" s="28">
        <v>4.1700000000000001E-2</v>
      </c>
      <c r="E4987" s="29"/>
      <c r="F4987" s="29"/>
      <c r="G4987" s="29"/>
      <c r="H4987" s="29" t="s">
        <v>315</v>
      </c>
    </row>
    <row r="4988" spans="1:8" x14ac:dyDescent="0.35">
      <c r="A4988" s="27" t="s">
        <v>231</v>
      </c>
      <c r="B4988" s="27" t="s">
        <v>257</v>
      </c>
      <c r="C4988" s="28">
        <v>1</v>
      </c>
      <c r="D4988" s="29"/>
      <c r="E4988" s="29"/>
      <c r="F4988" s="29"/>
      <c r="G4988" s="29"/>
      <c r="H4988" s="29" t="s">
        <v>339</v>
      </c>
    </row>
    <row r="4989" spans="1:8" x14ac:dyDescent="0.35">
      <c r="A4989" t="s">
        <v>231</v>
      </c>
      <c r="B4989" t="s">
        <v>255</v>
      </c>
      <c r="C4989" s="26">
        <v>0.50390000000000001</v>
      </c>
      <c r="D4989" s="26">
        <v>0.27910000000000001</v>
      </c>
      <c r="E4989" s="26">
        <v>0.1938</v>
      </c>
      <c r="F4989" s="26">
        <v>1.55E-2</v>
      </c>
      <c r="G4989" s="26">
        <v>7.7999999999999996E-3</v>
      </c>
      <c r="H4989">
        <v>129</v>
      </c>
    </row>
    <row r="4990" spans="1:8" x14ac:dyDescent="0.35">
      <c r="A4990" s="27" t="s">
        <v>231</v>
      </c>
      <c r="B4990" s="27" t="s">
        <v>256</v>
      </c>
      <c r="C4990" s="28">
        <v>0.67859999999999998</v>
      </c>
      <c r="D4990" s="28">
        <v>0.28570000000000001</v>
      </c>
      <c r="E4990" s="28">
        <v>3.5700000000000003E-2</v>
      </c>
      <c r="F4990" s="29"/>
      <c r="G4990" s="29"/>
      <c r="H4990" s="29" t="s">
        <v>336</v>
      </c>
    </row>
    <row r="4991" spans="1:8" x14ac:dyDescent="0.35">
      <c r="A4991" t="s">
        <v>232</v>
      </c>
      <c r="B4991" t="s">
        <v>232</v>
      </c>
      <c r="C4991" s="26">
        <v>0.57640000000000002</v>
      </c>
      <c r="D4991" s="26">
        <v>0.24590000000000001</v>
      </c>
      <c r="E4991" s="26">
        <v>0.1522</v>
      </c>
      <c r="F4991" s="26">
        <v>2.0199999999999999E-2</v>
      </c>
      <c r="G4991" s="26">
        <v>5.3E-3</v>
      </c>
      <c r="H4991">
        <v>2813</v>
      </c>
    </row>
    <row r="4993" spans="1:8" x14ac:dyDescent="0.35">
      <c r="A4993" s="1" t="s">
        <v>720</v>
      </c>
    </row>
    <row r="4994" spans="1:8" x14ac:dyDescent="0.35">
      <c r="A4994" t="s">
        <v>219</v>
      </c>
      <c r="B4994" t="s">
        <v>681</v>
      </c>
      <c r="C4994" t="s">
        <v>682</v>
      </c>
      <c r="D4994" t="s">
        <v>683</v>
      </c>
      <c r="E4994" t="s">
        <v>684</v>
      </c>
      <c r="F4994" t="s">
        <v>281</v>
      </c>
      <c r="G4994" t="s">
        <v>226</v>
      </c>
    </row>
    <row r="4995" spans="1:8" x14ac:dyDescent="0.35">
      <c r="A4995" t="s">
        <v>227</v>
      </c>
      <c r="B4995" s="26">
        <v>0.67079999999999995</v>
      </c>
      <c r="C4995" s="26">
        <v>0.26090000000000002</v>
      </c>
      <c r="D4995" s="26">
        <v>4.9700000000000001E-2</v>
      </c>
      <c r="E4995" s="26">
        <v>1.8599999999999998E-2</v>
      </c>
      <c r="G4995">
        <v>161</v>
      </c>
    </row>
    <row r="4996" spans="1:8" x14ac:dyDescent="0.35">
      <c r="A4996" t="s">
        <v>228</v>
      </c>
      <c r="B4996" s="26">
        <v>0.62709999999999999</v>
      </c>
      <c r="C4996" s="26">
        <v>0.29399999999999998</v>
      </c>
      <c r="D4996" s="26">
        <v>7.0699999999999999E-2</v>
      </c>
      <c r="E4996" s="26">
        <v>2.5999999999999999E-3</v>
      </c>
      <c r="F4996" s="26">
        <v>5.5999999999999999E-3</v>
      </c>
      <c r="G4996">
        <v>1033</v>
      </c>
    </row>
    <row r="4997" spans="1:8" x14ac:dyDescent="0.35">
      <c r="A4997" t="s">
        <v>229</v>
      </c>
      <c r="B4997" s="26">
        <v>0.57179999999999997</v>
      </c>
      <c r="C4997" s="26">
        <v>0.3367</v>
      </c>
      <c r="D4997" s="26">
        <v>7.7100000000000002E-2</v>
      </c>
      <c r="E4997" s="26">
        <v>9.2999999999999992E-3</v>
      </c>
      <c r="F4997" s="26">
        <v>5.0000000000000001E-3</v>
      </c>
      <c r="G4997">
        <v>895</v>
      </c>
    </row>
    <row r="4998" spans="1:8" x14ac:dyDescent="0.35">
      <c r="A4998" t="s">
        <v>230</v>
      </c>
      <c r="B4998" s="26">
        <v>0.62729999999999997</v>
      </c>
      <c r="C4998" s="26">
        <v>0.3236</v>
      </c>
      <c r="D4998" s="26">
        <v>3.9899999999999998E-2</v>
      </c>
      <c r="E4998" s="26">
        <v>7.4000000000000003E-3</v>
      </c>
      <c r="F4998" s="26">
        <v>1.8E-3</v>
      </c>
      <c r="G4998">
        <v>560</v>
      </c>
    </row>
    <row r="4999" spans="1:8" x14ac:dyDescent="0.35">
      <c r="A4999" t="s">
        <v>231</v>
      </c>
      <c r="B4999" s="26">
        <v>0.64629999999999999</v>
      </c>
      <c r="C4999" s="26">
        <v>0.29270000000000002</v>
      </c>
      <c r="D4999" s="26">
        <v>4.2700000000000002E-2</v>
      </c>
      <c r="E4999" s="26">
        <v>1.2200000000000001E-2</v>
      </c>
      <c r="F4999" s="26">
        <v>6.1000000000000004E-3</v>
      </c>
      <c r="G4999">
        <v>164</v>
      </c>
    </row>
    <row r="5000" spans="1:8" x14ac:dyDescent="0.35">
      <c r="A5000" t="s">
        <v>232</v>
      </c>
      <c r="B5000" s="26">
        <v>0.62329999999999997</v>
      </c>
      <c r="C5000" s="26">
        <v>0.30359999999999998</v>
      </c>
      <c r="D5000" s="26">
        <v>5.8700000000000002E-2</v>
      </c>
      <c r="E5000" s="26">
        <v>0.01</v>
      </c>
      <c r="F5000" s="26">
        <v>4.4000000000000003E-3</v>
      </c>
      <c r="G5000">
        <v>2813</v>
      </c>
    </row>
    <row r="5002" spans="1:8" x14ac:dyDescent="0.35">
      <c r="A5002" s="1" t="s">
        <v>721</v>
      </c>
    </row>
    <row r="5003" spans="1:8" x14ac:dyDescent="0.35">
      <c r="A5003" t="s">
        <v>219</v>
      </c>
      <c r="B5003" t="s">
        <v>305</v>
      </c>
      <c r="C5003" t="s">
        <v>681</v>
      </c>
      <c r="D5003" t="s">
        <v>682</v>
      </c>
      <c r="E5003" t="s">
        <v>683</v>
      </c>
      <c r="F5003" t="s">
        <v>684</v>
      </c>
      <c r="G5003" t="s">
        <v>281</v>
      </c>
      <c r="H5003" t="s">
        <v>226</v>
      </c>
    </row>
    <row r="5004" spans="1:8" x14ac:dyDescent="0.35">
      <c r="A5004" t="s">
        <v>227</v>
      </c>
      <c r="B5004" t="s">
        <v>242</v>
      </c>
      <c r="C5004" s="26">
        <v>0.52939999999999998</v>
      </c>
      <c r="D5004" s="26">
        <v>0.30880000000000002</v>
      </c>
      <c r="E5004" s="26">
        <v>0.1176</v>
      </c>
      <c r="F5004" s="26">
        <v>4.41E-2</v>
      </c>
      <c r="H5004">
        <v>68</v>
      </c>
    </row>
    <row r="5005" spans="1:8" x14ac:dyDescent="0.35">
      <c r="A5005" t="s">
        <v>227</v>
      </c>
      <c r="B5005" t="s">
        <v>241</v>
      </c>
      <c r="C5005" s="26">
        <v>0.7742</v>
      </c>
      <c r="D5005" s="26">
        <v>0.2258</v>
      </c>
      <c r="H5005">
        <v>93</v>
      </c>
    </row>
    <row r="5006" spans="1:8" x14ac:dyDescent="0.35">
      <c r="A5006" t="s">
        <v>228</v>
      </c>
      <c r="B5006" t="s">
        <v>242</v>
      </c>
      <c r="C5006" s="26">
        <v>0.4204</v>
      </c>
      <c r="D5006" s="26">
        <v>0.36259999999999998</v>
      </c>
      <c r="E5006" s="26">
        <v>0.19450000000000001</v>
      </c>
      <c r="F5006" s="26">
        <v>7.1000000000000004E-3</v>
      </c>
      <c r="G5006" s="26">
        <v>1.54E-2</v>
      </c>
      <c r="H5006">
        <v>402</v>
      </c>
    </row>
    <row r="5007" spans="1:8" x14ac:dyDescent="0.35">
      <c r="A5007" t="s">
        <v>228</v>
      </c>
      <c r="B5007" t="s">
        <v>241</v>
      </c>
      <c r="C5007" s="26">
        <v>0.74519999999999997</v>
      </c>
      <c r="D5007" s="26">
        <v>0.25480000000000003</v>
      </c>
      <c r="H5007">
        <v>631</v>
      </c>
    </row>
    <row r="5008" spans="1:8" x14ac:dyDescent="0.35">
      <c r="A5008" t="s">
        <v>229</v>
      </c>
      <c r="B5008" t="s">
        <v>242</v>
      </c>
      <c r="C5008" s="26">
        <v>0.40110000000000001</v>
      </c>
      <c r="D5008" s="26">
        <v>0.36459999999999998</v>
      </c>
      <c r="E5008" s="26">
        <v>0.1976</v>
      </c>
      <c r="F5008" s="26">
        <v>2.3900000000000001E-2</v>
      </c>
      <c r="G5008" s="26">
        <v>1.2800000000000001E-2</v>
      </c>
      <c r="H5008">
        <v>292</v>
      </c>
    </row>
    <row r="5009" spans="1:8" x14ac:dyDescent="0.35">
      <c r="A5009" t="s">
        <v>229</v>
      </c>
      <c r="B5009" t="s">
        <v>241</v>
      </c>
      <c r="C5009" s="26">
        <v>0.68110000000000004</v>
      </c>
      <c r="D5009" s="26">
        <v>0.31890000000000002</v>
      </c>
      <c r="H5009">
        <v>603</v>
      </c>
    </row>
    <row r="5010" spans="1:8" x14ac:dyDescent="0.35">
      <c r="A5010" t="s">
        <v>230</v>
      </c>
      <c r="B5010" t="s">
        <v>242</v>
      </c>
      <c r="C5010" s="26">
        <v>0.4587</v>
      </c>
      <c r="D5010" s="26">
        <v>0.39850000000000002</v>
      </c>
      <c r="E5010" s="26">
        <v>0.1181</v>
      </c>
      <c r="F5010" s="26">
        <v>2.1999999999999999E-2</v>
      </c>
      <c r="G5010" s="26">
        <v>2.5999999999999999E-3</v>
      </c>
      <c r="H5010">
        <v>189</v>
      </c>
    </row>
    <row r="5011" spans="1:8" x14ac:dyDescent="0.35">
      <c r="A5011" t="s">
        <v>230</v>
      </c>
      <c r="B5011" t="s">
        <v>241</v>
      </c>
      <c r="C5011" s="26">
        <v>0.71340000000000003</v>
      </c>
      <c r="D5011" s="26">
        <v>0.2853</v>
      </c>
      <c r="G5011" s="26">
        <v>1.2999999999999999E-3</v>
      </c>
      <c r="H5011">
        <v>371</v>
      </c>
    </row>
    <row r="5012" spans="1:8" x14ac:dyDescent="0.35">
      <c r="A5012" t="s">
        <v>231</v>
      </c>
      <c r="B5012" t="s">
        <v>242</v>
      </c>
      <c r="C5012" s="26">
        <v>0.53700000000000003</v>
      </c>
      <c r="D5012" s="26">
        <v>0.29630000000000001</v>
      </c>
      <c r="E5012" s="26">
        <v>0.12959999999999999</v>
      </c>
      <c r="F5012" s="26">
        <v>3.6999999999999998E-2</v>
      </c>
      <c r="H5012">
        <v>54</v>
      </c>
    </row>
    <row r="5013" spans="1:8" x14ac:dyDescent="0.35">
      <c r="A5013" t="s">
        <v>231</v>
      </c>
      <c r="B5013" t="s">
        <v>241</v>
      </c>
      <c r="C5013" s="26">
        <v>0.7</v>
      </c>
      <c r="D5013" s="26">
        <v>0.29089999999999999</v>
      </c>
      <c r="G5013" s="26">
        <v>9.1000000000000004E-3</v>
      </c>
      <c r="H5013">
        <v>110</v>
      </c>
    </row>
    <row r="5014" spans="1:8" x14ac:dyDescent="0.35">
      <c r="A5014" t="s">
        <v>232</v>
      </c>
      <c r="B5014" t="s">
        <v>232</v>
      </c>
      <c r="C5014" s="26">
        <v>0.62329999999999997</v>
      </c>
      <c r="D5014" s="26">
        <v>0.30359999999999998</v>
      </c>
      <c r="E5014" s="26">
        <v>5.8700000000000002E-2</v>
      </c>
      <c r="F5014" s="26">
        <v>0.01</v>
      </c>
      <c r="G5014" s="26">
        <v>4.4000000000000003E-3</v>
      </c>
      <c r="H5014">
        <v>2813</v>
      </c>
    </row>
    <row r="5016" spans="1:8" x14ac:dyDescent="0.35">
      <c r="A5016" s="1" t="s">
        <v>722</v>
      </c>
    </row>
    <row r="5017" spans="1:8" x14ac:dyDescent="0.35">
      <c r="A5017" t="s">
        <v>219</v>
      </c>
      <c r="B5017" t="s">
        <v>305</v>
      </c>
      <c r="C5017" t="s">
        <v>681</v>
      </c>
      <c r="D5017" t="s">
        <v>682</v>
      </c>
      <c r="E5017" t="s">
        <v>683</v>
      </c>
      <c r="F5017" t="s">
        <v>684</v>
      </c>
      <c r="G5017" t="s">
        <v>281</v>
      </c>
      <c r="H5017" t="s">
        <v>226</v>
      </c>
    </row>
    <row r="5018" spans="1:8" x14ac:dyDescent="0.35">
      <c r="A5018" t="s">
        <v>227</v>
      </c>
      <c r="B5018" t="s">
        <v>239</v>
      </c>
      <c r="C5018" s="26">
        <v>0.69350000000000001</v>
      </c>
      <c r="D5018" s="26">
        <v>0.2419</v>
      </c>
      <c r="E5018" s="26">
        <v>4.8399999999999999E-2</v>
      </c>
      <c r="F5018" s="26">
        <v>1.61E-2</v>
      </c>
      <c r="H5018">
        <v>62</v>
      </c>
    </row>
    <row r="5019" spans="1:8" x14ac:dyDescent="0.35">
      <c r="A5019" t="s">
        <v>227</v>
      </c>
      <c r="B5019" t="s">
        <v>238</v>
      </c>
      <c r="C5019" s="26">
        <v>0.65659999999999996</v>
      </c>
      <c r="D5019" s="26">
        <v>0.2727</v>
      </c>
      <c r="E5019" s="26">
        <v>5.0500000000000003E-2</v>
      </c>
      <c r="F5019" s="26">
        <v>2.0199999999999999E-2</v>
      </c>
      <c r="H5019">
        <v>99</v>
      </c>
    </row>
    <row r="5020" spans="1:8" x14ac:dyDescent="0.35">
      <c r="A5020" t="s">
        <v>228</v>
      </c>
      <c r="B5020" t="s">
        <v>239</v>
      </c>
      <c r="C5020" s="26">
        <v>0.62009999999999998</v>
      </c>
      <c r="D5020" s="26">
        <v>0.26790000000000003</v>
      </c>
      <c r="E5020" s="26">
        <v>0.1062</v>
      </c>
      <c r="F5020" s="26">
        <v>3.2000000000000002E-3</v>
      </c>
      <c r="G5020" s="26">
        <v>2.7000000000000001E-3</v>
      </c>
      <c r="H5020">
        <v>330</v>
      </c>
    </row>
    <row r="5021" spans="1:8" x14ac:dyDescent="0.35">
      <c r="A5021" t="s">
        <v>228</v>
      </c>
      <c r="B5021" t="s">
        <v>238</v>
      </c>
      <c r="C5021" s="26">
        <v>0.629</v>
      </c>
      <c r="D5021" s="26">
        <v>0.30070000000000002</v>
      </c>
      <c r="E5021" s="26">
        <v>6.1499999999999999E-2</v>
      </c>
      <c r="F5021" s="26">
        <v>2.3999999999999998E-3</v>
      </c>
      <c r="G5021" s="26">
        <v>6.3E-3</v>
      </c>
      <c r="H5021">
        <v>703</v>
      </c>
    </row>
    <row r="5022" spans="1:8" x14ac:dyDescent="0.35">
      <c r="A5022" t="s">
        <v>229</v>
      </c>
      <c r="B5022" t="s">
        <v>239</v>
      </c>
      <c r="C5022" s="26">
        <v>0.60099999999999998</v>
      </c>
      <c r="D5022" s="26">
        <v>0.29859999999999998</v>
      </c>
      <c r="E5022" s="26">
        <v>9.8400000000000001E-2</v>
      </c>
      <c r="F5022" s="26">
        <v>2E-3</v>
      </c>
      <c r="H5022">
        <v>332</v>
      </c>
    </row>
    <row r="5023" spans="1:8" x14ac:dyDescent="0.35">
      <c r="A5023" t="s">
        <v>229</v>
      </c>
      <c r="B5023" t="s">
        <v>238</v>
      </c>
      <c r="C5023" s="26">
        <v>0.56189999999999996</v>
      </c>
      <c r="D5023" s="26">
        <v>0.34970000000000001</v>
      </c>
      <c r="E5023" s="26">
        <v>6.9900000000000004E-2</v>
      </c>
      <c r="F5023" s="26">
        <v>1.18E-2</v>
      </c>
      <c r="G5023" s="26">
        <v>6.7000000000000002E-3</v>
      </c>
      <c r="H5023">
        <v>563</v>
      </c>
    </row>
    <row r="5024" spans="1:8" x14ac:dyDescent="0.35">
      <c r="A5024" t="s">
        <v>230</v>
      </c>
      <c r="B5024" t="s">
        <v>239</v>
      </c>
      <c r="C5024" s="26">
        <v>0.58260000000000001</v>
      </c>
      <c r="D5024" s="26">
        <v>0.36180000000000001</v>
      </c>
      <c r="E5024" s="26">
        <v>5.2499999999999998E-2</v>
      </c>
      <c r="F5024" s="26">
        <v>3.0000000000000001E-3</v>
      </c>
      <c r="H5024">
        <v>211</v>
      </c>
    </row>
    <row r="5025" spans="1:8" x14ac:dyDescent="0.35">
      <c r="A5025" t="s">
        <v>230</v>
      </c>
      <c r="B5025" t="s">
        <v>238</v>
      </c>
      <c r="C5025" s="26">
        <v>0.64649999999999996</v>
      </c>
      <c r="D5025" s="26">
        <v>0.30709999999999998</v>
      </c>
      <c r="E5025" s="26">
        <v>3.4500000000000003E-2</v>
      </c>
      <c r="F5025" s="26">
        <v>9.4000000000000004E-3</v>
      </c>
      <c r="G5025" s="26">
        <v>2.5000000000000001E-3</v>
      </c>
      <c r="H5025">
        <v>349</v>
      </c>
    </row>
    <row r="5026" spans="1:8" x14ac:dyDescent="0.35">
      <c r="A5026" t="s">
        <v>231</v>
      </c>
      <c r="B5026" t="s">
        <v>239</v>
      </c>
      <c r="C5026" s="26">
        <v>0.57889999999999997</v>
      </c>
      <c r="D5026" s="26">
        <v>0.29820000000000002</v>
      </c>
      <c r="E5026" s="26">
        <v>8.77E-2</v>
      </c>
      <c r="F5026" s="26">
        <v>3.5099999999999999E-2</v>
      </c>
      <c r="H5026">
        <v>57</v>
      </c>
    </row>
    <row r="5027" spans="1:8" x14ac:dyDescent="0.35">
      <c r="A5027" t="s">
        <v>231</v>
      </c>
      <c r="B5027" t="s">
        <v>238</v>
      </c>
      <c r="C5027" s="26">
        <v>0.68220000000000003</v>
      </c>
      <c r="D5027" s="26">
        <v>0.28970000000000001</v>
      </c>
      <c r="E5027" s="26">
        <v>1.8700000000000001E-2</v>
      </c>
      <c r="G5027" s="26">
        <v>9.2999999999999992E-3</v>
      </c>
      <c r="H5027">
        <v>107</v>
      </c>
    </row>
    <row r="5028" spans="1:8" x14ac:dyDescent="0.35">
      <c r="A5028" t="s">
        <v>232</v>
      </c>
      <c r="B5028" t="s">
        <v>232</v>
      </c>
      <c r="C5028" s="26">
        <v>0.62329999999999997</v>
      </c>
      <c r="D5028" s="26">
        <v>0.30359999999999998</v>
      </c>
      <c r="E5028" s="26">
        <v>5.8700000000000002E-2</v>
      </c>
      <c r="F5028" s="26">
        <v>0.01</v>
      </c>
      <c r="G5028" s="26">
        <v>4.4000000000000003E-3</v>
      </c>
      <c r="H5028">
        <v>2813</v>
      </c>
    </row>
    <row r="5030" spans="1:8" x14ac:dyDescent="0.35">
      <c r="A5030" s="1" t="s">
        <v>723</v>
      </c>
    </row>
    <row r="5031" spans="1:8" x14ac:dyDescent="0.35">
      <c r="A5031" t="s">
        <v>219</v>
      </c>
      <c r="B5031" t="s">
        <v>305</v>
      </c>
      <c r="C5031" t="s">
        <v>681</v>
      </c>
      <c r="D5031" t="s">
        <v>682</v>
      </c>
      <c r="E5031" t="s">
        <v>683</v>
      </c>
      <c r="F5031" t="s">
        <v>684</v>
      </c>
      <c r="G5031" t="s">
        <v>281</v>
      </c>
      <c r="H5031" t="s">
        <v>226</v>
      </c>
    </row>
    <row r="5032" spans="1:8" x14ac:dyDescent="0.35">
      <c r="A5032" t="s">
        <v>227</v>
      </c>
      <c r="B5032" t="s">
        <v>244</v>
      </c>
      <c r="C5032" s="26">
        <v>0.6875</v>
      </c>
      <c r="D5032" s="26">
        <v>0.23960000000000001</v>
      </c>
      <c r="E5032" s="26">
        <v>6.25E-2</v>
      </c>
      <c r="F5032" s="26">
        <v>1.04E-2</v>
      </c>
      <c r="H5032">
        <v>96</v>
      </c>
    </row>
    <row r="5033" spans="1:8" x14ac:dyDescent="0.35">
      <c r="A5033" t="s">
        <v>227</v>
      </c>
      <c r="B5033" t="s">
        <v>245</v>
      </c>
      <c r="C5033" s="26">
        <v>0.62260000000000004</v>
      </c>
      <c r="D5033" s="26">
        <v>0.32079999999999997</v>
      </c>
      <c r="E5033" s="26">
        <v>3.7699999999999997E-2</v>
      </c>
      <c r="F5033" s="26">
        <v>1.89E-2</v>
      </c>
      <c r="H5033">
        <v>53</v>
      </c>
    </row>
    <row r="5034" spans="1:8" x14ac:dyDescent="0.35">
      <c r="A5034" s="27" t="s">
        <v>227</v>
      </c>
      <c r="B5034" s="27" t="s">
        <v>246</v>
      </c>
      <c r="C5034" s="28">
        <v>0.75</v>
      </c>
      <c r="D5034" s="28">
        <v>0.16669999999999999</v>
      </c>
      <c r="E5034" s="29"/>
      <c r="F5034" s="28">
        <v>8.3299999999999999E-2</v>
      </c>
      <c r="G5034" s="29"/>
      <c r="H5034" s="29" t="s">
        <v>342</v>
      </c>
    </row>
    <row r="5035" spans="1:8" x14ac:dyDescent="0.35">
      <c r="A5035" t="s">
        <v>228</v>
      </c>
      <c r="B5035" t="s">
        <v>244</v>
      </c>
      <c r="C5035" s="26">
        <v>0.627</v>
      </c>
      <c r="D5035" s="26">
        <v>0.30530000000000002</v>
      </c>
      <c r="E5035" s="26">
        <v>5.8400000000000001E-2</v>
      </c>
      <c r="F5035" s="26">
        <v>1.6000000000000001E-3</v>
      </c>
      <c r="G5035" s="26">
        <v>7.7000000000000002E-3</v>
      </c>
      <c r="H5035">
        <v>638</v>
      </c>
    </row>
    <row r="5036" spans="1:8" x14ac:dyDescent="0.35">
      <c r="A5036" t="s">
        <v>228</v>
      </c>
      <c r="B5036" t="s">
        <v>245</v>
      </c>
      <c r="C5036" s="26">
        <v>0.65400000000000003</v>
      </c>
      <c r="D5036" s="26">
        <v>0.26529999999999998</v>
      </c>
      <c r="E5036" s="26">
        <v>7.2999999999999995E-2</v>
      </c>
      <c r="F5036" s="26">
        <v>5.7000000000000002E-3</v>
      </c>
      <c r="G5036" s="26">
        <v>2E-3</v>
      </c>
      <c r="H5036">
        <v>328</v>
      </c>
    </row>
    <row r="5037" spans="1:8" x14ac:dyDescent="0.35">
      <c r="A5037" t="s">
        <v>228</v>
      </c>
      <c r="B5037" t="s">
        <v>246</v>
      </c>
      <c r="C5037" s="26">
        <v>0.51880000000000004</v>
      </c>
      <c r="D5037" s="26">
        <v>0.30209999999999998</v>
      </c>
      <c r="E5037" s="26">
        <v>0.17899999999999999</v>
      </c>
      <c r="H5037">
        <v>67</v>
      </c>
    </row>
    <row r="5038" spans="1:8" x14ac:dyDescent="0.35">
      <c r="A5038" t="s">
        <v>229</v>
      </c>
      <c r="B5038" t="s">
        <v>244</v>
      </c>
      <c r="C5038" s="26">
        <v>0.58509999999999995</v>
      </c>
      <c r="D5038" s="26">
        <v>0.31979999999999997</v>
      </c>
      <c r="E5038" s="26">
        <v>7.8700000000000006E-2</v>
      </c>
      <c r="F5038" s="26">
        <v>1.2699999999999999E-2</v>
      </c>
      <c r="G5038" s="26">
        <v>3.5999999999999999E-3</v>
      </c>
      <c r="H5038">
        <v>557</v>
      </c>
    </row>
    <row r="5039" spans="1:8" x14ac:dyDescent="0.35">
      <c r="A5039" t="s">
        <v>229</v>
      </c>
      <c r="B5039" t="s">
        <v>245</v>
      </c>
      <c r="C5039" s="26">
        <v>0.55459999999999998</v>
      </c>
      <c r="D5039" s="26">
        <v>0.4012</v>
      </c>
      <c r="E5039" s="26">
        <v>4.3499999999999997E-2</v>
      </c>
      <c r="F5039" s="26">
        <v>6.9999999999999999E-4</v>
      </c>
      <c r="H5039">
        <v>293</v>
      </c>
    </row>
    <row r="5040" spans="1:8" x14ac:dyDescent="0.35">
      <c r="A5040" t="s">
        <v>229</v>
      </c>
      <c r="B5040" t="s">
        <v>246</v>
      </c>
      <c r="C5040" s="26">
        <v>0.48039999999999999</v>
      </c>
      <c r="D5040" s="26">
        <v>0.24979999999999999</v>
      </c>
      <c r="E5040" s="26">
        <v>0.21659999999999999</v>
      </c>
      <c r="F5040" s="26">
        <v>6.1999999999999998E-3</v>
      </c>
      <c r="G5040" s="26">
        <v>4.7100000000000003E-2</v>
      </c>
      <c r="H5040">
        <v>45</v>
      </c>
    </row>
    <row r="5041" spans="1:8" x14ac:dyDescent="0.35">
      <c r="A5041" t="s">
        <v>230</v>
      </c>
      <c r="B5041" t="s">
        <v>244</v>
      </c>
      <c r="C5041" s="26">
        <v>0.60980000000000001</v>
      </c>
      <c r="D5041" s="26">
        <v>0.33550000000000002</v>
      </c>
      <c r="E5041" s="26">
        <v>4.3900000000000002E-2</v>
      </c>
      <c r="F5041" s="26">
        <v>9.4999999999999998E-3</v>
      </c>
      <c r="G5041" s="26">
        <v>1.2999999999999999E-3</v>
      </c>
      <c r="H5041">
        <v>370</v>
      </c>
    </row>
    <row r="5042" spans="1:8" x14ac:dyDescent="0.35">
      <c r="A5042" t="s">
        <v>230</v>
      </c>
      <c r="B5042" t="s">
        <v>245</v>
      </c>
      <c r="C5042" s="26">
        <v>0.67090000000000005</v>
      </c>
      <c r="D5042" s="26">
        <v>0.2959</v>
      </c>
      <c r="E5042" s="26">
        <v>2.98E-2</v>
      </c>
      <c r="G5042" s="26">
        <v>3.3999999999999998E-3</v>
      </c>
      <c r="H5042">
        <v>161</v>
      </c>
    </row>
    <row r="5043" spans="1:8" x14ac:dyDescent="0.35">
      <c r="A5043" s="27" t="s">
        <v>230</v>
      </c>
      <c r="B5043" s="27" t="s">
        <v>246</v>
      </c>
      <c r="C5043" s="28">
        <v>0.64239999999999997</v>
      </c>
      <c r="D5043" s="28">
        <v>0.3019</v>
      </c>
      <c r="E5043" s="28">
        <v>3.7400000000000003E-2</v>
      </c>
      <c r="F5043" s="28">
        <v>1.83E-2</v>
      </c>
      <c r="G5043" s="29"/>
      <c r="H5043" s="29" t="s">
        <v>329</v>
      </c>
    </row>
    <row r="5044" spans="1:8" x14ac:dyDescent="0.35">
      <c r="A5044" t="s">
        <v>231</v>
      </c>
      <c r="B5044" t="s">
        <v>244</v>
      </c>
      <c r="C5044" s="26">
        <v>0.65259999999999996</v>
      </c>
      <c r="D5044" s="26">
        <v>0.30530000000000002</v>
      </c>
      <c r="E5044" s="26">
        <v>4.2099999999999999E-2</v>
      </c>
      <c r="H5044">
        <v>95</v>
      </c>
    </row>
    <row r="5045" spans="1:8" x14ac:dyDescent="0.35">
      <c r="A5045" t="s">
        <v>231</v>
      </c>
      <c r="B5045" t="s">
        <v>245</v>
      </c>
      <c r="C5045" s="26">
        <v>0.625</v>
      </c>
      <c r="D5045" s="26">
        <v>0.30359999999999998</v>
      </c>
      <c r="E5045" s="26">
        <v>5.3600000000000002E-2</v>
      </c>
      <c r="G5045" s="26">
        <v>1.7899999999999999E-2</v>
      </c>
      <c r="H5045">
        <v>56</v>
      </c>
    </row>
    <row r="5046" spans="1:8" x14ac:dyDescent="0.35">
      <c r="A5046" s="27" t="s">
        <v>231</v>
      </c>
      <c r="B5046" s="27" t="s">
        <v>246</v>
      </c>
      <c r="C5046" s="28">
        <v>0.69230000000000003</v>
      </c>
      <c r="D5046" s="28">
        <v>0.15379999999999999</v>
      </c>
      <c r="E5046" s="29"/>
      <c r="F5046" s="28">
        <v>0.15379999999999999</v>
      </c>
      <c r="G5046" s="29"/>
      <c r="H5046" s="29" t="s">
        <v>341</v>
      </c>
    </row>
    <row r="5047" spans="1:8" x14ac:dyDescent="0.35">
      <c r="A5047" t="s">
        <v>232</v>
      </c>
      <c r="B5047" t="s">
        <v>232</v>
      </c>
      <c r="C5047" s="26">
        <v>0.62329999999999997</v>
      </c>
      <c r="D5047" s="26">
        <v>0.30359999999999998</v>
      </c>
      <c r="E5047" s="26">
        <v>5.8700000000000002E-2</v>
      </c>
      <c r="F5047" s="26">
        <v>0.01</v>
      </c>
      <c r="G5047" s="26">
        <v>4.4000000000000003E-3</v>
      </c>
      <c r="H5047">
        <v>2813</v>
      </c>
    </row>
    <row r="5049" spans="1:8" x14ac:dyDescent="0.35">
      <c r="A5049" s="1" t="s">
        <v>724</v>
      </c>
    </row>
    <row r="5050" spans="1:8" x14ac:dyDescent="0.35">
      <c r="A5050" t="s">
        <v>219</v>
      </c>
      <c r="B5050" t="s">
        <v>305</v>
      </c>
      <c r="C5050" t="s">
        <v>681</v>
      </c>
      <c r="D5050" t="s">
        <v>682</v>
      </c>
      <c r="E5050" t="s">
        <v>683</v>
      </c>
      <c r="F5050" t="s">
        <v>684</v>
      </c>
      <c r="G5050" t="s">
        <v>281</v>
      </c>
      <c r="H5050" t="s">
        <v>226</v>
      </c>
    </row>
    <row r="5051" spans="1:8" x14ac:dyDescent="0.35">
      <c r="A5051" t="s">
        <v>227</v>
      </c>
      <c r="B5051" t="s">
        <v>360</v>
      </c>
      <c r="C5051" s="26">
        <v>0.64100000000000001</v>
      </c>
      <c r="D5051" s="26">
        <v>0.33329999999999999</v>
      </c>
      <c r="F5051" s="26">
        <v>2.5600000000000001E-2</v>
      </c>
      <c r="H5051">
        <v>39</v>
      </c>
    </row>
    <row r="5052" spans="1:8" x14ac:dyDescent="0.35">
      <c r="A5052" t="s">
        <v>227</v>
      </c>
      <c r="B5052" t="s">
        <v>361</v>
      </c>
      <c r="C5052" s="26">
        <v>0.5625</v>
      </c>
      <c r="D5052" s="26">
        <v>0.40620000000000001</v>
      </c>
      <c r="E5052" s="26">
        <v>3.1199999999999999E-2</v>
      </c>
      <c r="H5052">
        <v>32</v>
      </c>
    </row>
    <row r="5053" spans="1:8" x14ac:dyDescent="0.35">
      <c r="A5053" t="s">
        <v>227</v>
      </c>
      <c r="B5053" t="s">
        <v>362</v>
      </c>
      <c r="C5053" s="26">
        <v>0.75680000000000003</v>
      </c>
      <c r="D5053" s="26">
        <v>0.1351</v>
      </c>
      <c r="E5053" s="26">
        <v>8.1100000000000005E-2</v>
      </c>
      <c r="F5053" s="26">
        <v>2.7E-2</v>
      </c>
      <c r="H5053">
        <v>37</v>
      </c>
    </row>
    <row r="5054" spans="1:8" x14ac:dyDescent="0.35">
      <c r="A5054" t="s">
        <v>227</v>
      </c>
      <c r="B5054" t="s">
        <v>363</v>
      </c>
      <c r="C5054" s="26">
        <v>0.71109999999999995</v>
      </c>
      <c r="D5054" s="26">
        <v>0.2</v>
      </c>
      <c r="E5054" s="26">
        <v>6.6699999999999995E-2</v>
      </c>
      <c r="F5054" s="26">
        <v>2.2200000000000001E-2</v>
      </c>
      <c r="H5054">
        <v>45</v>
      </c>
    </row>
    <row r="5055" spans="1:8" x14ac:dyDescent="0.35">
      <c r="A5055" t="s">
        <v>228</v>
      </c>
      <c r="B5055" t="s">
        <v>360</v>
      </c>
      <c r="C5055" s="26">
        <v>0.53300000000000003</v>
      </c>
      <c r="D5055" s="26">
        <v>0.33139999999999997</v>
      </c>
      <c r="E5055" s="26">
        <v>0.1041</v>
      </c>
      <c r="F5055" s="26">
        <v>1.1900000000000001E-2</v>
      </c>
      <c r="G5055" s="26">
        <v>1.9599999999999999E-2</v>
      </c>
      <c r="H5055">
        <v>258</v>
      </c>
    </row>
    <row r="5056" spans="1:8" x14ac:dyDescent="0.35">
      <c r="A5056" t="s">
        <v>228</v>
      </c>
      <c r="B5056" t="s">
        <v>361</v>
      </c>
      <c r="C5056" s="26">
        <v>0.70269999999999999</v>
      </c>
      <c r="D5056" s="26">
        <v>0.25779999999999997</v>
      </c>
      <c r="E5056" s="26">
        <v>3.9399999999999998E-2</v>
      </c>
      <c r="H5056">
        <v>194</v>
      </c>
    </row>
    <row r="5057" spans="1:8" x14ac:dyDescent="0.35">
      <c r="A5057" t="s">
        <v>228</v>
      </c>
      <c r="B5057" t="s">
        <v>363</v>
      </c>
      <c r="C5057" s="26">
        <v>0.62390000000000001</v>
      </c>
      <c r="D5057" s="26">
        <v>0.29899999999999999</v>
      </c>
      <c r="E5057" s="26">
        <v>7.7100000000000002E-2</v>
      </c>
      <c r="H5057">
        <v>212</v>
      </c>
    </row>
    <row r="5058" spans="1:8" x14ac:dyDescent="0.35">
      <c r="A5058" t="s">
        <v>228</v>
      </c>
      <c r="B5058" t="s">
        <v>362</v>
      </c>
      <c r="C5058" s="26">
        <v>0.62639999999999996</v>
      </c>
      <c r="D5058" s="26">
        <v>0.2853</v>
      </c>
      <c r="E5058" s="26">
        <v>8.72E-2</v>
      </c>
      <c r="F5058" s="26">
        <v>1E-3</v>
      </c>
      <c r="H5058">
        <v>236</v>
      </c>
    </row>
    <row r="5059" spans="1:8" x14ac:dyDescent="0.35">
      <c r="A5059" t="s">
        <v>229</v>
      </c>
      <c r="B5059" t="s">
        <v>363</v>
      </c>
      <c r="C5059" s="26">
        <v>0.54759999999999998</v>
      </c>
      <c r="D5059" s="26">
        <v>0.32190000000000002</v>
      </c>
      <c r="E5059" s="26">
        <v>0.11409999999999999</v>
      </c>
      <c r="F5059" s="26">
        <v>1.6400000000000001E-2</v>
      </c>
      <c r="H5059">
        <v>191</v>
      </c>
    </row>
    <row r="5060" spans="1:8" x14ac:dyDescent="0.35">
      <c r="A5060" t="s">
        <v>229</v>
      </c>
      <c r="B5060" t="s">
        <v>360</v>
      </c>
      <c r="C5060" s="26">
        <v>0.55789999999999995</v>
      </c>
      <c r="D5060" s="26">
        <v>0.33889999999999998</v>
      </c>
      <c r="E5060" s="26">
        <v>8.3699999999999997E-2</v>
      </c>
      <c r="F5060" s="26">
        <v>3.2000000000000002E-3</v>
      </c>
      <c r="G5060" s="26">
        <v>1.6199999999999999E-2</v>
      </c>
      <c r="H5060">
        <v>164</v>
      </c>
    </row>
    <row r="5061" spans="1:8" x14ac:dyDescent="0.35">
      <c r="A5061" t="s">
        <v>229</v>
      </c>
      <c r="B5061" t="s">
        <v>361</v>
      </c>
      <c r="C5061" s="26">
        <v>0.56679999999999997</v>
      </c>
      <c r="D5061" s="26">
        <v>0.35360000000000003</v>
      </c>
      <c r="E5061" s="26">
        <v>7.3099999999999998E-2</v>
      </c>
      <c r="G5061" s="26">
        <v>6.6E-3</v>
      </c>
      <c r="H5061">
        <v>243</v>
      </c>
    </row>
    <row r="5062" spans="1:8" x14ac:dyDescent="0.35">
      <c r="A5062" t="s">
        <v>229</v>
      </c>
      <c r="B5062" t="s">
        <v>362</v>
      </c>
      <c r="C5062" s="26">
        <v>0.52600000000000002</v>
      </c>
      <c r="D5062" s="26">
        <v>0.36909999999999998</v>
      </c>
      <c r="E5062" s="26">
        <v>6.88E-2</v>
      </c>
      <c r="F5062" s="26">
        <v>3.61E-2</v>
      </c>
      <c r="H5062">
        <v>171</v>
      </c>
    </row>
    <row r="5063" spans="1:8" x14ac:dyDescent="0.35">
      <c r="A5063" t="s">
        <v>230</v>
      </c>
      <c r="B5063" t="s">
        <v>360</v>
      </c>
      <c r="C5063" s="26">
        <v>0.44109999999999999</v>
      </c>
      <c r="D5063" s="26">
        <v>0.4284</v>
      </c>
      <c r="E5063" s="26">
        <v>0.1244</v>
      </c>
      <c r="F5063" s="26">
        <v>6.1999999999999998E-3</v>
      </c>
      <c r="H5063">
        <v>120</v>
      </c>
    </row>
    <row r="5064" spans="1:8" x14ac:dyDescent="0.35">
      <c r="A5064" t="s">
        <v>230</v>
      </c>
      <c r="B5064" t="s">
        <v>363</v>
      </c>
      <c r="C5064" s="26">
        <v>0.58199999999999996</v>
      </c>
      <c r="D5064" s="26">
        <v>0.3977</v>
      </c>
      <c r="E5064" s="26">
        <v>2.0299999999999999E-2</v>
      </c>
      <c r="H5064">
        <v>127</v>
      </c>
    </row>
    <row r="5065" spans="1:8" x14ac:dyDescent="0.35">
      <c r="A5065" t="s">
        <v>230</v>
      </c>
      <c r="B5065" t="s">
        <v>361</v>
      </c>
      <c r="C5065" s="26">
        <v>0.70309999999999995</v>
      </c>
      <c r="D5065" s="26">
        <v>0.24030000000000001</v>
      </c>
      <c r="E5065" s="26">
        <v>2.47E-2</v>
      </c>
      <c r="F5065" s="26">
        <v>2.4799999999999999E-2</v>
      </c>
      <c r="G5065" s="26">
        <v>7.0000000000000001E-3</v>
      </c>
      <c r="H5065">
        <v>109</v>
      </c>
    </row>
    <row r="5066" spans="1:8" x14ac:dyDescent="0.35">
      <c r="A5066" t="s">
        <v>230</v>
      </c>
      <c r="B5066" t="s">
        <v>362</v>
      </c>
      <c r="C5066" s="26">
        <v>0.69330000000000003</v>
      </c>
      <c r="D5066" s="26">
        <v>0.2913</v>
      </c>
      <c r="E5066" s="26">
        <v>1.54E-2</v>
      </c>
      <c r="H5066">
        <v>148</v>
      </c>
    </row>
    <row r="5067" spans="1:8" x14ac:dyDescent="0.35">
      <c r="A5067" s="27" t="s">
        <v>231</v>
      </c>
      <c r="B5067" s="27" t="s">
        <v>362</v>
      </c>
      <c r="C5067" s="28">
        <v>0.68969999999999998</v>
      </c>
      <c r="D5067" s="28">
        <v>0.27589999999999998</v>
      </c>
      <c r="E5067" s="28">
        <v>3.4500000000000003E-2</v>
      </c>
      <c r="F5067" s="29"/>
      <c r="G5067" s="29"/>
      <c r="H5067" s="29" t="s">
        <v>329</v>
      </c>
    </row>
    <row r="5068" spans="1:8" x14ac:dyDescent="0.35">
      <c r="A5068" t="s">
        <v>231</v>
      </c>
      <c r="B5068" t="s">
        <v>361</v>
      </c>
      <c r="C5068" s="26">
        <v>0.72</v>
      </c>
      <c r="D5068" s="26">
        <v>0.26</v>
      </c>
      <c r="E5068" s="26">
        <v>0.02</v>
      </c>
      <c r="H5068">
        <v>50</v>
      </c>
    </row>
    <row r="5069" spans="1:8" x14ac:dyDescent="0.35">
      <c r="A5069" t="s">
        <v>231</v>
      </c>
      <c r="B5069" t="s">
        <v>360</v>
      </c>
      <c r="C5069" s="26">
        <v>0.52270000000000005</v>
      </c>
      <c r="D5069" s="26">
        <v>0.38640000000000002</v>
      </c>
      <c r="E5069" s="26">
        <v>4.5499999999999999E-2</v>
      </c>
      <c r="F5069" s="26">
        <v>2.2700000000000001E-2</v>
      </c>
      <c r="G5069" s="26">
        <v>2.2700000000000001E-2</v>
      </c>
      <c r="H5069">
        <v>44</v>
      </c>
    </row>
    <row r="5070" spans="1:8" x14ac:dyDescent="0.35">
      <c r="A5070" s="27" t="s">
        <v>231</v>
      </c>
      <c r="B5070" s="27" t="s">
        <v>363</v>
      </c>
      <c r="C5070" s="28">
        <v>0.59260000000000002</v>
      </c>
      <c r="D5070" s="28">
        <v>0.29630000000000001</v>
      </c>
      <c r="E5070" s="28">
        <v>7.4099999999999999E-2</v>
      </c>
      <c r="F5070" s="28">
        <v>3.6999999999999998E-2</v>
      </c>
      <c r="G5070" s="29"/>
      <c r="H5070" s="29" t="s">
        <v>338</v>
      </c>
    </row>
    <row r="5071" spans="1:8" x14ac:dyDescent="0.35">
      <c r="A5071" t="s">
        <v>232</v>
      </c>
      <c r="B5071" t="s">
        <v>232</v>
      </c>
      <c r="C5071" s="26">
        <v>0.62329999999999997</v>
      </c>
      <c r="D5071" s="26">
        <v>0.30359999999999998</v>
      </c>
      <c r="E5071" s="26">
        <v>5.8700000000000002E-2</v>
      </c>
      <c r="F5071" s="26">
        <v>0.01</v>
      </c>
      <c r="G5071" s="26">
        <v>4.4000000000000003E-3</v>
      </c>
      <c r="H5071">
        <v>2476</v>
      </c>
    </row>
    <row r="5073" spans="1:8" x14ac:dyDescent="0.35">
      <c r="A5073" s="1" t="s">
        <v>725</v>
      </c>
    </row>
    <row r="5074" spans="1:8" x14ac:dyDescent="0.35">
      <c r="A5074" t="s">
        <v>219</v>
      </c>
      <c r="B5074" t="s">
        <v>305</v>
      </c>
      <c r="C5074" t="s">
        <v>681</v>
      </c>
      <c r="D5074" t="s">
        <v>682</v>
      </c>
      <c r="E5074" t="s">
        <v>683</v>
      </c>
      <c r="F5074" t="s">
        <v>684</v>
      </c>
      <c r="G5074" t="s">
        <v>281</v>
      </c>
      <c r="H5074" t="s">
        <v>226</v>
      </c>
    </row>
    <row r="5075" spans="1:8" x14ac:dyDescent="0.35">
      <c r="A5075" t="s">
        <v>227</v>
      </c>
      <c r="B5075" t="s">
        <v>267</v>
      </c>
      <c r="C5075" s="26">
        <v>0.69440000000000002</v>
      </c>
      <c r="D5075" s="26">
        <v>0.27779999999999999</v>
      </c>
      <c r="E5075" s="26">
        <v>2.7799999999999998E-2</v>
      </c>
      <c r="H5075">
        <v>36</v>
      </c>
    </row>
    <row r="5076" spans="1:8" x14ac:dyDescent="0.35">
      <c r="A5076" t="s">
        <v>227</v>
      </c>
      <c r="B5076" t="s">
        <v>266</v>
      </c>
      <c r="C5076" s="26">
        <v>0.67800000000000005</v>
      </c>
      <c r="D5076" s="26">
        <v>0.23730000000000001</v>
      </c>
      <c r="E5076" s="26">
        <v>6.7799999999999999E-2</v>
      </c>
      <c r="F5076" s="26">
        <v>1.6899999999999998E-2</v>
      </c>
      <c r="H5076">
        <v>59</v>
      </c>
    </row>
    <row r="5077" spans="1:8" x14ac:dyDescent="0.35">
      <c r="A5077" t="s">
        <v>227</v>
      </c>
      <c r="B5077" t="s">
        <v>265</v>
      </c>
      <c r="C5077" s="26">
        <v>0.65149999999999997</v>
      </c>
      <c r="D5077" s="26">
        <v>0.2727</v>
      </c>
      <c r="E5077" s="26">
        <v>4.5499999999999999E-2</v>
      </c>
      <c r="F5077" s="26">
        <v>3.0300000000000001E-2</v>
      </c>
      <c r="H5077">
        <v>66</v>
      </c>
    </row>
    <row r="5078" spans="1:8" x14ac:dyDescent="0.35">
      <c r="A5078" t="s">
        <v>228</v>
      </c>
      <c r="B5078" t="s">
        <v>267</v>
      </c>
      <c r="C5078" s="26">
        <v>0.72670000000000001</v>
      </c>
      <c r="D5078" s="26">
        <v>0.2273</v>
      </c>
      <c r="E5078" s="26">
        <v>4.5999999999999999E-2</v>
      </c>
      <c r="H5078">
        <v>199</v>
      </c>
    </row>
    <row r="5079" spans="1:8" x14ac:dyDescent="0.35">
      <c r="A5079" t="s">
        <v>228</v>
      </c>
      <c r="B5079" t="s">
        <v>265</v>
      </c>
      <c r="C5079" s="26">
        <v>0.63829999999999998</v>
      </c>
      <c r="D5079" s="26">
        <v>0.30230000000000001</v>
      </c>
      <c r="E5079" s="26">
        <v>4.6399999999999997E-2</v>
      </c>
      <c r="F5079" s="26">
        <v>8.9999999999999998E-4</v>
      </c>
      <c r="G5079" s="26">
        <v>1.2200000000000001E-2</v>
      </c>
      <c r="H5079">
        <v>384</v>
      </c>
    </row>
    <row r="5080" spans="1:8" x14ac:dyDescent="0.35">
      <c r="A5080" s="27" t="s">
        <v>228</v>
      </c>
      <c r="B5080" s="27" t="s">
        <v>236</v>
      </c>
      <c r="C5080" s="29"/>
      <c r="D5080" s="28">
        <v>0.5</v>
      </c>
      <c r="E5080" s="28">
        <v>0.5</v>
      </c>
      <c r="F5080" s="29"/>
      <c r="G5080" s="29"/>
      <c r="H5080" s="29" t="s">
        <v>314</v>
      </c>
    </row>
    <row r="5081" spans="1:8" x14ac:dyDescent="0.35">
      <c r="A5081" t="s">
        <v>228</v>
      </c>
      <c r="B5081" t="s">
        <v>266</v>
      </c>
      <c r="C5081" s="26">
        <v>0.58499999999999996</v>
      </c>
      <c r="D5081" s="26">
        <v>0.30969999999999998</v>
      </c>
      <c r="E5081" s="26">
        <v>9.8500000000000004E-2</v>
      </c>
      <c r="F5081" s="26">
        <v>5.4999999999999997E-3</v>
      </c>
      <c r="G5081" s="26">
        <v>1.2999999999999999E-3</v>
      </c>
      <c r="H5081">
        <v>448</v>
      </c>
    </row>
    <row r="5082" spans="1:8" x14ac:dyDescent="0.35">
      <c r="A5082" t="s">
        <v>229</v>
      </c>
      <c r="B5082" t="s">
        <v>266</v>
      </c>
      <c r="C5082" s="26">
        <v>0.5373</v>
      </c>
      <c r="D5082" s="26">
        <v>0.35820000000000002</v>
      </c>
      <c r="E5082" s="26">
        <v>9.4799999999999995E-2</v>
      </c>
      <c r="F5082" s="26">
        <v>9.5999999999999992E-3</v>
      </c>
      <c r="H5082">
        <v>359</v>
      </c>
    </row>
    <row r="5083" spans="1:8" x14ac:dyDescent="0.35">
      <c r="A5083" t="s">
        <v>229</v>
      </c>
      <c r="B5083" t="s">
        <v>267</v>
      </c>
      <c r="C5083" s="26">
        <v>0.59570000000000001</v>
      </c>
      <c r="D5083" s="26">
        <v>0.32829999999999998</v>
      </c>
      <c r="E5083" s="26">
        <v>6.4699999999999994E-2</v>
      </c>
      <c r="G5083" s="26">
        <v>1.1299999999999999E-2</v>
      </c>
      <c r="H5083">
        <v>201</v>
      </c>
    </row>
    <row r="5084" spans="1:8" x14ac:dyDescent="0.35">
      <c r="A5084" t="s">
        <v>229</v>
      </c>
      <c r="B5084" t="s">
        <v>265</v>
      </c>
      <c r="C5084" s="26">
        <v>0.58520000000000005</v>
      </c>
      <c r="D5084" s="26">
        <v>0.3251</v>
      </c>
      <c r="E5084" s="26">
        <v>7.0300000000000001E-2</v>
      </c>
      <c r="F5084" s="26">
        <v>1.37E-2</v>
      </c>
      <c r="G5084" s="26">
        <v>5.5999999999999999E-3</v>
      </c>
      <c r="H5084">
        <v>335</v>
      </c>
    </row>
    <row r="5085" spans="1:8" x14ac:dyDescent="0.35">
      <c r="A5085" t="s">
        <v>230</v>
      </c>
      <c r="B5085" t="s">
        <v>267</v>
      </c>
      <c r="C5085" s="26">
        <v>0.77049999999999996</v>
      </c>
      <c r="D5085" s="26">
        <v>0.21729999999999999</v>
      </c>
      <c r="E5085" s="26">
        <v>8.3000000000000001E-3</v>
      </c>
      <c r="G5085" s="26">
        <v>4.0000000000000001E-3</v>
      </c>
      <c r="H5085">
        <v>119</v>
      </c>
    </row>
    <row r="5086" spans="1:8" x14ac:dyDescent="0.35">
      <c r="A5086" t="s">
        <v>230</v>
      </c>
      <c r="B5086" t="s">
        <v>266</v>
      </c>
      <c r="C5086" s="26">
        <v>0.54410000000000003</v>
      </c>
      <c r="D5086" s="26">
        <v>0.38080000000000003</v>
      </c>
      <c r="E5086" s="26">
        <v>7.2499999999999995E-2</v>
      </c>
      <c r="F5086" s="26">
        <v>2.5000000000000001E-3</v>
      </c>
      <c r="H5086">
        <v>232</v>
      </c>
    </row>
    <row r="5087" spans="1:8" x14ac:dyDescent="0.35">
      <c r="A5087" t="s">
        <v>230</v>
      </c>
      <c r="B5087" t="s">
        <v>265</v>
      </c>
      <c r="C5087" s="26">
        <v>0.62380000000000002</v>
      </c>
      <c r="D5087" s="26">
        <v>0.33</v>
      </c>
      <c r="E5087" s="26">
        <v>2.8400000000000002E-2</v>
      </c>
      <c r="F5087" s="26">
        <v>1.5599999999999999E-2</v>
      </c>
      <c r="G5087" s="26">
        <v>2.0999999999999999E-3</v>
      </c>
      <c r="H5087">
        <v>209</v>
      </c>
    </row>
    <row r="5088" spans="1:8" x14ac:dyDescent="0.35">
      <c r="A5088" t="s">
        <v>231</v>
      </c>
      <c r="B5088" t="s">
        <v>267</v>
      </c>
      <c r="C5088" s="26">
        <v>0.79410000000000003</v>
      </c>
      <c r="D5088" s="26">
        <v>0.17649999999999999</v>
      </c>
      <c r="F5088" s="26">
        <v>2.9399999999999999E-2</v>
      </c>
      <c r="H5088">
        <v>34</v>
      </c>
    </row>
    <row r="5089" spans="1:8" x14ac:dyDescent="0.35">
      <c r="A5089" t="s">
        <v>231</v>
      </c>
      <c r="B5089" t="s">
        <v>266</v>
      </c>
      <c r="C5089" s="26">
        <v>0.5806</v>
      </c>
      <c r="D5089" s="26">
        <v>0.3548</v>
      </c>
      <c r="E5089" s="26">
        <v>4.8399999999999999E-2</v>
      </c>
      <c r="G5089" s="26">
        <v>1.61E-2</v>
      </c>
      <c r="H5089">
        <v>62</v>
      </c>
    </row>
    <row r="5090" spans="1:8" x14ac:dyDescent="0.35">
      <c r="A5090" t="s">
        <v>231</v>
      </c>
      <c r="B5090" t="s">
        <v>265</v>
      </c>
      <c r="C5090" s="26">
        <v>0.63239999999999996</v>
      </c>
      <c r="D5090" s="26">
        <v>0.29409999999999997</v>
      </c>
      <c r="E5090" s="26">
        <v>5.8799999999999998E-2</v>
      </c>
      <c r="F5090" s="26">
        <v>1.47E-2</v>
      </c>
      <c r="H5090">
        <v>68</v>
      </c>
    </row>
    <row r="5091" spans="1:8" x14ac:dyDescent="0.35">
      <c r="A5091" t="s">
        <v>232</v>
      </c>
      <c r="B5091" t="s">
        <v>232</v>
      </c>
      <c r="C5091" s="26">
        <v>0.62329999999999997</v>
      </c>
      <c r="D5091" s="26">
        <v>0.30359999999999998</v>
      </c>
      <c r="E5091" s="26">
        <v>5.8700000000000002E-2</v>
      </c>
      <c r="F5091" s="26">
        <v>0.01</v>
      </c>
      <c r="G5091" s="26">
        <v>4.4000000000000003E-3</v>
      </c>
      <c r="H5091">
        <v>2813</v>
      </c>
    </row>
    <row r="5093" spans="1:8" x14ac:dyDescent="0.35">
      <c r="A5093" s="1" t="s">
        <v>726</v>
      </c>
    </row>
    <row r="5094" spans="1:8" x14ac:dyDescent="0.35">
      <c r="A5094" t="s">
        <v>219</v>
      </c>
      <c r="B5094" t="s">
        <v>305</v>
      </c>
      <c r="C5094" t="s">
        <v>681</v>
      </c>
      <c r="D5094" t="s">
        <v>682</v>
      </c>
      <c r="E5094" t="s">
        <v>683</v>
      </c>
      <c r="F5094" t="s">
        <v>684</v>
      </c>
      <c r="G5094" t="s">
        <v>281</v>
      </c>
      <c r="H5094" t="s">
        <v>226</v>
      </c>
    </row>
    <row r="5095" spans="1:8" x14ac:dyDescent="0.35">
      <c r="A5095" t="s">
        <v>227</v>
      </c>
      <c r="B5095" t="s">
        <v>252</v>
      </c>
      <c r="C5095" s="26">
        <v>0.66669999999999996</v>
      </c>
      <c r="D5095" s="26">
        <v>0.24440000000000001</v>
      </c>
      <c r="E5095" s="26">
        <v>4.4400000000000002E-2</v>
      </c>
      <c r="F5095" s="26">
        <v>4.4400000000000002E-2</v>
      </c>
      <c r="H5095">
        <v>45</v>
      </c>
    </row>
    <row r="5096" spans="1:8" x14ac:dyDescent="0.35">
      <c r="A5096" t="s">
        <v>227</v>
      </c>
      <c r="B5096" t="s">
        <v>253</v>
      </c>
      <c r="C5096" s="26">
        <v>0.61760000000000004</v>
      </c>
      <c r="D5096" s="26">
        <v>0.26469999999999999</v>
      </c>
      <c r="E5096" s="26">
        <v>0.1176</v>
      </c>
      <c r="H5096">
        <v>34</v>
      </c>
    </row>
    <row r="5097" spans="1:8" x14ac:dyDescent="0.35">
      <c r="A5097" t="s">
        <v>227</v>
      </c>
      <c r="B5097" t="s">
        <v>251</v>
      </c>
      <c r="C5097" s="26">
        <v>0.69510000000000005</v>
      </c>
      <c r="D5097" s="26">
        <v>0.26829999999999998</v>
      </c>
      <c r="E5097" s="26">
        <v>2.4400000000000002E-2</v>
      </c>
      <c r="F5097" s="26">
        <v>1.2200000000000001E-2</v>
      </c>
      <c r="H5097">
        <v>82</v>
      </c>
    </row>
    <row r="5098" spans="1:8" x14ac:dyDescent="0.35">
      <c r="A5098" t="s">
        <v>228</v>
      </c>
      <c r="B5098" t="s">
        <v>252</v>
      </c>
      <c r="C5098" s="26">
        <v>0.56330000000000002</v>
      </c>
      <c r="D5098" s="26">
        <v>0.32800000000000001</v>
      </c>
      <c r="E5098" s="26">
        <v>9.06E-2</v>
      </c>
      <c r="F5098" s="26">
        <v>6.1000000000000004E-3</v>
      </c>
      <c r="G5098" s="26">
        <v>1.21E-2</v>
      </c>
      <c r="H5098">
        <v>344</v>
      </c>
    </row>
    <row r="5099" spans="1:8" x14ac:dyDescent="0.35">
      <c r="A5099" t="s">
        <v>228</v>
      </c>
      <c r="B5099" t="s">
        <v>253</v>
      </c>
      <c r="C5099" s="26">
        <v>0.52200000000000002</v>
      </c>
      <c r="D5099" s="26">
        <v>0.3674</v>
      </c>
      <c r="E5099" s="26">
        <v>0.10100000000000001</v>
      </c>
      <c r="F5099" s="26">
        <v>1.1999999999999999E-3</v>
      </c>
      <c r="G5099" s="26">
        <v>8.3999999999999995E-3</v>
      </c>
      <c r="H5099">
        <v>222</v>
      </c>
    </row>
    <row r="5100" spans="1:8" x14ac:dyDescent="0.35">
      <c r="A5100" t="s">
        <v>228</v>
      </c>
      <c r="B5100" t="s">
        <v>251</v>
      </c>
      <c r="C5100" s="26">
        <v>0.71540000000000004</v>
      </c>
      <c r="D5100" s="26">
        <v>0.2394</v>
      </c>
      <c r="E5100" s="26">
        <v>4.4299999999999999E-2</v>
      </c>
      <c r="F5100" s="26">
        <v>8.9999999999999998E-4</v>
      </c>
      <c r="H5100">
        <v>467</v>
      </c>
    </row>
    <row r="5101" spans="1:8" x14ac:dyDescent="0.35">
      <c r="A5101" t="s">
        <v>229</v>
      </c>
      <c r="B5101" t="s">
        <v>252</v>
      </c>
      <c r="C5101" s="26">
        <v>0.56140000000000001</v>
      </c>
      <c r="D5101" s="26">
        <v>0.36959999999999998</v>
      </c>
      <c r="E5101" s="26">
        <v>4.3700000000000003E-2</v>
      </c>
      <c r="F5101" s="26">
        <v>1.41E-2</v>
      </c>
      <c r="G5101" s="26">
        <v>1.12E-2</v>
      </c>
      <c r="H5101">
        <v>199</v>
      </c>
    </row>
    <row r="5102" spans="1:8" x14ac:dyDescent="0.35">
      <c r="A5102" t="s">
        <v>229</v>
      </c>
      <c r="B5102" t="s">
        <v>253</v>
      </c>
      <c r="C5102" s="26">
        <v>0.4778</v>
      </c>
      <c r="D5102" s="26">
        <v>0.31680000000000003</v>
      </c>
      <c r="E5102" s="26">
        <v>0.17530000000000001</v>
      </c>
      <c r="F5102" s="26">
        <v>1.67E-2</v>
      </c>
      <c r="G5102" s="26">
        <v>1.3299999999999999E-2</v>
      </c>
      <c r="H5102">
        <v>145</v>
      </c>
    </row>
    <row r="5103" spans="1:8" x14ac:dyDescent="0.35">
      <c r="A5103" t="s">
        <v>229</v>
      </c>
      <c r="B5103" t="s">
        <v>251</v>
      </c>
      <c r="C5103" s="26">
        <v>0.60609999999999997</v>
      </c>
      <c r="D5103" s="26">
        <v>0.3306</v>
      </c>
      <c r="E5103" s="26">
        <v>5.8299999999999998E-2</v>
      </c>
      <c r="F5103" s="26">
        <v>5.1000000000000004E-3</v>
      </c>
      <c r="H5103">
        <v>551</v>
      </c>
    </row>
    <row r="5104" spans="1:8" x14ac:dyDescent="0.35">
      <c r="A5104" t="s">
        <v>230</v>
      </c>
      <c r="B5104" t="s">
        <v>252</v>
      </c>
      <c r="C5104" s="26">
        <v>0.58250000000000002</v>
      </c>
      <c r="D5104" s="26">
        <v>0.37580000000000002</v>
      </c>
      <c r="E5104" s="26">
        <v>4.1599999999999998E-2</v>
      </c>
      <c r="H5104">
        <v>159</v>
      </c>
    </row>
    <row r="5105" spans="1:8" x14ac:dyDescent="0.35">
      <c r="A5105" t="s">
        <v>230</v>
      </c>
      <c r="B5105" t="s">
        <v>253</v>
      </c>
      <c r="C5105" s="26">
        <v>0.69620000000000004</v>
      </c>
      <c r="D5105" s="26">
        <v>0.27029999999999998</v>
      </c>
      <c r="E5105" s="26">
        <v>2.8799999999999999E-2</v>
      </c>
      <c r="F5105" s="26">
        <v>4.7000000000000002E-3</v>
      </c>
      <c r="H5105">
        <v>110</v>
      </c>
    </row>
    <row r="5106" spans="1:8" x14ac:dyDescent="0.35">
      <c r="A5106" t="s">
        <v>230</v>
      </c>
      <c r="B5106" t="s">
        <v>251</v>
      </c>
      <c r="C5106" s="26">
        <v>0.62439999999999996</v>
      </c>
      <c r="D5106" s="26">
        <v>0.31759999999999999</v>
      </c>
      <c r="E5106" s="26">
        <v>4.2900000000000001E-2</v>
      </c>
      <c r="F5106" s="26">
        <v>1.18E-2</v>
      </c>
      <c r="G5106" s="26">
        <v>3.2000000000000002E-3</v>
      </c>
      <c r="H5106">
        <v>291</v>
      </c>
    </row>
    <row r="5107" spans="1:8" x14ac:dyDescent="0.35">
      <c r="A5107" t="s">
        <v>231</v>
      </c>
      <c r="B5107" t="s">
        <v>252</v>
      </c>
      <c r="C5107" s="26">
        <v>0.59179999999999999</v>
      </c>
      <c r="D5107" s="26">
        <v>0.32650000000000001</v>
      </c>
      <c r="E5107" s="26">
        <v>6.1199999999999997E-2</v>
      </c>
      <c r="G5107" s="26">
        <v>2.0400000000000001E-2</v>
      </c>
      <c r="H5107">
        <v>49</v>
      </c>
    </row>
    <row r="5108" spans="1:8" x14ac:dyDescent="0.35">
      <c r="A5108" t="s">
        <v>231</v>
      </c>
      <c r="B5108" t="s">
        <v>253</v>
      </c>
      <c r="C5108" s="26">
        <v>0.5333</v>
      </c>
      <c r="D5108" s="26">
        <v>0.36670000000000003</v>
      </c>
      <c r="E5108" s="26">
        <v>6.6699999999999995E-2</v>
      </c>
      <c r="F5108" s="26">
        <v>3.3300000000000003E-2</v>
      </c>
      <c r="H5108">
        <v>30</v>
      </c>
    </row>
    <row r="5109" spans="1:8" x14ac:dyDescent="0.35">
      <c r="A5109" t="s">
        <v>231</v>
      </c>
      <c r="B5109" t="s">
        <v>251</v>
      </c>
      <c r="C5109" s="26">
        <v>0.71760000000000002</v>
      </c>
      <c r="D5109" s="26">
        <v>0.24709999999999999</v>
      </c>
      <c r="E5109" s="26">
        <v>2.35E-2</v>
      </c>
      <c r="F5109" s="26">
        <v>1.18E-2</v>
      </c>
      <c r="H5109">
        <v>85</v>
      </c>
    </row>
    <row r="5110" spans="1:8" x14ac:dyDescent="0.35">
      <c r="A5110" t="s">
        <v>232</v>
      </c>
      <c r="B5110" t="s">
        <v>232</v>
      </c>
      <c r="C5110" s="26">
        <v>0.62329999999999997</v>
      </c>
      <c r="D5110" s="26">
        <v>0.30359999999999998</v>
      </c>
      <c r="E5110" s="26">
        <v>5.8700000000000002E-2</v>
      </c>
      <c r="F5110" s="26">
        <v>0.01</v>
      </c>
      <c r="G5110" s="26">
        <v>4.4000000000000003E-3</v>
      </c>
      <c r="H5110">
        <v>2813</v>
      </c>
    </row>
    <row r="5112" spans="1:8" x14ac:dyDescent="0.35">
      <c r="A5112" s="1" t="s">
        <v>727</v>
      </c>
    </row>
    <row r="5113" spans="1:8" x14ac:dyDescent="0.35">
      <c r="A5113" t="s">
        <v>219</v>
      </c>
      <c r="B5113" t="s">
        <v>305</v>
      </c>
      <c r="C5113" t="s">
        <v>681</v>
      </c>
      <c r="D5113" t="s">
        <v>682</v>
      </c>
      <c r="E5113" t="s">
        <v>683</v>
      </c>
      <c r="F5113" t="s">
        <v>684</v>
      </c>
      <c r="G5113" t="s">
        <v>281</v>
      </c>
      <c r="H5113" t="s">
        <v>226</v>
      </c>
    </row>
    <row r="5114" spans="1:8" x14ac:dyDescent="0.35">
      <c r="A5114" t="s">
        <v>227</v>
      </c>
      <c r="B5114" t="s">
        <v>249</v>
      </c>
      <c r="C5114" s="26">
        <v>0.81820000000000004</v>
      </c>
      <c r="D5114" s="26">
        <v>0.13639999999999999</v>
      </c>
      <c r="E5114" s="26">
        <v>2.2700000000000001E-2</v>
      </c>
      <c r="F5114" s="26">
        <v>2.2700000000000001E-2</v>
      </c>
      <c r="H5114">
        <v>44</v>
      </c>
    </row>
    <row r="5115" spans="1:8" x14ac:dyDescent="0.35">
      <c r="A5115" t="s">
        <v>227</v>
      </c>
      <c r="B5115" t="s">
        <v>248</v>
      </c>
      <c r="C5115" s="26">
        <v>0.61539999999999995</v>
      </c>
      <c r="D5115" s="26">
        <v>0.30769999999999997</v>
      </c>
      <c r="E5115" s="26">
        <v>5.9799999999999999E-2</v>
      </c>
      <c r="F5115" s="26">
        <v>1.7100000000000001E-2</v>
      </c>
      <c r="H5115">
        <v>117</v>
      </c>
    </row>
    <row r="5116" spans="1:8" x14ac:dyDescent="0.35">
      <c r="A5116" t="s">
        <v>228</v>
      </c>
      <c r="B5116" t="s">
        <v>249</v>
      </c>
      <c r="C5116" s="26">
        <v>0.7238</v>
      </c>
      <c r="D5116" s="26">
        <v>0.21929999999999999</v>
      </c>
      <c r="E5116" s="26">
        <v>5.5500000000000001E-2</v>
      </c>
      <c r="F5116" s="26">
        <v>1.4E-3</v>
      </c>
      <c r="H5116">
        <v>274</v>
      </c>
    </row>
    <row r="5117" spans="1:8" x14ac:dyDescent="0.35">
      <c r="A5117" t="s">
        <v>228</v>
      </c>
      <c r="B5117" t="s">
        <v>248</v>
      </c>
      <c r="C5117" s="26">
        <v>0.58589999999999998</v>
      </c>
      <c r="D5117" s="26">
        <v>0.32579999999999998</v>
      </c>
      <c r="E5117" s="26">
        <v>7.7200000000000005E-2</v>
      </c>
      <c r="F5117" s="26">
        <v>3.0999999999999999E-3</v>
      </c>
      <c r="G5117" s="26">
        <v>8.0000000000000002E-3</v>
      </c>
      <c r="H5117">
        <v>759</v>
      </c>
    </row>
    <row r="5118" spans="1:8" x14ac:dyDescent="0.35">
      <c r="A5118" t="s">
        <v>229</v>
      </c>
      <c r="B5118" t="s">
        <v>249</v>
      </c>
      <c r="C5118" s="26">
        <v>0.56840000000000002</v>
      </c>
      <c r="D5118" s="26">
        <v>0.32190000000000002</v>
      </c>
      <c r="E5118" s="26">
        <v>0.10100000000000001</v>
      </c>
      <c r="F5118" s="26">
        <v>1E-3</v>
      </c>
      <c r="G5118" s="26">
        <v>7.6E-3</v>
      </c>
      <c r="H5118">
        <v>259</v>
      </c>
    </row>
    <row r="5119" spans="1:8" x14ac:dyDescent="0.35">
      <c r="A5119" t="s">
        <v>229</v>
      </c>
      <c r="B5119" t="s">
        <v>248</v>
      </c>
      <c r="C5119" s="26">
        <v>0.57350000000000001</v>
      </c>
      <c r="D5119" s="26">
        <v>0.34399999999999997</v>
      </c>
      <c r="E5119" s="26">
        <v>6.54E-2</v>
      </c>
      <c r="F5119" s="26">
        <v>1.34E-2</v>
      </c>
      <c r="G5119" s="26">
        <v>3.7000000000000002E-3</v>
      </c>
      <c r="H5119">
        <v>636</v>
      </c>
    </row>
    <row r="5120" spans="1:8" x14ac:dyDescent="0.35">
      <c r="A5120" t="s">
        <v>230</v>
      </c>
      <c r="B5120" t="s">
        <v>249</v>
      </c>
      <c r="C5120" s="26">
        <v>0.60919999999999996</v>
      </c>
      <c r="D5120" s="26">
        <v>0.31469999999999998</v>
      </c>
      <c r="E5120" s="26">
        <v>5.3999999999999999E-2</v>
      </c>
      <c r="F5120" s="26">
        <v>2.2100000000000002E-2</v>
      </c>
      <c r="H5120">
        <v>171</v>
      </c>
    </row>
    <row r="5121" spans="1:8" x14ac:dyDescent="0.35">
      <c r="A5121" t="s">
        <v>230</v>
      </c>
      <c r="B5121" t="s">
        <v>248</v>
      </c>
      <c r="C5121" s="26">
        <v>0.63649999999999995</v>
      </c>
      <c r="D5121" s="26">
        <v>0.3281</v>
      </c>
      <c r="E5121" s="26">
        <v>3.2800000000000003E-2</v>
      </c>
      <c r="G5121" s="26">
        <v>2.7000000000000001E-3</v>
      </c>
      <c r="H5121">
        <v>389</v>
      </c>
    </row>
    <row r="5122" spans="1:8" x14ac:dyDescent="0.35">
      <c r="A5122" t="s">
        <v>231</v>
      </c>
      <c r="B5122" t="s">
        <v>249</v>
      </c>
      <c r="C5122" s="26">
        <v>0.65710000000000002</v>
      </c>
      <c r="D5122" s="26">
        <v>0.34289999999999998</v>
      </c>
      <c r="H5122">
        <v>35</v>
      </c>
    </row>
    <row r="5123" spans="1:8" x14ac:dyDescent="0.35">
      <c r="A5123" t="s">
        <v>231</v>
      </c>
      <c r="B5123" t="s">
        <v>248</v>
      </c>
      <c r="C5123" s="26">
        <v>0.64339999999999997</v>
      </c>
      <c r="D5123" s="26">
        <v>0.27910000000000001</v>
      </c>
      <c r="E5123" s="26">
        <v>5.4300000000000001E-2</v>
      </c>
      <c r="F5123" s="26">
        <v>1.55E-2</v>
      </c>
      <c r="G5123" s="26">
        <v>7.7999999999999996E-3</v>
      </c>
      <c r="H5123">
        <v>129</v>
      </c>
    </row>
    <row r="5124" spans="1:8" x14ac:dyDescent="0.35">
      <c r="A5124" t="s">
        <v>232</v>
      </c>
      <c r="B5124" t="s">
        <v>232</v>
      </c>
      <c r="C5124" s="26">
        <v>0.62329999999999997</v>
      </c>
      <c r="D5124" s="26">
        <v>0.30359999999999998</v>
      </c>
      <c r="E5124" s="26">
        <v>5.8700000000000002E-2</v>
      </c>
      <c r="F5124" s="26">
        <v>0.01</v>
      </c>
      <c r="G5124" s="26">
        <v>4.4000000000000003E-3</v>
      </c>
      <c r="H5124">
        <v>2813</v>
      </c>
    </row>
    <row r="5126" spans="1:8" x14ac:dyDescent="0.35">
      <c r="A5126" s="1" t="s">
        <v>728</v>
      </c>
    </row>
    <row r="5127" spans="1:8" x14ac:dyDescent="0.35">
      <c r="A5127" t="s">
        <v>219</v>
      </c>
      <c r="B5127" t="s">
        <v>305</v>
      </c>
      <c r="C5127" t="s">
        <v>681</v>
      </c>
      <c r="D5127" t="s">
        <v>682</v>
      </c>
      <c r="E5127" t="s">
        <v>683</v>
      </c>
      <c r="F5127" t="s">
        <v>684</v>
      </c>
      <c r="G5127" t="s">
        <v>281</v>
      </c>
      <c r="H5127" t="s">
        <v>226</v>
      </c>
    </row>
    <row r="5128" spans="1:8" x14ac:dyDescent="0.35">
      <c r="A5128" s="27" t="s">
        <v>227</v>
      </c>
      <c r="B5128" s="27" t="s">
        <v>263</v>
      </c>
      <c r="C5128" s="28">
        <v>0.33329999999999999</v>
      </c>
      <c r="D5128" s="28">
        <v>0.33329999999999999</v>
      </c>
      <c r="E5128" s="28">
        <v>0.33329999999999999</v>
      </c>
      <c r="F5128" s="29"/>
      <c r="G5128" s="29"/>
      <c r="H5128" s="29" t="s">
        <v>315</v>
      </c>
    </row>
    <row r="5129" spans="1:8" x14ac:dyDescent="0.35">
      <c r="A5129" t="s">
        <v>227</v>
      </c>
      <c r="B5129" t="s">
        <v>261</v>
      </c>
      <c r="C5129" s="26">
        <v>0.60609999999999997</v>
      </c>
      <c r="D5129" s="26">
        <v>0.36359999999999998</v>
      </c>
      <c r="E5129" s="26">
        <v>3.0300000000000001E-2</v>
      </c>
      <c r="H5129">
        <v>33</v>
      </c>
    </row>
    <row r="5130" spans="1:8" x14ac:dyDescent="0.35">
      <c r="A5130" s="27" t="s">
        <v>227</v>
      </c>
      <c r="B5130" s="27" t="s">
        <v>262</v>
      </c>
      <c r="C5130" s="28">
        <v>0.66669999999999996</v>
      </c>
      <c r="D5130" s="28">
        <v>0.33329999999999999</v>
      </c>
      <c r="E5130" s="29"/>
      <c r="F5130" s="29"/>
      <c r="G5130" s="29"/>
      <c r="H5130" s="29" t="s">
        <v>315</v>
      </c>
    </row>
    <row r="5131" spans="1:8" x14ac:dyDescent="0.35">
      <c r="A5131" t="s">
        <v>227</v>
      </c>
      <c r="B5131" t="s">
        <v>260</v>
      </c>
      <c r="C5131" s="26">
        <v>0.69669999999999999</v>
      </c>
      <c r="D5131" s="26">
        <v>0.22950000000000001</v>
      </c>
      <c r="E5131" s="26">
        <v>4.9200000000000001E-2</v>
      </c>
      <c r="F5131" s="26">
        <v>2.46E-2</v>
      </c>
      <c r="H5131">
        <v>122</v>
      </c>
    </row>
    <row r="5132" spans="1:8" x14ac:dyDescent="0.35">
      <c r="A5132" t="s">
        <v>228</v>
      </c>
      <c r="B5132" t="s">
        <v>261</v>
      </c>
      <c r="C5132" s="26">
        <v>0.58409999999999995</v>
      </c>
      <c r="D5132" s="26">
        <v>0.26979999999999998</v>
      </c>
      <c r="E5132" s="26">
        <v>0.14330000000000001</v>
      </c>
      <c r="G5132" s="26">
        <v>2.8E-3</v>
      </c>
      <c r="H5132">
        <v>192</v>
      </c>
    </row>
    <row r="5133" spans="1:8" x14ac:dyDescent="0.35">
      <c r="A5133" s="27" t="s">
        <v>228</v>
      </c>
      <c r="B5133" s="27" t="s">
        <v>263</v>
      </c>
      <c r="C5133" s="28">
        <v>0.72760000000000002</v>
      </c>
      <c r="D5133" s="28">
        <v>0.20080000000000001</v>
      </c>
      <c r="E5133" s="28">
        <v>4.2299999999999997E-2</v>
      </c>
      <c r="F5133" s="29"/>
      <c r="G5133" s="28">
        <v>2.93E-2</v>
      </c>
      <c r="H5133" s="29" t="s">
        <v>312</v>
      </c>
    </row>
    <row r="5134" spans="1:8" x14ac:dyDescent="0.35">
      <c r="A5134" s="27" t="s">
        <v>228</v>
      </c>
      <c r="B5134" s="27" t="s">
        <v>236</v>
      </c>
      <c r="C5134" s="28">
        <v>0.23910000000000001</v>
      </c>
      <c r="D5134" s="28">
        <v>0.76090000000000002</v>
      </c>
      <c r="E5134" s="29"/>
      <c r="F5134" s="29"/>
      <c r="G5134" s="29"/>
      <c r="H5134" s="29" t="s">
        <v>335</v>
      </c>
    </row>
    <row r="5135" spans="1:8" x14ac:dyDescent="0.35">
      <c r="A5135" t="s">
        <v>228</v>
      </c>
      <c r="B5135" t="s">
        <v>262</v>
      </c>
      <c r="C5135" s="26">
        <v>0.50039999999999996</v>
      </c>
      <c r="D5135" s="26">
        <v>0.42930000000000001</v>
      </c>
      <c r="E5135" s="26">
        <v>7.0199999999999999E-2</v>
      </c>
      <c r="H5135">
        <v>201</v>
      </c>
    </row>
    <row r="5136" spans="1:8" x14ac:dyDescent="0.35">
      <c r="A5136" t="s">
        <v>228</v>
      </c>
      <c r="B5136" t="s">
        <v>260</v>
      </c>
      <c r="C5136" s="26">
        <v>0.67589999999999995</v>
      </c>
      <c r="D5136" s="26">
        <v>0.2631</v>
      </c>
      <c r="E5136" s="26">
        <v>4.9399999999999999E-2</v>
      </c>
      <c r="F5136" s="26">
        <v>4.1999999999999997E-3</v>
      </c>
      <c r="G5136" s="26">
        <v>7.3000000000000001E-3</v>
      </c>
      <c r="H5136">
        <v>609</v>
      </c>
    </row>
    <row r="5137" spans="1:8" x14ac:dyDescent="0.35">
      <c r="A5137" s="27" t="s">
        <v>229</v>
      </c>
      <c r="B5137" s="27" t="s">
        <v>263</v>
      </c>
      <c r="C5137" s="28">
        <v>0.45910000000000001</v>
      </c>
      <c r="D5137" s="28">
        <v>0.1948</v>
      </c>
      <c r="E5137" s="28">
        <v>0.34610000000000002</v>
      </c>
      <c r="F5137" s="29"/>
      <c r="G5137" s="29"/>
      <c r="H5137" s="29" t="s">
        <v>379</v>
      </c>
    </row>
    <row r="5138" spans="1:8" x14ac:dyDescent="0.35">
      <c r="A5138" t="s">
        <v>229</v>
      </c>
      <c r="B5138" t="s">
        <v>262</v>
      </c>
      <c r="C5138" s="26">
        <v>0.47410000000000002</v>
      </c>
      <c r="D5138" s="26">
        <v>0.45179999999999998</v>
      </c>
      <c r="E5138" s="26">
        <v>7.4099999999999999E-2</v>
      </c>
      <c r="H5138">
        <v>188</v>
      </c>
    </row>
    <row r="5139" spans="1:8" x14ac:dyDescent="0.35">
      <c r="A5139" t="s">
        <v>229</v>
      </c>
      <c r="B5139" t="s">
        <v>261</v>
      </c>
      <c r="C5139" s="26">
        <v>0.4244</v>
      </c>
      <c r="D5139" s="26">
        <v>0.45669999999999999</v>
      </c>
      <c r="E5139" s="26">
        <v>9.8699999999999996E-2</v>
      </c>
      <c r="F5139" s="26">
        <v>2.0199999999999999E-2</v>
      </c>
      <c r="H5139">
        <v>96</v>
      </c>
    </row>
    <row r="5140" spans="1:8" x14ac:dyDescent="0.35">
      <c r="A5140" s="27" t="s">
        <v>229</v>
      </c>
      <c r="B5140" s="27" t="s">
        <v>236</v>
      </c>
      <c r="C5140" s="28">
        <v>1</v>
      </c>
      <c r="D5140" s="29"/>
      <c r="E5140" s="29"/>
      <c r="F5140" s="29"/>
      <c r="G5140" s="29"/>
      <c r="H5140" s="29" t="s">
        <v>331</v>
      </c>
    </row>
    <row r="5141" spans="1:8" x14ac:dyDescent="0.35">
      <c r="A5141" t="s">
        <v>229</v>
      </c>
      <c r="B5141" t="s">
        <v>260</v>
      </c>
      <c r="C5141" s="26">
        <v>0.66459999999999997</v>
      </c>
      <c r="D5141" s="26">
        <v>0.25140000000000001</v>
      </c>
      <c r="E5141" s="26">
        <v>6.3500000000000001E-2</v>
      </c>
      <c r="F5141" s="26">
        <v>1.15E-2</v>
      </c>
      <c r="G5141" s="26">
        <v>9.1000000000000004E-3</v>
      </c>
      <c r="H5141">
        <v>596</v>
      </c>
    </row>
    <row r="5142" spans="1:8" x14ac:dyDescent="0.35">
      <c r="A5142" s="27" t="s">
        <v>230</v>
      </c>
      <c r="B5142" s="27" t="s">
        <v>236</v>
      </c>
      <c r="C5142" s="28">
        <v>0.11899999999999999</v>
      </c>
      <c r="D5142" s="28">
        <v>0.88100000000000001</v>
      </c>
      <c r="E5142" s="29"/>
      <c r="F5142" s="29"/>
      <c r="G5142" s="29"/>
      <c r="H5142" s="29" t="s">
        <v>337</v>
      </c>
    </row>
    <row r="5143" spans="1:8" x14ac:dyDescent="0.35">
      <c r="A5143" t="s">
        <v>230</v>
      </c>
      <c r="B5143" t="s">
        <v>262</v>
      </c>
      <c r="C5143" s="26">
        <v>0.68559999999999999</v>
      </c>
      <c r="D5143" s="26">
        <v>0.26919999999999999</v>
      </c>
      <c r="E5143" s="26">
        <v>3.15E-2</v>
      </c>
      <c r="F5143" s="26">
        <v>7.9000000000000008E-3</v>
      </c>
      <c r="G5143" s="26">
        <v>5.8999999999999999E-3</v>
      </c>
      <c r="H5143">
        <v>122</v>
      </c>
    </row>
    <row r="5144" spans="1:8" x14ac:dyDescent="0.35">
      <c r="A5144" t="s">
        <v>230</v>
      </c>
      <c r="B5144" t="s">
        <v>261</v>
      </c>
      <c r="C5144" s="26">
        <v>0.51639999999999997</v>
      </c>
      <c r="D5144" s="26">
        <v>0.40300000000000002</v>
      </c>
      <c r="E5144" s="26">
        <v>7.3899999999999993E-2</v>
      </c>
      <c r="F5144" s="26">
        <v>6.7000000000000002E-3</v>
      </c>
      <c r="H5144">
        <v>57</v>
      </c>
    </row>
    <row r="5145" spans="1:8" x14ac:dyDescent="0.35">
      <c r="A5145" s="27" t="s">
        <v>230</v>
      </c>
      <c r="B5145" s="27" t="s">
        <v>263</v>
      </c>
      <c r="C5145" s="28">
        <v>0.36980000000000002</v>
      </c>
      <c r="D5145" s="28">
        <v>0.59670000000000001</v>
      </c>
      <c r="E5145" s="28">
        <v>3.3500000000000002E-2</v>
      </c>
      <c r="F5145" s="29"/>
      <c r="G5145" s="29"/>
      <c r="H5145" s="29" t="s">
        <v>312</v>
      </c>
    </row>
    <row r="5146" spans="1:8" x14ac:dyDescent="0.35">
      <c r="A5146" t="s">
        <v>230</v>
      </c>
      <c r="B5146" t="s">
        <v>260</v>
      </c>
      <c r="C5146" s="26">
        <v>0.64749999999999996</v>
      </c>
      <c r="D5146" s="26">
        <v>0.30769999999999997</v>
      </c>
      <c r="E5146" s="26">
        <v>3.5799999999999998E-2</v>
      </c>
      <c r="F5146" s="26">
        <v>7.7999999999999996E-3</v>
      </c>
      <c r="G5146" s="26">
        <v>1.2999999999999999E-3</v>
      </c>
      <c r="H5146">
        <v>352</v>
      </c>
    </row>
    <row r="5147" spans="1:8" x14ac:dyDescent="0.35">
      <c r="A5147" s="27" t="s">
        <v>231</v>
      </c>
      <c r="B5147" s="27" t="s">
        <v>263</v>
      </c>
      <c r="C5147" s="29"/>
      <c r="D5147" s="28">
        <v>0.5</v>
      </c>
      <c r="E5147" s="28">
        <v>0.5</v>
      </c>
      <c r="F5147" s="29"/>
      <c r="G5147" s="29"/>
      <c r="H5147" s="29" t="s">
        <v>314</v>
      </c>
    </row>
    <row r="5148" spans="1:8" x14ac:dyDescent="0.35">
      <c r="A5148" t="s">
        <v>231</v>
      </c>
      <c r="B5148" t="s">
        <v>260</v>
      </c>
      <c r="C5148" s="26">
        <v>0.6613</v>
      </c>
      <c r="D5148" s="26">
        <v>0.2984</v>
      </c>
      <c r="E5148" s="26">
        <v>2.4199999999999999E-2</v>
      </c>
      <c r="F5148" s="26">
        <v>8.0999999999999996E-3</v>
      </c>
      <c r="G5148" s="26">
        <v>8.0999999999999996E-3</v>
      </c>
      <c r="H5148">
        <v>124</v>
      </c>
    </row>
    <row r="5149" spans="1:8" x14ac:dyDescent="0.35">
      <c r="A5149" s="27" t="s">
        <v>231</v>
      </c>
      <c r="B5149" s="27" t="s">
        <v>261</v>
      </c>
      <c r="C5149" s="28">
        <v>0.66669999999999996</v>
      </c>
      <c r="D5149" s="28">
        <v>0.22220000000000001</v>
      </c>
      <c r="E5149" s="28">
        <v>0.1111</v>
      </c>
      <c r="F5149" s="29"/>
      <c r="G5149" s="29"/>
      <c r="H5149" s="29" t="s">
        <v>338</v>
      </c>
    </row>
    <row r="5150" spans="1:8" x14ac:dyDescent="0.35">
      <c r="A5150" s="27" t="s">
        <v>231</v>
      </c>
      <c r="B5150" s="27" t="s">
        <v>262</v>
      </c>
      <c r="C5150" s="28">
        <v>0.54549999999999998</v>
      </c>
      <c r="D5150" s="28">
        <v>0.36359999999999998</v>
      </c>
      <c r="E5150" s="29"/>
      <c r="F5150" s="28">
        <v>9.0899999999999995E-2</v>
      </c>
      <c r="G5150" s="29"/>
      <c r="H5150" s="29" t="s">
        <v>352</v>
      </c>
    </row>
    <row r="5151" spans="1:8" x14ac:dyDescent="0.35">
      <c r="A5151" t="s">
        <v>232</v>
      </c>
      <c r="B5151" t="s">
        <v>232</v>
      </c>
      <c r="C5151" s="26">
        <v>0.62329999999999997</v>
      </c>
      <c r="D5151" s="26">
        <v>0.30359999999999998</v>
      </c>
      <c r="E5151" s="26">
        <v>5.8700000000000002E-2</v>
      </c>
      <c r="F5151" s="26">
        <v>0.01</v>
      </c>
      <c r="G5151" s="26">
        <v>4.4000000000000003E-3</v>
      </c>
      <c r="H5151">
        <v>2813</v>
      </c>
    </row>
    <row r="5153" spans="1:8" x14ac:dyDescent="0.35">
      <c r="A5153" s="1" t="s">
        <v>729</v>
      </c>
    </row>
    <row r="5154" spans="1:8" x14ac:dyDescent="0.35">
      <c r="A5154" t="s">
        <v>219</v>
      </c>
      <c r="B5154" t="s">
        <v>305</v>
      </c>
      <c r="C5154" t="s">
        <v>681</v>
      </c>
      <c r="D5154" t="s">
        <v>682</v>
      </c>
      <c r="E5154" t="s">
        <v>683</v>
      </c>
      <c r="F5154" t="s">
        <v>684</v>
      </c>
      <c r="G5154" t="s">
        <v>281</v>
      </c>
      <c r="H5154" t="s">
        <v>226</v>
      </c>
    </row>
    <row r="5155" spans="1:8" x14ac:dyDescent="0.35">
      <c r="A5155" t="s">
        <v>227</v>
      </c>
      <c r="B5155" t="s">
        <v>368</v>
      </c>
      <c r="C5155" s="26">
        <v>0.60609999999999997</v>
      </c>
      <c r="D5155" s="26">
        <v>0.36359999999999998</v>
      </c>
      <c r="E5155" s="26">
        <v>3.0300000000000001E-2</v>
      </c>
      <c r="H5155">
        <v>33</v>
      </c>
    </row>
    <row r="5156" spans="1:8" x14ac:dyDescent="0.35">
      <c r="A5156" t="s">
        <v>227</v>
      </c>
      <c r="B5156" t="s">
        <v>369</v>
      </c>
      <c r="C5156" s="26">
        <v>0.6875</v>
      </c>
      <c r="D5156" s="26">
        <v>0.2344</v>
      </c>
      <c r="E5156" s="26">
        <v>5.4699999999999999E-2</v>
      </c>
      <c r="F5156" s="26">
        <v>2.3400000000000001E-2</v>
      </c>
      <c r="H5156">
        <v>128</v>
      </c>
    </row>
    <row r="5157" spans="1:8" x14ac:dyDescent="0.35">
      <c r="A5157" t="s">
        <v>228</v>
      </c>
      <c r="B5157" t="s">
        <v>368</v>
      </c>
      <c r="C5157" s="26">
        <v>0.58409999999999995</v>
      </c>
      <c r="D5157" s="26">
        <v>0.26979999999999998</v>
      </c>
      <c r="E5157" s="26">
        <v>0.14330000000000001</v>
      </c>
      <c r="G5157" s="26">
        <v>2.8E-3</v>
      </c>
      <c r="H5157">
        <v>192</v>
      </c>
    </row>
    <row r="5158" spans="1:8" x14ac:dyDescent="0.35">
      <c r="A5158" t="s">
        <v>228</v>
      </c>
      <c r="B5158" t="s">
        <v>369</v>
      </c>
      <c r="C5158" s="26">
        <v>0.63749999999999996</v>
      </c>
      <c r="D5158" s="26">
        <v>0.29980000000000001</v>
      </c>
      <c r="E5158" s="26">
        <v>5.3199999999999997E-2</v>
      </c>
      <c r="F5158" s="26">
        <v>3.2000000000000002E-3</v>
      </c>
      <c r="G5158" s="26">
        <v>6.3E-3</v>
      </c>
      <c r="H5158">
        <v>841</v>
      </c>
    </row>
    <row r="5159" spans="1:8" x14ac:dyDescent="0.35">
      <c r="A5159" t="s">
        <v>229</v>
      </c>
      <c r="B5159" t="s">
        <v>368</v>
      </c>
      <c r="C5159" s="26">
        <v>0.4244</v>
      </c>
      <c r="D5159" s="26">
        <v>0.45669999999999999</v>
      </c>
      <c r="E5159" s="26">
        <v>9.8699999999999996E-2</v>
      </c>
      <c r="F5159" s="26">
        <v>2.0199999999999999E-2</v>
      </c>
      <c r="H5159">
        <v>96</v>
      </c>
    </row>
    <row r="5160" spans="1:8" x14ac:dyDescent="0.35">
      <c r="A5160" t="s">
        <v>229</v>
      </c>
      <c r="B5160" t="s">
        <v>369</v>
      </c>
      <c r="C5160" s="26">
        <v>0.59750000000000003</v>
      </c>
      <c r="D5160" s="26">
        <v>0.31580000000000003</v>
      </c>
      <c r="E5160" s="26">
        <v>7.3300000000000004E-2</v>
      </c>
      <c r="F5160" s="26">
        <v>7.4000000000000003E-3</v>
      </c>
      <c r="G5160" s="26">
        <v>5.8999999999999999E-3</v>
      </c>
      <c r="H5160">
        <v>799</v>
      </c>
    </row>
    <row r="5161" spans="1:8" x14ac:dyDescent="0.35">
      <c r="A5161" t="s">
        <v>230</v>
      </c>
      <c r="B5161" t="s">
        <v>368</v>
      </c>
      <c r="C5161" s="26">
        <v>0.51639999999999997</v>
      </c>
      <c r="D5161" s="26">
        <v>0.40300000000000002</v>
      </c>
      <c r="E5161" s="26">
        <v>7.3899999999999993E-2</v>
      </c>
      <c r="F5161" s="26">
        <v>6.7000000000000002E-3</v>
      </c>
      <c r="H5161">
        <v>57</v>
      </c>
    </row>
    <row r="5162" spans="1:8" x14ac:dyDescent="0.35">
      <c r="A5162" t="s">
        <v>230</v>
      </c>
      <c r="B5162" t="s">
        <v>369</v>
      </c>
      <c r="C5162" s="26">
        <v>0.64429999999999998</v>
      </c>
      <c r="D5162" s="26">
        <v>0.31140000000000001</v>
      </c>
      <c r="E5162" s="26">
        <v>3.4700000000000002E-2</v>
      </c>
      <c r="F5162" s="26">
        <v>7.6E-3</v>
      </c>
      <c r="G5162" s="26">
        <v>2E-3</v>
      </c>
      <c r="H5162">
        <v>503</v>
      </c>
    </row>
    <row r="5163" spans="1:8" x14ac:dyDescent="0.35">
      <c r="A5163" s="27" t="s">
        <v>231</v>
      </c>
      <c r="B5163" s="27" t="s">
        <v>368</v>
      </c>
      <c r="C5163" s="28">
        <v>0.66669999999999996</v>
      </c>
      <c r="D5163" s="28">
        <v>0.22220000000000001</v>
      </c>
      <c r="E5163" s="28">
        <v>0.1111</v>
      </c>
      <c r="F5163" s="29"/>
      <c r="G5163" s="29"/>
      <c r="H5163" s="29" t="s">
        <v>338</v>
      </c>
    </row>
    <row r="5164" spans="1:8" x14ac:dyDescent="0.35">
      <c r="A5164" t="s">
        <v>231</v>
      </c>
      <c r="B5164" t="s">
        <v>369</v>
      </c>
      <c r="C5164" s="26">
        <v>0.64229999999999998</v>
      </c>
      <c r="D5164" s="26">
        <v>0.30659999999999998</v>
      </c>
      <c r="E5164" s="26">
        <v>2.92E-2</v>
      </c>
      <c r="F5164" s="26">
        <v>1.46E-2</v>
      </c>
      <c r="G5164" s="26">
        <v>7.3000000000000001E-3</v>
      </c>
      <c r="H5164">
        <v>137</v>
      </c>
    </row>
    <row r="5165" spans="1:8" x14ac:dyDescent="0.35">
      <c r="A5165" t="s">
        <v>232</v>
      </c>
      <c r="B5165" t="s">
        <v>232</v>
      </c>
      <c r="C5165" s="26">
        <v>0.62329999999999997</v>
      </c>
      <c r="D5165" s="26">
        <v>0.30359999999999998</v>
      </c>
      <c r="E5165" s="26">
        <v>5.8700000000000002E-2</v>
      </c>
      <c r="F5165" s="26">
        <v>0.01</v>
      </c>
      <c r="G5165" s="26">
        <v>4.4000000000000003E-3</v>
      </c>
      <c r="H5165">
        <v>2813</v>
      </c>
    </row>
    <row r="5167" spans="1:8" x14ac:dyDescent="0.35">
      <c r="A5167" s="1" t="s">
        <v>730</v>
      </c>
    </row>
    <row r="5168" spans="1:8" x14ac:dyDescent="0.35">
      <c r="A5168" t="s">
        <v>219</v>
      </c>
      <c r="B5168" t="s">
        <v>305</v>
      </c>
      <c r="C5168" t="s">
        <v>681</v>
      </c>
      <c r="D5168" t="s">
        <v>682</v>
      </c>
      <c r="E5168" t="s">
        <v>683</v>
      </c>
      <c r="F5168" t="s">
        <v>684</v>
      </c>
      <c r="G5168" t="s">
        <v>281</v>
      </c>
      <c r="H5168" t="s">
        <v>226</v>
      </c>
    </row>
    <row r="5169" spans="1:8" x14ac:dyDescent="0.35">
      <c r="A5169" t="s">
        <v>227</v>
      </c>
      <c r="B5169" t="s">
        <v>371</v>
      </c>
      <c r="C5169" s="26">
        <v>0.67079999999999995</v>
      </c>
      <c r="D5169" s="26">
        <v>0.26090000000000002</v>
      </c>
      <c r="E5169" s="26">
        <v>4.9700000000000001E-2</v>
      </c>
      <c r="F5169" s="26">
        <v>1.8599999999999998E-2</v>
      </c>
      <c r="H5169">
        <v>161</v>
      </c>
    </row>
    <row r="5170" spans="1:8" x14ac:dyDescent="0.35">
      <c r="A5170" t="s">
        <v>228</v>
      </c>
      <c r="B5170" t="s">
        <v>371</v>
      </c>
      <c r="C5170" s="26">
        <v>0.62219999999999998</v>
      </c>
      <c r="D5170" s="26">
        <v>0.28060000000000002</v>
      </c>
      <c r="E5170" s="26">
        <v>9.01E-2</v>
      </c>
      <c r="F5170" s="26">
        <v>6.9999999999999999E-4</v>
      </c>
      <c r="G5170" s="26">
        <v>6.4000000000000003E-3</v>
      </c>
      <c r="H5170">
        <v>292</v>
      </c>
    </row>
    <row r="5171" spans="1:8" x14ac:dyDescent="0.35">
      <c r="A5171" t="s">
        <v>228</v>
      </c>
      <c r="B5171" t="s">
        <v>372</v>
      </c>
      <c r="C5171" s="26">
        <v>0.56240000000000001</v>
      </c>
      <c r="D5171" s="26">
        <v>0.30680000000000002</v>
      </c>
      <c r="E5171" s="26">
        <v>0.11020000000000001</v>
      </c>
      <c r="F5171" s="26">
        <v>7.7000000000000002E-3</v>
      </c>
      <c r="G5171" s="26">
        <v>1.29E-2</v>
      </c>
      <c r="H5171">
        <v>218</v>
      </c>
    </row>
    <row r="5172" spans="1:8" x14ac:dyDescent="0.35">
      <c r="A5172" t="s">
        <v>228</v>
      </c>
      <c r="B5172" t="s">
        <v>373</v>
      </c>
      <c r="C5172" s="26">
        <v>0.64770000000000005</v>
      </c>
      <c r="D5172" s="26">
        <v>0.30890000000000001</v>
      </c>
      <c r="E5172" s="26">
        <v>3.6400000000000002E-2</v>
      </c>
      <c r="F5172" s="26">
        <v>4.0000000000000001E-3</v>
      </c>
      <c r="G5172" s="26">
        <v>3.0000000000000001E-3</v>
      </c>
      <c r="H5172">
        <v>523</v>
      </c>
    </row>
    <row r="5173" spans="1:8" x14ac:dyDescent="0.35">
      <c r="A5173" t="s">
        <v>229</v>
      </c>
      <c r="B5173" t="s">
        <v>371</v>
      </c>
      <c r="C5173" s="26">
        <v>0.56630000000000003</v>
      </c>
      <c r="D5173" s="26">
        <v>0.34139999999999998</v>
      </c>
      <c r="E5173" s="26">
        <v>7.7600000000000002E-2</v>
      </c>
      <c r="F5173" s="26">
        <v>9.1999999999999998E-3</v>
      </c>
      <c r="G5173" s="26">
        <v>5.4000000000000003E-3</v>
      </c>
      <c r="H5173">
        <v>584</v>
      </c>
    </row>
    <row r="5174" spans="1:8" x14ac:dyDescent="0.35">
      <c r="A5174" t="s">
        <v>229</v>
      </c>
      <c r="B5174" t="s">
        <v>372</v>
      </c>
      <c r="C5174" s="26">
        <v>0.5857</v>
      </c>
      <c r="D5174" s="26">
        <v>0.3201</v>
      </c>
      <c r="E5174" s="26">
        <v>8.7599999999999997E-2</v>
      </c>
      <c r="F5174" s="26">
        <v>6.6E-3</v>
      </c>
      <c r="H5174">
        <v>221</v>
      </c>
    </row>
    <row r="5175" spans="1:8" x14ac:dyDescent="0.35">
      <c r="A5175" t="s">
        <v>229</v>
      </c>
      <c r="B5175" t="s">
        <v>373</v>
      </c>
      <c r="C5175" s="26">
        <v>0.73609999999999998</v>
      </c>
      <c r="D5175" s="26">
        <v>0.20469999999999999</v>
      </c>
      <c r="E5175" s="26">
        <v>4.0500000000000001E-2</v>
      </c>
      <c r="F5175" s="26">
        <v>1.8700000000000001E-2</v>
      </c>
      <c r="H5175">
        <v>90</v>
      </c>
    </row>
    <row r="5176" spans="1:8" x14ac:dyDescent="0.35">
      <c r="A5176" t="s">
        <v>230</v>
      </c>
      <c r="B5176" t="s">
        <v>371</v>
      </c>
      <c r="C5176" s="26">
        <v>0.60960000000000003</v>
      </c>
      <c r="D5176" s="26">
        <v>0.3463</v>
      </c>
      <c r="E5176" s="26">
        <v>3.6400000000000002E-2</v>
      </c>
      <c r="F5176" s="26">
        <v>7.7000000000000002E-3</v>
      </c>
      <c r="H5176">
        <v>262</v>
      </c>
    </row>
    <row r="5177" spans="1:8" x14ac:dyDescent="0.35">
      <c r="A5177" t="s">
        <v>230</v>
      </c>
      <c r="B5177" t="s">
        <v>372</v>
      </c>
      <c r="C5177" s="26">
        <v>0.65680000000000005</v>
      </c>
      <c r="D5177" s="26">
        <v>0.26860000000000001</v>
      </c>
      <c r="E5177" s="26">
        <v>6.9800000000000001E-2</v>
      </c>
      <c r="F5177" s="26">
        <v>4.7000000000000002E-3</v>
      </c>
      <c r="H5177">
        <v>146</v>
      </c>
    </row>
    <row r="5178" spans="1:8" x14ac:dyDescent="0.35">
      <c r="A5178" t="s">
        <v>230</v>
      </c>
      <c r="B5178" t="s">
        <v>373</v>
      </c>
      <c r="C5178" s="26">
        <v>0.72689999999999999</v>
      </c>
      <c r="D5178" s="26">
        <v>0.20349999999999999</v>
      </c>
      <c r="E5178" s="26">
        <v>4.87E-2</v>
      </c>
      <c r="F5178" s="26">
        <v>7.0000000000000001E-3</v>
      </c>
      <c r="G5178" s="26">
        <v>1.3899999999999999E-2</v>
      </c>
      <c r="H5178">
        <v>152</v>
      </c>
    </row>
    <row r="5179" spans="1:8" x14ac:dyDescent="0.35">
      <c r="A5179" t="s">
        <v>231</v>
      </c>
      <c r="B5179" t="s">
        <v>371</v>
      </c>
      <c r="C5179" s="26">
        <v>0.64629999999999999</v>
      </c>
      <c r="D5179" s="26">
        <v>0.29270000000000002</v>
      </c>
      <c r="E5179" s="26">
        <v>4.2700000000000002E-2</v>
      </c>
      <c r="F5179" s="26">
        <v>1.2200000000000001E-2</v>
      </c>
      <c r="G5179" s="26">
        <v>6.1000000000000004E-3</v>
      </c>
      <c r="H5179">
        <v>164</v>
      </c>
    </row>
    <row r="5180" spans="1:8" x14ac:dyDescent="0.35">
      <c r="A5180" t="s">
        <v>232</v>
      </c>
      <c r="B5180" t="s">
        <v>232</v>
      </c>
      <c r="C5180" s="26">
        <v>0.62329999999999997</v>
      </c>
      <c r="D5180" s="26">
        <v>0.30359999999999998</v>
      </c>
      <c r="E5180" s="26">
        <v>5.8700000000000002E-2</v>
      </c>
      <c r="F5180" s="26">
        <v>0.01</v>
      </c>
      <c r="G5180" s="26">
        <v>4.4000000000000003E-3</v>
      </c>
      <c r="H5180">
        <v>2813</v>
      </c>
    </row>
    <row r="5182" spans="1:8" x14ac:dyDescent="0.35">
      <c r="A5182" s="1" t="s">
        <v>731</v>
      </c>
    </row>
    <row r="5183" spans="1:8" x14ac:dyDescent="0.35">
      <c r="A5183" t="s">
        <v>219</v>
      </c>
      <c r="B5183" t="s">
        <v>305</v>
      </c>
      <c r="C5183" t="s">
        <v>681</v>
      </c>
      <c r="D5183" t="s">
        <v>682</v>
      </c>
      <c r="E5183" t="s">
        <v>683</v>
      </c>
      <c r="F5183" t="s">
        <v>684</v>
      </c>
      <c r="G5183" t="s">
        <v>281</v>
      </c>
      <c r="H5183" t="s">
        <v>226</v>
      </c>
    </row>
    <row r="5184" spans="1:8" x14ac:dyDescent="0.35">
      <c r="A5184" t="s">
        <v>227</v>
      </c>
      <c r="B5184" t="s">
        <v>255</v>
      </c>
      <c r="C5184" s="26">
        <v>0.61539999999999995</v>
      </c>
      <c r="D5184" s="26">
        <v>0.30769999999999997</v>
      </c>
      <c r="E5184" s="26">
        <v>5.9799999999999999E-2</v>
      </c>
      <c r="F5184" s="26">
        <v>1.7100000000000001E-2</v>
      </c>
      <c r="H5184">
        <v>117</v>
      </c>
    </row>
    <row r="5185" spans="1:8" x14ac:dyDescent="0.35">
      <c r="A5185" s="27" t="s">
        <v>227</v>
      </c>
      <c r="B5185" s="27" t="s">
        <v>257</v>
      </c>
      <c r="C5185" s="28">
        <v>0.88890000000000002</v>
      </c>
      <c r="D5185" s="28">
        <v>0.1111</v>
      </c>
      <c r="E5185" s="29"/>
      <c r="F5185" s="29"/>
      <c r="G5185" s="29"/>
      <c r="H5185" s="29" t="s">
        <v>334</v>
      </c>
    </row>
    <row r="5186" spans="1:8" x14ac:dyDescent="0.35">
      <c r="A5186" t="s">
        <v>227</v>
      </c>
      <c r="B5186" t="s">
        <v>256</v>
      </c>
      <c r="C5186" s="26">
        <v>0.8</v>
      </c>
      <c r="D5186" s="26">
        <v>0.1429</v>
      </c>
      <c r="E5186" s="26">
        <v>2.86E-2</v>
      </c>
      <c r="F5186" s="26">
        <v>2.86E-2</v>
      </c>
      <c r="H5186">
        <v>35</v>
      </c>
    </row>
    <row r="5187" spans="1:8" x14ac:dyDescent="0.35">
      <c r="A5187" t="s">
        <v>228</v>
      </c>
      <c r="B5187" t="s">
        <v>257</v>
      </c>
      <c r="C5187" s="26">
        <v>0.75749999999999995</v>
      </c>
      <c r="D5187" s="26">
        <v>0.23449999999999999</v>
      </c>
      <c r="F5187" s="26">
        <v>7.9000000000000008E-3</v>
      </c>
      <c r="H5187">
        <v>49</v>
      </c>
    </row>
    <row r="5188" spans="1:8" x14ac:dyDescent="0.35">
      <c r="A5188" s="27" t="s">
        <v>228</v>
      </c>
      <c r="B5188" s="27" t="s">
        <v>258</v>
      </c>
      <c r="C5188" s="28">
        <v>0.90190000000000003</v>
      </c>
      <c r="D5188" s="28">
        <v>9.8100000000000007E-2</v>
      </c>
      <c r="E5188" s="29"/>
      <c r="F5188" s="29"/>
      <c r="G5188" s="29"/>
      <c r="H5188" s="29" t="s">
        <v>337</v>
      </c>
    </row>
    <row r="5189" spans="1:8" x14ac:dyDescent="0.35">
      <c r="A5189" t="s">
        <v>228</v>
      </c>
      <c r="B5189" t="s">
        <v>256</v>
      </c>
      <c r="C5189" s="26">
        <v>0.71240000000000003</v>
      </c>
      <c r="D5189" s="26">
        <v>0.21879999999999999</v>
      </c>
      <c r="E5189" s="26">
        <v>6.88E-2</v>
      </c>
      <c r="H5189">
        <v>221</v>
      </c>
    </row>
    <row r="5190" spans="1:8" x14ac:dyDescent="0.35">
      <c r="A5190" t="s">
        <v>228</v>
      </c>
      <c r="B5190" t="s">
        <v>255</v>
      </c>
      <c r="C5190" s="26">
        <v>0.58589999999999998</v>
      </c>
      <c r="D5190" s="26">
        <v>0.32579999999999998</v>
      </c>
      <c r="E5190" s="26">
        <v>7.7200000000000005E-2</v>
      </c>
      <c r="F5190" s="26">
        <v>3.0999999999999999E-3</v>
      </c>
      <c r="G5190" s="26">
        <v>8.0000000000000002E-3</v>
      </c>
      <c r="H5190">
        <v>759</v>
      </c>
    </row>
    <row r="5191" spans="1:8" x14ac:dyDescent="0.35">
      <c r="A5191" t="s">
        <v>229</v>
      </c>
      <c r="B5191" t="s">
        <v>256</v>
      </c>
      <c r="C5191" s="26">
        <v>0.56100000000000005</v>
      </c>
      <c r="D5191" s="26">
        <v>0.31790000000000002</v>
      </c>
      <c r="E5191" s="26">
        <v>0.1108</v>
      </c>
      <c r="F5191" s="26">
        <v>1.1999999999999999E-3</v>
      </c>
      <c r="G5191" s="26">
        <v>9.1000000000000004E-3</v>
      </c>
      <c r="H5191">
        <v>207</v>
      </c>
    </row>
    <row r="5192" spans="1:8" x14ac:dyDescent="0.35">
      <c r="A5192" t="s">
        <v>229</v>
      </c>
      <c r="B5192" t="s">
        <v>255</v>
      </c>
      <c r="C5192" s="26">
        <v>0.57350000000000001</v>
      </c>
      <c r="D5192" s="26">
        <v>0.34399999999999997</v>
      </c>
      <c r="E5192" s="26">
        <v>6.54E-2</v>
      </c>
      <c r="F5192" s="26">
        <v>1.34E-2</v>
      </c>
      <c r="G5192" s="26">
        <v>3.7000000000000002E-3</v>
      </c>
      <c r="H5192">
        <v>636</v>
      </c>
    </row>
    <row r="5193" spans="1:8" x14ac:dyDescent="0.35">
      <c r="A5193" t="s">
        <v>229</v>
      </c>
      <c r="B5193" t="s">
        <v>257</v>
      </c>
      <c r="C5193" s="26">
        <v>0.60260000000000002</v>
      </c>
      <c r="D5193" s="26">
        <v>0.34510000000000002</v>
      </c>
      <c r="E5193" s="26">
        <v>5.2400000000000002E-2</v>
      </c>
      <c r="H5193">
        <v>50</v>
      </c>
    </row>
    <row r="5194" spans="1:8" x14ac:dyDescent="0.35">
      <c r="A5194" s="27" t="s">
        <v>229</v>
      </c>
      <c r="B5194" s="27" t="s">
        <v>258</v>
      </c>
      <c r="C5194" s="28">
        <v>1</v>
      </c>
      <c r="D5194" s="29"/>
      <c r="E5194" s="29"/>
      <c r="F5194" s="29"/>
      <c r="G5194" s="29"/>
      <c r="H5194" s="29" t="s">
        <v>314</v>
      </c>
    </row>
    <row r="5195" spans="1:8" x14ac:dyDescent="0.35">
      <c r="A5195" t="s">
        <v>230</v>
      </c>
      <c r="B5195" t="s">
        <v>256</v>
      </c>
      <c r="C5195" s="26">
        <v>0.64149999999999996</v>
      </c>
      <c r="D5195" s="26">
        <v>0.28399999999999997</v>
      </c>
      <c r="E5195" s="26">
        <v>4.9299999999999997E-2</v>
      </c>
      <c r="F5195" s="26">
        <v>2.52E-2</v>
      </c>
      <c r="H5195">
        <v>130</v>
      </c>
    </row>
    <row r="5196" spans="1:8" x14ac:dyDescent="0.35">
      <c r="A5196" t="s">
        <v>230</v>
      </c>
      <c r="B5196" t="s">
        <v>255</v>
      </c>
      <c r="C5196" s="26">
        <v>0.63649999999999995</v>
      </c>
      <c r="D5196" s="26">
        <v>0.3281</v>
      </c>
      <c r="E5196" s="26">
        <v>3.2800000000000003E-2</v>
      </c>
      <c r="G5196" s="26">
        <v>2.7000000000000001E-3</v>
      </c>
      <c r="H5196">
        <v>389</v>
      </c>
    </row>
    <row r="5197" spans="1:8" x14ac:dyDescent="0.35">
      <c r="A5197" t="s">
        <v>230</v>
      </c>
      <c r="B5197" t="s">
        <v>257</v>
      </c>
      <c r="C5197" s="26">
        <v>0.45429999999999998</v>
      </c>
      <c r="D5197" s="26">
        <v>0.45669999999999999</v>
      </c>
      <c r="E5197" s="26">
        <v>7.6100000000000001E-2</v>
      </c>
      <c r="F5197" s="26">
        <v>1.2800000000000001E-2</v>
      </c>
      <c r="H5197">
        <v>38</v>
      </c>
    </row>
    <row r="5198" spans="1:8" x14ac:dyDescent="0.35">
      <c r="A5198" s="27" t="s">
        <v>230</v>
      </c>
      <c r="B5198" s="27" t="s">
        <v>258</v>
      </c>
      <c r="C5198" s="28">
        <v>1</v>
      </c>
      <c r="D5198" s="29"/>
      <c r="E5198" s="29"/>
      <c r="F5198" s="29"/>
      <c r="G5198" s="29"/>
      <c r="H5198" s="29" t="s">
        <v>315</v>
      </c>
    </row>
    <row r="5199" spans="1:8" x14ac:dyDescent="0.35">
      <c r="A5199" s="27" t="s">
        <v>231</v>
      </c>
      <c r="B5199" s="27" t="s">
        <v>257</v>
      </c>
      <c r="C5199" s="28">
        <v>0.71430000000000005</v>
      </c>
      <c r="D5199" s="28">
        <v>0.28570000000000001</v>
      </c>
      <c r="E5199" s="29"/>
      <c r="F5199" s="29"/>
      <c r="G5199" s="29"/>
      <c r="H5199" s="29" t="s">
        <v>339</v>
      </c>
    </row>
    <row r="5200" spans="1:8" x14ac:dyDescent="0.35">
      <c r="A5200" t="s">
        <v>231</v>
      </c>
      <c r="B5200" t="s">
        <v>255</v>
      </c>
      <c r="C5200" s="26">
        <v>0.64339999999999997</v>
      </c>
      <c r="D5200" s="26">
        <v>0.27910000000000001</v>
      </c>
      <c r="E5200" s="26">
        <v>5.4300000000000001E-2</v>
      </c>
      <c r="F5200" s="26">
        <v>1.55E-2</v>
      </c>
      <c r="G5200" s="26">
        <v>7.7999999999999996E-3</v>
      </c>
      <c r="H5200">
        <v>129</v>
      </c>
    </row>
    <row r="5201" spans="1:9" x14ac:dyDescent="0.35">
      <c r="A5201" s="27" t="s">
        <v>231</v>
      </c>
      <c r="B5201" s="27" t="s">
        <v>256</v>
      </c>
      <c r="C5201" s="28">
        <v>0.64290000000000003</v>
      </c>
      <c r="D5201" s="28">
        <v>0.35709999999999997</v>
      </c>
      <c r="E5201" s="29"/>
      <c r="F5201" s="29"/>
      <c r="G5201" s="29"/>
      <c r="H5201" s="29" t="s">
        <v>336</v>
      </c>
    </row>
    <row r="5202" spans="1:9" x14ac:dyDescent="0.35">
      <c r="A5202" t="s">
        <v>232</v>
      </c>
      <c r="B5202" t="s">
        <v>232</v>
      </c>
      <c r="C5202" s="26">
        <v>0.62329999999999997</v>
      </c>
      <c r="D5202" s="26">
        <v>0.30359999999999998</v>
      </c>
      <c r="E5202" s="26">
        <v>5.8700000000000002E-2</v>
      </c>
      <c r="F5202" s="26">
        <v>0.01</v>
      </c>
      <c r="G5202" s="26">
        <v>4.4000000000000003E-3</v>
      </c>
      <c r="H5202">
        <v>2813</v>
      </c>
    </row>
    <row r="5204" spans="1:9" x14ac:dyDescent="0.35">
      <c r="A5204" s="1" t="s">
        <v>732</v>
      </c>
    </row>
    <row r="5205" spans="1:9" x14ac:dyDescent="0.35">
      <c r="A5205" t="s">
        <v>219</v>
      </c>
      <c r="B5205" t="s">
        <v>681</v>
      </c>
      <c r="C5205" t="s">
        <v>682</v>
      </c>
      <c r="D5205" t="s">
        <v>683</v>
      </c>
      <c r="E5205" t="s">
        <v>684</v>
      </c>
      <c r="F5205" t="s">
        <v>281</v>
      </c>
      <c r="G5205" t="s">
        <v>286</v>
      </c>
      <c r="H5205" t="s">
        <v>226</v>
      </c>
    </row>
    <row r="5206" spans="1:9" x14ac:dyDescent="0.35">
      <c r="A5206" t="s">
        <v>227</v>
      </c>
      <c r="B5206" s="26">
        <v>0.86960000000000004</v>
      </c>
      <c r="C5206" s="26">
        <v>6.83E-2</v>
      </c>
      <c r="D5206" s="26">
        <v>3.1099999999999999E-2</v>
      </c>
      <c r="E5206" s="26">
        <v>2.4799999999999999E-2</v>
      </c>
      <c r="F5206" s="26">
        <v>6.1999999999999998E-3</v>
      </c>
      <c r="H5206">
        <v>161</v>
      </c>
    </row>
    <row r="5207" spans="1:9" x14ac:dyDescent="0.35">
      <c r="A5207" t="s">
        <v>228</v>
      </c>
      <c r="B5207" s="26">
        <v>0.85450000000000004</v>
      </c>
      <c r="C5207" s="26">
        <v>9.7799999999999998E-2</v>
      </c>
      <c r="D5207" s="26">
        <v>4.1000000000000002E-2</v>
      </c>
      <c r="E5207" s="26">
        <v>6.7000000000000002E-3</v>
      </c>
      <c r="H5207">
        <v>1033</v>
      </c>
    </row>
    <row r="5208" spans="1:9" x14ac:dyDescent="0.35">
      <c r="A5208" t="s">
        <v>229</v>
      </c>
      <c r="B5208" s="26">
        <v>0.82509999999999994</v>
      </c>
      <c r="C5208" s="26">
        <v>9.7699999999999995E-2</v>
      </c>
      <c r="D5208" s="26">
        <v>5.4199999999999998E-2</v>
      </c>
      <c r="E5208" s="26">
        <v>2.0400000000000001E-2</v>
      </c>
      <c r="F5208" s="26">
        <v>2.0000000000000001E-4</v>
      </c>
      <c r="G5208" s="26">
        <v>2.5000000000000001E-3</v>
      </c>
      <c r="H5208">
        <v>895</v>
      </c>
    </row>
    <row r="5209" spans="1:9" x14ac:dyDescent="0.35">
      <c r="A5209" t="s">
        <v>230</v>
      </c>
      <c r="B5209" s="26">
        <v>0.8518</v>
      </c>
      <c r="C5209" s="26">
        <v>9.2999999999999999E-2</v>
      </c>
      <c r="D5209" s="26">
        <v>4.1200000000000001E-2</v>
      </c>
      <c r="E5209" s="26">
        <v>1.4E-2</v>
      </c>
      <c r="H5209">
        <v>560</v>
      </c>
    </row>
    <row r="5210" spans="1:9" x14ac:dyDescent="0.35">
      <c r="A5210" t="s">
        <v>231</v>
      </c>
      <c r="B5210" s="26">
        <v>0.8659</v>
      </c>
      <c r="C5210" s="26">
        <v>7.9299999999999995E-2</v>
      </c>
      <c r="D5210" s="26">
        <v>3.6600000000000001E-2</v>
      </c>
      <c r="E5210" s="26">
        <v>1.2200000000000001E-2</v>
      </c>
      <c r="F5210" s="26">
        <v>6.1000000000000004E-3</v>
      </c>
      <c r="H5210">
        <v>164</v>
      </c>
    </row>
    <row r="5211" spans="1:9" x14ac:dyDescent="0.35">
      <c r="A5211" t="s">
        <v>232</v>
      </c>
      <c r="B5211" s="26">
        <v>0.85119999999999996</v>
      </c>
      <c r="C5211" s="26">
        <v>8.7800000000000003E-2</v>
      </c>
      <c r="D5211" s="26">
        <v>4.2099999999999999E-2</v>
      </c>
      <c r="E5211" s="26">
        <v>1.55E-2</v>
      </c>
      <c r="F5211" s="26">
        <v>2.7000000000000001E-3</v>
      </c>
      <c r="G5211" s="26">
        <v>6.9999999999999999E-4</v>
      </c>
      <c r="H5211">
        <v>2813</v>
      </c>
    </row>
    <row r="5213" spans="1:9" x14ac:dyDescent="0.35">
      <c r="A5213" s="1" t="s">
        <v>733</v>
      </c>
    </row>
    <row r="5214" spans="1:9" x14ac:dyDescent="0.35">
      <c r="A5214" t="s">
        <v>219</v>
      </c>
      <c r="B5214" t="s">
        <v>305</v>
      </c>
      <c r="C5214" t="s">
        <v>681</v>
      </c>
      <c r="D5214" t="s">
        <v>682</v>
      </c>
      <c r="E5214" t="s">
        <v>683</v>
      </c>
      <c r="F5214" t="s">
        <v>684</v>
      </c>
      <c r="G5214" t="s">
        <v>281</v>
      </c>
      <c r="H5214" t="s">
        <v>286</v>
      </c>
      <c r="I5214" t="s">
        <v>226</v>
      </c>
    </row>
    <row r="5215" spans="1:9" x14ac:dyDescent="0.35">
      <c r="A5215" t="s">
        <v>227</v>
      </c>
      <c r="B5215" t="s">
        <v>242</v>
      </c>
      <c r="C5215" s="26">
        <v>0.73529999999999995</v>
      </c>
      <c r="D5215" s="26">
        <v>0.13239999999999999</v>
      </c>
      <c r="E5215" s="26">
        <v>7.3499999999999996E-2</v>
      </c>
      <c r="F5215" s="26">
        <v>5.8799999999999998E-2</v>
      </c>
      <c r="I5215">
        <v>68</v>
      </c>
    </row>
    <row r="5216" spans="1:9" x14ac:dyDescent="0.35">
      <c r="A5216" t="s">
        <v>227</v>
      </c>
      <c r="B5216" t="s">
        <v>241</v>
      </c>
      <c r="C5216" s="26">
        <v>0.9677</v>
      </c>
      <c r="D5216" s="26">
        <v>2.1499999999999998E-2</v>
      </c>
      <c r="G5216" s="26">
        <v>1.0800000000000001E-2</v>
      </c>
      <c r="I5216">
        <v>93</v>
      </c>
    </row>
    <row r="5217" spans="1:9" x14ac:dyDescent="0.35">
      <c r="A5217" t="s">
        <v>228</v>
      </c>
      <c r="B5217" t="s">
        <v>242</v>
      </c>
      <c r="C5217" s="26">
        <v>0.69110000000000005</v>
      </c>
      <c r="D5217" s="26">
        <v>0.1777</v>
      </c>
      <c r="E5217" s="26">
        <v>0.1128</v>
      </c>
      <c r="F5217" s="26">
        <v>1.84E-2</v>
      </c>
      <c r="I5217">
        <v>402</v>
      </c>
    </row>
    <row r="5218" spans="1:9" x14ac:dyDescent="0.35">
      <c r="A5218" t="s">
        <v>228</v>
      </c>
      <c r="B5218" t="s">
        <v>241</v>
      </c>
      <c r="C5218" s="26">
        <v>0.94789999999999996</v>
      </c>
      <c r="D5218" s="26">
        <v>5.21E-2</v>
      </c>
      <c r="I5218">
        <v>631</v>
      </c>
    </row>
    <row r="5219" spans="1:9" x14ac:dyDescent="0.35">
      <c r="A5219" t="s">
        <v>229</v>
      </c>
      <c r="B5219" t="s">
        <v>242</v>
      </c>
      <c r="C5219" s="26">
        <v>0.64839999999999998</v>
      </c>
      <c r="D5219" s="26">
        <v>0.1542</v>
      </c>
      <c r="E5219" s="26">
        <v>0.13880000000000001</v>
      </c>
      <c r="F5219" s="26">
        <v>5.2200000000000003E-2</v>
      </c>
      <c r="H5219" s="26">
        <v>6.4000000000000003E-3</v>
      </c>
      <c r="I5219">
        <v>292</v>
      </c>
    </row>
    <row r="5220" spans="1:9" x14ac:dyDescent="0.35">
      <c r="A5220" t="s">
        <v>229</v>
      </c>
      <c r="B5220" t="s">
        <v>241</v>
      </c>
      <c r="C5220" s="26">
        <v>0.93810000000000004</v>
      </c>
      <c r="D5220" s="26">
        <v>6.1600000000000002E-2</v>
      </c>
      <c r="G5220" s="26">
        <v>2.9999999999999997E-4</v>
      </c>
      <c r="I5220">
        <v>603</v>
      </c>
    </row>
    <row r="5221" spans="1:9" x14ac:dyDescent="0.35">
      <c r="A5221" t="s">
        <v>230</v>
      </c>
      <c r="B5221" t="s">
        <v>242</v>
      </c>
      <c r="C5221" s="26">
        <v>0.63719999999999999</v>
      </c>
      <c r="D5221" s="26">
        <v>0.1996</v>
      </c>
      <c r="E5221" s="26">
        <v>0.12180000000000001</v>
      </c>
      <c r="F5221" s="26">
        <v>4.1399999999999999E-2</v>
      </c>
      <c r="I5221">
        <v>189</v>
      </c>
    </row>
    <row r="5222" spans="1:9" x14ac:dyDescent="0.35">
      <c r="A5222" t="s">
        <v>230</v>
      </c>
      <c r="B5222" t="s">
        <v>241</v>
      </c>
      <c r="C5222" s="26">
        <v>0.96140000000000003</v>
      </c>
      <c r="D5222" s="26">
        <v>3.8600000000000002E-2</v>
      </c>
      <c r="I5222">
        <v>371</v>
      </c>
    </row>
    <row r="5223" spans="1:9" x14ac:dyDescent="0.35">
      <c r="A5223" t="s">
        <v>231</v>
      </c>
      <c r="B5223" t="s">
        <v>242</v>
      </c>
      <c r="C5223" s="26">
        <v>0.70369999999999999</v>
      </c>
      <c r="D5223" s="26">
        <v>0.14810000000000001</v>
      </c>
      <c r="E5223" s="26">
        <v>0.1111</v>
      </c>
      <c r="F5223" s="26">
        <v>3.6999999999999998E-2</v>
      </c>
      <c r="I5223">
        <v>54</v>
      </c>
    </row>
    <row r="5224" spans="1:9" x14ac:dyDescent="0.35">
      <c r="A5224" t="s">
        <v>231</v>
      </c>
      <c r="B5224" t="s">
        <v>241</v>
      </c>
      <c r="C5224" s="26">
        <v>0.94550000000000001</v>
      </c>
      <c r="D5224" s="26">
        <v>4.5499999999999999E-2</v>
      </c>
      <c r="G5224" s="26">
        <v>9.1000000000000004E-3</v>
      </c>
      <c r="I5224">
        <v>110</v>
      </c>
    </row>
    <row r="5225" spans="1:9" x14ac:dyDescent="0.35">
      <c r="A5225" t="s">
        <v>232</v>
      </c>
      <c r="B5225" t="s">
        <v>232</v>
      </c>
      <c r="C5225" s="26">
        <v>0.85119999999999996</v>
      </c>
      <c r="D5225" s="26">
        <v>8.7800000000000003E-2</v>
      </c>
      <c r="E5225" s="26">
        <v>4.2099999999999999E-2</v>
      </c>
      <c r="F5225" s="26">
        <v>1.55E-2</v>
      </c>
      <c r="G5225" s="26">
        <v>2.7000000000000001E-3</v>
      </c>
      <c r="H5225" s="26">
        <v>6.9999999999999999E-4</v>
      </c>
      <c r="I5225">
        <v>2813</v>
      </c>
    </row>
    <row r="5227" spans="1:9" x14ac:dyDescent="0.35">
      <c r="A5227" s="1" t="s">
        <v>734</v>
      </c>
    </row>
    <row r="5228" spans="1:9" x14ac:dyDescent="0.35">
      <c r="A5228" t="s">
        <v>219</v>
      </c>
      <c r="B5228" t="s">
        <v>305</v>
      </c>
      <c r="C5228" t="s">
        <v>681</v>
      </c>
      <c r="D5228" t="s">
        <v>682</v>
      </c>
      <c r="E5228" t="s">
        <v>683</v>
      </c>
      <c r="F5228" t="s">
        <v>684</v>
      </c>
      <c r="G5228" t="s">
        <v>281</v>
      </c>
      <c r="H5228" t="s">
        <v>286</v>
      </c>
      <c r="I5228" t="s">
        <v>226</v>
      </c>
    </row>
    <row r="5229" spans="1:9" x14ac:dyDescent="0.35">
      <c r="A5229" t="s">
        <v>227</v>
      </c>
      <c r="B5229" t="s">
        <v>239</v>
      </c>
      <c r="C5229" s="26">
        <v>0.9194</v>
      </c>
      <c r="D5229" s="26">
        <v>3.2300000000000002E-2</v>
      </c>
      <c r="E5229" s="26">
        <v>1.61E-2</v>
      </c>
      <c r="F5229" s="26">
        <v>3.2300000000000002E-2</v>
      </c>
      <c r="I5229">
        <v>62</v>
      </c>
    </row>
    <row r="5230" spans="1:9" x14ac:dyDescent="0.35">
      <c r="A5230" t="s">
        <v>227</v>
      </c>
      <c r="B5230" t="s">
        <v>238</v>
      </c>
      <c r="C5230" s="26">
        <v>0.83840000000000003</v>
      </c>
      <c r="D5230" s="26">
        <v>9.0899999999999995E-2</v>
      </c>
      <c r="E5230" s="26">
        <v>4.0399999999999998E-2</v>
      </c>
      <c r="F5230" s="26">
        <v>2.0199999999999999E-2</v>
      </c>
      <c r="G5230" s="26">
        <v>1.01E-2</v>
      </c>
      <c r="I5230">
        <v>99</v>
      </c>
    </row>
    <row r="5231" spans="1:9" x14ac:dyDescent="0.35">
      <c r="A5231" t="s">
        <v>228</v>
      </c>
      <c r="B5231" t="s">
        <v>239</v>
      </c>
      <c r="C5231" s="26">
        <v>0.8448</v>
      </c>
      <c r="D5231" s="26">
        <v>9.0700000000000003E-2</v>
      </c>
      <c r="E5231" s="26">
        <v>5.28E-2</v>
      </c>
      <c r="F5231" s="26">
        <v>1.18E-2</v>
      </c>
      <c r="I5231">
        <v>330</v>
      </c>
    </row>
    <row r="5232" spans="1:9" x14ac:dyDescent="0.35">
      <c r="A5232" t="s">
        <v>228</v>
      </c>
      <c r="B5232" t="s">
        <v>238</v>
      </c>
      <c r="C5232" s="26">
        <v>0.85709999999999997</v>
      </c>
      <c r="D5232" s="26">
        <v>9.9599999999999994E-2</v>
      </c>
      <c r="E5232" s="26">
        <v>3.7900000000000003E-2</v>
      </c>
      <c r="F5232" s="26">
        <v>5.4000000000000003E-3</v>
      </c>
      <c r="I5232">
        <v>703</v>
      </c>
    </row>
    <row r="5233" spans="1:9" x14ac:dyDescent="0.35">
      <c r="A5233" t="s">
        <v>229</v>
      </c>
      <c r="B5233" t="s">
        <v>239</v>
      </c>
      <c r="C5233" s="26">
        <v>0.80940000000000001</v>
      </c>
      <c r="D5233" s="26">
        <v>8.6499999999999994E-2</v>
      </c>
      <c r="E5233" s="26">
        <v>6.2E-2</v>
      </c>
      <c r="F5233" s="26">
        <v>3.2199999999999999E-2</v>
      </c>
      <c r="H5233" s="26">
        <v>9.7999999999999997E-3</v>
      </c>
      <c r="I5233">
        <v>332</v>
      </c>
    </row>
    <row r="5234" spans="1:9" x14ac:dyDescent="0.35">
      <c r="A5234" t="s">
        <v>229</v>
      </c>
      <c r="B5234" t="s">
        <v>238</v>
      </c>
      <c r="C5234" s="26">
        <v>0.83040000000000003</v>
      </c>
      <c r="D5234" s="26">
        <v>0.1016</v>
      </c>
      <c r="E5234" s="26">
        <v>5.1499999999999997E-2</v>
      </c>
      <c r="F5234" s="26">
        <v>1.6299999999999999E-2</v>
      </c>
      <c r="G5234" s="26">
        <v>2.0000000000000001E-4</v>
      </c>
      <c r="I5234">
        <v>563</v>
      </c>
    </row>
    <row r="5235" spans="1:9" x14ac:dyDescent="0.35">
      <c r="A5235" t="s">
        <v>230</v>
      </c>
      <c r="B5235" t="s">
        <v>239</v>
      </c>
      <c r="C5235" s="26">
        <v>0.92949999999999999</v>
      </c>
      <c r="D5235" s="26">
        <v>3.4799999999999998E-2</v>
      </c>
      <c r="E5235" s="26">
        <v>2.9600000000000001E-2</v>
      </c>
      <c r="F5235" s="26">
        <v>6.0000000000000001E-3</v>
      </c>
      <c r="I5235">
        <v>211</v>
      </c>
    </row>
    <row r="5236" spans="1:9" x14ac:dyDescent="0.35">
      <c r="A5236" t="s">
        <v>230</v>
      </c>
      <c r="B5236" t="s">
        <v>238</v>
      </c>
      <c r="C5236" s="26">
        <v>0.81830000000000003</v>
      </c>
      <c r="D5236" s="26">
        <v>0.1181</v>
      </c>
      <c r="E5236" s="26">
        <v>4.6199999999999998E-2</v>
      </c>
      <c r="F5236" s="26">
        <v>1.7500000000000002E-2</v>
      </c>
      <c r="I5236">
        <v>349</v>
      </c>
    </row>
    <row r="5237" spans="1:9" x14ac:dyDescent="0.35">
      <c r="A5237" t="s">
        <v>231</v>
      </c>
      <c r="B5237" t="s">
        <v>239</v>
      </c>
      <c r="C5237" s="26">
        <v>0.85960000000000003</v>
      </c>
      <c r="D5237" s="26">
        <v>7.0199999999999999E-2</v>
      </c>
      <c r="E5237" s="26">
        <v>3.5099999999999999E-2</v>
      </c>
      <c r="F5237" s="26">
        <v>3.5099999999999999E-2</v>
      </c>
      <c r="I5237">
        <v>57</v>
      </c>
    </row>
    <row r="5238" spans="1:9" x14ac:dyDescent="0.35">
      <c r="A5238" t="s">
        <v>231</v>
      </c>
      <c r="B5238" t="s">
        <v>238</v>
      </c>
      <c r="C5238" s="26">
        <v>0.86919999999999997</v>
      </c>
      <c r="D5238" s="26">
        <v>8.4099999999999994E-2</v>
      </c>
      <c r="E5238" s="26">
        <v>3.7400000000000003E-2</v>
      </c>
      <c r="G5238" s="26">
        <v>9.2999999999999992E-3</v>
      </c>
      <c r="I5238">
        <v>107</v>
      </c>
    </row>
    <row r="5239" spans="1:9" x14ac:dyDescent="0.35">
      <c r="A5239" t="s">
        <v>232</v>
      </c>
      <c r="B5239" t="s">
        <v>232</v>
      </c>
      <c r="C5239" s="26">
        <v>0.85119999999999996</v>
      </c>
      <c r="D5239" s="26">
        <v>8.7800000000000003E-2</v>
      </c>
      <c r="E5239" s="26">
        <v>4.2099999999999999E-2</v>
      </c>
      <c r="F5239" s="26">
        <v>1.55E-2</v>
      </c>
      <c r="G5239" s="26">
        <v>2.7000000000000001E-3</v>
      </c>
      <c r="H5239" s="26">
        <v>6.9999999999999999E-4</v>
      </c>
      <c r="I5239">
        <v>2813</v>
      </c>
    </row>
    <row r="5241" spans="1:9" x14ac:dyDescent="0.35">
      <c r="A5241" s="1" t="s">
        <v>735</v>
      </c>
    </row>
    <row r="5242" spans="1:9" x14ac:dyDescent="0.35">
      <c r="A5242" t="s">
        <v>219</v>
      </c>
      <c r="B5242" t="s">
        <v>305</v>
      </c>
      <c r="C5242" t="s">
        <v>681</v>
      </c>
      <c r="D5242" t="s">
        <v>682</v>
      </c>
      <c r="E5242" t="s">
        <v>683</v>
      </c>
      <c r="F5242" t="s">
        <v>684</v>
      </c>
      <c r="G5242" t="s">
        <v>281</v>
      </c>
      <c r="H5242" t="s">
        <v>286</v>
      </c>
      <c r="I5242" t="s">
        <v>226</v>
      </c>
    </row>
    <row r="5243" spans="1:9" x14ac:dyDescent="0.35">
      <c r="A5243" t="s">
        <v>227</v>
      </c>
      <c r="B5243" t="s">
        <v>244</v>
      </c>
      <c r="C5243" s="26">
        <v>0.83330000000000004</v>
      </c>
      <c r="D5243" s="26">
        <v>8.3299999999999999E-2</v>
      </c>
      <c r="E5243" s="26">
        <v>4.1700000000000001E-2</v>
      </c>
      <c r="F5243" s="26">
        <v>3.1199999999999999E-2</v>
      </c>
      <c r="G5243" s="26">
        <v>1.04E-2</v>
      </c>
      <c r="I5243">
        <v>96</v>
      </c>
    </row>
    <row r="5244" spans="1:9" x14ac:dyDescent="0.35">
      <c r="A5244" t="s">
        <v>227</v>
      </c>
      <c r="B5244" t="s">
        <v>245</v>
      </c>
      <c r="C5244" s="26">
        <v>0.92449999999999999</v>
      </c>
      <c r="D5244" s="26">
        <v>5.6599999999999998E-2</v>
      </c>
      <c r="E5244" s="26">
        <v>1.89E-2</v>
      </c>
      <c r="I5244">
        <v>53</v>
      </c>
    </row>
    <row r="5245" spans="1:9" x14ac:dyDescent="0.35">
      <c r="A5245" s="27" t="s">
        <v>227</v>
      </c>
      <c r="B5245" s="27" t="s">
        <v>246</v>
      </c>
      <c r="C5245" s="28">
        <v>0.91669999999999996</v>
      </c>
      <c r="D5245" s="29"/>
      <c r="E5245" s="29"/>
      <c r="F5245" s="28">
        <v>8.3299999999999999E-2</v>
      </c>
      <c r="G5245" s="29"/>
      <c r="H5245" s="29"/>
      <c r="I5245" s="29" t="s">
        <v>342</v>
      </c>
    </row>
    <row r="5246" spans="1:9" x14ac:dyDescent="0.35">
      <c r="A5246" t="s">
        <v>228</v>
      </c>
      <c r="B5246" t="s">
        <v>244</v>
      </c>
      <c r="C5246" s="26">
        <v>0.85960000000000003</v>
      </c>
      <c r="D5246" s="26">
        <v>0.1045</v>
      </c>
      <c r="E5246" s="26">
        <v>3.0499999999999999E-2</v>
      </c>
      <c r="F5246" s="26">
        <v>5.4999999999999997E-3</v>
      </c>
      <c r="I5246">
        <v>638</v>
      </c>
    </row>
    <row r="5247" spans="1:9" x14ac:dyDescent="0.35">
      <c r="A5247" t="s">
        <v>228</v>
      </c>
      <c r="B5247" t="s">
        <v>245</v>
      </c>
      <c r="C5247" s="26">
        <v>0.88690000000000002</v>
      </c>
      <c r="D5247" s="26">
        <v>8.3500000000000005E-2</v>
      </c>
      <c r="E5247" s="26">
        <v>2.3900000000000001E-2</v>
      </c>
      <c r="F5247" s="26">
        <v>5.7000000000000002E-3</v>
      </c>
      <c r="I5247">
        <v>328</v>
      </c>
    </row>
    <row r="5248" spans="1:9" x14ac:dyDescent="0.35">
      <c r="A5248" t="s">
        <v>228</v>
      </c>
      <c r="B5248" t="s">
        <v>246</v>
      </c>
      <c r="C5248" s="26">
        <v>0.67449999999999999</v>
      </c>
      <c r="D5248" s="26">
        <v>9.1899999999999996E-2</v>
      </c>
      <c r="E5248" s="26">
        <v>0.21099999999999999</v>
      </c>
      <c r="F5248" s="26">
        <v>2.2599999999999999E-2</v>
      </c>
      <c r="I5248">
        <v>67</v>
      </c>
    </row>
    <row r="5249" spans="1:9" x14ac:dyDescent="0.35">
      <c r="A5249" t="s">
        <v>229</v>
      </c>
      <c r="B5249" t="s">
        <v>244</v>
      </c>
      <c r="C5249" s="26">
        <v>0.82450000000000001</v>
      </c>
      <c r="D5249" s="26">
        <v>9.8000000000000004E-2</v>
      </c>
      <c r="E5249" s="26">
        <v>5.2400000000000002E-2</v>
      </c>
      <c r="F5249" s="26">
        <v>2.4799999999999999E-2</v>
      </c>
      <c r="G5249" s="26">
        <v>2.0000000000000001E-4</v>
      </c>
      <c r="I5249">
        <v>557</v>
      </c>
    </row>
    <row r="5250" spans="1:9" x14ac:dyDescent="0.35">
      <c r="A5250" t="s">
        <v>229</v>
      </c>
      <c r="B5250" t="s">
        <v>245</v>
      </c>
      <c r="C5250" s="26">
        <v>0.84930000000000005</v>
      </c>
      <c r="D5250" s="26">
        <v>9.1899999999999996E-2</v>
      </c>
      <c r="E5250" s="26">
        <v>4.9000000000000002E-2</v>
      </c>
      <c r="H5250" s="26">
        <v>9.9000000000000008E-3</v>
      </c>
      <c r="I5250">
        <v>293</v>
      </c>
    </row>
    <row r="5251" spans="1:9" x14ac:dyDescent="0.35">
      <c r="A5251" t="s">
        <v>229</v>
      </c>
      <c r="B5251" t="s">
        <v>246</v>
      </c>
      <c r="C5251" s="26">
        <v>0.71609999999999996</v>
      </c>
      <c r="D5251" s="26">
        <v>0.1221</v>
      </c>
      <c r="E5251" s="26">
        <v>0.1022</v>
      </c>
      <c r="F5251" s="26">
        <v>5.96E-2</v>
      </c>
      <c r="I5251">
        <v>45</v>
      </c>
    </row>
    <row r="5252" spans="1:9" x14ac:dyDescent="0.35">
      <c r="A5252" t="s">
        <v>230</v>
      </c>
      <c r="B5252" t="s">
        <v>244</v>
      </c>
      <c r="C5252" s="26">
        <v>0.86770000000000003</v>
      </c>
      <c r="D5252" s="26">
        <v>0.1013</v>
      </c>
      <c r="E5252" s="26">
        <v>1.9800000000000002E-2</v>
      </c>
      <c r="F5252" s="26">
        <v>1.12E-2</v>
      </c>
      <c r="I5252">
        <v>370</v>
      </c>
    </row>
    <row r="5253" spans="1:9" x14ac:dyDescent="0.35">
      <c r="A5253" t="s">
        <v>230</v>
      </c>
      <c r="B5253" t="s">
        <v>245</v>
      </c>
      <c r="C5253" s="26">
        <v>0.81710000000000005</v>
      </c>
      <c r="D5253" s="26">
        <v>8.5000000000000006E-2</v>
      </c>
      <c r="E5253" s="26">
        <v>9.7799999999999998E-2</v>
      </c>
      <c r="I5253">
        <v>161</v>
      </c>
    </row>
    <row r="5254" spans="1:9" x14ac:dyDescent="0.35">
      <c r="A5254" s="27" t="s">
        <v>230</v>
      </c>
      <c r="B5254" s="27" t="s">
        <v>246</v>
      </c>
      <c r="C5254" s="28">
        <v>0.80930000000000002</v>
      </c>
      <c r="D5254" s="28">
        <v>1.8700000000000001E-2</v>
      </c>
      <c r="E5254" s="28">
        <v>4.2999999999999997E-2</v>
      </c>
      <c r="F5254" s="28">
        <v>0.129</v>
      </c>
      <c r="G5254" s="29"/>
      <c r="H5254" s="29"/>
      <c r="I5254" s="29" t="s">
        <v>329</v>
      </c>
    </row>
    <row r="5255" spans="1:9" x14ac:dyDescent="0.35">
      <c r="A5255" t="s">
        <v>231</v>
      </c>
      <c r="B5255" t="s">
        <v>244</v>
      </c>
      <c r="C5255" s="26">
        <v>0.89470000000000005</v>
      </c>
      <c r="D5255" s="26">
        <v>8.4199999999999997E-2</v>
      </c>
      <c r="E5255" s="26">
        <v>2.1100000000000001E-2</v>
      </c>
      <c r="I5255">
        <v>95</v>
      </c>
    </row>
    <row r="5256" spans="1:9" x14ac:dyDescent="0.35">
      <c r="A5256" t="s">
        <v>231</v>
      </c>
      <c r="B5256" t="s">
        <v>245</v>
      </c>
      <c r="C5256" s="26">
        <v>0.82140000000000002</v>
      </c>
      <c r="D5256" s="26">
        <v>8.9300000000000004E-2</v>
      </c>
      <c r="E5256" s="26">
        <v>7.1400000000000005E-2</v>
      </c>
      <c r="G5256" s="26">
        <v>1.7899999999999999E-2</v>
      </c>
      <c r="I5256">
        <v>56</v>
      </c>
    </row>
    <row r="5257" spans="1:9" x14ac:dyDescent="0.35">
      <c r="A5257" s="27" t="s">
        <v>231</v>
      </c>
      <c r="B5257" s="27" t="s">
        <v>246</v>
      </c>
      <c r="C5257" s="28">
        <v>0.84619999999999995</v>
      </c>
      <c r="D5257" s="29"/>
      <c r="E5257" s="29"/>
      <c r="F5257" s="28">
        <v>0.15379999999999999</v>
      </c>
      <c r="G5257" s="29"/>
      <c r="H5257" s="29"/>
      <c r="I5257" s="29" t="s">
        <v>341</v>
      </c>
    </row>
    <row r="5258" spans="1:9" x14ac:dyDescent="0.35">
      <c r="A5258" t="s">
        <v>232</v>
      </c>
      <c r="B5258" t="s">
        <v>232</v>
      </c>
      <c r="C5258" s="26">
        <v>0.85119999999999996</v>
      </c>
      <c r="D5258" s="26">
        <v>8.7800000000000003E-2</v>
      </c>
      <c r="E5258" s="26">
        <v>4.2099999999999999E-2</v>
      </c>
      <c r="F5258" s="26">
        <v>1.55E-2</v>
      </c>
      <c r="G5258" s="26">
        <v>2.7000000000000001E-3</v>
      </c>
      <c r="H5258" s="26">
        <v>6.9999999999999999E-4</v>
      </c>
      <c r="I5258">
        <v>2813</v>
      </c>
    </row>
    <row r="5260" spans="1:9" x14ac:dyDescent="0.35">
      <c r="A5260" s="1" t="s">
        <v>736</v>
      </c>
    </row>
    <row r="5261" spans="1:9" x14ac:dyDescent="0.35">
      <c r="A5261" t="s">
        <v>219</v>
      </c>
      <c r="B5261" t="s">
        <v>305</v>
      </c>
      <c r="C5261" t="s">
        <v>681</v>
      </c>
      <c r="D5261" t="s">
        <v>682</v>
      </c>
      <c r="E5261" t="s">
        <v>683</v>
      </c>
      <c r="F5261" t="s">
        <v>684</v>
      </c>
      <c r="G5261" t="s">
        <v>281</v>
      </c>
      <c r="H5261" t="s">
        <v>286</v>
      </c>
      <c r="I5261" t="s">
        <v>226</v>
      </c>
    </row>
    <row r="5262" spans="1:9" x14ac:dyDescent="0.35">
      <c r="A5262" t="s">
        <v>227</v>
      </c>
      <c r="B5262" t="s">
        <v>360</v>
      </c>
      <c r="C5262" s="26">
        <v>0.89739999999999998</v>
      </c>
      <c r="D5262" s="26">
        <v>2.5600000000000001E-2</v>
      </c>
      <c r="E5262" s="26">
        <v>5.1299999999999998E-2</v>
      </c>
      <c r="F5262" s="26">
        <v>2.5600000000000001E-2</v>
      </c>
      <c r="I5262">
        <v>39</v>
      </c>
    </row>
    <row r="5263" spans="1:9" x14ac:dyDescent="0.35">
      <c r="A5263" t="s">
        <v>227</v>
      </c>
      <c r="B5263" t="s">
        <v>361</v>
      </c>
      <c r="C5263" s="26">
        <v>0.9375</v>
      </c>
      <c r="D5263" s="26">
        <v>3.1199999999999999E-2</v>
      </c>
      <c r="E5263" s="26">
        <v>3.1199999999999999E-2</v>
      </c>
      <c r="I5263">
        <v>32</v>
      </c>
    </row>
    <row r="5264" spans="1:9" x14ac:dyDescent="0.35">
      <c r="A5264" t="s">
        <v>227</v>
      </c>
      <c r="B5264" t="s">
        <v>362</v>
      </c>
      <c r="C5264" s="26">
        <v>0.81079999999999997</v>
      </c>
      <c r="D5264" s="26">
        <v>8.1100000000000005E-2</v>
      </c>
      <c r="E5264" s="26">
        <v>2.7E-2</v>
      </c>
      <c r="F5264" s="26">
        <v>5.4100000000000002E-2</v>
      </c>
      <c r="G5264" s="26">
        <v>2.7E-2</v>
      </c>
      <c r="I5264">
        <v>37</v>
      </c>
    </row>
    <row r="5265" spans="1:9" x14ac:dyDescent="0.35">
      <c r="A5265" t="s">
        <v>227</v>
      </c>
      <c r="B5265" t="s">
        <v>363</v>
      </c>
      <c r="C5265" s="26">
        <v>0.84440000000000004</v>
      </c>
      <c r="D5265" s="26">
        <v>0.1111</v>
      </c>
      <c r="E5265" s="26">
        <v>2.2200000000000001E-2</v>
      </c>
      <c r="F5265" s="26">
        <v>2.2200000000000001E-2</v>
      </c>
      <c r="I5265">
        <v>45</v>
      </c>
    </row>
    <row r="5266" spans="1:9" x14ac:dyDescent="0.35">
      <c r="A5266" t="s">
        <v>228</v>
      </c>
      <c r="B5266" t="s">
        <v>360</v>
      </c>
      <c r="C5266" s="26">
        <v>0.80869999999999997</v>
      </c>
      <c r="D5266" s="26">
        <v>0.1176</v>
      </c>
      <c r="E5266" s="26">
        <v>0.05</v>
      </c>
      <c r="F5266" s="26">
        <v>2.3699999999999999E-2</v>
      </c>
      <c r="I5266">
        <v>258</v>
      </c>
    </row>
    <row r="5267" spans="1:9" x14ac:dyDescent="0.35">
      <c r="A5267" t="s">
        <v>228</v>
      </c>
      <c r="B5267" t="s">
        <v>361</v>
      </c>
      <c r="C5267" s="26">
        <v>0.90759999999999996</v>
      </c>
      <c r="D5267" s="26">
        <v>7.0999999999999994E-2</v>
      </c>
      <c r="E5267" s="26">
        <v>2.1299999999999999E-2</v>
      </c>
      <c r="I5267">
        <v>194</v>
      </c>
    </row>
    <row r="5268" spans="1:9" x14ac:dyDescent="0.35">
      <c r="A5268" t="s">
        <v>228</v>
      </c>
      <c r="B5268" t="s">
        <v>363</v>
      </c>
      <c r="C5268" s="26">
        <v>0.82410000000000005</v>
      </c>
      <c r="D5268" s="26">
        <v>0.1336</v>
      </c>
      <c r="E5268" s="26">
        <v>4.0500000000000001E-2</v>
      </c>
      <c r="F5268" s="26">
        <v>1.6999999999999999E-3</v>
      </c>
      <c r="I5268">
        <v>212</v>
      </c>
    </row>
    <row r="5269" spans="1:9" x14ac:dyDescent="0.35">
      <c r="A5269" t="s">
        <v>228</v>
      </c>
      <c r="B5269" t="s">
        <v>362</v>
      </c>
      <c r="C5269" s="26">
        <v>0.86250000000000004</v>
      </c>
      <c r="D5269" s="26">
        <v>6.3799999999999996E-2</v>
      </c>
      <c r="E5269" s="26">
        <v>6.6799999999999998E-2</v>
      </c>
      <c r="F5269" s="26">
        <v>6.8999999999999999E-3</v>
      </c>
      <c r="I5269">
        <v>236</v>
      </c>
    </row>
    <row r="5270" spans="1:9" x14ac:dyDescent="0.35">
      <c r="A5270" t="s">
        <v>229</v>
      </c>
      <c r="B5270" t="s">
        <v>363</v>
      </c>
      <c r="C5270" s="26">
        <v>0.82030000000000003</v>
      </c>
      <c r="D5270" s="26">
        <v>9.4799999999999995E-2</v>
      </c>
      <c r="E5270" s="26">
        <v>6.7000000000000004E-2</v>
      </c>
      <c r="F5270" s="26">
        <v>1.78E-2</v>
      </c>
      <c r="I5270">
        <v>191</v>
      </c>
    </row>
    <row r="5271" spans="1:9" x14ac:dyDescent="0.35">
      <c r="A5271" t="s">
        <v>229</v>
      </c>
      <c r="B5271" t="s">
        <v>360</v>
      </c>
      <c r="C5271" s="26">
        <v>0.75690000000000002</v>
      </c>
      <c r="D5271" s="26">
        <v>8.9200000000000002E-2</v>
      </c>
      <c r="E5271" s="26">
        <v>9.9299999999999999E-2</v>
      </c>
      <c r="F5271" s="26">
        <v>3.8399999999999997E-2</v>
      </c>
      <c r="H5271" s="26">
        <v>1.6199999999999999E-2</v>
      </c>
      <c r="I5271">
        <v>164</v>
      </c>
    </row>
    <row r="5272" spans="1:9" x14ac:dyDescent="0.35">
      <c r="A5272" t="s">
        <v>229</v>
      </c>
      <c r="B5272" t="s">
        <v>361</v>
      </c>
      <c r="C5272" s="26">
        <v>0.86480000000000001</v>
      </c>
      <c r="D5272" s="26">
        <v>9.5500000000000002E-2</v>
      </c>
      <c r="E5272" s="26">
        <v>3.3099999999999997E-2</v>
      </c>
      <c r="F5272" s="26">
        <v>6.6E-3</v>
      </c>
      <c r="I5272">
        <v>243</v>
      </c>
    </row>
    <row r="5273" spans="1:9" x14ac:dyDescent="0.35">
      <c r="A5273" t="s">
        <v>229</v>
      </c>
      <c r="B5273" t="s">
        <v>362</v>
      </c>
      <c r="C5273" s="26">
        <v>0.72060000000000002</v>
      </c>
      <c r="D5273" s="26">
        <v>0.14349999999999999</v>
      </c>
      <c r="E5273" s="26">
        <v>8.6300000000000002E-2</v>
      </c>
      <c r="F5273" s="26">
        <v>4.9500000000000002E-2</v>
      </c>
      <c r="I5273">
        <v>171</v>
      </c>
    </row>
    <row r="5274" spans="1:9" x14ac:dyDescent="0.35">
      <c r="A5274" t="s">
        <v>230</v>
      </c>
      <c r="B5274" t="s">
        <v>360</v>
      </c>
      <c r="C5274" s="26">
        <v>0.7581</v>
      </c>
      <c r="D5274" s="26">
        <v>8.5500000000000007E-2</v>
      </c>
      <c r="E5274" s="26">
        <v>0.1166</v>
      </c>
      <c r="F5274" s="26">
        <v>3.9800000000000002E-2</v>
      </c>
      <c r="I5274">
        <v>120</v>
      </c>
    </row>
    <row r="5275" spans="1:9" x14ac:dyDescent="0.35">
      <c r="A5275" t="s">
        <v>230</v>
      </c>
      <c r="B5275" t="s">
        <v>363</v>
      </c>
      <c r="C5275" s="26">
        <v>0.86680000000000001</v>
      </c>
      <c r="D5275" s="26">
        <v>0.12429999999999999</v>
      </c>
      <c r="E5275" s="26">
        <v>7.7000000000000002E-3</v>
      </c>
      <c r="F5275" s="26">
        <v>1.1999999999999999E-3</v>
      </c>
      <c r="I5275">
        <v>127</v>
      </c>
    </row>
    <row r="5276" spans="1:9" x14ac:dyDescent="0.35">
      <c r="A5276" t="s">
        <v>230</v>
      </c>
      <c r="B5276" t="s">
        <v>361</v>
      </c>
      <c r="C5276" s="26">
        <v>0.89880000000000004</v>
      </c>
      <c r="D5276" s="26">
        <v>7.1800000000000003E-2</v>
      </c>
      <c r="E5276" s="26">
        <v>2.9399999999999999E-2</v>
      </c>
      <c r="I5276">
        <v>109</v>
      </c>
    </row>
    <row r="5277" spans="1:9" x14ac:dyDescent="0.35">
      <c r="A5277" t="s">
        <v>230</v>
      </c>
      <c r="B5277" t="s">
        <v>362</v>
      </c>
      <c r="C5277" s="26">
        <v>0.87990000000000002</v>
      </c>
      <c r="D5277" s="26">
        <v>5.8099999999999999E-2</v>
      </c>
      <c r="E5277" s="26">
        <v>3.6900000000000002E-2</v>
      </c>
      <c r="F5277" s="26">
        <v>2.5100000000000001E-2</v>
      </c>
      <c r="I5277">
        <v>148</v>
      </c>
    </row>
    <row r="5278" spans="1:9" x14ac:dyDescent="0.35">
      <c r="A5278" s="27" t="s">
        <v>231</v>
      </c>
      <c r="B5278" s="27" t="s">
        <v>362</v>
      </c>
      <c r="C5278" s="28">
        <v>0.89659999999999995</v>
      </c>
      <c r="D5278" s="28">
        <v>6.9000000000000006E-2</v>
      </c>
      <c r="E5278" s="28">
        <v>3.4500000000000003E-2</v>
      </c>
      <c r="F5278" s="29"/>
      <c r="G5278" s="29"/>
      <c r="H5278" s="29"/>
      <c r="I5278" s="29" t="s">
        <v>329</v>
      </c>
    </row>
    <row r="5279" spans="1:9" x14ac:dyDescent="0.35">
      <c r="A5279" t="s">
        <v>231</v>
      </c>
      <c r="B5279" t="s">
        <v>361</v>
      </c>
      <c r="C5279" s="26">
        <v>0.92</v>
      </c>
      <c r="D5279" s="26">
        <v>0.06</v>
      </c>
      <c r="E5279" s="26">
        <v>0.02</v>
      </c>
      <c r="I5279">
        <v>50</v>
      </c>
    </row>
    <row r="5280" spans="1:9" x14ac:dyDescent="0.35">
      <c r="A5280" t="s">
        <v>231</v>
      </c>
      <c r="B5280" t="s">
        <v>360</v>
      </c>
      <c r="C5280" s="26">
        <v>0.81820000000000004</v>
      </c>
      <c r="D5280" s="26">
        <v>6.8199999999999997E-2</v>
      </c>
      <c r="E5280" s="26">
        <v>6.8199999999999997E-2</v>
      </c>
      <c r="F5280" s="26">
        <v>2.2700000000000001E-2</v>
      </c>
      <c r="G5280" s="26">
        <v>2.2700000000000001E-2</v>
      </c>
      <c r="I5280">
        <v>44</v>
      </c>
    </row>
    <row r="5281" spans="1:9" x14ac:dyDescent="0.35">
      <c r="A5281" s="27" t="s">
        <v>231</v>
      </c>
      <c r="B5281" s="27" t="s">
        <v>363</v>
      </c>
      <c r="C5281" s="28">
        <v>0.77780000000000005</v>
      </c>
      <c r="D5281" s="28">
        <v>0.14810000000000001</v>
      </c>
      <c r="E5281" s="28">
        <v>3.6999999999999998E-2</v>
      </c>
      <c r="F5281" s="28">
        <v>3.6999999999999998E-2</v>
      </c>
      <c r="G5281" s="29"/>
      <c r="H5281" s="29"/>
      <c r="I5281" s="29" t="s">
        <v>338</v>
      </c>
    </row>
    <row r="5282" spans="1:9" x14ac:dyDescent="0.35">
      <c r="A5282" t="s">
        <v>232</v>
      </c>
      <c r="B5282" t="s">
        <v>232</v>
      </c>
      <c r="C5282" s="26">
        <v>0.85119999999999996</v>
      </c>
      <c r="D5282" s="26">
        <v>8.7800000000000003E-2</v>
      </c>
      <c r="E5282" s="26">
        <v>4.2099999999999999E-2</v>
      </c>
      <c r="F5282" s="26">
        <v>1.55E-2</v>
      </c>
      <c r="G5282" s="26">
        <v>2.7000000000000001E-3</v>
      </c>
      <c r="H5282" s="26">
        <v>6.9999999999999999E-4</v>
      </c>
      <c r="I5282">
        <v>2476</v>
      </c>
    </row>
    <row r="5284" spans="1:9" x14ac:dyDescent="0.35">
      <c r="A5284" s="1" t="s">
        <v>737</v>
      </c>
    </row>
    <row r="5285" spans="1:9" x14ac:dyDescent="0.35">
      <c r="A5285" t="s">
        <v>219</v>
      </c>
      <c r="B5285" t="s">
        <v>305</v>
      </c>
      <c r="C5285" t="s">
        <v>681</v>
      </c>
      <c r="D5285" t="s">
        <v>682</v>
      </c>
      <c r="E5285" t="s">
        <v>683</v>
      </c>
      <c r="F5285" t="s">
        <v>684</v>
      </c>
      <c r="G5285" t="s">
        <v>281</v>
      </c>
      <c r="H5285" t="s">
        <v>286</v>
      </c>
      <c r="I5285" t="s">
        <v>226</v>
      </c>
    </row>
    <row r="5286" spans="1:9" x14ac:dyDescent="0.35">
      <c r="A5286" t="s">
        <v>227</v>
      </c>
      <c r="B5286" t="s">
        <v>267</v>
      </c>
      <c r="C5286" s="26">
        <v>0.91669999999999996</v>
      </c>
      <c r="D5286" s="26">
        <v>2.7799999999999998E-2</v>
      </c>
      <c r="E5286" s="26">
        <v>2.7799999999999998E-2</v>
      </c>
      <c r="F5286" s="26">
        <v>2.7799999999999998E-2</v>
      </c>
      <c r="I5286">
        <v>36</v>
      </c>
    </row>
    <row r="5287" spans="1:9" x14ac:dyDescent="0.35">
      <c r="A5287" t="s">
        <v>227</v>
      </c>
      <c r="B5287" t="s">
        <v>266</v>
      </c>
      <c r="C5287" s="26">
        <v>0.86439999999999995</v>
      </c>
      <c r="D5287" s="26">
        <v>0.1017</v>
      </c>
      <c r="E5287" s="26">
        <v>1.6899999999999998E-2</v>
      </c>
      <c r="G5287" s="26">
        <v>1.6899999999999998E-2</v>
      </c>
      <c r="I5287">
        <v>59</v>
      </c>
    </row>
    <row r="5288" spans="1:9" x14ac:dyDescent="0.35">
      <c r="A5288" t="s">
        <v>227</v>
      </c>
      <c r="B5288" t="s">
        <v>265</v>
      </c>
      <c r="C5288" s="26">
        <v>0.84850000000000003</v>
      </c>
      <c r="D5288" s="26">
        <v>6.0600000000000001E-2</v>
      </c>
      <c r="E5288" s="26">
        <v>4.5499999999999999E-2</v>
      </c>
      <c r="F5288" s="26">
        <v>4.5499999999999999E-2</v>
      </c>
      <c r="I5288">
        <v>66</v>
      </c>
    </row>
    <row r="5289" spans="1:9" x14ac:dyDescent="0.35">
      <c r="A5289" t="s">
        <v>228</v>
      </c>
      <c r="B5289" t="s">
        <v>267</v>
      </c>
      <c r="C5289" s="26">
        <v>0.88959999999999995</v>
      </c>
      <c r="D5289" s="26">
        <v>4.2999999999999997E-2</v>
      </c>
      <c r="E5289" s="26">
        <v>6.1100000000000002E-2</v>
      </c>
      <c r="F5289" s="26">
        <v>6.3E-3</v>
      </c>
      <c r="I5289">
        <v>199</v>
      </c>
    </row>
    <row r="5290" spans="1:9" x14ac:dyDescent="0.35">
      <c r="A5290" t="s">
        <v>228</v>
      </c>
      <c r="B5290" t="s">
        <v>265</v>
      </c>
      <c r="C5290" s="26">
        <v>0.88039999999999996</v>
      </c>
      <c r="D5290" s="26">
        <v>8.8700000000000001E-2</v>
      </c>
      <c r="E5290" s="26">
        <v>2.81E-2</v>
      </c>
      <c r="F5290" s="26">
        <v>2.8999999999999998E-3</v>
      </c>
      <c r="I5290">
        <v>384</v>
      </c>
    </row>
    <row r="5291" spans="1:9" x14ac:dyDescent="0.35">
      <c r="A5291" s="27" t="s">
        <v>228</v>
      </c>
      <c r="B5291" s="27" t="s">
        <v>236</v>
      </c>
      <c r="C5291" s="28">
        <v>0.5</v>
      </c>
      <c r="D5291" s="28">
        <v>0.5</v>
      </c>
      <c r="E5291" s="29"/>
      <c r="F5291" s="29"/>
      <c r="G5291" s="29"/>
      <c r="H5291" s="29"/>
      <c r="I5291" s="29" t="s">
        <v>314</v>
      </c>
    </row>
    <row r="5292" spans="1:9" x14ac:dyDescent="0.35">
      <c r="A5292" t="s">
        <v>228</v>
      </c>
      <c r="B5292" t="s">
        <v>266</v>
      </c>
      <c r="C5292" s="26">
        <v>0.81979999999999997</v>
      </c>
      <c r="D5292" s="26">
        <v>0.123</v>
      </c>
      <c r="E5292" s="26">
        <v>4.6399999999999997E-2</v>
      </c>
      <c r="F5292" s="26">
        <v>1.0800000000000001E-2</v>
      </c>
      <c r="I5292">
        <v>448</v>
      </c>
    </row>
    <row r="5293" spans="1:9" x14ac:dyDescent="0.35">
      <c r="A5293" t="s">
        <v>229</v>
      </c>
      <c r="B5293" t="s">
        <v>266</v>
      </c>
      <c r="C5293" s="26">
        <v>0.78029999999999999</v>
      </c>
      <c r="D5293" s="26">
        <v>0.1221</v>
      </c>
      <c r="E5293" s="26">
        <v>7.2099999999999997E-2</v>
      </c>
      <c r="F5293" s="26">
        <v>1.78E-2</v>
      </c>
      <c r="H5293" s="26">
        <v>7.6E-3</v>
      </c>
      <c r="I5293">
        <v>359</v>
      </c>
    </row>
    <row r="5294" spans="1:9" x14ac:dyDescent="0.35">
      <c r="A5294" t="s">
        <v>229</v>
      </c>
      <c r="B5294" t="s">
        <v>267</v>
      </c>
      <c r="C5294" s="26">
        <v>0.89790000000000003</v>
      </c>
      <c r="D5294" s="26">
        <v>6.4000000000000001E-2</v>
      </c>
      <c r="E5294" s="26">
        <v>3.73E-2</v>
      </c>
      <c r="F5294" s="26">
        <v>8.0000000000000004E-4</v>
      </c>
      <c r="I5294">
        <v>201</v>
      </c>
    </row>
    <row r="5295" spans="1:9" x14ac:dyDescent="0.35">
      <c r="A5295" t="s">
        <v>229</v>
      </c>
      <c r="B5295" t="s">
        <v>265</v>
      </c>
      <c r="C5295" s="26">
        <v>0.82179999999999997</v>
      </c>
      <c r="D5295" s="26">
        <v>9.6600000000000005E-2</v>
      </c>
      <c r="E5295" s="26">
        <v>4.9299999999999997E-2</v>
      </c>
      <c r="F5295" s="26">
        <v>3.1899999999999998E-2</v>
      </c>
      <c r="G5295" s="26">
        <v>4.0000000000000002E-4</v>
      </c>
      <c r="I5295">
        <v>335</v>
      </c>
    </row>
    <row r="5296" spans="1:9" x14ac:dyDescent="0.35">
      <c r="A5296" t="s">
        <v>230</v>
      </c>
      <c r="B5296" t="s">
        <v>267</v>
      </c>
      <c r="C5296" s="26">
        <v>0.96340000000000003</v>
      </c>
      <c r="D5296" s="26">
        <v>1.89E-2</v>
      </c>
      <c r="E5296" s="26">
        <v>1.24E-2</v>
      </c>
      <c r="F5296" s="26">
        <v>5.3E-3</v>
      </c>
      <c r="I5296">
        <v>119</v>
      </c>
    </row>
    <row r="5297" spans="1:9" x14ac:dyDescent="0.35">
      <c r="A5297" t="s">
        <v>230</v>
      </c>
      <c r="B5297" t="s">
        <v>266</v>
      </c>
      <c r="C5297" s="26">
        <v>0.8044</v>
      </c>
      <c r="D5297" s="26">
        <v>0.1139</v>
      </c>
      <c r="E5297" s="26">
        <v>7.9200000000000007E-2</v>
      </c>
      <c r="F5297" s="26">
        <v>2.5000000000000001E-3</v>
      </c>
      <c r="I5297">
        <v>232</v>
      </c>
    </row>
    <row r="5298" spans="1:9" x14ac:dyDescent="0.35">
      <c r="A5298" t="s">
        <v>230</v>
      </c>
      <c r="B5298" t="s">
        <v>265</v>
      </c>
      <c r="C5298" s="26">
        <v>0.83399999999999996</v>
      </c>
      <c r="D5298" s="26">
        <v>0.114</v>
      </c>
      <c r="E5298" s="26">
        <v>2.35E-2</v>
      </c>
      <c r="F5298" s="26">
        <v>2.8500000000000001E-2</v>
      </c>
      <c r="I5298">
        <v>209</v>
      </c>
    </row>
    <row r="5299" spans="1:9" x14ac:dyDescent="0.35">
      <c r="A5299" t="s">
        <v>231</v>
      </c>
      <c r="B5299" t="s">
        <v>267</v>
      </c>
      <c r="C5299" s="26">
        <v>0.88239999999999996</v>
      </c>
      <c r="D5299" s="26">
        <v>2.9399999999999999E-2</v>
      </c>
      <c r="E5299" s="26">
        <v>5.8799999999999998E-2</v>
      </c>
      <c r="F5299" s="26">
        <v>2.9399999999999999E-2</v>
      </c>
      <c r="I5299">
        <v>34</v>
      </c>
    </row>
    <row r="5300" spans="1:9" x14ac:dyDescent="0.35">
      <c r="A5300" t="s">
        <v>231</v>
      </c>
      <c r="B5300" t="s">
        <v>266</v>
      </c>
      <c r="C5300" s="26">
        <v>0.8387</v>
      </c>
      <c r="D5300" s="26">
        <v>9.6799999999999997E-2</v>
      </c>
      <c r="E5300" s="26">
        <v>4.8399999999999999E-2</v>
      </c>
      <c r="G5300" s="26">
        <v>1.61E-2</v>
      </c>
      <c r="I5300">
        <v>62</v>
      </c>
    </row>
    <row r="5301" spans="1:9" x14ac:dyDescent="0.35">
      <c r="A5301" t="s">
        <v>231</v>
      </c>
      <c r="B5301" t="s">
        <v>265</v>
      </c>
      <c r="C5301" s="26">
        <v>0.88239999999999996</v>
      </c>
      <c r="D5301" s="26">
        <v>8.8200000000000001E-2</v>
      </c>
      <c r="E5301" s="26">
        <v>1.47E-2</v>
      </c>
      <c r="F5301" s="26">
        <v>1.47E-2</v>
      </c>
      <c r="I5301">
        <v>68</v>
      </c>
    </row>
    <row r="5302" spans="1:9" x14ac:dyDescent="0.35">
      <c r="A5302" t="s">
        <v>232</v>
      </c>
      <c r="B5302" t="s">
        <v>232</v>
      </c>
      <c r="C5302" s="26">
        <v>0.85119999999999996</v>
      </c>
      <c r="D5302" s="26">
        <v>8.7800000000000003E-2</v>
      </c>
      <c r="E5302" s="26">
        <v>4.2099999999999999E-2</v>
      </c>
      <c r="F5302" s="26">
        <v>1.55E-2</v>
      </c>
      <c r="G5302" s="26">
        <v>2.7000000000000001E-3</v>
      </c>
      <c r="H5302" s="26">
        <v>6.9999999999999999E-4</v>
      </c>
      <c r="I5302">
        <v>2813</v>
      </c>
    </row>
    <row r="5304" spans="1:9" x14ac:dyDescent="0.35">
      <c r="A5304" s="1" t="s">
        <v>738</v>
      </c>
    </row>
    <row r="5305" spans="1:9" x14ac:dyDescent="0.35">
      <c r="A5305" t="s">
        <v>219</v>
      </c>
      <c r="B5305" t="s">
        <v>305</v>
      </c>
      <c r="C5305" t="s">
        <v>681</v>
      </c>
      <c r="D5305" t="s">
        <v>682</v>
      </c>
      <c r="E5305" t="s">
        <v>683</v>
      </c>
      <c r="F5305" t="s">
        <v>684</v>
      </c>
      <c r="G5305" t="s">
        <v>281</v>
      </c>
      <c r="H5305" t="s">
        <v>286</v>
      </c>
      <c r="I5305" t="s">
        <v>226</v>
      </c>
    </row>
    <row r="5306" spans="1:9" x14ac:dyDescent="0.35">
      <c r="A5306" t="s">
        <v>227</v>
      </c>
      <c r="B5306" t="s">
        <v>252</v>
      </c>
      <c r="C5306" s="26">
        <v>0.8</v>
      </c>
      <c r="D5306" s="26">
        <v>0.1111</v>
      </c>
      <c r="E5306" s="26">
        <v>2.2200000000000001E-2</v>
      </c>
      <c r="F5306" s="26">
        <v>4.4400000000000002E-2</v>
      </c>
      <c r="G5306" s="26">
        <v>2.2200000000000001E-2</v>
      </c>
      <c r="I5306">
        <v>45</v>
      </c>
    </row>
    <row r="5307" spans="1:9" x14ac:dyDescent="0.35">
      <c r="A5307" t="s">
        <v>227</v>
      </c>
      <c r="B5307" t="s">
        <v>253</v>
      </c>
      <c r="C5307" s="26">
        <v>0.79410000000000003</v>
      </c>
      <c r="D5307" s="26">
        <v>0.14710000000000001</v>
      </c>
      <c r="E5307" s="26">
        <v>2.9399999999999999E-2</v>
      </c>
      <c r="F5307" s="26">
        <v>2.9399999999999999E-2</v>
      </c>
      <c r="I5307">
        <v>34</v>
      </c>
    </row>
    <row r="5308" spans="1:9" x14ac:dyDescent="0.35">
      <c r="A5308" t="s">
        <v>227</v>
      </c>
      <c r="B5308" t="s">
        <v>251</v>
      </c>
      <c r="C5308" s="26">
        <v>0.93899999999999995</v>
      </c>
      <c r="D5308" s="26">
        <v>1.2200000000000001E-2</v>
      </c>
      <c r="E5308" s="26">
        <v>3.6600000000000001E-2</v>
      </c>
      <c r="F5308" s="26">
        <v>1.2200000000000001E-2</v>
      </c>
      <c r="I5308">
        <v>82</v>
      </c>
    </row>
    <row r="5309" spans="1:9" x14ac:dyDescent="0.35">
      <c r="A5309" t="s">
        <v>228</v>
      </c>
      <c r="B5309" t="s">
        <v>252</v>
      </c>
      <c r="C5309" s="26">
        <v>0.81040000000000001</v>
      </c>
      <c r="D5309" s="26">
        <v>0.13089999999999999</v>
      </c>
      <c r="E5309" s="26">
        <v>4.7199999999999999E-2</v>
      </c>
      <c r="F5309" s="26">
        <v>1.14E-2</v>
      </c>
      <c r="I5309">
        <v>344</v>
      </c>
    </row>
    <row r="5310" spans="1:9" x14ac:dyDescent="0.35">
      <c r="A5310" t="s">
        <v>228</v>
      </c>
      <c r="B5310" t="s">
        <v>253</v>
      </c>
      <c r="C5310" s="26">
        <v>0.75990000000000002</v>
      </c>
      <c r="D5310" s="26">
        <v>0.1343</v>
      </c>
      <c r="E5310" s="26">
        <v>9.2999999999999999E-2</v>
      </c>
      <c r="F5310" s="26">
        <v>1.2800000000000001E-2</v>
      </c>
      <c r="I5310">
        <v>222</v>
      </c>
    </row>
    <row r="5311" spans="1:9" x14ac:dyDescent="0.35">
      <c r="A5311" t="s">
        <v>228</v>
      </c>
      <c r="B5311" t="s">
        <v>251</v>
      </c>
      <c r="C5311" s="26">
        <v>0.92500000000000004</v>
      </c>
      <c r="D5311" s="26">
        <v>5.9700000000000003E-2</v>
      </c>
      <c r="E5311" s="26">
        <v>1.44E-2</v>
      </c>
      <c r="F5311" s="26">
        <v>8.9999999999999998E-4</v>
      </c>
      <c r="I5311">
        <v>467</v>
      </c>
    </row>
    <row r="5312" spans="1:9" x14ac:dyDescent="0.35">
      <c r="A5312" t="s">
        <v>229</v>
      </c>
      <c r="B5312" t="s">
        <v>252</v>
      </c>
      <c r="C5312" s="26">
        <v>0.7409</v>
      </c>
      <c r="D5312" s="26">
        <v>0.10829999999999999</v>
      </c>
      <c r="E5312" s="26">
        <v>0.1012</v>
      </c>
      <c r="F5312" s="26">
        <v>3.8399999999999997E-2</v>
      </c>
      <c r="H5312" s="26">
        <v>1.12E-2</v>
      </c>
      <c r="I5312">
        <v>199</v>
      </c>
    </row>
    <row r="5313" spans="1:9" x14ac:dyDescent="0.35">
      <c r="A5313" t="s">
        <v>229</v>
      </c>
      <c r="B5313" t="s">
        <v>253</v>
      </c>
      <c r="C5313" s="26">
        <v>0.68210000000000004</v>
      </c>
      <c r="D5313" s="26">
        <v>0.128</v>
      </c>
      <c r="E5313" s="26">
        <v>0.12939999999999999</v>
      </c>
      <c r="F5313" s="26">
        <v>6.0600000000000001E-2</v>
      </c>
      <c r="I5313">
        <v>145</v>
      </c>
    </row>
    <row r="5314" spans="1:9" x14ac:dyDescent="0.35">
      <c r="A5314" t="s">
        <v>229</v>
      </c>
      <c r="B5314" t="s">
        <v>251</v>
      </c>
      <c r="C5314" s="26">
        <v>0.9032</v>
      </c>
      <c r="D5314" s="26">
        <v>8.4000000000000005E-2</v>
      </c>
      <c r="E5314" s="26">
        <v>1.2E-2</v>
      </c>
      <c r="F5314" s="26">
        <v>5.9999999999999995E-4</v>
      </c>
      <c r="G5314" s="26">
        <v>2.9999999999999997E-4</v>
      </c>
      <c r="I5314">
        <v>551</v>
      </c>
    </row>
    <row r="5315" spans="1:9" x14ac:dyDescent="0.35">
      <c r="A5315" t="s">
        <v>230</v>
      </c>
      <c r="B5315" t="s">
        <v>252</v>
      </c>
      <c r="C5315" s="26">
        <v>0.76580000000000004</v>
      </c>
      <c r="D5315" s="26">
        <v>0.13159999999999999</v>
      </c>
      <c r="E5315" s="26">
        <v>0.1026</v>
      </c>
      <c r="I5315">
        <v>159</v>
      </c>
    </row>
    <row r="5316" spans="1:9" x14ac:dyDescent="0.35">
      <c r="A5316" t="s">
        <v>230</v>
      </c>
      <c r="B5316" t="s">
        <v>253</v>
      </c>
      <c r="C5316" s="26">
        <v>0.82989999999999997</v>
      </c>
      <c r="D5316" s="26">
        <v>0.1133</v>
      </c>
      <c r="E5316" s="26">
        <v>1.7299999999999999E-2</v>
      </c>
      <c r="F5316" s="26">
        <v>3.95E-2</v>
      </c>
      <c r="I5316">
        <v>110</v>
      </c>
    </row>
    <row r="5317" spans="1:9" x14ac:dyDescent="0.35">
      <c r="A5317" t="s">
        <v>230</v>
      </c>
      <c r="B5317" t="s">
        <v>251</v>
      </c>
      <c r="C5317" s="26">
        <v>0.89880000000000004</v>
      </c>
      <c r="D5317" s="26">
        <v>6.8400000000000002E-2</v>
      </c>
      <c r="E5317" s="26">
        <v>2.1000000000000001E-2</v>
      </c>
      <c r="F5317" s="26">
        <v>1.18E-2</v>
      </c>
      <c r="I5317">
        <v>291</v>
      </c>
    </row>
    <row r="5318" spans="1:9" x14ac:dyDescent="0.35">
      <c r="A5318" t="s">
        <v>231</v>
      </c>
      <c r="B5318" t="s">
        <v>252</v>
      </c>
      <c r="C5318" s="26">
        <v>0.77549999999999997</v>
      </c>
      <c r="D5318" s="26">
        <v>0.1429</v>
      </c>
      <c r="E5318" s="26">
        <v>6.1199999999999997E-2</v>
      </c>
      <c r="G5318" s="26">
        <v>2.0400000000000001E-2</v>
      </c>
      <c r="I5318">
        <v>49</v>
      </c>
    </row>
    <row r="5319" spans="1:9" x14ac:dyDescent="0.35">
      <c r="A5319" t="s">
        <v>231</v>
      </c>
      <c r="B5319" t="s">
        <v>253</v>
      </c>
      <c r="C5319" s="26">
        <v>0.8</v>
      </c>
      <c r="D5319" s="26">
        <v>0.1</v>
      </c>
      <c r="E5319" s="26">
        <v>6.6699999999999995E-2</v>
      </c>
      <c r="F5319" s="26">
        <v>3.3300000000000003E-2</v>
      </c>
      <c r="I5319">
        <v>30</v>
      </c>
    </row>
    <row r="5320" spans="1:9" x14ac:dyDescent="0.35">
      <c r="A5320" t="s">
        <v>231</v>
      </c>
      <c r="B5320" t="s">
        <v>251</v>
      </c>
      <c r="C5320" s="26">
        <v>0.94120000000000004</v>
      </c>
      <c r="D5320" s="26">
        <v>3.5299999999999998E-2</v>
      </c>
      <c r="E5320" s="26">
        <v>1.18E-2</v>
      </c>
      <c r="F5320" s="26">
        <v>1.18E-2</v>
      </c>
      <c r="I5320">
        <v>85</v>
      </c>
    </row>
    <row r="5321" spans="1:9" x14ac:dyDescent="0.35">
      <c r="A5321" t="s">
        <v>232</v>
      </c>
      <c r="B5321" t="s">
        <v>232</v>
      </c>
      <c r="C5321" s="26">
        <v>0.85119999999999996</v>
      </c>
      <c r="D5321" s="26">
        <v>8.7800000000000003E-2</v>
      </c>
      <c r="E5321" s="26">
        <v>4.2099999999999999E-2</v>
      </c>
      <c r="F5321" s="26">
        <v>1.55E-2</v>
      </c>
      <c r="G5321" s="26">
        <v>2.7000000000000001E-3</v>
      </c>
      <c r="H5321" s="26">
        <v>6.9999999999999999E-4</v>
      </c>
      <c r="I5321">
        <v>2813</v>
      </c>
    </row>
    <row r="5323" spans="1:9" x14ac:dyDescent="0.35">
      <c r="A5323" s="1" t="s">
        <v>739</v>
      </c>
    </row>
    <row r="5324" spans="1:9" x14ac:dyDescent="0.35">
      <c r="A5324" t="s">
        <v>219</v>
      </c>
      <c r="B5324" t="s">
        <v>305</v>
      </c>
      <c r="C5324" t="s">
        <v>681</v>
      </c>
      <c r="D5324" t="s">
        <v>682</v>
      </c>
      <c r="E5324" t="s">
        <v>683</v>
      </c>
      <c r="F5324" t="s">
        <v>684</v>
      </c>
      <c r="G5324" t="s">
        <v>281</v>
      </c>
      <c r="H5324" t="s">
        <v>286</v>
      </c>
      <c r="I5324" t="s">
        <v>226</v>
      </c>
    </row>
    <row r="5325" spans="1:9" x14ac:dyDescent="0.35">
      <c r="A5325" t="s">
        <v>227</v>
      </c>
      <c r="B5325" t="s">
        <v>249</v>
      </c>
      <c r="C5325" s="26">
        <v>0.95450000000000002</v>
      </c>
      <c r="D5325" s="26">
        <v>2.2700000000000001E-2</v>
      </c>
      <c r="F5325" s="26">
        <v>2.2700000000000001E-2</v>
      </c>
      <c r="I5325">
        <v>44</v>
      </c>
    </row>
    <row r="5326" spans="1:9" x14ac:dyDescent="0.35">
      <c r="A5326" t="s">
        <v>227</v>
      </c>
      <c r="B5326" t="s">
        <v>248</v>
      </c>
      <c r="C5326" s="26">
        <v>0.83760000000000001</v>
      </c>
      <c r="D5326" s="26">
        <v>8.5500000000000007E-2</v>
      </c>
      <c r="E5326" s="26">
        <v>4.2700000000000002E-2</v>
      </c>
      <c r="F5326" s="26">
        <v>2.5600000000000001E-2</v>
      </c>
      <c r="G5326" s="26">
        <v>8.5000000000000006E-3</v>
      </c>
      <c r="I5326">
        <v>117</v>
      </c>
    </row>
    <row r="5327" spans="1:9" x14ac:dyDescent="0.35">
      <c r="A5327" t="s">
        <v>228</v>
      </c>
      <c r="B5327" t="s">
        <v>249</v>
      </c>
      <c r="C5327" s="26">
        <v>0.88270000000000004</v>
      </c>
      <c r="D5327" s="26">
        <v>6.3E-2</v>
      </c>
      <c r="E5327" s="26">
        <v>5.0299999999999997E-2</v>
      </c>
      <c r="F5327" s="26">
        <v>4.0000000000000001E-3</v>
      </c>
      <c r="I5327">
        <v>274</v>
      </c>
    </row>
    <row r="5328" spans="1:9" x14ac:dyDescent="0.35">
      <c r="A5328" t="s">
        <v>228</v>
      </c>
      <c r="B5328" t="s">
        <v>248</v>
      </c>
      <c r="C5328" s="26">
        <v>0.84250000000000003</v>
      </c>
      <c r="D5328" s="26">
        <v>0.11260000000000001</v>
      </c>
      <c r="E5328" s="26">
        <v>3.6999999999999998E-2</v>
      </c>
      <c r="F5328" s="26">
        <v>7.9000000000000008E-3</v>
      </c>
      <c r="I5328">
        <v>759</v>
      </c>
    </row>
    <row r="5329" spans="1:9" x14ac:dyDescent="0.35">
      <c r="A5329" t="s">
        <v>229</v>
      </c>
      <c r="B5329" t="s">
        <v>249</v>
      </c>
      <c r="C5329" s="26">
        <v>0.86580000000000001</v>
      </c>
      <c r="D5329" s="26">
        <v>9.5799999999999996E-2</v>
      </c>
      <c r="E5329" s="26">
        <v>2.7199999999999998E-2</v>
      </c>
      <c r="F5329" s="26">
        <v>1.12E-2</v>
      </c>
      <c r="I5329">
        <v>259</v>
      </c>
    </row>
    <row r="5330" spans="1:9" x14ac:dyDescent="0.35">
      <c r="A5330" t="s">
        <v>229</v>
      </c>
      <c r="B5330" t="s">
        <v>248</v>
      </c>
      <c r="C5330" s="26">
        <v>0.80510000000000004</v>
      </c>
      <c r="D5330" s="26">
        <v>9.8699999999999996E-2</v>
      </c>
      <c r="E5330" s="26">
        <v>6.7400000000000002E-2</v>
      </c>
      <c r="F5330" s="26">
        <v>2.4899999999999999E-2</v>
      </c>
      <c r="G5330" s="26">
        <v>2.9999999999999997E-4</v>
      </c>
      <c r="H5330" s="26">
        <v>3.7000000000000002E-3</v>
      </c>
      <c r="I5330">
        <v>636</v>
      </c>
    </row>
    <row r="5331" spans="1:9" x14ac:dyDescent="0.35">
      <c r="A5331" t="s">
        <v>230</v>
      </c>
      <c r="B5331" t="s">
        <v>249</v>
      </c>
      <c r="C5331" s="26">
        <v>0.91159999999999997</v>
      </c>
      <c r="D5331" s="26">
        <v>4.9500000000000002E-2</v>
      </c>
      <c r="E5331" s="26">
        <v>1.6799999999999999E-2</v>
      </c>
      <c r="F5331" s="26">
        <v>2.2100000000000002E-2</v>
      </c>
      <c r="I5331">
        <v>171</v>
      </c>
    </row>
    <row r="5332" spans="1:9" x14ac:dyDescent="0.35">
      <c r="A5332" t="s">
        <v>230</v>
      </c>
      <c r="B5332" t="s">
        <v>248</v>
      </c>
      <c r="C5332" s="26">
        <v>0.82140000000000002</v>
      </c>
      <c r="D5332" s="26">
        <v>0.1152</v>
      </c>
      <c r="E5332" s="26">
        <v>5.3600000000000002E-2</v>
      </c>
      <c r="F5332" s="26">
        <v>9.9000000000000008E-3</v>
      </c>
      <c r="I5332">
        <v>389</v>
      </c>
    </row>
    <row r="5333" spans="1:9" x14ac:dyDescent="0.35">
      <c r="A5333" t="s">
        <v>231</v>
      </c>
      <c r="B5333" t="s">
        <v>249</v>
      </c>
      <c r="C5333" s="26">
        <v>0.9143</v>
      </c>
      <c r="D5333" s="26">
        <v>5.7099999999999998E-2</v>
      </c>
      <c r="E5333" s="26">
        <v>2.86E-2</v>
      </c>
      <c r="I5333">
        <v>35</v>
      </c>
    </row>
    <row r="5334" spans="1:9" x14ac:dyDescent="0.35">
      <c r="A5334" t="s">
        <v>231</v>
      </c>
      <c r="B5334" t="s">
        <v>248</v>
      </c>
      <c r="C5334" s="26">
        <v>0.85270000000000001</v>
      </c>
      <c r="D5334" s="26">
        <v>8.5300000000000001E-2</v>
      </c>
      <c r="E5334" s="26">
        <v>3.8800000000000001E-2</v>
      </c>
      <c r="F5334" s="26">
        <v>1.55E-2</v>
      </c>
      <c r="G5334" s="26">
        <v>7.7999999999999996E-3</v>
      </c>
      <c r="I5334">
        <v>129</v>
      </c>
    </row>
    <row r="5335" spans="1:9" x14ac:dyDescent="0.35">
      <c r="A5335" t="s">
        <v>232</v>
      </c>
      <c r="B5335" t="s">
        <v>232</v>
      </c>
      <c r="C5335" s="26">
        <v>0.85119999999999996</v>
      </c>
      <c r="D5335" s="26">
        <v>8.7800000000000003E-2</v>
      </c>
      <c r="E5335" s="26">
        <v>4.2099999999999999E-2</v>
      </c>
      <c r="F5335" s="26">
        <v>1.55E-2</v>
      </c>
      <c r="G5335" s="26">
        <v>2.7000000000000001E-3</v>
      </c>
      <c r="H5335" s="26">
        <v>6.9999999999999999E-4</v>
      </c>
      <c r="I5335">
        <v>2813</v>
      </c>
    </row>
    <row r="5337" spans="1:9" x14ac:dyDescent="0.35">
      <c r="A5337" s="1" t="s">
        <v>740</v>
      </c>
    </row>
    <row r="5338" spans="1:9" x14ac:dyDescent="0.35">
      <c r="A5338" t="s">
        <v>219</v>
      </c>
      <c r="B5338" t="s">
        <v>305</v>
      </c>
      <c r="C5338" t="s">
        <v>681</v>
      </c>
      <c r="D5338" t="s">
        <v>682</v>
      </c>
      <c r="E5338" t="s">
        <v>683</v>
      </c>
      <c r="F5338" t="s">
        <v>684</v>
      </c>
      <c r="G5338" t="s">
        <v>281</v>
      </c>
      <c r="H5338" t="s">
        <v>286</v>
      </c>
      <c r="I5338" t="s">
        <v>226</v>
      </c>
    </row>
    <row r="5339" spans="1:9" x14ac:dyDescent="0.35">
      <c r="A5339" s="27" t="s">
        <v>227</v>
      </c>
      <c r="B5339" s="27" t="s">
        <v>263</v>
      </c>
      <c r="C5339" s="28">
        <v>0.33329999999999999</v>
      </c>
      <c r="D5339" s="28">
        <v>0.66669999999999996</v>
      </c>
      <c r="E5339" s="29"/>
      <c r="F5339" s="29"/>
      <c r="G5339" s="29"/>
      <c r="H5339" s="29"/>
      <c r="I5339" s="29" t="s">
        <v>315</v>
      </c>
    </row>
    <row r="5340" spans="1:9" x14ac:dyDescent="0.35">
      <c r="A5340" t="s">
        <v>227</v>
      </c>
      <c r="B5340" t="s">
        <v>261</v>
      </c>
      <c r="C5340" s="26">
        <v>0.87880000000000003</v>
      </c>
      <c r="D5340" s="26">
        <v>6.0600000000000001E-2</v>
      </c>
      <c r="E5340" s="26">
        <v>3.0300000000000001E-2</v>
      </c>
      <c r="G5340" s="26">
        <v>3.0300000000000001E-2</v>
      </c>
      <c r="I5340">
        <v>33</v>
      </c>
    </row>
    <row r="5341" spans="1:9" x14ac:dyDescent="0.35">
      <c r="A5341" s="27" t="s">
        <v>227</v>
      </c>
      <c r="B5341" s="27" t="s">
        <v>262</v>
      </c>
      <c r="C5341" s="28">
        <v>1</v>
      </c>
      <c r="D5341" s="29"/>
      <c r="E5341" s="29"/>
      <c r="F5341" s="29"/>
      <c r="G5341" s="29"/>
      <c r="H5341" s="29"/>
      <c r="I5341" s="29" t="s">
        <v>315</v>
      </c>
    </row>
    <row r="5342" spans="1:9" x14ac:dyDescent="0.35">
      <c r="A5342" t="s">
        <v>227</v>
      </c>
      <c r="B5342" t="s">
        <v>260</v>
      </c>
      <c r="C5342" s="26">
        <v>0.877</v>
      </c>
      <c r="D5342" s="26">
        <v>5.74E-2</v>
      </c>
      <c r="E5342" s="26">
        <v>3.2800000000000003E-2</v>
      </c>
      <c r="F5342" s="26">
        <v>3.2800000000000003E-2</v>
      </c>
      <c r="I5342">
        <v>122</v>
      </c>
    </row>
    <row r="5343" spans="1:9" x14ac:dyDescent="0.35">
      <c r="A5343" t="s">
        <v>228</v>
      </c>
      <c r="B5343" t="s">
        <v>261</v>
      </c>
      <c r="C5343" s="26">
        <v>0.79459999999999997</v>
      </c>
      <c r="D5343" s="26">
        <v>0.14779999999999999</v>
      </c>
      <c r="E5343" s="26">
        <v>5.1499999999999997E-2</v>
      </c>
      <c r="F5343" s="26">
        <v>6.1000000000000004E-3</v>
      </c>
      <c r="I5343">
        <v>192</v>
      </c>
    </row>
    <row r="5344" spans="1:9" x14ac:dyDescent="0.35">
      <c r="A5344" s="27" t="s">
        <v>228</v>
      </c>
      <c r="B5344" s="27" t="s">
        <v>263</v>
      </c>
      <c r="C5344" s="28">
        <v>0.96109999999999995</v>
      </c>
      <c r="D5344" s="28">
        <v>1.2999999999999999E-2</v>
      </c>
      <c r="E5344" s="28">
        <v>2.5899999999999999E-2</v>
      </c>
      <c r="F5344" s="29"/>
      <c r="G5344" s="29"/>
      <c r="H5344" s="29"/>
      <c r="I5344" s="29" t="s">
        <v>312</v>
      </c>
    </row>
    <row r="5345" spans="1:9" x14ac:dyDescent="0.35">
      <c r="A5345" s="27" t="s">
        <v>228</v>
      </c>
      <c r="B5345" s="27" t="s">
        <v>236</v>
      </c>
      <c r="C5345" s="28">
        <v>0.81210000000000004</v>
      </c>
      <c r="D5345" s="28">
        <v>0.18790000000000001</v>
      </c>
      <c r="E5345" s="29"/>
      <c r="F5345" s="29"/>
      <c r="G5345" s="29"/>
      <c r="H5345" s="29"/>
      <c r="I5345" s="29" t="s">
        <v>335</v>
      </c>
    </row>
    <row r="5346" spans="1:9" x14ac:dyDescent="0.35">
      <c r="A5346" t="s">
        <v>228</v>
      </c>
      <c r="B5346" t="s">
        <v>262</v>
      </c>
      <c r="C5346" s="26">
        <v>0.84279999999999999</v>
      </c>
      <c r="D5346" s="26">
        <v>0.1024</v>
      </c>
      <c r="E5346" s="26">
        <v>5.2699999999999997E-2</v>
      </c>
      <c r="F5346" s="26">
        <v>2.2000000000000001E-3</v>
      </c>
      <c r="I5346">
        <v>201</v>
      </c>
    </row>
    <row r="5347" spans="1:9" x14ac:dyDescent="0.35">
      <c r="A5347" t="s">
        <v>228</v>
      </c>
      <c r="B5347" t="s">
        <v>260</v>
      </c>
      <c r="C5347" s="26">
        <v>0.87390000000000001</v>
      </c>
      <c r="D5347" s="26">
        <v>8.2299999999999998E-2</v>
      </c>
      <c r="E5347" s="26">
        <v>3.5400000000000001E-2</v>
      </c>
      <c r="F5347" s="26">
        <v>8.3999999999999995E-3</v>
      </c>
      <c r="I5347">
        <v>609</v>
      </c>
    </row>
    <row r="5348" spans="1:9" x14ac:dyDescent="0.35">
      <c r="A5348" s="27" t="s">
        <v>229</v>
      </c>
      <c r="B5348" s="27" t="s">
        <v>263</v>
      </c>
      <c r="C5348" s="28">
        <v>0.44159999999999999</v>
      </c>
      <c r="D5348" s="28">
        <v>0.35099999999999998</v>
      </c>
      <c r="E5348" s="28">
        <v>0.19040000000000001</v>
      </c>
      <c r="F5348" s="28">
        <v>1.7100000000000001E-2</v>
      </c>
      <c r="G5348" s="29"/>
      <c r="H5348" s="29"/>
      <c r="I5348" s="29" t="s">
        <v>379</v>
      </c>
    </row>
    <row r="5349" spans="1:9" x14ac:dyDescent="0.35">
      <c r="A5349" t="s">
        <v>229</v>
      </c>
      <c r="B5349" t="s">
        <v>262</v>
      </c>
      <c r="C5349" s="26">
        <v>0.83679999999999999</v>
      </c>
      <c r="D5349" s="26">
        <v>0.1205</v>
      </c>
      <c r="E5349" s="26">
        <v>3.2000000000000001E-2</v>
      </c>
      <c r="F5349" s="26">
        <v>1.0699999999999999E-2</v>
      </c>
      <c r="I5349">
        <v>188</v>
      </c>
    </row>
    <row r="5350" spans="1:9" x14ac:dyDescent="0.35">
      <c r="A5350" t="s">
        <v>229</v>
      </c>
      <c r="B5350" t="s">
        <v>261</v>
      </c>
      <c r="C5350" s="26">
        <v>0.76439999999999997</v>
      </c>
      <c r="D5350" s="26">
        <v>0.1053</v>
      </c>
      <c r="E5350" s="26">
        <v>9.0999999999999998E-2</v>
      </c>
      <c r="F5350" s="26">
        <v>3.9300000000000002E-2</v>
      </c>
      <c r="I5350">
        <v>96</v>
      </c>
    </row>
    <row r="5351" spans="1:9" x14ac:dyDescent="0.35">
      <c r="A5351" s="27" t="s">
        <v>229</v>
      </c>
      <c r="B5351" s="27" t="s">
        <v>236</v>
      </c>
      <c r="C5351" s="28">
        <v>1</v>
      </c>
      <c r="D5351" s="29"/>
      <c r="E5351" s="29"/>
      <c r="F5351" s="29"/>
      <c r="G5351" s="29"/>
      <c r="H5351" s="29"/>
      <c r="I5351" s="29" t="s">
        <v>331</v>
      </c>
    </row>
    <row r="5352" spans="1:9" x14ac:dyDescent="0.35">
      <c r="A5352" t="s">
        <v>229</v>
      </c>
      <c r="B5352" t="s">
        <v>260</v>
      </c>
      <c r="C5352" s="26">
        <v>0.84870000000000001</v>
      </c>
      <c r="D5352" s="26">
        <v>7.5399999999999995E-2</v>
      </c>
      <c r="E5352" s="26">
        <v>5.0700000000000002E-2</v>
      </c>
      <c r="F5352" s="26">
        <v>2.0299999999999999E-2</v>
      </c>
      <c r="G5352" s="26">
        <v>2.9999999999999997E-4</v>
      </c>
      <c r="H5352" s="26">
        <v>4.4999999999999997E-3</v>
      </c>
      <c r="I5352">
        <v>596</v>
      </c>
    </row>
    <row r="5353" spans="1:9" x14ac:dyDescent="0.35">
      <c r="A5353" s="27" t="s">
        <v>230</v>
      </c>
      <c r="B5353" s="27" t="s">
        <v>236</v>
      </c>
      <c r="C5353" s="28">
        <v>0.27760000000000001</v>
      </c>
      <c r="D5353" s="29"/>
      <c r="E5353" s="28">
        <v>0.72240000000000004</v>
      </c>
      <c r="F5353" s="29"/>
      <c r="G5353" s="29"/>
      <c r="H5353" s="29"/>
      <c r="I5353" s="29" t="s">
        <v>337</v>
      </c>
    </row>
    <row r="5354" spans="1:9" x14ac:dyDescent="0.35">
      <c r="A5354" t="s">
        <v>230</v>
      </c>
      <c r="B5354" t="s">
        <v>262</v>
      </c>
      <c r="C5354" s="26">
        <v>0.85340000000000005</v>
      </c>
      <c r="D5354" s="26">
        <v>0.11310000000000001</v>
      </c>
      <c r="E5354" s="26">
        <v>3.1600000000000003E-2</v>
      </c>
      <c r="F5354" s="26">
        <v>1.8E-3</v>
      </c>
      <c r="I5354">
        <v>122</v>
      </c>
    </row>
    <row r="5355" spans="1:9" x14ac:dyDescent="0.35">
      <c r="A5355" t="s">
        <v>230</v>
      </c>
      <c r="B5355" t="s">
        <v>261</v>
      </c>
      <c r="C5355" s="26">
        <v>0.85670000000000002</v>
      </c>
      <c r="D5355" s="26">
        <v>9.4E-2</v>
      </c>
      <c r="E5355" s="26">
        <v>8.8999999999999999E-3</v>
      </c>
      <c r="F5355" s="26">
        <v>4.0399999999999998E-2</v>
      </c>
      <c r="I5355">
        <v>57</v>
      </c>
    </row>
    <row r="5356" spans="1:9" x14ac:dyDescent="0.35">
      <c r="A5356" s="27" t="s">
        <v>230</v>
      </c>
      <c r="B5356" s="27" t="s">
        <v>263</v>
      </c>
      <c r="C5356" s="28">
        <v>0.86050000000000004</v>
      </c>
      <c r="D5356" s="28">
        <v>0.13950000000000001</v>
      </c>
      <c r="E5356" s="29"/>
      <c r="F5356" s="29"/>
      <c r="G5356" s="29"/>
      <c r="H5356" s="29"/>
      <c r="I5356" s="29" t="s">
        <v>312</v>
      </c>
    </row>
    <row r="5357" spans="1:9" x14ac:dyDescent="0.35">
      <c r="A5357" t="s">
        <v>230</v>
      </c>
      <c r="B5357" t="s">
        <v>260</v>
      </c>
      <c r="C5357" s="26">
        <v>0.85640000000000005</v>
      </c>
      <c r="D5357" s="26">
        <v>8.8400000000000006E-2</v>
      </c>
      <c r="E5357" s="26">
        <v>4.3099999999999999E-2</v>
      </c>
      <c r="F5357" s="26">
        <v>1.21E-2</v>
      </c>
      <c r="I5357">
        <v>352</v>
      </c>
    </row>
    <row r="5358" spans="1:9" x14ac:dyDescent="0.35">
      <c r="A5358" s="27" t="s">
        <v>231</v>
      </c>
      <c r="B5358" s="27" t="s">
        <v>263</v>
      </c>
      <c r="C5358" s="28">
        <v>1</v>
      </c>
      <c r="D5358" s="29"/>
      <c r="E5358" s="29"/>
      <c r="F5358" s="29"/>
      <c r="G5358" s="29"/>
      <c r="H5358" s="29"/>
      <c r="I5358" s="29" t="s">
        <v>314</v>
      </c>
    </row>
    <row r="5359" spans="1:9" x14ac:dyDescent="0.35">
      <c r="A5359" t="s">
        <v>231</v>
      </c>
      <c r="B5359" t="s">
        <v>260</v>
      </c>
      <c r="C5359" s="26">
        <v>0.871</v>
      </c>
      <c r="D5359" s="26">
        <v>7.2599999999999998E-2</v>
      </c>
      <c r="E5359" s="26">
        <v>4.0300000000000002E-2</v>
      </c>
      <c r="F5359" s="26">
        <v>8.0999999999999996E-3</v>
      </c>
      <c r="G5359" s="26">
        <v>8.0999999999999996E-3</v>
      </c>
      <c r="I5359">
        <v>124</v>
      </c>
    </row>
    <row r="5360" spans="1:9" x14ac:dyDescent="0.35">
      <c r="A5360" s="27" t="s">
        <v>231</v>
      </c>
      <c r="B5360" s="27" t="s">
        <v>261</v>
      </c>
      <c r="C5360" s="28">
        <v>0.81479999999999997</v>
      </c>
      <c r="D5360" s="28">
        <v>0.14810000000000001</v>
      </c>
      <c r="E5360" s="28">
        <v>3.6999999999999998E-2</v>
      </c>
      <c r="F5360" s="29"/>
      <c r="G5360" s="29"/>
      <c r="H5360" s="29"/>
      <c r="I5360" s="29" t="s">
        <v>338</v>
      </c>
    </row>
    <row r="5361" spans="1:9" x14ac:dyDescent="0.35">
      <c r="A5361" s="27" t="s">
        <v>231</v>
      </c>
      <c r="B5361" s="27" t="s">
        <v>262</v>
      </c>
      <c r="C5361" s="28">
        <v>0.90910000000000002</v>
      </c>
      <c r="D5361" s="29"/>
      <c r="E5361" s="29"/>
      <c r="F5361" s="28">
        <v>9.0899999999999995E-2</v>
      </c>
      <c r="G5361" s="29"/>
      <c r="H5361" s="29"/>
      <c r="I5361" s="29" t="s">
        <v>352</v>
      </c>
    </row>
    <row r="5362" spans="1:9" x14ac:dyDescent="0.35">
      <c r="A5362" t="s">
        <v>232</v>
      </c>
      <c r="B5362" t="s">
        <v>232</v>
      </c>
      <c r="C5362" s="26">
        <v>0.85119999999999996</v>
      </c>
      <c r="D5362" s="26">
        <v>8.7800000000000003E-2</v>
      </c>
      <c r="E5362" s="26">
        <v>4.2099999999999999E-2</v>
      </c>
      <c r="F5362" s="26">
        <v>1.55E-2</v>
      </c>
      <c r="G5362" s="26">
        <v>2.7000000000000001E-3</v>
      </c>
      <c r="H5362" s="26">
        <v>6.9999999999999999E-4</v>
      </c>
      <c r="I5362">
        <v>2813</v>
      </c>
    </row>
    <row r="5364" spans="1:9" x14ac:dyDescent="0.35">
      <c r="A5364" s="1" t="s">
        <v>741</v>
      </c>
    </row>
    <row r="5365" spans="1:9" x14ac:dyDescent="0.35">
      <c r="A5365" t="s">
        <v>219</v>
      </c>
      <c r="B5365" t="s">
        <v>305</v>
      </c>
      <c r="C5365" t="s">
        <v>681</v>
      </c>
      <c r="D5365" t="s">
        <v>682</v>
      </c>
      <c r="E5365" t="s">
        <v>683</v>
      </c>
      <c r="F5365" t="s">
        <v>684</v>
      </c>
      <c r="G5365" t="s">
        <v>281</v>
      </c>
      <c r="H5365" t="s">
        <v>286</v>
      </c>
      <c r="I5365" t="s">
        <v>226</v>
      </c>
    </row>
    <row r="5366" spans="1:9" x14ac:dyDescent="0.35">
      <c r="A5366" t="s">
        <v>227</v>
      </c>
      <c r="B5366" t="s">
        <v>368</v>
      </c>
      <c r="C5366" s="26">
        <v>0.87880000000000003</v>
      </c>
      <c r="D5366" s="26">
        <v>6.0600000000000001E-2</v>
      </c>
      <c r="E5366" s="26">
        <v>3.0300000000000001E-2</v>
      </c>
      <c r="G5366" s="26">
        <v>3.0300000000000001E-2</v>
      </c>
      <c r="I5366">
        <v>33</v>
      </c>
    </row>
    <row r="5367" spans="1:9" x14ac:dyDescent="0.35">
      <c r="A5367" t="s">
        <v>227</v>
      </c>
      <c r="B5367" t="s">
        <v>369</v>
      </c>
      <c r="C5367" s="26">
        <v>0.86719999999999997</v>
      </c>
      <c r="D5367" s="26">
        <v>7.0300000000000001E-2</v>
      </c>
      <c r="E5367" s="26">
        <v>3.1199999999999999E-2</v>
      </c>
      <c r="F5367" s="26">
        <v>3.1199999999999999E-2</v>
      </c>
      <c r="I5367">
        <v>128</v>
      </c>
    </row>
    <row r="5368" spans="1:9" x14ac:dyDescent="0.35">
      <c r="A5368" t="s">
        <v>228</v>
      </c>
      <c r="B5368" t="s">
        <v>368</v>
      </c>
      <c r="C5368" s="26">
        <v>0.79459999999999997</v>
      </c>
      <c r="D5368" s="26">
        <v>0.14779999999999999</v>
      </c>
      <c r="E5368" s="26">
        <v>5.1499999999999997E-2</v>
      </c>
      <c r="F5368" s="26">
        <v>6.1000000000000004E-3</v>
      </c>
      <c r="I5368">
        <v>192</v>
      </c>
    </row>
    <row r="5369" spans="1:9" x14ac:dyDescent="0.35">
      <c r="A5369" t="s">
        <v>228</v>
      </c>
      <c r="B5369" t="s">
        <v>369</v>
      </c>
      <c r="C5369" s="26">
        <v>0.86899999999999999</v>
      </c>
      <c r="D5369" s="26">
        <v>8.5699999999999998E-2</v>
      </c>
      <c r="E5369" s="26">
        <v>3.85E-2</v>
      </c>
      <c r="F5369" s="26">
        <v>6.7999999999999996E-3</v>
      </c>
      <c r="I5369">
        <v>841</v>
      </c>
    </row>
    <row r="5370" spans="1:9" x14ac:dyDescent="0.35">
      <c r="A5370" t="s">
        <v>229</v>
      </c>
      <c r="B5370" t="s">
        <v>368</v>
      </c>
      <c r="C5370" s="26">
        <v>0.76439999999999997</v>
      </c>
      <c r="D5370" s="26">
        <v>0.1053</v>
      </c>
      <c r="E5370" s="26">
        <v>9.0999999999999998E-2</v>
      </c>
      <c r="F5370" s="26">
        <v>3.9300000000000002E-2</v>
      </c>
      <c r="I5370">
        <v>96</v>
      </c>
    </row>
    <row r="5371" spans="1:9" x14ac:dyDescent="0.35">
      <c r="A5371" t="s">
        <v>229</v>
      </c>
      <c r="B5371" t="s">
        <v>369</v>
      </c>
      <c r="C5371" s="26">
        <v>0.83560000000000001</v>
      </c>
      <c r="D5371" s="26">
        <v>9.64E-2</v>
      </c>
      <c r="E5371" s="26">
        <v>4.7699999999999999E-2</v>
      </c>
      <c r="F5371" s="26">
        <v>1.7100000000000001E-2</v>
      </c>
      <c r="G5371" s="26">
        <v>2.0000000000000001E-4</v>
      </c>
      <c r="H5371" s="26">
        <v>2.8999999999999998E-3</v>
      </c>
      <c r="I5371">
        <v>799</v>
      </c>
    </row>
    <row r="5372" spans="1:9" x14ac:dyDescent="0.35">
      <c r="A5372" t="s">
        <v>230</v>
      </c>
      <c r="B5372" t="s">
        <v>368</v>
      </c>
      <c r="C5372" s="26">
        <v>0.85670000000000002</v>
      </c>
      <c r="D5372" s="26">
        <v>9.4E-2</v>
      </c>
      <c r="E5372" s="26">
        <v>8.8999999999999999E-3</v>
      </c>
      <c r="F5372" s="26">
        <v>4.0399999999999998E-2</v>
      </c>
      <c r="I5372">
        <v>57</v>
      </c>
    </row>
    <row r="5373" spans="1:9" x14ac:dyDescent="0.35">
      <c r="A5373" t="s">
        <v>230</v>
      </c>
      <c r="B5373" t="s">
        <v>369</v>
      </c>
      <c r="C5373" s="26">
        <v>0.85099999999999998</v>
      </c>
      <c r="D5373" s="26">
        <v>9.2899999999999996E-2</v>
      </c>
      <c r="E5373" s="26">
        <v>4.6100000000000002E-2</v>
      </c>
      <c r="F5373" s="26">
        <v>0.01</v>
      </c>
      <c r="I5373">
        <v>503</v>
      </c>
    </row>
    <row r="5374" spans="1:9" x14ac:dyDescent="0.35">
      <c r="A5374" s="27" t="s">
        <v>231</v>
      </c>
      <c r="B5374" s="27" t="s">
        <v>368</v>
      </c>
      <c r="C5374" s="28">
        <v>0.81479999999999997</v>
      </c>
      <c r="D5374" s="28">
        <v>0.14810000000000001</v>
      </c>
      <c r="E5374" s="28">
        <v>3.6999999999999998E-2</v>
      </c>
      <c r="F5374" s="29"/>
      <c r="G5374" s="29"/>
      <c r="H5374" s="29"/>
      <c r="I5374" s="29" t="s">
        <v>338</v>
      </c>
    </row>
    <row r="5375" spans="1:9" x14ac:dyDescent="0.35">
      <c r="A5375" t="s">
        <v>231</v>
      </c>
      <c r="B5375" t="s">
        <v>369</v>
      </c>
      <c r="C5375" s="26">
        <v>0.87590000000000001</v>
      </c>
      <c r="D5375" s="26">
        <v>6.5699999999999995E-2</v>
      </c>
      <c r="E5375" s="26">
        <v>3.6499999999999998E-2</v>
      </c>
      <c r="F5375" s="26">
        <v>1.46E-2</v>
      </c>
      <c r="G5375" s="26">
        <v>7.3000000000000001E-3</v>
      </c>
      <c r="I5375">
        <v>137</v>
      </c>
    </row>
    <row r="5376" spans="1:9" x14ac:dyDescent="0.35">
      <c r="A5376" t="s">
        <v>232</v>
      </c>
      <c r="B5376" t="s">
        <v>232</v>
      </c>
      <c r="C5376" s="26">
        <v>0.85119999999999996</v>
      </c>
      <c r="D5376" s="26">
        <v>8.7800000000000003E-2</v>
      </c>
      <c r="E5376" s="26">
        <v>4.2099999999999999E-2</v>
      </c>
      <c r="F5376" s="26">
        <v>1.55E-2</v>
      </c>
      <c r="G5376" s="26">
        <v>2.7000000000000001E-3</v>
      </c>
      <c r="H5376" s="26">
        <v>6.9999999999999999E-4</v>
      </c>
      <c r="I5376">
        <v>2813</v>
      </c>
    </row>
    <row r="5378" spans="1:9" x14ac:dyDescent="0.35">
      <c r="A5378" s="1" t="s">
        <v>742</v>
      </c>
    </row>
    <row r="5379" spans="1:9" x14ac:dyDescent="0.35">
      <c r="A5379" t="s">
        <v>219</v>
      </c>
      <c r="B5379" t="s">
        <v>305</v>
      </c>
      <c r="C5379" t="s">
        <v>681</v>
      </c>
      <c r="D5379" t="s">
        <v>682</v>
      </c>
      <c r="E5379" t="s">
        <v>683</v>
      </c>
      <c r="F5379" t="s">
        <v>684</v>
      </c>
      <c r="G5379" t="s">
        <v>281</v>
      </c>
      <c r="H5379" t="s">
        <v>286</v>
      </c>
      <c r="I5379" t="s">
        <v>226</v>
      </c>
    </row>
    <row r="5380" spans="1:9" x14ac:dyDescent="0.35">
      <c r="A5380" t="s">
        <v>227</v>
      </c>
      <c r="B5380" t="s">
        <v>371</v>
      </c>
      <c r="C5380" s="26">
        <v>0.86960000000000004</v>
      </c>
      <c r="D5380" s="26">
        <v>6.83E-2</v>
      </c>
      <c r="E5380" s="26">
        <v>3.1099999999999999E-2</v>
      </c>
      <c r="F5380" s="26">
        <v>2.4799999999999999E-2</v>
      </c>
      <c r="G5380" s="26">
        <v>6.1999999999999998E-3</v>
      </c>
      <c r="I5380">
        <v>161</v>
      </c>
    </row>
    <row r="5381" spans="1:9" x14ac:dyDescent="0.35">
      <c r="A5381" t="s">
        <v>228</v>
      </c>
      <c r="B5381" t="s">
        <v>371</v>
      </c>
      <c r="C5381" s="26">
        <v>0.84530000000000005</v>
      </c>
      <c r="D5381" s="26">
        <v>0.1038</v>
      </c>
      <c r="E5381" s="26">
        <v>4.87E-2</v>
      </c>
      <c r="F5381" s="26">
        <v>2.2000000000000001E-3</v>
      </c>
      <c r="I5381">
        <v>292</v>
      </c>
    </row>
    <row r="5382" spans="1:9" x14ac:dyDescent="0.35">
      <c r="A5382" t="s">
        <v>228</v>
      </c>
      <c r="B5382" t="s">
        <v>372</v>
      </c>
      <c r="C5382" s="26">
        <v>0.76929999999999998</v>
      </c>
      <c r="D5382" s="26">
        <v>0.17069999999999999</v>
      </c>
      <c r="E5382" s="26">
        <v>4.7399999999999998E-2</v>
      </c>
      <c r="F5382" s="26">
        <v>1.26E-2</v>
      </c>
      <c r="I5382">
        <v>218</v>
      </c>
    </row>
    <row r="5383" spans="1:9" x14ac:dyDescent="0.35">
      <c r="A5383" t="s">
        <v>228</v>
      </c>
      <c r="B5383" t="s">
        <v>373</v>
      </c>
      <c r="C5383" s="26">
        <v>0.88529999999999998</v>
      </c>
      <c r="D5383" s="26">
        <v>7.3899999999999993E-2</v>
      </c>
      <c r="E5383" s="26">
        <v>2.93E-2</v>
      </c>
      <c r="F5383" s="26">
        <v>1.14E-2</v>
      </c>
      <c r="I5383">
        <v>523</v>
      </c>
    </row>
    <row r="5384" spans="1:9" x14ac:dyDescent="0.35">
      <c r="A5384" t="s">
        <v>229</v>
      </c>
      <c r="B5384" t="s">
        <v>371</v>
      </c>
      <c r="C5384" s="26">
        <v>0.82269999999999999</v>
      </c>
      <c r="D5384" s="26">
        <v>9.8699999999999996E-2</v>
      </c>
      <c r="E5384" s="26">
        <v>5.4600000000000003E-2</v>
      </c>
      <c r="F5384" s="26">
        <v>2.12E-2</v>
      </c>
      <c r="G5384" s="26">
        <v>2.0000000000000001E-4</v>
      </c>
      <c r="H5384" s="26">
        <v>2.7000000000000001E-3</v>
      </c>
      <c r="I5384">
        <v>584</v>
      </c>
    </row>
    <row r="5385" spans="1:9" x14ac:dyDescent="0.35">
      <c r="A5385" t="s">
        <v>229</v>
      </c>
      <c r="B5385" t="s">
        <v>372</v>
      </c>
      <c r="C5385" s="26">
        <v>0.8306</v>
      </c>
      <c r="D5385" s="26">
        <v>0.10349999999999999</v>
      </c>
      <c r="E5385" s="26">
        <v>4.9000000000000002E-2</v>
      </c>
      <c r="F5385" s="26">
        <v>1.7000000000000001E-2</v>
      </c>
      <c r="I5385">
        <v>221</v>
      </c>
    </row>
    <row r="5386" spans="1:9" x14ac:dyDescent="0.35">
      <c r="A5386" t="s">
        <v>229</v>
      </c>
      <c r="B5386" t="s">
        <v>373</v>
      </c>
      <c r="C5386" s="26">
        <v>0.89749999999999996</v>
      </c>
      <c r="D5386" s="26">
        <v>5.3199999999999997E-2</v>
      </c>
      <c r="E5386" s="26">
        <v>4.9299999999999997E-2</v>
      </c>
      <c r="I5386">
        <v>90</v>
      </c>
    </row>
    <row r="5387" spans="1:9" x14ac:dyDescent="0.35">
      <c r="A5387" t="s">
        <v>230</v>
      </c>
      <c r="B5387" t="s">
        <v>371</v>
      </c>
      <c r="C5387" s="26">
        <v>0.84560000000000002</v>
      </c>
      <c r="D5387" s="26">
        <v>9.8199999999999996E-2</v>
      </c>
      <c r="E5387" s="26">
        <v>4.0800000000000003E-2</v>
      </c>
      <c r="F5387" s="26">
        <v>1.54E-2</v>
      </c>
      <c r="I5387">
        <v>262</v>
      </c>
    </row>
    <row r="5388" spans="1:9" x14ac:dyDescent="0.35">
      <c r="A5388" t="s">
        <v>230</v>
      </c>
      <c r="B5388" t="s">
        <v>372</v>
      </c>
      <c r="C5388" s="26">
        <v>0.87809999999999999</v>
      </c>
      <c r="D5388" s="26">
        <v>8.2799999999999999E-2</v>
      </c>
      <c r="E5388" s="26">
        <v>2.9600000000000001E-2</v>
      </c>
      <c r="F5388" s="26">
        <v>9.4999999999999998E-3</v>
      </c>
      <c r="I5388">
        <v>146</v>
      </c>
    </row>
    <row r="5389" spans="1:9" x14ac:dyDescent="0.35">
      <c r="A5389" t="s">
        <v>230</v>
      </c>
      <c r="B5389" t="s">
        <v>373</v>
      </c>
      <c r="C5389" s="26">
        <v>0.87960000000000005</v>
      </c>
      <c r="D5389" s="26">
        <v>6.4799999999999996E-2</v>
      </c>
      <c r="E5389" s="26">
        <v>4.87E-2</v>
      </c>
      <c r="F5389" s="26">
        <v>7.0000000000000001E-3</v>
      </c>
      <c r="I5389">
        <v>152</v>
      </c>
    </row>
    <row r="5390" spans="1:9" x14ac:dyDescent="0.35">
      <c r="A5390" t="s">
        <v>231</v>
      </c>
      <c r="B5390" t="s">
        <v>371</v>
      </c>
      <c r="C5390" s="26">
        <v>0.8659</v>
      </c>
      <c r="D5390" s="26">
        <v>7.9299999999999995E-2</v>
      </c>
      <c r="E5390" s="26">
        <v>3.6600000000000001E-2</v>
      </c>
      <c r="F5390" s="26">
        <v>1.2200000000000001E-2</v>
      </c>
      <c r="G5390" s="26">
        <v>6.1000000000000004E-3</v>
      </c>
      <c r="I5390">
        <v>164</v>
      </c>
    </row>
    <row r="5391" spans="1:9" x14ac:dyDescent="0.35">
      <c r="A5391" t="s">
        <v>232</v>
      </c>
      <c r="B5391" t="s">
        <v>232</v>
      </c>
      <c r="C5391" s="26">
        <v>0.85119999999999996</v>
      </c>
      <c r="D5391" s="26">
        <v>8.7800000000000003E-2</v>
      </c>
      <c r="E5391" s="26">
        <v>4.2099999999999999E-2</v>
      </c>
      <c r="F5391" s="26">
        <v>1.55E-2</v>
      </c>
      <c r="G5391" s="26">
        <v>2.7000000000000001E-3</v>
      </c>
      <c r="H5391" s="26">
        <v>6.9999999999999999E-4</v>
      </c>
      <c r="I5391">
        <v>2813</v>
      </c>
    </row>
    <row r="5393" spans="1:9" x14ac:dyDescent="0.35">
      <c r="A5393" s="1" t="s">
        <v>743</v>
      </c>
    </row>
    <row r="5394" spans="1:9" x14ac:dyDescent="0.35">
      <c r="A5394" t="s">
        <v>219</v>
      </c>
      <c r="B5394" t="s">
        <v>305</v>
      </c>
      <c r="C5394" t="s">
        <v>681</v>
      </c>
      <c r="D5394" t="s">
        <v>682</v>
      </c>
      <c r="E5394" t="s">
        <v>683</v>
      </c>
      <c r="F5394" t="s">
        <v>684</v>
      </c>
      <c r="G5394" t="s">
        <v>281</v>
      </c>
      <c r="H5394" t="s">
        <v>286</v>
      </c>
      <c r="I5394" t="s">
        <v>226</v>
      </c>
    </row>
    <row r="5395" spans="1:9" x14ac:dyDescent="0.35">
      <c r="A5395" t="s">
        <v>227</v>
      </c>
      <c r="B5395" t="s">
        <v>255</v>
      </c>
      <c r="C5395" s="26">
        <v>0.83760000000000001</v>
      </c>
      <c r="D5395" s="26">
        <v>8.5500000000000007E-2</v>
      </c>
      <c r="E5395" s="26">
        <v>4.2700000000000002E-2</v>
      </c>
      <c r="F5395" s="26">
        <v>2.5600000000000001E-2</v>
      </c>
      <c r="G5395" s="26">
        <v>8.5000000000000006E-3</v>
      </c>
      <c r="I5395">
        <v>117</v>
      </c>
    </row>
    <row r="5396" spans="1:9" x14ac:dyDescent="0.35">
      <c r="A5396" s="27" t="s">
        <v>227</v>
      </c>
      <c r="B5396" s="27" t="s">
        <v>257</v>
      </c>
      <c r="C5396" s="28">
        <v>1</v>
      </c>
      <c r="D5396" s="29"/>
      <c r="E5396" s="29"/>
      <c r="F5396" s="29"/>
      <c r="G5396" s="29"/>
      <c r="H5396" s="29"/>
      <c r="I5396" s="29" t="s">
        <v>334</v>
      </c>
    </row>
    <row r="5397" spans="1:9" x14ac:dyDescent="0.35">
      <c r="A5397" t="s">
        <v>227</v>
      </c>
      <c r="B5397" t="s">
        <v>256</v>
      </c>
      <c r="C5397" s="26">
        <v>0.94289999999999996</v>
      </c>
      <c r="D5397" s="26">
        <v>2.86E-2</v>
      </c>
      <c r="F5397" s="26">
        <v>2.86E-2</v>
      </c>
      <c r="I5397">
        <v>35</v>
      </c>
    </row>
    <row r="5398" spans="1:9" x14ac:dyDescent="0.35">
      <c r="A5398" t="s">
        <v>228</v>
      </c>
      <c r="B5398" t="s">
        <v>257</v>
      </c>
      <c r="C5398" s="26">
        <v>0.99529999999999996</v>
      </c>
      <c r="D5398" s="26">
        <v>4.7000000000000002E-3</v>
      </c>
      <c r="I5398">
        <v>49</v>
      </c>
    </row>
    <row r="5399" spans="1:9" x14ac:dyDescent="0.35">
      <c r="A5399" s="27" t="s">
        <v>228</v>
      </c>
      <c r="B5399" s="27" t="s">
        <v>258</v>
      </c>
      <c r="C5399" s="28">
        <v>0.90190000000000003</v>
      </c>
      <c r="D5399" s="28">
        <v>9.8100000000000007E-2</v>
      </c>
      <c r="E5399" s="29"/>
      <c r="F5399" s="29"/>
      <c r="G5399" s="29"/>
      <c r="H5399" s="29"/>
      <c r="I5399" s="29" t="s">
        <v>337</v>
      </c>
    </row>
    <row r="5400" spans="1:9" x14ac:dyDescent="0.35">
      <c r="A5400" t="s">
        <v>228</v>
      </c>
      <c r="B5400" t="s">
        <v>256</v>
      </c>
      <c r="C5400" s="26">
        <v>0.8579</v>
      </c>
      <c r="D5400" s="26">
        <v>7.4800000000000005E-2</v>
      </c>
      <c r="E5400" s="26">
        <v>6.2399999999999997E-2</v>
      </c>
      <c r="F5400" s="26">
        <v>4.8999999999999998E-3</v>
      </c>
      <c r="I5400">
        <v>221</v>
      </c>
    </row>
    <row r="5401" spans="1:9" x14ac:dyDescent="0.35">
      <c r="A5401" t="s">
        <v>228</v>
      </c>
      <c r="B5401" t="s">
        <v>255</v>
      </c>
      <c r="C5401" s="26">
        <v>0.84250000000000003</v>
      </c>
      <c r="D5401" s="26">
        <v>0.11260000000000001</v>
      </c>
      <c r="E5401" s="26">
        <v>3.6999999999999998E-2</v>
      </c>
      <c r="F5401" s="26">
        <v>7.9000000000000008E-3</v>
      </c>
      <c r="I5401">
        <v>759</v>
      </c>
    </row>
    <row r="5402" spans="1:9" x14ac:dyDescent="0.35">
      <c r="A5402" t="s">
        <v>229</v>
      </c>
      <c r="B5402" t="s">
        <v>256</v>
      </c>
      <c r="C5402" s="26">
        <v>0.86099999999999999</v>
      </c>
      <c r="D5402" s="26">
        <v>9.2999999999999999E-2</v>
      </c>
      <c r="E5402" s="26">
        <v>3.2599999999999997E-2</v>
      </c>
      <c r="F5402" s="26">
        <v>1.34E-2</v>
      </c>
      <c r="I5402">
        <v>207</v>
      </c>
    </row>
    <row r="5403" spans="1:9" x14ac:dyDescent="0.35">
      <c r="A5403" t="s">
        <v>229</v>
      </c>
      <c r="B5403" t="s">
        <v>255</v>
      </c>
      <c r="C5403" s="26">
        <v>0.80510000000000004</v>
      </c>
      <c r="D5403" s="26">
        <v>9.8699999999999996E-2</v>
      </c>
      <c r="E5403" s="26">
        <v>6.7400000000000002E-2</v>
      </c>
      <c r="F5403" s="26">
        <v>2.4899999999999999E-2</v>
      </c>
      <c r="G5403" s="26">
        <v>2.9999999999999997E-4</v>
      </c>
      <c r="H5403" s="26">
        <v>3.7000000000000002E-3</v>
      </c>
      <c r="I5403">
        <v>636</v>
      </c>
    </row>
    <row r="5404" spans="1:9" x14ac:dyDescent="0.35">
      <c r="A5404" t="s">
        <v>229</v>
      </c>
      <c r="B5404" t="s">
        <v>257</v>
      </c>
      <c r="C5404" s="26">
        <v>0.8891</v>
      </c>
      <c r="D5404" s="26">
        <v>0.1109</v>
      </c>
      <c r="I5404">
        <v>50</v>
      </c>
    </row>
    <row r="5405" spans="1:9" x14ac:dyDescent="0.35">
      <c r="A5405" s="27" t="s">
        <v>229</v>
      </c>
      <c r="B5405" s="27" t="s">
        <v>258</v>
      </c>
      <c r="C5405" s="28">
        <v>1</v>
      </c>
      <c r="D5405" s="29"/>
      <c r="E5405" s="29"/>
      <c r="F5405" s="29"/>
      <c r="G5405" s="29"/>
      <c r="H5405" s="29"/>
      <c r="I5405" s="29" t="s">
        <v>314</v>
      </c>
    </row>
    <row r="5406" spans="1:9" x14ac:dyDescent="0.35">
      <c r="A5406" t="s">
        <v>230</v>
      </c>
      <c r="B5406" t="s">
        <v>256</v>
      </c>
      <c r="C5406" s="26">
        <v>0.89219999999999999</v>
      </c>
      <c r="D5406" s="26">
        <v>6.08E-2</v>
      </c>
      <c r="E5406" s="26">
        <v>1.83E-2</v>
      </c>
      <c r="F5406" s="26">
        <v>2.87E-2</v>
      </c>
      <c r="I5406">
        <v>130</v>
      </c>
    </row>
    <row r="5407" spans="1:9" x14ac:dyDescent="0.35">
      <c r="A5407" t="s">
        <v>230</v>
      </c>
      <c r="B5407" t="s">
        <v>255</v>
      </c>
      <c r="C5407" s="26">
        <v>0.82140000000000002</v>
      </c>
      <c r="D5407" s="26">
        <v>0.1152</v>
      </c>
      <c r="E5407" s="26">
        <v>5.3600000000000002E-2</v>
      </c>
      <c r="F5407" s="26">
        <v>9.9000000000000008E-3</v>
      </c>
      <c r="I5407">
        <v>389</v>
      </c>
    </row>
    <row r="5408" spans="1:9" x14ac:dyDescent="0.35">
      <c r="A5408" t="s">
        <v>230</v>
      </c>
      <c r="B5408" t="s">
        <v>257</v>
      </c>
      <c r="C5408" s="26">
        <v>0.97460000000000002</v>
      </c>
      <c r="D5408" s="26">
        <v>1.2500000000000001E-2</v>
      </c>
      <c r="E5408" s="26">
        <v>1.2800000000000001E-2</v>
      </c>
      <c r="I5408">
        <v>38</v>
      </c>
    </row>
    <row r="5409" spans="1:9" x14ac:dyDescent="0.35">
      <c r="A5409" s="27" t="s">
        <v>230</v>
      </c>
      <c r="B5409" s="27" t="s">
        <v>258</v>
      </c>
      <c r="C5409" s="28">
        <v>1</v>
      </c>
      <c r="D5409" s="29"/>
      <c r="E5409" s="29"/>
      <c r="F5409" s="29"/>
      <c r="G5409" s="29"/>
      <c r="H5409" s="29"/>
      <c r="I5409" s="29" t="s">
        <v>315</v>
      </c>
    </row>
    <row r="5410" spans="1:9" x14ac:dyDescent="0.35">
      <c r="A5410" s="27" t="s">
        <v>231</v>
      </c>
      <c r="B5410" s="27" t="s">
        <v>257</v>
      </c>
      <c r="C5410" s="28">
        <v>1</v>
      </c>
      <c r="D5410" s="29"/>
      <c r="E5410" s="29"/>
      <c r="F5410" s="29"/>
      <c r="G5410" s="29"/>
      <c r="H5410" s="29"/>
      <c r="I5410" s="29" t="s">
        <v>339</v>
      </c>
    </row>
    <row r="5411" spans="1:9" x14ac:dyDescent="0.35">
      <c r="A5411" t="s">
        <v>231</v>
      </c>
      <c r="B5411" t="s">
        <v>255</v>
      </c>
      <c r="C5411" s="26">
        <v>0.85270000000000001</v>
      </c>
      <c r="D5411" s="26">
        <v>8.5300000000000001E-2</v>
      </c>
      <c r="E5411" s="26">
        <v>3.8800000000000001E-2</v>
      </c>
      <c r="F5411" s="26">
        <v>1.55E-2</v>
      </c>
      <c r="G5411" s="26">
        <v>7.7999999999999996E-3</v>
      </c>
      <c r="I5411">
        <v>129</v>
      </c>
    </row>
    <row r="5412" spans="1:9" x14ac:dyDescent="0.35">
      <c r="A5412" s="27" t="s">
        <v>231</v>
      </c>
      <c r="B5412" s="27" t="s">
        <v>256</v>
      </c>
      <c r="C5412" s="28">
        <v>0.89290000000000003</v>
      </c>
      <c r="D5412" s="28">
        <v>7.1400000000000005E-2</v>
      </c>
      <c r="E5412" s="28">
        <v>3.5700000000000003E-2</v>
      </c>
      <c r="F5412" s="29"/>
      <c r="G5412" s="29"/>
      <c r="H5412" s="29"/>
      <c r="I5412" s="29" t="s">
        <v>336</v>
      </c>
    </row>
    <row r="5413" spans="1:9" x14ac:dyDescent="0.35">
      <c r="A5413" t="s">
        <v>232</v>
      </c>
      <c r="B5413" t="s">
        <v>232</v>
      </c>
      <c r="C5413" s="26">
        <v>0.85119999999999996</v>
      </c>
      <c r="D5413" s="26">
        <v>8.7800000000000003E-2</v>
      </c>
      <c r="E5413" s="26">
        <v>4.2099999999999999E-2</v>
      </c>
      <c r="F5413" s="26">
        <v>1.55E-2</v>
      </c>
      <c r="G5413" s="26">
        <v>2.7000000000000001E-3</v>
      </c>
      <c r="H5413" s="26">
        <v>6.9999999999999999E-4</v>
      </c>
      <c r="I5413">
        <v>2813</v>
      </c>
    </row>
    <row r="5415" spans="1:9" x14ac:dyDescent="0.35">
      <c r="A5415" s="1" t="s">
        <v>744</v>
      </c>
    </row>
    <row r="5416" spans="1:9" x14ac:dyDescent="0.35">
      <c r="A5416" t="s">
        <v>219</v>
      </c>
      <c r="B5416" t="s">
        <v>681</v>
      </c>
      <c r="C5416" t="s">
        <v>682</v>
      </c>
      <c r="D5416" t="s">
        <v>683</v>
      </c>
      <c r="E5416" t="s">
        <v>684</v>
      </c>
      <c r="F5416" t="s">
        <v>281</v>
      </c>
      <c r="G5416" t="s">
        <v>226</v>
      </c>
    </row>
    <row r="5417" spans="1:9" x14ac:dyDescent="0.35">
      <c r="A5417" t="s">
        <v>227</v>
      </c>
      <c r="B5417" s="26">
        <v>0.86960000000000004</v>
      </c>
      <c r="C5417" s="26">
        <v>8.6999999999999994E-2</v>
      </c>
      <c r="D5417" s="26">
        <v>3.1099999999999999E-2</v>
      </c>
      <c r="E5417" s="26">
        <v>1.24E-2</v>
      </c>
      <c r="G5417">
        <v>161</v>
      </c>
    </row>
    <row r="5418" spans="1:9" x14ac:dyDescent="0.35">
      <c r="A5418" t="s">
        <v>228</v>
      </c>
      <c r="B5418" s="26">
        <v>0.87519999999999998</v>
      </c>
      <c r="C5418" s="26">
        <v>0.09</v>
      </c>
      <c r="D5418" s="26">
        <v>2.8000000000000001E-2</v>
      </c>
      <c r="E5418" s="26">
        <v>2.5000000000000001E-3</v>
      </c>
      <c r="F5418" s="26">
        <v>4.4000000000000003E-3</v>
      </c>
      <c r="G5418">
        <v>1033</v>
      </c>
    </row>
    <row r="5419" spans="1:9" x14ac:dyDescent="0.35">
      <c r="A5419" t="s">
        <v>229</v>
      </c>
      <c r="B5419" s="26">
        <v>0.84019999999999995</v>
      </c>
      <c r="C5419" s="26">
        <v>0.11650000000000001</v>
      </c>
      <c r="D5419" s="26">
        <v>3.8399999999999997E-2</v>
      </c>
      <c r="E5419" s="26">
        <v>3.7000000000000002E-3</v>
      </c>
      <c r="F5419" s="26">
        <v>1.1999999999999999E-3</v>
      </c>
      <c r="G5419">
        <v>895</v>
      </c>
    </row>
    <row r="5420" spans="1:9" x14ac:dyDescent="0.35">
      <c r="A5420" t="s">
        <v>230</v>
      </c>
      <c r="B5420" s="26">
        <v>0.84689999999999999</v>
      </c>
      <c r="C5420" s="26">
        <v>0.1229</v>
      </c>
      <c r="D5420" s="26">
        <v>1.55E-2</v>
      </c>
      <c r="E5420" s="26">
        <v>1.44E-2</v>
      </c>
      <c r="F5420" s="26">
        <v>2.9999999999999997E-4</v>
      </c>
      <c r="G5420">
        <v>560</v>
      </c>
    </row>
    <row r="5421" spans="1:9" x14ac:dyDescent="0.35">
      <c r="A5421" t="s">
        <v>231</v>
      </c>
      <c r="B5421" s="26">
        <v>0.90849999999999997</v>
      </c>
      <c r="C5421" s="26">
        <v>6.0999999999999999E-2</v>
      </c>
      <c r="D5421" s="26">
        <v>1.83E-2</v>
      </c>
      <c r="E5421" s="26">
        <v>1.2200000000000001E-2</v>
      </c>
      <c r="G5421">
        <v>164</v>
      </c>
    </row>
    <row r="5422" spans="1:9" x14ac:dyDescent="0.35">
      <c r="A5422" t="s">
        <v>232</v>
      </c>
      <c r="B5422" s="26">
        <v>0.87080000000000002</v>
      </c>
      <c r="C5422" s="26">
        <v>9.2299999999999993E-2</v>
      </c>
      <c r="D5422" s="26">
        <v>2.76E-2</v>
      </c>
      <c r="E5422" s="26">
        <v>8.0999999999999996E-3</v>
      </c>
      <c r="F5422" s="26">
        <v>1.1999999999999999E-3</v>
      </c>
      <c r="G5422">
        <v>2813</v>
      </c>
    </row>
    <row r="5424" spans="1:9" x14ac:dyDescent="0.35">
      <c r="A5424" s="1" t="s">
        <v>745</v>
      </c>
    </row>
    <row r="5425" spans="1:8" x14ac:dyDescent="0.35">
      <c r="A5425" t="s">
        <v>219</v>
      </c>
      <c r="B5425" t="s">
        <v>305</v>
      </c>
      <c r="C5425" t="s">
        <v>681</v>
      </c>
      <c r="D5425" t="s">
        <v>682</v>
      </c>
      <c r="E5425" t="s">
        <v>683</v>
      </c>
      <c r="F5425" t="s">
        <v>684</v>
      </c>
      <c r="G5425" t="s">
        <v>281</v>
      </c>
      <c r="H5425" t="s">
        <v>226</v>
      </c>
    </row>
    <row r="5426" spans="1:8" x14ac:dyDescent="0.35">
      <c r="A5426" t="s">
        <v>227</v>
      </c>
      <c r="B5426" t="s">
        <v>242</v>
      </c>
      <c r="C5426" s="26">
        <v>0.79410000000000003</v>
      </c>
      <c r="D5426" s="26">
        <v>0.10290000000000001</v>
      </c>
      <c r="E5426" s="26">
        <v>7.3499999999999996E-2</v>
      </c>
      <c r="F5426" s="26">
        <v>2.9399999999999999E-2</v>
      </c>
      <c r="H5426">
        <v>68</v>
      </c>
    </row>
    <row r="5427" spans="1:8" x14ac:dyDescent="0.35">
      <c r="A5427" t="s">
        <v>227</v>
      </c>
      <c r="B5427" t="s">
        <v>241</v>
      </c>
      <c r="C5427" s="26">
        <v>0.92469999999999997</v>
      </c>
      <c r="D5427" s="26">
        <v>7.5300000000000006E-2</v>
      </c>
      <c r="H5427">
        <v>93</v>
      </c>
    </row>
    <row r="5428" spans="1:8" x14ac:dyDescent="0.35">
      <c r="A5428" t="s">
        <v>228</v>
      </c>
      <c r="B5428" t="s">
        <v>242</v>
      </c>
      <c r="C5428" s="26">
        <v>0.8236</v>
      </c>
      <c r="D5428" s="26">
        <v>9.0499999999999997E-2</v>
      </c>
      <c r="E5428" s="26">
        <v>7.6899999999999996E-2</v>
      </c>
      <c r="F5428" s="26">
        <v>6.7999999999999996E-3</v>
      </c>
      <c r="G5428" s="26">
        <v>2.2000000000000001E-3</v>
      </c>
      <c r="H5428">
        <v>402</v>
      </c>
    </row>
    <row r="5429" spans="1:8" x14ac:dyDescent="0.35">
      <c r="A5429" t="s">
        <v>228</v>
      </c>
      <c r="B5429" t="s">
        <v>241</v>
      </c>
      <c r="C5429" s="26">
        <v>0.90469999999999995</v>
      </c>
      <c r="D5429" s="26">
        <v>8.9700000000000002E-2</v>
      </c>
      <c r="G5429" s="26">
        <v>5.5999999999999999E-3</v>
      </c>
      <c r="H5429">
        <v>631</v>
      </c>
    </row>
    <row r="5430" spans="1:8" x14ac:dyDescent="0.35">
      <c r="A5430" t="s">
        <v>229</v>
      </c>
      <c r="B5430" t="s">
        <v>242</v>
      </c>
      <c r="C5430" s="26">
        <v>0.7077</v>
      </c>
      <c r="D5430" s="26">
        <v>0.18190000000000001</v>
      </c>
      <c r="E5430" s="26">
        <v>9.8500000000000004E-2</v>
      </c>
      <c r="F5430" s="26">
        <v>9.4000000000000004E-3</v>
      </c>
      <c r="G5430" s="26">
        <v>2.5999999999999999E-3</v>
      </c>
      <c r="H5430">
        <v>292</v>
      </c>
    </row>
    <row r="5431" spans="1:8" x14ac:dyDescent="0.35">
      <c r="A5431" t="s">
        <v>229</v>
      </c>
      <c r="B5431" t="s">
        <v>241</v>
      </c>
      <c r="C5431" s="26">
        <v>0.92500000000000004</v>
      </c>
      <c r="D5431" s="26">
        <v>7.4700000000000003E-2</v>
      </c>
      <c r="G5431" s="26">
        <v>2.9999999999999997E-4</v>
      </c>
      <c r="H5431">
        <v>603</v>
      </c>
    </row>
    <row r="5432" spans="1:8" x14ac:dyDescent="0.35">
      <c r="A5432" t="s">
        <v>230</v>
      </c>
      <c r="B5432" t="s">
        <v>242</v>
      </c>
      <c r="C5432" s="26">
        <v>0.69640000000000002</v>
      </c>
      <c r="D5432" s="26">
        <v>0.2145</v>
      </c>
      <c r="E5432" s="26">
        <v>4.58E-2</v>
      </c>
      <c r="F5432" s="26">
        <v>4.24E-2</v>
      </c>
      <c r="G5432" s="26">
        <v>8.0000000000000004E-4</v>
      </c>
      <c r="H5432">
        <v>189</v>
      </c>
    </row>
    <row r="5433" spans="1:8" x14ac:dyDescent="0.35">
      <c r="A5433" t="s">
        <v>230</v>
      </c>
      <c r="B5433" t="s">
        <v>241</v>
      </c>
      <c r="C5433" s="26">
        <v>0.92379999999999995</v>
      </c>
      <c r="D5433" s="26">
        <v>7.6200000000000004E-2</v>
      </c>
      <c r="H5433">
        <v>371</v>
      </c>
    </row>
    <row r="5434" spans="1:8" x14ac:dyDescent="0.35">
      <c r="A5434" t="s">
        <v>231</v>
      </c>
      <c r="B5434" t="s">
        <v>242</v>
      </c>
      <c r="C5434" s="26">
        <v>0.81479999999999997</v>
      </c>
      <c r="D5434" s="26">
        <v>9.2600000000000002E-2</v>
      </c>
      <c r="E5434" s="26">
        <v>5.5599999999999997E-2</v>
      </c>
      <c r="F5434" s="26">
        <v>3.6999999999999998E-2</v>
      </c>
      <c r="H5434">
        <v>54</v>
      </c>
    </row>
    <row r="5435" spans="1:8" x14ac:dyDescent="0.35">
      <c r="A5435" t="s">
        <v>231</v>
      </c>
      <c r="B5435" t="s">
        <v>241</v>
      </c>
      <c r="C5435" s="26">
        <v>0.95450000000000002</v>
      </c>
      <c r="D5435" s="26">
        <v>4.5499999999999999E-2</v>
      </c>
      <c r="H5435">
        <v>110</v>
      </c>
    </row>
    <row r="5436" spans="1:8" x14ac:dyDescent="0.35">
      <c r="A5436" t="s">
        <v>232</v>
      </c>
      <c r="B5436" t="s">
        <v>232</v>
      </c>
      <c r="C5436" s="26">
        <v>0.87080000000000002</v>
      </c>
      <c r="D5436" s="26">
        <v>9.2299999999999993E-2</v>
      </c>
      <c r="E5436" s="26">
        <v>2.76E-2</v>
      </c>
      <c r="F5436" s="26">
        <v>8.0999999999999996E-3</v>
      </c>
      <c r="G5436" s="26">
        <v>1.1999999999999999E-3</v>
      </c>
      <c r="H5436">
        <v>2813</v>
      </c>
    </row>
    <row r="5438" spans="1:8" x14ac:dyDescent="0.35">
      <c r="A5438" s="1" t="s">
        <v>746</v>
      </c>
    </row>
    <row r="5439" spans="1:8" x14ac:dyDescent="0.35">
      <c r="A5439" t="s">
        <v>219</v>
      </c>
      <c r="B5439" t="s">
        <v>305</v>
      </c>
      <c r="C5439" t="s">
        <v>681</v>
      </c>
      <c r="D5439" t="s">
        <v>682</v>
      </c>
      <c r="E5439" t="s">
        <v>683</v>
      </c>
      <c r="F5439" t="s">
        <v>684</v>
      </c>
      <c r="G5439" t="s">
        <v>281</v>
      </c>
      <c r="H5439" t="s">
        <v>226</v>
      </c>
    </row>
    <row r="5440" spans="1:8" x14ac:dyDescent="0.35">
      <c r="A5440" t="s">
        <v>227</v>
      </c>
      <c r="B5440" t="s">
        <v>239</v>
      </c>
      <c r="C5440" s="26">
        <v>0.871</v>
      </c>
      <c r="D5440" s="26">
        <v>8.0600000000000005E-2</v>
      </c>
      <c r="E5440" s="26">
        <v>3.2300000000000002E-2</v>
      </c>
      <c r="F5440" s="26">
        <v>1.61E-2</v>
      </c>
      <c r="H5440">
        <v>62</v>
      </c>
    </row>
    <row r="5441" spans="1:8" x14ac:dyDescent="0.35">
      <c r="A5441" t="s">
        <v>227</v>
      </c>
      <c r="B5441" t="s">
        <v>238</v>
      </c>
      <c r="C5441" s="26">
        <v>0.86870000000000003</v>
      </c>
      <c r="D5441" s="26">
        <v>9.0899999999999995E-2</v>
      </c>
      <c r="E5441" s="26">
        <v>3.0300000000000001E-2</v>
      </c>
      <c r="F5441" s="26">
        <v>1.01E-2</v>
      </c>
      <c r="H5441">
        <v>99</v>
      </c>
    </row>
    <row r="5442" spans="1:8" x14ac:dyDescent="0.35">
      <c r="A5442" t="s">
        <v>228</v>
      </c>
      <c r="B5442" t="s">
        <v>239</v>
      </c>
      <c r="C5442" s="26">
        <v>0.87570000000000003</v>
      </c>
      <c r="D5442" s="26">
        <v>6.59E-2</v>
      </c>
      <c r="E5442" s="26">
        <v>5.5199999999999999E-2</v>
      </c>
      <c r="F5442" s="26">
        <v>2E-3</v>
      </c>
      <c r="G5442" s="26">
        <v>1.1999999999999999E-3</v>
      </c>
      <c r="H5442">
        <v>330</v>
      </c>
    </row>
    <row r="5443" spans="1:8" x14ac:dyDescent="0.35">
      <c r="A5443" t="s">
        <v>228</v>
      </c>
      <c r="B5443" t="s">
        <v>238</v>
      </c>
      <c r="C5443" s="26">
        <v>0.87509999999999999</v>
      </c>
      <c r="D5443" s="26">
        <v>9.6199999999999994E-2</v>
      </c>
      <c r="E5443" s="26">
        <v>2.0899999999999998E-2</v>
      </c>
      <c r="F5443" s="26">
        <v>2.5999999999999999E-3</v>
      </c>
      <c r="G5443" s="26">
        <v>5.1999999999999998E-3</v>
      </c>
      <c r="H5443">
        <v>703</v>
      </c>
    </row>
    <row r="5444" spans="1:8" x14ac:dyDescent="0.35">
      <c r="A5444" t="s">
        <v>229</v>
      </c>
      <c r="B5444" t="s">
        <v>239</v>
      </c>
      <c r="C5444" s="26">
        <v>0.80200000000000005</v>
      </c>
      <c r="D5444" s="26">
        <v>0.14030000000000001</v>
      </c>
      <c r="E5444" s="26">
        <v>5.7000000000000002E-2</v>
      </c>
      <c r="F5444" s="26">
        <v>6.9999999999999999E-4</v>
      </c>
      <c r="H5444">
        <v>332</v>
      </c>
    </row>
    <row r="5445" spans="1:8" x14ac:dyDescent="0.35">
      <c r="A5445" t="s">
        <v>229</v>
      </c>
      <c r="B5445" t="s">
        <v>238</v>
      </c>
      <c r="C5445" s="26">
        <v>0.85319999999999996</v>
      </c>
      <c r="D5445" s="26">
        <v>0.1084</v>
      </c>
      <c r="E5445" s="26">
        <v>3.2099999999999997E-2</v>
      </c>
      <c r="F5445" s="26">
        <v>4.7000000000000002E-3</v>
      </c>
      <c r="G5445" s="26">
        <v>1.6000000000000001E-3</v>
      </c>
      <c r="H5445">
        <v>563</v>
      </c>
    </row>
    <row r="5446" spans="1:8" x14ac:dyDescent="0.35">
      <c r="A5446" t="s">
        <v>230</v>
      </c>
      <c r="B5446" t="s">
        <v>239</v>
      </c>
      <c r="C5446" s="26">
        <v>0.86009999999999998</v>
      </c>
      <c r="D5446" s="26">
        <v>0.11600000000000001</v>
      </c>
      <c r="E5446" s="26">
        <v>2.3900000000000001E-2</v>
      </c>
      <c r="H5446">
        <v>211</v>
      </c>
    </row>
    <row r="5447" spans="1:8" x14ac:dyDescent="0.35">
      <c r="A5447" t="s">
        <v>230</v>
      </c>
      <c r="B5447" t="s">
        <v>238</v>
      </c>
      <c r="C5447" s="26">
        <v>0.84130000000000005</v>
      </c>
      <c r="D5447" s="26">
        <v>0.12590000000000001</v>
      </c>
      <c r="E5447" s="26">
        <v>1.1900000000000001E-2</v>
      </c>
      <c r="F5447" s="26">
        <v>2.0500000000000001E-2</v>
      </c>
      <c r="G5447" s="26">
        <v>4.0000000000000002E-4</v>
      </c>
      <c r="H5447">
        <v>349</v>
      </c>
    </row>
    <row r="5448" spans="1:8" x14ac:dyDescent="0.35">
      <c r="A5448" t="s">
        <v>231</v>
      </c>
      <c r="B5448" t="s">
        <v>239</v>
      </c>
      <c r="C5448" s="26">
        <v>0.8246</v>
      </c>
      <c r="D5448" s="26">
        <v>0.12280000000000001</v>
      </c>
      <c r="E5448" s="26">
        <v>1.7500000000000002E-2</v>
      </c>
      <c r="F5448" s="26">
        <v>3.5099999999999999E-2</v>
      </c>
      <c r="H5448">
        <v>57</v>
      </c>
    </row>
    <row r="5449" spans="1:8" x14ac:dyDescent="0.35">
      <c r="A5449" t="s">
        <v>231</v>
      </c>
      <c r="B5449" t="s">
        <v>238</v>
      </c>
      <c r="C5449" s="26">
        <v>0.95330000000000004</v>
      </c>
      <c r="D5449" s="26">
        <v>2.8000000000000001E-2</v>
      </c>
      <c r="E5449" s="26">
        <v>1.8700000000000001E-2</v>
      </c>
      <c r="H5449">
        <v>107</v>
      </c>
    </row>
    <row r="5450" spans="1:8" x14ac:dyDescent="0.35">
      <c r="A5450" t="s">
        <v>232</v>
      </c>
      <c r="B5450" t="s">
        <v>232</v>
      </c>
      <c r="C5450" s="26">
        <v>0.87080000000000002</v>
      </c>
      <c r="D5450" s="26">
        <v>9.2299999999999993E-2</v>
      </c>
      <c r="E5450" s="26">
        <v>2.76E-2</v>
      </c>
      <c r="F5450" s="26">
        <v>8.0999999999999996E-3</v>
      </c>
      <c r="G5450" s="26">
        <v>1.1999999999999999E-3</v>
      </c>
      <c r="H5450">
        <v>2813</v>
      </c>
    </row>
    <row r="5452" spans="1:8" x14ac:dyDescent="0.35">
      <c r="A5452" s="1" t="s">
        <v>747</v>
      </c>
    </row>
    <row r="5453" spans="1:8" x14ac:dyDescent="0.35">
      <c r="A5453" t="s">
        <v>219</v>
      </c>
      <c r="B5453" t="s">
        <v>305</v>
      </c>
      <c r="C5453" t="s">
        <v>681</v>
      </c>
      <c r="D5453" t="s">
        <v>682</v>
      </c>
      <c r="E5453" t="s">
        <v>683</v>
      </c>
      <c r="F5453" t="s">
        <v>684</v>
      </c>
      <c r="G5453" t="s">
        <v>281</v>
      </c>
      <c r="H5453" t="s">
        <v>226</v>
      </c>
    </row>
    <row r="5454" spans="1:8" x14ac:dyDescent="0.35">
      <c r="A5454" t="s">
        <v>227</v>
      </c>
      <c r="B5454" t="s">
        <v>244</v>
      </c>
      <c r="C5454" s="26">
        <v>0.88539999999999996</v>
      </c>
      <c r="D5454" s="26">
        <v>7.2900000000000006E-2</v>
      </c>
      <c r="E5454" s="26">
        <v>3.1199999999999999E-2</v>
      </c>
      <c r="F5454" s="26">
        <v>1.04E-2</v>
      </c>
      <c r="H5454">
        <v>96</v>
      </c>
    </row>
    <row r="5455" spans="1:8" x14ac:dyDescent="0.35">
      <c r="A5455" t="s">
        <v>227</v>
      </c>
      <c r="B5455" t="s">
        <v>245</v>
      </c>
      <c r="C5455" s="26">
        <v>0.8679</v>
      </c>
      <c r="D5455" s="26">
        <v>9.4299999999999995E-2</v>
      </c>
      <c r="E5455" s="26">
        <v>3.7699999999999997E-2</v>
      </c>
      <c r="H5455">
        <v>53</v>
      </c>
    </row>
    <row r="5456" spans="1:8" x14ac:dyDescent="0.35">
      <c r="A5456" s="27" t="s">
        <v>227</v>
      </c>
      <c r="B5456" s="27" t="s">
        <v>246</v>
      </c>
      <c r="C5456" s="28">
        <v>0.75</v>
      </c>
      <c r="D5456" s="28">
        <v>0.16669999999999999</v>
      </c>
      <c r="E5456" s="29"/>
      <c r="F5456" s="28">
        <v>8.3299999999999999E-2</v>
      </c>
      <c r="G5456" s="29"/>
      <c r="H5456" s="29" t="s">
        <v>342</v>
      </c>
    </row>
    <row r="5457" spans="1:8" x14ac:dyDescent="0.35">
      <c r="A5457" t="s">
        <v>228</v>
      </c>
      <c r="B5457" t="s">
        <v>244</v>
      </c>
      <c r="C5457" s="26">
        <v>0.86970000000000003</v>
      </c>
      <c r="D5457" s="26">
        <v>9.4E-2</v>
      </c>
      <c r="E5457" s="26">
        <v>2.7699999999999999E-2</v>
      </c>
      <c r="F5457" s="26">
        <v>2.3E-3</v>
      </c>
      <c r="G5457" s="26">
        <v>6.3E-3</v>
      </c>
      <c r="H5457">
        <v>638</v>
      </c>
    </row>
    <row r="5458" spans="1:8" x14ac:dyDescent="0.35">
      <c r="A5458" t="s">
        <v>228</v>
      </c>
      <c r="B5458" t="s">
        <v>245</v>
      </c>
      <c r="C5458" s="26">
        <v>0.90159999999999996</v>
      </c>
      <c r="D5458" s="26">
        <v>8.6699999999999999E-2</v>
      </c>
      <c r="E5458" s="26">
        <v>7.4000000000000003E-3</v>
      </c>
      <c r="F5458" s="26">
        <v>3.5000000000000001E-3</v>
      </c>
      <c r="G5458" s="26">
        <v>8.9999999999999998E-4</v>
      </c>
      <c r="H5458">
        <v>328</v>
      </c>
    </row>
    <row r="5459" spans="1:8" x14ac:dyDescent="0.35">
      <c r="A5459" t="s">
        <v>228</v>
      </c>
      <c r="B5459" t="s">
        <v>246</v>
      </c>
      <c r="C5459" s="26">
        <v>0.82099999999999995</v>
      </c>
      <c r="D5459" s="26">
        <v>6.4699999999999994E-2</v>
      </c>
      <c r="E5459" s="26">
        <v>0.1143</v>
      </c>
      <c r="H5459">
        <v>67</v>
      </c>
    </row>
    <row r="5460" spans="1:8" x14ac:dyDescent="0.35">
      <c r="A5460" t="s">
        <v>229</v>
      </c>
      <c r="B5460" t="s">
        <v>244</v>
      </c>
      <c r="C5460" s="26">
        <v>0.8337</v>
      </c>
      <c r="D5460" s="26">
        <v>0.12620000000000001</v>
      </c>
      <c r="E5460" s="26">
        <v>3.4299999999999997E-2</v>
      </c>
      <c r="F5460" s="26">
        <v>4.3E-3</v>
      </c>
      <c r="G5460" s="26">
        <v>1.4E-3</v>
      </c>
      <c r="H5460">
        <v>557</v>
      </c>
    </row>
    <row r="5461" spans="1:8" x14ac:dyDescent="0.35">
      <c r="A5461" t="s">
        <v>229</v>
      </c>
      <c r="B5461" t="s">
        <v>245</v>
      </c>
      <c r="C5461" s="26">
        <v>0.88100000000000001</v>
      </c>
      <c r="D5461" s="26">
        <v>9.1499999999999998E-2</v>
      </c>
      <c r="E5461" s="26">
        <v>2.4199999999999999E-2</v>
      </c>
      <c r="F5461" s="26">
        <v>2.5999999999999999E-3</v>
      </c>
      <c r="G5461" s="26">
        <v>6.9999999999999999E-4</v>
      </c>
      <c r="H5461">
        <v>293</v>
      </c>
    </row>
    <row r="5462" spans="1:8" x14ac:dyDescent="0.35">
      <c r="A5462" t="s">
        <v>229</v>
      </c>
      <c r="B5462" t="s">
        <v>246</v>
      </c>
      <c r="C5462" s="26">
        <v>0.7298</v>
      </c>
      <c r="D5462" s="26">
        <v>0.1103</v>
      </c>
      <c r="E5462" s="26">
        <v>0.15989999999999999</v>
      </c>
      <c r="H5462">
        <v>45</v>
      </c>
    </row>
    <row r="5463" spans="1:8" x14ac:dyDescent="0.35">
      <c r="A5463" t="s">
        <v>230</v>
      </c>
      <c r="B5463" t="s">
        <v>244</v>
      </c>
      <c r="C5463" s="26">
        <v>0.85470000000000002</v>
      </c>
      <c r="D5463" s="26">
        <v>0.1164</v>
      </c>
      <c r="E5463" s="26">
        <v>1.9800000000000002E-2</v>
      </c>
      <c r="F5463" s="26">
        <v>9.1000000000000004E-3</v>
      </c>
      <c r="H5463">
        <v>370</v>
      </c>
    </row>
    <row r="5464" spans="1:8" x14ac:dyDescent="0.35">
      <c r="A5464" t="s">
        <v>230</v>
      </c>
      <c r="B5464" t="s">
        <v>245</v>
      </c>
      <c r="C5464" s="26">
        <v>0.8458</v>
      </c>
      <c r="D5464" s="26">
        <v>0.13930000000000001</v>
      </c>
      <c r="E5464" s="26">
        <v>6.8999999999999999E-3</v>
      </c>
      <c r="F5464" s="26">
        <v>6.8999999999999999E-3</v>
      </c>
      <c r="G5464" s="26">
        <v>1.1000000000000001E-3</v>
      </c>
      <c r="H5464">
        <v>161</v>
      </c>
    </row>
    <row r="5465" spans="1:8" x14ac:dyDescent="0.35">
      <c r="A5465" s="27" t="s">
        <v>230</v>
      </c>
      <c r="B5465" s="27" t="s">
        <v>246</v>
      </c>
      <c r="C5465" s="28">
        <v>0.7419</v>
      </c>
      <c r="D5465" s="28">
        <v>0.129</v>
      </c>
      <c r="E5465" s="29"/>
      <c r="F5465" s="28">
        <v>0.129</v>
      </c>
      <c r="G5465" s="29"/>
      <c r="H5465" s="29" t="s">
        <v>329</v>
      </c>
    </row>
    <row r="5466" spans="1:8" x14ac:dyDescent="0.35">
      <c r="A5466" t="s">
        <v>231</v>
      </c>
      <c r="B5466" t="s">
        <v>244</v>
      </c>
      <c r="C5466" s="26">
        <v>0.90529999999999999</v>
      </c>
      <c r="D5466" s="26">
        <v>7.3700000000000002E-2</v>
      </c>
      <c r="E5466" s="26">
        <v>2.1100000000000001E-2</v>
      </c>
      <c r="H5466">
        <v>95</v>
      </c>
    </row>
    <row r="5467" spans="1:8" x14ac:dyDescent="0.35">
      <c r="A5467" t="s">
        <v>231</v>
      </c>
      <c r="B5467" t="s">
        <v>245</v>
      </c>
      <c r="C5467" s="26">
        <v>0.94640000000000002</v>
      </c>
      <c r="D5467" s="26">
        <v>3.5700000000000003E-2</v>
      </c>
      <c r="E5467" s="26">
        <v>1.7899999999999999E-2</v>
      </c>
      <c r="H5467">
        <v>56</v>
      </c>
    </row>
    <row r="5468" spans="1:8" x14ac:dyDescent="0.35">
      <c r="A5468" s="27" t="s">
        <v>231</v>
      </c>
      <c r="B5468" s="27" t="s">
        <v>246</v>
      </c>
      <c r="C5468" s="28">
        <v>0.76919999999999999</v>
      </c>
      <c r="D5468" s="28">
        <v>7.6899999999999996E-2</v>
      </c>
      <c r="E5468" s="29"/>
      <c r="F5468" s="28">
        <v>0.15379999999999999</v>
      </c>
      <c r="G5468" s="29"/>
      <c r="H5468" s="29" t="s">
        <v>341</v>
      </c>
    </row>
    <row r="5469" spans="1:8" x14ac:dyDescent="0.35">
      <c r="A5469" t="s">
        <v>232</v>
      </c>
      <c r="B5469" t="s">
        <v>232</v>
      </c>
      <c r="C5469" s="26">
        <v>0.87080000000000002</v>
      </c>
      <c r="D5469" s="26">
        <v>9.2299999999999993E-2</v>
      </c>
      <c r="E5469" s="26">
        <v>2.76E-2</v>
      </c>
      <c r="F5469" s="26">
        <v>8.0999999999999996E-3</v>
      </c>
      <c r="G5469" s="26">
        <v>1.1999999999999999E-3</v>
      </c>
      <c r="H5469">
        <v>2813</v>
      </c>
    </row>
    <row r="5471" spans="1:8" x14ac:dyDescent="0.35">
      <c r="A5471" s="1" t="s">
        <v>748</v>
      </c>
    </row>
    <row r="5472" spans="1:8" x14ac:dyDescent="0.35">
      <c r="A5472" t="s">
        <v>219</v>
      </c>
      <c r="B5472" t="s">
        <v>305</v>
      </c>
      <c r="C5472" t="s">
        <v>681</v>
      </c>
      <c r="D5472" t="s">
        <v>682</v>
      </c>
      <c r="E5472" t="s">
        <v>683</v>
      </c>
      <c r="F5472" t="s">
        <v>684</v>
      </c>
      <c r="G5472" t="s">
        <v>281</v>
      </c>
      <c r="H5472" t="s">
        <v>226</v>
      </c>
    </row>
    <row r="5473" spans="1:8" x14ac:dyDescent="0.35">
      <c r="A5473" t="s">
        <v>227</v>
      </c>
      <c r="B5473" t="s">
        <v>360</v>
      </c>
      <c r="C5473" s="26">
        <v>0.87180000000000002</v>
      </c>
      <c r="D5473" s="26">
        <v>0.1026</v>
      </c>
      <c r="F5473" s="26">
        <v>2.5600000000000001E-2</v>
      </c>
      <c r="H5473">
        <v>39</v>
      </c>
    </row>
    <row r="5474" spans="1:8" x14ac:dyDescent="0.35">
      <c r="A5474" t="s">
        <v>227</v>
      </c>
      <c r="B5474" t="s">
        <v>361</v>
      </c>
      <c r="C5474" s="26">
        <v>0.8125</v>
      </c>
      <c r="D5474" s="26">
        <v>9.3799999999999994E-2</v>
      </c>
      <c r="E5474" s="26">
        <v>9.3799999999999994E-2</v>
      </c>
      <c r="H5474">
        <v>32</v>
      </c>
    </row>
    <row r="5475" spans="1:8" x14ac:dyDescent="0.35">
      <c r="A5475" t="s">
        <v>227</v>
      </c>
      <c r="B5475" t="s">
        <v>362</v>
      </c>
      <c r="C5475" s="26">
        <v>0.8649</v>
      </c>
      <c r="D5475" s="26">
        <v>8.1100000000000005E-2</v>
      </c>
      <c r="E5475" s="26">
        <v>2.7E-2</v>
      </c>
      <c r="F5475" s="26">
        <v>2.7E-2</v>
      </c>
      <c r="H5475">
        <v>37</v>
      </c>
    </row>
    <row r="5476" spans="1:8" x14ac:dyDescent="0.35">
      <c r="A5476" t="s">
        <v>227</v>
      </c>
      <c r="B5476" t="s">
        <v>363</v>
      </c>
      <c r="C5476" s="26">
        <v>0.88890000000000002</v>
      </c>
      <c r="D5476" s="26">
        <v>8.8900000000000007E-2</v>
      </c>
      <c r="E5476" s="26">
        <v>2.2200000000000001E-2</v>
      </c>
      <c r="H5476">
        <v>45</v>
      </c>
    </row>
    <row r="5477" spans="1:8" x14ac:dyDescent="0.35">
      <c r="A5477" t="s">
        <v>228</v>
      </c>
      <c r="B5477" t="s">
        <v>360</v>
      </c>
      <c r="C5477" s="26">
        <v>0.86480000000000001</v>
      </c>
      <c r="D5477" s="26">
        <v>8.5199999999999998E-2</v>
      </c>
      <c r="E5477" s="26">
        <v>4.48E-2</v>
      </c>
      <c r="F5477" s="26">
        <v>3.8999999999999998E-3</v>
      </c>
      <c r="G5477" s="26">
        <v>1.1999999999999999E-3</v>
      </c>
      <c r="H5477">
        <v>258</v>
      </c>
    </row>
    <row r="5478" spans="1:8" x14ac:dyDescent="0.35">
      <c r="A5478" t="s">
        <v>228</v>
      </c>
      <c r="B5478" t="s">
        <v>361</v>
      </c>
      <c r="C5478" s="26">
        <v>0.88280000000000003</v>
      </c>
      <c r="D5478" s="26">
        <v>9.8100000000000007E-2</v>
      </c>
      <c r="E5478" s="26">
        <v>1.5800000000000002E-2</v>
      </c>
      <c r="F5478" s="26">
        <v>2.3E-3</v>
      </c>
      <c r="G5478" s="26">
        <v>1E-3</v>
      </c>
      <c r="H5478">
        <v>194</v>
      </c>
    </row>
    <row r="5479" spans="1:8" x14ac:dyDescent="0.35">
      <c r="A5479" t="s">
        <v>228</v>
      </c>
      <c r="B5479" t="s">
        <v>363</v>
      </c>
      <c r="C5479" s="26">
        <v>0.877</v>
      </c>
      <c r="D5479" s="26">
        <v>7.5999999999999998E-2</v>
      </c>
      <c r="E5479" s="26">
        <v>4.7E-2</v>
      </c>
      <c r="H5479">
        <v>212</v>
      </c>
    </row>
    <row r="5480" spans="1:8" x14ac:dyDescent="0.35">
      <c r="A5480" t="s">
        <v>228</v>
      </c>
      <c r="B5480" t="s">
        <v>362</v>
      </c>
      <c r="C5480" s="26">
        <v>0.88900000000000001</v>
      </c>
      <c r="D5480" s="26">
        <v>7.3999999999999996E-2</v>
      </c>
      <c r="E5480" s="26">
        <v>1.7600000000000001E-2</v>
      </c>
      <c r="F5480" s="26">
        <v>5.0000000000000001E-3</v>
      </c>
      <c r="G5480" s="26">
        <v>1.43E-2</v>
      </c>
      <c r="H5480">
        <v>236</v>
      </c>
    </row>
    <row r="5481" spans="1:8" x14ac:dyDescent="0.35">
      <c r="A5481" t="s">
        <v>229</v>
      </c>
      <c r="B5481" t="s">
        <v>363</v>
      </c>
      <c r="C5481" s="26">
        <v>0.78190000000000004</v>
      </c>
      <c r="D5481" s="26">
        <v>0.12889999999999999</v>
      </c>
      <c r="E5481" s="26">
        <v>8.9200000000000002E-2</v>
      </c>
      <c r="H5481">
        <v>191</v>
      </c>
    </row>
    <row r="5482" spans="1:8" x14ac:dyDescent="0.35">
      <c r="A5482" t="s">
        <v>229</v>
      </c>
      <c r="B5482" t="s">
        <v>360</v>
      </c>
      <c r="C5482" s="26">
        <v>0.85340000000000005</v>
      </c>
      <c r="D5482" s="26">
        <v>8.9300000000000004E-2</v>
      </c>
      <c r="E5482" s="26">
        <v>5.5100000000000003E-2</v>
      </c>
      <c r="F5482" s="26">
        <v>1.1000000000000001E-3</v>
      </c>
      <c r="G5482" s="26">
        <v>1.1000000000000001E-3</v>
      </c>
      <c r="H5482">
        <v>164</v>
      </c>
    </row>
    <row r="5483" spans="1:8" x14ac:dyDescent="0.35">
      <c r="A5483" t="s">
        <v>229</v>
      </c>
      <c r="B5483" t="s">
        <v>361</v>
      </c>
      <c r="C5483" s="26">
        <v>0.83250000000000002</v>
      </c>
      <c r="D5483" s="26">
        <v>0.14249999999999999</v>
      </c>
      <c r="E5483" s="26">
        <v>2.3199999999999998E-2</v>
      </c>
      <c r="F5483" s="26">
        <v>1.6999999999999999E-3</v>
      </c>
      <c r="H5483">
        <v>243</v>
      </c>
    </row>
    <row r="5484" spans="1:8" x14ac:dyDescent="0.35">
      <c r="A5484" t="s">
        <v>229</v>
      </c>
      <c r="B5484" t="s">
        <v>362</v>
      </c>
      <c r="C5484" s="26">
        <v>0.85640000000000005</v>
      </c>
      <c r="D5484" s="26">
        <v>0.1111</v>
      </c>
      <c r="E5484" s="26">
        <v>1.29E-2</v>
      </c>
      <c r="F5484" s="26">
        <v>1.7500000000000002E-2</v>
      </c>
      <c r="G5484" s="26">
        <v>2E-3</v>
      </c>
      <c r="H5484">
        <v>171</v>
      </c>
    </row>
    <row r="5485" spans="1:8" x14ac:dyDescent="0.35">
      <c r="A5485" t="s">
        <v>230</v>
      </c>
      <c r="B5485" t="s">
        <v>360</v>
      </c>
      <c r="C5485" s="26">
        <v>0.77029999999999998</v>
      </c>
      <c r="D5485" s="26">
        <v>0.20569999999999999</v>
      </c>
      <c r="E5485" s="26">
        <v>1.9199999999999998E-2</v>
      </c>
      <c r="F5485" s="26">
        <v>4.7000000000000002E-3</v>
      </c>
      <c r="H5485">
        <v>120</v>
      </c>
    </row>
    <row r="5486" spans="1:8" x14ac:dyDescent="0.35">
      <c r="A5486" t="s">
        <v>230</v>
      </c>
      <c r="B5486" t="s">
        <v>363</v>
      </c>
      <c r="C5486" s="26">
        <v>0.78369999999999995</v>
      </c>
      <c r="D5486" s="26">
        <v>0.17169999999999999</v>
      </c>
      <c r="E5486" s="26">
        <v>1.6500000000000001E-2</v>
      </c>
      <c r="F5486" s="26">
        <v>2.69E-2</v>
      </c>
      <c r="G5486" s="26">
        <v>1.1999999999999999E-3</v>
      </c>
      <c r="H5486">
        <v>127</v>
      </c>
    </row>
    <row r="5487" spans="1:8" x14ac:dyDescent="0.35">
      <c r="A5487" t="s">
        <v>230</v>
      </c>
      <c r="B5487" t="s">
        <v>361</v>
      </c>
      <c r="C5487" s="26">
        <v>0.86919999999999997</v>
      </c>
      <c r="D5487" s="26">
        <v>0.1168</v>
      </c>
      <c r="E5487" s="26">
        <v>1.06E-2</v>
      </c>
      <c r="F5487" s="26">
        <v>3.5000000000000001E-3</v>
      </c>
      <c r="H5487">
        <v>109</v>
      </c>
    </row>
    <row r="5488" spans="1:8" x14ac:dyDescent="0.35">
      <c r="A5488" t="s">
        <v>230</v>
      </c>
      <c r="B5488" t="s">
        <v>362</v>
      </c>
      <c r="C5488" s="26">
        <v>0.91679999999999995</v>
      </c>
      <c r="D5488" s="26">
        <v>4.3700000000000003E-2</v>
      </c>
      <c r="E5488" s="26">
        <v>1.44E-2</v>
      </c>
      <c r="F5488" s="26">
        <v>2.5100000000000001E-2</v>
      </c>
      <c r="H5488">
        <v>148</v>
      </c>
    </row>
    <row r="5489" spans="1:8" x14ac:dyDescent="0.35">
      <c r="A5489" s="27" t="s">
        <v>231</v>
      </c>
      <c r="B5489" s="27" t="s">
        <v>362</v>
      </c>
      <c r="C5489" s="28">
        <v>0.93100000000000005</v>
      </c>
      <c r="D5489" s="28">
        <v>3.4500000000000003E-2</v>
      </c>
      <c r="E5489" s="28">
        <v>3.4500000000000003E-2</v>
      </c>
      <c r="F5489" s="29"/>
      <c r="G5489" s="29"/>
      <c r="H5489" s="29" t="s">
        <v>329</v>
      </c>
    </row>
    <row r="5490" spans="1:8" x14ac:dyDescent="0.35">
      <c r="A5490" t="s">
        <v>231</v>
      </c>
      <c r="B5490" t="s">
        <v>361</v>
      </c>
      <c r="C5490" s="26">
        <v>0.92</v>
      </c>
      <c r="D5490" s="26">
        <v>0.06</v>
      </c>
      <c r="E5490" s="26">
        <v>0.02</v>
      </c>
      <c r="H5490">
        <v>50</v>
      </c>
    </row>
    <row r="5491" spans="1:8" x14ac:dyDescent="0.35">
      <c r="A5491" t="s">
        <v>231</v>
      </c>
      <c r="B5491" t="s">
        <v>360</v>
      </c>
      <c r="C5491" s="26">
        <v>0.93179999999999996</v>
      </c>
      <c r="D5491" s="26">
        <v>4.5499999999999999E-2</v>
      </c>
      <c r="F5491" s="26">
        <v>2.2700000000000001E-2</v>
      </c>
      <c r="H5491">
        <v>44</v>
      </c>
    </row>
    <row r="5492" spans="1:8" x14ac:dyDescent="0.35">
      <c r="A5492" s="27" t="s">
        <v>231</v>
      </c>
      <c r="B5492" s="27" t="s">
        <v>363</v>
      </c>
      <c r="C5492" s="28">
        <v>0.81479999999999997</v>
      </c>
      <c r="D5492" s="28">
        <v>0.1111</v>
      </c>
      <c r="E5492" s="28">
        <v>3.6999999999999998E-2</v>
      </c>
      <c r="F5492" s="28">
        <v>3.6999999999999998E-2</v>
      </c>
      <c r="G5492" s="29"/>
      <c r="H5492" s="29" t="s">
        <v>338</v>
      </c>
    </row>
    <row r="5493" spans="1:8" x14ac:dyDescent="0.35">
      <c r="A5493" t="s">
        <v>232</v>
      </c>
      <c r="B5493" t="s">
        <v>232</v>
      </c>
      <c r="C5493" s="26">
        <v>0.87080000000000002</v>
      </c>
      <c r="D5493" s="26">
        <v>9.2299999999999993E-2</v>
      </c>
      <c r="E5493" s="26">
        <v>2.76E-2</v>
      </c>
      <c r="F5493" s="26">
        <v>8.0999999999999996E-3</v>
      </c>
      <c r="G5493" s="26">
        <v>1.1999999999999999E-3</v>
      </c>
      <c r="H5493">
        <v>2476</v>
      </c>
    </row>
    <row r="5495" spans="1:8" x14ac:dyDescent="0.35">
      <c r="A5495" s="1" t="s">
        <v>749</v>
      </c>
    </row>
    <row r="5496" spans="1:8" x14ac:dyDescent="0.35">
      <c r="A5496" t="s">
        <v>219</v>
      </c>
      <c r="B5496" t="s">
        <v>305</v>
      </c>
      <c r="C5496" t="s">
        <v>681</v>
      </c>
      <c r="D5496" t="s">
        <v>682</v>
      </c>
      <c r="E5496" t="s">
        <v>683</v>
      </c>
      <c r="F5496" t="s">
        <v>684</v>
      </c>
      <c r="G5496" t="s">
        <v>281</v>
      </c>
      <c r="H5496" t="s">
        <v>226</v>
      </c>
    </row>
    <row r="5497" spans="1:8" x14ac:dyDescent="0.35">
      <c r="A5497" t="s">
        <v>227</v>
      </c>
      <c r="B5497" t="s">
        <v>267</v>
      </c>
      <c r="C5497" s="26">
        <v>0.83330000000000004</v>
      </c>
      <c r="D5497" s="26">
        <v>0.1389</v>
      </c>
      <c r="E5497" s="26">
        <v>2.7799999999999998E-2</v>
      </c>
      <c r="H5497">
        <v>36</v>
      </c>
    </row>
    <row r="5498" spans="1:8" x14ac:dyDescent="0.35">
      <c r="A5498" t="s">
        <v>227</v>
      </c>
      <c r="B5498" t="s">
        <v>266</v>
      </c>
      <c r="C5498" s="26">
        <v>0.93220000000000003</v>
      </c>
      <c r="D5498" s="26">
        <v>3.39E-2</v>
      </c>
      <c r="E5498" s="26">
        <v>3.39E-2</v>
      </c>
      <c r="H5498">
        <v>59</v>
      </c>
    </row>
    <row r="5499" spans="1:8" x14ac:dyDescent="0.35">
      <c r="A5499" t="s">
        <v>227</v>
      </c>
      <c r="B5499" t="s">
        <v>265</v>
      </c>
      <c r="C5499" s="26">
        <v>0.83330000000000004</v>
      </c>
      <c r="D5499" s="26">
        <v>0.1061</v>
      </c>
      <c r="E5499" s="26">
        <v>3.0300000000000001E-2</v>
      </c>
      <c r="F5499" s="26">
        <v>3.0300000000000001E-2</v>
      </c>
      <c r="H5499">
        <v>66</v>
      </c>
    </row>
    <row r="5500" spans="1:8" x14ac:dyDescent="0.35">
      <c r="A5500" t="s">
        <v>228</v>
      </c>
      <c r="B5500" t="s">
        <v>267</v>
      </c>
      <c r="C5500" s="26">
        <v>0.8871</v>
      </c>
      <c r="D5500" s="26">
        <v>9.9199999999999997E-2</v>
      </c>
      <c r="E5500" s="26">
        <v>2.0999999999999999E-3</v>
      </c>
      <c r="F5500" s="26">
        <v>1.01E-2</v>
      </c>
      <c r="G5500" s="26">
        <v>1.4E-3</v>
      </c>
      <c r="H5500">
        <v>199</v>
      </c>
    </row>
    <row r="5501" spans="1:8" x14ac:dyDescent="0.35">
      <c r="A5501" t="s">
        <v>228</v>
      </c>
      <c r="B5501" t="s">
        <v>265</v>
      </c>
      <c r="C5501" s="26">
        <v>0.86580000000000001</v>
      </c>
      <c r="D5501" s="26">
        <v>8.6900000000000005E-2</v>
      </c>
      <c r="E5501" s="26">
        <v>3.7100000000000001E-2</v>
      </c>
      <c r="F5501" s="26">
        <v>8.9999999999999998E-4</v>
      </c>
      <c r="G5501" s="26">
        <v>9.4000000000000004E-3</v>
      </c>
      <c r="H5501">
        <v>384</v>
      </c>
    </row>
    <row r="5502" spans="1:8" x14ac:dyDescent="0.35">
      <c r="A5502" s="27" t="s">
        <v>228</v>
      </c>
      <c r="B5502" s="27" t="s">
        <v>236</v>
      </c>
      <c r="C5502" s="28">
        <v>1</v>
      </c>
      <c r="D5502" s="29"/>
      <c r="E5502" s="29"/>
      <c r="F5502" s="29"/>
      <c r="G5502" s="29"/>
      <c r="H5502" s="29" t="s">
        <v>314</v>
      </c>
    </row>
    <row r="5503" spans="1:8" x14ac:dyDescent="0.35">
      <c r="A5503" t="s">
        <v>228</v>
      </c>
      <c r="B5503" t="s">
        <v>266</v>
      </c>
      <c r="C5503" s="26">
        <v>0.87780000000000002</v>
      </c>
      <c r="D5503" s="26">
        <v>9.0700000000000003E-2</v>
      </c>
      <c r="E5503" s="26">
        <v>2.98E-2</v>
      </c>
      <c r="F5503" s="26">
        <v>1E-3</v>
      </c>
      <c r="G5503" s="26">
        <v>5.9999999999999995E-4</v>
      </c>
      <c r="H5503">
        <v>448</v>
      </c>
    </row>
    <row r="5504" spans="1:8" x14ac:dyDescent="0.35">
      <c r="A5504" t="s">
        <v>229</v>
      </c>
      <c r="B5504" t="s">
        <v>266</v>
      </c>
      <c r="C5504" s="26">
        <v>0.83879999999999999</v>
      </c>
      <c r="D5504" s="26">
        <v>0.1108</v>
      </c>
      <c r="E5504" s="26">
        <v>4.5900000000000003E-2</v>
      </c>
      <c r="F5504" s="26">
        <v>2.5000000000000001E-3</v>
      </c>
      <c r="G5504" s="26">
        <v>2E-3</v>
      </c>
      <c r="H5504">
        <v>359</v>
      </c>
    </row>
    <row r="5505" spans="1:8" x14ac:dyDescent="0.35">
      <c r="A5505" t="s">
        <v>229</v>
      </c>
      <c r="B5505" t="s">
        <v>267</v>
      </c>
      <c r="C5505" s="26">
        <v>0.83120000000000005</v>
      </c>
      <c r="D5505" s="26">
        <v>0.13339999999999999</v>
      </c>
      <c r="E5505" s="26">
        <v>3.4700000000000002E-2</v>
      </c>
      <c r="G5505" s="26">
        <v>8.0000000000000004E-4</v>
      </c>
      <c r="H5505">
        <v>201</v>
      </c>
    </row>
    <row r="5506" spans="1:8" x14ac:dyDescent="0.35">
      <c r="A5506" t="s">
        <v>229</v>
      </c>
      <c r="B5506" t="s">
        <v>265</v>
      </c>
      <c r="C5506" s="26">
        <v>0.84570000000000001</v>
      </c>
      <c r="D5506" s="26">
        <v>0.1124</v>
      </c>
      <c r="E5506" s="26">
        <v>3.49E-2</v>
      </c>
      <c r="F5506" s="26">
        <v>6.3E-3</v>
      </c>
      <c r="G5506" s="26">
        <v>6.9999999999999999E-4</v>
      </c>
      <c r="H5506">
        <v>335</v>
      </c>
    </row>
    <row r="5507" spans="1:8" x14ac:dyDescent="0.35">
      <c r="A5507" t="s">
        <v>230</v>
      </c>
      <c r="B5507" t="s">
        <v>267</v>
      </c>
      <c r="C5507" s="26">
        <v>0.94320000000000004</v>
      </c>
      <c r="D5507" s="26">
        <v>4.3400000000000001E-2</v>
      </c>
      <c r="F5507" s="26">
        <v>1.2200000000000001E-2</v>
      </c>
      <c r="G5507" s="26">
        <v>1.1999999999999999E-3</v>
      </c>
      <c r="H5507">
        <v>119</v>
      </c>
    </row>
    <row r="5508" spans="1:8" x14ac:dyDescent="0.35">
      <c r="A5508" t="s">
        <v>230</v>
      </c>
      <c r="B5508" t="s">
        <v>266</v>
      </c>
      <c r="C5508" s="26">
        <v>0.85309999999999997</v>
      </c>
      <c r="D5508" s="26">
        <v>0.12620000000000001</v>
      </c>
      <c r="E5508" s="26">
        <v>2.07E-2</v>
      </c>
      <c r="H5508">
        <v>232</v>
      </c>
    </row>
    <row r="5509" spans="1:8" x14ac:dyDescent="0.35">
      <c r="A5509" t="s">
        <v>230</v>
      </c>
      <c r="B5509" t="s">
        <v>265</v>
      </c>
      <c r="C5509" s="26">
        <v>0.79100000000000004</v>
      </c>
      <c r="D5509" s="26">
        <v>0.16189999999999999</v>
      </c>
      <c r="E5509" s="26">
        <v>1.9199999999999998E-2</v>
      </c>
      <c r="F5509" s="26">
        <v>2.7900000000000001E-2</v>
      </c>
      <c r="H5509">
        <v>209</v>
      </c>
    </row>
    <row r="5510" spans="1:8" x14ac:dyDescent="0.35">
      <c r="A5510" t="s">
        <v>231</v>
      </c>
      <c r="B5510" t="s">
        <v>267</v>
      </c>
      <c r="C5510" s="26">
        <v>0.88239999999999996</v>
      </c>
      <c r="D5510" s="26">
        <v>5.8799999999999998E-2</v>
      </c>
      <c r="E5510" s="26">
        <v>2.9399999999999999E-2</v>
      </c>
      <c r="F5510" s="26">
        <v>2.9399999999999999E-2</v>
      </c>
      <c r="H5510">
        <v>34</v>
      </c>
    </row>
    <row r="5511" spans="1:8" x14ac:dyDescent="0.35">
      <c r="A5511" t="s">
        <v>231</v>
      </c>
      <c r="B5511" t="s">
        <v>266</v>
      </c>
      <c r="C5511" s="26">
        <v>0.9355</v>
      </c>
      <c r="D5511" s="26">
        <v>4.8399999999999999E-2</v>
      </c>
      <c r="E5511" s="26">
        <v>1.61E-2</v>
      </c>
      <c r="H5511">
        <v>62</v>
      </c>
    </row>
    <row r="5512" spans="1:8" x14ac:dyDescent="0.35">
      <c r="A5512" t="s">
        <v>231</v>
      </c>
      <c r="B5512" t="s">
        <v>265</v>
      </c>
      <c r="C5512" s="26">
        <v>0.89710000000000001</v>
      </c>
      <c r="D5512" s="26">
        <v>7.3499999999999996E-2</v>
      </c>
      <c r="E5512" s="26">
        <v>1.47E-2</v>
      </c>
      <c r="F5512" s="26">
        <v>1.47E-2</v>
      </c>
      <c r="H5512">
        <v>68</v>
      </c>
    </row>
    <row r="5513" spans="1:8" x14ac:dyDescent="0.35">
      <c r="A5513" t="s">
        <v>232</v>
      </c>
      <c r="B5513" t="s">
        <v>232</v>
      </c>
      <c r="C5513" s="26">
        <v>0.87080000000000002</v>
      </c>
      <c r="D5513" s="26">
        <v>9.2299999999999993E-2</v>
      </c>
      <c r="E5513" s="26">
        <v>2.76E-2</v>
      </c>
      <c r="F5513" s="26">
        <v>8.0999999999999996E-3</v>
      </c>
      <c r="G5513" s="26">
        <v>1.1999999999999999E-3</v>
      </c>
      <c r="H5513">
        <v>2813</v>
      </c>
    </row>
    <row r="5515" spans="1:8" x14ac:dyDescent="0.35">
      <c r="A5515" s="1" t="s">
        <v>750</v>
      </c>
    </row>
    <row r="5516" spans="1:8" x14ac:dyDescent="0.35">
      <c r="A5516" t="s">
        <v>219</v>
      </c>
      <c r="B5516" t="s">
        <v>305</v>
      </c>
      <c r="C5516" t="s">
        <v>681</v>
      </c>
      <c r="D5516" t="s">
        <v>682</v>
      </c>
      <c r="E5516" t="s">
        <v>683</v>
      </c>
      <c r="F5516" t="s">
        <v>684</v>
      </c>
      <c r="G5516" t="s">
        <v>281</v>
      </c>
      <c r="H5516" t="s">
        <v>226</v>
      </c>
    </row>
    <row r="5517" spans="1:8" x14ac:dyDescent="0.35">
      <c r="A5517" t="s">
        <v>227</v>
      </c>
      <c r="B5517" t="s">
        <v>252</v>
      </c>
      <c r="C5517" s="26">
        <v>0.88890000000000002</v>
      </c>
      <c r="D5517" s="26">
        <v>8.8900000000000007E-2</v>
      </c>
      <c r="F5517" s="26">
        <v>2.2200000000000001E-2</v>
      </c>
      <c r="H5517">
        <v>45</v>
      </c>
    </row>
    <row r="5518" spans="1:8" x14ac:dyDescent="0.35">
      <c r="A5518" t="s">
        <v>227</v>
      </c>
      <c r="B5518" t="s">
        <v>253</v>
      </c>
      <c r="C5518" s="26">
        <v>0.79410000000000003</v>
      </c>
      <c r="D5518" s="26">
        <v>0.17649999999999999</v>
      </c>
      <c r="E5518" s="26">
        <v>2.9399999999999999E-2</v>
      </c>
      <c r="H5518">
        <v>34</v>
      </c>
    </row>
    <row r="5519" spans="1:8" x14ac:dyDescent="0.35">
      <c r="A5519" t="s">
        <v>227</v>
      </c>
      <c r="B5519" t="s">
        <v>251</v>
      </c>
      <c r="C5519" s="26">
        <v>0.89019999999999999</v>
      </c>
      <c r="D5519" s="26">
        <v>4.8800000000000003E-2</v>
      </c>
      <c r="E5519" s="26">
        <v>4.8800000000000003E-2</v>
      </c>
      <c r="F5519" s="26">
        <v>1.2200000000000001E-2</v>
      </c>
      <c r="H5519">
        <v>82</v>
      </c>
    </row>
    <row r="5520" spans="1:8" x14ac:dyDescent="0.35">
      <c r="A5520" t="s">
        <v>228</v>
      </c>
      <c r="B5520" t="s">
        <v>252</v>
      </c>
      <c r="C5520" s="26">
        <v>0.89849999999999997</v>
      </c>
      <c r="D5520" s="26">
        <v>6.7500000000000004E-2</v>
      </c>
      <c r="E5520" s="26">
        <v>2.0500000000000001E-2</v>
      </c>
      <c r="F5520" s="26">
        <v>2.3999999999999998E-3</v>
      </c>
      <c r="G5520" s="26">
        <v>1.11E-2</v>
      </c>
      <c r="H5520">
        <v>344</v>
      </c>
    </row>
    <row r="5521" spans="1:8" x14ac:dyDescent="0.35">
      <c r="A5521" t="s">
        <v>228</v>
      </c>
      <c r="B5521" t="s">
        <v>253</v>
      </c>
      <c r="C5521" s="26">
        <v>0.83919999999999995</v>
      </c>
      <c r="D5521" s="26">
        <v>0.10730000000000001</v>
      </c>
      <c r="E5521" s="26">
        <v>4.9599999999999998E-2</v>
      </c>
      <c r="G5521" s="26">
        <v>3.8999999999999998E-3</v>
      </c>
      <c r="H5521">
        <v>222</v>
      </c>
    </row>
    <row r="5522" spans="1:8" x14ac:dyDescent="0.35">
      <c r="A5522" t="s">
        <v>228</v>
      </c>
      <c r="B5522" t="s">
        <v>251</v>
      </c>
      <c r="C5522" s="26">
        <v>0.875</v>
      </c>
      <c r="D5522" s="26">
        <v>9.7699999999999995E-2</v>
      </c>
      <c r="E5522" s="26">
        <v>2.3699999999999999E-2</v>
      </c>
      <c r="F5522" s="26">
        <v>3.5999999999999999E-3</v>
      </c>
      <c r="H5522">
        <v>467</v>
      </c>
    </row>
    <row r="5523" spans="1:8" x14ac:dyDescent="0.35">
      <c r="A5523" t="s">
        <v>229</v>
      </c>
      <c r="B5523" t="s">
        <v>252</v>
      </c>
      <c r="C5523" s="26">
        <v>0.86280000000000001</v>
      </c>
      <c r="D5523" s="26">
        <v>0.1114</v>
      </c>
      <c r="E5523" s="26">
        <v>2.2800000000000001E-2</v>
      </c>
      <c r="F5523" s="26">
        <v>8.0000000000000004E-4</v>
      </c>
      <c r="G5523" s="26">
        <v>2.2000000000000001E-3</v>
      </c>
      <c r="H5523">
        <v>199</v>
      </c>
    </row>
    <row r="5524" spans="1:8" x14ac:dyDescent="0.35">
      <c r="A5524" t="s">
        <v>229</v>
      </c>
      <c r="B5524" t="s">
        <v>253</v>
      </c>
      <c r="C5524" s="26">
        <v>0.7974</v>
      </c>
      <c r="D5524" s="26">
        <v>0.13020000000000001</v>
      </c>
      <c r="E5524" s="26">
        <v>5.74E-2</v>
      </c>
      <c r="F5524" s="26">
        <v>1.4999999999999999E-2</v>
      </c>
      <c r="H5524">
        <v>145</v>
      </c>
    </row>
    <row r="5525" spans="1:8" x14ac:dyDescent="0.35">
      <c r="A5525" t="s">
        <v>229</v>
      </c>
      <c r="B5525" t="s">
        <v>251</v>
      </c>
      <c r="C5525" s="26">
        <v>0.84530000000000005</v>
      </c>
      <c r="D5525" s="26">
        <v>0.11409999999999999</v>
      </c>
      <c r="E5525" s="26">
        <v>3.8300000000000001E-2</v>
      </c>
      <c r="F5525" s="26">
        <v>1.1000000000000001E-3</v>
      </c>
      <c r="G5525" s="26">
        <v>1.1000000000000001E-3</v>
      </c>
      <c r="H5525">
        <v>551</v>
      </c>
    </row>
    <row r="5526" spans="1:8" x14ac:dyDescent="0.35">
      <c r="A5526" t="s">
        <v>230</v>
      </c>
      <c r="B5526" t="s">
        <v>252</v>
      </c>
      <c r="C5526" s="26">
        <v>0.81920000000000004</v>
      </c>
      <c r="D5526" s="26">
        <v>0.17369999999999999</v>
      </c>
      <c r="E5526" s="26">
        <v>7.0000000000000001E-3</v>
      </c>
      <c r="H5526">
        <v>159</v>
      </c>
    </row>
    <row r="5527" spans="1:8" x14ac:dyDescent="0.35">
      <c r="A5527" t="s">
        <v>230</v>
      </c>
      <c r="B5527" t="s">
        <v>253</v>
      </c>
      <c r="C5527" s="26">
        <v>0.85350000000000004</v>
      </c>
      <c r="D5527" s="26">
        <v>0.1132</v>
      </c>
      <c r="E5527" s="26">
        <v>2.8500000000000001E-2</v>
      </c>
      <c r="F5527" s="26">
        <v>4.7999999999999996E-3</v>
      </c>
      <c r="H5527">
        <v>110</v>
      </c>
    </row>
    <row r="5528" spans="1:8" x14ac:dyDescent="0.35">
      <c r="A5528" t="s">
        <v>230</v>
      </c>
      <c r="B5528" t="s">
        <v>251</v>
      </c>
      <c r="C5528" s="26">
        <v>0.85750000000000004</v>
      </c>
      <c r="D5528" s="26">
        <v>0.1028</v>
      </c>
      <c r="E5528" s="26">
        <v>1.4999999999999999E-2</v>
      </c>
      <c r="F5528" s="26">
        <v>2.4199999999999999E-2</v>
      </c>
      <c r="G5528" s="26">
        <v>5.0000000000000001E-4</v>
      </c>
      <c r="H5528">
        <v>291</v>
      </c>
    </row>
    <row r="5529" spans="1:8" x14ac:dyDescent="0.35">
      <c r="A5529" t="s">
        <v>231</v>
      </c>
      <c r="B5529" t="s">
        <v>252</v>
      </c>
      <c r="C5529" s="26">
        <v>0.91839999999999999</v>
      </c>
      <c r="D5529" s="26">
        <v>4.0800000000000003E-2</v>
      </c>
      <c r="E5529" s="26">
        <v>4.0800000000000003E-2</v>
      </c>
      <c r="H5529">
        <v>49</v>
      </c>
    </row>
    <row r="5530" spans="1:8" x14ac:dyDescent="0.35">
      <c r="A5530" t="s">
        <v>231</v>
      </c>
      <c r="B5530" t="s">
        <v>253</v>
      </c>
      <c r="C5530" s="26">
        <v>0.83330000000000004</v>
      </c>
      <c r="D5530" s="26">
        <v>0.1333</v>
      </c>
      <c r="F5530" s="26">
        <v>3.3300000000000003E-2</v>
      </c>
      <c r="H5530">
        <v>30</v>
      </c>
    </row>
    <row r="5531" spans="1:8" x14ac:dyDescent="0.35">
      <c r="A5531" t="s">
        <v>231</v>
      </c>
      <c r="B5531" t="s">
        <v>251</v>
      </c>
      <c r="C5531" s="26">
        <v>0.9294</v>
      </c>
      <c r="D5531" s="26">
        <v>4.7100000000000003E-2</v>
      </c>
      <c r="E5531" s="26">
        <v>1.18E-2</v>
      </c>
      <c r="F5531" s="26">
        <v>1.18E-2</v>
      </c>
      <c r="H5531">
        <v>85</v>
      </c>
    </row>
    <row r="5532" spans="1:8" x14ac:dyDescent="0.35">
      <c r="A5532" t="s">
        <v>232</v>
      </c>
      <c r="B5532" t="s">
        <v>232</v>
      </c>
      <c r="C5532" s="26">
        <v>0.87080000000000002</v>
      </c>
      <c r="D5532" s="26">
        <v>9.2299999999999993E-2</v>
      </c>
      <c r="E5532" s="26">
        <v>2.76E-2</v>
      </c>
      <c r="F5532" s="26">
        <v>8.0999999999999996E-3</v>
      </c>
      <c r="G5532" s="26">
        <v>1.1999999999999999E-3</v>
      </c>
      <c r="H5532">
        <v>2813</v>
      </c>
    </row>
    <row r="5534" spans="1:8" x14ac:dyDescent="0.35">
      <c r="A5534" s="1" t="s">
        <v>751</v>
      </c>
    </row>
    <row r="5535" spans="1:8" x14ac:dyDescent="0.35">
      <c r="A5535" t="s">
        <v>219</v>
      </c>
      <c r="B5535" t="s">
        <v>305</v>
      </c>
      <c r="C5535" t="s">
        <v>681</v>
      </c>
      <c r="D5535" t="s">
        <v>682</v>
      </c>
      <c r="E5535" t="s">
        <v>683</v>
      </c>
      <c r="F5535" t="s">
        <v>684</v>
      </c>
      <c r="G5535" t="s">
        <v>281</v>
      </c>
      <c r="H5535" t="s">
        <v>226</v>
      </c>
    </row>
    <row r="5536" spans="1:8" x14ac:dyDescent="0.35">
      <c r="A5536" t="s">
        <v>227</v>
      </c>
      <c r="B5536" t="s">
        <v>249</v>
      </c>
      <c r="C5536" s="26">
        <v>0.90910000000000002</v>
      </c>
      <c r="D5536" s="26">
        <v>6.8199999999999997E-2</v>
      </c>
      <c r="F5536" s="26">
        <v>2.2700000000000001E-2</v>
      </c>
      <c r="H5536">
        <v>44</v>
      </c>
    </row>
    <row r="5537" spans="1:8" x14ac:dyDescent="0.35">
      <c r="A5537" t="s">
        <v>227</v>
      </c>
      <c r="B5537" t="s">
        <v>248</v>
      </c>
      <c r="C5537" s="26">
        <v>0.85470000000000002</v>
      </c>
      <c r="D5537" s="26">
        <v>9.4E-2</v>
      </c>
      <c r="E5537" s="26">
        <v>4.2700000000000002E-2</v>
      </c>
      <c r="F5537" s="26">
        <v>8.5000000000000006E-3</v>
      </c>
      <c r="H5537">
        <v>117</v>
      </c>
    </row>
    <row r="5538" spans="1:8" x14ac:dyDescent="0.35">
      <c r="A5538" t="s">
        <v>228</v>
      </c>
      <c r="B5538" t="s">
        <v>249</v>
      </c>
      <c r="C5538" s="26">
        <v>0.88400000000000001</v>
      </c>
      <c r="D5538" s="26">
        <v>7.2300000000000003E-2</v>
      </c>
      <c r="E5538" s="26">
        <v>3.9699999999999999E-2</v>
      </c>
      <c r="F5538" s="26">
        <v>3.8999999999999998E-3</v>
      </c>
      <c r="H5538">
        <v>274</v>
      </c>
    </row>
    <row r="5539" spans="1:8" x14ac:dyDescent="0.35">
      <c r="A5539" t="s">
        <v>228</v>
      </c>
      <c r="B5539" t="s">
        <v>248</v>
      </c>
      <c r="C5539" s="26">
        <v>0.87150000000000005</v>
      </c>
      <c r="D5539" s="26">
        <v>9.7500000000000003E-2</v>
      </c>
      <c r="E5539" s="26">
        <v>2.3E-2</v>
      </c>
      <c r="F5539" s="26">
        <v>1.9E-3</v>
      </c>
      <c r="G5539" s="26">
        <v>6.1999999999999998E-3</v>
      </c>
      <c r="H5539">
        <v>759</v>
      </c>
    </row>
    <row r="5540" spans="1:8" x14ac:dyDescent="0.35">
      <c r="A5540" t="s">
        <v>229</v>
      </c>
      <c r="B5540" t="s">
        <v>249</v>
      </c>
      <c r="C5540" s="26">
        <v>0.84799999999999998</v>
      </c>
      <c r="D5540" s="26">
        <v>0.1038</v>
      </c>
      <c r="E5540" s="26">
        <v>4.6199999999999998E-2</v>
      </c>
      <c r="G5540" s="26">
        <v>2E-3</v>
      </c>
      <c r="H5540">
        <v>259</v>
      </c>
    </row>
    <row r="5541" spans="1:8" x14ac:dyDescent="0.35">
      <c r="A5541" t="s">
        <v>229</v>
      </c>
      <c r="B5541" t="s">
        <v>248</v>
      </c>
      <c r="C5541" s="26">
        <v>0.83640000000000003</v>
      </c>
      <c r="D5541" s="26">
        <v>0.12280000000000001</v>
      </c>
      <c r="E5541" s="26">
        <v>3.4700000000000002E-2</v>
      </c>
      <c r="F5541" s="26">
        <v>5.4999999999999997E-3</v>
      </c>
      <c r="G5541" s="26">
        <v>6.9999999999999999E-4</v>
      </c>
      <c r="H5541">
        <v>636</v>
      </c>
    </row>
    <row r="5542" spans="1:8" x14ac:dyDescent="0.35">
      <c r="A5542" t="s">
        <v>230</v>
      </c>
      <c r="B5542" t="s">
        <v>249</v>
      </c>
      <c r="C5542" s="26">
        <v>0.84230000000000005</v>
      </c>
      <c r="D5542" s="26">
        <v>0.1046</v>
      </c>
      <c r="E5542" s="26">
        <v>1.8499999999999999E-2</v>
      </c>
      <c r="F5542" s="26">
        <v>3.4599999999999999E-2</v>
      </c>
      <c r="H5542">
        <v>171</v>
      </c>
    </row>
    <row r="5543" spans="1:8" x14ac:dyDescent="0.35">
      <c r="A5543" t="s">
        <v>230</v>
      </c>
      <c r="B5543" t="s">
        <v>248</v>
      </c>
      <c r="C5543" s="26">
        <v>0.84930000000000005</v>
      </c>
      <c r="D5543" s="26">
        <v>0.1323</v>
      </c>
      <c r="E5543" s="26">
        <v>1.3899999999999999E-2</v>
      </c>
      <c r="F5543" s="26">
        <v>4.1000000000000003E-3</v>
      </c>
      <c r="G5543" s="26">
        <v>4.0000000000000002E-4</v>
      </c>
      <c r="H5543">
        <v>389</v>
      </c>
    </row>
    <row r="5544" spans="1:8" x14ac:dyDescent="0.35">
      <c r="A5544" t="s">
        <v>231</v>
      </c>
      <c r="B5544" t="s">
        <v>249</v>
      </c>
      <c r="C5544" s="26">
        <v>0.9143</v>
      </c>
      <c r="D5544" s="26">
        <v>5.7099999999999998E-2</v>
      </c>
      <c r="E5544" s="26">
        <v>2.86E-2</v>
      </c>
      <c r="H5544">
        <v>35</v>
      </c>
    </row>
    <row r="5545" spans="1:8" x14ac:dyDescent="0.35">
      <c r="A5545" t="s">
        <v>231</v>
      </c>
      <c r="B5545" t="s">
        <v>248</v>
      </c>
      <c r="C5545" s="26">
        <v>0.90700000000000003</v>
      </c>
      <c r="D5545" s="26">
        <v>6.2E-2</v>
      </c>
      <c r="E5545" s="26">
        <v>1.55E-2</v>
      </c>
      <c r="F5545" s="26">
        <v>1.55E-2</v>
      </c>
      <c r="H5545">
        <v>129</v>
      </c>
    </row>
    <row r="5546" spans="1:8" x14ac:dyDescent="0.35">
      <c r="A5546" t="s">
        <v>232</v>
      </c>
      <c r="B5546" t="s">
        <v>232</v>
      </c>
      <c r="C5546" s="26">
        <v>0.87080000000000002</v>
      </c>
      <c r="D5546" s="26">
        <v>9.2299999999999993E-2</v>
      </c>
      <c r="E5546" s="26">
        <v>2.76E-2</v>
      </c>
      <c r="F5546" s="26">
        <v>8.0999999999999996E-3</v>
      </c>
      <c r="G5546" s="26">
        <v>1.1999999999999999E-3</v>
      </c>
      <c r="H5546">
        <v>2813</v>
      </c>
    </row>
    <row r="5548" spans="1:8" x14ac:dyDescent="0.35">
      <c r="A5548" s="1" t="s">
        <v>752</v>
      </c>
    </row>
    <row r="5549" spans="1:8" x14ac:dyDescent="0.35">
      <c r="A5549" t="s">
        <v>219</v>
      </c>
      <c r="B5549" t="s">
        <v>305</v>
      </c>
      <c r="C5549" t="s">
        <v>681</v>
      </c>
      <c r="D5549" t="s">
        <v>682</v>
      </c>
      <c r="E5549" t="s">
        <v>683</v>
      </c>
      <c r="F5549" t="s">
        <v>684</v>
      </c>
      <c r="G5549" t="s">
        <v>281</v>
      </c>
      <c r="H5549" t="s">
        <v>226</v>
      </c>
    </row>
    <row r="5550" spans="1:8" x14ac:dyDescent="0.35">
      <c r="A5550" s="27" t="s">
        <v>227</v>
      </c>
      <c r="B5550" s="27" t="s">
        <v>263</v>
      </c>
      <c r="C5550" s="28">
        <v>1</v>
      </c>
      <c r="D5550" s="29"/>
      <c r="E5550" s="29"/>
      <c r="F5550" s="29"/>
      <c r="G5550" s="29"/>
      <c r="H5550" s="29" t="s">
        <v>315</v>
      </c>
    </row>
    <row r="5551" spans="1:8" x14ac:dyDescent="0.35">
      <c r="A5551" t="s">
        <v>227</v>
      </c>
      <c r="B5551" t="s">
        <v>261</v>
      </c>
      <c r="C5551" s="26">
        <v>0.87880000000000003</v>
      </c>
      <c r="D5551" s="26">
        <v>6.0600000000000001E-2</v>
      </c>
      <c r="E5551" s="26">
        <v>6.0600000000000001E-2</v>
      </c>
      <c r="H5551">
        <v>33</v>
      </c>
    </row>
    <row r="5552" spans="1:8" x14ac:dyDescent="0.35">
      <c r="A5552" s="27" t="s">
        <v>227</v>
      </c>
      <c r="B5552" s="27" t="s">
        <v>262</v>
      </c>
      <c r="C5552" s="28">
        <v>0.66669999999999996</v>
      </c>
      <c r="D5552" s="29"/>
      <c r="E5552" s="28">
        <v>0.33329999999999999</v>
      </c>
      <c r="F5552" s="29"/>
      <c r="G5552" s="29"/>
      <c r="H5552" s="29" t="s">
        <v>315</v>
      </c>
    </row>
    <row r="5553" spans="1:8" x14ac:dyDescent="0.35">
      <c r="A5553" t="s">
        <v>227</v>
      </c>
      <c r="B5553" t="s">
        <v>260</v>
      </c>
      <c r="C5553" s="26">
        <v>0.86890000000000001</v>
      </c>
      <c r="D5553" s="26">
        <v>9.8400000000000001E-2</v>
      </c>
      <c r="E5553" s="26">
        <v>1.6400000000000001E-2</v>
      </c>
      <c r="F5553" s="26">
        <v>1.6400000000000001E-2</v>
      </c>
      <c r="H5553">
        <v>122</v>
      </c>
    </row>
    <row r="5554" spans="1:8" x14ac:dyDescent="0.35">
      <c r="A5554" t="s">
        <v>228</v>
      </c>
      <c r="B5554" t="s">
        <v>261</v>
      </c>
      <c r="C5554" s="26">
        <v>0.88839999999999997</v>
      </c>
      <c r="D5554" s="26">
        <v>6.13E-2</v>
      </c>
      <c r="E5554" s="26">
        <v>4.7500000000000001E-2</v>
      </c>
      <c r="G5554" s="26">
        <v>2.8E-3</v>
      </c>
      <c r="H5554">
        <v>192</v>
      </c>
    </row>
    <row r="5555" spans="1:8" x14ac:dyDescent="0.35">
      <c r="A5555" s="27" t="s">
        <v>228</v>
      </c>
      <c r="B5555" s="27" t="s">
        <v>263</v>
      </c>
      <c r="C5555" s="28">
        <v>0.9577</v>
      </c>
      <c r="D5555" s="28">
        <v>2.93E-2</v>
      </c>
      <c r="E5555" s="28">
        <v>1.2999999999999999E-2</v>
      </c>
      <c r="F5555" s="29"/>
      <c r="G5555" s="29"/>
      <c r="H5555" s="29" t="s">
        <v>312</v>
      </c>
    </row>
    <row r="5556" spans="1:8" x14ac:dyDescent="0.35">
      <c r="A5556" s="27" t="s">
        <v>228</v>
      </c>
      <c r="B5556" s="27" t="s">
        <v>236</v>
      </c>
      <c r="C5556" s="28">
        <v>1</v>
      </c>
      <c r="D5556" s="29"/>
      <c r="E5556" s="29"/>
      <c r="F5556" s="29"/>
      <c r="G5556" s="29"/>
      <c r="H5556" s="29" t="s">
        <v>335</v>
      </c>
    </row>
    <row r="5557" spans="1:8" x14ac:dyDescent="0.35">
      <c r="A5557" t="s">
        <v>228</v>
      </c>
      <c r="B5557" t="s">
        <v>262</v>
      </c>
      <c r="C5557" s="26">
        <v>0.78990000000000005</v>
      </c>
      <c r="D5557" s="26">
        <v>0.16639999999999999</v>
      </c>
      <c r="E5557" s="26">
        <v>3.9E-2</v>
      </c>
      <c r="F5557" s="26">
        <v>3.3E-3</v>
      </c>
      <c r="G5557" s="26">
        <v>1.5E-3</v>
      </c>
      <c r="H5557">
        <v>201</v>
      </c>
    </row>
    <row r="5558" spans="1:8" x14ac:dyDescent="0.35">
      <c r="A5558" t="s">
        <v>228</v>
      </c>
      <c r="B5558" t="s">
        <v>260</v>
      </c>
      <c r="C5558" s="26">
        <v>0.89029999999999998</v>
      </c>
      <c r="D5558" s="26">
        <v>8.1199999999999994E-2</v>
      </c>
      <c r="E5558" s="26">
        <v>1.95E-2</v>
      </c>
      <c r="F5558" s="26">
        <v>3.2000000000000002E-3</v>
      </c>
      <c r="G5558" s="26">
        <v>5.7999999999999996E-3</v>
      </c>
      <c r="H5558">
        <v>609</v>
      </c>
    </row>
    <row r="5559" spans="1:8" x14ac:dyDescent="0.35">
      <c r="A5559" s="27" t="s">
        <v>229</v>
      </c>
      <c r="B5559" s="27" t="s">
        <v>263</v>
      </c>
      <c r="C5559" s="28">
        <v>0.75790000000000002</v>
      </c>
      <c r="D5559" s="28">
        <v>0.2074</v>
      </c>
      <c r="E5559" s="28">
        <v>3.4700000000000002E-2</v>
      </c>
      <c r="F5559" s="29"/>
      <c r="G5559" s="29"/>
      <c r="H5559" s="29" t="s">
        <v>379</v>
      </c>
    </row>
    <row r="5560" spans="1:8" x14ac:dyDescent="0.35">
      <c r="A5560" t="s">
        <v>229</v>
      </c>
      <c r="B5560" t="s">
        <v>262</v>
      </c>
      <c r="C5560" s="26">
        <v>0.81510000000000005</v>
      </c>
      <c r="D5560" s="26">
        <v>0.15110000000000001</v>
      </c>
      <c r="E5560" s="26">
        <v>3.1399999999999997E-2</v>
      </c>
      <c r="G5560" s="26">
        <v>2.3999999999999998E-3</v>
      </c>
      <c r="H5560">
        <v>188</v>
      </c>
    </row>
    <row r="5561" spans="1:8" x14ac:dyDescent="0.35">
      <c r="A5561" t="s">
        <v>229</v>
      </c>
      <c r="B5561" t="s">
        <v>261</v>
      </c>
      <c r="C5561" s="26">
        <v>0.79100000000000004</v>
      </c>
      <c r="D5561" s="26">
        <v>0.16969999999999999</v>
      </c>
      <c r="E5561" s="26">
        <v>3.9300000000000002E-2</v>
      </c>
      <c r="H5561">
        <v>96</v>
      </c>
    </row>
    <row r="5562" spans="1:8" x14ac:dyDescent="0.35">
      <c r="A5562" s="27" t="s">
        <v>229</v>
      </c>
      <c r="B5562" s="27" t="s">
        <v>236</v>
      </c>
      <c r="C5562" s="28">
        <v>1</v>
      </c>
      <c r="D5562" s="29"/>
      <c r="E5562" s="29"/>
      <c r="F5562" s="29"/>
      <c r="G5562" s="29"/>
      <c r="H5562" s="29" t="s">
        <v>331</v>
      </c>
    </row>
    <row r="5563" spans="1:8" x14ac:dyDescent="0.35">
      <c r="A5563" t="s">
        <v>229</v>
      </c>
      <c r="B5563" t="s">
        <v>260</v>
      </c>
      <c r="C5563" s="26">
        <v>0.86890000000000001</v>
      </c>
      <c r="D5563" s="26">
        <v>8.1600000000000006E-2</v>
      </c>
      <c r="E5563" s="26">
        <v>4.19E-2</v>
      </c>
      <c r="F5563" s="26">
        <v>6.6E-3</v>
      </c>
      <c r="G5563" s="26">
        <v>8.9999999999999998E-4</v>
      </c>
      <c r="H5563">
        <v>596</v>
      </c>
    </row>
    <row r="5564" spans="1:8" x14ac:dyDescent="0.35">
      <c r="A5564" s="27" t="s">
        <v>230</v>
      </c>
      <c r="B5564" s="27" t="s">
        <v>236</v>
      </c>
      <c r="C5564" s="28">
        <v>0.15570000000000001</v>
      </c>
      <c r="D5564" s="28">
        <v>0.84430000000000005</v>
      </c>
      <c r="E5564" s="29"/>
      <c r="F5564" s="29"/>
      <c r="G5564" s="29"/>
      <c r="H5564" s="29" t="s">
        <v>337</v>
      </c>
    </row>
    <row r="5565" spans="1:8" x14ac:dyDescent="0.35">
      <c r="A5565" t="s">
        <v>230</v>
      </c>
      <c r="B5565" t="s">
        <v>262</v>
      </c>
      <c r="C5565" s="26">
        <v>0.84699999999999998</v>
      </c>
      <c r="D5565" s="26">
        <v>0.1032</v>
      </c>
      <c r="E5565" s="26">
        <v>3.7699999999999997E-2</v>
      </c>
      <c r="F5565" s="26">
        <v>1.21E-2</v>
      </c>
      <c r="H5565">
        <v>122</v>
      </c>
    </row>
    <row r="5566" spans="1:8" x14ac:dyDescent="0.35">
      <c r="A5566" t="s">
        <v>230</v>
      </c>
      <c r="B5566" t="s">
        <v>261</v>
      </c>
      <c r="C5566" s="26">
        <v>0.79620000000000002</v>
      </c>
      <c r="D5566" s="26">
        <v>0.1075</v>
      </c>
      <c r="E5566" s="26">
        <v>1.35E-2</v>
      </c>
      <c r="F5566" s="26">
        <v>8.0699999999999994E-2</v>
      </c>
      <c r="G5566" s="26">
        <v>2E-3</v>
      </c>
      <c r="H5566">
        <v>57</v>
      </c>
    </row>
    <row r="5567" spans="1:8" x14ac:dyDescent="0.35">
      <c r="A5567" s="27" t="s">
        <v>230</v>
      </c>
      <c r="B5567" s="27" t="s">
        <v>263</v>
      </c>
      <c r="C5567" s="28">
        <v>0.52600000000000002</v>
      </c>
      <c r="D5567" s="28">
        <v>0.41959999999999997</v>
      </c>
      <c r="E5567" s="28">
        <v>5.4399999999999997E-2</v>
      </c>
      <c r="F5567" s="29"/>
      <c r="G5567" s="29"/>
      <c r="H5567" s="29" t="s">
        <v>312</v>
      </c>
    </row>
    <row r="5568" spans="1:8" x14ac:dyDescent="0.35">
      <c r="A5568" t="s">
        <v>230</v>
      </c>
      <c r="B5568" t="s">
        <v>260</v>
      </c>
      <c r="C5568" s="26">
        <v>0.87160000000000004</v>
      </c>
      <c r="D5568" s="26">
        <v>0.11550000000000001</v>
      </c>
      <c r="E5568" s="26">
        <v>1.03E-2</v>
      </c>
      <c r="F5568" s="26">
        <v>2.5999999999999999E-3</v>
      </c>
      <c r="H5568">
        <v>352</v>
      </c>
    </row>
    <row r="5569" spans="1:8" x14ac:dyDescent="0.35">
      <c r="A5569" s="27" t="s">
        <v>231</v>
      </c>
      <c r="B5569" s="27" t="s">
        <v>263</v>
      </c>
      <c r="C5569" s="28">
        <v>0.5</v>
      </c>
      <c r="D5569" s="28">
        <v>0.5</v>
      </c>
      <c r="E5569" s="29"/>
      <c r="F5569" s="29"/>
      <c r="G5569" s="29"/>
      <c r="H5569" s="29" t="s">
        <v>314</v>
      </c>
    </row>
    <row r="5570" spans="1:8" x14ac:dyDescent="0.35">
      <c r="A5570" t="s">
        <v>231</v>
      </c>
      <c r="B5570" t="s">
        <v>260</v>
      </c>
      <c r="C5570" s="26">
        <v>0.9194</v>
      </c>
      <c r="D5570" s="26">
        <v>4.8399999999999999E-2</v>
      </c>
      <c r="E5570" s="26">
        <v>2.4199999999999999E-2</v>
      </c>
      <c r="F5570" s="26">
        <v>8.0999999999999996E-3</v>
      </c>
      <c r="H5570">
        <v>124</v>
      </c>
    </row>
    <row r="5571" spans="1:8" x14ac:dyDescent="0.35">
      <c r="A5571" s="27" t="s">
        <v>231</v>
      </c>
      <c r="B5571" s="27" t="s">
        <v>261</v>
      </c>
      <c r="C5571" s="28">
        <v>0.88890000000000002</v>
      </c>
      <c r="D5571" s="28">
        <v>0.1111</v>
      </c>
      <c r="E5571" s="29"/>
      <c r="F5571" s="29"/>
      <c r="G5571" s="29"/>
      <c r="H5571" s="29" t="s">
        <v>338</v>
      </c>
    </row>
    <row r="5572" spans="1:8" x14ac:dyDescent="0.35">
      <c r="A5572" s="27" t="s">
        <v>231</v>
      </c>
      <c r="B5572" s="27" t="s">
        <v>262</v>
      </c>
      <c r="C5572" s="28">
        <v>0.90910000000000002</v>
      </c>
      <c r="D5572" s="29"/>
      <c r="E5572" s="29"/>
      <c r="F5572" s="28">
        <v>9.0899999999999995E-2</v>
      </c>
      <c r="G5572" s="29"/>
      <c r="H5572" s="29" t="s">
        <v>352</v>
      </c>
    </row>
    <row r="5573" spans="1:8" x14ac:dyDescent="0.35">
      <c r="A5573" t="s">
        <v>232</v>
      </c>
      <c r="B5573" t="s">
        <v>232</v>
      </c>
      <c r="C5573" s="26">
        <v>0.87080000000000002</v>
      </c>
      <c r="D5573" s="26">
        <v>9.2299999999999993E-2</v>
      </c>
      <c r="E5573" s="26">
        <v>2.76E-2</v>
      </c>
      <c r="F5573" s="26">
        <v>8.0999999999999996E-3</v>
      </c>
      <c r="G5573" s="26">
        <v>1.1999999999999999E-3</v>
      </c>
      <c r="H5573">
        <v>2813</v>
      </c>
    </row>
    <row r="5575" spans="1:8" x14ac:dyDescent="0.35">
      <c r="A5575" s="1" t="s">
        <v>753</v>
      </c>
    </row>
    <row r="5576" spans="1:8" x14ac:dyDescent="0.35">
      <c r="A5576" t="s">
        <v>219</v>
      </c>
      <c r="B5576" t="s">
        <v>305</v>
      </c>
      <c r="C5576" t="s">
        <v>681</v>
      </c>
      <c r="D5576" t="s">
        <v>682</v>
      </c>
      <c r="E5576" t="s">
        <v>683</v>
      </c>
      <c r="F5576" t="s">
        <v>684</v>
      </c>
      <c r="G5576" t="s">
        <v>281</v>
      </c>
      <c r="H5576" t="s">
        <v>226</v>
      </c>
    </row>
    <row r="5577" spans="1:8" x14ac:dyDescent="0.35">
      <c r="A5577" t="s">
        <v>227</v>
      </c>
      <c r="B5577" t="s">
        <v>368</v>
      </c>
      <c r="C5577" s="26">
        <v>0.87880000000000003</v>
      </c>
      <c r="D5577" s="26">
        <v>6.0600000000000001E-2</v>
      </c>
      <c r="E5577" s="26">
        <v>6.0600000000000001E-2</v>
      </c>
      <c r="H5577">
        <v>33</v>
      </c>
    </row>
    <row r="5578" spans="1:8" x14ac:dyDescent="0.35">
      <c r="A5578" t="s">
        <v>227</v>
      </c>
      <c r="B5578" t="s">
        <v>369</v>
      </c>
      <c r="C5578" s="26">
        <v>0.86719999999999997</v>
      </c>
      <c r="D5578" s="26">
        <v>9.3799999999999994E-2</v>
      </c>
      <c r="E5578" s="26">
        <v>2.3400000000000001E-2</v>
      </c>
      <c r="F5578" s="26">
        <v>1.5599999999999999E-2</v>
      </c>
      <c r="H5578">
        <v>128</v>
      </c>
    </row>
    <row r="5579" spans="1:8" x14ac:dyDescent="0.35">
      <c r="A5579" t="s">
        <v>228</v>
      </c>
      <c r="B5579" t="s">
        <v>368</v>
      </c>
      <c r="C5579" s="26">
        <v>0.88839999999999997</v>
      </c>
      <c r="D5579" s="26">
        <v>6.13E-2</v>
      </c>
      <c r="E5579" s="26">
        <v>4.7500000000000001E-2</v>
      </c>
      <c r="G5579" s="26">
        <v>2.8E-3</v>
      </c>
      <c r="H5579">
        <v>192</v>
      </c>
    </row>
    <row r="5580" spans="1:8" x14ac:dyDescent="0.35">
      <c r="A5580" t="s">
        <v>228</v>
      </c>
      <c r="B5580" t="s">
        <v>369</v>
      </c>
      <c r="C5580" s="26">
        <v>0.872</v>
      </c>
      <c r="D5580" s="26">
        <v>9.69E-2</v>
      </c>
      <c r="E5580" s="26">
        <v>2.3199999999999998E-2</v>
      </c>
      <c r="F5580" s="26">
        <v>3.0999999999999999E-3</v>
      </c>
      <c r="G5580" s="26">
        <v>4.7000000000000002E-3</v>
      </c>
      <c r="H5580">
        <v>841</v>
      </c>
    </row>
    <row r="5581" spans="1:8" x14ac:dyDescent="0.35">
      <c r="A5581" t="s">
        <v>229</v>
      </c>
      <c r="B5581" t="s">
        <v>368</v>
      </c>
      <c r="C5581" s="26">
        <v>0.79100000000000004</v>
      </c>
      <c r="D5581" s="26">
        <v>0.16969999999999999</v>
      </c>
      <c r="E5581" s="26">
        <v>3.9300000000000002E-2</v>
      </c>
      <c r="H5581">
        <v>96</v>
      </c>
    </row>
    <row r="5582" spans="1:8" x14ac:dyDescent="0.35">
      <c r="A5582" t="s">
        <v>229</v>
      </c>
      <c r="B5582" t="s">
        <v>369</v>
      </c>
      <c r="C5582" s="26">
        <v>0.8488</v>
      </c>
      <c r="D5582" s="26">
        <v>0.10730000000000001</v>
      </c>
      <c r="E5582" s="26">
        <v>3.8300000000000001E-2</v>
      </c>
      <c r="F5582" s="26">
        <v>4.3E-3</v>
      </c>
      <c r="G5582" s="26">
        <v>1.4E-3</v>
      </c>
      <c r="H5582">
        <v>799</v>
      </c>
    </row>
    <row r="5583" spans="1:8" x14ac:dyDescent="0.35">
      <c r="A5583" t="s">
        <v>230</v>
      </c>
      <c r="B5583" t="s">
        <v>368</v>
      </c>
      <c r="C5583" s="26">
        <v>0.79620000000000002</v>
      </c>
      <c r="D5583" s="26">
        <v>0.1075</v>
      </c>
      <c r="E5583" s="26">
        <v>1.35E-2</v>
      </c>
      <c r="F5583" s="26">
        <v>8.0699999999999994E-2</v>
      </c>
      <c r="G5583" s="26">
        <v>2E-3</v>
      </c>
      <c r="H5583">
        <v>57</v>
      </c>
    </row>
    <row r="5584" spans="1:8" x14ac:dyDescent="0.35">
      <c r="A5584" t="s">
        <v>230</v>
      </c>
      <c r="B5584" t="s">
        <v>369</v>
      </c>
      <c r="C5584" s="26">
        <v>0.85470000000000002</v>
      </c>
      <c r="D5584" s="26">
        <v>0.12529999999999999</v>
      </c>
      <c r="E5584" s="26">
        <v>1.5800000000000002E-2</v>
      </c>
      <c r="F5584" s="26">
        <v>4.1000000000000003E-3</v>
      </c>
      <c r="H5584">
        <v>503</v>
      </c>
    </row>
    <row r="5585" spans="1:8" x14ac:dyDescent="0.35">
      <c r="A5585" s="27" t="s">
        <v>231</v>
      </c>
      <c r="B5585" s="27" t="s">
        <v>368</v>
      </c>
      <c r="C5585" s="28">
        <v>0.88890000000000002</v>
      </c>
      <c r="D5585" s="28">
        <v>0.1111</v>
      </c>
      <c r="E5585" s="29"/>
      <c r="F5585" s="29"/>
      <c r="G5585" s="29"/>
      <c r="H5585" s="29" t="s">
        <v>338</v>
      </c>
    </row>
    <row r="5586" spans="1:8" x14ac:dyDescent="0.35">
      <c r="A5586" t="s">
        <v>231</v>
      </c>
      <c r="B5586" t="s">
        <v>369</v>
      </c>
      <c r="C5586" s="26">
        <v>0.91239999999999999</v>
      </c>
      <c r="D5586" s="26">
        <v>5.11E-2</v>
      </c>
      <c r="E5586" s="26">
        <v>2.1899999999999999E-2</v>
      </c>
      <c r="F5586" s="26">
        <v>1.46E-2</v>
      </c>
      <c r="H5586">
        <v>137</v>
      </c>
    </row>
    <row r="5587" spans="1:8" x14ac:dyDescent="0.35">
      <c r="A5587" t="s">
        <v>232</v>
      </c>
      <c r="B5587" t="s">
        <v>232</v>
      </c>
      <c r="C5587" s="26">
        <v>0.87080000000000002</v>
      </c>
      <c r="D5587" s="26">
        <v>9.2299999999999993E-2</v>
      </c>
      <c r="E5587" s="26">
        <v>2.76E-2</v>
      </c>
      <c r="F5587" s="26">
        <v>8.0999999999999996E-3</v>
      </c>
      <c r="G5587" s="26">
        <v>1.1999999999999999E-3</v>
      </c>
      <c r="H5587">
        <v>2813</v>
      </c>
    </row>
    <row r="5589" spans="1:8" x14ac:dyDescent="0.35">
      <c r="A5589" s="1" t="s">
        <v>754</v>
      </c>
    </row>
    <row r="5590" spans="1:8" x14ac:dyDescent="0.35">
      <c r="A5590" t="s">
        <v>219</v>
      </c>
      <c r="B5590" t="s">
        <v>305</v>
      </c>
      <c r="C5590" t="s">
        <v>681</v>
      </c>
      <c r="D5590" t="s">
        <v>682</v>
      </c>
      <c r="E5590" t="s">
        <v>683</v>
      </c>
      <c r="F5590" t="s">
        <v>684</v>
      </c>
      <c r="G5590" t="s">
        <v>281</v>
      </c>
      <c r="H5590" t="s">
        <v>226</v>
      </c>
    </row>
    <row r="5591" spans="1:8" x14ac:dyDescent="0.35">
      <c r="A5591" t="s">
        <v>227</v>
      </c>
      <c r="B5591" t="s">
        <v>371</v>
      </c>
      <c r="C5591" s="26">
        <v>0.86960000000000004</v>
      </c>
      <c r="D5591" s="26">
        <v>8.6999999999999994E-2</v>
      </c>
      <c r="E5591" s="26">
        <v>3.1099999999999999E-2</v>
      </c>
      <c r="F5591" s="26">
        <v>1.24E-2</v>
      </c>
      <c r="H5591">
        <v>161</v>
      </c>
    </row>
    <row r="5592" spans="1:8" x14ac:dyDescent="0.35">
      <c r="A5592" t="s">
        <v>228</v>
      </c>
      <c r="B5592" t="s">
        <v>371</v>
      </c>
      <c r="C5592" s="26">
        <v>0.88429999999999997</v>
      </c>
      <c r="D5592" s="26">
        <v>7.3400000000000007E-2</v>
      </c>
      <c r="E5592" s="26">
        <v>3.5200000000000002E-2</v>
      </c>
      <c r="F5592" s="26">
        <v>6.9999999999999999E-4</v>
      </c>
      <c r="G5592" s="26">
        <v>6.4000000000000003E-3</v>
      </c>
      <c r="H5592">
        <v>292</v>
      </c>
    </row>
    <row r="5593" spans="1:8" x14ac:dyDescent="0.35">
      <c r="A5593" t="s">
        <v>228</v>
      </c>
      <c r="B5593" t="s">
        <v>372</v>
      </c>
      <c r="C5593" s="26">
        <v>0.85589999999999999</v>
      </c>
      <c r="D5593" s="26">
        <v>7.0300000000000001E-2</v>
      </c>
      <c r="E5593" s="26">
        <v>6.4500000000000002E-2</v>
      </c>
      <c r="G5593" s="26">
        <v>9.2999999999999992E-3</v>
      </c>
      <c r="H5593">
        <v>218</v>
      </c>
    </row>
    <row r="5594" spans="1:8" x14ac:dyDescent="0.35">
      <c r="A5594" t="s">
        <v>228</v>
      </c>
      <c r="B5594" t="s">
        <v>373</v>
      </c>
      <c r="C5594" s="26">
        <v>0.86729999999999996</v>
      </c>
      <c r="D5594" s="26">
        <v>0.1163</v>
      </c>
      <c r="E5594" s="26">
        <v>1.04E-2</v>
      </c>
      <c r="F5594" s="26">
        <v>5.4000000000000003E-3</v>
      </c>
      <c r="G5594" s="26">
        <v>5.9999999999999995E-4</v>
      </c>
      <c r="H5594">
        <v>523</v>
      </c>
    </row>
    <row r="5595" spans="1:8" x14ac:dyDescent="0.35">
      <c r="A5595" t="s">
        <v>229</v>
      </c>
      <c r="B5595" t="s">
        <v>371</v>
      </c>
      <c r="C5595" s="26">
        <v>0.83830000000000005</v>
      </c>
      <c r="D5595" s="26">
        <v>0.11749999999999999</v>
      </c>
      <c r="E5595" s="26">
        <v>3.9600000000000003E-2</v>
      </c>
      <c r="F5595" s="26">
        <v>3.5999999999999999E-3</v>
      </c>
      <c r="G5595" s="26">
        <v>8.9999999999999998E-4</v>
      </c>
      <c r="H5595">
        <v>584</v>
      </c>
    </row>
    <row r="5596" spans="1:8" x14ac:dyDescent="0.35">
      <c r="A5596" t="s">
        <v>229</v>
      </c>
      <c r="B5596" t="s">
        <v>372</v>
      </c>
      <c r="C5596" s="26">
        <v>0.86539999999999995</v>
      </c>
      <c r="D5596" s="26">
        <v>9.69E-2</v>
      </c>
      <c r="E5596" s="26">
        <v>2.46E-2</v>
      </c>
      <c r="F5596" s="26">
        <v>6.6E-3</v>
      </c>
      <c r="G5596" s="26">
        <v>6.6E-3</v>
      </c>
      <c r="H5596">
        <v>221</v>
      </c>
    </row>
    <row r="5597" spans="1:8" x14ac:dyDescent="0.35">
      <c r="A5597" t="s">
        <v>229</v>
      </c>
      <c r="B5597" t="s">
        <v>373</v>
      </c>
      <c r="C5597" s="26">
        <v>0.85699999999999998</v>
      </c>
      <c r="D5597" s="26">
        <v>0.11840000000000001</v>
      </c>
      <c r="E5597" s="26">
        <v>2.47E-2</v>
      </c>
      <c r="H5597">
        <v>90</v>
      </c>
    </row>
    <row r="5598" spans="1:8" x14ac:dyDescent="0.35">
      <c r="A5598" t="s">
        <v>230</v>
      </c>
      <c r="B5598" t="s">
        <v>371</v>
      </c>
      <c r="C5598" s="26">
        <v>0.84230000000000005</v>
      </c>
      <c r="D5598" s="26">
        <v>0.13450000000000001</v>
      </c>
      <c r="E5598" s="26">
        <v>7.7999999999999996E-3</v>
      </c>
      <c r="F5598" s="26">
        <v>1.54E-2</v>
      </c>
      <c r="H5598">
        <v>262</v>
      </c>
    </row>
    <row r="5599" spans="1:8" x14ac:dyDescent="0.35">
      <c r="A5599" t="s">
        <v>230</v>
      </c>
      <c r="B5599" t="s">
        <v>372</v>
      </c>
      <c r="C5599" s="26">
        <v>0.89700000000000002</v>
      </c>
      <c r="D5599" s="26">
        <v>6.2700000000000006E-2</v>
      </c>
      <c r="E5599" s="26">
        <v>3.5499999999999997E-2</v>
      </c>
      <c r="G5599" s="26">
        <v>4.7000000000000002E-3</v>
      </c>
      <c r="H5599">
        <v>146</v>
      </c>
    </row>
    <row r="5600" spans="1:8" x14ac:dyDescent="0.35">
      <c r="A5600" t="s">
        <v>230</v>
      </c>
      <c r="B5600" t="s">
        <v>373</v>
      </c>
      <c r="C5600" s="26">
        <v>0.85389999999999999</v>
      </c>
      <c r="D5600" s="26">
        <v>7.6499999999999999E-2</v>
      </c>
      <c r="E5600" s="26">
        <v>5.57E-2</v>
      </c>
      <c r="F5600" s="26">
        <v>1.3899999999999999E-2</v>
      </c>
      <c r="H5600">
        <v>152</v>
      </c>
    </row>
    <row r="5601" spans="1:8" x14ac:dyDescent="0.35">
      <c r="A5601" t="s">
        <v>231</v>
      </c>
      <c r="B5601" t="s">
        <v>371</v>
      </c>
      <c r="C5601" s="26">
        <v>0.90849999999999997</v>
      </c>
      <c r="D5601" s="26">
        <v>6.0999999999999999E-2</v>
      </c>
      <c r="E5601" s="26">
        <v>1.83E-2</v>
      </c>
      <c r="F5601" s="26">
        <v>1.2200000000000001E-2</v>
      </c>
      <c r="H5601">
        <v>164</v>
      </c>
    </row>
    <row r="5602" spans="1:8" x14ac:dyDescent="0.35">
      <c r="A5602" t="s">
        <v>232</v>
      </c>
      <c r="B5602" t="s">
        <v>232</v>
      </c>
      <c r="C5602" s="26">
        <v>0.87080000000000002</v>
      </c>
      <c r="D5602" s="26">
        <v>9.2299999999999993E-2</v>
      </c>
      <c r="E5602" s="26">
        <v>2.76E-2</v>
      </c>
      <c r="F5602" s="26">
        <v>8.0999999999999996E-3</v>
      </c>
      <c r="G5602" s="26">
        <v>1.1999999999999999E-3</v>
      </c>
      <c r="H5602">
        <v>2813</v>
      </c>
    </row>
    <row r="5604" spans="1:8" x14ac:dyDescent="0.35">
      <c r="A5604" s="1" t="s">
        <v>755</v>
      </c>
    </row>
    <row r="5605" spans="1:8" x14ac:dyDescent="0.35">
      <c r="A5605" t="s">
        <v>219</v>
      </c>
      <c r="B5605" t="s">
        <v>305</v>
      </c>
      <c r="C5605" t="s">
        <v>681</v>
      </c>
      <c r="D5605" t="s">
        <v>682</v>
      </c>
      <c r="E5605" t="s">
        <v>683</v>
      </c>
      <c r="F5605" t="s">
        <v>684</v>
      </c>
      <c r="G5605" t="s">
        <v>281</v>
      </c>
      <c r="H5605" t="s">
        <v>226</v>
      </c>
    </row>
    <row r="5606" spans="1:8" x14ac:dyDescent="0.35">
      <c r="A5606" t="s">
        <v>227</v>
      </c>
      <c r="B5606" t="s">
        <v>255</v>
      </c>
      <c r="C5606" s="26">
        <v>0.85470000000000002</v>
      </c>
      <c r="D5606" s="26">
        <v>9.4E-2</v>
      </c>
      <c r="E5606" s="26">
        <v>4.2700000000000002E-2</v>
      </c>
      <c r="F5606" s="26">
        <v>8.5000000000000006E-3</v>
      </c>
      <c r="H5606">
        <v>117</v>
      </c>
    </row>
    <row r="5607" spans="1:8" x14ac:dyDescent="0.35">
      <c r="A5607" s="27" t="s">
        <v>227</v>
      </c>
      <c r="B5607" s="27" t="s">
        <v>257</v>
      </c>
      <c r="C5607" s="28">
        <v>1</v>
      </c>
      <c r="D5607" s="29"/>
      <c r="E5607" s="29"/>
      <c r="F5607" s="29"/>
      <c r="G5607" s="29"/>
      <c r="H5607" s="29" t="s">
        <v>334</v>
      </c>
    </row>
    <row r="5608" spans="1:8" x14ac:dyDescent="0.35">
      <c r="A5608" t="s">
        <v>227</v>
      </c>
      <c r="B5608" t="s">
        <v>256</v>
      </c>
      <c r="C5608" s="26">
        <v>0.88570000000000004</v>
      </c>
      <c r="D5608" s="26">
        <v>8.5699999999999998E-2</v>
      </c>
      <c r="F5608" s="26">
        <v>2.86E-2</v>
      </c>
      <c r="H5608">
        <v>35</v>
      </c>
    </row>
    <row r="5609" spans="1:8" x14ac:dyDescent="0.35">
      <c r="A5609" t="s">
        <v>228</v>
      </c>
      <c r="B5609" t="s">
        <v>257</v>
      </c>
      <c r="C5609" s="26">
        <v>0.97219999999999995</v>
      </c>
      <c r="D5609" s="26">
        <v>1.84E-2</v>
      </c>
      <c r="E5609" s="26">
        <v>9.2999999999999992E-3</v>
      </c>
      <c r="H5609">
        <v>49</v>
      </c>
    </row>
    <row r="5610" spans="1:8" x14ac:dyDescent="0.35">
      <c r="A5610" s="27" t="s">
        <v>228</v>
      </c>
      <c r="B5610" s="27" t="s">
        <v>258</v>
      </c>
      <c r="C5610" s="28">
        <v>1</v>
      </c>
      <c r="D5610" s="29"/>
      <c r="E5610" s="29"/>
      <c r="F5610" s="29"/>
      <c r="G5610" s="29"/>
      <c r="H5610" s="29" t="s">
        <v>337</v>
      </c>
    </row>
    <row r="5611" spans="1:8" x14ac:dyDescent="0.35">
      <c r="A5611" t="s">
        <v>228</v>
      </c>
      <c r="B5611" t="s">
        <v>256</v>
      </c>
      <c r="C5611" s="26">
        <v>0.86229999999999996</v>
      </c>
      <c r="D5611" s="26">
        <v>8.5699999999999998E-2</v>
      </c>
      <c r="E5611" s="26">
        <v>4.7199999999999999E-2</v>
      </c>
      <c r="F5611" s="26">
        <v>4.7999999999999996E-3</v>
      </c>
      <c r="H5611">
        <v>221</v>
      </c>
    </row>
    <row r="5612" spans="1:8" x14ac:dyDescent="0.35">
      <c r="A5612" t="s">
        <v>228</v>
      </c>
      <c r="B5612" t="s">
        <v>255</v>
      </c>
      <c r="C5612" s="26">
        <v>0.87150000000000005</v>
      </c>
      <c r="D5612" s="26">
        <v>9.7500000000000003E-2</v>
      </c>
      <c r="E5612" s="26">
        <v>2.3E-2</v>
      </c>
      <c r="F5612" s="26">
        <v>1.9E-3</v>
      </c>
      <c r="G5612" s="26">
        <v>6.1999999999999998E-3</v>
      </c>
      <c r="H5612">
        <v>759</v>
      </c>
    </row>
    <row r="5613" spans="1:8" x14ac:dyDescent="0.35">
      <c r="A5613" t="s">
        <v>229</v>
      </c>
      <c r="B5613" t="s">
        <v>256</v>
      </c>
      <c r="C5613" s="26">
        <v>0.8427</v>
      </c>
      <c r="D5613" s="26">
        <v>0.1019</v>
      </c>
      <c r="E5613" s="26">
        <v>5.5399999999999998E-2</v>
      </c>
      <c r="H5613">
        <v>207</v>
      </c>
    </row>
    <row r="5614" spans="1:8" x14ac:dyDescent="0.35">
      <c r="A5614" t="s">
        <v>229</v>
      </c>
      <c r="B5614" t="s">
        <v>255</v>
      </c>
      <c r="C5614" s="26">
        <v>0.83640000000000003</v>
      </c>
      <c r="D5614" s="26">
        <v>0.12280000000000001</v>
      </c>
      <c r="E5614" s="26">
        <v>3.4700000000000002E-2</v>
      </c>
      <c r="F5614" s="26">
        <v>5.4999999999999997E-3</v>
      </c>
      <c r="G5614" s="26">
        <v>6.9999999999999999E-4</v>
      </c>
      <c r="H5614">
        <v>636</v>
      </c>
    </row>
    <row r="5615" spans="1:8" x14ac:dyDescent="0.35">
      <c r="A5615" t="s">
        <v>229</v>
      </c>
      <c r="B5615" t="s">
        <v>257</v>
      </c>
      <c r="C5615" s="26">
        <v>0.87370000000000003</v>
      </c>
      <c r="D5615" s="26">
        <v>0.114</v>
      </c>
      <c r="G5615" s="26">
        <v>1.23E-2</v>
      </c>
      <c r="H5615">
        <v>50</v>
      </c>
    </row>
    <row r="5616" spans="1:8" x14ac:dyDescent="0.35">
      <c r="A5616" s="27" t="s">
        <v>229</v>
      </c>
      <c r="B5616" s="27" t="s">
        <v>258</v>
      </c>
      <c r="C5616" s="28">
        <v>1</v>
      </c>
      <c r="D5616" s="29"/>
      <c r="E5616" s="29"/>
      <c r="F5616" s="29"/>
      <c r="G5616" s="29"/>
      <c r="H5616" s="29" t="s">
        <v>314</v>
      </c>
    </row>
    <row r="5617" spans="1:8" x14ac:dyDescent="0.35">
      <c r="A5617" t="s">
        <v>230</v>
      </c>
      <c r="B5617" t="s">
        <v>256</v>
      </c>
      <c r="C5617" s="26">
        <v>0.83440000000000003</v>
      </c>
      <c r="D5617" s="26">
        <v>0.1002</v>
      </c>
      <c r="E5617" s="26">
        <v>2.06E-2</v>
      </c>
      <c r="F5617" s="26">
        <v>4.48E-2</v>
      </c>
      <c r="H5617">
        <v>130</v>
      </c>
    </row>
    <row r="5618" spans="1:8" x14ac:dyDescent="0.35">
      <c r="A5618" t="s">
        <v>230</v>
      </c>
      <c r="B5618" t="s">
        <v>255</v>
      </c>
      <c r="C5618" s="26">
        <v>0.84930000000000005</v>
      </c>
      <c r="D5618" s="26">
        <v>0.1323</v>
      </c>
      <c r="E5618" s="26">
        <v>1.3899999999999999E-2</v>
      </c>
      <c r="F5618" s="26">
        <v>4.1000000000000003E-3</v>
      </c>
      <c r="G5618" s="26">
        <v>4.0000000000000002E-4</v>
      </c>
      <c r="H5618">
        <v>389</v>
      </c>
    </row>
    <row r="5619" spans="1:8" x14ac:dyDescent="0.35">
      <c r="A5619" t="s">
        <v>230</v>
      </c>
      <c r="B5619" t="s">
        <v>257</v>
      </c>
      <c r="C5619" s="26">
        <v>0.86060000000000003</v>
      </c>
      <c r="D5619" s="26">
        <v>0.12659999999999999</v>
      </c>
      <c r="E5619" s="26">
        <v>1.2800000000000001E-2</v>
      </c>
      <c r="H5619">
        <v>38</v>
      </c>
    </row>
    <row r="5620" spans="1:8" x14ac:dyDescent="0.35">
      <c r="A5620" s="27" t="s">
        <v>230</v>
      </c>
      <c r="B5620" s="27" t="s">
        <v>258</v>
      </c>
      <c r="C5620" s="28">
        <v>0.95830000000000004</v>
      </c>
      <c r="D5620" s="28">
        <v>4.1700000000000001E-2</v>
      </c>
      <c r="E5620" s="29"/>
      <c r="F5620" s="29"/>
      <c r="G5620" s="29"/>
      <c r="H5620" s="29" t="s">
        <v>315</v>
      </c>
    </row>
    <row r="5621" spans="1:8" x14ac:dyDescent="0.35">
      <c r="A5621" s="27" t="s">
        <v>231</v>
      </c>
      <c r="B5621" s="27" t="s">
        <v>257</v>
      </c>
      <c r="C5621" s="28">
        <v>1</v>
      </c>
      <c r="D5621" s="29"/>
      <c r="E5621" s="29"/>
      <c r="F5621" s="29"/>
      <c r="G5621" s="29"/>
      <c r="H5621" s="29" t="s">
        <v>339</v>
      </c>
    </row>
    <row r="5622" spans="1:8" x14ac:dyDescent="0.35">
      <c r="A5622" t="s">
        <v>231</v>
      </c>
      <c r="B5622" t="s">
        <v>255</v>
      </c>
      <c r="C5622" s="26">
        <v>0.90700000000000003</v>
      </c>
      <c r="D5622" s="26">
        <v>6.2E-2</v>
      </c>
      <c r="E5622" s="26">
        <v>1.55E-2</v>
      </c>
      <c r="F5622" s="26">
        <v>1.55E-2</v>
      </c>
      <c r="H5622">
        <v>129</v>
      </c>
    </row>
    <row r="5623" spans="1:8" x14ac:dyDescent="0.35">
      <c r="A5623" s="27" t="s">
        <v>231</v>
      </c>
      <c r="B5623" s="27" t="s">
        <v>256</v>
      </c>
      <c r="C5623" s="28">
        <v>0.89290000000000003</v>
      </c>
      <c r="D5623" s="28">
        <v>7.1400000000000005E-2</v>
      </c>
      <c r="E5623" s="28">
        <v>3.5700000000000003E-2</v>
      </c>
      <c r="F5623" s="29"/>
      <c r="G5623" s="29"/>
      <c r="H5623" s="29" t="s">
        <v>336</v>
      </c>
    </row>
    <row r="5624" spans="1:8" x14ac:dyDescent="0.35">
      <c r="A5624" t="s">
        <v>232</v>
      </c>
      <c r="B5624" t="s">
        <v>232</v>
      </c>
      <c r="C5624" s="26">
        <v>0.87080000000000002</v>
      </c>
      <c r="D5624" s="26">
        <v>9.2299999999999993E-2</v>
      </c>
      <c r="E5624" s="26">
        <v>2.76E-2</v>
      </c>
      <c r="F5624" s="26">
        <v>8.0999999999999996E-3</v>
      </c>
      <c r="G5624" s="26">
        <v>1.1999999999999999E-3</v>
      </c>
      <c r="H5624">
        <v>2813</v>
      </c>
    </row>
    <row r="5626" spans="1:8" x14ac:dyDescent="0.35">
      <c r="A5626" s="1" t="s">
        <v>756</v>
      </c>
    </row>
    <row r="5627" spans="1:8" x14ac:dyDescent="0.35">
      <c r="A5627" t="s">
        <v>219</v>
      </c>
      <c r="B5627" t="s">
        <v>303</v>
      </c>
      <c r="C5627" t="s">
        <v>302</v>
      </c>
      <c r="D5627" t="s">
        <v>281</v>
      </c>
      <c r="E5627" t="s">
        <v>226</v>
      </c>
    </row>
    <row r="5628" spans="1:8" x14ac:dyDescent="0.35">
      <c r="A5628" t="s">
        <v>227</v>
      </c>
      <c r="B5628" s="26">
        <v>0.86050000000000004</v>
      </c>
      <c r="C5628" s="26">
        <v>0.13950000000000001</v>
      </c>
      <c r="E5628">
        <v>43</v>
      </c>
    </row>
    <row r="5629" spans="1:8" x14ac:dyDescent="0.35">
      <c r="A5629" t="s">
        <v>228</v>
      </c>
      <c r="B5629" s="26">
        <v>0.7198</v>
      </c>
      <c r="C5629" s="26">
        <v>0.27250000000000002</v>
      </c>
      <c r="D5629" s="26">
        <v>7.7000000000000002E-3</v>
      </c>
      <c r="E5629">
        <v>233</v>
      </c>
    </row>
    <row r="5630" spans="1:8" x14ac:dyDescent="0.35">
      <c r="A5630" t="s">
        <v>229</v>
      </c>
      <c r="B5630" s="26">
        <v>0.84670000000000001</v>
      </c>
      <c r="C5630" s="26">
        <v>0.1368</v>
      </c>
      <c r="D5630" s="26">
        <v>1.6500000000000001E-2</v>
      </c>
      <c r="E5630">
        <v>239</v>
      </c>
    </row>
    <row r="5631" spans="1:8" x14ac:dyDescent="0.35">
      <c r="A5631" t="s">
        <v>230</v>
      </c>
      <c r="B5631" s="26">
        <v>0.64990000000000003</v>
      </c>
      <c r="C5631" s="26">
        <v>0.34710000000000002</v>
      </c>
      <c r="D5631" s="26">
        <v>3.0000000000000001E-3</v>
      </c>
      <c r="E5631">
        <v>155</v>
      </c>
    </row>
    <row r="5632" spans="1:8" x14ac:dyDescent="0.35">
      <c r="A5632" t="s">
        <v>231</v>
      </c>
      <c r="B5632" s="26">
        <v>0.6875</v>
      </c>
      <c r="C5632" s="26">
        <v>0.3125</v>
      </c>
      <c r="E5632">
        <v>32</v>
      </c>
    </row>
    <row r="5633" spans="1:6" x14ac:dyDescent="0.35">
      <c r="A5633" t="s">
        <v>232</v>
      </c>
      <c r="B5633" s="26">
        <v>0.76939999999999997</v>
      </c>
      <c r="C5633" s="26">
        <v>0.2233</v>
      </c>
      <c r="D5633" s="26">
        <v>7.3000000000000001E-3</v>
      </c>
      <c r="E5633">
        <v>702</v>
      </c>
    </row>
    <row r="5635" spans="1:6" x14ac:dyDescent="0.35">
      <c r="A5635" s="1" t="s">
        <v>757</v>
      </c>
    </row>
    <row r="5636" spans="1:6" x14ac:dyDescent="0.35">
      <c r="A5636" t="s">
        <v>219</v>
      </c>
      <c r="B5636" t="s">
        <v>305</v>
      </c>
      <c r="C5636" t="s">
        <v>303</v>
      </c>
      <c r="D5636" t="s">
        <v>302</v>
      </c>
      <c r="E5636" t="s">
        <v>281</v>
      </c>
      <c r="F5636" t="s">
        <v>226</v>
      </c>
    </row>
    <row r="5637" spans="1:6" x14ac:dyDescent="0.35">
      <c r="A5637" s="27" t="s">
        <v>227</v>
      </c>
      <c r="B5637" s="27" t="s">
        <v>242</v>
      </c>
      <c r="C5637" s="28">
        <v>0.92859999999999998</v>
      </c>
      <c r="D5637" s="28">
        <v>7.1400000000000005E-2</v>
      </c>
      <c r="E5637" s="29"/>
      <c r="F5637" s="29" t="s">
        <v>379</v>
      </c>
    </row>
    <row r="5638" spans="1:6" x14ac:dyDescent="0.35">
      <c r="A5638" s="27" t="s">
        <v>227</v>
      </c>
      <c r="B5638" s="27" t="s">
        <v>241</v>
      </c>
      <c r="C5638" s="28">
        <v>0.8276</v>
      </c>
      <c r="D5638" s="28">
        <v>0.1724</v>
      </c>
      <c r="E5638" s="29"/>
      <c r="F5638" s="29" t="s">
        <v>329</v>
      </c>
    </row>
    <row r="5639" spans="1:6" x14ac:dyDescent="0.35">
      <c r="A5639" t="s">
        <v>228</v>
      </c>
      <c r="B5639" t="s">
        <v>242</v>
      </c>
      <c r="C5639" s="26">
        <v>0.67010000000000003</v>
      </c>
      <c r="D5639" s="26">
        <v>0.32990000000000003</v>
      </c>
      <c r="F5639">
        <v>67</v>
      </c>
    </row>
    <row r="5640" spans="1:6" x14ac:dyDescent="0.35">
      <c r="A5640" t="s">
        <v>228</v>
      </c>
      <c r="B5640" t="s">
        <v>241</v>
      </c>
      <c r="C5640" s="26">
        <v>0.73929999999999996</v>
      </c>
      <c r="D5640" s="26">
        <v>0.25</v>
      </c>
      <c r="E5640" s="26">
        <v>1.0699999999999999E-2</v>
      </c>
      <c r="F5640">
        <v>166</v>
      </c>
    </row>
    <row r="5641" spans="1:6" x14ac:dyDescent="0.35">
      <c r="A5641" t="s">
        <v>229</v>
      </c>
      <c r="B5641" t="s">
        <v>242</v>
      </c>
      <c r="C5641" s="26">
        <v>0.82850000000000001</v>
      </c>
      <c r="D5641" s="26">
        <v>0.14699999999999999</v>
      </c>
      <c r="E5641" s="26">
        <v>2.4500000000000001E-2</v>
      </c>
      <c r="F5641">
        <v>68</v>
      </c>
    </row>
    <row r="5642" spans="1:6" x14ac:dyDescent="0.35">
      <c r="A5642" t="s">
        <v>229</v>
      </c>
      <c r="B5642" t="s">
        <v>241</v>
      </c>
      <c r="C5642" s="26">
        <v>0.85589999999999999</v>
      </c>
      <c r="D5642" s="26">
        <v>0.13159999999999999</v>
      </c>
      <c r="E5642" s="26">
        <v>1.2500000000000001E-2</v>
      </c>
      <c r="F5642">
        <v>171</v>
      </c>
    </row>
    <row r="5643" spans="1:6" x14ac:dyDescent="0.35">
      <c r="A5643" t="s">
        <v>230</v>
      </c>
      <c r="B5643" t="s">
        <v>242</v>
      </c>
      <c r="C5643" s="26">
        <v>0.6724</v>
      </c>
      <c r="D5643" s="26">
        <v>0.3276</v>
      </c>
      <c r="F5643">
        <v>51</v>
      </c>
    </row>
    <row r="5644" spans="1:6" x14ac:dyDescent="0.35">
      <c r="A5644" t="s">
        <v>230</v>
      </c>
      <c r="B5644" t="s">
        <v>241</v>
      </c>
      <c r="C5644" s="26">
        <v>0.63560000000000005</v>
      </c>
      <c r="D5644" s="26">
        <v>0.35949999999999999</v>
      </c>
      <c r="E5644" s="26">
        <v>4.8999999999999998E-3</v>
      </c>
      <c r="F5644">
        <v>104</v>
      </c>
    </row>
    <row r="5645" spans="1:6" x14ac:dyDescent="0.35">
      <c r="A5645" s="27" t="s">
        <v>231</v>
      </c>
      <c r="B5645" s="27" t="s">
        <v>242</v>
      </c>
      <c r="C5645" s="28">
        <v>0.8</v>
      </c>
      <c r="D5645" s="28">
        <v>0.2</v>
      </c>
      <c r="E5645" s="29"/>
      <c r="F5645" s="29" t="s">
        <v>332</v>
      </c>
    </row>
    <row r="5646" spans="1:6" x14ac:dyDescent="0.35">
      <c r="A5646" s="27" t="s">
        <v>231</v>
      </c>
      <c r="B5646" s="27" t="s">
        <v>241</v>
      </c>
      <c r="C5646" s="28">
        <v>0.66669999999999996</v>
      </c>
      <c r="D5646" s="28">
        <v>0.33329999999999999</v>
      </c>
      <c r="E5646" s="29"/>
      <c r="F5646" s="29" t="s">
        <v>338</v>
      </c>
    </row>
    <row r="5647" spans="1:6" x14ac:dyDescent="0.35">
      <c r="A5647" t="s">
        <v>232</v>
      </c>
      <c r="B5647" t="s">
        <v>232</v>
      </c>
      <c r="C5647" s="26">
        <v>0.76939999999999997</v>
      </c>
      <c r="D5647" s="26">
        <v>0.2233</v>
      </c>
      <c r="E5647" s="26">
        <v>7.3000000000000001E-3</v>
      </c>
      <c r="F5647">
        <v>702</v>
      </c>
    </row>
    <row r="5649" spans="1:6" x14ac:dyDescent="0.35">
      <c r="A5649" s="1" t="s">
        <v>758</v>
      </c>
    </row>
    <row r="5650" spans="1:6" x14ac:dyDescent="0.35">
      <c r="A5650" t="s">
        <v>219</v>
      </c>
      <c r="B5650" t="s">
        <v>305</v>
      </c>
      <c r="C5650" t="s">
        <v>303</v>
      </c>
      <c r="D5650" t="s">
        <v>302</v>
      </c>
      <c r="E5650" t="s">
        <v>281</v>
      </c>
      <c r="F5650" t="s">
        <v>226</v>
      </c>
    </row>
    <row r="5651" spans="1:6" x14ac:dyDescent="0.35">
      <c r="A5651" s="27" t="s">
        <v>227</v>
      </c>
      <c r="B5651" s="27" t="s">
        <v>239</v>
      </c>
      <c r="C5651" s="28">
        <v>0.9</v>
      </c>
      <c r="D5651" s="28">
        <v>0.1</v>
      </c>
      <c r="E5651" s="29"/>
      <c r="F5651" s="29" t="s">
        <v>350</v>
      </c>
    </row>
    <row r="5652" spans="1:6" x14ac:dyDescent="0.35">
      <c r="A5652" s="27" t="s">
        <v>227</v>
      </c>
      <c r="B5652" s="27" t="s">
        <v>238</v>
      </c>
      <c r="C5652" s="28">
        <v>0.82609999999999995</v>
      </c>
      <c r="D5652" s="28">
        <v>0.1739</v>
      </c>
      <c r="E5652" s="29"/>
      <c r="F5652" s="29" t="s">
        <v>328</v>
      </c>
    </row>
    <row r="5653" spans="1:6" x14ac:dyDescent="0.35">
      <c r="A5653" t="s">
        <v>228</v>
      </c>
      <c r="B5653" t="s">
        <v>239</v>
      </c>
      <c r="C5653" s="26">
        <v>0.52800000000000002</v>
      </c>
      <c r="D5653" s="26">
        <v>0.47199999999999998</v>
      </c>
      <c r="F5653">
        <v>81</v>
      </c>
    </row>
    <row r="5654" spans="1:6" x14ac:dyDescent="0.35">
      <c r="A5654" t="s">
        <v>228</v>
      </c>
      <c r="B5654" t="s">
        <v>238</v>
      </c>
      <c r="C5654" s="26">
        <v>0.77339999999999998</v>
      </c>
      <c r="D5654" s="26">
        <v>0.2167</v>
      </c>
      <c r="E5654" s="26">
        <v>9.7999999999999997E-3</v>
      </c>
      <c r="F5654">
        <v>152</v>
      </c>
    </row>
    <row r="5655" spans="1:6" x14ac:dyDescent="0.35">
      <c r="A5655" t="s">
        <v>229</v>
      </c>
      <c r="B5655" t="s">
        <v>239</v>
      </c>
      <c r="C5655" s="26">
        <v>0.75829999999999997</v>
      </c>
      <c r="D5655" s="26">
        <v>0.17460000000000001</v>
      </c>
      <c r="E5655" s="26">
        <v>6.7100000000000007E-2</v>
      </c>
      <c r="F5655">
        <v>86</v>
      </c>
    </row>
    <row r="5656" spans="1:6" x14ac:dyDescent="0.35">
      <c r="A5656" t="s">
        <v>229</v>
      </c>
      <c r="B5656" t="s">
        <v>238</v>
      </c>
      <c r="C5656" s="26">
        <v>0.87560000000000004</v>
      </c>
      <c r="D5656" s="26">
        <v>0.1244</v>
      </c>
      <c r="F5656">
        <v>153</v>
      </c>
    </row>
    <row r="5657" spans="1:6" x14ac:dyDescent="0.35">
      <c r="A5657" t="s">
        <v>230</v>
      </c>
      <c r="B5657" t="s">
        <v>239</v>
      </c>
      <c r="C5657" s="26">
        <v>0.74390000000000001</v>
      </c>
      <c r="D5657" s="26">
        <v>0.2487</v>
      </c>
      <c r="E5657" s="26">
        <v>7.4999999999999997E-3</v>
      </c>
      <c r="F5657">
        <v>67</v>
      </c>
    </row>
    <row r="5658" spans="1:6" x14ac:dyDescent="0.35">
      <c r="A5658" t="s">
        <v>230</v>
      </c>
      <c r="B5658" t="s">
        <v>238</v>
      </c>
      <c r="C5658" s="26">
        <v>0.58709999999999996</v>
      </c>
      <c r="D5658" s="26">
        <v>0.41289999999999999</v>
      </c>
      <c r="F5658">
        <v>88</v>
      </c>
    </row>
    <row r="5659" spans="1:6" x14ac:dyDescent="0.35">
      <c r="A5659" s="27" t="s">
        <v>231</v>
      </c>
      <c r="B5659" s="27" t="s">
        <v>239</v>
      </c>
      <c r="C5659" s="28">
        <v>0.8</v>
      </c>
      <c r="D5659" s="28">
        <v>0.2</v>
      </c>
      <c r="E5659" s="29"/>
      <c r="F5659" s="29" t="s">
        <v>346</v>
      </c>
    </row>
    <row r="5660" spans="1:6" x14ac:dyDescent="0.35">
      <c r="A5660" s="27" t="s">
        <v>231</v>
      </c>
      <c r="B5660" s="27" t="s">
        <v>238</v>
      </c>
      <c r="C5660" s="28">
        <v>0.58819999999999995</v>
      </c>
      <c r="D5660" s="28">
        <v>0.4118</v>
      </c>
      <c r="E5660" s="29"/>
      <c r="F5660" s="29" t="s">
        <v>343</v>
      </c>
    </row>
    <row r="5661" spans="1:6" x14ac:dyDescent="0.35">
      <c r="A5661" t="s">
        <v>232</v>
      </c>
      <c r="B5661" t="s">
        <v>232</v>
      </c>
      <c r="C5661" s="26">
        <v>0.76939999999999997</v>
      </c>
      <c r="D5661" s="26">
        <v>0.2233</v>
      </c>
      <c r="E5661" s="26">
        <v>7.3000000000000001E-3</v>
      </c>
      <c r="F5661">
        <v>702</v>
      </c>
    </row>
    <row r="5663" spans="1:6" x14ac:dyDescent="0.35">
      <c r="A5663" s="1" t="s">
        <v>759</v>
      </c>
    </row>
    <row r="5664" spans="1:6" x14ac:dyDescent="0.35">
      <c r="A5664" t="s">
        <v>219</v>
      </c>
      <c r="B5664" t="s">
        <v>305</v>
      </c>
      <c r="C5664" t="s">
        <v>303</v>
      </c>
      <c r="D5664" t="s">
        <v>302</v>
      </c>
      <c r="E5664" t="s">
        <v>281</v>
      </c>
      <c r="F5664" t="s">
        <v>226</v>
      </c>
    </row>
    <row r="5665" spans="1:6" x14ac:dyDescent="0.35">
      <c r="A5665" t="s">
        <v>227</v>
      </c>
      <c r="B5665" t="s">
        <v>244</v>
      </c>
      <c r="C5665" s="26">
        <v>0.80649999999999999</v>
      </c>
      <c r="D5665" s="26">
        <v>0.19350000000000001</v>
      </c>
      <c r="F5665">
        <v>31</v>
      </c>
    </row>
    <row r="5666" spans="1:6" x14ac:dyDescent="0.35">
      <c r="A5666" s="27" t="s">
        <v>227</v>
      </c>
      <c r="B5666" s="27" t="s">
        <v>246</v>
      </c>
      <c r="C5666" s="28">
        <v>1</v>
      </c>
      <c r="D5666" s="29"/>
      <c r="E5666" s="29"/>
      <c r="F5666" s="29" t="s">
        <v>342</v>
      </c>
    </row>
    <row r="5667" spans="1:6" x14ac:dyDescent="0.35">
      <c r="A5667" t="s">
        <v>228</v>
      </c>
      <c r="B5667" t="s">
        <v>244</v>
      </c>
      <c r="C5667" s="26">
        <v>0.7369</v>
      </c>
      <c r="D5667" s="26">
        <v>0.25340000000000001</v>
      </c>
      <c r="E5667" s="26">
        <v>9.5999999999999992E-3</v>
      </c>
      <c r="F5667">
        <v>178</v>
      </c>
    </row>
    <row r="5668" spans="1:6" x14ac:dyDescent="0.35">
      <c r="A5668" t="s">
        <v>228</v>
      </c>
      <c r="B5668" t="s">
        <v>246</v>
      </c>
      <c r="C5668" s="26">
        <v>0.6522</v>
      </c>
      <c r="D5668" s="26">
        <v>0.3478</v>
      </c>
      <c r="F5668">
        <v>55</v>
      </c>
    </row>
    <row r="5669" spans="1:6" x14ac:dyDescent="0.35">
      <c r="A5669" t="s">
        <v>229</v>
      </c>
      <c r="B5669" t="s">
        <v>244</v>
      </c>
      <c r="C5669" s="26">
        <v>0.85299999999999998</v>
      </c>
      <c r="D5669" s="26">
        <v>0.12740000000000001</v>
      </c>
      <c r="E5669" s="26">
        <v>1.9599999999999999E-2</v>
      </c>
      <c r="F5669">
        <v>201</v>
      </c>
    </row>
    <row r="5670" spans="1:6" x14ac:dyDescent="0.35">
      <c r="A5670" t="s">
        <v>229</v>
      </c>
      <c r="B5670" t="s">
        <v>246</v>
      </c>
      <c r="C5670" s="26">
        <v>0.81230000000000002</v>
      </c>
      <c r="D5670" s="26">
        <v>0.18770000000000001</v>
      </c>
      <c r="F5670">
        <v>38</v>
      </c>
    </row>
    <row r="5671" spans="1:6" x14ac:dyDescent="0.35">
      <c r="A5671" t="s">
        <v>230</v>
      </c>
      <c r="B5671" t="s">
        <v>244</v>
      </c>
      <c r="C5671" s="26">
        <v>0.62509999999999999</v>
      </c>
      <c r="D5671" s="26">
        <v>0.37140000000000001</v>
      </c>
      <c r="E5671" s="26">
        <v>3.5000000000000001E-3</v>
      </c>
      <c r="F5671">
        <v>131</v>
      </c>
    </row>
    <row r="5672" spans="1:6" x14ac:dyDescent="0.35">
      <c r="A5672" s="27" t="s">
        <v>230</v>
      </c>
      <c r="B5672" s="27" t="s">
        <v>246</v>
      </c>
      <c r="C5672" s="28">
        <v>0.79330000000000001</v>
      </c>
      <c r="D5672" s="28">
        <v>0.20669999999999999</v>
      </c>
      <c r="E5672" s="29"/>
      <c r="F5672" s="29" t="s">
        <v>310</v>
      </c>
    </row>
    <row r="5673" spans="1:6" x14ac:dyDescent="0.35">
      <c r="A5673" s="27" t="s">
        <v>231</v>
      </c>
      <c r="B5673" s="27" t="s">
        <v>244</v>
      </c>
      <c r="C5673" s="28">
        <v>0.63639999999999997</v>
      </c>
      <c r="D5673" s="28">
        <v>0.36359999999999998</v>
      </c>
      <c r="E5673" s="29"/>
      <c r="F5673" s="29" t="s">
        <v>347</v>
      </c>
    </row>
    <row r="5674" spans="1:6" x14ac:dyDescent="0.35">
      <c r="A5674" s="27" t="s">
        <v>231</v>
      </c>
      <c r="B5674" s="27" t="s">
        <v>246</v>
      </c>
      <c r="C5674" s="28">
        <v>0.8</v>
      </c>
      <c r="D5674" s="28">
        <v>0.2</v>
      </c>
      <c r="E5674" s="29"/>
      <c r="F5674" s="29" t="s">
        <v>307</v>
      </c>
    </row>
    <row r="5675" spans="1:6" x14ac:dyDescent="0.35">
      <c r="A5675" t="s">
        <v>232</v>
      </c>
      <c r="B5675" t="s">
        <v>232</v>
      </c>
      <c r="C5675" s="26">
        <v>0.76939999999999997</v>
      </c>
      <c r="D5675" s="26">
        <v>0.2233</v>
      </c>
      <c r="E5675" s="26">
        <v>7.3000000000000001E-3</v>
      </c>
      <c r="F5675">
        <v>702</v>
      </c>
    </row>
    <row r="5677" spans="1:6" x14ac:dyDescent="0.35">
      <c r="A5677" s="1" t="s">
        <v>760</v>
      </c>
    </row>
    <row r="5678" spans="1:6" x14ac:dyDescent="0.35">
      <c r="A5678" t="s">
        <v>219</v>
      </c>
      <c r="B5678" t="s">
        <v>305</v>
      </c>
      <c r="C5678" t="s">
        <v>303</v>
      </c>
      <c r="D5678" t="s">
        <v>302</v>
      </c>
      <c r="E5678" t="s">
        <v>281</v>
      </c>
      <c r="F5678" t="s">
        <v>226</v>
      </c>
    </row>
    <row r="5679" spans="1:6" x14ac:dyDescent="0.35">
      <c r="A5679" s="27" t="s">
        <v>227</v>
      </c>
      <c r="B5679" s="27" t="s">
        <v>360</v>
      </c>
      <c r="C5679" s="28">
        <v>1</v>
      </c>
      <c r="D5679" s="29"/>
      <c r="E5679" s="29"/>
      <c r="F5679" s="29" t="s">
        <v>342</v>
      </c>
    </row>
    <row r="5680" spans="1:6" x14ac:dyDescent="0.35">
      <c r="A5680" s="27" t="s">
        <v>227</v>
      </c>
      <c r="B5680" s="27" t="s">
        <v>361</v>
      </c>
      <c r="C5680" s="28">
        <v>0.6</v>
      </c>
      <c r="D5680" s="28">
        <v>0.4</v>
      </c>
      <c r="E5680" s="29"/>
      <c r="F5680" s="29" t="s">
        <v>332</v>
      </c>
    </row>
    <row r="5681" spans="1:6" x14ac:dyDescent="0.35">
      <c r="A5681" s="27" t="s">
        <v>227</v>
      </c>
      <c r="B5681" s="27" t="s">
        <v>362</v>
      </c>
      <c r="C5681" s="28">
        <v>0.83330000000000004</v>
      </c>
      <c r="D5681" s="28">
        <v>0.16669999999999999</v>
      </c>
      <c r="E5681" s="29"/>
      <c r="F5681" s="29" t="s">
        <v>342</v>
      </c>
    </row>
    <row r="5682" spans="1:6" x14ac:dyDescent="0.35">
      <c r="A5682" s="27" t="s">
        <v>227</v>
      </c>
      <c r="B5682" s="27" t="s">
        <v>363</v>
      </c>
      <c r="C5682" s="28">
        <v>0.84619999999999995</v>
      </c>
      <c r="D5682" s="28">
        <v>0.15379999999999999</v>
      </c>
      <c r="E5682" s="29"/>
      <c r="F5682" s="29" t="s">
        <v>341</v>
      </c>
    </row>
    <row r="5683" spans="1:6" x14ac:dyDescent="0.35">
      <c r="A5683" t="s">
        <v>228</v>
      </c>
      <c r="B5683" t="s">
        <v>360</v>
      </c>
      <c r="C5683" s="26">
        <v>0.72719999999999996</v>
      </c>
      <c r="D5683" s="26">
        <v>0.27279999999999999</v>
      </c>
      <c r="F5683">
        <v>60</v>
      </c>
    </row>
    <row r="5684" spans="1:6" x14ac:dyDescent="0.35">
      <c r="A5684" t="s">
        <v>228</v>
      </c>
      <c r="B5684" t="s">
        <v>361</v>
      </c>
      <c r="C5684" s="26">
        <v>0.8145</v>
      </c>
      <c r="D5684" s="26">
        <v>0.1855</v>
      </c>
      <c r="F5684">
        <v>42</v>
      </c>
    </row>
    <row r="5685" spans="1:6" x14ac:dyDescent="0.35">
      <c r="A5685" t="s">
        <v>228</v>
      </c>
      <c r="B5685" t="s">
        <v>363</v>
      </c>
      <c r="C5685" s="26">
        <v>0.74280000000000002</v>
      </c>
      <c r="D5685" s="26">
        <v>0.2278</v>
      </c>
      <c r="E5685" s="26">
        <v>2.9399999999999999E-2</v>
      </c>
      <c r="F5685">
        <v>48</v>
      </c>
    </row>
    <row r="5686" spans="1:6" x14ac:dyDescent="0.35">
      <c r="A5686" t="s">
        <v>228</v>
      </c>
      <c r="B5686" t="s">
        <v>362</v>
      </c>
      <c r="C5686" s="26">
        <v>0.62849999999999995</v>
      </c>
      <c r="D5686" s="26">
        <v>0.3715</v>
      </c>
      <c r="F5686">
        <v>51</v>
      </c>
    </row>
    <row r="5687" spans="1:6" x14ac:dyDescent="0.35">
      <c r="A5687" t="s">
        <v>229</v>
      </c>
      <c r="B5687" t="s">
        <v>363</v>
      </c>
      <c r="C5687" s="26">
        <v>0.95040000000000002</v>
      </c>
      <c r="D5687" s="26">
        <v>4.9599999999999998E-2</v>
      </c>
      <c r="F5687">
        <v>39</v>
      </c>
    </row>
    <row r="5688" spans="1:6" x14ac:dyDescent="0.35">
      <c r="A5688" t="s">
        <v>229</v>
      </c>
      <c r="B5688" t="s">
        <v>360</v>
      </c>
      <c r="C5688" s="26">
        <v>0.90090000000000003</v>
      </c>
      <c r="D5688" s="26">
        <v>9.9099999999999994E-2</v>
      </c>
      <c r="F5688">
        <v>55</v>
      </c>
    </row>
    <row r="5689" spans="1:6" x14ac:dyDescent="0.35">
      <c r="A5689" t="s">
        <v>229</v>
      </c>
      <c r="B5689" t="s">
        <v>361</v>
      </c>
      <c r="C5689" s="26">
        <v>0.87480000000000002</v>
      </c>
      <c r="D5689" s="26">
        <v>0.1036</v>
      </c>
      <c r="E5689" s="26">
        <v>2.1600000000000001E-2</v>
      </c>
      <c r="F5689">
        <v>57</v>
      </c>
    </row>
    <row r="5690" spans="1:6" x14ac:dyDescent="0.35">
      <c r="A5690" t="s">
        <v>229</v>
      </c>
      <c r="B5690" t="s">
        <v>362</v>
      </c>
      <c r="C5690" s="26">
        <v>0.67820000000000003</v>
      </c>
      <c r="D5690" s="26">
        <v>0.27579999999999999</v>
      </c>
      <c r="E5690" s="26">
        <v>4.5999999999999999E-2</v>
      </c>
      <c r="F5690">
        <v>50</v>
      </c>
    </row>
    <row r="5691" spans="1:6" x14ac:dyDescent="0.35">
      <c r="A5691" t="s">
        <v>230</v>
      </c>
      <c r="B5691" t="s">
        <v>360</v>
      </c>
      <c r="C5691" s="26">
        <v>0.63339999999999996</v>
      </c>
      <c r="D5691" s="26">
        <v>0.36659999999999998</v>
      </c>
      <c r="F5691">
        <v>42</v>
      </c>
    </row>
    <row r="5692" spans="1:6" x14ac:dyDescent="0.35">
      <c r="A5692" t="s">
        <v>230</v>
      </c>
      <c r="B5692" t="s">
        <v>363</v>
      </c>
      <c r="C5692" s="26">
        <v>0.65769999999999995</v>
      </c>
      <c r="D5692" s="26">
        <v>0.34229999999999999</v>
      </c>
      <c r="F5692">
        <v>32</v>
      </c>
    </row>
    <row r="5693" spans="1:6" x14ac:dyDescent="0.35">
      <c r="A5693" s="27" t="s">
        <v>230</v>
      </c>
      <c r="B5693" s="27" t="s">
        <v>361</v>
      </c>
      <c r="C5693" s="28">
        <v>0.47849999999999998</v>
      </c>
      <c r="D5693" s="28">
        <v>0.52149999999999996</v>
      </c>
      <c r="E5693" s="29"/>
      <c r="F5693" s="29" t="s">
        <v>343</v>
      </c>
    </row>
    <row r="5694" spans="1:6" x14ac:dyDescent="0.35">
      <c r="A5694" t="s">
        <v>230</v>
      </c>
      <c r="B5694" t="s">
        <v>362</v>
      </c>
      <c r="C5694" s="26">
        <v>0.78400000000000003</v>
      </c>
      <c r="D5694" s="26">
        <v>0.216</v>
      </c>
      <c r="F5694">
        <v>42</v>
      </c>
    </row>
    <row r="5695" spans="1:6" x14ac:dyDescent="0.35">
      <c r="A5695" s="27" t="s">
        <v>231</v>
      </c>
      <c r="B5695" s="27" t="s">
        <v>362</v>
      </c>
      <c r="C5695" s="28">
        <v>0.66669999999999996</v>
      </c>
      <c r="D5695" s="28">
        <v>0.33329999999999999</v>
      </c>
      <c r="E5695" s="29"/>
      <c r="F5695" s="29" t="s">
        <v>335</v>
      </c>
    </row>
    <row r="5696" spans="1:6" x14ac:dyDescent="0.35">
      <c r="A5696" s="27" t="s">
        <v>231</v>
      </c>
      <c r="B5696" s="27" t="s">
        <v>361</v>
      </c>
      <c r="C5696" s="28">
        <v>0.66669999999999996</v>
      </c>
      <c r="D5696" s="28">
        <v>0.33329999999999999</v>
      </c>
      <c r="E5696" s="29"/>
      <c r="F5696" s="29" t="s">
        <v>335</v>
      </c>
    </row>
    <row r="5697" spans="1:6" x14ac:dyDescent="0.35">
      <c r="A5697" s="27" t="s">
        <v>231</v>
      </c>
      <c r="B5697" s="27" t="s">
        <v>360</v>
      </c>
      <c r="C5697" s="28">
        <v>0.64290000000000003</v>
      </c>
      <c r="D5697" s="28">
        <v>0.35709999999999997</v>
      </c>
      <c r="E5697" s="29"/>
      <c r="F5697" s="29" t="s">
        <v>379</v>
      </c>
    </row>
    <row r="5698" spans="1:6" x14ac:dyDescent="0.35">
      <c r="A5698" s="27" t="s">
        <v>231</v>
      </c>
      <c r="B5698" s="27" t="s">
        <v>363</v>
      </c>
      <c r="C5698" s="28">
        <v>1</v>
      </c>
      <c r="D5698" s="29"/>
      <c r="E5698" s="29"/>
      <c r="F5698" s="29" t="s">
        <v>332</v>
      </c>
    </row>
    <row r="5699" spans="1:6" x14ac:dyDescent="0.35">
      <c r="A5699" t="s">
        <v>232</v>
      </c>
      <c r="B5699" t="s">
        <v>232</v>
      </c>
      <c r="C5699" s="26">
        <v>0.76939999999999997</v>
      </c>
      <c r="D5699" s="26">
        <v>0.2233</v>
      </c>
      <c r="E5699" s="26">
        <v>7.3000000000000001E-3</v>
      </c>
      <c r="F5699">
        <v>608</v>
      </c>
    </row>
    <row r="5701" spans="1:6" x14ac:dyDescent="0.35">
      <c r="A5701" s="1" t="s">
        <v>761</v>
      </c>
    </row>
    <row r="5702" spans="1:6" x14ac:dyDescent="0.35">
      <c r="A5702" t="s">
        <v>219</v>
      </c>
      <c r="B5702" t="s">
        <v>305</v>
      </c>
      <c r="C5702" t="s">
        <v>303</v>
      </c>
      <c r="D5702" t="s">
        <v>302</v>
      </c>
      <c r="E5702" t="s">
        <v>281</v>
      </c>
      <c r="F5702" t="s">
        <v>226</v>
      </c>
    </row>
    <row r="5703" spans="1:6" x14ac:dyDescent="0.35">
      <c r="A5703" s="27" t="s">
        <v>227</v>
      </c>
      <c r="B5703" s="27" t="s">
        <v>267</v>
      </c>
      <c r="C5703" s="28">
        <v>0.66669999999999996</v>
      </c>
      <c r="D5703" s="28">
        <v>0.33329999999999999</v>
      </c>
      <c r="E5703" s="29"/>
      <c r="F5703" s="29" t="s">
        <v>335</v>
      </c>
    </row>
    <row r="5704" spans="1:6" x14ac:dyDescent="0.35">
      <c r="A5704" s="27" t="s">
        <v>227</v>
      </c>
      <c r="B5704" s="27" t="s">
        <v>266</v>
      </c>
      <c r="C5704" s="28">
        <v>0.7</v>
      </c>
      <c r="D5704" s="28">
        <v>0.3</v>
      </c>
      <c r="E5704" s="29"/>
      <c r="F5704" s="29" t="s">
        <v>307</v>
      </c>
    </row>
    <row r="5705" spans="1:6" x14ac:dyDescent="0.35">
      <c r="A5705" s="27" t="s">
        <v>227</v>
      </c>
      <c r="B5705" s="27" t="s">
        <v>265</v>
      </c>
      <c r="C5705" s="28">
        <v>0.96299999999999997</v>
      </c>
      <c r="D5705" s="28">
        <v>3.6999999999999998E-2</v>
      </c>
      <c r="E5705" s="29"/>
      <c r="F5705" s="29" t="s">
        <v>338</v>
      </c>
    </row>
    <row r="5706" spans="1:6" x14ac:dyDescent="0.35">
      <c r="A5706" t="s">
        <v>228</v>
      </c>
      <c r="B5706" t="s">
        <v>267</v>
      </c>
      <c r="C5706" s="26">
        <v>0.56140000000000001</v>
      </c>
      <c r="D5706" s="26">
        <v>0.39829999999999999</v>
      </c>
      <c r="E5706" s="26">
        <v>4.0300000000000002E-2</v>
      </c>
      <c r="F5706">
        <v>30</v>
      </c>
    </row>
    <row r="5707" spans="1:6" x14ac:dyDescent="0.35">
      <c r="A5707" t="s">
        <v>228</v>
      </c>
      <c r="B5707" t="s">
        <v>266</v>
      </c>
      <c r="C5707" s="26">
        <v>0.75560000000000005</v>
      </c>
      <c r="D5707" s="26">
        <v>0.23530000000000001</v>
      </c>
      <c r="E5707" s="26">
        <v>9.1000000000000004E-3</v>
      </c>
      <c r="F5707">
        <v>88</v>
      </c>
    </row>
    <row r="5708" spans="1:6" x14ac:dyDescent="0.35">
      <c r="A5708" t="s">
        <v>228</v>
      </c>
      <c r="B5708" t="s">
        <v>265</v>
      </c>
      <c r="C5708" s="26">
        <v>0.72929999999999995</v>
      </c>
      <c r="D5708" s="26">
        <v>0.2707</v>
      </c>
      <c r="F5708">
        <v>115</v>
      </c>
    </row>
    <row r="5709" spans="1:6" x14ac:dyDescent="0.35">
      <c r="A5709" t="s">
        <v>229</v>
      </c>
      <c r="B5709" t="s">
        <v>267</v>
      </c>
      <c r="C5709" s="26">
        <v>0.93600000000000005</v>
      </c>
      <c r="D5709" s="26">
        <v>6.4000000000000001E-2</v>
      </c>
      <c r="F5709">
        <v>40</v>
      </c>
    </row>
    <row r="5710" spans="1:6" x14ac:dyDescent="0.35">
      <c r="A5710" t="s">
        <v>229</v>
      </c>
      <c r="B5710" t="s">
        <v>266</v>
      </c>
      <c r="C5710" s="26">
        <v>0.88290000000000002</v>
      </c>
      <c r="D5710" s="26">
        <v>0.1171</v>
      </c>
      <c r="F5710">
        <v>77</v>
      </c>
    </row>
    <row r="5711" spans="1:6" x14ac:dyDescent="0.35">
      <c r="A5711" t="s">
        <v>229</v>
      </c>
      <c r="B5711" t="s">
        <v>265</v>
      </c>
      <c r="C5711" s="26">
        <v>0.80159999999999998</v>
      </c>
      <c r="D5711" s="26">
        <v>0.16869999999999999</v>
      </c>
      <c r="E5711" s="26">
        <v>2.9600000000000001E-2</v>
      </c>
      <c r="F5711">
        <v>122</v>
      </c>
    </row>
    <row r="5712" spans="1:6" x14ac:dyDescent="0.35">
      <c r="A5712" s="27" t="s">
        <v>230</v>
      </c>
      <c r="B5712" s="27" t="s">
        <v>267</v>
      </c>
      <c r="C5712" s="28">
        <v>0.48849999999999999</v>
      </c>
      <c r="D5712" s="28">
        <v>0.49480000000000002</v>
      </c>
      <c r="E5712" s="28">
        <v>1.67E-2</v>
      </c>
      <c r="F5712" s="29" t="s">
        <v>338</v>
      </c>
    </row>
    <row r="5713" spans="1:6" x14ac:dyDescent="0.35">
      <c r="A5713" t="s">
        <v>230</v>
      </c>
      <c r="B5713" t="s">
        <v>266</v>
      </c>
      <c r="C5713" s="26">
        <v>0.59570000000000001</v>
      </c>
      <c r="D5713" s="26">
        <v>0.40429999999999999</v>
      </c>
      <c r="F5713">
        <v>52</v>
      </c>
    </row>
    <row r="5714" spans="1:6" x14ac:dyDescent="0.35">
      <c r="A5714" t="s">
        <v>230</v>
      </c>
      <c r="B5714" t="s">
        <v>265</v>
      </c>
      <c r="C5714" s="26">
        <v>0.73750000000000004</v>
      </c>
      <c r="D5714" s="26">
        <v>0.26250000000000001</v>
      </c>
      <c r="F5714">
        <v>76</v>
      </c>
    </row>
    <row r="5715" spans="1:6" x14ac:dyDescent="0.35">
      <c r="A5715" s="27" t="s">
        <v>231</v>
      </c>
      <c r="B5715" s="27" t="s">
        <v>267</v>
      </c>
      <c r="C5715" s="28">
        <v>1</v>
      </c>
      <c r="D5715" s="29"/>
      <c r="E5715" s="29"/>
      <c r="F5715" s="29" t="s">
        <v>332</v>
      </c>
    </row>
    <row r="5716" spans="1:6" x14ac:dyDescent="0.35">
      <c r="A5716" s="27" t="s">
        <v>231</v>
      </c>
      <c r="B5716" s="27" t="s">
        <v>266</v>
      </c>
      <c r="C5716" s="28">
        <v>0.3</v>
      </c>
      <c r="D5716" s="28">
        <v>0.7</v>
      </c>
      <c r="E5716" s="29"/>
      <c r="F5716" s="29" t="s">
        <v>307</v>
      </c>
    </row>
    <row r="5717" spans="1:6" x14ac:dyDescent="0.35">
      <c r="A5717" s="27" t="s">
        <v>231</v>
      </c>
      <c r="B5717" s="27" t="s">
        <v>265</v>
      </c>
      <c r="C5717" s="28">
        <v>0.82350000000000001</v>
      </c>
      <c r="D5717" s="28">
        <v>0.17649999999999999</v>
      </c>
      <c r="E5717" s="29"/>
      <c r="F5717" s="29" t="s">
        <v>343</v>
      </c>
    </row>
    <row r="5718" spans="1:6" x14ac:dyDescent="0.35">
      <c r="A5718" t="s">
        <v>232</v>
      </c>
      <c r="B5718" t="s">
        <v>232</v>
      </c>
      <c r="C5718" s="26">
        <v>0.76939999999999997</v>
      </c>
      <c r="D5718" s="26">
        <v>0.2233</v>
      </c>
      <c r="E5718" s="26">
        <v>7.3000000000000001E-3</v>
      </c>
      <c r="F5718">
        <v>702</v>
      </c>
    </row>
    <row r="5720" spans="1:6" x14ac:dyDescent="0.35">
      <c r="A5720" s="1" t="s">
        <v>762</v>
      </c>
    </row>
    <row r="5721" spans="1:6" x14ac:dyDescent="0.35">
      <c r="A5721" t="s">
        <v>219</v>
      </c>
      <c r="B5721" t="s">
        <v>305</v>
      </c>
      <c r="C5721" t="s">
        <v>303</v>
      </c>
      <c r="D5721" t="s">
        <v>302</v>
      </c>
      <c r="E5721" t="s">
        <v>281</v>
      </c>
      <c r="F5721" t="s">
        <v>226</v>
      </c>
    </row>
    <row r="5722" spans="1:6" x14ac:dyDescent="0.35">
      <c r="A5722" s="27" t="s">
        <v>227</v>
      </c>
      <c r="B5722" s="27" t="s">
        <v>252</v>
      </c>
      <c r="C5722" s="29"/>
      <c r="D5722" s="28">
        <v>1</v>
      </c>
      <c r="E5722" s="29"/>
      <c r="F5722" s="29" t="s">
        <v>331</v>
      </c>
    </row>
    <row r="5723" spans="1:6" x14ac:dyDescent="0.35">
      <c r="A5723" s="27" t="s">
        <v>227</v>
      </c>
      <c r="B5723" s="27" t="s">
        <v>253</v>
      </c>
      <c r="C5723" s="28">
        <v>1</v>
      </c>
      <c r="D5723" s="29"/>
      <c r="E5723" s="29"/>
      <c r="F5723" s="29" t="s">
        <v>307</v>
      </c>
    </row>
    <row r="5724" spans="1:6" x14ac:dyDescent="0.35">
      <c r="A5724" t="s">
        <v>227</v>
      </c>
      <c r="B5724" t="s">
        <v>251</v>
      </c>
      <c r="C5724" s="26">
        <v>0.84379999999999999</v>
      </c>
      <c r="D5724" s="26">
        <v>0.15620000000000001</v>
      </c>
      <c r="F5724">
        <v>32</v>
      </c>
    </row>
    <row r="5725" spans="1:6" x14ac:dyDescent="0.35">
      <c r="A5725" s="27" t="s">
        <v>228</v>
      </c>
      <c r="B5725" s="27" t="s">
        <v>252</v>
      </c>
      <c r="C5725" s="28">
        <v>1</v>
      </c>
      <c r="D5725" s="29"/>
      <c r="E5725" s="29"/>
      <c r="F5725" s="29" t="s">
        <v>331</v>
      </c>
    </row>
    <row r="5726" spans="1:6" x14ac:dyDescent="0.35">
      <c r="A5726" t="s">
        <v>228</v>
      </c>
      <c r="B5726" t="s">
        <v>253</v>
      </c>
      <c r="C5726" s="26">
        <v>0.77459999999999996</v>
      </c>
      <c r="D5726" s="26">
        <v>0.21240000000000001</v>
      </c>
      <c r="E5726" s="26">
        <v>1.2999999999999999E-2</v>
      </c>
      <c r="F5726">
        <v>63</v>
      </c>
    </row>
    <row r="5727" spans="1:6" x14ac:dyDescent="0.35">
      <c r="A5727" t="s">
        <v>228</v>
      </c>
      <c r="B5727" t="s">
        <v>251</v>
      </c>
      <c r="C5727" s="26">
        <v>0.69669999999999999</v>
      </c>
      <c r="D5727" s="26">
        <v>0.29720000000000002</v>
      </c>
      <c r="E5727" s="26">
        <v>6.1000000000000004E-3</v>
      </c>
      <c r="F5727">
        <v>169</v>
      </c>
    </row>
    <row r="5728" spans="1:6" x14ac:dyDescent="0.35">
      <c r="A5728" s="27" t="s">
        <v>229</v>
      </c>
      <c r="B5728" s="27" t="s">
        <v>252</v>
      </c>
      <c r="C5728" s="28">
        <v>1</v>
      </c>
      <c r="D5728" s="29"/>
      <c r="E5728" s="29"/>
      <c r="F5728" s="29" t="s">
        <v>331</v>
      </c>
    </row>
    <row r="5729" spans="1:6" x14ac:dyDescent="0.35">
      <c r="A5729" t="s">
        <v>229</v>
      </c>
      <c r="B5729" t="s">
        <v>253</v>
      </c>
      <c r="C5729" s="26">
        <v>0.82499999999999996</v>
      </c>
      <c r="D5729" s="26">
        <v>0.17499999999999999</v>
      </c>
      <c r="F5729">
        <v>39</v>
      </c>
    </row>
    <row r="5730" spans="1:6" x14ac:dyDescent="0.35">
      <c r="A5730" t="s">
        <v>229</v>
      </c>
      <c r="B5730" t="s">
        <v>251</v>
      </c>
      <c r="C5730" s="26">
        <v>0.85109999999999997</v>
      </c>
      <c r="D5730" s="26">
        <v>0.12889999999999999</v>
      </c>
      <c r="E5730" s="26">
        <v>0.02</v>
      </c>
      <c r="F5730">
        <v>199</v>
      </c>
    </row>
    <row r="5731" spans="1:6" x14ac:dyDescent="0.35">
      <c r="A5731" s="27" t="s">
        <v>230</v>
      </c>
      <c r="B5731" s="27" t="s">
        <v>253</v>
      </c>
      <c r="C5731" s="28">
        <v>0.77149999999999996</v>
      </c>
      <c r="D5731" s="28">
        <v>0.22850000000000001</v>
      </c>
      <c r="E5731" s="29"/>
      <c r="F5731" s="29" t="s">
        <v>312</v>
      </c>
    </row>
    <row r="5732" spans="1:6" x14ac:dyDescent="0.35">
      <c r="A5732" t="s">
        <v>230</v>
      </c>
      <c r="B5732" t="s">
        <v>251</v>
      </c>
      <c r="C5732" s="26">
        <v>0.62829999999999997</v>
      </c>
      <c r="D5732" s="26">
        <v>0.36809999999999998</v>
      </c>
      <c r="E5732" s="26">
        <v>3.5000000000000001E-3</v>
      </c>
      <c r="F5732">
        <v>130</v>
      </c>
    </row>
    <row r="5733" spans="1:6" x14ac:dyDescent="0.35">
      <c r="A5733" s="27" t="s">
        <v>231</v>
      </c>
      <c r="B5733" s="27" t="s">
        <v>252</v>
      </c>
      <c r="C5733" s="29"/>
      <c r="D5733" s="28">
        <v>1</v>
      </c>
      <c r="E5733" s="29"/>
      <c r="F5733" s="29" t="s">
        <v>314</v>
      </c>
    </row>
    <row r="5734" spans="1:6" x14ac:dyDescent="0.35">
      <c r="A5734" s="27" t="s">
        <v>231</v>
      </c>
      <c r="B5734" s="27" t="s">
        <v>253</v>
      </c>
      <c r="C5734" s="28">
        <v>0.5</v>
      </c>
      <c r="D5734" s="28">
        <v>0.5</v>
      </c>
      <c r="E5734" s="29"/>
      <c r="F5734" s="29" t="s">
        <v>335</v>
      </c>
    </row>
    <row r="5735" spans="1:6" x14ac:dyDescent="0.35">
      <c r="A5735" s="27" t="s">
        <v>231</v>
      </c>
      <c r="B5735" s="27" t="s">
        <v>251</v>
      </c>
      <c r="C5735" s="28">
        <v>0.79169999999999996</v>
      </c>
      <c r="D5735" s="28">
        <v>0.20830000000000001</v>
      </c>
      <c r="E5735" s="29"/>
      <c r="F5735" s="29" t="s">
        <v>310</v>
      </c>
    </row>
    <row r="5736" spans="1:6" x14ac:dyDescent="0.35">
      <c r="A5736" t="s">
        <v>232</v>
      </c>
      <c r="B5736" t="s">
        <v>232</v>
      </c>
      <c r="C5736" s="26">
        <v>0.76939999999999997</v>
      </c>
      <c r="D5736" s="26">
        <v>0.2233</v>
      </c>
      <c r="E5736" s="26">
        <v>7.3000000000000001E-3</v>
      </c>
      <c r="F5736">
        <v>702</v>
      </c>
    </row>
    <row r="5738" spans="1:6" x14ac:dyDescent="0.35">
      <c r="A5738" s="1" t="s">
        <v>763</v>
      </c>
    </row>
    <row r="5739" spans="1:6" x14ac:dyDescent="0.35">
      <c r="A5739" t="s">
        <v>219</v>
      </c>
      <c r="B5739" t="s">
        <v>305</v>
      </c>
      <c r="C5739" t="s">
        <v>303</v>
      </c>
      <c r="D5739" t="s">
        <v>302</v>
      </c>
      <c r="E5739" t="s">
        <v>281</v>
      </c>
      <c r="F5739" t="s">
        <v>226</v>
      </c>
    </row>
    <row r="5740" spans="1:6" x14ac:dyDescent="0.35">
      <c r="A5740" t="s">
        <v>227</v>
      </c>
      <c r="B5740" t="s">
        <v>260</v>
      </c>
      <c r="C5740" s="26">
        <v>0.88570000000000004</v>
      </c>
      <c r="D5740" s="26">
        <v>0.1143</v>
      </c>
      <c r="F5740">
        <v>35</v>
      </c>
    </row>
    <row r="5741" spans="1:6" x14ac:dyDescent="0.35">
      <c r="A5741" s="27" t="s">
        <v>227</v>
      </c>
      <c r="B5741" s="27" t="s">
        <v>261</v>
      </c>
      <c r="C5741" s="28">
        <v>0.66669999999999996</v>
      </c>
      <c r="D5741" s="28">
        <v>0.33329999999999999</v>
      </c>
      <c r="E5741" s="29"/>
      <c r="F5741" s="29" t="s">
        <v>335</v>
      </c>
    </row>
    <row r="5742" spans="1:6" x14ac:dyDescent="0.35">
      <c r="A5742" s="27" t="s">
        <v>227</v>
      </c>
      <c r="B5742" s="27" t="s">
        <v>262</v>
      </c>
      <c r="C5742" s="28">
        <v>1</v>
      </c>
      <c r="D5742" s="29"/>
      <c r="E5742" s="29"/>
      <c r="F5742" s="29" t="s">
        <v>314</v>
      </c>
    </row>
    <row r="5743" spans="1:6" x14ac:dyDescent="0.35">
      <c r="A5743" t="s">
        <v>228</v>
      </c>
      <c r="B5743" t="s">
        <v>262</v>
      </c>
      <c r="C5743" s="26">
        <v>0.71030000000000004</v>
      </c>
      <c r="D5743" s="26">
        <v>0.26040000000000002</v>
      </c>
      <c r="E5743" s="26">
        <v>2.93E-2</v>
      </c>
      <c r="F5743">
        <v>70</v>
      </c>
    </row>
    <row r="5744" spans="1:6" x14ac:dyDescent="0.35">
      <c r="A5744" s="27" t="s">
        <v>228</v>
      </c>
      <c r="B5744" s="27" t="s">
        <v>263</v>
      </c>
      <c r="C5744" s="29"/>
      <c r="D5744" s="28">
        <v>1</v>
      </c>
      <c r="E5744" s="29"/>
      <c r="F5744" s="29" t="s">
        <v>337</v>
      </c>
    </row>
    <row r="5745" spans="1:6" x14ac:dyDescent="0.35">
      <c r="A5745" s="27" t="s">
        <v>228</v>
      </c>
      <c r="B5745" s="27" t="s">
        <v>236</v>
      </c>
      <c r="C5745" s="28">
        <v>0.77429999999999999</v>
      </c>
      <c r="D5745" s="28">
        <v>0.22570000000000001</v>
      </c>
      <c r="E5745" s="29"/>
      <c r="F5745" s="29" t="s">
        <v>314</v>
      </c>
    </row>
    <row r="5746" spans="1:6" x14ac:dyDescent="0.35">
      <c r="A5746" t="s">
        <v>228</v>
      </c>
      <c r="B5746" t="s">
        <v>260</v>
      </c>
      <c r="C5746" s="26">
        <v>0.78320000000000001</v>
      </c>
      <c r="D5746" s="26">
        <v>0.21679999999999999</v>
      </c>
      <c r="F5746">
        <v>106</v>
      </c>
    </row>
    <row r="5747" spans="1:6" x14ac:dyDescent="0.35">
      <c r="A5747" t="s">
        <v>228</v>
      </c>
      <c r="B5747" t="s">
        <v>261</v>
      </c>
      <c r="C5747" s="26">
        <v>0.63090000000000002</v>
      </c>
      <c r="D5747" s="26">
        <v>0.36909999999999998</v>
      </c>
      <c r="F5747">
        <v>51</v>
      </c>
    </row>
    <row r="5748" spans="1:6" x14ac:dyDescent="0.35">
      <c r="A5748" s="27" t="s">
        <v>229</v>
      </c>
      <c r="B5748" s="27" t="s">
        <v>263</v>
      </c>
      <c r="C5748" s="28">
        <v>0.38869999999999999</v>
      </c>
      <c r="D5748" s="28">
        <v>0.61129999999999995</v>
      </c>
      <c r="E5748" s="29"/>
      <c r="F5748" s="29" t="s">
        <v>335</v>
      </c>
    </row>
    <row r="5749" spans="1:6" x14ac:dyDescent="0.35">
      <c r="A5749" t="s">
        <v>229</v>
      </c>
      <c r="B5749" t="s">
        <v>261</v>
      </c>
      <c r="C5749" s="26">
        <v>0.82850000000000001</v>
      </c>
      <c r="D5749" s="26">
        <v>0.11899999999999999</v>
      </c>
      <c r="E5749" s="26">
        <v>5.2600000000000001E-2</v>
      </c>
      <c r="F5749">
        <v>31</v>
      </c>
    </row>
    <row r="5750" spans="1:6" x14ac:dyDescent="0.35">
      <c r="A5750" t="s">
        <v>229</v>
      </c>
      <c r="B5750" t="s">
        <v>262</v>
      </c>
      <c r="C5750" s="26">
        <v>0.82430000000000003</v>
      </c>
      <c r="D5750" s="26">
        <v>0.1757</v>
      </c>
      <c r="F5750">
        <v>76</v>
      </c>
    </row>
    <row r="5751" spans="1:6" x14ac:dyDescent="0.35">
      <c r="A5751" t="s">
        <v>229</v>
      </c>
      <c r="B5751" t="s">
        <v>260</v>
      </c>
      <c r="C5751" s="26">
        <v>0.89839999999999998</v>
      </c>
      <c r="D5751" s="26">
        <v>8.14E-2</v>
      </c>
      <c r="E5751" s="26">
        <v>2.0199999999999999E-2</v>
      </c>
      <c r="F5751">
        <v>126</v>
      </c>
    </row>
    <row r="5752" spans="1:6" x14ac:dyDescent="0.35">
      <c r="A5752" s="27" t="s">
        <v>230</v>
      </c>
      <c r="B5752" s="27" t="s">
        <v>261</v>
      </c>
      <c r="C5752" s="28">
        <v>0.52539999999999998</v>
      </c>
      <c r="D5752" s="28">
        <v>0.47460000000000002</v>
      </c>
      <c r="E5752" s="29"/>
      <c r="F5752" s="29" t="s">
        <v>310</v>
      </c>
    </row>
    <row r="5753" spans="1:6" x14ac:dyDescent="0.35">
      <c r="A5753" t="s">
        <v>230</v>
      </c>
      <c r="B5753" t="s">
        <v>262</v>
      </c>
      <c r="C5753" s="26">
        <v>0.57869999999999999</v>
      </c>
      <c r="D5753" s="26">
        <v>0.42130000000000001</v>
      </c>
      <c r="F5753">
        <v>42</v>
      </c>
    </row>
    <row r="5754" spans="1:6" x14ac:dyDescent="0.35">
      <c r="A5754" t="s">
        <v>230</v>
      </c>
      <c r="B5754" t="s">
        <v>260</v>
      </c>
      <c r="C5754" s="26">
        <v>0.69350000000000001</v>
      </c>
      <c r="D5754" s="26">
        <v>0.30170000000000002</v>
      </c>
      <c r="E5754" s="26">
        <v>4.7999999999999996E-3</v>
      </c>
      <c r="F5754">
        <v>83</v>
      </c>
    </row>
    <row r="5755" spans="1:6" x14ac:dyDescent="0.35">
      <c r="A5755" s="27" t="s">
        <v>230</v>
      </c>
      <c r="B5755" s="27" t="s">
        <v>236</v>
      </c>
      <c r="C5755" s="29"/>
      <c r="D5755" s="28">
        <v>1</v>
      </c>
      <c r="E5755" s="29"/>
      <c r="F5755" s="29" t="s">
        <v>331</v>
      </c>
    </row>
    <row r="5756" spans="1:6" x14ac:dyDescent="0.35">
      <c r="A5756" s="27" t="s">
        <v>230</v>
      </c>
      <c r="B5756" s="27" t="s">
        <v>263</v>
      </c>
      <c r="C5756" s="28">
        <v>0.96479999999999999</v>
      </c>
      <c r="D5756" s="28">
        <v>3.5200000000000002E-2</v>
      </c>
      <c r="E5756" s="29"/>
      <c r="F5756" s="29" t="s">
        <v>332</v>
      </c>
    </row>
    <row r="5757" spans="1:6" x14ac:dyDescent="0.35">
      <c r="A5757" s="27" t="s">
        <v>231</v>
      </c>
      <c r="B5757" s="27" t="s">
        <v>263</v>
      </c>
      <c r="C5757" s="28">
        <v>1</v>
      </c>
      <c r="D5757" s="29"/>
      <c r="E5757" s="29"/>
      <c r="F5757" s="29" t="s">
        <v>331</v>
      </c>
    </row>
    <row r="5758" spans="1:6" x14ac:dyDescent="0.35">
      <c r="A5758" s="27" t="s">
        <v>231</v>
      </c>
      <c r="B5758" s="27" t="s">
        <v>260</v>
      </c>
      <c r="C5758" s="28">
        <v>0.75</v>
      </c>
      <c r="D5758" s="28">
        <v>0.25</v>
      </c>
      <c r="E5758" s="29"/>
      <c r="F5758" s="29" t="s">
        <v>310</v>
      </c>
    </row>
    <row r="5759" spans="1:6" x14ac:dyDescent="0.35">
      <c r="A5759" s="27" t="s">
        <v>231</v>
      </c>
      <c r="B5759" s="27" t="s">
        <v>261</v>
      </c>
      <c r="C5759" s="28">
        <v>0.25</v>
      </c>
      <c r="D5759" s="28">
        <v>0.75</v>
      </c>
      <c r="E5759" s="29"/>
      <c r="F5759" s="29" t="s">
        <v>337</v>
      </c>
    </row>
    <row r="5760" spans="1:6" x14ac:dyDescent="0.35">
      <c r="A5760" s="27" t="s">
        <v>231</v>
      </c>
      <c r="B5760" s="27" t="s">
        <v>262</v>
      </c>
      <c r="C5760" s="28">
        <v>0.66669999999999996</v>
      </c>
      <c r="D5760" s="28">
        <v>0.33329999999999999</v>
      </c>
      <c r="E5760" s="29"/>
      <c r="F5760" s="29" t="s">
        <v>315</v>
      </c>
    </row>
    <row r="5761" spans="1:6" x14ac:dyDescent="0.35">
      <c r="A5761" t="s">
        <v>232</v>
      </c>
      <c r="B5761" t="s">
        <v>232</v>
      </c>
      <c r="C5761" s="26">
        <v>0.76939999999999997</v>
      </c>
      <c r="D5761" s="26">
        <v>0.2233</v>
      </c>
      <c r="E5761" s="26">
        <v>7.3000000000000001E-3</v>
      </c>
      <c r="F5761">
        <v>702</v>
      </c>
    </row>
    <row r="5763" spans="1:6" x14ac:dyDescent="0.35">
      <c r="A5763" s="1" t="s">
        <v>764</v>
      </c>
    </row>
    <row r="5764" spans="1:6" x14ac:dyDescent="0.35">
      <c r="A5764" t="s">
        <v>219</v>
      </c>
      <c r="B5764" t="s">
        <v>305</v>
      </c>
      <c r="C5764" t="s">
        <v>303</v>
      </c>
      <c r="D5764" t="s">
        <v>302</v>
      </c>
      <c r="E5764" t="s">
        <v>281</v>
      </c>
      <c r="F5764" t="s">
        <v>226</v>
      </c>
    </row>
    <row r="5765" spans="1:6" x14ac:dyDescent="0.35">
      <c r="A5765" s="27" t="s">
        <v>227</v>
      </c>
      <c r="B5765" s="27" t="s">
        <v>368</v>
      </c>
      <c r="C5765" s="28">
        <v>0.66669999999999996</v>
      </c>
      <c r="D5765" s="28">
        <v>0.33329999999999999</v>
      </c>
      <c r="E5765" s="29"/>
      <c r="F5765" s="29" t="s">
        <v>335</v>
      </c>
    </row>
    <row r="5766" spans="1:6" x14ac:dyDescent="0.35">
      <c r="A5766" t="s">
        <v>227</v>
      </c>
      <c r="B5766" t="s">
        <v>369</v>
      </c>
      <c r="C5766" s="26">
        <v>0.89190000000000003</v>
      </c>
      <c r="D5766" s="26">
        <v>0.1081</v>
      </c>
      <c r="F5766">
        <v>37</v>
      </c>
    </row>
    <row r="5767" spans="1:6" x14ac:dyDescent="0.35">
      <c r="A5767" t="s">
        <v>228</v>
      </c>
      <c r="B5767" t="s">
        <v>368</v>
      </c>
      <c r="C5767" s="26">
        <v>0.63090000000000002</v>
      </c>
      <c r="D5767" s="26">
        <v>0.36909999999999998</v>
      </c>
      <c r="F5767">
        <v>51</v>
      </c>
    </row>
    <row r="5768" spans="1:6" x14ac:dyDescent="0.35">
      <c r="A5768" t="s">
        <v>228</v>
      </c>
      <c r="B5768" t="s">
        <v>369</v>
      </c>
      <c r="C5768" s="26">
        <v>0.74060000000000004</v>
      </c>
      <c r="D5768" s="26">
        <v>0.24990000000000001</v>
      </c>
      <c r="E5768" s="26">
        <v>9.4999999999999998E-3</v>
      </c>
      <c r="F5768">
        <v>182</v>
      </c>
    </row>
    <row r="5769" spans="1:6" x14ac:dyDescent="0.35">
      <c r="A5769" t="s">
        <v>229</v>
      </c>
      <c r="B5769" t="s">
        <v>368</v>
      </c>
      <c r="C5769" s="26">
        <v>0.82850000000000001</v>
      </c>
      <c r="D5769" s="26">
        <v>0.11899999999999999</v>
      </c>
      <c r="E5769" s="26">
        <v>5.2600000000000001E-2</v>
      </c>
      <c r="F5769">
        <v>31</v>
      </c>
    </row>
    <row r="5770" spans="1:6" x14ac:dyDescent="0.35">
      <c r="A5770" t="s">
        <v>229</v>
      </c>
      <c r="B5770" t="s">
        <v>369</v>
      </c>
      <c r="C5770" s="26">
        <v>0.85009999999999997</v>
      </c>
      <c r="D5770" s="26">
        <v>0.1401</v>
      </c>
      <c r="E5770" s="26">
        <v>9.7999999999999997E-3</v>
      </c>
      <c r="F5770">
        <v>208</v>
      </c>
    </row>
    <row r="5771" spans="1:6" x14ac:dyDescent="0.35">
      <c r="A5771" s="27" t="s">
        <v>230</v>
      </c>
      <c r="B5771" s="27" t="s">
        <v>368</v>
      </c>
      <c r="C5771" s="28">
        <v>0.52539999999999998</v>
      </c>
      <c r="D5771" s="28">
        <v>0.47460000000000002</v>
      </c>
      <c r="E5771" s="29"/>
      <c r="F5771" s="29" t="s">
        <v>310</v>
      </c>
    </row>
    <row r="5772" spans="1:6" x14ac:dyDescent="0.35">
      <c r="A5772" t="s">
        <v>230</v>
      </c>
      <c r="B5772" t="s">
        <v>369</v>
      </c>
      <c r="C5772" s="26">
        <v>0.67510000000000003</v>
      </c>
      <c r="D5772" s="26">
        <v>0.32119999999999999</v>
      </c>
      <c r="E5772" s="26">
        <v>3.5999999999999999E-3</v>
      </c>
      <c r="F5772">
        <v>131</v>
      </c>
    </row>
    <row r="5773" spans="1:6" x14ac:dyDescent="0.35">
      <c r="A5773" s="27" t="s">
        <v>231</v>
      </c>
      <c r="B5773" s="27" t="s">
        <v>368</v>
      </c>
      <c r="C5773" s="28">
        <v>0.25</v>
      </c>
      <c r="D5773" s="28">
        <v>0.75</v>
      </c>
      <c r="E5773" s="29"/>
      <c r="F5773" s="29" t="s">
        <v>337</v>
      </c>
    </row>
    <row r="5774" spans="1:6" x14ac:dyDescent="0.35">
      <c r="A5774" s="27" t="s">
        <v>231</v>
      </c>
      <c r="B5774" s="27" t="s">
        <v>369</v>
      </c>
      <c r="C5774" s="28">
        <v>0.75</v>
      </c>
      <c r="D5774" s="28">
        <v>0.25</v>
      </c>
      <c r="E5774" s="29"/>
      <c r="F5774" s="29" t="s">
        <v>336</v>
      </c>
    </row>
    <row r="5775" spans="1:6" x14ac:dyDescent="0.35">
      <c r="A5775" t="s">
        <v>232</v>
      </c>
      <c r="B5775" t="s">
        <v>232</v>
      </c>
      <c r="C5775" s="26">
        <v>0.76939999999999997</v>
      </c>
      <c r="D5775" s="26">
        <v>0.2233</v>
      </c>
      <c r="E5775" s="26">
        <v>7.3000000000000001E-3</v>
      </c>
      <c r="F5775">
        <v>702</v>
      </c>
    </row>
    <row r="5777" spans="1:6" x14ac:dyDescent="0.35">
      <c r="A5777" s="1" t="s">
        <v>765</v>
      </c>
    </row>
    <row r="5778" spans="1:6" x14ac:dyDescent="0.35">
      <c r="A5778" t="s">
        <v>219</v>
      </c>
      <c r="B5778" t="s">
        <v>305</v>
      </c>
      <c r="C5778" t="s">
        <v>303</v>
      </c>
      <c r="D5778" t="s">
        <v>302</v>
      </c>
      <c r="E5778" t="s">
        <v>281</v>
      </c>
      <c r="F5778" t="s">
        <v>226</v>
      </c>
    </row>
    <row r="5779" spans="1:6" x14ac:dyDescent="0.35">
      <c r="A5779" t="s">
        <v>227</v>
      </c>
      <c r="B5779" t="s">
        <v>371</v>
      </c>
      <c r="C5779" s="26">
        <v>0.86050000000000004</v>
      </c>
      <c r="D5779" s="26">
        <v>0.13950000000000001</v>
      </c>
      <c r="F5779">
        <v>43</v>
      </c>
    </row>
    <row r="5780" spans="1:6" x14ac:dyDescent="0.35">
      <c r="A5780" t="s">
        <v>228</v>
      </c>
      <c r="B5780" t="s">
        <v>371</v>
      </c>
      <c r="C5780" s="26">
        <v>0.8155</v>
      </c>
      <c r="D5780" s="26">
        <v>0.1845</v>
      </c>
      <c r="F5780">
        <v>82</v>
      </c>
    </row>
    <row r="5781" spans="1:6" x14ac:dyDescent="0.35">
      <c r="A5781" t="s">
        <v>228</v>
      </c>
      <c r="B5781" t="s">
        <v>372</v>
      </c>
      <c r="C5781" s="26">
        <v>0.61480000000000001</v>
      </c>
      <c r="D5781" s="26">
        <v>0.38519999999999999</v>
      </c>
      <c r="F5781">
        <v>37</v>
      </c>
    </row>
    <row r="5782" spans="1:6" x14ac:dyDescent="0.35">
      <c r="A5782" t="s">
        <v>228</v>
      </c>
      <c r="B5782" t="s">
        <v>373</v>
      </c>
      <c r="C5782" s="26">
        <v>0.5575</v>
      </c>
      <c r="D5782" s="26">
        <v>0.41889999999999999</v>
      </c>
      <c r="E5782" s="26">
        <v>2.3699999999999999E-2</v>
      </c>
      <c r="F5782">
        <v>114</v>
      </c>
    </row>
    <row r="5783" spans="1:6" x14ac:dyDescent="0.35">
      <c r="A5783" t="s">
        <v>229</v>
      </c>
      <c r="B5783" t="s">
        <v>371</v>
      </c>
      <c r="C5783" s="26">
        <v>0.85329999999999995</v>
      </c>
      <c r="D5783" s="26">
        <v>0.129</v>
      </c>
      <c r="E5783" s="26">
        <v>1.77E-2</v>
      </c>
      <c r="F5783">
        <v>161</v>
      </c>
    </row>
    <row r="5784" spans="1:6" x14ac:dyDescent="0.35">
      <c r="A5784" t="s">
        <v>229</v>
      </c>
      <c r="B5784" t="s">
        <v>372</v>
      </c>
      <c r="C5784" s="26">
        <v>0.79110000000000003</v>
      </c>
      <c r="D5784" s="26">
        <v>0.2089</v>
      </c>
      <c r="F5784">
        <v>56</v>
      </c>
    </row>
    <row r="5785" spans="1:6" x14ac:dyDescent="0.35">
      <c r="A5785" s="27" t="s">
        <v>229</v>
      </c>
      <c r="B5785" s="27" t="s">
        <v>373</v>
      </c>
      <c r="C5785" s="28">
        <v>0.65900000000000003</v>
      </c>
      <c r="D5785" s="28">
        <v>0.34100000000000003</v>
      </c>
      <c r="E5785" s="29"/>
      <c r="F5785" s="29" t="s">
        <v>347</v>
      </c>
    </row>
    <row r="5786" spans="1:6" x14ac:dyDescent="0.35">
      <c r="A5786" t="s">
        <v>230</v>
      </c>
      <c r="B5786" t="s">
        <v>371</v>
      </c>
      <c r="C5786" s="26">
        <v>0.63749999999999996</v>
      </c>
      <c r="D5786" s="26">
        <v>0.3589</v>
      </c>
      <c r="E5786" s="26">
        <v>3.5999999999999999E-3</v>
      </c>
      <c r="F5786">
        <v>84</v>
      </c>
    </row>
    <row r="5787" spans="1:6" x14ac:dyDescent="0.35">
      <c r="A5787" s="27" t="s">
        <v>230</v>
      </c>
      <c r="B5787" s="27" t="s">
        <v>372</v>
      </c>
      <c r="C5787" s="28">
        <v>0.84570000000000001</v>
      </c>
      <c r="D5787" s="28">
        <v>0.15429999999999999</v>
      </c>
      <c r="E5787" s="29"/>
      <c r="F5787" s="29" t="s">
        <v>329</v>
      </c>
    </row>
    <row r="5788" spans="1:6" x14ac:dyDescent="0.35">
      <c r="A5788" t="s">
        <v>230</v>
      </c>
      <c r="B5788" t="s">
        <v>373</v>
      </c>
      <c r="C5788" s="26">
        <v>0.66859999999999997</v>
      </c>
      <c r="D5788" s="26">
        <v>0.33139999999999997</v>
      </c>
      <c r="F5788">
        <v>42</v>
      </c>
    </row>
    <row r="5789" spans="1:6" x14ac:dyDescent="0.35">
      <c r="A5789" t="s">
        <v>231</v>
      </c>
      <c r="B5789" t="s">
        <v>371</v>
      </c>
      <c r="C5789" s="26">
        <v>0.6875</v>
      </c>
      <c r="D5789" s="26">
        <v>0.3125</v>
      </c>
      <c r="F5789">
        <v>32</v>
      </c>
    </row>
    <row r="5790" spans="1:6" x14ac:dyDescent="0.35">
      <c r="A5790" t="s">
        <v>232</v>
      </c>
      <c r="B5790" t="s">
        <v>232</v>
      </c>
      <c r="C5790" s="26">
        <v>0.76939999999999997</v>
      </c>
      <c r="D5790" s="26">
        <v>0.2233</v>
      </c>
      <c r="E5790" s="26">
        <v>7.3000000000000001E-3</v>
      </c>
      <c r="F5790">
        <v>702</v>
      </c>
    </row>
    <row r="5792" spans="1:6" x14ac:dyDescent="0.35">
      <c r="A5792" s="1" t="s">
        <v>766</v>
      </c>
    </row>
    <row r="5793" spans="1:7" x14ac:dyDescent="0.35">
      <c r="A5793" t="s">
        <v>219</v>
      </c>
      <c r="B5793" t="s">
        <v>767</v>
      </c>
      <c r="C5793" t="s">
        <v>768</v>
      </c>
      <c r="D5793" t="s">
        <v>769</v>
      </c>
      <c r="E5793" t="s">
        <v>770</v>
      </c>
      <c r="F5793" t="s">
        <v>226</v>
      </c>
    </row>
    <row r="5794" spans="1:7" x14ac:dyDescent="0.35">
      <c r="A5794" t="s">
        <v>227</v>
      </c>
      <c r="B5794" s="26">
        <v>0.3256</v>
      </c>
      <c r="C5794" s="26">
        <v>0.27910000000000001</v>
      </c>
      <c r="D5794" s="26">
        <v>0.25580000000000003</v>
      </c>
      <c r="E5794" s="26">
        <v>0.13950000000000001</v>
      </c>
      <c r="F5794">
        <v>43</v>
      </c>
    </row>
    <row r="5795" spans="1:7" x14ac:dyDescent="0.35">
      <c r="A5795" t="s">
        <v>228</v>
      </c>
      <c r="B5795" s="26">
        <v>0.39379999999999998</v>
      </c>
      <c r="C5795" s="26">
        <v>0.2311</v>
      </c>
      <c r="D5795" s="26">
        <v>0.21870000000000001</v>
      </c>
      <c r="E5795" s="26">
        <v>0.15640000000000001</v>
      </c>
      <c r="F5795">
        <v>233</v>
      </c>
    </row>
    <row r="5796" spans="1:7" x14ac:dyDescent="0.35">
      <c r="A5796" t="s">
        <v>229</v>
      </c>
      <c r="B5796" s="26">
        <v>0.43480000000000002</v>
      </c>
      <c r="C5796" s="26">
        <v>0.2369</v>
      </c>
      <c r="D5796" s="26">
        <v>0.15490000000000001</v>
      </c>
      <c r="E5796" s="26">
        <v>0.1734</v>
      </c>
      <c r="F5796">
        <v>239</v>
      </c>
    </row>
    <row r="5797" spans="1:7" x14ac:dyDescent="0.35">
      <c r="A5797" t="s">
        <v>230</v>
      </c>
      <c r="B5797" s="26">
        <v>0.35160000000000002</v>
      </c>
      <c r="C5797" s="26">
        <v>0.27400000000000002</v>
      </c>
      <c r="D5797" s="26">
        <v>0.20979999999999999</v>
      </c>
      <c r="E5797" s="26">
        <v>0.1646</v>
      </c>
      <c r="F5797">
        <v>155</v>
      </c>
    </row>
    <row r="5798" spans="1:7" x14ac:dyDescent="0.35">
      <c r="A5798" t="s">
        <v>231</v>
      </c>
      <c r="B5798" s="26">
        <v>0.46870000000000001</v>
      </c>
      <c r="C5798" s="26">
        <v>0.3125</v>
      </c>
      <c r="D5798" s="26">
        <v>6.25E-2</v>
      </c>
      <c r="E5798" s="26">
        <v>0.15620000000000001</v>
      </c>
      <c r="F5798">
        <v>32</v>
      </c>
    </row>
    <row r="5799" spans="1:7" x14ac:dyDescent="0.35">
      <c r="A5799" t="s">
        <v>232</v>
      </c>
      <c r="B5799" s="26">
        <v>0.40749999999999997</v>
      </c>
      <c r="C5799" s="26">
        <v>0.2621</v>
      </c>
      <c r="D5799" s="26">
        <v>0.1701</v>
      </c>
      <c r="E5799" s="26">
        <v>0.1603</v>
      </c>
      <c r="F5799">
        <v>702</v>
      </c>
    </row>
    <row r="5801" spans="1:7" x14ac:dyDescent="0.35">
      <c r="A5801" s="1" t="s">
        <v>771</v>
      </c>
    </row>
    <row r="5802" spans="1:7" x14ac:dyDescent="0.35">
      <c r="A5802" t="s">
        <v>219</v>
      </c>
      <c r="B5802" t="s">
        <v>305</v>
      </c>
      <c r="C5802" t="s">
        <v>767</v>
      </c>
      <c r="D5802" t="s">
        <v>768</v>
      </c>
      <c r="E5802" t="s">
        <v>769</v>
      </c>
      <c r="F5802" t="s">
        <v>770</v>
      </c>
      <c r="G5802" t="s">
        <v>226</v>
      </c>
    </row>
    <row r="5803" spans="1:7" x14ac:dyDescent="0.35">
      <c r="A5803" s="27" t="s">
        <v>227</v>
      </c>
      <c r="B5803" s="27" t="s">
        <v>242</v>
      </c>
      <c r="C5803" s="28">
        <v>0.21429999999999999</v>
      </c>
      <c r="D5803" s="28">
        <v>0.21429999999999999</v>
      </c>
      <c r="E5803" s="28">
        <v>0.35709999999999997</v>
      </c>
      <c r="F5803" s="28">
        <v>0.21429999999999999</v>
      </c>
      <c r="G5803" s="29" t="s">
        <v>379</v>
      </c>
    </row>
    <row r="5804" spans="1:7" x14ac:dyDescent="0.35">
      <c r="A5804" s="27" t="s">
        <v>227</v>
      </c>
      <c r="B5804" s="27" t="s">
        <v>241</v>
      </c>
      <c r="C5804" s="28">
        <v>0.37930000000000003</v>
      </c>
      <c r="D5804" s="28">
        <v>0.31030000000000002</v>
      </c>
      <c r="E5804" s="28">
        <v>0.2069</v>
      </c>
      <c r="F5804" s="28">
        <v>0.10340000000000001</v>
      </c>
      <c r="G5804" s="29" t="s">
        <v>329</v>
      </c>
    </row>
    <row r="5805" spans="1:7" x14ac:dyDescent="0.35">
      <c r="A5805" t="s">
        <v>228</v>
      </c>
      <c r="B5805" t="s">
        <v>242</v>
      </c>
      <c r="C5805" s="26">
        <v>0.30990000000000001</v>
      </c>
      <c r="D5805" s="26">
        <v>0.25990000000000002</v>
      </c>
      <c r="E5805" s="26">
        <v>0.30520000000000003</v>
      </c>
      <c r="F5805" s="26">
        <v>0.125</v>
      </c>
      <c r="G5805">
        <v>67</v>
      </c>
    </row>
    <row r="5806" spans="1:7" x14ac:dyDescent="0.35">
      <c r="A5806" t="s">
        <v>228</v>
      </c>
      <c r="B5806" t="s">
        <v>241</v>
      </c>
      <c r="C5806" s="26">
        <v>0.42680000000000001</v>
      </c>
      <c r="D5806" s="26">
        <v>0.2198</v>
      </c>
      <c r="E5806" s="26">
        <v>0.1847</v>
      </c>
      <c r="F5806" s="26">
        <v>0.16869999999999999</v>
      </c>
      <c r="G5806">
        <v>166</v>
      </c>
    </row>
    <row r="5807" spans="1:7" x14ac:dyDescent="0.35">
      <c r="A5807" t="s">
        <v>229</v>
      </c>
      <c r="B5807" t="s">
        <v>242</v>
      </c>
      <c r="C5807" s="26">
        <v>0.47120000000000001</v>
      </c>
      <c r="D5807" s="26">
        <v>0.14560000000000001</v>
      </c>
      <c r="E5807" s="26">
        <v>0.2044</v>
      </c>
      <c r="F5807" s="26">
        <v>0.17879999999999999</v>
      </c>
      <c r="G5807">
        <v>68</v>
      </c>
    </row>
    <row r="5808" spans="1:7" x14ac:dyDescent="0.35">
      <c r="A5808" t="s">
        <v>229</v>
      </c>
      <c r="B5808" t="s">
        <v>241</v>
      </c>
      <c r="C5808" s="26">
        <v>0.4163</v>
      </c>
      <c r="D5808" s="26">
        <v>0.28339999999999999</v>
      </c>
      <c r="E5808" s="26">
        <v>0.12970000000000001</v>
      </c>
      <c r="F5808" s="26">
        <v>0.17069999999999999</v>
      </c>
      <c r="G5808">
        <v>171</v>
      </c>
    </row>
    <row r="5809" spans="1:7" x14ac:dyDescent="0.35">
      <c r="A5809" t="s">
        <v>230</v>
      </c>
      <c r="B5809" t="s">
        <v>242</v>
      </c>
      <c r="C5809" s="26">
        <v>0.3397</v>
      </c>
      <c r="D5809" s="26">
        <v>0.24399999999999999</v>
      </c>
      <c r="E5809" s="26">
        <v>0.28649999999999998</v>
      </c>
      <c r="F5809" s="26">
        <v>0.12989999999999999</v>
      </c>
      <c r="G5809">
        <v>51</v>
      </c>
    </row>
    <row r="5810" spans="1:7" x14ac:dyDescent="0.35">
      <c r="A5810" t="s">
        <v>230</v>
      </c>
      <c r="B5810" t="s">
        <v>241</v>
      </c>
      <c r="C5810" s="26">
        <v>0.35920000000000002</v>
      </c>
      <c r="D5810" s="26">
        <v>0.29310000000000003</v>
      </c>
      <c r="E5810" s="26">
        <v>0.16109999999999999</v>
      </c>
      <c r="F5810" s="26">
        <v>0.1867</v>
      </c>
      <c r="G5810">
        <v>104</v>
      </c>
    </row>
    <row r="5811" spans="1:7" x14ac:dyDescent="0.35">
      <c r="A5811" s="27" t="s">
        <v>231</v>
      </c>
      <c r="B5811" s="27" t="s">
        <v>242</v>
      </c>
      <c r="C5811" s="28">
        <v>0.2</v>
      </c>
      <c r="D5811" s="28">
        <v>0.6</v>
      </c>
      <c r="E5811" s="28">
        <v>0.2</v>
      </c>
      <c r="F5811" s="29"/>
      <c r="G5811" s="29" t="s">
        <v>332</v>
      </c>
    </row>
    <row r="5812" spans="1:7" x14ac:dyDescent="0.35">
      <c r="A5812" s="27" t="s">
        <v>231</v>
      </c>
      <c r="B5812" s="27" t="s">
        <v>241</v>
      </c>
      <c r="C5812" s="28">
        <v>0.51849999999999996</v>
      </c>
      <c r="D5812" s="28">
        <v>0.25929999999999997</v>
      </c>
      <c r="E5812" s="28">
        <v>3.6999999999999998E-2</v>
      </c>
      <c r="F5812" s="28">
        <v>0.1852</v>
      </c>
      <c r="G5812" s="29" t="s">
        <v>338</v>
      </c>
    </row>
    <row r="5813" spans="1:7" x14ac:dyDescent="0.35">
      <c r="A5813" t="s">
        <v>232</v>
      </c>
      <c r="B5813" t="s">
        <v>232</v>
      </c>
      <c r="C5813" s="26">
        <v>0.40749999999999997</v>
      </c>
      <c r="D5813" s="26">
        <v>0.2621</v>
      </c>
      <c r="E5813" s="26">
        <v>0.1701</v>
      </c>
      <c r="F5813" s="26">
        <v>0.1603</v>
      </c>
      <c r="G5813">
        <v>702</v>
      </c>
    </row>
    <row r="5815" spans="1:7" x14ac:dyDescent="0.35">
      <c r="A5815" s="1" t="s">
        <v>772</v>
      </c>
    </row>
    <row r="5816" spans="1:7" x14ac:dyDescent="0.35">
      <c r="A5816" t="s">
        <v>219</v>
      </c>
      <c r="B5816" t="s">
        <v>305</v>
      </c>
      <c r="C5816" t="s">
        <v>767</v>
      </c>
      <c r="D5816" t="s">
        <v>768</v>
      </c>
      <c r="E5816" t="s">
        <v>769</v>
      </c>
      <c r="F5816" t="s">
        <v>770</v>
      </c>
      <c r="G5816" t="s">
        <v>226</v>
      </c>
    </row>
    <row r="5817" spans="1:7" x14ac:dyDescent="0.35">
      <c r="A5817" s="27" t="s">
        <v>227</v>
      </c>
      <c r="B5817" s="27" t="s">
        <v>239</v>
      </c>
      <c r="C5817" s="28">
        <v>0.3</v>
      </c>
      <c r="D5817" s="28">
        <v>0.15</v>
      </c>
      <c r="E5817" s="28">
        <v>0.45</v>
      </c>
      <c r="F5817" s="28">
        <v>0.1</v>
      </c>
      <c r="G5817" s="29" t="s">
        <v>350</v>
      </c>
    </row>
    <row r="5818" spans="1:7" x14ac:dyDescent="0.35">
      <c r="A5818" s="27" t="s">
        <v>227</v>
      </c>
      <c r="B5818" s="27" t="s">
        <v>238</v>
      </c>
      <c r="C5818" s="28">
        <v>0.3478</v>
      </c>
      <c r="D5818" s="28">
        <v>0.39129999999999998</v>
      </c>
      <c r="E5818" s="28">
        <v>8.6999999999999994E-2</v>
      </c>
      <c r="F5818" s="28">
        <v>0.1739</v>
      </c>
      <c r="G5818" s="29" t="s">
        <v>328</v>
      </c>
    </row>
    <row r="5819" spans="1:7" x14ac:dyDescent="0.35">
      <c r="A5819" t="s">
        <v>228</v>
      </c>
      <c r="B5819" t="s">
        <v>239</v>
      </c>
      <c r="C5819" s="26">
        <v>0.35549999999999998</v>
      </c>
      <c r="D5819" s="26">
        <v>0.27</v>
      </c>
      <c r="E5819" s="26">
        <v>0.18940000000000001</v>
      </c>
      <c r="F5819" s="26">
        <v>0.18509999999999999</v>
      </c>
      <c r="G5819">
        <v>81</v>
      </c>
    </row>
    <row r="5820" spans="1:7" x14ac:dyDescent="0.35">
      <c r="A5820" t="s">
        <v>228</v>
      </c>
      <c r="B5820" t="s">
        <v>238</v>
      </c>
      <c r="C5820" s="26">
        <v>0.40450000000000003</v>
      </c>
      <c r="D5820" s="26">
        <v>0.2203</v>
      </c>
      <c r="E5820" s="26">
        <v>0.22689999999999999</v>
      </c>
      <c r="F5820" s="26">
        <v>0.14829999999999999</v>
      </c>
      <c r="G5820">
        <v>152</v>
      </c>
    </row>
    <row r="5821" spans="1:7" x14ac:dyDescent="0.35">
      <c r="A5821" t="s">
        <v>229</v>
      </c>
      <c r="B5821" t="s">
        <v>239</v>
      </c>
      <c r="C5821" s="26">
        <v>0.51249999999999996</v>
      </c>
      <c r="D5821" s="26">
        <v>0.2198</v>
      </c>
      <c r="E5821" s="26">
        <v>0.1187</v>
      </c>
      <c r="F5821" s="26">
        <v>0.14910000000000001</v>
      </c>
      <c r="G5821">
        <v>86</v>
      </c>
    </row>
    <row r="5822" spans="1:7" x14ac:dyDescent="0.35">
      <c r="A5822" t="s">
        <v>229</v>
      </c>
      <c r="B5822" t="s">
        <v>238</v>
      </c>
      <c r="C5822" s="26">
        <v>0.40939999999999999</v>
      </c>
      <c r="D5822" s="26">
        <v>0.24249999999999999</v>
      </c>
      <c r="E5822" s="26">
        <v>0.16669999999999999</v>
      </c>
      <c r="F5822" s="26">
        <v>0.18140000000000001</v>
      </c>
      <c r="G5822">
        <v>153</v>
      </c>
    </row>
    <row r="5823" spans="1:7" x14ac:dyDescent="0.35">
      <c r="A5823" t="s">
        <v>230</v>
      </c>
      <c r="B5823" t="s">
        <v>239</v>
      </c>
      <c r="C5823" s="26">
        <v>0.2535</v>
      </c>
      <c r="D5823" s="26">
        <v>0.28079999999999999</v>
      </c>
      <c r="E5823" s="26">
        <v>0.2762</v>
      </c>
      <c r="F5823" s="26">
        <v>0.1895</v>
      </c>
      <c r="G5823">
        <v>67</v>
      </c>
    </row>
    <row r="5824" spans="1:7" x14ac:dyDescent="0.35">
      <c r="A5824" t="s">
        <v>230</v>
      </c>
      <c r="B5824" t="s">
        <v>238</v>
      </c>
      <c r="C5824" s="26">
        <v>0.41710000000000003</v>
      </c>
      <c r="D5824" s="26">
        <v>0.26939999999999997</v>
      </c>
      <c r="E5824" s="26">
        <v>0.16539999999999999</v>
      </c>
      <c r="F5824" s="26">
        <v>0.14799999999999999</v>
      </c>
      <c r="G5824">
        <v>88</v>
      </c>
    </row>
    <row r="5825" spans="1:7" x14ac:dyDescent="0.35">
      <c r="A5825" s="27" t="s">
        <v>231</v>
      </c>
      <c r="B5825" s="27" t="s">
        <v>239</v>
      </c>
      <c r="C5825" s="28">
        <v>0.4</v>
      </c>
      <c r="D5825" s="28">
        <v>0.33329999999999999</v>
      </c>
      <c r="E5825" s="28">
        <v>6.6699999999999995E-2</v>
      </c>
      <c r="F5825" s="28">
        <v>0.2</v>
      </c>
      <c r="G5825" s="29" t="s">
        <v>346</v>
      </c>
    </row>
    <row r="5826" spans="1:7" x14ac:dyDescent="0.35">
      <c r="A5826" s="27" t="s">
        <v>231</v>
      </c>
      <c r="B5826" s="27" t="s">
        <v>238</v>
      </c>
      <c r="C5826" s="28">
        <v>0.52939999999999998</v>
      </c>
      <c r="D5826" s="28">
        <v>0.29409999999999997</v>
      </c>
      <c r="E5826" s="28">
        <v>5.8799999999999998E-2</v>
      </c>
      <c r="F5826" s="28">
        <v>0.1176</v>
      </c>
      <c r="G5826" s="29" t="s">
        <v>343</v>
      </c>
    </row>
    <row r="5827" spans="1:7" x14ac:dyDescent="0.35">
      <c r="A5827" t="s">
        <v>232</v>
      </c>
      <c r="B5827" t="s">
        <v>232</v>
      </c>
      <c r="C5827" s="26">
        <v>0.40749999999999997</v>
      </c>
      <c r="D5827" s="26">
        <v>0.2621</v>
      </c>
      <c r="E5827" s="26">
        <v>0.1701</v>
      </c>
      <c r="F5827" s="26">
        <v>0.1603</v>
      </c>
      <c r="G5827">
        <v>702</v>
      </c>
    </row>
    <row r="5829" spans="1:7" x14ac:dyDescent="0.35">
      <c r="A5829" s="1" t="s">
        <v>773</v>
      </c>
    </row>
    <row r="5830" spans="1:7" x14ac:dyDescent="0.35">
      <c r="A5830" t="s">
        <v>219</v>
      </c>
      <c r="B5830" t="s">
        <v>305</v>
      </c>
      <c r="C5830" t="s">
        <v>767</v>
      </c>
      <c r="D5830" t="s">
        <v>768</v>
      </c>
      <c r="E5830" t="s">
        <v>769</v>
      </c>
      <c r="F5830" t="s">
        <v>770</v>
      </c>
      <c r="G5830" t="s">
        <v>226</v>
      </c>
    </row>
    <row r="5831" spans="1:7" x14ac:dyDescent="0.35">
      <c r="A5831" t="s">
        <v>227</v>
      </c>
      <c r="B5831" t="s">
        <v>244</v>
      </c>
      <c r="C5831" s="26">
        <v>0.2581</v>
      </c>
      <c r="D5831" s="26">
        <v>0.3548</v>
      </c>
      <c r="E5831" s="26">
        <v>0.2258</v>
      </c>
      <c r="F5831" s="26">
        <v>0.1613</v>
      </c>
      <c r="G5831">
        <v>31</v>
      </c>
    </row>
    <row r="5832" spans="1:7" x14ac:dyDescent="0.35">
      <c r="A5832" s="27" t="s">
        <v>227</v>
      </c>
      <c r="B5832" s="27" t="s">
        <v>246</v>
      </c>
      <c r="C5832" s="28">
        <v>0.5</v>
      </c>
      <c r="D5832" s="28">
        <v>8.3299999999999999E-2</v>
      </c>
      <c r="E5832" s="28">
        <v>0.33329999999999999</v>
      </c>
      <c r="F5832" s="28">
        <v>8.3299999999999999E-2</v>
      </c>
      <c r="G5832" s="29" t="s">
        <v>342</v>
      </c>
    </row>
    <row r="5833" spans="1:7" x14ac:dyDescent="0.35">
      <c r="A5833" t="s">
        <v>228</v>
      </c>
      <c r="B5833" t="s">
        <v>244</v>
      </c>
      <c r="C5833" s="26">
        <v>0.40970000000000001</v>
      </c>
      <c r="D5833" s="26">
        <v>0.19550000000000001</v>
      </c>
      <c r="E5833" s="26">
        <v>0.22650000000000001</v>
      </c>
      <c r="F5833" s="26">
        <v>0.16830000000000001</v>
      </c>
      <c r="G5833">
        <v>178</v>
      </c>
    </row>
    <row r="5834" spans="1:7" x14ac:dyDescent="0.35">
      <c r="A5834" t="s">
        <v>228</v>
      </c>
      <c r="B5834" t="s">
        <v>246</v>
      </c>
      <c r="C5834" s="26">
        <v>0.33090000000000003</v>
      </c>
      <c r="D5834" s="26">
        <v>0.37169999999999997</v>
      </c>
      <c r="E5834" s="26">
        <v>0.18809999999999999</v>
      </c>
      <c r="F5834" s="26">
        <v>0.1094</v>
      </c>
      <c r="G5834">
        <v>55</v>
      </c>
    </row>
    <row r="5835" spans="1:7" x14ac:dyDescent="0.35">
      <c r="A5835" t="s">
        <v>229</v>
      </c>
      <c r="B5835" t="s">
        <v>244</v>
      </c>
      <c r="C5835" s="26">
        <v>0.43259999999999998</v>
      </c>
      <c r="D5835" s="26">
        <v>0.20669999999999999</v>
      </c>
      <c r="E5835" s="26">
        <v>0.17030000000000001</v>
      </c>
      <c r="F5835" s="26">
        <v>0.19040000000000001</v>
      </c>
      <c r="G5835">
        <v>201</v>
      </c>
    </row>
    <row r="5836" spans="1:7" x14ac:dyDescent="0.35">
      <c r="A5836" t="s">
        <v>229</v>
      </c>
      <c r="B5836" t="s">
        <v>246</v>
      </c>
      <c r="C5836" s="26">
        <v>0.44650000000000001</v>
      </c>
      <c r="D5836" s="26">
        <v>0.40129999999999999</v>
      </c>
      <c r="E5836" s="26">
        <v>7.0800000000000002E-2</v>
      </c>
      <c r="F5836" s="26">
        <v>8.14E-2</v>
      </c>
      <c r="G5836">
        <v>38</v>
      </c>
    </row>
    <row r="5837" spans="1:7" x14ac:dyDescent="0.35">
      <c r="A5837" t="s">
        <v>230</v>
      </c>
      <c r="B5837" t="s">
        <v>244</v>
      </c>
      <c r="C5837" s="26">
        <v>0.39400000000000002</v>
      </c>
      <c r="D5837" s="26">
        <v>0.3054</v>
      </c>
      <c r="E5837" s="26">
        <v>0.1293</v>
      </c>
      <c r="F5837" s="26">
        <v>0.17119999999999999</v>
      </c>
      <c r="G5837">
        <v>131</v>
      </c>
    </row>
    <row r="5838" spans="1:7" x14ac:dyDescent="0.35">
      <c r="A5838" s="27" t="s">
        <v>230</v>
      </c>
      <c r="B5838" s="27" t="s">
        <v>246</v>
      </c>
      <c r="C5838" s="28">
        <v>0.1067</v>
      </c>
      <c r="D5838" s="28">
        <v>9.2499999999999999E-2</v>
      </c>
      <c r="E5838" s="28">
        <v>0.6744</v>
      </c>
      <c r="F5838" s="28">
        <v>0.1265</v>
      </c>
      <c r="G5838" s="29" t="s">
        <v>310</v>
      </c>
    </row>
    <row r="5839" spans="1:7" x14ac:dyDescent="0.35">
      <c r="A5839" s="27" t="s">
        <v>231</v>
      </c>
      <c r="B5839" s="27" t="s">
        <v>244</v>
      </c>
      <c r="C5839" s="28">
        <v>0.45450000000000002</v>
      </c>
      <c r="D5839" s="28">
        <v>0.36359999999999998</v>
      </c>
      <c r="E5839" s="28">
        <v>4.5499999999999999E-2</v>
      </c>
      <c r="F5839" s="28">
        <v>0.13639999999999999</v>
      </c>
      <c r="G5839" s="29" t="s">
        <v>347</v>
      </c>
    </row>
    <row r="5840" spans="1:7" x14ac:dyDescent="0.35">
      <c r="A5840" s="27" t="s">
        <v>231</v>
      </c>
      <c r="B5840" s="27" t="s">
        <v>246</v>
      </c>
      <c r="C5840" s="28">
        <v>0.5</v>
      </c>
      <c r="D5840" s="28">
        <v>0.2</v>
      </c>
      <c r="E5840" s="28">
        <v>0.1</v>
      </c>
      <c r="F5840" s="28">
        <v>0.2</v>
      </c>
      <c r="G5840" s="29" t="s">
        <v>307</v>
      </c>
    </row>
    <row r="5841" spans="1:7" x14ac:dyDescent="0.35">
      <c r="A5841" t="s">
        <v>232</v>
      </c>
      <c r="B5841" t="s">
        <v>232</v>
      </c>
      <c r="C5841" s="26">
        <v>0.40749999999999997</v>
      </c>
      <c r="D5841" s="26">
        <v>0.2621</v>
      </c>
      <c r="E5841" s="26">
        <v>0.1701</v>
      </c>
      <c r="F5841" s="26">
        <v>0.1603</v>
      </c>
      <c r="G5841">
        <v>702</v>
      </c>
    </row>
    <row r="5843" spans="1:7" x14ac:dyDescent="0.35">
      <c r="A5843" s="1" t="s">
        <v>774</v>
      </c>
    </row>
    <row r="5844" spans="1:7" x14ac:dyDescent="0.35">
      <c r="A5844" t="s">
        <v>219</v>
      </c>
      <c r="B5844" t="s">
        <v>305</v>
      </c>
      <c r="C5844" t="s">
        <v>767</v>
      </c>
      <c r="D5844" t="s">
        <v>768</v>
      </c>
      <c r="E5844" t="s">
        <v>769</v>
      </c>
      <c r="F5844" t="s">
        <v>770</v>
      </c>
      <c r="G5844" t="s">
        <v>226</v>
      </c>
    </row>
    <row r="5845" spans="1:7" x14ac:dyDescent="0.35">
      <c r="A5845" s="27" t="s">
        <v>227</v>
      </c>
      <c r="B5845" s="27" t="s">
        <v>360</v>
      </c>
      <c r="C5845" s="28">
        <v>0.41670000000000001</v>
      </c>
      <c r="D5845" s="28">
        <v>0.25</v>
      </c>
      <c r="E5845" s="28">
        <v>0.33329999999999999</v>
      </c>
      <c r="F5845" s="29"/>
      <c r="G5845" s="29" t="s">
        <v>342</v>
      </c>
    </row>
    <row r="5846" spans="1:7" x14ac:dyDescent="0.35">
      <c r="A5846" s="27" t="s">
        <v>227</v>
      </c>
      <c r="B5846" s="27" t="s">
        <v>361</v>
      </c>
      <c r="C5846" s="28">
        <v>0.2</v>
      </c>
      <c r="D5846" s="28">
        <v>0.2</v>
      </c>
      <c r="E5846" s="28">
        <v>0.4</v>
      </c>
      <c r="F5846" s="28">
        <v>0.2</v>
      </c>
      <c r="G5846" s="29" t="s">
        <v>332</v>
      </c>
    </row>
    <row r="5847" spans="1:7" x14ac:dyDescent="0.35">
      <c r="A5847" s="27" t="s">
        <v>227</v>
      </c>
      <c r="B5847" s="27" t="s">
        <v>362</v>
      </c>
      <c r="C5847" s="28">
        <v>0.41670000000000001</v>
      </c>
      <c r="D5847" s="28">
        <v>0.33329999999999999</v>
      </c>
      <c r="E5847" s="28">
        <v>8.3299999999999999E-2</v>
      </c>
      <c r="F5847" s="28">
        <v>0.16669999999999999</v>
      </c>
      <c r="G5847" s="29" t="s">
        <v>342</v>
      </c>
    </row>
    <row r="5848" spans="1:7" x14ac:dyDescent="0.35">
      <c r="A5848" s="27" t="s">
        <v>227</v>
      </c>
      <c r="B5848" s="27" t="s">
        <v>363</v>
      </c>
      <c r="C5848" s="28">
        <v>0.23080000000000001</v>
      </c>
      <c r="D5848" s="28">
        <v>0.23080000000000001</v>
      </c>
      <c r="E5848" s="28">
        <v>0.30769999999999997</v>
      </c>
      <c r="F5848" s="28">
        <v>0.23080000000000001</v>
      </c>
      <c r="G5848" s="29" t="s">
        <v>341</v>
      </c>
    </row>
    <row r="5849" spans="1:7" x14ac:dyDescent="0.35">
      <c r="A5849" t="s">
        <v>228</v>
      </c>
      <c r="B5849" t="s">
        <v>360</v>
      </c>
      <c r="C5849" s="26">
        <v>0.2787</v>
      </c>
      <c r="D5849" s="26">
        <v>0.25109999999999999</v>
      </c>
      <c r="E5849" s="26">
        <v>0.31409999999999999</v>
      </c>
      <c r="F5849" s="26">
        <v>0.15609999999999999</v>
      </c>
      <c r="G5849">
        <v>60</v>
      </c>
    </row>
    <row r="5850" spans="1:7" x14ac:dyDescent="0.35">
      <c r="A5850" t="s">
        <v>228</v>
      </c>
      <c r="B5850" t="s">
        <v>361</v>
      </c>
      <c r="C5850" s="26">
        <v>0.4627</v>
      </c>
      <c r="D5850" s="26">
        <v>0.16619999999999999</v>
      </c>
      <c r="E5850" s="26">
        <v>0.2646</v>
      </c>
      <c r="F5850" s="26">
        <v>0.1065</v>
      </c>
      <c r="G5850">
        <v>42</v>
      </c>
    </row>
    <row r="5851" spans="1:7" x14ac:dyDescent="0.35">
      <c r="A5851" t="s">
        <v>228</v>
      </c>
      <c r="B5851" t="s">
        <v>363</v>
      </c>
      <c r="C5851" s="26">
        <v>0.41710000000000003</v>
      </c>
      <c r="D5851" s="26">
        <v>0.34310000000000002</v>
      </c>
      <c r="E5851" s="26">
        <v>0.1205</v>
      </c>
      <c r="F5851" s="26">
        <v>0.1192</v>
      </c>
      <c r="G5851">
        <v>48</v>
      </c>
    </row>
    <row r="5852" spans="1:7" x14ac:dyDescent="0.35">
      <c r="A5852" t="s">
        <v>228</v>
      </c>
      <c r="B5852" t="s">
        <v>362</v>
      </c>
      <c r="C5852" s="26">
        <v>0.39319999999999999</v>
      </c>
      <c r="D5852" s="26">
        <v>0.11260000000000001</v>
      </c>
      <c r="E5852" s="26">
        <v>0.2122</v>
      </c>
      <c r="F5852" s="26">
        <v>0.28199999999999997</v>
      </c>
      <c r="G5852">
        <v>51</v>
      </c>
    </row>
    <row r="5853" spans="1:7" x14ac:dyDescent="0.35">
      <c r="A5853" t="s">
        <v>229</v>
      </c>
      <c r="B5853" t="s">
        <v>363</v>
      </c>
      <c r="C5853" s="26">
        <v>0.43359999999999999</v>
      </c>
      <c r="D5853" s="26">
        <v>0.224</v>
      </c>
      <c r="E5853" s="26">
        <v>0.10489999999999999</v>
      </c>
      <c r="F5853" s="26">
        <v>0.23760000000000001</v>
      </c>
      <c r="G5853">
        <v>39</v>
      </c>
    </row>
    <row r="5854" spans="1:7" x14ac:dyDescent="0.35">
      <c r="A5854" t="s">
        <v>229</v>
      </c>
      <c r="B5854" t="s">
        <v>360</v>
      </c>
      <c r="C5854" s="26">
        <v>0.44469999999999998</v>
      </c>
      <c r="D5854" s="26">
        <v>0.28449999999999998</v>
      </c>
      <c r="E5854" s="26">
        <v>0.24260000000000001</v>
      </c>
      <c r="F5854" s="26">
        <v>2.8199999999999999E-2</v>
      </c>
      <c r="G5854">
        <v>55</v>
      </c>
    </row>
    <row r="5855" spans="1:7" x14ac:dyDescent="0.35">
      <c r="A5855" t="s">
        <v>229</v>
      </c>
      <c r="B5855" t="s">
        <v>361</v>
      </c>
      <c r="C5855" s="26">
        <v>0.42820000000000003</v>
      </c>
      <c r="D5855" s="26">
        <v>0.23719999999999999</v>
      </c>
      <c r="E5855" s="26">
        <v>0.1512</v>
      </c>
      <c r="F5855" s="26">
        <v>0.1835</v>
      </c>
      <c r="G5855">
        <v>57</v>
      </c>
    </row>
    <row r="5856" spans="1:7" x14ac:dyDescent="0.35">
      <c r="A5856" t="s">
        <v>229</v>
      </c>
      <c r="B5856" t="s">
        <v>362</v>
      </c>
      <c r="C5856" s="26">
        <v>0.52200000000000002</v>
      </c>
      <c r="D5856" s="26">
        <v>0.1663</v>
      </c>
      <c r="E5856" s="26">
        <v>0.13819999999999999</v>
      </c>
      <c r="F5856" s="26">
        <v>0.1734</v>
      </c>
      <c r="G5856">
        <v>50</v>
      </c>
    </row>
    <row r="5857" spans="1:7" x14ac:dyDescent="0.35">
      <c r="A5857" t="s">
        <v>230</v>
      </c>
      <c r="B5857" t="s">
        <v>360</v>
      </c>
      <c r="C5857" s="26">
        <v>0.34499999999999997</v>
      </c>
      <c r="D5857" s="26">
        <v>0.1852</v>
      </c>
      <c r="E5857" s="26">
        <v>0.2399</v>
      </c>
      <c r="F5857" s="26">
        <v>0.23</v>
      </c>
      <c r="G5857">
        <v>42</v>
      </c>
    </row>
    <row r="5858" spans="1:7" x14ac:dyDescent="0.35">
      <c r="A5858" t="s">
        <v>230</v>
      </c>
      <c r="B5858" t="s">
        <v>363</v>
      </c>
      <c r="C5858" s="26">
        <v>0.50790000000000002</v>
      </c>
      <c r="D5858" s="26">
        <v>0.26500000000000001</v>
      </c>
      <c r="E5858" s="26">
        <v>8.72E-2</v>
      </c>
      <c r="F5858" s="26">
        <v>0.14000000000000001</v>
      </c>
      <c r="G5858">
        <v>32</v>
      </c>
    </row>
    <row r="5859" spans="1:7" x14ac:dyDescent="0.35">
      <c r="A5859" s="27" t="s">
        <v>230</v>
      </c>
      <c r="B5859" s="27" t="s">
        <v>361</v>
      </c>
      <c r="C5859" s="28">
        <v>0.36099999999999999</v>
      </c>
      <c r="D5859" s="28">
        <v>0.42659999999999998</v>
      </c>
      <c r="E5859" s="28">
        <v>0.1925</v>
      </c>
      <c r="F5859" s="28">
        <v>1.9800000000000002E-2</v>
      </c>
      <c r="G5859" s="29" t="s">
        <v>343</v>
      </c>
    </row>
    <row r="5860" spans="1:7" x14ac:dyDescent="0.35">
      <c r="A5860" t="s">
        <v>230</v>
      </c>
      <c r="B5860" t="s">
        <v>362</v>
      </c>
      <c r="C5860" s="26">
        <v>0.2767</v>
      </c>
      <c r="D5860" s="26">
        <v>0.33889999999999998</v>
      </c>
      <c r="E5860" s="26">
        <v>0.2404</v>
      </c>
      <c r="F5860" s="26">
        <v>0.14399999999999999</v>
      </c>
      <c r="G5860">
        <v>42</v>
      </c>
    </row>
    <row r="5861" spans="1:7" x14ac:dyDescent="0.35">
      <c r="A5861" s="27" t="s">
        <v>231</v>
      </c>
      <c r="B5861" s="27" t="s">
        <v>362</v>
      </c>
      <c r="C5861" s="28">
        <v>0.5</v>
      </c>
      <c r="D5861" s="28">
        <v>0.33329999999999999</v>
      </c>
      <c r="E5861" s="29"/>
      <c r="F5861" s="28">
        <v>0.16669999999999999</v>
      </c>
      <c r="G5861" s="29" t="s">
        <v>335</v>
      </c>
    </row>
    <row r="5862" spans="1:7" x14ac:dyDescent="0.35">
      <c r="A5862" s="27" t="s">
        <v>231</v>
      </c>
      <c r="B5862" s="27" t="s">
        <v>361</v>
      </c>
      <c r="C5862" s="28">
        <v>0.16669999999999999</v>
      </c>
      <c r="D5862" s="28">
        <v>0.5</v>
      </c>
      <c r="E5862" s="29"/>
      <c r="F5862" s="28">
        <v>0.33329999999999999</v>
      </c>
      <c r="G5862" s="29" t="s">
        <v>335</v>
      </c>
    </row>
    <row r="5863" spans="1:7" x14ac:dyDescent="0.35">
      <c r="A5863" s="27" t="s">
        <v>231</v>
      </c>
      <c r="B5863" s="27" t="s">
        <v>360</v>
      </c>
      <c r="C5863" s="28">
        <v>0.64290000000000003</v>
      </c>
      <c r="D5863" s="28">
        <v>0.1429</v>
      </c>
      <c r="E5863" s="28">
        <v>0.1429</v>
      </c>
      <c r="F5863" s="28">
        <v>7.1400000000000005E-2</v>
      </c>
      <c r="G5863" s="29" t="s">
        <v>379</v>
      </c>
    </row>
    <row r="5864" spans="1:7" x14ac:dyDescent="0.35">
      <c r="A5864" s="27" t="s">
        <v>231</v>
      </c>
      <c r="B5864" s="27" t="s">
        <v>363</v>
      </c>
      <c r="C5864" s="28">
        <v>0.4</v>
      </c>
      <c r="D5864" s="28">
        <v>0.4</v>
      </c>
      <c r="E5864" s="29"/>
      <c r="F5864" s="28">
        <v>0.2</v>
      </c>
      <c r="G5864" s="29" t="s">
        <v>332</v>
      </c>
    </row>
    <row r="5865" spans="1:7" x14ac:dyDescent="0.35">
      <c r="A5865" t="s">
        <v>232</v>
      </c>
      <c r="B5865" t="s">
        <v>232</v>
      </c>
      <c r="C5865" s="26">
        <v>0.40749999999999997</v>
      </c>
      <c r="D5865" s="26">
        <v>0.2621</v>
      </c>
      <c r="E5865" s="26">
        <v>0.1701</v>
      </c>
      <c r="F5865" s="26">
        <v>0.1603</v>
      </c>
      <c r="G5865">
        <v>608</v>
      </c>
    </row>
    <row r="5867" spans="1:7" x14ac:dyDescent="0.35">
      <c r="A5867" s="1" t="s">
        <v>775</v>
      </c>
    </row>
    <row r="5868" spans="1:7" x14ac:dyDescent="0.35">
      <c r="A5868" t="s">
        <v>219</v>
      </c>
      <c r="B5868" t="s">
        <v>305</v>
      </c>
      <c r="C5868" t="s">
        <v>767</v>
      </c>
      <c r="D5868" t="s">
        <v>768</v>
      </c>
      <c r="E5868" t="s">
        <v>769</v>
      </c>
      <c r="F5868" t="s">
        <v>770</v>
      </c>
      <c r="G5868" t="s">
        <v>226</v>
      </c>
    </row>
    <row r="5869" spans="1:7" x14ac:dyDescent="0.35">
      <c r="A5869" s="27" t="s">
        <v>227</v>
      </c>
      <c r="B5869" s="27" t="s">
        <v>267</v>
      </c>
      <c r="C5869" s="28">
        <v>0.16669999999999999</v>
      </c>
      <c r="D5869" s="28">
        <v>0.16669999999999999</v>
      </c>
      <c r="E5869" s="28">
        <v>0.33329999999999999</v>
      </c>
      <c r="F5869" s="28">
        <v>0.33329999999999999</v>
      </c>
      <c r="G5869" s="29" t="s">
        <v>335</v>
      </c>
    </row>
    <row r="5870" spans="1:7" x14ac:dyDescent="0.35">
      <c r="A5870" s="27" t="s">
        <v>227</v>
      </c>
      <c r="B5870" s="27" t="s">
        <v>266</v>
      </c>
      <c r="C5870" s="28">
        <v>0.6</v>
      </c>
      <c r="D5870" s="28">
        <v>0.2</v>
      </c>
      <c r="E5870" s="29"/>
      <c r="F5870" s="28">
        <v>0.2</v>
      </c>
      <c r="G5870" s="29" t="s">
        <v>307</v>
      </c>
    </row>
    <row r="5871" spans="1:7" x14ac:dyDescent="0.35">
      <c r="A5871" s="27" t="s">
        <v>227</v>
      </c>
      <c r="B5871" s="27" t="s">
        <v>265</v>
      </c>
      <c r="C5871" s="28">
        <v>0.25929999999999997</v>
      </c>
      <c r="D5871" s="28">
        <v>0.33329999999999999</v>
      </c>
      <c r="E5871" s="28">
        <v>0.33329999999999999</v>
      </c>
      <c r="F5871" s="28">
        <v>7.4099999999999999E-2</v>
      </c>
      <c r="G5871" s="29" t="s">
        <v>338</v>
      </c>
    </row>
    <row r="5872" spans="1:7" x14ac:dyDescent="0.35">
      <c r="A5872" t="s">
        <v>228</v>
      </c>
      <c r="B5872" t="s">
        <v>267</v>
      </c>
      <c r="C5872" s="26">
        <v>0.40920000000000001</v>
      </c>
      <c r="D5872" s="26">
        <v>0.29380000000000001</v>
      </c>
      <c r="E5872" s="26">
        <v>4.8599999999999997E-2</v>
      </c>
      <c r="F5872" s="26">
        <v>0.24829999999999999</v>
      </c>
      <c r="G5872">
        <v>30</v>
      </c>
    </row>
    <row r="5873" spans="1:7" x14ac:dyDescent="0.35">
      <c r="A5873" t="s">
        <v>228</v>
      </c>
      <c r="B5873" t="s">
        <v>266</v>
      </c>
      <c r="C5873" s="26">
        <v>0.36320000000000002</v>
      </c>
      <c r="D5873" s="26">
        <v>0.15440000000000001</v>
      </c>
      <c r="E5873" s="26">
        <v>0.2487</v>
      </c>
      <c r="F5873" s="26">
        <v>0.23369999999999999</v>
      </c>
      <c r="G5873">
        <v>88</v>
      </c>
    </row>
    <row r="5874" spans="1:7" x14ac:dyDescent="0.35">
      <c r="A5874" t="s">
        <v>228</v>
      </c>
      <c r="B5874" t="s">
        <v>265</v>
      </c>
      <c r="C5874" s="26">
        <v>0.41049999999999998</v>
      </c>
      <c r="D5874" s="26">
        <v>0.26829999999999998</v>
      </c>
      <c r="E5874" s="26">
        <v>0.2344</v>
      </c>
      <c r="F5874" s="26">
        <v>8.6800000000000002E-2</v>
      </c>
      <c r="G5874">
        <v>115</v>
      </c>
    </row>
    <row r="5875" spans="1:7" x14ac:dyDescent="0.35">
      <c r="A5875" t="s">
        <v>229</v>
      </c>
      <c r="B5875" t="s">
        <v>267</v>
      </c>
      <c r="C5875" s="26">
        <v>0.47899999999999998</v>
      </c>
      <c r="D5875" s="26">
        <v>0.24709999999999999</v>
      </c>
      <c r="E5875" s="26">
        <v>8.9700000000000002E-2</v>
      </c>
      <c r="F5875" s="26">
        <v>0.1842</v>
      </c>
      <c r="G5875">
        <v>40</v>
      </c>
    </row>
    <row r="5876" spans="1:7" x14ac:dyDescent="0.35">
      <c r="A5876" t="s">
        <v>229</v>
      </c>
      <c r="B5876" t="s">
        <v>266</v>
      </c>
      <c r="C5876" s="26">
        <v>0.44569999999999999</v>
      </c>
      <c r="D5876" s="26">
        <v>0.14410000000000001</v>
      </c>
      <c r="E5876" s="26">
        <v>0.19600000000000001</v>
      </c>
      <c r="F5876" s="26">
        <v>0.21410000000000001</v>
      </c>
      <c r="G5876">
        <v>77</v>
      </c>
    </row>
    <row r="5877" spans="1:7" x14ac:dyDescent="0.35">
      <c r="A5877" t="s">
        <v>229</v>
      </c>
      <c r="B5877" t="s">
        <v>265</v>
      </c>
      <c r="C5877" s="26">
        <v>0.4158</v>
      </c>
      <c r="D5877" s="26">
        <v>0.2787</v>
      </c>
      <c r="E5877" s="26">
        <v>0.155</v>
      </c>
      <c r="F5877" s="26">
        <v>0.15049999999999999</v>
      </c>
      <c r="G5877">
        <v>122</v>
      </c>
    </row>
    <row r="5878" spans="1:7" x14ac:dyDescent="0.35">
      <c r="A5878" s="27" t="s">
        <v>230</v>
      </c>
      <c r="B5878" s="27" t="s">
        <v>267</v>
      </c>
      <c r="C5878" s="28">
        <v>0.31859999999999999</v>
      </c>
      <c r="D5878" s="28">
        <v>0.26469999999999999</v>
      </c>
      <c r="E5878" s="28">
        <v>0.1696</v>
      </c>
      <c r="F5878" s="28">
        <v>0.2472</v>
      </c>
      <c r="G5878" s="29" t="s">
        <v>338</v>
      </c>
    </row>
    <row r="5879" spans="1:7" x14ac:dyDescent="0.35">
      <c r="A5879" t="s">
        <v>230</v>
      </c>
      <c r="B5879" t="s">
        <v>266</v>
      </c>
      <c r="C5879" s="26">
        <v>0.38080000000000003</v>
      </c>
      <c r="D5879" s="26">
        <v>0.3654</v>
      </c>
      <c r="E5879" s="26">
        <v>0.15620000000000001</v>
      </c>
      <c r="F5879" s="26">
        <v>9.7699999999999995E-2</v>
      </c>
      <c r="G5879">
        <v>52</v>
      </c>
    </row>
    <row r="5880" spans="1:7" x14ac:dyDescent="0.35">
      <c r="A5880" t="s">
        <v>230</v>
      </c>
      <c r="B5880" t="s">
        <v>265</v>
      </c>
      <c r="C5880" s="26">
        <v>0.34599999999999997</v>
      </c>
      <c r="D5880" s="26">
        <v>0.2238</v>
      </c>
      <c r="E5880" s="26">
        <v>0.25509999999999999</v>
      </c>
      <c r="F5880" s="26">
        <v>0.17510000000000001</v>
      </c>
      <c r="G5880">
        <v>76</v>
      </c>
    </row>
    <row r="5881" spans="1:7" x14ac:dyDescent="0.35">
      <c r="A5881" s="27" t="s">
        <v>231</v>
      </c>
      <c r="B5881" s="27" t="s">
        <v>267</v>
      </c>
      <c r="C5881" s="28">
        <v>0.4</v>
      </c>
      <c r="D5881" s="28">
        <v>0.4</v>
      </c>
      <c r="E5881" s="29"/>
      <c r="F5881" s="28">
        <v>0.2</v>
      </c>
      <c r="G5881" s="29" t="s">
        <v>332</v>
      </c>
    </row>
    <row r="5882" spans="1:7" x14ac:dyDescent="0.35">
      <c r="A5882" s="27" t="s">
        <v>231</v>
      </c>
      <c r="B5882" s="27" t="s">
        <v>266</v>
      </c>
      <c r="C5882" s="28">
        <v>0.4</v>
      </c>
      <c r="D5882" s="28">
        <v>0.3</v>
      </c>
      <c r="E5882" s="28">
        <v>0.1</v>
      </c>
      <c r="F5882" s="28">
        <v>0.2</v>
      </c>
      <c r="G5882" s="29" t="s">
        <v>307</v>
      </c>
    </row>
    <row r="5883" spans="1:7" x14ac:dyDescent="0.35">
      <c r="A5883" s="27" t="s">
        <v>231</v>
      </c>
      <c r="B5883" s="27" t="s">
        <v>265</v>
      </c>
      <c r="C5883" s="28">
        <v>0.52939999999999998</v>
      </c>
      <c r="D5883" s="28">
        <v>0.29409999999999997</v>
      </c>
      <c r="E5883" s="28">
        <v>5.8799999999999998E-2</v>
      </c>
      <c r="F5883" s="28">
        <v>0.1176</v>
      </c>
      <c r="G5883" s="29" t="s">
        <v>343</v>
      </c>
    </row>
    <row r="5884" spans="1:7" x14ac:dyDescent="0.35">
      <c r="A5884" t="s">
        <v>232</v>
      </c>
      <c r="B5884" t="s">
        <v>232</v>
      </c>
      <c r="C5884" s="26">
        <v>0.40749999999999997</v>
      </c>
      <c r="D5884" s="26">
        <v>0.2621</v>
      </c>
      <c r="E5884" s="26">
        <v>0.1701</v>
      </c>
      <c r="F5884" s="26">
        <v>0.1603</v>
      </c>
      <c r="G5884">
        <v>702</v>
      </c>
    </row>
    <row r="5886" spans="1:7" x14ac:dyDescent="0.35">
      <c r="A5886" s="1" t="s">
        <v>776</v>
      </c>
    </row>
    <row r="5887" spans="1:7" x14ac:dyDescent="0.35">
      <c r="A5887" t="s">
        <v>219</v>
      </c>
      <c r="B5887" t="s">
        <v>305</v>
      </c>
      <c r="C5887" t="s">
        <v>767</v>
      </c>
      <c r="D5887" t="s">
        <v>768</v>
      </c>
      <c r="E5887" t="s">
        <v>769</v>
      </c>
      <c r="F5887" t="s">
        <v>770</v>
      </c>
      <c r="G5887" t="s">
        <v>226</v>
      </c>
    </row>
    <row r="5888" spans="1:7" x14ac:dyDescent="0.35">
      <c r="A5888" s="27" t="s">
        <v>227</v>
      </c>
      <c r="B5888" s="27" t="s">
        <v>252</v>
      </c>
      <c r="C5888" s="29"/>
      <c r="D5888" s="29"/>
      <c r="E5888" s="29"/>
      <c r="F5888" s="28">
        <v>1</v>
      </c>
      <c r="G5888" s="29" t="s">
        <v>331</v>
      </c>
    </row>
    <row r="5889" spans="1:7" x14ac:dyDescent="0.35">
      <c r="A5889" s="27" t="s">
        <v>227</v>
      </c>
      <c r="B5889" s="27" t="s">
        <v>253</v>
      </c>
      <c r="C5889" s="28">
        <v>0.1</v>
      </c>
      <c r="D5889" s="28">
        <v>0.5</v>
      </c>
      <c r="E5889" s="28">
        <v>0.2</v>
      </c>
      <c r="F5889" s="28">
        <v>0.2</v>
      </c>
      <c r="G5889" s="29" t="s">
        <v>307</v>
      </c>
    </row>
    <row r="5890" spans="1:7" x14ac:dyDescent="0.35">
      <c r="A5890" t="s">
        <v>227</v>
      </c>
      <c r="B5890" t="s">
        <v>251</v>
      </c>
      <c r="C5890" s="26">
        <v>0.40620000000000001</v>
      </c>
      <c r="D5890" s="26">
        <v>0.21879999999999999</v>
      </c>
      <c r="E5890" s="26">
        <v>0.28120000000000001</v>
      </c>
      <c r="F5890" s="26">
        <v>9.3799999999999994E-2</v>
      </c>
      <c r="G5890">
        <v>32</v>
      </c>
    </row>
    <row r="5891" spans="1:7" x14ac:dyDescent="0.35">
      <c r="A5891" s="27" t="s">
        <v>228</v>
      </c>
      <c r="B5891" s="27" t="s">
        <v>252</v>
      </c>
      <c r="C5891" s="29"/>
      <c r="D5891" s="29"/>
      <c r="E5891" s="29"/>
      <c r="F5891" s="28">
        <v>1</v>
      </c>
      <c r="G5891" s="29" t="s">
        <v>331</v>
      </c>
    </row>
    <row r="5892" spans="1:7" x14ac:dyDescent="0.35">
      <c r="A5892" t="s">
        <v>228</v>
      </c>
      <c r="B5892" t="s">
        <v>253</v>
      </c>
      <c r="C5892" s="26">
        <v>0.44159999999999999</v>
      </c>
      <c r="D5892" s="26">
        <v>0.2074</v>
      </c>
      <c r="E5892" s="26">
        <v>0.12139999999999999</v>
      </c>
      <c r="F5892" s="26">
        <v>0.2296</v>
      </c>
      <c r="G5892">
        <v>63</v>
      </c>
    </row>
    <row r="5893" spans="1:7" x14ac:dyDescent="0.35">
      <c r="A5893" t="s">
        <v>228</v>
      </c>
      <c r="B5893" t="s">
        <v>251</v>
      </c>
      <c r="C5893" s="26">
        <v>0.3846</v>
      </c>
      <c r="D5893" s="26">
        <v>0.24299999999999999</v>
      </c>
      <c r="E5893" s="26">
        <v>0.25480000000000003</v>
      </c>
      <c r="F5893" s="26">
        <v>0.11749999999999999</v>
      </c>
      <c r="G5893">
        <v>169</v>
      </c>
    </row>
    <row r="5894" spans="1:7" x14ac:dyDescent="0.35">
      <c r="A5894" s="27" t="s">
        <v>229</v>
      </c>
      <c r="B5894" s="27" t="s">
        <v>252</v>
      </c>
      <c r="C5894" s="29"/>
      <c r="D5894" s="29"/>
      <c r="E5894" s="29"/>
      <c r="F5894" s="28">
        <v>1</v>
      </c>
      <c r="G5894" s="29" t="s">
        <v>331</v>
      </c>
    </row>
    <row r="5895" spans="1:7" x14ac:dyDescent="0.35">
      <c r="A5895" t="s">
        <v>229</v>
      </c>
      <c r="B5895" t="s">
        <v>253</v>
      </c>
      <c r="C5895" s="26">
        <v>0.4708</v>
      </c>
      <c r="D5895" s="26">
        <v>0.26790000000000003</v>
      </c>
      <c r="E5895" s="26">
        <v>0.1196</v>
      </c>
      <c r="F5895" s="26">
        <v>0.1416</v>
      </c>
      <c r="G5895">
        <v>39</v>
      </c>
    </row>
    <row r="5896" spans="1:7" x14ac:dyDescent="0.35">
      <c r="A5896" t="s">
        <v>229</v>
      </c>
      <c r="B5896" t="s">
        <v>251</v>
      </c>
      <c r="C5896" s="26">
        <v>0.42749999999999999</v>
      </c>
      <c r="D5896" s="26">
        <v>0.2306</v>
      </c>
      <c r="E5896" s="26">
        <v>0.1623</v>
      </c>
      <c r="F5896" s="26">
        <v>0.17949999999999999</v>
      </c>
      <c r="G5896">
        <v>199</v>
      </c>
    </row>
    <row r="5897" spans="1:7" x14ac:dyDescent="0.35">
      <c r="A5897" s="27" t="s">
        <v>230</v>
      </c>
      <c r="B5897" s="27" t="s">
        <v>253</v>
      </c>
      <c r="C5897" s="28">
        <v>0.11700000000000001</v>
      </c>
      <c r="D5897" s="28">
        <v>0.27479999999999999</v>
      </c>
      <c r="E5897" s="28">
        <v>0.30109999999999998</v>
      </c>
      <c r="F5897" s="28">
        <v>0.30709999999999998</v>
      </c>
      <c r="G5897" s="29" t="s">
        <v>312</v>
      </c>
    </row>
    <row r="5898" spans="1:7" x14ac:dyDescent="0.35">
      <c r="A5898" t="s">
        <v>230</v>
      </c>
      <c r="B5898" t="s">
        <v>251</v>
      </c>
      <c r="C5898" s="26">
        <v>0.39319999999999999</v>
      </c>
      <c r="D5898" s="26">
        <v>0.27379999999999999</v>
      </c>
      <c r="E5898" s="26">
        <v>0.19359999999999999</v>
      </c>
      <c r="F5898" s="26">
        <v>0.1394</v>
      </c>
      <c r="G5898">
        <v>130</v>
      </c>
    </row>
    <row r="5899" spans="1:7" x14ac:dyDescent="0.35">
      <c r="A5899" s="27" t="s">
        <v>231</v>
      </c>
      <c r="B5899" s="27" t="s">
        <v>252</v>
      </c>
      <c r="C5899" s="28">
        <v>0.5</v>
      </c>
      <c r="D5899" s="29"/>
      <c r="E5899" s="29"/>
      <c r="F5899" s="28">
        <v>0.5</v>
      </c>
      <c r="G5899" s="29" t="s">
        <v>314</v>
      </c>
    </row>
    <row r="5900" spans="1:7" x14ac:dyDescent="0.35">
      <c r="A5900" s="27" t="s">
        <v>231</v>
      </c>
      <c r="B5900" s="27" t="s">
        <v>253</v>
      </c>
      <c r="C5900" s="28">
        <v>0.5</v>
      </c>
      <c r="D5900" s="29"/>
      <c r="E5900" s="28">
        <v>0.16669999999999999</v>
      </c>
      <c r="F5900" s="28">
        <v>0.33329999999999999</v>
      </c>
      <c r="G5900" s="29" t="s">
        <v>335</v>
      </c>
    </row>
    <row r="5901" spans="1:7" x14ac:dyDescent="0.35">
      <c r="A5901" s="27" t="s">
        <v>231</v>
      </c>
      <c r="B5901" s="27" t="s">
        <v>251</v>
      </c>
      <c r="C5901" s="28">
        <v>0.45829999999999999</v>
      </c>
      <c r="D5901" s="28">
        <v>0.41670000000000001</v>
      </c>
      <c r="E5901" s="28">
        <v>4.1700000000000001E-2</v>
      </c>
      <c r="F5901" s="28">
        <v>8.3299999999999999E-2</v>
      </c>
      <c r="G5901" s="29" t="s">
        <v>310</v>
      </c>
    </row>
    <row r="5902" spans="1:7" x14ac:dyDescent="0.35">
      <c r="A5902" t="s">
        <v>232</v>
      </c>
      <c r="B5902" t="s">
        <v>232</v>
      </c>
      <c r="C5902" s="26">
        <v>0.40749999999999997</v>
      </c>
      <c r="D5902" s="26">
        <v>0.2621</v>
      </c>
      <c r="E5902" s="26">
        <v>0.1701</v>
      </c>
      <c r="F5902" s="26">
        <v>0.1603</v>
      </c>
      <c r="G5902">
        <v>702</v>
      </c>
    </row>
    <row r="5904" spans="1:7" x14ac:dyDescent="0.35">
      <c r="A5904" s="1" t="s">
        <v>777</v>
      </c>
    </row>
    <row r="5905" spans="1:7" x14ac:dyDescent="0.35">
      <c r="A5905" t="s">
        <v>219</v>
      </c>
      <c r="B5905" t="s">
        <v>305</v>
      </c>
      <c r="C5905" t="s">
        <v>767</v>
      </c>
      <c r="D5905" t="s">
        <v>768</v>
      </c>
      <c r="E5905" t="s">
        <v>769</v>
      </c>
      <c r="F5905" t="s">
        <v>770</v>
      </c>
      <c r="G5905" t="s">
        <v>226</v>
      </c>
    </row>
    <row r="5906" spans="1:7" x14ac:dyDescent="0.35">
      <c r="A5906" t="s">
        <v>227</v>
      </c>
      <c r="B5906" t="s">
        <v>260</v>
      </c>
      <c r="C5906" s="26">
        <v>0.28570000000000001</v>
      </c>
      <c r="D5906" s="26">
        <v>0.31430000000000002</v>
      </c>
      <c r="E5906" s="26">
        <v>0.2571</v>
      </c>
      <c r="F5906" s="26">
        <v>0.1429</v>
      </c>
      <c r="G5906">
        <v>35</v>
      </c>
    </row>
    <row r="5907" spans="1:7" x14ac:dyDescent="0.35">
      <c r="A5907" s="27" t="s">
        <v>227</v>
      </c>
      <c r="B5907" s="27" t="s">
        <v>261</v>
      </c>
      <c r="C5907" s="28">
        <v>0.33329999999999999</v>
      </c>
      <c r="D5907" s="28">
        <v>0.16669999999999999</v>
      </c>
      <c r="E5907" s="28">
        <v>0.33329999999999999</v>
      </c>
      <c r="F5907" s="28">
        <v>0.16669999999999999</v>
      </c>
      <c r="G5907" s="29" t="s">
        <v>335</v>
      </c>
    </row>
    <row r="5908" spans="1:7" x14ac:dyDescent="0.35">
      <c r="A5908" s="27" t="s">
        <v>227</v>
      </c>
      <c r="B5908" s="27" t="s">
        <v>262</v>
      </c>
      <c r="C5908" s="28">
        <v>1</v>
      </c>
      <c r="D5908" s="29"/>
      <c r="E5908" s="29"/>
      <c r="F5908" s="29"/>
      <c r="G5908" s="29" t="s">
        <v>314</v>
      </c>
    </row>
    <row r="5909" spans="1:7" x14ac:dyDescent="0.35">
      <c r="A5909" t="s">
        <v>228</v>
      </c>
      <c r="B5909" t="s">
        <v>262</v>
      </c>
      <c r="C5909" s="26">
        <v>0.47199999999999998</v>
      </c>
      <c r="D5909" s="26">
        <v>0.2651</v>
      </c>
      <c r="E5909" s="26">
        <v>0.1724</v>
      </c>
      <c r="F5909" s="26">
        <v>9.06E-2</v>
      </c>
      <c r="G5909">
        <v>70</v>
      </c>
    </row>
    <row r="5910" spans="1:7" x14ac:dyDescent="0.35">
      <c r="A5910" s="27" t="s">
        <v>228</v>
      </c>
      <c r="B5910" s="27" t="s">
        <v>263</v>
      </c>
      <c r="C5910" s="28">
        <v>0.81210000000000004</v>
      </c>
      <c r="D5910" s="28">
        <v>0.18790000000000001</v>
      </c>
      <c r="E5910" s="29"/>
      <c r="F5910" s="29"/>
      <c r="G5910" s="29" t="s">
        <v>337</v>
      </c>
    </row>
    <row r="5911" spans="1:7" x14ac:dyDescent="0.35">
      <c r="A5911" s="27" t="s">
        <v>228</v>
      </c>
      <c r="B5911" s="27" t="s">
        <v>236</v>
      </c>
      <c r="C5911" s="28">
        <v>0.77429999999999999</v>
      </c>
      <c r="D5911" s="29"/>
      <c r="E5911" s="29"/>
      <c r="F5911" s="28">
        <v>0.22570000000000001</v>
      </c>
      <c r="G5911" s="29" t="s">
        <v>314</v>
      </c>
    </row>
    <row r="5912" spans="1:7" x14ac:dyDescent="0.35">
      <c r="A5912" t="s">
        <v>228</v>
      </c>
      <c r="B5912" t="s">
        <v>260</v>
      </c>
      <c r="C5912" s="26">
        <v>0.36559999999999998</v>
      </c>
      <c r="D5912" s="26">
        <v>0.21690000000000001</v>
      </c>
      <c r="E5912" s="26">
        <v>0.2064</v>
      </c>
      <c r="F5912" s="26">
        <v>0.21099999999999999</v>
      </c>
      <c r="G5912">
        <v>106</v>
      </c>
    </row>
    <row r="5913" spans="1:7" x14ac:dyDescent="0.35">
      <c r="A5913" t="s">
        <v>228</v>
      </c>
      <c r="B5913" t="s">
        <v>261</v>
      </c>
      <c r="C5913" s="26">
        <v>0.31180000000000002</v>
      </c>
      <c r="D5913" s="26">
        <v>0.2331</v>
      </c>
      <c r="E5913" s="26">
        <v>0.34420000000000001</v>
      </c>
      <c r="F5913" s="26">
        <v>0.1109</v>
      </c>
      <c r="G5913">
        <v>51</v>
      </c>
    </row>
    <row r="5914" spans="1:7" x14ac:dyDescent="0.35">
      <c r="A5914" s="27" t="s">
        <v>229</v>
      </c>
      <c r="B5914" s="27" t="s">
        <v>263</v>
      </c>
      <c r="C5914" s="28">
        <v>0.1113</v>
      </c>
      <c r="D5914" s="28">
        <v>0.1113</v>
      </c>
      <c r="E5914" s="28">
        <v>0.1113</v>
      </c>
      <c r="F5914" s="28">
        <v>0.66610000000000003</v>
      </c>
      <c r="G5914" s="29" t="s">
        <v>335</v>
      </c>
    </row>
    <row r="5915" spans="1:7" x14ac:dyDescent="0.35">
      <c r="A5915" t="s">
        <v>229</v>
      </c>
      <c r="B5915" t="s">
        <v>261</v>
      </c>
      <c r="C5915" s="26">
        <v>0.3286</v>
      </c>
      <c r="D5915" s="26">
        <v>0.3115</v>
      </c>
      <c r="E5915" s="26">
        <v>0.1469</v>
      </c>
      <c r="F5915" s="26">
        <v>0.21299999999999999</v>
      </c>
      <c r="G5915">
        <v>31</v>
      </c>
    </row>
    <row r="5916" spans="1:7" x14ac:dyDescent="0.35">
      <c r="A5916" t="s">
        <v>229</v>
      </c>
      <c r="B5916" t="s">
        <v>262</v>
      </c>
      <c r="C5916" s="26">
        <v>0.34139999999999998</v>
      </c>
      <c r="D5916" s="26">
        <v>0.31509999999999999</v>
      </c>
      <c r="E5916" s="26">
        <v>0.2132</v>
      </c>
      <c r="F5916" s="26">
        <v>0.13020000000000001</v>
      </c>
      <c r="G5916">
        <v>76</v>
      </c>
    </row>
    <row r="5917" spans="1:7" x14ac:dyDescent="0.35">
      <c r="A5917" t="s">
        <v>229</v>
      </c>
      <c r="B5917" t="s">
        <v>260</v>
      </c>
      <c r="C5917" s="26">
        <v>0.58560000000000001</v>
      </c>
      <c r="D5917" s="26">
        <v>0.1353</v>
      </c>
      <c r="E5917" s="26">
        <v>0.10100000000000001</v>
      </c>
      <c r="F5917" s="26">
        <v>0.17810000000000001</v>
      </c>
      <c r="G5917">
        <v>126</v>
      </c>
    </row>
    <row r="5918" spans="1:7" x14ac:dyDescent="0.35">
      <c r="A5918" s="27" t="s">
        <v>230</v>
      </c>
      <c r="B5918" s="27" t="s">
        <v>261</v>
      </c>
      <c r="C5918" s="28">
        <v>0.25669999999999998</v>
      </c>
      <c r="D5918" s="28">
        <v>0.28110000000000002</v>
      </c>
      <c r="E5918" s="28">
        <v>0.33939999999999998</v>
      </c>
      <c r="F5918" s="28">
        <v>0.12280000000000001</v>
      </c>
      <c r="G5918" s="29" t="s">
        <v>310</v>
      </c>
    </row>
    <row r="5919" spans="1:7" x14ac:dyDescent="0.35">
      <c r="A5919" t="s">
        <v>230</v>
      </c>
      <c r="B5919" t="s">
        <v>262</v>
      </c>
      <c r="C5919" s="26">
        <v>0.2346</v>
      </c>
      <c r="D5919" s="26">
        <v>0.2898</v>
      </c>
      <c r="E5919" s="26">
        <v>0.2346</v>
      </c>
      <c r="F5919" s="26">
        <v>0.24099999999999999</v>
      </c>
      <c r="G5919">
        <v>42</v>
      </c>
    </row>
    <row r="5920" spans="1:7" x14ac:dyDescent="0.35">
      <c r="A5920" t="s">
        <v>230</v>
      </c>
      <c r="B5920" t="s">
        <v>260</v>
      </c>
      <c r="C5920" s="26">
        <v>0.4244</v>
      </c>
      <c r="D5920" s="26">
        <v>0.27529999999999999</v>
      </c>
      <c r="E5920" s="26">
        <v>0.14299999999999999</v>
      </c>
      <c r="F5920" s="26">
        <v>0.1573</v>
      </c>
      <c r="G5920">
        <v>83</v>
      </c>
    </row>
    <row r="5921" spans="1:7" x14ac:dyDescent="0.35">
      <c r="A5921" s="27" t="s">
        <v>230</v>
      </c>
      <c r="B5921" s="27" t="s">
        <v>236</v>
      </c>
      <c r="C5921" s="29"/>
      <c r="D5921" s="29"/>
      <c r="E5921" s="29"/>
      <c r="F5921" s="28">
        <v>1</v>
      </c>
      <c r="G5921" s="29" t="s">
        <v>331</v>
      </c>
    </row>
    <row r="5922" spans="1:7" x14ac:dyDescent="0.35">
      <c r="A5922" s="27" t="s">
        <v>230</v>
      </c>
      <c r="B5922" s="27" t="s">
        <v>263</v>
      </c>
      <c r="C5922" s="28">
        <v>3.5200000000000002E-2</v>
      </c>
      <c r="D5922" s="28">
        <v>0.1173</v>
      </c>
      <c r="E5922" s="28">
        <v>0.84750000000000003</v>
      </c>
      <c r="F5922" s="29"/>
      <c r="G5922" s="29" t="s">
        <v>332</v>
      </c>
    </row>
    <row r="5923" spans="1:7" x14ac:dyDescent="0.35">
      <c r="A5923" s="27" t="s">
        <v>231</v>
      </c>
      <c r="B5923" s="27" t="s">
        <v>263</v>
      </c>
      <c r="C5923" s="29"/>
      <c r="D5923" s="28">
        <v>1</v>
      </c>
      <c r="E5923" s="29"/>
      <c r="F5923" s="29"/>
      <c r="G5923" s="29" t="s">
        <v>331</v>
      </c>
    </row>
    <row r="5924" spans="1:7" x14ac:dyDescent="0.35">
      <c r="A5924" s="27" t="s">
        <v>231</v>
      </c>
      <c r="B5924" s="27" t="s">
        <v>260</v>
      </c>
      <c r="C5924" s="28">
        <v>0.45829999999999999</v>
      </c>
      <c r="D5924" s="28">
        <v>0.33329999999999999</v>
      </c>
      <c r="E5924" s="28">
        <v>8.3299999999999999E-2</v>
      </c>
      <c r="F5924" s="28">
        <v>0.125</v>
      </c>
      <c r="G5924" s="29" t="s">
        <v>310</v>
      </c>
    </row>
    <row r="5925" spans="1:7" x14ac:dyDescent="0.35">
      <c r="A5925" s="27" t="s">
        <v>231</v>
      </c>
      <c r="B5925" s="27" t="s">
        <v>261</v>
      </c>
      <c r="C5925" s="28">
        <v>0.5</v>
      </c>
      <c r="D5925" s="29"/>
      <c r="E5925" s="29"/>
      <c r="F5925" s="28">
        <v>0.5</v>
      </c>
      <c r="G5925" s="29" t="s">
        <v>337</v>
      </c>
    </row>
    <row r="5926" spans="1:7" x14ac:dyDescent="0.35">
      <c r="A5926" s="27" t="s">
        <v>231</v>
      </c>
      <c r="B5926" s="27" t="s">
        <v>262</v>
      </c>
      <c r="C5926" s="28">
        <v>0.66669999999999996</v>
      </c>
      <c r="D5926" s="28">
        <v>0.33329999999999999</v>
      </c>
      <c r="E5926" s="29"/>
      <c r="F5926" s="29"/>
      <c r="G5926" s="29" t="s">
        <v>315</v>
      </c>
    </row>
    <row r="5927" spans="1:7" x14ac:dyDescent="0.35">
      <c r="A5927" t="s">
        <v>232</v>
      </c>
      <c r="B5927" t="s">
        <v>232</v>
      </c>
      <c r="C5927" s="26">
        <v>0.40749999999999997</v>
      </c>
      <c r="D5927" s="26">
        <v>0.2621</v>
      </c>
      <c r="E5927" s="26">
        <v>0.1701</v>
      </c>
      <c r="F5927" s="26">
        <v>0.1603</v>
      </c>
      <c r="G5927">
        <v>702</v>
      </c>
    </row>
    <row r="5929" spans="1:7" x14ac:dyDescent="0.35">
      <c r="A5929" s="1" t="s">
        <v>778</v>
      </c>
    </row>
    <row r="5930" spans="1:7" x14ac:dyDescent="0.35">
      <c r="A5930" t="s">
        <v>219</v>
      </c>
      <c r="B5930" t="s">
        <v>305</v>
      </c>
      <c r="C5930" t="s">
        <v>767</v>
      </c>
      <c r="D5930" t="s">
        <v>768</v>
      </c>
      <c r="E5930" t="s">
        <v>769</v>
      </c>
      <c r="F5930" t="s">
        <v>770</v>
      </c>
      <c r="G5930" t="s">
        <v>226</v>
      </c>
    </row>
    <row r="5931" spans="1:7" x14ac:dyDescent="0.35">
      <c r="A5931" s="27" t="s">
        <v>227</v>
      </c>
      <c r="B5931" s="27" t="s">
        <v>368</v>
      </c>
      <c r="C5931" s="28">
        <v>0.33329999999999999</v>
      </c>
      <c r="D5931" s="28">
        <v>0.16669999999999999</v>
      </c>
      <c r="E5931" s="28">
        <v>0.33329999999999999</v>
      </c>
      <c r="F5931" s="28">
        <v>0.16669999999999999</v>
      </c>
      <c r="G5931" s="29" t="s">
        <v>335</v>
      </c>
    </row>
    <row r="5932" spans="1:7" x14ac:dyDescent="0.35">
      <c r="A5932" t="s">
        <v>227</v>
      </c>
      <c r="B5932" t="s">
        <v>369</v>
      </c>
      <c r="C5932" s="26">
        <v>0.32429999999999998</v>
      </c>
      <c r="D5932" s="26">
        <v>0.29730000000000001</v>
      </c>
      <c r="E5932" s="26">
        <v>0.2432</v>
      </c>
      <c r="F5932" s="26">
        <v>0.1351</v>
      </c>
      <c r="G5932">
        <v>37</v>
      </c>
    </row>
    <row r="5933" spans="1:7" x14ac:dyDescent="0.35">
      <c r="A5933" t="s">
        <v>228</v>
      </c>
      <c r="B5933" t="s">
        <v>368</v>
      </c>
      <c r="C5933" s="26">
        <v>0.31180000000000002</v>
      </c>
      <c r="D5933" s="26">
        <v>0.2331</v>
      </c>
      <c r="E5933" s="26">
        <v>0.34420000000000001</v>
      </c>
      <c r="F5933" s="26">
        <v>0.1109</v>
      </c>
      <c r="G5933">
        <v>51</v>
      </c>
    </row>
    <row r="5934" spans="1:7" x14ac:dyDescent="0.35">
      <c r="A5934" t="s">
        <v>228</v>
      </c>
      <c r="B5934" t="s">
        <v>369</v>
      </c>
      <c r="C5934" s="26">
        <v>0.41289999999999999</v>
      </c>
      <c r="D5934" s="26">
        <v>0.23069999999999999</v>
      </c>
      <c r="E5934" s="26">
        <v>0.18940000000000001</v>
      </c>
      <c r="F5934" s="26">
        <v>0.16700000000000001</v>
      </c>
      <c r="G5934">
        <v>182</v>
      </c>
    </row>
    <row r="5935" spans="1:7" x14ac:dyDescent="0.35">
      <c r="A5935" t="s">
        <v>229</v>
      </c>
      <c r="B5935" t="s">
        <v>368</v>
      </c>
      <c r="C5935" s="26">
        <v>0.3286</v>
      </c>
      <c r="D5935" s="26">
        <v>0.3115</v>
      </c>
      <c r="E5935" s="26">
        <v>0.1469</v>
      </c>
      <c r="F5935" s="26">
        <v>0.21299999999999999</v>
      </c>
      <c r="G5935">
        <v>31</v>
      </c>
    </row>
    <row r="5936" spans="1:7" x14ac:dyDescent="0.35">
      <c r="A5936" t="s">
        <v>229</v>
      </c>
      <c r="B5936" t="s">
        <v>369</v>
      </c>
      <c r="C5936" s="26">
        <v>0.4546</v>
      </c>
      <c r="D5936" s="26">
        <v>0.223</v>
      </c>
      <c r="E5936" s="26">
        <v>0.15629999999999999</v>
      </c>
      <c r="F5936" s="26">
        <v>0.1661</v>
      </c>
      <c r="G5936">
        <v>208</v>
      </c>
    </row>
    <row r="5937" spans="1:7" x14ac:dyDescent="0.35">
      <c r="A5937" s="27" t="s">
        <v>230</v>
      </c>
      <c r="B5937" s="27" t="s">
        <v>368</v>
      </c>
      <c r="C5937" s="28">
        <v>0.25669999999999998</v>
      </c>
      <c r="D5937" s="28">
        <v>0.28110000000000002</v>
      </c>
      <c r="E5937" s="28">
        <v>0.33939999999999998</v>
      </c>
      <c r="F5937" s="28">
        <v>0.12280000000000001</v>
      </c>
      <c r="G5937" s="29" t="s">
        <v>310</v>
      </c>
    </row>
    <row r="5938" spans="1:7" x14ac:dyDescent="0.35">
      <c r="A5938" t="s">
        <v>230</v>
      </c>
      <c r="B5938" t="s">
        <v>369</v>
      </c>
      <c r="C5938" s="26">
        <v>0.37090000000000001</v>
      </c>
      <c r="D5938" s="26">
        <v>0.27250000000000002</v>
      </c>
      <c r="E5938" s="26">
        <v>0.1835</v>
      </c>
      <c r="F5938" s="26">
        <v>0.1731</v>
      </c>
      <c r="G5938">
        <v>131</v>
      </c>
    </row>
    <row r="5939" spans="1:7" x14ac:dyDescent="0.35">
      <c r="A5939" s="27" t="s">
        <v>231</v>
      </c>
      <c r="B5939" s="27" t="s">
        <v>368</v>
      </c>
      <c r="C5939" s="28">
        <v>0.5</v>
      </c>
      <c r="D5939" s="29"/>
      <c r="E5939" s="29"/>
      <c r="F5939" s="28">
        <v>0.5</v>
      </c>
      <c r="G5939" s="29" t="s">
        <v>337</v>
      </c>
    </row>
    <row r="5940" spans="1:7" x14ac:dyDescent="0.35">
      <c r="A5940" s="27" t="s">
        <v>231</v>
      </c>
      <c r="B5940" s="27" t="s">
        <v>369</v>
      </c>
      <c r="C5940" s="28">
        <v>0.46429999999999999</v>
      </c>
      <c r="D5940" s="28">
        <v>0.35709999999999997</v>
      </c>
      <c r="E5940" s="28">
        <v>7.1400000000000005E-2</v>
      </c>
      <c r="F5940" s="28">
        <v>0.1071</v>
      </c>
      <c r="G5940" s="29" t="s">
        <v>336</v>
      </c>
    </row>
    <row r="5941" spans="1:7" x14ac:dyDescent="0.35">
      <c r="A5941" t="s">
        <v>232</v>
      </c>
      <c r="B5941" t="s">
        <v>232</v>
      </c>
      <c r="C5941" s="26">
        <v>0.40749999999999997</v>
      </c>
      <c r="D5941" s="26">
        <v>0.2621</v>
      </c>
      <c r="E5941" s="26">
        <v>0.1701</v>
      </c>
      <c r="F5941" s="26">
        <v>0.1603</v>
      </c>
      <c r="G5941">
        <v>702</v>
      </c>
    </row>
    <row r="5943" spans="1:7" x14ac:dyDescent="0.35">
      <c r="A5943" s="1" t="s">
        <v>779</v>
      </c>
    </row>
    <row r="5944" spans="1:7" x14ac:dyDescent="0.35">
      <c r="A5944" t="s">
        <v>219</v>
      </c>
      <c r="B5944" t="s">
        <v>305</v>
      </c>
      <c r="C5944" t="s">
        <v>767</v>
      </c>
      <c r="D5944" t="s">
        <v>768</v>
      </c>
      <c r="E5944" t="s">
        <v>769</v>
      </c>
      <c r="F5944" t="s">
        <v>770</v>
      </c>
      <c r="G5944" t="s">
        <v>226</v>
      </c>
    </row>
    <row r="5945" spans="1:7" x14ac:dyDescent="0.35">
      <c r="A5945" t="s">
        <v>227</v>
      </c>
      <c r="B5945" t="s">
        <v>371</v>
      </c>
      <c r="C5945" s="26">
        <v>0.3256</v>
      </c>
      <c r="D5945" s="26">
        <v>0.27910000000000001</v>
      </c>
      <c r="E5945" s="26">
        <v>0.25580000000000003</v>
      </c>
      <c r="F5945" s="26">
        <v>0.13950000000000001</v>
      </c>
      <c r="G5945">
        <v>43</v>
      </c>
    </row>
    <row r="5946" spans="1:7" x14ac:dyDescent="0.35">
      <c r="A5946" t="s">
        <v>228</v>
      </c>
      <c r="B5946" t="s">
        <v>371</v>
      </c>
      <c r="C5946" s="26">
        <v>0.33389999999999997</v>
      </c>
      <c r="D5946" s="26">
        <v>0.22439999999999999</v>
      </c>
      <c r="E5946" s="26">
        <v>0.2576</v>
      </c>
      <c r="F5946" s="26">
        <v>0.184</v>
      </c>
      <c r="G5946">
        <v>82</v>
      </c>
    </row>
    <row r="5947" spans="1:7" x14ac:dyDescent="0.35">
      <c r="A5947" t="s">
        <v>228</v>
      </c>
      <c r="B5947" t="s">
        <v>372</v>
      </c>
      <c r="C5947" s="26">
        <v>0.34820000000000001</v>
      </c>
      <c r="D5947" s="26">
        <v>0.34129999999999999</v>
      </c>
      <c r="E5947" s="26">
        <v>0.14660000000000001</v>
      </c>
      <c r="F5947" s="26">
        <v>0.16389999999999999</v>
      </c>
      <c r="G5947">
        <v>37</v>
      </c>
    </row>
    <row r="5948" spans="1:7" x14ac:dyDescent="0.35">
      <c r="A5948" t="s">
        <v>228</v>
      </c>
      <c r="B5948" t="s">
        <v>373</v>
      </c>
      <c r="C5948" s="26">
        <v>0.51570000000000005</v>
      </c>
      <c r="D5948" s="26">
        <v>0.22370000000000001</v>
      </c>
      <c r="E5948" s="26">
        <v>0.15809999999999999</v>
      </c>
      <c r="F5948" s="26">
        <v>0.10249999999999999</v>
      </c>
      <c r="G5948">
        <v>114</v>
      </c>
    </row>
    <row r="5949" spans="1:7" x14ac:dyDescent="0.35">
      <c r="A5949" t="s">
        <v>229</v>
      </c>
      <c r="B5949" t="s">
        <v>371</v>
      </c>
      <c r="C5949" s="26">
        <v>0.44240000000000002</v>
      </c>
      <c r="D5949" s="26">
        <v>0.23669999999999999</v>
      </c>
      <c r="E5949" s="26">
        <v>0.15140000000000001</v>
      </c>
      <c r="F5949" s="26">
        <v>0.16950000000000001</v>
      </c>
      <c r="G5949">
        <v>161</v>
      </c>
    </row>
    <row r="5950" spans="1:7" x14ac:dyDescent="0.35">
      <c r="A5950" t="s">
        <v>229</v>
      </c>
      <c r="B5950" t="s">
        <v>372</v>
      </c>
      <c r="C5950" s="26">
        <v>0.40749999999999997</v>
      </c>
      <c r="D5950" s="26">
        <v>0.26140000000000002</v>
      </c>
      <c r="E5950" s="26">
        <v>0.14990000000000001</v>
      </c>
      <c r="F5950" s="26">
        <v>0.18129999999999999</v>
      </c>
      <c r="G5950">
        <v>56</v>
      </c>
    </row>
    <row r="5951" spans="1:7" x14ac:dyDescent="0.35">
      <c r="A5951" s="27" t="s">
        <v>229</v>
      </c>
      <c r="B5951" s="27" t="s">
        <v>373</v>
      </c>
      <c r="C5951" s="28">
        <v>0.13980000000000001</v>
      </c>
      <c r="D5951" s="28">
        <v>0.19400000000000001</v>
      </c>
      <c r="E5951" s="28">
        <v>0.32529999999999998</v>
      </c>
      <c r="F5951" s="28">
        <v>0.34100000000000003</v>
      </c>
      <c r="G5951" s="29" t="s">
        <v>347</v>
      </c>
    </row>
    <row r="5952" spans="1:7" x14ac:dyDescent="0.35">
      <c r="A5952" t="s">
        <v>230</v>
      </c>
      <c r="B5952" t="s">
        <v>371</v>
      </c>
      <c r="C5952" s="26">
        <v>0.35570000000000002</v>
      </c>
      <c r="D5952" s="26">
        <v>0.27110000000000001</v>
      </c>
      <c r="E5952" s="26">
        <v>0.20430000000000001</v>
      </c>
      <c r="F5952" s="26">
        <v>0.16889999999999999</v>
      </c>
      <c r="G5952">
        <v>84</v>
      </c>
    </row>
    <row r="5953" spans="1:8" x14ac:dyDescent="0.35">
      <c r="A5953" s="27" t="s">
        <v>230</v>
      </c>
      <c r="B5953" s="27" t="s">
        <v>372</v>
      </c>
      <c r="C5953" s="28">
        <v>0.35110000000000002</v>
      </c>
      <c r="D5953" s="28">
        <v>0.15429999999999999</v>
      </c>
      <c r="E5953" s="28">
        <v>0.33510000000000001</v>
      </c>
      <c r="F5953" s="28">
        <v>0.15959999999999999</v>
      </c>
      <c r="G5953" s="29" t="s">
        <v>329</v>
      </c>
    </row>
    <row r="5954" spans="1:8" x14ac:dyDescent="0.35">
      <c r="A5954" t="s">
        <v>230</v>
      </c>
      <c r="B5954" t="s">
        <v>373</v>
      </c>
      <c r="C5954" s="26">
        <v>0.3216</v>
      </c>
      <c r="D5954" s="26">
        <v>0.3392</v>
      </c>
      <c r="E5954" s="26">
        <v>0.2039</v>
      </c>
      <c r="F5954" s="26">
        <v>0.1353</v>
      </c>
      <c r="G5954">
        <v>42</v>
      </c>
    </row>
    <row r="5955" spans="1:8" x14ac:dyDescent="0.35">
      <c r="A5955" t="s">
        <v>231</v>
      </c>
      <c r="B5955" t="s">
        <v>371</v>
      </c>
      <c r="C5955" s="26">
        <v>0.46870000000000001</v>
      </c>
      <c r="D5955" s="26">
        <v>0.3125</v>
      </c>
      <c r="E5955" s="26">
        <v>6.25E-2</v>
      </c>
      <c r="F5955" s="26">
        <v>0.15620000000000001</v>
      </c>
      <c r="G5955">
        <v>32</v>
      </c>
    </row>
    <row r="5956" spans="1:8" x14ac:dyDescent="0.35">
      <c r="A5956" t="s">
        <v>232</v>
      </c>
      <c r="B5956" t="s">
        <v>232</v>
      </c>
      <c r="C5956" s="26">
        <v>0.40749999999999997</v>
      </c>
      <c r="D5956" s="26">
        <v>0.2621</v>
      </c>
      <c r="E5956" s="26">
        <v>0.1701</v>
      </c>
      <c r="F5956" s="26">
        <v>0.1603</v>
      </c>
      <c r="G5956">
        <v>702</v>
      </c>
    </row>
    <row r="5958" spans="1:8" x14ac:dyDescent="0.35">
      <c r="A5958" s="1" t="s">
        <v>780</v>
      </c>
    </row>
    <row r="5959" spans="1:8" x14ac:dyDescent="0.35">
      <c r="A5959" t="s">
        <v>219</v>
      </c>
      <c r="B5959" t="s">
        <v>260</v>
      </c>
      <c r="C5959" t="s">
        <v>261</v>
      </c>
      <c r="D5959" t="s">
        <v>262</v>
      </c>
      <c r="E5959" t="s">
        <v>263</v>
      </c>
      <c r="F5959" t="s">
        <v>236</v>
      </c>
      <c r="G5959" t="s">
        <v>226</v>
      </c>
    </row>
    <row r="5960" spans="1:8" x14ac:dyDescent="0.35">
      <c r="A5960" t="s">
        <v>227</v>
      </c>
      <c r="B5960" s="26">
        <v>0.75780000000000003</v>
      </c>
      <c r="C5960" s="26">
        <v>0.20499999999999999</v>
      </c>
      <c r="D5960" s="26">
        <v>1.8599999999999998E-2</v>
      </c>
      <c r="E5960" s="26">
        <v>1.8599999999999998E-2</v>
      </c>
      <c r="G5960">
        <v>161</v>
      </c>
    </row>
    <row r="5961" spans="1:8" x14ac:dyDescent="0.35">
      <c r="A5961" t="s">
        <v>228</v>
      </c>
      <c r="B5961" s="26">
        <v>0.61429999999999996</v>
      </c>
      <c r="C5961" s="26">
        <v>0.19470000000000001</v>
      </c>
      <c r="D5961" s="26">
        <v>0.1661</v>
      </c>
      <c r="E5961" s="26">
        <v>1.8700000000000001E-2</v>
      </c>
      <c r="F5961" s="26">
        <v>6.1999999999999998E-3</v>
      </c>
      <c r="G5961">
        <v>1033</v>
      </c>
    </row>
    <row r="5962" spans="1:8" x14ac:dyDescent="0.35">
      <c r="A5962" t="s">
        <v>229</v>
      </c>
      <c r="B5962" s="26">
        <v>0.55279999999999996</v>
      </c>
      <c r="C5962" s="26">
        <v>0.14860000000000001</v>
      </c>
      <c r="D5962" s="26">
        <v>0.27929999999999999</v>
      </c>
      <c r="E5962" s="26">
        <v>1.9300000000000001E-2</v>
      </c>
      <c r="F5962" s="26">
        <v>2.0000000000000001E-4</v>
      </c>
      <c r="G5962">
        <v>895</v>
      </c>
    </row>
    <row r="5963" spans="1:8" x14ac:dyDescent="0.35">
      <c r="A5963" t="s">
        <v>230</v>
      </c>
      <c r="B5963" s="26">
        <v>0.69279999999999997</v>
      </c>
      <c r="C5963" s="26">
        <v>0.1333</v>
      </c>
      <c r="D5963" s="26">
        <v>0.15010000000000001</v>
      </c>
      <c r="E5963" s="26">
        <v>1.6299999999999999E-2</v>
      </c>
      <c r="F5963" s="26">
        <v>7.4000000000000003E-3</v>
      </c>
      <c r="G5963">
        <v>560</v>
      </c>
    </row>
    <row r="5964" spans="1:8" x14ac:dyDescent="0.35">
      <c r="A5964" t="s">
        <v>231</v>
      </c>
      <c r="B5964" s="26">
        <v>0.75609999999999999</v>
      </c>
      <c r="C5964" s="26">
        <v>0.1646</v>
      </c>
      <c r="D5964" s="26">
        <v>6.7100000000000007E-2</v>
      </c>
      <c r="E5964" s="26">
        <v>1.2200000000000001E-2</v>
      </c>
      <c r="G5964">
        <v>164</v>
      </c>
    </row>
    <row r="5965" spans="1:8" x14ac:dyDescent="0.35">
      <c r="A5965" t="s">
        <v>232</v>
      </c>
      <c r="B5965" s="26">
        <v>0.66490000000000005</v>
      </c>
      <c r="C5965" s="26">
        <v>0.16900000000000001</v>
      </c>
      <c r="D5965" s="26">
        <v>0.14729999999999999</v>
      </c>
      <c r="E5965" s="26">
        <v>1.6799999999999999E-2</v>
      </c>
      <c r="F5965" s="26">
        <v>2E-3</v>
      </c>
      <c r="G5965">
        <v>2813</v>
      </c>
    </row>
    <row r="5967" spans="1:8" x14ac:dyDescent="0.35">
      <c r="A5967" s="1" t="s">
        <v>781</v>
      </c>
    </row>
    <row r="5968" spans="1:8" x14ac:dyDescent="0.35">
      <c r="A5968" t="s">
        <v>219</v>
      </c>
      <c r="B5968" t="s">
        <v>305</v>
      </c>
      <c r="C5968" t="s">
        <v>260</v>
      </c>
      <c r="D5968" t="s">
        <v>261</v>
      </c>
      <c r="E5968" t="s">
        <v>262</v>
      </c>
      <c r="F5968" t="s">
        <v>263</v>
      </c>
      <c r="G5968" t="s">
        <v>236</v>
      </c>
      <c r="H5968" t="s">
        <v>226</v>
      </c>
    </row>
    <row r="5969" spans="1:8" x14ac:dyDescent="0.35">
      <c r="A5969" t="s">
        <v>227</v>
      </c>
      <c r="B5969" t="s">
        <v>242</v>
      </c>
      <c r="C5969" s="26">
        <v>0.66180000000000005</v>
      </c>
      <c r="D5969" s="26">
        <v>0.30880000000000002</v>
      </c>
      <c r="E5969" s="26">
        <v>1.47E-2</v>
      </c>
      <c r="F5969" s="26">
        <v>1.47E-2</v>
      </c>
      <c r="H5969">
        <v>68</v>
      </c>
    </row>
    <row r="5970" spans="1:8" x14ac:dyDescent="0.35">
      <c r="A5970" t="s">
        <v>227</v>
      </c>
      <c r="B5970" t="s">
        <v>241</v>
      </c>
      <c r="C5970" s="26">
        <v>0.82799999999999996</v>
      </c>
      <c r="D5970" s="26">
        <v>0.129</v>
      </c>
      <c r="E5970" s="26">
        <v>2.1499999999999998E-2</v>
      </c>
      <c r="F5970" s="26">
        <v>2.1499999999999998E-2</v>
      </c>
      <c r="H5970">
        <v>93</v>
      </c>
    </row>
    <row r="5971" spans="1:8" x14ac:dyDescent="0.35">
      <c r="A5971" t="s">
        <v>228</v>
      </c>
      <c r="B5971" t="s">
        <v>242</v>
      </c>
      <c r="C5971" s="26">
        <v>0.55649999999999999</v>
      </c>
      <c r="D5971" s="26">
        <v>0.26179999999999998</v>
      </c>
      <c r="E5971" s="26">
        <v>0.1502</v>
      </c>
      <c r="F5971" s="26">
        <v>1.8200000000000001E-2</v>
      </c>
      <c r="G5971" s="26">
        <v>1.32E-2</v>
      </c>
      <c r="H5971">
        <v>402</v>
      </c>
    </row>
    <row r="5972" spans="1:8" x14ac:dyDescent="0.35">
      <c r="A5972" t="s">
        <v>228</v>
      </c>
      <c r="B5972" t="s">
        <v>241</v>
      </c>
      <c r="C5972" s="26">
        <v>0.64729999999999999</v>
      </c>
      <c r="D5972" s="26">
        <v>0.15629999999999999</v>
      </c>
      <c r="E5972" s="26">
        <v>0.17519999999999999</v>
      </c>
      <c r="F5972" s="26">
        <v>1.89E-2</v>
      </c>
      <c r="G5972" s="26">
        <v>2.2000000000000001E-3</v>
      </c>
      <c r="H5972">
        <v>631</v>
      </c>
    </row>
    <row r="5973" spans="1:8" x14ac:dyDescent="0.35">
      <c r="A5973" t="s">
        <v>229</v>
      </c>
      <c r="B5973" t="s">
        <v>242</v>
      </c>
      <c r="C5973" s="26">
        <v>0.5222</v>
      </c>
      <c r="D5973" s="26">
        <v>0.2117</v>
      </c>
      <c r="E5973" s="26">
        <v>0.24160000000000001</v>
      </c>
      <c r="F5973" s="26">
        <v>2.46E-2</v>
      </c>
      <c r="H5973">
        <v>292</v>
      </c>
    </row>
    <row r="5974" spans="1:8" x14ac:dyDescent="0.35">
      <c r="A5974" t="s">
        <v>229</v>
      </c>
      <c r="B5974" t="s">
        <v>241</v>
      </c>
      <c r="C5974" s="26">
        <v>0.57230000000000003</v>
      </c>
      <c r="D5974" s="26">
        <v>0.1082</v>
      </c>
      <c r="E5974" s="26">
        <v>0.3034</v>
      </c>
      <c r="F5974" s="26">
        <v>1.5800000000000002E-2</v>
      </c>
      <c r="G5974" s="26">
        <v>2.9999999999999997E-4</v>
      </c>
      <c r="H5974">
        <v>603</v>
      </c>
    </row>
    <row r="5975" spans="1:8" x14ac:dyDescent="0.35">
      <c r="A5975" t="s">
        <v>230</v>
      </c>
      <c r="B5975" t="s">
        <v>242</v>
      </c>
      <c r="C5975" s="26">
        <v>0.63339999999999996</v>
      </c>
      <c r="D5975" s="26">
        <v>0.19950000000000001</v>
      </c>
      <c r="E5975" s="26">
        <v>0.11749999999999999</v>
      </c>
      <c r="F5975" s="26">
        <v>3.3700000000000001E-2</v>
      </c>
      <c r="G5975" s="26">
        <v>1.5900000000000001E-2</v>
      </c>
      <c r="H5975">
        <v>189</v>
      </c>
    </row>
    <row r="5976" spans="1:8" x14ac:dyDescent="0.35">
      <c r="A5976" t="s">
        <v>230</v>
      </c>
      <c r="B5976" t="s">
        <v>241</v>
      </c>
      <c r="C5976" s="26">
        <v>0.72319999999999995</v>
      </c>
      <c r="D5976" s="26">
        <v>9.9500000000000005E-2</v>
      </c>
      <c r="E5976" s="26">
        <v>0.1668</v>
      </c>
      <c r="F5976" s="26">
        <v>7.4000000000000003E-3</v>
      </c>
      <c r="G5976" s="26">
        <v>3.0999999999999999E-3</v>
      </c>
      <c r="H5976">
        <v>371</v>
      </c>
    </row>
    <row r="5977" spans="1:8" x14ac:dyDescent="0.35">
      <c r="A5977" t="s">
        <v>231</v>
      </c>
      <c r="B5977" t="s">
        <v>242</v>
      </c>
      <c r="C5977" s="26">
        <v>0.79630000000000001</v>
      </c>
      <c r="D5977" s="26">
        <v>0.12959999999999999</v>
      </c>
      <c r="E5977" s="26">
        <v>3.6999999999999998E-2</v>
      </c>
      <c r="F5977" s="26">
        <v>3.6999999999999998E-2</v>
      </c>
      <c r="H5977">
        <v>54</v>
      </c>
    </row>
    <row r="5978" spans="1:8" x14ac:dyDescent="0.35">
      <c r="A5978" t="s">
        <v>231</v>
      </c>
      <c r="B5978" t="s">
        <v>241</v>
      </c>
      <c r="C5978" s="26">
        <v>0.73640000000000005</v>
      </c>
      <c r="D5978" s="26">
        <v>0.18179999999999999</v>
      </c>
      <c r="E5978" s="26">
        <v>8.1799999999999998E-2</v>
      </c>
      <c r="H5978">
        <v>110</v>
      </c>
    </row>
    <row r="5979" spans="1:8" x14ac:dyDescent="0.35">
      <c r="A5979" t="s">
        <v>232</v>
      </c>
      <c r="B5979" t="s">
        <v>232</v>
      </c>
      <c r="C5979" s="26">
        <v>0.66490000000000005</v>
      </c>
      <c r="D5979" s="26">
        <v>0.16900000000000001</v>
      </c>
      <c r="E5979" s="26">
        <v>0.14729999999999999</v>
      </c>
      <c r="F5979" s="26">
        <v>1.6799999999999999E-2</v>
      </c>
      <c r="G5979" s="26">
        <v>2E-3</v>
      </c>
      <c r="H5979">
        <v>2813</v>
      </c>
    </row>
    <row r="5981" spans="1:8" x14ac:dyDescent="0.35">
      <c r="A5981" s="1" t="s">
        <v>782</v>
      </c>
    </row>
    <row r="5982" spans="1:8" x14ac:dyDescent="0.35">
      <c r="A5982" t="s">
        <v>219</v>
      </c>
      <c r="B5982" t="s">
        <v>305</v>
      </c>
      <c r="C5982" t="s">
        <v>260</v>
      </c>
      <c r="D5982" t="s">
        <v>261</v>
      </c>
      <c r="E5982" t="s">
        <v>262</v>
      </c>
      <c r="F5982" t="s">
        <v>263</v>
      </c>
      <c r="G5982" t="s">
        <v>236</v>
      </c>
      <c r="H5982" t="s">
        <v>226</v>
      </c>
    </row>
    <row r="5983" spans="1:8" x14ac:dyDescent="0.35">
      <c r="A5983" t="s">
        <v>227</v>
      </c>
      <c r="B5983" t="s">
        <v>239</v>
      </c>
      <c r="C5983" s="26">
        <v>0.7581</v>
      </c>
      <c r="D5983" s="26">
        <v>0.2419</v>
      </c>
      <c r="H5983">
        <v>62</v>
      </c>
    </row>
    <row r="5984" spans="1:8" x14ac:dyDescent="0.35">
      <c r="A5984" t="s">
        <v>227</v>
      </c>
      <c r="B5984" t="s">
        <v>238</v>
      </c>
      <c r="C5984" s="26">
        <v>0.75760000000000005</v>
      </c>
      <c r="D5984" s="26">
        <v>0.18179999999999999</v>
      </c>
      <c r="E5984" s="26">
        <v>3.0300000000000001E-2</v>
      </c>
      <c r="F5984" s="26">
        <v>3.0300000000000001E-2</v>
      </c>
      <c r="H5984">
        <v>99</v>
      </c>
    </row>
    <row r="5985" spans="1:8" x14ac:dyDescent="0.35">
      <c r="A5985" t="s">
        <v>228</v>
      </c>
      <c r="B5985" t="s">
        <v>239</v>
      </c>
      <c r="C5985" s="26">
        <v>0.62450000000000006</v>
      </c>
      <c r="D5985" s="26">
        <v>0.2424</v>
      </c>
      <c r="E5985" s="26">
        <v>0.11559999999999999</v>
      </c>
      <c r="F5985" s="26">
        <v>1.7500000000000002E-2</v>
      </c>
      <c r="H5985">
        <v>330</v>
      </c>
    </row>
    <row r="5986" spans="1:8" x14ac:dyDescent="0.35">
      <c r="A5986" t="s">
        <v>228</v>
      </c>
      <c r="B5986" t="s">
        <v>238</v>
      </c>
      <c r="C5986" s="26">
        <v>0.61160000000000003</v>
      </c>
      <c r="D5986" s="26">
        <v>0.18229999999999999</v>
      </c>
      <c r="E5986" s="26">
        <v>0.17929999999999999</v>
      </c>
      <c r="F5986" s="26">
        <v>1.9E-2</v>
      </c>
      <c r="G5986" s="26">
        <v>7.7999999999999996E-3</v>
      </c>
      <c r="H5986">
        <v>703</v>
      </c>
    </row>
    <row r="5987" spans="1:8" x14ac:dyDescent="0.35">
      <c r="A5987" t="s">
        <v>229</v>
      </c>
      <c r="B5987" t="s">
        <v>239</v>
      </c>
      <c r="C5987" s="26">
        <v>0.69220000000000004</v>
      </c>
      <c r="D5987" s="26">
        <v>0.12720000000000001</v>
      </c>
      <c r="E5987" s="26">
        <v>0.17080000000000001</v>
      </c>
      <c r="F5987" s="26">
        <v>9.7999999999999997E-3</v>
      </c>
      <c r="H5987">
        <v>332</v>
      </c>
    </row>
    <row r="5988" spans="1:8" x14ac:dyDescent="0.35">
      <c r="A5988" t="s">
        <v>229</v>
      </c>
      <c r="B5988" t="s">
        <v>238</v>
      </c>
      <c r="C5988" s="26">
        <v>0.50519999999999998</v>
      </c>
      <c r="D5988" s="26">
        <v>0.15590000000000001</v>
      </c>
      <c r="E5988" s="26">
        <v>0.31630000000000003</v>
      </c>
      <c r="F5988" s="26">
        <v>2.2499999999999999E-2</v>
      </c>
      <c r="G5988" s="26">
        <v>2.0000000000000001E-4</v>
      </c>
      <c r="H5988">
        <v>563</v>
      </c>
    </row>
    <row r="5989" spans="1:8" x14ac:dyDescent="0.35">
      <c r="A5989" t="s">
        <v>230</v>
      </c>
      <c r="B5989" t="s">
        <v>239</v>
      </c>
      <c r="C5989" s="26">
        <v>0.78029999999999999</v>
      </c>
      <c r="D5989" s="26">
        <v>4.5400000000000003E-2</v>
      </c>
      <c r="E5989" s="26">
        <v>0.14269999999999999</v>
      </c>
      <c r="F5989" s="26">
        <v>2.47E-2</v>
      </c>
      <c r="G5989" s="26">
        <v>6.8999999999999999E-3</v>
      </c>
      <c r="H5989">
        <v>211</v>
      </c>
    </row>
    <row r="5990" spans="1:8" x14ac:dyDescent="0.35">
      <c r="A5990" t="s">
        <v>230</v>
      </c>
      <c r="B5990" t="s">
        <v>238</v>
      </c>
      <c r="C5990" s="26">
        <v>0.65510000000000002</v>
      </c>
      <c r="D5990" s="26">
        <v>0.17119999999999999</v>
      </c>
      <c r="E5990" s="26">
        <v>0.15329999999999999</v>
      </c>
      <c r="F5990" s="26">
        <v>1.2699999999999999E-2</v>
      </c>
      <c r="G5990" s="26">
        <v>7.7000000000000002E-3</v>
      </c>
      <c r="H5990">
        <v>349</v>
      </c>
    </row>
    <row r="5991" spans="1:8" x14ac:dyDescent="0.35">
      <c r="A5991" t="s">
        <v>231</v>
      </c>
      <c r="B5991" t="s">
        <v>239</v>
      </c>
      <c r="C5991" s="26">
        <v>0.80700000000000005</v>
      </c>
      <c r="D5991" s="26">
        <v>0.1404</v>
      </c>
      <c r="E5991" s="26">
        <v>5.2600000000000001E-2</v>
      </c>
      <c r="H5991">
        <v>57</v>
      </c>
    </row>
    <row r="5992" spans="1:8" x14ac:dyDescent="0.35">
      <c r="A5992" t="s">
        <v>231</v>
      </c>
      <c r="B5992" t="s">
        <v>238</v>
      </c>
      <c r="C5992" s="26">
        <v>0.72899999999999998</v>
      </c>
      <c r="D5992" s="26">
        <v>0.17760000000000001</v>
      </c>
      <c r="E5992" s="26">
        <v>7.4800000000000005E-2</v>
      </c>
      <c r="F5992" s="26">
        <v>1.8700000000000001E-2</v>
      </c>
      <c r="H5992">
        <v>107</v>
      </c>
    </row>
    <row r="5993" spans="1:8" x14ac:dyDescent="0.35">
      <c r="A5993" t="s">
        <v>232</v>
      </c>
      <c r="B5993" t="s">
        <v>232</v>
      </c>
      <c r="C5993" s="26">
        <v>0.66490000000000005</v>
      </c>
      <c r="D5993" s="26">
        <v>0.16900000000000001</v>
      </c>
      <c r="E5993" s="26">
        <v>0.14729999999999999</v>
      </c>
      <c r="F5993" s="26">
        <v>1.6799999999999999E-2</v>
      </c>
      <c r="G5993" s="26">
        <v>2E-3</v>
      </c>
      <c r="H5993">
        <v>2813</v>
      </c>
    </row>
    <row r="5995" spans="1:8" x14ac:dyDescent="0.35">
      <c r="A5995" s="1" t="s">
        <v>783</v>
      </c>
    </row>
    <row r="5996" spans="1:8" x14ac:dyDescent="0.35">
      <c r="A5996" t="s">
        <v>219</v>
      </c>
      <c r="B5996" t="s">
        <v>305</v>
      </c>
      <c r="C5996" t="s">
        <v>260</v>
      </c>
      <c r="D5996" t="s">
        <v>261</v>
      </c>
      <c r="E5996" t="s">
        <v>262</v>
      </c>
      <c r="F5996" t="s">
        <v>263</v>
      </c>
      <c r="G5996" t="s">
        <v>236</v>
      </c>
      <c r="H5996" t="s">
        <v>226</v>
      </c>
    </row>
    <row r="5997" spans="1:8" x14ac:dyDescent="0.35">
      <c r="A5997" t="s">
        <v>227</v>
      </c>
      <c r="B5997" t="s">
        <v>244</v>
      </c>
      <c r="C5997" s="26">
        <v>0.71879999999999999</v>
      </c>
      <c r="D5997" s="26">
        <v>0.26040000000000002</v>
      </c>
      <c r="F5997" s="26">
        <v>2.0799999999999999E-2</v>
      </c>
      <c r="H5997">
        <v>96</v>
      </c>
    </row>
    <row r="5998" spans="1:8" x14ac:dyDescent="0.35">
      <c r="A5998" t="s">
        <v>227</v>
      </c>
      <c r="B5998" t="s">
        <v>245</v>
      </c>
      <c r="C5998" s="26">
        <v>0.84909999999999997</v>
      </c>
      <c r="D5998" s="26">
        <v>0.1132</v>
      </c>
      <c r="E5998" s="26">
        <v>1.89E-2</v>
      </c>
      <c r="F5998" s="26">
        <v>1.89E-2</v>
      </c>
      <c r="H5998">
        <v>53</v>
      </c>
    </row>
    <row r="5999" spans="1:8" x14ac:dyDescent="0.35">
      <c r="A5999" s="27" t="s">
        <v>227</v>
      </c>
      <c r="B5999" s="27" t="s">
        <v>246</v>
      </c>
      <c r="C5999" s="28">
        <v>0.66669999999999996</v>
      </c>
      <c r="D5999" s="28">
        <v>0.16669999999999999</v>
      </c>
      <c r="E5999" s="28">
        <v>0.16669999999999999</v>
      </c>
      <c r="F5999" s="29"/>
      <c r="G5999" s="29"/>
      <c r="H5999" s="29" t="s">
        <v>342</v>
      </c>
    </row>
    <row r="6000" spans="1:8" x14ac:dyDescent="0.35">
      <c r="A6000" t="s">
        <v>228</v>
      </c>
      <c r="B6000" t="s">
        <v>244</v>
      </c>
      <c r="C6000" s="26">
        <v>0.59760000000000002</v>
      </c>
      <c r="D6000" s="26">
        <v>0.1963</v>
      </c>
      <c r="E6000" s="26">
        <v>0.17979999999999999</v>
      </c>
      <c r="F6000" s="26">
        <v>2.3699999999999999E-2</v>
      </c>
      <c r="G6000" s="26">
        <v>2.5999999999999999E-3</v>
      </c>
      <c r="H6000">
        <v>638</v>
      </c>
    </row>
    <row r="6001" spans="1:8" x14ac:dyDescent="0.35">
      <c r="A6001" t="s">
        <v>228</v>
      </c>
      <c r="B6001" t="s">
        <v>245</v>
      </c>
      <c r="C6001" s="26">
        <v>0.69589999999999996</v>
      </c>
      <c r="D6001" s="26">
        <v>0.1598</v>
      </c>
      <c r="E6001" s="26">
        <v>0.1183</v>
      </c>
      <c r="F6001" s="26">
        <v>0.01</v>
      </c>
      <c r="G6001" s="26">
        <v>1.61E-2</v>
      </c>
      <c r="H6001">
        <v>328</v>
      </c>
    </row>
    <row r="6002" spans="1:8" x14ac:dyDescent="0.35">
      <c r="A6002" t="s">
        <v>228</v>
      </c>
      <c r="B6002" t="s">
        <v>246</v>
      </c>
      <c r="C6002" s="26">
        <v>0.4425</v>
      </c>
      <c r="D6002" s="26">
        <v>0.32129999999999997</v>
      </c>
      <c r="E6002" s="26">
        <v>0.2301</v>
      </c>
      <c r="F6002" s="26">
        <v>6.0000000000000001E-3</v>
      </c>
      <c r="H6002">
        <v>67</v>
      </c>
    </row>
    <row r="6003" spans="1:8" x14ac:dyDescent="0.35">
      <c r="A6003" t="s">
        <v>229</v>
      </c>
      <c r="B6003" t="s">
        <v>244</v>
      </c>
      <c r="C6003" s="26">
        <v>0.49380000000000002</v>
      </c>
      <c r="D6003" s="26">
        <v>0.16189999999999999</v>
      </c>
      <c r="E6003" s="26">
        <v>0.3261</v>
      </c>
      <c r="F6003" s="26">
        <v>1.8200000000000001E-2</v>
      </c>
      <c r="H6003">
        <v>557</v>
      </c>
    </row>
    <row r="6004" spans="1:8" x14ac:dyDescent="0.35">
      <c r="A6004" t="s">
        <v>229</v>
      </c>
      <c r="B6004" t="s">
        <v>245</v>
      </c>
      <c r="C6004" s="26">
        <v>0.73280000000000001</v>
      </c>
      <c r="D6004" s="26">
        <v>0.11899999999999999</v>
      </c>
      <c r="E6004" s="26">
        <v>0.13300000000000001</v>
      </c>
      <c r="F6004" s="26">
        <v>1.44E-2</v>
      </c>
      <c r="G6004" s="26">
        <v>6.9999999999999999E-4</v>
      </c>
      <c r="H6004">
        <v>293</v>
      </c>
    </row>
    <row r="6005" spans="1:8" x14ac:dyDescent="0.35">
      <c r="A6005" t="s">
        <v>229</v>
      </c>
      <c r="B6005" t="s">
        <v>246</v>
      </c>
      <c r="C6005" s="26">
        <v>0.46210000000000001</v>
      </c>
      <c r="D6005" s="26">
        <v>0.11509999999999999</v>
      </c>
      <c r="E6005" s="26">
        <v>0.3664</v>
      </c>
      <c r="F6005" s="26">
        <v>5.6399999999999999E-2</v>
      </c>
      <c r="H6005">
        <v>45</v>
      </c>
    </row>
    <row r="6006" spans="1:8" x14ac:dyDescent="0.35">
      <c r="A6006" t="s">
        <v>230</v>
      </c>
      <c r="B6006" t="s">
        <v>244</v>
      </c>
      <c r="C6006" s="26">
        <v>0.67069999999999996</v>
      </c>
      <c r="D6006" s="26">
        <v>0.1605</v>
      </c>
      <c r="E6006" s="26">
        <v>0.155</v>
      </c>
      <c r="F6006" s="26">
        <v>1.21E-2</v>
      </c>
      <c r="G6006" s="26">
        <v>1.6999999999999999E-3</v>
      </c>
      <c r="H6006">
        <v>370</v>
      </c>
    </row>
    <row r="6007" spans="1:8" x14ac:dyDescent="0.35">
      <c r="A6007" t="s">
        <v>230</v>
      </c>
      <c r="B6007" t="s">
        <v>245</v>
      </c>
      <c r="C6007" s="26">
        <v>0.78590000000000004</v>
      </c>
      <c r="D6007" s="26">
        <v>5.3699999999999998E-2</v>
      </c>
      <c r="E6007" s="26">
        <v>0.12989999999999999</v>
      </c>
      <c r="F6007" s="26">
        <v>6.3E-3</v>
      </c>
      <c r="G6007" s="26">
        <v>2.4199999999999999E-2</v>
      </c>
      <c r="H6007">
        <v>161</v>
      </c>
    </row>
    <row r="6008" spans="1:8" x14ac:dyDescent="0.35">
      <c r="A6008" s="27" t="s">
        <v>230</v>
      </c>
      <c r="B6008" s="27" t="s">
        <v>246</v>
      </c>
      <c r="C6008" s="28">
        <v>0.51049999999999995</v>
      </c>
      <c r="D6008" s="28">
        <v>0.1716</v>
      </c>
      <c r="E6008" s="28">
        <v>0.18890000000000001</v>
      </c>
      <c r="F6008" s="28">
        <v>0.129</v>
      </c>
      <c r="G6008" s="29"/>
      <c r="H6008" s="29" t="s">
        <v>329</v>
      </c>
    </row>
    <row r="6009" spans="1:8" x14ac:dyDescent="0.35">
      <c r="A6009" t="s">
        <v>231</v>
      </c>
      <c r="B6009" t="s">
        <v>244</v>
      </c>
      <c r="C6009" s="26">
        <v>0.77890000000000004</v>
      </c>
      <c r="D6009" s="26">
        <v>0.1474</v>
      </c>
      <c r="E6009" s="26">
        <v>6.3200000000000006E-2</v>
      </c>
      <c r="F6009" s="26">
        <v>1.0500000000000001E-2</v>
      </c>
      <c r="H6009">
        <v>95</v>
      </c>
    </row>
    <row r="6010" spans="1:8" x14ac:dyDescent="0.35">
      <c r="A6010" t="s">
        <v>231</v>
      </c>
      <c r="B6010" t="s">
        <v>245</v>
      </c>
      <c r="C6010" s="26">
        <v>0.71430000000000005</v>
      </c>
      <c r="D6010" s="26">
        <v>0.21429999999999999</v>
      </c>
      <c r="E6010" s="26">
        <v>5.3600000000000002E-2</v>
      </c>
      <c r="F6010" s="26">
        <v>1.7899999999999999E-2</v>
      </c>
      <c r="H6010">
        <v>56</v>
      </c>
    </row>
    <row r="6011" spans="1:8" x14ac:dyDescent="0.35">
      <c r="A6011" s="27" t="s">
        <v>231</v>
      </c>
      <c r="B6011" s="27" t="s">
        <v>246</v>
      </c>
      <c r="C6011" s="28">
        <v>0.76919999999999999</v>
      </c>
      <c r="D6011" s="28">
        <v>7.6899999999999996E-2</v>
      </c>
      <c r="E6011" s="28">
        <v>0.15379999999999999</v>
      </c>
      <c r="F6011" s="29"/>
      <c r="G6011" s="29"/>
      <c r="H6011" s="29" t="s">
        <v>341</v>
      </c>
    </row>
    <row r="6012" spans="1:8" x14ac:dyDescent="0.35">
      <c r="A6012" t="s">
        <v>232</v>
      </c>
      <c r="B6012" t="s">
        <v>232</v>
      </c>
      <c r="C6012" s="26">
        <v>0.66490000000000005</v>
      </c>
      <c r="D6012" s="26">
        <v>0.16900000000000001</v>
      </c>
      <c r="E6012" s="26">
        <v>0.14729999999999999</v>
      </c>
      <c r="F6012" s="26">
        <v>1.6799999999999999E-2</v>
      </c>
      <c r="G6012" s="26">
        <v>2E-3</v>
      </c>
      <c r="H6012">
        <v>2813</v>
      </c>
    </row>
    <row r="6014" spans="1:8" x14ac:dyDescent="0.35">
      <c r="A6014" s="1" t="s">
        <v>784</v>
      </c>
    </row>
    <row r="6015" spans="1:8" x14ac:dyDescent="0.35">
      <c r="A6015" t="s">
        <v>219</v>
      </c>
      <c r="B6015" t="s">
        <v>305</v>
      </c>
      <c r="C6015" t="s">
        <v>260</v>
      </c>
      <c r="D6015" t="s">
        <v>261</v>
      </c>
      <c r="E6015" t="s">
        <v>262</v>
      </c>
      <c r="F6015" t="s">
        <v>263</v>
      </c>
      <c r="G6015" t="s">
        <v>236</v>
      </c>
      <c r="H6015" t="s">
        <v>226</v>
      </c>
    </row>
    <row r="6016" spans="1:8" x14ac:dyDescent="0.35">
      <c r="A6016" t="s">
        <v>227</v>
      </c>
      <c r="B6016" t="s">
        <v>360</v>
      </c>
      <c r="C6016" s="26">
        <v>0.79490000000000005</v>
      </c>
      <c r="D6016" s="26">
        <v>0.17949999999999999</v>
      </c>
      <c r="E6016" s="26">
        <v>2.5600000000000001E-2</v>
      </c>
      <c r="H6016">
        <v>39</v>
      </c>
    </row>
    <row r="6017" spans="1:8" x14ac:dyDescent="0.35">
      <c r="A6017" t="s">
        <v>227</v>
      </c>
      <c r="B6017" t="s">
        <v>361</v>
      </c>
      <c r="C6017" s="26">
        <v>0.71879999999999999</v>
      </c>
      <c r="D6017" s="26">
        <v>0.1875</v>
      </c>
      <c r="E6017" s="26">
        <v>3.1199999999999999E-2</v>
      </c>
      <c r="F6017" s="26">
        <v>6.25E-2</v>
      </c>
      <c r="H6017">
        <v>32</v>
      </c>
    </row>
    <row r="6018" spans="1:8" x14ac:dyDescent="0.35">
      <c r="A6018" t="s">
        <v>227</v>
      </c>
      <c r="B6018" t="s">
        <v>362</v>
      </c>
      <c r="C6018" s="26">
        <v>0.67569999999999997</v>
      </c>
      <c r="D6018" s="26">
        <v>0.32429999999999998</v>
      </c>
      <c r="H6018">
        <v>37</v>
      </c>
    </row>
    <row r="6019" spans="1:8" x14ac:dyDescent="0.35">
      <c r="A6019" t="s">
        <v>227</v>
      </c>
      <c r="B6019" t="s">
        <v>363</v>
      </c>
      <c r="C6019" s="26">
        <v>0.77780000000000005</v>
      </c>
      <c r="D6019" s="26">
        <v>0.17780000000000001</v>
      </c>
      <c r="E6019" s="26">
        <v>2.2200000000000001E-2</v>
      </c>
      <c r="F6019" s="26">
        <v>2.2200000000000001E-2</v>
      </c>
      <c r="H6019">
        <v>45</v>
      </c>
    </row>
    <row r="6020" spans="1:8" x14ac:dyDescent="0.35">
      <c r="A6020" t="s">
        <v>228</v>
      </c>
      <c r="B6020" t="s">
        <v>360</v>
      </c>
      <c r="C6020" s="26">
        <v>0.62</v>
      </c>
      <c r="D6020" s="26">
        <v>0.24729999999999999</v>
      </c>
      <c r="E6020" s="26">
        <v>0.1067</v>
      </c>
      <c r="F6020" s="26">
        <v>2.0500000000000001E-2</v>
      </c>
      <c r="G6020" s="26">
        <v>5.4000000000000003E-3</v>
      </c>
      <c r="H6020">
        <v>258</v>
      </c>
    </row>
    <row r="6021" spans="1:8" x14ac:dyDescent="0.35">
      <c r="A6021" t="s">
        <v>228</v>
      </c>
      <c r="B6021" t="s">
        <v>361</v>
      </c>
      <c r="C6021" s="26">
        <v>0.60670000000000002</v>
      </c>
      <c r="D6021" s="26">
        <v>0.18190000000000001</v>
      </c>
      <c r="E6021" s="26">
        <v>0.17760000000000001</v>
      </c>
      <c r="F6021" s="26">
        <v>2.9000000000000001E-2</v>
      </c>
      <c r="G6021" s="26">
        <v>4.7999999999999996E-3</v>
      </c>
      <c r="H6021">
        <v>194</v>
      </c>
    </row>
    <row r="6022" spans="1:8" x14ac:dyDescent="0.35">
      <c r="A6022" t="s">
        <v>228</v>
      </c>
      <c r="B6022" t="s">
        <v>363</v>
      </c>
      <c r="C6022" s="26">
        <v>0.59460000000000002</v>
      </c>
      <c r="D6022" s="26">
        <v>0.18210000000000001</v>
      </c>
      <c r="E6022" s="26">
        <v>0.2034</v>
      </c>
      <c r="F6022" s="26">
        <v>1.8100000000000002E-2</v>
      </c>
      <c r="G6022" s="26">
        <v>1.6999999999999999E-3</v>
      </c>
      <c r="H6022">
        <v>212</v>
      </c>
    </row>
    <row r="6023" spans="1:8" x14ac:dyDescent="0.35">
      <c r="A6023" t="s">
        <v>228</v>
      </c>
      <c r="B6023" t="s">
        <v>362</v>
      </c>
      <c r="C6023" s="26">
        <v>0.65339999999999998</v>
      </c>
      <c r="D6023" s="26">
        <v>0.1779</v>
      </c>
      <c r="E6023" s="26">
        <v>0.14199999999999999</v>
      </c>
      <c r="F6023" s="26">
        <v>1.2500000000000001E-2</v>
      </c>
      <c r="G6023" s="26">
        <v>1.43E-2</v>
      </c>
      <c r="H6023">
        <v>236</v>
      </c>
    </row>
    <row r="6024" spans="1:8" x14ac:dyDescent="0.35">
      <c r="A6024" t="s">
        <v>229</v>
      </c>
      <c r="B6024" t="s">
        <v>363</v>
      </c>
      <c r="C6024" s="26">
        <v>0.57120000000000004</v>
      </c>
      <c r="D6024" s="26">
        <v>0.188</v>
      </c>
      <c r="E6024" s="26">
        <v>0.2336</v>
      </c>
      <c r="F6024" s="26">
        <v>7.1999999999999998E-3</v>
      </c>
      <c r="H6024">
        <v>191</v>
      </c>
    </row>
    <row r="6025" spans="1:8" x14ac:dyDescent="0.35">
      <c r="A6025" t="s">
        <v>229</v>
      </c>
      <c r="B6025" t="s">
        <v>360</v>
      </c>
      <c r="C6025" s="26">
        <v>0.68510000000000004</v>
      </c>
      <c r="D6025" s="26">
        <v>0.1371</v>
      </c>
      <c r="E6025" s="26">
        <v>0.16159999999999999</v>
      </c>
      <c r="F6025" s="26">
        <v>1.6199999999999999E-2</v>
      </c>
      <c r="H6025">
        <v>164</v>
      </c>
    </row>
    <row r="6026" spans="1:8" x14ac:dyDescent="0.35">
      <c r="A6026" t="s">
        <v>229</v>
      </c>
      <c r="B6026" t="s">
        <v>361</v>
      </c>
      <c r="C6026" s="26">
        <v>0.49370000000000003</v>
      </c>
      <c r="D6026" s="26">
        <v>0.1014</v>
      </c>
      <c r="E6026" s="26">
        <v>0.39179999999999998</v>
      </c>
      <c r="F6026" s="26">
        <v>1.3100000000000001E-2</v>
      </c>
      <c r="H6026">
        <v>243</v>
      </c>
    </row>
    <row r="6027" spans="1:8" x14ac:dyDescent="0.35">
      <c r="A6027" t="s">
        <v>229</v>
      </c>
      <c r="B6027" t="s">
        <v>362</v>
      </c>
      <c r="C6027" s="26">
        <v>0.57079999999999997</v>
      </c>
      <c r="D6027" s="26">
        <v>0.2172</v>
      </c>
      <c r="E6027" s="26">
        <v>0.1701</v>
      </c>
      <c r="F6027" s="26">
        <v>4.1799999999999997E-2</v>
      </c>
      <c r="H6027">
        <v>171</v>
      </c>
    </row>
    <row r="6028" spans="1:8" x14ac:dyDescent="0.35">
      <c r="A6028" t="s">
        <v>230</v>
      </c>
      <c r="B6028" t="s">
        <v>360</v>
      </c>
      <c r="C6028" s="26">
        <v>0.6704</v>
      </c>
      <c r="D6028" s="26">
        <v>0.18479999999999999</v>
      </c>
      <c r="E6028" s="26">
        <v>9.9500000000000005E-2</v>
      </c>
      <c r="F6028" s="26">
        <v>1.4999999999999999E-2</v>
      </c>
      <c r="G6028" s="26">
        <v>3.0200000000000001E-2</v>
      </c>
      <c r="H6028">
        <v>120</v>
      </c>
    </row>
    <row r="6029" spans="1:8" x14ac:dyDescent="0.35">
      <c r="A6029" t="s">
        <v>230</v>
      </c>
      <c r="B6029" t="s">
        <v>363</v>
      </c>
      <c r="C6029" s="26">
        <v>0.64700000000000002</v>
      </c>
      <c r="D6029" s="26">
        <v>0.16850000000000001</v>
      </c>
      <c r="E6029" s="26">
        <v>0.17829999999999999</v>
      </c>
      <c r="F6029" s="26">
        <v>6.1999999999999998E-3</v>
      </c>
      <c r="H6029">
        <v>127</v>
      </c>
    </row>
    <row r="6030" spans="1:8" x14ac:dyDescent="0.35">
      <c r="A6030" t="s">
        <v>230</v>
      </c>
      <c r="B6030" t="s">
        <v>361</v>
      </c>
      <c r="C6030" s="26">
        <v>0.70169999999999999</v>
      </c>
      <c r="D6030" s="26">
        <v>9.1899999999999996E-2</v>
      </c>
      <c r="E6030" s="26">
        <v>0.1986</v>
      </c>
      <c r="F6030" s="26">
        <v>7.7999999999999996E-3</v>
      </c>
      <c r="H6030">
        <v>109</v>
      </c>
    </row>
    <row r="6031" spans="1:8" x14ac:dyDescent="0.35">
      <c r="A6031" t="s">
        <v>230</v>
      </c>
      <c r="B6031" t="s">
        <v>362</v>
      </c>
      <c r="C6031" s="26">
        <v>0.71850000000000003</v>
      </c>
      <c r="D6031" s="26">
        <v>0.1333</v>
      </c>
      <c r="E6031" s="26">
        <v>0.1128</v>
      </c>
      <c r="F6031" s="26">
        <v>3.1899999999999998E-2</v>
      </c>
      <c r="G6031" s="26">
        <v>3.5999999999999999E-3</v>
      </c>
      <c r="H6031">
        <v>148</v>
      </c>
    </row>
    <row r="6032" spans="1:8" x14ac:dyDescent="0.35">
      <c r="A6032" s="27" t="s">
        <v>231</v>
      </c>
      <c r="B6032" s="27" t="s">
        <v>362</v>
      </c>
      <c r="C6032" s="28">
        <v>0.72409999999999997</v>
      </c>
      <c r="D6032" s="28">
        <v>0.10340000000000001</v>
      </c>
      <c r="E6032" s="28">
        <v>0.13789999999999999</v>
      </c>
      <c r="F6032" s="28">
        <v>3.4500000000000003E-2</v>
      </c>
      <c r="G6032" s="29"/>
      <c r="H6032" s="29" t="s">
        <v>329</v>
      </c>
    </row>
    <row r="6033" spans="1:8" x14ac:dyDescent="0.35">
      <c r="A6033" t="s">
        <v>231</v>
      </c>
      <c r="B6033" t="s">
        <v>361</v>
      </c>
      <c r="C6033" s="26">
        <v>0.78</v>
      </c>
      <c r="D6033" s="26">
        <v>0.14000000000000001</v>
      </c>
      <c r="E6033" s="26">
        <v>0.08</v>
      </c>
      <c r="H6033">
        <v>50</v>
      </c>
    </row>
    <row r="6034" spans="1:8" x14ac:dyDescent="0.35">
      <c r="A6034" t="s">
        <v>231</v>
      </c>
      <c r="B6034" t="s">
        <v>360</v>
      </c>
      <c r="C6034" s="26">
        <v>0.81820000000000004</v>
      </c>
      <c r="D6034" s="26">
        <v>0.11360000000000001</v>
      </c>
      <c r="E6034" s="26">
        <v>4.5499999999999999E-2</v>
      </c>
      <c r="F6034" s="26">
        <v>2.2700000000000001E-2</v>
      </c>
      <c r="H6034">
        <v>44</v>
      </c>
    </row>
    <row r="6035" spans="1:8" x14ac:dyDescent="0.35">
      <c r="A6035" s="27" t="s">
        <v>231</v>
      </c>
      <c r="B6035" s="27" t="s">
        <v>363</v>
      </c>
      <c r="C6035" s="28">
        <v>0.77780000000000005</v>
      </c>
      <c r="D6035" s="28">
        <v>0.1852</v>
      </c>
      <c r="E6035" s="28">
        <v>3.6999999999999998E-2</v>
      </c>
      <c r="F6035" s="29"/>
      <c r="G6035" s="29"/>
      <c r="H6035" s="29" t="s">
        <v>338</v>
      </c>
    </row>
    <row r="6036" spans="1:8" x14ac:dyDescent="0.35">
      <c r="A6036" t="s">
        <v>232</v>
      </c>
      <c r="B6036" t="s">
        <v>232</v>
      </c>
      <c r="C6036" s="26">
        <v>0.66490000000000005</v>
      </c>
      <c r="D6036" s="26">
        <v>0.16900000000000001</v>
      </c>
      <c r="E6036" s="26">
        <v>0.14729999999999999</v>
      </c>
      <c r="F6036" s="26">
        <v>1.6799999999999999E-2</v>
      </c>
      <c r="G6036" s="26">
        <v>2E-3</v>
      </c>
      <c r="H6036">
        <v>2476</v>
      </c>
    </row>
    <row r="6038" spans="1:8" x14ac:dyDescent="0.35">
      <c r="A6038" s="1" t="s">
        <v>785</v>
      </c>
    </row>
    <row r="6039" spans="1:8" x14ac:dyDescent="0.35">
      <c r="A6039" t="s">
        <v>219</v>
      </c>
      <c r="B6039" t="s">
        <v>305</v>
      </c>
      <c r="C6039" t="s">
        <v>260</v>
      </c>
      <c r="D6039" t="s">
        <v>261</v>
      </c>
      <c r="E6039" t="s">
        <v>262</v>
      </c>
      <c r="F6039" t="s">
        <v>263</v>
      </c>
      <c r="G6039" t="s">
        <v>236</v>
      </c>
      <c r="H6039" t="s">
        <v>226</v>
      </c>
    </row>
    <row r="6040" spans="1:8" x14ac:dyDescent="0.35">
      <c r="A6040" t="s">
        <v>227</v>
      </c>
      <c r="B6040" t="s">
        <v>267</v>
      </c>
      <c r="C6040" s="26">
        <v>0.86109999999999998</v>
      </c>
      <c r="D6040" s="26">
        <v>0.1389</v>
      </c>
      <c r="H6040">
        <v>36</v>
      </c>
    </row>
    <row r="6041" spans="1:8" x14ac:dyDescent="0.35">
      <c r="A6041" t="s">
        <v>227</v>
      </c>
      <c r="B6041" t="s">
        <v>266</v>
      </c>
      <c r="C6041" s="26">
        <v>0.7288</v>
      </c>
      <c r="D6041" s="26">
        <v>0.2034</v>
      </c>
      <c r="E6041" s="26">
        <v>1.6899999999999998E-2</v>
      </c>
      <c r="F6041" s="26">
        <v>5.0799999999999998E-2</v>
      </c>
      <c r="H6041">
        <v>59</v>
      </c>
    </row>
    <row r="6042" spans="1:8" x14ac:dyDescent="0.35">
      <c r="A6042" t="s">
        <v>227</v>
      </c>
      <c r="B6042" t="s">
        <v>265</v>
      </c>
      <c r="C6042" s="26">
        <v>0.72729999999999995</v>
      </c>
      <c r="D6042" s="26">
        <v>0.2424</v>
      </c>
      <c r="E6042" s="26">
        <v>3.0300000000000001E-2</v>
      </c>
      <c r="H6042">
        <v>66</v>
      </c>
    </row>
    <row r="6043" spans="1:8" x14ac:dyDescent="0.35">
      <c r="A6043" t="s">
        <v>228</v>
      </c>
      <c r="B6043" t="s">
        <v>267</v>
      </c>
      <c r="C6043" s="26">
        <v>0.69189999999999996</v>
      </c>
      <c r="D6043" s="26">
        <v>0.1343</v>
      </c>
      <c r="E6043" s="26">
        <v>0.13500000000000001</v>
      </c>
      <c r="F6043" s="26">
        <v>3.8800000000000001E-2</v>
      </c>
      <c r="H6043">
        <v>199</v>
      </c>
    </row>
    <row r="6044" spans="1:8" x14ac:dyDescent="0.35">
      <c r="A6044" t="s">
        <v>228</v>
      </c>
      <c r="B6044" t="s">
        <v>265</v>
      </c>
      <c r="C6044" s="26">
        <v>0.58630000000000004</v>
      </c>
      <c r="D6044" s="26">
        <v>0.18379999999999999</v>
      </c>
      <c r="E6044" s="26">
        <v>0.21199999999999999</v>
      </c>
      <c r="F6044" s="26">
        <v>1.6899999999999998E-2</v>
      </c>
      <c r="G6044" s="26">
        <v>1E-3</v>
      </c>
      <c r="H6044">
        <v>384</v>
      </c>
    </row>
    <row r="6045" spans="1:8" x14ac:dyDescent="0.35">
      <c r="A6045" s="27" t="s">
        <v>228</v>
      </c>
      <c r="B6045" s="27" t="s">
        <v>236</v>
      </c>
      <c r="C6045" s="28">
        <v>1</v>
      </c>
      <c r="D6045" s="29"/>
      <c r="E6045" s="29"/>
      <c r="F6045" s="29"/>
      <c r="G6045" s="29"/>
      <c r="H6045" s="29" t="s">
        <v>314</v>
      </c>
    </row>
    <row r="6046" spans="1:8" x14ac:dyDescent="0.35">
      <c r="A6046" t="s">
        <v>228</v>
      </c>
      <c r="B6046" t="s">
        <v>266</v>
      </c>
      <c r="C6046" s="26">
        <v>0.60429999999999995</v>
      </c>
      <c r="D6046" s="26">
        <v>0.23369999999999999</v>
      </c>
      <c r="E6046" s="26">
        <v>0.13539999999999999</v>
      </c>
      <c r="F6046" s="26">
        <v>1.2500000000000001E-2</v>
      </c>
      <c r="G6046" s="26">
        <v>1.41E-2</v>
      </c>
      <c r="H6046">
        <v>448</v>
      </c>
    </row>
    <row r="6047" spans="1:8" x14ac:dyDescent="0.35">
      <c r="A6047" t="s">
        <v>229</v>
      </c>
      <c r="B6047" t="s">
        <v>266</v>
      </c>
      <c r="C6047" s="26">
        <v>0.5897</v>
      </c>
      <c r="D6047" s="26">
        <v>0.1673</v>
      </c>
      <c r="E6047" s="26">
        <v>0.23080000000000001</v>
      </c>
      <c r="F6047" s="26">
        <v>1.2200000000000001E-2</v>
      </c>
      <c r="H6047">
        <v>359</v>
      </c>
    </row>
    <row r="6048" spans="1:8" x14ac:dyDescent="0.35">
      <c r="A6048" t="s">
        <v>229</v>
      </c>
      <c r="B6048" t="s">
        <v>267</v>
      </c>
      <c r="C6048" s="26">
        <v>0.59740000000000004</v>
      </c>
      <c r="D6048" s="26">
        <v>0.1105</v>
      </c>
      <c r="E6048" s="26">
        <v>0.27479999999999999</v>
      </c>
      <c r="F6048" s="26">
        <v>1.6500000000000001E-2</v>
      </c>
      <c r="G6048" s="26">
        <v>8.0000000000000004E-4</v>
      </c>
      <c r="H6048">
        <v>201</v>
      </c>
    </row>
    <row r="6049" spans="1:8" x14ac:dyDescent="0.35">
      <c r="A6049" t="s">
        <v>229</v>
      </c>
      <c r="B6049" t="s">
        <v>265</v>
      </c>
      <c r="C6049" s="26">
        <v>0.50380000000000003</v>
      </c>
      <c r="D6049" s="26">
        <v>0.15359999999999999</v>
      </c>
      <c r="E6049" s="26">
        <v>0.31680000000000003</v>
      </c>
      <c r="F6049" s="26">
        <v>2.58E-2</v>
      </c>
      <c r="H6049">
        <v>335</v>
      </c>
    </row>
    <row r="6050" spans="1:8" x14ac:dyDescent="0.35">
      <c r="A6050" t="s">
        <v>230</v>
      </c>
      <c r="B6050" t="s">
        <v>267</v>
      </c>
      <c r="C6050" s="26">
        <v>0.63849999999999996</v>
      </c>
      <c r="D6050" s="26">
        <v>0.16819999999999999</v>
      </c>
      <c r="E6050" s="26">
        <v>0.18140000000000001</v>
      </c>
      <c r="F6050" s="26">
        <v>1.1900000000000001E-2</v>
      </c>
      <c r="H6050">
        <v>119</v>
      </c>
    </row>
    <row r="6051" spans="1:8" x14ac:dyDescent="0.35">
      <c r="A6051" t="s">
        <v>230</v>
      </c>
      <c r="B6051" t="s">
        <v>266</v>
      </c>
      <c r="C6051" s="26">
        <v>0.72119999999999995</v>
      </c>
      <c r="D6051" s="26">
        <v>0.1212</v>
      </c>
      <c r="E6051" s="26">
        <v>0.12509999999999999</v>
      </c>
      <c r="F6051" s="26">
        <v>1.26E-2</v>
      </c>
      <c r="G6051" s="26">
        <v>1.9900000000000001E-2</v>
      </c>
      <c r="H6051">
        <v>232</v>
      </c>
    </row>
    <row r="6052" spans="1:8" x14ac:dyDescent="0.35">
      <c r="A6052" t="s">
        <v>230</v>
      </c>
      <c r="B6052" t="s">
        <v>265</v>
      </c>
      <c r="C6052" s="26">
        <v>0.69679999999999997</v>
      </c>
      <c r="D6052" s="26">
        <v>0.12540000000000001</v>
      </c>
      <c r="E6052" s="26">
        <v>0.15529999999999999</v>
      </c>
      <c r="F6052" s="26">
        <v>2.18E-2</v>
      </c>
      <c r="G6052" s="26">
        <v>6.9999999999999999E-4</v>
      </c>
      <c r="H6052">
        <v>209</v>
      </c>
    </row>
    <row r="6053" spans="1:8" x14ac:dyDescent="0.35">
      <c r="A6053" t="s">
        <v>231</v>
      </c>
      <c r="B6053" t="s">
        <v>267</v>
      </c>
      <c r="C6053" s="26">
        <v>0.73529999999999995</v>
      </c>
      <c r="D6053" s="26">
        <v>0.17649999999999999</v>
      </c>
      <c r="E6053" s="26">
        <v>8.8200000000000001E-2</v>
      </c>
      <c r="H6053">
        <v>34</v>
      </c>
    </row>
    <row r="6054" spans="1:8" x14ac:dyDescent="0.35">
      <c r="A6054" t="s">
        <v>231</v>
      </c>
      <c r="B6054" t="s">
        <v>266</v>
      </c>
      <c r="C6054" s="26">
        <v>0.7419</v>
      </c>
      <c r="D6054" s="26">
        <v>0.1613</v>
      </c>
      <c r="E6054" s="26">
        <v>8.0600000000000005E-2</v>
      </c>
      <c r="F6054" s="26">
        <v>1.61E-2</v>
      </c>
      <c r="H6054">
        <v>62</v>
      </c>
    </row>
    <row r="6055" spans="1:8" x14ac:dyDescent="0.35">
      <c r="A6055" t="s">
        <v>231</v>
      </c>
      <c r="B6055" t="s">
        <v>265</v>
      </c>
      <c r="C6055" s="26">
        <v>0.77939999999999998</v>
      </c>
      <c r="D6055" s="26">
        <v>0.1618</v>
      </c>
      <c r="E6055" s="26">
        <v>4.41E-2</v>
      </c>
      <c r="F6055" s="26">
        <v>1.47E-2</v>
      </c>
      <c r="H6055">
        <v>68</v>
      </c>
    </row>
    <row r="6056" spans="1:8" x14ac:dyDescent="0.35">
      <c r="A6056" t="s">
        <v>232</v>
      </c>
      <c r="B6056" t="s">
        <v>232</v>
      </c>
      <c r="C6056" s="26">
        <v>0.66490000000000005</v>
      </c>
      <c r="D6056" s="26">
        <v>0.16900000000000001</v>
      </c>
      <c r="E6056" s="26">
        <v>0.14729999999999999</v>
      </c>
      <c r="F6056" s="26">
        <v>1.6799999999999999E-2</v>
      </c>
      <c r="G6056" s="26">
        <v>2E-3</v>
      </c>
      <c r="H6056">
        <v>2813</v>
      </c>
    </row>
    <row r="6058" spans="1:8" x14ac:dyDescent="0.35">
      <c r="A6058" s="1" t="s">
        <v>786</v>
      </c>
    </row>
    <row r="6059" spans="1:8" x14ac:dyDescent="0.35">
      <c r="A6059" t="s">
        <v>219</v>
      </c>
      <c r="B6059" t="s">
        <v>305</v>
      </c>
      <c r="C6059" t="s">
        <v>260</v>
      </c>
      <c r="D6059" t="s">
        <v>261</v>
      </c>
      <c r="E6059" t="s">
        <v>262</v>
      </c>
      <c r="F6059" t="s">
        <v>263</v>
      </c>
      <c r="G6059" t="s">
        <v>236</v>
      </c>
      <c r="H6059" t="s">
        <v>226</v>
      </c>
    </row>
    <row r="6060" spans="1:8" x14ac:dyDescent="0.35">
      <c r="A6060" t="s">
        <v>227</v>
      </c>
      <c r="B6060" t="s">
        <v>252</v>
      </c>
      <c r="C6060" s="26">
        <v>0.68889999999999996</v>
      </c>
      <c r="D6060" s="26">
        <v>0.31109999999999999</v>
      </c>
      <c r="H6060">
        <v>45</v>
      </c>
    </row>
    <row r="6061" spans="1:8" x14ac:dyDescent="0.35">
      <c r="A6061" t="s">
        <v>227</v>
      </c>
      <c r="B6061" t="s">
        <v>253</v>
      </c>
      <c r="C6061" s="26">
        <v>0.70589999999999997</v>
      </c>
      <c r="D6061" s="26">
        <v>0.23530000000000001</v>
      </c>
      <c r="E6061" s="26">
        <v>2.9399999999999999E-2</v>
      </c>
      <c r="F6061" s="26">
        <v>2.9399999999999999E-2</v>
      </c>
      <c r="H6061">
        <v>34</v>
      </c>
    </row>
    <row r="6062" spans="1:8" x14ac:dyDescent="0.35">
      <c r="A6062" t="s">
        <v>227</v>
      </c>
      <c r="B6062" t="s">
        <v>251</v>
      </c>
      <c r="C6062" s="26">
        <v>0.81710000000000005</v>
      </c>
      <c r="D6062" s="26">
        <v>0.1341</v>
      </c>
      <c r="E6062" s="26">
        <v>2.4400000000000002E-2</v>
      </c>
      <c r="F6062" s="26">
        <v>2.4400000000000002E-2</v>
      </c>
      <c r="H6062">
        <v>82</v>
      </c>
    </row>
    <row r="6063" spans="1:8" x14ac:dyDescent="0.35">
      <c r="A6063" t="s">
        <v>228</v>
      </c>
      <c r="B6063" t="s">
        <v>252</v>
      </c>
      <c r="C6063" s="26">
        <v>0.66169999999999995</v>
      </c>
      <c r="D6063" s="26">
        <v>0.20230000000000001</v>
      </c>
      <c r="E6063" s="26">
        <v>0.1106</v>
      </c>
      <c r="F6063" s="26">
        <v>1.38E-2</v>
      </c>
      <c r="G6063" s="26">
        <v>1.17E-2</v>
      </c>
      <c r="H6063">
        <v>344</v>
      </c>
    </row>
    <row r="6064" spans="1:8" x14ac:dyDescent="0.35">
      <c r="A6064" t="s">
        <v>228</v>
      </c>
      <c r="B6064" t="s">
        <v>253</v>
      </c>
      <c r="C6064" s="26">
        <v>0.58150000000000002</v>
      </c>
      <c r="D6064" s="26">
        <v>0.24010000000000001</v>
      </c>
      <c r="E6064" s="26">
        <v>0.15809999999999999</v>
      </c>
      <c r="F6064" s="26">
        <v>2.0299999999999999E-2</v>
      </c>
      <c r="H6064">
        <v>222</v>
      </c>
    </row>
    <row r="6065" spans="1:8" x14ac:dyDescent="0.35">
      <c r="A6065" t="s">
        <v>228</v>
      </c>
      <c r="B6065" t="s">
        <v>251</v>
      </c>
      <c r="C6065" s="26">
        <v>0.59650000000000003</v>
      </c>
      <c r="D6065" s="26">
        <v>0.17</v>
      </c>
      <c r="E6065" s="26">
        <v>0.20699999999999999</v>
      </c>
      <c r="F6065" s="26">
        <v>2.1299999999999999E-2</v>
      </c>
      <c r="G6065" s="26">
        <v>5.1999999999999998E-3</v>
      </c>
      <c r="H6065">
        <v>467</v>
      </c>
    </row>
    <row r="6066" spans="1:8" x14ac:dyDescent="0.35">
      <c r="A6066" t="s">
        <v>229</v>
      </c>
      <c r="B6066" t="s">
        <v>252</v>
      </c>
      <c r="C6066" s="26">
        <v>0.67459999999999998</v>
      </c>
      <c r="D6066" s="26">
        <v>0.1908</v>
      </c>
      <c r="E6066" s="26">
        <v>0.1197</v>
      </c>
      <c r="F6066" s="26">
        <v>1.4800000000000001E-2</v>
      </c>
      <c r="H6066">
        <v>199</v>
      </c>
    </row>
    <row r="6067" spans="1:8" x14ac:dyDescent="0.35">
      <c r="A6067" t="s">
        <v>229</v>
      </c>
      <c r="B6067" t="s">
        <v>253</v>
      </c>
      <c r="C6067" s="26">
        <v>0.59240000000000004</v>
      </c>
      <c r="D6067" s="26">
        <v>0.15790000000000001</v>
      </c>
      <c r="E6067" s="26">
        <v>0.2298</v>
      </c>
      <c r="F6067" s="26">
        <v>1.9900000000000001E-2</v>
      </c>
      <c r="H6067">
        <v>145</v>
      </c>
    </row>
    <row r="6068" spans="1:8" x14ac:dyDescent="0.35">
      <c r="A6068" t="s">
        <v>229</v>
      </c>
      <c r="B6068" t="s">
        <v>251</v>
      </c>
      <c r="C6068" s="26">
        <v>0.49349999999999999</v>
      </c>
      <c r="D6068" s="26">
        <v>0.12939999999999999</v>
      </c>
      <c r="E6068" s="26">
        <v>0.35610000000000003</v>
      </c>
      <c r="F6068" s="26">
        <v>2.07E-2</v>
      </c>
      <c r="G6068" s="26">
        <v>2.9999999999999997E-4</v>
      </c>
      <c r="H6068">
        <v>551</v>
      </c>
    </row>
    <row r="6069" spans="1:8" x14ac:dyDescent="0.35">
      <c r="A6069" t="s">
        <v>230</v>
      </c>
      <c r="B6069" t="s">
        <v>252</v>
      </c>
      <c r="C6069" s="26">
        <v>0.6885</v>
      </c>
      <c r="D6069" s="26">
        <v>0.16089999999999999</v>
      </c>
      <c r="E6069" s="26">
        <v>0.1211</v>
      </c>
      <c r="F6069" s="26">
        <v>8.5000000000000006E-3</v>
      </c>
      <c r="G6069" s="26">
        <v>2.1000000000000001E-2</v>
      </c>
      <c r="H6069">
        <v>159</v>
      </c>
    </row>
    <row r="6070" spans="1:8" x14ac:dyDescent="0.35">
      <c r="A6070" t="s">
        <v>230</v>
      </c>
      <c r="B6070" t="s">
        <v>253</v>
      </c>
      <c r="C6070" s="26">
        <v>0.83140000000000003</v>
      </c>
      <c r="D6070" s="26">
        <v>9.4399999999999998E-2</v>
      </c>
      <c r="E6070" s="26">
        <v>0.05</v>
      </c>
      <c r="F6070" s="26">
        <v>2.2700000000000001E-2</v>
      </c>
      <c r="G6070" s="26">
        <v>1.4E-3</v>
      </c>
      <c r="H6070">
        <v>110</v>
      </c>
    </row>
    <row r="6071" spans="1:8" x14ac:dyDescent="0.35">
      <c r="A6071" t="s">
        <v>230</v>
      </c>
      <c r="B6071" t="s">
        <v>251</v>
      </c>
      <c r="C6071" s="26">
        <v>0.64770000000000005</v>
      </c>
      <c r="D6071" s="26">
        <v>0.1338</v>
      </c>
      <c r="E6071" s="26">
        <v>0.1976</v>
      </c>
      <c r="F6071" s="26">
        <v>1.77E-2</v>
      </c>
      <c r="G6071" s="26">
        <v>3.2000000000000002E-3</v>
      </c>
      <c r="H6071">
        <v>291</v>
      </c>
    </row>
    <row r="6072" spans="1:8" x14ac:dyDescent="0.35">
      <c r="A6072" t="s">
        <v>231</v>
      </c>
      <c r="B6072" t="s">
        <v>252</v>
      </c>
      <c r="C6072" s="26">
        <v>0.79590000000000005</v>
      </c>
      <c r="D6072" s="26">
        <v>0.1837</v>
      </c>
      <c r="F6072" s="26">
        <v>2.0400000000000001E-2</v>
      </c>
      <c r="H6072">
        <v>49</v>
      </c>
    </row>
    <row r="6073" spans="1:8" x14ac:dyDescent="0.35">
      <c r="A6073" t="s">
        <v>231</v>
      </c>
      <c r="B6073" t="s">
        <v>253</v>
      </c>
      <c r="C6073" s="26">
        <v>0.76670000000000005</v>
      </c>
      <c r="D6073" s="26">
        <v>0.16669999999999999</v>
      </c>
      <c r="E6073" s="26">
        <v>6.6699999999999995E-2</v>
      </c>
      <c r="H6073">
        <v>30</v>
      </c>
    </row>
    <row r="6074" spans="1:8" x14ac:dyDescent="0.35">
      <c r="A6074" t="s">
        <v>231</v>
      </c>
      <c r="B6074" t="s">
        <v>251</v>
      </c>
      <c r="C6074" s="26">
        <v>0.72940000000000005</v>
      </c>
      <c r="D6074" s="26">
        <v>0.15290000000000001</v>
      </c>
      <c r="E6074" s="26">
        <v>0.10589999999999999</v>
      </c>
      <c r="F6074" s="26">
        <v>1.18E-2</v>
      </c>
      <c r="H6074">
        <v>85</v>
      </c>
    </row>
    <row r="6075" spans="1:8" x14ac:dyDescent="0.35">
      <c r="A6075" t="s">
        <v>232</v>
      </c>
      <c r="B6075" t="s">
        <v>232</v>
      </c>
      <c r="C6075" s="26">
        <v>0.66490000000000005</v>
      </c>
      <c r="D6075" s="26">
        <v>0.16900000000000001</v>
      </c>
      <c r="E6075" s="26">
        <v>0.14729999999999999</v>
      </c>
      <c r="F6075" s="26">
        <v>1.6799999999999999E-2</v>
      </c>
      <c r="G6075" s="26">
        <v>2E-3</v>
      </c>
      <c r="H6075">
        <v>2813</v>
      </c>
    </row>
    <row r="6077" spans="1:8" x14ac:dyDescent="0.35">
      <c r="A6077" s="1" t="s">
        <v>787</v>
      </c>
    </row>
    <row r="6078" spans="1:8" x14ac:dyDescent="0.35">
      <c r="A6078" t="s">
        <v>219</v>
      </c>
      <c r="B6078" t="s">
        <v>305</v>
      </c>
      <c r="C6078" t="s">
        <v>260</v>
      </c>
      <c r="D6078" t="s">
        <v>261</v>
      </c>
      <c r="E6078" t="s">
        <v>262</v>
      </c>
      <c r="F6078" t="s">
        <v>263</v>
      </c>
      <c r="G6078" t="s">
        <v>236</v>
      </c>
      <c r="H6078" t="s">
        <v>226</v>
      </c>
    </row>
    <row r="6079" spans="1:8" x14ac:dyDescent="0.35">
      <c r="A6079" t="s">
        <v>227</v>
      </c>
      <c r="B6079" t="s">
        <v>249</v>
      </c>
      <c r="C6079" s="26">
        <v>0.79549999999999998</v>
      </c>
      <c r="D6079" s="26">
        <v>0.15909999999999999</v>
      </c>
      <c r="E6079" s="26">
        <v>4.5499999999999999E-2</v>
      </c>
      <c r="H6079">
        <v>44</v>
      </c>
    </row>
    <row r="6080" spans="1:8" x14ac:dyDescent="0.35">
      <c r="A6080" t="s">
        <v>227</v>
      </c>
      <c r="B6080" t="s">
        <v>248</v>
      </c>
      <c r="C6080" s="26">
        <v>0.74360000000000004</v>
      </c>
      <c r="D6080" s="26">
        <v>0.22220000000000001</v>
      </c>
      <c r="E6080" s="26">
        <v>8.5000000000000006E-3</v>
      </c>
      <c r="F6080" s="26">
        <v>2.5600000000000001E-2</v>
      </c>
      <c r="H6080">
        <v>117</v>
      </c>
    </row>
    <row r="6081" spans="1:8" x14ac:dyDescent="0.35">
      <c r="A6081" t="s">
        <v>228</v>
      </c>
      <c r="B6081" t="s">
        <v>249</v>
      </c>
      <c r="C6081" s="26">
        <v>0.53080000000000005</v>
      </c>
      <c r="D6081" s="26">
        <v>0.20399999999999999</v>
      </c>
      <c r="E6081" s="26">
        <v>0.23780000000000001</v>
      </c>
      <c r="F6081" s="26">
        <v>2.3800000000000002E-2</v>
      </c>
      <c r="G6081" s="26">
        <v>3.5999999999999999E-3</v>
      </c>
      <c r="H6081">
        <v>274</v>
      </c>
    </row>
    <row r="6082" spans="1:8" x14ac:dyDescent="0.35">
      <c r="A6082" t="s">
        <v>228</v>
      </c>
      <c r="B6082" t="s">
        <v>248</v>
      </c>
      <c r="C6082" s="26">
        <v>0.64990000000000003</v>
      </c>
      <c r="D6082" s="26">
        <v>0.19070000000000001</v>
      </c>
      <c r="E6082" s="26">
        <v>0.1356</v>
      </c>
      <c r="F6082" s="26">
        <v>1.6500000000000001E-2</v>
      </c>
      <c r="G6082" s="26">
        <v>7.3000000000000001E-3</v>
      </c>
      <c r="H6082">
        <v>759</v>
      </c>
    </row>
    <row r="6083" spans="1:8" x14ac:dyDescent="0.35">
      <c r="A6083" t="s">
        <v>229</v>
      </c>
      <c r="B6083" t="s">
        <v>249</v>
      </c>
      <c r="C6083" s="26">
        <v>0.39979999999999999</v>
      </c>
      <c r="D6083" s="26">
        <v>0.14910000000000001</v>
      </c>
      <c r="E6083" s="26">
        <v>0.43280000000000002</v>
      </c>
      <c r="F6083" s="26">
        <v>1.8200000000000001E-2</v>
      </c>
      <c r="H6083">
        <v>259</v>
      </c>
    </row>
    <row r="6084" spans="1:8" x14ac:dyDescent="0.35">
      <c r="A6084" t="s">
        <v>229</v>
      </c>
      <c r="B6084" t="s">
        <v>248</v>
      </c>
      <c r="C6084" s="26">
        <v>0.62760000000000005</v>
      </c>
      <c r="D6084" s="26">
        <v>0.14829999999999999</v>
      </c>
      <c r="E6084" s="26">
        <v>0.2041</v>
      </c>
      <c r="F6084" s="26">
        <v>1.9699999999999999E-2</v>
      </c>
      <c r="G6084" s="26">
        <v>2.9999999999999997E-4</v>
      </c>
      <c r="H6084">
        <v>636</v>
      </c>
    </row>
    <row r="6085" spans="1:8" x14ac:dyDescent="0.35">
      <c r="A6085" t="s">
        <v>230</v>
      </c>
      <c r="B6085" t="s">
        <v>249</v>
      </c>
      <c r="C6085" s="26">
        <v>0.63090000000000002</v>
      </c>
      <c r="D6085" s="26">
        <v>0.15229999999999999</v>
      </c>
      <c r="E6085" s="26">
        <v>0.18859999999999999</v>
      </c>
      <c r="F6085" s="26">
        <v>2.5600000000000001E-2</v>
      </c>
      <c r="G6085" s="26">
        <v>2.5999999999999999E-3</v>
      </c>
      <c r="H6085">
        <v>171</v>
      </c>
    </row>
    <row r="6086" spans="1:8" x14ac:dyDescent="0.35">
      <c r="A6086" t="s">
        <v>230</v>
      </c>
      <c r="B6086" t="s">
        <v>248</v>
      </c>
      <c r="C6086" s="26">
        <v>0.72430000000000005</v>
      </c>
      <c r="D6086" s="26">
        <v>0.1237</v>
      </c>
      <c r="E6086" s="26">
        <v>0.13059999999999999</v>
      </c>
      <c r="F6086" s="26">
        <v>1.1599999999999999E-2</v>
      </c>
      <c r="G6086" s="26">
        <v>9.9000000000000008E-3</v>
      </c>
      <c r="H6086">
        <v>389</v>
      </c>
    </row>
    <row r="6087" spans="1:8" x14ac:dyDescent="0.35">
      <c r="A6087" t="s">
        <v>231</v>
      </c>
      <c r="B6087" t="s">
        <v>249</v>
      </c>
      <c r="C6087" s="26">
        <v>0.71430000000000005</v>
      </c>
      <c r="D6087" s="26">
        <v>0.1429</v>
      </c>
      <c r="E6087" s="26">
        <v>0.1143</v>
      </c>
      <c r="F6087" s="26">
        <v>2.86E-2</v>
      </c>
      <c r="H6087">
        <v>35</v>
      </c>
    </row>
    <row r="6088" spans="1:8" x14ac:dyDescent="0.35">
      <c r="A6088" t="s">
        <v>231</v>
      </c>
      <c r="B6088" t="s">
        <v>248</v>
      </c>
      <c r="C6088" s="26">
        <v>0.76739999999999997</v>
      </c>
      <c r="D6088" s="26">
        <v>0.17050000000000001</v>
      </c>
      <c r="E6088" s="26">
        <v>5.4300000000000001E-2</v>
      </c>
      <c r="F6088" s="26">
        <v>7.7999999999999996E-3</v>
      </c>
      <c r="H6088">
        <v>129</v>
      </c>
    </row>
    <row r="6089" spans="1:8" x14ac:dyDescent="0.35">
      <c r="A6089" t="s">
        <v>232</v>
      </c>
      <c r="B6089" t="s">
        <v>232</v>
      </c>
      <c r="C6089" s="26">
        <v>0.66490000000000005</v>
      </c>
      <c r="D6089" s="26">
        <v>0.16900000000000001</v>
      </c>
      <c r="E6089" s="26">
        <v>0.14729999999999999</v>
      </c>
      <c r="F6089" s="26">
        <v>1.6799999999999999E-2</v>
      </c>
      <c r="G6089" s="26">
        <v>2E-3</v>
      </c>
      <c r="H6089">
        <v>2813</v>
      </c>
    </row>
    <row r="6091" spans="1:8" x14ac:dyDescent="0.35">
      <c r="A6091" s="1" t="s">
        <v>788</v>
      </c>
    </row>
    <row r="6092" spans="1:8" x14ac:dyDescent="0.35">
      <c r="A6092" t="s">
        <v>219</v>
      </c>
      <c r="B6092" t="s">
        <v>305</v>
      </c>
      <c r="C6092" t="s">
        <v>260</v>
      </c>
      <c r="D6092" t="s">
        <v>261</v>
      </c>
      <c r="E6092" t="s">
        <v>262</v>
      </c>
      <c r="F6092" t="s">
        <v>263</v>
      </c>
      <c r="G6092" t="s">
        <v>236</v>
      </c>
      <c r="H6092" t="s">
        <v>226</v>
      </c>
    </row>
    <row r="6093" spans="1:8" x14ac:dyDescent="0.35">
      <c r="A6093" t="s">
        <v>227</v>
      </c>
      <c r="B6093" t="s">
        <v>371</v>
      </c>
      <c r="C6093" s="26">
        <v>0.75780000000000003</v>
      </c>
      <c r="D6093" s="26">
        <v>0.20499999999999999</v>
      </c>
      <c r="E6093" s="26">
        <v>1.8599999999999998E-2</v>
      </c>
      <c r="F6093" s="26">
        <v>1.8599999999999998E-2</v>
      </c>
      <c r="H6093">
        <v>161</v>
      </c>
    </row>
    <row r="6094" spans="1:8" x14ac:dyDescent="0.35">
      <c r="A6094" t="s">
        <v>228</v>
      </c>
      <c r="B6094" t="s">
        <v>371</v>
      </c>
      <c r="C6094" s="26">
        <v>0.65190000000000003</v>
      </c>
      <c r="D6094" s="26">
        <v>0.22059999999999999</v>
      </c>
      <c r="E6094" s="26">
        <v>0.11269999999999999</v>
      </c>
      <c r="F6094" s="26">
        <v>8.5000000000000006E-3</v>
      </c>
      <c r="G6094" s="26">
        <v>6.4000000000000003E-3</v>
      </c>
      <c r="H6094">
        <v>292</v>
      </c>
    </row>
    <row r="6095" spans="1:8" x14ac:dyDescent="0.35">
      <c r="A6095" t="s">
        <v>228</v>
      </c>
      <c r="B6095" t="s">
        <v>372</v>
      </c>
      <c r="C6095" s="26">
        <v>0.63749999999999996</v>
      </c>
      <c r="D6095" s="26">
        <v>0.1474</v>
      </c>
      <c r="E6095" s="26">
        <v>0.17469999999999999</v>
      </c>
      <c r="F6095" s="26">
        <v>3.27E-2</v>
      </c>
      <c r="G6095" s="26">
        <v>7.7000000000000002E-3</v>
      </c>
      <c r="H6095">
        <v>218</v>
      </c>
    </row>
    <row r="6096" spans="1:8" x14ac:dyDescent="0.35">
      <c r="A6096" t="s">
        <v>228</v>
      </c>
      <c r="B6096" t="s">
        <v>373</v>
      </c>
      <c r="C6096" s="26">
        <v>0.55920000000000003</v>
      </c>
      <c r="D6096" s="26">
        <v>0.17050000000000001</v>
      </c>
      <c r="E6096" s="26">
        <v>0.2354</v>
      </c>
      <c r="F6096" s="26">
        <v>2.92E-2</v>
      </c>
      <c r="G6096" s="26">
        <v>5.7000000000000002E-3</v>
      </c>
      <c r="H6096">
        <v>523</v>
      </c>
    </row>
    <row r="6097" spans="1:8" x14ac:dyDescent="0.35">
      <c r="A6097" t="s">
        <v>229</v>
      </c>
      <c r="B6097" t="s">
        <v>371</v>
      </c>
      <c r="C6097" s="26">
        <v>0.54349999999999998</v>
      </c>
      <c r="D6097" s="26">
        <v>0.15129999999999999</v>
      </c>
      <c r="E6097" s="26">
        <v>0.28499999999999998</v>
      </c>
      <c r="F6097" s="26">
        <v>0.02</v>
      </c>
      <c r="G6097" s="26">
        <v>2.0000000000000001E-4</v>
      </c>
      <c r="H6097">
        <v>584</v>
      </c>
    </row>
    <row r="6098" spans="1:8" x14ac:dyDescent="0.35">
      <c r="A6098" t="s">
        <v>229</v>
      </c>
      <c r="B6098" t="s">
        <v>372</v>
      </c>
      <c r="C6098" s="26">
        <v>0.63590000000000002</v>
      </c>
      <c r="D6098" s="26">
        <v>0.13639999999999999</v>
      </c>
      <c r="E6098" s="26">
        <v>0.21929999999999999</v>
      </c>
      <c r="F6098" s="26">
        <v>8.5000000000000006E-3</v>
      </c>
      <c r="H6098">
        <v>221</v>
      </c>
    </row>
    <row r="6099" spans="1:8" x14ac:dyDescent="0.35">
      <c r="A6099" t="s">
        <v>229</v>
      </c>
      <c r="B6099" t="s">
        <v>373</v>
      </c>
      <c r="C6099" s="26">
        <v>0.71889999999999998</v>
      </c>
      <c r="D6099" s="26">
        <v>7.7499999999999999E-2</v>
      </c>
      <c r="E6099" s="26">
        <v>0.19120000000000001</v>
      </c>
      <c r="F6099" s="26">
        <v>1.23E-2</v>
      </c>
      <c r="H6099">
        <v>90</v>
      </c>
    </row>
    <row r="6100" spans="1:8" x14ac:dyDescent="0.35">
      <c r="A6100" t="s">
        <v>230</v>
      </c>
      <c r="B6100" t="s">
        <v>371</v>
      </c>
      <c r="C6100" s="26">
        <v>0.7177</v>
      </c>
      <c r="D6100" s="26">
        <v>0.14430000000000001</v>
      </c>
      <c r="E6100" s="26">
        <v>0.1192</v>
      </c>
      <c r="F6100" s="26">
        <v>9.9000000000000008E-3</v>
      </c>
      <c r="G6100" s="26">
        <v>8.8000000000000005E-3</v>
      </c>
      <c r="H6100">
        <v>262</v>
      </c>
    </row>
    <row r="6101" spans="1:8" x14ac:dyDescent="0.35">
      <c r="A6101" t="s">
        <v>230</v>
      </c>
      <c r="B6101" t="s">
        <v>372</v>
      </c>
      <c r="C6101" s="26">
        <v>0.52539999999999998</v>
      </c>
      <c r="D6101" s="26">
        <v>0.11360000000000001</v>
      </c>
      <c r="E6101" s="26">
        <v>0.245</v>
      </c>
      <c r="F6101" s="26">
        <v>0.11119999999999999</v>
      </c>
      <c r="G6101" s="26">
        <v>4.7000000000000002E-3</v>
      </c>
      <c r="H6101">
        <v>146</v>
      </c>
    </row>
    <row r="6102" spans="1:8" x14ac:dyDescent="0.35">
      <c r="A6102" t="s">
        <v>230</v>
      </c>
      <c r="B6102" t="s">
        <v>373</v>
      </c>
      <c r="C6102" s="26">
        <v>0.60929999999999995</v>
      </c>
      <c r="D6102" s="26">
        <v>7.17E-2</v>
      </c>
      <c r="E6102" s="26">
        <v>0.30499999999999999</v>
      </c>
      <c r="F6102" s="26">
        <v>1.3899999999999999E-2</v>
      </c>
      <c r="H6102">
        <v>152</v>
      </c>
    </row>
    <row r="6103" spans="1:8" x14ac:dyDescent="0.35">
      <c r="A6103" t="s">
        <v>231</v>
      </c>
      <c r="B6103" t="s">
        <v>371</v>
      </c>
      <c r="C6103" s="26">
        <v>0.75609999999999999</v>
      </c>
      <c r="D6103" s="26">
        <v>0.1646</v>
      </c>
      <c r="E6103" s="26">
        <v>6.7100000000000007E-2</v>
      </c>
      <c r="F6103" s="26">
        <v>1.2200000000000001E-2</v>
      </c>
      <c r="H6103">
        <v>164</v>
      </c>
    </row>
    <row r="6104" spans="1:8" x14ac:dyDescent="0.35">
      <c r="A6104" t="s">
        <v>232</v>
      </c>
      <c r="B6104" t="s">
        <v>232</v>
      </c>
      <c r="C6104" s="26">
        <v>0.66490000000000005</v>
      </c>
      <c r="D6104" s="26">
        <v>0.16900000000000001</v>
      </c>
      <c r="E6104" s="26">
        <v>0.14729999999999999</v>
      </c>
      <c r="F6104" s="26">
        <v>1.6799999999999999E-2</v>
      </c>
      <c r="G6104" s="26">
        <v>2E-3</v>
      </c>
      <c r="H6104">
        <v>2813</v>
      </c>
    </row>
    <row r="6106" spans="1:8" x14ac:dyDescent="0.35">
      <c r="A6106" s="1" t="s">
        <v>789</v>
      </c>
    </row>
    <row r="6107" spans="1:8" x14ac:dyDescent="0.35">
      <c r="A6107" t="s">
        <v>219</v>
      </c>
      <c r="B6107" t="s">
        <v>305</v>
      </c>
      <c r="C6107" t="s">
        <v>260</v>
      </c>
      <c r="D6107" t="s">
        <v>261</v>
      </c>
      <c r="E6107" t="s">
        <v>262</v>
      </c>
      <c r="F6107" t="s">
        <v>263</v>
      </c>
      <c r="G6107" t="s">
        <v>236</v>
      </c>
      <c r="H6107" t="s">
        <v>226</v>
      </c>
    </row>
    <row r="6108" spans="1:8" x14ac:dyDescent="0.35">
      <c r="A6108" t="s">
        <v>227</v>
      </c>
      <c r="B6108" t="s">
        <v>255</v>
      </c>
      <c r="C6108" s="26">
        <v>0.74360000000000004</v>
      </c>
      <c r="D6108" s="26">
        <v>0.22220000000000001</v>
      </c>
      <c r="E6108" s="26">
        <v>8.5000000000000006E-3</v>
      </c>
      <c r="F6108" s="26">
        <v>2.5600000000000001E-2</v>
      </c>
      <c r="H6108">
        <v>117</v>
      </c>
    </row>
    <row r="6109" spans="1:8" x14ac:dyDescent="0.35">
      <c r="A6109" s="27" t="s">
        <v>227</v>
      </c>
      <c r="B6109" s="27" t="s">
        <v>257</v>
      </c>
      <c r="C6109" s="28">
        <v>0.77780000000000005</v>
      </c>
      <c r="D6109" s="28">
        <v>0.22220000000000001</v>
      </c>
      <c r="E6109" s="29"/>
      <c r="F6109" s="29"/>
      <c r="G6109" s="29"/>
      <c r="H6109" s="29" t="s">
        <v>334</v>
      </c>
    </row>
    <row r="6110" spans="1:8" x14ac:dyDescent="0.35">
      <c r="A6110" t="s">
        <v>227</v>
      </c>
      <c r="B6110" t="s">
        <v>256</v>
      </c>
      <c r="C6110" s="26">
        <v>0.8</v>
      </c>
      <c r="D6110" s="26">
        <v>0.1429</v>
      </c>
      <c r="E6110" s="26">
        <v>5.7099999999999998E-2</v>
      </c>
      <c r="H6110">
        <v>35</v>
      </c>
    </row>
    <row r="6111" spans="1:8" x14ac:dyDescent="0.35">
      <c r="A6111" t="s">
        <v>228</v>
      </c>
      <c r="B6111" t="s">
        <v>257</v>
      </c>
      <c r="C6111" s="26">
        <v>0.62319999999999998</v>
      </c>
      <c r="D6111" s="26">
        <v>0.26250000000000001</v>
      </c>
      <c r="E6111" s="26">
        <v>9.3700000000000006E-2</v>
      </c>
      <c r="G6111" s="26">
        <v>2.06E-2</v>
      </c>
      <c r="H6111">
        <v>49</v>
      </c>
    </row>
    <row r="6112" spans="1:8" x14ac:dyDescent="0.35">
      <c r="A6112" s="27" t="s">
        <v>228</v>
      </c>
      <c r="B6112" s="27" t="s">
        <v>258</v>
      </c>
      <c r="C6112" s="28">
        <v>0.30730000000000002</v>
      </c>
      <c r="D6112" s="29"/>
      <c r="E6112" s="28">
        <v>9.8100000000000007E-2</v>
      </c>
      <c r="F6112" s="28">
        <v>0.59470000000000001</v>
      </c>
      <c r="G6112" s="29"/>
      <c r="H6112" s="29" t="s">
        <v>337</v>
      </c>
    </row>
    <row r="6113" spans="1:8" x14ac:dyDescent="0.35">
      <c r="A6113" t="s">
        <v>228</v>
      </c>
      <c r="B6113" t="s">
        <v>256</v>
      </c>
      <c r="C6113" s="26">
        <v>0.5161</v>
      </c>
      <c r="D6113" s="26">
        <v>0.1961</v>
      </c>
      <c r="E6113" s="26">
        <v>0.27210000000000001</v>
      </c>
      <c r="F6113" s="26">
        <v>1.5699999999999999E-2</v>
      </c>
      <c r="H6113">
        <v>221</v>
      </c>
    </row>
    <row r="6114" spans="1:8" x14ac:dyDescent="0.35">
      <c r="A6114" t="s">
        <v>228</v>
      </c>
      <c r="B6114" t="s">
        <v>255</v>
      </c>
      <c r="C6114" s="26">
        <v>0.64990000000000003</v>
      </c>
      <c r="D6114" s="26">
        <v>0.19070000000000001</v>
      </c>
      <c r="E6114" s="26">
        <v>0.1356</v>
      </c>
      <c r="F6114" s="26">
        <v>1.6500000000000001E-2</v>
      </c>
      <c r="G6114" s="26">
        <v>7.3000000000000001E-3</v>
      </c>
      <c r="H6114">
        <v>759</v>
      </c>
    </row>
    <row r="6115" spans="1:8" x14ac:dyDescent="0.35">
      <c r="A6115" t="s">
        <v>229</v>
      </c>
      <c r="B6115" t="s">
        <v>256</v>
      </c>
      <c r="C6115" s="26">
        <v>0.39629999999999999</v>
      </c>
      <c r="D6115" s="26">
        <v>0.15049999999999999</v>
      </c>
      <c r="E6115" s="26">
        <v>0.43140000000000001</v>
      </c>
      <c r="F6115" s="26">
        <v>2.1899999999999999E-2</v>
      </c>
      <c r="H6115">
        <v>207</v>
      </c>
    </row>
    <row r="6116" spans="1:8" x14ac:dyDescent="0.35">
      <c r="A6116" t="s">
        <v>229</v>
      </c>
      <c r="B6116" t="s">
        <v>255</v>
      </c>
      <c r="C6116" s="26">
        <v>0.62760000000000005</v>
      </c>
      <c r="D6116" s="26">
        <v>0.14829999999999999</v>
      </c>
      <c r="E6116" s="26">
        <v>0.2041</v>
      </c>
      <c r="F6116" s="26">
        <v>1.9699999999999999E-2</v>
      </c>
      <c r="G6116" s="26">
        <v>2.9999999999999997E-4</v>
      </c>
      <c r="H6116">
        <v>636</v>
      </c>
    </row>
    <row r="6117" spans="1:8" x14ac:dyDescent="0.35">
      <c r="A6117" t="s">
        <v>229</v>
      </c>
      <c r="B6117" t="s">
        <v>257</v>
      </c>
      <c r="C6117" s="26">
        <v>0.41299999999999998</v>
      </c>
      <c r="D6117" s="26">
        <v>0.1434</v>
      </c>
      <c r="E6117" s="26">
        <v>0.44359999999999999</v>
      </c>
      <c r="H6117">
        <v>50</v>
      </c>
    </row>
    <row r="6118" spans="1:8" x14ac:dyDescent="0.35">
      <c r="A6118" s="27" t="s">
        <v>229</v>
      </c>
      <c r="B6118" s="27" t="s">
        <v>258</v>
      </c>
      <c r="C6118" s="28">
        <v>1</v>
      </c>
      <c r="D6118" s="29"/>
      <c r="E6118" s="29"/>
      <c r="F6118" s="29"/>
      <c r="G6118" s="29"/>
      <c r="H6118" s="29" t="s">
        <v>314</v>
      </c>
    </row>
    <row r="6119" spans="1:8" x14ac:dyDescent="0.35">
      <c r="A6119" t="s">
        <v>230</v>
      </c>
      <c r="B6119" t="s">
        <v>256</v>
      </c>
      <c r="C6119" s="26">
        <v>0.65310000000000001</v>
      </c>
      <c r="D6119" s="26">
        <v>0.12740000000000001</v>
      </c>
      <c r="E6119" s="26">
        <v>0.1908</v>
      </c>
      <c r="F6119" s="26">
        <v>2.87E-2</v>
      </c>
      <c r="H6119">
        <v>130</v>
      </c>
    </row>
    <row r="6120" spans="1:8" x14ac:dyDescent="0.35">
      <c r="A6120" t="s">
        <v>230</v>
      </c>
      <c r="B6120" t="s">
        <v>255</v>
      </c>
      <c r="C6120" s="26">
        <v>0.72430000000000005</v>
      </c>
      <c r="D6120" s="26">
        <v>0.1237</v>
      </c>
      <c r="E6120" s="26">
        <v>0.13059999999999999</v>
      </c>
      <c r="F6120" s="26">
        <v>1.1599999999999999E-2</v>
      </c>
      <c r="G6120" s="26">
        <v>9.9000000000000008E-3</v>
      </c>
      <c r="H6120">
        <v>389</v>
      </c>
    </row>
    <row r="6121" spans="1:8" x14ac:dyDescent="0.35">
      <c r="A6121" t="s">
        <v>230</v>
      </c>
      <c r="B6121" t="s">
        <v>257</v>
      </c>
      <c r="C6121" s="26">
        <v>0.51519999999999999</v>
      </c>
      <c r="D6121" s="26">
        <v>0.2576</v>
      </c>
      <c r="E6121" s="26">
        <v>0.19789999999999999</v>
      </c>
      <c r="F6121" s="26">
        <v>1.67E-2</v>
      </c>
      <c r="G6121" s="26">
        <v>1.2500000000000001E-2</v>
      </c>
      <c r="H6121">
        <v>38</v>
      </c>
    </row>
    <row r="6122" spans="1:8" x14ac:dyDescent="0.35">
      <c r="A6122" s="27" t="s">
        <v>230</v>
      </c>
      <c r="B6122" s="27" t="s">
        <v>258</v>
      </c>
      <c r="C6122" s="28">
        <v>1</v>
      </c>
      <c r="D6122" s="29"/>
      <c r="E6122" s="29"/>
      <c r="F6122" s="29"/>
      <c r="G6122" s="29"/>
      <c r="H6122" s="29" t="s">
        <v>315</v>
      </c>
    </row>
    <row r="6123" spans="1:8" x14ac:dyDescent="0.35">
      <c r="A6123" s="27" t="s">
        <v>231</v>
      </c>
      <c r="B6123" s="27" t="s">
        <v>257</v>
      </c>
      <c r="C6123" s="28">
        <v>0.42859999999999998</v>
      </c>
      <c r="D6123" s="28">
        <v>0.28570000000000001</v>
      </c>
      <c r="E6123" s="28">
        <v>0.28570000000000001</v>
      </c>
      <c r="F6123" s="29"/>
      <c r="G6123" s="29"/>
      <c r="H6123" s="29" t="s">
        <v>339</v>
      </c>
    </row>
    <row r="6124" spans="1:8" x14ac:dyDescent="0.35">
      <c r="A6124" t="s">
        <v>231</v>
      </c>
      <c r="B6124" t="s">
        <v>255</v>
      </c>
      <c r="C6124" s="26">
        <v>0.76739999999999997</v>
      </c>
      <c r="D6124" s="26">
        <v>0.17050000000000001</v>
      </c>
      <c r="E6124" s="26">
        <v>5.4300000000000001E-2</v>
      </c>
      <c r="F6124" s="26">
        <v>7.7999999999999996E-3</v>
      </c>
      <c r="H6124">
        <v>129</v>
      </c>
    </row>
    <row r="6125" spans="1:8" x14ac:dyDescent="0.35">
      <c r="A6125" s="27" t="s">
        <v>231</v>
      </c>
      <c r="B6125" s="27" t="s">
        <v>256</v>
      </c>
      <c r="C6125" s="28">
        <v>0.78569999999999995</v>
      </c>
      <c r="D6125" s="28">
        <v>0.1071</v>
      </c>
      <c r="E6125" s="28">
        <v>7.1400000000000005E-2</v>
      </c>
      <c r="F6125" s="28">
        <v>3.5700000000000003E-2</v>
      </c>
      <c r="G6125" s="29"/>
      <c r="H6125" s="29" t="s">
        <v>336</v>
      </c>
    </row>
    <row r="6126" spans="1:8" x14ac:dyDescent="0.35">
      <c r="A6126" t="s">
        <v>232</v>
      </c>
      <c r="B6126" t="s">
        <v>232</v>
      </c>
      <c r="C6126" s="26">
        <v>0.66490000000000005</v>
      </c>
      <c r="D6126" s="26">
        <v>0.16900000000000001</v>
      </c>
      <c r="E6126" s="26">
        <v>0.14729999999999999</v>
      </c>
      <c r="F6126" s="26">
        <v>1.6799999999999999E-2</v>
      </c>
      <c r="G6126" s="26">
        <v>2E-3</v>
      </c>
      <c r="H6126">
        <v>2813</v>
      </c>
    </row>
    <row r="6128" spans="1:8" x14ac:dyDescent="0.35">
      <c r="A6128" s="1" t="s">
        <v>790</v>
      </c>
    </row>
    <row r="6129" spans="1:8" x14ac:dyDescent="0.35">
      <c r="A6129" t="s">
        <v>219</v>
      </c>
      <c r="B6129" t="s">
        <v>791</v>
      </c>
      <c r="C6129" t="s">
        <v>792</v>
      </c>
      <c r="D6129" t="s">
        <v>793</v>
      </c>
      <c r="E6129" t="s">
        <v>794</v>
      </c>
      <c r="F6129" t="s">
        <v>795</v>
      </c>
      <c r="G6129" t="s">
        <v>796</v>
      </c>
      <c r="H6129" t="s">
        <v>226</v>
      </c>
    </row>
    <row r="6130" spans="1:8" x14ac:dyDescent="0.35">
      <c r="A6130" t="s">
        <v>227</v>
      </c>
      <c r="B6130" s="26">
        <v>0.84850000000000003</v>
      </c>
      <c r="C6130" s="26">
        <v>6.0600000000000001E-2</v>
      </c>
      <c r="D6130" s="26">
        <v>3.0300000000000001E-2</v>
      </c>
      <c r="E6130" s="26">
        <v>3.0300000000000001E-2</v>
      </c>
      <c r="F6130" s="26">
        <v>3.0300000000000001E-2</v>
      </c>
      <c r="H6130">
        <v>33</v>
      </c>
    </row>
    <row r="6131" spans="1:8" x14ac:dyDescent="0.35">
      <c r="A6131" t="s">
        <v>228</v>
      </c>
      <c r="B6131" s="26">
        <v>0.74350000000000005</v>
      </c>
      <c r="C6131" s="26">
        <v>5.5899999999999998E-2</v>
      </c>
      <c r="D6131" s="26">
        <v>5.9299999999999999E-2</v>
      </c>
      <c r="E6131" s="26">
        <v>6.7199999999999996E-2</v>
      </c>
      <c r="F6131" s="26">
        <v>5.3699999999999998E-2</v>
      </c>
      <c r="G6131" s="26">
        <v>2.0400000000000001E-2</v>
      </c>
      <c r="H6131">
        <v>192</v>
      </c>
    </row>
    <row r="6132" spans="1:8" x14ac:dyDescent="0.35">
      <c r="A6132" t="s">
        <v>229</v>
      </c>
      <c r="B6132" s="26">
        <v>0.88060000000000005</v>
      </c>
      <c r="C6132" s="26">
        <v>2.9700000000000001E-2</v>
      </c>
      <c r="D6132" s="26">
        <v>2.2000000000000001E-3</v>
      </c>
      <c r="E6132" s="26">
        <v>4.9200000000000001E-2</v>
      </c>
      <c r="F6132" s="26">
        <v>3.6999999999999998E-2</v>
      </c>
      <c r="G6132" s="26">
        <v>1.1000000000000001E-3</v>
      </c>
      <c r="H6132">
        <v>96</v>
      </c>
    </row>
    <row r="6133" spans="1:8" x14ac:dyDescent="0.35">
      <c r="A6133" t="s">
        <v>230</v>
      </c>
      <c r="B6133" s="26">
        <v>0.87219999999999998</v>
      </c>
      <c r="C6133" s="26">
        <v>4.0399999999999998E-2</v>
      </c>
      <c r="D6133" s="26">
        <v>4.0399999999999998E-2</v>
      </c>
      <c r="E6133" s="26">
        <v>4.0399999999999998E-2</v>
      </c>
      <c r="F6133" s="26">
        <v>6.7000000000000002E-3</v>
      </c>
      <c r="H6133">
        <v>57</v>
      </c>
    </row>
    <row r="6134" spans="1:8" x14ac:dyDescent="0.35">
      <c r="A6134" s="27" t="s">
        <v>231</v>
      </c>
      <c r="B6134" s="28">
        <v>0.77780000000000005</v>
      </c>
      <c r="C6134" s="28">
        <v>0.1111</v>
      </c>
      <c r="D6134" s="28">
        <v>7.4099999999999999E-2</v>
      </c>
      <c r="E6134" s="29"/>
      <c r="F6134" s="29"/>
      <c r="G6134" s="28">
        <v>3.6999999999999998E-2</v>
      </c>
      <c r="H6134" s="29" t="s">
        <v>338</v>
      </c>
    </row>
    <row r="6135" spans="1:8" x14ac:dyDescent="0.35">
      <c r="A6135" t="s">
        <v>232</v>
      </c>
      <c r="B6135" s="26">
        <v>0.81599999999999995</v>
      </c>
      <c r="C6135" s="26">
        <v>6.3799999999999996E-2</v>
      </c>
      <c r="D6135" s="26">
        <v>4.2200000000000001E-2</v>
      </c>
      <c r="E6135" s="26">
        <v>3.5999999999999997E-2</v>
      </c>
      <c r="F6135" s="26">
        <v>2.7300000000000001E-2</v>
      </c>
      <c r="G6135" s="26">
        <v>1.47E-2</v>
      </c>
      <c r="H6135">
        <v>405</v>
      </c>
    </row>
    <row r="6137" spans="1:8" x14ac:dyDescent="0.35">
      <c r="A6137" s="1" t="s">
        <v>797</v>
      </c>
    </row>
    <row r="6138" spans="1:8" x14ac:dyDescent="0.35">
      <c r="A6138" t="s">
        <v>219</v>
      </c>
      <c r="B6138" t="s">
        <v>793</v>
      </c>
      <c r="C6138" t="s">
        <v>794</v>
      </c>
      <c r="D6138" t="s">
        <v>791</v>
      </c>
      <c r="E6138" t="s">
        <v>795</v>
      </c>
      <c r="F6138" t="s">
        <v>796</v>
      </c>
      <c r="G6138" t="s">
        <v>792</v>
      </c>
      <c r="H6138" t="s">
        <v>226</v>
      </c>
    </row>
    <row r="6139" spans="1:8" x14ac:dyDescent="0.35">
      <c r="A6139" s="27" t="s">
        <v>227</v>
      </c>
      <c r="B6139" s="28">
        <v>0.66669999999999996</v>
      </c>
      <c r="C6139" s="28">
        <v>0.33329999999999999</v>
      </c>
      <c r="D6139" s="29"/>
      <c r="E6139" s="29"/>
      <c r="F6139" s="29"/>
      <c r="G6139" s="29"/>
      <c r="H6139" s="29" t="s">
        <v>315</v>
      </c>
    </row>
    <row r="6140" spans="1:8" x14ac:dyDescent="0.35">
      <c r="A6140" t="s">
        <v>228</v>
      </c>
      <c r="B6140" s="26">
        <v>0.1797</v>
      </c>
      <c r="C6140" s="26">
        <v>0.23300000000000001</v>
      </c>
      <c r="D6140" s="26">
        <v>0.27460000000000001</v>
      </c>
      <c r="E6140" s="26">
        <v>0.1482</v>
      </c>
      <c r="F6140" s="26">
        <v>5.4600000000000003E-2</v>
      </c>
      <c r="G6140" s="26">
        <v>0.1099</v>
      </c>
      <c r="H6140">
        <v>199</v>
      </c>
    </row>
    <row r="6141" spans="1:8" x14ac:dyDescent="0.35">
      <c r="A6141" t="s">
        <v>229</v>
      </c>
      <c r="B6141" s="26">
        <v>0.36359999999999998</v>
      </c>
      <c r="C6141" s="26">
        <v>0.34200000000000003</v>
      </c>
      <c r="D6141" s="26">
        <v>8.5900000000000004E-2</v>
      </c>
      <c r="E6141" s="26">
        <v>0.15690000000000001</v>
      </c>
      <c r="F6141" s="26">
        <v>3.7900000000000003E-2</v>
      </c>
      <c r="G6141" s="26">
        <v>1.37E-2</v>
      </c>
      <c r="H6141">
        <v>183</v>
      </c>
    </row>
    <row r="6142" spans="1:8" x14ac:dyDescent="0.35">
      <c r="A6142" t="s">
        <v>230</v>
      </c>
      <c r="B6142" s="26">
        <v>0.25180000000000002</v>
      </c>
      <c r="C6142" s="26">
        <v>0.19270000000000001</v>
      </c>
      <c r="D6142" s="26">
        <v>0.2742</v>
      </c>
      <c r="E6142" s="26">
        <v>9.3899999999999997E-2</v>
      </c>
      <c r="F6142" s="26">
        <v>0.1206</v>
      </c>
      <c r="G6142" s="26">
        <v>6.6799999999999998E-2</v>
      </c>
      <c r="H6142">
        <v>119</v>
      </c>
    </row>
    <row r="6143" spans="1:8" x14ac:dyDescent="0.35">
      <c r="A6143" s="27" t="s">
        <v>231</v>
      </c>
      <c r="B6143" s="28">
        <v>0.36359999999999998</v>
      </c>
      <c r="C6143" s="28">
        <v>0.18179999999999999</v>
      </c>
      <c r="D6143" s="28">
        <v>0.2727</v>
      </c>
      <c r="E6143" s="29"/>
      <c r="F6143" s="28">
        <v>9.0899999999999995E-2</v>
      </c>
      <c r="G6143" s="28">
        <v>9.0899999999999995E-2</v>
      </c>
      <c r="H6143" s="29" t="s">
        <v>352</v>
      </c>
    </row>
    <row r="6144" spans="1:8" x14ac:dyDescent="0.35">
      <c r="A6144" t="s">
        <v>232</v>
      </c>
      <c r="B6144" s="26">
        <v>0.31809999999999999</v>
      </c>
      <c r="C6144" s="26">
        <v>0.28249999999999997</v>
      </c>
      <c r="D6144" s="26">
        <v>0.16839999999999999</v>
      </c>
      <c r="E6144" s="26">
        <v>0.12540000000000001</v>
      </c>
      <c r="F6144" s="26">
        <v>5.5800000000000002E-2</v>
      </c>
      <c r="G6144" s="26">
        <v>4.9700000000000001E-2</v>
      </c>
      <c r="H6144">
        <v>515</v>
      </c>
    </row>
    <row r="6146" spans="1:8" x14ac:dyDescent="0.35">
      <c r="A6146" s="1" t="s">
        <v>798</v>
      </c>
    </row>
    <row r="6147" spans="1:8" x14ac:dyDescent="0.35">
      <c r="A6147" t="s">
        <v>219</v>
      </c>
      <c r="B6147" t="s">
        <v>791</v>
      </c>
      <c r="C6147" t="s">
        <v>792</v>
      </c>
      <c r="D6147" t="s">
        <v>793</v>
      </c>
      <c r="E6147" t="s">
        <v>796</v>
      </c>
      <c r="F6147" t="s">
        <v>794</v>
      </c>
      <c r="G6147" t="s">
        <v>795</v>
      </c>
      <c r="H6147" t="s">
        <v>226</v>
      </c>
    </row>
    <row r="6148" spans="1:8" x14ac:dyDescent="0.35">
      <c r="A6148" s="27" t="s">
        <v>227</v>
      </c>
      <c r="B6148" s="28">
        <v>1</v>
      </c>
      <c r="C6148" s="29"/>
      <c r="D6148" s="29"/>
      <c r="E6148" s="29"/>
      <c r="F6148" s="29"/>
      <c r="G6148" s="29"/>
      <c r="H6148" s="29" t="s">
        <v>315</v>
      </c>
    </row>
    <row r="6149" spans="1:8" x14ac:dyDescent="0.35">
      <c r="A6149" t="s">
        <v>228</v>
      </c>
      <c r="B6149" s="26">
        <v>0.8831</v>
      </c>
      <c r="C6149" s="26">
        <v>5.04E-2</v>
      </c>
      <c r="D6149" s="26">
        <v>1.8700000000000001E-2</v>
      </c>
      <c r="E6149" s="26">
        <v>3.5999999999999999E-3</v>
      </c>
      <c r="F6149" s="26">
        <v>1.3599999999999999E-2</v>
      </c>
      <c r="G6149" s="26">
        <v>3.0499999999999999E-2</v>
      </c>
      <c r="H6149">
        <v>201</v>
      </c>
    </row>
    <row r="6150" spans="1:8" x14ac:dyDescent="0.35">
      <c r="A6150" t="s">
        <v>229</v>
      </c>
      <c r="B6150" s="26">
        <v>0.93700000000000006</v>
      </c>
      <c r="C6150" s="26">
        <v>1.66E-2</v>
      </c>
      <c r="D6150" s="26">
        <v>2.0299999999999999E-2</v>
      </c>
      <c r="E6150" s="26">
        <v>1.0699999999999999E-2</v>
      </c>
      <c r="F6150" s="26">
        <v>1.4200000000000001E-2</v>
      </c>
      <c r="G6150" s="26">
        <v>1.1999999999999999E-3</v>
      </c>
      <c r="H6150">
        <v>188</v>
      </c>
    </row>
    <row r="6151" spans="1:8" x14ac:dyDescent="0.35">
      <c r="A6151" t="s">
        <v>230</v>
      </c>
      <c r="B6151" s="26">
        <v>0.75870000000000004</v>
      </c>
      <c r="C6151" s="26">
        <v>7.0999999999999994E-2</v>
      </c>
      <c r="E6151" s="26">
        <v>7.17E-2</v>
      </c>
      <c r="F6151" s="26">
        <v>5.1400000000000001E-2</v>
      </c>
      <c r="G6151" s="26">
        <v>4.7199999999999999E-2</v>
      </c>
      <c r="H6151">
        <v>122</v>
      </c>
    </row>
    <row r="6152" spans="1:8" x14ac:dyDescent="0.35">
      <c r="A6152" s="27" t="s">
        <v>231</v>
      </c>
      <c r="B6152" s="28">
        <v>0.81820000000000004</v>
      </c>
      <c r="C6152" s="29"/>
      <c r="D6152" s="28">
        <v>9.0899999999999995E-2</v>
      </c>
      <c r="E6152" s="28">
        <v>9.0899999999999995E-2</v>
      </c>
      <c r="F6152" s="29"/>
      <c r="G6152" s="29"/>
      <c r="H6152" s="29" t="s">
        <v>352</v>
      </c>
    </row>
    <row r="6153" spans="1:8" x14ac:dyDescent="0.35">
      <c r="A6153" t="s">
        <v>232</v>
      </c>
      <c r="B6153" s="26">
        <v>0.89419999999999999</v>
      </c>
      <c r="C6153" s="26">
        <v>2.69E-2</v>
      </c>
      <c r="D6153" s="26">
        <v>2.64E-2</v>
      </c>
      <c r="E6153" s="26">
        <v>2.4899999999999999E-2</v>
      </c>
      <c r="F6153" s="26">
        <v>1.5599999999999999E-2</v>
      </c>
      <c r="G6153" s="26">
        <v>1.1900000000000001E-2</v>
      </c>
      <c r="H6153">
        <v>525</v>
      </c>
    </row>
    <row r="6155" spans="1:8" x14ac:dyDescent="0.35">
      <c r="A6155" s="1" t="s">
        <v>799</v>
      </c>
    </row>
    <row r="6156" spans="1:8" x14ac:dyDescent="0.35">
      <c r="A6156" t="s">
        <v>219</v>
      </c>
      <c r="B6156" t="s">
        <v>791</v>
      </c>
      <c r="C6156" t="s">
        <v>794</v>
      </c>
      <c r="D6156" t="s">
        <v>792</v>
      </c>
      <c r="E6156" t="s">
        <v>793</v>
      </c>
      <c r="F6156" t="s">
        <v>795</v>
      </c>
      <c r="G6156" t="s">
        <v>796</v>
      </c>
      <c r="H6156" t="s">
        <v>226</v>
      </c>
    </row>
    <row r="6157" spans="1:8" x14ac:dyDescent="0.35">
      <c r="A6157" t="s">
        <v>227</v>
      </c>
      <c r="B6157" s="26">
        <v>0.75760000000000005</v>
      </c>
      <c r="C6157" s="26">
        <v>3.0300000000000001E-2</v>
      </c>
      <c r="D6157" s="26">
        <v>9.0899999999999995E-2</v>
      </c>
      <c r="E6157" s="26">
        <v>6.0600000000000001E-2</v>
      </c>
      <c r="F6157" s="26">
        <v>3.0300000000000001E-2</v>
      </c>
      <c r="G6157" s="26">
        <v>3.0300000000000001E-2</v>
      </c>
      <c r="H6157">
        <v>33</v>
      </c>
    </row>
    <row r="6158" spans="1:8" x14ac:dyDescent="0.35">
      <c r="A6158" t="s">
        <v>228</v>
      </c>
      <c r="B6158" s="26">
        <v>0.60629999999999995</v>
      </c>
      <c r="C6158" s="26">
        <v>8.3500000000000005E-2</v>
      </c>
      <c r="D6158" s="26">
        <v>5.74E-2</v>
      </c>
      <c r="E6158" s="26">
        <v>0.13519999999999999</v>
      </c>
      <c r="F6158" s="26">
        <v>7.3899999999999993E-2</v>
      </c>
      <c r="G6158" s="26">
        <v>4.3700000000000003E-2</v>
      </c>
      <c r="H6158">
        <v>192</v>
      </c>
    </row>
    <row r="6159" spans="1:8" x14ac:dyDescent="0.35">
      <c r="A6159" t="s">
        <v>229</v>
      </c>
      <c r="B6159" s="26">
        <v>0.68410000000000004</v>
      </c>
      <c r="C6159" s="26">
        <v>0.13689999999999999</v>
      </c>
      <c r="D6159" s="26">
        <v>9.2600000000000002E-2</v>
      </c>
      <c r="E6159" s="26">
        <v>2.2000000000000001E-3</v>
      </c>
      <c r="F6159" s="26">
        <v>7.8600000000000003E-2</v>
      </c>
      <c r="G6159" s="26">
        <v>5.5999999999999999E-3</v>
      </c>
      <c r="H6159">
        <v>96</v>
      </c>
    </row>
    <row r="6160" spans="1:8" x14ac:dyDescent="0.35">
      <c r="A6160" t="s">
        <v>230</v>
      </c>
      <c r="B6160" s="26">
        <v>0.76029999999999998</v>
      </c>
      <c r="C6160" s="26">
        <v>4.24E-2</v>
      </c>
      <c r="D6160" s="26">
        <v>4.7E-2</v>
      </c>
      <c r="E6160" s="26">
        <v>8.9599999999999999E-2</v>
      </c>
      <c r="F6160" s="26">
        <v>5.3800000000000001E-2</v>
      </c>
      <c r="G6160" s="26">
        <v>6.7999999999999996E-3</v>
      </c>
      <c r="H6160">
        <v>57</v>
      </c>
    </row>
    <row r="6161" spans="1:21" x14ac:dyDescent="0.35">
      <c r="A6161" s="27" t="s">
        <v>231</v>
      </c>
      <c r="B6161" s="28">
        <v>0.66669999999999996</v>
      </c>
      <c r="C6161" s="28">
        <v>0.1111</v>
      </c>
      <c r="D6161" s="28">
        <v>7.4099999999999999E-2</v>
      </c>
      <c r="E6161" s="28">
        <v>7.4099999999999999E-2</v>
      </c>
      <c r="F6161" s="28">
        <v>3.6999999999999998E-2</v>
      </c>
      <c r="G6161" s="28">
        <v>3.6999999999999998E-2</v>
      </c>
      <c r="H6161" s="29" t="s">
        <v>338</v>
      </c>
    </row>
    <row r="6162" spans="1:21" x14ac:dyDescent="0.35">
      <c r="A6162" t="s">
        <v>232</v>
      </c>
      <c r="B6162" s="26">
        <v>0.68130000000000002</v>
      </c>
      <c r="C6162" s="26">
        <v>9.1399999999999995E-2</v>
      </c>
      <c r="D6162" s="26">
        <v>7.5999999999999998E-2</v>
      </c>
      <c r="E6162" s="26">
        <v>6.8400000000000002E-2</v>
      </c>
      <c r="F6162" s="26">
        <v>5.57E-2</v>
      </c>
      <c r="G6162" s="26">
        <v>2.7099999999999999E-2</v>
      </c>
      <c r="H6162">
        <v>405</v>
      </c>
    </row>
    <row r="6164" spans="1:21" x14ac:dyDescent="0.35">
      <c r="A6164" s="1" t="s">
        <v>800</v>
      </c>
    </row>
    <row r="6165" spans="1:21" x14ac:dyDescent="0.35">
      <c r="A6165" t="s">
        <v>219</v>
      </c>
      <c r="B6165" t="s">
        <v>791</v>
      </c>
      <c r="C6165" t="s">
        <v>793</v>
      </c>
      <c r="D6165" t="s">
        <v>792</v>
      </c>
      <c r="E6165" t="s">
        <v>795</v>
      </c>
      <c r="F6165" t="s">
        <v>796</v>
      </c>
      <c r="G6165" t="s">
        <v>794</v>
      </c>
      <c r="H6165" t="s">
        <v>226</v>
      </c>
    </row>
    <row r="6166" spans="1:21" x14ac:dyDescent="0.35">
      <c r="A6166" s="27" t="s">
        <v>227</v>
      </c>
      <c r="B6166" s="28">
        <v>0.66669999999999996</v>
      </c>
      <c r="C6166" s="28">
        <v>0.33329999999999999</v>
      </c>
      <c r="D6166" s="29"/>
      <c r="E6166" s="29"/>
      <c r="F6166" s="29"/>
      <c r="G6166" s="29"/>
      <c r="H6166" s="29" t="s">
        <v>315</v>
      </c>
    </row>
    <row r="6167" spans="1:21" x14ac:dyDescent="0.35">
      <c r="A6167" s="27" t="s">
        <v>228</v>
      </c>
      <c r="B6167" s="28">
        <v>0.92620000000000002</v>
      </c>
      <c r="C6167" s="28">
        <v>2.93E-2</v>
      </c>
      <c r="D6167" s="28">
        <v>4.4499999999999998E-2</v>
      </c>
      <c r="E6167" s="29"/>
      <c r="F6167" s="29"/>
      <c r="G6167" s="29"/>
      <c r="H6167" s="29" t="s">
        <v>312</v>
      </c>
    </row>
    <row r="6168" spans="1:21" x14ac:dyDescent="0.35">
      <c r="A6168" s="27" t="s">
        <v>229</v>
      </c>
      <c r="B6168" s="28">
        <v>0.84430000000000005</v>
      </c>
      <c r="C6168" s="29"/>
      <c r="D6168" s="28">
        <v>0.15570000000000001</v>
      </c>
      <c r="E6168" s="29"/>
      <c r="F6168" s="29"/>
      <c r="G6168" s="29"/>
      <c r="H6168" s="29" t="s">
        <v>379</v>
      </c>
    </row>
    <row r="6169" spans="1:21" x14ac:dyDescent="0.35">
      <c r="A6169" s="27" t="s">
        <v>230</v>
      </c>
      <c r="B6169" s="28">
        <v>0.82699999999999996</v>
      </c>
      <c r="C6169" s="28">
        <v>1.6799999999999999E-2</v>
      </c>
      <c r="D6169" s="28">
        <v>1.6799999999999999E-2</v>
      </c>
      <c r="E6169" s="28">
        <v>5.57E-2</v>
      </c>
      <c r="F6169" s="28">
        <v>5.0299999999999997E-2</v>
      </c>
      <c r="G6169" s="28">
        <v>3.3500000000000002E-2</v>
      </c>
      <c r="H6169" s="29" t="s">
        <v>312</v>
      </c>
    </row>
    <row r="6170" spans="1:21" x14ac:dyDescent="0.35">
      <c r="A6170" s="27" t="s">
        <v>231</v>
      </c>
      <c r="B6170" s="28">
        <v>1</v>
      </c>
      <c r="C6170" s="29"/>
      <c r="D6170" s="29"/>
      <c r="E6170" s="29"/>
      <c r="F6170" s="29"/>
      <c r="G6170" s="29"/>
      <c r="H6170" s="29" t="s">
        <v>314</v>
      </c>
    </row>
    <row r="6171" spans="1:21" x14ac:dyDescent="0.35">
      <c r="A6171" t="s">
        <v>232</v>
      </c>
      <c r="B6171" s="26">
        <v>0.86150000000000004</v>
      </c>
      <c r="C6171" s="26">
        <v>6.3700000000000007E-2</v>
      </c>
      <c r="D6171" s="26">
        <v>6.1899999999999997E-2</v>
      </c>
      <c r="E6171" s="26">
        <v>5.1999999999999998E-3</v>
      </c>
      <c r="F6171" s="26">
        <v>4.7000000000000002E-3</v>
      </c>
      <c r="G6171" s="26">
        <v>3.0999999999999999E-3</v>
      </c>
      <c r="H6171">
        <v>69</v>
      </c>
    </row>
    <row r="6173" spans="1:21" x14ac:dyDescent="0.35">
      <c r="A6173" s="1" t="s">
        <v>801</v>
      </c>
    </row>
    <row r="6174" spans="1:21" x14ac:dyDescent="0.35">
      <c r="A6174" t="s">
        <v>219</v>
      </c>
      <c r="B6174" t="s">
        <v>802</v>
      </c>
      <c r="C6174" t="s">
        <v>803</v>
      </c>
      <c r="D6174" t="s">
        <v>804</v>
      </c>
      <c r="E6174" t="s">
        <v>805</v>
      </c>
      <c r="F6174" t="s">
        <v>806</v>
      </c>
      <c r="G6174" t="s">
        <v>807</v>
      </c>
      <c r="H6174" t="s">
        <v>808</v>
      </c>
      <c r="I6174" t="s">
        <v>809</v>
      </c>
      <c r="J6174" t="s">
        <v>810</v>
      </c>
      <c r="K6174" t="s">
        <v>811</v>
      </c>
      <c r="L6174" t="s">
        <v>812</v>
      </c>
      <c r="M6174" t="s">
        <v>813</v>
      </c>
      <c r="N6174" t="s">
        <v>814</v>
      </c>
      <c r="O6174" t="s">
        <v>815</v>
      </c>
      <c r="P6174" t="s">
        <v>816</v>
      </c>
      <c r="Q6174" t="s">
        <v>817</v>
      </c>
      <c r="R6174" t="s">
        <v>818</v>
      </c>
      <c r="S6174" t="s">
        <v>819</v>
      </c>
      <c r="T6174" t="s">
        <v>820</v>
      </c>
      <c r="U6174" t="s">
        <v>226</v>
      </c>
    </row>
    <row r="6175" spans="1:21" x14ac:dyDescent="0.35">
      <c r="A6175" t="s">
        <v>227</v>
      </c>
      <c r="B6175" s="26">
        <v>0.51519999999999999</v>
      </c>
      <c r="C6175" s="26">
        <v>9.0899999999999995E-2</v>
      </c>
      <c r="D6175" s="26">
        <v>0.1212</v>
      </c>
      <c r="E6175" s="26">
        <v>9.0899999999999995E-2</v>
      </c>
      <c r="F6175" s="26">
        <v>3.0300000000000001E-2</v>
      </c>
      <c r="G6175" s="26">
        <v>3.0300000000000001E-2</v>
      </c>
      <c r="H6175" s="26">
        <v>3.0300000000000001E-2</v>
      </c>
      <c r="K6175" s="26">
        <v>3.0300000000000001E-2</v>
      </c>
      <c r="L6175" s="26">
        <v>6.0600000000000001E-2</v>
      </c>
      <c r="U6175">
        <v>33</v>
      </c>
    </row>
    <row r="6176" spans="1:21" x14ac:dyDescent="0.35">
      <c r="A6176" t="s">
        <v>228</v>
      </c>
      <c r="B6176" s="26">
        <v>0.48149999999999998</v>
      </c>
      <c r="C6176" s="26">
        <v>0.2392</v>
      </c>
      <c r="D6176" s="26">
        <v>2.8400000000000002E-2</v>
      </c>
      <c r="E6176" s="26">
        <v>4.0500000000000001E-2</v>
      </c>
      <c r="F6176" s="26">
        <v>0.1028</v>
      </c>
      <c r="I6176" s="26">
        <v>0.1041</v>
      </c>
      <c r="P6176" s="26">
        <v>2.0999999999999999E-3</v>
      </c>
      <c r="T6176" s="26">
        <v>1.1999999999999999E-3</v>
      </c>
      <c r="U6176">
        <v>192</v>
      </c>
    </row>
    <row r="6177" spans="1:21" x14ac:dyDescent="0.35">
      <c r="A6177" t="s">
        <v>229</v>
      </c>
      <c r="B6177" s="26">
        <v>0.49480000000000002</v>
      </c>
      <c r="C6177" s="26">
        <v>1.6899999999999998E-2</v>
      </c>
      <c r="D6177" s="26">
        <v>0.16830000000000001</v>
      </c>
      <c r="E6177" s="26">
        <v>2.0199999999999999E-2</v>
      </c>
      <c r="F6177" s="26">
        <v>3.6999999999999998E-2</v>
      </c>
      <c r="G6177" s="26">
        <v>5.5100000000000003E-2</v>
      </c>
      <c r="H6177" s="26">
        <v>7.2999999999999995E-2</v>
      </c>
      <c r="I6177" s="26">
        <v>5.9999999999999995E-4</v>
      </c>
      <c r="J6177" s="26">
        <v>7.5300000000000006E-2</v>
      </c>
      <c r="K6177" s="26">
        <v>3.7499999999999999E-2</v>
      </c>
      <c r="P6177" s="26">
        <v>1.1000000000000001E-3</v>
      </c>
      <c r="Q6177" s="26">
        <v>1.6899999999999998E-2</v>
      </c>
      <c r="R6177" s="26">
        <v>2.2000000000000001E-3</v>
      </c>
      <c r="S6177" s="26">
        <v>1.1000000000000001E-3</v>
      </c>
      <c r="U6177">
        <v>96</v>
      </c>
    </row>
    <row r="6178" spans="1:21" x14ac:dyDescent="0.35">
      <c r="A6178" t="s">
        <v>230</v>
      </c>
      <c r="B6178" s="26">
        <v>0.2913</v>
      </c>
      <c r="C6178" s="26">
        <v>0.12790000000000001</v>
      </c>
      <c r="D6178" s="26">
        <v>0.40550000000000003</v>
      </c>
      <c r="E6178" s="26">
        <v>4.0399999999999998E-2</v>
      </c>
      <c r="F6178" s="26">
        <v>4.0399999999999998E-2</v>
      </c>
      <c r="P6178" s="26">
        <v>9.4600000000000004E-2</v>
      </c>
      <c r="U6178">
        <v>57</v>
      </c>
    </row>
    <row r="6179" spans="1:21" x14ac:dyDescent="0.35">
      <c r="A6179" s="27" t="s">
        <v>231</v>
      </c>
      <c r="B6179" s="28">
        <v>0.40739999999999998</v>
      </c>
      <c r="C6179" s="28">
        <v>0.1852</v>
      </c>
      <c r="D6179" s="28">
        <v>0.1111</v>
      </c>
      <c r="E6179" s="28">
        <v>0.14810000000000001</v>
      </c>
      <c r="F6179" s="29"/>
      <c r="G6179" s="28">
        <v>3.6999999999999998E-2</v>
      </c>
      <c r="H6179" s="29"/>
      <c r="I6179" s="29"/>
      <c r="J6179" s="29"/>
      <c r="K6179" s="29"/>
      <c r="L6179" s="29"/>
      <c r="M6179" s="28">
        <v>3.6999999999999998E-2</v>
      </c>
      <c r="N6179" s="28">
        <v>3.6999999999999998E-2</v>
      </c>
      <c r="O6179" s="28">
        <v>3.6999999999999998E-2</v>
      </c>
      <c r="P6179" s="29"/>
      <c r="Q6179" s="29"/>
      <c r="R6179" s="29"/>
      <c r="S6179" s="29"/>
      <c r="T6179" s="29"/>
      <c r="U6179" s="29" t="s">
        <v>338</v>
      </c>
    </row>
    <row r="6180" spans="1:21" x14ac:dyDescent="0.35">
      <c r="A6180" t="s">
        <v>232</v>
      </c>
      <c r="B6180" s="26">
        <v>0.45679999999999998</v>
      </c>
      <c r="C6180" s="26">
        <v>0.13350000000000001</v>
      </c>
      <c r="D6180" s="26">
        <v>0.13109999999999999</v>
      </c>
      <c r="E6180" s="26">
        <v>7.3400000000000007E-2</v>
      </c>
      <c r="F6180" s="26">
        <v>4.0800000000000003E-2</v>
      </c>
      <c r="G6180" s="26">
        <v>2.92E-2</v>
      </c>
      <c r="H6180" s="26">
        <v>2.3800000000000002E-2</v>
      </c>
      <c r="I6180" s="26">
        <v>2.3400000000000001E-2</v>
      </c>
      <c r="J6180" s="26">
        <v>1.8800000000000001E-2</v>
      </c>
      <c r="K6180" s="26">
        <v>1.49E-2</v>
      </c>
      <c r="L6180" s="26">
        <v>1.11E-2</v>
      </c>
      <c r="M6180" s="26">
        <v>9.9000000000000008E-3</v>
      </c>
      <c r="N6180" s="26">
        <v>9.9000000000000008E-3</v>
      </c>
      <c r="O6180" s="26">
        <v>9.9000000000000008E-3</v>
      </c>
      <c r="P6180" s="26">
        <v>7.9000000000000008E-3</v>
      </c>
      <c r="Q6180" s="26">
        <v>4.1999999999999997E-3</v>
      </c>
      <c r="R6180" s="26">
        <v>5.9999999999999995E-4</v>
      </c>
      <c r="S6180" s="26">
        <v>2.9999999999999997E-4</v>
      </c>
      <c r="T6180" s="26">
        <v>2.9999999999999997E-4</v>
      </c>
      <c r="U6180">
        <v>405</v>
      </c>
    </row>
    <row r="6182" spans="1:21" x14ac:dyDescent="0.35">
      <c r="A6182" s="1" t="s">
        <v>821</v>
      </c>
    </row>
    <row r="6183" spans="1:21" x14ac:dyDescent="0.35">
      <c r="A6183" t="s">
        <v>219</v>
      </c>
      <c r="B6183" t="s">
        <v>822</v>
      </c>
      <c r="C6183" t="s">
        <v>823</v>
      </c>
      <c r="D6183" t="s">
        <v>824</v>
      </c>
      <c r="E6183" t="s">
        <v>281</v>
      </c>
      <c r="F6183" t="s">
        <v>286</v>
      </c>
      <c r="G6183" t="s">
        <v>226</v>
      </c>
    </row>
    <row r="6184" spans="1:21" x14ac:dyDescent="0.35">
      <c r="A6184" t="s">
        <v>227</v>
      </c>
      <c r="B6184" s="26">
        <v>0.81369999999999998</v>
      </c>
      <c r="C6184" s="26">
        <v>0.1366</v>
      </c>
      <c r="D6184" s="26">
        <v>4.9700000000000001E-2</v>
      </c>
      <c r="G6184">
        <v>161</v>
      </c>
    </row>
    <row r="6185" spans="1:21" x14ac:dyDescent="0.35">
      <c r="A6185" t="s">
        <v>228</v>
      </c>
      <c r="B6185" s="26">
        <v>0.76439999999999997</v>
      </c>
      <c r="C6185" s="26">
        <v>0.13730000000000001</v>
      </c>
      <c r="D6185" s="26">
        <v>9.5299999999999996E-2</v>
      </c>
      <c r="E6185" s="26">
        <v>1.9E-3</v>
      </c>
      <c r="F6185" s="26">
        <v>1.1999999999999999E-3</v>
      </c>
      <c r="G6185">
        <v>1033</v>
      </c>
    </row>
    <row r="6186" spans="1:21" x14ac:dyDescent="0.35">
      <c r="A6186" t="s">
        <v>229</v>
      </c>
      <c r="B6186" s="26">
        <v>0.79659999999999997</v>
      </c>
      <c r="C6186" s="26">
        <v>8.2900000000000001E-2</v>
      </c>
      <c r="D6186" s="26">
        <v>0.1203</v>
      </c>
      <c r="E6186" s="26">
        <v>1E-4</v>
      </c>
      <c r="G6186">
        <v>895</v>
      </c>
    </row>
    <row r="6187" spans="1:21" x14ac:dyDescent="0.35">
      <c r="A6187" t="s">
        <v>230</v>
      </c>
      <c r="B6187" s="26">
        <v>0.83140000000000003</v>
      </c>
      <c r="C6187" s="26">
        <v>0.1056</v>
      </c>
      <c r="D6187" s="26">
        <v>6.1199999999999997E-2</v>
      </c>
      <c r="E6187" s="26">
        <v>1.8E-3</v>
      </c>
      <c r="G6187">
        <v>560</v>
      </c>
    </row>
    <row r="6188" spans="1:21" x14ac:dyDescent="0.35">
      <c r="A6188" t="s">
        <v>231</v>
      </c>
      <c r="B6188" s="26">
        <v>0.83540000000000003</v>
      </c>
      <c r="C6188" s="26">
        <v>9.1499999999999998E-2</v>
      </c>
      <c r="D6188" s="26">
        <v>7.3200000000000001E-2</v>
      </c>
      <c r="G6188">
        <v>164</v>
      </c>
    </row>
    <row r="6189" spans="1:21" x14ac:dyDescent="0.35">
      <c r="A6189" t="s">
        <v>232</v>
      </c>
      <c r="B6189" s="26">
        <v>0.80689999999999995</v>
      </c>
      <c r="C6189" s="26">
        <v>0.1061</v>
      </c>
      <c r="D6189" s="26">
        <v>8.6199999999999999E-2</v>
      </c>
      <c r="E6189" s="26">
        <v>5.9999999999999995E-4</v>
      </c>
      <c r="F6189" s="26">
        <v>2.0000000000000001E-4</v>
      </c>
      <c r="G6189">
        <v>2813</v>
      </c>
    </row>
    <row r="6191" spans="1:21" x14ac:dyDescent="0.35">
      <c r="A6191" s="1" t="s">
        <v>825</v>
      </c>
    </row>
    <row r="6192" spans="1:21" x14ac:dyDescent="0.35">
      <c r="A6192" t="s">
        <v>219</v>
      </c>
      <c r="B6192" t="s">
        <v>826</v>
      </c>
      <c r="C6192" t="s">
        <v>827</v>
      </c>
      <c r="D6192" t="s">
        <v>828</v>
      </c>
      <c r="E6192" t="s">
        <v>829</v>
      </c>
      <c r="F6192" t="s">
        <v>830</v>
      </c>
      <c r="G6192" t="s">
        <v>831</v>
      </c>
      <c r="H6192" t="s">
        <v>832</v>
      </c>
      <c r="I6192" t="s">
        <v>833</v>
      </c>
      <c r="J6192" t="s">
        <v>834</v>
      </c>
      <c r="K6192" t="s">
        <v>835</v>
      </c>
      <c r="L6192" t="s">
        <v>836</v>
      </c>
      <c r="M6192" t="s">
        <v>281</v>
      </c>
      <c r="N6192" t="s">
        <v>837</v>
      </c>
      <c r="O6192" t="s">
        <v>838</v>
      </c>
      <c r="P6192" t="s">
        <v>839</v>
      </c>
      <c r="Q6192" t="s">
        <v>286</v>
      </c>
      <c r="R6192" t="s">
        <v>226</v>
      </c>
    </row>
    <row r="6193" spans="1:19" x14ac:dyDescent="0.35">
      <c r="A6193" s="27" t="s">
        <v>227</v>
      </c>
      <c r="B6193" s="28">
        <v>0.33329999999999999</v>
      </c>
      <c r="C6193" s="28">
        <v>0.66669999999999996</v>
      </c>
      <c r="D6193" s="28">
        <v>0.33329999999999999</v>
      </c>
      <c r="E6193" s="29"/>
      <c r="F6193" s="29"/>
      <c r="G6193" s="29"/>
      <c r="H6193" s="29"/>
      <c r="I6193" s="29"/>
      <c r="J6193" s="29"/>
      <c r="K6193" s="29"/>
      <c r="L6193" s="29"/>
      <c r="M6193" s="29"/>
      <c r="N6193" s="29"/>
      <c r="O6193" s="29"/>
      <c r="P6193" s="29"/>
      <c r="Q6193" s="29"/>
      <c r="R6193" s="29" t="s">
        <v>315</v>
      </c>
    </row>
    <row r="6194" spans="1:19" x14ac:dyDescent="0.35">
      <c r="A6194" t="s">
        <v>228</v>
      </c>
      <c r="B6194" s="26">
        <v>0.23619999999999999</v>
      </c>
      <c r="C6194" s="26">
        <v>0.40210000000000001</v>
      </c>
      <c r="D6194" s="26">
        <v>0.11890000000000001</v>
      </c>
      <c r="E6194" s="26">
        <v>0.10829999999999999</v>
      </c>
      <c r="F6194" s="26">
        <v>0.20180000000000001</v>
      </c>
      <c r="G6194" s="26">
        <v>0.1603</v>
      </c>
      <c r="H6194" s="26">
        <v>8.1500000000000003E-2</v>
      </c>
      <c r="I6194" s="26">
        <v>0.12870000000000001</v>
      </c>
      <c r="J6194" s="26">
        <v>9.3100000000000002E-2</v>
      </c>
      <c r="K6194" s="26">
        <v>4.6399999999999997E-2</v>
      </c>
      <c r="L6194" s="26">
        <v>2.8199999999999999E-2</v>
      </c>
      <c r="M6194" s="26">
        <v>2.2000000000000001E-3</v>
      </c>
      <c r="N6194" s="26">
        <v>2.5899999999999999E-2</v>
      </c>
      <c r="O6194" s="26">
        <v>1.0999999999999999E-2</v>
      </c>
      <c r="P6194" s="26">
        <v>1.4800000000000001E-2</v>
      </c>
      <c r="Q6194" s="26">
        <v>5.0000000000000001E-3</v>
      </c>
      <c r="R6194">
        <v>200</v>
      </c>
    </row>
    <row r="6195" spans="1:19" x14ac:dyDescent="0.35">
      <c r="A6195" t="s">
        <v>229</v>
      </c>
      <c r="B6195" s="26">
        <v>0.51670000000000005</v>
      </c>
      <c r="C6195" s="26">
        <v>0.33100000000000002</v>
      </c>
      <c r="D6195" s="26">
        <v>0.15790000000000001</v>
      </c>
      <c r="E6195" s="26">
        <v>0.1726</v>
      </c>
      <c r="F6195" s="26">
        <v>0.11559999999999999</v>
      </c>
      <c r="G6195" s="26">
        <v>7.9000000000000001E-2</v>
      </c>
      <c r="H6195" s="26">
        <v>5.67E-2</v>
      </c>
      <c r="I6195" s="26">
        <v>6.5299999999999997E-2</v>
      </c>
      <c r="J6195" s="26">
        <v>7.1999999999999995E-2</v>
      </c>
      <c r="K6195" s="26">
        <v>4.1799999999999997E-2</v>
      </c>
      <c r="L6195" s="26">
        <v>2.0500000000000001E-2</v>
      </c>
      <c r="M6195" s="26">
        <v>3.0999999999999999E-3</v>
      </c>
      <c r="N6195" s="26">
        <v>1.0999999999999999E-2</v>
      </c>
      <c r="O6195" s="26">
        <v>1.17E-2</v>
      </c>
      <c r="Q6195" s="26">
        <v>2.3999999999999998E-3</v>
      </c>
      <c r="R6195">
        <v>186</v>
      </c>
    </row>
    <row r="6196" spans="1:19" x14ac:dyDescent="0.35">
      <c r="A6196" t="s">
        <v>230</v>
      </c>
      <c r="B6196" s="26">
        <v>0.31040000000000001</v>
      </c>
      <c r="C6196" s="26">
        <v>0.58879999999999999</v>
      </c>
      <c r="D6196" s="26">
        <v>5.3900000000000003E-2</v>
      </c>
      <c r="E6196" s="26">
        <v>9.5600000000000004E-2</v>
      </c>
      <c r="F6196" s="26">
        <v>0.1149</v>
      </c>
      <c r="G6196" s="26">
        <v>5.9400000000000001E-2</v>
      </c>
      <c r="H6196" s="26">
        <v>3.5799999999999998E-2</v>
      </c>
      <c r="I6196" s="26">
        <v>5.45E-2</v>
      </c>
      <c r="J6196" s="26">
        <v>6.4899999999999999E-2</v>
      </c>
      <c r="K6196" s="26">
        <v>2.1499999999999998E-2</v>
      </c>
      <c r="L6196" s="26">
        <v>1.1900000000000001E-2</v>
      </c>
      <c r="N6196" s="26">
        <v>3.7000000000000002E-3</v>
      </c>
      <c r="O6196" s="26">
        <v>9.5999999999999992E-3</v>
      </c>
      <c r="R6196">
        <v>121</v>
      </c>
    </row>
    <row r="6197" spans="1:19" x14ac:dyDescent="0.35">
      <c r="A6197" s="27" t="s">
        <v>231</v>
      </c>
      <c r="B6197" s="28">
        <v>0.36359999999999998</v>
      </c>
      <c r="C6197" s="28">
        <v>0.2727</v>
      </c>
      <c r="D6197" s="28">
        <v>9.0899999999999995E-2</v>
      </c>
      <c r="E6197" s="29"/>
      <c r="F6197" s="29"/>
      <c r="G6197" s="28">
        <v>9.0899999999999995E-2</v>
      </c>
      <c r="H6197" s="28">
        <v>0.2727</v>
      </c>
      <c r="I6197" s="29"/>
      <c r="J6197" s="29"/>
      <c r="K6197" s="28">
        <v>9.0899999999999995E-2</v>
      </c>
      <c r="L6197" s="29"/>
      <c r="M6197" s="28">
        <v>9.0899999999999995E-2</v>
      </c>
      <c r="N6197" s="29"/>
      <c r="O6197" s="29"/>
      <c r="P6197" s="29"/>
      <c r="Q6197" s="29"/>
      <c r="R6197" s="29" t="s">
        <v>352</v>
      </c>
    </row>
    <row r="6198" spans="1:19" x14ac:dyDescent="0.35">
      <c r="A6198" t="s">
        <v>232</v>
      </c>
      <c r="B6198" s="26">
        <v>0.41149999999999998</v>
      </c>
      <c r="C6198" s="26">
        <v>0.37119999999999997</v>
      </c>
      <c r="D6198" s="26">
        <v>0.13400000000000001</v>
      </c>
      <c r="E6198" s="26">
        <v>0.12559999999999999</v>
      </c>
      <c r="F6198" s="26">
        <v>0.1177</v>
      </c>
      <c r="G6198" s="26">
        <v>9.5000000000000001E-2</v>
      </c>
      <c r="H6198" s="26">
        <v>8.6300000000000002E-2</v>
      </c>
      <c r="I6198" s="26">
        <v>6.8699999999999997E-2</v>
      </c>
      <c r="J6198" s="26">
        <v>6.5500000000000003E-2</v>
      </c>
      <c r="K6198" s="26">
        <v>4.6199999999999998E-2</v>
      </c>
      <c r="L6198" s="26">
        <v>1.84E-2</v>
      </c>
      <c r="M6198" s="26">
        <v>1.3599999999999999E-2</v>
      </c>
      <c r="N6198" s="26">
        <v>1.2E-2</v>
      </c>
      <c r="O6198" s="26">
        <v>9.5999999999999992E-3</v>
      </c>
      <c r="P6198" s="26">
        <v>3.3E-3</v>
      </c>
      <c r="Q6198" s="26">
        <v>2.3999999999999998E-3</v>
      </c>
      <c r="R6198">
        <v>521</v>
      </c>
    </row>
    <row r="6200" spans="1:19" x14ac:dyDescent="0.35">
      <c r="A6200" s="1" t="s">
        <v>840</v>
      </c>
    </row>
    <row r="6201" spans="1:19" x14ac:dyDescent="0.35">
      <c r="A6201" t="s">
        <v>219</v>
      </c>
      <c r="B6201" t="s">
        <v>305</v>
      </c>
      <c r="C6201" t="s">
        <v>826</v>
      </c>
      <c r="D6201" t="s">
        <v>827</v>
      </c>
      <c r="E6201" t="s">
        <v>828</v>
      </c>
      <c r="F6201" t="s">
        <v>829</v>
      </c>
      <c r="G6201" t="s">
        <v>830</v>
      </c>
      <c r="H6201" t="s">
        <v>831</v>
      </c>
      <c r="I6201" t="s">
        <v>832</v>
      </c>
      <c r="J6201" t="s">
        <v>833</v>
      </c>
      <c r="K6201" t="s">
        <v>834</v>
      </c>
      <c r="L6201" t="s">
        <v>835</v>
      </c>
      <c r="M6201" t="s">
        <v>836</v>
      </c>
      <c r="N6201" t="s">
        <v>281</v>
      </c>
      <c r="O6201" t="s">
        <v>837</v>
      </c>
      <c r="P6201" t="s">
        <v>838</v>
      </c>
      <c r="Q6201" t="s">
        <v>839</v>
      </c>
      <c r="R6201" t="s">
        <v>286</v>
      </c>
      <c r="S6201" t="s">
        <v>226</v>
      </c>
    </row>
    <row r="6202" spans="1:19" x14ac:dyDescent="0.35">
      <c r="A6202" s="27" t="s">
        <v>227</v>
      </c>
      <c r="B6202" s="27" t="s">
        <v>242</v>
      </c>
      <c r="C6202" s="28">
        <v>1</v>
      </c>
      <c r="D6202" s="28">
        <v>1</v>
      </c>
      <c r="E6202" s="29"/>
      <c r="F6202" s="29"/>
      <c r="G6202" s="29"/>
      <c r="H6202" s="29"/>
      <c r="I6202" s="29"/>
      <c r="J6202" s="29"/>
      <c r="K6202" s="29"/>
      <c r="L6202" s="29"/>
      <c r="M6202" s="29"/>
      <c r="N6202" s="29"/>
      <c r="O6202" s="29"/>
      <c r="P6202" s="29"/>
      <c r="Q6202" s="29"/>
      <c r="R6202" s="29"/>
      <c r="S6202" s="29" t="s">
        <v>331</v>
      </c>
    </row>
    <row r="6203" spans="1:19" x14ac:dyDescent="0.35">
      <c r="A6203" s="27" t="s">
        <v>227</v>
      </c>
      <c r="B6203" s="27" t="s">
        <v>241</v>
      </c>
      <c r="C6203" s="29"/>
      <c r="D6203" s="28">
        <v>0.5</v>
      </c>
      <c r="E6203" s="28">
        <v>0.5</v>
      </c>
      <c r="F6203" s="29"/>
      <c r="G6203" s="29"/>
      <c r="H6203" s="29"/>
      <c r="I6203" s="29"/>
      <c r="J6203" s="29"/>
      <c r="K6203" s="29"/>
      <c r="L6203" s="29"/>
      <c r="M6203" s="29"/>
      <c r="N6203" s="29"/>
      <c r="O6203" s="29"/>
      <c r="P6203" s="29"/>
      <c r="Q6203" s="29"/>
      <c r="R6203" s="29"/>
      <c r="S6203" s="29" t="s">
        <v>314</v>
      </c>
    </row>
    <row r="6204" spans="1:19" x14ac:dyDescent="0.35">
      <c r="A6204" t="s">
        <v>228</v>
      </c>
      <c r="B6204" t="s">
        <v>242</v>
      </c>
      <c r="C6204" s="26">
        <v>0.19939999999999999</v>
      </c>
      <c r="D6204" s="26">
        <v>0.4748</v>
      </c>
      <c r="E6204" s="26">
        <v>3.78E-2</v>
      </c>
      <c r="F6204" s="26">
        <v>2.8400000000000002E-2</v>
      </c>
      <c r="G6204" s="26">
        <v>0.2969</v>
      </c>
      <c r="H6204" s="26">
        <v>0.25800000000000001</v>
      </c>
      <c r="I6204" s="26">
        <v>0.21199999999999999</v>
      </c>
      <c r="J6204" s="26">
        <v>0.14849999999999999</v>
      </c>
      <c r="K6204" s="26">
        <v>8.9800000000000005E-2</v>
      </c>
      <c r="L6204" s="26">
        <v>3.6600000000000001E-2</v>
      </c>
      <c r="M6204" s="26">
        <v>4.2799999999999998E-2</v>
      </c>
      <c r="O6204" s="26">
        <v>5.7200000000000001E-2</v>
      </c>
      <c r="P6204" s="26">
        <v>8.8999999999999999E-3</v>
      </c>
      <c r="Q6204" s="26">
        <v>2.3E-2</v>
      </c>
      <c r="R6204" s="26">
        <v>7.6E-3</v>
      </c>
      <c r="S6204">
        <v>76</v>
      </c>
    </row>
    <row r="6205" spans="1:19" x14ac:dyDescent="0.35">
      <c r="A6205" t="s">
        <v>228</v>
      </c>
      <c r="B6205" t="s">
        <v>241</v>
      </c>
      <c r="C6205" s="26">
        <v>0.25430000000000003</v>
      </c>
      <c r="D6205" s="26">
        <v>0.3664</v>
      </c>
      <c r="E6205" s="26">
        <v>0.15870000000000001</v>
      </c>
      <c r="F6205" s="26">
        <v>0.14760000000000001</v>
      </c>
      <c r="G6205" s="26">
        <v>0.1552</v>
      </c>
      <c r="H6205" s="26">
        <v>0.1124</v>
      </c>
      <c r="I6205" s="26">
        <v>1.7399999999999999E-2</v>
      </c>
      <c r="J6205" s="26">
        <v>0.11890000000000001</v>
      </c>
      <c r="K6205" s="26">
        <v>9.4700000000000006E-2</v>
      </c>
      <c r="L6205" s="26">
        <v>5.1200000000000002E-2</v>
      </c>
      <c r="M6205" s="26">
        <v>2.1000000000000001E-2</v>
      </c>
      <c r="N6205" s="26">
        <v>3.2000000000000002E-3</v>
      </c>
      <c r="O6205" s="26">
        <v>1.0500000000000001E-2</v>
      </c>
      <c r="P6205" s="26">
        <v>1.2E-2</v>
      </c>
      <c r="Q6205" s="26">
        <v>1.0800000000000001E-2</v>
      </c>
      <c r="R6205" s="26">
        <v>3.7000000000000002E-3</v>
      </c>
      <c r="S6205">
        <v>124</v>
      </c>
    </row>
    <row r="6206" spans="1:19" x14ac:dyDescent="0.35">
      <c r="A6206" t="s">
        <v>229</v>
      </c>
      <c r="B6206" t="s">
        <v>242</v>
      </c>
      <c r="C6206" s="26">
        <v>0.43819999999999998</v>
      </c>
      <c r="D6206" s="26">
        <v>0.43790000000000001</v>
      </c>
      <c r="E6206" s="26">
        <v>0.1024</v>
      </c>
      <c r="F6206" s="26">
        <v>0.189</v>
      </c>
      <c r="G6206" s="26">
        <v>0.19</v>
      </c>
      <c r="H6206" s="26">
        <v>0.1041</v>
      </c>
      <c r="I6206" s="26">
        <v>6.7100000000000007E-2</v>
      </c>
      <c r="J6206" s="26">
        <v>0.107</v>
      </c>
      <c r="K6206" s="26">
        <v>9.3600000000000003E-2</v>
      </c>
      <c r="L6206" s="26">
        <v>7.1599999999999997E-2</v>
      </c>
      <c r="M6206" s="26">
        <v>3.1800000000000002E-2</v>
      </c>
      <c r="N6206" s="26">
        <v>7.1000000000000004E-3</v>
      </c>
      <c r="O6206" s="26">
        <v>5.3E-3</v>
      </c>
      <c r="P6206" s="26">
        <v>3.1800000000000002E-2</v>
      </c>
      <c r="S6206">
        <v>59</v>
      </c>
    </row>
    <row r="6207" spans="1:19" x14ac:dyDescent="0.35">
      <c r="A6207" t="s">
        <v>229</v>
      </c>
      <c r="B6207" t="s">
        <v>241</v>
      </c>
      <c r="C6207" s="26">
        <v>0.55810000000000004</v>
      </c>
      <c r="D6207" s="26">
        <v>0.2747</v>
      </c>
      <c r="E6207" s="26">
        <v>0.18709999999999999</v>
      </c>
      <c r="F6207" s="26">
        <v>0.16389999999999999</v>
      </c>
      <c r="G6207" s="26">
        <v>7.6300000000000007E-2</v>
      </c>
      <c r="H6207" s="26">
        <v>6.5799999999999997E-2</v>
      </c>
      <c r="I6207" s="26">
        <v>5.1200000000000002E-2</v>
      </c>
      <c r="J6207" s="26">
        <v>4.3299999999999998E-2</v>
      </c>
      <c r="K6207" s="26">
        <v>6.0600000000000001E-2</v>
      </c>
      <c r="L6207" s="26">
        <v>2.5999999999999999E-2</v>
      </c>
      <c r="M6207" s="26">
        <v>1.4500000000000001E-2</v>
      </c>
      <c r="N6207" s="26">
        <v>8.9999999999999998E-4</v>
      </c>
      <c r="O6207" s="26">
        <v>1.4E-2</v>
      </c>
      <c r="P6207" s="26">
        <v>1.1000000000000001E-3</v>
      </c>
      <c r="R6207" s="26">
        <v>3.7000000000000002E-3</v>
      </c>
      <c r="S6207">
        <v>127</v>
      </c>
    </row>
    <row r="6208" spans="1:19" x14ac:dyDescent="0.35">
      <c r="A6208" t="s">
        <v>230</v>
      </c>
      <c r="B6208" t="s">
        <v>242</v>
      </c>
      <c r="C6208" s="26">
        <v>0.2054</v>
      </c>
      <c r="D6208" s="26">
        <v>0.62829999999999997</v>
      </c>
      <c r="E6208" s="26">
        <v>2.2800000000000001E-2</v>
      </c>
      <c r="F6208" s="26">
        <v>0.17549999999999999</v>
      </c>
      <c r="G6208" s="26">
        <v>4.4499999999999998E-2</v>
      </c>
      <c r="H6208" s="26">
        <v>3.04E-2</v>
      </c>
      <c r="I6208" s="26">
        <v>0.1147</v>
      </c>
      <c r="J6208" s="26">
        <v>7.3800000000000004E-2</v>
      </c>
      <c r="K6208" s="26">
        <v>9.7699999999999995E-2</v>
      </c>
      <c r="L6208" s="26">
        <v>7.0000000000000001E-3</v>
      </c>
      <c r="O6208" s="26">
        <v>7.0000000000000001E-3</v>
      </c>
      <c r="P6208" s="26">
        <v>7.0000000000000001E-3</v>
      </c>
      <c r="S6208">
        <v>36</v>
      </c>
    </row>
    <row r="6209" spans="1:19" x14ac:dyDescent="0.35">
      <c r="A6209" t="s">
        <v>230</v>
      </c>
      <c r="B6209" t="s">
        <v>241</v>
      </c>
      <c r="C6209" s="26">
        <v>0.3473</v>
      </c>
      <c r="D6209" s="26">
        <v>0.57489999999999997</v>
      </c>
      <c r="E6209" s="26">
        <v>6.4799999999999996E-2</v>
      </c>
      <c r="F6209" s="26">
        <v>6.7500000000000004E-2</v>
      </c>
      <c r="G6209" s="26">
        <v>0.13969999999999999</v>
      </c>
      <c r="H6209" s="26">
        <v>6.9599999999999995E-2</v>
      </c>
      <c r="I6209" s="26">
        <v>8.0000000000000002E-3</v>
      </c>
      <c r="J6209" s="26">
        <v>4.7800000000000002E-2</v>
      </c>
      <c r="K6209" s="26">
        <v>5.33E-2</v>
      </c>
      <c r="L6209" s="26">
        <v>2.6599999999999999E-2</v>
      </c>
      <c r="M6209" s="26">
        <v>1.61E-2</v>
      </c>
      <c r="O6209" s="26">
        <v>2.5000000000000001E-3</v>
      </c>
      <c r="P6209" s="26">
        <v>1.0500000000000001E-2</v>
      </c>
      <c r="S6209">
        <v>85</v>
      </c>
    </row>
    <row r="6210" spans="1:19" x14ac:dyDescent="0.35">
      <c r="A6210" s="27" t="s">
        <v>231</v>
      </c>
      <c r="B6210" s="27" t="s">
        <v>242</v>
      </c>
      <c r="C6210" s="28">
        <v>0.5</v>
      </c>
      <c r="D6210" s="29"/>
      <c r="E6210" s="29"/>
      <c r="F6210" s="29"/>
      <c r="G6210" s="29"/>
      <c r="H6210" s="28">
        <v>0.5</v>
      </c>
      <c r="I6210" s="28">
        <v>0.5</v>
      </c>
      <c r="J6210" s="29"/>
      <c r="K6210" s="29"/>
      <c r="L6210" s="29"/>
      <c r="M6210" s="29"/>
      <c r="N6210" s="29"/>
      <c r="O6210" s="29"/>
      <c r="P6210" s="29"/>
      <c r="Q6210" s="29"/>
      <c r="R6210" s="29"/>
      <c r="S6210" s="29" t="s">
        <v>314</v>
      </c>
    </row>
    <row r="6211" spans="1:19" x14ac:dyDescent="0.35">
      <c r="A6211" s="27" t="s">
        <v>231</v>
      </c>
      <c r="B6211" s="27" t="s">
        <v>241</v>
      </c>
      <c r="C6211" s="28">
        <v>0.33329999999999999</v>
      </c>
      <c r="D6211" s="28">
        <v>0.33329999999999999</v>
      </c>
      <c r="E6211" s="28">
        <v>0.1111</v>
      </c>
      <c r="F6211" s="29"/>
      <c r="G6211" s="29"/>
      <c r="H6211" s="29"/>
      <c r="I6211" s="28">
        <v>0.22220000000000001</v>
      </c>
      <c r="J6211" s="29"/>
      <c r="K6211" s="29"/>
      <c r="L6211" s="28">
        <v>0.1111</v>
      </c>
      <c r="M6211" s="29"/>
      <c r="N6211" s="28">
        <v>0.1111</v>
      </c>
      <c r="O6211" s="29"/>
      <c r="P6211" s="29"/>
      <c r="Q6211" s="29"/>
      <c r="R6211" s="29"/>
      <c r="S6211" s="29" t="s">
        <v>334</v>
      </c>
    </row>
    <row r="6212" spans="1:19" x14ac:dyDescent="0.35">
      <c r="A6212" t="s">
        <v>232</v>
      </c>
      <c r="B6212" t="s">
        <v>232</v>
      </c>
      <c r="C6212" s="26">
        <v>0.41149999999999998</v>
      </c>
      <c r="D6212" s="26">
        <v>0.37119999999999997</v>
      </c>
      <c r="E6212" s="26">
        <v>0.13400000000000001</v>
      </c>
      <c r="F6212" s="26">
        <v>0.12559999999999999</v>
      </c>
      <c r="G6212" s="26">
        <v>0.1177</v>
      </c>
      <c r="H6212" s="26">
        <v>9.5000000000000001E-2</v>
      </c>
      <c r="I6212" s="26">
        <v>8.6300000000000002E-2</v>
      </c>
      <c r="J6212" s="26">
        <v>6.8699999999999997E-2</v>
      </c>
      <c r="K6212" s="26">
        <v>6.5500000000000003E-2</v>
      </c>
      <c r="L6212" s="26">
        <v>4.6199999999999998E-2</v>
      </c>
      <c r="M6212" s="26">
        <v>1.84E-2</v>
      </c>
      <c r="N6212" s="26">
        <v>1.3599999999999999E-2</v>
      </c>
      <c r="O6212" s="26">
        <v>1.2E-2</v>
      </c>
      <c r="P6212" s="26">
        <v>9.5999999999999992E-3</v>
      </c>
      <c r="Q6212" s="26">
        <v>3.3E-3</v>
      </c>
      <c r="R6212" s="26">
        <v>2.3999999999999998E-3</v>
      </c>
      <c r="S6212">
        <v>521</v>
      </c>
    </row>
    <row r="6214" spans="1:19" x14ac:dyDescent="0.35">
      <c r="A6214" s="1" t="s">
        <v>841</v>
      </c>
    </row>
    <row r="6215" spans="1:19" x14ac:dyDescent="0.35">
      <c r="A6215" t="s">
        <v>219</v>
      </c>
      <c r="B6215" t="s">
        <v>305</v>
      </c>
      <c r="C6215" t="s">
        <v>826</v>
      </c>
      <c r="D6215" t="s">
        <v>827</v>
      </c>
      <c r="E6215" t="s">
        <v>828</v>
      </c>
      <c r="F6215" t="s">
        <v>829</v>
      </c>
      <c r="G6215" t="s">
        <v>830</v>
      </c>
      <c r="H6215" t="s">
        <v>831</v>
      </c>
      <c r="I6215" t="s">
        <v>832</v>
      </c>
      <c r="J6215" t="s">
        <v>833</v>
      </c>
      <c r="K6215" t="s">
        <v>834</v>
      </c>
      <c r="L6215" t="s">
        <v>835</v>
      </c>
      <c r="M6215" t="s">
        <v>836</v>
      </c>
      <c r="N6215" t="s">
        <v>281</v>
      </c>
      <c r="O6215" t="s">
        <v>837</v>
      </c>
      <c r="P6215" t="s">
        <v>838</v>
      </c>
      <c r="Q6215" t="s">
        <v>839</v>
      </c>
      <c r="R6215" t="s">
        <v>286</v>
      </c>
      <c r="S6215" t="s">
        <v>226</v>
      </c>
    </row>
    <row r="6216" spans="1:19" x14ac:dyDescent="0.35">
      <c r="A6216" s="27" t="s">
        <v>227</v>
      </c>
      <c r="B6216" s="27" t="s">
        <v>238</v>
      </c>
      <c r="C6216" s="28">
        <v>0.33329999999999999</v>
      </c>
      <c r="D6216" s="28">
        <v>0.66669999999999996</v>
      </c>
      <c r="E6216" s="28">
        <v>0.33329999999999999</v>
      </c>
      <c r="F6216" s="29"/>
      <c r="G6216" s="29"/>
      <c r="H6216" s="29"/>
      <c r="I6216" s="29"/>
      <c r="J6216" s="29"/>
      <c r="K6216" s="29"/>
      <c r="L6216" s="29"/>
      <c r="M6216" s="29"/>
      <c r="N6216" s="29"/>
      <c r="O6216" s="29"/>
      <c r="P6216" s="29"/>
      <c r="Q6216" s="29"/>
      <c r="R6216" s="29"/>
      <c r="S6216" s="29" t="s">
        <v>315</v>
      </c>
    </row>
    <row r="6217" spans="1:19" x14ac:dyDescent="0.35">
      <c r="A6217" t="s">
        <v>228</v>
      </c>
      <c r="B6217" t="s">
        <v>239</v>
      </c>
      <c r="C6217" s="26">
        <v>0.3397</v>
      </c>
      <c r="D6217" s="26">
        <v>0.50290000000000001</v>
      </c>
      <c r="E6217" s="26">
        <v>0.22650000000000001</v>
      </c>
      <c r="F6217" s="26">
        <v>9.5399999999999999E-2</v>
      </c>
      <c r="G6217" s="26">
        <v>0.1192</v>
      </c>
      <c r="H6217" s="26">
        <v>0.11650000000000001</v>
      </c>
      <c r="I6217" s="26">
        <v>2.75E-2</v>
      </c>
      <c r="J6217" s="26">
        <v>0.13159999999999999</v>
      </c>
      <c r="K6217" s="26">
        <v>2.75E-2</v>
      </c>
      <c r="L6217" s="26">
        <v>3.0099999999999998E-2</v>
      </c>
      <c r="N6217" s="26">
        <v>1.4999999999999999E-2</v>
      </c>
      <c r="P6217" s="26">
        <v>4.3200000000000002E-2</v>
      </c>
      <c r="Q6217" s="26">
        <v>4.02E-2</v>
      </c>
      <c r="R6217" s="26">
        <v>1.7299999999999999E-2</v>
      </c>
      <c r="S6217">
        <v>48</v>
      </c>
    </row>
    <row r="6218" spans="1:19" x14ac:dyDescent="0.35">
      <c r="A6218" t="s">
        <v>228</v>
      </c>
      <c r="B6218" t="s">
        <v>238</v>
      </c>
      <c r="C6218" s="26">
        <v>0.21879999999999999</v>
      </c>
      <c r="D6218" s="26">
        <v>0.3851</v>
      </c>
      <c r="E6218" s="26">
        <v>0.1008</v>
      </c>
      <c r="F6218" s="26">
        <v>0.1105</v>
      </c>
      <c r="G6218" s="26">
        <v>0.2157</v>
      </c>
      <c r="H6218" s="26">
        <v>0.16769999999999999</v>
      </c>
      <c r="I6218" s="26">
        <v>9.06E-2</v>
      </c>
      <c r="J6218" s="26">
        <v>0.12820000000000001</v>
      </c>
      <c r="K6218" s="26">
        <v>0.1041</v>
      </c>
      <c r="L6218" s="26">
        <v>4.9099999999999998E-2</v>
      </c>
      <c r="M6218" s="26">
        <v>3.2899999999999999E-2</v>
      </c>
      <c r="O6218" s="26">
        <v>3.0200000000000001E-2</v>
      </c>
      <c r="P6218" s="26">
        <v>5.5999999999999999E-3</v>
      </c>
      <c r="Q6218" s="26">
        <v>1.06E-2</v>
      </c>
      <c r="R6218" s="26">
        <v>2.8999999999999998E-3</v>
      </c>
      <c r="S6218">
        <v>152</v>
      </c>
    </row>
    <row r="6219" spans="1:19" x14ac:dyDescent="0.35">
      <c r="A6219" t="s">
        <v>229</v>
      </c>
      <c r="B6219" t="s">
        <v>239</v>
      </c>
      <c r="C6219" s="26">
        <v>0.59219999999999995</v>
      </c>
      <c r="D6219" s="26">
        <v>0.47339999999999999</v>
      </c>
      <c r="E6219" s="26">
        <v>7.6E-3</v>
      </c>
      <c r="F6219" s="26">
        <v>5.7599999999999998E-2</v>
      </c>
      <c r="G6219" s="26">
        <v>1.15E-2</v>
      </c>
      <c r="H6219" s="26">
        <v>3.2899999999999999E-2</v>
      </c>
      <c r="J6219" s="26">
        <v>8.0299999999999996E-2</v>
      </c>
      <c r="K6219" s="26">
        <v>5.9799999999999999E-2</v>
      </c>
      <c r="L6219" s="26">
        <v>7.6E-3</v>
      </c>
      <c r="N6219" s="26">
        <v>3.8999999999999998E-3</v>
      </c>
      <c r="S6219">
        <v>46</v>
      </c>
    </row>
    <row r="6220" spans="1:19" x14ac:dyDescent="0.35">
      <c r="A6220" t="s">
        <v>229</v>
      </c>
      <c r="B6220" t="s">
        <v>238</v>
      </c>
      <c r="C6220" s="26">
        <v>0.50249999999999995</v>
      </c>
      <c r="D6220" s="26">
        <v>0.30409999999999998</v>
      </c>
      <c r="E6220" s="26">
        <v>0.18629999999999999</v>
      </c>
      <c r="F6220" s="26">
        <v>0.1943</v>
      </c>
      <c r="G6220" s="26">
        <v>0.1353</v>
      </c>
      <c r="H6220" s="26">
        <v>8.7800000000000003E-2</v>
      </c>
      <c r="I6220" s="26">
        <v>6.7400000000000002E-2</v>
      </c>
      <c r="J6220" s="26">
        <v>6.2399999999999997E-2</v>
      </c>
      <c r="K6220" s="26">
        <v>7.4300000000000005E-2</v>
      </c>
      <c r="L6220" s="26">
        <v>4.82E-2</v>
      </c>
      <c r="M6220" s="26">
        <v>2.4400000000000002E-2</v>
      </c>
      <c r="N6220" s="26">
        <v>2.8999999999999998E-3</v>
      </c>
      <c r="O6220" s="26">
        <v>1.3100000000000001E-2</v>
      </c>
      <c r="P6220" s="26">
        <v>1.3899999999999999E-2</v>
      </c>
      <c r="R6220" s="26">
        <v>2.8999999999999998E-3</v>
      </c>
      <c r="S6220">
        <v>140</v>
      </c>
    </row>
    <row r="6221" spans="1:19" x14ac:dyDescent="0.35">
      <c r="A6221" t="s">
        <v>230</v>
      </c>
      <c r="B6221" t="s">
        <v>239</v>
      </c>
      <c r="C6221" s="26">
        <v>0.32390000000000002</v>
      </c>
      <c r="D6221" s="26">
        <v>0.51029999999999998</v>
      </c>
      <c r="E6221" s="26">
        <v>0.14580000000000001</v>
      </c>
      <c r="F6221" s="26">
        <v>0.15210000000000001</v>
      </c>
      <c r="G6221" s="26">
        <v>8.1900000000000001E-2</v>
      </c>
      <c r="H6221" s="26">
        <v>0.1173</v>
      </c>
      <c r="I6221" s="26">
        <v>2.1100000000000001E-2</v>
      </c>
      <c r="J6221" s="26">
        <v>0.10199999999999999</v>
      </c>
      <c r="K6221" s="26">
        <v>0.1295</v>
      </c>
      <c r="L6221" s="26">
        <v>6.3E-3</v>
      </c>
      <c r="M6221" s="26">
        <v>2.06E-2</v>
      </c>
      <c r="O6221" s="26">
        <v>1.2699999999999999E-2</v>
      </c>
      <c r="P6221" s="26">
        <v>3.3300000000000003E-2</v>
      </c>
      <c r="S6221">
        <v>44</v>
      </c>
    </row>
    <row r="6222" spans="1:19" x14ac:dyDescent="0.35">
      <c r="A6222" t="s">
        <v>230</v>
      </c>
      <c r="B6222" t="s">
        <v>238</v>
      </c>
      <c r="C6222" s="26">
        <v>0.30499999999999999</v>
      </c>
      <c r="D6222" s="26">
        <v>0.62060000000000004</v>
      </c>
      <c r="E6222" s="26">
        <v>1.67E-2</v>
      </c>
      <c r="F6222" s="26">
        <v>7.2700000000000001E-2</v>
      </c>
      <c r="G6222" s="26">
        <v>0.1283</v>
      </c>
      <c r="H6222" s="26">
        <v>3.5999999999999997E-2</v>
      </c>
      <c r="I6222" s="26">
        <v>4.1700000000000001E-2</v>
      </c>
      <c r="J6222" s="26">
        <v>3.5299999999999998E-2</v>
      </c>
      <c r="K6222" s="26">
        <v>3.8699999999999998E-2</v>
      </c>
      <c r="L6222" s="26">
        <v>2.76E-2</v>
      </c>
      <c r="M6222" s="26">
        <v>8.3000000000000001E-3</v>
      </c>
      <c r="S6222">
        <v>77</v>
      </c>
    </row>
    <row r="6223" spans="1:19" x14ac:dyDescent="0.35">
      <c r="A6223" s="27" t="s">
        <v>231</v>
      </c>
      <c r="B6223" s="27" t="s">
        <v>239</v>
      </c>
      <c r="C6223" s="28">
        <v>0.33329999999999999</v>
      </c>
      <c r="D6223" s="28">
        <v>0.33329999999999999</v>
      </c>
      <c r="E6223" s="29"/>
      <c r="F6223" s="29"/>
      <c r="G6223" s="29"/>
      <c r="H6223" s="28">
        <v>0.33329999999999999</v>
      </c>
      <c r="I6223" s="28">
        <v>0.33329999999999999</v>
      </c>
      <c r="J6223" s="29"/>
      <c r="K6223" s="29"/>
      <c r="L6223" s="29"/>
      <c r="M6223" s="29"/>
      <c r="N6223" s="29"/>
      <c r="O6223" s="29"/>
      <c r="P6223" s="29"/>
      <c r="Q6223" s="29"/>
      <c r="R6223" s="29"/>
      <c r="S6223" s="29" t="s">
        <v>315</v>
      </c>
    </row>
    <row r="6224" spans="1:19" x14ac:dyDescent="0.35">
      <c r="A6224" s="27" t="s">
        <v>231</v>
      </c>
      <c r="B6224" s="27" t="s">
        <v>238</v>
      </c>
      <c r="C6224" s="28">
        <v>0.375</v>
      </c>
      <c r="D6224" s="28">
        <v>0.25</v>
      </c>
      <c r="E6224" s="28">
        <v>0.125</v>
      </c>
      <c r="F6224" s="29"/>
      <c r="G6224" s="29"/>
      <c r="H6224" s="29"/>
      <c r="I6224" s="28">
        <v>0.25</v>
      </c>
      <c r="J6224" s="29"/>
      <c r="K6224" s="29"/>
      <c r="L6224" s="28">
        <v>0.125</v>
      </c>
      <c r="M6224" s="29"/>
      <c r="N6224" s="28">
        <v>0.125</v>
      </c>
      <c r="O6224" s="29"/>
      <c r="P6224" s="29"/>
      <c r="Q6224" s="29"/>
      <c r="R6224" s="29"/>
      <c r="S6224" s="29" t="s">
        <v>333</v>
      </c>
    </row>
    <row r="6225" spans="1:19" x14ac:dyDescent="0.35">
      <c r="A6225" t="s">
        <v>232</v>
      </c>
      <c r="B6225" t="s">
        <v>232</v>
      </c>
      <c r="C6225" s="26">
        <v>0.41149999999999998</v>
      </c>
      <c r="D6225" s="26">
        <v>0.37119999999999997</v>
      </c>
      <c r="E6225" s="26">
        <v>0.13400000000000001</v>
      </c>
      <c r="F6225" s="26">
        <v>0.12559999999999999</v>
      </c>
      <c r="G6225" s="26">
        <v>0.1177</v>
      </c>
      <c r="H6225" s="26">
        <v>9.5000000000000001E-2</v>
      </c>
      <c r="I6225" s="26">
        <v>8.6300000000000002E-2</v>
      </c>
      <c r="J6225" s="26">
        <v>6.8699999999999997E-2</v>
      </c>
      <c r="K6225" s="26">
        <v>6.5500000000000003E-2</v>
      </c>
      <c r="L6225" s="26">
        <v>4.6199999999999998E-2</v>
      </c>
      <c r="M6225" s="26">
        <v>1.84E-2</v>
      </c>
      <c r="N6225" s="26">
        <v>1.3599999999999999E-2</v>
      </c>
      <c r="O6225" s="26">
        <v>1.2E-2</v>
      </c>
      <c r="P6225" s="26">
        <v>9.5999999999999992E-3</v>
      </c>
      <c r="Q6225" s="26">
        <v>3.3E-3</v>
      </c>
      <c r="R6225" s="26">
        <v>2.3999999999999998E-3</v>
      </c>
      <c r="S6225">
        <v>521</v>
      </c>
    </row>
    <row r="6227" spans="1:19" x14ac:dyDescent="0.35">
      <c r="A6227" s="1" t="s">
        <v>842</v>
      </c>
    </row>
    <row r="6228" spans="1:19" x14ac:dyDescent="0.35">
      <c r="A6228" t="s">
        <v>219</v>
      </c>
      <c r="B6228" t="s">
        <v>305</v>
      </c>
      <c r="C6228" t="s">
        <v>826</v>
      </c>
      <c r="D6228" t="s">
        <v>827</v>
      </c>
      <c r="E6228" t="s">
        <v>828</v>
      </c>
      <c r="F6228" t="s">
        <v>829</v>
      </c>
      <c r="G6228" t="s">
        <v>830</v>
      </c>
      <c r="H6228" t="s">
        <v>831</v>
      </c>
      <c r="I6228" t="s">
        <v>832</v>
      </c>
      <c r="J6228" t="s">
        <v>833</v>
      </c>
      <c r="K6228" t="s">
        <v>834</v>
      </c>
      <c r="L6228" t="s">
        <v>835</v>
      </c>
      <c r="M6228" t="s">
        <v>836</v>
      </c>
      <c r="N6228" t="s">
        <v>281</v>
      </c>
      <c r="O6228" t="s">
        <v>837</v>
      </c>
      <c r="P6228" t="s">
        <v>838</v>
      </c>
      <c r="Q6228" t="s">
        <v>839</v>
      </c>
      <c r="R6228" t="s">
        <v>286</v>
      </c>
      <c r="S6228" t="s">
        <v>226</v>
      </c>
    </row>
    <row r="6229" spans="1:19" x14ac:dyDescent="0.35">
      <c r="A6229" s="27" t="s">
        <v>227</v>
      </c>
      <c r="B6229" s="27" t="s">
        <v>245</v>
      </c>
      <c r="C6229" s="28">
        <v>1</v>
      </c>
      <c r="D6229" s="28">
        <v>1</v>
      </c>
      <c r="E6229" s="29"/>
      <c r="F6229" s="29"/>
      <c r="G6229" s="29"/>
      <c r="H6229" s="29"/>
      <c r="I6229" s="29"/>
      <c r="J6229" s="29"/>
      <c r="K6229" s="29"/>
      <c r="L6229" s="29"/>
      <c r="M6229" s="29"/>
      <c r="N6229" s="29"/>
      <c r="O6229" s="29"/>
      <c r="P6229" s="29"/>
      <c r="Q6229" s="29"/>
      <c r="R6229" s="29"/>
      <c r="S6229" s="29" t="s">
        <v>331</v>
      </c>
    </row>
    <row r="6230" spans="1:19" x14ac:dyDescent="0.35">
      <c r="A6230" s="27" t="s">
        <v>227</v>
      </c>
      <c r="B6230" s="27" t="s">
        <v>246</v>
      </c>
      <c r="C6230" s="29"/>
      <c r="D6230" s="28">
        <v>0.5</v>
      </c>
      <c r="E6230" s="28">
        <v>0.5</v>
      </c>
      <c r="F6230" s="29"/>
      <c r="G6230" s="29"/>
      <c r="H6230" s="29"/>
      <c r="I6230" s="29"/>
      <c r="J6230" s="29"/>
      <c r="K6230" s="29"/>
      <c r="L6230" s="29"/>
      <c r="M6230" s="29"/>
      <c r="N6230" s="29"/>
      <c r="O6230" s="29"/>
      <c r="P6230" s="29"/>
      <c r="Q6230" s="29"/>
      <c r="R6230" s="29"/>
      <c r="S6230" s="29" t="s">
        <v>314</v>
      </c>
    </row>
    <row r="6231" spans="1:19" x14ac:dyDescent="0.35">
      <c r="A6231" t="s">
        <v>228</v>
      </c>
      <c r="B6231" t="s">
        <v>244</v>
      </c>
      <c r="C6231" s="26">
        <v>0.19639999999999999</v>
      </c>
      <c r="D6231" s="26">
        <v>0.49159999999999998</v>
      </c>
      <c r="E6231" s="26">
        <v>0.1236</v>
      </c>
      <c r="F6231" s="26">
        <v>0.1013</v>
      </c>
      <c r="G6231" s="26">
        <v>0.1673</v>
      </c>
      <c r="H6231" s="26">
        <v>7.6100000000000001E-2</v>
      </c>
      <c r="I6231" s="26">
        <v>9.2399999999999996E-2</v>
      </c>
      <c r="J6231" s="26">
        <v>9.5000000000000001E-2</v>
      </c>
      <c r="K6231" s="26">
        <v>0.12180000000000001</v>
      </c>
      <c r="L6231" s="26">
        <v>5.1499999999999997E-2</v>
      </c>
      <c r="M6231" s="26">
        <v>0.01</v>
      </c>
      <c r="N6231" s="26">
        <v>3.0999999999999999E-3</v>
      </c>
      <c r="O6231" s="26">
        <v>0.01</v>
      </c>
      <c r="P6231" s="26">
        <v>1.55E-2</v>
      </c>
      <c r="Q6231" s="26">
        <v>1.7899999999999999E-2</v>
      </c>
      <c r="R6231" s="26">
        <v>7.1000000000000004E-3</v>
      </c>
      <c r="S6231">
        <v>127</v>
      </c>
    </row>
    <row r="6232" spans="1:19" x14ac:dyDescent="0.35">
      <c r="A6232" t="s">
        <v>228</v>
      </c>
      <c r="B6232" t="s">
        <v>245</v>
      </c>
      <c r="C6232" s="26">
        <v>0.33729999999999999</v>
      </c>
      <c r="D6232" s="26">
        <v>0.16650000000000001</v>
      </c>
      <c r="E6232" s="26">
        <v>7.17E-2</v>
      </c>
      <c r="F6232" s="26">
        <v>0.15609999999999999</v>
      </c>
      <c r="G6232" s="26">
        <v>0.27100000000000002</v>
      </c>
      <c r="H6232" s="26">
        <v>0.2581</v>
      </c>
      <c r="I6232" s="26">
        <v>1.09E-2</v>
      </c>
      <c r="J6232" s="26">
        <v>0.2099</v>
      </c>
      <c r="K6232" s="26">
        <v>3.5499999999999997E-2</v>
      </c>
      <c r="L6232" s="26">
        <v>1.47E-2</v>
      </c>
      <c r="M6232" s="26">
        <v>3.5499999999999997E-2</v>
      </c>
      <c r="O6232" s="26">
        <v>2.4E-2</v>
      </c>
      <c r="S6232">
        <v>53</v>
      </c>
    </row>
    <row r="6233" spans="1:19" x14ac:dyDescent="0.35">
      <c r="A6233" s="27" t="s">
        <v>228</v>
      </c>
      <c r="B6233" s="27" t="s">
        <v>246</v>
      </c>
      <c r="C6233" s="28">
        <v>0.32079999999999997</v>
      </c>
      <c r="D6233" s="28">
        <v>0.2286</v>
      </c>
      <c r="E6233" s="28">
        <v>0.183</v>
      </c>
      <c r="F6233" s="28">
        <v>6.0999999999999999E-2</v>
      </c>
      <c r="G6233" s="28">
        <v>0.31409999999999999</v>
      </c>
      <c r="H6233" s="28">
        <v>0.58230000000000004</v>
      </c>
      <c r="I6233" s="28">
        <v>0.1482</v>
      </c>
      <c r="J6233" s="28">
        <v>0.2092</v>
      </c>
      <c r="K6233" s="29"/>
      <c r="L6233" s="28">
        <v>7.4099999999999999E-2</v>
      </c>
      <c r="M6233" s="28">
        <v>0.1482</v>
      </c>
      <c r="N6233" s="29"/>
      <c r="O6233" s="28">
        <v>0.1482</v>
      </c>
      <c r="P6233" s="29"/>
      <c r="Q6233" s="28">
        <v>2.2800000000000001E-2</v>
      </c>
      <c r="R6233" s="29"/>
      <c r="S6233" s="29" t="s">
        <v>350</v>
      </c>
    </row>
    <row r="6234" spans="1:19" x14ac:dyDescent="0.35">
      <c r="A6234" t="s">
        <v>229</v>
      </c>
      <c r="B6234" t="s">
        <v>244</v>
      </c>
      <c r="C6234" s="26">
        <v>0.53069999999999995</v>
      </c>
      <c r="D6234" s="26">
        <v>0.35920000000000002</v>
      </c>
      <c r="E6234" s="26">
        <v>0.112</v>
      </c>
      <c r="F6234" s="26">
        <v>0.18329999999999999</v>
      </c>
      <c r="G6234" s="26">
        <v>0.1014</v>
      </c>
      <c r="H6234" s="26">
        <v>6.5199999999999994E-2</v>
      </c>
      <c r="I6234" s="26">
        <v>4.1599999999999998E-2</v>
      </c>
      <c r="J6234" s="26">
        <v>6.59E-2</v>
      </c>
      <c r="K6234" s="26">
        <v>5.9400000000000001E-2</v>
      </c>
      <c r="L6234" s="26">
        <v>5.04E-2</v>
      </c>
      <c r="M6234" s="26">
        <v>2.5399999999999999E-2</v>
      </c>
      <c r="N6234" s="26">
        <v>3.8E-3</v>
      </c>
      <c r="O6234" s="26">
        <v>1.29E-2</v>
      </c>
      <c r="P6234" s="26">
        <v>1.4500000000000001E-2</v>
      </c>
      <c r="R6234" s="26">
        <v>3.0000000000000001E-3</v>
      </c>
      <c r="S6234">
        <v>138</v>
      </c>
    </row>
    <row r="6235" spans="1:19" x14ac:dyDescent="0.35">
      <c r="A6235" t="s">
        <v>229</v>
      </c>
      <c r="B6235" t="s">
        <v>245</v>
      </c>
      <c r="C6235" s="26">
        <v>0.37369999999999998</v>
      </c>
      <c r="D6235" s="26">
        <v>0.1552</v>
      </c>
      <c r="E6235" s="26">
        <v>0.18290000000000001</v>
      </c>
      <c r="F6235" s="26">
        <v>0.1827</v>
      </c>
      <c r="G6235" s="26">
        <v>0.1857</v>
      </c>
      <c r="H6235" s="26">
        <v>0.1212</v>
      </c>
      <c r="I6235" s="26">
        <v>8.8800000000000004E-2</v>
      </c>
      <c r="J6235" s="26">
        <v>1.95E-2</v>
      </c>
      <c r="K6235" s="26">
        <v>1.26E-2</v>
      </c>
      <c r="S6235">
        <v>36</v>
      </c>
    </row>
    <row r="6236" spans="1:19" x14ac:dyDescent="0.35">
      <c r="A6236" s="27" t="s">
        <v>229</v>
      </c>
      <c r="B6236" s="27" t="s">
        <v>246</v>
      </c>
      <c r="C6236" s="28">
        <v>0.60709999999999997</v>
      </c>
      <c r="D6236" s="28">
        <v>0.31659999999999999</v>
      </c>
      <c r="E6236" s="28">
        <v>0.63200000000000001</v>
      </c>
      <c r="F6236" s="28">
        <v>3.4200000000000001E-2</v>
      </c>
      <c r="G6236" s="28">
        <v>0.15379999999999999</v>
      </c>
      <c r="H6236" s="28">
        <v>0.16239999999999999</v>
      </c>
      <c r="I6236" s="28">
        <v>0.17069999999999999</v>
      </c>
      <c r="J6236" s="28">
        <v>0.13719999999999999</v>
      </c>
      <c r="K6236" s="28">
        <v>0.31659999999999999</v>
      </c>
      <c r="L6236" s="28">
        <v>1.6899999999999998E-2</v>
      </c>
      <c r="M6236" s="29"/>
      <c r="N6236" s="29"/>
      <c r="O6236" s="28">
        <v>8.6999999999999994E-3</v>
      </c>
      <c r="P6236" s="29"/>
      <c r="Q6236" s="29"/>
      <c r="R6236" s="29"/>
      <c r="S6236" s="29" t="s">
        <v>342</v>
      </c>
    </row>
    <row r="6237" spans="1:19" x14ac:dyDescent="0.35">
      <c r="A6237" t="s">
        <v>230</v>
      </c>
      <c r="B6237" t="s">
        <v>244</v>
      </c>
      <c r="C6237" s="26">
        <v>0.32119999999999999</v>
      </c>
      <c r="D6237" s="26">
        <v>0.56869999999999998</v>
      </c>
      <c r="E6237" s="26">
        <v>7.4999999999999997E-2</v>
      </c>
      <c r="F6237" s="26">
        <v>7.1999999999999995E-2</v>
      </c>
      <c r="G6237" s="26">
        <v>8.3000000000000004E-2</v>
      </c>
      <c r="H6237" s="26">
        <v>5.2499999999999998E-2</v>
      </c>
      <c r="I6237" s="26">
        <v>3.3300000000000003E-2</v>
      </c>
      <c r="J6237" s="26">
        <v>6.25E-2</v>
      </c>
      <c r="K6237" s="26">
        <v>6.8599999999999994E-2</v>
      </c>
      <c r="L6237" s="26">
        <v>1.9099999999999999E-2</v>
      </c>
      <c r="M6237" s="26">
        <v>1.6500000000000001E-2</v>
      </c>
      <c r="P6237" s="26">
        <v>1.0800000000000001E-2</v>
      </c>
      <c r="S6237">
        <v>83</v>
      </c>
    </row>
    <row r="6238" spans="1:19" x14ac:dyDescent="0.35">
      <c r="A6238" t="s">
        <v>230</v>
      </c>
      <c r="B6238" t="s">
        <v>245</v>
      </c>
      <c r="C6238" s="26">
        <v>0.3538</v>
      </c>
      <c r="D6238" s="26">
        <v>0.59419999999999995</v>
      </c>
      <c r="F6238" s="26">
        <v>8.3000000000000001E-3</v>
      </c>
      <c r="G6238" s="26">
        <v>0.22439999999999999</v>
      </c>
      <c r="H6238" s="26">
        <v>4.3700000000000003E-2</v>
      </c>
      <c r="I6238" s="26">
        <v>5.4100000000000002E-2</v>
      </c>
      <c r="J6238" s="26">
        <v>4.3700000000000003E-2</v>
      </c>
      <c r="K6238" s="26">
        <v>7.0699999999999999E-2</v>
      </c>
      <c r="L6238" s="26">
        <v>3.5299999999999998E-2</v>
      </c>
      <c r="O6238" s="26">
        <v>1.66E-2</v>
      </c>
      <c r="P6238" s="26">
        <v>8.3000000000000001E-3</v>
      </c>
      <c r="S6238">
        <v>30</v>
      </c>
    </row>
    <row r="6239" spans="1:19" x14ac:dyDescent="0.35">
      <c r="A6239" s="27" t="s">
        <v>230</v>
      </c>
      <c r="B6239" s="27" t="s">
        <v>246</v>
      </c>
      <c r="C6239" s="28">
        <v>2.9700000000000001E-2</v>
      </c>
      <c r="D6239" s="28">
        <v>0.8044</v>
      </c>
      <c r="E6239" s="29"/>
      <c r="F6239" s="28">
        <v>0.68310000000000004</v>
      </c>
      <c r="G6239" s="28">
        <v>9.6600000000000005E-2</v>
      </c>
      <c r="H6239" s="28">
        <v>0.1956</v>
      </c>
      <c r="I6239" s="29"/>
      <c r="J6239" s="29"/>
      <c r="K6239" s="29"/>
      <c r="L6239" s="29"/>
      <c r="M6239" s="29"/>
      <c r="N6239" s="29"/>
      <c r="O6239" s="29"/>
      <c r="P6239" s="29"/>
      <c r="Q6239" s="29"/>
      <c r="R6239" s="29"/>
      <c r="S6239" s="29" t="s">
        <v>333</v>
      </c>
    </row>
    <row r="6240" spans="1:19" x14ac:dyDescent="0.35">
      <c r="A6240" s="27" t="s">
        <v>231</v>
      </c>
      <c r="B6240" s="27" t="s">
        <v>244</v>
      </c>
      <c r="C6240" s="28">
        <v>0.5</v>
      </c>
      <c r="D6240" s="28">
        <v>0.33329999999999999</v>
      </c>
      <c r="E6240" s="28">
        <v>0.16669999999999999</v>
      </c>
      <c r="F6240" s="29"/>
      <c r="G6240" s="29"/>
      <c r="H6240" s="29"/>
      <c r="I6240" s="28">
        <v>0.16669999999999999</v>
      </c>
      <c r="J6240" s="29"/>
      <c r="K6240" s="29"/>
      <c r="L6240" s="28">
        <v>0.16669999999999999</v>
      </c>
      <c r="M6240" s="29"/>
      <c r="N6240" s="29"/>
      <c r="O6240" s="29"/>
      <c r="P6240" s="29"/>
      <c r="Q6240" s="29"/>
      <c r="R6240" s="29"/>
      <c r="S6240" s="29" t="s">
        <v>335</v>
      </c>
    </row>
    <row r="6241" spans="1:19" x14ac:dyDescent="0.35">
      <c r="A6241" s="27" t="s">
        <v>231</v>
      </c>
      <c r="B6241" s="27" t="s">
        <v>245</v>
      </c>
      <c r="C6241" s="29"/>
      <c r="D6241" s="29"/>
      <c r="E6241" s="29"/>
      <c r="F6241" s="29"/>
      <c r="G6241" s="29"/>
      <c r="H6241" s="28">
        <v>0.33329999999999999</v>
      </c>
      <c r="I6241" s="28">
        <v>0.33329999999999999</v>
      </c>
      <c r="J6241" s="29"/>
      <c r="K6241" s="29"/>
      <c r="L6241" s="29"/>
      <c r="M6241" s="29"/>
      <c r="N6241" s="28">
        <v>0.33329999999999999</v>
      </c>
      <c r="O6241" s="29"/>
      <c r="P6241" s="29"/>
      <c r="Q6241" s="29"/>
      <c r="R6241" s="29"/>
      <c r="S6241" s="29" t="s">
        <v>315</v>
      </c>
    </row>
    <row r="6242" spans="1:19" x14ac:dyDescent="0.35">
      <c r="A6242" s="27" t="s">
        <v>231</v>
      </c>
      <c r="B6242" s="27" t="s">
        <v>246</v>
      </c>
      <c r="C6242" s="28">
        <v>0.5</v>
      </c>
      <c r="D6242" s="28">
        <v>0.5</v>
      </c>
      <c r="E6242" s="29"/>
      <c r="F6242" s="29"/>
      <c r="G6242" s="29"/>
      <c r="H6242" s="29"/>
      <c r="I6242" s="28">
        <v>0.5</v>
      </c>
      <c r="J6242" s="29"/>
      <c r="K6242" s="29"/>
      <c r="L6242" s="29"/>
      <c r="M6242" s="29"/>
      <c r="N6242" s="29"/>
      <c r="O6242" s="29"/>
      <c r="P6242" s="29"/>
      <c r="Q6242" s="29"/>
      <c r="R6242" s="29"/>
      <c r="S6242" s="29" t="s">
        <v>314</v>
      </c>
    </row>
    <row r="6243" spans="1:19" x14ac:dyDescent="0.35">
      <c r="A6243" t="s">
        <v>232</v>
      </c>
      <c r="B6243" t="s">
        <v>232</v>
      </c>
      <c r="C6243" s="26">
        <v>0.41149999999999998</v>
      </c>
      <c r="D6243" s="26">
        <v>0.37119999999999997</v>
      </c>
      <c r="E6243" s="26">
        <v>0.13400000000000001</v>
      </c>
      <c r="F6243" s="26">
        <v>0.12559999999999999</v>
      </c>
      <c r="G6243" s="26">
        <v>0.1177</v>
      </c>
      <c r="H6243" s="26">
        <v>9.5000000000000001E-2</v>
      </c>
      <c r="I6243" s="26">
        <v>8.6300000000000002E-2</v>
      </c>
      <c r="J6243" s="26">
        <v>6.8699999999999997E-2</v>
      </c>
      <c r="K6243" s="26">
        <v>6.5500000000000003E-2</v>
      </c>
      <c r="L6243" s="26">
        <v>4.6199999999999998E-2</v>
      </c>
      <c r="M6243" s="26">
        <v>1.84E-2</v>
      </c>
      <c r="N6243" s="26">
        <v>1.3599999999999999E-2</v>
      </c>
      <c r="O6243" s="26">
        <v>1.2E-2</v>
      </c>
      <c r="P6243" s="26">
        <v>9.5999999999999992E-3</v>
      </c>
      <c r="Q6243" s="26">
        <v>3.3E-3</v>
      </c>
      <c r="R6243" s="26">
        <v>2.3999999999999998E-3</v>
      </c>
      <c r="S6243">
        <v>521</v>
      </c>
    </row>
    <row r="6245" spans="1:19" x14ac:dyDescent="0.35">
      <c r="A6245" s="1" t="s">
        <v>843</v>
      </c>
    </row>
    <row r="6246" spans="1:19" x14ac:dyDescent="0.35">
      <c r="A6246" t="s">
        <v>219</v>
      </c>
      <c r="B6246" t="s">
        <v>305</v>
      </c>
      <c r="C6246" t="s">
        <v>826</v>
      </c>
      <c r="D6246" t="s">
        <v>827</v>
      </c>
      <c r="E6246" t="s">
        <v>828</v>
      </c>
      <c r="F6246" t="s">
        <v>829</v>
      </c>
      <c r="G6246" t="s">
        <v>830</v>
      </c>
      <c r="H6246" t="s">
        <v>831</v>
      </c>
      <c r="I6246" t="s">
        <v>832</v>
      </c>
      <c r="J6246" t="s">
        <v>833</v>
      </c>
      <c r="K6246" t="s">
        <v>834</v>
      </c>
      <c r="L6246" t="s">
        <v>835</v>
      </c>
      <c r="M6246" t="s">
        <v>836</v>
      </c>
      <c r="N6246" t="s">
        <v>281</v>
      </c>
      <c r="O6246" t="s">
        <v>837</v>
      </c>
      <c r="P6246" t="s">
        <v>838</v>
      </c>
      <c r="Q6246" t="s">
        <v>839</v>
      </c>
      <c r="R6246" t="s">
        <v>286</v>
      </c>
      <c r="S6246" t="s">
        <v>226</v>
      </c>
    </row>
    <row r="6247" spans="1:19" x14ac:dyDescent="0.35">
      <c r="A6247" s="27" t="s">
        <v>227</v>
      </c>
      <c r="B6247" s="27" t="s">
        <v>360</v>
      </c>
      <c r="C6247" s="29"/>
      <c r="D6247" s="29"/>
      <c r="E6247" s="28">
        <v>1</v>
      </c>
      <c r="F6247" s="29"/>
      <c r="G6247" s="29"/>
      <c r="H6247" s="29"/>
      <c r="I6247" s="29"/>
      <c r="J6247" s="29"/>
      <c r="K6247" s="29"/>
      <c r="L6247" s="29"/>
      <c r="M6247" s="29"/>
      <c r="N6247" s="29"/>
      <c r="O6247" s="29"/>
      <c r="P6247" s="29"/>
      <c r="Q6247" s="29"/>
      <c r="R6247" s="29"/>
      <c r="S6247" s="29" t="s">
        <v>331</v>
      </c>
    </row>
    <row r="6248" spans="1:19" x14ac:dyDescent="0.35">
      <c r="A6248" s="27" t="s">
        <v>227</v>
      </c>
      <c r="B6248" s="27" t="s">
        <v>363</v>
      </c>
      <c r="C6248" s="29"/>
      <c r="D6248" s="28">
        <v>1</v>
      </c>
      <c r="E6248" s="29"/>
      <c r="F6248" s="29"/>
      <c r="G6248" s="29"/>
      <c r="H6248" s="29"/>
      <c r="I6248" s="29"/>
      <c r="J6248" s="29"/>
      <c r="K6248" s="29"/>
      <c r="L6248" s="29"/>
      <c r="M6248" s="29"/>
      <c r="N6248" s="29"/>
      <c r="O6248" s="29"/>
      <c r="P6248" s="29"/>
      <c r="Q6248" s="29"/>
      <c r="R6248" s="29"/>
      <c r="S6248" s="29" t="s">
        <v>331</v>
      </c>
    </row>
    <row r="6249" spans="1:19" x14ac:dyDescent="0.35">
      <c r="A6249" s="27" t="s">
        <v>227</v>
      </c>
      <c r="B6249" s="27" t="s">
        <v>361</v>
      </c>
      <c r="C6249" s="28">
        <v>1</v>
      </c>
      <c r="D6249" s="28">
        <v>1</v>
      </c>
      <c r="E6249" s="29"/>
      <c r="F6249" s="29"/>
      <c r="G6249" s="29"/>
      <c r="H6249" s="29"/>
      <c r="I6249" s="29"/>
      <c r="J6249" s="29"/>
      <c r="K6249" s="29"/>
      <c r="L6249" s="29"/>
      <c r="M6249" s="29"/>
      <c r="N6249" s="29"/>
      <c r="O6249" s="29"/>
      <c r="P6249" s="29"/>
      <c r="Q6249" s="29"/>
      <c r="R6249" s="29"/>
      <c r="S6249" s="29" t="s">
        <v>331</v>
      </c>
    </row>
    <row r="6250" spans="1:19" x14ac:dyDescent="0.35">
      <c r="A6250" t="s">
        <v>228</v>
      </c>
      <c r="B6250" t="s">
        <v>362</v>
      </c>
      <c r="C6250" s="26">
        <v>0.28170000000000001</v>
      </c>
      <c r="D6250" s="26">
        <v>0.40699999999999997</v>
      </c>
      <c r="E6250" s="26">
        <v>5.04E-2</v>
      </c>
      <c r="F6250" s="26">
        <v>9.7699999999999995E-2</v>
      </c>
      <c r="G6250" s="26">
        <v>0.33600000000000002</v>
      </c>
      <c r="H6250" s="26">
        <v>0.14360000000000001</v>
      </c>
      <c r="I6250" s="26">
        <v>0.18</v>
      </c>
      <c r="J6250" s="26">
        <v>0.1447</v>
      </c>
      <c r="K6250" s="26">
        <v>8.3299999999999999E-2</v>
      </c>
      <c r="L6250" s="26">
        <v>6.0999999999999999E-2</v>
      </c>
      <c r="M6250" s="26">
        <v>3.56E-2</v>
      </c>
      <c r="O6250" s="26">
        <v>9.5399999999999999E-2</v>
      </c>
      <c r="P6250" s="26">
        <v>7.4000000000000003E-3</v>
      </c>
      <c r="S6250">
        <v>36</v>
      </c>
    </row>
    <row r="6251" spans="1:19" x14ac:dyDescent="0.35">
      <c r="A6251" t="s">
        <v>228</v>
      </c>
      <c r="B6251" t="s">
        <v>360</v>
      </c>
      <c r="C6251" s="26">
        <v>0.2198</v>
      </c>
      <c r="D6251" s="26">
        <v>0.35089999999999999</v>
      </c>
      <c r="E6251" s="26">
        <v>6.6900000000000001E-2</v>
      </c>
      <c r="F6251" s="26">
        <v>6.2399999999999997E-2</v>
      </c>
      <c r="G6251" s="26">
        <v>0.10050000000000001</v>
      </c>
      <c r="H6251" s="26">
        <v>0.33019999999999999</v>
      </c>
      <c r="I6251" s="26">
        <v>5.5399999999999998E-2</v>
      </c>
      <c r="J6251" s="26">
        <v>9.1999999999999998E-2</v>
      </c>
      <c r="L6251" s="26">
        <v>4.5600000000000002E-2</v>
      </c>
      <c r="P6251" s="26">
        <v>4.9000000000000002E-2</v>
      </c>
      <c r="Q6251" s="26">
        <v>0.04</v>
      </c>
      <c r="S6251">
        <v>36</v>
      </c>
    </row>
    <row r="6252" spans="1:19" x14ac:dyDescent="0.35">
      <c r="A6252" t="s">
        <v>228</v>
      </c>
      <c r="B6252" t="s">
        <v>363</v>
      </c>
      <c r="C6252" s="26">
        <v>0.1323</v>
      </c>
      <c r="D6252" s="26">
        <v>0.371</v>
      </c>
      <c r="E6252" s="26">
        <v>0.1739</v>
      </c>
      <c r="F6252" s="26">
        <v>6.2399999999999997E-2</v>
      </c>
      <c r="G6252" s="26">
        <v>0.21490000000000001</v>
      </c>
      <c r="H6252" s="26">
        <v>0.19120000000000001</v>
      </c>
      <c r="I6252" s="26">
        <v>8.5000000000000006E-3</v>
      </c>
      <c r="J6252" s="26">
        <v>7.2300000000000003E-2</v>
      </c>
      <c r="K6252" s="26">
        <v>8.5000000000000006E-3</v>
      </c>
      <c r="L6252" s="26">
        <v>9.2600000000000002E-2</v>
      </c>
      <c r="M6252" s="26">
        <v>7.2300000000000003E-2</v>
      </c>
      <c r="Q6252" s="26">
        <v>2.8299999999999999E-2</v>
      </c>
      <c r="R6252" s="26">
        <v>1.7000000000000001E-2</v>
      </c>
      <c r="S6252">
        <v>49</v>
      </c>
    </row>
    <row r="6253" spans="1:19" x14ac:dyDescent="0.35">
      <c r="A6253" t="s">
        <v>228</v>
      </c>
      <c r="B6253" t="s">
        <v>361</v>
      </c>
      <c r="C6253" s="26">
        <v>0.25</v>
      </c>
      <c r="D6253" s="26">
        <v>0.49430000000000002</v>
      </c>
      <c r="E6253" s="26">
        <v>0.12479999999999999</v>
      </c>
      <c r="F6253" s="26">
        <v>0.17660000000000001</v>
      </c>
      <c r="G6253" s="26">
        <v>9.3700000000000006E-2</v>
      </c>
      <c r="H6253" s="26">
        <v>8.43E-2</v>
      </c>
      <c r="I6253" s="26">
        <v>0.13270000000000001</v>
      </c>
      <c r="J6253" s="26">
        <v>0.19470000000000001</v>
      </c>
      <c r="K6253" s="26">
        <v>0.26</v>
      </c>
      <c r="L6253" s="26">
        <v>5.7000000000000002E-3</v>
      </c>
      <c r="P6253" s="26">
        <v>1.2800000000000001E-2</v>
      </c>
      <c r="S6253">
        <v>46</v>
      </c>
    </row>
    <row r="6254" spans="1:19" x14ac:dyDescent="0.35">
      <c r="A6254" t="s">
        <v>229</v>
      </c>
      <c r="B6254" t="s">
        <v>363</v>
      </c>
      <c r="C6254" s="26">
        <v>0.42209999999999998</v>
      </c>
      <c r="D6254" s="26">
        <v>0.36730000000000002</v>
      </c>
      <c r="E6254" s="26">
        <v>1.5599999999999999E-2</v>
      </c>
      <c r="F6254" s="26">
        <v>0.32800000000000001</v>
      </c>
      <c r="G6254" s="26">
        <v>0.17169999999999999</v>
      </c>
      <c r="H6254" s="26">
        <v>8.5800000000000001E-2</v>
      </c>
      <c r="J6254" s="26">
        <v>0.14449999999999999</v>
      </c>
      <c r="K6254" s="26">
        <v>0.14649999999999999</v>
      </c>
      <c r="L6254" s="26">
        <v>8.0100000000000005E-2</v>
      </c>
      <c r="S6254">
        <v>33</v>
      </c>
    </row>
    <row r="6255" spans="1:19" x14ac:dyDescent="0.35">
      <c r="A6255" s="27" t="s">
        <v>229</v>
      </c>
      <c r="B6255" s="27" t="s">
        <v>362</v>
      </c>
      <c r="C6255" s="28">
        <v>0.60070000000000001</v>
      </c>
      <c r="D6255" s="28">
        <v>0.3367</v>
      </c>
      <c r="E6255" s="28">
        <v>4.82E-2</v>
      </c>
      <c r="F6255" s="28">
        <v>9.11E-2</v>
      </c>
      <c r="G6255" s="28">
        <v>0.109</v>
      </c>
      <c r="H6255" s="28">
        <v>0.13289999999999999</v>
      </c>
      <c r="I6255" s="28">
        <v>1.2E-2</v>
      </c>
      <c r="J6255" s="28">
        <v>7.2099999999999997E-2</v>
      </c>
      <c r="K6255" s="28">
        <v>0.121</v>
      </c>
      <c r="L6255" s="28">
        <v>1.2E-2</v>
      </c>
      <c r="M6255" s="29"/>
      <c r="N6255" s="29"/>
      <c r="O6255" s="28">
        <v>1.2E-2</v>
      </c>
      <c r="P6255" s="29"/>
      <c r="Q6255" s="29"/>
      <c r="R6255" s="28">
        <v>2.4299999999999999E-2</v>
      </c>
      <c r="S6255" s="29" t="s">
        <v>312</v>
      </c>
    </row>
    <row r="6256" spans="1:19" x14ac:dyDescent="0.35">
      <c r="A6256" t="s">
        <v>229</v>
      </c>
      <c r="B6256" t="s">
        <v>361</v>
      </c>
      <c r="C6256" s="26">
        <v>0.49270000000000003</v>
      </c>
      <c r="D6256" s="26">
        <v>0.29699999999999999</v>
      </c>
      <c r="E6256" s="26">
        <v>0.1946</v>
      </c>
      <c r="F6256" s="26">
        <v>0.1888</v>
      </c>
      <c r="G6256" s="26">
        <v>5.8700000000000002E-2</v>
      </c>
      <c r="H6256" s="26">
        <v>6.3899999999999998E-2</v>
      </c>
      <c r="I6256" s="26">
        <v>8.0799999999999997E-2</v>
      </c>
      <c r="J6256" s="26">
        <v>2.18E-2</v>
      </c>
      <c r="K6256" s="26">
        <v>2.7900000000000001E-2</v>
      </c>
      <c r="L6256" s="26">
        <v>2.0500000000000001E-2</v>
      </c>
      <c r="M6256" s="26">
        <v>1.7100000000000001E-2</v>
      </c>
      <c r="O6256" s="26">
        <v>1.7100000000000001E-2</v>
      </c>
      <c r="P6256" s="26">
        <v>1.2999999999999999E-3</v>
      </c>
      <c r="S6256">
        <v>71</v>
      </c>
    </row>
    <row r="6257" spans="1:19" x14ac:dyDescent="0.35">
      <c r="A6257" s="27" t="s">
        <v>229</v>
      </c>
      <c r="B6257" s="27" t="s">
        <v>360</v>
      </c>
      <c r="C6257" s="28">
        <v>0.6321</v>
      </c>
      <c r="D6257" s="28">
        <v>0.2278</v>
      </c>
      <c r="E6257" s="28">
        <v>1.32E-2</v>
      </c>
      <c r="F6257" s="28">
        <v>0.1004</v>
      </c>
      <c r="G6257" s="28">
        <v>0.26690000000000003</v>
      </c>
      <c r="H6257" s="28">
        <v>7.0400000000000004E-2</v>
      </c>
      <c r="I6257" s="28">
        <v>0.1333</v>
      </c>
      <c r="J6257" s="28">
        <v>6.7999999999999996E-3</v>
      </c>
      <c r="K6257" s="29"/>
      <c r="L6257" s="29"/>
      <c r="M6257" s="29"/>
      <c r="N6257" s="29"/>
      <c r="O6257" s="28">
        <v>6.7999999999999996E-3</v>
      </c>
      <c r="P6257" s="29"/>
      <c r="Q6257" s="29"/>
      <c r="R6257" s="29"/>
      <c r="S6257" s="29" t="s">
        <v>357</v>
      </c>
    </row>
    <row r="6258" spans="1:19" x14ac:dyDescent="0.35">
      <c r="A6258" t="s">
        <v>230</v>
      </c>
      <c r="B6258" t="s">
        <v>362</v>
      </c>
      <c r="C6258" s="26">
        <v>0.28270000000000001</v>
      </c>
      <c r="D6258" s="26">
        <v>0.41610000000000003</v>
      </c>
      <c r="E6258" s="26">
        <v>3.1300000000000001E-2</v>
      </c>
      <c r="F6258" s="26">
        <v>3.1300000000000001E-2</v>
      </c>
      <c r="G6258" s="26">
        <v>0.16550000000000001</v>
      </c>
      <c r="H6258" s="26">
        <v>0.12609999999999999</v>
      </c>
      <c r="I6258" s="26">
        <v>6.3399999999999998E-2</v>
      </c>
      <c r="J6258" s="26">
        <v>2.8899999999999999E-2</v>
      </c>
      <c r="K6258" s="26">
        <v>9.5500000000000002E-2</v>
      </c>
      <c r="L6258" s="26">
        <v>8.2000000000000003E-2</v>
      </c>
      <c r="M6258" s="26">
        <v>3.1300000000000001E-2</v>
      </c>
      <c r="O6258" s="26">
        <v>9.5999999999999992E-3</v>
      </c>
      <c r="P6258" s="26">
        <v>9.5999999999999992E-3</v>
      </c>
      <c r="S6258">
        <v>32</v>
      </c>
    </row>
    <row r="6259" spans="1:19" x14ac:dyDescent="0.35">
      <c r="A6259" s="27" t="s">
        <v>230</v>
      </c>
      <c r="B6259" s="27" t="s">
        <v>360</v>
      </c>
      <c r="C6259" s="28">
        <v>0.32990000000000003</v>
      </c>
      <c r="D6259" s="28">
        <v>0.62019999999999997</v>
      </c>
      <c r="E6259" s="28">
        <v>4.7600000000000003E-2</v>
      </c>
      <c r="F6259" s="28">
        <v>0.30380000000000001</v>
      </c>
      <c r="G6259" s="28">
        <v>2.93E-2</v>
      </c>
      <c r="H6259" s="28">
        <v>0.15989999999999999</v>
      </c>
      <c r="I6259" s="28">
        <v>4.7600000000000003E-2</v>
      </c>
      <c r="J6259" s="28">
        <v>0.1258</v>
      </c>
      <c r="K6259" s="28">
        <v>0.17230000000000001</v>
      </c>
      <c r="L6259" s="29"/>
      <c r="M6259" s="28">
        <v>4.7600000000000003E-2</v>
      </c>
      <c r="N6259" s="29"/>
      <c r="O6259" s="29"/>
      <c r="P6259" s="28">
        <v>4.7600000000000003E-2</v>
      </c>
      <c r="Q6259" s="29"/>
      <c r="R6259" s="29"/>
      <c r="S6259" s="29" t="s">
        <v>350</v>
      </c>
    </row>
    <row r="6260" spans="1:19" x14ac:dyDescent="0.35">
      <c r="A6260" t="s">
        <v>230</v>
      </c>
      <c r="B6260" t="s">
        <v>363</v>
      </c>
      <c r="C6260" s="26">
        <v>0.27789999999999998</v>
      </c>
      <c r="D6260" s="26">
        <v>0.62109999999999999</v>
      </c>
      <c r="F6260" s="26">
        <v>0.18970000000000001</v>
      </c>
      <c r="G6260" s="26">
        <v>0.1389</v>
      </c>
      <c r="H6260" s="26">
        <v>1.34E-2</v>
      </c>
      <c r="I6260" s="26">
        <v>2.18E-2</v>
      </c>
      <c r="J6260" s="26">
        <v>5.7000000000000002E-2</v>
      </c>
      <c r="K6260" s="26">
        <v>7.0900000000000005E-2</v>
      </c>
      <c r="P6260" s="26">
        <v>6.7000000000000002E-3</v>
      </c>
      <c r="S6260">
        <v>31</v>
      </c>
    </row>
    <row r="6261" spans="1:19" x14ac:dyDescent="0.35">
      <c r="A6261" s="27" t="s">
        <v>230</v>
      </c>
      <c r="B6261" s="27" t="s">
        <v>361</v>
      </c>
      <c r="C6261" s="28">
        <v>0.2495</v>
      </c>
      <c r="D6261" s="28">
        <v>0.7157</v>
      </c>
      <c r="E6261" s="28">
        <v>0.1245</v>
      </c>
      <c r="F6261" s="29"/>
      <c r="G6261" s="28">
        <v>0.1245</v>
      </c>
      <c r="H6261" s="28">
        <v>3.5200000000000002E-2</v>
      </c>
      <c r="I6261" s="28">
        <v>1.7600000000000001E-2</v>
      </c>
      <c r="J6261" s="28">
        <v>3.5200000000000002E-2</v>
      </c>
      <c r="K6261" s="28">
        <v>1.7600000000000001E-2</v>
      </c>
      <c r="L6261" s="28">
        <v>1.7600000000000001E-2</v>
      </c>
      <c r="M6261" s="29"/>
      <c r="N6261" s="29"/>
      <c r="O6261" s="28">
        <v>5.4000000000000003E-3</v>
      </c>
      <c r="P6261" s="29"/>
      <c r="Q6261" s="29"/>
      <c r="R6261" s="29"/>
      <c r="S6261" s="29" t="s">
        <v>329</v>
      </c>
    </row>
    <row r="6262" spans="1:19" x14ac:dyDescent="0.35">
      <c r="A6262" s="27" t="s">
        <v>231</v>
      </c>
      <c r="B6262" s="27" t="s">
        <v>362</v>
      </c>
      <c r="C6262" s="28">
        <v>0.25</v>
      </c>
      <c r="D6262" s="29"/>
      <c r="E6262" s="29"/>
      <c r="F6262" s="29"/>
      <c r="G6262" s="29"/>
      <c r="H6262" s="28">
        <v>0.25</v>
      </c>
      <c r="I6262" s="28">
        <v>0.25</v>
      </c>
      <c r="J6262" s="29"/>
      <c r="K6262" s="29"/>
      <c r="L6262" s="28">
        <v>0.25</v>
      </c>
      <c r="M6262" s="29"/>
      <c r="N6262" s="29"/>
      <c r="O6262" s="29"/>
      <c r="P6262" s="29"/>
      <c r="Q6262" s="29"/>
      <c r="R6262" s="29"/>
      <c r="S6262" s="29" t="s">
        <v>337</v>
      </c>
    </row>
    <row r="6263" spans="1:19" x14ac:dyDescent="0.35">
      <c r="A6263" s="27" t="s">
        <v>231</v>
      </c>
      <c r="B6263" s="27" t="s">
        <v>361</v>
      </c>
      <c r="C6263" s="28">
        <v>0.5</v>
      </c>
      <c r="D6263" s="28">
        <v>0.25</v>
      </c>
      <c r="E6263" s="28">
        <v>0.25</v>
      </c>
      <c r="F6263" s="29"/>
      <c r="G6263" s="29"/>
      <c r="H6263" s="29"/>
      <c r="I6263" s="28">
        <v>0.25</v>
      </c>
      <c r="J6263" s="29"/>
      <c r="K6263" s="29"/>
      <c r="L6263" s="29"/>
      <c r="M6263" s="29"/>
      <c r="N6263" s="28">
        <v>0.25</v>
      </c>
      <c r="O6263" s="29"/>
      <c r="P6263" s="29"/>
      <c r="Q6263" s="29"/>
      <c r="R6263" s="29"/>
      <c r="S6263" s="29" t="s">
        <v>337</v>
      </c>
    </row>
    <row r="6264" spans="1:19" x14ac:dyDescent="0.35">
      <c r="A6264" s="27" t="s">
        <v>231</v>
      </c>
      <c r="B6264" s="27" t="s">
        <v>363</v>
      </c>
      <c r="C6264" s="28">
        <v>1</v>
      </c>
      <c r="D6264" s="29"/>
      <c r="E6264" s="29"/>
      <c r="F6264" s="29"/>
      <c r="G6264" s="29"/>
      <c r="H6264" s="29"/>
      <c r="I6264" s="28">
        <v>1</v>
      </c>
      <c r="J6264" s="29"/>
      <c r="K6264" s="29"/>
      <c r="L6264" s="29"/>
      <c r="M6264" s="29"/>
      <c r="N6264" s="29"/>
      <c r="O6264" s="29"/>
      <c r="P6264" s="29"/>
      <c r="Q6264" s="29"/>
      <c r="R6264" s="29"/>
      <c r="S6264" s="29" t="s">
        <v>331</v>
      </c>
    </row>
    <row r="6265" spans="1:19" x14ac:dyDescent="0.35">
      <c r="A6265" s="27" t="s">
        <v>231</v>
      </c>
      <c r="B6265" s="27" t="s">
        <v>360</v>
      </c>
      <c r="C6265" s="29"/>
      <c r="D6265" s="28">
        <v>1</v>
      </c>
      <c r="E6265" s="29"/>
      <c r="F6265" s="29"/>
      <c r="G6265" s="29"/>
      <c r="H6265" s="29"/>
      <c r="I6265" s="29"/>
      <c r="J6265" s="29"/>
      <c r="K6265" s="29"/>
      <c r="L6265" s="29"/>
      <c r="M6265" s="29"/>
      <c r="N6265" s="29"/>
      <c r="O6265" s="29"/>
      <c r="P6265" s="29"/>
      <c r="Q6265" s="29"/>
      <c r="R6265" s="29"/>
      <c r="S6265" s="29" t="s">
        <v>314</v>
      </c>
    </row>
    <row r="6266" spans="1:19" x14ac:dyDescent="0.35">
      <c r="A6266" t="s">
        <v>232</v>
      </c>
      <c r="B6266" t="s">
        <v>232</v>
      </c>
      <c r="C6266" s="26">
        <v>0.41149999999999998</v>
      </c>
      <c r="D6266" s="26">
        <v>0.37119999999999997</v>
      </c>
      <c r="E6266" s="26">
        <v>0.13400000000000001</v>
      </c>
      <c r="F6266" s="26">
        <v>0.12559999999999999</v>
      </c>
      <c r="G6266" s="26">
        <v>0.1177</v>
      </c>
      <c r="H6266" s="26">
        <v>9.5000000000000001E-2</v>
      </c>
      <c r="I6266" s="26">
        <v>8.6300000000000002E-2</v>
      </c>
      <c r="J6266" s="26">
        <v>6.8699999999999997E-2</v>
      </c>
      <c r="K6266" s="26">
        <v>6.5500000000000003E-2</v>
      </c>
      <c r="L6266" s="26">
        <v>4.6199999999999998E-2</v>
      </c>
      <c r="M6266" s="26">
        <v>1.84E-2</v>
      </c>
      <c r="N6266" s="26">
        <v>1.3599999999999999E-2</v>
      </c>
      <c r="O6266" s="26">
        <v>1.2E-2</v>
      </c>
      <c r="P6266" s="26">
        <v>9.5999999999999992E-3</v>
      </c>
      <c r="Q6266" s="26">
        <v>3.3E-3</v>
      </c>
      <c r="R6266" s="26">
        <v>2.3999999999999998E-3</v>
      </c>
      <c r="S6266">
        <v>448</v>
      </c>
    </row>
    <row r="6268" spans="1:19" x14ac:dyDescent="0.35">
      <c r="A6268" s="1" t="s">
        <v>844</v>
      </c>
    </row>
    <row r="6269" spans="1:19" x14ac:dyDescent="0.35">
      <c r="A6269" t="s">
        <v>219</v>
      </c>
      <c r="B6269" t="s">
        <v>305</v>
      </c>
      <c r="C6269" t="s">
        <v>826</v>
      </c>
      <c r="D6269" t="s">
        <v>827</v>
      </c>
      <c r="E6269" t="s">
        <v>828</v>
      </c>
      <c r="F6269" t="s">
        <v>829</v>
      </c>
      <c r="G6269" t="s">
        <v>830</v>
      </c>
      <c r="H6269" t="s">
        <v>831</v>
      </c>
      <c r="I6269" t="s">
        <v>832</v>
      </c>
      <c r="J6269" t="s">
        <v>833</v>
      </c>
      <c r="K6269" t="s">
        <v>834</v>
      </c>
      <c r="L6269" t="s">
        <v>835</v>
      </c>
      <c r="M6269" t="s">
        <v>836</v>
      </c>
      <c r="N6269" t="s">
        <v>281</v>
      </c>
      <c r="O6269" t="s">
        <v>837</v>
      </c>
      <c r="P6269" t="s">
        <v>838</v>
      </c>
      <c r="Q6269" t="s">
        <v>839</v>
      </c>
      <c r="R6269" t="s">
        <v>286</v>
      </c>
      <c r="S6269" t="s">
        <v>226</v>
      </c>
    </row>
    <row r="6270" spans="1:19" x14ac:dyDescent="0.35">
      <c r="A6270" s="27" t="s">
        <v>227</v>
      </c>
      <c r="B6270" s="27" t="s">
        <v>266</v>
      </c>
      <c r="C6270" s="28">
        <v>1</v>
      </c>
      <c r="D6270" s="28">
        <v>1</v>
      </c>
      <c r="E6270" s="29"/>
      <c r="F6270" s="29"/>
      <c r="G6270" s="29"/>
      <c r="H6270" s="29"/>
      <c r="I6270" s="29"/>
      <c r="J6270" s="29"/>
      <c r="K6270" s="29"/>
      <c r="L6270" s="29"/>
      <c r="M6270" s="29"/>
      <c r="N6270" s="29"/>
      <c r="O6270" s="29"/>
      <c r="P6270" s="29"/>
      <c r="Q6270" s="29"/>
      <c r="R6270" s="29"/>
      <c r="S6270" s="29" t="s">
        <v>331</v>
      </c>
    </row>
    <row r="6271" spans="1:19" x14ac:dyDescent="0.35">
      <c r="A6271" s="27" t="s">
        <v>227</v>
      </c>
      <c r="B6271" s="27" t="s">
        <v>265</v>
      </c>
      <c r="C6271" s="29"/>
      <c r="D6271" s="28">
        <v>0.5</v>
      </c>
      <c r="E6271" s="28">
        <v>0.5</v>
      </c>
      <c r="F6271" s="29"/>
      <c r="G6271" s="29"/>
      <c r="H6271" s="29"/>
      <c r="I6271" s="29"/>
      <c r="J6271" s="29"/>
      <c r="K6271" s="29"/>
      <c r="L6271" s="29"/>
      <c r="M6271" s="29"/>
      <c r="N6271" s="29"/>
      <c r="O6271" s="29"/>
      <c r="P6271" s="29"/>
      <c r="Q6271" s="29"/>
      <c r="R6271" s="29"/>
      <c r="S6271" s="29" t="s">
        <v>314</v>
      </c>
    </row>
    <row r="6272" spans="1:19" x14ac:dyDescent="0.35">
      <c r="A6272" t="s">
        <v>228</v>
      </c>
      <c r="B6272" t="s">
        <v>267</v>
      </c>
      <c r="C6272" s="26">
        <v>0.39550000000000002</v>
      </c>
      <c r="D6272" s="26">
        <v>0.17760000000000001</v>
      </c>
      <c r="E6272" s="26">
        <v>9.3200000000000005E-2</v>
      </c>
      <c r="F6272" s="26">
        <v>0.14749999999999999</v>
      </c>
      <c r="G6272" s="26">
        <v>0.13689999999999999</v>
      </c>
      <c r="H6272" s="26">
        <v>0.1235</v>
      </c>
      <c r="J6272" s="26">
        <v>8.5699999999999998E-2</v>
      </c>
      <c r="K6272" s="26">
        <v>5.11E-2</v>
      </c>
      <c r="L6272" s="26">
        <v>0.1139</v>
      </c>
      <c r="O6272" s="26">
        <v>1.06E-2</v>
      </c>
      <c r="P6272" s="26">
        <v>1.06E-2</v>
      </c>
      <c r="R6272" s="26">
        <v>1.8100000000000002E-2</v>
      </c>
      <c r="S6272">
        <v>32</v>
      </c>
    </row>
    <row r="6273" spans="1:19" x14ac:dyDescent="0.35">
      <c r="A6273" t="s">
        <v>228</v>
      </c>
      <c r="B6273" t="s">
        <v>266</v>
      </c>
      <c r="C6273" s="26">
        <v>0.20019999999999999</v>
      </c>
      <c r="D6273" s="26">
        <v>0.43030000000000002</v>
      </c>
      <c r="E6273" s="26">
        <v>5.74E-2</v>
      </c>
      <c r="F6273" s="26">
        <v>0.17530000000000001</v>
      </c>
      <c r="G6273" s="26">
        <v>0.17469999999999999</v>
      </c>
      <c r="H6273" s="26">
        <v>0.17430000000000001</v>
      </c>
      <c r="I6273" s="26">
        <v>0.1694</v>
      </c>
      <c r="J6273" s="26">
        <v>0.1525</v>
      </c>
      <c r="K6273" s="26">
        <v>0.14929999999999999</v>
      </c>
      <c r="L6273" s="26">
        <v>2.5399999999999999E-2</v>
      </c>
      <c r="M6273" s="26">
        <v>4.2000000000000003E-2</v>
      </c>
      <c r="N6273" s="26">
        <v>6.4999999999999997E-3</v>
      </c>
      <c r="O6273" s="26">
        <v>9.9000000000000008E-3</v>
      </c>
      <c r="Q6273" s="26">
        <v>3.5499999999999997E-2</v>
      </c>
      <c r="S6273">
        <v>81</v>
      </c>
    </row>
    <row r="6274" spans="1:19" x14ac:dyDescent="0.35">
      <c r="A6274" t="s">
        <v>228</v>
      </c>
      <c r="B6274" t="s">
        <v>265</v>
      </c>
      <c r="C6274" s="26">
        <v>0.2175</v>
      </c>
      <c r="D6274" s="26">
        <v>0.44280000000000003</v>
      </c>
      <c r="E6274" s="26">
        <v>0.16470000000000001</v>
      </c>
      <c r="F6274" s="26">
        <v>5.5599999999999997E-2</v>
      </c>
      <c r="G6274" s="26">
        <v>0.2361</v>
      </c>
      <c r="H6274" s="26">
        <v>0.16109999999999999</v>
      </c>
      <c r="I6274" s="26">
        <v>4.6899999999999997E-2</v>
      </c>
      <c r="J6274" s="26">
        <v>0.12470000000000001</v>
      </c>
      <c r="K6274" s="26">
        <v>6.83E-2</v>
      </c>
      <c r="L6274" s="26">
        <v>4.2099999999999999E-2</v>
      </c>
      <c r="M6274" s="26">
        <v>2.6700000000000002E-2</v>
      </c>
      <c r="O6274" s="26">
        <v>4.0099999999999997E-2</v>
      </c>
      <c r="P6274" s="26">
        <v>1.8100000000000002E-2</v>
      </c>
      <c r="Q6274" s="26">
        <v>5.4999999999999997E-3</v>
      </c>
      <c r="R6274" s="26">
        <v>4.7000000000000002E-3</v>
      </c>
      <c r="S6274">
        <v>87</v>
      </c>
    </row>
    <row r="6275" spans="1:19" x14ac:dyDescent="0.35">
      <c r="A6275" t="s">
        <v>229</v>
      </c>
      <c r="B6275" t="s">
        <v>267</v>
      </c>
      <c r="C6275" s="26">
        <v>0.45910000000000001</v>
      </c>
      <c r="D6275" s="26">
        <v>0.2823</v>
      </c>
      <c r="E6275" s="26">
        <v>0.19139999999999999</v>
      </c>
      <c r="F6275" s="26">
        <v>0.18870000000000001</v>
      </c>
      <c r="G6275" s="26">
        <v>9.0300000000000005E-2</v>
      </c>
      <c r="H6275" s="26">
        <v>0.1178</v>
      </c>
      <c r="I6275" s="26">
        <v>4.9200000000000001E-2</v>
      </c>
      <c r="J6275" s="26">
        <v>0.112</v>
      </c>
      <c r="K6275" s="26">
        <v>5.3499999999999999E-2</v>
      </c>
      <c r="L6275" s="26">
        <v>5.4000000000000003E-3</v>
      </c>
      <c r="N6275" s="26">
        <v>1.37E-2</v>
      </c>
      <c r="O6275" s="26">
        <v>5.4000000000000003E-3</v>
      </c>
      <c r="P6275" s="26">
        <v>1.6000000000000001E-3</v>
      </c>
      <c r="S6275">
        <v>40</v>
      </c>
    </row>
    <row r="6276" spans="1:19" x14ac:dyDescent="0.35">
      <c r="A6276" t="s">
        <v>229</v>
      </c>
      <c r="B6276" t="s">
        <v>266</v>
      </c>
      <c r="C6276" s="26">
        <v>0.54179999999999995</v>
      </c>
      <c r="D6276" s="26">
        <v>0.32219999999999999</v>
      </c>
      <c r="E6276" s="26">
        <v>0.13039999999999999</v>
      </c>
      <c r="F6276" s="26">
        <v>0.16020000000000001</v>
      </c>
      <c r="G6276" s="26">
        <v>9.9599999999999994E-2</v>
      </c>
      <c r="H6276" s="26">
        <v>9.74E-2</v>
      </c>
      <c r="I6276" s="26">
        <v>3.8899999999999997E-2</v>
      </c>
      <c r="J6276" s="26">
        <v>5.7000000000000002E-2</v>
      </c>
      <c r="K6276" s="26">
        <v>8.8099999999999998E-2</v>
      </c>
      <c r="L6276" s="26">
        <v>4.1200000000000001E-2</v>
      </c>
      <c r="M6276" s="26">
        <v>3.44E-2</v>
      </c>
      <c r="O6276" s="26">
        <v>2.3E-3</v>
      </c>
      <c r="S6276">
        <v>60</v>
      </c>
    </row>
    <row r="6277" spans="1:19" x14ac:dyDescent="0.35">
      <c r="A6277" t="s">
        <v>229</v>
      </c>
      <c r="B6277" t="s">
        <v>265</v>
      </c>
      <c r="C6277" s="26">
        <v>0.52880000000000005</v>
      </c>
      <c r="D6277" s="26">
        <v>0.3569</v>
      </c>
      <c r="E6277" s="26">
        <v>0.15759999999999999</v>
      </c>
      <c r="F6277" s="26">
        <v>0.17199999999999999</v>
      </c>
      <c r="G6277" s="26">
        <v>0.13489999999999999</v>
      </c>
      <c r="H6277" s="26">
        <v>5.2499999999999998E-2</v>
      </c>
      <c r="I6277" s="26">
        <v>6.9199999999999998E-2</v>
      </c>
      <c r="J6277" s="26">
        <v>4.9099999999999998E-2</v>
      </c>
      <c r="K6277" s="26">
        <v>7.1599999999999997E-2</v>
      </c>
      <c r="L6277" s="26">
        <v>5.79E-2</v>
      </c>
      <c r="M6277" s="26">
        <v>2.2200000000000001E-2</v>
      </c>
      <c r="O6277" s="26">
        <v>1.7999999999999999E-2</v>
      </c>
      <c r="P6277" s="26">
        <v>2.2200000000000001E-2</v>
      </c>
      <c r="R6277" s="26">
        <v>4.7999999999999996E-3</v>
      </c>
      <c r="S6277">
        <v>86</v>
      </c>
    </row>
    <row r="6278" spans="1:19" x14ac:dyDescent="0.35">
      <c r="A6278" s="27" t="s">
        <v>230</v>
      </c>
      <c r="B6278" s="27" t="s">
        <v>267</v>
      </c>
      <c r="C6278" s="28">
        <v>0.26729999999999998</v>
      </c>
      <c r="D6278" s="28">
        <v>0.70350000000000001</v>
      </c>
      <c r="E6278" s="29"/>
      <c r="F6278" s="28">
        <v>0.14499999999999999</v>
      </c>
      <c r="G6278" s="28">
        <v>1.4E-2</v>
      </c>
      <c r="H6278" s="28">
        <v>2.9700000000000001E-2</v>
      </c>
      <c r="I6278" s="29"/>
      <c r="J6278" s="28">
        <v>1.4E-2</v>
      </c>
      <c r="K6278" s="28">
        <v>2.9700000000000001E-2</v>
      </c>
      <c r="L6278" s="28">
        <v>2.2700000000000001E-2</v>
      </c>
      <c r="M6278" s="29"/>
      <c r="N6278" s="29"/>
      <c r="O6278" s="28">
        <v>7.0000000000000001E-3</v>
      </c>
      <c r="P6278" s="28">
        <v>1.4E-2</v>
      </c>
      <c r="Q6278" s="29"/>
      <c r="R6278" s="29"/>
      <c r="S6278" s="29" t="s">
        <v>347</v>
      </c>
    </row>
    <row r="6279" spans="1:19" x14ac:dyDescent="0.35">
      <c r="A6279" t="s">
        <v>230</v>
      </c>
      <c r="B6279" t="s">
        <v>266</v>
      </c>
      <c r="C6279" s="26">
        <v>0.44009999999999999</v>
      </c>
      <c r="D6279" s="26">
        <v>0.41010000000000002</v>
      </c>
      <c r="E6279" s="26">
        <v>3.9199999999999999E-2</v>
      </c>
      <c r="F6279" s="26">
        <v>3.2199999999999999E-2</v>
      </c>
      <c r="G6279" s="26">
        <v>0.18290000000000001</v>
      </c>
      <c r="H6279" s="26">
        <v>9.1499999999999998E-2</v>
      </c>
      <c r="I6279" s="26">
        <v>5.8799999999999998E-2</v>
      </c>
      <c r="J6279" s="26">
        <v>5.7299999999999997E-2</v>
      </c>
      <c r="K6279" s="26">
        <v>7.6899999999999996E-2</v>
      </c>
      <c r="L6279" s="26">
        <v>5.1299999999999998E-2</v>
      </c>
      <c r="M6279" s="26">
        <v>1.9599999999999999E-2</v>
      </c>
      <c r="O6279" s="26">
        <v>6.0000000000000001E-3</v>
      </c>
      <c r="P6279" s="26">
        <v>1.9599999999999999E-2</v>
      </c>
      <c r="S6279">
        <v>48</v>
      </c>
    </row>
    <row r="6280" spans="1:19" x14ac:dyDescent="0.35">
      <c r="A6280" t="s">
        <v>230</v>
      </c>
      <c r="B6280" t="s">
        <v>265</v>
      </c>
      <c r="C6280" s="26">
        <v>0.246</v>
      </c>
      <c r="D6280" s="26">
        <v>0.64419999999999999</v>
      </c>
      <c r="E6280" s="26">
        <v>9.64E-2</v>
      </c>
      <c r="F6280" s="26">
        <v>0.11</v>
      </c>
      <c r="G6280" s="26">
        <v>0.12820000000000001</v>
      </c>
      <c r="H6280" s="26">
        <v>5.4899999999999997E-2</v>
      </c>
      <c r="I6280" s="26">
        <v>4.1200000000000001E-2</v>
      </c>
      <c r="J6280" s="26">
        <v>7.6899999999999996E-2</v>
      </c>
      <c r="K6280" s="26">
        <v>7.7600000000000002E-2</v>
      </c>
      <c r="M6280" s="26">
        <v>1.3599999999999999E-2</v>
      </c>
      <c r="S6280">
        <v>51</v>
      </c>
    </row>
    <row r="6281" spans="1:19" x14ac:dyDescent="0.35">
      <c r="A6281" s="27" t="s">
        <v>231</v>
      </c>
      <c r="B6281" s="27" t="s">
        <v>267</v>
      </c>
      <c r="C6281" s="28">
        <v>0.33329999999999999</v>
      </c>
      <c r="D6281" s="29"/>
      <c r="E6281" s="29"/>
      <c r="F6281" s="29"/>
      <c r="G6281" s="29"/>
      <c r="H6281" s="29"/>
      <c r="I6281" s="28">
        <v>0.66669999999999996</v>
      </c>
      <c r="J6281" s="29"/>
      <c r="K6281" s="29"/>
      <c r="L6281" s="29"/>
      <c r="M6281" s="29"/>
      <c r="N6281" s="28">
        <v>0.33329999999999999</v>
      </c>
      <c r="O6281" s="29"/>
      <c r="P6281" s="29"/>
      <c r="Q6281" s="29"/>
      <c r="R6281" s="29"/>
      <c r="S6281" s="29" t="s">
        <v>315</v>
      </c>
    </row>
    <row r="6282" spans="1:19" x14ac:dyDescent="0.35">
      <c r="A6282" s="27" t="s">
        <v>231</v>
      </c>
      <c r="B6282" s="27" t="s">
        <v>266</v>
      </c>
      <c r="C6282" s="28">
        <v>0.4</v>
      </c>
      <c r="D6282" s="28">
        <v>0.4</v>
      </c>
      <c r="E6282" s="28">
        <v>0.2</v>
      </c>
      <c r="F6282" s="29"/>
      <c r="G6282" s="29"/>
      <c r="H6282" s="28">
        <v>0.2</v>
      </c>
      <c r="I6282" s="28">
        <v>0.2</v>
      </c>
      <c r="J6282" s="29"/>
      <c r="K6282" s="29"/>
      <c r="L6282" s="29"/>
      <c r="M6282" s="29"/>
      <c r="N6282" s="29"/>
      <c r="O6282" s="29"/>
      <c r="P6282" s="29"/>
      <c r="Q6282" s="29"/>
      <c r="R6282" s="29"/>
      <c r="S6282" s="29" t="s">
        <v>332</v>
      </c>
    </row>
    <row r="6283" spans="1:19" x14ac:dyDescent="0.35">
      <c r="A6283" s="27" t="s">
        <v>231</v>
      </c>
      <c r="B6283" s="27" t="s">
        <v>265</v>
      </c>
      <c r="C6283" s="28">
        <v>0.33329999999999999</v>
      </c>
      <c r="D6283" s="28">
        <v>0.33329999999999999</v>
      </c>
      <c r="E6283" s="29"/>
      <c r="F6283" s="29"/>
      <c r="G6283" s="29"/>
      <c r="H6283" s="29"/>
      <c r="I6283" s="29"/>
      <c r="J6283" s="29"/>
      <c r="K6283" s="29"/>
      <c r="L6283" s="28">
        <v>0.33329999999999999</v>
      </c>
      <c r="M6283" s="29"/>
      <c r="N6283" s="29"/>
      <c r="O6283" s="29"/>
      <c r="P6283" s="29"/>
      <c r="Q6283" s="29"/>
      <c r="R6283" s="29"/>
      <c r="S6283" s="29" t="s">
        <v>315</v>
      </c>
    </row>
    <row r="6284" spans="1:19" x14ac:dyDescent="0.35">
      <c r="A6284" t="s">
        <v>232</v>
      </c>
      <c r="B6284" t="s">
        <v>232</v>
      </c>
      <c r="C6284" s="26">
        <v>0.41149999999999998</v>
      </c>
      <c r="D6284" s="26">
        <v>0.37119999999999997</v>
      </c>
      <c r="E6284" s="26">
        <v>0.13400000000000001</v>
      </c>
      <c r="F6284" s="26">
        <v>0.12559999999999999</v>
      </c>
      <c r="G6284" s="26">
        <v>0.1177</v>
      </c>
      <c r="H6284" s="26">
        <v>9.5000000000000001E-2</v>
      </c>
      <c r="I6284" s="26">
        <v>8.6300000000000002E-2</v>
      </c>
      <c r="J6284" s="26">
        <v>6.8699999999999997E-2</v>
      </c>
      <c r="K6284" s="26">
        <v>6.5500000000000003E-2</v>
      </c>
      <c r="L6284" s="26">
        <v>4.6199999999999998E-2</v>
      </c>
      <c r="M6284" s="26">
        <v>1.84E-2</v>
      </c>
      <c r="N6284" s="26">
        <v>1.3599999999999999E-2</v>
      </c>
      <c r="O6284" s="26">
        <v>1.2E-2</v>
      </c>
      <c r="P6284" s="26">
        <v>9.5999999999999992E-3</v>
      </c>
      <c r="Q6284" s="26">
        <v>3.3E-3</v>
      </c>
      <c r="R6284" s="26">
        <v>2.3999999999999998E-3</v>
      </c>
      <c r="S6284">
        <v>521</v>
      </c>
    </row>
    <row r="6286" spans="1:19" x14ac:dyDescent="0.35">
      <c r="A6286" s="1" t="s">
        <v>845</v>
      </c>
    </row>
    <row r="6287" spans="1:19" x14ac:dyDescent="0.35">
      <c r="A6287" t="s">
        <v>219</v>
      </c>
      <c r="B6287" t="s">
        <v>305</v>
      </c>
      <c r="C6287" t="s">
        <v>826</v>
      </c>
      <c r="D6287" t="s">
        <v>827</v>
      </c>
      <c r="E6287" t="s">
        <v>828</v>
      </c>
      <c r="F6287" t="s">
        <v>829</v>
      </c>
      <c r="G6287" t="s">
        <v>830</v>
      </c>
      <c r="H6287" t="s">
        <v>831</v>
      </c>
      <c r="I6287" t="s">
        <v>832</v>
      </c>
      <c r="J6287" t="s">
        <v>833</v>
      </c>
      <c r="K6287" t="s">
        <v>834</v>
      </c>
      <c r="L6287" t="s">
        <v>835</v>
      </c>
      <c r="M6287" t="s">
        <v>836</v>
      </c>
      <c r="N6287" t="s">
        <v>281</v>
      </c>
      <c r="O6287" t="s">
        <v>837</v>
      </c>
      <c r="P6287" t="s">
        <v>838</v>
      </c>
      <c r="Q6287" t="s">
        <v>839</v>
      </c>
      <c r="R6287" t="s">
        <v>286</v>
      </c>
      <c r="S6287" t="s">
        <v>226</v>
      </c>
    </row>
    <row r="6288" spans="1:19" x14ac:dyDescent="0.35">
      <c r="A6288" s="27" t="s">
        <v>227</v>
      </c>
      <c r="B6288" s="27" t="s">
        <v>253</v>
      </c>
      <c r="C6288" s="29"/>
      <c r="D6288" s="28">
        <v>1</v>
      </c>
      <c r="E6288" s="29"/>
      <c r="F6288" s="29"/>
      <c r="G6288" s="29"/>
      <c r="H6288" s="29"/>
      <c r="I6288" s="29"/>
      <c r="J6288" s="29"/>
      <c r="K6288" s="29"/>
      <c r="L6288" s="29"/>
      <c r="M6288" s="29"/>
      <c r="N6288" s="29"/>
      <c r="O6288" s="29"/>
      <c r="P6288" s="29"/>
      <c r="Q6288" s="29"/>
      <c r="R6288" s="29"/>
      <c r="S6288" s="29" t="s">
        <v>331</v>
      </c>
    </row>
    <row r="6289" spans="1:19" x14ac:dyDescent="0.35">
      <c r="A6289" s="27" t="s">
        <v>227</v>
      </c>
      <c r="B6289" s="27" t="s">
        <v>251</v>
      </c>
      <c r="C6289" s="28">
        <v>0.5</v>
      </c>
      <c r="D6289" s="28">
        <v>0.5</v>
      </c>
      <c r="E6289" s="28">
        <v>0.5</v>
      </c>
      <c r="F6289" s="29"/>
      <c r="G6289" s="29"/>
      <c r="H6289" s="29"/>
      <c r="I6289" s="29"/>
      <c r="J6289" s="29"/>
      <c r="K6289" s="29"/>
      <c r="L6289" s="29"/>
      <c r="M6289" s="29"/>
      <c r="N6289" s="29"/>
      <c r="O6289" s="29"/>
      <c r="P6289" s="29"/>
      <c r="Q6289" s="29"/>
      <c r="R6289" s="29"/>
      <c r="S6289" s="29" t="s">
        <v>314</v>
      </c>
    </row>
    <row r="6290" spans="1:19" x14ac:dyDescent="0.35">
      <c r="A6290" t="s">
        <v>228</v>
      </c>
      <c r="B6290" t="s">
        <v>252</v>
      </c>
      <c r="C6290" s="26">
        <v>0.1484</v>
      </c>
      <c r="D6290" s="26">
        <v>0.54259999999999997</v>
      </c>
      <c r="E6290" s="26">
        <v>6.7999999999999996E-3</v>
      </c>
      <c r="F6290" s="26">
        <v>8.1799999999999998E-2</v>
      </c>
      <c r="G6290" s="26">
        <v>9.5100000000000004E-2</v>
      </c>
      <c r="H6290" s="26">
        <v>0.12809999999999999</v>
      </c>
      <c r="I6290" s="26">
        <v>0.14380000000000001</v>
      </c>
      <c r="J6290" s="26">
        <v>0.16739999999999999</v>
      </c>
      <c r="K6290" s="26">
        <v>4.6800000000000001E-2</v>
      </c>
      <c r="O6290" s="26">
        <v>2.23E-2</v>
      </c>
      <c r="P6290" s="26">
        <v>2.23E-2</v>
      </c>
      <c r="R6290" s="26">
        <v>1.17E-2</v>
      </c>
      <c r="S6290">
        <v>44</v>
      </c>
    </row>
    <row r="6291" spans="1:19" x14ac:dyDescent="0.35">
      <c r="A6291" t="s">
        <v>228</v>
      </c>
      <c r="B6291" t="s">
        <v>253</v>
      </c>
      <c r="C6291" s="26">
        <v>0.2616</v>
      </c>
      <c r="D6291" s="26">
        <v>0.49340000000000001</v>
      </c>
      <c r="E6291" s="26">
        <v>0.1031</v>
      </c>
      <c r="F6291" s="26">
        <v>3.5200000000000002E-2</v>
      </c>
      <c r="G6291" s="26">
        <v>0.25719999999999998</v>
      </c>
      <c r="H6291" s="26">
        <v>0.21290000000000001</v>
      </c>
      <c r="I6291" s="26">
        <v>0.17480000000000001</v>
      </c>
      <c r="J6291" s="26">
        <v>8.6099999999999996E-2</v>
      </c>
      <c r="K6291" s="26">
        <v>0.1026</v>
      </c>
      <c r="L6291" s="26">
        <v>3.61E-2</v>
      </c>
      <c r="N6291" s="26">
        <v>1.11E-2</v>
      </c>
      <c r="O6291" s="26">
        <v>7.22E-2</v>
      </c>
      <c r="P6291" s="26">
        <v>1.4999999999999999E-2</v>
      </c>
      <c r="Q6291" s="26">
        <v>2.6100000000000002E-2</v>
      </c>
      <c r="R6291" s="26">
        <v>1.2800000000000001E-2</v>
      </c>
      <c r="S6291">
        <v>44</v>
      </c>
    </row>
    <row r="6292" spans="1:19" x14ac:dyDescent="0.35">
      <c r="A6292" t="s">
        <v>228</v>
      </c>
      <c r="B6292" t="s">
        <v>251</v>
      </c>
      <c r="C6292" s="26">
        <v>0.25950000000000001</v>
      </c>
      <c r="D6292" s="26">
        <v>0.32119999999999999</v>
      </c>
      <c r="E6292" s="26">
        <v>0.16450000000000001</v>
      </c>
      <c r="F6292" s="26">
        <v>0.14199999999999999</v>
      </c>
      <c r="G6292" s="26">
        <v>0.222</v>
      </c>
      <c r="H6292" s="26">
        <v>0.15459999999999999</v>
      </c>
      <c r="I6292" s="26">
        <v>2.8299999999999999E-2</v>
      </c>
      <c r="J6292" s="26">
        <v>0.12870000000000001</v>
      </c>
      <c r="K6292" s="26">
        <v>0.1067</v>
      </c>
      <c r="L6292" s="26">
        <v>6.6500000000000004E-2</v>
      </c>
      <c r="M6292" s="26">
        <v>4.7600000000000003E-2</v>
      </c>
      <c r="O6292" s="26">
        <v>1.1900000000000001E-2</v>
      </c>
      <c r="P6292" s="26">
        <v>5.5999999999999999E-3</v>
      </c>
      <c r="Q6292" s="26">
        <v>1.6500000000000001E-2</v>
      </c>
      <c r="S6292">
        <v>112</v>
      </c>
    </row>
    <row r="6293" spans="1:19" x14ac:dyDescent="0.35">
      <c r="A6293" s="27" t="s">
        <v>229</v>
      </c>
      <c r="B6293" s="27" t="s">
        <v>252</v>
      </c>
      <c r="C6293" s="28">
        <v>0.69920000000000004</v>
      </c>
      <c r="D6293" s="28">
        <v>0.14330000000000001</v>
      </c>
      <c r="E6293" s="28">
        <v>3.7100000000000001E-2</v>
      </c>
      <c r="F6293" s="28">
        <v>0.11169999999999999</v>
      </c>
      <c r="G6293" s="29"/>
      <c r="H6293" s="28">
        <v>4.0300000000000002E-2</v>
      </c>
      <c r="I6293" s="29"/>
      <c r="J6293" s="28">
        <v>4.9399999999999999E-2</v>
      </c>
      <c r="K6293" s="28">
        <v>0.13619999999999999</v>
      </c>
      <c r="L6293" s="28">
        <v>1.23E-2</v>
      </c>
      <c r="M6293" s="29"/>
      <c r="N6293" s="29"/>
      <c r="O6293" s="28">
        <v>0.1056</v>
      </c>
      <c r="P6293" s="29"/>
      <c r="Q6293" s="29"/>
      <c r="R6293" s="28">
        <v>2.4899999999999999E-2</v>
      </c>
      <c r="S6293" s="29" t="s">
        <v>351</v>
      </c>
    </row>
    <row r="6294" spans="1:19" x14ac:dyDescent="0.35">
      <c r="A6294" s="27" t="s">
        <v>229</v>
      </c>
      <c r="B6294" s="27" t="s">
        <v>253</v>
      </c>
      <c r="C6294" s="28">
        <v>0.69520000000000004</v>
      </c>
      <c r="D6294" s="28">
        <v>0.35510000000000003</v>
      </c>
      <c r="E6294" s="28">
        <v>0.28360000000000002</v>
      </c>
      <c r="F6294" s="28">
        <v>7.6600000000000001E-2</v>
      </c>
      <c r="G6294" s="28">
        <v>0.14560000000000001</v>
      </c>
      <c r="H6294" s="28">
        <v>7.2900000000000006E-2</v>
      </c>
      <c r="I6294" s="28">
        <v>7.6600000000000001E-2</v>
      </c>
      <c r="J6294" s="28">
        <v>0.13819999999999999</v>
      </c>
      <c r="K6294" s="28">
        <v>0.19570000000000001</v>
      </c>
      <c r="L6294" s="28">
        <v>7.8799999999999995E-2</v>
      </c>
      <c r="M6294" s="28">
        <v>6.9000000000000006E-2</v>
      </c>
      <c r="N6294" s="29"/>
      <c r="O6294" s="28">
        <v>3.8999999999999998E-3</v>
      </c>
      <c r="P6294" s="28">
        <v>6.9000000000000006E-2</v>
      </c>
      <c r="Q6294" s="29"/>
      <c r="R6294" s="29"/>
      <c r="S6294" s="29" t="s">
        <v>336</v>
      </c>
    </row>
    <row r="6295" spans="1:19" x14ac:dyDescent="0.35">
      <c r="A6295" t="s">
        <v>229</v>
      </c>
      <c r="B6295" t="s">
        <v>251</v>
      </c>
      <c r="C6295" s="26">
        <v>0.45440000000000003</v>
      </c>
      <c r="D6295" s="26">
        <v>0.35070000000000001</v>
      </c>
      <c r="E6295" s="26">
        <v>0.1469</v>
      </c>
      <c r="F6295" s="26">
        <v>0.20119999999999999</v>
      </c>
      <c r="G6295" s="26">
        <v>0.1244</v>
      </c>
      <c r="H6295" s="26">
        <v>8.5500000000000007E-2</v>
      </c>
      <c r="I6295" s="26">
        <v>5.9900000000000002E-2</v>
      </c>
      <c r="J6295" s="26">
        <v>5.1799999999999999E-2</v>
      </c>
      <c r="K6295" s="26">
        <v>3.6999999999999998E-2</v>
      </c>
      <c r="L6295" s="26">
        <v>3.7699999999999997E-2</v>
      </c>
      <c r="M6295" s="26">
        <v>1.2800000000000001E-2</v>
      </c>
      <c r="N6295" s="26">
        <v>4.1000000000000003E-3</v>
      </c>
      <c r="P6295" s="26">
        <v>8.9999999999999998E-4</v>
      </c>
      <c r="S6295">
        <v>137</v>
      </c>
    </row>
    <row r="6296" spans="1:19" x14ac:dyDescent="0.35">
      <c r="A6296" t="s">
        <v>230</v>
      </c>
      <c r="B6296" t="s">
        <v>252</v>
      </c>
      <c r="C6296" s="26">
        <v>0.39360000000000001</v>
      </c>
      <c r="D6296" s="26">
        <v>0.66710000000000003</v>
      </c>
      <c r="F6296" s="26">
        <v>8.8000000000000005E-3</v>
      </c>
      <c r="G6296" s="26">
        <v>6.3799999999999996E-2</v>
      </c>
      <c r="H6296" s="26">
        <v>4.6199999999999998E-2</v>
      </c>
      <c r="I6296" s="26">
        <v>5.7200000000000001E-2</v>
      </c>
      <c r="J6296" s="26">
        <v>0.1041</v>
      </c>
      <c r="K6296" s="26">
        <v>8.6499999999999994E-2</v>
      </c>
      <c r="L6296" s="26">
        <v>2.86E-2</v>
      </c>
      <c r="O6296" s="26">
        <v>1.7600000000000001E-2</v>
      </c>
      <c r="P6296" s="26">
        <v>8.8000000000000005E-3</v>
      </c>
      <c r="S6296">
        <v>33</v>
      </c>
    </row>
    <row r="6297" spans="1:19" x14ac:dyDescent="0.35">
      <c r="A6297" s="27" t="s">
        <v>230</v>
      </c>
      <c r="B6297" s="27" t="s">
        <v>253</v>
      </c>
      <c r="C6297" s="28">
        <v>0.1804</v>
      </c>
      <c r="D6297" s="28">
        <v>0.24990000000000001</v>
      </c>
      <c r="E6297" s="28">
        <v>9.3799999999999994E-2</v>
      </c>
      <c r="F6297" s="28">
        <v>9.3799999999999994E-2</v>
      </c>
      <c r="G6297" s="28">
        <v>9.6100000000000005E-2</v>
      </c>
      <c r="H6297" s="28">
        <v>0.221</v>
      </c>
      <c r="I6297" s="28">
        <v>9.3799999999999994E-2</v>
      </c>
      <c r="J6297" s="28">
        <v>0.24540000000000001</v>
      </c>
      <c r="K6297" s="28">
        <v>0.221</v>
      </c>
      <c r="L6297" s="29"/>
      <c r="M6297" s="29"/>
      <c r="N6297" s="29"/>
      <c r="O6297" s="29"/>
      <c r="P6297" s="29"/>
      <c r="Q6297" s="29"/>
      <c r="R6297" s="29"/>
      <c r="S6297" s="29" t="s">
        <v>379</v>
      </c>
    </row>
    <row r="6298" spans="1:19" x14ac:dyDescent="0.35">
      <c r="A6298" t="s">
        <v>230</v>
      </c>
      <c r="B6298" t="s">
        <v>251</v>
      </c>
      <c r="C6298" s="26">
        <v>0.29799999999999999</v>
      </c>
      <c r="D6298" s="26">
        <v>0.59589999999999999</v>
      </c>
      <c r="E6298" s="26">
        <v>6.5799999999999997E-2</v>
      </c>
      <c r="F6298" s="26">
        <v>0.1205</v>
      </c>
      <c r="G6298" s="26">
        <v>0.13109999999999999</v>
      </c>
      <c r="H6298" s="26">
        <v>4.9099999999999998E-2</v>
      </c>
      <c r="I6298" s="26">
        <v>2.46E-2</v>
      </c>
      <c r="J6298" s="26">
        <v>2.3800000000000002E-2</v>
      </c>
      <c r="K6298" s="26">
        <v>4.5100000000000001E-2</v>
      </c>
      <c r="L6298" s="26">
        <v>2.1299999999999999E-2</v>
      </c>
      <c r="M6298" s="26">
        <v>1.6299999999999999E-2</v>
      </c>
      <c r="P6298" s="26">
        <v>1.0699999999999999E-2</v>
      </c>
      <c r="S6298">
        <v>74</v>
      </c>
    </row>
    <row r="6299" spans="1:19" x14ac:dyDescent="0.35">
      <c r="A6299" s="27" t="s">
        <v>231</v>
      </c>
      <c r="B6299" s="27" t="s">
        <v>253</v>
      </c>
      <c r="C6299" s="28">
        <v>0.5</v>
      </c>
      <c r="D6299" s="28">
        <v>0.5</v>
      </c>
      <c r="E6299" s="29"/>
      <c r="F6299" s="29"/>
      <c r="G6299" s="29"/>
      <c r="H6299" s="29"/>
      <c r="I6299" s="29"/>
      <c r="J6299" s="29"/>
      <c r="K6299" s="29"/>
      <c r="L6299" s="29"/>
      <c r="M6299" s="29"/>
      <c r="N6299" s="29"/>
      <c r="O6299" s="29"/>
      <c r="P6299" s="29"/>
      <c r="Q6299" s="29"/>
      <c r="R6299" s="29"/>
      <c r="S6299" s="29" t="s">
        <v>314</v>
      </c>
    </row>
    <row r="6300" spans="1:19" x14ac:dyDescent="0.35">
      <c r="A6300" s="27" t="s">
        <v>231</v>
      </c>
      <c r="B6300" s="27" t="s">
        <v>251</v>
      </c>
      <c r="C6300" s="28">
        <v>0.33329999999999999</v>
      </c>
      <c r="D6300" s="28">
        <v>0.22220000000000001</v>
      </c>
      <c r="E6300" s="28">
        <v>0.1111</v>
      </c>
      <c r="F6300" s="29"/>
      <c r="G6300" s="29"/>
      <c r="H6300" s="28">
        <v>0.1111</v>
      </c>
      <c r="I6300" s="28">
        <v>0.33329999999999999</v>
      </c>
      <c r="J6300" s="29"/>
      <c r="K6300" s="29"/>
      <c r="L6300" s="28">
        <v>0.1111</v>
      </c>
      <c r="M6300" s="29"/>
      <c r="N6300" s="28">
        <v>0.1111</v>
      </c>
      <c r="O6300" s="29"/>
      <c r="P6300" s="29"/>
      <c r="Q6300" s="29"/>
      <c r="R6300" s="29"/>
      <c r="S6300" s="29" t="s">
        <v>334</v>
      </c>
    </row>
    <row r="6301" spans="1:19" x14ac:dyDescent="0.35">
      <c r="A6301" t="s">
        <v>232</v>
      </c>
      <c r="B6301" t="s">
        <v>232</v>
      </c>
      <c r="C6301" s="26">
        <v>0.41149999999999998</v>
      </c>
      <c r="D6301" s="26">
        <v>0.37119999999999997</v>
      </c>
      <c r="E6301" s="26">
        <v>0.13400000000000001</v>
      </c>
      <c r="F6301" s="26">
        <v>0.12559999999999999</v>
      </c>
      <c r="G6301" s="26">
        <v>0.1177</v>
      </c>
      <c r="H6301" s="26">
        <v>9.5000000000000001E-2</v>
      </c>
      <c r="I6301" s="26">
        <v>8.6300000000000002E-2</v>
      </c>
      <c r="J6301" s="26">
        <v>6.8699999999999997E-2</v>
      </c>
      <c r="K6301" s="26">
        <v>6.5500000000000003E-2</v>
      </c>
      <c r="L6301" s="26">
        <v>4.6199999999999998E-2</v>
      </c>
      <c r="M6301" s="26">
        <v>1.84E-2</v>
      </c>
      <c r="N6301" s="26">
        <v>1.3599999999999999E-2</v>
      </c>
      <c r="O6301" s="26">
        <v>1.2E-2</v>
      </c>
      <c r="P6301" s="26">
        <v>9.5999999999999992E-3</v>
      </c>
      <c r="Q6301" s="26">
        <v>3.3E-3</v>
      </c>
      <c r="R6301" s="26">
        <v>2.3999999999999998E-3</v>
      </c>
      <c r="S6301">
        <v>521</v>
      </c>
    </row>
    <row r="6303" spans="1:19" x14ac:dyDescent="0.35">
      <c r="A6303" s="1" t="s">
        <v>846</v>
      </c>
    </row>
    <row r="6304" spans="1:19" x14ac:dyDescent="0.35">
      <c r="A6304" t="s">
        <v>219</v>
      </c>
      <c r="B6304" t="s">
        <v>305</v>
      </c>
      <c r="C6304" t="s">
        <v>826</v>
      </c>
      <c r="D6304" t="s">
        <v>827</v>
      </c>
      <c r="E6304" t="s">
        <v>828</v>
      </c>
      <c r="F6304" t="s">
        <v>829</v>
      </c>
      <c r="G6304" t="s">
        <v>830</v>
      </c>
      <c r="H6304" t="s">
        <v>831</v>
      </c>
      <c r="I6304" t="s">
        <v>832</v>
      </c>
      <c r="J6304" t="s">
        <v>833</v>
      </c>
      <c r="K6304" t="s">
        <v>834</v>
      </c>
      <c r="L6304" t="s">
        <v>835</v>
      </c>
      <c r="M6304" t="s">
        <v>836</v>
      </c>
      <c r="N6304" t="s">
        <v>281</v>
      </c>
      <c r="O6304" t="s">
        <v>837</v>
      </c>
      <c r="P6304" t="s">
        <v>838</v>
      </c>
      <c r="Q6304" t="s">
        <v>839</v>
      </c>
      <c r="R6304" t="s">
        <v>286</v>
      </c>
      <c r="S6304" t="s">
        <v>226</v>
      </c>
    </row>
    <row r="6305" spans="1:19" x14ac:dyDescent="0.35">
      <c r="A6305" s="27" t="s">
        <v>227</v>
      </c>
      <c r="B6305" s="27" t="s">
        <v>249</v>
      </c>
      <c r="C6305" s="29"/>
      <c r="D6305" s="28">
        <v>0.5</v>
      </c>
      <c r="E6305" s="28">
        <v>0.5</v>
      </c>
      <c r="F6305" s="29"/>
      <c r="G6305" s="29"/>
      <c r="H6305" s="29"/>
      <c r="I6305" s="29"/>
      <c r="J6305" s="29"/>
      <c r="K6305" s="29"/>
      <c r="L6305" s="29"/>
      <c r="M6305" s="29"/>
      <c r="N6305" s="29"/>
      <c r="O6305" s="29"/>
      <c r="P6305" s="29"/>
      <c r="Q6305" s="29"/>
      <c r="R6305" s="29"/>
      <c r="S6305" s="29" t="s">
        <v>314</v>
      </c>
    </row>
    <row r="6306" spans="1:19" x14ac:dyDescent="0.35">
      <c r="A6306" s="27" t="s">
        <v>227</v>
      </c>
      <c r="B6306" s="27" t="s">
        <v>248</v>
      </c>
      <c r="C6306" s="28">
        <v>1</v>
      </c>
      <c r="D6306" s="28">
        <v>1</v>
      </c>
      <c r="E6306" s="29"/>
      <c r="F6306" s="29"/>
      <c r="G6306" s="29"/>
      <c r="H6306" s="29"/>
      <c r="I6306" s="29"/>
      <c r="J6306" s="29"/>
      <c r="K6306" s="29"/>
      <c r="L6306" s="29"/>
      <c r="M6306" s="29"/>
      <c r="N6306" s="29"/>
      <c r="O6306" s="29"/>
      <c r="P6306" s="29"/>
      <c r="Q6306" s="29"/>
      <c r="R6306" s="29"/>
      <c r="S6306" s="29" t="s">
        <v>331</v>
      </c>
    </row>
    <row r="6307" spans="1:19" x14ac:dyDescent="0.35">
      <c r="A6307" t="s">
        <v>228</v>
      </c>
      <c r="B6307" t="s">
        <v>249</v>
      </c>
      <c r="C6307" s="26">
        <v>0.25629999999999997</v>
      </c>
      <c r="D6307" s="26">
        <v>0.3695</v>
      </c>
      <c r="E6307" s="26">
        <v>0.15490000000000001</v>
      </c>
      <c r="F6307" s="26">
        <v>0.13289999999999999</v>
      </c>
      <c r="G6307" s="26">
        <v>0.29299999999999998</v>
      </c>
      <c r="H6307" s="26">
        <v>0.18090000000000001</v>
      </c>
      <c r="I6307" s="26">
        <v>5.04E-2</v>
      </c>
      <c r="J6307" s="26">
        <v>0.1008</v>
      </c>
      <c r="K6307" s="26">
        <v>0.1143</v>
      </c>
      <c r="L6307" s="26">
        <v>7.9899999999999999E-2</v>
      </c>
      <c r="M6307" s="26">
        <v>3.2899999999999999E-2</v>
      </c>
      <c r="O6307" s="26">
        <v>3.2899999999999999E-2</v>
      </c>
      <c r="P6307" s="26">
        <v>7.7000000000000002E-3</v>
      </c>
      <c r="Q6307" s="26">
        <v>3.1199999999999999E-2</v>
      </c>
      <c r="R6307" s="26">
        <v>5.7999999999999996E-3</v>
      </c>
      <c r="S6307">
        <v>75</v>
      </c>
    </row>
    <row r="6308" spans="1:19" x14ac:dyDescent="0.35">
      <c r="A6308" t="s">
        <v>228</v>
      </c>
      <c r="B6308" t="s">
        <v>248</v>
      </c>
      <c r="C6308" s="26">
        <v>0.22109999999999999</v>
      </c>
      <c r="D6308" s="26">
        <v>0.42649999999999999</v>
      </c>
      <c r="E6308" s="26">
        <v>9.1899999999999996E-2</v>
      </c>
      <c r="F6308" s="26">
        <v>8.9899999999999994E-2</v>
      </c>
      <c r="G6308" s="26">
        <v>0.13339999999999999</v>
      </c>
      <c r="H6308" s="26">
        <v>0.1449</v>
      </c>
      <c r="I6308" s="26">
        <v>0.10489999999999999</v>
      </c>
      <c r="J6308" s="26">
        <v>0.14960000000000001</v>
      </c>
      <c r="K6308" s="26">
        <v>7.7200000000000005E-2</v>
      </c>
      <c r="L6308" s="26">
        <v>2.12E-2</v>
      </c>
      <c r="M6308" s="26">
        <v>2.46E-2</v>
      </c>
      <c r="N6308" s="26">
        <v>3.8E-3</v>
      </c>
      <c r="O6308" s="26">
        <v>2.07E-2</v>
      </c>
      <c r="P6308" s="26">
        <v>1.34E-2</v>
      </c>
      <c r="Q6308" s="26">
        <v>2.5999999999999999E-3</v>
      </c>
      <c r="R6308" s="26">
        <v>4.4000000000000003E-3</v>
      </c>
      <c r="S6308">
        <v>125</v>
      </c>
    </row>
    <row r="6309" spans="1:19" x14ac:dyDescent="0.35">
      <c r="A6309" t="s">
        <v>229</v>
      </c>
      <c r="B6309" t="s">
        <v>249</v>
      </c>
      <c r="C6309" s="26">
        <v>0.51180000000000003</v>
      </c>
      <c r="D6309" s="26">
        <v>0.36159999999999998</v>
      </c>
      <c r="E6309" s="26">
        <v>0.1552</v>
      </c>
      <c r="F6309" s="26">
        <v>0.21049999999999999</v>
      </c>
      <c r="G6309" s="26">
        <v>9.4100000000000003E-2</v>
      </c>
      <c r="H6309" s="26">
        <v>7.3400000000000007E-2</v>
      </c>
      <c r="I6309" s="26">
        <v>6.9599999999999995E-2</v>
      </c>
      <c r="J6309" s="26">
        <v>6.8500000000000005E-2</v>
      </c>
      <c r="K6309" s="26">
        <v>9.1700000000000004E-2</v>
      </c>
      <c r="L6309" s="26">
        <v>0.03</v>
      </c>
      <c r="M6309" s="26">
        <v>1.9099999999999999E-2</v>
      </c>
      <c r="N6309" s="26">
        <v>1.1999999999999999E-3</v>
      </c>
      <c r="O6309" s="26">
        <v>1.1999999999999999E-3</v>
      </c>
      <c r="S6309">
        <v>84</v>
      </c>
    </row>
    <row r="6310" spans="1:19" x14ac:dyDescent="0.35">
      <c r="A6310" t="s">
        <v>229</v>
      </c>
      <c r="B6310" t="s">
        <v>248</v>
      </c>
      <c r="C6310" s="26">
        <v>0.52159999999999995</v>
      </c>
      <c r="D6310" s="26">
        <v>0.30059999999999998</v>
      </c>
      <c r="E6310" s="26">
        <v>0.1605</v>
      </c>
      <c r="F6310" s="26">
        <v>0.13489999999999999</v>
      </c>
      <c r="G6310" s="26">
        <v>0.13689999999999999</v>
      </c>
      <c r="H6310" s="26">
        <v>8.4599999999999995E-2</v>
      </c>
      <c r="I6310" s="26">
        <v>4.3799999999999999E-2</v>
      </c>
      <c r="J6310" s="26">
        <v>6.2E-2</v>
      </c>
      <c r="K6310" s="26">
        <v>5.2299999999999999E-2</v>
      </c>
      <c r="L6310" s="26">
        <v>5.3400000000000003E-2</v>
      </c>
      <c r="M6310" s="26">
        <v>2.1899999999999999E-2</v>
      </c>
      <c r="N6310" s="26">
        <v>4.8999999999999998E-3</v>
      </c>
      <c r="O6310" s="26">
        <v>2.07E-2</v>
      </c>
      <c r="P6310" s="26">
        <v>2.3300000000000001E-2</v>
      </c>
      <c r="R6310" s="26">
        <v>4.8999999999999998E-3</v>
      </c>
      <c r="S6310">
        <v>102</v>
      </c>
    </row>
    <row r="6311" spans="1:19" x14ac:dyDescent="0.35">
      <c r="A6311" t="s">
        <v>230</v>
      </c>
      <c r="B6311" t="s">
        <v>249</v>
      </c>
      <c r="C6311" s="26">
        <v>0.4486</v>
      </c>
      <c r="D6311" s="26">
        <v>0.44319999999999998</v>
      </c>
      <c r="E6311" s="26">
        <v>0.11260000000000001</v>
      </c>
      <c r="F6311" s="26">
        <v>0.1215</v>
      </c>
      <c r="G6311" s="26">
        <v>5.5399999999999998E-2</v>
      </c>
      <c r="H6311" s="26">
        <v>8.4699999999999998E-2</v>
      </c>
      <c r="I6311" s="26">
        <v>2.8199999999999999E-2</v>
      </c>
      <c r="J6311" s="26">
        <v>8.6E-3</v>
      </c>
      <c r="K6311" s="26">
        <v>5.5100000000000003E-2</v>
      </c>
      <c r="L6311" s="26">
        <v>1.4E-2</v>
      </c>
      <c r="M6311" s="26">
        <v>1.4E-2</v>
      </c>
      <c r="P6311" s="26">
        <v>1.8200000000000001E-2</v>
      </c>
      <c r="S6311">
        <v>50</v>
      </c>
    </row>
    <row r="6312" spans="1:19" x14ac:dyDescent="0.35">
      <c r="A6312" t="s">
        <v>230</v>
      </c>
      <c r="B6312" t="s">
        <v>248</v>
      </c>
      <c r="C6312" s="26">
        <v>0.2079</v>
      </c>
      <c r="D6312" s="26">
        <v>0.69679999999999997</v>
      </c>
      <c r="E6312" s="26">
        <v>1.04E-2</v>
      </c>
      <c r="F6312" s="26">
        <v>7.6399999999999996E-2</v>
      </c>
      <c r="G6312" s="26">
        <v>0.15909999999999999</v>
      </c>
      <c r="H6312" s="26">
        <v>4.0599999999999997E-2</v>
      </c>
      <c r="I6312" s="26">
        <v>4.1399999999999999E-2</v>
      </c>
      <c r="J6312" s="26">
        <v>8.8599999999999998E-2</v>
      </c>
      <c r="K6312" s="26">
        <v>7.22E-2</v>
      </c>
      <c r="L6312" s="26">
        <v>2.7099999999999999E-2</v>
      </c>
      <c r="M6312" s="26">
        <v>1.04E-2</v>
      </c>
      <c r="O6312" s="26">
        <v>6.4000000000000003E-3</v>
      </c>
      <c r="P6312" s="26">
        <v>3.2000000000000002E-3</v>
      </c>
      <c r="S6312">
        <v>71</v>
      </c>
    </row>
    <row r="6313" spans="1:19" x14ac:dyDescent="0.35">
      <c r="A6313" s="27" t="s">
        <v>231</v>
      </c>
      <c r="B6313" s="27" t="s">
        <v>249</v>
      </c>
      <c r="C6313" s="28">
        <v>0.5</v>
      </c>
      <c r="D6313" s="28">
        <v>0.5</v>
      </c>
      <c r="E6313" s="28">
        <v>0.25</v>
      </c>
      <c r="F6313" s="29"/>
      <c r="G6313" s="29"/>
      <c r="H6313" s="29"/>
      <c r="I6313" s="28">
        <v>0.25</v>
      </c>
      <c r="J6313" s="29"/>
      <c r="K6313" s="29"/>
      <c r="L6313" s="29"/>
      <c r="M6313" s="29"/>
      <c r="N6313" s="29"/>
      <c r="O6313" s="29"/>
      <c r="P6313" s="29"/>
      <c r="Q6313" s="29"/>
      <c r="R6313" s="29"/>
      <c r="S6313" s="29" t="s">
        <v>337</v>
      </c>
    </row>
    <row r="6314" spans="1:19" x14ac:dyDescent="0.35">
      <c r="A6314" s="27" t="s">
        <v>231</v>
      </c>
      <c r="B6314" s="27" t="s">
        <v>248</v>
      </c>
      <c r="C6314" s="28">
        <v>0.28570000000000001</v>
      </c>
      <c r="D6314" s="28">
        <v>0.1429</v>
      </c>
      <c r="E6314" s="29"/>
      <c r="F6314" s="29"/>
      <c r="G6314" s="29"/>
      <c r="H6314" s="28">
        <v>0.1429</v>
      </c>
      <c r="I6314" s="28">
        <v>0.28570000000000001</v>
      </c>
      <c r="J6314" s="29"/>
      <c r="K6314" s="29"/>
      <c r="L6314" s="28">
        <v>0.1429</v>
      </c>
      <c r="M6314" s="29"/>
      <c r="N6314" s="28">
        <v>0.1429</v>
      </c>
      <c r="O6314" s="29"/>
      <c r="P6314" s="29"/>
      <c r="Q6314" s="29"/>
      <c r="R6314" s="29"/>
      <c r="S6314" s="29" t="s">
        <v>339</v>
      </c>
    </row>
    <row r="6315" spans="1:19" x14ac:dyDescent="0.35">
      <c r="A6315" t="s">
        <v>232</v>
      </c>
      <c r="B6315" t="s">
        <v>232</v>
      </c>
      <c r="C6315" s="26">
        <v>0.41149999999999998</v>
      </c>
      <c r="D6315" s="26">
        <v>0.37119999999999997</v>
      </c>
      <c r="E6315" s="26">
        <v>0.13400000000000001</v>
      </c>
      <c r="F6315" s="26">
        <v>0.12559999999999999</v>
      </c>
      <c r="G6315" s="26">
        <v>0.1177</v>
      </c>
      <c r="H6315" s="26">
        <v>9.5000000000000001E-2</v>
      </c>
      <c r="I6315" s="26">
        <v>8.6300000000000002E-2</v>
      </c>
      <c r="J6315" s="26">
        <v>6.8699999999999997E-2</v>
      </c>
      <c r="K6315" s="26">
        <v>6.5500000000000003E-2</v>
      </c>
      <c r="L6315" s="26">
        <v>4.6199999999999998E-2</v>
      </c>
      <c r="M6315" s="26">
        <v>1.84E-2</v>
      </c>
      <c r="N6315" s="26">
        <v>1.3599999999999999E-2</v>
      </c>
      <c r="O6315" s="26">
        <v>1.2E-2</v>
      </c>
      <c r="P6315" s="26">
        <v>9.5999999999999992E-3</v>
      </c>
      <c r="Q6315" s="26">
        <v>3.3E-3</v>
      </c>
      <c r="R6315" s="26">
        <v>2.3999999999999998E-3</v>
      </c>
      <c r="S6315">
        <v>521</v>
      </c>
    </row>
    <row r="6317" spans="1:19" x14ac:dyDescent="0.35">
      <c r="A6317" s="1" t="s">
        <v>847</v>
      </c>
    </row>
    <row r="6318" spans="1:19" x14ac:dyDescent="0.35">
      <c r="A6318" t="s">
        <v>219</v>
      </c>
      <c r="B6318" t="s">
        <v>305</v>
      </c>
      <c r="C6318" t="s">
        <v>826</v>
      </c>
      <c r="D6318" t="s">
        <v>827</v>
      </c>
      <c r="E6318" t="s">
        <v>828</v>
      </c>
      <c r="F6318" t="s">
        <v>829</v>
      </c>
      <c r="G6318" t="s">
        <v>830</v>
      </c>
      <c r="H6318" t="s">
        <v>831</v>
      </c>
      <c r="I6318" t="s">
        <v>832</v>
      </c>
      <c r="J6318" t="s">
        <v>833</v>
      </c>
      <c r="K6318" t="s">
        <v>834</v>
      </c>
      <c r="L6318" t="s">
        <v>835</v>
      </c>
      <c r="M6318" t="s">
        <v>836</v>
      </c>
      <c r="N6318" t="s">
        <v>281</v>
      </c>
      <c r="O6318" t="s">
        <v>837</v>
      </c>
      <c r="P6318" t="s">
        <v>838</v>
      </c>
      <c r="Q6318" t="s">
        <v>839</v>
      </c>
      <c r="R6318" t="s">
        <v>286</v>
      </c>
      <c r="S6318" t="s">
        <v>226</v>
      </c>
    </row>
    <row r="6319" spans="1:19" x14ac:dyDescent="0.35">
      <c r="A6319" s="27" t="s">
        <v>227</v>
      </c>
      <c r="B6319" s="27" t="s">
        <v>262</v>
      </c>
      <c r="C6319" s="28">
        <v>0.33329999999999999</v>
      </c>
      <c r="D6319" s="28">
        <v>0.66669999999999996</v>
      </c>
      <c r="E6319" s="28">
        <v>0.33329999999999999</v>
      </c>
      <c r="F6319" s="29"/>
      <c r="G6319" s="29"/>
      <c r="H6319" s="29"/>
      <c r="I6319" s="29"/>
      <c r="J6319" s="29"/>
      <c r="K6319" s="29"/>
      <c r="L6319" s="29"/>
      <c r="M6319" s="29"/>
      <c r="N6319" s="29"/>
      <c r="O6319" s="29"/>
      <c r="P6319" s="29"/>
      <c r="Q6319" s="29"/>
      <c r="R6319" s="29"/>
      <c r="S6319" s="29" t="s">
        <v>315</v>
      </c>
    </row>
    <row r="6320" spans="1:19" x14ac:dyDescent="0.35">
      <c r="A6320" t="s">
        <v>228</v>
      </c>
      <c r="B6320" t="s">
        <v>262</v>
      </c>
      <c r="C6320" s="26">
        <v>0.23619999999999999</v>
      </c>
      <c r="D6320" s="26">
        <v>0.40210000000000001</v>
      </c>
      <c r="E6320" s="26">
        <v>0.11890000000000001</v>
      </c>
      <c r="F6320" s="26">
        <v>0.10829999999999999</v>
      </c>
      <c r="G6320" s="26">
        <v>0.20180000000000001</v>
      </c>
      <c r="H6320" s="26">
        <v>0.1603</v>
      </c>
      <c r="I6320" s="26">
        <v>8.1500000000000003E-2</v>
      </c>
      <c r="J6320" s="26">
        <v>0.12870000000000001</v>
      </c>
      <c r="K6320" s="26">
        <v>9.3100000000000002E-2</v>
      </c>
      <c r="L6320" s="26">
        <v>4.6399999999999997E-2</v>
      </c>
      <c r="M6320" s="26">
        <v>2.8199999999999999E-2</v>
      </c>
      <c r="N6320" s="26">
        <v>2.2000000000000001E-3</v>
      </c>
      <c r="O6320" s="26">
        <v>2.5899999999999999E-2</v>
      </c>
      <c r="P6320" s="26">
        <v>1.0999999999999999E-2</v>
      </c>
      <c r="Q6320" s="26">
        <v>1.4800000000000001E-2</v>
      </c>
      <c r="R6320" s="26">
        <v>5.0000000000000001E-3</v>
      </c>
      <c r="S6320">
        <v>200</v>
      </c>
    </row>
    <row r="6321" spans="1:19" x14ac:dyDescent="0.35">
      <c r="A6321" t="s">
        <v>229</v>
      </c>
      <c r="B6321" t="s">
        <v>262</v>
      </c>
      <c r="C6321" s="26">
        <v>0.51670000000000005</v>
      </c>
      <c r="D6321" s="26">
        <v>0.33100000000000002</v>
      </c>
      <c r="E6321" s="26">
        <v>0.15790000000000001</v>
      </c>
      <c r="F6321" s="26">
        <v>0.1726</v>
      </c>
      <c r="G6321" s="26">
        <v>0.11559999999999999</v>
      </c>
      <c r="H6321" s="26">
        <v>7.9000000000000001E-2</v>
      </c>
      <c r="I6321" s="26">
        <v>5.67E-2</v>
      </c>
      <c r="J6321" s="26">
        <v>6.5299999999999997E-2</v>
      </c>
      <c r="K6321" s="26">
        <v>7.1999999999999995E-2</v>
      </c>
      <c r="L6321" s="26">
        <v>4.1799999999999997E-2</v>
      </c>
      <c r="M6321" s="26">
        <v>2.0500000000000001E-2</v>
      </c>
      <c r="N6321" s="26">
        <v>3.0999999999999999E-3</v>
      </c>
      <c r="O6321" s="26">
        <v>1.0999999999999999E-2</v>
      </c>
      <c r="P6321" s="26">
        <v>1.17E-2</v>
      </c>
      <c r="R6321" s="26">
        <v>2.3999999999999998E-3</v>
      </c>
      <c r="S6321">
        <v>186</v>
      </c>
    </row>
    <row r="6322" spans="1:19" x14ac:dyDescent="0.35">
      <c r="A6322" t="s">
        <v>230</v>
      </c>
      <c r="B6322" t="s">
        <v>262</v>
      </c>
      <c r="C6322" s="26">
        <v>0.31040000000000001</v>
      </c>
      <c r="D6322" s="26">
        <v>0.58879999999999999</v>
      </c>
      <c r="E6322" s="26">
        <v>5.3900000000000003E-2</v>
      </c>
      <c r="F6322" s="26">
        <v>9.5600000000000004E-2</v>
      </c>
      <c r="G6322" s="26">
        <v>0.1149</v>
      </c>
      <c r="H6322" s="26">
        <v>5.9400000000000001E-2</v>
      </c>
      <c r="I6322" s="26">
        <v>3.5799999999999998E-2</v>
      </c>
      <c r="J6322" s="26">
        <v>5.45E-2</v>
      </c>
      <c r="K6322" s="26">
        <v>6.4899999999999999E-2</v>
      </c>
      <c r="L6322" s="26">
        <v>2.1499999999999998E-2</v>
      </c>
      <c r="M6322" s="26">
        <v>1.1900000000000001E-2</v>
      </c>
      <c r="O6322" s="26">
        <v>3.7000000000000002E-3</v>
      </c>
      <c r="P6322" s="26">
        <v>9.5999999999999992E-3</v>
      </c>
      <c r="S6322">
        <v>121</v>
      </c>
    </row>
    <row r="6323" spans="1:19" x14ac:dyDescent="0.35">
      <c r="A6323" s="27" t="s">
        <v>231</v>
      </c>
      <c r="B6323" s="27" t="s">
        <v>262</v>
      </c>
      <c r="C6323" s="28">
        <v>0.36359999999999998</v>
      </c>
      <c r="D6323" s="28">
        <v>0.2727</v>
      </c>
      <c r="E6323" s="28">
        <v>9.0899999999999995E-2</v>
      </c>
      <c r="F6323" s="29"/>
      <c r="G6323" s="29"/>
      <c r="H6323" s="28">
        <v>9.0899999999999995E-2</v>
      </c>
      <c r="I6323" s="28">
        <v>0.2727</v>
      </c>
      <c r="J6323" s="29"/>
      <c r="K6323" s="29"/>
      <c r="L6323" s="28">
        <v>9.0899999999999995E-2</v>
      </c>
      <c r="M6323" s="29"/>
      <c r="N6323" s="28">
        <v>9.0899999999999995E-2</v>
      </c>
      <c r="O6323" s="29"/>
      <c r="P6323" s="29"/>
      <c r="Q6323" s="29"/>
      <c r="R6323" s="29"/>
      <c r="S6323" s="29" t="s">
        <v>352</v>
      </c>
    </row>
    <row r="6324" spans="1:19" x14ac:dyDescent="0.35">
      <c r="A6324" t="s">
        <v>232</v>
      </c>
      <c r="B6324" t="s">
        <v>232</v>
      </c>
      <c r="C6324" s="26">
        <v>0.41149999999999998</v>
      </c>
      <c r="D6324" s="26">
        <v>0.37119999999999997</v>
      </c>
      <c r="E6324" s="26">
        <v>0.13400000000000001</v>
      </c>
      <c r="F6324" s="26">
        <v>0.12559999999999999</v>
      </c>
      <c r="G6324" s="26">
        <v>0.1177</v>
      </c>
      <c r="H6324" s="26">
        <v>9.5000000000000001E-2</v>
      </c>
      <c r="I6324" s="26">
        <v>8.6300000000000002E-2</v>
      </c>
      <c r="J6324" s="26">
        <v>6.8699999999999997E-2</v>
      </c>
      <c r="K6324" s="26">
        <v>6.5500000000000003E-2</v>
      </c>
      <c r="L6324" s="26">
        <v>4.6199999999999998E-2</v>
      </c>
      <c r="M6324" s="26">
        <v>1.84E-2</v>
      </c>
      <c r="N6324" s="26">
        <v>1.3599999999999999E-2</v>
      </c>
      <c r="O6324" s="26">
        <v>1.2E-2</v>
      </c>
      <c r="P6324" s="26">
        <v>9.5999999999999992E-3</v>
      </c>
      <c r="Q6324" s="26">
        <v>3.3E-3</v>
      </c>
      <c r="R6324" s="26">
        <v>2.3999999999999998E-3</v>
      </c>
      <c r="S6324">
        <v>521</v>
      </c>
    </row>
    <row r="6326" spans="1:19" x14ac:dyDescent="0.35">
      <c r="A6326" s="1" t="s">
        <v>848</v>
      </c>
    </row>
    <row r="6327" spans="1:19" x14ac:dyDescent="0.35">
      <c r="A6327" t="s">
        <v>219</v>
      </c>
      <c r="B6327" t="s">
        <v>305</v>
      </c>
      <c r="C6327" t="s">
        <v>826</v>
      </c>
      <c r="D6327" t="s">
        <v>827</v>
      </c>
      <c r="E6327" t="s">
        <v>828</v>
      </c>
      <c r="F6327" t="s">
        <v>829</v>
      </c>
      <c r="G6327" t="s">
        <v>830</v>
      </c>
      <c r="H6327" t="s">
        <v>831</v>
      </c>
      <c r="I6327" t="s">
        <v>832</v>
      </c>
      <c r="J6327" t="s">
        <v>833</v>
      </c>
      <c r="K6327" t="s">
        <v>834</v>
      </c>
      <c r="L6327" t="s">
        <v>835</v>
      </c>
      <c r="M6327" t="s">
        <v>836</v>
      </c>
      <c r="N6327" t="s">
        <v>281</v>
      </c>
      <c r="O6327" t="s">
        <v>837</v>
      </c>
      <c r="P6327" t="s">
        <v>838</v>
      </c>
      <c r="Q6327" t="s">
        <v>839</v>
      </c>
      <c r="R6327" t="s">
        <v>286</v>
      </c>
      <c r="S6327" t="s">
        <v>226</v>
      </c>
    </row>
    <row r="6328" spans="1:19" x14ac:dyDescent="0.35">
      <c r="A6328" s="27" t="s">
        <v>227</v>
      </c>
      <c r="B6328" s="27" t="s">
        <v>369</v>
      </c>
      <c r="C6328" s="28">
        <v>0.33329999999999999</v>
      </c>
      <c r="D6328" s="28">
        <v>0.66669999999999996</v>
      </c>
      <c r="E6328" s="28">
        <v>0.33329999999999999</v>
      </c>
      <c r="F6328" s="29"/>
      <c r="G6328" s="29"/>
      <c r="H6328" s="29"/>
      <c r="I6328" s="29"/>
      <c r="J6328" s="29"/>
      <c r="K6328" s="29"/>
      <c r="L6328" s="29"/>
      <c r="M6328" s="29"/>
      <c r="N6328" s="29"/>
      <c r="O6328" s="29"/>
      <c r="P6328" s="29"/>
      <c r="Q6328" s="29"/>
      <c r="R6328" s="29"/>
      <c r="S6328" s="29" t="s">
        <v>315</v>
      </c>
    </row>
    <row r="6329" spans="1:19" x14ac:dyDescent="0.35">
      <c r="A6329" t="s">
        <v>228</v>
      </c>
      <c r="B6329" t="s">
        <v>369</v>
      </c>
      <c r="C6329" s="26">
        <v>0.23619999999999999</v>
      </c>
      <c r="D6329" s="26">
        <v>0.40210000000000001</v>
      </c>
      <c r="E6329" s="26">
        <v>0.11890000000000001</v>
      </c>
      <c r="F6329" s="26">
        <v>0.10829999999999999</v>
      </c>
      <c r="G6329" s="26">
        <v>0.20180000000000001</v>
      </c>
      <c r="H6329" s="26">
        <v>0.1603</v>
      </c>
      <c r="I6329" s="26">
        <v>8.1500000000000003E-2</v>
      </c>
      <c r="J6329" s="26">
        <v>0.12870000000000001</v>
      </c>
      <c r="K6329" s="26">
        <v>9.3100000000000002E-2</v>
      </c>
      <c r="L6329" s="26">
        <v>4.6399999999999997E-2</v>
      </c>
      <c r="M6329" s="26">
        <v>2.8199999999999999E-2</v>
      </c>
      <c r="N6329" s="26">
        <v>2.2000000000000001E-3</v>
      </c>
      <c r="O6329" s="26">
        <v>2.5899999999999999E-2</v>
      </c>
      <c r="P6329" s="26">
        <v>1.0999999999999999E-2</v>
      </c>
      <c r="Q6329" s="26">
        <v>1.4800000000000001E-2</v>
      </c>
      <c r="R6329" s="26">
        <v>5.0000000000000001E-3</v>
      </c>
      <c r="S6329">
        <v>200</v>
      </c>
    </row>
    <row r="6330" spans="1:19" x14ac:dyDescent="0.35">
      <c r="A6330" t="s">
        <v>229</v>
      </c>
      <c r="B6330" t="s">
        <v>369</v>
      </c>
      <c r="C6330" s="26">
        <v>0.51670000000000005</v>
      </c>
      <c r="D6330" s="26">
        <v>0.33100000000000002</v>
      </c>
      <c r="E6330" s="26">
        <v>0.15790000000000001</v>
      </c>
      <c r="F6330" s="26">
        <v>0.1726</v>
      </c>
      <c r="G6330" s="26">
        <v>0.11559999999999999</v>
      </c>
      <c r="H6330" s="26">
        <v>7.9000000000000001E-2</v>
      </c>
      <c r="I6330" s="26">
        <v>5.67E-2</v>
      </c>
      <c r="J6330" s="26">
        <v>6.5299999999999997E-2</v>
      </c>
      <c r="K6330" s="26">
        <v>7.1999999999999995E-2</v>
      </c>
      <c r="L6330" s="26">
        <v>4.1799999999999997E-2</v>
      </c>
      <c r="M6330" s="26">
        <v>2.0500000000000001E-2</v>
      </c>
      <c r="N6330" s="26">
        <v>3.0999999999999999E-3</v>
      </c>
      <c r="O6330" s="26">
        <v>1.0999999999999999E-2</v>
      </c>
      <c r="P6330" s="26">
        <v>1.17E-2</v>
      </c>
      <c r="R6330" s="26">
        <v>2.3999999999999998E-3</v>
      </c>
      <c r="S6330">
        <v>186</v>
      </c>
    </row>
    <row r="6331" spans="1:19" x14ac:dyDescent="0.35">
      <c r="A6331" t="s">
        <v>230</v>
      </c>
      <c r="B6331" t="s">
        <v>369</v>
      </c>
      <c r="C6331" s="26">
        <v>0.31040000000000001</v>
      </c>
      <c r="D6331" s="26">
        <v>0.58879999999999999</v>
      </c>
      <c r="E6331" s="26">
        <v>5.3900000000000003E-2</v>
      </c>
      <c r="F6331" s="26">
        <v>9.5600000000000004E-2</v>
      </c>
      <c r="G6331" s="26">
        <v>0.1149</v>
      </c>
      <c r="H6331" s="26">
        <v>5.9400000000000001E-2</v>
      </c>
      <c r="I6331" s="26">
        <v>3.5799999999999998E-2</v>
      </c>
      <c r="J6331" s="26">
        <v>5.45E-2</v>
      </c>
      <c r="K6331" s="26">
        <v>6.4899999999999999E-2</v>
      </c>
      <c r="L6331" s="26">
        <v>2.1499999999999998E-2</v>
      </c>
      <c r="M6331" s="26">
        <v>1.1900000000000001E-2</v>
      </c>
      <c r="O6331" s="26">
        <v>3.7000000000000002E-3</v>
      </c>
      <c r="P6331" s="26">
        <v>9.5999999999999992E-3</v>
      </c>
      <c r="S6331">
        <v>121</v>
      </c>
    </row>
    <row r="6332" spans="1:19" x14ac:dyDescent="0.35">
      <c r="A6332" s="27" t="s">
        <v>231</v>
      </c>
      <c r="B6332" s="27" t="s">
        <v>369</v>
      </c>
      <c r="C6332" s="28">
        <v>0.36359999999999998</v>
      </c>
      <c r="D6332" s="28">
        <v>0.2727</v>
      </c>
      <c r="E6332" s="28">
        <v>9.0899999999999995E-2</v>
      </c>
      <c r="F6332" s="29"/>
      <c r="G6332" s="29"/>
      <c r="H6332" s="28">
        <v>9.0899999999999995E-2</v>
      </c>
      <c r="I6332" s="28">
        <v>0.2727</v>
      </c>
      <c r="J6332" s="29"/>
      <c r="K6332" s="29"/>
      <c r="L6332" s="28">
        <v>9.0899999999999995E-2</v>
      </c>
      <c r="M6332" s="29"/>
      <c r="N6332" s="28">
        <v>9.0899999999999995E-2</v>
      </c>
      <c r="O6332" s="29"/>
      <c r="P6332" s="29"/>
      <c r="Q6332" s="29"/>
      <c r="R6332" s="29"/>
      <c r="S6332" s="29" t="s">
        <v>352</v>
      </c>
    </row>
    <row r="6333" spans="1:19" x14ac:dyDescent="0.35">
      <c r="A6333" t="s">
        <v>232</v>
      </c>
      <c r="B6333" t="s">
        <v>232</v>
      </c>
      <c r="C6333" s="26">
        <v>0.41149999999999998</v>
      </c>
      <c r="D6333" s="26">
        <v>0.37119999999999997</v>
      </c>
      <c r="E6333" s="26">
        <v>0.13400000000000001</v>
      </c>
      <c r="F6333" s="26">
        <v>0.12559999999999999</v>
      </c>
      <c r="G6333" s="26">
        <v>0.1177</v>
      </c>
      <c r="H6333" s="26">
        <v>9.5000000000000001E-2</v>
      </c>
      <c r="I6333" s="26">
        <v>8.6300000000000002E-2</v>
      </c>
      <c r="J6333" s="26">
        <v>6.8699999999999997E-2</v>
      </c>
      <c r="K6333" s="26">
        <v>6.5500000000000003E-2</v>
      </c>
      <c r="L6333" s="26">
        <v>4.6199999999999998E-2</v>
      </c>
      <c r="M6333" s="26">
        <v>1.84E-2</v>
      </c>
      <c r="N6333" s="26">
        <v>1.3599999999999999E-2</v>
      </c>
      <c r="O6333" s="26">
        <v>1.2E-2</v>
      </c>
      <c r="P6333" s="26">
        <v>9.5999999999999992E-3</v>
      </c>
      <c r="Q6333" s="26">
        <v>3.3E-3</v>
      </c>
      <c r="R6333" s="26">
        <v>2.3999999999999998E-3</v>
      </c>
      <c r="S6333">
        <v>521</v>
      </c>
    </row>
    <row r="6335" spans="1:19" x14ac:dyDescent="0.35">
      <c r="A6335" s="1" t="s">
        <v>849</v>
      </c>
    </row>
    <row r="6336" spans="1:19" x14ac:dyDescent="0.35">
      <c r="A6336" t="s">
        <v>219</v>
      </c>
      <c r="B6336" t="s">
        <v>305</v>
      </c>
      <c r="C6336" t="s">
        <v>826</v>
      </c>
      <c r="D6336" t="s">
        <v>827</v>
      </c>
      <c r="E6336" t="s">
        <v>828</v>
      </c>
      <c r="F6336" t="s">
        <v>829</v>
      </c>
      <c r="G6336" t="s">
        <v>830</v>
      </c>
      <c r="H6336" t="s">
        <v>831</v>
      </c>
      <c r="I6336" t="s">
        <v>832</v>
      </c>
      <c r="J6336" t="s">
        <v>833</v>
      </c>
      <c r="K6336" t="s">
        <v>834</v>
      </c>
      <c r="L6336" t="s">
        <v>835</v>
      </c>
      <c r="M6336" t="s">
        <v>836</v>
      </c>
      <c r="N6336" t="s">
        <v>281</v>
      </c>
      <c r="O6336" t="s">
        <v>837</v>
      </c>
      <c r="P6336" t="s">
        <v>838</v>
      </c>
      <c r="Q6336" t="s">
        <v>839</v>
      </c>
      <c r="R6336" t="s">
        <v>286</v>
      </c>
      <c r="S6336" t="s">
        <v>226</v>
      </c>
    </row>
    <row r="6337" spans="1:19" x14ac:dyDescent="0.35">
      <c r="A6337" s="27" t="s">
        <v>227</v>
      </c>
      <c r="B6337" s="27" t="s">
        <v>371</v>
      </c>
      <c r="C6337" s="28">
        <v>0.33329999999999999</v>
      </c>
      <c r="D6337" s="28">
        <v>0.66669999999999996</v>
      </c>
      <c r="E6337" s="28">
        <v>0.33329999999999999</v>
      </c>
      <c r="F6337" s="29"/>
      <c r="G6337" s="29"/>
      <c r="H6337" s="29"/>
      <c r="I6337" s="29"/>
      <c r="J6337" s="29"/>
      <c r="K6337" s="29"/>
      <c r="L6337" s="29"/>
      <c r="M6337" s="29"/>
      <c r="N6337" s="29"/>
      <c r="O6337" s="29"/>
      <c r="P6337" s="29"/>
      <c r="Q6337" s="29"/>
      <c r="R6337" s="29"/>
      <c r="S6337" s="29" t="s">
        <v>315</v>
      </c>
    </row>
    <row r="6338" spans="1:19" x14ac:dyDescent="0.35">
      <c r="A6338" t="s">
        <v>228</v>
      </c>
      <c r="B6338" t="s">
        <v>371</v>
      </c>
      <c r="C6338" s="26">
        <v>0.12970000000000001</v>
      </c>
      <c r="D6338" s="26">
        <v>0.62019999999999997</v>
      </c>
      <c r="E6338" s="26">
        <v>0.1754</v>
      </c>
      <c r="F6338" s="26">
        <v>6.3500000000000001E-2</v>
      </c>
      <c r="G6338" s="26">
        <v>0.18759999999999999</v>
      </c>
      <c r="H6338" s="26">
        <v>6.25E-2</v>
      </c>
      <c r="I6338" s="26">
        <v>0.12509999999999999</v>
      </c>
      <c r="J6338" s="26">
        <v>6.25E-2</v>
      </c>
      <c r="K6338" s="26">
        <v>0.16930000000000001</v>
      </c>
      <c r="L6338" s="26">
        <v>6.25E-2</v>
      </c>
      <c r="Q6338" s="26">
        <v>6.1000000000000004E-3</v>
      </c>
      <c r="S6338">
        <v>40</v>
      </c>
    </row>
    <row r="6339" spans="1:19" x14ac:dyDescent="0.35">
      <c r="A6339" t="s">
        <v>228</v>
      </c>
      <c r="B6339" t="s">
        <v>372</v>
      </c>
      <c r="C6339" s="26">
        <v>0.15260000000000001</v>
      </c>
      <c r="D6339" s="26">
        <v>0.31090000000000001</v>
      </c>
      <c r="E6339" s="26">
        <v>3.3099999999999997E-2</v>
      </c>
      <c r="F6339" s="26">
        <v>0.21390000000000001</v>
      </c>
      <c r="G6339" s="26">
        <v>0.16489999999999999</v>
      </c>
      <c r="H6339" s="26">
        <v>0.19800000000000001</v>
      </c>
      <c r="J6339" s="26">
        <v>0.12690000000000001</v>
      </c>
      <c r="K6339" s="26">
        <v>5.6399999999999999E-2</v>
      </c>
      <c r="L6339" s="26">
        <v>1.6500000000000001E-2</v>
      </c>
      <c r="P6339" s="26">
        <v>3.3099999999999997E-2</v>
      </c>
      <c r="Q6339" s="26">
        <v>6.13E-2</v>
      </c>
      <c r="R6339" s="26">
        <v>5.6399999999999999E-2</v>
      </c>
      <c r="S6339">
        <v>43</v>
      </c>
    </row>
    <row r="6340" spans="1:19" x14ac:dyDescent="0.35">
      <c r="A6340" t="s">
        <v>228</v>
      </c>
      <c r="B6340" t="s">
        <v>373</v>
      </c>
      <c r="C6340" s="26">
        <v>0.31730000000000003</v>
      </c>
      <c r="D6340" s="26">
        <v>0.27760000000000001</v>
      </c>
      <c r="E6340" s="26">
        <v>9.6500000000000002E-2</v>
      </c>
      <c r="F6340" s="26">
        <v>0.1202</v>
      </c>
      <c r="G6340" s="26">
        <v>0.2167</v>
      </c>
      <c r="H6340" s="26">
        <v>0.21659999999999999</v>
      </c>
      <c r="I6340" s="26">
        <v>6.6699999999999995E-2</v>
      </c>
      <c r="J6340" s="26">
        <v>0.17100000000000001</v>
      </c>
      <c r="K6340" s="26">
        <v>5.04E-2</v>
      </c>
      <c r="L6340" s="26">
        <v>4.0800000000000003E-2</v>
      </c>
      <c r="M6340" s="26">
        <v>5.0599999999999999E-2</v>
      </c>
      <c r="N6340" s="26">
        <v>3.8999999999999998E-3</v>
      </c>
      <c r="O6340" s="26">
        <v>4.65E-2</v>
      </c>
      <c r="P6340" s="26">
        <v>1.4500000000000001E-2</v>
      </c>
      <c r="Q6340" s="26">
        <v>1.2999999999999999E-2</v>
      </c>
      <c r="S6340">
        <v>117</v>
      </c>
    </row>
    <row r="6341" spans="1:19" x14ac:dyDescent="0.35">
      <c r="A6341" t="s">
        <v>229</v>
      </c>
      <c r="B6341" t="s">
        <v>371</v>
      </c>
      <c r="C6341" s="26">
        <v>0.51739999999999997</v>
      </c>
      <c r="D6341" s="26">
        <v>0.32950000000000002</v>
      </c>
      <c r="E6341" s="26">
        <v>0.16259999999999999</v>
      </c>
      <c r="F6341" s="26">
        <v>0.18210000000000001</v>
      </c>
      <c r="G6341" s="26">
        <v>0.1186</v>
      </c>
      <c r="H6341" s="26">
        <v>7.7100000000000002E-2</v>
      </c>
      <c r="I6341" s="26">
        <v>5.6399999999999999E-2</v>
      </c>
      <c r="J6341" s="26">
        <v>6.3500000000000001E-2</v>
      </c>
      <c r="K6341" s="26">
        <v>7.0599999999999996E-2</v>
      </c>
      <c r="L6341" s="26">
        <v>4.02E-2</v>
      </c>
      <c r="M6341" s="26">
        <v>2.1399999999999999E-2</v>
      </c>
      <c r="N6341" s="26">
        <v>3.3E-3</v>
      </c>
      <c r="O6341" s="26">
        <v>1.04E-2</v>
      </c>
      <c r="P6341" s="26">
        <v>1.17E-2</v>
      </c>
      <c r="R6341" s="26">
        <v>2.5999999999999999E-3</v>
      </c>
      <c r="S6341">
        <v>126</v>
      </c>
    </row>
    <row r="6342" spans="1:19" x14ac:dyDescent="0.35">
      <c r="A6342" t="s">
        <v>229</v>
      </c>
      <c r="B6342" t="s">
        <v>372</v>
      </c>
      <c r="C6342" s="26">
        <v>0.38200000000000001</v>
      </c>
      <c r="D6342" s="26">
        <v>0.39929999999999999</v>
      </c>
      <c r="E6342" s="26">
        <v>0.06</v>
      </c>
      <c r="F6342" s="26">
        <v>0.03</v>
      </c>
      <c r="G6342" s="26">
        <v>9.8699999999999996E-2</v>
      </c>
      <c r="H6342" s="26">
        <v>8.5999999999999993E-2</v>
      </c>
      <c r="I6342" s="26">
        <v>0.06</v>
      </c>
      <c r="J6342" s="26">
        <v>0.13730000000000001</v>
      </c>
      <c r="K6342" s="26">
        <v>0.13730000000000001</v>
      </c>
      <c r="L6342" s="26">
        <v>9.8699999999999996E-2</v>
      </c>
      <c r="M6342" s="26">
        <v>8.6999999999999994E-3</v>
      </c>
      <c r="O6342" s="26">
        <v>0.03</v>
      </c>
      <c r="P6342" s="26">
        <v>1.7299999999999999E-2</v>
      </c>
      <c r="S6342">
        <v>44</v>
      </c>
    </row>
    <row r="6343" spans="1:19" x14ac:dyDescent="0.35">
      <c r="A6343" s="27" t="s">
        <v>229</v>
      </c>
      <c r="B6343" s="27" t="s">
        <v>373</v>
      </c>
      <c r="C6343" s="28">
        <v>0.77349999999999997</v>
      </c>
      <c r="D6343" s="28">
        <v>0.25779999999999997</v>
      </c>
      <c r="E6343" s="28">
        <v>0.12889999999999999</v>
      </c>
      <c r="F6343" s="29"/>
      <c r="G6343" s="29"/>
      <c r="H6343" s="28">
        <v>0.16200000000000001</v>
      </c>
      <c r="I6343" s="28">
        <v>6.4500000000000002E-2</v>
      </c>
      <c r="J6343" s="29"/>
      <c r="K6343" s="29"/>
      <c r="L6343" s="29"/>
      <c r="M6343" s="29"/>
      <c r="N6343" s="29"/>
      <c r="O6343" s="29"/>
      <c r="P6343" s="29"/>
      <c r="Q6343" s="29"/>
      <c r="R6343" s="29"/>
      <c r="S6343" s="29" t="s">
        <v>348</v>
      </c>
    </row>
    <row r="6344" spans="1:19" x14ac:dyDescent="0.35">
      <c r="A6344" t="s">
        <v>230</v>
      </c>
      <c r="B6344" t="s">
        <v>371</v>
      </c>
      <c r="C6344" s="26">
        <v>0.29920000000000002</v>
      </c>
      <c r="D6344" s="26">
        <v>0.65359999999999996</v>
      </c>
      <c r="E6344" s="26">
        <v>5.5899999999999998E-2</v>
      </c>
      <c r="F6344" s="26">
        <v>0.12130000000000001</v>
      </c>
      <c r="G6344" s="26">
        <v>0.13070000000000001</v>
      </c>
      <c r="H6344" s="26">
        <v>2.8299999999999999E-2</v>
      </c>
      <c r="I6344" s="26">
        <v>9.4000000000000004E-3</v>
      </c>
      <c r="J6344" s="26">
        <v>9.4000000000000004E-3</v>
      </c>
      <c r="K6344" s="26">
        <v>2.8299999999999999E-2</v>
      </c>
      <c r="S6344">
        <v>37</v>
      </c>
    </row>
    <row r="6345" spans="1:19" x14ac:dyDescent="0.35">
      <c r="A6345" t="s">
        <v>230</v>
      </c>
      <c r="B6345" t="s">
        <v>372</v>
      </c>
      <c r="C6345" s="26">
        <v>0.1787</v>
      </c>
      <c r="D6345" s="26">
        <v>0.49759999999999999</v>
      </c>
      <c r="E6345" s="26">
        <v>6.2799999999999995E-2</v>
      </c>
      <c r="F6345" s="26">
        <v>5.8000000000000003E-2</v>
      </c>
      <c r="G6345" s="26">
        <v>0.1353</v>
      </c>
      <c r="H6345" s="26">
        <v>5.8000000000000003E-2</v>
      </c>
      <c r="I6345" s="26">
        <v>6.2799999999999995E-2</v>
      </c>
      <c r="J6345" s="26">
        <v>0.30430000000000001</v>
      </c>
      <c r="K6345" s="26">
        <v>0.22220000000000001</v>
      </c>
      <c r="L6345" s="26">
        <v>3.8699999999999998E-2</v>
      </c>
      <c r="O6345" s="26">
        <v>3.8699999999999998E-2</v>
      </c>
      <c r="P6345" s="26">
        <v>1.9300000000000001E-2</v>
      </c>
      <c r="S6345">
        <v>36</v>
      </c>
    </row>
    <row r="6346" spans="1:19" x14ac:dyDescent="0.35">
      <c r="A6346" t="s">
        <v>230</v>
      </c>
      <c r="B6346" t="s">
        <v>373</v>
      </c>
      <c r="C6346" s="26">
        <v>0.38600000000000001</v>
      </c>
      <c r="D6346" s="26">
        <v>0.46139999999999998</v>
      </c>
      <c r="E6346" s="26">
        <v>4.5600000000000002E-2</v>
      </c>
      <c r="F6346" s="26">
        <v>4.5600000000000002E-2</v>
      </c>
      <c r="G6346" s="26">
        <v>6.8400000000000002E-2</v>
      </c>
      <c r="H6346" s="26">
        <v>0.1368</v>
      </c>
      <c r="I6346" s="26">
        <v>9.1200000000000003E-2</v>
      </c>
      <c r="J6346" s="26">
        <v>7.5399999999999995E-2</v>
      </c>
      <c r="K6346" s="26">
        <v>9.8199999999999996E-2</v>
      </c>
      <c r="L6346" s="26">
        <v>6.8400000000000002E-2</v>
      </c>
      <c r="M6346" s="26">
        <v>4.5600000000000002E-2</v>
      </c>
      <c r="P6346" s="26">
        <v>2.98E-2</v>
      </c>
      <c r="S6346">
        <v>48</v>
      </c>
    </row>
    <row r="6347" spans="1:19" x14ac:dyDescent="0.35">
      <c r="A6347" s="27" t="s">
        <v>231</v>
      </c>
      <c r="B6347" s="27" t="s">
        <v>371</v>
      </c>
      <c r="C6347" s="28">
        <v>0.36359999999999998</v>
      </c>
      <c r="D6347" s="28">
        <v>0.2727</v>
      </c>
      <c r="E6347" s="28">
        <v>9.0899999999999995E-2</v>
      </c>
      <c r="F6347" s="29"/>
      <c r="G6347" s="29"/>
      <c r="H6347" s="28">
        <v>9.0899999999999995E-2</v>
      </c>
      <c r="I6347" s="28">
        <v>0.2727</v>
      </c>
      <c r="J6347" s="29"/>
      <c r="K6347" s="29"/>
      <c r="L6347" s="28">
        <v>9.0899999999999995E-2</v>
      </c>
      <c r="M6347" s="29"/>
      <c r="N6347" s="28">
        <v>9.0899999999999995E-2</v>
      </c>
      <c r="O6347" s="29"/>
      <c r="P6347" s="29"/>
      <c r="Q6347" s="29"/>
      <c r="R6347" s="29"/>
      <c r="S6347" s="29" t="s">
        <v>352</v>
      </c>
    </row>
    <row r="6348" spans="1:19" x14ac:dyDescent="0.35">
      <c r="A6348" t="s">
        <v>232</v>
      </c>
      <c r="B6348" t="s">
        <v>232</v>
      </c>
      <c r="C6348" s="26">
        <v>0.41149999999999998</v>
      </c>
      <c r="D6348" s="26">
        <v>0.37119999999999997</v>
      </c>
      <c r="E6348" s="26">
        <v>0.13400000000000001</v>
      </c>
      <c r="F6348" s="26">
        <v>0.12559999999999999</v>
      </c>
      <c r="G6348" s="26">
        <v>0.1177</v>
      </c>
      <c r="H6348" s="26">
        <v>9.5000000000000001E-2</v>
      </c>
      <c r="I6348" s="26">
        <v>8.6300000000000002E-2</v>
      </c>
      <c r="J6348" s="26">
        <v>6.8699999999999997E-2</v>
      </c>
      <c r="K6348" s="26">
        <v>6.5500000000000003E-2</v>
      </c>
      <c r="L6348" s="26">
        <v>4.6199999999999998E-2</v>
      </c>
      <c r="M6348" s="26">
        <v>1.84E-2</v>
      </c>
      <c r="N6348" s="26">
        <v>1.3599999999999999E-2</v>
      </c>
      <c r="O6348" s="26">
        <v>1.2E-2</v>
      </c>
      <c r="P6348" s="26">
        <v>9.5999999999999992E-3</v>
      </c>
      <c r="Q6348" s="26">
        <v>3.3E-3</v>
      </c>
      <c r="R6348" s="26">
        <v>2.3999999999999998E-3</v>
      </c>
      <c r="S6348">
        <v>521</v>
      </c>
    </row>
    <row r="6350" spans="1:19" x14ac:dyDescent="0.35">
      <c r="A6350" s="1" t="s">
        <v>850</v>
      </c>
    </row>
    <row r="6351" spans="1:19" x14ac:dyDescent="0.35">
      <c r="A6351" t="s">
        <v>219</v>
      </c>
      <c r="B6351" t="s">
        <v>305</v>
      </c>
      <c r="C6351" t="s">
        <v>826</v>
      </c>
      <c r="D6351" t="s">
        <v>827</v>
      </c>
      <c r="E6351" t="s">
        <v>828</v>
      </c>
      <c r="F6351" t="s">
        <v>829</v>
      </c>
      <c r="G6351" t="s">
        <v>830</v>
      </c>
      <c r="H6351" t="s">
        <v>831</v>
      </c>
      <c r="I6351" t="s">
        <v>832</v>
      </c>
      <c r="J6351" t="s">
        <v>833</v>
      </c>
      <c r="K6351" t="s">
        <v>834</v>
      </c>
      <c r="L6351" t="s">
        <v>835</v>
      </c>
      <c r="M6351" t="s">
        <v>836</v>
      </c>
      <c r="N6351" t="s">
        <v>281</v>
      </c>
      <c r="O6351" t="s">
        <v>837</v>
      </c>
      <c r="P6351" t="s">
        <v>838</v>
      </c>
      <c r="Q6351" t="s">
        <v>839</v>
      </c>
      <c r="R6351" t="s">
        <v>286</v>
      </c>
      <c r="S6351" t="s">
        <v>226</v>
      </c>
    </row>
    <row r="6352" spans="1:19" x14ac:dyDescent="0.35">
      <c r="A6352" s="27" t="s">
        <v>227</v>
      </c>
      <c r="B6352" s="27" t="s">
        <v>255</v>
      </c>
      <c r="C6352" s="28">
        <v>1</v>
      </c>
      <c r="D6352" s="28">
        <v>1</v>
      </c>
      <c r="E6352" s="29"/>
      <c r="F6352" s="29"/>
      <c r="G6352" s="29"/>
      <c r="H6352" s="29"/>
      <c r="I6352" s="29"/>
      <c r="J6352" s="29"/>
      <c r="K6352" s="29"/>
      <c r="L6352" s="29"/>
      <c r="M6352" s="29"/>
      <c r="N6352" s="29"/>
      <c r="O6352" s="29"/>
      <c r="P6352" s="29"/>
      <c r="Q6352" s="29"/>
      <c r="R6352" s="29"/>
      <c r="S6352" s="29" t="s">
        <v>331</v>
      </c>
    </row>
    <row r="6353" spans="1:19" x14ac:dyDescent="0.35">
      <c r="A6353" s="27" t="s">
        <v>227</v>
      </c>
      <c r="B6353" s="27" t="s">
        <v>256</v>
      </c>
      <c r="C6353" s="29"/>
      <c r="D6353" s="28">
        <v>0.5</v>
      </c>
      <c r="E6353" s="28">
        <v>0.5</v>
      </c>
      <c r="F6353" s="29"/>
      <c r="G6353" s="29"/>
      <c r="H6353" s="29"/>
      <c r="I6353" s="29"/>
      <c r="J6353" s="29"/>
      <c r="K6353" s="29"/>
      <c r="L6353" s="29"/>
      <c r="M6353" s="29"/>
      <c r="N6353" s="29"/>
      <c r="O6353" s="29"/>
      <c r="P6353" s="29"/>
      <c r="Q6353" s="29"/>
      <c r="R6353" s="29"/>
      <c r="S6353" s="29" t="s">
        <v>314</v>
      </c>
    </row>
    <row r="6354" spans="1:19" x14ac:dyDescent="0.35">
      <c r="A6354" t="s">
        <v>228</v>
      </c>
      <c r="B6354" t="s">
        <v>255</v>
      </c>
      <c r="C6354" s="26">
        <v>0.22109999999999999</v>
      </c>
      <c r="D6354" s="26">
        <v>0.42649999999999999</v>
      </c>
      <c r="E6354" s="26">
        <v>9.1899999999999996E-2</v>
      </c>
      <c r="F6354" s="26">
        <v>8.9899999999999994E-2</v>
      </c>
      <c r="G6354" s="26">
        <v>0.13339999999999999</v>
      </c>
      <c r="H6354" s="26">
        <v>0.1449</v>
      </c>
      <c r="I6354" s="26">
        <v>0.10489999999999999</v>
      </c>
      <c r="J6354" s="26">
        <v>0.14960000000000001</v>
      </c>
      <c r="K6354" s="26">
        <v>7.7200000000000005E-2</v>
      </c>
      <c r="L6354" s="26">
        <v>2.12E-2</v>
      </c>
      <c r="M6354" s="26">
        <v>2.46E-2</v>
      </c>
      <c r="N6354" s="26">
        <v>3.8E-3</v>
      </c>
      <c r="O6354" s="26">
        <v>2.07E-2</v>
      </c>
      <c r="P6354" s="26">
        <v>1.34E-2</v>
      </c>
      <c r="Q6354" s="26">
        <v>2.5999999999999999E-3</v>
      </c>
      <c r="R6354" s="26">
        <v>4.4000000000000003E-3</v>
      </c>
      <c r="S6354">
        <v>125</v>
      </c>
    </row>
    <row r="6355" spans="1:19" x14ac:dyDescent="0.35">
      <c r="A6355" t="s">
        <v>228</v>
      </c>
      <c r="B6355" t="s">
        <v>256</v>
      </c>
      <c r="C6355" s="26">
        <v>0.26919999999999999</v>
      </c>
      <c r="D6355" s="26">
        <v>0.37</v>
      </c>
      <c r="E6355" s="26">
        <v>0.16769999999999999</v>
      </c>
      <c r="F6355" s="26">
        <v>0.121</v>
      </c>
      <c r="G6355" s="26">
        <v>0.30549999999999999</v>
      </c>
      <c r="H6355" s="26">
        <v>0.17180000000000001</v>
      </c>
      <c r="I6355" s="26">
        <v>3.56E-2</v>
      </c>
      <c r="J6355" s="26">
        <v>0.1091</v>
      </c>
      <c r="K6355" s="26">
        <v>0.11749999999999999</v>
      </c>
      <c r="L6355" s="26">
        <v>8.6499999999999994E-2</v>
      </c>
      <c r="M6355" s="26">
        <v>3.56E-2</v>
      </c>
      <c r="O6355" s="26">
        <v>3.56E-2</v>
      </c>
      <c r="P6355" s="26">
        <v>8.3000000000000001E-3</v>
      </c>
      <c r="Q6355" s="26">
        <v>1.2800000000000001E-2</v>
      </c>
      <c r="R6355" s="26">
        <v>6.3E-3</v>
      </c>
      <c r="S6355">
        <v>65</v>
      </c>
    </row>
    <row r="6356" spans="1:19" x14ac:dyDescent="0.35">
      <c r="A6356" s="27" t="s">
        <v>228</v>
      </c>
      <c r="B6356" s="27" t="s">
        <v>257</v>
      </c>
      <c r="C6356" s="28">
        <v>0.11219999999999999</v>
      </c>
      <c r="D6356" s="28">
        <v>0.4047</v>
      </c>
      <c r="E6356" s="29"/>
      <c r="F6356" s="28">
        <v>0.1968</v>
      </c>
      <c r="G6356" s="28">
        <v>0.15820000000000001</v>
      </c>
      <c r="H6356" s="28">
        <v>0.32400000000000001</v>
      </c>
      <c r="I6356" s="28">
        <v>0.255</v>
      </c>
      <c r="J6356" s="29"/>
      <c r="K6356" s="28">
        <v>8.4699999999999998E-2</v>
      </c>
      <c r="L6356" s="29"/>
      <c r="M6356" s="29"/>
      <c r="N6356" s="29"/>
      <c r="O6356" s="29"/>
      <c r="P6356" s="29"/>
      <c r="Q6356" s="28">
        <v>0.28149999999999997</v>
      </c>
      <c r="R6356" s="29"/>
      <c r="S6356" s="29" t="s">
        <v>334</v>
      </c>
    </row>
    <row r="6357" spans="1:19" x14ac:dyDescent="0.35">
      <c r="A6357" s="27" t="s">
        <v>228</v>
      </c>
      <c r="B6357" s="27" t="s">
        <v>258</v>
      </c>
      <c r="C6357" s="29"/>
      <c r="D6357" s="29"/>
      <c r="E6357" s="29"/>
      <c r="F6357" s="28">
        <v>1</v>
      </c>
      <c r="G6357" s="29"/>
      <c r="H6357" s="29"/>
      <c r="I6357" s="29"/>
      <c r="J6357" s="29"/>
      <c r="K6357" s="29"/>
      <c r="L6357" s="29"/>
      <c r="M6357" s="29"/>
      <c r="N6357" s="29"/>
      <c r="O6357" s="29"/>
      <c r="P6357" s="29"/>
      <c r="Q6357" s="29"/>
      <c r="R6357" s="29"/>
      <c r="S6357" s="29" t="s">
        <v>331</v>
      </c>
    </row>
    <row r="6358" spans="1:19" x14ac:dyDescent="0.35">
      <c r="A6358" t="s">
        <v>229</v>
      </c>
      <c r="B6358" t="s">
        <v>255</v>
      </c>
      <c r="C6358" s="26">
        <v>0.52159999999999995</v>
      </c>
      <c r="D6358" s="26">
        <v>0.30059999999999998</v>
      </c>
      <c r="E6358" s="26">
        <v>0.1605</v>
      </c>
      <c r="F6358" s="26">
        <v>0.13489999999999999</v>
      </c>
      <c r="G6358" s="26">
        <v>0.13689999999999999</v>
      </c>
      <c r="H6358" s="26">
        <v>8.4599999999999995E-2</v>
      </c>
      <c r="I6358" s="26">
        <v>4.3799999999999999E-2</v>
      </c>
      <c r="J6358" s="26">
        <v>6.2E-2</v>
      </c>
      <c r="K6358" s="26">
        <v>5.2299999999999999E-2</v>
      </c>
      <c r="L6358" s="26">
        <v>5.3400000000000003E-2</v>
      </c>
      <c r="M6358" s="26">
        <v>2.1899999999999999E-2</v>
      </c>
      <c r="N6358" s="26">
        <v>4.8999999999999998E-3</v>
      </c>
      <c r="O6358" s="26">
        <v>2.07E-2</v>
      </c>
      <c r="P6358" s="26">
        <v>2.3300000000000001E-2</v>
      </c>
      <c r="R6358" s="26">
        <v>4.8999999999999998E-3</v>
      </c>
      <c r="S6358">
        <v>102</v>
      </c>
    </row>
    <row r="6359" spans="1:19" x14ac:dyDescent="0.35">
      <c r="A6359" t="s">
        <v>229</v>
      </c>
      <c r="B6359" t="s">
        <v>256</v>
      </c>
      <c r="C6359" s="26">
        <v>0.50700000000000001</v>
      </c>
      <c r="D6359" s="26">
        <v>0.36030000000000001</v>
      </c>
      <c r="E6359" s="26">
        <v>0.13650000000000001</v>
      </c>
      <c r="F6359" s="26">
        <v>0.23319999999999999</v>
      </c>
      <c r="G6359" s="26">
        <v>8.3099999999999993E-2</v>
      </c>
      <c r="H6359" s="26">
        <v>6.0900000000000003E-2</v>
      </c>
      <c r="I6359" s="26">
        <v>5.9299999999999999E-2</v>
      </c>
      <c r="J6359" s="26">
        <v>8.3199999999999996E-2</v>
      </c>
      <c r="K6359" s="26">
        <v>8.4599999999999995E-2</v>
      </c>
      <c r="L6359" s="26">
        <v>3.6400000000000002E-2</v>
      </c>
      <c r="M6359" s="26">
        <v>8.0000000000000004E-4</v>
      </c>
      <c r="N6359" s="26">
        <v>1.5E-3</v>
      </c>
      <c r="O6359" s="26">
        <v>1.5E-3</v>
      </c>
      <c r="S6359">
        <v>70</v>
      </c>
    </row>
    <row r="6360" spans="1:19" x14ac:dyDescent="0.35">
      <c r="A6360" s="27" t="s">
        <v>229</v>
      </c>
      <c r="B6360" s="27" t="s">
        <v>257</v>
      </c>
      <c r="C6360" s="28">
        <v>0.53459999999999996</v>
      </c>
      <c r="D6360" s="28">
        <v>0.36770000000000003</v>
      </c>
      <c r="E6360" s="28">
        <v>0.2429</v>
      </c>
      <c r="F6360" s="28">
        <v>0.10440000000000001</v>
      </c>
      <c r="G6360" s="28">
        <v>0.14560000000000001</v>
      </c>
      <c r="H6360" s="28">
        <v>0.13189999999999999</v>
      </c>
      <c r="I6360" s="28">
        <v>0.1181</v>
      </c>
      <c r="J6360" s="29"/>
      <c r="K6360" s="28">
        <v>0.12479999999999999</v>
      </c>
      <c r="L6360" s="29"/>
      <c r="M6360" s="28">
        <v>0.10440000000000001</v>
      </c>
      <c r="N6360" s="29"/>
      <c r="O6360" s="29"/>
      <c r="P6360" s="29"/>
      <c r="Q6360" s="29"/>
      <c r="R6360" s="29"/>
      <c r="S6360" s="29" t="s">
        <v>379</v>
      </c>
    </row>
    <row r="6361" spans="1:19" x14ac:dyDescent="0.35">
      <c r="A6361" t="s">
        <v>230</v>
      </c>
      <c r="B6361" t="s">
        <v>255</v>
      </c>
      <c r="C6361" s="26">
        <v>0.2079</v>
      </c>
      <c r="D6361" s="26">
        <v>0.69679999999999997</v>
      </c>
      <c r="E6361" s="26">
        <v>1.04E-2</v>
      </c>
      <c r="F6361" s="26">
        <v>7.6399999999999996E-2</v>
      </c>
      <c r="G6361" s="26">
        <v>0.15909999999999999</v>
      </c>
      <c r="H6361" s="26">
        <v>4.0599999999999997E-2</v>
      </c>
      <c r="I6361" s="26">
        <v>4.1399999999999999E-2</v>
      </c>
      <c r="J6361" s="26">
        <v>8.8599999999999998E-2</v>
      </c>
      <c r="K6361" s="26">
        <v>7.22E-2</v>
      </c>
      <c r="L6361" s="26">
        <v>2.7099999999999999E-2</v>
      </c>
      <c r="M6361" s="26">
        <v>1.04E-2</v>
      </c>
      <c r="O6361" s="26">
        <v>6.4000000000000003E-3</v>
      </c>
      <c r="P6361" s="26">
        <v>3.2000000000000002E-3</v>
      </c>
      <c r="S6361">
        <v>71</v>
      </c>
    </row>
    <row r="6362" spans="1:19" x14ac:dyDescent="0.35">
      <c r="A6362" t="s">
        <v>230</v>
      </c>
      <c r="B6362" t="s">
        <v>256</v>
      </c>
      <c r="C6362" s="26">
        <v>0.3947</v>
      </c>
      <c r="D6362" s="26">
        <v>0.49080000000000001</v>
      </c>
      <c r="E6362" s="26">
        <v>0.1265</v>
      </c>
      <c r="F6362" s="26">
        <v>0.15029999999999999</v>
      </c>
      <c r="G6362" s="26">
        <v>4.7199999999999999E-2</v>
      </c>
      <c r="H6362" s="26">
        <v>7.2400000000000006E-2</v>
      </c>
      <c r="I6362" s="26">
        <v>3.6200000000000003E-2</v>
      </c>
      <c r="J6362" s="26">
        <v>1.0999999999999999E-2</v>
      </c>
      <c r="K6362" s="26">
        <v>5.2699999999999997E-2</v>
      </c>
      <c r="L6362" s="26">
        <v>1.7899999999999999E-2</v>
      </c>
      <c r="P6362" s="26">
        <v>5.4999999999999997E-3</v>
      </c>
      <c r="S6362">
        <v>38</v>
      </c>
    </row>
    <row r="6363" spans="1:19" x14ac:dyDescent="0.35">
      <c r="A6363" s="27" t="s">
        <v>230</v>
      </c>
      <c r="B6363" s="27" t="s">
        <v>257</v>
      </c>
      <c r="C6363" s="28">
        <v>0.63959999999999995</v>
      </c>
      <c r="D6363" s="28">
        <v>0.27450000000000002</v>
      </c>
      <c r="E6363" s="28">
        <v>6.3399999999999998E-2</v>
      </c>
      <c r="F6363" s="28">
        <v>1.95E-2</v>
      </c>
      <c r="G6363" s="28">
        <v>8.4400000000000003E-2</v>
      </c>
      <c r="H6363" s="28">
        <v>0.1283</v>
      </c>
      <c r="I6363" s="29"/>
      <c r="J6363" s="29"/>
      <c r="K6363" s="28">
        <v>6.3399999999999998E-2</v>
      </c>
      <c r="L6363" s="29"/>
      <c r="M6363" s="28">
        <v>6.3399999999999998E-2</v>
      </c>
      <c r="N6363" s="29"/>
      <c r="O6363" s="29"/>
      <c r="P6363" s="28">
        <v>6.3399999999999998E-2</v>
      </c>
      <c r="Q6363" s="29"/>
      <c r="R6363" s="29"/>
      <c r="S6363" s="29" t="s">
        <v>342</v>
      </c>
    </row>
    <row r="6364" spans="1:19" x14ac:dyDescent="0.35">
      <c r="A6364" s="27" t="s">
        <v>231</v>
      </c>
      <c r="B6364" s="27" t="s">
        <v>255</v>
      </c>
      <c r="C6364" s="28">
        <v>0.28570000000000001</v>
      </c>
      <c r="D6364" s="28">
        <v>0.1429</v>
      </c>
      <c r="E6364" s="29"/>
      <c r="F6364" s="29"/>
      <c r="G6364" s="29"/>
      <c r="H6364" s="28">
        <v>0.1429</v>
      </c>
      <c r="I6364" s="28">
        <v>0.28570000000000001</v>
      </c>
      <c r="J6364" s="29"/>
      <c r="K6364" s="29"/>
      <c r="L6364" s="28">
        <v>0.1429</v>
      </c>
      <c r="M6364" s="29"/>
      <c r="N6364" s="28">
        <v>0.1429</v>
      </c>
      <c r="O6364" s="29"/>
      <c r="P6364" s="29"/>
      <c r="Q6364" s="29"/>
      <c r="R6364" s="29"/>
      <c r="S6364" s="29" t="s">
        <v>339</v>
      </c>
    </row>
    <row r="6365" spans="1:19" x14ac:dyDescent="0.35">
      <c r="A6365" s="27" t="s">
        <v>231</v>
      </c>
      <c r="B6365" s="27" t="s">
        <v>256</v>
      </c>
      <c r="C6365" s="28">
        <v>0.5</v>
      </c>
      <c r="D6365" s="28">
        <v>0.5</v>
      </c>
      <c r="E6365" s="29"/>
      <c r="F6365" s="29"/>
      <c r="G6365" s="29"/>
      <c r="H6365" s="29"/>
      <c r="I6365" s="29"/>
      <c r="J6365" s="29"/>
      <c r="K6365" s="29"/>
      <c r="L6365" s="29"/>
      <c r="M6365" s="29"/>
      <c r="N6365" s="29"/>
      <c r="O6365" s="29"/>
      <c r="P6365" s="29"/>
      <c r="Q6365" s="29"/>
      <c r="R6365" s="29"/>
      <c r="S6365" s="29" t="s">
        <v>314</v>
      </c>
    </row>
    <row r="6366" spans="1:19" x14ac:dyDescent="0.35">
      <c r="A6366" s="27" t="s">
        <v>231</v>
      </c>
      <c r="B6366" s="27" t="s">
        <v>257</v>
      </c>
      <c r="C6366" s="28">
        <v>0.5</v>
      </c>
      <c r="D6366" s="28">
        <v>0.5</v>
      </c>
      <c r="E6366" s="28">
        <v>0.5</v>
      </c>
      <c r="F6366" s="29"/>
      <c r="G6366" s="29"/>
      <c r="H6366" s="29"/>
      <c r="I6366" s="28">
        <v>0.5</v>
      </c>
      <c r="J6366" s="29"/>
      <c r="K6366" s="29"/>
      <c r="L6366" s="29"/>
      <c r="M6366" s="29"/>
      <c r="N6366" s="29"/>
      <c r="O6366" s="29"/>
      <c r="P6366" s="29"/>
      <c r="Q6366" s="29"/>
      <c r="R6366" s="29"/>
      <c r="S6366" s="29" t="s">
        <v>314</v>
      </c>
    </row>
    <row r="6367" spans="1:19" x14ac:dyDescent="0.35">
      <c r="A6367" t="s">
        <v>232</v>
      </c>
      <c r="B6367" t="s">
        <v>232</v>
      </c>
      <c r="C6367" s="26">
        <v>0.41149999999999998</v>
      </c>
      <c r="D6367" s="26">
        <v>0.37119999999999997</v>
      </c>
      <c r="E6367" s="26">
        <v>0.13400000000000001</v>
      </c>
      <c r="F6367" s="26">
        <v>0.12559999999999999</v>
      </c>
      <c r="G6367" s="26">
        <v>0.1177</v>
      </c>
      <c r="H6367" s="26">
        <v>9.5000000000000001E-2</v>
      </c>
      <c r="I6367" s="26">
        <v>8.6300000000000002E-2</v>
      </c>
      <c r="J6367" s="26">
        <v>6.8699999999999997E-2</v>
      </c>
      <c r="K6367" s="26">
        <v>6.5500000000000003E-2</v>
      </c>
      <c r="L6367" s="26">
        <v>4.6199999999999998E-2</v>
      </c>
      <c r="M6367" s="26">
        <v>1.84E-2</v>
      </c>
      <c r="N6367" s="26">
        <v>1.3599999999999999E-2</v>
      </c>
      <c r="O6367" s="26">
        <v>1.2E-2</v>
      </c>
      <c r="P6367" s="26">
        <v>9.5999999999999992E-3</v>
      </c>
      <c r="Q6367" s="26">
        <v>3.3E-3</v>
      </c>
      <c r="R6367" s="26">
        <v>2.3999999999999998E-3</v>
      </c>
      <c r="S6367">
        <v>521</v>
      </c>
    </row>
    <row r="6369" spans="1:5" x14ac:dyDescent="0.35">
      <c r="A6369" s="1" t="s">
        <v>851</v>
      </c>
    </row>
    <row r="6370" spans="1:5" x14ac:dyDescent="0.35">
      <c r="A6370" t="s">
        <v>219</v>
      </c>
      <c r="B6370" t="s">
        <v>302</v>
      </c>
      <c r="C6370" t="s">
        <v>303</v>
      </c>
      <c r="D6370" t="s">
        <v>226</v>
      </c>
    </row>
    <row r="6371" spans="1:5" x14ac:dyDescent="0.35">
      <c r="A6371" s="27" t="s">
        <v>227</v>
      </c>
      <c r="B6371" s="28">
        <v>1</v>
      </c>
      <c r="C6371" s="29"/>
      <c r="D6371" s="29" t="s">
        <v>314</v>
      </c>
    </row>
    <row r="6372" spans="1:5" x14ac:dyDescent="0.35">
      <c r="A6372" s="27" t="s">
        <v>228</v>
      </c>
      <c r="B6372" s="28">
        <v>0.53649999999999998</v>
      </c>
      <c r="C6372" s="28">
        <v>0.46350000000000002</v>
      </c>
      <c r="D6372" s="29" t="s">
        <v>351</v>
      </c>
    </row>
    <row r="6373" spans="1:5" x14ac:dyDescent="0.35">
      <c r="A6373" s="27" t="s">
        <v>229</v>
      </c>
      <c r="B6373" s="28">
        <v>0.5948</v>
      </c>
      <c r="C6373" s="28">
        <v>0.4052</v>
      </c>
      <c r="D6373" s="29" t="s">
        <v>307</v>
      </c>
    </row>
    <row r="6374" spans="1:5" x14ac:dyDescent="0.35">
      <c r="A6374" s="27" t="s">
        <v>230</v>
      </c>
      <c r="B6374" s="29"/>
      <c r="C6374" s="28">
        <v>1</v>
      </c>
      <c r="D6374" s="29" t="s">
        <v>314</v>
      </c>
    </row>
    <row r="6375" spans="1:5" x14ac:dyDescent="0.35">
      <c r="A6375" s="27" t="s">
        <v>231</v>
      </c>
      <c r="B6375" s="28">
        <v>0.66669999999999996</v>
      </c>
      <c r="C6375" s="28">
        <v>0.33329999999999999</v>
      </c>
      <c r="D6375" s="29" t="s">
        <v>315</v>
      </c>
    </row>
    <row r="6376" spans="1:5" x14ac:dyDescent="0.35">
      <c r="A6376" t="s">
        <v>232</v>
      </c>
      <c r="B6376" s="26">
        <v>0.60560000000000003</v>
      </c>
      <c r="C6376" s="26">
        <v>0.39439999999999997</v>
      </c>
      <c r="D6376">
        <v>38</v>
      </c>
    </row>
    <row r="6378" spans="1:5" x14ac:dyDescent="0.35">
      <c r="A6378" s="1" t="s">
        <v>852</v>
      </c>
    </row>
    <row r="6379" spans="1:5" x14ac:dyDescent="0.35">
      <c r="A6379" t="s">
        <v>219</v>
      </c>
      <c r="B6379" t="s">
        <v>305</v>
      </c>
      <c r="C6379" t="s">
        <v>302</v>
      </c>
      <c r="D6379" t="s">
        <v>303</v>
      </c>
      <c r="E6379" t="s">
        <v>226</v>
      </c>
    </row>
    <row r="6380" spans="1:5" x14ac:dyDescent="0.35">
      <c r="A6380" s="27" t="s">
        <v>227</v>
      </c>
      <c r="B6380" s="27" t="s">
        <v>242</v>
      </c>
      <c r="C6380" s="28">
        <v>1</v>
      </c>
      <c r="D6380" s="29"/>
      <c r="E6380" s="29" t="s">
        <v>331</v>
      </c>
    </row>
    <row r="6381" spans="1:5" x14ac:dyDescent="0.35">
      <c r="A6381" s="27" t="s">
        <v>227</v>
      </c>
      <c r="B6381" s="27" t="s">
        <v>241</v>
      </c>
      <c r="C6381" s="28">
        <v>1</v>
      </c>
      <c r="D6381" s="29"/>
      <c r="E6381" s="29" t="s">
        <v>331</v>
      </c>
    </row>
    <row r="6382" spans="1:5" x14ac:dyDescent="0.35">
      <c r="A6382" s="27" t="s">
        <v>228</v>
      </c>
      <c r="B6382" s="27" t="s">
        <v>242</v>
      </c>
      <c r="C6382" s="28">
        <v>0.43819999999999998</v>
      </c>
      <c r="D6382" s="28">
        <v>0.56179999999999997</v>
      </c>
      <c r="E6382" s="29" t="s">
        <v>334</v>
      </c>
    </row>
    <row r="6383" spans="1:5" x14ac:dyDescent="0.35">
      <c r="A6383" s="27" t="s">
        <v>228</v>
      </c>
      <c r="B6383" s="27" t="s">
        <v>241</v>
      </c>
      <c r="C6383" s="28">
        <v>0.60970000000000002</v>
      </c>
      <c r="D6383" s="28">
        <v>0.39029999999999998</v>
      </c>
      <c r="E6383" s="29" t="s">
        <v>342</v>
      </c>
    </row>
    <row r="6384" spans="1:5" x14ac:dyDescent="0.35">
      <c r="A6384" s="27" t="s">
        <v>229</v>
      </c>
      <c r="B6384" s="27" t="s">
        <v>242</v>
      </c>
      <c r="C6384" s="28">
        <v>0.54690000000000005</v>
      </c>
      <c r="D6384" s="28">
        <v>0.4531</v>
      </c>
      <c r="E6384" s="29" t="s">
        <v>339</v>
      </c>
    </row>
    <row r="6385" spans="1:5" x14ac:dyDescent="0.35">
      <c r="A6385" s="27" t="s">
        <v>229</v>
      </c>
      <c r="B6385" s="27" t="s">
        <v>241</v>
      </c>
      <c r="C6385" s="28">
        <v>1</v>
      </c>
      <c r="D6385" s="29"/>
      <c r="E6385" s="29" t="s">
        <v>315</v>
      </c>
    </row>
    <row r="6386" spans="1:5" x14ac:dyDescent="0.35">
      <c r="A6386" s="27" t="s">
        <v>230</v>
      </c>
      <c r="B6386" s="27" t="s">
        <v>242</v>
      </c>
      <c r="C6386" s="29"/>
      <c r="D6386" s="28">
        <v>1</v>
      </c>
      <c r="E6386" s="29" t="s">
        <v>331</v>
      </c>
    </row>
    <row r="6387" spans="1:5" x14ac:dyDescent="0.35">
      <c r="A6387" s="27" t="s">
        <v>230</v>
      </c>
      <c r="B6387" s="27" t="s">
        <v>241</v>
      </c>
      <c r="C6387" s="29"/>
      <c r="D6387" s="28">
        <v>1</v>
      </c>
      <c r="E6387" s="29" t="s">
        <v>331</v>
      </c>
    </row>
    <row r="6388" spans="1:5" x14ac:dyDescent="0.35">
      <c r="A6388" s="27" t="s">
        <v>231</v>
      </c>
      <c r="B6388" s="27" t="s">
        <v>242</v>
      </c>
      <c r="C6388" s="28">
        <v>1</v>
      </c>
      <c r="D6388" s="29"/>
      <c r="E6388" s="29" t="s">
        <v>331</v>
      </c>
    </row>
    <row r="6389" spans="1:5" x14ac:dyDescent="0.35">
      <c r="A6389" s="27" t="s">
        <v>231</v>
      </c>
      <c r="B6389" s="27" t="s">
        <v>241</v>
      </c>
      <c r="C6389" s="28">
        <v>0.5</v>
      </c>
      <c r="D6389" s="28">
        <v>0.5</v>
      </c>
      <c r="E6389" s="29" t="s">
        <v>314</v>
      </c>
    </row>
    <row r="6390" spans="1:5" x14ac:dyDescent="0.35">
      <c r="A6390" t="s">
        <v>232</v>
      </c>
      <c r="B6390" t="s">
        <v>232</v>
      </c>
      <c r="C6390" s="26">
        <v>0.60560000000000003</v>
      </c>
      <c r="D6390" s="26">
        <v>0.39439999999999997</v>
      </c>
      <c r="E6390">
        <v>38</v>
      </c>
    </row>
    <row r="6392" spans="1:5" x14ac:dyDescent="0.35">
      <c r="A6392" s="1" t="s">
        <v>853</v>
      </c>
    </row>
    <row r="6393" spans="1:5" x14ac:dyDescent="0.35">
      <c r="A6393" t="s">
        <v>219</v>
      </c>
      <c r="B6393" t="s">
        <v>305</v>
      </c>
      <c r="C6393" t="s">
        <v>302</v>
      </c>
      <c r="D6393" t="s">
        <v>303</v>
      </c>
      <c r="E6393" t="s">
        <v>226</v>
      </c>
    </row>
    <row r="6394" spans="1:5" x14ac:dyDescent="0.35">
      <c r="A6394" s="27" t="s">
        <v>227</v>
      </c>
      <c r="B6394" s="27" t="s">
        <v>238</v>
      </c>
      <c r="C6394" s="28">
        <v>1</v>
      </c>
      <c r="D6394" s="29"/>
      <c r="E6394" s="29" t="s">
        <v>314</v>
      </c>
    </row>
    <row r="6395" spans="1:5" x14ac:dyDescent="0.35">
      <c r="A6395" s="27" t="s">
        <v>228</v>
      </c>
      <c r="B6395" s="27" t="s">
        <v>239</v>
      </c>
      <c r="C6395" s="28">
        <v>0.73760000000000003</v>
      </c>
      <c r="D6395" s="28">
        <v>0.26240000000000002</v>
      </c>
      <c r="E6395" s="29" t="s">
        <v>334</v>
      </c>
    </row>
    <row r="6396" spans="1:5" x14ac:dyDescent="0.35">
      <c r="A6396" s="27" t="s">
        <v>228</v>
      </c>
      <c r="B6396" s="27" t="s">
        <v>238</v>
      </c>
      <c r="C6396" s="28">
        <v>0.3871</v>
      </c>
      <c r="D6396" s="28">
        <v>0.6129</v>
      </c>
      <c r="E6396" s="29" t="s">
        <v>342</v>
      </c>
    </row>
    <row r="6397" spans="1:5" x14ac:dyDescent="0.35">
      <c r="A6397" s="27" t="s">
        <v>229</v>
      </c>
      <c r="B6397" s="27" t="s">
        <v>239</v>
      </c>
      <c r="C6397" s="28">
        <v>0.74680000000000002</v>
      </c>
      <c r="D6397" s="28">
        <v>0.25319999999999998</v>
      </c>
      <c r="E6397" s="29" t="s">
        <v>315</v>
      </c>
    </row>
    <row r="6398" spans="1:5" x14ac:dyDescent="0.35">
      <c r="A6398" s="27" t="s">
        <v>229</v>
      </c>
      <c r="B6398" s="27" t="s">
        <v>238</v>
      </c>
      <c r="C6398" s="28">
        <v>0.5806</v>
      </c>
      <c r="D6398" s="28">
        <v>0.4194</v>
      </c>
      <c r="E6398" s="29" t="s">
        <v>339</v>
      </c>
    </row>
    <row r="6399" spans="1:5" x14ac:dyDescent="0.35">
      <c r="A6399" s="27" t="s">
        <v>230</v>
      </c>
      <c r="B6399" s="27" t="s">
        <v>238</v>
      </c>
      <c r="C6399" s="29"/>
      <c r="D6399" s="28">
        <v>1</v>
      </c>
      <c r="E6399" s="29" t="s">
        <v>314</v>
      </c>
    </row>
    <row r="6400" spans="1:5" x14ac:dyDescent="0.35">
      <c r="A6400" s="27" t="s">
        <v>231</v>
      </c>
      <c r="B6400" s="27" t="s">
        <v>239</v>
      </c>
      <c r="C6400" s="28">
        <v>0.5</v>
      </c>
      <c r="D6400" s="28">
        <v>0.5</v>
      </c>
      <c r="E6400" s="29" t="s">
        <v>314</v>
      </c>
    </row>
    <row r="6401" spans="1:5" x14ac:dyDescent="0.35">
      <c r="A6401" s="27" t="s">
        <v>231</v>
      </c>
      <c r="B6401" s="27" t="s">
        <v>238</v>
      </c>
      <c r="C6401" s="28">
        <v>1</v>
      </c>
      <c r="D6401" s="29"/>
      <c r="E6401" s="29" t="s">
        <v>331</v>
      </c>
    </row>
    <row r="6402" spans="1:5" x14ac:dyDescent="0.35">
      <c r="A6402" t="s">
        <v>232</v>
      </c>
      <c r="B6402" t="s">
        <v>232</v>
      </c>
      <c r="C6402" s="26">
        <v>0.60560000000000003</v>
      </c>
      <c r="D6402" s="26">
        <v>0.39439999999999997</v>
      </c>
      <c r="E6402">
        <v>38</v>
      </c>
    </row>
    <row r="6404" spans="1:5" x14ac:dyDescent="0.35">
      <c r="A6404" s="1" t="s">
        <v>854</v>
      </c>
    </row>
    <row r="6405" spans="1:5" x14ac:dyDescent="0.35">
      <c r="A6405" t="s">
        <v>219</v>
      </c>
      <c r="B6405" t="s">
        <v>305</v>
      </c>
      <c r="C6405" t="s">
        <v>302</v>
      </c>
      <c r="D6405" t="s">
        <v>303</v>
      </c>
      <c r="E6405" t="s">
        <v>226</v>
      </c>
    </row>
    <row r="6406" spans="1:5" x14ac:dyDescent="0.35">
      <c r="A6406" s="27" t="s">
        <v>227</v>
      </c>
      <c r="B6406" s="27" t="s">
        <v>244</v>
      </c>
      <c r="C6406" s="28">
        <v>1</v>
      </c>
      <c r="D6406" s="29"/>
      <c r="E6406" s="29" t="s">
        <v>331</v>
      </c>
    </row>
    <row r="6407" spans="1:5" x14ac:dyDescent="0.35">
      <c r="A6407" s="27" t="s">
        <v>227</v>
      </c>
      <c r="B6407" s="27" t="s">
        <v>245</v>
      </c>
      <c r="C6407" s="28">
        <v>1</v>
      </c>
      <c r="D6407" s="29"/>
      <c r="E6407" s="29" t="s">
        <v>331</v>
      </c>
    </row>
    <row r="6408" spans="1:5" x14ac:dyDescent="0.35">
      <c r="A6408" s="27" t="s">
        <v>228</v>
      </c>
      <c r="B6408" s="27" t="s">
        <v>244</v>
      </c>
      <c r="C6408" s="28">
        <v>0.75839999999999996</v>
      </c>
      <c r="D6408" s="28">
        <v>0.24160000000000001</v>
      </c>
      <c r="E6408" s="29" t="s">
        <v>342</v>
      </c>
    </row>
    <row r="6409" spans="1:5" x14ac:dyDescent="0.35">
      <c r="A6409" s="27" t="s">
        <v>228</v>
      </c>
      <c r="B6409" s="27" t="s">
        <v>245</v>
      </c>
      <c r="C6409" s="28">
        <v>0.28610000000000002</v>
      </c>
      <c r="D6409" s="28">
        <v>0.71389999999999998</v>
      </c>
      <c r="E6409" s="29" t="s">
        <v>335</v>
      </c>
    </row>
    <row r="6410" spans="1:5" x14ac:dyDescent="0.35">
      <c r="A6410" s="27" t="s">
        <v>228</v>
      </c>
      <c r="B6410" s="27" t="s">
        <v>246</v>
      </c>
      <c r="C6410" s="28">
        <v>0.33329999999999999</v>
      </c>
      <c r="D6410" s="28">
        <v>0.66669999999999996</v>
      </c>
      <c r="E6410" s="29" t="s">
        <v>315</v>
      </c>
    </row>
    <row r="6411" spans="1:5" x14ac:dyDescent="0.35">
      <c r="A6411" s="27" t="s">
        <v>229</v>
      </c>
      <c r="B6411" s="27" t="s">
        <v>244</v>
      </c>
      <c r="C6411" s="28">
        <v>1</v>
      </c>
      <c r="D6411" s="29"/>
      <c r="E6411" s="29" t="s">
        <v>337</v>
      </c>
    </row>
    <row r="6412" spans="1:5" x14ac:dyDescent="0.35">
      <c r="A6412" s="27" t="s">
        <v>229</v>
      </c>
      <c r="B6412" s="27" t="s">
        <v>245</v>
      </c>
      <c r="C6412" s="28">
        <v>0.52639999999999998</v>
      </c>
      <c r="D6412" s="28">
        <v>0.47360000000000002</v>
      </c>
      <c r="E6412" s="29" t="s">
        <v>332</v>
      </c>
    </row>
    <row r="6413" spans="1:5" x14ac:dyDescent="0.35">
      <c r="A6413" s="27" t="s">
        <v>229</v>
      </c>
      <c r="B6413" s="27" t="s">
        <v>246</v>
      </c>
      <c r="C6413" s="29"/>
      <c r="D6413" s="28">
        <v>1</v>
      </c>
      <c r="E6413" s="29" t="s">
        <v>331</v>
      </c>
    </row>
    <row r="6414" spans="1:5" x14ac:dyDescent="0.35">
      <c r="A6414" s="27" t="s">
        <v>230</v>
      </c>
      <c r="B6414" s="27" t="s">
        <v>244</v>
      </c>
      <c r="C6414" s="29"/>
      <c r="D6414" s="28">
        <v>1</v>
      </c>
      <c r="E6414" s="29" t="s">
        <v>314</v>
      </c>
    </row>
    <row r="6415" spans="1:5" x14ac:dyDescent="0.35">
      <c r="A6415" s="27" t="s">
        <v>231</v>
      </c>
      <c r="B6415" s="27" t="s">
        <v>244</v>
      </c>
      <c r="C6415" s="28">
        <v>0.66669999999999996</v>
      </c>
      <c r="D6415" s="28">
        <v>0.33329999999999999</v>
      </c>
      <c r="E6415" s="29" t="s">
        <v>315</v>
      </c>
    </row>
    <row r="6416" spans="1:5" x14ac:dyDescent="0.35">
      <c r="A6416" t="s">
        <v>232</v>
      </c>
      <c r="B6416" t="s">
        <v>232</v>
      </c>
      <c r="C6416" s="26">
        <v>0.60560000000000003</v>
      </c>
      <c r="D6416" s="26">
        <v>0.39439999999999997</v>
      </c>
      <c r="E6416">
        <v>38</v>
      </c>
    </row>
    <row r="6418" spans="1:5" x14ac:dyDescent="0.35">
      <c r="A6418" s="1" t="s">
        <v>855</v>
      </c>
    </row>
    <row r="6419" spans="1:5" x14ac:dyDescent="0.35">
      <c r="A6419" t="s">
        <v>219</v>
      </c>
      <c r="B6419" t="s">
        <v>305</v>
      </c>
      <c r="C6419" t="s">
        <v>302</v>
      </c>
      <c r="D6419" t="s">
        <v>303</v>
      </c>
      <c r="E6419" t="s">
        <v>226</v>
      </c>
    </row>
    <row r="6420" spans="1:5" x14ac:dyDescent="0.35">
      <c r="A6420" s="27" t="s">
        <v>227</v>
      </c>
      <c r="B6420" s="27" t="s">
        <v>360</v>
      </c>
      <c r="C6420" s="28">
        <v>1</v>
      </c>
      <c r="D6420" s="29"/>
      <c r="E6420" s="29" t="s">
        <v>331</v>
      </c>
    </row>
    <row r="6421" spans="1:5" x14ac:dyDescent="0.35">
      <c r="A6421" s="27" t="s">
        <v>227</v>
      </c>
      <c r="B6421" s="27" t="s">
        <v>362</v>
      </c>
      <c r="C6421" s="28">
        <v>1</v>
      </c>
      <c r="D6421" s="29"/>
      <c r="E6421" s="29" t="s">
        <v>331</v>
      </c>
    </row>
    <row r="6422" spans="1:5" x14ac:dyDescent="0.35">
      <c r="A6422" s="27" t="s">
        <v>228</v>
      </c>
      <c r="B6422" s="27" t="s">
        <v>360</v>
      </c>
      <c r="C6422" s="28">
        <v>0.50480000000000003</v>
      </c>
      <c r="D6422" s="28">
        <v>0.49519999999999997</v>
      </c>
      <c r="E6422" s="29" t="s">
        <v>334</v>
      </c>
    </row>
    <row r="6423" spans="1:5" x14ac:dyDescent="0.35">
      <c r="A6423" s="27" t="s">
        <v>228</v>
      </c>
      <c r="B6423" s="27" t="s">
        <v>361</v>
      </c>
      <c r="C6423" s="28">
        <v>1</v>
      </c>
      <c r="D6423" s="29"/>
      <c r="E6423" s="29" t="s">
        <v>331</v>
      </c>
    </row>
    <row r="6424" spans="1:5" x14ac:dyDescent="0.35">
      <c r="A6424" s="27" t="s">
        <v>228</v>
      </c>
      <c r="B6424" s="27" t="s">
        <v>362</v>
      </c>
      <c r="C6424" s="28">
        <v>0.15540000000000001</v>
      </c>
      <c r="D6424" s="28">
        <v>0.84460000000000002</v>
      </c>
      <c r="E6424" s="29" t="s">
        <v>337</v>
      </c>
    </row>
    <row r="6425" spans="1:5" x14ac:dyDescent="0.35">
      <c r="A6425" s="27" t="s">
        <v>228</v>
      </c>
      <c r="B6425" s="27" t="s">
        <v>363</v>
      </c>
      <c r="C6425" s="28">
        <v>0.66269999999999996</v>
      </c>
      <c r="D6425" s="28">
        <v>0.33729999999999999</v>
      </c>
      <c r="E6425" s="29" t="s">
        <v>332</v>
      </c>
    </row>
    <row r="6426" spans="1:5" x14ac:dyDescent="0.35">
      <c r="A6426" s="27" t="s">
        <v>229</v>
      </c>
      <c r="B6426" s="27" t="s">
        <v>360</v>
      </c>
      <c r="C6426" s="28">
        <v>0.79590000000000005</v>
      </c>
      <c r="D6426" s="28">
        <v>0.2041</v>
      </c>
      <c r="E6426" s="29" t="s">
        <v>315</v>
      </c>
    </row>
    <row r="6427" spans="1:5" x14ac:dyDescent="0.35">
      <c r="A6427" s="27" t="s">
        <v>229</v>
      </c>
      <c r="B6427" s="27" t="s">
        <v>362</v>
      </c>
      <c r="C6427" s="28">
        <v>1</v>
      </c>
      <c r="D6427" s="29"/>
      <c r="E6427" s="29" t="s">
        <v>314</v>
      </c>
    </row>
    <row r="6428" spans="1:5" x14ac:dyDescent="0.35">
      <c r="A6428" s="27" t="s">
        <v>229</v>
      </c>
      <c r="B6428" s="27" t="s">
        <v>363</v>
      </c>
      <c r="C6428" s="28">
        <v>0.2782</v>
      </c>
      <c r="D6428" s="28">
        <v>0.7218</v>
      </c>
      <c r="E6428" s="29" t="s">
        <v>332</v>
      </c>
    </row>
    <row r="6429" spans="1:5" x14ac:dyDescent="0.35">
      <c r="A6429" s="27" t="s">
        <v>230</v>
      </c>
      <c r="B6429" s="27" t="s">
        <v>362</v>
      </c>
      <c r="C6429" s="29"/>
      <c r="D6429" s="28">
        <v>1</v>
      </c>
      <c r="E6429" s="29" t="s">
        <v>314</v>
      </c>
    </row>
    <row r="6430" spans="1:5" x14ac:dyDescent="0.35">
      <c r="A6430" t="s">
        <v>232</v>
      </c>
      <c r="B6430" t="s">
        <v>232</v>
      </c>
      <c r="C6430" s="26">
        <v>0.60560000000000003</v>
      </c>
      <c r="D6430" s="26">
        <v>0.39439999999999997</v>
      </c>
      <c r="E6430">
        <v>33</v>
      </c>
    </row>
    <row r="6432" spans="1:5" x14ac:dyDescent="0.35">
      <c r="A6432" s="1" t="s">
        <v>856</v>
      </c>
    </row>
    <row r="6433" spans="1:5" x14ac:dyDescent="0.35">
      <c r="A6433" t="s">
        <v>219</v>
      </c>
      <c r="B6433" t="s">
        <v>305</v>
      </c>
      <c r="C6433" t="s">
        <v>302</v>
      </c>
      <c r="D6433" t="s">
        <v>303</v>
      </c>
      <c r="E6433" t="s">
        <v>226</v>
      </c>
    </row>
    <row r="6434" spans="1:5" x14ac:dyDescent="0.35">
      <c r="A6434" s="27" t="s">
        <v>227</v>
      </c>
      <c r="B6434" s="27" t="s">
        <v>267</v>
      </c>
      <c r="C6434" s="28">
        <v>1</v>
      </c>
      <c r="D6434" s="29"/>
      <c r="E6434" s="29" t="s">
        <v>331</v>
      </c>
    </row>
    <row r="6435" spans="1:5" x14ac:dyDescent="0.35">
      <c r="A6435" s="27" t="s">
        <v>227</v>
      </c>
      <c r="B6435" s="27" t="s">
        <v>266</v>
      </c>
      <c r="C6435" s="28">
        <v>1</v>
      </c>
      <c r="D6435" s="29"/>
      <c r="E6435" s="29" t="s">
        <v>331</v>
      </c>
    </row>
    <row r="6436" spans="1:5" x14ac:dyDescent="0.35">
      <c r="A6436" s="27" t="s">
        <v>228</v>
      </c>
      <c r="B6436" s="27" t="s">
        <v>267</v>
      </c>
      <c r="C6436" s="28">
        <v>0.53569999999999995</v>
      </c>
      <c r="D6436" s="28">
        <v>0.46429999999999999</v>
      </c>
      <c r="E6436" s="29" t="s">
        <v>332</v>
      </c>
    </row>
    <row r="6437" spans="1:5" x14ac:dyDescent="0.35">
      <c r="A6437" s="27" t="s">
        <v>228</v>
      </c>
      <c r="B6437" s="27" t="s">
        <v>266</v>
      </c>
      <c r="C6437" s="28">
        <v>0.33119999999999999</v>
      </c>
      <c r="D6437" s="28">
        <v>0.66879999999999995</v>
      </c>
      <c r="E6437" s="29" t="s">
        <v>334</v>
      </c>
    </row>
    <row r="6438" spans="1:5" x14ac:dyDescent="0.35">
      <c r="A6438" s="27" t="s">
        <v>228</v>
      </c>
      <c r="B6438" s="27" t="s">
        <v>265</v>
      </c>
      <c r="C6438" s="28">
        <v>1</v>
      </c>
      <c r="D6438" s="29"/>
      <c r="E6438" s="29" t="s">
        <v>339</v>
      </c>
    </row>
    <row r="6439" spans="1:5" x14ac:dyDescent="0.35">
      <c r="A6439" s="27" t="s">
        <v>229</v>
      </c>
      <c r="B6439" s="27" t="s">
        <v>267</v>
      </c>
      <c r="C6439" s="28">
        <v>1</v>
      </c>
      <c r="D6439" s="29"/>
      <c r="E6439" s="29" t="s">
        <v>331</v>
      </c>
    </row>
    <row r="6440" spans="1:5" x14ac:dyDescent="0.35">
      <c r="A6440" s="27" t="s">
        <v>229</v>
      </c>
      <c r="B6440" s="27" t="s">
        <v>266</v>
      </c>
      <c r="C6440" s="28">
        <v>0.52639999999999998</v>
      </c>
      <c r="D6440" s="28">
        <v>0.47360000000000002</v>
      </c>
      <c r="E6440" s="29" t="s">
        <v>332</v>
      </c>
    </row>
    <row r="6441" spans="1:5" x14ac:dyDescent="0.35">
      <c r="A6441" s="27" t="s">
        <v>229</v>
      </c>
      <c r="B6441" s="27" t="s">
        <v>265</v>
      </c>
      <c r="C6441" s="28">
        <v>0.85399999999999998</v>
      </c>
      <c r="D6441" s="28">
        <v>0.14599999999999999</v>
      </c>
      <c r="E6441" s="29" t="s">
        <v>337</v>
      </c>
    </row>
    <row r="6442" spans="1:5" x14ac:dyDescent="0.35">
      <c r="A6442" s="27" t="s">
        <v>230</v>
      </c>
      <c r="B6442" s="27" t="s">
        <v>267</v>
      </c>
      <c r="C6442" s="29"/>
      <c r="D6442" s="28">
        <v>1</v>
      </c>
      <c r="E6442" s="29" t="s">
        <v>331</v>
      </c>
    </row>
    <row r="6443" spans="1:5" x14ac:dyDescent="0.35">
      <c r="A6443" s="27" t="s">
        <v>230</v>
      </c>
      <c r="B6443" s="27" t="s">
        <v>265</v>
      </c>
      <c r="C6443" s="29"/>
      <c r="D6443" s="28">
        <v>1</v>
      </c>
      <c r="E6443" s="29" t="s">
        <v>331</v>
      </c>
    </row>
    <row r="6444" spans="1:5" x14ac:dyDescent="0.35">
      <c r="A6444" s="27" t="s">
        <v>231</v>
      </c>
      <c r="B6444" s="27" t="s">
        <v>267</v>
      </c>
      <c r="C6444" s="29"/>
      <c r="D6444" s="28">
        <v>1</v>
      </c>
      <c r="E6444" s="29" t="s">
        <v>331</v>
      </c>
    </row>
    <row r="6445" spans="1:5" x14ac:dyDescent="0.35">
      <c r="A6445" s="27" t="s">
        <v>231</v>
      </c>
      <c r="B6445" s="27" t="s">
        <v>265</v>
      </c>
      <c r="C6445" s="28">
        <v>1</v>
      </c>
      <c r="D6445" s="29"/>
      <c r="E6445" s="29" t="s">
        <v>314</v>
      </c>
    </row>
    <row r="6446" spans="1:5" x14ac:dyDescent="0.35">
      <c r="A6446" t="s">
        <v>232</v>
      </c>
      <c r="B6446" t="s">
        <v>232</v>
      </c>
      <c r="C6446" s="26">
        <v>0.60560000000000003</v>
      </c>
      <c r="D6446" s="26">
        <v>0.39439999999999997</v>
      </c>
      <c r="E6446">
        <v>38</v>
      </c>
    </row>
    <row r="6448" spans="1:5" x14ac:dyDescent="0.35">
      <c r="A6448" s="1" t="s">
        <v>857</v>
      </c>
    </row>
    <row r="6449" spans="1:5" x14ac:dyDescent="0.35">
      <c r="A6449" t="s">
        <v>219</v>
      </c>
      <c r="B6449" t="s">
        <v>305</v>
      </c>
      <c r="C6449" t="s">
        <v>302</v>
      </c>
      <c r="D6449" t="s">
        <v>303</v>
      </c>
      <c r="E6449" t="s">
        <v>226</v>
      </c>
    </row>
    <row r="6450" spans="1:5" x14ac:dyDescent="0.35">
      <c r="A6450" s="27" t="s">
        <v>227</v>
      </c>
      <c r="B6450" s="27" t="s">
        <v>252</v>
      </c>
      <c r="C6450" s="28">
        <v>1</v>
      </c>
      <c r="D6450" s="29"/>
      <c r="E6450" s="29" t="s">
        <v>331</v>
      </c>
    </row>
    <row r="6451" spans="1:5" x14ac:dyDescent="0.35">
      <c r="A6451" s="27" t="s">
        <v>227</v>
      </c>
      <c r="B6451" s="27" t="s">
        <v>251</v>
      </c>
      <c r="C6451" s="28">
        <v>1</v>
      </c>
      <c r="D6451" s="29"/>
      <c r="E6451" s="29" t="s">
        <v>331</v>
      </c>
    </row>
    <row r="6452" spans="1:5" x14ac:dyDescent="0.35">
      <c r="A6452" s="27" t="s">
        <v>228</v>
      </c>
      <c r="B6452" s="27" t="s">
        <v>252</v>
      </c>
      <c r="C6452" s="28">
        <v>0.52790000000000004</v>
      </c>
      <c r="D6452" s="28">
        <v>0.47210000000000002</v>
      </c>
      <c r="E6452" s="29" t="s">
        <v>352</v>
      </c>
    </row>
    <row r="6453" spans="1:5" x14ac:dyDescent="0.35">
      <c r="A6453" s="27" t="s">
        <v>228</v>
      </c>
      <c r="B6453" s="27" t="s">
        <v>253</v>
      </c>
      <c r="C6453" s="28">
        <v>0.53459999999999996</v>
      </c>
      <c r="D6453" s="28">
        <v>0.46539999999999998</v>
      </c>
      <c r="E6453" s="29" t="s">
        <v>332</v>
      </c>
    </row>
    <row r="6454" spans="1:5" x14ac:dyDescent="0.35">
      <c r="A6454" s="27" t="s">
        <v>228</v>
      </c>
      <c r="B6454" s="27" t="s">
        <v>251</v>
      </c>
      <c r="C6454" s="28">
        <v>0.5534</v>
      </c>
      <c r="D6454" s="28">
        <v>0.4466</v>
      </c>
      <c r="E6454" s="29" t="s">
        <v>332</v>
      </c>
    </row>
    <row r="6455" spans="1:5" x14ac:dyDescent="0.35">
      <c r="A6455" s="27" t="s">
        <v>229</v>
      </c>
      <c r="B6455" s="27" t="s">
        <v>252</v>
      </c>
      <c r="C6455" s="28">
        <v>0.2477</v>
      </c>
      <c r="D6455" s="28">
        <v>0.75229999999999997</v>
      </c>
      <c r="E6455" s="29" t="s">
        <v>337</v>
      </c>
    </row>
    <row r="6456" spans="1:5" x14ac:dyDescent="0.35">
      <c r="A6456" s="27" t="s">
        <v>229</v>
      </c>
      <c r="B6456" s="27" t="s">
        <v>253</v>
      </c>
      <c r="C6456" s="28">
        <v>1</v>
      </c>
      <c r="D6456" s="29"/>
      <c r="E6456" s="29" t="s">
        <v>331</v>
      </c>
    </row>
    <row r="6457" spans="1:5" x14ac:dyDescent="0.35">
      <c r="A6457" s="27" t="s">
        <v>229</v>
      </c>
      <c r="B6457" s="27" t="s">
        <v>251</v>
      </c>
      <c r="C6457" s="28">
        <v>0.95179999999999998</v>
      </c>
      <c r="D6457" s="28">
        <v>4.82E-2</v>
      </c>
      <c r="E6457" s="29" t="s">
        <v>332</v>
      </c>
    </row>
    <row r="6458" spans="1:5" x14ac:dyDescent="0.35">
      <c r="A6458" s="27" t="s">
        <v>230</v>
      </c>
      <c r="B6458" s="27" t="s">
        <v>252</v>
      </c>
      <c r="C6458" s="29"/>
      <c r="D6458" s="28">
        <v>1</v>
      </c>
      <c r="E6458" s="29" t="s">
        <v>331</v>
      </c>
    </row>
    <row r="6459" spans="1:5" x14ac:dyDescent="0.35">
      <c r="A6459" s="27" t="s">
        <v>230</v>
      </c>
      <c r="B6459" s="27" t="s">
        <v>251</v>
      </c>
      <c r="C6459" s="29"/>
      <c r="D6459" s="28">
        <v>1</v>
      </c>
      <c r="E6459" s="29" t="s">
        <v>331</v>
      </c>
    </row>
    <row r="6460" spans="1:5" x14ac:dyDescent="0.35">
      <c r="A6460" s="27" t="s">
        <v>231</v>
      </c>
      <c r="B6460" s="27" t="s">
        <v>252</v>
      </c>
      <c r="C6460" s="29"/>
      <c r="D6460" s="28">
        <v>1</v>
      </c>
      <c r="E6460" s="29" t="s">
        <v>331</v>
      </c>
    </row>
    <row r="6461" spans="1:5" x14ac:dyDescent="0.35">
      <c r="A6461" s="27" t="s">
        <v>231</v>
      </c>
      <c r="B6461" s="27" t="s">
        <v>251</v>
      </c>
      <c r="C6461" s="28">
        <v>1</v>
      </c>
      <c r="D6461" s="29"/>
      <c r="E6461" s="29" t="s">
        <v>314</v>
      </c>
    </row>
    <row r="6462" spans="1:5" x14ac:dyDescent="0.35">
      <c r="A6462" t="s">
        <v>232</v>
      </c>
      <c r="B6462" t="s">
        <v>232</v>
      </c>
      <c r="C6462" s="26">
        <v>0.60560000000000003</v>
      </c>
      <c r="D6462" s="26">
        <v>0.39439999999999997</v>
      </c>
      <c r="E6462">
        <v>38</v>
      </c>
    </row>
    <row r="6464" spans="1:5" x14ac:dyDescent="0.35">
      <c r="A6464" s="1" t="s">
        <v>858</v>
      </c>
    </row>
    <row r="6465" spans="1:5" x14ac:dyDescent="0.35">
      <c r="A6465" t="s">
        <v>219</v>
      </c>
      <c r="B6465" t="s">
        <v>305</v>
      </c>
      <c r="C6465" t="s">
        <v>302</v>
      </c>
      <c r="D6465" t="s">
        <v>303</v>
      </c>
      <c r="E6465" t="s">
        <v>226</v>
      </c>
    </row>
    <row r="6466" spans="1:5" x14ac:dyDescent="0.35">
      <c r="A6466" s="27" t="s">
        <v>227</v>
      </c>
      <c r="B6466" s="27" t="s">
        <v>248</v>
      </c>
      <c r="C6466" s="28">
        <v>1</v>
      </c>
      <c r="D6466" s="29"/>
      <c r="E6466" s="29" t="s">
        <v>314</v>
      </c>
    </row>
    <row r="6467" spans="1:5" x14ac:dyDescent="0.35">
      <c r="A6467" s="27" t="s">
        <v>228</v>
      </c>
      <c r="B6467" s="27" t="s">
        <v>249</v>
      </c>
      <c r="C6467" s="28">
        <v>0.39079999999999998</v>
      </c>
      <c r="D6467" s="28">
        <v>0.60919999999999996</v>
      </c>
      <c r="E6467" s="29" t="s">
        <v>335</v>
      </c>
    </row>
    <row r="6468" spans="1:5" x14ac:dyDescent="0.35">
      <c r="A6468" s="27" t="s">
        <v>228</v>
      </c>
      <c r="B6468" s="27" t="s">
        <v>248</v>
      </c>
      <c r="C6468" s="28">
        <v>0.62590000000000001</v>
      </c>
      <c r="D6468" s="28">
        <v>0.37409999999999999</v>
      </c>
      <c r="E6468" s="29" t="s">
        <v>346</v>
      </c>
    </row>
    <row r="6469" spans="1:5" x14ac:dyDescent="0.35">
      <c r="A6469" s="27" t="s">
        <v>229</v>
      </c>
      <c r="B6469" s="27" t="s">
        <v>249</v>
      </c>
      <c r="C6469" s="28">
        <v>0.66090000000000004</v>
      </c>
      <c r="D6469" s="28">
        <v>0.33910000000000001</v>
      </c>
      <c r="E6469" s="29" t="s">
        <v>314</v>
      </c>
    </row>
    <row r="6470" spans="1:5" x14ac:dyDescent="0.35">
      <c r="A6470" s="27" t="s">
        <v>229</v>
      </c>
      <c r="B6470" s="27" t="s">
        <v>248</v>
      </c>
      <c r="C6470" s="28">
        <v>0.59030000000000005</v>
      </c>
      <c r="D6470" s="28">
        <v>0.40970000000000001</v>
      </c>
      <c r="E6470" s="29" t="s">
        <v>333</v>
      </c>
    </row>
    <row r="6471" spans="1:5" x14ac:dyDescent="0.35">
      <c r="A6471" s="27" t="s">
        <v>230</v>
      </c>
      <c r="B6471" s="27" t="s">
        <v>248</v>
      </c>
      <c r="C6471" s="29"/>
      <c r="D6471" s="28">
        <v>1</v>
      </c>
      <c r="E6471" s="29" t="s">
        <v>314</v>
      </c>
    </row>
    <row r="6472" spans="1:5" x14ac:dyDescent="0.35">
      <c r="A6472" s="27" t="s">
        <v>231</v>
      </c>
      <c r="B6472" s="27" t="s">
        <v>249</v>
      </c>
      <c r="C6472" s="28">
        <v>1</v>
      </c>
      <c r="D6472" s="29"/>
      <c r="E6472" s="29" t="s">
        <v>331</v>
      </c>
    </row>
    <row r="6473" spans="1:5" x14ac:dyDescent="0.35">
      <c r="A6473" s="27" t="s">
        <v>231</v>
      </c>
      <c r="B6473" s="27" t="s">
        <v>248</v>
      </c>
      <c r="C6473" s="28">
        <v>0.5</v>
      </c>
      <c r="D6473" s="28">
        <v>0.5</v>
      </c>
      <c r="E6473" s="29" t="s">
        <v>314</v>
      </c>
    </row>
    <row r="6474" spans="1:5" x14ac:dyDescent="0.35">
      <c r="A6474" t="s">
        <v>232</v>
      </c>
      <c r="B6474" t="s">
        <v>232</v>
      </c>
      <c r="C6474" s="26">
        <v>0.60560000000000003</v>
      </c>
      <c r="D6474" s="26">
        <v>0.39439999999999997</v>
      </c>
      <c r="E6474">
        <v>38</v>
      </c>
    </row>
    <row r="6476" spans="1:5" x14ac:dyDescent="0.35">
      <c r="A6476" s="1" t="s">
        <v>859</v>
      </c>
    </row>
    <row r="6477" spans="1:5" x14ac:dyDescent="0.35">
      <c r="A6477" t="s">
        <v>219</v>
      </c>
      <c r="B6477" t="s">
        <v>305</v>
      </c>
      <c r="C6477" t="s">
        <v>302</v>
      </c>
      <c r="D6477" t="s">
        <v>303</v>
      </c>
      <c r="E6477" t="s">
        <v>226</v>
      </c>
    </row>
    <row r="6478" spans="1:5" x14ac:dyDescent="0.35">
      <c r="A6478" s="27" t="s">
        <v>227</v>
      </c>
      <c r="B6478" s="27" t="s">
        <v>371</v>
      </c>
      <c r="C6478" s="28">
        <v>1</v>
      </c>
      <c r="D6478" s="29"/>
      <c r="E6478" s="29" t="s">
        <v>314</v>
      </c>
    </row>
    <row r="6479" spans="1:5" x14ac:dyDescent="0.35">
      <c r="A6479" s="27" t="s">
        <v>228</v>
      </c>
      <c r="B6479" s="27" t="s">
        <v>371</v>
      </c>
      <c r="C6479" s="28">
        <v>0.44569999999999999</v>
      </c>
      <c r="D6479" s="28">
        <v>0.55430000000000001</v>
      </c>
      <c r="E6479" s="29" t="s">
        <v>334</v>
      </c>
    </row>
    <row r="6480" spans="1:5" x14ac:dyDescent="0.35">
      <c r="A6480" s="27" t="s">
        <v>228</v>
      </c>
      <c r="B6480" s="27" t="s">
        <v>372</v>
      </c>
      <c r="C6480" s="28">
        <v>0.79549999999999998</v>
      </c>
      <c r="D6480" s="28">
        <v>0.20449999999999999</v>
      </c>
      <c r="E6480" s="29" t="s">
        <v>335</v>
      </c>
    </row>
    <row r="6481" spans="1:5" x14ac:dyDescent="0.35">
      <c r="A6481" s="27" t="s">
        <v>228</v>
      </c>
      <c r="B6481" s="27" t="s">
        <v>373</v>
      </c>
      <c r="C6481" s="28">
        <v>1</v>
      </c>
      <c r="D6481" s="29"/>
      <c r="E6481" s="29" t="s">
        <v>335</v>
      </c>
    </row>
    <row r="6482" spans="1:5" x14ac:dyDescent="0.35">
      <c r="A6482" s="27" t="s">
        <v>229</v>
      </c>
      <c r="B6482" s="27" t="s">
        <v>371</v>
      </c>
      <c r="C6482" s="28">
        <v>0.45789999999999997</v>
      </c>
      <c r="D6482" s="28">
        <v>0.54210000000000003</v>
      </c>
      <c r="E6482" s="29" t="s">
        <v>337</v>
      </c>
    </row>
    <row r="6483" spans="1:5" x14ac:dyDescent="0.35">
      <c r="A6483" s="27" t="s">
        <v>229</v>
      </c>
      <c r="B6483" s="27" t="s">
        <v>372</v>
      </c>
      <c r="C6483" s="28">
        <v>1</v>
      </c>
      <c r="D6483" s="29"/>
      <c r="E6483" s="29" t="s">
        <v>332</v>
      </c>
    </row>
    <row r="6484" spans="1:5" x14ac:dyDescent="0.35">
      <c r="A6484" s="27" t="s">
        <v>229</v>
      </c>
      <c r="B6484" s="27" t="s">
        <v>373</v>
      </c>
      <c r="C6484" s="28">
        <v>1</v>
      </c>
      <c r="D6484" s="29"/>
      <c r="E6484" s="29" t="s">
        <v>331</v>
      </c>
    </row>
    <row r="6485" spans="1:5" x14ac:dyDescent="0.35">
      <c r="A6485" s="27" t="s">
        <v>230</v>
      </c>
      <c r="B6485" s="27" t="s">
        <v>371</v>
      </c>
      <c r="C6485" s="29"/>
      <c r="D6485" s="28">
        <v>1</v>
      </c>
      <c r="E6485" s="29" t="s">
        <v>314</v>
      </c>
    </row>
    <row r="6486" spans="1:5" x14ac:dyDescent="0.35">
      <c r="A6486" s="27" t="s">
        <v>231</v>
      </c>
      <c r="B6486" s="27" t="s">
        <v>371</v>
      </c>
      <c r="C6486" s="28">
        <v>0.66669999999999996</v>
      </c>
      <c r="D6486" s="28">
        <v>0.33329999999999999</v>
      </c>
      <c r="E6486" s="29" t="s">
        <v>315</v>
      </c>
    </row>
    <row r="6487" spans="1:5" x14ac:dyDescent="0.35">
      <c r="A6487" t="s">
        <v>232</v>
      </c>
      <c r="B6487" t="s">
        <v>232</v>
      </c>
      <c r="C6487" s="26">
        <v>0.60560000000000003</v>
      </c>
      <c r="D6487" s="26">
        <v>0.39439999999999997</v>
      </c>
      <c r="E6487">
        <v>38</v>
      </c>
    </row>
    <row r="6489" spans="1:5" x14ac:dyDescent="0.35">
      <c r="A6489" s="1" t="s">
        <v>860</v>
      </c>
    </row>
    <row r="6490" spans="1:5" x14ac:dyDescent="0.35">
      <c r="A6490" t="s">
        <v>219</v>
      </c>
      <c r="B6490" t="s">
        <v>305</v>
      </c>
      <c r="C6490" t="s">
        <v>302</v>
      </c>
      <c r="D6490" t="s">
        <v>303</v>
      </c>
      <c r="E6490" t="s">
        <v>226</v>
      </c>
    </row>
    <row r="6491" spans="1:5" x14ac:dyDescent="0.35">
      <c r="A6491" s="27" t="s">
        <v>227</v>
      </c>
      <c r="B6491" s="27" t="s">
        <v>255</v>
      </c>
      <c r="C6491" s="28">
        <v>1</v>
      </c>
      <c r="D6491" s="29"/>
      <c r="E6491" s="29" t="s">
        <v>314</v>
      </c>
    </row>
    <row r="6492" spans="1:5" x14ac:dyDescent="0.35">
      <c r="A6492" s="27" t="s">
        <v>228</v>
      </c>
      <c r="B6492" s="27" t="s">
        <v>255</v>
      </c>
      <c r="C6492" s="28">
        <v>0.62590000000000001</v>
      </c>
      <c r="D6492" s="28">
        <v>0.37409999999999999</v>
      </c>
      <c r="E6492" s="29" t="s">
        <v>346</v>
      </c>
    </row>
    <row r="6493" spans="1:5" x14ac:dyDescent="0.35">
      <c r="A6493" s="27" t="s">
        <v>228</v>
      </c>
      <c r="B6493" s="27" t="s">
        <v>256</v>
      </c>
      <c r="C6493" s="28">
        <v>0.5534</v>
      </c>
      <c r="D6493" s="28">
        <v>0.4466</v>
      </c>
      <c r="E6493" s="29" t="s">
        <v>332</v>
      </c>
    </row>
    <row r="6494" spans="1:5" x14ac:dyDescent="0.35">
      <c r="A6494" s="27" t="s">
        <v>228</v>
      </c>
      <c r="B6494" s="27" t="s">
        <v>257</v>
      </c>
      <c r="C6494" s="29"/>
      <c r="D6494" s="28">
        <v>1</v>
      </c>
      <c r="E6494" s="29" t="s">
        <v>331</v>
      </c>
    </row>
    <row r="6495" spans="1:5" x14ac:dyDescent="0.35">
      <c r="A6495" s="27" t="s">
        <v>229</v>
      </c>
      <c r="B6495" s="27" t="s">
        <v>255</v>
      </c>
      <c r="C6495" s="28">
        <v>0.59030000000000005</v>
      </c>
      <c r="D6495" s="28">
        <v>0.40970000000000001</v>
      </c>
      <c r="E6495" s="29" t="s">
        <v>333</v>
      </c>
    </row>
    <row r="6496" spans="1:5" x14ac:dyDescent="0.35">
      <c r="A6496" s="27" t="s">
        <v>229</v>
      </c>
      <c r="B6496" s="27" t="s">
        <v>256</v>
      </c>
      <c r="C6496" s="28">
        <v>0.66090000000000004</v>
      </c>
      <c r="D6496" s="28">
        <v>0.33910000000000001</v>
      </c>
      <c r="E6496" s="29" t="s">
        <v>314</v>
      </c>
    </row>
    <row r="6497" spans="1:20" x14ac:dyDescent="0.35">
      <c r="A6497" s="27" t="s">
        <v>230</v>
      </c>
      <c r="B6497" s="27" t="s">
        <v>255</v>
      </c>
      <c r="C6497" s="29"/>
      <c r="D6497" s="28">
        <v>1</v>
      </c>
      <c r="E6497" s="29" t="s">
        <v>314</v>
      </c>
    </row>
    <row r="6498" spans="1:20" x14ac:dyDescent="0.35">
      <c r="A6498" s="27" t="s">
        <v>231</v>
      </c>
      <c r="B6498" s="27" t="s">
        <v>255</v>
      </c>
      <c r="C6498" s="28">
        <v>0.5</v>
      </c>
      <c r="D6498" s="28">
        <v>0.5</v>
      </c>
      <c r="E6498" s="29" t="s">
        <v>314</v>
      </c>
    </row>
    <row r="6499" spans="1:20" x14ac:dyDescent="0.35">
      <c r="A6499" s="27" t="s">
        <v>231</v>
      </c>
      <c r="B6499" s="27" t="s">
        <v>256</v>
      </c>
      <c r="C6499" s="28">
        <v>1</v>
      </c>
      <c r="D6499" s="29"/>
      <c r="E6499" s="29" t="s">
        <v>331</v>
      </c>
    </row>
    <row r="6500" spans="1:20" x14ac:dyDescent="0.35">
      <c r="A6500" t="s">
        <v>232</v>
      </c>
      <c r="B6500" t="s">
        <v>232</v>
      </c>
      <c r="C6500" s="26">
        <v>0.60560000000000003</v>
      </c>
      <c r="D6500" s="26">
        <v>0.39439999999999997</v>
      </c>
      <c r="E6500">
        <v>38</v>
      </c>
    </row>
    <row r="6502" spans="1:20" x14ac:dyDescent="0.35">
      <c r="A6502" s="1" t="s">
        <v>861</v>
      </c>
    </row>
    <row r="6503" spans="1:20" x14ac:dyDescent="0.35">
      <c r="A6503" t="s">
        <v>219</v>
      </c>
      <c r="B6503" t="s">
        <v>862</v>
      </c>
      <c r="C6503" t="s">
        <v>863</v>
      </c>
      <c r="D6503" t="s">
        <v>864</v>
      </c>
      <c r="E6503" t="s">
        <v>865</v>
      </c>
      <c r="F6503" t="s">
        <v>866</v>
      </c>
      <c r="G6503" t="s">
        <v>867</v>
      </c>
      <c r="H6503" t="s">
        <v>868</v>
      </c>
      <c r="I6503" t="s">
        <v>869</v>
      </c>
      <c r="J6503" t="s">
        <v>870</v>
      </c>
      <c r="K6503" t="s">
        <v>871</v>
      </c>
      <c r="L6503" t="s">
        <v>872</v>
      </c>
      <c r="M6503" t="s">
        <v>873</v>
      </c>
      <c r="N6503" t="s">
        <v>874</v>
      </c>
      <c r="O6503" t="s">
        <v>875</v>
      </c>
      <c r="P6503" t="s">
        <v>876</v>
      </c>
      <c r="Q6503" t="s">
        <v>286</v>
      </c>
      <c r="R6503" t="s">
        <v>877</v>
      </c>
      <c r="S6503" t="s">
        <v>226</v>
      </c>
    </row>
    <row r="6504" spans="1:20" x14ac:dyDescent="0.35">
      <c r="A6504" t="s">
        <v>227</v>
      </c>
      <c r="B6504" s="26">
        <v>0.99380000000000002</v>
      </c>
      <c r="C6504" s="26">
        <v>0.95650000000000002</v>
      </c>
      <c r="D6504" s="26">
        <v>0.9627</v>
      </c>
      <c r="E6504" s="26">
        <v>0.83230000000000004</v>
      </c>
      <c r="F6504" s="26">
        <v>0.69569999999999999</v>
      </c>
      <c r="G6504" s="26">
        <v>0.59630000000000005</v>
      </c>
      <c r="H6504" s="26">
        <v>0.54659999999999997</v>
      </c>
      <c r="I6504" s="26">
        <v>0.5776</v>
      </c>
      <c r="J6504" s="26">
        <v>0.47199999999999998</v>
      </c>
      <c r="K6504" s="26">
        <v>0.39129999999999998</v>
      </c>
      <c r="L6504" s="26">
        <v>0.23599999999999999</v>
      </c>
      <c r="M6504" s="26">
        <v>0.1615</v>
      </c>
      <c r="N6504" s="26">
        <v>0.1615</v>
      </c>
      <c r="O6504" s="26">
        <v>6.83E-2</v>
      </c>
      <c r="P6504" s="26">
        <v>1.24E-2</v>
      </c>
      <c r="S6504">
        <v>161</v>
      </c>
    </row>
    <row r="6505" spans="1:20" x14ac:dyDescent="0.35">
      <c r="A6505" t="s">
        <v>228</v>
      </c>
      <c r="B6505" s="26">
        <v>0.98780000000000001</v>
      </c>
      <c r="C6505" s="26">
        <v>0.93959999999999999</v>
      </c>
      <c r="D6505" s="26">
        <v>0.92179999999999995</v>
      </c>
      <c r="E6505" s="26">
        <v>0.81340000000000001</v>
      </c>
      <c r="F6505" s="26">
        <v>0.58040000000000003</v>
      </c>
      <c r="G6505" s="26">
        <v>0.58009999999999995</v>
      </c>
      <c r="H6505" s="26">
        <v>0.60289999999999999</v>
      </c>
      <c r="I6505" s="26">
        <v>0.47989999999999999</v>
      </c>
      <c r="J6505" s="26">
        <v>0.41959999999999997</v>
      </c>
      <c r="K6505" s="26">
        <v>0.36770000000000003</v>
      </c>
      <c r="L6505" s="26">
        <v>0.1973</v>
      </c>
      <c r="M6505" s="26">
        <v>0.17749999999999999</v>
      </c>
      <c r="N6505" s="26">
        <v>0.1094</v>
      </c>
      <c r="O6505" s="26">
        <v>7.4399999999999994E-2</v>
      </c>
      <c r="P6505" s="26">
        <v>2.0199999999999999E-2</v>
      </c>
      <c r="Q6505" s="26">
        <v>3.7000000000000002E-3</v>
      </c>
      <c r="R6505" s="26">
        <v>3.3E-3</v>
      </c>
      <c r="S6505">
        <v>1033</v>
      </c>
    </row>
    <row r="6506" spans="1:20" x14ac:dyDescent="0.35">
      <c r="A6506" t="s">
        <v>229</v>
      </c>
      <c r="B6506" s="26">
        <v>0.99939999999999996</v>
      </c>
      <c r="C6506" s="26">
        <v>0.94530000000000003</v>
      </c>
      <c r="D6506" s="26">
        <v>0.97489999999999999</v>
      </c>
      <c r="E6506" s="26">
        <v>0.88739999999999997</v>
      </c>
      <c r="F6506" s="26">
        <v>0.73819999999999997</v>
      </c>
      <c r="G6506" s="26">
        <v>0.66269999999999996</v>
      </c>
      <c r="H6506" s="26">
        <v>0.58320000000000005</v>
      </c>
      <c r="I6506" s="26">
        <v>0.49669999999999997</v>
      </c>
      <c r="J6506" s="26">
        <v>0.53820000000000001</v>
      </c>
      <c r="K6506" s="26">
        <v>0.48370000000000002</v>
      </c>
      <c r="L6506" s="26">
        <v>0.30869999999999997</v>
      </c>
      <c r="M6506" s="26">
        <v>0.15670000000000001</v>
      </c>
      <c r="N6506" s="26">
        <v>0.1166</v>
      </c>
      <c r="O6506" s="26">
        <v>9.7100000000000006E-2</v>
      </c>
      <c r="P6506" s="26">
        <v>2.1899999999999999E-2</v>
      </c>
      <c r="Q6506" s="26">
        <v>2.0000000000000001E-4</v>
      </c>
      <c r="S6506">
        <v>895</v>
      </c>
    </row>
    <row r="6507" spans="1:20" x14ac:dyDescent="0.35">
      <c r="A6507" t="s">
        <v>230</v>
      </c>
      <c r="B6507" s="26">
        <v>0.99829999999999997</v>
      </c>
      <c r="C6507" s="26">
        <v>0.9546</v>
      </c>
      <c r="D6507" s="26">
        <v>0.95720000000000005</v>
      </c>
      <c r="E6507" s="26">
        <v>0.89610000000000001</v>
      </c>
      <c r="F6507" s="26">
        <v>0.68510000000000004</v>
      </c>
      <c r="G6507" s="26">
        <v>0.62090000000000001</v>
      </c>
      <c r="H6507" s="26">
        <v>0.56430000000000002</v>
      </c>
      <c r="I6507" s="26">
        <v>0.54149999999999998</v>
      </c>
      <c r="J6507" s="26">
        <v>0.48110000000000003</v>
      </c>
      <c r="K6507" s="26">
        <v>0.40749999999999997</v>
      </c>
      <c r="L6507" s="26">
        <v>0.31979999999999997</v>
      </c>
      <c r="M6507" s="26">
        <v>0.21160000000000001</v>
      </c>
      <c r="N6507" s="26">
        <v>0.12529999999999999</v>
      </c>
      <c r="O6507" s="26">
        <v>4.87E-2</v>
      </c>
      <c r="P6507" s="26">
        <v>2.9499999999999998E-2</v>
      </c>
      <c r="R6507" s="26">
        <v>2.9999999999999997E-4</v>
      </c>
      <c r="S6507">
        <v>560</v>
      </c>
    </row>
    <row r="6508" spans="1:20" x14ac:dyDescent="0.35">
      <c r="A6508" t="s">
        <v>231</v>
      </c>
      <c r="B6508" s="26">
        <v>1</v>
      </c>
      <c r="C6508" s="26">
        <v>0.93899999999999995</v>
      </c>
      <c r="D6508" s="26">
        <v>0.89019999999999999</v>
      </c>
      <c r="E6508" s="26">
        <v>0.81710000000000005</v>
      </c>
      <c r="F6508" s="26">
        <v>0.71950000000000003</v>
      </c>
      <c r="G6508" s="26">
        <v>0.628</v>
      </c>
      <c r="H6508" s="26">
        <v>0.439</v>
      </c>
      <c r="I6508" s="26">
        <v>0.48170000000000002</v>
      </c>
      <c r="J6508" s="26">
        <v>0.55489999999999995</v>
      </c>
      <c r="K6508" s="26">
        <v>0.48170000000000002</v>
      </c>
      <c r="L6508" s="26">
        <v>0.26219999999999999</v>
      </c>
      <c r="M6508" s="26">
        <v>0.18290000000000001</v>
      </c>
      <c r="N6508" s="26">
        <v>0.20119999999999999</v>
      </c>
      <c r="O6508" s="26">
        <v>8.5400000000000004E-2</v>
      </c>
      <c r="P6508" s="26">
        <v>1.2200000000000001E-2</v>
      </c>
      <c r="S6508">
        <v>164</v>
      </c>
    </row>
    <row r="6509" spans="1:20" x14ac:dyDescent="0.35">
      <c r="A6509" t="s">
        <v>232</v>
      </c>
      <c r="B6509" s="26">
        <v>0.99639999999999995</v>
      </c>
      <c r="C6509" s="26">
        <v>0.94510000000000005</v>
      </c>
      <c r="D6509" s="26">
        <v>0.93789999999999996</v>
      </c>
      <c r="E6509" s="26">
        <v>0.84630000000000005</v>
      </c>
      <c r="F6509" s="26">
        <v>0.69089999999999996</v>
      </c>
      <c r="G6509" s="26">
        <v>0.62309999999999999</v>
      </c>
      <c r="H6509" s="26">
        <v>0.54010000000000002</v>
      </c>
      <c r="I6509" s="26">
        <v>0.50590000000000002</v>
      </c>
      <c r="J6509" s="26">
        <v>0.50429999999999997</v>
      </c>
      <c r="K6509" s="26">
        <v>0.43940000000000001</v>
      </c>
      <c r="L6509" s="26">
        <v>0.26440000000000002</v>
      </c>
      <c r="M6509" s="26">
        <v>0.1739</v>
      </c>
      <c r="N6509" s="26">
        <v>0.14599999999999999</v>
      </c>
      <c r="O6509" s="26">
        <v>8.0500000000000002E-2</v>
      </c>
      <c r="P6509" s="26">
        <v>1.8200000000000001E-2</v>
      </c>
      <c r="Q6509" s="26">
        <v>8.0000000000000004E-4</v>
      </c>
      <c r="R6509" s="26">
        <v>6.9999999999999999E-4</v>
      </c>
      <c r="S6509">
        <v>2813</v>
      </c>
    </row>
    <row r="6511" spans="1:20" x14ac:dyDescent="0.35">
      <c r="A6511" s="1" t="s">
        <v>878</v>
      </c>
    </row>
    <row r="6512" spans="1:20" x14ac:dyDescent="0.35">
      <c r="A6512" t="s">
        <v>219</v>
      </c>
      <c r="B6512" t="s">
        <v>305</v>
      </c>
      <c r="C6512" t="s">
        <v>862</v>
      </c>
      <c r="D6512" t="s">
        <v>863</v>
      </c>
      <c r="E6512" t="s">
        <v>864</v>
      </c>
      <c r="F6512" t="s">
        <v>865</v>
      </c>
      <c r="G6512" t="s">
        <v>866</v>
      </c>
      <c r="H6512" t="s">
        <v>867</v>
      </c>
      <c r="I6512" t="s">
        <v>868</v>
      </c>
      <c r="J6512" t="s">
        <v>869</v>
      </c>
      <c r="K6512" t="s">
        <v>870</v>
      </c>
      <c r="L6512" t="s">
        <v>871</v>
      </c>
      <c r="M6512" t="s">
        <v>872</v>
      </c>
      <c r="N6512" t="s">
        <v>873</v>
      </c>
      <c r="O6512" t="s">
        <v>874</v>
      </c>
      <c r="P6512" t="s">
        <v>875</v>
      </c>
      <c r="Q6512" t="s">
        <v>876</v>
      </c>
      <c r="R6512" t="s">
        <v>286</v>
      </c>
      <c r="S6512" t="s">
        <v>877</v>
      </c>
      <c r="T6512" t="s">
        <v>226</v>
      </c>
    </row>
    <row r="6513" spans="1:20" x14ac:dyDescent="0.35">
      <c r="A6513" t="s">
        <v>227</v>
      </c>
      <c r="B6513" t="s">
        <v>242</v>
      </c>
      <c r="C6513" s="26">
        <v>1</v>
      </c>
      <c r="D6513" s="26">
        <v>0.92649999999999999</v>
      </c>
      <c r="E6513" s="26">
        <v>0.94120000000000004</v>
      </c>
      <c r="F6513" s="26">
        <v>0.82350000000000001</v>
      </c>
      <c r="G6513" s="26">
        <v>0.63239999999999996</v>
      </c>
      <c r="H6513" s="26">
        <v>0.58819999999999995</v>
      </c>
      <c r="I6513" s="26">
        <v>0.52939999999999998</v>
      </c>
      <c r="J6513" s="26">
        <v>0.60289999999999999</v>
      </c>
      <c r="K6513" s="26">
        <v>0.38240000000000002</v>
      </c>
      <c r="L6513" s="26">
        <v>0.36759999999999998</v>
      </c>
      <c r="M6513" s="26">
        <v>0.17649999999999999</v>
      </c>
      <c r="N6513" s="26">
        <v>0.2059</v>
      </c>
      <c r="O6513" s="26">
        <v>0.1618</v>
      </c>
      <c r="P6513" s="26">
        <v>4.41E-2</v>
      </c>
      <c r="Q6513" s="26">
        <v>2.9399999999999999E-2</v>
      </c>
      <c r="T6513">
        <v>68</v>
      </c>
    </row>
    <row r="6514" spans="1:20" x14ac:dyDescent="0.35">
      <c r="A6514" t="s">
        <v>227</v>
      </c>
      <c r="B6514" t="s">
        <v>241</v>
      </c>
      <c r="C6514" s="26">
        <v>0.98919999999999997</v>
      </c>
      <c r="D6514" s="26">
        <v>0.97850000000000004</v>
      </c>
      <c r="E6514" s="26">
        <v>0.97850000000000004</v>
      </c>
      <c r="F6514" s="26">
        <v>0.8387</v>
      </c>
      <c r="G6514" s="26">
        <v>0.7419</v>
      </c>
      <c r="H6514" s="26">
        <v>0.60219999999999996</v>
      </c>
      <c r="I6514" s="26">
        <v>0.55910000000000004</v>
      </c>
      <c r="J6514" s="26">
        <v>0.55910000000000004</v>
      </c>
      <c r="K6514" s="26">
        <v>0.53759999999999997</v>
      </c>
      <c r="L6514" s="26">
        <v>0.40860000000000002</v>
      </c>
      <c r="M6514" s="26">
        <v>0.27960000000000002</v>
      </c>
      <c r="N6514" s="26">
        <v>0.129</v>
      </c>
      <c r="O6514" s="26">
        <v>0.1613</v>
      </c>
      <c r="P6514" s="26">
        <v>8.5999999999999993E-2</v>
      </c>
      <c r="T6514">
        <v>93</v>
      </c>
    </row>
    <row r="6515" spans="1:20" x14ac:dyDescent="0.35">
      <c r="A6515" t="s">
        <v>228</v>
      </c>
      <c r="B6515" t="s">
        <v>242</v>
      </c>
      <c r="C6515" s="26">
        <v>0.98450000000000004</v>
      </c>
      <c r="D6515" s="26">
        <v>0.91120000000000001</v>
      </c>
      <c r="E6515" s="26">
        <v>0.89900000000000002</v>
      </c>
      <c r="F6515" s="26">
        <v>0.77839999999999998</v>
      </c>
      <c r="G6515" s="26">
        <v>0.51629999999999998</v>
      </c>
      <c r="H6515" s="26">
        <v>0.48880000000000001</v>
      </c>
      <c r="I6515" s="26">
        <v>0.52680000000000005</v>
      </c>
      <c r="J6515" s="26">
        <v>0.46779999999999999</v>
      </c>
      <c r="K6515" s="26">
        <v>0.33610000000000001</v>
      </c>
      <c r="L6515" s="26">
        <v>0.36870000000000003</v>
      </c>
      <c r="M6515" s="26">
        <v>0.1143</v>
      </c>
      <c r="N6515" s="26">
        <v>0.26129999999999998</v>
      </c>
      <c r="O6515" s="26">
        <v>0.1048</v>
      </c>
      <c r="P6515" s="26">
        <v>6.3100000000000003E-2</v>
      </c>
      <c r="Q6515" s="26">
        <v>1.83E-2</v>
      </c>
      <c r="R6515" s="26">
        <v>1.1000000000000001E-3</v>
      </c>
      <c r="S6515" s="26">
        <v>9.1000000000000004E-3</v>
      </c>
      <c r="T6515">
        <v>402</v>
      </c>
    </row>
    <row r="6516" spans="1:20" x14ac:dyDescent="0.35">
      <c r="A6516" t="s">
        <v>228</v>
      </c>
      <c r="B6516" t="s">
        <v>241</v>
      </c>
      <c r="C6516" s="26">
        <v>0.98970000000000002</v>
      </c>
      <c r="D6516" s="26">
        <v>0.95579999999999998</v>
      </c>
      <c r="E6516" s="26">
        <v>0.93489999999999995</v>
      </c>
      <c r="F6516" s="26">
        <v>0.83350000000000002</v>
      </c>
      <c r="G6516" s="26">
        <v>0.6169</v>
      </c>
      <c r="H6516" s="26">
        <v>0.63219999999999998</v>
      </c>
      <c r="I6516" s="26">
        <v>0.64629999999999999</v>
      </c>
      <c r="J6516" s="26">
        <v>0.48680000000000001</v>
      </c>
      <c r="K6516" s="26">
        <v>0.46729999999999999</v>
      </c>
      <c r="L6516" s="26">
        <v>0.36720000000000003</v>
      </c>
      <c r="M6516" s="26">
        <v>0.2447</v>
      </c>
      <c r="N6516" s="26">
        <v>0.12959999999999999</v>
      </c>
      <c r="O6516" s="26">
        <v>0.112</v>
      </c>
      <c r="P6516" s="26">
        <v>8.09E-2</v>
      </c>
      <c r="Q6516" s="26">
        <v>2.12E-2</v>
      </c>
      <c r="R6516" s="26">
        <v>5.1000000000000004E-3</v>
      </c>
      <c r="T6516">
        <v>631</v>
      </c>
    </row>
    <row r="6517" spans="1:20" x14ac:dyDescent="0.35">
      <c r="A6517" t="s">
        <v>229</v>
      </c>
      <c r="B6517" t="s">
        <v>242</v>
      </c>
      <c r="C6517" s="26">
        <v>0.99919999999999998</v>
      </c>
      <c r="D6517" s="26">
        <v>0.95509999999999995</v>
      </c>
      <c r="E6517" s="26">
        <v>0.96430000000000005</v>
      </c>
      <c r="F6517" s="26">
        <v>0.88880000000000003</v>
      </c>
      <c r="G6517" s="26">
        <v>0.68789999999999996</v>
      </c>
      <c r="H6517" s="26">
        <v>0.64029999999999998</v>
      </c>
      <c r="I6517" s="26">
        <v>0.52969999999999995</v>
      </c>
      <c r="J6517" s="26">
        <v>0.49159999999999998</v>
      </c>
      <c r="K6517" s="26">
        <v>0.4405</v>
      </c>
      <c r="L6517" s="26">
        <v>0.47049999999999997</v>
      </c>
      <c r="M6517" s="26">
        <v>0.2056</v>
      </c>
      <c r="N6517" s="26">
        <v>0.1542</v>
      </c>
      <c r="O6517" s="26">
        <v>0.14280000000000001</v>
      </c>
      <c r="P6517" s="26">
        <v>9.35E-2</v>
      </c>
      <c r="Q6517" s="26">
        <v>1.8800000000000001E-2</v>
      </c>
      <c r="T6517">
        <v>292</v>
      </c>
    </row>
    <row r="6518" spans="1:20" x14ac:dyDescent="0.35">
      <c r="A6518" t="s">
        <v>229</v>
      </c>
      <c r="B6518" t="s">
        <v>241</v>
      </c>
      <c r="C6518" s="26">
        <v>0.99960000000000004</v>
      </c>
      <c r="D6518" s="26">
        <v>0.93899999999999995</v>
      </c>
      <c r="E6518" s="26">
        <v>0.98180000000000001</v>
      </c>
      <c r="F6518" s="26">
        <v>0.88649999999999995</v>
      </c>
      <c r="G6518" s="26">
        <v>0.77029999999999998</v>
      </c>
      <c r="H6518" s="26">
        <v>0.67700000000000005</v>
      </c>
      <c r="I6518" s="26">
        <v>0.61750000000000005</v>
      </c>
      <c r="J6518" s="26">
        <v>0.5</v>
      </c>
      <c r="K6518" s="26">
        <v>0.60070000000000001</v>
      </c>
      <c r="L6518" s="26">
        <v>0.49220000000000003</v>
      </c>
      <c r="M6518" s="26">
        <v>0.37469999999999998</v>
      </c>
      <c r="N6518" s="26">
        <v>0.1583</v>
      </c>
      <c r="O6518" s="26">
        <v>9.98E-2</v>
      </c>
      <c r="P6518" s="26">
        <v>9.9400000000000002E-2</v>
      </c>
      <c r="Q6518" s="26">
        <v>2.3900000000000001E-2</v>
      </c>
      <c r="R6518" s="26">
        <v>2.9999999999999997E-4</v>
      </c>
      <c r="T6518">
        <v>603</v>
      </c>
    </row>
    <row r="6519" spans="1:20" x14ac:dyDescent="0.35">
      <c r="A6519" t="s">
        <v>230</v>
      </c>
      <c r="B6519" t="s">
        <v>242</v>
      </c>
      <c r="C6519" s="26">
        <v>0.99919999999999998</v>
      </c>
      <c r="D6519" s="26">
        <v>0.96140000000000003</v>
      </c>
      <c r="E6519" s="26">
        <v>0.95799999999999996</v>
      </c>
      <c r="F6519" s="26">
        <v>0.89139999999999997</v>
      </c>
      <c r="G6519" s="26">
        <v>0.65890000000000004</v>
      </c>
      <c r="H6519" s="26">
        <v>0.64790000000000003</v>
      </c>
      <c r="I6519" s="26">
        <v>0.59589999999999999</v>
      </c>
      <c r="J6519" s="26">
        <v>0.58599999999999997</v>
      </c>
      <c r="K6519" s="26">
        <v>0.42880000000000001</v>
      </c>
      <c r="L6519" s="26">
        <v>0.44650000000000001</v>
      </c>
      <c r="M6519" s="26">
        <v>0.2782</v>
      </c>
      <c r="N6519" s="26">
        <v>0.2702</v>
      </c>
      <c r="O6519" s="26">
        <v>0.1527</v>
      </c>
      <c r="P6519" s="26">
        <v>5.0200000000000002E-2</v>
      </c>
      <c r="Q6519" s="26">
        <v>5.2999999999999999E-2</v>
      </c>
      <c r="T6519">
        <v>189</v>
      </c>
    </row>
    <row r="6520" spans="1:20" x14ac:dyDescent="0.35">
      <c r="A6520" t="s">
        <v>230</v>
      </c>
      <c r="B6520" t="s">
        <v>241</v>
      </c>
      <c r="C6520" s="26">
        <v>0.99780000000000002</v>
      </c>
      <c r="D6520" s="26">
        <v>0.95109999999999995</v>
      </c>
      <c r="E6520" s="26">
        <v>0.95679999999999998</v>
      </c>
      <c r="F6520" s="26">
        <v>0.89849999999999997</v>
      </c>
      <c r="G6520" s="26">
        <v>0.69840000000000002</v>
      </c>
      <c r="H6520" s="26">
        <v>0.60709999999999997</v>
      </c>
      <c r="I6520" s="26">
        <v>0.54820000000000002</v>
      </c>
      <c r="J6520" s="26">
        <v>0.51870000000000005</v>
      </c>
      <c r="K6520" s="26">
        <v>0.50770000000000004</v>
      </c>
      <c r="L6520" s="26">
        <v>0.3876</v>
      </c>
      <c r="M6520" s="26">
        <v>0.34110000000000001</v>
      </c>
      <c r="N6520" s="26">
        <v>0.1817</v>
      </c>
      <c r="O6520" s="26">
        <v>0.1113</v>
      </c>
      <c r="P6520" s="26">
        <v>4.8000000000000001E-2</v>
      </c>
      <c r="Q6520" s="26">
        <v>1.7500000000000002E-2</v>
      </c>
      <c r="S6520" s="26">
        <v>4.0000000000000002E-4</v>
      </c>
      <c r="T6520">
        <v>371</v>
      </c>
    </row>
    <row r="6521" spans="1:20" x14ac:dyDescent="0.35">
      <c r="A6521" t="s">
        <v>231</v>
      </c>
      <c r="B6521" t="s">
        <v>242</v>
      </c>
      <c r="C6521" s="26">
        <v>1</v>
      </c>
      <c r="D6521" s="26">
        <v>0.90739999999999998</v>
      </c>
      <c r="E6521" s="26">
        <v>0.96299999999999997</v>
      </c>
      <c r="F6521" s="26">
        <v>0.81479999999999997</v>
      </c>
      <c r="G6521" s="26">
        <v>0.72219999999999995</v>
      </c>
      <c r="H6521" s="26">
        <v>0.66669999999999996</v>
      </c>
      <c r="I6521" s="26">
        <v>0.4259</v>
      </c>
      <c r="J6521" s="26">
        <v>0.5</v>
      </c>
      <c r="K6521" s="26">
        <v>0.48149999999999998</v>
      </c>
      <c r="L6521" s="26">
        <v>0.53700000000000003</v>
      </c>
      <c r="M6521" s="26">
        <v>0.20369999999999999</v>
      </c>
      <c r="N6521" s="26">
        <v>0.12959999999999999</v>
      </c>
      <c r="O6521" s="26">
        <v>0.33329999999999999</v>
      </c>
      <c r="P6521" s="26">
        <v>7.4099999999999999E-2</v>
      </c>
      <c r="Q6521" s="26">
        <v>1.8499999999999999E-2</v>
      </c>
      <c r="T6521">
        <v>54</v>
      </c>
    </row>
    <row r="6522" spans="1:20" x14ac:dyDescent="0.35">
      <c r="A6522" t="s">
        <v>231</v>
      </c>
      <c r="B6522" t="s">
        <v>241</v>
      </c>
      <c r="C6522" s="26">
        <v>1</v>
      </c>
      <c r="D6522" s="26">
        <v>0.95450000000000002</v>
      </c>
      <c r="E6522" s="26">
        <v>0.85450000000000004</v>
      </c>
      <c r="F6522" s="26">
        <v>0.81820000000000004</v>
      </c>
      <c r="G6522" s="26">
        <v>0.71819999999999995</v>
      </c>
      <c r="H6522" s="26">
        <v>0.60909999999999997</v>
      </c>
      <c r="I6522" s="26">
        <v>0.44550000000000001</v>
      </c>
      <c r="J6522" s="26">
        <v>0.47270000000000001</v>
      </c>
      <c r="K6522" s="26">
        <v>0.59089999999999998</v>
      </c>
      <c r="L6522" s="26">
        <v>0.45450000000000002</v>
      </c>
      <c r="M6522" s="26">
        <v>0.29089999999999999</v>
      </c>
      <c r="N6522" s="26">
        <v>0.20910000000000001</v>
      </c>
      <c r="O6522" s="26">
        <v>0.13639999999999999</v>
      </c>
      <c r="P6522" s="26">
        <v>9.0899999999999995E-2</v>
      </c>
      <c r="Q6522" s="26">
        <v>9.1000000000000004E-3</v>
      </c>
      <c r="T6522">
        <v>110</v>
      </c>
    </row>
    <row r="6523" spans="1:20" x14ac:dyDescent="0.35">
      <c r="A6523" t="s">
        <v>232</v>
      </c>
      <c r="B6523" t="s">
        <v>232</v>
      </c>
      <c r="C6523" s="26">
        <v>0.99639999999999995</v>
      </c>
      <c r="D6523" s="26">
        <v>0.94510000000000005</v>
      </c>
      <c r="E6523" s="26">
        <v>0.93789999999999996</v>
      </c>
      <c r="F6523" s="26">
        <v>0.84630000000000005</v>
      </c>
      <c r="G6523" s="26">
        <v>0.69089999999999996</v>
      </c>
      <c r="H6523" s="26">
        <v>0.62309999999999999</v>
      </c>
      <c r="I6523" s="26">
        <v>0.54010000000000002</v>
      </c>
      <c r="J6523" s="26">
        <v>0.50590000000000002</v>
      </c>
      <c r="K6523" s="26">
        <v>0.50429999999999997</v>
      </c>
      <c r="L6523" s="26">
        <v>0.43940000000000001</v>
      </c>
      <c r="M6523" s="26">
        <v>0.26440000000000002</v>
      </c>
      <c r="N6523" s="26">
        <v>0.1739</v>
      </c>
      <c r="O6523" s="26">
        <v>0.14599999999999999</v>
      </c>
      <c r="P6523" s="26">
        <v>8.0500000000000002E-2</v>
      </c>
      <c r="Q6523" s="26">
        <v>1.8200000000000001E-2</v>
      </c>
      <c r="R6523" s="26">
        <v>8.0000000000000004E-4</v>
      </c>
      <c r="S6523" s="26">
        <v>6.9999999999999999E-4</v>
      </c>
      <c r="T6523">
        <v>2813</v>
      </c>
    </row>
    <row r="6525" spans="1:20" x14ac:dyDescent="0.35">
      <c r="A6525" s="1" t="s">
        <v>879</v>
      </c>
    </row>
    <row r="6526" spans="1:20" x14ac:dyDescent="0.35">
      <c r="A6526" t="s">
        <v>219</v>
      </c>
      <c r="B6526" t="s">
        <v>305</v>
      </c>
      <c r="C6526" t="s">
        <v>862</v>
      </c>
      <c r="D6526" t="s">
        <v>863</v>
      </c>
      <c r="E6526" t="s">
        <v>864</v>
      </c>
      <c r="F6526" t="s">
        <v>865</v>
      </c>
      <c r="G6526" t="s">
        <v>866</v>
      </c>
      <c r="H6526" t="s">
        <v>867</v>
      </c>
      <c r="I6526" t="s">
        <v>868</v>
      </c>
      <c r="J6526" t="s">
        <v>869</v>
      </c>
      <c r="K6526" t="s">
        <v>870</v>
      </c>
      <c r="L6526" t="s">
        <v>871</v>
      </c>
      <c r="M6526" t="s">
        <v>872</v>
      </c>
      <c r="N6526" t="s">
        <v>873</v>
      </c>
      <c r="O6526" t="s">
        <v>874</v>
      </c>
      <c r="P6526" t="s">
        <v>875</v>
      </c>
      <c r="Q6526" t="s">
        <v>876</v>
      </c>
      <c r="R6526" t="s">
        <v>286</v>
      </c>
      <c r="S6526" t="s">
        <v>877</v>
      </c>
      <c r="T6526" t="s">
        <v>226</v>
      </c>
    </row>
    <row r="6527" spans="1:20" x14ac:dyDescent="0.35">
      <c r="A6527" t="s">
        <v>227</v>
      </c>
      <c r="B6527" t="s">
        <v>239</v>
      </c>
      <c r="C6527" s="26">
        <v>0.9839</v>
      </c>
      <c r="D6527" s="26">
        <v>0.9194</v>
      </c>
      <c r="E6527" s="26">
        <v>0.9355</v>
      </c>
      <c r="F6527" s="26">
        <v>0.80649999999999999</v>
      </c>
      <c r="G6527" s="26">
        <v>0.6452</v>
      </c>
      <c r="H6527" s="26">
        <v>0.5161</v>
      </c>
      <c r="I6527" s="26">
        <v>0.4032</v>
      </c>
      <c r="J6527" s="26">
        <v>0.6774</v>
      </c>
      <c r="K6527" s="26">
        <v>0.4677</v>
      </c>
      <c r="L6527" s="26">
        <v>0.3871</v>
      </c>
      <c r="M6527" s="26">
        <v>0.1613</v>
      </c>
      <c r="N6527" s="26">
        <v>0.1129</v>
      </c>
      <c r="O6527" s="26">
        <v>0.2258</v>
      </c>
      <c r="P6527" s="26">
        <v>6.4500000000000002E-2</v>
      </c>
      <c r="Q6527" s="26">
        <v>1.61E-2</v>
      </c>
      <c r="T6527">
        <v>62</v>
      </c>
    </row>
    <row r="6528" spans="1:20" x14ac:dyDescent="0.35">
      <c r="A6528" t="s">
        <v>227</v>
      </c>
      <c r="B6528" t="s">
        <v>238</v>
      </c>
      <c r="C6528" s="26">
        <v>1</v>
      </c>
      <c r="D6528" s="26">
        <v>0.9798</v>
      </c>
      <c r="E6528" s="26">
        <v>0.9798</v>
      </c>
      <c r="F6528" s="26">
        <v>0.84850000000000003</v>
      </c>
      <c r="G6528" s="26">
        <v>0.72729999999999995</v>
      </c>
      <c r="H6528" s="26">
        <v>0.64649999999999996</v>
      </c>
      <c r="I6528" s="26">
        <v>0.63639999999999997</v>
      </c>
      <c r="J6528" s="26">
        <v>0.51519999999999999</v>
      </c>
      <c r="K6528" s="26">
        <v>0.47470000000000001</v>
      </c>
      <c r="L6528" s="26">
        <v>0.39389999999999997</v>
      </c>
      <c r="M6528" s="26">
        <v>0.2828</v>
      </c>
      <c r="N6528" s="26">
        <v>0.19189999999999999</v>
      </c>
      <c r="O6528" s="26">
        <v>0.1212</v>
      </c>
      <c r="P6528" s="26">
        <v>7.0699999999999999E-2</v>
      </c>
      <c r="Q6528" s="26">
        <v>1.01E-2</v>
      </c>
      <c r="T6528">
        <v>99</v>
      </c>
    </row>
    <row r="6529" spans="1:20" x14ac:dyDescent="0.35">
      <c r="A6529" t="s">
        <v>228</v>
      </c>
      <c r="B6529" t="s">
        <v>239</v>
      </c>
      <c r="C6529" s="26">
        <v>0.99480000000000002</v>
      </c>
      <c r="D6529" s="26">
        <v>0.95609999999999995</v>
      </c>
      <c r="E6529" s="26">
        <v>0.92579999999999996</v>
      </c>
      <c r="F6529" s="26">
        <v>0.79700000000000004</v>
      </c>
      <c r="G6529" s="26">
        <v>0.62260000000000004</v>
      </c>
      <c r="H6529" s="26">
        <v>0.48909999999999998</v>
      </c>
      <c r="I6529" s="26">
        <v>0.4753</v>
      </c>
      <c r="J6529" s="26">
        <v>0.52</v>
      </c>
      <c r="K6529" s="26">
        <v>0.3775</v>
      </c>
      <c r="L6529" s="26">
        <v>0.30740000000000001</v>
      </c>
      <c r="M6529" s="26">
        <v>0.1371</v>
      </c>
      <c r="N6529" s="26">
        <v>0.1525</v>
      </c>
      <c r="O6529" s="26">
        <v>0.18820000000000001</v>
      </c>
      <c r="P6529" s="26">
        <v>5.33E-2</v>
      </c>
      <c r="Q6529" s="26">
        <v>4.0300000000000002E-2</v>
      </c>
      <c r="R6529" s="26">
        <v>2E-3</v>
      </c>
      <c r="T6529">
        <v>330</v>
      </c>
    </row>
    <row r="6530" spans="1:20" x14ac:dyDescent="0.35">
      <c r="A6530" t="s">
        <v>228</v>
      </c>
      <c r="B6530" t="s">
        <v>238</v>
      </c>
      <c r="C6530" s="26">
        <v>0.98599999999999999</v>
      </c>
      <c r="D6530" s="26">
        <v>0.93530000000000002</v>
      </c>
      <c r="E6530" s="26">
        <v>0.92079999999999995</v>
      </c>
      <c r="F6530" s="26">
        <v>0.81769999999999998</v>
      </c>
      <c r="G6530" s="26">
        <v>0.56940000000000002</v>
      </c>
      <c r="H6530" s="26">
        <v>0.6038</v>
      </c>
      <c r="I6530" s="26">
        <v>0.6361</v>
      </c>
      <c r="J6530" s="26">
        <v>0.46939999999999998</v>
      </c>
      <c r="K6530" s="26">
        <v>0.43059999999999998</v>
      </c>
      <c r="L6530" s="26">
        <v>0.38340000000000002</v>
      </c>
      <c r="M6530" s="26">
        <v>0.21299999999999999</v>
      </c>
      <c r="N6530" s="26">
        <v>0.184</v>
      </c>
      <c r="O6530" s="26">
        <v>8.8900000000000007E-2</v>
      </c>
      <c r="P6530" s="26">
        <v>7.9899999999999999E-2</v>
      </c>
      <c r="Q6530" s="26">
        <v>1.49E-2</v>
      </c>
      <c r="R6530" s="26">
        <v>4.1000000000000003E-3</v>
      </c>
      <c r="S6530" s="26">
        <v>4.1999999999999997E-3</v>
      </c>
      <c r="T6530">
        <v>703</v>
      </c>
    </row>
    <row r="6531" spans="1:20" x14ac:dyDescent="0.35">
      <c r="A6531" t="s">
        <v>229</v>
      </c>
      <c r="B6531" t="s">
        <v>239</v>
      </c>
      <c r="C6531" s="26">
        <v>0.99960000000000004</v>
      </c>
      <c r="D6531" s="26">
        <v>0.92530000000000001</v>
      </c>
      <c r="E6531" s="26">
        <v>0.94979999999999998</v>
      </c>
      <c r="F6531" s="26">
        <v>0.89119999999999999</v>
      </c>
      <c r="G6531" s="26">
        <v>0.75349999999999995</v>
      </c>
      <c r="H6531" s="26">
        <v>0.64259999999999995</v>
      </c>
      <c r="I6531" s="26">
        <v>0.41349999999999998</v>
      </c>
      <c r="J6531" s="26">
        <v>0.67010000000000003</v>
      </c>
      <c r="K6531" s="26">
        <v>0.53910000000000002</v>
      </c>
      <c r="L6531" s="26">
        <v>0.4521</v>
      </c>
      <c r="M6531" s="26">
        <v>0.1731</v>
      </c>
      <c r="N6531" s="26">
        <v>0.1099</v>
      </c>
      <c r="O6531" s="26">
        <v>0.2087</v>
      </c>
      <c r="P6531" s="26">
        <v>7.9399999999999998E-2</v>
      </c>
      <c r="Q6531" s="26">
        <v>4.8300000000000003E-2</v>
      </c>
      <c r="T6531">
        <v>332</v>
      </c>
    </row>
    <row r="6532" spans="1:20" x14ac:dyDescent="0.35">
      <c r="A6532" t="s">
        <v>229</v>
      </c>
      <c r="B6532" t="s">
        <v>238</v>
      </c>
      <c r="C6532" s="26">
        <v>0.99929999999999997</v>
      </c>
      <c r="D6532" s="26">
        <v>0.95209999999999995</v>
      </c>
      <c r="E6532" s="26">
        <v>0.98350000000000004</v>
      </c>
      <c r="F6532" s="26">
        <v>0.8861</v>
      </c>
      <c r="G6532" s="26">
        <v>0.73299999999999998</v>
      </c>
      <c r="H6532" s="26">
        <v>0.66949999999999998</v>
      </c>
      <c r="I6532" s="26">
        <v>0.64119999999999999</v>
      </c>
      <c r="J6532" s="26">
        <v>0.4375</v>
      </c>
      <c r="K6532" s="26">
        <v>0.53790000000000004</v>
      </c>
      <c r="L6532" s="26">
        <v>0.4945</v>
      </c>
      <c r="M6532" s="26">
        <v>0.35499999999999998</v>
      </c>
      <c r="N6532" s="26">
        <v>0.17269999999999999</v>
      </c>
      <c r="O6532" s="26">
        <v>8.5199999999999998E-2</v>
      </c>
      <c r="P6532" s="26">
        <v>0.1031</v>
      </c>
      <c r="Q6532" s="26">
        <v>1.29E-2</v>
      </c>
      <c r="R6532" s="26">
        <v>2.0000000000000001E-4</v>
      </c>
      <c r="T6532">
        <v>563</v>
      </c>
    </row>
    <row r="6533" spans="1:20" x14ac:dyDescent="0.35">
      <c r="A6533" t="s">
        <v>230</v>
      </c>
      <c r="B6533" t="s">
        <v>239</v>
      </c>
      <c r="C6533" s="26">
        <v>0.99819999999999998</v>
      </c>
      <c r="D6533" s="26">
        <v>0.94750000000000001</v>
      </c>
      <c r="E6533" s="26">
        <v>0.98050000000000004</v>
      </c>
      <c r="F6533" s="26">
        <v>0.872</v>
      </c>
      <c r="G6533" s="26">
        <v>0.754</v>
      </c>
      <c r="H6533" s="26">
        <v>0.61629999999999996</v>
      </c>
      <c r="I6533" s="26">
        <v>0.54530000000000001</v>
      </c>
      <c r="J6533" s="26">
        <v>0.53680000000000005</v>
      </c>
      <c r="K6533" s="26">
        <v>0.45</v>
      </c>
      <c r="L6533" s="26">
        <v>0.40810000000000002</v>
      </c>
      <c r="M6533" s="26">
        <v>0.2354</v>
      </c>
      <c r="N6533" s="26">
        <v>9.2299999999999993E-2</v>
      </c>
      <c r="O6533" s="26">
        <v>0.191</v>
      </c>
      <c r="P6533" s="26">
        <v>4.4299999999999999E-2</v>
      </c>
      <c r="Q6533" s="26">
        <v>3.4599999999999999E-2</v>
      </c>
      <c r="T6533">
        <v>211</v>
      </c>
    </row>
    <row r="6534" spans="1:20" x14ac:dyDescent="0.35">
      <c r="A6534" t="s">
        <v>230</v>
      </c>
      <c r="B6534" t="s">
        <v>238</v>
      </c>
      <c r="C6534" s="26">
        <v>0.99829999999999997</v>
      </c>
      <c r="D6534" s="26">
        <v>0.95760000000000001</v>
      </c>
      <c r="E6534" s="26">
        <v>0.94720000000000004</v>
      </c>
      <c r="F6534" s="26">
        <v>0.90639999999999998</v>
      </c>
      <c r="G6534" s="26">
        <v>0.65529999999999999</v>
      </c>
      <c r="H6534" s="26">
        <v>0.62290000000000001</v>
      </c>
      <c r="I6534" s="26">
        <v>0.57250000000000001</v>
      </c>
      <c r="J6534" s="26">
        <v>0.54349999999999998</v>
      </c>
      <c r="K6534" s="26">
        <v>0.4945</v>
      </c>
      <c r="L6534" s="26">
        <v>0.40720000000000001</v>
      </c>
      <c r="M6534" s="26">
        <v>0.35620000000000002</v>
      </c>
      <c r="N6534" s="26">
        <v>0.26300000000000001</v>
      </c>
      <c r="O6534" s="26">
        <v>9.7000000000000003E-2</v>
      </c>
      <c r="P6534" s="26">
        <v>5.0700000000000002E-2</v>
      </c>
      <c r="Q6534" s="26">
        <v>2.7300000000000001E-2</v>
      </c>
      <c r="S6534" s="26">
        <v>4.0000000000000002E-4</v>
      </c>
      <c r="T6534">
        <v>349</v>
      </c>
    </row>
    <row r="6535" spans="1:20" x14ac:dyDescent="0.35">
      <c r="A6535" t="s">
        <v>231</v>
      </c>
      <c r="B6535" t="s">
        <v>239</v>
      </c>
      <c r="C6535" s="26">
        <v>1</v>
      </c>
      <c r="D6535" s="26">
        <v>0.94740000000000002</v>
      </c>
      <c r="E6535" s="26">
        <v>0.89470000000000005</v>
      </c>
      <c r="F6535" s="26">
        <v>0.89470000000000005</v>
      </c>
      <c r="G6535" s="26">
        <v>0.73680000000000001</v>
      </c>
      <c r="H6535" s="26">
        <v>0.68420000000000003</v>
      </c>
      <c r="I6535" s="26">
        <v>0.26319999999999999</v>
      </c>
      <c r="J6535" s="26">
        <v>0.54390000000000005</v>
      </c>
      <c r="K6535" s="26">
        <v>0.57889999999999997</v>
      </c>
      <c r="L6535" s="26">
        <v>0.56140000000000001</v>
      </c>
      <c r="M6535" s="26">
        <v>0.193</v>
      </c>
      <c r="N6535" s="26">
        <v>0.1053</v>
      </c>
      <c r="O6535" s="26">
        <v>0.28070000000000001</v>
      </c>
      <c r="P6535" s="26">
        <v>8.77E-2</v>
      </c>
      <c r="Q6535" s="26">
        <v>1.7500000000000002E-2</v>
      </c>
      <c r="T6535">
        <v>57</v>
      </c>
    </row>
    <row r="6536" spans="1:20" x14ac:dyDescent="0.35">
      <c r="A6536" t="s">
        <v>231</v>
      </c>
      <c r="B6536" t="s">
        <v>238</v>
      </c>
      <c r="C6536" s="26">
        <v>1</v>
      </c>
      <c r="D6536" s="26">
        <v>0.93459999999999999</v>
      </c>
      <c r="E6536" s="26">
        <v>0.88790000000000002</v>
      </c>
      <c r="F6536" s="26">
        <v>0.77569999999999995</v>
      </c>
      <c r="G6536" s="26">
        <v>0.71030000000000004</v>
      </c>
      <c r="H6536" s="26">
        <v>0.59809999999999997</v>
      </c>
      <c r="I6536" s="26">
        <v>0.53269999999999995</v>
      </c>
      <c r="J6536" s="26">
        <v>0.4486</v>
      </c>
      <c r="K6536" s="26">
        <v>0.54210000000000003</v>
      </c>
      <c r="L6536" s="26">
        <v>0.43930000000000002</v>
      </c>
      <c r="M6536" s="26">
        <v>0.29909999999999998</v>
      </c>
      <c r="N6536" s="26">
        <v>0.2243</v>
      </c>
      <c r="O6536" s="26">
        <v>0.15890000000000001</v>
      </c>
      <c r="P6536" s="26">
        <v>8.4099999999999994E-2</v>
      </c>
      <c r="Q6536" s="26">
        <v>9.2999999999999992E-3</v>
      </c>
      <c r="T6536">
        <v>107</v>
      </c>
    </row>
    <row r="6537" spans="1:20" x14ac:dyDescent="0.35">
      <c r="A6537" t="s">
        <v>232</v>
      </c>
      <c r="B6537" t="s">
        <v>232</v>
      </c>
      <c r="C6537" s="26">
        <v>0.99639999999999995</v>
      </c>
      <c r="D6537" s="26">
        <v>0.94510000000000005</v>
      </c>
      <c r="E6537" s="26">
        <v>0.93789999999999996</v>
      </c>
      <c r="F6537" s="26">
        <v>0.84630000000000005</v>
      </c>
      <c r="G6537" s="26">
        <v>0.69089999999999996</v>
      </c>
      <c r="H6537" s="26">
        <v>0.62309999999999999</v>
      </c>
      <c r="I6537" s="26">
        <v>0.54010000000000002</v>
      </c>
      <c r="J6537" s="26">
        <v>0.50590000000000002</v>
      </c>
      <c r="K6537" s="26">
        <v>0.50429999999999997</v>
      </c>
      <c r="L6537" s="26">
        <v>0.43940000000000001</v>
      </c>
      <c r="M6537" s="26">
        <v>0.26440000000000002</v>
      </c>
      <c r="N6537" s="26">
        <v>0.1739</v>
      </c>
      <c r="O6537" s="26">
        <v>0.14599999999999999</v>
      </c>
      <c r="P6537" s="26">
        <v>8.0500000000000002E-2</v>
      </c>
      <c r="Q6537" s="26">
        <v>1.8200000000000001E-2</v>
      </c>
      <c r="R6537" s="26">
        <v>8.0000000000000004E-4</v>
      </c>
      <c r="S6537" s="26">
        <v>6.9999999999999999E-4</v>
      </c>
      <c r="T6537">
        <v>2813</v>
      </c>
    </row>
    <row r="6539" spans="1:20" x14ac:dyDescent="0.35">
      <c r="A6539" s="1" t="s">
        <v>880</v>
      </c>
    </row>
    <row r="6540" spans="1:20" x14ac:dyDescent="0.35">
      <c r="A6540" t="s">
        <v>219</v>
      </c>
      <c r="B6540" t="s">
        <v>305</v>
      </c>
      <c r="C6540" t="s">
        <v>862</v>
      </c>
      <c r="D6540" t="s">
        <v>863</v>
      </c>
      <c r="E6540" t="s">
        <v>864</v>
      </c>
      <c r="F6540" t="s">
        <v>865</v>
      </c>
      <c r="G6540" t="s">
        <v>866</v>
      </c>
      <c r="H6540" t="s">
        <v>867</v>
      </c>
      <c r="I6540" t="s">
        <v>868</v>
      </c>
      <c r="J6540" t="s">
        <v>869</v>
      </c>
      <c r="K6540" t="s">
        <v>870</v>
      </c>
      <c r="L6540" t="s">
        <v>871</v>
      </c>
      <c r="M6540" t="s">
        <v>872</v>
      </c>
      <c r="N6540" t="s">
        <v>873</v>
      </c>
      <c r="O6540" t="s">
        <v>874</v>
      </c>
      <c r="P6540" t="s">
        <v>875</v>
      </c>
      <c r="Q6540" t="s">
        <v>876</v>
      </c>
      <c r="R6540" t="s">
        <v>286</v>
      </c>
      <c r="S6540" t="s">
        <v>877</v>
      </c>
      <c r="T6540" t="s">
        <v>226</v>
      </c>
    </row>
    <row r="6541" spans="1:20" x14ac:dyDescent="0.35">
      <c r="A6541" t="s">
        <v>227</v>
      </c>
      <c r="B6541" t="s">
        <v>244</v>
      </c>
      <c r="C6541" s="26">
        <v>1</v>
      </c>
      <c r="D6541" s="26">
        <v>0.95830000000000004</v>
      </c>
      <c r="E6541" s="26">
        <v>0.95830000000000004</v>
      </c>
      <c r="F6541" s="26">
        <v>0.89580000000000004</v>
      </c>
      <c r="G6541" s="26">
        <v>0.72919999999999996</v>
      </c>
      <c r="H6541" s="26">
        <v>0.72919999999999996</v>
      </c>
      <c r="I6541" s="26">
        <v>0.63539999999999996</v>
      </c>
      <c r="J6541" s="26">
        <v>0.65620000000000001</v>
      </c>
      <c r="K6541" s="26">
        <v>0.54169999999999996</v>
      </c>
      <c r="L6541" s="26">
        <v>0.4375</v>
      </c>
      <c r="M6541" s="26">
        <v>0.27079999999999999</v>
      </c>
      <c r="N6541" s="26">
        <v>0.21879999999999999</v>
      </c>
      <c r="O6541" s="26">
        <v>0.21879999999999999</v>
      </c>
      <c r="P6541" s="26">
        <v>8.3299999999999999E-2</v>
      </c>
      <c r="Q6541" s="26">
        <v>2.0799999999999999E-2</v>
      </c>
      <c r="T6541">
        <v>96</v>
      </c>
    </row>
    <row r="6542" spans="1:20" x14ac:dyDescent="0.35">
      <c r="A6542" t="s">
        <v>227</v>
      </c>
      <c r="B6542" t="s">
        <v>245</v>
      </c>
      <c r="C6542" s="26">
        <v>0.98109999999999997</v>
      </c>
      <c r="D6542" s="26">
        <v>0.94340000000000002</v>
      </c>
      <c r="E6542" s="26">
        <v>0.98109999999999997</v>
      </c>
      <c r="F6542" s="26">
        <v>0.69810000000000005</v>
      </c>
      <c r="G6542" s="26">
        <v>0.58489999999999998</v>
      </c>
      <c r="H6542" s="26">
        <v>0.28299999999999997</v>
      </c>
      <c r="I6542" s="26">
        <v>0.41510000000000002</v>
      </c>
      <c r="J6542" s="26">
        <v>0.45279999999999998</v>
      </c>
      <c r="K6542" s="26">
        <v>0.28299999999999997</v>
      </c>
      <c r="L6542" s="26">
        <v>0.28299999999999997</v>
      </c>
      <c r="M6542" s="26">
        <v>0.1132</v>
      </c>
      <c r="N6542" s="26">
        <v>7.5499999999999998E-2</v>
      </c>
      <c r="O6542" s="26">
        <v>1.89E-2</v>
      </c>
      <c r="P6542" s="26">
        <v>5.6599999999999998E-2</v>
      </c>
      <c r="T6542">
        <v>53</v>
      </c>
    </row>
    <row r="6543" spans="1:20" x14ac:dyDescent="0.35">
      <c r="A6543" s="27" t="s">
        <v>227</v>
      </c>
      <c r="B6543" s="27" t="s">
        <v>246</v>
      </c>
      <c r="C6543" s="28">
        <v>1</v>
      </c>
      <c r="D6543" s="28">
        <v>1</v>
      </c>
      <c r="E6543" s="28">
        <v>0.91669999999999996</v>
      </c>
      <c r="F6543" s="28">
        <v>0.91669999999999996</v>
      </c>
      <c r="G6543" s="28">
        <v>0.91669999999999996</v>
      </c>
      <c r="H6543" s="28">
        <v>0.91669999999999996</v>
      </c>
      <c r="I6543" s="28">
        <v>0.41670000000000001</v>
      </c>
      <c r="J6543" s="28">
        <v>0.5</v>
      </c>
      <c r="K6543" s="28">
        <v>0.75</v>
      </c>
      <c r="L6543" s="28">
        <v>0.5</v>
      </c>
      <c r="M6543" s="28">
        <v>0.5</v>
      </c>
      <c r="N6543" s="28">
        <v>8.3299999999999999E-2</v>
      </c>
      <c r="O6543" s="28">
        <v>0.33329999999999999</v>
      </c>
      <c r="P6543" s="29"/>
      <c r="Q6543" s="29"/>
      <c r="R6543" s="29"/>
      <c r="S6543" s="29"/>
      <c r="T6543" s="29" t="s">
        <v>342</v>
      </c>
    </row>
    <row r="6544" spans="1:20" x14ac:dyDescent="0.35">
      <c r="A6544" t="s">
        <v>228</v>
      </c>
      <c r="B6544" t="s">
        <v>244</v>
      </c>
      <c r="C6544" s="26">
        <v>0.99460000000000004</v>
      </c>
      <c r="D6544" s="26">
        <v>0.94130000000000003</v>
      </c>
      <c r="E6544" s="26">
        <v>0.94299999999999995</v>
      </c>
      <c r="F6544" s="26">
        <v>0.84870000000000001</v>
      </c>
      <c r="G6544" s="26">
        <v>0.61880000000000002</v>
      </c>
      <c r="H6544" s="26">
        <v>0.65229999999999999</v>
      </c>
      <c r="I6544" s="26">
        <v>0.63990000000000002</v>
      </c>
      <c r="J6544" s="26">
        <v>0.52459999999999996</v>
      </c>
      <c r="K6544" s="26">
        <v>0.46239999999999998</v>
      </c>
      <c r="L6544" s="26">
        <v>0.3876</v>
      </c>
      <c r="M6544" s="26">
        <v>0.23910000000000001</v>
      </c>
      <c r="N6544" s="26">
        <v>0.19040000000000001</v>
      </c>
      <c r="O6544" s="26">
        <v>0.12989999999999999</v>
      </c>
      <c r="P6544" s="26">
        <v>9.1800000000000007E-2</v>
      </c>
      <c r="Q6544" s="26">
        <v>2.24E-2</v>
      </c>
      <c r="R6544" s="26">
        <v>3.8E-3</v>
      </c>
      <c r="T6544">
        <v>638</v>
      </c>
    </row>
    <row r="6545" spans="1:20" x14ac:dyDescent="0.35">
      <c r="A6545" t="s">
        <v>228</v>
      </c>
      <c r="B6545" t="s">
        <v>245</v>
      </c>
      <c r="C6545" s="26">
        <v>0.97019999999999995</v>
      </c>
      <c r="D6545" s="26">
        <v>0.93400000000000005</v>
      </c>
      <c r="E6545" s="26">
        <v>0.88319999999999999</v>
      </c>
      <c r="F6545" s="26">
        <v>0.71919999999999995</v>
      </c>
      <c r="G6545" s="26">
        <v>0.43969999999999998</v>
      </c>
      <c r="H6545" s="26">
        <v>0.37859999999999999</v>
      </c>
      <c r="I6545" s="26">
        <v>0.53859999999999997</v>
      </c>
      <c r="J6545" s="26">
        <v>0.33150000000000002</v>
      </c>
      <c r="K6545" s="26">
        <v>0.29620000000000002</v>
      </c>
      <c r="L6545" s="26">
        <v>0.30980000000000002</v>
      </c>
      <c r="M6545" s="26">
        <v>9.5399999999999999E-2</v>
      </c>
      <c r="N6545" s="26">
        <v>0.14000000000000001</v>
      </c>
      <c r="O6545" s="26">
        <v>4.1300000000000003E-2</v>
      </c>
      <c r="P6545" s="26">
        <v>4.3499999999999997E-2</v>
      </c>
      <c r="Q6545" s="26">
        <v>1.83E-2</v>
      </c>
      <c r="R6545" s="26">
        <v>4.1999999999999997E-3</v>
      </c>
      <c r="S6545" s="26">
        <v>1.1900000000000001E-2</v>
      </c>
      <c r="T6545">
        <v>328</v>
      </c>
    </row>
    <row r="6546" spans="1:20" x14ac:dyDescent="0.35">
      <c r="A6546" t="s">
        <v>228</v>
      </c>
      <c r="B6546" t="s">
        <v>246</v>
      </c>
      <c r="C6546" s="26">
        <v>0.99399999999999999</v>
      </c>
      <c r="D6546" s="26">
        <v>0.94630000000000003</v>
      </c>
      <c r="E6546" s="26">
        <v>0.87719999999999998</v>
      </c>
      <c r="F6546" s="26">
        <v>0.86</v>
      </c>
      <c r="G6546" s="26">
        <v>0.78500000000000003</v>
      </c>
      <c r="H6546" s="26">
        <v>0.70950000000000002</v>
      </c>
      <c r="I6546" s="26">
        <v>0.51090000000000002</v>
      </c>
      <c r="J6546" s="26">
        <v>0.65580000000000005</v>
      </c>
      <c r="K6546" s="26">
        <v>0.5131</v>
      </c>
      <c r="L6546" s="26">
        <v>0.41339999999999999</v>
      </c>
      <c r="M6546" s="26">
        <v>0.21260000000000001</v>
      </c>
      <c r="N6546" s="26">
        <v>0.20699999999999999</v>
      </c>
      <c r="O6546" s="26">
        <v>0.19059999999999999</v>
      </c>
      <c r="P6546" s="26">
        <v>3.4700000000000002E-2</v>
      </c>
      <c r="Q6546" s="26">
        <v>6.0000000000000001E-3</v>
      </c>
      <c r="T6546">
        <v>67</v>
      </c>
    </row>
    <row r="6547" spans="1:20" x14ac:dyDescent="0.35">
      <c r="A6547" t="s">
        <v>229</v>
      </c>
      <c r="B6547" t="s">
        <v>244</v>
      </c>
      <c r="C6547" s="26">
        <v>0.99950000000000006</v>
      </c>
      <c r="D6547" s="26">
        <v>0.95640000000000003</v>
      </c>
      <c r="E6547" s="26">
        <v>0.98319999999999996</v>
      </c>
      <c r="F6547" s="26">
        <v>0.91959999999999997</v>
      </c>
      <c r="G6547" s="26">
        <v>0.78969999999999996</v>
      </c>
      <c r="H6547" s="26">
        <v>0.75549999999999995</v>
      </c>
      <c r="I6547" s="26">
        <v>0.61399999999999999</v>
      </c>
      <c r="J6547" s="26">
        <v>0.53569999999999995</v>
      </c>
      <c r="K6547" s="26">
        <v>0.58679999999999999</v>
      </c>
      <c r="L6547" s="26">
        <v>0.54630000000000001</v>
      </c>
      <c r="M6547" s="26">
        <v>0.36149999999999999</v>
      </c>
      <c r="N6547" s="26">
        <v>0.15440000000000001</v>
      </c>
      <c r="O6547" s="26">
        <v>0.1066</v>
      </c>
      <c r="P6547" s="26">
        <v>0.1216</v>
      </c>
      <c r="Q6547" s="26">
        <v>2.7300000000000001E-2</v>
      </c>
      <c r="T6547">
        <v>557</v>
      </c>
    </row>
    <row r="6548" spans="1:20" x14ac:dyDescent="0.35">
      <c r="A6548" t="s">
        <v>229</v>
      </c>
      <c r="B6548" t="s">
        <v>245</v>
      </c>
      <c r="C6548" s="26">
        <v>0.999</v>
      </c>
      <c r="D6548" s="26">
        <v>0.90339999999999998</v>
      </c>
      <c r="E6548" s="26">
        <v>0.94799999999999995</v>
      </c>
      <c r="F6548" s="26">
        <v>0.78759999999999997</v>
      </c>
      <c r="G6548" s="26">
        <v>0.55740000000000001</v>
      </c>
      <c r="H6548" s="26">
        <v>0.372</v>
      </c>
      <c r="I6548" s="26">
        <v>0.49559999999999998</v>
      </c>
      <c r="J6548" s="26">
        <v>0.35930000000000001</v>
      </c>
      <c r="K6548" s="26">
        <v>0.36840000000000001</v>
      </c>
      <c r="L6548" s="26">
        <v>0.30509999999999998</v>
      </c>
      <c r="M6548" s="26">
        <v>0.15620000000000001</v>
      </c>
      <c r="N6548" s="26">
        <v>0.1711</v>
      </c>
      <c r="O6548" s="26">
        <v>8.9800000000000005E-2</v>
      </c>
      <c r="P6548" s="26">
        <v>2.7E-2</v>
      </c>
      <c r="Q6548" s="26">
        <v>1.1299999999999999E-2</v>
      </c>
      <c r="R6548" s="26">
        <v>6.9999999999999999E-4</v>
      </c>
      <c r="T6548">
        <v>293</v>
      </c>
    </row>
    <row r="6549" spans="1:20" x14ac:dyDescent="0.35">
      <c r="A6549" t="s">
        <v>229</v>
      </c>
      <c r="B6549" t="s">
        <v>246</v>
      </c>
      <c r="C6549" s="26">
        <v>1</v>
      </c>
      <c r="D6549" s="26">
        <v>1</v>
      </c>
      <c r="E6549" s="26">
        <v>0.99639999999999995</v>
      </c>
      <c r="F6549" s="26">
        <v>0.94350000000000001</v>
      </c>
      <c r="G6549" s="26">
        <v>0.92869999999999997</v>
      </c>
      <c r="H6549" s="26">
        <v>0.83830000000000005</v>
      </c>
      <c r="I6549" s="26">
        <v>0.59909999999999997</v>
      </c>
      <c r="J6549" s="26">
        <v>0.64290000000000003</v>
      </c>
      <c r="K6549" s="26">
        <v>0.71440000000000003</v>
      </c>
      <c r="L6549" s="26">
        <v>0.51910000000000001</v>
      </c>
      <c r="M6549" s="26">
        <v>0.34770000000000001</v>
      </c>
      <c r="N6549" s="26">
        <v>0.1177</v>
      </c>
      <c r="O6549" s="26">
        <v>0.37559999999999999</v>
      </c>
      <c r="P6549" s="26">
        <v>0.1115</v>
      </c>
      <c r="Q6549" s="26">
        <v>1.8E-3</v>
      </c>
      <c r="T6549">
        <v>45</v>
      </c>
    </row>
    <row r="6550" spans="1:20" x14ac:dyDescent="0.35">
      <c r="A6550" t="s">
        <v>230</v>
      </c>
      <c r="B6550" t="s">
        <v>244</v>
      </c>
      <c r="C6550" s="26">
        <v>0.99960000000000004</v>
      </c>
      <c r="D6550" s="26">
        <v>0.96440000000000003</v>
      </c>
      <c r="E6550" s="26">
        <v>0.9657</v>
      </c>
      <c r="F6550" s="26">
        <v>0.91049999999999998</v>
      </c>
      <c r="G6550" s="26">
        <v>0.75590000000000002</v>
      </c>
      <c r="H6550" s="26">
        <v>0.67600000000000005</v>
      </c>
      <c r="I6550" s="26">
        <v>0.53769999999999996</v>
      </c>
      <c r="J6550" s="26">
        <v>0.57010000000000005</v>
      </c>
      <c r="K6550" s="26">
        <v>0.50790000000000002</v>
      </c>
      <c r="L6550" s="26">
        <v>0.3931</v>
      </c>
      <c r="M6550" s="26">
        <v>0.35049999999999998</v>
      </c>
      <c r="N6550" s="26">
        <v>0.25330000000000003</v>
      </c>
      <c r="O6550" s="26">
        <v>0.1454</v>
      </c>
      <c r="P6550" s="26">
        <v>6.7500000000000004E-2</v>
      </c>
      <c r="Q6550" s="26">
        <v>9.4999999999999998E-3</v>
      </c>
      <c r="S6550" s="26">
        <v>4.0000000000000002E-4</v>
      </c>
      <c r="T6550">
        <v>370</v>
      </c>
    </row>
    <row r="6551" spans="1:20" x14ac:dyDescent="0.35">
      <c r="A6551" t="s">
        <v>230</v>
      </c>
      <c r="B6551" t="s">
        <v>245</v>
      </c>
      <c r="C6551" s="26">
        <v>0.99439999999999995</v>
      </c>
      <c r="D6551" s="26">
        <v>0.92330000000000001</v>
      </c>
      <c r="E6551" s="26">
        <v>0.93</v>
      </c>
      <c r="F6551" s="26">
        <v>0.84619999999999995</v>
      </c>
      <c r="G6551" s="26">
        <v>0.45279999999999998</v>
      </c>
      <c r="H6551" s="26">
        <v>0.4178</v>
      </c>
      <c r="I6551" s="26">
        <v>0.60209999999999997</v>
      </c>
      <c r="J6551" s="26">
        <v>0.48380000000000001</v>
      </c>
      <c r="K6551" s="26">
        <v>0.39410000000000001</v>
      </c>
      <c r="L6551" s="26">
        <v>0.42130000000000001</v>
      </c>
      <c r="M6551" s="26">
        <v>0.19470000000000001</v>
      </c>
      <c r="N6551" s="26">
        <v>0.108</v>
      </c>
      <c r="O6551" s="26">
        <v>5.3900000000000003E-2</v>
      </c>
      <c r="P6551" s="26">
        <v>6.7999999999999996E-3</v>
      </c>
      <c r="Q6551" s="26">
        <v>6.7799999999999999E-2</v>
      </c>
      <c r="T6551">
        <v>161</v>
      </c>
    </row>
    <row r="6552" spans="1:20" x14ac:dyDescent="0.35">
      <c r="A6552" s="27" t="s">
        <v>230</v>
      </c>
      <c r="B6552" s="27" t="s">
        <v>246</v>
      </c>
      <c r="C6552" s="28">
        <v>1</v>
      </c>
      <c r="D6552" s="28">
        <v>0.98170000000000002</v>
      </c>
      <c r="E6552" s="28">
        <v>0.98129999999999995</v>
      </c>
      <c r="F6552" s="28">
        <v>0.95740000000000003</v>
      </c>
      <c r="G6552" s="28">
        <v>0.91669999999999996</v>
      </c>
      <c r="H6552" s="28">
        <v>0.92230000000000001</v>
      </c>
      <c r="I6552" s="28">
        <v>0.74239999999999995</v>
      </c>
      <c r="J6552" s="28">
        <v>0.44140000000000001</v>
      </c>
      <c r="K6552" s="28">
        <v>0.56379999999999997</v>
      </c>
      <c r="L6552" s="28">
        <v>0.53910000000000002</v>
      </c>
      <c r="M6552" s="28">
        <v>0.55210000000000004</v>
      </c>
      <c r="N6552" s="28">
        <v>0.1716</v>
      </c>
      <c r="O6552" s="28">
        <v>0.22020000000000001</v>
      </c>
      <c r="P6552" s="28">
        <v>5.5999999999999999E-3</v>
      </c>
      <c r="Q6552" s="28">
        <v>0.1108</v>
      </c>
      <c r="R6552" s="29"/>
      <c r="S6552" s="29"/>
      <c r="T6552" s="29" t="s">
        <v>329</v>
      </c>
    </row>
    <row r="6553" spans="1:20" x14ac:dyDescent="0.35">
      <c r="A6553" t="s">
        <v>231</v>
      </c>
      <c r="B6553" t="s">
        <v>244</v>
      </c>
      <c r="C6553" s="26">
        <v>1</v>
      </c>
      <c r="D6553" s="26">
        <v>0.95789999999999997</v>
      </c>
      <c r="E6553" s="26">
        <v>0.91579999999999995</v>
      </c>
      <c r="F6553" s="26">
        <v>0.87370000000000003</v>
      </c>
      <c r="G6553" s="26">
        <v>0.75790000000000002</v>
      </c>
      <c r="H6553" s="26">
        <v>0.75790000000000002</v>
      </c>
      <c r="I6553" s="26">
        <v>0.4526</v>
      </c>
      <c r="J6553" s="26">
        <v>0.55789999999999995</v>
      </c>
      <c r="K6553" s="26">
        <v>0.57889999999999997</v>
      </c>
      <c r="L6553" s="26">
        <v>0.53680000000000005</v>
      </c>
      <c r="M6553" s="26">
        <v>0.28420000000000001</v>
      </c>
      <c r="N6553" s="26">
        <v>0.15790000000000001</v>
      </c>
      <c r="O6553" s="26">
        <v>0.22109999999999999</v>
      </c>
      <c r="P6553" s="26">
        <v>0.1368</v>
      </c>
      <c r="Q6553" s="26">
        <v>1.0500000000000001E-2</v>
      </c>
      <c r="T6553">
        <v>95</v>
      </c>
    </row>
    <row r="6554" spans="1:20" x14ac:dyDescent="0.35">
      <c r="A6554" t="s">
        <v>231</v>
      </c>
      <c r="B6554" t="s">
        <v>245</v>
      </c>
      <c r="C6554" s="26">
        <v>1</v>
      </c>
      <c r="D6554" s="26">
        <v>0.89290000000000003</v>
      </c>
      <c r="E6554" s="26">
        <v>0.85709999999999997</v>
      </c>
      <c r="F6554" s="26">
        <v>0.69640000000000002</v>
      </c>
      <c r="G6554" s="26">
        <v>0.625</v>
      </c>
      <c r="H6554" s="26">
        <v>0.35709999999999997</v>
      </c>
      <c r="I6554" s="26">
        <v>0.44640000000000002</v>
      </c>
      <c r="J6554" s="26">
        <v>0.33929999999999999</v>
      </c>
      <c r="K6554" s="26">
        <v>0.41070000000000001</v>
      </c>
      <c r="L6554" s="26">
        <v>0.33929999999999999</v>
      </c>
      <c r="M6554" s="26">
        <v>0.17860000000000001</v>
      </c>
      <c r="N6554" s="26">
        <v>0.25</v>
      </c>
      <c r="O6554" s="26">
        <v>0.16070000000000001</v>
      </c>
      <c r="Q6554" s="26">
        <v>1.7899999999999999E-2</v>
      </c>
      <c r="T6554">
        <v>56</v>
      </c>
    </row>
    <row r="6555" spans="1:20" x14ac:dyDescent="0.35">
      <c r="A6555" s="27" t="s">
        <v>231</v>
      </c>
      <c r="B6555" s="27" t="s">
        <v>246</v>
      </c>
      <c r="C6555" s="28">
        <v>1</v>
      </c>
      <c r="D6555" s="28">
        <v>1</v>
      </c>
      <c r="E6555" s="28">
        <v>0.84619999999999995</v>
      </c>
      <c r="F6555" s="28">
        <v>0.92310000000000003</v>
      </c>
      <c r="G6555" s="28">
        <v>0.84619999999999995</v>
      </c>
      <c r="H6555" s="28">
        <v>0.84619999999999995</v>
      </c>
      <c r="I6555" s="28">
        <v>0.30769999999999997</v>
      </c>
      <c r="J6555" s="28">
        <v>0.53849999999999998</v>
      </c>
      <c r="K6555" s="28">
        <v>1</v>
      </c>
      <c r="L6555" s="28">
        <v>0.69230000000000003</v>
      </c>
      <c r="M6555" s="28">
        <v>0.46150000000000002</v>
      </c>
      <c r="N6555" s="28">
        <v>7.6899999999999996E-2</v>
      </c>
      <c r="O6555" s="28">
        <v>0.23080000000000001</v>
      </c>
      <c r="P6555" s="28">
        <v>7.6899999999999996E-2</v>
      </c>
      <c r="Q6555" s="29"/>
      <c r="R6555" s="29"/>
      <c r="S6555" s="29"/>
      <c r="T6555" s="29" t="s">
        <v>341</v>
      </c>
    </row>
    <row r="6556" spans="1:20" x14ac:dyDescent="0.35">
      <c r="A6556" t="s">
        <v>232</v>
      </c>
      <c r="B6556" t="s">
        <v>232</v>
      </c>
      <c r="C6556" s="26">
        <v>0.99639999999999995</v>
      </c>
      <c r="D6556" s="26">
        <v>0.94510000000000005</v>
      </c>
      <c r="E6556" s="26">
        <v>0.93789999999999996</v>
      </c>
      <c r="F6556" s="26">
        <v>0.84630000000000005</v>
      </c>
      <c r="G6556" s="26">
        <v>0.69089999999999996</v>
      </c>
      <c r="H6556" s="26">
        <v>0.62309999999999999</v>
      </c>
      <c r="I6556" s="26">
        <v>0.54010000000000002</v>
      </c>
      <c r="J6556" s="26">
        <v>0.50590000000000002</v>
      </c>
      <c r="K6556" s="26">
        <v>0.50429999999999997</v>
      </c>
      <c r="L6556" s="26">
        <v>0.43940000000000001</v>
      </c>
      <c r="M6556" s="26">
        <v>0.26440000000000002</v>
      </c>
      <c r="N6556" s="26">
        <v>0.1739</v>
      </c>
      <c r="O6556" s="26">
        <v>0.14599999999999999</v>
      </c>
      <c r="P6556" s="26">
        <v>8.0500000000000002E-2</v>
      </c>
      <c r="Q6556" s="26">
        <v>1.8200000000000001E-2</v>
      </c>
      <c r="R6556" s="26">
        <v>8.0000000000000004E-4</v>
      </c>
      <c r="S6556" s="26">
        <v>6.9999999999999999E-4</v>
      </c>
      <c r="T6556">
        <v>2813</v>
      </c>
    </row>
    <row r="6558" spans="1:20" x14ac:dyDescent="0.35">
      <c r="A6558" s="1" t="s">
        <v>881</v>
      </c>
    </row>
    <row r="6559" spans="1:20" x14ac:dyDescent="0.35">
      <c r="A6559" t="s">
        <v>219</v>
      </c>
      <c r="B6559" t="s">
        <v>305</v>
      </c>
      <c r="C6559" t="s">
        <v>862</v>
      </c>
      <c r="D6559" t="s">
        <v>863</v>
      </c>
      <c r="E6559" t="s">
        <v>864</v>
      </c>
      <c r="F6559" t="s">
        <v>865</v>
      </c>
      <c r="G6559" t="s">
        <v>866</v>
      </c>
      <c r="H6559" t="s">
        <v>867</v>
      </c>
      <c r="I6559" t="s">
        <v>868</v>
      </c>
      <c r="J6559" t="s">
        <v>869</v>
      </c>
      <c r="K6559" t="s">
        <v>870</v>
      </c>
      <c r="L6559" t="s">
        <v>871</v>
      </c>
      <c r="M6559" t="s">
        <v>872</v>
      </c>
      <c r="N6559" t="s">
        <v>873</v>
      </c>
      <c r="O6559" t="s">
        <v>874</v>
      </c>
      <c r="P6559" t="s">
        <v>875</v>
      </c>
      <c r="Q6559" t="s">
        <v>876</v>
      </c>
      <c r="R6559" t="s">
        <v>286</v>
      </c>
      <c r="S6559" t="s">
        <v>877</v>
      </c>
      <c r="T6559" t="s">
        <v>226</v>
      </c>
    </row>
    <row r="6560" spans="1:20" x14ac:dyDescent="0.35">
      <c r="A6560" t="s">
        <v>227</v>
      </c>
      <c r="B6560" t="s">
        <v>360</v>
      </c>
      <c r="C6560" s="26">
        <v>1</v>
      </c>
      <c r="D6560" s="26">
        <v>0.92310000000000003</v>
      </c>
      <c r="E6560" s="26">
        <v>0.97440000000000004</v>
      </c>
      <c r="F6560" s="26">
        <v>0.76919999999999999</v>
      </c>
      <c r="G6560" s="26">
        <v>0.51280000000000003</v>
      </c>
      <c r="H6560" s="26">
        <v>0.48720000000000002</v>
      </c>
      <c r="I6560" s="26">
        <v>0.43590000000000001</v>
      </c>
      <c r="J6560" s="26">
        <v>0.4103</v>
      </c>
      <c r="K6560" s="26">
        <v>0.30769999999999997</v>
      </c>
      <c r="L6560" s="26">
        <v>0.3846</v>
      </c>
      <c r="M6560" s="26">
        <v>0.1026</v>
      </c>
      <c r="N6560" s="26">
        <v>0.1026</v>
      </c>
      <c r="O6560" s="26">
        <v>0.23080000000000001</v>
      </c>
      <c r="T6560">
        <v>39</v>
      </c>
    </row>
    <row r="6561" spans="1:20" x14ac:dyDescent="0.35">
      <c r="A6561" t="s">
        <v>227</v>
      </c>
      <c r="B6561" t="s">
        <v>361</v>
      </c>
      <c r="C6561" s="26">
        <v>1</v>
      </c>
      <c r="D6561" s="26">
        <v>0.96879999999999999</v>
      </c>
      <c r="E6561" s="26">
        <v>1</v>
      </c>
      <c r="F6561" s="26">
        <v>0.90620000000000001</v>
      </c>
      <c r="G6561" s="26">
        <v>0.875</v>
      </c>
      <c r="H6561" s="26">
        <v>0.65620000000000001</v>
      </c>
      <c r="I6561" s="26">
        <v>0.59379999999999999</v>
      </c>
      <c r="J6561" s="26">
        <v>0.6875</v>
      </c>
      <c r="K6561" s="26">
        <v>0.59379999999999999</v>
      </c>
      <c r="L6561" s="26">
        <v>0.5625</v>
      </c>
      <c r="M6561" s="26">
        <v>0.4375</v>
      </c>
      <c r="N6561" s="26">
        <v>0.1875</v>
      </c>
      <c r="O6561" s="26">
        <v>0.21879999999999999</v>
      </c>
      <c r="P6561" s="26">
        <v>0.1875</v>
      </c>
      <c r="Q6561" s="26">
        <v>3.1199999999999999E-2</v>
      </c>
      <c r="T6561">
        <v>32</v>
      </c>
    </row>
    <row r="6562" spans="1:20" x14ac:dyDescent="0.35">
      <c r="A6562" t="s">
        <v>227</v>
      </c>
      <c r="B6562" t="s">
        <v>362</v>
      </c>
      <c r="C6562" s="26">
        <v>1</v>
      </c>
      <c r="D6562" s="26">
        <v>0.97299999999999998</v>
      </c>
      <c r="E6562" s="26">
        <v>0.91890000000000005</v>
      </c>
      <c r="F6562" s="26">
        <v>0.78380000000000005</v>
      </c>
      <c r="G6562" s="26">
        <v>0.62160000000000004</v>
      </c>
      <c r="H6562" s="26">
        <v>0.48649999999999999</v>
      </c>
      <c r="I6562" s="26">
        <v>0.62160000000000004</v>
      </c>
      <c r="J6562" s="26">
        <v>0.51349999999999996</v>
      </c>
      <c r="K6562" s="26">
        <v>0.45950000000000002</v>
      </c>
      <c r="L6562" s="26">
        <v>0.27029999999999998</v>
      </c>
      <c r="M6562" s="26">
        <v>0.1081</v>
      </c>
      <c r="N6562" s="26">
        <v>0.2432</v>
      </c>
      <c r="O6562" s="26">
        <v>0.16220000000000001</v>
      </c>
      <c r="P6562" s="26">
        <v>2.7E-2</v>
      </c>
      <c r="Q6562" s="26">
        <v>2.7E-2</v>
      </c>
      <c r="T6562">
        <v>37</v>
      </c>
    </row>
    <row r="6563" spans="1:20" x14ac:dyDescent="0.35">
      <c r="A6563" t="s">
        <v>227</v>
      </c>
      <c r="B6563" t="s">
        <v>363</v>
      </c>
      <c r="C6563" s="26">
        <v>0.9778</v>
      </c>
      <c r="D6563" s="26">
        <v>0.9556</v>
      </c>
      <c r="E6563" s="26">
        <v>0.9556</v>
      </c>
      <c r="F6563" s="26">
        <v>0.91110000000000002</v>
      </c>
      <c r="G6563" s="26">
        <v>0.77780000000000005</v>
      </c>
      <c r="H6563" s="26">
        <v>0.71109999999999995</v>
      </c>
      <c r="I6563" s="26">
        <v>0.57779999999999998</v>
      </c>
      <c r="J6563" s="26">
        <v>0.66669999999999996</v>
      </c>
      <c r="K6563" s="26">
        <v>0.5111</v>
      </c>
      <c r="L6563" s="26">
        <v>0.33329999999999999</v>
      </c>
      <c r="M6563" s="26">
        <v>0.28889999999999999</v>
      </c>
      <c r="N6563" s="26">
        <v>0.1333</v>
      </c>
      <c r="O6563" s="26">
        <v>8.8900000000000007E-2</v>
      </c>
      <c r="P6563" s="26">
        <v>6.6699999999999995E-2</v>
      </c>
      <c r="T6563">
        <v>45</v>
      </c>
    </row>
    <row r="6564" spans="1:20" x14ac:dyDescent="0.35">
      <c r="A6564" t="s">
        <v>228</v>
      </c>
      <c r="B6564" t="s">
        <v>360</v>
      </c>
      <c r="C6564" s="26">
        <v>0.97599999999999998</v>
      </c>
      <c r="D6564" s="26">
        <v>0.93359999999999999</v>
      </c>
      <c r="E6564" s="26">
        <v>0.87609999999999999</v>
      </c>
      <c r="F6564" s="26">
        <v>0.77780000000000005</v>
      </c>
      <c r="G6564" s="26">
        <v>0.49070000000000003</v>
      </c>
      <c r="H6564" s="26">
        <v>0.5242</v>
      </c>
      <c r="I6564" s="26">
        <v>0.44800000000000001</v>
      </c>
      <c r="J6564" s="26">
        <v>0.4088</v>
      </c>
      <c r="K6564" s="26">
        <v>0.29459999999999997</v>
      </c>
      <c r="L6564" s="26">
        <v>0.2117</v>
      </c>
      <c r="M6564" s="26">
        <v>6.83E-2</v>
      </c>
      <c r="N6564" s="26">
        <v>0.21299999999999999</v>
      </c>
      <c r="O6564" s="26">
        <v>0.10349999999999999</v>
      </c>
      <c r="P6564" s="26">
        <v>4.9500000000000002E-2</v>
      </c>
      <c r="Q6564" s="26">
        <v>1.8E-3</v>
      </c>
      <c r="S6564" s="26">
        <v>1.6799999999999999E-2</v>
      </c>
      <c r="T6564">
        <v>258</v>
      </c>
    </row>
    <row r="6565" spans="1:20" x14ac:dyDescent="0.35">
      <c r="A6565" t="s">
        <v>228</v>
      </c>
      <c r="B6565" t="s">
        <v>361</v>
      </c>
      <c r="C6565" s="26">
        <v>0.98619999999999997</v>
      </c>
      <c r="D6565" s="26">
        <v>0.96870000000000001</v>
      </c>
      <c r="E6565" s="26">
        <v>0.93230000000000002</v>
      </c>
      <c r="F6565" s="26">
        <v>0.85819999999999996</v>
      </c>
      <c r="G6565" s="26">
        <v>0.74560000000000004</v>
      </c>
      <c r="H6565" s="26">
        <v>0.68559999999999999</v>
      </c>
      <c r="I6565" s="26">
        <v>0.79869999999999997</v>
      </c>
      <c r="J6565" s="26">
        <v>0.55410000000000004</v>
      </c>
      <c r="K6565" s="26">
        <v>0.61639999999999995</v>
      </c>
      <c r="L6565" s="26">
        <v>0.45519999999999999</v>
      </c>
      <c r="M6565" s="26">
        <v>0.44359999999999999</v>
      </c>
      <c r="N6565" s="26">
        <v>0.19570000000000001</v>
      </c>
      <c r="O6565" s="26">
        <v>0.14330000000000001</v>
      </c>
      <c r="P6565" s="26">
        <v>0.13789999999999999</v>
      </c>
      <c r="Q6565" s="26">
        <v>4.1300000000000003E-2</v>
      </c>
      <c r="T6565">
        <v>194</v>
      </c>
    </row>
    <row r="6566" spans="1:20" x14ac:dyDescent="0.35">
      <c r="A6566" t="s">
        <v>228</v>
      </c>
      <c r="B6566" t="s">
        <v>363</v>
      </c>
      <c r="C6566" s="26">
        <v>1</v>
      </c>
      <c r="D6566" s="26">
        <v>0.94520000000000004</v>
      </c>
      <c r="E6566" s="26">
        <v>0.94479999999999997</v>
      </c>
      <c r="F6566" s="26">
        <v>0.79169999999999996</v>
      </c>
      <c r="G6566" s="26">
        <v>0.65159999999999996</v>
      </c>
      <c r="H6566" s="26">
        <v>0.58150000000000002</v>
      </c>
      <c r="I6566" s="26">
        <v>0.64549999999999996</v>
      </c>
      <c r="J6566" s="26">
        <v>0.5343</v>
      </c>
      <c r="K6566" s="26">
        <v>0.44750000000000001</v>
      </c>
      <c r="L6566" s="26">
        <v>0.41959999999999997</v>
      </c>
      <c r="M6566" s="26">
        <v>0.2092</v>
      </c>
      <c r="N6566" s="26">
        <v>0.17630000000000001</v>
      </c>
      <c r="O6566" s="26">
        <v>0.12379999999999999</v>
      </c>
      <c r="P6566" s="26">
        <v>2.93E-2</v>
      </c>
      <c r="Q6566" s="26">
        <v>1.67E-2</v>
      </c>
      <c r="T6566">
        <v>212</v>
      </c>
    </row>
    <row r="6567" spans="1:20" x14ac:dyDescent="0.35">
      <c r="A6567" t="s">
        <v>228</v>
      </c>
      <c r="B6567" t="s">
        <v>362</v>
      </c>
      <c r="C6567" s="26">
        <v>1</v>
      </c>
      <c r="D6567" s="26">
        <v>0.9395</v>
      </c>
      <c r="E6567" s="26">
        <v>0.94020000000000004</v>
      </c>
      <c r="F6567" s="26">
        <v>0.81359999999999999</v>
      </c>
      <c r="G6567" s="26">
        <v>0.43490000000000001</v>
      </c>
      <c r="H6567" s="26">
        <v>0.52529999999999999</v>
      </c>
      <c r="I6567" s="26">
        <v>0.49340000000000001</v>
      </c>
      <c r="J6567" s="26">
        <v>0.4219</v>
      </c>
      <c r="K6567" s="26">
        <v>0.26829999999999998</v>
      </c>
      <c r="L6567" s="26">
        <v>0.33529999999999999</v>
      </c>
      <c r="M6567" s="26">
        <v>6.3E-2</v>
      </c>
      <c r="N6567" s="26">
        <v>0.1469</v>
      </c>
      <c r="O6567" s="26">
        <v>6.5500000000000003E-2</v>
      </c>
      <c r="P6567" s="26">
        <v>4.5499999999999999E-2</v>
      </c>
      <c r="Q6567" s="26">
        <v>2.29E-2</v>
      </c>
      <c r="T6567">
        <v>236</v>
      </c>
    </row>
    <row r="6568" spans="1:20" x14ac:dyDescent="0.35">
      <c r="A6568" t="s">
        <v>229</v>
      </c>
      <c r="B6568" t="s">
        <v>363</v>
      </c>
      <c r="C6568" s="26">
        <v>1</v>
      </c>
      <c r="D6568" s="26">
        <v>0.96260000000000001</v>
      </c>
      <c r="E6568" s="26">
        <v>0.97850000000000004</v>
      </c>
      <c r="F6568" s="26">
        <v>0.81089999999999995</v>
      </c>
      <c r="G6568" s="26">
        <v>0.64670000000000005</v>
      </c>
      <c r="H6568" s="26">
        <v>0.56679999999999997</v>
      </c>
      <c r="I6568" s="26">
        <v>0.51549999999999996</v>
      </c>
      <c r="J6568" s="26">
        <v>0.42699999999999999</v>
      </c>
      <c r="K6568" s="26">
        <v>0.41689999999999999</v>
      </c>
      <c r="L6568" s="26">
        <v>0.39489999999999997</v>
      </c>
      <c r="M6568" s="26">
        <v>0.25180000000000002</v>
      </c>
      <c r="N6568" s="26">
        <v>0.13400000000000001</v>
      </c>
      <c r="O6568" s="26">
        <v>8.14E-2</v>
      </c>
      <c r="P6568" s="26">
        <v>4.5100000000000001E-2</v>
      </c>
      <c r="Q6568" s="26">
        <v>3.2500000000000001E-2</v>
      </c>
      <c r="T6568">
        <v>191</v>
      </c>
    </row>
    <row r="6569" spans="1:20" x14ac:dyDescent="0.35">
      <c r="A6569" t="s">
        <v>229</v>
      </c>
      <c r="B6569" t="s">
        <v>360</v>
      </c>
      <c r="C6569" s="26">
        <v>0.99939999999999996</v>
      </c>
      <c r="D6569" s="26">
        <v>0.93669999999999998</v>
      </c>
      <c r="E6569" s="26">
        <v>0.99209999999999998</v>
      </c>
      <c r="F6569" s="26">
        <v>0.8206</v>
      </c>
      <c r="G6569" s="26">
        <v>0.59250000000000003</v>
      </c>
      <c r="H6569" s="26">
        <v>0.57769999999999999</v>
      </c>
      <c r="I6569" s="26">
        <v>0.44890000000000002</v>
      </c>
      <c r="J6569" s="26">
        <v>0.46239999999999998</v>
      </c>
      <c r="K6569" s="26">
        <v>0.40799999999999997</v>
      </c>
      <c r="L6569" s="26">
        <v>0.38690000000000002</v>
      </c>
      <c r="M6569" s="26">
        <v>0.1086</v>
      </c>
      <c r="N6569" s="26">
        <v>0.1177</v>
      </c>
      <c r="O6569" s="26">
        <v>8.5099999999999995E-2</v>
      </c>
      <c r="P6569" s="26">
        <v>8.6900000000000005E-2</v>
      </c>
      <c r="Q6569" s="26">
        <v>5.4999999999999997E-3</v>
      </c>
      <c r="T6569">
        <v>164</v>
      </c>
    </row>
    <row r="6570" spans="1:20" x14ac:dyDescent="0.35">
      <c r="A6570" t="s">
        <v>229</v>
      </c>
      <c r="B6570" t="s">
        <v>361</v>
      </c>
      <c r="C6570" s="26">
        <v>0.99960000000000004</v>
      </c>
      <c r="D6570" s="26">
        <v>0.94069999999999998</v>
      </c>
      <c r="E6570" s="26">
        <v>0.96409999999999996</v>
      </c>
      <c r="F6570" s="26">
        <v>0.93320000000000003</v>
      </c>
      <c r="G6570" s="26">
        <v>0.86670000000000003</v>
      </c>
      <c r="H6570" s="26">
        <v>0.72970000000000002</v>
      </c>
      <c r="I6570" s="26">
        <v>0.66410000000000002</v>
      </c>
      <c r="J6570" s="26">
        <v>0.50690000000000002</v>
      </c>
      <c r="K6570" s="26">
        <v>0.68189999999999995</v>
      </c>
      <c r="L6570" s="26">
        <v>0.60109999999999997</v>
      </c>
      <c r="M6570" s="26">
        <v>0.46229999999999999</v>
      </c>
      <c r="N6570" s="26">
        <v>0.15920000000000001</v>
      </c>
      <c r="O6570" s="26">
        <v>0.11509999999999999</v>
      </c>
      <c r="P6570" s="26">
        <v>0.13109999999999999</v>
      </c>
      <c r="Q6570" s="26">
        <v>3.5900000000000001E-2</v>
      </c>
      <c r="R6570" s="26">
        <v>4.0000000000000002E-4</v>
      </c>
      <c r="T6570">
        <v>243</v>
      </c>
    </row>
    <row r="6571" spans="1:20" x14ac:dyDescent="0.35">
      <c r="A6571" t="s">
        <v>229</v>
      </c>
      <c r="B6571" t="s">
        <v>362</v>
      </c>
      <c r="C6571" s="26">
        <v>0.998</v>
      </c>
      <c r="D6571" s="26">
        <v>0.9244</v>
      </c>
      <c r="E6571" s="26">
        <v>0.9819</v>
      </c>
      <c r="F6571" s="26">
        <v>0.8851</v>
      </c>
      <c r="G6571" s="26">
        <v>0.6593</v>
      </c>
      <c r="H6571" s="26">
        <v>0.60670000000000002</v>
      </c>
      <c r="I6571" s="26">
        <v>0.50219999999999998</v>
      </c>
      <c r="J6571" s="26">
        <v>0.52259999999999995</v>
      </c>
      <c r="K6571" s="26">
        <v>0.42799999999999999</v>
      </c>
      <c r="L6571" s="26">
        <v>0.35310000000000002</v>
      </c>
      <c r="M6571" s="26">
        <v>0.12540000000000001</v>
      </c>
      <c r="N6571" s="26">
        <v>0.1651</v>
      </c>
      <c r="O6571" s="26">
        <v>0.183</v>
      </c>
      <c r="P6571" s="26">
        <v>8.2000000000000003E-2</v>
      </c>
      <c r="Q6571" s="26">
        <v>8.8000000000000005E-3</v>
      </c>
      <c r="T6571">
        <v>171</v>
      </c>
    </row>
    <row r="6572" spans="1:20" x14ac:dyDescent="0.35">
      <c r="A6572" t="s">
        <v>230</v>
      </c>
      <c r="B6572" t="s">
        <v>360</v>
      </c>
      <c r="C6572" s="26">
        <v>0.99850000000000005</v>
      </c>
      <c r="D6572" s="26">
        <v>0.96599999999999997</v>
      </c>
      <c r="E6572" s="26">
        <v>0.97240000000000004</v>
      </c>
      <c r="F6572" s="26">
        <v>0.86850000000000005</v>
      </c>
      <c r="G6572" s="26">
        <v>0.54049999999999998</v>
      </c>
      <c r="H6572" s="26">
        <v>0.65659999999999996</v>
      </c>
      <c r="I6572" s="26">
        <v>0.56120000000000003</v>
      </c>
      <c r="J6572" s="26">
        <v>0.59899999999999998</v>
      </c>
      <c r="K6572" s="26">
        <v>0.52039999999999997</v>
      </c>
      <c r="L6572" s="26">
        <v>0.30109999999999998</v>
      </c>
      <c r="M6572" s="26">
        <v>0.26369999999999999</v>
      </c>
      <c r="N6572" s="26">
        <v>0.21870000000000001</v>
      </c>
      <c r="O6572" s="26">
        <v>0.1421</v>
      </c>
      <c r="P6572" s="26">
        <v>3.8300000000000001E-2</v>
      </c>
      <c r="Q6572" s="26">
        <v>8.9300000000000004E-2</v>
      </c>
      <c r="T6572">
        <v>120</v>
      </c>
    </row>
    <row r="6573" spans="1:20" x14ac:dyDescent="0.35">
      <c r="A6573" t="s">
        <v>230</v>
      </c>
      <c r="B6573" t="s">
        <v>363</v>
      </c>
      <c r="C6573" s="26">
        <v>1</v>
      </c>
      <c r="D6573" s="26">
        <v>0.97699999999999998</v>
      </c>
      <c r="E6573" s="26">
        <v>0.94769999999999999</v>
      </c>
      <c r="F6573" s="26">
        <v>0.92130000000000001</v>
      </c>
      <c r="G6573" s="26">
        <v>0.67190000000000005</v>
      </c>
      <c r="H6573" s="26">
        <v>0.62219999999999998</v>
      </c>
      <c r="I6573" s="26">
        <v>0.59030000000000005</v>
      </c>
      <c r="J6573" s="26">
        <v>0.48980000000000001</v>
      </c>
      <c r="K6573" s="26">
        <v>0.40489999999999998</v>
      </c>
      <c r="L6573" s="26">
        <v>0.34739999999999999</v>
      </c>
      <c r="M6573" s="26">
        <v>0.26590000000000003</v>
      </c>
      <c r="N6573" s="26">
        <v>0.18290000000000001</v>
      </c>
      <c r="O6573" s="26">
        <v>6.1400000000000003E-2</v>
      </c>
      <c r="P6573" s="26">
        <v>5.5E-2</v>
      </c>
      <c r="Q6573" s="26">
        <v>1.5299999999999999E-2</v>
      </c>
      <c r="T6573">
        <v>127</v>
      </c>
    </row>
    <row r="6574" spans="1:20" x14ac:dyDescent="0.35">
      <c r="A6574" t="s">
        <v>230</v>
      </c>
      <c r="B6574" t="s">
        <v>361</v>
      </c>
      <c r="C6574" s="26">
        <v>0.99529999999999996</v>
      </c>
      <c r="D6574" s="26">
        <v>0.97060000000000002</v>
      </c>
      <c r="E6574" s="26">
        <v>0.9919</v>
      </c>
      <c r="F6574" s="26">
        <v>0.96740000000000004</v>
      </c>
      <c r="G6574" s="26">
        <v>0.83299999999999996</v>
      </c>
      <c r="H6574" s="26">
        <v>0.7026</v>
      </c>
      <c r="I6574" s="26">
        <v>0.59040000000000004</v>
      </c>
      <c r="J6574" s="26">
        <v>0.66949999999999998</v>
      </c>
      <c r="K6574" s="26">
        <v>0.62549999999999994</v>
      </c>
      <c r="L6574" s="26">
        <v>0.52310000000000001</v>
      </c>
      <c r="M6574" s="26">
        <v>0.53480000000000005</v>
      </c>
      <c r="N6574" s="26">
        <v>0.29060000000000002</v>
      </c>
      <c r="O6574" s="26">
        <v>0.1482</v>
      </c>
      <c r="P6574" s="26">
        <v>5.9700000000000003E-2</v>
      </c>
      <c r="Q6574" s="26">
        <v>3.5000000000000001E-3</v>
      </c>
      <c r="T6574">
        <v>109</v>
      </c>
    </row>
    <row r="6575" spans="1:20" x14ac:dyDescent="0.35">
      <c r="A6575" t="s">
        <v>230</v>
      </c>
      <c r="B6575" t="s">
        <v>362</v>
      </c>
      <c r="C6575" s="26">
        <v>1</v>
      </c>
      <c r="D6575" s="26">
        <v>0.93940000000000001</v>
      </c>
      <c r="E6575" s="26">
        <v>0.94220000000000004</v>
      </c>
      <c r="F6575" s="26">
        <v>0.84560000000000002</v>
      </c>
      <c r="G6575" s="26">
        <v>0.67510000000000003</v>
      </c>
      <c r="H6575" s="26">
        <v>0.56169999999999998</v>
      </c>
      <c r="I6575" s="26">
        <v>0.53510000000000002</v>
      </c>
      <c r="J6575" s="26">
        <v>0.43859999999999999</v>
      </c>
      <c r="K6575" s="26">
        <v>0.33950000000000002</v>
      </c>
      <c r="L6575" s="26">
        <v>0.41320000000000001</v>
      </c>
      <c r="M6575" s="26">
        <v>0.1822</v>
      </c>
      <c r="N6575" s="26">
        <v>0.19420000000000001</v>
      </c>
      <c r="O6575" s="26">
        <v>0.1487</v>
      </c>
      <c r="P6575" s="26">
        <v>3.8899999999999997E-2</v>
      </c>
      <c r="Q6575" s="26">
        <v>3.3399999999999999E-2</v>
      </c>
      <c r="T6575">
        <v>148</v>
      </c>
    </row>
    <row r="6576" spans="1:20" x14ac:dyDescent="0.35">
      <c r="A6576" s="27" t="s">
        <v>231</v>
      </c>
      <c r="B6576" s="27" t="s">
        <v>362</v>
      </c>
      <c r="C6576" s="28">
        <v>1</v>
      </c>
      <c r="D6576" s="28">
        <v>0.89659999999999995</v>
      </c>
      <c r="E6576" s="28">
        <v>0.86209999999999998</v>
      </c>
      <c r="F6576" s="28">
        <v>0.68969999999999998</v>
      </c>
      <c r="G6576" s="28">
        <v>0.58620000000000005</v>
      </c>
      <c r="H6576" s="28">
        <v>0.44829999999999998</v>
      </c>
      <c r="I6576" s="28">
        <v>0.3448</v>
      </c>
      <c r="J6576" s="28">
        <v>0.4138</v>
      </c>
      <c r="K6576" s="28">
        <v>0.31030000000000002</v>
      </c>
      <c r="L6576" s="28">
        <v>0.27589999999999998</v>
      </c>
      <c r="M6576" s="28">
        <v>6.9000000000000006E-2</v>
      </c>
      <c r="N6576" s="28">
        <v>0.13789999999999999</v>
      </c>
      <c r="O6576" s="28">
        <v>0.1724</v>
      </c>
      <c r="P6576" s="28">
        <v>6.9000000000000006E-2</v>
      </c>
      <c r="Q6576" s="28">
        <v>3.4500000000000003E-2</v>
      </c>
      <c r="R6576" s="29"/>
      <c r="S6576" s="29"/>
      <c r="T6576" s="29" t="s">
        <v>329</v>
      </c>
    </row>
    <row r="6577" spans="1:20" x14ac:dyDescent="0.35">
      <c r="A6577" t="s">
        <v>231</v>
      </c>
      <c r="B6577" t="s">
        <v>361</v>
      </c>
      <c r="C6577" s="26">
        <v>1</v>
      </c>
      <c r="D6577" s="26">
        <v>0.96</v>
      </c>
      <c r="E6577" s="26">
        <v>0.84</v>
      </c>
      <c r="F6577" s="26">
        <v>0.88</v>
      </c>
      <c r="G6577" s="26">
        <v>0.78</v>
      </c>
      <c r="H6577" s="26">
        <v>0.66</v>
      </c>
      <c r="I6577" s="26">
        <v>0.62</v>
      </c>
      <c r="J6577" s="26">
        <v>0.48</v>
      </c>
      <c r="K6577" s="26">
        <v>0.78</v>
      </c>
      <c r="L6577" s="26">
        <v>0.62</v>
      </c>
      <c r="M6577" s="26">
        <v>0.52</v>
      </c>
      <c r="N6577" s="26">
        <v>0.22</v>
      </c>
      <c r="O6577" s="26">
        <v>0.16</v>
      </c>
      <c r="P6577" s="26">
        <v>0.04</v>
      </c>
      <c r="Q6577" s="26">
        <v>0.02</v>
      </c>
      <c r="T6577">
        <v>50</v>
      </c>
    </row>
    <row r="6578" spans="1:20" x14ac:dyDescent="0.35">
      <c r="A6578" t="s">
        <v>231</v>
      </c>
      <c r="B6578" t="s">
        <v>360</v>
      </c>
      <c r="C6578" s="26">
        <v>1</v>
      </c>
      <c r="D6578" s="26">
        <v>0.95450000000000002</v>
      </c>
      <c r="E6578" s="26">
        <v>0.93179999999999996</v>
      </c>
      <c r="F6578" s="26">
        <v>0.84089999999999998</v>
      </c>
      <c r="G6578" s="26">
        <v>0.72729999999999995</v>
      </c>
      <c r="H6578" s="26">
        <v>0.61360000000000003</v>
      </c>
      <c r="I6578" s="26">
        <v>0.2273</v>
      </c>
      <c r="J6578" s="26">
        <v>0.5</v>
      </c>
      <c r="K6578" s="26">
        <v>0.43180000000000002</v>
      </c>
      <c r="L6578" s="26">
        <v>0.38640000000000002</v>
      </c>
      <c r="M6578" s="26">
        <v>0.13639999999999999</v>
      </c>
      <c r="N6578" s="26">
        <v>0.11360000000000001</v>
      </c>
      <c r="O6578" s="26">
        <v>0.2273</v>
      </c>
      <c r="P6578" s="26">
        <v>0.11360000000000001</v>
      </c>
      <c r="T6578">
        <v>44</v>
      </c>
    </row>
    <row r="6579" spans="1:20" x14ac:dyDescent="0.35">
      <c r="A6579" s="27" t="s">
        <v>231</v>
      </c>
      <c r="B6579" s="27" t="s">
        <v>363</v>
      </c>
      <c r="C6579" s="28">
        <v>1</v>
      </c>
      <c r="D6579" s="28">
        <v>0.96299999999999997</v>
      </c>
      <c r="E6579" s="28">
        <v>0.96299999999999997</v>
      </c>
      <c r="F6579" s="28">
        <v>0.81479999999999997</v>
      </c>
      <c r="G6579" s="28">
        <v>0.77780000000000005</v>
      </c>
      <c r="H6579" s="28">
        <v>0.77780000000000005</v>
      </c>
      <c r="I6579" s="28">
        <v>0.51849999999999996</v>
      </c>
      <c r="J6579" s="28">
        <v>0.51849999999999996</v>
      </c>
      <c r="K6579" s="28">
        <v>0.51849999999999996</v>
      </c>
      <c r="L6579" s="28">
        <v>0.62960000000000005</v>
      </c>
      <c r="M6579" s="28">
        <v>0.25929999999999997</v>
      </c>
      <c r="N6579" s="28">
        <v>0.14810000000000001</v>
      </c>
      <c r="O6579" s="28">
        <v>0.1852</v>
      </c>
      <c r="P6579" s="28">
        <v>7.4099999999999999E-2</v>
      </c>
      <c r="Q6579" s="29"/>
      <c r="R6579" s="29"/>
      <c r="S6579" s="29"/>
      <c r="T6579" s="29" t="s">
        <v>338</v>
      </c>
    </row>
    <row r="6580" spans="1:20" x14ac:dyDescent="0.35">
      <c r="A6580" t="s">
        <v>232</v>
      </c>
      <c r="B6580" t="s">
        <v>232</v>
      </c>
      <c r="C6580" s="26">
        <v>0.99639999999999995</v>
      </c>
      <c r="D6580" s="26">
        <v>0.94510000000000005</v>
      </c>
      <c r="E6580" s="26">
        <v>0.93789999999999996</v>
      </c>
      <c r="F6580" s="26">
        <v>0.84630000000000005</v>
      </c>
      <c r="G6580" s="26">
        <v>0.69089999999999996</v>
      </c>
      <c r="H6580" s="26">
        <v>0.62309999999999999</v>
      </c>
      <c r="I6580" s="26">
        <v>0.54010000000000002</v>
      </c>
      <c r="J6580" s="26">
        <v>0.50590000000000002</v>
      </c>
      <c r="K6580" s="26">
        <v>0.50429999999999997</v>
      </c>
      <c r="L6580" s="26">
        <v>0.43940000000000001</v>
      </c>
      <c r="M6580" s="26">
        <v>0.26440000000000002</v>
      </c>
      <c r="N6580" s="26">
        <v>0.1739</v>
      </c>
      <c r="O6580" s="26">
        <v>0.14599999999999999</v>
      </c>
      <c r="P6580" s="26">
        <v>8.0500000000000002E-2</v>
      </c>
      <c r="Q6580" s="26">
        <v>1.8200000000000001E-2</v>
      </c>
      <c r="R6580" s="26">
        <v>8.0000000000000004E-4</v>
      </c>
      <c r="S6580" s="26">
        <v>6.9999999999999999E-4</v>
      </c>
      <c r="T6580">
        <v>2476</v>
      </c>
    </row>
    <row r="6582" spans="1:20" x14ac:dyDescent="0.35">
      <c r="A6582" s="1" t="s">
        <v>882</v>
      </c>
    </row>
    <row r="6583" spans="1:20" x14ac:dyDescent="0.35">
      <c r="A6583" t="s">
        <v>219</v>
      </c>
      <c r="B6583" t="s">
        <v>305</v>
      </c>
      <c r="C6583" t="s">
        <v>862</v>
      </c>
      <c r="D6583" t="s">
        <v>863</v>
      </c>
      <c r="E6583" t="s">
        <v>864</v>
      </c>
      <c r="F6583" t="s">
        <v>865</v>
      </c>
      <c r="G6583" t="s">
        <v>866</v>
      </c>
      <c r="H6583" t="s">
        <v>867</v>
      </c>
      <c r="I6583" t="s">
        <v>868</v>
      </c>
      <c r="J6583" t="s">
        <v>869</v>
      </c>
      <c r="K6583" t="s">
        <v>870</v>
      </c>
      <c r="L6583" t="s">
        <v>871</v>
      </c>
      <c r="M6583" t="s">
        <v>872</v>
      </c>
      <c r="N6583" t="s">
        <v>873</v>
      </c>
      <c r="O6583" t="s">
        <v>874</v>
      </c>
      <c r="P6583" t="s">
        <v>875</v>
      </c>
      <c r="Q6583" t="s">
        <v>876</v>
      </c>
      <c r="R6583" t="s">
        <v>286</v>
      </c>
      <c r="S6583" t="s">
        <v>877</v>
      </c>
      <c r="T6583" t="s">
        <v>226</v>
      </c>
    </row>
    <row r="6584" spans="1:20" x14ac:dyDescent="0.35">
      <c r="A6584" t="s">
        <v>227</v>
      </c>
      <c r="B6584" t="s">
        <v>267</v>
      </c>
      <c r="C6584" s="26">
        <v>1</v>
      </c>
      <c r="D6584" s="26">
        <v>0.91669999999999996</v>
      </c>
      <c r="E6584" s="26">
        <v>0.97219999999999995</v>
      </c>
      <c r="F6584" s="26">
        <v>0.72219999999999995</v>
      </c>
      <c r="G6584" s="26">
        <v>0.58330000000000004</v>
      </c>
      <c r="H6584" s="26">
        <v>0.27779999999999999</v>
      </c>
      <c r="I6584" s="26">
        <v>0.38890000000000002</v>
      </c>
      <c r="J6584" s="26">
        <v>0.5</v>
      </c>
      <c r="K6584" s="26">
        <v>0.41670000000000001</v>
      </c>
      <c r="L6584" s="26">
        <v>0.41670000000000001</v>
      </c>
      <c r="M6584" s="26">
        <v>0.1111</v>
      </c>
      <c r="N6584" s="26">
        <v>0.1389</v>
      </c>
      <c r="O6584" s="26">
        <v>8.3299999999999999E-2</v>
      </c>
      <c r="P6584" s="26">
        <v>5.5599999999999997E-2</v>
      </c>
      <c r="Q6584" s="26">
        <v>2.7799999999999998E-2</v>
      </c>
      <c r="T6584">
        <v>36</v>
      </c>
    </row>
    <row r="6585" spans="1:20" x14ac:dyDescent="0.35">
      <c r="A6585" t="s">
        <v>227</v>
      </c>
      <c r="B6585" t="s">
        <v>266</v>
      </c>
      <c r="C6585" s="26">
        <v>0.98309999999999997</v>
      </c>
      <c r="D6585" s="26">
        <v>0.96609999999999996</v>
      </c>
      <c r="E6585" s="26">
        <v>0.93220000000000003</v>
      </c>
      <c r="F6585" s="26">
        <v>0.81359999999999999</v>
      </c>
      <c r="G6585" s="26">
        <v>0.66100000000000003</v>
      </c>
      <c r="H6585" s="26">
        <v>0.61019999999999996</v>
      </c>
      <c r="I6585" s="26">
        <v>0.57630000000000003</v>
      </c>
      <c r="J6585" s="26">
        <v>0.54239999999999999</v>
      </c>
      <c r="K6585" s="26">
        <v>0.42370000000000002</v>
      </c>
      <c r="L6585" s="26">
        <v>0.35589999999999999</v>
      </c>
      <c r="M6585" s="26">
        <v>0.2203</v>
      </c>
      <c r="N6585" s="26">
        <v>0.16950000000000001</v>
      </c>
      <c r="O6585" s="26">
        <v>0.1186</v>
      </c>
      <c r="P6585" s="26">
        <v>5.0799999999999998E-2</v>
      </c>
      <c r="T6585">
        <v>59</v>
      </c>
    </row>
    <row r="6586" spans="1:20" x14ac:dyDescent="0.35">
      <c r="A6586" t="s">
        <v>227</v>
      </c>
      <c r="B6586" t="s">
        <v>265</v>
      </c>
      <c r="C6586" s="26">
        <v>1</v>
      </c>
      <c r="D6586" s="26">
        <v>0.96970000000000001</v>
      </c>
      <c r="E6586" s="26">
        <v>0.98480000000000001</v>
      </c>
      <c r="F6586" s="26">
        <v>0.90910000000000002</v>
      </c>
      <c r="G6586" s="26">
        <v>0.78790000000000004</v>
      </c>
      <c r="H6586" s="26">
        <v>0.75760000000000005</v>
      </c>
      <c r="I6586" s="26">
        <v>0.60609999999999997</v>
      </c>
      <c r="J6586" s="26">
        <v>0.65149999999999997</v>
      </c>
      <c r="K6586" s="26">
        <v>0.54549999999999998</v>
      </c>
      <c r="L6586" s="26">
        <v>0.40910000000000002</v>
      </c>
      <c r="M6586" s="26">
        <v>0.31819999999999998</v>
      </c>
      <c r="N6586" s="26">
        <v>0.16669999999999999</v>
      </c>
      <c r="O6586" s="26">
        <v>0.2424</v>
      </c>
      <c r="P6586" s="26">
        <v>9.0899999999999995E-2</v>
      </c>
      <c r="Q6586" s="26">
        <v>1.52E-2</v>
      </c>
      <c r="T6586">
        <v>66</v>
      </c>
    </row>
    <row r="6587" spans="1:20" x14ac:dyDescent="0.35">
      <c r="A6587" t="s">
        <v>228</v>
      </c>
      <c r="B6587" t="s">
        <v>267</v>
      </c>
      <c r="C6587" s="26">
        <v>0.99760000000000004</v>
      </c>
      <c r="D6587" s="26">
        <v>0.93179999999999996</v>
      </c>
      <c r="E6587" s="26">
        <v>0.90859999999999996</v>
      </c>
      <c r="F6587" s="26">
        <v>0.73709999999999998</v>
      </c>
      <c r="G6587" s="26">
        <v>0.55869999999999997</v>
      </c>
      <c r="H6587" s="26">
        <v>0.32079999999999997</v>
      </c>
      <c r="I6587" s="26">
        <v>0.59250000000000003</v>
      </c>
      <c r="J6587" s="26">
        <v>0.4269</v>
      </c>
      <c r="K6587" s="26">
        <v>0.40899999999999997</v>
      </c>
      <c r="L6587" s="26">
        <v>0.3231</v>
      </c>
      <c r="M6587" s="26">
        <v>0.14349999999999999</v>
      </c>
      <c r="N6587" s="26">
        <v>0.14330000000000001</v>
      </c>
      <c r="O6587" s="26">
        <v>9.4899999999999998E-2</v>
      </c>
      <c r="P6587" s="26">
        <v>4.5999999999999999E-2</v>
      </c>
      <c r="Q6587" s="26">
        <v>1.52E-2</v>
      </c>
      <c r="T6587">
        <v>199</v>
      </c>
    </row>
    <row r="6588" spans="1:20" x14ac:dyDescent="0.35">
      <c r="A6588" t="s">
        <v>228</v>
      </c>
      <c r="B6588" t="s">
        <v>265</v>
      </c>
      <c r="C6588" s="26">
        <v>0.99299999999999999</v>
      </c>
      <c r="D6588" s="26">
        <v>0.92300000000000004</v>
      </c>
      <c r="E6588" s="26">
        <v>0.95699999999999996</v>
      </c>
      <c r="F6588" s="26">
        <v>0.87090000000000001</v>
      </c>
      <c r="G6588" s="26">
        <v>0.67110000000000003</v>
      </c>
      <c r="H6588" s="26">
        <v>0.6966</v>
      </c>
      <c r="I6588" s="26">
        <v>0.65839999999999999</v>
      </c>
      <c r="J6588" s="26">
        <v>0.54139999999999999</v>
      </c>
      <c r="K6588" s="26">
        <v>0.49359999999999998</v>
      </c>
      <c r="L6588" s="26">
        <v>0.44219999999999998</v>
      </c>
      <c r="M6588" s="26">
        <v>0.27529999999999999</v>
      </c>
      <c r="N6588" s="26">
        <v>0.19159999999999999</v>
      </c>
      <c r="O6588" s="26">
        <v>0.1469</v>
      </c>
      <c r="P6588" s="26">
        <v>7.4999999999999997E-2</v>
      </c>
      <c r="Q6588" s="26">
        <v>1.44E-2</v>
      </c>
      <c r="R6588" s="26">
        <v>6.0000000000000001E-3</v>
      </c>
      <c r="T6588">
        <v>384</v>
      </c>
    </row>
    <row r="6589" spans="1:20" x14ac:dyDescent="0.35">
      <c r="A6589" s="27" t="s">
        <v>228</v>
      </c>
      <c r="B6589" s="27" t="s">
        <v>236</v>
      </c>
      <c r="C6589" s="28">
        <v>1</v>
      </c>
      <c r="D6589" s="28">
        <v>1</v>
      </c>
      <c r="E6589" s="28">
        <v>1</v>
      </c>
      <c r="F6589" s="28">
        <v>1</v>
      </c>
      <c r="G6589" s="28">
        <v>1</v>
      </c>
      <c r="H6589" s="28">
        <v>0.5</v>
      </c>
      <c r="I6589" s="28">
        <v>0.5</v>
      </c>
      <c r="J6589" s="28">
        <v>1</v>
      </c>
      <c r="K6589" s="28">
        <v>1</v>
      </c>
      <c r="L6589" s="28">
        <v>0.5</v>
      </c>
      <c r="M6589" s="28">
        <v>0.5</v>
      </c>
      <c r="N6589" s="29"/>
      <c r="O6589" s="29"/>
      <c r="P6589" s="29"/>
      <c r="Q6589" s="28">
        <v>1</v>
      </c>
      <c r="R6589" s="29"/>
      <c r="S6589" s="29"/>
      <c r="T6589" s="29" t="s">
        <v>314</v>
      </c>
    </row>
    <row r="6590" spans="1:20" x14ac:dyDescent="0.35">
      <c r="A6590" t="s">
        <v>228</v>
      </c>
      <c r="B6590" t="s">
        <v>266</v>
      </c>
      <c r="C6590" s="26">
        <v>0.97829999999999995</v>
      </c>
      <c r="D6590" s="26">
        <v>0.95860000000000001</v>
      </c>
      <c r="E6590" s="26">
        <v>0.89049999999999996</v>
      </c>
      <c r="F6590" s="26">
        <v>0.78390000000000004</v>
      </c>
      <c r="G6590" s="26">
        <v>0.49099999999999999</v>
      </c>
      <c r="H6590" s="26">
        <v>0.57079999999999997</v>
      </c>
      <c r="I6590" s="26">
        <v>0.55279999999999996</v>
      </c>
      <c r="J6590" s="26">
        <v>0.43130000000000002</v>
      </c>
      <c r="K6590" s="26">
        <v>0.34010000000000001</v>
      </c>
      <c r="L6590" s="26">
        <v>0.30890000000000001</v>
      </c>
      <c r="M6590" s="26">
        <v>0.13600000000000001</v>
      </c>
      <c r="N6590" s="26">
        <v>0.1802</v>
      </c>
      <c r="O6590" s="26">
        <v>7.9299999999999995E-2</v>
      </c>
      <c r="P6590" s="26">
        <v>8.6800000000000002E-2</v>
      </c>
      <c r="Q6590" s="26">
        <v>1.2200000000000001E-2</v>
      </c>
      <c r="R6590" s="26">
        <v>2.8E-3</v>
      </c>
      <c r="S6590" s="26">
        <v>8.0999999999999996E-3</v>
      </c>
      <c r="T6590">
        <v>448</v>
      </c>
    </row>
    <row r="6591" spans="1:20" x14ac:dyDescent="0.35">
      <c r="A6591" t="s">
        <v>229</v>
      </c>
      <c r="B6591" t="s">
        <v>266</v>
      </c>
      <c r="C6591" s="26">
        <v>0.99919999999999998</v>
      </c>
      <c r="D6591" s="26">
        <v>0.94579999999999997</v>
      </c>
      <c r="E6591" s="26">
        <v>0.97689999999999999</v>
      </c>
      <c r="F6591" s="26">
        <v>0.86419999999999997</v>
      </c>
      <c r="G6591" s="26">
        <v>0.65559999999999996</v>
      </c>
      <c r="H6591" s="26">
        <v>0.63770000000000004</v>
      </c>
      <c r="I6591" s="26">
        <v>0.51929999999999998</v>
      </c>
      <c r="J6591" s="26">
        <v>0.43840000000000001</v>
      </c>
      <c r="K6591" s="26">
        <v>0.43640000000000001</v>
      </c>
      <c r="L6591" s="26">
        <v>0.39129999999999998</v>
      </c>
      <c r="M6591" s="26">
        <v>0.2064</v>
      </c>
      <c r="N6591" s="26">
        <v>0.18360000000000001</v>
      </c>
      <c r="O6591" s="26">
        <v>8.3400000000000002E-2</v>
      </c>
      <c r="P6591" s="26">
        <v>4.87E-2</v>
      </c>
      <c r="Q6591" s="26">
        <v>9.7000000000000003E-3</v>
      </c>
      <c r="R6591" s="26">
        <v>5.0000000000000001E-4</v>
      </c>
      <c r="T6591">
        <v>359</v>
      </c>
    </row>
    <row r="6592" spans="1:20" x14ac:dyDescent="0.35">
      <c r="A6592" t="s">
        <v>229</v>
      </c>
      <c r="B6592" t="s">
        <v>267</v>
      </c>
      <c r="C6592" s="26">
        <v>1</v>
      </c>
      <c r="D6592" s="26">
        <v>0.92179999999999995</v>
      </c>
      <c r="E6592" s="26">
        <v>0.97019999999999995</v>
      </c>
      <c r="F6592" s="26">
        <v>0.85680000000000001</v>
      </c>
      <c r="G6592" s="26">
        <v>0.72860000000000003</v>
      </c>
      <c r="H6592" s="26">
        <v>0.47849999999999998</v>
      </c>
      <c r="I6592" s="26">
        <v>0.55710000000000004</v>
      </c>
      <c r="J6592" s="26">
        <v>0.47389999999999999</v>
      </c>
      <c r="K6592" s="26">
        <v>0.51929999999999998</v>
      </c>
      <c r="L6592" s="26">
        <v>0.47339999999999999</v>
      </c>
      <c r="M6592" s="26">
        <v>0.35499999999999998</v>
      </c>
      <c r="N6592" s="26">
        <v>0.1578</v>
      </c>
      <c r="O6592" s="26">
        <v>0.1242</v>
      </c>
      <c r="P6592" s="26">
        <v>5.5599999999999997E-2</v>
      </c>
      <c r="Q6592" s="26">
        <v>1.1299999999999999E-2</v>
      </c>
      <c r="T6592">
        <v>201</v>
      </c>
    </row>
    <row r="6593" spans="1:20" x14ac:dyDescent="0.35">
      <c r="A6593" t="s">
        <v>229</v>
      </c>
      <c r="B6593" t="s">
        <v>265</v>
      </c>
      <c r="C6593" s="26">
        <v>0.99929999999999997</v>
      </c>
      <c r="D6593" s="26">
        <v>0.95660000000000001</v>
      </c>
      <c r="E6593" s="26">
        <v>0.9758</v>
      </c>
      <c r="F6593" s="26">
        <v>0.9194</v>
      </c>
      <c r="G6593" s="26">
        <v>0.80330000000000001</v>
      </c>
      <c r="H6593" s="26">
        <v>0.77170000000000005</v>
      </c>
      <c r="I6593" s="26">
        <v>0.64270000000000005</v>
      </c>
      <c r="J6593" s="26">
        <v>0.55049999999999999</v>
      </c>
      <c r="K6593" s="26">
        <v>0.62190000000000001</v>
      </c>
      <c r="L6593" s="26">
        <v>0.55630000000000002</v>
      </c>
      <c r="M6593" s="26">
        <v>0.36059999999999998</v>
      </c>
      <c r="N6593" s="26">
        <v>0.13639999999999999</v>
      </c>
      <c r="O6593" s="26">
        <v>0.13719999999999999</v>
      </c>
      <c r="P6593" s="26">
        <v>0.15290000000000001</v>
      </c>
      <c r="Q6593" s="26">
        <v>3.5999999999999997E-2</v>
      </c>
      <c r="T6593">
        <v>335</v>
      </c>
    </row>
    <row r="6594" spans="1:20" x14ac:dyDescent="0.35">
      <c r="A6594" t="s">
        <v>230</v>
      </c>
      <c r="B6594" t="s">
        <v>267</v>
      </c>
      <c r="C6594" s="26">
        <v>0.99750000000000005</v>
      </c>
      <c r="D6594" s="26">
        <v>0.95950000000000002</v>
      </c>
      <c r="E6594" s="26">
        <v>0.92330000000000001</v>
      </c>
      <c r="F6594" s="26">
        <v>0.91930000000000001</v>
      </c>
      <c r="G6594" s="26">
        <v>0.7611</v>
      </c>
      <c r="H6594" s="26">
        <v>0.50080000000000002</v>
      </c>
      <c r="I6594" s="26">
        <v>0.52859999999999996</v>
      </c>
      <c r="J6594" s="26">
        <v>0.49280000000000002</v>
      </c>
      <c r="K6594" s="26">
        <v>0.52359999999999995</v>
      </c>
      <c r="L6594" s="26">
        <v>0.54600000000000004</v>
      </c>
      <c r="M6594" s="26">
        <v>0.3881</v>
      </c>
      <c r="N6594" s="26">
        <v>0.28199999999999997</v>
      </c>
      <c r="O6594" s="26">
        <v>0.18060000000000001</v>
      </c>
      <c r="P6594" s="26">
        <v>4.3200000000000002E-2</v>
      </c>
      <c r="Q6594" s="26">
        <v>3.4000000000000002E-2</v>
      </c>
      <c r="S6594" s="26">
        <v>1.1999999999999999E-3</v>
      </c>
      <c r="T6594">
        <v>119</v>
      </c>
    </row>
    <row r="6595" spans="1:20" x14ac:dyDescent="0.35">
      <c r="A6595" t="s">
        <v>230</v>
      </c>
      <c r="B6595" t="s">
        <v>266</v>
      </c>
      <c r="C6595" s="26">
        <v>0.99670000000000003</v>
      </c>
      <c r="D6595" s="26">
        <v>0.95230000000000004</v>
      </c>
      <c r="E6595" s="26">
        <v>0.95299999999999996</v>
      </c>
      <c r="F6595" s="26">
        <v>0.86009999999999998</v>
      </c>
      <c r="G6595" s="26">
        <v>0.57179999999999997</v>
      </c>
      <c r="H6595" s="26">
        <v>0.64600000000000002</v>
      </c>
      <c r="I6595" s="26">
        <v>0.59630000000000005</v>
      </c>
      <c r="J6595" s="26">
        <v>0.60460000000000003</v>
      </c>
      <c r="K6595" s="26">
        <v>0.46589999999999998</v>
      </c>
      <c r="L6595" s="26">
        <v>0.38169999999999998</v>
      </c>
      <c r="M6595" s="26">
        <v>0.2555</v>
      </c>
      <c r="N6595" s="26">
        <v>0.1802</v>
      </c>
      <c r="O6595" s="26">
        <v>6.6199999999999995E-2</v>
      </c>
      <c r="P6595" s="26">
        <v>4.8599999999999997E-2</v>
      </c>
      <c r="Q6595" s="26">
        <v>4.7899999999999998E-2</v>
      </c>
      <c r="T6595">
        <v>232</v>
      </c>
    </row>
    <row r="6596" spans="1:20" x14ac:dyDescent="0.35">
      <c r="A6596" t="s">
        <v>230</v>
      </c>
      <c r="B6596" t="s">
        <v>265</v>
      </c>
      <c r="C6596" s="26">
        <v>1</v>
      </c>
      <c r="D6596" s="26">
        <v>0.95389999999999997</v>
      </c>
      <c r="E6596" s="26">
        <v>0.97870000000000001</v>
      </c>
      <c r="F6596" s="26">
        <v>0.91490000000000005</v>
      </c>
      <c r="G6596" s="26">
        <v>0.74280000000000002</v>
      </c>
      <c r="H6596" s="26">
        <v>0.66239999999999999</v>
      </c>
      <c r="I6596" s="26">
        <v>0.55549999999999999</v>
      </c>
      <c r="J6596" s="26">
        <v>0.51259999999999994</v>
      </c>
      <c r="K6596" s="26">
        <v>0.4718</v>
      </c>
      <c r="L6596" s="26">
        <v>0.35699999999999998</v>
      </c>
      <c r="M6596" s="26">
        <v>0.33939999999999998</v>
      </c>
      <c r="N6596" s="26">
        <v>0.20169999999999999</v>
      </c>
      <c r="O6596" s="26">
        <v>0.14729999999999999</v>
      </c>
      <c r="P6596" s="26">
        <v>5.1799999999999999E-2</v>
      </c>
      <c r="Q6596" s="26">
        <v>1.1299999999999999E-2</v>
      </c>
      <c r="T6596">
        <v>209</v>
      </c>
    </row>
    <row r="6597" spans="1:20" x14ac:dyDescent="0.35">
      <c r="A6597" t="s">
        <v>231</v>
      </c>
      <c r="B6597" t="s">
        <v>267</v>
      </c>
      <c r="C6597" s="26">
        <v>1</v>
      </c>
      <c r="D6597" s="26">
        <v>0.97060000000000002</v>
      </c>
      <c r="E6597" s="26">
        <v>0.88239999999999996</v>
      </c>
      <c r="F6597" s="26">
        <v>0.88239999999999996</v>
      </c>
      <c r="G6597" s="26">
        <v>0.79410000000000003</v>
      </c>
      <c r="H6597" s="26">
        <v>0.44119999999999998</v>
      </c>
      <c r="I6597" s="26">
        <v>0.52939999999999998</v>
      </c>
      <c r="J6597" s="26">
        <v>0.38240000000000002</v>
      </c>
      <c r="K6597" s="26">
        <v>0.55879999999999996</v>
      </c>
      <c r="L6597" s="26">
        <v>0.47060000000000002</v>
      </c>
      <c r="M6597" s="26">
        <v>0.35289999999999999</v>
      </c>
      <c r="N6597" s="26">
        <v>8.8200000000000001E-2</v>
      </c>
      <c r="O6597" s="26">
        <v>0.23530000000000001</v>
      </c>
      <c r="P6597" s="26">
        <v>8.8200000000000001E-2</v>
      </c>
      <c r="T6597">
        <v>34</v>
      </c>
    </row>
    <row r="6598" spans="1:20" x14ac:dyDescent="0.35">
      <c r="A6598" t="s">
        <v>231</v>
      </c>
      <c r="B6598" t="s">
        <v>266</v>
      </c>
      <c r="C6598" s="26">
        <v>1</v>
      </c>
      <c r="D6598" s="26">
        <v>0.871</v>
      </c>
      <c r="E6598" s="26">
        <v>0.9032</v>
      </c>
      <c r="F6598" s="26">
        <v>0.7097</v>
      </c>
      <c r="G6598" s="26">
        <v>0.629</v>
      </c>
      <c r="H6598" s="26">
        <v>0.5484</v>
      </c>
      <c r="I6598" s="26">
        <v>0.3387</v>
      </c>
      <c r="J6598" s="26">
        <v>0.4355</v>
      </c>
      <c r="K6598" s="26">
        <v>0.3871</v>
      </c>
      <c r="L6598" s="26">
        <v>0.3387</v>
      </c>
      <c r="M6598" s="26">
        <v>0.2097</v>
      </c>
      <c r="N6598" s="26">
        <v>0.2419</v>
      </c>
      <c r="O6598" s="26">
        <v>0.1129</v>
      </c>
      <c r="Q6598" s="26">
        <v>1.61E-2</v>
      </c>
      <c r="T6598">
        <v>62</v>
      </c>
    </row>
    <row r="6599" spans="1:20" x14ac:dyDescent="0.35">
      <c r="A6599" t="s">
        <v>231</v>
      </c>
      <c r="B6599" t="s">
        <v>265</v>
      </c>
      <c r="C6599" s="26">
        <v>1</v>
      </c>
      <c r="D6599" s="26">
        <v>0.98529999999999995</v>
      </c>
      <c r="E6599" s="26">
        <v>0.88239999999999996</v>
      </c>
      <c r="F6599" s="26">
        <v>0.88239999999999996</v>
      </c>
      <c r="G6599" s="26">
        <v>0.76470000000000005</v>
      </c>
      <c r="H6599" s="26">
        <v>0.79410000000000003</v>
      </c>
      <c r="I6599" s="26">
        <v>0.48530000000000001</v>
      </c>
      <c r="J6599" s="26">
        <v>0.57350000000000001</v>
      </c>
      <c r="K6599" s="26">
        <v>0.70589999999999997</v>
      </c>
      <c r="L6599" s="26">
        <v>0.61760000000000004</v>
      </c>
      <c r="M6599" s="26">
        <v>0.26469999999999999</v>
      </c>
      <c r="N6599" s="26">
        <v>0.17649999999999999</v>
      </c>
      <c r="O6599" s="26">
        <v>0.26469999999999999</v>
      </c>
      <c r="P6599" s="26">
        <v>0.1618</v>
      </c>
      <c r="Q6599" s="26">
        <v>1.47E-2</v>
      </c>
      <c r="T6599">
        <v>68</v>
      </c>
    </row>
    <row r="6600" spans="1:20" x14ac:dyDescent="0.35">
      <c r="A6600" t="s">
        <v>232</v>
      </c>
      <c r="B6600" t="s">
        <v>232</v>
      </c>
      <c r="C6600" s="26">
        <v>0.99639999999999995</v>
      </c>
      <c r="D6600" s="26">
        <v>0.94510000000000005</v>
      </c>
      <c r="E6600" s="26">
        <v>0.93789999999999996</v>
      </c>
      <c r="F6600" s="26">
        <v>0.84630000000000005</v>
      </c>
      <c r="G6600" s="26">
        <v>0.69089999999999996</v>
      </c>
      <c r="H6600" s="26">
        <v>0.62309999999999999</v>
      </c>
      <c r="I6600" s="26">
        <v>0.54010000000000002</v>
      </c>
      <c r="J6600" s="26">
        <v>0.50590000000000002</v>
      </c>
      <c r="K6600" s="26">
        <v>0.50429999999999997</v>
      </c>
      <c r="L6600" s="26">
        <v>0.43940000000000001</v>
      </c>
      <c r="M6600" s="26">
        <v>0.26440000000000002</v>
      </c>
      <c r="N6600" s="26">
        <v>0.1739</v>
      </c>
      <c r="O6600" s="26">
        <v>0.14599999999999999</v>
      </c>
      <c r="P6600" s="26">
        <v>8.0500000000000002E-2</v>
      </c>
      <c r="Q6600" s="26">
        <v>1.8200000000000001E-2</v>
      </c>
      <c r="R6600" s="26">
        <v>8.0000000000000004E-4</v>
      </c>
      <c r="S6600" s="26">
        <v>6.9999999999999999E-4</v>
      </c>
      <c r="T6600">
        <v>2813</v>
      </c>
    </row>
    <row r="6602" spans="1:20" x14ac:dyDescent="0.35">
      <c r="A6602" s="1" t="s">
        <v>883</v>
      </c>
    </row>
    <row r="6603" spans="1:20" x14ac:dyDescent="0.35">
      <c r="A6603" t="s">
        <v>219</v>
      </c>
      <c r="B6603" t="s">
        <v>305</v>
      </c>
      <c r="C6603" t="s">
        <v>862</v>
      </c>
      <c r="D6603" t="s">
        <v>863</v>
      </c>
      <c r="E6603" t="s">
        <v>864</v>
      </c>
      <c r="F6603" t="s">
        <v>865</v>
      </c>
      <c r="G6603" t="s">
        <v>866</v>
      </c>
      <c r="H6603" t="s">
        <v>867</v>
      </c>
      <c r="I6603" t="s">
        <v>868</v>
      </c>
      <c r="J6603" t="s">
        <v>869</v>
      </c>
      <c r="K6603" t="s">
        <v>870</v>
      </c>
      <c r="L6603" t="s">
        <v>871</v>
      </c>
      <c r="M6603" t="s">
        <v>872</v>
      </c>
      <c r="N6603" t="s">
        <v>873</v>
      </c>
      <c r="O6603" t="s">
        <v>874</v>
      </c>
      <c r="P6603" t="s">
        <v>875</v>
      </c>
      <c r="Q6603" t="s">
        <v>876</v>
      </c>
      <c r="R6603" t="s">
        <v>286</v>
      </c>
      <c r="S6603" t="s">
        <v>877</v>
      </c>
      <c r="T6603" t="s">
        <v>226</v>
      </c>
    </row>
    <row r="6604" spans="1:20" x14ac:dyDescent="0.35">
      <c r="A6604" t="s">
        <v>227</v>
      </c>
      <c r="B6604" t="s">
        <v>252</v>
      </c>
      <c r="C6604" s="26">
        <v>0.9778</v>
      </c>
      <c r="D6604" s="26">
        <v>0.93330000000000002</v>
      </c>
      <c r="E6604" s="26">
        <v>0.9556</v>
      </c>
      <c r="F6604" s="26">
        <v>0.73329999999999995</v>
      </c>
      <c r="G6604" s="26">
        <v>0.4667</v>
      </c>
      <c r="H6604" s="26">
        <v>0.31109999999999999</v>
      </c>
      <c r="I6604" s="26">
        <v>0.5111</v>
      </c>
      <c r="J6604" s="26">
        <v>0.4889</v>
      </c>
      <c r="K6604" s="26">
        <v>0.22220000000000001</v>
      </c>
      <c r="L6604" s="26">
        <v>0.24440000000000001</v>
      </c>
      <c r="M6604" s="26">
        <v>2.2200000000000001E-2</v>
      </c>
      <c r="N6604" s="26">
        <v>0.15559999999999999</v>
      </c>
      <c r="O6604" s="26">
        <v>6.6699999999999995E-2</v>
      </c>
      <c r="Q6604" s="26">
        <v>2.2200000000000001E-2</v>
      </c>
      <c r="T6604">
        <v>45</v>
      </c>
    </row>
    <row r="6605" spans="1:20" x14ac:dyDescent="0.35">
      <c r="A6605" t="s">
        <v>227</v>
      </c>
      <c r="B6605" t="s">
        <v>253</v>
      </c>
      <c r="C6605" s="26">
        <v>1</v>
      </c>
      <c r="D6605" s="26">
        <v>0.97060000000000002</v>
      </c>
      <c r="E6605" s="26">
        <v>0.94120000000000004</v>
      </c>
      <c r="F6605" s="26">
        <v>0.91180000000000005</v>
      </c>
      <c r="G6605" s="26">
        <v>0.82350000000000001</v>
      </c>
      <c r="H6605" s="26">
        <v>0.79410000000000003</v>
      </c>
      <c r="I6605" s="26">
        <v>0.70589999999999997</v>
      </c>
      <c r="J6605" s="26">
        <v>0.64710000000000001</v>
      </c>
      <c r="K6605" s="26">
        <v>0.61760000000000004</v>
      </c>
      <c r="L6605" s="26">
        <v>0.47060000000000002</v>
      </c>
      <c r="M6605" s="26">
        <v>0.38240000000000002</v>
      </c>
      <c r="N6605" s="26">
        <v>0.14710000000000001</v>
      </c>
      <c r="O6605" s="26">
        <v>0.17649999999999999</v>
      </c>
      <c r="P6605" s="26">
        <v>0.1176</v>
      </c>
      <c r="T6605">
        <v>34</v>
      </c>
    </row>
    <row r="6606" spans="1:20" x14ac:dyDescent="0.35">
      <c r="A6606" t="s">
        <v>227</v>
      </c>
      <c r="B6606" t="s">
        <v>251</v>
      </c>
      <c r="C6606" s="26">
        <v>1</v>
      </c>
      <c r="D6606" s="26">
        <v>0.96340000000000003</v>
      </c>
      <c r="E6606" s="26">
        <v>0.97560000000000002</v>
      </c>
      <c r="F6606" s="26">
        <v>0.85370000000000001</v>
      </c>
      <c r="G6606" s="26">
        <v>0.76829999999999998</v>
      </c>
      <c r="H6606" s="26">
        <v>0.67069999999999996</v>
      </c>
      <c r="I6606" s="26">
        <v>0.5</v>
      </c>
      <c r="J6606" s="26">
        <v>0.59760000000000002</v>
      </c>
      <c r="K6606" s="26">
        <v>0.54879999999999995</v>
      </c>
      <c r="L6606" s="26">
        <v>0.439</v>
      </c>
      <c r="M6606" s="26">
        <v>0.29270000000000002</v>
      </c>
      <c r="N6606" s="26">
        <v>0.17069999999999999</v>
      </c>
      <c r="O6606" s="26">
        <v>0.20730000000000001</v>
      </c>
      <c r="P6606" s="26">
        <v>8.5400000000000004E-2</v>
      </c>
      <c r="Q6606" s="26">
        <v>1.2200000000000001E-2</v>
      </c>
      <c r="T6606">
        <v>82</v>
      </c>
    </row>
    <row r="6607" spans="1:20" x14ac:dyDescent="0.35">
      <c r="A6607" t="s">
        <v>228</v>
      </c>
      <c r="B6607" t="s">
        <v>252</v>
      </c>
      <c r="C6607" s="26">
        <v>0.98809999999999998</v>
      </c>
      <c r="D6607" s="26">
        <v>0.93289999999999995</v>
      </c>
      <c r="E6607" s="26">
        <v>0.90290000000000004</v>
      </c>
      <c r="F6607" s="26">
        <v>0.73270000000000002</v>
      </c>
      <c r="G6607" s="26">
        <v>0.36509999999999998</v>
      </c>
      <c r="H6607" s="26">
        <v>0.37359999999999999</v>
      </c>
      <c r="I6607" s="26">
        <v>0.52310000000000001</v>
      </c>
      <c r="J6607" s="26">
        <v>0.38669999999999999</v>
      </c>
      <c r="K6607" s="26">
        <v>0.21560000000000001</v>
      </c>
      <c r="L6607" s="26">
        <v>0.28749999999999998</v>
      </c>
      <c r="M6607" s="26">
        <v>3.85E-2</v>
      </c>
      <c r="N6607" s="26">
        <v>0.1618</v>
      </c>
      <c r="O6607" s="26">
        <v>5.9200000000000003E-2</v>
      </c>
      <c r="P6607" s="26">
        <v>3.5400000000000001E-2</v>
      </c>
      <c r="Q6607" s="26">
        <v>1.11E-2</v>
      </c>
      <c r="S6607" s="26">
        <v>1.04E-2</v>
      </c>
      <c r="T6607">
        <v>344</v>
      </c>
    </row>
    <row r="6608" spans="1:20" x14ac:dyDescent="0.35">
      <c r="A6608" t="s">
        <v>228</v>
      </c>
      <c r="B6608" t="s">
        <v>253</v>
      </c>
      <c r="C6608" s="26">
        <v>0.99299999999999999</v>
      </c>
      <c r="D6608" s="26">
        <v>0.91579999999999995</v>
      </c>
      <c r="E6608" s="26">
        <v>0.94810000000000005</v>
      </c>
      <c r="F6608" s="26">
        <v>0.84389999999999998</v>
      </c>
      <c r="G6608" s="26">
        <v>0.6744</v>
      </c>
      <c r="H6608" s="26">
        <v>0.64529999999999998</v>
      </c>
      <c r="I6608" s="26">
        <v>0.5595</v>
      </c>
      <c r="J6608" s="26">
        <v>0.5302</v>
      </c>
      <c r="K6608" s="26">
        <v>0.43090000000000001</v>
      </c>
      <c r="L6608" s="26">
        <v>0.38890000000000002</v>
      </c>
      <c r="M6608" s="26">
        <v>0.19550000000000001</v>
      </c>
      <c r="N6608" s="26">
        <v>0.1817</v>
      </c>
      <c r="O6608" s="26">
        <v>0.1129</v>
      </c>
      <c r="P6608" s="26">
        <v>6.9500000000000006E-2</v>
      </c>
      <c r="Q6608" s="26">
        <v>2.41E-2</v>
      </c>
      <c r="T6608">
        <v>222</v>
      </c>
    </row>
    <row r="6609" spans="1:20" x14ac:dyDescent="0.35">
      <c r="A6609" t="s">
        <v>228</v>
      </c>
      <c r="B6609" t="s">
        <v>251</v>
      </c>
      <c r="C6609" s="26">
        <v>0.98529999999999995</v>
      </c>
      <c r="D6609" s="26">
        <v>0.95440000000000003</v>
      </c>
      <c r="E6609" s="26">
        <v>0.92330000000000001</v>
      </c>
      <c r="F6609" s="26">
        <v>0.85470000000000002</v>
      </c>
      <c r="G6609" s="26">
        <v>0.68489999999999995</v>
      </c>
      <c r="H6609" s="26">
        <v>0.69110000000000005</v>
      </c>
      <c r="I6609" s="26">
        <v>0.67530000000000001</v>
      </c>
      <c r="J6609" s="26">
        <v>0.52090000000000003</v>
      </c>
      <c r="K6609" s="26">
        <v>0.55220000000000002</v>
      </c>
      <c r="L6609" s="26">
        <v>0.41260000000000002</v>
      </c>
      <c r="M6609" s="26">
        <v>0.30499999999999999</v>
      </c>
      <c r="N6609" s="26">
        <v>0.1862</v>
      </c>
      <c r="O6609" s="26">
        <v>0.14169999999999999</v>
      </c>
      <c r="P6609" s="26">
        <v>0.1028</v>
      </c>
      <c r="Q6609" s="26">
        <v>2.46E-2</v>
      </c>
      <c r="R6609" s="26">
        <v>7.7000000000000002E-3</v>
      </c>
      <c r="T6609">
        <v>467</v>
      </c>
    </row>
    <row r="6610" spans="1:20" x14ac:dyDescent="0.35">
      <c r="A6610" t="s">
        <v>229</v>
      </c>
      <c r="B6610" t="s">
        <v>252</v>
      </c>
      <c r="C6610" s="26">
        <v>1</v>
      </c>
      <c r="D6610" s="26">
        <v>0.8972</v>
      </c>
      <c r="E6610" s="26">
        <v>0.96689999999999998</v>
      </c>
      <c r="F6610" s="26">
        <v>0.77500000000000002</v>
      </c>
      <c r="G6610" s="26">
        <v>0.52259999999999995</v>
      </c>
      <c r="H6610" s="26">
        <v>0.31230000000000002</v>
      </c>
      <c r="I6610" s="26">
        <v>0.40100000000000002</v>
      </c>
      <c r="J6610" s="26">
        <v>0.45129999999999998</v>
      </c>
      <c r="K6610" s="26">
        <v>0.24809999999999999</v>
      </c>
      <c r="L6610" s="26">
        <v>0.32740000000000002</v>
      </c>
      <c r="M6610" s="26">
        <v>9.9000000000000005E-2</v>
      </c>
      <c r="N6610" s="26">
        <v>0.10680000000000001</v>
      </c>
      <c r="O6610" s="26">
        <v>0.1191</v>
      </c>
      <c r="P6610" s="26">
        <v>2.53E-2</v>
      </c>
      <c r="Q6610" s="26">
        <v>1.9800000000000002E-2</v>
      </c>
      <c r="T6610">
        <v>199</v>
      </c>
    </row>
    <row r="6611" spans="1:20" x14ac:dyDescent="0.35">
      <c r="A6611" t="s">
        <v>229</v>
      </c>
      <c r="B6611" t="s">
        <v>253</v>
      </c>
      <c r="C6611" s="26">
        <v>0.99829999999999997</v>
      </c>
      <c r="D6611" s="26">
        <v>0.96550000000000002</v>
      </c>
      <c r="E6611" s="26">
        <v>0.98450000000000004</v>
      </c>
      <c r="F6611" s="26">
        <v>0.90839999999999999</v>
      </c>
      <c r="G6611" s="26">
        <v>0.69110000000000005</v>
      </c>
      <c r="H6611" s="26">
        <v>0.71</v>
      </c>
      <c r="I6611" s="26">
        <v>0.55220000000000002</v>
      </c>
      <c r="J6611" s="26">
        <v>0.55489999999999995</v>
      </c>
      <c r="K6611" s="26">
        <v>0.45710000000000001</v>
      </c>
      <c r="L6611" s="26">
        <v>0.45390000000000003</v>
      </c>
      <c r="M6611" s="26">
        <v>0.20949999999999999</v>
      </c>
      <c r="N6611" s="26">
        <v>0.14380000000000001</v>
      </c>
      <c r="O6611" s="26">
        <v>0.15260000000000001</v>
      </c>
      <c r="P6611" s="26">
        <v>9.1399999999999995E-2</v>
      </c>
      <c r="Q6611" s="26">
        <v>1.6999999999999999E-3</v>
      </c>
      <c r="T6611">
        <v>145</v>
      </c>
    </row>
    <row r="6612" spans="1:20" x14ac:dyDescent="0.35">
      <c r="A6612" t="s">
        <v>229</v>
      </c>
      <c r="B6612" t="s">
        <v>251</v>
      </c>
      <c r="C6612" s="26">
        <v>0.99960000000000004</v>
      </c>
      <c r="D6612" s="26">
        <v>0.95720000000000005</v>
      </c>
      <c r="E6612" s="26">
        <v>0.97499999999999998</v>
      </c>
      <c r="F6612" s="26">
        <v>0.92359999999999998</v>
      </c>
      <c r="G6612" s="26">
        <v>0.8357</v>
      </c>
      <c r="H6612" s="26">
        <v>0.78120000000000001</v>
      </c>
      <c r="I6612" s="26">
        <v>0.66279999999999994</v>
      </c>
      <c r="J6612" s="26">
        <v>0.49530000000000002</v>
      </c>
      <c r="K6612" s="26">
        <v>0.67510000000000003</v>
      </c>
      <c r="L6612" s="26">
        <v>0.55300000000000005</v>
      </c>
      <c r="M6612" s="26">
        <v>0.42070000000000002</v>
      </c>
      <c r="N6612" s="26">
        <v>0.1799</v>
      </c>
      <c r="O6612" s="26">
        <v>0.1041</v>
      </c>
      <c r="P6612" s="26">
        <v>0.1263</v>
      </c>
      <c r="Q6612" s="26">
        <v>2.92E-2</v>
      </c>
      <c r="R6612" s="26">
        <v>2.9999999999999997E-4</v>
      </c>
      <c r="T6612">
        <v>551</v>
      </c>
    </row>
    <row r="6613" spans="1:20" x14ac:dyDescent="0.35">
      <c r="A6613" t="s">
        <v>230</v>
      </c>
      <c r="B6613" t="s">
        <v>252</v>
      </c>
      <c r="C6613" s="26">
        <v>0.99790000000000001</v>
      </c>
      <c r="D6613" s="26">
        <v>0.95020000000000004</v>
      </c>
      <c r="E6613" s="26">
        <v>0.93669999999999998</v>
      </c>
      <c r="F6613" s="26">
        <v>0.83809999999999996</v>
      </c>
      <c r="G6613" s="26">
        <v>0.43109999999999998</v>
      </c>
      <c r="H6613" s="26">
        <v>0.35849999999999999</v>
      </c>
      <c r="I6613" s="26">
        <v>0.53580000000000005</v>
      </c>
      <c r="J6613" s="26">
        <v>0.35060000000000002</v>
      </c>
      <c r="K6613" s="26">
        <v>0.1913</v>
      </c>
      <c r="L6613" s="26">
        <v>0.3664</v>
      </c>
      <c r="M6613" s="26">
        <v>4.9200000000000001E-2</v>
      </c>
      <c r="N6613" s="26">
        <v>0.16930000000000001</v>
      </c>
      <c r="O6613" s="26">
        <v>0.1152</v>
      </c>
      <c r="P6613" s="26">
        <v>3.5000000000000001E-3</v>
      </c>
      <c r="Q6613" s="26">
        <v>7.0099999999999996E-2</v>
      </c>
      <c r="S6613" s="26">
        <v>1.1000000000000001E-3</v>
      </c>
      <c r="T6613">
        <v>159</v>
      </c>
    </row>
    <row r="6614" spans="1:20" x14ac:dyDescent="0.35">
      <c r="A6614" t="s">
        <v>230</v>
      </c>
      <c r="B6614" t="s">
        <v>253</v>
      </c>
      <c r="C6614" s="26">
        <v>1</v>
      </c>
      <c r="D6614" s="26">
        <v>0.98160000000000003</v>
      </c>
      <c r="E6614" s="26">
        <v>0.96719999999999995</v>
      </c>
      <c r="F6614" s="26">
        <v>0.86499999999999999</v>
      </c>
      <c r="G6614" s="26">
        <v>0.70779999999999998</v>
      </c>
      <c r="H6614" s="26">
        <v>0.56879999999999997</v>
      </c>
      <c r="I6614" s="26">
        <v>0.53879999999999995</v>
      </c>
      <c r="J6614" s="26">
        <v>0.57950000000000002</v>
      </c>
      <c r="K6614" s="26">
        <v>0.432</v>
      </c>
      <c r="L6614" s="26">
        <v>0.35060000000000002</v>
      </c>
      <c r="M6614" s="26">
        <v>0.26529999999999998</v>
      </c>
      <c r="N6614" s="26">
        <v>0.1134</v>
      </c>
      <c r="O6614" s="26">
        <v>0.1154</v>
      </c>
      <c r="P6614" s="26">
        <v>4.3700000000000003E-2</v>
      </c>
      <c r="Q6614" s="26">
        <v>3.4599999999999999E-2</v>
      </c>
      <c r="T6614">
        <v>110</v>
      </c>
    </row>
    <row r="6615" spans="1:20" x14ac:dyDescent="0.35">
      <c r="A6615" t="s">
        <v>230</v>
      </c>
      <c r="B6615" t="s">
        <v>251</v>
      </c>
      <c r="C6615" s="26">
        <v>0.99790000000000001</v>
      </c>
      <c r="D6615" s="26">
        <v>0.94740000000000002</v>
      </c>
      <c r="E6615" s="26">
        <v>0.96330000000000005</v>
      </c>
      <c r="F6615" s="26">
        <v>0.93340000000000001</v>
      </c>
      <c r="G6615" s="26">
        <v>0.7944</v>
      </c>
      <c r="H6615" s="26">
        <v>0.75960000000000005</v>
      </c>
      <c r="I6615" s="26">
        <v>0.58620000000000005</v>
      </c>
      <c r="J6615" s="26">
        <v>0.61660000000000004</v>
      </c>
      <c r="K6615" s="26">
        <v>0.63129999999999997</v>
      </c>
      <c r="L6615" s="26">
        <v>0.44579999999999997</v>
      </c>
      <c r="M6615" s="26">
        <v>0.46310000000000001</v>
      </c>
      <c r="N6615" s="26">
        <v>0.26450000000000001</v>
      </c>
      <c r="O6615" s="26">
        <v>0.1333</v>
      </c>
      <c r="P6615" s="26">
        <v>7.1300000000000002E-2</v>
      </c>
      <c r="Q6615" s="26">
        <v>9.1000000000000004E-3</v>
      </c>
      <c r="T6615">
        <v>291</v>
      </c>
    </row>
    <row r="6616" spans="1:20" x14ac:dyDescent="0.35">
      <c r="A6616" t="s">
        <v>231</v>
      </c>
      <c r="B6616" t="s">
        <v>252</v>
      </c>
      <c r="C6616" s="26">
        <v>1</v>
      </c>
      <c r="D6616" s="26">
        <v>0.89800000000000002</v>
      </c>
      <c r="E6616" s="26">
        <v>0.93879999999999997</v>
      </c>
      <c r="F6616" s="26">
        <v>0.73470000000000002</v>
      </c>
      <c r="G6616" s="26">
        <v>0.61219999999999997</v>
      </c>
      <c r="H6616" s="26">
        <v>0.30609999999999998</v>
      </c>
      <c r="I6616" s="26">
        <v>0.28570000000000001</v>
      </c>
      <c r="J6616" s="26">
        <v>0.40820000000000001</v>
      </c>
      <c r="K6616" s="26">
        <v>0.26529999999999998</v>
      </c>
      <c r="L6616" s="26">
        <v>0.36730000000000002</v>
      </c>
      <c r="M6616" s="26">
        <v>8.1600000000000006E-2</v>
      </c>
      <c r="N6616" s="26">
        <v>0.12239999999999999</v>
      </c>
      <c r="O6616" s="26">
        <v>0.22450000000000001</v>
      </c>
      <c r="P6616" s="26">
        <v>6.1199999999999997E-2</v>
      </c>
      <c r="Q6616" s="26">
        <v>2.0400000000000001E-2</v>
      </c>
      <c r="T6616">
        <v>49</v>
      </c>
    </row>
    <row r="6617" spans="1:20" x14ac:dyDescent="0.35">
      <c r="A6617" t="s">
        <v>231</v>
      </c>
      <c r="B6617" t="s">
        <v>253</v>
      </c>
      <c r="C6617" s="26">
        <v>1</v>
      </c>
      <c r="D6617" s="26">
        <v>0.9667</v>
      </c>
      <c r="E6617" s="26">
        <v>0.93330000000000002</v>
      </c>
      <c r="F6617" s="26">
        <v>0.76670000000000005</v>
      </c>
      <c r="G6617" s="26">
        <v>0.76670000000000005</v>
      </c>
      <c r="H6617" s="26">
        <v>0.76670000000000005</v>
      </c>
      <c r="I6617" s="26">
        <v>0.43330000000000002</v>
      </c>
      <c r="J6617" s="26">
        <v>0.56669999999999998</v>
      </c>
      <c r="K6617" s="26">
        <v>0.6</v>
      </c>
      <c r="L6617" s="26">
        <v>0.56669999999999998</v>
      </c>
      <c r="M6617" s="26">
        <v>0.26669999999999999</v>
      </c>
      <c r="N6617" s="26">
        <v>6.6699999999999995E-2</v>
      </c>
      <c r="O6617" s="26">
        <v>0.2</v>
      </c>
      <c r="P6617" s="26">
        <v>6.6699999999999995E-2</v>
      </c>
      <c r="T6617">
        <v>30</v>
      </c>
    </row>
    <row r="6618" spans="1:20" x14ac:dyDescent="0.35">
      <c r="A6618" t="s">
        <v>231</v>
      </c>
      <c r="B6618" t="s">
        <v>251</v>
      </c>
      <c r="C6618" s="26">
        <v>1</v>
      </c>
      <c r="D6618" s="26">
        <v>0.95289999999999997</v>
      </c>
      <c r="E6618" s="26">
        <v>0.84709999999999996</v>
      </c>
      <c r="F6618" s="26">
        <v>0.88239999999999996</v>
      </c>
      <c r="G6618" s="26">
        <v>0.76470000000000005</v>
      </c>
      <c r="H6618" s="26">
        <v>0.76470000000000005</v>
      </c>
      <c r="I6618" s="26">
        <v>0.52939999999999998</v>
      </c>
      <c r="J6618" s="26">
        <v>0.49409999999999998</v>
      </c>
      <c r="K6618" s="26">
        <v>0.70589999999999997</v>
      </c>
      <c r="L6618" s="26">
        <v>0.51759999999999995</v>
      </c>
      <c r="M6618" s="26">
        <v>0.36470000000000002</v>
      </c>
      <c r="N6618" s="26">
        <v>0.25879999999999997</v>
      </c>
      <c r="O6618" s="26">
        <v>0.18820000000000001</v>
      </c>
      <c r="P6618" s="26">
        <v>0.10589999999999999</v>
      </c>
      <c r="Q6618" s="26">
        <v>1.18E-2</v>
      </c>
      <c r="T6618">
        <v>85</v>
      </c>
    </row>
    <row r="6619" spans="1:20" x14ac:dyDescent="0.35">
      <c r="A6619" t="s">
        <v>232</v>
      </c>
      <c r="B6619" t="s">
        <v>232</v>
      </c>
      <c r="C6619" s="26">
        <v>0.99639999999999995</v>
      </c>
      <c r="D6619" s="26">
        <v>0.94510000000000005</v>
      </c>
      <c r="E6619" s="26">
        <v>0.93789999999999996</v>
      </c>
      <c r="F6619" s="26">
        <v>0.84630000000000005</v>
      </c>
      <c r="G6619" s="26">
        <v>0.69089999999999996</v>
      </c>
      <c r="H6619" s="26">
        <v>0.62309999999999999</v>
      </c>
      <c r="I6619" s="26">
        <v>0.54010000000000002</v>
      </c>
      <c r="J6619" s="26">
        <v>0.50590000000000002</v>
      </c>
      <c r="K6619" s="26">
        <v>0.50429999999999997</v>
      </c>
      <c r="L6619" s="26">
        <v>0.43940000000000001</v>
      </c>
      <c r="M6619" s="26">
        <v>0.26440000000000002</v>
      </c>
      <c r="N6619" s="26">
        <v>0.1739</v>
      </c>
      <c r="O6619" s="26">
        <v>0.14599999999999999</v>
      </c>
      <c r="P6619" s="26">
        <v>8.0500000000000002E-2</v>
      </c>
      <c r="Q6619" s="26">
        <v>1.8200000000000001E-2</v>
      </c>
      <c r="R6619" s="26">
        <v>8.0000000000000004E-4</v>
      </c>
      <c r="S6619" s="26">
        <v>6.9999999999999999E-4</v>
      </c>
      <c r="T6619">
        <v>2813</v>
      </c>
    </row>
    <row r="6621" spans="1:20" x14ac:dyDescent="0.35">
      <c r="A6621" s="1" t="s">
        <v>884</v>
      </c>
    </row>
    <row r="6622" spans="1:20" x14ac:dyDescent="0.35">
      <c r="A6622" t="s">
        <v>219</v>
      </c>
      <c r="B6622" t="s">
        <v>305</v>
      </c>
      <c r="C6622" t="s">
        <v>862</v>
      </c>
      <c r="D6622" t="s">
        <v>863</v>
      </c>
      <c r="E6622" t="s">
        <v>864</v>
      </c>
      <c r="F6622" t="s">
        <v>865</v>
      </c>
      <c r="G6622" t="s">
        <v>866</v>
      </c>
      <c r="H6622" t="s">
        <v>867</v>
      </c>
      <c r="I6622" t="s">
        <v>868</v>
      </c>
      <c r="J6622" t="s">
        <v>869</v>
      </c>
      <c r="K6622" t="s">
        <v>870</v>
      </c>
      <c r="L6622" t="s">
        <v>871</v>
      </c>
      <c r="M6622" t="s">
        <v>872</v>
      </c>
      <c r="N6622" t="s">
        <v>873</v>
      </c>
      <c r="O6622" t="s">
        <v>874</v>
      </c>
      <c r="P6622" t="s">
        <v>875</v>
      </c>
      <c r="Q6622" t="s">
        <v>876</v>
      </c>
      <c r="R6622" t="s">
        <v>286</v>
      </c>
      <c r="S6622" t="s">
        <v>877</v>
      </c>
      <c r="T6622" t="s">
        <v>226</v>
      </c>
    </row>
    <row r="6623" spans="1:20" x14ac:dyDescent="0.35">
      <c r="A6623" t="s">
        <v>227</v>
      </c>
      <c r="B6623" t="s">
        <v>249</v>
      </c>
      <c r="C6623" s="26">
        <v>1</v>
      </c>
      <c r="D6623" s="26">
        <v>0.97729999999999995</v>
      </c>
      <c r="E6623" s="26">
        <v>0.95450000000000002</v>
      </c>
      <c r="F6623" s="26">
        <v>0.95450000000000002</v>
      </c>
      <c r="G6623" s="26">
        <v>0.86360000000000003</v>
      </c>
      <c r="H6623" s="26">
        <v>0.93179999999999996</v>
      </c>
      <c r="I6623" s="26">
        <v>0.68179999999999996</v>
      </c>
      <c r="J6623" s="26">
        <v>0.63639999999999997</v>
      </c>
      <c r="K6623" s="26">
        <v>0.77270000000000005</v>
      </c>
      <c r="L6623" s="26">
        <v>0.54549999999999998</v>
      </c>
      <c r="M6623" s="26">
        <v>0.45450000000000002</v>
      </c>
      <c r="N6623" s="26">
        <v>0.13639999999999999</v>
      </c>
      <c r="O6623" s="26">
        <v>0.2727</v>
      </c>
      <c r="P6623" s="26">
        <v>0.11360000000000001</v>
      </c>
      <c r="T6623">
        <v>44</v>
      </c>
    </row>
    <row r="6624" spans="1:20" x14ac:dyDescent="0.35">
      <c r="A6624" t="s">
        <v>227</v>
      </c>
      <c r="B6624" t="s">
        <v>248</v>
      </c>
      <c r="C6624" s="26">
        <v>0.99150000000000005</v>
      </c>
      <c r="D6624" s="26">
        <v>0.94869999999999999</v>
      </c>
      <c r="E6624" s="26">
        <v>0.96579999999999999</v>
      </c>
      <c r="F6624" s="26">
        <v>0.7863</v>
      </c>
      <c r="G6624" s="26">
        <v>0.63249999999999995</v>
      </c>
      <c r="H6624" s="26">
        <v>0.47010000000000002</v>
      </c>
      <c r="I6624" s="26">
        <v>0.49569999999999997</v>
      </c>
      <c r="J6624" s="26">
        <v>0.55559999999999998</v>
      </c>
      <c r="K6624" s="26">
        <v>0.35899999999999999</v>
      </c>
      <c r="L6624" s="26">
        <v>0.33329999999999999</v>
      </c>
      <c r="M6624" s="26">
        <v>0.15379999999999999</v>
      </c>
      <c r="N6624" s="26">
        <v>0.1709</v>
      </c>
      <c r="O6624" s="26">
        <v>0.1197</v>
      </c>
      <c r="P6624" s="26">
        <v>5.1299999999999998E-2</v>
      </c>
      <c r="Q6624" s="26">
        <v>1.7100000000000001E-2</v>
      </c>
      <c r="T6624">
        <v>117</v>
      </c>
    </row>
    <row r="6625" spans="1:20" x14ac:dyDescent="0.35">
      <c r="A6625" t="s">
        <v>228</v>
      </c>
      <c r="B6625" t="s">
        <v>249</v>
      </c>
      <c r="C6625" s="26">
        <v>0.99350000000000005</v>
      </c>
      <c r="D6625" s="26">
        <v>0.95989999999999998</v>
      </c>
      <c r="E6625" s="26">
        <v>0.93279999999999996</v>
      </c>
      <c r="F6625" s="26">
        <v>0.8871</v>
      </c>
      <c r="G6625" s="26">
        <v>0.70899999999999996</v>
      </c>
      <c r="H6625" s="26">
        <v>0.83350000000000002</v>
      </c>
      <c r="I6625" s="26">
        <v>0.66910000000000003</v>
      </c>
      <c r="J6625" s="26">
        <v>0.55740000000000001</v>
      </c>
      <c r="K6625" s="26">
        <v>0.65559999999999996</v>
      </c>
      <c r="L6625" s="26">
        <v>0.41289999999999999</v>
      </c>
      <c r="M6625" s="26">
        <v>0.37630000000000002</v>
      </c>
      <c r="N6625" s="26">
        <v>0.21149999999999999</v>
      </c>
      <c r="O6625" s="26">
        <v>0.1789</v>
      </c>
      <c r="P6625" s="26">
        <v>0.13059999999999999</v>
      </c>
      <c r="Q6625" s="26">
        <v>7.1000000000000004E-3</v>
      </c>
      <c r="R6625" s="26">
        <v>5.1000000000000004E-3</v>
      </c>
      <c r="T6625">
        <v>274</v>
      </c>
    </row>
    <row r="6626" spans="1:20" x14ac:dyDescent="0.35">
      <c r="A6626" t="s">
        <v>228</v>
      </c>
      <c r="B6626" t="s">
        <v>248</v>
      </c>
      <c r="C6626" s="26">
        <v>0.98529999999999995</v>
      </c>
      <c r="D6626" s="26">
        <v>0.93089999999999995</v>
      </c>
      <c r="E6626" s="26">
        <v>0.91710000000000003</v>
      </c>
      <c r="F6626" s="26">
        <v>0.78200000000000003</v>
      </c>
      <c r="G6626" s="26">
        <v>0.52549999999999997</v>
      </c>
      <c r="H6626" s="26">
        <v>0.47199999999999998</v>
      </c>
      <c r="I6626" s="26">
        <v>0.5746</v>
      </c>
      <c r="J6626" s="26">
        <v>0.44679999999999997</v>
      </c>
      <c r="K6626" s="26">
        <v>0.31900000000000001</v>
      </c>
      <c r="L6626" s="26">
        <v>0.34849999999999998</v>
      </c>
      <c r="M6626" s="26">
        <v>0.121</v>
      </c>
      <c r="N6626" s="26">
        <v>0.16300000000000001</v>
      </c>
      <c r="O6626" s="26">
        <v>7.9799999999999996E-2</v>
      </c>
      <c r="P6626" s="26">
        <v>5.0500000000000003E-2</v>
      </c>
      <c r="Q6626" s="26">
        <v>2.5700000000000001E-2</v>
      </c>
      <c r="R6626" s="26">
        <v>3.0000000000000001E-3</v>
      </c>
      <c r="S6626" s="26">
        <v>4.7000000000000002E-3</v>
      </c>
      <c r="T6626">
        <v>759</v>
      </c>
    </row>
    <row r="6627" spans="1:20" x14ac:dyDescent="0.35">
      <c r="A6627" t="s">
        <v>229</v>
      </c>
      <c r="B6627" t="s">
        <v>249</v>
      </c>
      <c r="C6627" s="26">
        <v>1</v>
      </c>
      <c r="D6627" s="26">
        <v>0.96830000000000005</v>
      </c>
      <c r="E6627" s="26">
        <v>0.99080000000000001</v>
      </c>
      <c r="F6627" s="26">
        <v>0.95309999999999995</v>
      </c>
      <c r="G6627" s="26">
        <v>0.89119999999999999</v>
      </c>
      <c r="H6627" s="26">
        <v>0.9143</v>
      </c>
      <c r="I6627" s="26">
        <v>0.69479999999999997</v>
      </c>
      <c r="J6627" s="26">
        <v>0.58150000000000002</v>
      </c>
      <c r="K6627" s="26">
        <v>0.73929999999999996</v>
      </c>
      <c r="L6627" s="26">
        <v>0.65259999999999996</v>
      </c>
      <c r="M6627" s="26">
        <v>0.49399999999999999</v>
      </c>
      <c r="N6627" s="26">
        <v>0.15390000000000001</v>
      </c>
      <c r="O6627" s="26">
        <v>0.125</v>
      </c>
      <c r="P6627" s="26">
        <v>0.17979999999999999</v>
      </c>
      <c r="Q6627" s="26">
        <v>2.3199999999999998E-2</v>
      </c>
      <c r="T6627">
        <v>259</v>
      </c>
    </row>
    <row r="6628" spans="1:20" x14ac:dyDescent="0.35">
      <c r="A6628" t="s">
        <v>229</v>
      </c>
      <c r="B6628" t="s">
        <v>248</v>
      </c>
      <c r="C6628" s="26">
        <v>0.99909999999999999</v>
      </c>
      <c r="D6628" s="26">
        <v>0.93400000000000005</v>
      </c>
      <c r="E6628" s="26">
        <v>0.96719999999999995</v>
      </c>
      <c r="F6628" s="26">
        <v>0.85519999999999996</v>
      </c>
      <c r="G6628" s="26">
        <v>0.6633</v>
      </c>
      <c r="H6628" s="26">
        <v>0.53949999999999998</v>
      </c>
      <c r="I6628" s="26">
        <v>0.52859999999999996</v>
      </c>
      <c r="J6628" s="26">
        <v>0.45519999999999999</v>
      </c>
      <c r="K6628" s="26">
        <v>0.43980000000000002</v>
      </c>
      <c r="L6628" s="26">
        <v>0.40100000000000002</v>
      </c>
      <c r="M6628" s="26">
        <v>0.218</v>
      </c>
      <c r="N6628" s="26">
        <v>0.158</v>
      </c>
      <c r="O6628" s="26">
        <v>0.1125</v>
      </c>
      <c r="P6628" s="26">
        <v>5.6599999999999998E-2</v>
      </c>
      <c r="Q6628" s="26">
        <v>2.1299999999999999E-2</v>
      </c>
      <c r="R6628" s="26">
        <v>2.9999999999999997E-4</v>
      </c>
      <c r="T6628">
        <v>636</v>
      </c>
    </row>
    <row r="6629" spans="1:20" x14ac:dyDescent="0.35">
      <c r="A6629" t="s">
        <v>230</v>
      </c>
      <c r="B6629" t="s">
        <v>249</v>
      </c>
      <c r="C6629" s="26">
        <v>1</v>
      </c>
      <c r="D6629" s="26">
        <v>0.98240000000000005</v>
      </c>
      <c r="E6629" s="26">
        <v>0.99039999999999995</v>
      </c>
      <c r="F6629" s="26">
        <v>0.95520000000000005</v>
      </c>
      <c r="G6629" s="26">
        <v>0.82930000000000004</v>
      </c>
      <c r="H6629" s="26">
        <v>0.89300000000000002</v>
      </c>
      <c r="I6629" s="26">
        <v>0.59409999999999996</v>
      </c>
      <c r="J6629" s="26">
        <v>0.66649999999999998</v>
      </c>
      <c r="K6629" s="26">
        <v>0.67730000000000001</v>
      </c>
      <c r="L6629" s="26">
        <v>0.498</v>
      </c>
      <c r="M6629" s="26">
        <v>0.4703</v>
      </c>
      <c r="N6629" s="26">
        <v>0.26579999999999998</v>
      </c>
      <c r="O6629" s="26">
        <v>0.13550000000000001</v>
      </c>
      <c r="P6629" s="26">
        <v>0.1077</v>
      </c>
      <c r="Q6629" s="26">
        <v>2.4E-2</v>
      </c>
      <c r="T6629">
        <v>171</v>
      </c>
    </row>
    <row r="6630" spans="1:20" x14ac:dyDescent="0.35">
      <c r="A6630" t="s">
        <v>230</v>
      </c>
      <c r="B6630" t="s">
        <v>248</v>
      </c>
      <c r="C6630" s="26">
        <v>0.99739999999999995</v>
      </c>
      <c r="D6630" s="26">
        <v>0.9405</v>
      </c>
      <c r="E6630" s="26">
        <v>0.94040000000000001</v>
      </c>
      <c r="F6630" s="26">
        <v>0.86599999999999999</v>
      </c>
      <c r="G6630" s="26">
        <v>0.61170000000000002</v>
      </c>
      <c r="H6630" s="26">
        <v>0.48259999999999997</v>
      </c>
      <c r="I6630" s="26">
        <v>0.54920000000000002</v>
      </c>
      <c r="J6630" s="26">
        <v>0.47789999999999999</v>
      </c>
      <c r="K6630" s="26">
        <v>0.38129999999999997</v>
      </c>
      <c r="L6630" s="26">
        <v>0.36149999999999999</v>
      </c>
      <c r="M6630" s="26">
        <v>0.24329999999999999</v>
      </c>
      <c r="N6630" s="26">
        <v>0.184</v>
      </c>
      <c r="O6630" s="26">
        <v>0.1201</v>
      </c>
      <c r="P6630" s="26">
        <v>1.8700000000000001E-2</v>
      </c>
      <c r="Q6630" s="26">
        <v>3.2300000000000002E-2</v>
      </c>
      <c r="S6630" s="26">
        <v>4.0000000000000002E-4</v>
      </c>
      <c r="T6630">
        <v>389</v>
      </c>
    </row>
    <row r="6631" spans="1:20" x14ac:dyDescent="0.35">
      <c r="A6631" t="s">
        <v>231</v>
      </c>
      <c r="B6631" t="s">
        <v>249</v>
      </c>
      <c r="C6631" s="26">
        <v>1</v>
      </c>
      <c r="D6631" s="26">
        <v>0.94289999999999996</v>
      </c>
      <c r="E6631" s="26">
        <v>0.88570000000000004</v>
      </c>
      <c r="F6631" s="26">
        <v>0.9143</v>
      </c>
      <c r="G6631" s="26">
        <v>0.68569999999999998</v>
      </c>
      <c r="H6631" s="26">
        <v>0.85709999999999997</v>
      </c>
      <c r="I6631" s="26">
        <v>0.4</v>
      </c>
      <c r="J6631" s="26">
        <v>0.48570000000000002</v>
      </c>
      <c r="K6631" s="26">
        <v>0.62860000000000005</v>
      </c>
      <c r="L6631" s="26">
        <v>0.48570000000000002</v>
      </c>
      <c r="M6631" s="26">
        <v>0.34289999999999998</v>
      </c>
      <c r="N6631" s="26">
        <v>0.1714</v>
      </c>
      <c r="O6631" s="26">
        <v>0.1429</v>
      </c>
      <c r="P6631" s="26">
        <v>0.1429</v>
      </c>
      <c r="T6631">
        <v>35</v>
      </c>
    </row>
    <row r="6632" spans="1:20" x14ac:dyDescent="0.35">
      <c r="A6632" t="s">
        <v>231</v>
      </c>
      <c r="B6632" t="s">
        <v>248</v>
      </c>
      <c r="C6632" s="26">
        <v>1</v>
      </c>
      <c r="D6632" s="26">
        <v>0.93799999999999994</v>
      </c>
      <c r="E6632" s="26">
        <v>0.89149999999999996</v>
      </c>
      <c r="F6632" s="26">
        <v>0.79069999999999996</v>
      </c>
      <c r="G6632" s="26">
        <v>0.72870000000000001</v>
      </c>
      <c r="H6632" s="26">
        <v>0.56589999999999996</v>
      </c>
      <c r="I6632" s="26">
        <v>0.4496</v>
      </c>
      <c r="J6632" s="26">
        <v>0.48060000000000003</v>
      </c>
      <c r="K6632" s="26">
        <v>0.53490000000000004</v>
      </c>
      <c r="L6632" s="26">
        <v>0.48060000000000003</v>
      </c>
      <c r="M6632" s="26">
        <v>0.24030000000000001</v>
      </c>
      <c r="N6632" s="26">
        <v>0.186</v>
      </c>
      <c r="O6632" s="26">
        <v>0.21709999999999999</v>
      </c>
      <c r="P6632" s="26">
        <v>6.9800000000000001E-2</v>
      </c>
      <c r="Q6632" s="26">
        <v>1.55E-2</v>
      </c>
      <c r="T6632">
        <v>129</v>
      </c>
    </row>
    <row r="6633" spans="1:20" x14ac:dyDescent="0.35">
      <c r="A6633" t="s">
        <v>232</v>
      </c>
      <c r="B6633" t="s">
        <v>232</v>
      </c>
      <c r="C6633" s="26">
        <v>0.99639999999999995</v>
      </c>
      <c r="D6633" s="26">
        <v>0.94510000000000005</v>
      </c>
      <c r="E6633" s="26">
        <v>0.93789999999999996</v>
      </c>
      <c r="F6633" s="26">
        <v>0.84630000000000005</v>
      </c>
      <c r="G6633" s="26">
        <v>0.69089999999999996</v>
      </c>
      <c r="H6633" s="26">
        <v>0.62309999999999999</v>
      </c>
      <c r="I6633" s="26">
        <v>0.54010000000000002</v>
      </c>
      <c r="J6633" s="26">
        <v>0.50590000000000002</v>
      </c>
      <c r="K6633" s="26">
        <v>0.50429999999999997</v>
      </c>
      <c r="L6633" s="26">
        <v>0.43940000000000001</v>
      </c>
      <c r="M6633" s="26">
        <v>0.26440000000000002</v>
      </c>
      <c r="N6633" s="26">
        <v>0.1739</v>
      </c>
      <c r="O6633" s="26">
        <v>0.14599999999999999</v>
      </c>
      <c r="P6633" s="26">
        <v>8.0500000000000002E-2</v>
      </c>
      <c r="Q6633" s="26">
        <v>1.8200000000000001E-2</v>
      </c>
      <c r="R6633" s="26">
        <v>8.0000000000000004E-4</v>
      </c>
      <c r="S6633" s="26">
        <v>6.9999999999999999E-4</v>
      </c>
      <c r="T6633">
        <v>2813</v>
      </c>
    </row>
    <row r="6635" spans="1:20" x14ac:dyDescent="0.35">
      <c r="A6635" s="1" t="s">
        <v>885</v>
      </c>
    </row>
    <row r="6636" spans="1:20" x14ac:dyDescent="0.35">
      <c r="A6636" t="s">
        <v>219</v>
      </c>
      <c r="B6636" t="s">
        <v>305</v>
      </c>
      <c r="C6636" t="s">
        <v>862</v>
      </c>
      <c r="D6636" t="s">
        <v>863</v>
      </c>
      <c r="E6636" t="s">
        <v>864</v>
      </c>
      <c r="F6636" t="s">
        <v>865</v>
      </c>
      <c r="G6636" t="s">
        <v>866</v>
      </c>
      <c r="H6636" t="s">
        <v>867</v>
      </c>
      <c r="I6636" t="s">
        <v>868</v>
      </c>
      <c r="J6636" t="s">
        <v>869</v>
      </c>
      <c r="K6636" t="s">
        <v>870</v>
      </c>
      <c r="L6636" t="s">
        <v>871</v>
      </c>
      <c r="M6636" t="s">
        <v>872</v>
      </c>
      <c r="N6636" t="s">
        <v>873</v>
      </c>
      <c r="O6636" t="s">
        <v>874</v>
      </c>
      <c r="P6636" t="s">
        <v>875</v>
      </c>
      <c r="Q6636" t="s">
        <v>876</v>
      </c>
      <c r="R6636" t="s">
        <v>286</v>
      </c>
      <c r="S6636" t="s">
        <v>877</v>
      </c>
      <c r="T6636" t="s">
        <v>226</v>
      </c>
    </row>
    <row r="6637" spans="1:20" x14ac:dyDescent="0.35">
      <c r="A6637" s="27" t="s">
        <v>227</v>
      </c>
      <c r="B6637" s="27" t="s">
        <v>263</v>
      </c>
      <c r="C6637" s="28">
        <v>1</v>
      </c>
      <c r="D6637" s="28">
        <v>1</v>
      </c>
      <c r="E6637" s="28">
        <v>1</v>
      </c>
      <c r="F6637" s="28">
        <v>1</v>
      </c>
      <c r="G6637" s="28">
        <v>1</v>
      </c>
      <c r="H6637" s="28">
        <v>1</v>
      </c>
      <c r="I6637" s="28">
        <v>0.66669999999999996</v>
      </c>
      <c r="J6637" s="28">
        <v>0.66669999999999996</v>
      </c>
      <c r="K6637" s="28">
        <v>0.66669999999999996</v>
      </c>
      <c r="L6637" s="28">
        <v>0.66669999999999996</v>
      </c>
      <c r="M6637" s="28">
        <v>0.66669999999999996</v>
      </c>
      <c r="N6637" s="28">
        <v>0.66669999999999996</v>
      </c>
      <c r="O6637" s="29"/>
      <c r="P6637" s="29"/>
      <c r="Q6637" s="29"/>
      <c r="R6637" s="29"/>
      <c r="S6637" s="29"/>
      <c r="T6637" s="29" t="s">
        <v>315</v>
      </c>
    </row>
    <row r="6638" spans="1:20" x14ac:dyDescent="0.35">
      <c r="A6638" t="s">
        <v>227</v>
      </c>
      <c r="B6638" t="s">
        <v>261</v>
      </c>
      <c r="C6638" s="26">
        <v>0.96970000000000001</v>
      </c>
      <c r="D6638" s="26">
        <v>0.87880000000000003</v>
      </c>
      <c r="E6638" s="26">
        <v>0.87880000000000003</v>
      </c>
      <c r="F6638" s="26">
        <v>0.84850000000000003</v>
      </c>
      <c r="G6638" s="26">
        <v>0.66669999999999996</v>
      </c>
      <c r="H6638" s="26">
        <v>0.48480000000000001</v>
      </c>
      <c r="I6638" s="26">
        <v>0.72729999999999995</v>
      </c>
      <c r="J6638" s="26">
        <v>0.45450000000000002</v>
      </c>
      <c r="K6638" s="26">
        <v>0.36359999999999998</v>
      </c>
      <c r="L6638" s="26">
        <v>0.36359999999999998</v>
      </c>
      <c r="M6638" s="26">
        <v>0.1212</v>
      </c>
      <c r="N6638" s="26">
        <v>0.54549999999999998</v>
      </c>
      <c r="O6638" s="26">
        <v>0.1515</v>
      </c>
      <c r="P6638" s="26">
        <v>3.0300000000000001E-2</v>
      </c>
      <c r="Q6638" s="26">
        <v>3.0300000000000001E-2</v>
      </c>
      <c r="T6638">
        <v>33</v>
      </c>
    </row>
    <row r="6639" spans="1:20" x14ac:dyDescent="0.35">
      <c r="A6639" s="27" t="s">
        <v>227</v>
      </c>
      <c r="B6639" s="27" t="s">
        <v>262</v>
      </c>
      <c r="C6639" s="28">
        <v>1</v>
      </c>
      <c r="D6639" s="28">
        <v>1</v>
      </c>
      <c r="E6639" s="28">
        <v>1</v>
      </c>
      <c r="F6639" s="28">
        <v>1</v>
      </c>
      <c r="G6639" s="28">
        <v>1</v>
      </c>
      <c r="H6639" s="28">
        <v>1</v>
      </c>
      <c r="I6639" s="28">
        <v>0.66669999999999996</v>
      </c>
      <c r="J6639" s="28">
        <v>0.66669999999999996</v>
      </c>
      <c r="K6639" s="28">
        <v>0.66669999999999996</v>
      </c>
      <c r="L6639" s="29"/>
      <c r="M6639" s="28">
        <v>0.66669999999999996</v>
      </c>
      <c r="N6639" s="28">
        <v>0.33329999999999999</v>
      </c>
      <c r="O6639" s="29"/>
      <c r="P6639" s="29"/>
      <c r="Q6639" s="29"/>
      <c r="R6639" s="29"/>
      <c r="S6639" s="29"/>
      <c r="T6639" s="29" t="s">
        <v>315</v>
      </c>
    </row>
    <row r="6640" spans="1:20" x14ac:dyDescent="0.35">
      <c r="A6640" t="s">
        <v>227</v>
      </c>
      <c r="B6640" t="s">
        <v>260</v>
      </c>
      <c r="C6640" s="26">
        <v>1</v>
      </c>
      <c r="D6640" s="26">
        <v>0.97540000000000004</v>
      </c>
      <c r="E6640" s="26">
        <v>0.98360000000000003</v>
      </c>
      <c r="F6640" s="26">
        <v>0.81969999999999998</v>
      </c>
      <c r="G6640" s="26">
        <v>0.6885</v>
      </c>
      <c r="H6640" s="26">
        <v>0.60660000000000003</v>
      </c>
      <c r="I6640" s="26">
        <v>0.49180000000000001</v>
      </c>
      <c r="J6640" s="26">
        <v>0.60660000000000003</v>
      </c>
      <c r="K6640" s="26">
        <v>0.49180000000000001</v>
      </c>
      <c r="L6640" s="26">
        <v>0.40160000000000001</v>
      </c>
      <c r="M6640" s="26">
        <v>0.24590000000000001</v>
      </c>
      <c r="N6640" s="26">
        <v>4.1000000000000002E-2</v>
      </c>
      <c r="O6640" s="26">
        <v>0.1721</v>
      </c>
      <c r="P6640" s="26">
        <v>8.2000000000000003E-2</v>
      </c>
      <c r="Q6640" s="26">
        <v>8.2000000000000007E-3</v>
      </c>
      <c r="T6640">
        <v>122</v>
      </c>
    </row>
    <row r="6641" spans="1:20" x14ac:dyDescent="0.35">
      <c r="A6641" t="s">
        <v>228</v>
      </c>
      <c r="B6641" t="s">
        <v>261</v>
      </c>
      <c r="C6641" s="26">
        <v>0.9829</v>
      </c>
      <c r="D6641" s="26">
        <v>0.92930000000000001</v>
      </c>
      <c r="E6641" s="26">
        <v>0.82820000000000005</v>
      </c>
      <c r="F6641" s="26">
        <v>0.80149999999999999</v>
      </c>
      <c r="G6641" s="26">
        <v>0.55089999999999995</v>
      </c>
      <c r="H6641" s="26">
        <v>0.5393</v>
      </c>
      <c r="I6641" s="26">
        <v>0.65639999999999998</v>
      </c>
      <c r="J6641" s="26">
        <v>0.41520000000000001</v>
      </c>
      <c r="K6641" s="26">
        <v>0.43940000000000001</v>
      </c>
      <c r="L6641" s="26">
        <v>0.39019999999999999</v>
      </c>
      <c r="M6641" s="26">
        <v>9.2600000000000002E-2</v>
      </c>
      <c r="N6641" s="26">
        <v>0.61519999999999997</v>
      </c>
      <c r="O6641" s="26">
        <v>0.13239999999999999</v>
      </c>
      <c r="P6641" s="26">
        <v>7.5399999999999995E-2</v>
      </c>
      <c r="Q6641" s="26">
        <v>9.1999999999999998E-3</v>
      </c>
      <c r="T6641">
        <v>192</v>
      </c>
    </row>
    <row r="6642" spans="1:20" x14ac:dyDescent="0.35">
      <c r="A6642" s="27" t="s">
        <v>228</v>
      </c>
      <c r="B6642" s="27" t="s">
        <v>263</v>
      </c>
      <c r="C6642" s="28">
        <v>1</v>
      </c>
      <c r="D6642" s="28">
        <v>0.94469999999999998</v>
      </c>
      <c r="E6642" s="28">
        <v>0.94469999999999998</v>
      </c>
      <c r="F6642" s="28">
        <v>0.71840000000000004</v>
      </c>
      <c r="G6642" s="28">
        <v>0.49569999999999997</v>
      </c>
      <c r="H6642" s="28">
        <v>0.45910000000000001</v>
      </c>
      <c r="I6642" s="28">
        <v>0.76490000000000002</v>
      </c>
      <c r="J6642" s="28">
        <v>0.49130000000000001</v>
      </c>
      <c r="K6642" s="28">
        <v>0.37640000000000001</v>
      </c>
      <c r="L6642" s="28">
        <v>0.49669999999999997</v>
      </c>
      <c r="M6642" s="28">
        <v>0.15129999999999999</v>
      </c>
      <c r="N6642" s="28">
        <v>0.35149999999999998</v>
      </c>
      <c r="O6642" s="28">
        <v>0.1585</v>
      </c>
      <c r="P6642" s="28">
        <v>0.1111</v>
      </c>
      <c r="Q6642" s="29"/>
      <c r="R6642" s="29"/>
      <c r="S6642" s="29"/>
      <c r="T6642" s="29" t="s">
        <v>312</v>
      </c>
    </row>
    <row r="6643" spans="1:20" x14ac:dyDescent="0.35">
      <c r="A6643" s="27" t="s">
        <v>228</v>
      </c>
      <c r="B6643" s="27" t="s">
        <v>236</v>
      </c>
      <c r="C6643" s="28">
        <v>1</v>
      </c>
      <c r="D6643" s="28">
        <v>0.81210000000000004</v>
      </c>
      <c r="E6643" s="28">
        <v>0.6784</v>
      </c>
      <c r="F6643" s="28">
        <v>0.74570000000000003</v>
      </c>
      <c r="G6643" s="28">
        <v>0.66769999999999996</v>
      </c>
      <c r="H6643" s="28">
        <v>7.7899999999999997E-2</v>
      </c>
      <c r="I6643" s="28">
        <v>0.17269999999999999</v>
      </c>
      <c r="J6643" s="29"/>
      <c r="K6643" s="28">
        <v>0.26579999999999998</v>
      </c>
      <c r="L6643" s="28">
        <v>0.89459999999999995</v>
      </c>
      <c r="M6643" s="29"/>
      <c r="N6643" s="28">
        <v>0.53400000000000003</v>
      </c>
      <c r="O6643" s="29"/>
      <c r="P6643" s="29"/>
      <c r="Q6643" s="29"/>
      <c r="R6643" s="29"/>
      <c r="S6643" s="29"/>
      <c r="T6643" s="29" t="s">
        <v>335</v>
      </c>
    </row>
    <row r="6644" spans="1:20" x14ac:dyDescent="0.35">
      <c r="A6644" t="s">
        <v>228</v>
      </c>
      <c r="B6644" t="s">
        <v>262</v>
      </c>
      <c r="C6644" s="26">
        <v>0.9879</v>
      </c>
      <c r="D6644" s="26">
        <v>0.93469999999999998</v>
      </c>
      <c r="E6644" s="26">
        <v>0.96460000000000001</v>
      </c>
      <c r="F6644" s="26">
        <v>0.82750000000000001</v>
      </c>
      <c r="G6644" s="26">
        <v>0.65690000000000004</v>
      </c>
      <c r="H6644" s="26">
        <v>0.66180000000000005</v>
      </c>
      <c r="I6644" s="26">
        <v>0.66820000000000002</v>
      </c>
      <c r="J6644" s="26">
        <v>0.50980000000000003</v>
      </c>
      <c r="K6644" s="26">
        <v>0.48270000000000002</v>
      </c>
      <c r="L6644" s="26">
        <v>0.41639999999999999</v>
      </c>
      <c r="M6644" s="26">
        <v>0.37290000000000001</v>
      </c>
      <c r="N6644" s="26">
        <v>7.22E-2</v>
      </c>
      <c r="O6644" s="26">
        <v>0.12</v>
      </c>
      <c r="P6644" s="26">
        <v>0.1241</v>
      </c>
      <c r="Q6644" s="26">
        <v>9.4999999999999998E-3</v>
      </c>
      <c r="R6644" s="26">
        <v>9.1999999999999998E-3</v>
      </c>
      <c r="T6644">
        <v>201</v>
      </c>
    </row>
    <row r="6645" spans="1:20" x14ac:dyDescent="0.35">
      <c r="A6645" t="s">
        <v>228</v>
      </c>
      <c r="B6645" t="s">
        <v>260</v>
      </c>
      <c r="C6645" s="26">
        <v>0.98880000000000001</v>
      </c>
      <c r="D6645" s="26">
        <v>0.94530000000000003</v>
      </c>
      <c r="E6645" s="26">
        <v>0.94169999999999998</v>
      </c>
      <c r="F6645" s="26">
        <v>0.81699999999999995</v>
      </c>
      <c r="G6645" s="26">
        <v>0.57069999999999999</v>
      </c>
      <c r="H6645" s="26">
        <v>0.57969999999999999</v>
      </c>
      <c r="I6645" s="26">
        <v>0.56769999999999998</v>
      </c>
      <c r="J6645" s="26">
        <v>0.49680000000000002</v>
      </c>
      <c r="K6645" s="26">
        <v>0.3992</v>
      </c>
      <c r="L6645" s="26">
        <v>0.3382</v>
      </c>
      <c r="M6645" s="26">
        <v>0.18640000000000001</v>
      </c>
      <c r="N6645" s="26">
        <v>5.8299999999999998E-2</v>
      </c>
      <c r="O6645" s="26">
        <v>9.8900000000000002E-2</v>
      </c>
      <c r="P6645" s="26">
        <v>6.0299999999999999E-2</v>
      </c>
      <c r="Q6645" s="26">
        <v>2.7300000000000001E-2</v>
      </c>
      <c r="R6645" s="26">
        <v>3.5000000000000001E-3</v>
      </c>
      <c r="S6645" s="26">
        <v>5.4000000000000003E-3</v>
      </c>
      <c r="T6645">
        <v>609</v>
      </c>
    </row>
    <row r="6646" spans="1:20" x14ac:dyDescent="0.35">
      <c r="A6646" s="27" t="s">
        <v>229</v>
      </c>
      <c r="B6646" s="27" t="s">
        <v>263</v>
      </c>
      <c r="C6646" s="28">
        <v>1</v>
      </c>
      <c r="D6646" s="28">
        <v>0.8649</v>
      </c>
      <c r="E6646" s="28">
        <v>1</v>
      </c>
      <c r="F6646" s="28">
        <v>0.71419999999999995</v>
      </c>
      <c r="G6646" s="28">
        <v>0.86990000000000001</v>
      </c>
      <c r="H6646" s="28">
        <v>0.67459999999999998</v>
      </c>
      <c r="I6646" s="28">
        <v>0.76090000000000002</v>
      </c>
      <c r="J6646" s="28">
        <v>0.61019999999999996</v>
      </c>
      <c r="K6646" s="28">
        <v>0.46710000000000002</v>
      </c>
      <c r="L6646" s="28">
        <v>0.58819999999999995</v>
      </c>
      <c r="M6646" s="28">
        <v>0.22500000000000001</v>
      </c>
      <c r="N6646" s="28">
        <v>0.34610000000000002</v>
      </c>
      <c r="O6646" s="28">
        <v>3.4700000000000002E-2</v>
      </c>
      <c r="P6646" s="28">
        <v>0.104</v>
      </c>
      <c r="Q6646" s="29"/>
      <c r="R6646" s="29"/>
      <c r="S6646" s="29"/>
      <c r="T6646" s="29" t="s">
        <v>379</v>
      </c>
    </row>
    <row r="6647" spans="1:20" x14ac:dyDescent="0.35">
      <c r="A6647" t="s">
        <v>229</v>
      </c>
      <c r="B6647" t="s">
        <v>262</v>
      </c>
      <c r="C6647" s="26">
        <v>1</v>
      </c>
      <c r="D6647" s="26">
        <v>0.97819999999999996</v>
      </c>
      <c r="E6647" s="26">
        <v>0.99819999999999998</v>
      </c>
      <c r="F6647" s="26">
        <v>0.9335</v>
      </c>
      <c r="G6647" s="26">
        <v>0.85719999999999996</v>
      </c>
      <c r="H6647" s="26">
        <v>0.75360000000000005</v>
      </c>
      <c r="I6647" s="26">
        <v>0.69750000000000001</v>
      </c>
      <c r="J6647" s="26">
        <v>0.43759999999999999</v>
      </c>
      <c r="K6647" s="26">
        <v>0.66469999999999996</v>
      </c>
      <c r="L6647" s="26">
        <v>0.59640000000000004</v>
      </c>
      <c r="M6647" s="26">
        <v>0.51019999999999999</v>
      </c>
      <c r="N6647" s="26">
        <v>7.0099999999999996E-2</v>
      </c>
      <c r="O6647" s="26">
        <v>0.13289999999999999</v>
      </c>
      <c r="P6647" s="26">
        <v>0.188</v>
      </c>
      <c r="Q6647" s="26">
        <v>2.2100000000000002E-2</v>
      </c>
      <c r="T6647">
        <v>188</v>
      </c>
    </row>
    <row r="6648" spans="1:20" x14ac:dyDescent="0.35">
      <c r="A6648" t="s">
        <v>229</v>
      </c>
      <c r="B6648" t="s">
        <v>261</v>
      </c>
      <c r="C6648" s="26">
        <v>0.99780000000000002</v>
      </c>
      <c r="D6648" s="26">
        <v>0.92190000000000005</v>
      </c>
      <c r="E6648" s="26">
        <v>0.95960000000000001</v>
      </c>
      <c r="F6648" s="26">
        <v>0.82399999999999995</v>
      </c>
      <c r="G6648" s="26">
        <v>0.79779999999999995</v>
      </c>
      <c r="H6648" s="26">
        <v>0.61829999999999996</v>
      </c>
      <c r="I6648" s="26">
        <v>0.73550000000000004</v>
      </c>
      <c r="J6648" s="26">
        <v>0.40560000000000002</v>
      </c>
      <c r="K6648" s="26">
        <v>0.55579999999999996</v>
      </c>
      <c r="L6648" s="26">
        <v>0.49609999999999999</v>
      </c>
      <c r="M6648" s="26">
        <v>0.2918</v>
      </c>
      <c r="N6648" s="26">
        <v>0.62849999999999995</v>
      </c>
      <c r="O6648" s="26">
        <v>0.14430000000000001</v>
      </c>
      <c r="P6648" s="26">
        <v>0.1071</v>
      </c>
      <c r="Q6648" s="26">
        <v>3.5900000000000001E-2</v>
      </c>
      <c r="T6648">
        <v>96</v>
      </c>
    </row>
    <row r="6649" spans="1:20" x14ac:dyDescent="0.35">
      <c r="A6649" s="27" t="s">
        <v>229</v>
      </c>
      <c r="B6649" s="27" t="s">
        <v>236</v>
      </c>
      <c r="C6649" s="28">
        <v>1</v>
      </c>
      <c r="D6649" s="28">
        <v>1</v>
      </c>
      <c r="E6649" s="28">
        <v>1</v>
      </c>
      <c r="F6649" s="28">
        <v>1</v>
      </c>
      <c r="G6649" s="28">
        <v>1</v>
      </c>
      <c r="H6649" s="29"/>
      <c r="I6649" s="29"/>
      <c r="J6649" s="29"/>
      <c r="K6649" s="28">
        <v>1</v>
      </c>
      <c r="L6649" s="29"/>
      <c r="M6649" s="29"/>
      <c r="N6649" s="29"/>
      <c r="O6649" s="29"/>
      <c r="P6649" s="29"/>
      <c r="Q6649" s="29"/>
      <c r="R6649" s="29"/>
      <c r="S6649" s="29"/>
      <c r="T6649" s="29" t="s">
        <v>331</v>
      </c>
    </row>
    <row r="6650" spans="1:20" x14ac:dyDescent="0.35">
      <c r="A6650" t="s">
        <v>229</v>
      </c>
      <c r="B6650" t="s">
        <v>260</v>
      </c>
      <c r="C6650" s="26">
        <v>0.99950000000000006</v>
      </c>
      <c r="D6650" s="26">
        <v>0.93779999999999997</v>
      </c>
      <c r="E6650" s="26">
        <v>0.96640000000000004</v>
      </c>
      <c r="F6650" s="26">
        <v>0.88719999999999999</v>
      </c>
      <c r="G6650" s="26">
        <v>0.6573</v>
      </c>
      <c r="H6650" s="26">
        <v>0.62839999999999996</v>
      </c>
      <c r="I6650" s="26">
        <v>0.47849999999999998</v>
      </c>
      <c r="J6650" s="26">
        <v>0.54720000000000002</v>
      </c>
      <c r="K6650" s="26">
        <v>0.47189999999999999</v>
      </c>
      <c r="L6650" s="26">
        <v>0.4199</v>
      </c>
      <c r="M6650" s="26">
        <v>0.21440000000000001</v>
      </c>
      <c r="N6650" s="26">
        <v>6.7000000000000004E-2</v>
      </c>
      <c r="O6650" s="26">
        <v>0.1038</v>
      </c>
      <c r="P6650" s="26">
        <v>4.8300000000000003E-2</v>
      </c>
      <c r="Q6650" s="26">
        <v>1.8800000000000001E-2</v>
      </c>
      <c r="R6650" s="26">
        <v>2.9999999999999997E-4</v>
      </c>
      <c r="T6650">
        <v>596</v>
      </c>
    </row>
    <row r="6651" spans="1:20" x14ac:dyDescent="0.35">
      <c r="A6651" s="27" t="s">
        <v>230</v>
      </c>
      <c r="B6651" s="27" t="s">
        <v>236</v>
      </c>
      <c r="C6651" s="28">
        <v>1</v>
      </c>
      <c r="D6651" s="28">
        <v>0.87809999999999999</v>
      </c>
      <c r="E6651" s="28">
        <v>1</v>
      </c>
      <c r="F6651" s="28">
        <v>0.87809999999999999</v>
      </c>
      <c r="G6651" s="28">
        <v>0.15570000000000001</v>
      </c>
      <c r="H6651" s="28">
        <v>0.87809999999999999</v>
      </c>
      <c r="I6651" s="28">
        <v>0.84150000000000003</v>
      </c>
      <c r="J6651" s="28">
        <v>0.72240000000000004</v>
      </c>
      <c r="K6651" s="28">
        <v>0.84150000000000003</v>
      </c>
      <c r="L6651" s="28">
        <v>0.84150000000000003</v>
      </c>
      <c r="M6651" s="29"/>
      <c r="N6651" s="29"/>
      <c r="O6651" s="29"/>
      <c r="P6651" s="29"/>
      <c r="Q6651" s="28">
        <v>0.72240000000000004</v>
      </c>
      <c r="R6651" s="29"/>
      <c r="S6651" s="29"/>
      <c r="T6651" s="29" t="s">
        <v>337</v>
      </c>
    </row>
    <row r="6652" spans="1:20" x14ac:dyDescent="0.35">
      <c r="A6652" t="s">
        <v>230</v>
      </c>
      <c r="B6652" t="s">
        <v>262</v>
      </c>
      <c r="C6652" s="26">
        <v>0.99209999999999998</v>
      </c>
      <c r="D6652" s="26">
        <v>0.99029999999999996</v>
      </c>
      <c r="E6652" s="26">
        <v>0.97309999999999997</v>
      </c>
      <c r="F6652" s="26">
        <v>0.87029999999999996</v>
      </c>
      <c r="G6652" s="26">
        <v>0.83430000000000004</v>
      </c>
      <c r="H6652" s="26">
        <v>0.7056</v>
      </c>
      <c r="I6652" s="26">
        <v>0.66190000000000004</v>
      </c>
      <c r="J6652" s="26">
        <v>0.57330000000000003</v>
      </c>
      <c r="K6652" s="26">
        <v>0.64219999999999999</v>
      </c>
      <c r="L6652" s="26">
        <v>0.52059999999999995</v>
      </c>
      <c r="M6652" s="26">
        <v>0.31290000000000001</v>
      </c>
      <c r="N6652" s="26">
        <v>9.9099999999999994E-2</v>
      </c>
      <c r="O6652" s="26">
        <v>0.12280000000000001</v>
      </c>
      <c r="P6652" s="26">
        <v>6.6699999999999995E-2</v>
      </c>
      <c r="Q6652" s="26">
        <v>5.8999999999999999E-3</v>
      </c>
      <c r="T6652">
        <v>122</v>
      </c>
    </row>
    <row r="6653" spans="1:20" x14ac:dyDescent="0.35">
      <c r="A6653" t="s">
        <v>230</v>
      </c>
      <c r="B6653" t="s">
        <v>261</v>
      </c>
      <c r="C6653" s="26">
        <v>1</v>
      </c>
      <c r="D6653" s="26">
        <v>0.9375</v>
      </c>
      <c r="E6653" s="26">
        <v>0.90169999999999995</v>
      </c>
      <c r="F6653" s="26">
        <v>0.94</v>
      </c>
      <c r="G6653" s="26">
        <v>0.74339999999999995</v>
      </c>
      <c r="H6653" s="26">
        <v>0.65880000000000005</v>
      </c>
      <c r="I6653" s="26">
        <v>0.59130000000000005</v>
      </c>
      <c r="J6653" s="26">
        <v>0.57989999999999997</v>
      </c>
      <c r="K6653" s="26">
        <v>0.45229999999999998</v>
      </c>
      <c r="L6653" s="26">
        <v>0.37380000000000002</v>
      </c>
      <c r="M6653" s="26">
        <v>0.32269999999999999</v>
      </c>
      <c r="N6653" s="26">
        <v>0.82689999999999997</v>
      </c>
      <c r="O6653" s="26">
        <v>6.0600000000000001E-2</v>
      </c>
      <c r="P6653" s="26">
        <v>4.9200000000000001E-2</v>
      </c>
      <c r="Q6653" s="26">
        <v>8.6999999999999994E-3</v>
      </c>
      <c r="T6653">
        <v>57</v>
      </c>
    </row>
    <row r="6654" spans="1:20" x14ac:dyDescent="0.35">
      <c r="A6654" s="27" t="s">
        <v>230</v>
      </c>
      <c r="B6654" s="27" t="s">
        <v>263</v>
      </c>
      <c r="C6654" s="28">
        <v>1</v>
      </c>
      <c r="D6654" s="28">
        <v>0.84089999999999998</v>
      </c>
      <c r="E6654" s="28">
        <v>0.93300000000000005</v>
      </c>
      <c r="F6654" s="28">
        <v>0.82830000000000004</v>
      </c>
      <c r="G6654" s="28">
        <v>0.80740000000000001</v>
      </c>
      <c r="H6654" s="28">
        <v>0.72360000000000002</v>
      </c>
      <c r="I6654" s="28">
        <v>0.71950000000000003</v>
      </c>
      <c r="J6654" s="28">
        <v>0.42680000000000001</v>
      </c>
      <c r="K6654" s="28">
        <v>0.3095</v>
      </c>
      <c r="L6654" s="28">
        <v>0.70140000000000002</v>
      </c>
      <c r="M6654" s="28">
        <v>7.1199999999999999E-2</v>
      </c>
      <c r="N6654" s="28">
        <v>0.21479999999999999</v>
      </c>
      <c r="O6654" s="28">
        <v>0.40279999999999999</v>
      </c>
      <c r="P6654" s="29"/>
      <c r="Q6654" s="29"/>
      <c r="R6654" s="29"/>
      <c r="S6654" s="29"/>
      <c r="T6654" s="29" t="s">
        <v>312</v>
      </c>
    </row>
    <row r="6655" spans="1:20" x14ac:dyDescent="0.35">
      <c r="A6655" t="s">
        <v>230</v>
      </c>
      <c r="B6655" t="s">
        <v>260</v>
      </c>
      <c r="C6655" s="26">
        <v>0.99919999999999998</v>
      </c>
      <c r="D6655" s="26">
        <v>0.9536</v>
      </c>
      <c r="E6655" s="26">
        <v>0.96460000000000001</v>
      </c>
      <c r="F6655" s="26">
        <v>0.89500000000000002</v>
      </c>
      <c r="G6655" s="26">
        <v>0.64429999999999998</v>
      </c>
      <c r="H6655" s="26">
        <v>0.59009999999999996</v>
      </c>
      <c r="I6655" s="26">
        <v>0.53139999999999998</v>
      </c>
      <c r="J6655" s="26">
        <v>0.52790000000000004</v>
      </c>
      <c r="K6655" s="26">
        <v>0.45179999999999998</v>
      </c>
      <c r="L6655" s="26">
        <v>0.37790000000000001</v>
      </c>
      <c r="M6655" s="26">
        <v>0.3301</v>
      </c>
      <c r="N6655" s="26">
        <v>0.1198</v>
      </c>
      <c r="O6655" s="26">
        <v>0.1331</v>
      </c>
      <c r="P6655" s="26">
        <v>4.6399999999999997E-2</v>
      </c>
      <c r="Q6655" s="26">
        <v>3.1899999999999998E-2</v>
      </c>
      <c r="S6655" s="26">
        <v>4.0000000000000002E-4</v>
      </c>
      <c r="T6655">
        <v>352</v>
      </c>
    </row>
    <row r="6656" spans="1:20" x14ac:dyDescent="0.35">
      <c r="A6656" s="27" t="s">
        <v>231</v>
      </c>
      <c r="B6656" s="27" t="s">
        <v>263</v>
      </c>
      <c r="C6656" s="28">
        <v>1</v>
      </c>
      <c r="D6656" s="28">
        <v>1</v>
      </c>
      <c r="E6656" s="28">
        <v>1</v>
      </c>
      <c r="F6656" s="28">
        <v>1</v>
      </c>
      <c r="G6656" s="28">
        <v>1</v>
      </c>
      <c r="H6656" s="28">
        <v>1</v>
      </c>
      <c r="I6656" s="28">
        <v>1</v>
      </c>
      <c r="J6656" s="28">
        <v>0.5</v>
      </c>
      <c r="K6656" s="28">
        <v>0.5</v>
      </c>
      <c r="L6656" s="29"/>
      <c r="M6656" s="29"/>
      <c r="N6656" s="28">
        <v>1</v>
      </c>
      <c r="O6656" s="28">
        <v>0.5</v>
      </c>
      <c r="P6656" s="29"/>
      <c r="Q6656" s="29"/>
      <c r="R6656" s="29"/>
      <c r="S6656" s="29"/>
      <c r="T6656" s="29" t="s">
        <v>314</v>
      </c>
    </row>
    <row r="6657" spans="1:20" x14ac:dyDescent="0.35">
      <c r="A6657" t="s">
        <v>231</v>
      </c>
      <c r="B6657" t="s">
        <v>260</v>
      </c>
      <c r="C6657" s="26">
        <v>1</v>
      </c>
      <c r="D6657" s="26">
        <v>0.9355</v>
      </c>
      <c r="E6657" s="26">
        <v>0.9597</v>
      </c>
      <c r="F6657" s="26">
        <v>0.7984</v>
      </c>
      <c r="G6657" s="26">
        <v>0.7097</v>
      </c>
      <c r="H6657" s="26">
        <v>0.6371</v>
      </c>
      <c r="I6657" s="26">
        <v>0.371</v>
      </c>
      <c r="J6657" s="26">
        <v>0.5</v>
      </c>
      <c r="K6657" s="26">
        <v>0.5403</v>
      </c>
      <c r="L6657" s="26">
        <v>0.4839</v>
      </c>
      <c r="M6657" s="26">
        <v>0.2581</v>
      </c>
      <c r="N6657" s="26">
        <v>0.1129</v>
      </c>
      <c r="O6657" s="26">
        <v>0.19350000000000001</v>
      </c>
      <c r="P6657" s="26">
        <v>5.6500000000000002E-2</v>
      </c>
      <c r="Q6657" s="26">
        <v>1.61E-2</v>
      </c>
      <c r="T6657">
        <v>124</v>
      </c>
    </row>
    <row r="6658" spans="1:20" x14ac:dyDescent="0.35">
      <c r="A6658" s="27" t="s">
        <v>231</v>
      </c>
      <c r="B6658" s="27" t="s">
        <v>261</v>
      </c>
      <c r="C6658" s="28">
        <v>1</v>
      </c>
      <c r="D6658" s="28">
        <v>0.96299999999999997</v>
      </c>
      <c r="E6658" s="28">
        <v>0.62960000000000005</v>
      </c>
      <c r="F6658" s="28">
        <v>0.92589999999999995</v>
      </c>
      <c r="G6658" s="28">
        <v>0.74070000000000003</v>
      </c>
      <c r="H6658" s="28">
        <v>0.55559999999999998</v>
      </c>
      <c r="I6658" s="28">
        <v>0.66669999999999996</v>
      </c>
      <c r="J6658" s="28">
        <v>0.33329999999999999</v>
      </c>
      <c r="K6658" s="28">
        <v>0.51849999999999996</v>
      </c>
      <c r="L6658" s="28">
        <v>0.55559999999999998</v>
      </c>
      <c r="M6658" s="28">
        <v>0.1852</v>
      </c>
      <c r="N6658" s="28">
        <v>0.40739999999999998</v>
      </c>
      <c r="O6658" s="28">
        <v>0.22220000000000001</v>
      </c>
      <c r="P6658" s="28">
        <v>0.14810000000000001</v>
      </c>
      <c r="Q6658" s="29"/>
      <c r="R6658" s="29"/>
      <c r="S6658" s="29"/>
      <c r="T6658" s="29" t="s">
        <v>338</v>
      </c>
    </row>
    <row r="6659" spans="1:20" x14ac:dyDescent="0.35">
      <c r="A6659" s="27" t="s">
        <v>231</v>
      </c>
      <c r="B6659" s="27" t="s">
        <v>262</v>
      </c>
      <c r="C6659" s="28">
        <v>1</v>
      </c>
      <c r="D6659" s="28">
        <v>0.90910000000000002</v>
      </c>
      <c r="E6659" s="28">
        <v>0.72729999999999995</v>
      </c>
      <c r="F6659" s="28">
        <v>0.72729999999999995</v>
      </c>
      <c r="G6659" s="28">
        <v>0.72729999999999995</v>
      </c>
      <c r="H6659" s="28">
        <v>0.63639999999999997</v>
      </c>
      <c r="I6659" s="28">
        <v>0.54549999999999998</v>
      </c>
      <c r="J6659" s="28">
        <v>0.63639999999999997</v>
      </c>
      <c r="K6659" s="28">
        <v>0.81820000000000004</v>
      </c>
      <c r="L6659" s="28">
        <v>0.36359999999999998</v>
      </c>
      <c r="M6659" s="28">
        <v>0.54549999999999998</v>
      </c>
      <c r="N6659" s="28">
        <v>0.2727</v>
      </c>
      <c r="O6659" s="28">
        <v>0.18179999999999999</v>
      </c>
      <c r="P6659" s="28">
        <v>0.2727</v>
      </c>
      <c r="Q6659" s="29"/>
      <c r="R6659" s="29"/>
      <c r="S6659" s="29"/>
      <c r="T6659" s="29" t="s">
        <v>352</v>
      </c>
    </row>
    <row r="6660" spans="1:20" x14ac:dyDescent="0.35">
      <c r="A6660" t="s">
        <v>232</v>
      </c>
      <c r="B6660" t="s">
        <v>232</v>
      </c>
      <c r="C6660" s="26">
        <v>0.99639999999999995</v>
      </c>
      <c r="D6660" s="26">
        <v>0.94510000000000005</v>
      </c>
      <c r="E6660" s="26">
        <v>0.93789999999999996</v>
      </c>
      <c r="F6660" s="26">
        <v>0.84630000000000005</v>
      </c>
      <c r="G6660" s="26">
        <v>0.69089999999999996</v>
      </c>
      <c r="H6660" s="26">
        <v>0.62309999999999999</v>
      </c>
      <c r="I6660" s="26">
        <v>0.54010000000000002</v>
      </c>
      <c r="J6660" s="26">
        <v>0.50590000000000002</v>
      </c>
      <c r="K6660" s="26">
        <v>0.50429999999999997</v>
      </c>
      <c r="L6660" s="26">
        <v>0.43940000000000001</v>
      </c>
      <c r="M6660" s="26">
        <v>0.26440000000000002</v>
      </c>
      <c r="N6660" s="26">
        <v>0.1739</v>
      </c>
      <c r="O6660" s="26">
        <v>0.14599999999999999</v>
      </c>
      <c r="P6660" s="26">
        <v>8.0500000000000002E-2</v>
      </c>
      <c r="Q6660" s="26">
        <v>1.8200000000000001E-2</v>
      </c>
      <c r="R6660" s="26">
        <v>8.0000000000000004E-4</v>
      </c>
      <c r="S6660" s="26">
        <v>6.9999999999999999E-4</v>
      </c>
      <c r="T6660">
        <v>2813</v>
      </c>
    </row>
    <row r="6662" spans="1:20" x14ac:dyDescent="0.35">
      <c r="A6662" s="1" t="s">
        <v>886</v>
      </c>
    </row>
    <row r="6663" spans="1:20" x14ac:dyDescent="0.35">
      <c r="A6663" t="s">
        <v>219</v>
      </c>
      <c r="B6663" t="s">
        <v>305</v>
      </c>
      <c r="C6663" t="s">
        <v>862</v>
      </c>
      <c r="D6663" t="s">
        <v>863</v>
      </c>
      <c r="E6663" t="s">
        <v>864</v>
      </c>
      <c r="F6663" t="s">
        <v>865</v>
      </c>
      <c r="G6663" t="s">
        <v>866</v>
      </c>
      <c r="H6663" t="s">
        <v>867</v>
      </c>
      <c r="I6663" t="s">
        <v>868</v>
      </c>
      <c r="J6663" t="s">
        <v>869</v>
      </c>
      <c r="K6663" t="s">
        <v>870</v>
      </c>
      <c r="L6663" t="s">
        <v>871</v>
      </c>
      <c r="M6663" t="s">
        <v>872</v>
      </c>
      <c r="N6663" t="s">
        <v>873</v>
      </c>
      <c r="O6663" t="s">
        <v>874</v>
      </c>
      <c r="P6663" t="s">
        <v>875</v>
      </c>
      <c r="Q6663" t="s">
        <v>876</v>
      </c>
      <c r="R6663" t="s">
        <v>286</v>
      </c>
      <c r="S6663" t="s">
        <v>877</v>
      </c>
      <c r="T6663" t="s">
        <v>226</v>
      </c>
    </row>
    <row r="6664" spans="1:20" x14ac:dyDescent="0.35">
      <c r="A6664" t="s">
        <v>227</v>
      </c>
      <c r="B6664" t="s">
        <v>368</v>
      </c>
      <c r="C6664" s="26">
        <v>0.96970000000000001</v>
      </c>
      <c r="D6664" s="26">
        <v>0.87880000000000003</v>
      </c>
      <c r="E6664" s="26">
        <v>0.87880000000000003</v>
      </c>
      <c r="F6664" s="26">
        <v>0.84850000000000003</v>
      </c>
      <c r="G6664" s="26">
        <v>0.66669999999999996</v>
      </c>
      <c r="H6664" s="26">
        <v>0.48480000000000001</v>
      </c>
      <c r="I6664" s="26">
        <v>0.72729999999999995</v>
      </c>
      <c r="J6664" s="26">
        <v>0.45450000000000002</v>
      </c>
      <c r="K6664" s="26">
        <v>0.36359999999999998</v>
      </c>
      <c r="L6664" s="26">
        <v>0.36359999999999998</v>
      </c>
      <c r="M6664" s="26">
        <v>0.1212</v>
      </c>
      <c r="N6664" s="26">
        <v>0.54549999999999998</v>
      </c>
      <c r="O6664" s="26">
        <v>0.1515</v>
      </c>
      <c r="P6664" s="26">
        <v>3.0300000000000001E-2</v>
      </c>
      <c r="Q6664" s="26">
        <v>3.0300000000000001E-2</v>
      </c>
      <c r="T6664">
        <v>33</v>
      </c>
    </row>
    <row r="6665" spans="1:20" x14ac:dyDescent="0.35">
      <c r="A6665" t="s">
        <v>227</v>
      </c>
      <c r="B6665" t="s">
        <v>369</v>
      </c>
      <c r="C6665" s="26">
        <v>1</v>
      </c>
      <c r="D6665" s="26">
        <v>0.97660000000000002</v>
      </c>
      <c r="E6665" s="26">
        <v>0.98440000000000005</v>
      </c>
      <c r="F6665" s="26">
        <v>0.82809999999999995</v>
      </c>
      <c r="G6665" s="26">
        <v>0.70309999999999995</v>
      </c>
      <c r="H6665" s="26">
        <v>0.625</v>
      </c>
      <c r="I6665" s="26">
        <v>0.5</v>
      </c>
      <c r="J6665" s="26">
        <v>0.60940000000000005</v>
      </c>
      <c r="K6665" s="26">
        <v>0.5</v>
      </c>
      <c r="L6665" s="26">
        <v>0.39839999999999998</v>
      </c>
      <c r="M6665" s="26">
        <v>0.2656</v>
      </c>
      <c r="N6665" s="26">
        <v>6.25E-2</v>
      </c>
      <c r="O6665" s="26">
        <v>0.1641</v>
      </c>
      <c r="P6665" s="26">
        <v>7.8100000000000003E-2</v>
      </c>
      <c r="Q6665" s="26">
        <v>7.7999999999999996E-3</v>
      </c>
      <c r="T6665">
        <v>128</v>
      </c>
    </row>
    <row r="6666" spans="1:20" x14ac:dyDescent="0.35">
      <c r="A6666" t="s">
        <v>228</v>
      </c>
      <c r="B6666" t="s">
        <v>368</v>
      </c>
      <c r="C6666" s="26">
        <v>0.9829</v>
      </c>
      <c r="D6666" s="26">
        <v>0.92930000000000001</v>
      </c>
      <c r="E6666" s="26">
        <v>0.82820000000000005</v>
      </c>
      <c r="F6666" s="26">
        <v>0.80149999999999999</v>
      </c>
      <c r="G6666" s="26">
        <v>0.55089999999999995</v>
      </c>
      <c r="H6666" s="26">
        <v>0.5393</v>
      </c>
      <c r="I6666" s="26">
        <v>0.65639999999999998</v>
      </c>
      <c r="J6666" s="26">
        <v>0.41520000000000001</v>
      </c>
      <c r="K6666" s="26">
        <v>0.43940000000000001</v>
      </c>
      <c r="L6666" s="26">
        <v>0.39019999999999999</v>
      </c>
      <c r="M6666" s="26">
        <v>9.2600000000000002E-2</v>
      </c>
      <c r="N6666" s="26">
        <v>0.61519999999999997</v>
      </c>
      <c r="O6666" s="26">
        <v>0.13239999999999999</v>
      </c>
      <c r="P6666" s="26">
        <v>7.5399999999999995E-2</v>
      </c>
      <c r="Q6666" s="26">
        <v>9.1999999999999998E-3</v>
      </c>
      <c r="T6666">
        <v>192</v>
      </c>
    </row>
    <row r="6667" spans="1:20" x14ac:dyDescent="0.35">
      <c r="A6667" t="s">
        <v>228</v>
      </c>
      <c r="B6667" t="s">
        <v>369</v>
      </c>
      <c r="C6667" s="26">
        <v>0.98899999999999999</v>
      </c>
      <c r="D6667" s="26">
        <v>0.94210000000000005</v>
      </c>
      <c r="E6667" s="26">
        <v>0.94440000000000002</v>
      </c>
      <c r="F6667" s="26">
        <v>0.81630000000000003</v>
      </c>
      <c r="G6667" s="26">
        <v>0.58750000000000002</v>
      </c>
      <c r="H6667" s="26">
        <v>0.58989999999999998</v>
      </c>
      <c r="I6667" s="26">
        <v>0.58989999999999998</v>
      </c>
      <c r="J6667" s="26">
        <v>0.4955</v>
      </c>
      <c r="K6667" s="26">
        <v>0.4148</v>
      </c>
      <c r="L6667" s="26">
        <v>0.36230000000000001</v>
      </c>
      <c r="M6667" s="26">
        <v>0.22259999999999999</v>
      </c>
      <c r="N6667" s="26">
        <v>7.17E-2</v>
      </c>
      <c r="O6667" s="26">
        <v>0.1038</v>
      </c>
      <c r="P6667" s="26">
        <v>7.4200000000000002E-2</v>
      </c>
      <c r="Q6667" s="26">
        <v>2.2800000000000001E-2</v>
      </c>
      <c r="R6667" s="26">
        <v>4.4999999999999997E-3</v>
      </c>
      <c r="S6667" s="26">
        <v>4.1000000000000003E-3</v>
      </c>
      <c r="T6667">
        <v>841</v>
      </c>
    </row>
    <row r="6668" spans="1:20" x14ac:dyDescent="0.35">
      <c r="A6668" t="s">
        <v>229</v>
      </c>
      <c r="B6668" t="s">
        <v>368</v>
      </c>
      <c r="C6668" s="26">
        <v>0.99780000000000002</v>
      </c>
      <c r="D6668" s="26">
        <v>0.92190000000000005</v>
      </c>
      <c r="E6668" s="26">
        <v>0.95960000000000001</v>
      </c>
      <c r="F6668" s="26">
        <v>0.82399999999999995</v>
      </c>
      <c r="G6668" s="26">
        <v>0.79779999999999995</v>
      </c>
      <c r="H6668" s="26">
        <v>0.61829999999999996</v>
      </c>
      <c r="I6668" s="26">
        <v>0.73550000000000004</v>
      </c>
      <c r="J6668" s="26">
        <v>0.40560000000000002</v>
      </c>
      <c r="K6668" s="26">
        <v>0.55579999999999996</v>
      </c>
      <c r="L6668" s="26">
        <v>0.49609999999999999</v>
      </c>
      <c r="M6668" s="26">
        <v>0.2918</v>
      </c>
      <c r="N6668" s="26">
        <v>0.62849999999999995</v>
      </c>
      <c r="O6668" s="26">
        <v>0.14430000000000001</v>
      </c>
      <c r="P6668" s="26">
        <v>0.1071</v>
      </c>
      <c r="Q6668" s="26">
        <v>3.5900000000000001E-2</v>
      </c>
      <c r="T6668">
        <v>96</v>
      </c>
    </row>
    <row r="6669" spans="1:20" x14ac:dyDescent="0.35">
      <c r="A6669" t="s">
        <v>229</v>
      </c>
      <c r="B6669" t="s">
        <v>369</v>
      </c>
      <c r="C6669" s="26">
        <v>0.99970000000000003</v>
      </c>
      <c r="D6669" s="26">
        <v>0.94940000000000002</v>
      </c>
      <c r="E6669" s="26">
        <v>0.97760000000000002</v>
      </c>
      <c r="F6669" s="26">
        <v>0.89849999999999997</v>
      </c>
      <c r="G6669" s="26">
        <v>0.7278</v>
      </c>
      <c r="H6669" s="26">
        <v>0.6704</v>
      </c>
      <c r="I6669" s="26">
        <v>0.55659999999999998</v>
      </c>
      <c r="J6669" s="26">
        <v>0.51259999999999994</v>
      </c>
      <c r="K6669" s="26">
        <v>0.53520000000000001</v>
      </c>
      <c r="L6669" s="26">
        <v>0.48149999999999998</v>
      </c>
      <c r="M6669" s="26">
        <v>0.31159999999999999</v>
      </c>
      <c r="N6669" s="26">
        <v>7.4300000000000005E-2</v>
      </c>
      <c r="O6669" s="26">
        <v>0.1118</v>
      </c>
      <c r="P6669" s="26">
        <v>9.5299999999999996E-2</v>
      </c>
      <c r="Q6669" s="26">
        <v>1.9400000000000001E-2</v>
      </c>
      <c r="R6669" s="26">
        <v>2.0000000000000001E-4</v>
      </c>
      <c r="T6669">
        <v>799</v>
      </c>
    </row>
    <row r="6670" spans="1:20" x14ac:dyDescent="0.35">
      <c r="A6670" t="s">
        <v>230</v>
      </c>
      <c r="B6670" t="s">
        <v>368</v>
      </c>
      <c r="C6670" s="26">
        <v>1</v>
      </c>
      <c r="D6670" s="26">
        <v>0.9375</v>
      </c>
      <c r="E6670" s="26">
        <v>0.90169999999999995</v>
      </c>
      <c r="F6670" s="26">
        <v>0.94</v>
      </c>
      <c r="G6670" s="26">
        <v>0.74339999999999995</v>
      </c>
      <c r="H6670" s="26">
        <v>0.65880000000000005</v>
      </c>
      <c r="I6670" s="26">
        <v>0.59130000000000005</v>
      </c>
      <c r="J6670" s="26">
        <v>0.57989999999999997</v>
      </c>
      <c r="K6670" s="26">
        <v>0.45229999999999998</v>
      </c>
      <c r="L6670" s="26">
        <v>0.37380000000000002</v>
      </c>
      <c r="M6670" s="26">
        <v>0.32269999999999999</v>
      </c>
      <c r="N6670" s="26">
        <v>0.82689999999999997</v>
      </c>
      <c r="O6670" s="26">
        <v>6.0600000000000001E-2</v>
      </c>
      <c r="P6670" s="26">
        <v>4.9200000000000001E-2</v>
      </c>
      <c r="Q6670" s="26">
        <v>8.6999999999999994E-3</v>
      </c>
      <c r="T6670">
        <v>57</v>
      </c>
    </row>
    <row r="6671" spans="1:20" x14ac:dyDescent="0.35">
      <c r="A6671" t="s">
        <v>230</v>
      </c>
      <c r="B6671" t="s">
        <v>369</v>
      </c>
      <c r="C6671" s="26">
        <v>0.998</v>
      </c>
      <c r="D6671" s="26">
        <v>0.95720000000000005</v>
      </c>
      <c r="E6671" s="26">
        <v>0.9657</v>
      </c>
      <c r="F6671" s="26">
        <v>0.88929999999999998</v>
      </c>
      <c r="G6671" s="26">
        <v>0.67610000000000003</v>
      </c>
      <c r="H6671" s="26">
        <v>0.61509999999999998</v>
      </c>
      <c r="I6671" s="26">
        <v>0.56020000000000003</v>
      </c>
      <c r="J6671" s="26">
        <v>0.53559999999999997</v>
      </c>
      <c r="K6671" s="26">
        <v>0.48549999999999999</v>
      </c>
      <c r="L6671" s="26">
        <v>0.41270000000000001</v>
      </c>
      <c r="M6671" s="26">
        <v>0.31940000000000002</v>
      </c>
      <c r="N6671" s="26">
        <v>0.11700000000000001</v>
      </c>
      <c r="O6671" s="26">
        <v>0.1353</v>
      </c>
      <c r="P6671" s="26">
        <v>4.87E-2</v>
      </c>
      <c r="Q6671" s="26">
        <v>3.27E-2</v>
      </c>
      <c r="S6671" s="26">
        <v>2.9999999999999997E-4</v>
      </c>
      <c r="T6671">
        <v>503</v>
      </c>
    </row>
    <row r="6672" spans="1:20" x14ac:dyDescent="0.35">
      <c r="A6672" s="27" t="s">
        <v>231</v>
      </c>
      <c r="B6672" s="27" t="s">
        <v>368</v>
      </c>
      <c r="C6672" s="28">
        <v>1</v>
      </c>
      <c r="D6672" s="28">
        <v>0.96299999999999997</v>
      </c>
      <c r="E6672" s="28">
        <v>0.62960000000000005</v>
      </c>
      <c r="F6672" s="28">
        <v>0.92589999999999995</v>
      </c>
      <c r="G6672" s="28">
        <v>0.74070000000000003</v>
      </c>
      <c r="H6672" s="28">
        <v>0.55559999999999998</v>
      </c>
      <c r="I6672" s="28">
        <v>0.66669999999999996</v>
      </c>
      <c r="J6672" s="28">
        <v>0.33329999999999999</v>
      </c>
      <c r="K6672" s="28">
        <v>0.51849999999999996</v>
      </c>
      <c r="L6672" s="28">
        <v>0.55559999999999998</v>
      </c>
      <c r="M6672" s="28">
        <v>0.1852</v>
      </c>
      <c r="N6672" s="28">
        <v>0.40739999999999998</v>
      </c>
      <c r="O6672" s="28">
        <v>0.22220000000000001</v>
      </c>
      <c r="P6672" s="28">
        <v>0.14810000000000001</v>
      </c>
      <c r="Q6672" s="29"/>
      <c r="R6672" s="29"/>
      <c r="S6672" s="29"/>
      <c r="T6672" s="29" t="s">
        <v>338</v>
      </c>
    </row>
    <row r="6673" spans="1:20" x14ac:dyDescent="0.35">
      <c r="A6673" t="s">
        <v>231</v>
      </c>
      <c r="B6673" t="s">
        <v>369</v>
      </c>
      <c r="C6673" s="26">
        <v>1</v>
      </c>
      <c r="D6673" s="26">
        <v>0.93430000000000002</v>
      </c>
      <c r="E6673" s="26">
        <v>0.94159999999999999</v>
      </c>
      <c r="F6673" s="26">
        <v>0.79559999999999997</v>
      </c>
      <c r="G6673" s="26">
        <v>0.71530000000000005</v>
      </c>
      <c r="H6673" s="26">
        <v>0.64229999999999998</v>
      </c>
      <c r="I6673" s="26">
        <v>0.39419999999999999</v>
      </c>
      <c r="J6673" s="26">
        <v>0.51090000000000002</v>
      </c>
      <c r="K6673" s="26">
        <v>0.56200000000000006</v>
      </c>
      <c r="L6673" s="26">
        <v>0.4672</v>
      </c>
      <c r="M6673" s="26">
        <v>0.27739999999999998</v>
      </c>
      <c r="N6673" s="26">
        <v>0.13869999999999999</v>
      </c>
      <c r="O6673" s="26">
        <v>0.1971</v>
      </c>
      <c r="P6673" s="26">
        <v>7.2999999999999995E-2</v>
      </c>
      <c r="Q6673" s="26">
        <v>1.46E-2</v>
      </c>
      <c r="T6673">
        <v>137</v>
      </c>
    </row>
    <row r="6674" spans="1:20" x14ac:dyDescent="0.35">
      <c r="A6674" t="s">
        <v>232</v>
      </c>
      <c r="B6674" t="s">
        <v>232</v>
      </c>
      <c r="C6674" s="26">
        <v>0.99639999999999995</v>
      </c>
      <c r="D6674" s="26">
        <v>0.94510000000000005</v>
      </c>
      <c r="E6674" s="26">
        <v>0.93789999999999996</v>
      </c>
      <c r="F6674" s="26">
        <v>0.84630000000000005</v>
      </c>
      <c r="G6674" s="26">
        <v>0.69089999999999996</v>
      </c>
      <c r="H6674" s="26">
        <v>0.62309999999999999</v>
      </c>
      <c r="I6674" s="26">
        <v>0.54010000000000002</v>
      </c>
      <c r="J6674" s="26">
        <v>0.50590000000000002</v>
      </c>
      <c r="K6674" s="26">
        <v>0.50429999999999997</v>
      </c>
      <c r="L6674" s="26">
        <v>0.43940000000000001</v>
      </c>
      <c r="M6674" s="26">
        <v>0.26440000000000002</v>
      </c>
      <c r="N6674" s="26">
        <v>0.1739</v>
      </c>
      <c r="O6674" s="26">
        <v>0.14599999999999999</v>
      </c>
      <c r="P6674" s="26">
        <v>8.0500000000000002E-2</v>
      </c>
      <c r="Q6674" s="26">
        <v>1.8200000000000001E-2</v>
      </c>
      <c r="R6674" s="26">
        <v>8.0000000000000004E-4</v>
      </c>
      <c r="S6674" s="26">
        <v>6.9999999999999999E-4</v>
      </c>
      <c r="T6674">
        <v>2813</v>
      </c>
    </row>
    <row r="6676" spans="1:20" x14ac:dyDescent="0.35">
      <c r="A6676" s="1" t="s">
        <v>887</v>
      </c>
    </row>
    <row r="6677" spans="1:20" x14ac:dyDescent="0.35">
      <c r="A6677" t="s">
        <v>219</v>
      </c>
      <c r="B6677" t="s">
        <v>305</v>
      </c>
      <c r="C6677" t="s">
        <v>862</v>
      </c>
      <c r="D6677" t="s">
        <v>863</v>
      </c>
      <c r="E6677" t="s">
        <v>864</v>
      </c>
      <c r="F6677" t="s">
        <v>865</v>
      </c>
      <c r="G6677" t="s">
        <v>866</v>
      </c>
      <c r="H6677" t="s">
        <v>867</v>
      </c>
      <c r="I6677" t="s">
        <v>868</v>
      </c>
      <c r="J6677" t="s">
        <v>869</v>
      </c>
      <c r="K6677" t="s">
        <v>870</v>
      </c>
      <c r="L6677" t="s">
        <v>871</v>
      </c>
      <c r="M6677" t="s">
        <v>872</v>
      </c>
      <c r="N6677" t="s">
        <v>873</v>
      </c>
      <c r="O6677" t="s">
        <v>874</v>
      </c>
      <c r="P6677" t="s">
        <v>875</v>
      </c>
      <c r="Q6677" t="s">
        <v>876</v>
      </c>
      <c r="R6677" t="s">
        <v>286</v>
      </c>
      <c r="S6677" t="s">
        <v>877</v>
      </c>
      <c r="T6677" t="s">
        <v>226</v>
      </c>
    </row>
    <row r="6678" spans="1:20" x14ac:dyDescent="0.35">
      <c r="A6678" t="s">
        <v>227</v>
      </c>
      <c r="B6678" t="s">
        <v>371</v>
      </c>
      <c r="C6678" s="26">
        <v>0.99380000000000002</v>
      </c>
      <c r="D6678" s="26">
        <v>0.95650000000000002</v>
      </c>
      <c r="E6678" s="26">
        <v>0.9627</v>
      </c>
      <c r="F6678" s="26">
        <v>0.83230000000000004</v>
      </c>
      <c r="G6678" s="26">
        <v>0.69569999999999999</v>
      </c>
      <c r="H6678" s="26">
        <v>0.59630000000000005</v>
      </c>
      <c r="I6678" s="26">
        <v>0.54659999999999997</v>
      </c>
      <c r="J6678" s="26">
        <v>0.5776</v>
      </c>
      <c r="K6678" s="26">
        <v>0.47199999999999998</v>
      </c>
      <c r="L6678" s="26">
        <v>0.39129999999999998</v>
      </c>
      <c r="M6678" s="26">
        <v>0.23599999999999999</v>
      </c>
      <c r="N6678" s="26">
        <v>0.1615</v>
      </c>
      <c r="O6678" s="26">
        <v>0.1615</v>
      </c>
      <c r="P6678" s="26">
        <v>6.83E-2</v>
      </c>
      <c r="Q6678" s="26">
        <v>1.24E-2</v>
      </c>
      <c r="T6678">
        <v>161</v>
      </c>
    </row>
    <row r="6679" spans="1:20" x14ac:dyDescent="0.35">
      <c r="A6679" t="s">
        <v>228</v>
      </c>
      <c r="B6679" t="s">
        <v>371</v>
      </c>
      <c r="C6679" s="26">
        <v>0.9859</v>
      </c>
      <c r="D6679" s="26">
        <v>0.94369999999999998</v>
      </c>
      <c r="E6679" s="26">
        <v>0.92010000000000003</v>
      </c>
      <c r="F6679" s="26">
        <v>0.83409999999999995</v>
      </c>
      <c r="G6679" s="26">
        <v>0.60729999999999995</v>
      </c>
      <c r="H6679" s="26">
        <v>0.62819999999999998</v>
      </c>
      <c r="I6679" s="26">
        <v>0.64639999999999997</v>
      </c>
      <c r="J6679" s="26">
        <v>0.4803</v>
      </c>
      <c r="K6679" s="26">
        <v>0.44209999999999999</v>
      </c>
      <c r="L6679" s="26">
        <v>0.37390000000000001</v>
      </c>
      <c r="M6679" s="26">
        <v>0.21840000000000001</v>
      </c>
      <c r="N6679" s="26">
        <v>0.21779999999999999</v>
      </c>
      <c r="O6679" s="26">
        <v>0.12720000000000001</v>
      </c>
      <c r="P6679" s="26">
        <v>8.7800000000000003E-2</v>
      </c>
      <c r="Q6679" s="26">
        <v>2.6100000000000002E-2</v>
      </c>
      <c r="R6679" s="26">
        <v>6.9999999999999999E-4</v>
      </c>
      <c r="S6679" s="26">
        <v>6.4000000000000003E-3</v>
      </c>
      <c r="T6679">
        <v>292</v>
      </c>
    </row>
    <row r="6680" spans="1:20" x14ac:dyDescent="0.35">
      <c r="A6680" t="s">
        <v>228</v>
      </c>
      <c r="B6680" t="s">
        <v>372</v>
      </c>
      <c r="C6680" s="26">
        <v>0.9798</v>
      </c>
      <c r="D6680" s="26">
        <v>0.91069999999999995</v>
      </c>
      <c r="E6680" s="26">
        <v>0.90620000000000001</v>
      </c>
      <c r="F6680" s="26">
        <v>0.70130000000000003</v>
      </c>
      <c r="G6680" s="26">
        <v>0.53680000000000005</v>
      </c>
      <c r="H6680" s="26">
        <v>0.39789999999999998</v>
      </c>
      <c r="I6680" s="26">
        <v>0.43719999999999998</v>
      </c>
      <c r="J6680" s="26">
        <v>0.45400000000000001</v>
      </c>
      <c r="K6680" s="26">
        <v>0.35410000000000003</v>
      </c>
      <c r="L6680" s="26">
        <v>0.31380000000000002</v>
      </c>
      <c r="M6680" s="26">
        <v>9.5600000000000004E-2</v>
      </c>
      <c r="N6680" s="26">
        <v>6.2E-2</v>
      </c>
      <c r="O6680" s="26">
        <v>0.12180000000000001</v>
      </c>
      <c r="P6680" s="26">
        <v>6.4100000000000004E-2</v>
      </c>
      <c r="Q6680" s="26">
        <v>1.1299999999999999E-2</v>
      </c>
      <c r="R6680" s="26">
        <v>4.8999999999999998E-3</v>
      </c>
      <c r="T6680">
        <v>218</v>
      </c>
    </row>
    <row r="6681" spans="1:20" x14ac:dyDescent="0.35">
      <c r="A6681" t="s">
        <v>228</v>
      </c>
      <c r="B6681" t="s">
        <v>373</v>
      </c>
      <c r="C6681" s="26">
        <v>0.99199999999999999</v>
      </c>
      <c r="D6681" s="26">
        <v>0.94040000000000001</v>
      </c>
      <c r="E6681" s="26">
        <v>0.92749999999999999</v>
      </c>
      <c r="F6681" s="26">
        <v>0.81020000000000003</v>
      </c>
      <c r="G6681" s="26">
        <v>0.55400000000000005</v>
      </c>
      <c r="H6681" s="26">
        <v>0.55569999999999997</v>
      </c>
      <c r="I6681" s="26">
        <v>0.58089999999999997</v>
      </c>
      <c r="J6681" s="26">
        <v>0.4849</v>
      </c>
      <c r="K6681" s="26">
        <v>0.40389999999999998</v>
      </c>
      <c r="L6681" s="26">
        <v>0.37119999999999997</v>
      </c>
      <c r="M6681" s="26">
        <v>0.1913</v>
      </c>
      <c r="N6681" s="26">
        <v>0.1489</v>
      </c>
      <c r="O6681" s="26">
        <v>8.3000000000000004E-2</v>
      </c>
      <c r="P6681" s="26">
        <v>5.8900000000000001E-2</v>
      </c>
      <c r="Q6681" s="26">
        <v>1.4200000000000001E-2</v>
      </c>
      <c r="R6681" s="26">
        <v>7.3000000000000001E-3</v>
      </c>
      <c r="T6681">
        <v>523</v>
      </c>
    </row>
    <row r="6682" spans="1:20" x14ac:dyDescent="0.35">
      <c r="A6682" t="s">
        <v>229</v>
      </c>
      <c r="B6682" t="s">
        <v>371</v>
      </c>
      <c r="C6682" s="26">
        <v>0.99980000000000002</v>
      </c>
      <c r="D6682" s="26">
        <v>0.94420000000000004</v>
      </c>
      <c r="E6682" s="26">
        <v>0.97609999999999997</v>
      </c>
      <c r="F6682" s="26">
        <v>0.88990000000000002</v>
      </c>
      <c r="G6682" s="26">
        <v>0.745</v>
      </c>
      <c r="H6682" s="26">
        <v>0.67200000000000004</v>
      </c>
      <c r="I6682" s="26">
        <v>0.60189999999999999</v>
      </c>
      <c r="J6682" s="26">
        <v>0.49340000000000001</v>
      </c>
      <c r="K6682" s="26">
        <v>0.54800000000000004</v>
      </c>
      <c r="L6682" s="26">
        <v>0.48970000000000002</v>
      </c>
      <c r="M6682" s="26">
        <v>0.3216</v>
      </c>
      <c r="N6682" s="26">
        <v>0.15970000000000001</v>
      </c>
      <c r="O6682" s="26">
        <v>0.1154</v>
      </c>
      <c r="P6682" s="26">
        <v>9.8100000000000007E-2</v>
      </c>
      <c r="Q6682" s="26">
        <v>2.1899999999999999E-2</v>
      </c>
      <c r="R6682" s="26">
        <v>2.0000000000000001E-4</v>
      </c>
      <c r="T6682">
        <v>584</v>
      </c>
    </row>
    <row r="6683" spans="1:20" x14ac:dyDescent="0.35">
      <c r="A6683" t="s">
        <v>229</v>
      </c>
      <c r="B6683" t="s">
        <v>372</v>
      </c>
      <c r="C6683" s="26">
        <v>0.99150000000000005</v>
      </c>
      <c r="D6683" s="26">
        <v>0.95569999999999999</v>
      </c>
      <c r="E6683" s="26">
        <v>0.96889999999999998</v>
      </c>
      <c r="F6683" s="26">
        <v>0.86170000000000002</v>
      </c>
      <c r="G6683" s="26">
        <v>0.66249999999999998</v>
      </c>
      <c r="H6683" s="26">
        <v>0.56320000000000003</v>
      </c>
      <c r="I6683" s="26">
        <v>0.36880000000000002</v>
      </c>
      <c r="J6683" s="26">
        <v>0.5151</v>
      </c>
      <c r="K6683" s="26">
        <v>0.42759999999999998</v>
      </c>
      <c r="L6683" s="26">
        <v>0.46689999999999998</v>
      </c>
      <c r="M6683" s="26">
        <v>0.1525</v>
      </c>
      <c r="N6683" s="26">
        <v>0.127</v>
      </c>
      <c r="O6683" s="26">
        <v>0.13100000000000001</v>
      </c>
      <c r="P6683" s="26">
        <v>0.109</v>
      </c>
      <c r="Q6683" s="26">
        <v>1.4200000000000001E-2</v>
      </c>
      <c r="T6683">
        <v>221</v>
      </c>
    </row>
    <row r="6684" spans="1:20" x14ac:dyDescent="0.35">
      <c r="A6684" t="s">
        <v>229</v>
      </c>
      <c r="B6684" t="s">
        <v>373</v>
      </c>
      <c r="C6684" s="26">
        <v>1</v>
      </c>
      <c r="D6684" s="26">
        <v>0.96299999999999997</v>
      </c>
      <c r="E6684" s="26">
        <v>0.94679999999999997</v>
      </c>
      <c r="F6684" s="26">
        <v>0.84819999999999995</v>
      </c>
      <c r="G6684" s="26">
        <v>0.64429999999999998</v>
      </c>
      <c r="H6684" s="26">
        <v>0.52739999999999998</v>
      </c>
      <c r="I6684" s="26">
        <v>0.33750000000000002</v>
      </c>
      <c r="J6684" s="26">
        <v>0.57589999999999997</v>
      </c>
      <c r="K6684" s="26">
        <v>0.40660000000000002</v>
      </c>
      <c r="L6684" s="26">
        <v>0.30599999999999999</v>
      </c>
      <c r="M6684" s="26">
        <v>0.1542</v>
      </c>
      <c r="N6684" s="26">
        <v>0.1085</v>
      </c>
      <c r="O6684" s="26">
        <v>0.1331</v>
      </c>
      <c r="P6684" s="26">
        <v>4.0500000000000001E-2</v>
      </c>
      <c r="Q6684" s="26">
        <v>3.6999999999999998E-2</v>
      </c>
      <c r="T6684">
        <v>90</v>
      </c>
    </row>
    <row r="6685" spans="1:20" x14ac:dyDescent="0.35">
      <c r="A6685" t="s">
        <v>230</v>
      </c>
      <c r="B6685" t="s">
        <v>371</v>
      </c>
      <c r="C6685" s="26">
        <v>0.99890000000000001</v>
      </c>
      <c r="D6685" s="26">
        <v>0.96360000000000001</v>
      </c>
      <c r="E6685" s="26">
        <v>0.96030000000000004</v>
      </c>
      <c r="F6685" s="26">
        <v>0.92369999999999997</v>
      </c>
      <c r="G6685" s="26">
        <v>0.69889999999999997</v>
      </c>
      <c r="H6685" s="26">
        <v>0.65369999999999995</v>
      </c>
      <c r="I6685" s="26">
        <v>0.57769999999999999</v>
      </c>
      <c r="J6685" s="26">
        <v>0.54890000000000005</v>
      </c>
      <c r="K6685" s="26">
        <v>0.48730000000000001</v>
      </c>
      <c r="L6685" s="26">
        <v>0.41980000000000001</v>
      </c>
      <c r="M6685" s="26">
        <v>0.35470000000000002</v>
      </c>
      <c r="N6685" s="26">
        <v>0.2346</v>
      </c>
      <c r="O6685" s="26">
        <v>0.13339999999999999</v>
      </c>
      <c r="P6685" s="26">
        <v>4.41E-2</v>
      </c>
      <c r="Q6685" s="26">
        <v>3.09E-2</v>
      </c>
      <c r="T6685">
        <v>262</v>
      </c>
    </row>
    <row r="6686" spans="1:20" x14ac:dyDescent="0.35">
      <c r="A6686" t="s">
        <v>230</v>
      </c>
      <c r="B6686" t="s">
        <v>372</v>
      </c>
      <c r="C6686" s="26">
        <v>0.98580000000000001</v>
      </c>
      <c r="D6686" s="26">
        <v>0.871</v>
      </c>
      <c r="E6686" s="26">
        <v>0.89580000000000004</v>
      </c>
      <c r="F6686" s="26">
        <v>0.69469999999999998</v>
      </c>
      <c r="G6686" s="26">
        <v>0.53249999999999997</v>
      </c>
      <c r="H6686" s="26">
        <v>0.42370000000000002</v>
      </c>
      <c r="I6686" s="26">
        <v>0.4249</v>
      </c>
      <c r="J6686" s="26">
        <v>0.48170000000000002</v>
      </c>
      <c r="K6686" s="26">
        <v>0.3609</v>
      </c>
      <c r="L6686" s="26">
        <v>0.40710000000000002</v>
      </c>
      <c r="M6686" s="26">
        <v>8.2799999999999999E-2</v>
      </c>
      <c r="N6686" s="26">
        <v>9.35E-2</v>
      </c>
      <c r="O6686" s="26">
        <v>0.1041</v>
      </c>
      <c r="P6686" s="26">
        <v>6.3899999999999998E-2</v>
      </c>
      <c r="Q6686" s="26">
        <v>4.4999999999999998E-2</v>
      </c>
      <c r="S6686" s="26">
        <v>4.7000000000000002E-3</v>
      </c>
      <c r="T6686">
        <v>146</v>
      </c>
    </row>
    <row r="6687" spans="1:20" x14ac:dyDescent="0.35">
      <c r="A6687" t="s">
        <v>230</v>
      </c>
      <c r="B6687" t="s">
        <v>373</v>
      </c>
      <c r="C6687" s="26">
        <v>1</v>
      </c>
      <c r="D6687" s="26">
        <v>0.93510000000000004</v>
      </c>
      <c r="E6687" s="26">
        <v>0.96519999999999995</v>
      </c>
      <c r="F6687" s="26">
        <v>0.81040000000000001</v>
      </c>
      <c r="G6687" s="26">
        <v>0.66539999999999999</v>
      </c>
      <c r="H6687" s="26">
        <v>0.50049999999999994</v>
      </c>
      <c r="I6687" s="26">
        <v>0.5423</v>
      </c>
      <c r="J6687" s="26">
        <v>0.52100000000000002</v>
      </c>
      <c r="K6687" s="26">
        <v>0.49559999999999998</v>
      </c>
      <c r="L6687" s="26">
        <v>0.3286</v>
      </c>
      <c r="M6687" s="26">
        <v>0.2039</v>
      </c>
      <c r="N6687" s="26">
        <v>0.1183</v>
      </c>
      <c r="O6687" s="26">
        <v>8.2900000000000001E-2</v>
      </c>
      <c r="P6687" s="26">
        <v>7.17E-2</v>
      </c>
      <c r="Q6687" s="26">
        <v>1.3899999999999999E-2</v>
      </c>
      <c r="T6687">
        <v>152</v>
      </c>
    </row>
    <row r="6688" spans="1:20" x14ac:dyDescent="0.35">
      <c r="A6688" t="s">
        <v>231</v>
      </c>
      <c r="B6688" t="s">
        <v>371</v>
      </c>
      <c r="C6688" s="26">
        <v>1</v>
      </c>
      <c r="D6688" s="26">
        <v>0.93899999999999995</v>
      </c>
      <c r="E6688" s="26">
        <v>0.89019999999999999</v>
      </c>
      <c r="F6688" s="26">
        <v>0.81710000000000005</v>
      </c>
      <c r="G6688" s="26">
        <v>0.71950000000000003</v>
      </c>
      <c r="H6688" s="26">
        <v>0.628</v>
      </c>
      <c r="I6688" s="26">
        <v>0.439</v>
      </c>
      <c r="J6688" s="26">
        <v>0.48170000000000002</v>
      </c>
      <c r="K6688" s="26">
        <v>0.55489999999999995</v>
      </c>
      <c r="L6688" s="26">
        <v>0.48170000000000002</v>
      </c>
      <c r="M6688" s="26">
        <v>0.26219999999999999</v>
      </c>
      <c r="N6688" s="26">
        <v>0.18290000000000001</v>
      </c>
      <c r="O6688" s="26">
        <v>0.20119999999999999</v>
      </c>
      <c r="P6688" s="26">
        <v>8.5400000000000004E-2</v>
      </c>
      <c r="Q6688" s="26">
        <v>1.2200000000000001E-2</v>
      </c>
      <c r="T6688">
        <v>164</v>
      </c>
    </row>
    <row r="6689" spans="1:20" x14ac:dyDescent="0.35">
      <c r="A6689" t="s">
        <v>232</v>
      </c>
      <c r="B6689" t="s">
        <v>232</v>
      </c>
      <c r="C6689" s="26">
        <v>0.99639999999999995</v>
      </c>
      <c r="D6689" s="26">
        <v>0.94510000000000005</v>
      </c>
      <c r="E6689" s="26">
        <v>0.93789999999999996</v>
      </c>
      <c r="F6689" s="26">
        <v>0.84630000000000005</v>
      </c>
      <c r="G6689" s="26">
        <v>0.69089999999999996</v>
      </c>
      <c r="H6689" s="26">
        <v>0.62309999999999999</v>
      </c>
      <c r="I6689" s="26">
        <v>0.54010000000000002</v>
      </c>
      <c r="J6689" s="26">
        <v>0.50590000000000002</v>
      </c>
      <c r="K6689" s="26">
        <v>0.50429999999999997</v>
      </c>
      <c r="L6689" s="26">
        <v>0.43940000000000001</v>
      </c>
      <c r="M6689" s="26">
        <v>0.26440000000000002</v>
      </c>
      <c r="N6689" s="26">
        <v>0.1739</v>
      </c>
      <c r="O6689" s="26">
        <v>0.14599999999999999</v>
      </c>
      <c r="P6689" s="26">
        <v>8.0500000000000002E-2</v>
      </c>
      <c r="Q6689" s="26">
        <v>1.8200000000000001E-2</v>
      </c>
      <c r="R6689" s="26">
        <v>8.0000000000000004E-4</v>
      </c>
      <c r="S6689" s="26">
        <v>6.9999999999999999E-4</v>
      </c>
      <c r="T6689">
        <v>2813</v>
      </c>
    </row>
    <row r="6691" spans="1:20" x14ac:dyDescent="0.35">
      <c r="A6691" s="1" t="s">
        <v>888</v>
      </c>
    </row>
    <row r="6692" spans="1:20" x14ac:dyDescent="0.35">
      <c r="A6692" t="s">
        <v>219</v>
      </c>
      <c r="B6692" t="s">
        <v>305</v>
      </c>
      <c r="C6692" t="s">
        <v>862</v>
      </c>
      <c r="D6692" t="s">
        <v>863</v>
      </c>
      <c r="E6692" t="s">
        <v>864</v>
      </c>
      <c r="F6692" t="s">
        <v>865</v>
      </c>
      <c r="G6692" t="s">
        <v>866</v>
      </c>
      <c r="H6692" t="s">
        <v>867</v>
      </c>
      <c r="I6692" t="s">
        <v>868</v>
      </c>
      <c r="J6692" t="s">
        <v>869</v>
      </c>
      <c r="K6692" t="s">
        <v>870</v>
      </c>
      <c r="L6692" t="s">
        <v>871</v>
      </c>
      <c r="M6692" t="s">
        <v>872</v>
      </c>
      <c r="N6692" t="s">
        <v>873</v>
      </c>
      <c r="O6692" t="s">
        <v>874</v>
      </c>
      <c r="P6692" t="s">
        <v>875</v>
      </c>
      <c r="Q6692" t="s">
        <v>876</v>
      </c>
      <c r="R6692" t="s">
        <v>286</v>
      </c>
      <c r="S6692" t="s">
        <v>877</v>
      </c>
      <c r="T6692" t="s">
        <v>226</v>
      </c>
    </row>
    <row r="6693" spans="1:20" x14ac:dyDescent="0.35">
      <c r="A6693" t="s">
        <v>227</v>
      </c>
      <c r="B6693" t="s">
        <v>255</v>
      </c>
      <c r="C6693" s="26">
        <v>0.99150000000000005</v>
      </c>
      <c r="D6693" s="26">
        <v>0.94869999999999999</v>
      </c>
      <c r="E6693" s="26">
        <v>0.96579999999999999</v>
      </c>
      <c r="F6693" s="26">
        <v>0.7863</v>
      </c>
      <c r="G6693" s="26">
        <v>0.63249999999999995</v>
      </c>
      <c r="H6693" s="26">
        <v>0.47010000000000002</v>
      </c>
      <c r="I6693" s="26">
        <v>0.49569999999999997</v>
      </c>
      <c r="J6693" s="26">
        <v>0.55559999999999998</v>
      </c>
      <c r="K6693" s="26">
        <v>0.35899999999999999</v>
      </c>
      <c r="L6693" s="26">
        <v>0.33329999999999999</v>
      </c>
      <c r="M6693" s="26">
        <v>0.15379999999999999</v>
      </c>
      <c r="N6693" s="26">
        <v>0.1709</v>
      </c>
      <c r="O6693" s="26">
        <v>0.1197</v>
      </c>
      <c r="P6693" s="26">
        <v>5.1299999999999998E-2</v>
      </c>
      <c r="Q6693" s="26">
        <v>1.7100000000000001E-2</v>
      </c>
      <c r="T6693">
        <v>117</v>
      </c>
    </row>
    <row r="6694" spans="1:20" x14ac:dyDescent="0.35">
      <c r="A6694" s="27" t="s">
        <v>227</v>
      </c>
      <c r="B6694" s="27" t="s">
        <v>257</v>
      </c>
      <c r="C6694" s="28">
        <v>1</v>
      </c>
      <c r="D6694" s="28">
        <v>1</v>
      </c>
      <c r="E6694" s="28">
        <v>0.77780000000000005</v>
      </c>
      <c r="F6694" s="28">
        <v>1</v>
      </c>
      <c r="G6694" s="28">
        <v>0.66669999999999996</v>
      </c>
      <c r="H6694" s="28">
        <v>0.77780000000000005</v>
      </c>
      <c r="I6694" s="28">
        <v>0.66669999999999996</v>
      </c>
      <c r="J6694" s="28">
        <v>0.88890000000000002</v>
      </c>
      <c r="K6694" s="28">
        <v>0.66669999999999996</v>
      </c>
      <c r="L6694" s="28">
        <v>0.55559999999999998</v>
      </c>
      <c r="M6694" s="28">
        <v>0.44440000000000002</v>
      </c>
      <c r="N6694" s="28">
        <v>0.22220000000000001</v>
      </c>
      <c r="O6694" s="28">
        <v>0.33329999999999999</v>
      </c>
      <c r="P6694" s="28">
        <v>0.1111</v>
      </c>
      <c r="Q6694" s="29"/>
      <c r="R6694" s="29"/>
      <c r="S6694" s="29"/>
      <c r="T6694" s="29" t="s">
        <v>334</v>
      </c>
    </row>
    <row r="6695" spans="1:20" x14ac:dyDescent="0.35">
      <c r="A6695" t="s">
        <v>227</v>
      </c>
      <c r="B6695" t="s">
        <v>256</v>
      </c>
      <c r="C6695" s="26">
        <v>1</v>
      </c>
      <c r="D6695" s="26">
        <v>0.97140000000000004</v>
      </c>
      <c r="E6695" s="26">
        <v>1</v>
      </c>
      <c r="F6695" s="26">
        <v>0.94289999999999996</v>
      </c>
      <c r="G6695" s="26">
        <v>0.9143</v>
      </c>
      <c r="H6695" s="26">
        <v>0.97140000000000004</v>
      </c>
      <c r="I6695" s="26">
        <v>0.68569999999999998</v>
      </c>
      <c r="J6695" s="26">
        <v>0.57140000000000002</v>
      </c>
      <c r="K6695" s="26">
        <v>0.8</v>
      </c>
      <c r="L6695" s="26">
        <v>0.54290000000000005</v>
      </c>
      <c r="M6695" s="26">
        <v>0.45710000000000001</v>
      </c>
      <c r="N6695" s="26">
        <v>0.1143</v>
      </c>
      <c r="O6695" s="26">
        <v>0.2571</v>
      </c>
      <c r="P6695" s="26">
        <v>0.1143</v>
      </c>
      <c r="T6695">
        <v>35</v>
      </c>
    </row>
    <row r="6696" spans="1:20" x14ac:dyDescent="0.35">
      <c r="A6696" t="s">
        <v>228</v>
      </c>
      <c r="B6696" t="s">
        <v>257</v>
      </c>
      <c r="C6696" s="26">
        <v>1</v>
      </c>
      <c r="D6696" s="26">
        <v>0.99209999999999998</v>
      </c>
      <c r="E6696" s="26">
        <v>0.82720000000000005</v>
      </c>
      <c r="F6696" s="26">
        <v>0.83899999999999997</v>
      </c>
      <c r="G6696" s="26">
        <v>0.45400000000000001</v>
      </c>
      <c r="H6696" s="26">
        <v>0.76390000000000002</v>
      </c>
      <c r="I6696" s="26">
        <v>0.60870000000000002</v>
      </c>
      <c r="J6696" s="26">
        <v>0.49459999999999998</v>
      </c>
      <c r="K6696" s="26">
        <v>0.55349999999999999</v>
      </c>
      <c r="L6696" s="26">
        <v>0.23630000000000001</v>
      </c>
      <c r="M6696" s="26">
        <v>0.27589999999999998</v>
      </c>
      <c r="N6696" s="26">
        <v>0.19500000000000001</v>
      </c>
      <c r="O6696" s="26">
        <v>7.5600000000000001E-2</v>
      </c>
      <c r="P6696" s="26">
        <v>4.1500000000000002E-2</v>
      </c>
      <c r="T6696">
        <v>49</v>
      </c>
    </row>
    <row r="6697" spans="1:20" x14ac:dyDescent="0.35">
      <c r="A6697" s="27" t="s">
        <v>228</v>
      </c>
      <c r="B6697" s="27" t="s">
        <v>258</v>
      </c>
      <c r="C6697" s="28">
        <v>1</v>
      </c>
      <c r="D6697" s="28">
        <v>1</v>
      </c>
      <c r="E6697" s="28">
        <v>1</v>
      </c>
      <c r="F6697" s="28">
        <v>0.40529999999999999</v>
      </c>
      <c r="G6697" s="28">
        <v>9.8100000000000007E-2</v>
      </c>
      <c r="H6697" s="28">
        <v>0.30730000000000002</v>
      </c>
      <c r="I6697" s="28">
        <v>0.90190000000000003</v>
      </c>
      <c r="J6697" s="28">
        <v>9.8100000000000007E-2</v>
      </c>
      <c r="K6697" s="28">
        <v>0.30730000000000002</v>
      </c>
      <c r="L6697" s="28">
        <v>9.8100000000000007E-2</v>
      </c>
      <c r="M6697" s="29"/>
      <c r="N6697" s="28">
        <v>0.59470000000000001</v>
      </c>
      <c r="O6697" s="29"/>
      <c r="P6697" s="29"/>
      <c r="Q6697" s="29"/>
      <c r="R6697" s="29"/>
      <c r="S6697" s="29"/>
      <c r="T6697" s="29" t="s">
        <v>337</v>
      </c>
    </row>
    <row r="6698" spans="1:20" x14ac:dyDescent="0.35">
      <c r="A6698" t="s">
        <v>228</v>
      </c>
      <c r="B6698" t="s">
        <v>256</v>
      </c>
      <c r="C6698" s="26">
        <v>0.99199999999999999</v>
      </c>
      <c r="D6698" s="26">
        <v>0.95209999999999995</v>
      </c>
      <c r="E6698" s="26">
        <v>0.95399999999999996</v>
      </c>
      <c r="F6698" s="26">
        <v>0.90859999999999996</v>
      </c>
      <c r="G6698" s="26">
        <v>0.7782</v>
      </c>
      <c r="H6698" s="26">
        <v>0.86070000000000002</v>
      </c>
      <c r="I6698" s="26">
        <v>0.67679999999999996</v>
      </c>
      <c r="J6698" s="26">
        <v>0.58160000000000001</v>
      </c>
      <c r="K6698" s="26">
        <v>0.68569999999999998</v>
      </c>
      <c r="L6698" s="26">
        <v>0.4582</v>
      </c>
      <c r="M6698" s="26">
        <v>0.40660000000000002</v>
      </c>
      <c r="N6698" s="26">
        <v>0.20619999999999999</v>
      </c>
      <c r="O6698" s="26">
        <v>0.20530000000000001</v>
      </c>
      <c r="P6698" s="26">
        <v>0.15290000000000001</v>
      </c>
      <c r="Q6698" s="26">
        <v>8.8000000000000005E-3</v>
      </c>
      <c r="R6698" s="26">
        <v>6.3E-3</v>
      </c>
      <c r="T6698">
        <v>221</v>
      </c>
    </row>
    <row r="6699" spans="1:20" x14ac:dyDescent="0.35">
      <c r="A6699" t="s">
        <v>228</v>
      </c>
      <c r="B6699" t="s">
        <v>255</v>
      </c>
      <c r="C6699" s="26">
        <v>0.98529999999999995</v>
      </c>
      <c r="D6699" s="26">
        <v>0.93089999999999995</v>
      </c>
      <c r="E6699" s="26">
        <v>0.91710000000000003</v>
      </c>
      <c r="F6699" s="26">
        <v>0.78200000000000003</v>
      </c>
      <c r="G6699" s="26">
        <v>0.52549999999999997</v>
      </c>
      <c r="H6699" s="26">
        <v>0.47199999999999998</v>
      </c>
      <c r="I6699" s="26">
        <v>0.5746</v>
      </c>
      <c r="J6699" s="26">
        <v>0.44679999999999997</v>
      </c>
      <c r="K6699" s="26">
        <v>0.31900000000000001</v>
      </c>
      <c r="L6699" s="26">
        <v>0.34849999999999998</v>
      </c>
      <c r="M6699" s="26">
        <v>0.121</v>
      </c>
      <c r="N6699" s="26">
        <v>0.16300000000000001</v>
      </c>
      <c r="O6699" s="26">
        <v>7.9799999999999996E-2</v>
      </c>
      <c r="P6699" s="26">
        <v>5.0500000000000003E-2</v>
      </c>
      <c r="Q6699" s="26">
        <v>2.5700000000000001E-2</v>
      </c>
      <c r="R6699" s="26">
        <v>3.0000000000000001E-3</v>
      </c>
      <c r="S6699" s="26">
        <v>4.7000000000000002E-3</v>
      </c>
      <c r="T6699">
        <v>759</v>
      </c>
    </row>
    <row r="6700" spans="1:20" x14ac:dyDescent="0.35">
      <c r="A6700" t="s">
        <v>229</v>
      </c>
      <c r="B6700" t="s">
        <v>256</v>
      </c>
      <c r="C6700" s="26">
        <v>1</v>
      </c>
      <c r="D6700" s="26">
        <v>0.96440000000000003</v>
      </c>
      <c r="E6700" s="26">
        <v>0.98899999999999999</v>
      </c>
      <c r="F6700" s="26">
        <v>0.94679999999999997</v>
      </c>
      <c r="G6700" s="26">
        <v>0.89690000000000003</v>
      </c>
      <c r="H6700" s="26">
        <v>0.92159999999999997</v>
      </c>
      <c r="I6700" s="26">
        <v>0.70920000000000005</v>
      </c>
      <c r="J6700" s="26">
        <v>0.62409999999999999</v>
      </c>
      <c r="K6700" s="26">
        <v>0.75439999999999996</v>
      </c>
      <c r="L6700" s="26">
        <v>0.68379999999999996</v>
      </c>
      <c r="M6700" s="26">
        <v>0.53110000000000002</v>
      </c>
      <c r="N6700" s="26">
        <v>0.13739999999999999</v>
      </c>
      <c r="O6700" s="26">
        <v>0.13700000000000001</v>
      </c>
      <c r="P6700" s="26">
        <v>0.1885</v>
      </c>
      <c r="Q6700" s="26">
        <v>2.7799999999999998E-2</v>
      </c>
      <c r="T6700">
        <v>207</v>
      </c>
    </row>
    <row r="6701" spans="1:20" x14ac:dyDescent="0.35">
      <c r="A6701" t="s">
        <v>229</v>
      </c>
      <c r="B6701" t="s">
        <v>255</v>
      </c>
      <c r="C6701" s="26">
        <v>0.99909999999999999</v>
      </c>
      <c r="D6701" s="26">
        <v>0.93400000000000005</v>
      </c>
      <c r="E6701" s="26">
        <v>0.96719999999999995</v>
      </c>
      <c r="F6701" s="26">
        <v>0.85519999999999996</v>
      </c>
      <c r="G6701" s="26">
        <v>0.6633</v>
      </c>
      <c r="H6701" s="26">
        <v>0.53949999999999998</v>
      </c>
      <c r="I6701" s="26">
        <v>0.52859999999999996</v>
      </c>
      <c r="J6701" s="26">
        <v>0.45519999999999999</v>
      </c>
      <c r="K6701" s="26">
        <v>0.43980000000000002</v>
      </c>
      <c r="L6701" s="26">
        <v>0.40100000000000002</v>
      </c>
      <c r="M6701" s="26">
        <v>0.218</v>
      </c>
      <c r="N6701" s="26">
        <v>0.158</v>
      </c>
      <c r="O6701" s="26">
        <v>0.1125</v>
      </c>
      <c r="P6701" s="26">
        <v>5.6599999999999998E-2</v>
      </c>
      <c r="Q6701" s="26">
        <v>2.1299999999999999E-2</v>
      </c>
      <c r="R6701" s="26">
        <v>2.9999999999999997E-4</v>
      </c>
      <c r="T6701">
        <v>636</v>
      </c>
    </row>
    <row r="6702" spans="1:20" x14ac:dyDescent="0.35">
      <c r="A6702" t="s">
        <v>229</v>
      </c>
      <c r="B6702" t="s">
        <v>257</v>
      </c>
      <c r="C6702" s="26">
        <v>1</v>
      </c>
      <c r="D6702" s="26">
        <v>0.98770000000000002</v>
      </c>
      <c r="E6702" s="26">
        <v>1</v>
      </c>
      <c r="F6702" s="26">
        <v>0.98460000000000003</v>
      </c>
      <c r="G6702" s="26">
        <v>0.86109999999999998</v>
      </c>
      <c r="H6702" s="26">
        <v>0.88319999999999999</v>
      </c>
      <c r="I6702" s="26">
        <v>0.62739999999999996</v>
      </c>
      <c r="J6702" s="26">
        <v>0.3644</v>
      </c>
      <c r="K6702" s="26">
        <v>0.66049999999999998</v>
      </c>
      <c r="L6702" s="26">
        <v>0.498</v>
      </c>
      <c r="M6702" s="26">
        <v>0.30399999999999999</v>
      </c>
      <c r="N6702" s="26">
        <v>0.23269999999999999</v>
      </c>
      <c r="O6702" s="26">
        <v>6.5000000000000002E-2</v>
      </c>
      <c r="P6702" s="26">
        <v>0.13700000000000001</v>
      </c>
      <c r="T6702">
        <v>50</v>
      </c>
    </row>
    <row r="6703" spans="1:20" x14ac:dyDescent="0.35">
      <c r="A6703" s="27" t="s">
        <v>229</v>
      </c>
      <c r="B6703" s="27" t="s">
        <v>258</v>
      </c>
      <c r="C6703" s="28">
        <v>1</v>
      </c>
      <c r="D6703" s="28">
        <v>1</v>
      </c>
      <c r="E6703" s="28">
        <v>1</v>
      </c>
      <c r="F6703" s="28">
        <v>1</v>
      </c>
      <c r="G6703" s="28">
        <v>1</v>
      </c>
      <c r="H6703" s="28">
        <v>0.22409999999999999</v>
      </c>
      <c r="I6703" s="29"/>
      <c r="J6703" s="28">
        <v>0.77590000000000003</v>
      </c>
      <c r="K6703" s="28">
        <v>1</v>
      </c>
      <c r="L6703" s="28">
        <v>0.22409999999999999</v>
      </c>
      <c r="M6703" s="28">
        <v>0.77590000000000003</v>
      </c>
      <c r="N6703" s="28">
        <v>0.77590000000000003</v>
      </c>
      <c r="O6703" s="29"/>
      <c r="P6703" s="29"/>
      <c r="Q6703" s="29"/>
      <c r="R6703" s="29"/>
      <c r="S6703" s="29"/>
      <c r="T6703" s="29" t="s">
        <v>314</v>
      </c>
    </row>
    <row r="6704" spans="1:20" x14ac:dyDescent="0.35">
      <c r="A6704" t="s">
        <v>230</v>
      </c>
      <c r="B6704" t="s">
        <v>256</v>
      </c>
      <c r="C6704" s="26">
        <v>1</v>
      </c>
      <c r="D6704" s="26">
        <v>0.98070000000000002</v>
      </c>
      <c r="E6704" s="26">
        <v>0.99199999999999999</v>
      </c>
      <c r="F6704" s="26">
        <v>0.95330000000000004</v>
      </c>
      <c r="G6704" s="26">
        <v>0.8206</v>
      </c>
      <c r="H6704" s="26">
        <v>0.9194</v>
      </c>
      <c r="I6704" s="26">
        <v>0.57430000000000003</v>
      </c>
      <c r="J6704" s="26">
        <v>0.63260000000000005</v>
      </c>
      <c r="K6704" s="26">
        <v>0.69240000000000002</v>
      </c>
      <c r="L6704" s="26">
        <v>0.48980000000000001</v>
      </c>
      <c r="M6704" s="26">
        <v>0.48820000000000002</v>
      </c>
      <c r="N6704" s="26">
        <v>0.24379999999999999</v>
      </c>
      <c r="O6704" s="26">
        <v>0.12740000000000001</v>
      </c>
      <c r="P6704" s="26">
        <v>0.1181</v>
      </c>
      <c r="Q6704" s="26">
        <v>3.1099999999999999E-2</v>
      </c>
      <c r="T6704">
        <v>130</v>
      </c>
    </row>
    <row r="6705" spans="1:77" x14ac:dyDescent="0.35">
      <c r="A6705" t="s">
        <v>230</v>
      </c>
      <c r="B6705" t="s">
        <v>255</v>
      </c>
      <c r="C6705" s="26">
        <v>0.99739999999999995</v>
      </c>
      <c r="D6705" s="26">
        <v>0.9405</v>
      </c>
      <c r="E6705" s="26">
        <v>0.94040000000000001</v>
      </c>
      <c r="F6705" s="26">
        <v>0.86599999999999999</v>
      </c>
      <c r="G6705" s="26">
        <v>0.61170000000000002</v>
      </c>
      <c r="H6705" s="26">
        <v>0.48259999999999997</v>
      </c>
      <c r="I6705" s="26">
        <v>0.54920000000000002</v>
      </c>
      <c r="J6705" s="26">
        <v>0.47789999999999999</v>
      </c>
      <c r="K6705" s="26">
        <v>0.38129999999999997</v>
      </c>
      <c r="L6705" s="26">
        <v>0.36149999999999999</v>
      </c>
      <c r="M6705" s="26">
        <v>0.24329999999999999</v>
      </c>
      <c r="N6705" s="26">
        <v>0.184</v>
      </c>
      <c r="O6705" s="26">
        <v>0.1201</v>
      </c>
      <c r="P6705" s="26">
        <v>1.8700000000000001E-2</v>
      </c>
      <c r="Q6705" s="26">
        <v>3.2300000000000002E-2</v>
      </c>
      <c r="S6705" s="26">
        <v>4.0000000000000002E-4</v>
      </c>
      <c r="T6705">
        <v>389</v>
      </c>
    </row>
    <row r="6706" spans="1:77" x14ac:dyDescent="0.35">
      <c r="A6706" t="s">
        <v>230</v>
      </c>
      <c r="B6706" t="s">
        <v>257</v>
      </c>
      <c r="C6706" s="26">
        <v>1</v>
      </c>
      <c r="D6706" s="26">
        <v>0.98719999999999997</v>
      </c>
      <c r="E6706" s="26">
        <v>0.98360000000000003</v>
      </c>
      <c r="F6706" s="26">
        <v>0.96209999999999996</v>
      </c>
      <c r="G6706" s="26">
        <v>0.9254</v>
      </c>
      <c r="H6706" s="26">
        <v>0.87849999999999995</v>
      </c>
      <c r="I6706" s="26">
        <v>0.70930000000000004</v>
      </c>
      <c r="J6706" s="26">
        <v>0.8528</v>
      </c>
      <c r="K6706" s="26">
        <v>0.68069999999999997</v>
      </c>
      <c r="L6706" s="26">
        <v>0.49790000000000001</v>
      </c>
      <c r="M6706" s="26">
        <v>0.44779999999999998</v>
      </c>
      <c r="N6706" s="26">
        <v>0.37159999999999999</v>
      </c>
      <c r="O6706" s="26">
        <v>0.1018</v>
      </c>
      <c r="P6706" s="26">
        <v>6.7199999999999996E-2</v>
      </c>
      <c r="T6706">
        <v>38</v>
      </c>
    </row>
    <row r="6707" spans="1:77" x14ac:dyDescent="0.35">
      <c r="A6707" s="27" t="s">
        <v>230</v>
      </c>
      <c r="B6707" s="27" t="s">
        <v>258</v>
      </c>
      <c r="C6707" s="28">
        <v>1</v>
      </c>
      <c r="D6707" s="28">
        <v>1</v>
      </c>
      <c r="E6707" s="28">
        <v>1</v>
      </c>
      <c r="F6707" s="28">
        <v>0.95830000000000004</v>
      </c>
      <c r="G6707" s="28">
        <v>0.1356</v>
      </c>
      <c r="H6707" s="29"/>
      <c r="I6707" s="28">
        <v>0.1356</v>
      </c>
      <c r="J6707" s="29"/>
      <c r="K6707" s="28">
        <v>4.1700000000000001E-2</v>
      </c>
      <c r="L6707" s="28">
        <v>0.82269999999999999</v>
      </c>
      <c r="M6707" s="29"/>
      <c r="N6707" s="29"/>
      <c r="O6707" s="28">
        <v>0.82269999999999999</v>
      </c>
      <c r="P6707" s="28">
        <v>0.1356</v>
      </c>
      <c r="Q6707" s="29"/>
      <c r="R6707" s="29"/>
      <c r="S6707" s="29"/>
      <c r="T6707" s="29" t="s">
        <v>315</v>
      </c>
    </row>
    <row r="6708" spans="1:77" x14ac:dyDescent="0.35">
      <c r="A6708" s="27" t="s">
        <v>231</v>
      </c>
      <c r="B6708" s="27" t="s">
        <v>257</v>
      </c>
      <c r="C6708" s="28">
        <v>1</v>
      </c>
      <c r="D6708" s="28">
        <v>1</v>
      </c>
      <c r="E6708" s="28">
        <v>0.85709999999999997</v>
      </c>
      <c r="F6708" s="28">
        <v>0.85709999999999997</v>
      </c>
      <c r="G6708" s="28">
        <v>0.57140000000000002</v>
      </c>
      <c r="H6708" s="28">
        <v>0.57140000000000002</v>
      </c>
      <c r="I6708" s="28">
        <v>0.1429</v>
      </c>
      <c r="J6708" s="28">
        <v>0.42859999999999998</v>
      </c>
      <c r="K6708" s="28">
        <v>0.42859999999999998</v>
      </c>
      <c r="L6708" s="28">
        <v>0.1429</v>
      </c>
      <c r="M6708" s="28">
        <v>0.42859999999999998</v>
      </c>
      <c r="N6708" s="28">
        <v>0.1429</v>
      </c>
      <c r="O6708" s="29"/>
      <c r="P6708" s="29"/>
      <c r="Q6708" s="29"/>
      <c r="R6708" s="29"/>
      <c r="S6708" s="29"/>
      <c r="T6708" s="29" t="s">
        <v>339</v>
      </c>
    </row>
    <row r="6709" spans="1:77" x14ac:dyDescent="0.35">
      <c r="A6709" t="s">
        <v>231</v>
      </c>
      <c r="B6709" t="s">
        <v>255</v>
      </c>
      <c r="C6709" s="26">
        <v>1</v>
      </c>
      <c r="D6709" s="26">
        <v>0.93799999999999994</v>
      </c>
      <c r="E6709" s="26">
        <v>0.89149999999999996</v>
      </c>
      <c r="F6709" s="26">
        <v>0.79069999999999996</v>
      </c>
      <c r="G6709" s="26">
        <v>0.72870000000000001</v>
      </c>
      <c r="H6709" s="26">
        <v>0.56589999999999996</v>
      </c>
      <c r="I6709" s="26">
        <v>0.4496</v>
      </c>
      <c r="J6709" s="26">
        <v>0.48060000000000003</v>
      </c>
      <c r="K6709" s="26">
        <v>0.53490000000000004</v>
      </c>
      <c r="L6709" s="26">
        <v>0.48060000000000003</v>
      </c>
      <c r="M6709" s="26">
        <v>0.24030000000000001</v>
      </c>
      <c r="N6709" s="26">
        <v>0.186</v>
      </c>
      <c r="O6709" s="26">
        <v>0.21709999999999999</v>
      </c>
      <c r="P6709" s="26">
        <v>6.9800000000000001E-2</v>
      </c>
      <c r="Q6709" s="26">
        <v>1.55E-2</v>
      </c>
      <c r="T6709">
        <v>129</v>
      </c>
    </row>
    <row r="6710" spans="1:77" x14ac:dyDescent="0.35">
      <c r="A6710" s="27" t="s">
        <v>231</v>
      </c>
      <c r="B6710" s="27" t="s">
        <v>256</v>
      </c>
      <c r="C6710" s="28">
        <v>1</v>
      </c>
      <c r="D6710" s="28">
        <v>0.92859999999999998</v>
      </c>
      <c r="E6710" s="28">
        <v>0.89290000000000003</v>
      </c>
      <c r="F6710" s="28">
        <v>0.92859999999999998</v>
      </c>
      <c r="G6710" s="28">
        <v>0.71430000000000005</v>
      </c>
      <c r="H6710" s="28">
        <v>0.92859999999999998</v>
      </c>
      <c r="I6710" s="28">
        <v>0.46429999999999999</v>
      </c>
      <c r="J6710" s="28">
        <v>0.5</v>
      </c>
      <c r="K6710" s="28">
        <v>0.67859999999999998</v>
      </c>
      <c r="L6710" s="28">
        <v>0.57140000000000002</v>
      </c>
      <c r="M6710" s="28">
        <v>0.32140000000000002</v>
      </c>
      <c r="N6710" s="28">
        <v>0.17860000000000001</v>
      </c>
      <c r="O6710" s="28">
        <v>0.17860000000000001</v>
      </c>
      <c r="P6710" s="28">
        <v>0.17860000000000001</v>
      </c>
      <c r="Q6710" s="29"/>
      <c r="R6710" s="29"/>
      <c r="S6710" s="29"/>
      <c r="T6710" s="29" t="s">
        <v>336</v>
      </c>
    </row>
    <row r="6711" spans="1:77" x14ac:dyDescent="0.35">
      <c r="A6711" t="s">
        <v>232</v>
      </c>
      <c r="B6711" t="s">
        <v>232</v>
      </c>
      <c r="C6711" s="26">
        <v>0.99639999999999995</v>
      </c>
      <c r="D6711" s="26">
        <v>0.94510000000000005</v>
      </c>
      <c r="E6711" s="26">
        <v>0.93789999999999996</v>
      </c>
      <c r="F6711" s="26">
        <v>0.84630000000000005</v>
      </c>
      <c r="G6711" s="26">
        <v>0.69089999999999996</v>
      </c>
      <c r="H6711" s="26">
        <v>0.62309999999999999</v>
      </c>
      <c r="I6711" s="26">
        <v>0.54010000000000002</v>
      </c>
      <c r="J6711" s="26">
        <v>0.50590000000000002</v>
      </c>
      <c r="K6711" s="26">
        <v>0.50429999999999997</v>
      </c>
      <c r="L6711" s="26">
        <v>0.43940000000000001</v>
      </c>
      <c r="M6711" s="26">
        <v>0.26440000000000002</v>
      </c>
      <c r="N6711" s="26">
        <v>0.1739</v>
      </c>
      <c r="O6711" s="26">
        <v>0.14599999999999999</v>
      </c>
      <c r="P6711" s="26">
        <v>8.0500000000000002E-2</v>
      </c>
      <c r="Q6711" s="26">
        <v>1.8200000000000001E-2</v>
      </c>
      <c r="R6711" s="26">
        <v>8.0000000000000004E-4</v>
      </c>
      <c r="S6711" s="26">
        <v>6.9999999999999999E-4</v>
      </c>
      <c r="T6711">
        <v>2813</v>
      </c>
    </row>
    <row r="6713" spans="1:77" x14ac:dyDescent="0.35">
      <c r="A6713" s="1" t="s">
        <v>112</v>
      </c>
    </row>
    <row r="6714" spans="1:77" x14ac:dyDescent="0.35">
      <c r="A6714" t="s">
        <v>219</v>
      </c>
      <c r="B6714" t="s">
        <v>889</v>
      </c>
      <c r="C6714" t="s">
        <v>890</v>
      </c>
      <c r="D6714" t="s">
        <v>891</v>
      </c>
      <c r="E6714" t="s">
        <v>892</v>
      </c>
      <c r="F6714" t="s">
        <v>893</v>
      </c>
      <c r="G6714" t="s">
        <v>894</v>
      </c>
      <c r="H6714" t="s">
        <v>895</v>
      </c>
      <c r="I6714" t="s">
        <v>896</v>
      </c>
      <c r="J6714" t="s">
        <v>897</v>
      </c>
      <c r="K6714" t="s">
        <v>898</v>
      </c>
      <c r="L6714" t="s">
        <v>899</v>
      </c>
      <c r="M6714" t="s">
        <v>900</v>
      </c>
      <c r="N6714" t="s">
        <v>901</v>
      </c>
      <c r="O6714" t="s">
        <v>902</v>
      </c>
      <c r="P6714" t="s">
        <v>903</v>
      </c>
      <c r="Q6714" t="s">
        <v>904</v>
      </c>
      <c r="R6714" t="s">
        <v>905</v>
      </c>
      <c r="S6714" t="s">
        <v>906</v>
      </c>
      <c r="T6714" t="s">
        <v>907</v>
      </c>
      <c r="U6714" t="s">
        <v>908</v>
      </c>
      <c r="V6714" t="s">
        <v>909</v>
      </c>
      <c r="W6714" t="s">
        <v>910</v>
      </c>
      <c r="X6714" t="s">
        <v>911</v>
      </c>
      <c r="Y6714" t="s">
        <v>912</v>
      </c>
      <c r="Z6714" t="s">
        <v>913</v>
      </c>
      <c r="AA6714" t="s">
        <v>914</v>
      </c>
      <c r="AB6714" t="s">
        <v>915</v>
      </c>
      <c r="AC6714" t="s">
        <v>916</v>
      </c>
      <c r="AD6714" t="s">
        <v>917</v>
      </c>
      <c r="AE6714" t="s">
        <v>918</v>
      </c>
      <c r="AF6714" t="s">
        <v>919</v>
      </c>
      <c r="AG6714" t="s">
        <v>920</v>
      </c>
      <c r="AH6714" t="s">
        <v>921</v>
      </c>
      <c r="AI6714" t="s">
        <v>922</v>
      </c>
      <c r="AJ6714" t="s">
        <v>923</v>
      </c>
      <c r="AK6714" t="s">
        <v>924</v>
      </c>
      <c r="AL6714" t="s">
        <v>925</v>
      </c>
      <c r="AM6714" t="s">
        <v>926</v>
      </c>
      <c r="AN6714" t="s">
        <v>927</v>
      </c>
      <c r="AO6714" t="s">
        <v>928</v>
      </c>
      <c r="AP6714" t="s">
        <v>929</v>
      </c>
      <c r="AQ6714" t="s">
        <v>930</v>
      </c>
      <c r="AR6714" t="s">
        <v>931</v>
      </c>
      <c r="AS6714" t="s">
        <v>932</v>
      </c>
      <c r="AT6714" t="s">
        <v>933</v>
      </c>
      <c r="AU6714" t="s">
        <v>934</v>
      </c>
      <c r="AV6714" t="s">
        <v>935</v>
      </c>
      <c r="AW6714" t="s">
        <v>936</v>
      </c>
      <c r="AX6714" t="s">
        <v>937</v>
      </c>
      <c r="AY6714" t="s">
        <v>938</v>
      </c>
      <c r="AZ6714" t="s">
        <v>939</v>
      </c>
      <c r="BA6714" t="s">
        <v>940</v>
      </c>
      <c r="BB6714" t="s">
        <v>941</v>
      </c>
      <c r="BC6714" t="s">
        <v>942</v>
      </c>
      <c r="BD6714" t="s">
        <v>943</v>
      </c>
      <c r="BE6714" t="s">
        <v>944</v>
      </c>
      <c r="BF6714" t="s">
        <v>945</v>
      </c>
      <c r="BG6714" t="s">
        <v>946</v>
      </c>
      <c r="BH6714" t="s">
        <v>947</v>
      </c>
      <c r="BI6714" t="s">
        <v>948</v>
      </c>
      <c r="BJ6714" t="s">
        <v>949</v>
      </c>
      <c r="BK6714" t="s">
        <v>950</v>
      </c>
      <c r="BL6714" t="s">
        <v>951</v>
      </c>
      <c r="BM6714" t="s">
        <v>952</v>
      </c>
      <c r="BN6714" t="s">
        <v>953</v>
      </c>
      <c r="BO6714" t="s">
        <v>954</v>
      </c>
      <c r="BP6714" t="s">
        <v>955</v>
      </c>
      <c r="BQ6714" t="s">
        <v>956</v>
      </c>
      <c r="BR6714" t="s">
        <v>957</v>
      </c>
      <c r="BS6714" t="s">
        <v>958</v>
      </c>
      <c r="BT6714" t="s">
        <v>959</v>
      </c>
      <c r="BU6714" t="s">
        <v>960</v>
      </c>
      <c r="BV6714" t="s">
        <v>961</v>
      </c>
      <c r="BW6714" t="s">
        <v>962</v>
      </c>
      <c r="BX6714" t="s">
        <v>963</v>
      </c>
      <c r="BY6714" t="s">
        <v>964</v>
      </c>
    </row>
    <row r="6715" spans="1:77" x14ac:dyDescent="0.35">
      <c r="A6715" t="s">
        <v>227</v>
      </c>
      <c r="B6715">
        <v>6152.85</v>
      </c>
      <c r="C6715">
        <v>5000</v>
      </c>
      <c r="D6715">
        <v>500</v>
      </c>
      <c r="E6715">
        <v>30000</v>
      </c>
      <c r="F6715" s="30">
        <v>142</v>
      </c>
      <c r="G6715">
        <v>3507.09</v>
      </c>
      <c r="H6715">
        <v>2000</v>
      </c>
      <c r="I6715">
        <v>119</v>
      </c>
      <c r="J6715">
        <v>30000</v>
      </c>
      <c r="K6715" s="30">
        <v>66</v>
      </c>
      <c r="L6715">
        <v>4757.6899999999996</v>
      </c>
      <c r="M6715">
        <v>5000</v>
      </c>
      <c r="N6715">
        <v>1000</v>
      </c>
      <c r="O6715">
        <v>12000</v>
      </c>
      <c r="P6715" s="30">
        <v>26</v>
      </c>
      <c r="Q6715">
        <v>353.33</v>
      </c>
      <c r="R6715">
        <v>200</v>
      </c>
      <c r="S6715">
        <v>50</v>
      </c>
      <c r="T6715">
        <v>2000</v>
      </c>
      <c r="U6715" s="30">
        <v>84</v>
      </c>
      <c r="V6715">
        <v>537.41999999999996</v>
      </c>
      <c r="W6715">
        <v>500</v>
      </c>
      <c r="X6715">
        <v>50</v>
      </c>
      <c r="Y6715">
        <v>2000</v>
      </c>
      <c r="Z6715" s="30">
        <v>79</v>
      </c>
      <c r="AA6715">
        <v>780.55</v>
      </c>
      <c r="AB6715">
        <v>600</v>
      </c>
      <c r="AC6715">
        <v>100</v>
      </c>
      <c r="AD6715">
        <v>5000</v>
      </c>
      <c r="AE6715" s="30">
        <v>121</v>
      </c>
      <c r="AF6715">
        <v>606.61</v>
      </c>
      <c r="AG6715">
        <v>400</v>
      </c>
      <c r="AH6715">
        <v>100</v>
      </c>
      <c r="AI6715">
        <v>4000</v>
      </c>
      <c r="AJ6715" s="30">
        <v>51</v>
      </c>
      <c r="AK6715">
        <v>1880.4</v>
      </c>
      <c r="AL6715">
        <v>1500</v>
      </c>
      <c r="AM6715">
        <v>350</v>
      </c>
      <c r="AN6715">
        <v>8000</v>
      </c>
      <c r="AO6715" s="30">
        <v>146</v>
      </c>
      <c r="AP6715">
        <v>2809.33</v>
      </c>
      <c r="AQ6715">
        <v>1000</v>
      </c>
      <c r="AR6715">
        <v>50</v>
      </c>
      <c r="AS6715">
        <v>30000</v>
      </c>
      <c r="AT6715" s="30">
        <v>101</v>
      </c>
      <c r="AU6715">
        <v>1104.0899999999999</v>
      </c>
      <c r="AV6715">
        <v>1000</v>
      </c>
      <c r="AW6715">
        <v>200</v>
      </c>
      <c r="AX6715">
        <v>3000</v>
      </c>
      <c r="AY6715" s="30">
        <v>22</v>
      </c>
      <c r="AZ6715">
        <v>549.48</v>
      </c>
      <c r="BA6715">
        <v>500</v>
      </c>
      <c r="BB6715">
        <v>100</v>
      </c>
      <c r="BC6715">
        <v>2500</v>
      </c>
      <c r="BD6715" s="30">
        <v>145</v>
      </c>
      <c r="BE6715">
        <v>2925</v>
      </c>
      <c r="BF6715">
        <v>2000</v>
      </c>
      <c r="BG6715">
        <v>400</v>
      </c>
      <c r="BH6715">
        <v>6500</v>
      </c>
      <c r="BI6715" s="30">
        <v>8</v>
      </c>
      <c r="BJ6715">
        <v>4292.26</v>
      </c>
      <c r="BK6715">
        <v>2000</v>
      </c>
      <c r="BL6715">
        <v>300</v>
      </c>
      <c r="BM6715">
        <v>25000</v>
      </c>
      <c r="BN6715" s="30">
        <v>34</v>
      </c>
      <c r="BO6715">
        <v>776.47</v>
      </c>
      <c r="BP6715">
        <v>500</v>
      </c>
      <c r="BQ6715">
        <v>50</v>
      </c>
      <c r="BR6715">
        <v>3500</v>
      </c>
      <c r="BS6715" s="30">
        <v>89</v>
      </c>
      <c r="BT6715">
        <v>4075</v>
      </c>
      <c r="BU6715">
        <v>3500</v>
      </c>
      <c r="BV6715">
        <v>700</v>
      </c>
      <c r="BW6715">
        <v>7500</v>
      </c>
      <c r="BX6715" s="30">
        <v>10</v>
      </c>
      <c r="BY6715">
        <v>146</v>
      </c>
    </row>
    <row r="6716" spans="1:77" x14ac:dyDescent="0.35">
      <c r="A6716" t="s">
        <v>228</v>
      </c>
      <c r="B6716">
        <v>7769.98</v>
      </c>
      <c r="C6716">
        <v>6000</v>
      </c>
      <c r="D6716">
        <v>200</v>
      </c>
      <c r="E6716">
        <v>30000</v>
      </c>
      <c r="F6716" s="30">
        <v>821</v>
      </c>
      <c r="G6716">
        <v>3644.52</v>
      </c>
      <c r="H6716">
        <v>3000</v>
      </c>
      <c r="I6716">
        <v>100</v>
      </c>
      <c r="J6716">
        <v>30000</v>
      </c>
      <c r="K6716" s="30">
        <v>325</v>
      </c>
      <c r="L6716">
        <v>5688.92</v>
      </c>
      <c r="M6716">
        <v>5000</v>
      </c>
      <c r="N6716">
        <v>183</v>
      </c>
      <c r="O6716">
        <v>16000</v>
      </c>
      <c r="P6716" s="30">
        <v>130</v>
      </c>
      <c r="Q6716">
        <v>451.91</v>
      </c>
      <c r="R6716">
        <v>300</v>
      </c>
      <c r="S6716">
        <v>50</v>
      </c>
      <c r="T6716">
        <v>3000</v>
      </c>
      <c r="U6716" s="30">
        <v>448</v>
      </c>
      <c r="V6716">
        <v>486.2</v>
      </c>
      <c r="W6716">
        <v>300</v>
      </c>
      <c r="X6716">
        <v>50</v>
      </c>
      <c r="Y6716">
        <v>3000</v>
      </c>
      <c r="Z6716" s="30">
        <v>403</v>
      </c>
      <c r="AA6716">
        <v>727.77</v>
      </c>
      <c r="AB6716">
        <v>500</v>
      </c>
      <c r="AC6716">
        <v>100</v>
      </c>
      <c r="AD6716">
        <v>5000</v>
      </c>
      <c r="AE6716" s="30">
        <v>631</v>
      </c>
      <c r="AF6716">
        <v>633.79999999999995</v>
      </c>
      <c r="AG6716">
        <v>500</v>
      </c>
      <c r="AH6716">
        <v>100</v>
      </c>
      <c r="AI6716">
        <v>5000</v>
      </c>
      <c r="AJ6716" s="30">
        <v>265</v>
      </c>
      <c r="AK6716">
        <v>2043.61</v>
      </c>
      <c r="AL6716">
        <v>1776</v>
      </c>
      <c r="AM6716">
        <v>300</v>
      </c>
      <c r="AN6716">
        <v>9000</v>
      </c>
      <c r="AO6716" s="30">
        <v>860</v>
      </c>
      <c r="AP6716">
        <v>2258.48</v>
      </c>
      <c r="AQ6716">
        <v>1000</v>
      </c>
      <c r="AR6716">
        <v>50</v>
      </c>
      <c r="AS6716">
        <v>30000</v>
      </c>
      <c r="AT6716" s="30">
        <v>481</v>
      </c>
      <c r="AU6716">
        <v>706.08</v>
      </c>
      <c r="AV6716">
        <v>500</v>
      </c>
      <c r="AW6716">
        <v>100</v>
      </c>
      <c r="AX6716">
        <v>3000</v>
      </c>
      <c r="AY6716" s="30">
        <v>84</v>
      </c>
      <c r="AZ6716">
        <v>627.5</v>
      </c>
      <c r="BA6716">
        <v>500</v>
      </c>
      <c r="BB6716">
        <v>85</v>
      </c>
      <c r="BC6716">
        <v>2800</v>
      </c>
      <c r="BD6716" s="30">
        <v>877</v>
      </c>
      <c r="BE6716">
        <v>2446.88</v>
      </c>
      <c r="BF6716">
        <v>2000</v>
      </c>
      <c r="BG6716">
        <v>500</v>
      </c>
      <c r="BH6716">
        <v>7000</v>
      </c>
      <c r="BI6716" s="30">
        <v>50</v>
      </c>
      <c r="BJ6716">
        <v>4073.59</v>
      </c>
      <c r="BK6716">
        <v>2000</v>
      </c>
      <c r="BL6716">
        <v>100</v>
      </c>
      <c r="BM6716">
        <v>30000</v>
      </c>
      <c r="BN6716" s="30">
        <v>131</v>
      </c>
      <c r="BO6716">
        <v>1110.08</v>
      </c>
      <c r="BP6716">
        <v>600</v>
      </c>
      <c r="BQ6716">
        <v>50</v>
      </c>
      <c r="BR6716">
        <v>20000</v>
      </c>
      <c r="BS6716" s="30">
        <v>444</v>
      </c>
      <c r="BT6716">
        <v>2111.34</v>
      </c>
      <c r="BU6716">
        <v>1500</v>
      </c>
      <c r="BV6716">
        <v>254</v>
      </c>
      <c r="BW6716">
        <v>7000</v>
      </c>
      <c r="BX6716" s="30">
        <v>39</v>
      </c>
      <c r="BY6716">
        <v>877</v>
      </c>
    </row>
    <row r="6717" spans="1:77" x14ac:dyDescent="0.35">
      <c r="A6717" t="s">
        <v>229</v>
      </c>
      <c r="B6717">
        <v>9284.1</v>
      </c>
      <c r="C6717">
        <v>7000</v>
      </c>
      <c r="D6717">
        <v>200</v>
      </c>
      <c r="E6717">
        <v>30000</v>
      </c>
      <c r="F6717" s="30">
        <v>767</v>
      </c>
      <c r="G6717">
        <v>4188.18</v>
      </c>
      <c r="H6717">
        <v>3000</v>
      </c>
      <c r="I6717">
        <v>100</v>
      </c>
      <c r="J6717">
        <v>30000</v>
      </c>
      <c r="K6717" s="30">
        <v>387</v>
      </c>
      <c r="L6717">
        <v>7129.29</v>
      </c>
      <c r="M6717">
        <v>7000</v>
      </c>
      <c r="N6717">
        <v>400</v>
      </c>
      <c r="O6717">
        <v>16000</v>
      </c>
      <c r="P6717" s="30">
        <v>97</v>
      </c>
      <c r="Q6717">
        <v>515.33000000000004</v>
      </c>
      <c r="R6717">
        <v>300</v>
      </c>
      <c r="S6717">
        <v>50</v>
      </c>
      <c r="T6717">
        <v>3000</v>
      </c>
      <c r="U6717" s="30">
        <v>324</v>
      </c>
      <c r="V6717">
        <v>511.53</v>
      </c>
      <c r="W6717">
        <v>300</v>
      </c>
      <c r="X6717">
        <v>50</v>
      </c>
      <c r="Y6717">
        <v>3000</v>
      </c>
      <c r="Z6717" s="30">
        <v>453</v>
      </c>
      <c r="AA6717">
        <v>999.65</v>
      </c>
      <c r="AB6717">
        <v>700</v>
      </c>
      <c r="AC6717">
        <v>100</v>
      </c>
      <c r="AD6717">
        <v>5000</v>
      </c>
      <c r="AE6717" s="30">
        <v>658</v>
      </c>
      <c r="AF6717">
        <v>684.94</v>
      </c>
      <c r="AG6717">
        <v>500</v>
      </c>
      <c r="AH6717">
        <v>100</v>
      </c>
      <c r="AI6717">
        <v>5000</v>
      </c>
      <c r="AJ6717" s="30">
        <v>302</v>
      </c>
      <c r="AK6717">
        <v>2393.89</v>
      </c>
      <c r="AL6717">
        <v>2000</v>
      </c>
      <c r="AM6717">
        <v>300</v>
      </c>
      <c r="AN6717">
        <v>9000</v>
      </c>
      <c r="AO6717" s="30">
        <v>803</v>
      </c>
      <c r="AP6717">
        <v>2460.98</v>
      </c>
      <c r="AQ6717">
        <v>1000</v>
      </c>
      <c r="AR6717">
        <v>50</v>
      </c>
      <c r="AS6717">
        <v>30000</v>
      </c>
      <c r="AT6717" s="30">
        <v>515</v>
      </c>
      <c r="AU6717">
        <v>866.25</v>
      </c>
      <c r="AV6717">
        <v>500</v>
      </c>
      <c r="AW6717">
        <v>100</v>
      </c>
      <c r="AX6717">
        <v>3000</v>
      </c>
      <c r="AY6717" s="30">
        <v>89</v>
      </c>
      <c r="AZ6717">
        <v>640.9</v>
      </c>
      <c r="BA6717">
        <v>540</v>
      </c>
      <c r="BB6717">
        <v>50</v>
      </c>
      <c r="BC6717">
        <v>2800</v>
      </c>
      <c r="BD6717" s="30">
        <v>807</v>
      </c>
      <c r="BE6717">
        <v>3150.81</v>
      </c>
      <c r="BF6717">
        <v>2000</v>
      </c>
      <c r="BG6717">
        <v>200</v>
      </c>
      <c r="BH6717">
        <v>10000</v>
      </c>
      <c r="BI6717" s="30">
        <v>42</v>
      </c>
      <c r="BJ6717">
        <v>6174.83</v>
      </c>
      <c r="BK6717">
        <v>3000</v>
      </c>
      <c r="BL6717">
        <v>100</v>
      </c>
      <c r="BM6717">
        <v>30000</v>
      </c>
      <c r="BN6717" s="30">
        <v>157</v>
      </c>
      <c r="BO6717">
        <v>1624.37</v>
      </c>
      <c r="BP6717">
        <v>800</v>
      </c>
      <c r="BQ6717">
        <v>50</v>
      </c>
      <c r="BR6717">
        <v>30000</v>
      </c>
      <c r="BS6717" s="30">
        <v>416</v>
      </c>
      <c r="BT6717">
        <v>3868.37</v>
      </c>
      <c r="BU6717">
        <v>3000</v>
      </c>
      <c r="BV6717">
        <v>200</v>
      </c>
      <c r="BW6717">
        <v>10000</v>
      </c>
      <c r="BX6717" s="30">
        <v>33</v>
      </c>
      <c r="BY6717">
        <v>807</v>
      </c>
    </row>
    <row r="6718" spans="1:77" x14ac:dyDescent="0.35">
      <c r="A6718" t="s">
        <v>230</v>
      </c>
      <c r="B6718">
        <v>7712.18</v>
      </c>
      <c r="C6718">
        <v>6000</v>
      </c>
      <c r="D6718">
        <v>200</v>
      </c>
      <c r="E6718">
        <v>25000</v>
      </c>
      <c r="F6718" s="30">
        <v>499</v>
      </c>
      <c r="G6718">
        <v>4576.75</v>
      </c>
      <c r="H6718">
        <v>2000</v>
      </c>
      <c r="I6718">
        <v>100</v>
      </c>
      <c r="J6718">
        <v>60000</v>
      </c>
      <c r="K6718" s="30">
        <v>220</v>
      </c>
      <c r="L6718">
        <v>5936.88</v>
      </c>
      <c r="M6718">
        <v>5500</v>
      </c>
      <c r="N6718">
        <v>1000</v>
      </c>
      <c r="O6718">
        <v>12000</v>
      </c>
      <c r="P6718" s="30">
        <v>68</v>
      </c>
      <c r="Q6718">
        <v>522.28</v>
      </c>
      <c r="R6718">
        <v>300</v>
      </c>
      <c r="S6718">
        <v>50</v>
      </c>
      <c r="T6718">
        <v>3000</v>
      </c>
      <c r="U6718" s="30">
        <v>256</v>
      </c>
      <c r="V6718">
        <v>525.27</v>
      </c>
      <c r="W6718">
        <v>400</v>
      </c>
      <c r="X6718">
        <v>30</v>
      </c>
      <c r="Y6718">
        <v>3000</v>
      </c>
      <c r="Z6718" s="30">
        <v>250</v>
      </c>
      <c r="AA6718">
        <v>855.48</v>
      </c>
      <c r="AB6718">
        <v>500</v>
      </c>
      <c r="AC6718">
        <v>100</v>
      </c>
      <c r="AD6718">
        <v>5000</v>
      </c>
      <c r="AE6718" s="30">
        <v>397</v>
      </c>
      <c r="AF6718">
        <v>755.79</v>
      </c>
      <c r="AG6718">
        <v>500</v>
      </c>
      <c r="AH6718">
        <v>100</v>
      </c>
      <c r="AI6718">
        <v>5000</v>
      </c>
      <c r="AJ6718" s="30">
        <v>174</v>
      </c>
      <c r="AK6718">
        <v>2139.46</v>
      </c>
      <c r="AL6718">
        <v>2000</v>
      </c>
      <c r="AM6718">
        <v>300</v>
      </c>
      <c r="AN6718">
        <v>9100</v>
      </c>
      <c r="AO6718" s="30">
        <v>486</v>
      </c>
      <c r="AP6718">
        <v>2201.7600000000002</v>
      </c>
      <c r="AQ6718">
        <v>1000</v>
      </c>
      <c r="AR6718">
        <v>50</v>
      </c>
      <c r="AS6718">
        <v>30000</v>
      </c>
      <c r="AT6718" s="30">
        <v>319</v>
      </c>
      <c r="AU6718">
        <v>886.24</v>
      </c>
      <c r="AV6718">
        <v>800</v>
      </c>
      <c r="AW6718">
        <v>100</v>
      </c>
      <c r="AX6718">
        <v>2400</v>
      </c>
      <c r="AY6718" s="30">
        <v>50</v>
      </c>
      <c r="AZ6718">
        <v>665.45</v>
      </c>
      <c r="BA6718">
        <v>570</v>
      </c>
      <c r="BB6718">
        <v>100</v>
      </c>
      <c r="BC6718">
        <v>2300</v>
      </c>
      <c r="BD6718" s="30">
        <v>501</v>
      </c>
      <c r="BE6718">
        <v>4787.87</v>
      </c>
      <c r="BF6718">
        <v>3000</v>
      </c>
      <c r="BG6718">
        <v>400</v>
      </c>
      <c r="BH6718">
        <v>10000</v>
      </c>
      <c r="BI6718" s="30">
        <v>23</v>
      </c>
      <c r="BJ6718">
        <v>3061.65</v>
      </c>
      <c r="BK6718">
        <v>1500</v>
      </c>
      <c r="BL6718">
        <v>100</v>
      </c>
      <c r="BM6718">
        <v>30000</v>
      </c>
      <c r="BN6718" s="30">
        <v>101</v>
      </c>
      <c r="BO6718">
        <v>1314.63</v>
      </c>
      <c r="BP6718">
        <v>700</v>
      </c>
      <c r="BQ6718">
        <v>50</v>
      </c>
      <c r="BR6718">
        <v>16000</v>
      </c>
      <c r="BS6718" s="30">
        <v>276</v>
      </c>
      <c r="BT6718">
        <v>3276.09</v>
      </c>
      <c r="BU6718">
        <v>3300</v>
      </c>
      <c r="BV6718">
        <v>100</v>
      </c>
      <c r="BW6718">
        <v>8000</v>
      </c>
      <c r="BX6718" s="30">
        <v>33</v>
      </c>
      <c r="BY6718">
        <v>501</v>
      </c>
    </row>
    <row r="6719" spans="1:77" x14ac:dyDescent="0.35">
      <c r="A6719" t="s">
        <v>231</v>
      </c>
      <c r="B6719">
        <v>7451.43</v>
      </c>
      <c r="C6719">
        <v>5000</v>
      </c>
      <c r="D6719">
        <v>500</v>
      </c>
      <c r="E6719">
        <v>30000</v>
      </c>
      <c r="F6719" s="30">
        <v>140</v>
      </c>
      <c r="G6719">
        <v>4215.1899999999996</v>
      </c>
      <c r="H6719">
        <v>3000</v>
      </c>
      <c r="I6719">
        <v>100</v>
      </c>
      <c r="J6719">
        <v>24000</v>
      </c>
      <c r="K6719" s="30">
        <v>79</v>
      </c>
      <c r="L6719">
        <v>5760.17</v>
      </c>
      <c r="M6719">
        <v>5000</v>
      </c>
      <c r="N6719">
        <v>500</v>
      </c>
      <c r="O6719">
        <v>13000</v>
      </c>
      <c r="P6719" s="30">
        <v>24</v>
      </c>
      <c r="Q6719">
        <v>477.79</v>
      </c>
      <c r="R6719">
        <v>300</v>
      </c>
      <c r="S6719">
        <v>50</v>
      </c>
      <c r="T6719">
        <v>2500</v>
      </c>
      <c r="U6719" s="30">
        <v>68</v>
      </c>
      <c r="V6719">
        <v>623.26</v>
      </c>
      <c r="W6719">
        <v>500</v>
      </c>
      <c r="X6719">
        <v>50</v>
      </c>
      <c r="Y6719">
        <v>2000</v>
      </c>
      <c r="Z6719" s="30">
        <v>80</v>
      </c>
      <c r="AA6719">
        <v>874.8</v>
      </c>
      <c r="AB6719">
        <v>500</v>
      </c>
      <c r="AC6719">
        <v>100</v>
      </c>
      <c r="AD6719">
        <v>5000</v>
      </c>
      <c r="AE6719" s="30">
        <v>119</v>
      </c>
      <c r="AF6719">
        <v>665.63</v>
      </c>
      <c r="AG6719">
        <v>500</v>
      </c>
      <c r="AH6719">
        <v>100</v>
      </c>
      <c r="AI6719">
        <v>3000</v>
      </c>
      <c r="AJ6719" s="30">
        <v>64</v>
      </c>
      <c r="AK6719">
        <v>2038.35</v>
      </c>
      <c r="AL6719">
        <v>2000</v>
      </c>
      <c r="AM6719">
        <v>300</v>
      </c>
      <c r="AN6719">
        <v>6000</v>
      </c>
      <c r="AO6719" s="30">
        <v>136</v>
      </c>
      <c r="AP6719">
        <v>1853.27</v>
      </c>
      <c r="AQ6719">
        <v>1000</v>
      </c>
      <c r="AR6719">
        <v>50</v>
      </c>
      <c r="AS6719">
        <v>30000</v>
      </c>
      <c r="AT6719" s="30">
        <v>104</v>
      </c>
      <c r="AU6719">
        <v>526.19000000000005</v>
      </c>
      <c r="AV6719">
        <v>500</v>
      </c>
      <c r="AW6719">
        <v>100</v>
      </c>
      <c r="AX6719">
        <v>1500</v>
      </c>
      <c r="AY6719" s="30">
        <v>21</v>
      </c>
      <c r="AZ6719">
        <v>600.23</v>
      </c>
      <c r="BA6719">
        <v>500</v>
      </c>
      <c r="BB6719">
        <v>50</v>
      </c>
      <c r="BC6719">
        <v>2000</v>
      </c>
      <c r="BD6719" s="30">
        <v>149</v>
      </c>
      <c r="BE6719">
        <v>3000</v>
      </c>
      <c r="BF6719">
        <v>3000</v>
      </c>
      <c r="BG6719">
        <v>300</v>
      </c>
      <c r="BH6719">
        <v>10000</v>
      </c>
      <c r="BI6719" s="30">
        <v>9</v>
      </c>
      <c r="BJ6719">
        <v>4872.37</v>
      </c>
      <c r="BK6719">
        <v>2000</v>
      </c>
      <c r="BL6719">
        <v>200</v>
      </c>
      <c r="BM6719">
        <v>30000</v>
      </c>
      <c r="BN6719" s="30">
        <v>38</v>
      </c>
      <c r="BO6719">
        <v>1403.94</v>
      </c>
      <c r="BP6719">
        <v>500</v>
      </c>
      <c r="BQ6719">
        <v>50</v>
      </c>
      <c r="BR6719">
        <v>15000</v>
      </c>
      <c r="BS6719" s="30">
        <v>71</v>
      </c>
      <c r="BT6719">
        <v>2766.67</v>
      </c>
      <c r="BU6719">
        <v>1200</v>
      </c>
      <c r="BV6719">
        <v>200</v>
      </c>
      <c r="BW6719">
        <v>10000</v>
      </c>
      <c r="BX6719" s="30">
        <v>9</v>
      </c>
      <c r="BY6719">
        <v>149</v>
      </c>
    </row>
    <row r="6720" spans="1:77" x14ac:dyDescent="0.35">
      <c r="A6720" t="s">
        <v>232</v>
      </c>
      <c r="B6720">
        <v>7868.72</v>
      </c>
      <c r="C6720">
        <v>6000</v>
      </c>
      <c r="D6720">
        <v>200</v>
      </c>
      <c r="E6720">
        <v>30000</v>
      </c>
      <c r="F6720" s="30">
        <v>2369</v>
      </c>
      <c r="G6720">
        <v>4052.31</v>
      </c>
      <c r="H6720">
        <v>3000</v>
      </c>
      <c r="I6720">
        <v>100</v>
      </c>
      <c r="J6720">
        <v>60000</v>
      </c>
      <c r="K6720" s="30">
        <v>1077</v>
      </c>
      <c r="L6720">
        <v>5938.14</v>
      </c>
      <c r="M6720">
        <v>5000</v>
      </c>
      <c r="N6720">
        <v>183</v>
      </c>
      <c r="O6720">
        <v>16000</v>
      </c>
      <c r="P6720" s="30">
        <v>345</v>
      </c>
      <c r="Q6720">
        <v>468.12</v>
      </c>
      <c r="R6720">
        <v>300</v>
      </c>
      <c r="S6720">
        <v>50</v>
      </c>
      <c r="T6720">
        <v>3000</v>
      </c>
      <c r="U6720" s="30">
        <v>1180</v>
      </c>
      <c r="V6720">
        <v>542.04</v>
      </c>
      <c r="W6720">
        <v>401</v>
      </c>
      <c r="X6720">
        <v>30</v>
      </c>
      <c r="Y6720">
        <v>3000</v>
      </c>
      <c r="Z6720" s="30">
        <v>1265</v>
      </c>
      <c r="AA6720">
        <v>868.78</v>
      </c>
      <c r="AB6720">
        <v>500</v>
      </c>
      <c r="AC6720">
        <v>100</v>
      </c>
      <c r="AD6720">
        <v>5000</v>
      </c>
      <c r="AE6720" s="30">
        <v>1926</v>
      </c>
      <c r="AF6720">
        <v>667.4</v>
      </c>
      <c r="AG6720">
        <v>500</v>
      </c>
      <c r="AH6720">
        <v>100</v>
      </c>
      <c r="AI6720">
        <v>5000</v>
      </c>
      <c r="AJ6720" s="30">
        <v>856</v>
      </c>
      <c r="AK6720">
        <v>2130.96</v>
      </c>
      <c r="AL6720">
        <v>2000</v>
      </c>
      <c r="AM6720">
        <v>300</v>
      </c>
      <c r="AN6720">
        <v>9100</v>
      </c>
      <c r="AO6720" s="30">
        <v>2431</v>
      </c>
      <c r="AP6720">
        <v>2285.5300000000002</v>
      </c>
      <c r="AQ6720">
        <v>1000</v>
      </c>
      <c r="AR6720">
        <v>50</v>
      </c>
      <c r="AS6720">
        <v>30000</v>
      </c>
      <c r="AT6720" s="30">
        <v>1520</v>
      </c>
      <c r="AU6720">
        <v>776.74</v>
      </c>
      <c r="AV6720">
        <v>500</v>
      </c>
      <c r="AW6720">
        <v>100</v>
      </c>
      <c r="AX6720">
        <v>3000</v>
      </c>
      <c r="AY6720" s="30">
        <v>266</v>
      </c>
      <c r="AZ6720">
        <v>615.85</v>
      </c>
      <c r="BA6720">
        <v>500</v>
      </c>
      <c r="BB6720">
        <v>50</v>
      </c>
      <c r="BC6720">
        <v>2800</v>
      </c>
      <c r="BD6720" s="30">
        <v>2479</v>
      </c>
      <c r="BE6720">
        <v>3040.04</v>
      </c>
      <c r="BF6720">
        <v>2000</v>
      </c>
      <c r="BG6720">
        <v>200</v>
      </c>
      <c r="BH6720">
        <v>10000</v>
      </c>
      <c r="BI6720" s="30">
        <v>132</v>
      </c>
      <c r="BJ6720">
        <v>4895.0200000000004</v>
      </c>
      <c r="BK6720">
        <v>2000</v>
      </c>
      <c r="BL6720">
        <v>100</v>
      </c>
      <c r="BM6720">
        <v>30000</v>
      </c>
      <c r="BN6720" s="30">
        <v>461</v>
      </c>
      <c r="BO6720">
        <v>1288.5999999999999</v>
      </c>
      <c r="BP6720">
        <v>600</v>
      </c>
      <c r="BQ6720">
        <v>50</v>
      </c>
      <c r="BR6720">
        <v>30000</v>
      </c>
      <c r="BS6720" s="30">
        <v>1296</v>
      </c>
      <c r="BT6720">
        <v>3251.2</v>
      </c>
      <c r="BU6720">
        <v>2500</v>
      </c>
      <c r="BV6720">
        <v>100</v>
      </c>
      <c r="BW6720">
        <v>10000</v>
      </c>
      <c r="BX6720" s="30">
        <v>124</v>
      </c>
      <c r="BY6720">
        <v>2479</v>
      </c>
    </row>
    <row r="6722" spans="1:78" x14ac:dyDescent="0.35">
      <c r="A6722" s="1" t="s">
        <v>965</v>
      </c>
    </row>
    <row r="6723" spans="1:78" x14ac:dyDescent="0.35">
      <c r="A6723" t="s">
        <v>219</v>
      </c>
      <c r="B6723" t="s">
        <v>305</v>
      </c>
      <c r="C6723" t="s">
        <v>889</v>
      </c>
      <c r="D6723" t="s">
        <v>890</v>
      </c>
      <c r="E6723" t="s">
        <v>891</v>
      </c>
      <c r="F6723" t="s">
        <v>892</v>
      </c>
      <c r="G6723" t="s">
        <v>893</v>
      </c>
      <c r="H6723" t="s">
        <v>894</v>
      </c>
      <c r="I6723" t="s">
        <v>895</v>
      </c>
      <c r="J6723" t="s">
        <v>896</v>
      </c>
      <c r="K6723" t="s">
        <v>897</v>
      </c>
      <c r="L6723" t="s">
        <v>898</v>
      </c>
      <c r="M6723" t="s">
        <v>899</v>
      </c>
      <c r="N6723" t="s">
        <v>900</v>
      </c>
      <c r="O6723" t="s">
        <v>901</v>
      </c>
      <c r="P6723" t="s">
        <v>902</v>
      </c>
      <c r="Q6723" t="s">
        <v>903</v>
      </c>
      <c r="R6723" t="s">
        <v>904</v>
      </c>
      <c r="S6723" t="s">
        <v>905</v>
      </c>
      <c r="T6723" t="s">
        <v>906</v>
      </c>
      <c r="U6723" t="s">
        <v>907</v>
      </c>
      <c r="V6723" t="s">
        <v>908</v>
      </c>
      <c r="W6723" t="s">
        <v>909</v>
      </c>
      <c r="X6723" t="s">
        <v>910</v>
      </c>
      <c r="Y6723" t="s">
        <v>911</v>
      </c>
      <c r="Z6723" t="s">
        <v>912</v>
      </c>
      <c r="AA6723" t="s">
        <v>913</v>
      </c>
      <c r="AB6723" t="s">
        <v>914</v>
      </c>
      <c r="AC6723" t="s">
        <v>915</v>
      </c>
      <c r="AD6723" t="s">
        <v>916</v>
      </c>
      <c r="AE6723" t="s">
        <v>917</v>
      </c>
      <c r="AF6723" t="s">
        <v>918</v>
      </c>
      <c r="AG6723" t="s">
        <v>919</v>
      </c>
      <c r="AH6723" t="s">
        <v>920</v>
      </c>
      <c r="AI6723" t="s">
        <v>921</v>
      </c>
      <c r="AJ6723" t="s">
        <v>922</v>
      </c>
      <c r="AK6723" t="s">
        <v>923</v>
      </c>
      <c r="AL6723" t="s">
        <v>924</v>
      </c>
      <c r="AM6723" t="s">
        <v>925</v>
      </c>
      <c r="AN6723" t="s">
        <v>926</v>
      </c>
      <c r="AO6723" t="s">
        <v>927</v>
      </c>
      <c r="AP6723" t="s">
        <v>928</v>
      </c>
      <c r="AQ6723" t="s">
        <v>929</v>
      </c>
      <c r="AR6723" t="s">
        <v>930</v>
      </c>
      <c r="AS6723" t="s">
        <v>931</v>
      </c>
      <c r="AT6723" t="s">
        <v>932</v>
      </c>
      <c r="AU6723" t="s">
        <v>933</v>
      </c>
      <c r="AV6723" t="s">
        <v>934</v>
      </c>
      <c r="AW6723" t="s">
        <v>935</v>
      </c>
      <c r="AX6723" t="s">
        <v>936</v>
      </c>
      <c r="AY6723" t="s">
        <v>937</v>
      </c>
      <c r="AZ6723" t="s">
        <v>938</v>
      </c>
      <c r="BA6723" t="s">
        <v>939</v>
      </c>
      <c r="BB6723" t="s">
        <v>940</v>
      </c>
      <c r="BC6723" t="s">
        <v>941</v>
      </c>
      <c r="BD6723" t="s">
        <v>942</v>
      </c>
      <c r="BE6723" t="s">
        <v>943</v>
      </c>
      <c r="BF6723" t="s">
        <v>944</v>
      </c>
      <c r="BG6723" t="s">
        <v>945</v>
      </c>
      <c r="BH6723" t="s">
        <v>946</v>
      </c>
      <c r="BI6723" t="s">
        <v>947</v>
      </c>
      <c r="BJ6723" t="s">
        <v>948</v>
      </c>
      <c r="BK6723" t="s">
        <v>949</v>
      </c>
      <c r="BL6723" t="s">
        <v>950</v>
      </c>
      <c r="BM6723" t="s">
        <v>951</v>
      </c>
      <c r="BN6723" t="s">
        <v>952</v>
      </c>
      <c r="BO6723" t="s">
        <v>953</v>
      </c>
      <c r="BP6723" t="s">
        <v>954</v>
      </c>
      <c r="BQ6723" t="s">
        <v>955</v>
      </c>
      <c r="BR6723" t="s">
        <v>956</v>
      </c>
      <c r="BS6723" t="s">
        <v>957</v>
      </c>
      <c r="BT6723" t="s">
        <v>958</v>
      </c>
      <c r="BU6723" t="s">
        <v>959</v>
      </c>
      <c r="BV6723" t="s">
        <v>960</v>
      </c>
      <c r="BW6723" t="s">
        <v>961</v>
      </c>
      <c r="BX6723" t="s">
        <v>962</v>
      </c>
      <c r="BY6723" t="s">
        <v>963</v>
      </c>
      <c r="BZ6723" t="s">
        <v>964</v>
      </c>
    </row>
    <row r="6724" spans="1:78" x14ac:dyDescent="0.35">
      <c r="A6724" t="s">
        <v>227</v>
      </c>
      <c r="B6724" t="s">
        <v>242</v>
      </c>
      <c r="C6724">
        <v>6027.84</v>
      </c>
      <c r="D6724">
        <v>5000</v>
      </c>
      <c r="E6724">
        <v>1000</v>
      </c>
      <c r="F6724">
        <v>18000</v>
      </c>
      <c r="G6724" s="30">
        <v>63</v>
      </c>
      <c r="H6724">
        <v>4211.32</v>
      </c>
      <c r="I6724">
        <v>3000</v>
      </c>
      <c r="J6724">
        <v>250</v>
      </c>
      <c r="K6724">
        <v>30000</v>
      </c>
      <c r="L6724" s="30">
        <v>22</v>
      </c>
      <c r="M6724">
        <v>4107.1400000000003</v>
      </c>
      <c r="N6724">
        <v>3000</v>
      </c>
      <c r="O6724">
        <v>1000</v>
      </c>
      <c r="P6724">
        <v>8000</v>
      </c>
      <c r="Q6724" s="30">
        <v>14</v>
      </c>
      <c r="R6724">
        <v>295.43</v>
      </c>
      <c r="S6724">
        <v>250</v>
      </c>
      <c r="T6724">
        <v>50</v>
      </c>
      <c r="U6724">
        <v>2000</v>
      </c>
      <c r="V6724" s="30">
        <v>35</v>
      </c>
      <c r="W6724">
        <v>460.94</v>
      </c>
      <c r="X6724">
        <v>300</v>
      </c>
      <c r="Y6724">
        <v>50</v>
      </c>
      <c r="Z6724">
        <v>2000</v>
      </c>
      <c r="AA6724" s="30">
        <v>32</v>
      </c>
      <c r="AB6724">
        <v>726.85</v>
      </c>
      <c r="AC6724">
        <v>500</v>
      </c>
      <c r="AD6724">
        <v>100</v>
      </c>
      <c r="AE6724">
        <v>5000</v>
      </c>
      <c r="AF6724" s="30">
        <v>52</v>
      </c>
      <c r="AG6724">
        <v>339.58</v>
      </c>
      <c r="AH6724">
        <v>300</v>
      </c>
      <c r="AI6724">
        <v>100</v>
      </c>
      <c r="AJ6724">
        <v>1000</v>
      </c>
      <c r="AK6724" s="30">
        <v>19</v>
      </c>
      <c r="AL6724">
        <v>1895.81</v>
      </c>
      <c r="AM6724">
        <v>1500</v>
      </c>
      <c r="AN6724">
        <v>350</v>
      </c>
      <c r="AO6724">
        <v>8000</v>
      </c>
      <c r="AP6724" s="30">
        <v>62</v>
      </c>
      <c r="AQ6724">
        <v>3363.8</v>
      </c>
      <c r="AR6724">
        <v>1000</v>
      </c>
      <c r="AS6724">
        <v>50</v>
      </c>
      <c r="AT6724">
        <v>30000</v>
      </c>
      <c r="AU6724" s="30">
        <v>40</v>
      </c>
      <c r="AV6724">
        <v>768.75</v>
      </c>
      <c r="AW6724">
        <v>500</v>
      </c>
      <c r="AX6724">
        <v>200</v>
      </c>
      <c r="AY6724">
        <v>1600</v>
      </c>
      <c r="AZ6724" s="30">
        <v>8</v>
      </c>
      <c r="BA6724">
        <v>545.64</v>
      </c>
      <c r="BB6724">
        <v>500</v>
      </c>
      <c r="BC6724">
        <v>125</v>
      </c>
      <c r="BD6724">
        <v>2500</v>
      </c>
      <c r="BE6724" s="30">
        <v>61</v>
      </c>
      <c r="BF6724">
        <v>2500</v>
      </c>
      <c r="BG6724">
        <v>3000</v>
      </c>
      <c r="BH6724">
        <v>2000</v>
      </c>
      <c r="BI6724">
        <v>3000</v>
      </c>
      <c r="BJ6724" s="30">
        <v>3</v>
      </c>
      <c r="BK6724">
        <v>4793</v>
      </c>
      <c r="BL6724">
        <v>3000</v>
      </c>
      <c r="BM6724">
        <v>300</v>
      </c>
      <c r="BN6724">
        <v>25000</v>
      </c>
      <c r="BO6724" s="30">
        <v>9</v>
      </c>
      <c r="BP6724">
        <v>595.51</v>
      </c>
      <c r="BQ6724">
        <v>340</v>
      </c>
      <c r="BR6724">
        <v>50</v>
      </c>
      <c r="BS6724">
        <v>3500</v>
      </c>
      <c r="BT6724" s="30">
        <v>41</v>
      </c>
      <c r="BU6724">
        <v>3440</v>
      </c>
      <c r="BV6724">
        <v>5000</v>
      </c>
      <c r="BW6724">
        <v>700</v>
      </c>
      <c r="BX6724">
        <v>7500</v>
      </c>
      <c r="BY6724" s="30">
        <v>5</v>
      </c>
      <c r="BZ6724">
        <v>63</v>
      </c>
    </row>
    <row r="6725" spans="1:78" x14ac:dyDescent="0.35">
      <c r="A6725" t="s">
        <v>227</v>
      </c>
      <c r="B6725" t="s">
        <v>241</v>
      </c>
      <c r="C6725">
        <v>6252.53</v>
      </c>
      <c r="D6725">
        <v>5500</v>
      </c>
      <c r="E6725">
        <v>500</v>
      </c>
      <c r="F6725">
        <v>30000</v>
      </c>
      <c r="G6725" s="30">
        <v>79</v>
      </c>
      <c r="H6725">
        <v>3154.98</v>
      </c>
      <c r="I6725">
        <v>2000</v>
      </c>
      <c r="J6725">
        <v>119</v>
      </c>
      <c r="K6725">
        <v>10000</v>
      </c>
      <c r="L6725" s="30">
        <v>44</v>
      </c>
      <c r="M6725">
        <v>5516.67</v>
      </c>
      <c r="N6725">
        <v>5000</v>
      </c>
      <c r="O6725">
        <v>2000</v>
      </c>
      <c r="P6725">
        <v>12000</v>
      </c>
      <c r="Q6725" s="30">
        <v>12</v>
      </c>
      <c r="R6725">
        <v>394.69</v>
      </c>
      <c r="S6725">
        <v>250</v>
      </c>
      <c r="T6725">
        <v>50</v>
      </c>
      <c r="U6725">
        <v>2000</v>
      </c>
      <c r="V6725" s="30">
        <v>49</v>
      </c>
      <c r="W6725">
        <v>589.49</v>
      </c>
      <c r="X6725">
        <v>500</v>
      </c>
      <c r="Y6725">
        <v>50</v>
      </c>
      <c r="Z6725">
        <v>2000</v>
      </c>
      <c r="AA6725" s="30">
        <v>47</v>
      </c>
      <c r="AB6725">
        <v>821.01</v>
      </c>
      <c r="AC6725">
        <v>700</v>
      </c>
      <c r="AD6725">
        <v>100</v>
      </c>
      <c r="AE6725">
        <v>3000</v>
      </c>
      <c r="AF6725" s="30">
        <v>69</v>
      </c>
      <c r="AG6725">
        <v>765.16</v>
      </c>
      <c r="AH6725">
        <v>500</v>
      </c>
      <c r="AI6725">
        <v>100</v>
      </c>
      <c r="AJ6725">
        <v>4000</v>
      </c>
      <c r="AK6725" s="30">
        <v>32</v>
      </c>
      <c r="AL6725">
        <v>1869.02</v>
      </c>
      <c r="AM6725">
        <v>1500</v>
      </c>
      <c r="AN6725">
        <v>400</v>
      </c>
      <c r="AO6725">
        <v>8000</v>
      </c>
      <c r="AP6725" s="30">
        <v>84</v>
      </c>
      <c r="AQ6725">
        <v>2445.7399999999998</v>
      </c>
      <c r="AR6725">
        <v>1000</v>
      </c>
      <c r="AS6725">
        <v>50</v>
      </c>
      <c r="AT6725">
        <v>30000</v>
      </c>
      <c r="AU6725" s="30">
        <v>61</v>
      </c>
      <c r="AV6725">
        <v>1295.71</v>
      </c>
      <c r="AW6725">
        <v>1000</v>
      </c>
      <c r="AX6725">
        <v>200</v>
      </c>
      <c r="AY6725">
        <v>3000</v>
      </c>
      <c r="AZ6725" s="30">
        <v>14</v>
      </c>
      <c r="BA6725">
        <v>552.26</v>
      </c>
      <c r="BB6725">
        <v>500</v>
      </c>
      <c r="BC6725">
        <v>100</v>
      </c>
      <c r="BD6725">
        <v>2000</v>
      </c>
      <c r="BE6725" s="30">
        <v>84</v>
      </c>
      <c r="BF6725">
        <v>3180</v>
      </c>
      <c r="BG6725">
        <v>5000</v>
      </c>
      <c r="BH6725">
        <v>400</v>
      </c>
      <c r="BI6725">
        <v>6500</v>
      </c>
      <c r="BJ6725" s="30">
        <v>5</v>
      </c>
      <c r="BK6725">
        <v>4112</v>
      </c>
      <c r="BL6725">
        <v>2000</v>
      </c>
      <c r="BM6725">
        <v>300</v>
      </c>
      <c r="BN6725">
        <v>20000</v>
      </c>
      <c r="BO6725" s="30">
        <v>25</v>
      </c>
      <c r="BP6725">
        <v>931.04</v>
      </c>
      <c r="BQ6725">
        <v>600</v>
      </c>
      <c r="BR6725">
        <v>50</v>
      </c>
      <c r="BS6725">
        <v>3500</v>
      </c>
      <c r="BT6725" s="30">
        <v>48</v>
      </c>
      <c r="BU6725">
        <v>4710</v>
      </c>
      <c r="BV6725">
        <v>5550</v>
      </c>
      <c r="BW6725">
        <v>2500</v>
      </c>
      <c r="BX6725">
        <v>7000</v>
      </c>
      <c r="BY6725" s="30">
        <v>5</v>
      </c>
      <c r="BZ6725">
        <v>84</v>
      </c>
    </row>
    <row r="6726" spans="1:78" x14ac:dyDescent="0.35">
      <c r="A6726" t="s">
        <v>228</v>
      </c>
      <c r="B6726" t="s">
        <v>242</v>
      </c>
      <c r="C6726">
        <v>7112.94</v>
      </c>
      <c r="D6726">
        <v>6000</v>
      </c>
      <c r="E6726">
        <v>200</v>
      </c>
      <c r="F6726">
        <v>25000</v>
      </c>
      <c r="G6726" s="30">
        <v>310</v>
      </c>
      <c r="H6726">
        <v>2773.11</v>
      </c>
      <c r="I6726">
        <v>2000</v>
      </c>
      <c r="J6726">
        <v>200</v>
      </c>
      <c r="K6726">
        <v>10000</v>
      </c>
      <c r="L6726" s="30">
        <v>95</v>
      </c>
      <c r="M6726">
        <v>5805.66</v>
      </c>
      <c r="N6726">
        <v>5000</v>
      </c>
      <c r="O6726">
        <v>600</v>
      </c>
      <c r="P6726">
        <v>16000</v>
      </c>
      <c r="Q6726" s="30">
        <v>62</v>
      </c>
      <c r="R6726">
        <v>472.68</v>
      </c>
      <c r="S6726">
        <v>300</v>
      </c>
      <c r="T6726">
        <v>50</v>
      </c>
      <c r="U6726">
        <v>3000</v>
      </c>
      <c r="V6726" s="30">
        <v>154</v>
      </c>
      <c r="W6726">
        <v>466.2</v>
      </c>
      <c r="X6726">
        <v>300</v>
      </c>
      <c r="Y6726">
        <v>50</v>
      </c>
      <c r="Z6726">
        <v>3000</v>
      </c>
      <c r="AA6726" s="30">
        <v>137</v>
      </c>
      <c r="AB6726">
        <v>690.4</v>
      </c>
      <c r="AC6726">
        <v>500</v>
      </c>
      <c r="AD6726">
        <v>100</v>
      </c>
      <c r="AE6726">
        <v>4000</v>
      </c>
      <c r="AF6726" s="30">
        <v>216</v>
      </c>
      <c r="AG6726">
        <v>580.41999999999996</v>
      </c>
      <c r="AH6726">
        <v>300</v>
      </c>
      <c r="AI6726">
        <v>100</v>
      </c>
      <c r="AJ6726">
        <v>5000</v>
      </c>
      <c r="AK6726" s="30">
        <v>92</v>
      </c>
      <c r="AL6726">
        <v>2025.8</v>
      </c>
      <c r="AM6726">
        <v>1600</v>
      </c>
      <c r="AN6726">
        <v>300</v>
      </c>
      <c r="AO6726">
        <v>9000</v>
      </c>
      <c r="AP6726" s="30">
        <v>334</v>
      </c>
      <c r="AQ6726">
        <v>2328.62</v>
      </c>
      <c r="AR6726">
        <v>1000</v>
      </c>
      <c r="AS6726">
        <v>50</v>
      </c>
      <c r="AT6726">
        <v>22000</v>
      </c>
      <c r="AU6726" s="30">
        <v>175</v>
      </c>
      <c r="AV6726">
        <v>749.07</v>
      </c>
      <c r="AW6726">
        <v>600</v>
      </c>
      <c r="AX6726">
        <v>100</v>
      </c>
      <c r="AY6726">
        <v>3000</v>
      </c>
      <c r="AZ6726" s="30">
        <v>33</v>
      </c>
      <c r="BA6726">
        <v>616.96</v>
      </c>
      <c r="BB6726">
        <v>500</v>
      </c>
      <c r="BC6726">
        <v>85</v>
      </c>
      <c r="BD6726">
        <v>2500</v>
      </c>
      <c r="BE6726" s="30">
        <v>338</v>
      </c>
      <c r="BF6726">
        <v>2353.5500000000002</v>
      </c>
      <c r="BG6726">
        <v>2000</v>
      </c>
      <c r="BH6726">
        <v>500</v>
      </c>
      <c r="BI6726">
        <v>5000</v>
      </c>
      <c r="BJ6726" s="30">
        <v>18</v>
      </c>
      <c r="BK6726">
        <v>3942.7</v>
      </c>
      <c r="BL6726">
        <v>2000</v>
      </c>
      <c r="BM6726">
        <v>100</v>
      </c>
      <c r="BN6726">
        <v>20000</v>
      </c>
      <c r="BO6726" s="30">
        <v>29</v>
      </c>
      <c r="BP6726">
        <v>1277.19</v>
      </c>
      <c r="BQ6726">
        <v>500</v>
      </c>
      <c r="BR6726">
        <v>50</v>
      </c>
      <c r="BS6726">
        <v>20000</v>
      </c>
      <c r="BT6726" s="30">
        <v>172</v>
      </c>
      <c r="BU6726">
        <v>3031.45</v>
      </c>
      <c r="BV6726">
        <v>2595</v>
      </c>
      <c r="BW6726">
        <v>500</v>
      </c>
      <c r="BX6726">
        <v>7000</v>
      </c>
      <c r="BY6726" s="30">
        <v>20</v>
      </c>
      <c r="BZ6726">
        <v>338</v>
      </c>
    </row>
    <row r="6727" spans="1:78" x14ac:dyDescent="0.35">
      <c r="A6727" t="s">
        <v>228</v>
      </c>
      <c r="B6727" t="s">
        <v>241</v>
      </c>
      <c r="C6727">
        <v>8128.57</v>
      </c>
      <c r="D6727">
        <v>6000</v>
      </c>
      <c r="E6727">
        <v>400</v>
      </c>
      <c r="F6727">
        <v>30000</v>
      </c>
      <c r="G6727" s="30">
        <v>511</v>
      </c>
      <c r="H6727">
        <v>3972.79</v>
      </c>
      <c r="I6727">
        <v>3000</v>
      </c>
      <c r="J6727">
        <v>100</v>
      </c>
      <c r="K6727">
        <v>30000</v>
      </c>
      <c r="L6727" s="30">
        <v>230</v>
      </c>
      <c r="M6727">
        <v>5554.74</v>
      </c>
      <c r="N6727">
        <v>5000</v>
      </c>
      <c r="O6727">
        <v>183</v>
      </c>
      <c r="P6727">
        <v>15000</v>
      </c>
      <c r="Q6727" s="30">
        <v>68</v>
      </c>
      <c r="R6727">
        <v>441.94</v>
      </c>
      <c r="S6727">
        <v>300</v>
      </c>
      <c r="T6727">
        <v>50</v>
      </c>
      <c r="U6727">
        <v>3000</v>
      </c>
      <c r="V6727" s="30">
        <v>294</v>
      </c>
      <c r="W6727">
        <v>495.59</v>
      </c>
      <c r="X6727">
        <v>300</v>
      </c>
      <c r="Y6727">
        <v>50</v>
      </c>
      <c r="Z6727">
        <v>3000</v>
      </c>
      <c r="AA6727" s="30">
        <v>266</v>
      </c>
      <c r="AB6727">
        <v>745.76</v>
      </c>
      <c r="AC6727">
        <v>500</v>
      </c>
      <c r="AD6727">
        <v>100</v>
      </c>
      <c r="AE6727">
        <v>5000</v>
      </c>
      <c r="AF6727" s="30">
        <v>415</v>
      </c>
      <c r="AG6727">
        <v>661.06</v>
      </c>
      <c r="AH6727">
        <v>500</v>
      </c>
      <c r="AI6727">
        <v>100</v>
      </c>
      <c r="AJ6727">
        <v>4000</v>
      </c>
      <c r="AK6727" s="30">
        <v>173</v>
      </c>
      <c r="AL6727">
        <v>2053.25</v>
      </c>
      <c r="AM6727">
        <v>1900</v>
      </c>
      <c r="AN6727">
        <v>300</v>
      </c>
      <c r="AO6727">
        <v>7000</v>
      </c>
      <c r="AP6727" s="30">
        <v>526</v>
      </c>
      <c r="AQ6727">
        <v>2221.4899999999998</v>
      </c>
      <c r="AR6727">
        <v>1000</v>
      </c>
      <c r="AS6727">
        <v>50</v>
      </c>
      <c r="AT6727">
        <v>30000</v>
      </c>
      <c r="AU6727" s="30">
        <v>306</v>
      </c>
      <c r="AV6727">
        <v>680.08</v>
      </c>
      <c r="AW6727">
        <v>500</v>
      </c>
      <c r="AX6727">
        <v>100</v>
      </c>
      <c r="AY6727">
        <v>3000</v>
      </c>
      <c r="AZ6727" s="30">
        <v>51</v>
      </c>
      <c r="BA6727">
        <v>633.24</v>
      </c>
      <c r="BB6727">
        <v>500</v>
      </c>
      <c r="BC6727">
        <v>100</v>
      </c>
      <c r="BD6727">
        <v>2800</v>
      </c>
      <c r="BE6727" s="30">
        <v>539</v>
      </c>
      <c r="BF6727">
        <v>2485.52</v>
      </c>
      <c r="BG6727">
        <v>2000</v>
      </c>
      <c r="BH6727">
        <v>1000</v>
      </c>
      <c r="BI6727">
        <v>7000</v>
      </c>
      <c r="BJ6727" s="30">
        <v>32</v>
      </c>
      <c r="BK6727">
        <v>4107.8999999999996</v>
      </c>
      <c r="BL6727">
        <v>2000</v>
      </c>
      <c r="BM6727">
        <v>200</v>
      </c>
      <c r="BN6727">
        <v>30000</v>
      </c>
      <c r="BO6727" s="30">
        <v>102</v>
      </c>
      <c r="BP6727">
        <v>1016.95</v>
      </c>
      <c r="BQ6727">
        <v>600</v>
      </c>
      <c r="BR6727">
        <v>50</v>
      </c>
      <c r="BS6727">
        <v>9000</v>
      </c>
      <c r="BT6727" s="30">
        <v>272</v>
      </c>
      <c r="BU6727">
        <v>1238.82</v>
      </c>
      <c r="BV6727">
        <v>1300</v>
      </c>
      <c r="BW6727">
        <v>254</v>
      </c>
      <c r="BX6727">
        <v>7000</v>
      </c>
      <c r="BY6727" s="30">
        <v>19</v>
      </c>
      <c r="BZ6727">
        <v>539</v>
      </c>
    </row>
    <row r="6728" spans="1:78" x14ac:dyDescent="0.35">
      <c r="A6728" t="s">
        <v>229</v>
      </c>
      <c r="B6728" t="s">
        <v>242</v>
      </c>
      <c r="C6728">
        <v>8634.49</v>
      </c>
      <c r="D6728">
        <v>7000</v>
      </c>
      <c r="E6728">
        <v>200</v>
      </c>
      <c r="F6728">
        <v>30000</v>
      </c>
      <c r="G6728" s="30">
        <v>250</v>
      </c>
      <c r="H6728">
        <v>4021.56</v>
      </c>
      <c r="I6728">
        <v>3000</v>
      </c>
      <c r="J6728">
        <v>100</v>
      </c>
      <c r="K6728">
        <v>30000</v>
      </c>
      <c r="L6728" s="30">
        <v>106</v>
      </c>
      <c r="M6728">
        <v>7117.27</v>
      </c>
      <c r="N6728">
        <v>5000</v>
      </c>
      <c r="O6728">
        <v>400</v>
      </c>
      <c r="P6728">
        <v>16000</v>
      </c>
      <c r="Q6728" s="30">
        <v>33</v>
      </c>
      <c r="R6728">
        <v>415.48</v>
      </c>
      <c r="S6728">
        <v>300</v>
      </c>
      <c r="T6728">
        <v>50</v>
      </c>
      <c r="U6728">
        <v>2000</v>
      </c>
      <c r="V6728" s="30">
        <v>105</v>
      </c>
      <c r="W6728">
        <v>529.46</v>
      </c>
      <c r="X6728">
        <v>400</v>
      </c>
      <c r="Y6728">
        <v>50</v>
      </c>
      <c r="Z6728">
        <v>2000</v>
      </c>
      <c r="AA6728" s="30">
        <v>144</v>
      </c>
      <c r="AB6728">
        <v>959.3</v>
      </c>
      <c r="AC6728">
        <v>600</v>
      </c>
      <c r="AD6728">
        <v>100</v>
      </c>
      <c r="AE6728">
        <v>5000</v>
      </c>
      <c r="AF6728" s="30">
        <v>214</v>
      </c>
      <c r="AG6728">
        <v>577.27</v>
      </c>
      <c r="AH6728">
        <v>500</v>
      </c>
      <c r="AI6728">
        <v>100</v>
      </c>
      <c r="AJ6728">
        <v>5000</v>
      </c>
      <c r="AK6728" s="30">
        <v>102</v>
      </c>
      <c r="AL6728">
        <v>2404.85</v>
      </c>
      <c r="AM6728">
        <v>2000</v>
      </c>
      <c r="AN6728">
        <v>300</v>
      </c>
      <c r="AO6728">
        <v>8000</v>
      </c>
      <c r="AP6728" s="30">
        <v>262</v>
      </c>
      <c r="AQ6728">
        <v>2130.39</v>
      </c>
      <c r="AR6728">
        <v>1000</v>
      </c>
      <c r="AS6728">
        <v>50</v>
      </c>
      <c r="AT6728">
        <v>15000</v>
      </c>
      <c r="AU6728" s="30">
        <v>159</v>
      </c>
      <c r="AV6728">
        <v>814.58</v>
      </c>
      <c r="AW6728">
        <v>500</v>
      </c>
      <c r="AX6728">
        <v>100</v>
      </c>
      <c r="AY6728">
        <v>3000</v>
      </c>
      <c r="AZ6728" s="30">
        <v>40</v>
      </c>
      <c r="BA6728">
        <v>676.12</v>
      </c>
      <c r="BB6728">
        <v>600</v>
      </c>
      <c r="BC6728">
        <v>50</v>
      </c>
      <c r="BD6728">
        <v>2800</v>
      </c>
      <c r="BE6728" s="30">
        <v>263</v>
      </c>
      <c r="BF6728">
        <v>1949.6</v>
      </c>
      <c r="BG6728">
        <v>1000</v>
      </c>
      <c r="BH6728">
        <v>200</v>
      </c>
      <c r="BI6728">
        <v>10000</v>
      </c>
      <c r="BJ6728" s="30">
        <v>15</v>
      </c>
      <c r="BK6728">
        <v>7182.34</v>
      </c>
      <c r="BL6728">
        <v>2000</v>
      </c>
      <c r="BM6728">
        <v>100</v>
      </c>
      <c r="BN6728">
        <v>30000</v>
      </c>
      <c r="BO6728" s="30">
        <v>40</v>
      </c>
      <c r="BP6728">
        <v>1591.08</v>
      </c>
      <c r="BQ6728">
        <v>800</v>
      </c>
      <c r="BR6728">
        <v>50</v>
      </c>
      <c r="BS6728">
        <v>10000</v>
      </c>
      <c r="BT6728" s="30">
        <v>138</v>
      </c>
      <c r="BU6728">
        <v>3806.77</v>
      </c>
      <c r="BV6728">
        <v>3000</v>
      </c>
      <c r="BW6728">
        <v>200</v>
      </c>
      <c r="BX6728">
        <v>10000</v>
      </c>
      <c r="BY6728" s="30">
        <v>15</v>
      </c>
      <c r="BZ6728">
        <v>263</v>
      </c>
    </row>
    <row r="6729" spans="1:78" x14ac:dyDescent="0.35">
      <c r="A6729" t="s">
        <v>229</v>
      </c>
      <c r="B6729" t="s">
        <v>241</v>
      </c>
      <c r="C6729">
        <v>9689.2800000000007</v>
      </c>
      <c r="D6729">
        <v>8000</v>
      </c>
      <c r="E6729">
        <v>300</v>
      </c>
      <c r="F6729">
        <v>30000</v>
      </c>
      <c r="G6729" s="30">
        <v>517</v>
      </c>
      <c r="H6729">
        <v>4267.97</v>
      </c>
      <c r="I6729">
        <v>3500</v>
      </c>
      <c r="J6729">
        <v>120</v>
      </c>
      <c r="K6729">
        <v>20000</v>
      </c>
      <c r="L6729" s="30">
        <v>281</v>
      </c>
      <c r="M6729">
        <v>7138.13</v>
      </c>
      <c r="N6729">
        <v>8000</v>
      </c>
      <c r="O6729">
        <v>500</v>
      </c>
      <c r="P6729">
        <v>15000</v>
      </c>
      <c r="Q6729" s="30">
        <v>64</v>
      </c>
      <c r="R6729">
        <v>568.30999999999995</v>
      </c>
      <c r="S6729">
        <v>417</v>
      </c>
      <c r="T6729">
        <v>50</v>
      </c>
      <c r="U6729">
        <v>3000</v>
      </c>
      <c r="V6729" s="30">
        <v>219</v>
      </c>
      <c r="W6729">
        <v>500.33</v>
      </c>
      <c r="X6729">
        <v>300</v>
      </c>
      <c r="Y6729">
        <v>50</v>
      </c>
      <c r="Z6729">
        <v>3000</v>
      </c>
      <c r="AA6729" s="30">
        <v>309</v>
      </c>
      <c r="AB6729">
        <v>1024.43</v>
      </c>
      <c r="AC6729">
        <v>800</v>
      </c>
      <c r="AD6729">
        <v>100</v>
      </c>
      <c r="AE6729">
        <v>5000</v>
      </c>
      <c r="AF6729" s="30">
        <v>444</v>
      </c>
      <c r="AG6729">
        <v>750.31</v>
      </c>
      <c r="AH6729">
        <v>500</v>
      </c>
      <c r="AI6729">
        <v>100</v>
      </c>
      <c r="AJ6729">
        <v>5000</v>
      </c>
      <c r="AK6729" s="30">
        <v>200</v>
      </c>
      <c r="AL6729">
        <v>2387.13</v>
      </c>
      <c r="AM6729">
        <v>2000</v>
      </c>
      <c r="AN6729">
        <v>300</v>
      </c>
      <c r="AO6729">
        <v>9000</v>
      </c>
      <c r="AP6729" s="30">
        <v>541</v>
      </c>
      <c r="AQ6729">
        <v>2640.76</v>
      </c>
      <c r="AR6729">
        <v>1200</v>
      </c>
      <c r="AS6729">
        <v>50</v>
      </c>
      <c r="AT6729">
        <v>30000</v>
      </c>
      <c r="AU6729" s="30">
        <v>356</v>
      </c>
      <c r="AV6729">
        <v>924.36</v>
      </c>
      <c r="AW6729">
        <v>500</v>
      </c>
      <c r="AX6729">
        <v>100</v>
      </c>
      <c r="AY6729">
        <v>3000</v>
      </c>
      <c r="AZ6729" s="30">
        <v>49</v>
      </c>
      <c r="BA6729">
        <v>618.26</v>
      </c>
      <c r="BB6729">
        <v>500</v>
      </c>
      <c r="BC6729">
        <v>50</v>
      </c>
      <c r="BD6729">
        <v>2500</v>
      </c>
      <c r="BE6729" s="30">
        <v>544</v>
      </c>
      <c r="BF6729">
        <v>3848.19</v>
      </c>
      <c r="BG6729">
        <v>3000</v>
      </c>
      <c r="BH6729">
        <v>400</v>
      </c>
      <c r="BI6729">
        <v>10000</v>
      </c>
      <c r="BJ6729" s="30">
        <v>27</v>
      </c>
      <c r="BK6729">
        <v>5808.77</v>
      </c>
      <c r="BL6729">
        <v>3000</v>
      </c>
      <c r="BM6729">
        <v>200</v>
      </c>
      <c r="BN6729">
        <v>30000</v>
      </c>
      <c r="BO6729" s="30">
        <v>117</v>
      </c>
      <c r="BP6729">
        <v>1644.7</v>
      </c>
      <c r="BQ6729">
        <v>800</v>
      </c>
      <c r="BR6729">
        <v>50</v>
      </c>
      <c r="BS6729">
        <v>30000</v>
      </c>
      <c r="BT6729" s="30">
        <v>278</v>
      </c>
      <c r="BU6729">
        <v>3907.96</v>
      </c>
      <c r="BV6729">
        <v>3000</v>
      </c>
      <c r="BW6729">
        <v>200</v>
      </c>
      <c r="BX6729">
        <v>10000</v>
      </c>
      <c r="BY6729" s="30">
        <v>18</v>
      </c>
      <c r="BZ6729">
        <v>544</v>
      </c>
    </row>
    <row r="6730" spans="1:78" x14ac:dyDescent="0.35">
      <c r="A6730" t="s">
        <v>230</v>
      </c>
      <c r="B6730" t="s">
        <v>242</v>
      </c>
      <c r="C6730">
        <v>8036.1</v>
      </c>
      <c r="D6730">
        <v>6000</v>
      </c>
      <c r="E6730">
        <v>400</v>
      </c>
      <c r="F6730">
        <v>25000</v>
      </c>
      <c r="G6730" s="30">
        <v>169</v>
      </c>
      <c r="H6730">
        <v>3789.36</v>
      </c>
      <c r="I6730">
        <v>2000</v>
      </c>
      <c r="J6730">
        <v>100</v>
      </c>
      <c r="K6730">
        <v>30000</v>
      </c>
      <c r="L6730" s="30">
        <v>59</v>
      </c>
      <c r="M6730">
        <v>5995.82</v>
      </c>
      <c r="N6730">
        <v>6700</v>
      </c>
      <c r="O6730">
        <v>1000</v>
      </c>
      <c r="P6730">
        <v>12000</v>
      </c>
      <c r="Q6730" s="30">
        <v>22</v>
      </c>
      <c r="R6730">
        <v>524.1</v>
      </c>
      <c r="S6730">
        <v>300</v>
      </c>
      <c r="T6730">
        <v>50</v>
      </c>
      <c r="U6730">
        <v>3000</v>
      </c>
      <c r="V6730" s="30">
        <v>95</v>
      </c>
      <c r="W6730">
        <v>535.74</v>
      </c>
      <c r="X6730">
        <v>400</v>
      </c>
      <c r="Y6730">
        <v>50</v>
      </c>
      <c r="Z6730">
        <v>2000</v>
      </c>
      <c r="AA6730" s="30">
        <v>81</v>
      </c>
      <c r="AB6730">
        <v>892.83</v>
      </c>
      <c r="AC6730">
        <v>500</v>
      </c>
      <c r="AD6730">
        <v>100</v>
      </c>
      <c r="AE6730">
        <v>5000</v>
      </c>
      <c r="AF6730" s="30">
        <v>135</v>
      </c>
      <c r="AG6730">
        <v>698.96</v>
      </c>
      <c r="AH6730">
        <v>300</v>
      </c>
      <c r="AI6730">
        <v>100</v>
      </c>
      <c r="AJ6730">
        <v>3000</v>
      </c>
      <c r="AK6730" s="30">
        <v>54</v>
      </c>
      <c r="AL6730">
        <v>2228.87</v>
      </c>
      <c r="AM6730">
        <v>2000</v>
      </c>
      <c r="AN6730">
        <v>300</v>
      </c>
      <c r="AO6730">
        <v>7000</v>
      </c>
      <c r="AP6730" s="30">
        <v>162</v>
      </c>
      <c r="AQ6730">
        <v>2276.7800000000002</v>
      </c>
      <c r="AR6730">
        <v>1000</v>
      </c>
      <c r="AS6730">
        <v>50</v>
      </c>
      <c r="AT6730">
        <v>30000</v>
      </c>
      <c r="AU6730" s="30">
        <v>101</v>
      </c>
      <c r="AV6730">
        <v>840.45</v>
      </c>
      <c r="AW6730">
        <v>500</v>
      </c>
      <c r="AX6730">
        <v>100</v>
      </c>
      <c r="AY6730">
        <v>2400</v>
      </c>
      <c r="AZ6730" s="30">
        <v>23</v>
      </c>
      <c r="BA6730">
        <v>679.31</v>
      </c>
      <c r="BB6730">
        <v>600</v>
      </c>
      <c r="BC6730">
        <v>100</v>
      </c>
      <c r="BD6730">
        <v>2300</v>
      </c>
      <c r="BE6730" s="30">
        <v>170</v>
      </c>
      <c r="BF6730">
        <v>3531.6</v>
      </c>
      <c r="BG6730">
        <v>3000</v>
      </c>
      <c r="BH6730">
        <v>1000</v>
      </c>
      <c r="BI6730">
        <v>5000</v>
      </c>
      <c r="BJ6730" s="30">
        <v>6</v>
      </c>
      <c r="BK6730">
        <v>3796.05</v>
      </c>
      <c r="BL6730">
        <v>2700</v>
      </c>
      <c r="BM6730">
        <v>200</v>
      </c>
      <c r="BN6730">
        <v>20000</v>
      </c>
      <c r="BO6730" s="30">
        <v>28</v>
      </c>
      <c r="BP6730">
        <v>1056.56</v>
      </c>
      <c r="BQ6730">
        <v>700</v>
      </c>
      <c r="BR6730">
        <v>50</v>
      </c>
      <c r="BS6730">
        <v>16000</v>
      </c>
      <c r="BT6730" s="30">
        <v>94</v>
      </c>
      <c r="BU6730">
        <v>3445.61</v>
      </c>
      <c r="BV6730">
        <v>3500</v>
      </c>
      <c r="BW6730">
        <v>300</v>
      </c>
      <c r="BX6730">
        <v>8000</v>
      </c>
      <c r="BY6730" s="30">
        <v>14</v>
      </c>
      <c r="BZ6730">
        <v>170</v>
      </c>
    </row>
    <row r="6731" spans="1:78" x14ac:dyDescent="0.35">
      <c r="A6731" t="s">
        <v>230</v>
      </c>
      <c r="B6731" t="s">
        <v>241</v>
      </c>
      <c r="C6731">
        <v>7543.36</v>
      </c>
      <c r="D6731">
        <v>6000</v>
      </c>
      <c r="E6731">
        <v>200</v>
      </c>
      <c r="F6731">
        <v>25000</v>
      </c>
      <c r="G6731" s="30">
        <v>330</v>
      </c>
      <c r="H6731">
        <v>4923.3999999999996</v>
      </c>
      <c r="I6731">
        <v>3000</v>
      </c>
      <c r="J6731">
        <v>200</v>
      </c>
      <c r="K6731">
        <v>60000</v>
      </c>
      <c r="L6731" s="30">
        <v>161</v>
      </c>
      <c r="M6731">
        <v>5888.23</v>
      </c>
      <c r="N6731">
        <v>6000</v>
      </c>
      <c r="O6731">
        <v>1000</v>
      </c>
      <c r="P6731">
        <v>12000</v>
      </c>
      <c r="Q6731" s="30">
        <v>46</v>
      </c>
      <c r="R6731">
        <v>521.39</v>
      </c>
      <c r="S6731">
        <v>400</v>
      </c>
      <c r="T6731">
        <v>50</v>
      </c>
      <c r="U6731">
        <v>3000</v>
      </c>
      <c r="V6731" s="30">
        <v>161</v>
      </c>
      <c r="W6731">
        <v>518.95000000000005</v>
      </c>
      <c r="X6731">
        <v>400</v>
      </c>
      <c r="Y6731">
        <v>30</v>
      </c>
      <c r="Z6731">
        <v>3000</v>
      </c>
      <c r="AA6731" s="30">
        <v>169</v>
      </c>
      <c r="AB6731">
        <v>836.9</v>
      </c>
      <c r="AC6731">
        <v>500</v>
      </c>
      <c r="AD6731">
        <v>100</v>
      </c>
      <c r="AE6731">
        <v>5000</v>
      </c>
      <c r="AF6731" s="30">
        <v>262</v>
      </c>
      <c r="AG6731">
        <v>791.44</v>
      </c>
      <c r="AH6731">
        <v>500</v>
      </c>
      <c r="AI6731">
        <v>100</v>
      </c>
      <c r="AJ6731">
        <v>5000</v>
      </c>
      <c r="AK6731" s="30">
        <v>120</v>
      </c>
      <c r="AL6731">
        <v>2095.8000000000002</v>
      </c>
      <c r="AM6731">
        <v>2000</v>
      </c>
      <c r="AN6731">
        <v>300</v>
      </c>
      <c r="AO6731">
        <v>9100</v>
      </c>
      <c r="AP6731" s="30">
        <v>324</v>
      </c>
      <c r="AQ6731">
        <v>2165.39</v>
      </c>
      <c r="AR6731">
        <v>1000</v>
      </c>
      <c r="AS6731">
        <v>50</v>
      </c>
      <c r="AT6731">
        <v>30000</v>
      </c>
      <c r="AU6731" s="30">
        <v>218</v>
      </c>
      <c r="AV6731">
        <v>921.52</v>
      </c>
      <c r="AW6731">
        <v>1000</v>
      </c>
      <c r="AX6731">
        <v>200</v>
      </c>
      <c r="AY6731">
        <v>2000</v>
      </c>
      <c r="AZ6731" s="30">
        <v>27</v>
      </c>
      <c r="BA6731">
        <v>658.47</v>
      </c>
      <c r="BB6731">
        <v>510</v>
      </c>
      <c r="BC6731">
        <v>100</v>
      </c>
      <c r="BD6731">
        <v>2000</v>
      </c>
      <c r="BE6731" s="30">
        <v>331</v>
      </c>
      <c r="BF6731">
        <v>5509.77</v>
      </c>
      <c r="BG6731">
        <v>4000</v>
      </c>
      <c r="BH6731">
        <v>400</v>
      </c>
      <c r="BI6731">
        <v>10000</v>
      </c>
      <c r="BJ6731" s="30">
        <v>17</v>
      </c>
      <c r="BK6731">
        <v>2703.24</v>
      </c>
      <c r="BL6731">
        <v>1000</v>
      </c>
      <c r="BM6731">
        <v>100</v>
      </c>
      <c r="BN6731">
        <v>30000</v>
      </c>
      <c r="BO6731" s="30">
        <v>73</v>
      </c>
      <c r="BP6731">
        <v>1469.73</v>
      </c>
      <c r="BQ6731">
        <v>800</v>
      </c>
      <c r="BR6731">
        <v>60</v>
      </c>
      <c r="BS6731">
        <v>10000</v>
      </c>
      <c r="BT6731" s="30">
        <v>182</v>
      </c>
      <c r="BU6731">
        <v>3044.24</v>
      </c>
      <c r="BV6731">
        <v>2500</v>
      </c>
      <c r="BW6731">
        <v>100</v>
      </c>
      <c r="BX6731">
        <v>6500</v>
      </c>
      <c r="BY6731" s="30">
        <v>19</v>
      </c>
      <c r="BZ6731">
        <v>331</v>
      </c>
    </row>
    <row r="6732" spans="1:78" x14ac:dyDescent="0.35">
      <c r="A6732" t="s">
        <v>231</v>
      </c>
      <c r="B6732" t="s">
        <v>242</v>
      </c>
      <c r="C6732">
        <v>7830.43</v>
      </c>
      <c r="D6732">
        <v>5000</v>
      </c>
      <c r="E6732">
        <v>900</v>
      </c>
      <c r="F6732">
        <v>25000</v>
      </c>
      <c r="G6732" s="30">
        <v>46</v>
      </c>
      <c r="H6732">
        <v>4404.3500000000004</v>
      </c>
      <c r="I6732">
        <v>4000</v>
      </c>
      <c r="J6732">
        <v>1000</v>
      </c>
      <c r="K6732">
        <v>15000</v>
      </c>
      <c r="L6732" s="30">
        <v>23</v>
      </c>
      <c r="M6732">
        <v>3714.29</v>
      </c>
      <c r="N6732">
        <v>3000</v>
      </c>
      <c r="O6732">
        <v>500</v>
      </c>
      <c r="P6732">
        <v>9000</v>
      </c>
      <c r="Q6732" s="30">
        <v>7</v>
      </c>
      <c r="R6732">
        <v>499.13</v>
      </c>
      <c r="S6732">
        <v>300</v>
      </c>
      <c r="T6732">
        <v>50</v>
      </c>
      <c r="U6732">
        <v>2500</v>
      </c>
      <c r="V6732" s="30">
        <v>23</v>
      </c>
      <c r="W6732">
        <v>605.72</v>
      </c>
      <c r="X6732">
        <v>500</v>
      </c>
      <c r="Y6732">
        <v>75</v>
      </c>
      <c r="Z6732">
        <v>2000</v>
      </c>
      <c r="AA6732" s="30">
        <v>25</v>
      </c>
      <c r="AB6732">
        <v>834.38</v>
      </c>
      <c r="AC6732">
        <v>600</v>
      </c>
      <c r="AD6732">
        <v>100</v>
      </c>
      <c r="AE6732">
        <v>3000</v>
      </c>
      <c r="AF6732" s="30">
        <v>39</v>
      </c>
      <c r="AG6732">
        <v>720.83</v>
      </c>
      <c r="AH6732">
        <v>500</v>
      </c>
      <c r="AI6732">
        <v>100</v>
      </c>
      <c r="AJ6732">
        <v>3000</v>
      </c>
      <c r="AK6732" s="30">
        <v>24</v>
      </c>
      <c r="AL6732">
        <v>2351.15</v>
      </c>
      <c r="AM6732">
        <v>2000</v>
      </c>
      <c r="AN6732">
        <v>300</v>
      </c>
      <c r="AO6732">
        <v>6000</v>
      </c>
      <c r="AP6732" s="30">
        <v>52</v>
      </c>
      <c r="AQ6732">
        <v>2844.41</v>
      </c>
      <c r="AR6732">
        <v>1300</v>
      </c>
      <c r="AS6732">
        <v>100</v>
      </c>
      <c r="AT6732">
        <v>30000</v>
      </c>
      <c r="AU6732" s="30">
        <v>34</v>
      </c>
      <c r="AV6732">
        <v>600</v>
      </c>
      <c r="AW6732">
        <v>500</v>
      </c>
      <c r="AX6732">
        <v>100</v>
      </c>
      <c r="AY6732">
        <v>1500</v>
      </c>
      <c r="AZ6732" s="30">
        <v>12</v>
      </c>
      <c r="BA6732">
        <v>740.1</v>
      </c>
      <c r="BB6732">
        <v>600</v>
      </c>
      <c r="BC6732">
        <v>135</v>
      </c>
      <c r="BD6732">
        <v>2000</v>
      </c>
      <c r="BE6732" s="30">
        <v>49</v>
      </c>
      <c r="BF6732">
        <v>3250</v>
      </c>
      <c r="BG6732">
        <v>3000</v>
      </c>
      <c r="BH6732">
        <v>1000</v>
      </c>
      <c r="BI6732">
        <v>6000</v>
      </c>
      <c r="BJ6732" s="30">
        <v>4</v>
      </c>
      <c r="BK6732">
        <v>6194.44</v>
      </c>
      <c r="BL6732">
        <v>2000</v>
      </c>
      <c r="BM6732">
        <v>450</v>
      </c>
      <c r="BN6732">
        <v>30000</v>
      </c>
      <c r="BO6732" s="30">
        <v>9</v>
      </c>
      <c r="BP6732">
        <v>1456</v>
      </c>
      <c r="BQ6732">
        <v>1000</v>
      </c>
      <c r="BR6732">
        <v>100</v>
      </c>
      <c r="BS6732">
        <v>7000</v>
      </c>
      <c r="BT6732" s="30">
        <v>25</v>
      </c>
      <c r="BU6732">
        <v>850</v>
      </c>
      <c r="BV6732">
        <v>800</v>
      </c>
      <c r="BW6732">
        <v>200</v>
      </c>
      <c r="BX6732">
        <v>2000</v>
      </c>
      <c r="BY6732" s="30">
        <v>6</v>
      </c>
      <c r="BZ6732">
        <v>52</v>
      </c>
    </row>
    <row r="6733" spans="1:78" x14ac:dyDescent="0.35">
      <c r="A6733" t="s">
        <v>231</v>
      </c>
      <c r="B6733" t="s">
        <v>241</v>
      </c>
      <c r="C6733">
        <v>7265.96</v>
      </c>
      <c r="D6733">
        <v>5000</v>
      </c>
      <c r="E6733">
        <v>500</v>
      </c>
      <c r="F6733">
        <v>30000</v>
      </c>
      <c r="G6733" s="30">
        <v>94</v>
      </c>
      <c r="H6733">
        <v>4137.5</v>
      </c>
      <c r="I6733">
        <v>3000</v>
      </c>
      <c r="J6733">
        <v>100</v>
      </c>
      <c r="K6733">
        <v>24000</v>
      </c>
      <c r="L6733" s="30">
        <v>56</v>
      </c>
      <c r="M6733">
        <v>6602.59</v>
      </c>
      <c r="N6733">
        <v>7000</v>
      </c>
      <c r="O6733">
        <v>2244</v>
      </c>
      <c r="P6733">
        <v>13000</v>
      </c>
      <c r="Q6733" s="30">
        <v>17</v>
      </c>
      <c r="R6733">
        <v>466.89</v>
      </c>
      <c r="S6733">
        <v>300</v>
      </c>
      <c r="T6733">
        <v>50</v>
      </c>
      <c r="U6733">
        <v>2000</v>
      </c>
      <c r="V6733" s="30">
        <v>45</v>
      </c>
      <c r="W6733">
        <v>631.24</v>
      </c>
      <c r="X6733">
        <v>500</v>
      </c>
      <c r="Y6733">
        <v>50</v>
      </c>
      <c r="Z6733">
        <v>2000</v>
      </c>
      <c r="AA6733" s="30">
        <v>55</v>
      </c>
      <c r="AB6733">
        <v>894.5</v>
      </c>
      <c r="AC6733">
        <v>500</v>
      </c>
      <c r="AD6733">
        <v>100</v>
      </c>
      <c r="AE6733">
        <v>5000</v>
      </c>
      <c r="AF6733" s="30">
        <v>80</v>
      </c>
      <c r="AG6733">
        <v>632.5</v>
      </c>
      <c r="AH6733">
        <v>500</v>
      </c>
      <c r="AI6733">
        <v>100</v>
      </c>
      <c r="AJ6733">
        <v>3000</v>
      </c>
      <c r="AK6733" s="30">
        <v>40</v>
      </c>
      <c r="AL6733">
        <v>1844.71</v>
      </c>
      <c r="AM6733">
        <v>1700</v>
      </c>
      <c r="AN6733">
        <v>400</v>
      </c>
      <c r="AO6733">
        <v>6000</v>
      </c>
      <c r="AP6733" s="30">
        <v>84</v>
      </c>
      <c r="AQ6733">
        <v>1371.86</v>
      </c>
      <c r="AR6733">
        <v>600</v>
      </c>
      <c r="AS6733">
        <v>50</v>
      </c>
      <c r="AT6733">
        <v>10000</v>
      </c>
      <c r="AU6733" s="30">
        <v>70</v>
      </c>
      <c r="AV6733">
        <v>427.78</v>
      </c>
      <c r="AW6733">
        <v>450</v>
      </c>
      <c r="AX6733">
        <v>200</v>
      </c>
      <c r="AY6733">
        <v>1000</v>
      </c>
      <c r="AZ6733" s="30">
        <v>9</v>
      </c>
      <c r="BA6733">
        <v>531.70000000000005</v>
      </c>
      <c r="BB6733">
        <v>500</v>
      </c>
      <c r="BC6733">
        <v>50</v>
      </c>
      <c r="BD6733">
        <v>2000</v>
      </c>
      <c r="BE6733" s="30">
        <v>100</v>
      </c>
      <c r="BF6733">
        <v>2800</v>
      </c>
      <c r="BG6733">
        <v>1500</v>
      </c>
      <c r="BH6733">
        <v>300</v>
      </c>
      <c r="BI6733">
        <v>10000</v>
      </c>
      <c r="BJ6733" s="30">
        <v>5</v>
      </c>
      <c r="BK6733">
        <v>4462.07</v>
      </c>
      <c r="BL6733">
        <v>2000</v>
      </c>
      <c r="BM6733">
        <v>200</v>
      </c>
      <c r="BN6733">
        <v>20000</v>
      </c>
      <c r="BO6733" s="30">
        <v>29</v>
      </c>
      <c r="BP6733">
        <v>1375.65</v>
      </c>
      <c r="BQ6733">
        <v>500</v>
      </c>
      <c r="BR6733">
        <v>50</v>
      </c>
      <c r="BS6733">
        <v>15000</v>
      </c>
      <c r="BT6733" s="30">
        <v>46</v>
      </c>
      <c r="BU6733">
        <v>6600</v>
      </c>
      <c r="BV6733">
        <v>10000</v>
      </c>
      <c r="BW6733">
        <v>800</v>
      </c>
      <c r="BX6733">
        <v>10000</v>
      </c>
      <c r="BY6733" s="30">
        <v>3</v>
      </c>
      <c r="BZ6733">
        <v>100</v>
      </c>
    </row>
    <row r="6734" spans="1:78" x14ac:dyDescent="0.35">
      <c r="A6734" t="s">
        <v>232</v>
      </c>
      <c r="B6734" t="s">
        <v>232</v>
      </c>
      <c r="C6734">
        <v>7868.72</v>
      </c>
      <c r="D6734">
        <v>6000</v>
      </c>
      <c r="E6734">
        <v>200</v>
      </c>
      <c r="F6734">
        <v>30000</v>
      </c>
      <c r="G6734" s="30">
        <v>2369</v>
      </c>
      <c r="H6734">
        <v>4052.31</v>
      </c>
      <c r="I6734">
        <v>3000</v>
      </c>
      <c r="J6734">
        <v>100</v>
      </c>
      <c r="K6734">
        <v>60000</v>
      </c>
      <c r="L6734" s="30">
        <v>1077</v>
      </c>
      <c r="M6734">
        <v>5938.14</v>
      </c>
      <c r="N6734">
        <v>5000</v>
      </c>
      <c r="O6734">
        <v>183</v>
      </c>
      <c r="P6734">
        <v>16000</v>
      </c>
      <c r="Q6734" s="30">
        <v>345</v>
      </c>
      <c r="R6734">
        <v>468.12</v>
      </c>
      <c r="S6734">
        <v>300</v>
      </c>
      <c r="T6734">
        <v>50</v>
      </c>
      <c r="U6734">
        <v>3000</v>
      </c>
      <c r="V6734" s="30">
        <v>1180</v>
      </c>
      <c r="W6734">
        <v>542.04</v>
      </c>
      <c r="X6734">
        <v>401</v>
      </c>
      <c r="Y6734">
        <v>30</v>
      </c>
      <c r="Z6734">
        <v>3000</v>
      </c>
      <c r="AA6734" s="30">
        <v>1265</v>
      </c>
      <c r="AB6734">
        <v>868.78</v>
      </c>
      <c r="AC6734">
        <v>500</v>
      </c>
      <c r="AD6734">
        <v>100</v>
      </c>
      <c r="AE6734">
        <v>5000</v>
      </c>
      <c r="AF6734" s="30">
        <v>1926</v>
      </c>
      <c r="AG6734">
        <v>667.4</v>
      </c>
      <c r="AH6734">
        <v>500</v>
      </c>
      <c r="AI6734">
        <v>100</v>
      </c>
      <c r="AJ6734">
        <v>5000</v>
      </c>
      <c r="AK6734" s="30">
        <v>856</v>
      </c>
      <c r="AL6734">
        <v>2130.96</v>
      </c>
      <c r="AM6734">
        <v>2000</v>
      </c>
      <c r="AN6734">
        <v>300</v>
      </c>
      <c r="AO6734">
        <v>9100</v>
      </c>
      <c r="AP6734" s="30">
        <v>2431</v>
      </c>
      <c r="AQ6734">
        <v>2285.5300000000002</v>
      </c>
      <c r="AR6734">
        <v>1000</v>
      </c>
      <c r="AS6734">
        <v>50</v>
      </c>
      <c r="AT6734">
        <v>30000</v>
      </c>
      <c r="AU6734" s="30">
        <v>1520</v>
      </c>
      <c r="AV6734">
        <v>776.74</v>
      </c>
      <c r="AW6734">
        <v>500</v>
      </c>
      <c r="AX6734">
        <v>100</v>
      </c>
      <c r="AY6734">
        <v>3000</v>
      </c>
      <c r="AZ6734" s="30">
        <v>266</v>
      </c>
      <c r="BA6734">
        <v>615.85</v>
      </c>
      <c r="BB6734">
        <v>500</v>
      </c>
      <c r="BC6734">
        <v>50</v>
      </c>
      <c r="BD6734">
        <v>2800</v>
      </c>
      <c r="BE6734" s="30">
        <v>2479</v>
      </c>
      <c r="BF6734">
        <v>3040.04</v>
      </c>
      <c r="BG6734">
        <v>2000</v>
      </c>
      <c r="BH6734">
        <v>200</v>
      </c>
      <c r="BI6734">
        <v>10000</v>
      </c>
      <c r="BJ6734" s="30">
        <v>132</v>
      </c>
      <c r="BK6734">
        <v>4895.0200000000004</v>
      </c>
      <c r="BL6734">
        <v>2000</v>
      </c>
      <c r="BM6734">
        <v>100</v>
      </c>
      <c r="BN6734">
        <v>30000</v>
      </c>
      <c r="BO6734" s="30">
        <v>461</v>
      </c>
      <c r="BP6734">
        <v>1288.5999999999999</v>
      </c>
      <c r="BQ6734">
        <v>600</v>
      </c>
      <c r="BR6734">
        <v>50</v>
      </c>
      <c r="BS6734">
        <v>30000</v>
      </c>
      <c r="BT6734" s="30">
        <v>1296</v>
      </c>
      <c r="BU6734">
        <v>3251.2</v>
      </c>
      <c r="BV6734">
        <v>2500</v>
      </c>
      <c r="BW6734">
        <v>100</v>
      </c>
      <c r="BX6734">
        <v>10000</v>
      </c>
      <c r="BY6734" s="30">
        <v>124</v>
      </c>
      <c r="BZ6734">
        <v>2479</v>
      </c>
    </row>
    <row r="6736" spans="1:78" x14ac:dyDescent="0.35">
      <c r="A6736" s="1" t="s">
        <v>966</v>
      </c>
    </row>
    <row r="6737" spans="1:78" x14ac:dyDescent="0.35">
      <c r="A6737" t="s">
        <v>219</v>
      </c>
      <c r="B6737" t="s">
        <v>305</v>
      </c>
      <c r="C6737" t="s">
        <v>889</v>
      </c>
      <c r="D6737" t="s">
        <v>890</v>
      </c>
      <c r="E6737" t="s">
        <v>891</v>
      </c>
      <c r="F6737" t="s">
        <v>892</v>
      </c>
      <c r="G6737" t="s">
        <v>893</v>
      </c>
      <c r="H6737" t="s">
        <v>894</v>
      </c>
      <c r="I6737" t="s">
        <v>895</v>
      </c>
      <c r="J6737" t="s">
        <v>896</v>
      </c>
      <c r="K6737" t="s">
        <v>897</v>
      </c>
      <c r="L6737" t="s">
        <v>898</v>
      </c>
      <c r="M6737" t="s">
        <v>899</v>
      </c>
      <c r="N6737" t="s">
        <v>900</v>
      </c>
      <c r="O6737" t="s">
        <v>901</v>
      </c>
      <c r="P6737" t="s">
        <v>902</v>
      </c>
      <c r="Q6737" t="s">
        <v>903</v>
      </c>
      <c r="R6737" t="s">
        <v>904</v>
      </c>
      <c r="S6737" t="s">
        <v>905</v>
      </c>
      <c r="T6737" t="s">
        <v>906</v>
      </c>
      <c r="U6737" t="s">
        <v>907</v>
      </c>
      <c r="V6737" t="s">
        <v>908</v>
      </c>
      <c r="W6737" t="s">
        <v>909</v>
      </c>
      <c r="X6737" t="s">
        <v>910</v>
      </c>
      <c r="Y6737" t="s">
        <v>911</v>
      </c>
      <c r="Z6737" t="s">
        <v>912</v>
      </c>
      <c r="AA6737" t="s">
        <v>913</v>
      </c>
      <c r="AB6737" t="s">
        <v>914</v>
      </c>
      <c r="AC6737" t="s">
        <v>915</v>
      </c>
      <c r="AD6737" t="s">
        <v>916</v>
      </c>
      <c r="AE6737" t="s">
        <v>917</v>
      </c>
      <c r="AF6737" t="s">
        <v>918</v>
      </c>
      <c r="AG6737" t="s">
        <v>919</v>
      </c>
      <c r="AH6737" t="s">
        <v>920</v>
      </c>
      <c r="AI6737" t="s">
        <v>921</v>
      </c>
      <c r="AJ6737" t="s">
        <v>922</v>
      </c>
      <c r="AK6737" t="s">
        <v>923</v>
      </c>
      <c r="AL6737" t="s">
        <v>924</v>
      </c>
      <c r="AM6737" t="s">
        <v>925</v>
      </c>
      <c r="AN6737" t="s">
        <v>926</v>
      </c>
      <c r="AO6737" t="s">
        <v>927</v>
      </c>
      <c r="AP6737" t="s">
        <v>928</v>
      </c>
      <c r="AQ6737" t="s">
        <v>929</v>
      </c>
      <c r="AR6737" t="s">
        <v>930</v>
      </c>
      <c r="AS6737" t="s">
        <v>931</v>
      </c>
      <c r="AT6737" t="s">
        <v>932</v>
      </c>
      <c r="AU6737" t="s">
        <v>933</v>
      </c>
      <c r="AV6737" t="s">
        <v>934</v>
      </c>
      <c r="AW6737" t="s">
        <v>935</v>
      </c>
      <c r="AX6737" t="s">
        <v>936</v>
      </c>
      <c r="AY6737" t="s">
        <v>937</v>
      </c>
      <c r="AZ6737" t="s">
        <v>938</v>
      </c>
      <c r="BA6737" t="s">
        <v>939</v>
      </c>
      <c r="BB6737" t="s">
        <v>940</v>
      </c>
      <c r="BC6737" t="s">
        <v>941</v>
      </c>
      <c r="BD6737" t="s">
        <v>942</v>
      </c>
      <c r="BE6737" t="s">
        <v>943</v>
      </c>
      <c r="BF6737" t="s">
        <v>944</v>
      </c>
      <c r="BG6737" t="s">
        <v>945</v>
      </c>
      <c r="BH6737" t="s">
        <v>946</v>
      </c>
      <c r="BI6737" t="s">
        <v>947</v>
      </c>
      <c r="BJ6737" t="s">
        <v>948</v>
      </c>
      <c r="BK6737" t="s">
        <v>949</v>
      </c>
      <c r="BL6737" t="s">
        <v>950</v>
      </c>
      <c r="BM6737" t="s">
        <v>951</v>
      </c>
      <c r="BN6737" t="s">
        <v>952</v>
      </c>
      <c r="BO6737" t="s">
        <v>953</v>
      </c>
      <c r="BP6737" t="s">
        <v>954</v>
      </c>
      <c r="BQ6737" t="s">
        <v>955</v>
      </c>
      <c r="BR6737" t="s">
        <v>956</v>
      </c>
      <c r="BS6737" t="s">
        <v>957</v>
      </c>
      <c r="BT6737" t="s">
        <v>958</v>
      </c>
      <c r="BU6737" t="s">
        <v>959</v>
      </c>
      <c r="BV6737" t="s">
        <v>960</v>
      </c>
      <c r="BW6737" t="s">
        <v>961</v>
      </c>
      <c r="BX6737" t="s">
        <v>962</v>
      </c>
      <c r="BY6737" t="s">
        <v>963</v>
      </c>
      <c r="BZ6737" t="s">
        <v>964</v>
      </c>
    </row>
    <row r="6738" spans="1:78" x14ac:dyDescent="0.35">
      <c r="A6738" t="s">
        <v>227</v>
      </c>
      <c r="B6738" t="s">
        <v>239</v>
      </c>
      <c r="C6738">
        <v>5674.48</v>
      </c>
      <c r="D6738">
        <v>5000</v>
      </c>
      <c r="E6738">
        <v>500</v>
      </c>
      <c r="F6738">
        <v>16322</v>
      </c>
      <c r="G6738" s="30">
        <v>54</v>
      </c>
      <c r="H6738">
        <v>3672</v>
      </c>
      <c r="I6738">
        <v>3000</v>
      </c>
      <c r="J6738">
        <v>400</v>
      </c>
      <c r="K6738">
        <v>30000</v>
      </c>
      <c r="L6738" s="30">
        <v>25</v>
      </c>
      <c r="M6738">
        <v>2857.14</v>
      </c>
      <c r="N6738">
        <v>3000</v>
      </c>
      <c r="O6738">
        <v>1000</v>
      </c>
      <c r="P6738">
        <v>8000</v>
      </c>
      <c r="Q6738" s="30">
        <v>7</v>
      </c>
      <c r="R6738">
        <v>495.6</v>
      </c>
      <c r="S6738">
        <v>300</v>
      </c>
      <c r="T6738">
        <v>60</v>
      </c>
      <c r="U6738">
        <v>2000</v>
      </c>
      <c r="V6738" s="30">
        <v>25</v>
      </c>
      <c r="W6738">
        <v>800</v>
      </c>
      <c r="X6738">
        <v>500</v>
      </c>
      <c r="Y6738">
        <v>100</v>
      </c>
      <c r="Z6738">
        <v>2000</v>
      </c>
      <c r="AA6738" s="30">
        <v>28</v>
      </c>
      <c r="AB6738">
        <v>927.02</v>
      </c>
      <c r="AC6738">
        <v>700</v>
      </c>
      <c r="AD6738">
        <v>100</v>
      </c>
      <c r="AE6738">
        <v>4000</v>
      </c>
      <c r="AF6738" s="30">
        <v>45</v>
      </c>
      <c r="AG6738">
        <v>461.16</v>
      </c>
      <c r="AH6738">
        <v>300</v>
      </c>
      <c r="AI6738">
        <v>100</v>
      </c>
      <c r="AJ6738">
        <v>1500</v>
      </c>
      <c r="AK6738" s="30">
        <v>19</v>
      </c>
      <c r="AL6738">
        <v>1721.24</v>
      </c>
      <c r="AM6738">
        <v>1500</v>
      </c>
      <c r="AN6738">
        <v>500</v>
      </c>
      <c r="AO6738">
        <v>8000</v>
      </c>
      <c r="AP6738" s="30">
        <v>55</v>
      </c>
      <c r="AQ6738">
        <v>4026.39</v>
      </c>
      <c r="AR6738">
        <v>1500</v>
      </c>
      <c r="AS6738">
        <v>150</v>
      </c>
      <c r="AT6738">
        <v>30000</v>
      </c>
      <c r="AU6738" s="30">
        <v>36</v>
      </c>
      <c r="AV6738">
        <v>1176.92</v>
      </c>
      <c r="AW6738">
        <v>1200</v>
      </c>
      <c r="AX6738">
        <v>500</v>
      </c>
      <c r="AY6738">
        <v>2800</v>
      </c>
      <c r="AZ6738" s="30">
        <v>13</v>
      </c>
      <c r="BA6738">
        <v>559.26</v>
      </c>
      <c r="BB6738">
        <v>500</v>
      </c>
      <c r="BC6738">
        <v>100</v>
      </c>
      <c r="BD6738">
        <v>1500</v>
      </c>
      <c r="BE6738" s="30">
        <v>54</v>
      </c>
      <c r="BF6738">
        <v>1450</v>
      </c>
      <c r="BG6738">
        <v>400</v>
      </c>
      <c r="BH6738">
        <v>400</v>
      </c>
      <c r="BI6738">
        <v>2500</v>
      </c>
      <c r="BJ6738" s="30">
        <v>2</v>
      </c>
      <c r="BK6738">
        <v>5944.44</v>
      </c>
      <c r="BL6738">
        <v>6000</v>
      </c>
      <c r="BM6738">
        <v>500</v>
      </c>
      <c r="BN6738">
        <v>25000</v>
      </c>
      <c r="BO6738" s="30">
        <v>9</v>
      </c>
      <c r="BP6738">
        <v>508.5</v>
      </c>
      <c r="BQ6738">
        <v>300</v>
      </c>
      <c r="BR6738">
        <v>50</v>
      </c>
      <c r="BS6738">
        <v>3000</v>
      </c>
      <c r="BT6738" s="30">
        <v>40</v>
      </c>
      <c r="BU6738">
        <v>3750</v>
      </c>
      <c r="BV6738">
        <v>5550</v>
      </c>
      <c r="BW6738">
        <v>700</v>
      </c>
      <c r="BX6738">
        <v>5550</v>
      </c>
      <c r="BY6738" s="30">
        <v>3</v>
      </c>
      <c r="BZ6738">
        <v>55</v>
      </c>
    </row>
    <row r="6739" spans="1:78" x14ac:dyDescent="0.35">
      <c r="A6739" t="s">
        <v>227</v>
      </c>
      <c r="B6739" t="s">
        <v>238</v>
      </c>
      <c r="C6739">
        <v>6446.39</v>
      </c>
      <c r="D6739">
        <v>5000</v>
      </c>
      <c r="E6739">
        <v>850</v>
      </c>
      <c r="F6739">
        <v>30000</v>
      </c>
      <c r="G6739" s="30">
        <v>88</v>
      </c>
      <c r="H6739">
        <v>3406.54</v>
      </c>
      <c r="I6739">
        <v>2000</v>
      </c>
      <c r="J6739">
        <v>119</v>
      </c>
      <c r="K6739">
        <v>10000</v>
      </c>
      <c r="L6739" s="30">
        <v>41</v>
      </c>
      <c r="M6739">
        <v>5457.89</v>
      </c>
      <c r="N6739">
        <v>6000</v>
      </c>
      <c r="O6739">
        <v>2000</v>
      </c>
      <c r="P6739">
        <v>12000</v>
      </c>
      <c r="Q6739" s="30">
        <v>19</v>
      </c>
      <c r="R6739">
        <v>293.05</v>
      </c>
      <c r="S6739">
        <v>200</v>
      </c>
      <c r="T6739">
        <v>50</v>
      </c>
      <c r="U6739">
        <v>1000</v>
      </c>
      <c r="V6739" s="30">
        <v>59</v>
      </c>
      <c r="W6739">
        <v>393.25</v>
      </c>
      <c r="X6739">
        <v>300</v>
      </c>
      <c r="Y6739">
        <v>50</v>
      </c>
      <c r="Z6739">
        <v>2000</v>
      </c>
      <c r="AA6739" s="30">
        <v>51</v>
      </c>
      <c r="AB6739">
        <v>693.82</v>
      </c>
      <c r="AC6739">
        <v>500</v>
      </c>
      <c r="AD6739">
        <v>100</v>
      </c>
      <c r="AE6739">
        <v>5000</v>
      </c>
      <c r="AF6739" s="30">
        <v>76</v>
      </c>
      <c r="AG6739">
        <v>692.97</v>
      </c>
      <c r="AH6739">
        <v>500</v>
      </c>
      <c r="AI6739">
        <v>100</v>
      </c>
      <c r="AJ6739">
        <v>4000</v>
      </c>
      <c r="AK6739" s="30">
        <v>32</v>
      </c>
      <c r="AL6739">
        <v>1976.59</v>
      </c>
      <c r="AM6739">
        <v>1700</v>
      </c>
      <c r="AN6739">
        <v>350</v>
      </c>
      <c r="AO6739">
        <v>8000</v>
      </c>
      <c r="AP6739" s="30">
        <v>91</v>
      </c>
      <c r="AQ6739">
        <v>2135.2600000000002</v>
      </c>
      <c r="AR6739">
        <v>1000</v>
      </c>
      <c r="AS6739">
        <v>50</v>
      </c>
      <c r="AT6739">
        <v>30000</v>
      </c>
      <c r="AU6739" s="30">
        <v>65</v>
      </c>
      <c r="AV6739">
        <v>998.89</v>
      </c>
      <c r="AW6739">
        <v>1000</v>
      </c>
      <c r="AX6739">
        <v>200</v>
      </c>
      <c r="AY6739">
        <v>3000</v>
      </c>
      <c r="AZ6739" s="30">
        <v>9</v>
      </c>
      <c r="BA6739">
        <v>543.66999999999996</v>
      </c>
      <c r="BB6739">
        <v>500</v>
      </c>
      <c r="BC6739">
        <v>100</v>
      </c>
      <c r="BD6739">
        <v>2500</v>
      </c>
      <c r="BE6739" s="30">
        <v>91</v>
      </c>
      <c r="BF6739">
        <v>3416.67</v>
      </c>
      <c r="BG6739">
        <v>5000</v>
      </c>
      <c r="BH6739">
        <v>2000</v>
      </c>
      <c r="BI6739">
        <v>6500</v>
      </c>
      <c r="BJ6739" s="30">
        <v>6</v>
      </c>
      <c r="BK6739">
        <v>3697.48</v>
      </c>
      <c r="BL6739">
        <v>1800</v>
      </c>
      <c r="BM6739">
        <v>300</v>
      </c>
      <c r="BN6739">
        <v>20000</v>
      </c>
      <c r="BO6739" s="30">
        <v>25</v>
      </c>
      <c r="BP6739">
        <v>995.22</v>
      </c>
      <c r="BQ6739">
        <v>700</v>
      </c>
      <c r="BR6739">
        <v>50</v>
      </c>
      <c r="BS6739">
        <v>3500</v>
      </c>
      <c r="BT6739" s="30">
        <v>49</v>
      </c>
      <c r="BU6739">
        <v>4214.29</v>
      </c>
      <c r="BV6739">
        <v>5000</v>
      </c>
      <c r="BW6739">
        <v>1000</v>
      </c>
      <c r="BX6739">
        <v>7500</v>
      </c>
      <c r="BY6739" s="30">
        <v>7</v>
      </c>
      <c r="BZ6739">
        <v>91</v>
      </c>
    </row>
    <row r="6740" spans="1:78" x14ac:dyDescent="0.35">
      <c r="A6740" t="s">
        <v>228</v>
      </c>
      <c r="B6740" t="s">
        <v>239</v>
      </c>
      <c r="C6740">
        <v>6493.42</v>
      </c>
      <c r="D6740">
        <v>5000</v>
      </c>
      <c r="E6740">
        <v>200</v>
      </c>
      <c r="F6740">
        <v>25000</v>
      </c>
      <c r="G6740" s="30">
        <v>254</v>
      </c>
      <c r="H6740">
        <v>3995.76</v>
      </c>
      <c r="I6740">
        <v>3000</v>
      </c>
      <c r="J6740">
        <v>200</v>
      </c>
      <c r="K6740">
        <v>15000</v>
      </c>
      <c r="L6740" s="30">
        <v>94</v>
      </c>
      <c r="M6740">
        <v>4761.49</v>
      </c>
      <c r="N6740">
        <v>5000</v>
      </c>
      <c r="O6740">
        <v>300</v>
      </c>
      <c r="P6740">
        <v>15000</v>
      </c>
      <c r="Q6740" s="30">
        <v>36</v>
      </c>
      <c r="R6740">
        <v>533.45000000000005</v>
      </c>
      <c r="S6740">
        <v>400</v>
      </c>
      <c r="T6740">
        <v>50</v>
      </c>
      <c r="U6740">
        <v>2250</v>
      </c>
      <c r="V6740" s="30">
        <v>110</v>
      </c>
      <c r="W6740">
        <v>558.63</v>
      </c>
      <c r="X6740">
        <v>500</v>
      </c>
      <c r="Y6740">
        <v>100</v>
      </c>
      <c r="Z6740">
        <v>3000</v>
      </c>
      <c r="AA6740" s="30">
        <v>111</v>
      </c>
      <c r="AB6740">
        <v>773.19</v>
      </c>
      <c r="AC6740">
        <v>500</v>
      </c>
      <c r="AD6740">
        <v>100</v>
      </c>
      <c r="AE6740">
        <v>3500</v>
      </c>
      <c r="AF6740" s="30">
        <v>181</v>
      </c>
      <c r="AG6740">
        <v>565.66999999999996</v>
      </c>
      <c r="AH6740">
        <v>300</v>
      </c>
      <c r="AI6740">
        <v>100</v>
      </c>
      <c r="AJ6740">
        <v>5000</v>
      </c>
      <c r="AK6740" s="30">
        <v>71</v>
      </c>
      <c r="AL6740">
        <v>1921.76</v>
      </c>
      <c r="AM6740">
        <v>1600</v>
      </c>
      <c r="AN6740">
        <v>300</v>
      </c>
      <c r="AO6740">
        <v>7000</v>
      </c>
      <c r="AP6740" s="30">
        <v>270</v>
      </c>
      <c r="AQ6740">
        <v>1698.82</v>
      </c>
      <c r="AR6740">
        <v>1000</v>
      </c>
      <c r="AS6740">
        <v>80</v>
      </c>
      <c r="AT6740">
        <v>15000</v>
      </c>
      <c r="AU6740" s="30">
        <v>155</v>
      </c>
      <c r="AV6740">
        <v>817.61</v>
      </c>
      <c r="AW6740">
        <v>700</v>
      </c>
      <c r="AX6740">
        <v>100</v>
      </c>
      <c r="AY6740">
        <v>3000</v>
      </c>
      <c r="AZ6740" s="30">
        <v>44</v>
      </c>
      <c r="BA6740">
        <v>644.11</v>
      </c>
      <c r="BB6740">
        <v>550</v>
      </c>
      <c r="BC6740">
        <v>100</v>
      </c>
      <c r="BD6740">
        <v>2500</v>
      </c>
      <c r="BE6740" s="30">
        <v>272</v>
      </c>
      <c r="BF6740">
        <v>2864.71</v>
      </c>
      <c r="BG6740">
        <v>2500</v>
      </c>
      <c r="BH6740">
        <v>1000</v>
      </c>
      <c r="BI6740">
        <v>6000</v>
      </c>
      <c r="BJ6740" s="30">
        <v>13</v>
      </c>
      <c r="BK6740">
        <v>4915.5200000000004</v>
      </c>
      <c r="BL6740">
        <v>2700</v>
      </c>
      <c r="BM6740">
        <v>500</v>
      </c>
      <c r="BN6740">
        <v>20000</v>
      </c>
      <c r="BO6740" s="30">
        <v>26</v>
      </c>
      <c r="BP6740">
        <v>1294.1199999999999</v>
      </c>
      <c r="BQ6740">
        <v>500</v>
      </c>
      <c r="BR6740">
        <v>70</v>
      </c>
      <c r="BS6740">
        <v>20000</v>
      </c>
      <c r="BT6740" s="30">
        <v>150</v>
      </c>
      <c r="BU6740">
        <v>1713.62</v>
      </c>
      <c r="BV6740">
        <v>1360</v>
      </c>
      <c r="BW6740">
        <v>254</v>
      </c>
      <c r="BX6740">
        <v>4000</v>
      </c>
      <c r="BY6740" s="30">
        <v>16</v>
      </c>
      <c r="BZ6740">
        <v>272</v>
      </c>
    </row>
    <row r="6741" spans="1:78" x14ac:dyDescent="0.35">
      <c r="A6741" t="s">
        <v>228</v>
      </c>
      <c r="B6741" t="s">
        <v>238</v>
      </c>
      <c r="C6741">
        <v>8092.31</v>
      </c>
      <c r="D6741">
        <v>6000</v>
      </c>
      <c r="E6741">
        <v>300</v>
      </c>
      <c r="F6741">
        <v>30000</v>
      </c>
      <c r="G6741" s="30">
        <v>567</v>
      </c>
      <c r="H6741">
        <v>3568.61</v>
      </c>
      <c r="I6741">
        <v>3000</v>
      </c>
      <c r="J6741">
        <v>100</v>
      </c>
      <c r="K6741">
        <v>30000</v>
      </c>
      <c r="L6741" s="30">
        <v>231</v>
      </c>
      <c r="M6741">
        <v>5850.41</v>
      </c>
      <c r="N6741">
        <v>5000</v>
      </c>
      <c r="O6741">
        <v>183</v>
      </c>
      <c r="P6741">
        <v>16000</v>
      </c>
      <c r="Q6741" s="30">
        <v>94</v>
      </c>
      <c r="R6741">
        <v>436.73</v>
      </c>
      <c r="S6741">
        <v>300</v>
      </c>
      <c r="T6741">
        <v>50</v>
      </c>
      <c r="U6741">
        <v>3000</v>
      </c>
      <c r="V6741" s="30">
        <v>338</v>
      </c>
      <c r="W6741">
        <v>470.96</v>
      </c>
      <c r="X6741">
        <v>300</v>
      </c>
      <c r="Y6741">
        <v>50</v>
      </c>
      <c r="Z6741">
        <v>3000</v>
      </c>
      <c r="AA6741" s="30">
        <v>292</v>
      </c>
      <c r="AB6741">
        <v>717.07</v>
      </c>
      <c r="AC6741">
        <v>500</v>
      </c>
      <c r="AD6741">
        <v>100</v>
      </c>
      <c r="AE6741">
        <v>5000</v>
      </c>
      <c r="AF6741" s="30">
        <v>450</v>
      </c>
      <c r="AG6741">
        <v>646.77</v>
      </c>
      <c r="AH6741">
        <v>500</v>
      </c>
      <c r="AI6741">
        <v>100</v>
      </c>
      <c r="AJ6741">
        <v>4000</v>
      </c>
      <c r="AK6741" s="30">
        <v>194</v>
      </c>
      <c r="AL6741">
        <v>2075.41</v>
      </c>
      <c r="AM6741">
        <v>1800</v>
      </c>
      <c r="AN6741">
        <v>300</v>
      </c>
      <c r="AO6741">
        <v>9000</v>
      </c>
      <c r="AP6741" s="30">
        <v>590</v>
      </c>
      <c r="AQ6741">
        <v>2412.89</v>
      </c>
      <c r="AR6741">
        <v>1000</v>
      </c>
      <c r="AS6741">
        <v>50</v>
      </c>
      <c r="AT6741">
        <v>30000</v>
      </c>
      <c r="AU6741" s="30">
        <v>326</v>
      </c>
      <c r="AV6741">
        <v>649.08000000000004</v>
      </c>
      <c r="AW6741">
        <v>500</v>
      </c>
      <c r="AX6741">
        <v>100</v>
      </c>
      <c r="AY6741">
        <v>3000</v>
      </c>
      <c r="AZ6741" s="30">
        <v>40</v>
      </c>
      <c r="BA6741">
        <v>623.20000000000005</v>
      </c>
      <c r="BB6741">
        <v>500</v>
      </c>
      <c r="BC6741">
        <v>85</v>
      </c>
      <c r="BD6741">
        <v>2800</v>
      </c>
      <c r="BE6741" s="30">
        <v>605</v>
      </c>
      <c r="BF6741">
        <v>2402.62</v>
      </c>
      <c r="BG6741">
        <v>2000</v>
      </c>
      <c r="BH6741">
        <v>500</v>
      </c>
      <c r="BI6741">
        <v>7000</v>
      </c>
      <c r="BJ6741" s="30">
        <v>37</v>
      </c>
      <c r="BK6741">
        <v>3940.11</v>
      </c>
      <c r="BL6741">
        <v>2000</v>
      </c>
      <c r="BM6741">
        <v>100</v>
      </c>
      <c r="BN6741">
        <v>30000</v>
      </c>
      <c r="BO6741" s="30">
        <v>105</v>
      </c>
      <c r="BP6741">
        <v>1059.6600000000001</v>
      </c>
      <c r="BQ6741">
        <v>600</v>
      </c>
      <c r="BR6741">
        <v>50</v>
      </c>
      <c r="BS6741">
        <v>9000</v>
      </c>
      <c r="BT6741" s="30">
        <v>294</v>
      </c>
      <c r="BU6741">
        <v>2344.75</v>
      </c>
      <c r="BV6741">
        <v>1800</v>
      </c>
      <c r="BW6741">
        <v>400</v>
      </c>
      <c r="BX6741">
        <v>7000</v>
      </c>
      <c r="BY6741" s="30">
        <v>23</v>
      </c>
      <c r="BZ6741">
        <v>605</v>
      </c>
    </row>
    <row r="6742" spans="1:78" x14ac:dyDescent="0.35">
      <c r="A6742" t="s">
        <v>229</v>
      </c>
      <c r="B6742" t="s">
        <v>239</v>
      </c>
      <c r="C6742">
        <v>7330.18</v>
      </c>
      <c r="D6742">
        <v>5000</v>
      </c>
      <c r="E6742">
        <v>200</v>
      </c>
      <c r="F6742">
        <v>30000</v>
      </c>
      <c r="G6742" s="30">
        <v>283</v>
      </c>
      <c r="H6742">
        <v>3812.7</v>
      </c>
      <c r="I6742">
        <v>3000</v>
      </c>
      <c r="J6742">
        <v>120</v>
      </c>
      <c r="K6742">
        <v>30000</v>
      </c>
      <c r="L6742" s="30">
        <v>141</v>
      </c>
      <c r="M6742">
        <v>4601.88</v>
      </c>
      <c r="N6742">
        <v>4500</v>
      </c>
      <c r="O6742">
        <v>400</v>
      </c>
      <c r="P6742">
        <v>14000</v>
      </c>
      <c r="Q6742" s="30">
        <v>27</v>
      </c>
      <c r="R6742">
        <v>485.06</v>
      </c>
      <c r="S6742">
        <v>360</v>
      </c>
      <c r="T6742">
        <v>80</v>
      </c>
      <c r="U6742">
        <v>3000</v>
      </c>
      <c r="V6742" s="30">
        <v>86</v>
      </c>
      <c r="W6742">
        <v>589.96</v>
      </c>
      <c r="X6742">
        <v>500</v>
      </c>
      <c r="Y6742">
        <v>50</v>
      </c>
      <c r="Z6742">
        <v>3000</v>
      </c>
      <c r="AA6742" s="30">
        <v>165</v>
      </c>
      <c r="AB6742">
        <v>1071.08</v>
      </c>
      <c r="AC6742">
        <v>700</v>
      </c>
      <c r="AD6742">
        <v>100</v>
      </c>
      <c r="AE6742">
        <v>5000</v>
      </c>
      <c r="AF6742" s="30">
        <v>241</v>
      </c>
      <c r="AG6742">
        <v>785.16</v>
      </c>
      <c r="AH6742">
        <v>500</v>
      </c>
      <c r="AI6742">
        <v>100</v>
      </c>
      <c r="AJ6742">
        <v>5000</v>
      </c>
      <c r="AK6742" s="30">
        <v>108</v>
      </c>
      <c r="AL6742">
        <v>2173.33</v>
      </c>
      <c r="AM6742">
        <v>1500</v>
      </c>
      <c r="AN6742">
        <v>300</v>
      </c>
      <c r="AO6742">
        <v>9000</v>
      </c>
      <c r="AP6742" s="30">
        <v>286</v>
      </c>
      <c r="AQ6742">
        <v>2348.41</v>
      </c>
      <c r="AR6742">
        <v>1500</v>
      </c>
      <c r="AS6742">
        <v>50</v>
      </c>
      <c r="AT6742">
        <v>17000</v>
      </c>
      <c r="AU6742" s="30">
        <v>182</v>
      </c>
      <c r="AV6742">
        <v>944.63</v>
      </c>
      <c r="AW6742">
        <v>700</v>
      </c>
      <c r="AX6742">
        <v>100</v>
      </c>
      <c r="AY6742">
        <v>3000</v>
      </c>
      <c r="AZ6742" s="30">
        <v>49</v>
      </c>
      <c r="BA6742">
        <v>672.55</v>
      </c>
      <c r="BB6742">
        <v>600</v>
      </c>
      <c r="BC6742">
        <v>75</v>
      </c>
      <c r="BD6742">
        <v>2800</v>
      </c>
      <c r="BE6742" s="30">
        <v>293</v>
      </c>
      <c r="BF6742">
        <v>2175.62</v>
      </c>
      <c r="BG6742">
        <v>1500</v>
      </c>
      <c r="BH6742">
        <v>400</v>
      </c>
      <c r="BI6742">
        <v>6000</v>
      </c>
      <c r="BJ6742" s="30">
        <v>12</v>
      </c>
      <c r="BK6742">
        <v>5430.11</v>
      </c>
      <c r="BL6742">
        <v>2000</v>
      </c>
      <c r="BM6742">
        <v>400</v>
      </c>
      <c r="BN6742">
        <v>30000</v>
      </c>
      <c r="BO6742" s="30">
        <v>40</v>
      </c>
      <c r="BP6742">
        <v>1474.51</v>
      </c>
      <c r="BQ6742">
        <v>700</v>
      </c>
      <c r="BR6742">
        <v>50</v>
      </c>
      <c r="BS6742">
        <v>9000</v>
      </c>
      <c r="BT6742" s="30">
        <v>178</v>
      </c>
      <c r="BU6742">
        <v>4777.4399999999996</v>
      </c>
      <c r="BV6742">
        <v>8000</v>
      </c>
      <c r="BW6742">
        <v>200</v>
      </c>
      <c r="BX6742">
        <v>10000</v>
      </c>
      <c r="BY6742" s="30">
        <v>13</v>
      </c>
      <c r="BZ6742">
        <v>293</v>
      </c>
    </row>
    <row r="6743" spans="1:78" x14ac:dyDescent="0.35">
      <c r="A6743" t="s">
        <v>229</v>
      </c>
      <c r="B6743" t="s">
        <v>238</v>
      </c>
      <c r="C6743">
        <v>9959.2800000000007</v>
      </c>
      <c r="D6743">
        <v>8000</v>
      </c>
      <c r="E6743">
        <v>300</v>
      </c>
      <c r="F6743">
        <v>30000</v>
      </c>
      <c r="G6743" s="30">
        <v>484</v>
      </c>
      <c r="H6743">
        <v>4322.3100000000004</v>
      </c>
      <c r="I6743">
        <v>3500</v>
      </c>
      <c r="J6743">
        <v>100</v>
      </c>
      <c r="K6743">
        <v>20000</v>
      </c>
      <c r="L6743" s="30">
        <v>246</v>
      </c>
      <c r="M6743">
        <v>7719.4</v>
      </c>
      <c r="N6743">
        <v>8000</v>
      </c>
      <c r="O6743">
        <v>600</v>
      </c>
      <c r="P6743">
        <v>16000</v>
      </c>
      <c r="Q6743" s="30">
        <v>70</v>
      </c>
      <c r="R6743">
        <v>521.30999999999995</v>
      </c>
      <c r="S6743">
        <v>300</v>
      </c>
      <c r="T6743">
        <v>50</v>
      </c>
      <c r="U6743">
        <v>3000</v>
      </c>
      <c r="V6743" s="30">
        <v>238</v>
      </c>
      <c r="W6743">
        <v>485.25</v>
      </c>
      <c r="X6743">
        <v>300</v>
      </c>
      <c r="Y6743">
        <v>50</v>
      </c>
      <c r="Z6743">
        <v>3000</v>
      </c>
      <c r="AA6743" s="30">
        <v>288</v>
      </c>
      <c r="AB6743">
        <v>974.51</v>
      </c>
      <c r="AC6743">
        <v>700</v>
      </c>
      <c r="AD6743">
        <v>100</v>
      </c>
      <c r="AE6743">
        <v>5000</v>
      </c>
      <c r="AF6743" s="30">
        <v>417</v>
      </c>
      <c r="AG6743">
        <v>654.27</v>
      </c>
      <c r="AH6743">
        <v>500</v>
      </c>
      <c r="AI6743">
        <v>100</v>
      </c>
      <c r="AJ6743">
        <v>5000</v>
      </c>
      <c r="AK6743" s="30">
        <v>194</v>
      </c>
      <c r="AL6743">
        <v>2468.1799999999998</v>
      </c>
      <c r="AM6743">
        <v>2100</v>
      </c>
      <c r="AN6743">
        <v>300</v>
      </c>
      <c r="AO6743">
        <v>8000</v>
      </c>
      <c r="AP6743" s="30">
        <v>517</v>
      </c>
      <c r="AQ6743">
        <v>2502.19</v>
      </c>
      <c r="AR6743">
        <v>1000</v>
      </c>
      <c r="AS6743">
        <v>50</v>
      </c>
      <c r="AT6743">
        <v>30000</v>
      </c>
      <c r="AU6743" s="30">
        <v>333</v>
      </c>
      <c r="AV6743">
        <v>779.73</v>
      </c>
      <c r="AW6743">
        <v>500</v>
      </c>
      <c r="AX6743">
        <v>100</v>
      </c>
      <c r="AY6743">
        <v>3000</v>
      </c>
      <c r="AZ6743" s="30">
        <v>40</v>
      </c>
      <c r="BA6743">
        <v>630.37</v>
      </c>
      <c r="BB6743">
        <v>540</v>
      </c>
      <c r="BC6743">
        <v>50</v>
      </c>
      <c r="BD6743">
        <v>2500</v>
      </c>
      <c r="BE6743" s="30">
        <v>514</v>
      </c>
      <c r="BF6743">
        <v>3521.19</v>
      </c>
      <c r="BG6743">
        <v>2000</v>
      </c>
      <c r="BH6743">
        <v>200</v>
      </c>
      <c r="BI6743">
        <v>10000</v>
      </c>
      <c r="BJ6743" s="30">
        <v>30</v>
      </c>
      <c r="BK6743">
        <v>6305.64</v>
      </c>
      <c r="BL6743">
        <v>3000</v>
      </c>
      <c r="BM6743">
        <v>100</v>
      </c>
      <c r="BN6743">
        <v>30000</v>
      </c>
      <c r="BO6743" s="30">
        <v>117</v>
      </c>
      <c r="BP6743">
        <v>1702.59</v>
      </c>
      <c r="BQ6743">
        <v>1000</v>
      </c>
      <c r="BR6743">
        <v>50</v>
      </c>
      <c r="BS6743">
        <v>30000</v>
      </c>
      <c r="BT6743" s="30">
        <v>238</v>
      </c>
      <c r="BU6743">
        <v>3556.99</v>
      </c>
      <c r="BV6743">
        <v>3000</v>
      </c>
      <c r="BW6743">
        <v>500</v>
      </c>
      <c r="BX6743">
        <v>10000</v>
      </c>
      <c r="BY6743" s="30">
        <v>20</v>
      </c>
      <c r="BZ6743">
        <v>517</v>
      </c>
    </row>
    <row r="6744" spans="1:78" x14ac:dyDescent="0.35">
      <c r="A6744" t="s">
        <v>230</v>
      </c>
      <c r="B6744" t="s">
        <v>239</v>
      </c>
      <c r="C6744">
        <v>6156.61</v>
      </c>
      <c r="D6744">
        <v>5000</v>
      </c>
      <c r="E6744">
        <v>200</v>
      </c>
      <c r="F6744">
        <v>20000</v>
      </c>
      <c r="G6744" s="30">
        <v>189</v>
      </c>
      <c r="H6744">
        <v>3659.11</v>
      </c>
      <c r="I6744">
        <v>3000</v>
      </c>
      <c r="J6744">
        <v>170</v>
      </c>
      <c r="K6744">
        <v>12500</v>
      </c>
      <c r="L6744" s="30">
        <v>78</v>
      </c>
      <c r="M6744">
        <v>4701.5200000000004</v>
      </c>
      <c r="N6744">
        <v>5000</v>
      </c>
      <c r="O6744">
        <v>1000</v>
      </c>
      <c r="P6744">
        <v>10000</v>
      </c>
      <c r="Q6744" s="30">
        <v>10</v>
      </c>
      <c r="R6744">
        <v>630.67999999999995</v>
      </c>
      <c r="S6744">
        <v>450</v>
      </c>
      <c r="T6744">
        <v>50</v>
      </c>
      <c r="U6744">
        <v>3000</v>
      </c>
      <c r="V6744" s="30">
        <v>84</v>
      </c>
      <c r="W6744">
        <v>585.62</v>
      </c>
      <c r="X6744">
        <v>380</v>
      </c>
      <c r="Y6744">
        <v>30</v>
      </c>
      <c r="Z6744">
        <v>2000</v>
      </c>
      <c r="AA6744" s="30">
        <v>87</v>
      </c>
      <c r="AB6744">
        <v>848.92</v>
      </c>
      <c r="AC6744">
        <v>500</v>
      </c>
      <c r="AD6744">
        <v>100</v>
      </c>
      <c r="AE6744">
        <v>5000</v>
      </c>
      <c r="AF6744" s="30">
        <v>146</v>
      </c>
      <c r="AG6744">
        <v>889.41</v>
      </c>
      <c r="AH6744">
        <v>500</v>
      </c>
      <c r="AI6744">
        <v>100</v>
      </c>
      <c r="AJ6744">
        <v>5000</v>
      </c>
      <c r="AK6744" s="30">
        <v>63</v>
      </c>
      <c r="AL6744">
        <v>2065.67</v>
      </c>
      <c r="AM6744">
        <v>1500</v>
      </c>
      <c r="AN6744">
        <v>300</v>
      </c>
      <c r="AO6744">
        <v>9100</v>
      </c>
      <c r="AP6744" s="30">
        <v>188</v>
      </c>
      <c r="AQ6744">
        <v>2048.31</v>
      </c>
      <c r="AR6744">
        <v>1000</v>
      </c>
      <c r="AS6744">
        <v>50</v>
      </c>
      <c r="AT6744">
        <v>10000</v>
      </c>
      <c r="AU6744" s="30">
        <v>119</v>
      </c>
      <c r="AV6744">
        <v>931.59</v>
      </c>
      <c r="AW6744">
        <v>800</v>
      </c>
      <c r="AX6744">
        <v>100</v>
      </c>
      <c r="AY6744">
        <v>2400</v>
      </c>
      <c r="AZ6744" s="30">
        <v>37</v>
      </c>
      <c r="BA6744">
        <v>723.33</v>
      </c>
      <c r="BB6744">
        <v>642</v>
      </c>
      <c r="BC6744">
        <v>120</v>
      </c>
      <c r="BD6744">
        <v>2300</v>
      </c>
      <c r="BE6744" s="30">
        <v>188</v>
      </c>
      <c r="BF6744">
        <v>5519.27</v>
      </c>
      <c r="BG6744">
        <v>5000</v>
      </c>
      <c r="BH6744">
        <v>400</v>
      </c>
      <c r="BI6744">
        <v>10000</v>
      </c>
      <c r="BJ6744" s="30">
        <v>12</v>
      </c>
      <c r="BK6744">
        <v>1510.77</v>
      </c>
      <c r="BL6744">
        <v>1000</v>
      </c>
      <c r="BM6744">
        <v>100</v>
      </c>
      <c r="BN6744">
        <v>15000</v>
      </c>
      <c r="BO6744" s="30">
        <v>29</v>
      </c>
      <c r="BP6744">
        <v>1560.03</v>
      </c>
      <c r="BQ6744">
        <v>500</v>
      </c>
      <c r="BR6744">
        <v>50</v>
      </c>
      <c r="BS6744">
        <v>10000</v>
      </c>
      <c r="BT6744" s="30">
        <v>103</v>
      </c>
      <c r="BU6744">
        <v>2063.7399999999998</v>
      </c>
      <c r="BV6744">
        <v>2500</v>
      </c>
      <c r="BW6744">
        <v>200</v>
      </c>
      <c r="BX6744">
        <v>6500</v>
      </c>
      <c r="BY6744" s="30">
        <v>13</v>
      </c>
      <c r="BZ6744">
        <v>189</v>
      </c>
    </row>
    <row r="6745" spans="1:78" x14ac:dyDescent="0.35">
      <c r="A6745" t="s">
        <v>230</v>
      </c>
      <c r="B6745" t="s">
        <v>238</v>
      </c>
      <c r="C6745">
        <v>8380.56</v>
      </c>
      <c r="D6745">
        <v>6000</v>
      </c>
      <c r="E6745">
        <v>200</v>
      </c>
      <c r="F6745">
        <v>25000</v>
      </c>
      <c r="G6745" s="30">
        <v>310</v>
      </c>
      <c r="H6745">
        <v>4916.18</v>
      </c>
      <c r="I6745">
        <v>2000</v>
      </c>
      <c r="J6745">
        <v>100</v>
      </c>
      <c r="K6745">
        <v>60000</v>
      </c>
      <c r="L6745" s="30">
        <v>142</v>
      </c>
      <c r="M6745">
        <v>6131</v>
      </c>
      <c r="N6745">
        <v>6700</v>
      </c>
      <c r="O6745">
        <v>1000</v>
      </c>
      <c r="P6745">
        <v>12000</v>
      </c>
      <c r="Q6745" s="30">
        <v>58</v>
      </c>
      <c r="R6745">
        <v>478.69</v>
      </c>
      <c r="S6745">
        <v>300</v>
      </c>
      <c r="T6745">
        <v>50</v>
      </c>
      <c r="U6745">
        <v>3000</v>
      </c>
      <c r="V6745" s="30">
        <v>172</v>
      </c>
      <c r="W6745">
        <v>502.22</v>
      </c>
      <c r="X6745">
        <v>400</v>
      </c>
      <c r="Y6745">
        <v>50</v>
      </c>
      <c r="Z6745">
        <v>3000</v>
      </c>
      <c r="AA6745" s="30">
        <v>163</v>
      </c>
      <c r="AB6745">
        <v>858.36</v>
      </c>
      <c r="AC6745">
        <v>500</v>
      </c>
      <c r="AD6745">
        <v>100</v>
      </c>
      <c r="AE6745">
        <v>5000</v>
      </c>
      <c r="AF6745" s="30">
        <v>251</v>
      </c>
      <c r="AG6745">
        <v>693.05</v>
      </c>
      <c r="AH6745">
        <v>400</v>
      </c>
      <c r="AI6745">
        <v>100</v>
      </c>
      <c r="AJ6745">
        <v>5000</v>
      </c>
      <c r="AK6745" s="30">
        <v>111</v>
      </c>
      <c r="AL6745">
        <v>2171.71</v>
      </c>
      <c r="AM6745">
        <v>2000</v>
      </c>
      <c r="AN6745">
        <v>300</v>
      </c>
      <c r="AO6745">
        <v>7500</v>
      </c>
      <c r="AP6745" s="30">
        <v>298</v>
      </c>
      <c r="AQ6745">
        <v>2279.8200000000002</v>
      </c>
      <c r="AR6745">
        <v>1000</v>
      </c>
      <c r="AS6745">
        <v>50</v>
      </c>
      <c r="AT6745">
        <v>30000</v>
      </c>
      <c r="AU6745" s="30">
        <v>200</v>
      </c>
      <c r="AV6745">
        <v>821.82</v>
      </c>
      <c r="AW6745">
        <v>1000</v>
      </c>
      <c r="AX6745">
        <v>100</v>
      </c>
      <c r="AY6745">
        <v>2000</v>
      </c>
      <c r="AZ6745" s="30">
        <v>13</v>
      </c>
      <c r="BA6745">
        <v>641.13</v>
      </c>
      <c r="BB6745">
        <v>510</v>
      </c>
      <c r="BC6745">
        <v>100</v>
      </c>
      <c r="BD6745">
        <v>2000</v>
      </c>
      <c r="BE6745" s="30">
        <v>313</v>
      </c>
      <c r="BF6745">
        <v>4411.75</v>
      </c>
      <c r="BG6745">
        <v>2500</v>
      </c>
      <c r="BH6745">
        <v>1000</v>
      </c>
      <c r="BI6745">
        <v>10000</v>
      </c>
      <c r="BJ6745" s="30">
        <v>11</v>
      </c>
      <c r="BK6745">
        <v>3535.99</v>
      </c>
      <c r="BL6745">
        <v>1500</v>
      </c>
      <c r="BM6745">
        <v>100</v>
      </c>
      <c r="BN6745">
        <v>30000</v>
      </c>
      <c r="BO6745" s="30">
        <v>72</v>
      </c>
      <c r="BP6745">
        <v>1205.21</v>
      </c>
      <c r="BQ6745">
        <v>900</v>
      </c>
      <c r="BR6745">
        <v>50</v>
      </c>
      <c r="BS6745">
        <v>16000</v>
      </c>
      <c r="BT6745" s="30">
        <v>173</v>
      </c>
      <c r="BU6745">
        <v>3562.9</v>
      </c>
      <c r="BV6745">
        <v>3500</v>
      </c>
      <c r="BW6745">
        <v>100</v>
      </c>
      <c r="BX6745">
        <v>8000</v>
      </c>
      <c r="BY6745" s="30">
        <v>20</v>
      </c>
      <c r="BZ6745">
        <v>313</v>
      </c>
    </row>
    <row r="6746" spans="1:78" x14ac:dyDescent="0.35">
      <c r="A6746" t="s">
        <v>231</v>
      </c>
      <c r="B6746" t="s">
        <v>239</v>
      </c>
      <c r="C6746">
        <v>6395.92</v>
      </c>
      <c r="D6746">
        <v>5000</v>
      </c>
      <c r="E6746">
        <v>900</v>
      </c>
      <c r="F6746">
        <v>23000</v>
      </c>
      <c r="G6746" s="30">
        <v>49</v>
      </c>
      <c r="H6746">
        <v>5289.66</v>
      </c>
      <c r="I6746">
        <v>5000</v>
      </c>
      <c r="J6746">
        <v>500</v>
      </c>
      <c r="K6746">
        <v>24000</v>
      </c>
      <c r="L6746" s="30">
        <v>29</v>
      </c>
      <c r="M6746">
        <v>4200</v>
      </c>
      <c r="N6746">
        <v>5000</v>
      </c>
      <c r="O6746">
        <v>500</v>
      </c>
      <c r="P6746">
        <v>7500</v>
      </c>
      <c r="Q6746" s="30">
        <v>5</v>
      </c>
      <c r="R6746">
        <v>625</v>
      </c>
      <c r="S6746">
        <v>400</v>
      </c>
      <c r="T6746">
        <v>100</v>
      </c>
      <c r="U6746">
        <v>2500</v>
      </c>
      <c r="V6746" s="30">
        <v>14</v>
      </c>
      <c r="W6746">
        <v>616.47</v>
      </c>
      <c r="X6746">
        <v>500</v>
      </c>
      <c r="Y6746">
        <v>100</v>
      </c>
      <c r="Z6746">
        <v>2000</v>
      </c>
      <c r="AA6746" s="30">
        <v>32</v>
      </c>
      <c r="AB6746">
        <v>899.8</v>
      </c>
      <c r="AC6746">
        <v>600</v>
      </c>
      <c r="AD6746">
        <v>200</v>
      </c>
      <c r="AE6746">
        <v>5000</v>
      </c>
      <c r="AF6746" s="30">
        <v>44</v>
      </c>
      <c r="AG6746">
        <v>817.86</v>
      </c>
      <c r="AH6746">
        <v>500</v>
      </c>
      <c r="AI6746">
        <v>100</v>
      </c>
      <c r="AJ6746">
        <v>3000</v>
      </c>
      <c r="AK6746" s="30">
        <v>28</v>
      </c>
      <c r="AL6746">
        <v>1988.04</v>
      </c>
      <c r="AM6746">
        <v>2000</v>
      </c>
      <c r="AN6746">
        <v>400</v>
      </c>
      <c r="AO6746">
        <v>6000</v>
      </c>
      <c r="AP6746" s="30">
        <v>48</v>
      </c>
      <c r="AQ6746">
        <v>2090.77</v>
      </c>
      <c r="AR6746">
        <v>1050</v>
      </c>
      <c r="AS6746">
        <v>100</v>
      </c>
      <c r="AT6746">
        <v>10000</v>
      </c>
      <c r="AU6746" s="30">
        <v>39</v>
      </c>
      <c r="AV6746">
        <v>472.73</v>
      </c>
      <c r="AW6746">
        <v>500</v>
      </c>
      <c r="AX6746">
        <v>100</v>
      </c>
      <c r="AY6746">
        <v>1400</v>
      </c>
      <c r="AZ6746" s="30">
        <v>11</v>
      </c>
      <c r="BA6746">
        <v>709.71</v>
      </c>
      <c r="BB6746">
        <v>600</v>
      </c>
      <c r="BC6746">
        <v>125</v>
      </c>
      <c r="BD6746">
        <v>2000</v>
      </c>
      <c r="BE6746" s="30">
        <v>52</v>
      </c>
      <c r="BF6746">
        <v>2875</v>
      </c>
      <c r="BG6746">
        <v>1500</v>
      </c>
      <c r="BH6746">
        <v>1000</v>
      </c>
      <c r="BI6746">
        <v>6000</v>
      </c>
      <c r="BJ6746" s="30">
        <v>4</v>
      </c>
      <c r="BK6746">
        <v>1788.89</v>
      </c>
      <c r="BL6746">
        <v>1500</v>
      </c>
      <c r="BM6746">
        <v>800</v>
      </c>
      <c r="BN6746">
        <v>5000</v>
      </c>
      <c r="BO6746" s="30">
        <v>9</v>
      </c>
      <c r="BP6746">
        <v>979.63</v>
      </c>
      <c r="BQ6746">
        <v>800</v>
      </c>
      <c r="BR6746">
        <v>100</v>
      </c>
      <c r="BS6746">
        <v>4000</v>
      </c>
      <c r="BT6746" s="30">
        <v>27</v>
      </c>
      <c r="BU6746">
        <v>4380</v>
      </c>
      <c r="BV6746">
        <v>9000</v>
      </c>
      <c r="BW6746">
        <v>400</v>
      </c>
      <c r="BX6746">
        <v>10000</v>
      </c>
      <c r="BY6746" s="30">
        <v>5</v>
      </c>
      <c r="BZ6746">
        <v>52</v>
      </c>
    </row>
    <row r="6747" spans="1:78" x14ac:dyDescent="0.35">
      <c r="A6747" t="s">
        <v>231</v>
      </c>
      <c r="B6747" t="s">
        <v>238</v>
      </c>
      <c r="C6747">
        <v>8019.78</v>
      </c>
      <c r="D6747">
        <v>6000</v>
      </c>
      <c r="E6747">
        <v>500</v>
      </c>
      <c r="F6747">
        <v>30000</v>
      </c>
      <c r="G6747" s="30">
        <v>91</v>
      </c>
      <c r="H6747">
        <v>3592</v>
      </c>
      <c r="I6747">
        <v>2500</v>
      </c>
      <c r="J6747">
        <v>100</v>
      </c>
      <c r="K6747">
        <v>15000</v>
      </c>
      <c r="L6747" s="30">
        <v>50</v>
      </c>
      <c r="M6747">
        <v>6170.74</v>
      </c>
      <c r="N6747">
        <v>6000</v>
      </c>
      <c r="O6747">
        <v>2244</v>
      </c>
      <c r="P6747">
        <v>13000</v>
      </c>
      <c r="Q6747" s="30">
        <v>19</v>
      </c>
      <c r="R6747">
        <v>439.63</v>
      </c>
      <c r="S6747">
        <v>300</v>
      </c>
      <c r="T6747">
        <v>50</v>
      </c>
      <c r="U6747">
        <v>2000</v>
      </c>
      <c r="V6747" s="30">
        <v>54</v>
      </c>
      <c r="W6747">
        <v>627.79</v>
      </c>
      <c r="X6747">
        <v>500</v>
      </c>
      <c r="Y6747">
        <v>50</v>
      </c>
      <c r="Z6747">
        <v>2000</v>
      </c>
      <c r="AA6747" s="30">
        <v>48</v>
      </c>
      <c r="AB6747">
        <v>860.13</v>
      </c>
      <c r="AC6747">
        <v>500</v>
      </c>
      <c r="AD6747">
        <v>100</v>
      </c>
      <c r="AE6747">
        <v>5000</v>
      </c>
      <c r="AF6747" s="30">
        <v>75</v>
      </c>
      <c r="AG6747">
        <v>547.22</v>
      </c>
      <c r="AH6747">
        <v>500</v>
      </c>
      <c r="AI6747">
        <v>100</v>
      </c>
      <c r="AJ6747">
        <v>3000</v>
      </c>
      <c r="AK6747" s="30">
        <v>36</v>
      </c>
      <c r="AL6747">
        <v>2065.8000000000002</v>
      </c>
      <c r="AM6747">
        <v>2000</v>
      </c>
      <c r="AN6747">
        <v>300</v>
      </c>
      <c r="AO6747">
        <v>6000</v>
      </c>
      <c r="AP6747" s="30">
        <v>88</v>
      </c>
      <c r="AQ6747">
        <v>1710.77</v>
      </c>
      <c r="AR6747">
        <v>600</v>
      </c>
      <c r="AS6747">
        <v>50</v>
      </c>
      <c r="AT6747">
        <v>30000</v>
      </c>
      <c r="AU6747" s="30">
        <v>65</v>
      </c>
      <c r="AV6747">
        <v>585</v>
      </c>
      <c r="AW6747">
        <v>500</v>
      </c>
      <c r="AX6747">
        <v>200</v>
      </c>
      <c r="AY6747">
        <v>1500</v>
      </c>
      <c r="AZ6747" s="30">
        <v>10</v>
      </c>
      <c r="BA6747">
        <v>541.54999999999995</v>
      </c>
      <c r="BB6747">
        <v>500</v>
      </c>
      <c r="BC6747">
        <v>50</v>
      </c>
      <c r="BD6747">
        <v>2000</v>
      </c>
      <c r="BE6747" s="30">
        <v>97</v>
      </c>
      <c r="BF6747">
        <v>3100</v>
      </c>
      <c r="BG6747">
        <v>3000</v>
      </c>
      <c r="BH6747">
        <v>300</v>
      </c>
      <c r="BI6747">
        <v>10000</v>
      </c>
      <c r="BJ6747" s="30">
        <v>5</v>
      </c>
      <c r="BK6747">
        <v>5829.31</v>
      </c>
      <c r="BL6747">
        <v>2000</v>
      </c>
      <c r="BM6747">
        <v>200</v>
      </c>
      <c r="BN6747">
        <v>30000</v>
      </c>
      <c r="BO6747" s="30">
        <v>29</v>
      </c>
      <c r="BP6747">
        <v>1664.32</v>
      </c>
      <c r="BQ6747">
        <v>500</v>
      </c>
      <c r="BR6747">
        <v>50</v>
      </c>
      <c r="BS6747">
        <v>15000</v>
      </c>
      <c r="BT6747" s="30">
        <v>44</v>
      </c>
      <c r="BU6747">
        <v>750</v>
      </c>
      <c r="BV6747">
        <v>800</v>
      </c>
      <c r="BW6747">
        <v>200</v>
      </c>
      <c r="BX6747">
        <v>1200</v>
      </c>
      <c r="BY6747" s="30">
        <v>4</v>
      </c>
      <c r="BZ6747">
        <v>97</v>
      </c>
    </row>
    <row r="6748" spans="1:78" x14ac:dyDescent="0.35">
      <c r="A6748" t="s">
        <v>232</v>
      </c>
      <c r="B6748" t="s">
        <v>232</v>
      </c>
      <c r="C6748">
        <v>7868.72</v>
      </c>
      <c r="D6748">
        <v>6000</v>
      </c>
      <c r="E6748">
        <v>200</v>
      </c>
      <c r="F6748">
        <v>30000</v>
      </c>
      <c r="G6748" s="30">
        <v>2369</v>
      </c>
      <c r="H6748">
        <v>4052.31</v>
      </c>
      <c r="I6748">
        <v>3000</v>
      </c>
      <c r="J6748">
        <v>100</v>
      </c>
      <c r="K6748">
        <v>60000</v>
      </c>
      <c r="L6748" s="30">
        <v>1077</v>
      </c>
      <c r="M6748">
        <v>5938.14</v>
      </c>
      <c r="N6748">
        <v>5000</v>
      </c>
      <c r="O6748">
        <v>183</v>
      </c>
      <c r="P6748">
        <v>16000</v>
      </c>
      <c r="Q6748" s="30">
        <v>345</v>
      </c>
      <c r="R6748">
        <v>468.12</v>
      </c>
      <c r="S6748">
        <v>300</v>
      </c>
      <c r="T6748">
        <v>50</v>
      </c>
      <c r="U6748">
        <v>3000</v>
      </c>
      <c r="V6748" s="30">
        <v>1180</v>
      </c>
      <c r="W6748">
        <v>542.04</v>
      </c>
      <c r="X6748">
        <v>401</v>
      </c>
      <c r="Y6748">
        <v>30</v>
      </c>
      <c r="Z6748">
        <v>3000</v>
      </c>
      <c r="AA6748" s="30">
        <v>1265</v>
      </c>
      <c r="AB6748">
        <v>868.78</v>
      </c>
      <c r="AC6748">
        <v>500</v>
      </c>
      <c r="AD6748">
        <v>100</v>
      </c>
      <c r="AE6748">
        <v>5000</v>
      </c>
      <c r="AF6748" s="30">
        <v>1926</v>
      </c>
      <c r="AG6748">
        <v>667.4</v>
      </c>
      <c r="AH6748">
        <v>500</v>
      </c>
      <c r="AI6748">
        <v>100</v>
      </c>
      <c r="AJ6748">
        <v>5000</v>
      </c>
      <c r="AK6748" s="30">
        <v>856</v>
      </c>
      <c r="AL6748">
        <v>2130.96</v>
      </c>
      <c r="AM6748">
        <v>2000</v>
      </c>
      <c r="AN6748">
        <v>300</v>
      </c>
      <c r="AO6748">
        <v>9100</v>
      </c>
      <c r="AP6748" s="30">
        <v>2431</v>
      </c>
      <c r="AQ6748">
        <v>2285.5300000000002</v>
      </c>
      <c r="AR6748">
        <v>1000</v>
      </c>
      <c r="AS6748">
        <v>50</v>
      </c>
      <c r="AT6748">
        <v>30000</v>
      </c>
      <c r="AU6748" s="30">
        <v>1520</v>
      </c>
      <c r="AV6748">
        <v>776.74</v>
      </c>
      <c r="AW6748">
        <v>500</v>
      </c>
      <c r="AX6748">
        <v>100</v>
      </c>
      <c r="AY6748">
        <v>3000</v>
      </c>
      <c r="AZ6748" s="30">
        <v>266</v>
      </c>
      <c r="BA6748">
        <v>615.85</v>
      </c>
      <c r="BB6748">
        <v>500</v>
      </c>
      <c r="BC6748">
        <v>50</v>
      </c>
      <c r="BD6748">
        <v>2800</v>
      </c>
      <c r="BE6748" s="30">
        <v>2479</v>
      </c>
      <c r="BF6748">
        <v>3040.04</v>
      </c>
      <c r="BG6748">
        <v>2000</v>
      </c>
      <c r="BH6748">
        <v>200</v>
      </c>
      <c r="BI6748">
        <v>10000</v>
      </c>
      <c r="BJ6748" s="30">
        <v>132</v>
      </c>
      <c r="BK6748">
        <v>4895.0200000000004</v>
      </c>
      <c r="BL6748">
        <v>2000</v>
      </c>
      <c r="BM6748">
        <v>100</v>
      </c>
      <c r="BN6748">
        <v>30000</v>
      </c>
      <c r="BO6748" s="30">
        <v>461</v>
      </c>
      <c r="BP6748">
        <v>1288.5999999999999</v>
      </c>
      <c r="BQ6748">
        <v>600</v>
      </c>
      <c r="BR6748">
        <v>50</v>
      </c>
      <c r="BS6748">
        <v>30000</v>
      </c>
      <c r="BT6748" s="30">
        <v>1296</v>
      </c>
      <c r="BU6748">
        <v>3251.2</v>
      </c>
      <c r="BV6748">
        <v>2500</v>
      </c>
      <c r="BW6748">
        <v>100</v>
      </c>
      <c r="BX6748">
        <v>10000</v>
      </c>
      <c r="BY6748" s="30">
        <v>124</v>
      </c>
      <c r="BZ6748">
        <v>2479</v>
      </c>
    </row>
    <row r="6750" spans="1:78" x14ac:dyDescent="0.35">
      <c r="A6750" s="1" t="s">
        <v>967</v>
      </c>
    </row>
    <row r="6751" spans="1:78" x14ac:dyDescent="0.35">
      <c r="A6751" t="s">
        <v>219</v>
      </c>
      <c r="B6751" t="s">
        <v>305</v>
      </c>
      <c r="C6751" t="s">
        <v>889</v>
      </c>
      <c r="D6751" t="s">
        <v>890</v>
      </c>
      <c r="E6751" t="s">
        <v>891</v>
      </c>
      <c r="F6751" t="s">
        <v>892</v>
      </c>
      <c r="G6751" t="s">
        <v>893</v>
      </c>
      <c r="H6751" t="s">
        <v>894</v>
      </c>
      <c r="I6751" t="s">
        <v>895</v>
      </c>
      <c r="J6751" t="s">
        <v>896</v>
      </c>
      <c r="K6751" t="s">
        <v>897</v>
      </c>
      <c r="L6751" t="s">
        <v>898</v>
      </c>
      <c r="M6751" t="s">
        <v>899</v>
      </c>
      <c r="N6751" t="s">
        <v>900</v>
      </c>
      <c r="O6751" t="s">
        <v>901</v>
      </c>
      <c r="P6751" t="s">
        <v>902</v>
      </c>
      <c r="Q6751" t="s">
        <v>903</v>
      </c>
      <c r="R6751" t="s">
        <v>904</v>
      </c>
      <c r="S6751" t="s">
        <v>905</v>
      </c>
      <c r="T6751" t="s">
        <v>906</v>
      </c>
      <c r="U6751" t="s">
        <v>907</v>
      </c>
      <c r="V6751" t="s">
        <v>908</v>
      </c>
      <c r="W6751" t="s">
        <v>909</v>
      </c>
      <c r="X6751" t="s">
        <v>910</v>
      </c>
      <c r="Y6751" t="s">
        <v>911</v>
      </c>
      <c r="Z6751" t="s">
        <v>912</v>
      </c>
      <c r="AA6751" t="s">
        <v>913</v>
      </c>
      <c r="AB6751" t="s">
        <v>914</v>
      </c>
      <c r="AC6751" t="s">
        <v>915</v>
      </c>
      <c r="AD6751" t="s">
        <v>916</v>
      </c>
      <c r="AE6751" t="s">
        <v>917</v>
      </c>
      <c r="AF6751" t="s">
        <v>918</v>
      </c>
      <c r="AG6751" t="s">
        <v>919</v>
      </c>
      <c r="AH6751" t="s">
        <v>920</v>
      </c>
      <c r="AI6751" t="s">
        <v>921</v>
      </c>
      <c r="AJ6751" t="s">
        <v>922</v>
      </c>
      <c r="AK6751" t="s">
        <v>923</v>
      </c>
      <c r="AL6751" t="s">
        <v>924</v>
      </c>
      <c r="AM6751" t="s">
        <v>925</v>
      </c>
      <c r="AN6751" t="s">
        <v>926</v>
      </c>
      <c r="AO6751" t="s">
        <v>927</v>
      </c>
      <c r="AP6751" t="s">
        <v>928</v>
      </c>
      <c r="AQ6751" t="s">
        <v>929</v>
      </c>
      <c r="AR6751" t="s">
        <v>930</v>
      </c>
      <c r="AS6751" t="s">
        <v>931</v>
      </c>
      <c r="AT6751" t="s">
        <v>932</v>
      </c>
      <c r="AU6751" t="s">
        <v>933</v>
      </c>
      <c r="AV6751" t="s">
        <v>934</v>
      </c>
      <c r="AW6751" t="s">
        <v>935</v>
      </c>
      <c r="AX6751" t="s">
        <v>936</v>
      </c>
      <c r="AY6751" t="s">
        <v>937</v>
      </c>
      <c r="AZ6751" t="s">
        <v>938</v>
      </c>
      <c r="BA6751" t="s">
        <v>939</v>
      </c>
      <c r="BB6751" t="s">
        <v>940</v>
      </c>
      <c r="BC6751" t="s">
        <v>941</v>
      </c>
      <c r="BD6751" t="s">
        <v>942</v>
      </c>
      <c r="BE6751" t="s">
        <v>943</v>
      </c>
      <c r="BF6751" t="s">
        <v>944</v>
      </c>
      <c r="BG6751" t="s">
        <v>945</v>
      </c>
      <c r="BH6751" t="s">
        <v>946</v>
      </c>
      <c r="BI6751" t="s">
        <v>947</v>
      </c>
      <c r="BJ6751" t="s">
        <v>948</v>
      </c>
      <c r="BK6751" t="s">
        <v>949</v>
      </c>
      <c r="BL6751" t="s">
        <v>950</v>
      </c>
      <c r="BM6751" t="s">
        <v>951</v>
      </c>
      <c r="BN6751" t="s">
        <v>952</v>
      </c>
      <c r="BO6751" t="s">
        <v>953</v>
      </c>
      <c r="BP6751" t="s">
        <v>954</v>
      </c>
      <c r="BQ6751" t="s">
        <v>955</v>
      </c>
      <c r="BR6751" t="s">
        <v>956</v>
      </c>
      <c r="BS6751" t="s">
        <v>957</v>
      </c>
      <c r="BT6751" t="s">
        <v>958</v>
      </c>
      <c r="BU6751" t="s">
        <v>959</v>
      </c>
      <c r="BV6751" t="s">
        <v>960</v>
      </c>
      <c r="BW6751" t="s">
        <v>961</v>
      </c>
      <c r="BX6751" t="s">
        <v>962</v>
      </c>
      <c r="BY6751" t="s">
        <v>963</v>
      </c>
      <c r="BZ6751" t="s">
        <v>964</v>
      </c>
    </row>
    <row r="6752" spans="1:78" x14ac:dyDescent="0.35">
      <c r="A6752" t="s">
        <v>227</v>
      </c>
      <c r="B6752" t="s">
        <v>244</v>
      </c>
      <c r="C6752">
        <v>7459.9</v>
      </c>
      <c r="D6752">
        <v>7000</v>
      </c>
      <c r="E6752">
        <v>1200</v>
      </c>
      <c r="F6752">
        <v>30000</v>
      </c>
      <c r="G6752" s="30">
        <v>84</v>
      </c>
      <c r="H6752">
        <v>4053.24</v>
      </c>
      <c r="I6752">
        <v>3000</v>
      </c>
      <c r="J6752">
        <v>250</v>
      </c>
      <c r="K6752">
        <v>30000</v>
      </c>
      <c r="L6752" s="30">
        <v>46</v>
      </c>
      <c r="M6752">
        <v>4557.1400000000003</v>
      </c>
      <c r="N6752">
        <v>4200</v>
      </c>
      <c r="O6752">
        <v>1000</v>
      </c>
      <c r="P6752">
        <v>12000</v>
      </c>
      <c r="Q6752" s="30">
        <v>21</v>
      </c>
      <c r="R6752">
        <v>427.24</v>
      </c>
      <c r="S6752">
        <v>300</v>
      </c>
      <c r="T6752">
        <v>50</v>
      </c>
      <c r="U6752">
        <v>2000</v>
      </c>
      <c r="V6752" s="30">
        <v>58</v>
      </c>
      <c r="W6752">
        <v>593.84</v>
      </c>
      <c r="X6752">
        <v>500</v>
      </c>
      <c r="Y6752">
        <v>50</v>
      </c>
      <c r="Z6752">
        <v>2000</v>
      </c>
      <c r="AA6752" s="30">
        <v>57</v>
      </c>
      <c r="AB6752">
        <v>774.68</v>
      </c>
      <c r="AC6752">
        <v>600</v>
      </c>
      <c r="AD6752">
        <v>100</v>
      </c>
      <c r="AE6752">
        <v>4000</v>
      </c>
      <c r="AF6752" s="30">
        <v>77</v>
      </c>
      <c r="AG6752">
        <v>620.78</v>
      </c>
      <c r="AH6752">
        <v>500</v>
      </c>
      <c r="AI6752">
        <v>100</v>
      </c>
      <c r="AJ6752">
        <v>4000</v>
      </c>
      <c r="AK6752" s="30">
        <v>32</v>
      </c>
      <c r="AL6752">
        <v>1945.78</v>
      </c>
      <c r="AM6752">
        <v>1800</v>
      </c>
      <c r="AN6752">
        <v>500</v>
      </c>
      <c r="AO6752">
        <v>5500</v>
      </c>
      <c r="AP6752" s="30">
        <v>86</v>
      </c>
      <c r="AQ6752">
        <v>3956.97</v>
      </c>
      <c r="AR6752">
        <v>2000</v>
      </c>
      <c r="AS6752">
        <v>50</v>
      </c>
      <c r="AT6752">
        <v>30000</v>
      </c>
      <c r="AU6752" s="30">
        <v>62</v>
      </c>
      <c r="AV6752">
        <v>1170</v>
      </c>
      <c r="AW6752">
        <v>1000</v>
      </c>
      <c r="AX6752">
        <v>200</v>
      </c>
      <c r="AY6752">
        <v>3000</v>
      </c>
      <c r="AZ6752" s="30">
        <v>17</v>
      </c>
      <c r="BA6752">
        <v>622.21</v>
      </c>
      <c r="BB6752">
        <v>600</v>
      </c>
      <c r="BC6752">
        <v>140</v>
      </c>
      <c r="BD6752">
        <v>2000</v>
      </c>
      <c r="BE6752" s="30">
        <v>86</v>
      </c>
      <c r="BF6752">
        <v>2316.67</v>
      </c>
      <c r="BG6752">
        <v>2500</v>
      </c>
      <c r="BH6752">
        <v>400</v>
      </c>
      <c r="BI6752">
        <v>5000</v>
      </c>
      <c r="BJ6752" s="30">
        <v>6</v>
      </c>
      <c r="BK6752">
        <v>5188.57</v>
      </c>
      <c r="BL6752">
        <v>3000</v>
      </c>
      <c r="BM6752">
        <v>300</v>
      </c>
      <c r="BN6752">
        <v>25000</v>
      </c>
      <c r="BO6752" s="30">
        <v>23</v>
      </c>
      <c r="BP6752">
        <v>710.82</v>
      </c>
      <c r="BQ6752">
        <v>500</v>
      </c>
      <c r="BR6752">
        <v>50</v>
      </c>
      <c r="BS6752">
        <v>3500</v>
      </c>
      <c r="BT6752" s="30">
        <v>61</v>
      </c>
      <c r="BU6752">
        <v>4283.33</v>
      </c>
      <c r="BV6752">
        <v>7000</v>
      </c>
      <c r="BW6752">
        <v>700</v>
      </c>
      <c r="BX6752">
        <v>7500</v>
      </c>
      <c r="BY6752" s="30">
        <v>6</v>
      </c>
      <c r="BZ6752">
        <v>86</v>
      </c>
    </row>
    <row r="6753" spans="1:78" x14ac:dyDescent="0.35">
      <c r="A6753" t="s">
        <v>227</v>
      </c>
      <c r="B6753" t="s">
        <v>245</v>
      </c>
      <c r="C6753">
        <v>3636.92</v>
      </c>
      <c r="D6753">
        <v>3000</v>
      </c>
      <c r="E6753">
        <v>500</v>
      </c>
      <c r="F6753">
        <v>16322</v>
      </c>
      <c r="G6753" s="30">
        <v>48</v>
      </c>
      <c r="H6753">
        <v>2270.69</v>
      </c>
      <c r="I6753">
        <v>2000</v>
      </c>
      <c r="J6753">
        <v>119</v>
      </c>
      <c r="K6753">
        <v>8000</v>
      </c>
      <c r="L6753" s="30">
        <v>13</v>
      </c>
      <c r="M6753">
        <v>5750</v>
      </c>
      <c r="N6753">
        <v>6000</v>
      </c>
      <c r="O6753">
        <v>5000</v>
      </c>
      <c r="P6753">
        <v>6000</v>
      </c>
      <c r="Q6753" s="30">
        <v>4</v>
      </c>
      <c r="R6753">
        <v>174.29</v>
      </c>
      <c r="S6753">
        <v>160</v>
      </c>
      <c r="T6753">
        <v>50</v>
      </c>
      <c r="U6753">
        <v>300</v>
      </c>
      <c r="V6753" s="30">
        <v>21</v>
      </c>
      <c r="W6753">
        <v>311.31</v>
      </c>
      <c r="X6753">
        <v>300</v>
      </c>
      <c r="Y6753">
        <v>90</v>
      </c>
      <c r="Z6753">
        <v>1000</v>
      </c>
      <c r="AA6753" s="30">
        <v>13</v>
      </c>
      <c r="AB6753">
        <v>588.12</v>
      </c>
      <c r="AC6753">
        <v>350</v>
      </c>
      <c r="AD6753">
        <v>100</v>
      </c>
      <c r="AE6753">
        <v>2646</v>
      </c>
      <c r="AF6753" s="30">
        <v>34</v>
      </c>
      <c r="AG6753">
        <v>612.29</v>
      </c>
      <c r="AH6753">
        <v>270</v>
      </c>
      <c r="AI6753">
        <v>100</v>
      </c>
      <c r="AJ6753">
        <v>3000</v>
      </c>
      <c r="AK6753" s="30">
        <v>14</v>
      </c>
      <c r="AL6753">
        <v>1576.55</v>
      </c>
      <c r="AM6753">
        <v>1400</v>
      </c>
      <c r="AN6753">
        <v>350</v>
      </c>
      <c r="AO6753">
        <v>8000</v>
      </c>
      <c r="AP6753" s="30">
        <v>49</v>
      </c>
      <c r="AQ6753">
        <v>743.45</v>
      </c>
      <c r="AR6753">
        <v>440</v>
      </c>
      <c r="AS6753">
        <v>50</v>
      </c>
      <c r="AT6753">
        <v>5000</v>
      </c>
      <c r="AU6753" s="30">
        <v>29</v>
      </c>
      <c r="AV6753">
        <v>1500</v>
      </c>
      <c r="AW6753">
        <v>1500</v>
      </c>
      <c r="AX6753">
        <v>1500</v>
      </c>
      <c r="AY6753">
        <v>1500</v>
      </c>
      <c r="AZ6753" s="30">
        <v>1</v>
      </c>
      <c r="BA6753">
        <v>322.58</v>
      </c>
      <c r="BB6753">
        <v>250</v>
      </c>
      <c r="BC6753">
        <v>100</v>
      </c>
      <c r="BD6753">
        <v>1000</v>
      </c>
      <c r="BE6753" s="30">
        <v>48</v>
      </c>
      <c r="BF6753">
        <v>4750</v>
      </c>
      <c r="BG6753">
        <v>3000</v>
      </c>
      <c r="BH6753">
        <v>3000</v>
      </c>
      <c r="BI6753">
        <v>6500</v>
      </c>
      <c r="BJ6753" s="30">
        <v>2</v>
      </c>
      <c r="BK6753">
        <v>2100</v>
      </c>
      <c r="BL6753">
        <v>3000</v>
      </c>
      <c r="BM6753">
        <v>300</v>
      </c>
      <c r="BN6753">
        <v>5000</v>
      </c>
      <c r="BO6753" s="30">
        <v>6</v>
      </c>
      <c r="BP6753">
        <v>961.18</v>
      </c>
      <c r="BQ6753">
        <v>400</v>
      </c>
      <c r="BR6753">
        <v>50</v>
      </c>
      <c r="BS6753">
        <v>3500</v>
      </c>
      <c r="BT6753" s="30">
        <v>22</v>
      </c>
      <c r="BU6753">
        <v>3762.5</v>
      </c>
      <c r="BV6753">
        <v>3500</v>
      </c>
      <c r="BW6753">
        <v>1000</v>
      </c>
      <c r="BX6753">
        <v>5550</v>
      </c>
      <c r="BY6753" s="30">
        <v>4</v>
      </c>
      <c r="BZ6753">
        <v>49</v>
      </c>
    </row>
    <row r="6754" spans="1:78" x14ac:dyDescent="0.35">
      <c r="A6754" s="27" t="s">
        <v>227</v>
      </c>
      <c r="B6754" s="27" t="s">
        <v>246</v>
      </c>
      <c r="C6754" s="29">
        <v>7250</v>
      </c>
      <c r="D6754" s="29">
        <v>6000</v>
      </c>
      <c r="E6754" s="29">
        <v>2000</v>
      </c>
      <c r="F6754" s="29">
        <v>15000</v>
      </c>
      <c r="G6754" s="29">
        <v>10</v>
      </c>
      <c r="H6754" s="29">
        <v>2214.29</v>
      </c>
      <c r="I6754" s="29">
        <v>3000</v>
      </c>
      <c r="J6754" s="29">
        <v>500</v>
      </c>
      <c r="K6754" s="29">
        <v>5000</v>
      </c>
      <c r="L6754" s="29">
        <v>7</v>
      </c>
      <c r="M6754" s="29">
        <v>5000</v>
      </c>
      <c r="N6754" s="29">
        <v>5000</v>
      </c>
      <c r="O6754" s="29">
        <v>5000</v>
      </c>
      <c r="P6754" s="29">
        <v>5000</v>
      </c>
      <c r="Q6754" s="29">
        <v>1</v>
      </c>
      <c r="R6754" s="29">
        <v>248</v>
      </c>
      <c r="S6754" s="29">
        <v>300</v>
      </c>
      <c r="T6754" s="29">
        <v>100</v>
      </c>
      <c r="U6754" s="29">
        <v>400</v>
      </c>
      <c r="V6754" s="29">
        <v>5</v>
      </c>
      <c r="W6754" s="29">
        <v>506.67</v>
      </c>
      <c r="X6754" s="29">
        <v>500</v>
      </c>
      <c r="Y6754" s="29">
        <v>100</v>
      </c>
      <c r="Z6754" s="29">
        <v>1000</v>
      </c>
      <c r="AA6754" s="29">
        <v>9</v>
      </c>
      <c r="AB6754" s="29">
        <v>1480</v>
      </c>
      <c r="AC6754" s="29">
        <v>1000</v>
      </c>
      <c r="AD6754" s="29">
        <v>500</v>
      </c>
      <c r="AE6754" s="29">
        <v>5000</v>
      </c>
      <c r="AF6754" s="29">
        <v>10</v>
      </c>
      <c r="AG6754" s="29">
        <v>500</v>
      </c>
      <c r="AH6754" s="29">
        <v>500</v>
      </c>
      <c r="AI6754" s="29">
        <v>300</v>
      </c>
      <c r="AJ6754" s="29">
        <v>1000</v>
      </c>
      <c r="AK6754" s="29">
        <v>5</v>
      </c>
      <c r="AL6754" s="29">
        <v>2722.73</v>
      </c>
      <c r="AM6754" s="29">
        <v>2500</v>
      </c>
      <c r="AN6754" s="29">
        <v>1000</v>
      </c>
      <c r="AO6754" s="29">
        <v>5000</v>
      </c>
      <c r="AP6754" s="29">
        <v>11</v>
      </c>
      <c r="AQ6754" s="29">
        <v>1685</v>
      </c>
      <c r="AR6754" s="29">
        <v>1000</v>
      </c>
      <c r="AS6754" s="29">
        <v>150</v>
      </c>
      <c r="AT6754" s="29">
        <v>5000</v>
      </c>
      <c r="AU6754" s="29">
        <v>10</v>
      </c>
      <c r="AV6754" s="29">
        <v>725</v>
      </c>
      <c r="AW6754" s="29">
        <v>500</v>
      </c>
      <c r="AX6754" s="29">
        <v>200</v>
      </c>
      <c r="AY6754" s="29">
        <v>1200</v>
      </c>
      <c r="AZ6754" s="29">
        <v>4</v>
      </c>
      <c r="BA6754" s="29">
        <v>970.91</v>
      </c>
      <c r="BB6754" s="29">
        <v>1000</v>
      </c>
      <c r="BC6754" s="29">
        <v>240</v>
      </c>
      <c r="BD6754" s="29">
        <v>2500</v>
      </c>
      <c r="BE6754" s="29">
        <v>11</v>
      </c>
      <c r="BF6754" s="29"/>
      <c r="BG6754" s="29"/>
      <c r="BH6754" s="29"/>
      <c r="BI6754" s="29"/>
      <c r="BJ6754" s="29"/>
      <c r="BK6754" s="29">
        <v>2800</v>
      </c>
      <c r="BL6754" s="29">
        <v>3000</v>
      </c>
      <c r="BM6754" s="29">
        <v>1000</v>
      </c>
      <c r="BN6754" s="29">
        <v>6000</v>
      </c>
      <c r="BO6754" s="29">
        <v>5</v>
      </c>
      <c r="BP6754" s="29">
        <v>766.67</v>
      </c>
      <c r="BQ6754" s="29">
        <v>1000</v>
      </c>
      <c r="BR6754" s="29">
        <v>100</v>
      </c>
      <c r="BS6754" s="29">
        <v>2000</v>
      </c>
      <c r="BT6754" s="29">
        <v>6</v>
      </c>
      <c r="BU6754" s="29"/>
      <c r="BV6754" s="29"/>
      <c r="BW6754" s="29"/>
      <c r="BX6754" s="29"/>
      <c r="BY6754" s="29"/>
      <c r="BZ6754" s="29">
        <v>11</v>
      </c>
    </row>
    <row r="6755" spans="1:78" x14ac:dyDescent="0.35">
      <c r="A6755" t="s">
        <v>228</v>
      </c>
      <c r="B6755" t="s">
        <v>244</v>
      </c>
      <c r="C6755">
        <v>8920.17</v>
      </c>
      <c r="D6755">
        <v>7000</v>
      </c>
      <c r="E6755">
        <v>200</v>
      </c>
      <c r="F6755">
        <v>30000</v>
      </c>
      <c r="G6755" s="30">
        <v>521</v>
      </c>
      <c r="H6755">
        <v>3919.86</v>
      </c>
      <c r="I6755">
        <v>3000</v>
      </c>
      <c r="J6755">
        <v>100</v>
      </c>
      <c r="K6755">
        <v>30000</v>
      </c>
      <c r="L6755" s="30">
        <v>225</v>
      </c>
      <c r="M6755">
        <v>5537.71</v>
      </c>
      <c r="N6755">
        <v>5000</v>
      </c>
      <c r="O6755">
        <v>183</v>
      </c>
      <c r="P6755">
        <v>12000</v>
      </c>
      <c r="Q6755" s="30">
        <v>88</v>
      </c>
      <c r="R6755">
        <v>450.69</v>
      </c>
      <c r="S6755">
        <v>300</v>
      </c>
      <c r="T6755">
        <v>50</v>
      </c>
      <c r="U6755">
        <v>3000</v>
      </c>
      <c r="V6755" s="30">
        <v>299</v>
      </c>
      <c r="W6755">
        <v>503.39</v>
      </c>
      <c r="X6755">
        <v>300</v>
      </c>
      <c r="Y6755">
        <v>50</v>
      </c>
      <c r="Z6755">
        <v>3000</v>
      </c>
      <c r="AA6755" s="30">
        <v>295</v>
      </c>
      <c r="AB6755">
        <v>711.26</v>
      </c>
      <c r="AC6755">
        <v>500</v>
      </c>
      <c r="AD6755">
        <v>100</v>
      </c>
      <c r="AE6755">
        <v>5000</v>
      </c>
      <c r="AF6755" s="30">
        <v>422</v>
      </c>
      <c r="AG6755">
        <v>644.65</v>
      </c>
      <c r="AH6755">
        <v>500</v>
      </c>
      <c r="AI6755">
        <v>100</v>
      </c>
      <c r="AJ6755">
        <v>4000</v>
      </c>
      <c r="AK6755" s="30">
        <v>181</v>
      </c>
      <c r="AL6755">
        <v>2170.3000000000002</v>
      </c>
      <c r="AM6755">
        <v>2000</v>
      </c>
      <c r="AN6755">
        <v>300</v>
      </c>
      <c r="AO6755">
        <v>9000</v>
      </c>
      <c r="AP6755" s="30">
        <v>543</v>
      </c>
      <c r="AQ6755">
        <v>2282.58</v>
      </c>
      <c r="AR6755">
        <v>1000</v>
      </c>
      <c r="AS6755">
        <v>50</v>
      </c>
      <c r="AT6755">
        <v>22000</v>
      </c>
      <c r="AU6755" s="30">
        <v>334</v>
      </c>
      <c r="AV6755">
        <v>673.16</v>
      </c>
      <c r="AW6755">
        <v>500</v>
      </c>
      <c r="AX6755">
        <v>100</v>
      </c>
      <c r="AY6755">
        <v>3000</v>
      </c>
      <c r="AZ6755" s="30">
        <v>61</v>
      </c>
      <c r="BA6755">
        <v>657.64</v>
      </c>
      <c r="BB6755">
        <v>550</v>
      </c>
      <c r="BC6755">
        <v>100</v>
      </c>
      <c r="BD6755">
        <v>2000</v>
      </c>
      <c r="BE6755" s="30">
        <v>548</v>
      </c>
      <c r="BF6755">
        <v>2538.11</v>
      </c>
      <c r="BG6755">
        <v>2000</v>
      </c>
      <c r="BH6755">
        <v>500</v>
      </c>
      <c r="BI6755">
        <v>6000</v>
      </c>
      <c r="BJ6755" s="30">
        <v>40</v>
      </c>
      <c r="BK6755">
        <v>4230.8100000000004</v>
      </c>
      <c r="BL6755">
        <v>2000</v>
      </c>
      <c r="BM6755">
        <v>100</v>
      </c>
      <c r="BN6755">
        <v>30000</v>
      </c>
      <c r="BO6755" s="30">
        <v>95</v>
      </c>
      <c r="BP6755">
        <v>1129.8399999999999</v>
      </c>
      <c r="BQ6755">
        <v>600</v>
      </c>
      <c r="BR6755">
        <v>50</v>
      </c>
      <c r="BS6755">
        <v>20000</v>
      </c>
      <c r="BT6755" s="30">
        <v>306</v>
      </c>
      <c r="BU6755">
        <v>2502.09</v>
      </c>
      <c r="BV6755">
        <v>2000</v>
      </c>
      <c r="BW6755">
        <v>254</v>
      </c>
      <c r="BX6755">
        <v>7000</v>
      </c>
      <c r="BY6755" s="30">
        <v>24</v>
      </c>
      <c r="BZ6755">
        <v>548</v>
      </c>
    </row>
    <row r="6756" spans="1:78" x14ac:dyDescent="0.35">
      <c r="A6756" t="s">
        <v>228</v>
      </c>
      <c r="B6756" t="s">
        <v>245</v>
      </c>
      <c r="C6756">
        <v>4454.45</v>
      </c>
      <c r="D6756">
        <v>3000</v>
      </c>
      <c r="E6756">
        <v>300</v>
      </c>
      <c r="F6756">
        <v>26000</v>
      </c>
      <c r="G6756" s="30">
        <v>254</v>
      </c>
      <c r="H6756">
        <v>2448.62</v>
      </c>
      <c r="I6756">
        <v>2000</v>
      </c>
      <c r="J6756">
        <v>300</v>
      </c>
      <c r="K6756">
        <v>15000</v>
      </c>
      <c r="L6756" s="30">
        <v>72</v>
      </c>
      <c r="M6756">
        <v>4983.6899999999996</v>
      </c>
      <c r="N6756">
        <v>4500</v>
      </c>
      <c r="O6756">
        <v>400</v>
      </c>
      <c r="P6756">
        <v>15000</v>
      </c>
      <c r="Q6756" s="30">
        <v>32</v>
      </c>
      <c r="R6756">
        <v>312.60000000000002</v>
      </c>
      <c r="S6756">
        <v>200</v>
      </c>
      <c r="T6756">
        <v>50</v>
      </c>
      <c r="U6756">
        <v>3000</v>
      </c>
      <c r="V6756" s="30">
        <v>123</v>
      </c>
      <c r="W6756">
        <v>316.8</v>
      </c>
      <c r="X6756">
        <v>300</v>
      </c>
      <c r="Y6756">
        <v>50</v>
      </c>
      <c r="Z6756">
        <v>1000</v>
      </c>
      <c r="AA6756" s="30">
        <v>71</v>
      </c>
      <c r="AB6756">
        <v>520.95000000000005</v>
      </c>
      <c r="AC6756">
        <v>400</v>
      </c>
      <c r="AD6756">
        <v>100</v>
      </c>
      <c r="AE6756">
        <v>5000</v>
      </c>
      <c r="AF6756" s="30">
        <v>163</v>
      </c>
      <c r="AG6756">
        <v>599.78</v>
      </c>
      <c r="AH6756">
        <v>300</v>
      </c>
      <c r="AI6756">
        <v>100</v>
      </c>
      <c r="AJ6756">
        <v>3000</v>
      </c>
      <c r="AK6756" s="30">
        <v>61</v>
      </c>
      <c r="AL6756">
        <v>1451.5</v>
      </c>
      <c r="AM6756">
        <v>1300</v>
      </c>
      <c r="AN6756">
        <v>300</v>
      </c>
      <c r="AO6756">
        <v>5000</v>
      </c>
      <c r="AP6756" s="30">
        <v>263</v>
      </c>
      <c r="AQ6756">
        <v>2136.48</v>
      </c>
      <c r="AR6756">
        <v>500</v>
      </c>
      <c r="AS6756">
        <v>50</v>
      </c>
      <c r="AT6756">
        <v>30000</v>
      </c>
      <c r="AU6756" s="30">
        <v>109</v>
      </c>
      <c r="AV6756">
        <v>776.53</v>
      </c>
      <c r="AW6756">
        <v>750</v>
      </c>
      <c r="AX6756">
        <v>100</v>
      </c>
      <c r="AY6756">
        <v>2000</v>
      </c>
      <c r="AZ6756" s="30">
        <v>13</v>
      </c>
      <c r="BA6756">
        <v>418.58</v>
      </c>
      <c r="BB6756">
        <v>320</v>
      </c>
      <c r="BC6756">
        <v>85</v>
      </c>
      <c r="BD6756">
        <v>2800</v>
      </c>
      <c r="BE6756" s="30">
        <v>268</v>
      </c>
      <c r="BF6756">
        <v>2004.52</v>
      </c>
      <c r="BG6756">
        <v>2000</v>
      </c>
      <c r="BH6756">
        <v>1000</v>
      </c>
      <c r="BI6756">
        <v>7000</v>
      </c>
      <c r="BJ6756" s="30">
        <v>6</v>
      </c>
      <c r="BK6756">
        <v>3523.9</v>
      </c>
      <c r="BL6756">
        <v>1200</v>
      </c>
      <c r="BM6756">
        <v>500</v>
      </c>
      <c r="BN6756">
        <v>28000</v>
      </c>
      <c r="BO6756" s="30">
        <v>23</v>
      </c>
      <c r="BP6756">
        <v>817.21</v>
      </c>
      <c r="BQ6756">
        <v>500</v>
      </c>
      <c r="BR6756">
        <v>60</v>
      </c>
      <c r="BS6756">
        <v>7000</v>
      </c>
      <c r="BT6756" s="30">
        <v>103</v>
      </c>
      <c r="BU6756">
        <v>1107.71</v>
      </c>
      <c r="BV6756">
        <v>1000</v>
      </c>
      <c r="BW6756">
        <v>400</v>
      </c>
      <c r="BX6756">
        <v>4000</v>
      </c>
      <c r="BY6756" s="30">
        <v>12</v>
      </c>
      <c r="BZ6756">
        <v>268</v>
      </c>
    </row>
    <row r="6757" spans="1:78" x14ac:dyDescent="0.35">
      <c r="A6757" t="s">
        <v>228</v>
      </c>
      <c r="B6757" t="s">
        <v>246</v>
      </c>
      <c r="C6757">
        <v>9987.6200000000008</v>
      </c>
      <c r="D6757">
        <v>10000</v>
      </c>
      <c r="E6757">
        <v>3000</v>
      </c>
      <c r="F6757">
        <v>20000</v>
      </c>
      <c r="G6757" s="30">
        <v>46</v>
      </c>
      <c r="H6757">
        <v>4189.68</v>
      </c>
      <c r="I6757">
        <v>3000</v>
      </c>
      <c r="J6757">
        <v>500</v>
      </c>
      <c r="K6757">
        <v>15000</v>
      </c>
      <c r="L6757" s="30">
        <v>28</v>
      </c>
      <c r="M6757">
        <v>8826.34</v>
      </c>
      <c r="N6757">
        <v>13000</v>
      </c>
      <c r="O6757">
        <v>289</v>
      </c>
      <c r="P6757">
        <v>16000</v>
      </c>
      <c r="Q6757" s="30">
        <v>10</v>
      </c>
      <c r="R6757">
        <v>1024.8599999999999</v>
      </c>
      <c r="S6757">
        <v>1000</v>
      </c>
      <c r="T6757">
        <v>200</v>
      </c>
      <c r="U6757">
        <v>3000</v>
      </c>
      <c r="V6757" s="30">
        <v>26</v>
      </c>
      <c r="W6757">
        <v>740.07</v>
      </c>
      <c r="X6757">
        <v>900</v>
      </c>
      <c r="Y6757">
        <v>100</v>
      </c>
      <c r="Z6757">
        <v>3000</v>
      </c>
      <c r="AA6757" s="30">
        <v>37</v>
      </c>
      <c r="AB6757">
        <v>1540.91</v>
      </c>
      <c r="AC6757">
        <v>1500</v>
      </c>
      <c r="AD6757">
        <v>200</v>
      </c>
      <c r="AE6757">
        <v>4000</v>
      </c>
      <c r="AF6757" s="30">
        <v>46</v>
      </c>
      <c r="AG6757">
        <v>638.45000000000005</v>
      </c>
      <c r="AH6757">
        <v>500</v>
      </c>
      <c r="AI6757">
        <v>150</v>
      </c>
      <c r="AJ6757">
        <v>5000</v>
      </c>
      <c r="AK6757" s="30">
        <v>23</v>
      </c>
      <c r="AL6757">
        <v>3195.8</v>
      </c>
      <c r="AM6757">
        <v>3000</v>
      </c>
      <c r="AN6757">
        <v>800</v>
      </c>
      <c r="AO6757">
        <v>7000</v>
      </c>
      <c r="AP6757" s="30">
        <v>54</v>
      </c>
      <c r="AQ6757">
        <v>2352.16</v>
      </c>
      <c r="AR6757">
        <v>1000</v>
      </c>
      <c r="AS6757">
        <v>150</v>
      </c>
      <c r="AT6757">
        <v>10000</v>
      </c>
      <c r="AU6757" s="30">
        <v>38</v>
      </c>
      <c r="AV6757">
        <v>877.69</v>
      </c>
      <c r="AW6757">
        <v>500</v>
      </c>
      <c r="AX6757">
        <v>400</v>
      </c>
      <c r="AY6757">
        <v>3000</v>
      </c>
      <c r="AZ6757" s="30">
        <v>10</v>
      </c>
      <c r="BA6757">
        <v>1165.94</v>
      </c>
      <c r="BB6757">
        <v>1000</v>
      </c>
      <c r="BC6757">
        <v>250</v>
      </c>
      <c r="BD6757">
        <v>2500</v>
      </c>
      <c r="BE6757" s="30">
        <v>61</v>
      </c>
      <c r="BF6757">
        <v>2437.8200000000002</v>
      </c>
      <c r="BG6757">
        <v>4000</v>
      </c>
      <c r="BH6757">
        <v>1000</v>
      </c>
      <c r="BI6757">
        <v>4000</v>
      </c>
      <c r="BJ6757" s="30">
        <v>4</v>
      </c>
      <c r="BK6757">
        <v>3401.73</v>
      </c>
      <c r="BL6757">
        <v>3000</v>
      </c>
      <c r="BM6757">
        <v>300</v>
      </c>
      <c r="BN6757">
        <v>20000</v>
      </c>
      <c r="BO6757" s="30">
        <v>13</v>
      </c>
      <c r="BP6757">
        <v>1582.09</v>
      </c>
      <c r="BQ6757">
        <v>500</v>
      </c>
      <c r="BR6757">
        <v>100</v>
      </c>
      <c r="BS6757">
        <v>6000</v>
      </c>
      <c r="BT6757" s="30">
        <v>35</v>
      </c>
      <c r="BU6757">
        <v>1299.9000000000001</v>
      </c>
      <c r="BV6757">
        <v>1500</v>
      </c>
      <c r="BW6757">
        <v>1200</v>
      </c>
      <c r="BX6757">
        <v>1500</v>
      </c>
      <c r="BY6757" s="30">
        <v>3</v>
      </c>
      <c r="BZ6757">
        <v>61</v>
      </c>
    </row>
    <row r="6758" spans="1:78" x14ac:dyDescent="0.35">
      <c r="A6758" t="s">
        <v>229</v>
      </c>
      <c r="B6758" t="s">
        <v>244</v>
      </c>
      <c r="C6758">
        <v>10537.39</v>
      </c>
      <c r="D6758">
        <v>10000</v>
      </c>
      <c r="E6758">
        <v>300</v>
      </c>
      <c r="F6758">
        <v>30000</v>
      </c>
      <c r="G6758" s="30">
        <v>486</v>
      </c>
      <c r="H6758">
        <v>4435.6099999999997</v>
      </c>
      <c r="I6758">
        <v>3000</v>
      </c>
      <c r="J6758">
        <v>100</v>
      </c>
      <c r="K6758">
        <v>30000</v>
      </c>
      <c r="L6758" s="30">
        <v>277</v>
      </c>
      <c r="M6758">
        <v>8419.66</v>
      </c>
      <c r="N6758">
        <v>9000</v>
      </c>
      <c r="O6758">
        <v>400</v>
      </c>
      <c r="P6758">
        <v>16000</v>
      </c>
      <c r="Q6758" s="30">
        <v>61</v>
      </c>
      <c r="R6758">
        <v>533.58000000000004</v>
      </c>
      <c r="S6758">
        <v>350</v>
      </c>
      <c r="T6758">
        <v>50</v>
      </c>
      <c r="U6758">
        <v>3000</v>
      </c>
      <c r="V6758" s="30">
        <v>225</v>
      </c>
      <c r="W6758">
        <v>534.29</v>
      </c>
      <c r="X6758">
        <v>400</v>
      </c>
      <c r="Y6758">
        <v>75</v>
      </c>
      <c r="Z6758">
        <v>3000</v>
      </c>
      <c r="AA6758" s="30">
        <v>323</v>
      </c>
      <c r="AB6758">
        <v>1077.07</v>
      </c>
      <c r="AC6758">
        <v>700</v>
      </c>
      <c r="AD6758">
        <v>100</v>
      </c>
      <c r="AE6758">
        <v>5000</v>
      </c>
      <c r="AF6758" s="30">
        <v>431</v>
      </c>
      <c r="AG6758">
        <v>743.41</v>
      </c>
      <c r="AH6758">
        <v>500</v>
      </c>
      <c r="AI6758">
        <v>100</v>
      </c>
      <c r="AJ6758">
        <v>5000</v>
      </c>
      <c r="AK6758" s="30">
        <v>218</v>
      </c>
      <c r="AL6758">
        <v>2622.24</v>
      </c>
      <c r="AM6758">
        <v>2500</v>
      </c>
      <c r="AN6758">
        <v>300</v>
      </c>
      <c r="AO6758">
        <v>8000</v>
      </c>
      <c r="AP6758" s="30">
        <v>511</v>
      </c>
      <c r="AQ6758">
        <v>2663.29</v>
      </c>
      <c r="AR6758">
        <v>1500</v>
      </c>
      <c r="AS6758">
        <v>50</v>
      </c>
      <c r="AT6758">
        <v>20000</v>
      </c>
      <c r="AU6758" s="30">
        <v>357</v>
      </c>
      <c r="AV6758">
        <v>1069.3499999999999</v>
      </c>
      <c r="AW6758">
        <v>600</v>
      </c>
      <c r="AX6758">
        <v>100</v>
      </c>
      <c r="AY6758">
        <v>3000</v>
      </c>
      <c r="AZ6758" s="30">
        <v>54</v>
      </c>
      <c r="BA6758">
        <v>694.06</v>
      </c>
      <c r="BB6758">
        <v>650</v>
      </c>
      <c r="BC6758">
        <v>100</v>
      </c>
      <c r="BD6758">
        <v>2500</v>
      </c>
      <c r="BE6758" s="30">
        <v>508</v>
      </c>
      <c r="BF6758">
        <v>3324.13</v>
      </c>
      <c r="BG6758">
        <v>2000</v>
      </c>
      <c r="BH6758">
        <v>200</v>
      </c>
      <c r="BI6758">
        <v>10000</v>
      </c>
      <c r="BJ6758" s="30">
        <v>37</v>
      </c>
      <c r="BK6758">
        <v>6930.05</v>
      </c>
      <c r="BL6758">
        <v>3000</v>
      </c>
      <c r="BM6758">
        <v>100</v>
      </c>
      <c r="BN6758">
        <v>30000</v>
      </c>
      <c r="BO6758" s="30">
        <v>124</v>
      </c>
      <c r="BP6758">
        <v>1752</v>
      </c>
      <c r="BQ6758">
        <v>1000</v>
      </c>
      <c r="BR6758">
        <v>50</v>
      </c>
      <c r="BS6758">
        <v>30000</v>
      </c>
      <c r="BT6758" s="30">
        <v>286</v>
      </c>
      <c r="BU6758">
        <v>4101.8</v>
      </c>
      <c r="BV6758">
        <v>3000</v>
      </c>
      <c r="BW6758">
        <v>200</v>
      </c>
      <c r="BX6758">
        <v>10000</v>
      </c>
      <c r="BY6758" s="30">
        <v>25</v>
      </c>
      <c r="BZ6758">
        <v>511</v>
      </c>
    </row>
    <row r="6759" spans="1:78" x14ac:dyDescent="0.35">
      <c r="A6759" t="s">
        <v>229</v>
      </c>
      <c r="B6759" t="s">
        <v>245</v>
      </c>
      <c r="C6759">
        <v>5107</v>
      </c>
      <c r="D6759">
        <v>4000</v>
      </c>
      <c r="E6759">
        <v>200</v>
      </c>
      <c r="F6759">
        <v>16500</v>
      </c>
      <c r="G6759" s="30">
        <v>244</v>
      </c>
      <c r="H6759">
        <v>2767.23</v>
      </c>
      <c r="I6759">
        <v>2000</v>
      </c>
      <c r="J6759">
        <v>100</v>
      </c>
      <c r="K6759">
        <v>10000</v>
      </c>
      <c r="L6759" s="30">
        <v>83</v>
      </c>
      <c r="M6759">
        <v>4633.3</v>
      </c>
      <c r="N6759">
        <v>5000</v>
      </c>
      <c r="O6759">
        <v>500</v>
      </c>
      <c r="P6759">
        <v>14000</v>
      </c>
      <c r="Q6759" s="30">
        <v>29</v>
      </c>
      <c r="R6759">
        <v>445.33</v>
      </c>
      <c r="S6759">
        <v>200</v>
      </c>
      <c r="T6759">
        <v>50</v>
      </c>
      <c r="U6759">
        <v>2000</v>
      </c>
      <c r="V6759" s="30">
        <v>81</v>
      </c>
      <c r="W6759">
        <v>318.44</v>
      </c>
      <c r="X6759">
        <v>200</v>
      </c>
      <c r="Y6759">
        <v>50</v>
      </c>
      <c r="Z6759">
        <v>1000</v>
      </c>
      <c r="AA6759" s="30">
        <v>100</v>
      </c>
      <c r="AB6759">
        <v>697.51</v>
      </c>
      <c r="AC6759">
        <v>400</v>
      </c>
      <c r="AD6759">
        <v>100</v>
      </c>
      <c r="AE6759">
        <v>4000</v>
      </c>
      <c r="AF6759" s="30">
        <v>190</v>
      </c>
      <c r="AG6759">
        <v>478.17</v>
      </c>
      <c r="AH6759">
        <v>500</v>
      </c>
      <c r="AI6759">
        <v>100</v>
      </c>
      <c r="AJ6759">
        <v>1500</v>
      </c>
      <c r="AK6759" s="30">
        <v>64</v>
      </c>
      <c r="AL6759">
        <v>1629.77</v>
      </c>
      <c r="AM6759">
        <v>1400</v>
      </c>
      <c r="AN6759">
        <v>300</v>
      </c>
      <c r="AO6759">
        <v>9000</v>
      </c>
      <c r="AP6759" s="30">
        <v>252</v>
      </c>
      <c r="AQ6759">
        <v>1042.4100000000001</v>
      </c>
      <c r="AR6759">
        <v>500</v>
      </c>
      <c r="AS6759">
        <v>50</v>
      </c>
      <c r="AT6759">
        <v>15000</v>
      </c>
      <c r="AU6759" s="30">
        <v>129</v>
      </c>
      <c r="AV6759">
        <v>499.61</v>
      </c>
      <c r="AW6759">
        <v>500</v>
      </c>
      <c r="AX6759">
        <v>100</v>
      </c>
      <c r="AY6759">
        <v>2000</v>
      </c>
      <c r="AZ6759" s="30">
        <v>22</v>
      </c>
      <c r="BA6759">
        <v>362.38</v>
      </c>
      <c r="BB6759">
        <v>300</v>
      </c>
      <c r="BC6759">
        <v>50</v>
      </c>
      <c r="BD6759">
        <v>2000</v>
      </c>
      <c r="BE6759" s="30">
        <v>256</v>
      </c>
      <c r="BF6759">
        <v>2000</v>
      </c>
      <c r="BG6759">
        <v>2000</v>
      </c>
      <c r="BH6759">
        <v>2000</v>
      </c>
      <c r="BI6759">
        <v>2000</v>
      </c>
      <c r="BJ6759" s="30">
        <v>1</v>
      </c>
      <c r="BK6759">
        <v>1271.68</v>
      </c>
      <c r="BL6759">
        <v>1000</v>
      </c>
      <c r="BM6759">
        <v>200</v>
      </c>
      <c r="BN6759">
        <v>6000</v>
      </c>
      <c r="BO6759" s="30">
        <v>24</v>
      </c>
      <c r="BP6759">
        <v>934.09</v>
      </c>
      <c r="BQ6759">
        <v>500</v>
      </c>
      <c r="BR6759">
        <v>50</v>
      </c>
      <c r="BS6759">
        <v>5000</v>
      </c>
      <c r="BT6759" s="30">
        <v>103</v>
      </c>
      <c r="BU6759">
        <v>1185.97</v>
      </c>
      <c r="BV6759">
        <v>1500</v>
      </c>
      <c r="BW6759">
        <v>600</v>
      </c>
      <c r="BX6759">
        <v>2050</v>
      </c>
      <c r="BY6759" s="30">
        <v>7</v>
      </c>
      <c r="BZ6759">
        <v>256</v>
      </c>
    </row>
    <row r="6760" spans="1:78" x14ac:dyDescent="0.35">
      <c r="A6760" t="s">
        <v>229</v>
      </c>
      <c r="B6760" t="s">
        <v>246</v>
      </c>
      <c r="C6760">
        <v>13151.29</v>
      </c>
      <c r="D6760">
        <v>10000</v>
      </c>
      <c r="E6760">
        <v>3000</v>
      </c>
      <c r="F6760">
        <v>30000</v>
      </c>
      <c r="G6760" s="30">
        <v>37</v>
      </c>
      <c r="H6760">
        <v>5299.57</v>
      </c>
      <c r="I6760">
        <v>5000</v>
      </c>
      <c r="J6760">
        <v>1000</v>
      </c>
      <c r="K6760">
        <v>20000</v>
      </c>
      <c r="L6760" s="30">
        <v>27</v>
      </c>
      <c r="M6760">
        <v>4283.3</v>
      </c>
      <c r="N6760">
        <v>4000</v>
      </c>
      <c r="O6760">
        <v>2000</v>
      </c>
      <c r="P6760">
        <v>5000</v>
      </c>
      <c r="Q6760" s="30">
        <v>7</v>
      </c>
      <c r="R6760">
        <v>546.58000000000004</v>
      </c>
      <c r="S6760">
        <v>500</v>
      </c>
      <c r="T6760">
        <v>200</v>
      </c>
      <c r="U6760">
        <v>1000</v>
      </c>
      <c r="V6760" s="30">
        <v>18</v>
      </c>
      <c r="W6760">
        <v>682.15</v>
      </c>
      <c r="X6760">
        <v>500</v>
      </c>
      <c r="Y6760">
        <v>100</v>
      </c>
      <c r="Z6760">
        <v>3000</v>
      </c>
      <c r="AA6760" s="30">
        <v>30</v>
      </c>
      <c r="AB6760">
        <v>1240.47</v>
      </c>
      <c r="AC6760">
        <v>1000</v>
      </c>
      <c r="AD6760">
        <v>200</v>
      </c>
      <c r="AE6760">
        <v>4000</v>
      </c>
      <c r="AF6760" s="30">
        <v>37</v>
      </c>
      <c r="AG6760">
        <v>525.25</v>
      </c>
      <c r="AH6760">
        <v>500</v>
      </c>
      <c r="AI6760">
        <v>100</v>
      </c>
      <c r="AJ6760">
        <v>2000</v>
      </c>
      <c r="AK6760" s="30">
        <v>20</v>
      </c>
      <c r="AL6760">
        <v>3080.99</v>
      </c>
      <c r="AM6760">
        <v>3000</v>
      </c>
      <c r="AN6760">
        <v>700</v>
      </c>
      <c r="AO6760">
        <v>6000</v>
      </c>
      <c r="AP6760" s="30">
        <v>40</v>
      </c>
      <c r="AQ6760">
        <v>4530.78</v>
      </c>
      <c r="AR6760">
        <v>2000</v>
      </c>
      <c r="AS6760">
        <v>400</v>
      </c>
      <c r="AT6760">
        <v>30000</v>
      </c>
      <c r="AU6760" s="30">
        <v>29</v>
      </c>
      <c r="AV6760">
        <v>675.31</v>
      </c>
      <c r="AW6760">
        <v>500</v>
      </c>
      <c r="AX6760">
        <v>100</v>
      </c>
      <c r="AY6760">
        <v>1500</v>
      </c>
      <c r="AZ6760" s="30">
        <v>13</v>
      </c>
      <c r="BA6760">
        <v>1196.96</v>
      </c>
      <c r="BB6760">
        <v>1000</v>
      </c>
      <c r="BC6760">
        <v>300</v>
      </c>
      <c r="BD6760">
        <v>2800</v>
      </c>
      <c r="BE6760" s="30">
        <v>43</v>
      </c>
      <c r="BF6760">
        <v>1375.96</v>
      </c>
      <c r="BG6760">
        <v>1500</v>
      </c>
      <c r="BH6760">
        <v>1000</v>
      </c>
      <c r="BI6760">
        <v>1500</v>
      </c>
      <c r="BJ6760" s="30">
        <v>4</v>
      </c>
      <c r="BK6760">
        <v>6623.47</v>
      </c>
      <c r="BL6760">
        <v>4500</v>
      </c>
      <c r="BM6760">
        <v>400</v>
      </c>
      <c r="BN6760">
        <v>25000</v>
      </c>
      <c r="BO6760" s="30">
        <v>9</v>
      </c>
      <c r="BP6760">
        <v>2112.33</v>
      </c>
      <c r="BQ6760">
        <v>1000</v>
      </c>
      <c r="BR6760">
        <v>100</v>
      </c>
      <c r="BS6760">
        <v>7000</v>
      </c>
      <c r="BT6760" s="30">
        <v>27</v>
      </c>
      <c r="BU6760">
        <v>600</v>
      </c>
      <c r="BV6760">
        <v>600</v>
      </c>
      <c r="BW6760">
        <v>600</v>
      </c>
      <c r="BX6760">
        <v>600</v>
      </c>
      <c r="BY6760" s="30">
        <v>1</v>
      </c>
      <c r="BZ6760">
        <v>43</v>
      </c>
    </row>
    <row r="6761" spans="1:78" x14ac:dyDescent="0.35">
      <c r="A6761" t="s">
        <v>230</v>
      </c>
      <c r="B6761" t="s">
        <v>244</v>
      </c>
      <c r="C6761">
        <v>9078.73</v>
      </c>
      <c r="D6761">
        <v>7000</v>
      </c>
      <c r="E6761">
        <v>400</v>
      </c>
      <c r="F6761">
        <v>25000</v>
      </c>
      <c r="G6761" s="30">
        <v>328</v>
      </c>
      <c r="H6761">
        <v>4489.6400000000003</v>
      </c>
      <c r="I6761">
        <v>3000</v>
      </c>
      <c r="J6761">
        <v>100</v>
      </c>
      <c r="K6761">
        <v>30000</v>
      </c>
      <c r="L6761" s="30">
        <v>161</v>
      </c>
      <c r="M6761">
        <v>6102.53</v>
      </c>
      <c r="N6761">
        <v>5500</v>
      </c>
      <c r="O6761">
        <v>1000</v>
      </c>
      <c r="P6761">
        <v>12000</v>
      </c>
      <c r="Q6761" s="30">
        <v>52</v>
      </c>
      <c r="R6761">
        <v>582.65</v>
      </c>
      <c r="S6761">
        <v>450</v>
      </c>
      <c r="T6761">
        <v>50</v>
      </c>
      <c r="U6761">
        <v>3000</v>
      </c>
      <c r="V6761" s="30">
        <v>173</v>
      </c>
      <c r="W6761">
        <v>595.73</v>
      </c>
      <c r="X6761">
        <v>500</v>
      </c>
      <c r="Y6761">
        <v>50</v>
      </c>
      <c r="Z6761">
        <v>3000</v>
      </c>
      <c r="AA6761" s="30">
        <v>188</v>
      </c>
      <c r="AB6761">
        <v>954.12</v>
      </c>
      <c r="AC6761">
        <v>600</v>
      </c>
      <c r="AD6761">
        <v>100</v>
      </c>
      <c r="AE6761">
        <v>5000</v>
      </c>
      <c r="AF6761" s="30">
        <v>276</v>
      </c>
      <c r="AG6761">
        <v>937.4</v>
      </c>
      <c r="AH6761">
        <v>500</v>
      </c>
      <c r="AI6761">
        <v>100</v>
      </c>
      <c r="AJ6761">
        <v>5000</v>
      </c>
      <c r="AK6761" s="30">
        <v>114</v>
      </c>
      <c r="AL6761">
        <v>2312.9</v>
      </c>
      <c r="AM6761">
        <v>2000</v>
      </c>
      <c r="AN6761">
        <v>300</v>
      </c>
      <c r="AO6761">
        <v>7000</v>
      </c>
      <c r="AP6761" s="30">
        <v>327</v>
      </c>
      <c r="AQ6761">
        <v>2507.48</v>
      </c>
      <c r="AR6761">
        <v>1000</v>
      </c>
      <c r="AS6761">
        <v>50</v>
      </c>
      <c r="AT6761">
        <v>30000</v>
      </c>
      <c r="AU6761" s="30">
        <v>230</v>
      </c>
      <c r="AV6761">
        <v>810.7</v>
      </c>
      <c r="AW6761">
        <v>950</v>
      </c>
      <c r="AX6761">
        <v>100</v>
      </c>
      <c r="AY6761">
        <v>2000</v>
      </c>
      <c r="AZ6761" s="30">
        <v>37</v>
      </c>
      <c r="BA6761">
        <v>726.92</v>
      </c>
      <c r="BB6761">
        <v>625</v>
      </c>
      <c r="BC6761">
        <v>100</v>
      </c>
      <c r="BD6761">
        <v>2000</v>
      </c>
      <c r="BE6761" s="30">
        <v>332</v>
      </c>
      <c r="BF6761">
        <v>4851.21</v>
      </c>
      <c r="BG6761">
        <v>4000</v>
      </c>
      <c r="BH6761">
        <v>400</v>
      </c>
      <c r="BI6761">
        <v>10000</v>
      </c>
      <c r="BJ6761" s="30">
        <v>21</v>
      </c>
      <c r="BK6761">
        <v>3648.08</v>
      </c>
      <c r="BL6761">
        <v>1500</v>
      </c>
      <c r="BM6761">
        <v>100</v>
      </c>
      <c r="BN6761">
        <v>30000</v>
      </c>
      <c r="BO6761" s="30">
        <v>76</v>
      </c>
      <c r="BP6761">
        <v>1316.89</v>
      </c>
      <c r="BQ6761">
        <v>700</v>
      </c>
      <c r="BR6761">
        <v>50</v>
      </c>
      <c r="BS6761">
        <v>16000</v>
      </c>
      <c r="BT6761" s="30">
        <v>193</v>
      </c>
      <c r="BU6761">
        <v>3544.85</v>
      </c>
      <c r="BV6761">
        <v>3500</v>
      </c>
      <c r="BW6761">
        <v>100</v>
      </c>
      <c r="BX6761">
        <v>8000</v>
      </c>
      <c r="BY6761" s="30">
        <v>22</v>
      </c>
      <c r="BZ6761">
        <v>332</v>
      </c>
    </row>
    <row r="6762" spans="1:78" x14ac:dyDescent="0.35">
      <c r="A6762" t="s">
        <v>230</v>
      </c>
      <c r="B6762" t="s">
        <v>245</v>
      </c>
      <c r="C6762">
        <v>4233.8900000000003</v>
      </c>
      <c r="D6762">
        <v>4000</v>
      </c>
      <c r="E6762">
        <v>200</v>
      </c>
      <c r="F6762">
        <v>20000</v>
      </c>
      <c r="G6762" s="30">
        <v>144</v>
      </c>
      <c r="H6762">
        <v>4848.32</v>
      </c>
      <c r="I6762">
        <v>1000</v>
      </c>
      <c r="J6762">
        <v>170</v>
      </c>
      <c r="K6762">
        <v>60000</v>
      </c>
      <c r="L6762" s="30">
        <v>41</v>
      </c>
      <c r="M6762">
        <v>5038.7299999999996</v>
      </c>
      <c r="N6762">
        <v>4000</v>
      </c>
      <c r="O6762">
        <v>1000</v>
      </c>
      <c r="P6762">
        <v>11000</v>
      </c>
      <c r="Q6762" s="30">
        <v>12</v>
      </c>
      <c r="R6762">
        <v>265.88</v>
      </c>
      <c r="S6762">
        <v>200</v>
      </c>
      <c r="T6762">
        <v>50</v>
      </c>
      <c r="U6762">
        <v>2000</v>
      </c>
      <c r="V6762" s="30">
        <v>70</v>
      </c>
      <c r="W6762">
        <v>281.36</v>
      </c>
      <c r="X6762">
        <v>200</v>
      </c>
      <c r="Y6762">
        <v>30</v>
      </c>
      <c r="Z6762">
        <v>500</v>
      </c>
      <c r="AA6762" s="30">
        <v>46</v>
      </c>
      <c r="AB6762">
        <v>499.17</v>
      </c>
      <c r="AC6762">
        <v>300</v>
      </c>
      <c r="AD6762">
        <v>100</v>
      </c>
      <c r="AE6762">
        <v>5000</v>
      </c>
      <c r="AF6762" s="30">
        <v>99</v>
      </c>
      <c r="AG6762">
        <v>321.85000000000002</v>
      </c>
      <c r="AH6762">
        <v>200</v>
      </c>
      <c r="AI6762">
        <v>100</v>
      </c>
      <c r="AJ6762">
        <v>3200</v>
      </c>
      <c r="AK6762" s="30">
        <v>46</v>
      </c>
      <c r="AL6762">
        <v>1510.58</v>
      </c>
      <c r="AM6762">
        <v>1500</v>
      </c>
      <c r="AN6762">
        <v>300</v>
      </c>
      <c r="AO6762">
        <v>5500</v>
      </c>
      <c r="AP6762" s="30">
        <v>133</v>
      </c>
      <c r="AQ6762">
        <v>584.55999999999995</v>
      </c>
      <c r="AR6762">
        <v>400</v>
      </c>
      <c r="AS6762">
        <v>50</v>
      </c>
      <c r="AT6762">
        <v>4500</v>
      </c>
      <c r="AU6762" s="30">
        <v>70</v>
      </c>
      <c r="AV6762">
        <v>576.46</v>
      </c>
      <c r="AW6762">
        <v>500</v>
      </c>
      <c r="AX6762">
        <v>500</v>
      </c>
      <c r="AY6762">
        <v>1000</v>
      </c>
      <c r="AZ6762" s="30">
        <v>5</v>
      </c>
      <c r="BA6762">
        <v>384.58</v>
      </c>
      <c r="BB6762">
        <v>330</v>
      </c>
      <c r="BC6762">
        <v>100</v>
      </c>
      <c r="BD6762">
        <v>2000</v>
      </c>
      <c r="BE6762" s="30">
        <v>142</v>
      </c>
      <c r="BF6762">
        <v>2000</v>
      </c>
      <c r="BG6762">
        <v>2000</v>
      </c>
      <c r="BH6762">
        <v>2000</v>
      </c>
      <c r="BI6762">
        <v>2000</v>
      </c>
      <c r="BJ6762" s="30">
        <v>1</v>
      </c>
      <c r="BK6762">
        <v>1419.03</v>
      </c>
      <c r="BL6762">
        <v>1000</v>
      </c>
      <c r="BM6762">
        <v>100</v>
      </c>
      <c r="BN6762">
        <v>3000</v>
      </c>
      <c r="BO6762" s="30">
        <v>16</v>
      </c>
      <c r="BP6762">
        <v>1329.87</v>
      </c>
      <c r="BQ6762">
        <v>800</v>
      </c>
      <c r="BR6762">
        <v>50</v>
      </c>
      <c r="BS6762">
        <v>10000</v>
      </c>
      <c r="BT6762" s="30">
        <v>68</v>
      </c>
      <c r="BU6762">
        <v>2695.12</v>
      </c>
      <c r="BV6762">
        <v>3500</v>
      </c>
      <c r="BW6762">
        <v>1000</v>
      </c>
      <c r="BX6762">
        <v>3500</v>
      </c>
      <c r="BY6762" s="30">
        <v>11</v>
      </c>
      <c r="BZ6762">
        <v>144</v>
      </c>
    </row>
    <row r="6763" spans="1:78" x14ac:dyDescent="0.35">
      <c r="A6763" s="27" t="s">
        <v>230</v>
      </c>
      <c r="B6763" s="27" t="s">
        <v>246</v>
      </c>
      <c r="C6763" s="29">
        <v>8001.05</v>
      </c>
      <c r="D6763" s="29">
        <v>7000</v>
      </c>
      <c r="E6763" s="29">
        <v>3000</v>
      </c>
      <c r="F6763" s="29">
        <v>20000</v>
      </c>
      <c r="G6763" s="29">
        <v>27</v>
      </c>
      <c r="H6763" s="29">
        <v>4709.59</v>
      </c>
      <c r="I6763" s="29">
        <v>6000</v>
      </c>
      <c r="J6763" s="29">
        <v>100</v>
      </c>
      <c r="K6763" s="29">
        <v>20000</v>
      </c>
      <c r="L6763" s="29">
        <v>18</v>
      </c>
      <c r="M6763" s="29">
        <v>5698.48</v>
      </c>
      <c r="N6763" s="29">
        <v>11000</v>
      </c>
      <c r="O6763" s="29">
        <v>3000</v>
      </c>
      <c r="P6763" s="29">
        <v>11000</v>
      </c>
      <c r="Q6763" s="29">
        <v>4</v>
      </c>
      <c r="R6763" s="29">
        <v>1011.46</v>
      </c>
      <c r="S6763" s="29">
        <v>1000</v>
      </c>
      <c r="T6763" s="29">
        <v>100</v>
      </c>
      <c r="U6763" s="29">
        <v>3000</v>
      </c>
      <c r="V6763" s="29">
        <v>13</v>
      </c>
      <c r="W6763" s="29">
        <v>437.04</v>
      </c>
      <c r="X6763" s="29">
        <v>200</v>
      </c>
      <c r="Y6763" s="29">
        <v>100</v>
      </c>
      <c r="Z6763" s="29">
        <v>3000</v>
      </c>
      <c r="AA6763" s="29">
        <v>16</v>
      </c>
      <c r="AB6763" s="29">
        <v>1157.8</v>
      </c>
      <c r="AC6763" s="29">
        <v>1000</v>
      </c>
      <c r="AD6763" s="29">
        <v>250</v>
      </c>
      <c r="AE6763" s="29">
        <v>5000</v>
      </c>
      <c r="AF6763" s="29">
        <v>22</v>
      </c>
      <c r="AG6763" s="29">
        <v>879.71</v>
      </c>
      <c r="AH6763" s="29">
        <v>800</v>
      </c>
      <c r="AI6763" s="29">
        <v>100</v>
      </c>
      <c r="AJ6763" s="29">
        <v>3000</v>
      </c>
      <c r="AK6763" s="29">
        <v>14</v>
      </c>
      <c r="AL6763" s="29">
        <v>2932.35</v>
      </c>
      <c r="AM6763" s="29">
        <v>3000</v>
      </c>
      <c r="AN6763" s="29">
        <v>1000</v>
      </c>
      <c r="AO6763" s="29">
        <v>9100</v>
      </c>
      <c r="AP6763" s="29">
        <v>26</v>
      </c>
      <c r="AQ6763" s="29">
        <v>2607.79</v>
      </c>
      <c r="AR6763" s="29">
        <v>2000</v>
      </c>
      <c r="AS6763" s="29">
        <v>200</v>
      </c>
      <c r="AT6763" s="29">
        <v>10000</v>
      </c>
      <c r="AU6763" s="29">
        <v>19</v>
      </c>
      <c r="AV6763" s="29">
        <v>1702.22</v>
      </c>
      <c r="AW6763" s="29">
        <v>2400</v>
      </c>
      <c r="AX6763" s="29">
        <v>100</v>
      </c>
      <c r="AY6763" s="29">
        <v>2400</v>
      </c>
      <c r="AZ6763" s="29">
        <v>8</v>
      </c>
      <c r="BA6763" s="29">
        <v>1239.28</v>
      </c>
      <c r="BB6763" s="29">
        <v>1024</v>
      </c>
      <c r="BC6763" s="29">
        <v>300</v>
      </c>
      <c r="BD6763" s="29">
        <v>2300</v>
      </c>
      <c r="BE6763" s="29">
        <v>27</v>
      </c>
      <c r="BF6763" s="29">
        <v>5000</v>
      </c>
      <c r="BG6763" s="29">
        <v>5000</v>
      </c>
      <c r="BH6763" s="29">
        <v>5000</v>
      </c>
      <c r="BI6763" s="29">
        <v>5000</v>
      </c>
      <c r="BJ6763" s="29">
        <v>1</v>
      </c>
      <c r="BK6763" s="29">
        <v>1113.78</v>
      </c>
      <c r="BL6763" s="29">
        <v>1000</v>
      </c>
      <c r="BM6763" s="29">
        <v>300</v>
      </c>
      <c r="BN6763" s="29">
        <v>5000</v>
      </c>
      <c r="BO6763" s="29">
        <v>9</v>
      </c>
      <c r="BP6763" s="29">
        <v>1189.7</v>
      </c>
      <c r="BQ6763" s="29">
        <v>1000</v>
      </c>
      <c r="BR6763" s="29">
        <v>100</v>
      </c>
      <c r="BS6763" s="29">
        <v>9000</v>
      </c>
      <c r="BT6763" s="29">
        <v>15</v>
      </c>
      <c r="BU6763" s="29"/>
      <c r="BV6763" s="29"/>
      <c r="BW6763" s="29"/>
      <c r="BX6763" s="29"/>
      <c r="BY6763" s="29"/>
      <c r="BZ6763" s="29">
        <v>27</v>
      </c>
    </row>
    <row r="6764" spans="1:78" x14ac:dyDescent="0.35">
      <c r="A6764" t="s">
        <v>231</v>
      </c>
      <c r="B6764" t="s">
        <v>244</v>
      </c>
      <c r="C6764">
        <v>8664.1</v>
      </c>
      <c r="D6764">
        <v>7000</v>
      </c>
      <c r="E6764">
        <v>1000</v>
      </c>
      <c r="F6764">
        <v>30000</v>
      </c>
      <c r="G6764" s="30">
        <v>78</v>
      </c>
      <c r="H6764">
        <v>4402.17</v>
      </c>
      <c r="I6764">
        <v>3000</v>
      </c>
      <c r="J6764">
        <v>500</v>
      </c>
      <c r="K6764">
        <v>15000</v>
      </c>
      <c r="L6764" s="30">
        <v>46</v>
      </c>
      <c r="M6764">
        <v>5937</v>
      </c>
      <c r="N6764">
        <v>5000</v>
      </c>
      <c r="O6764">
        <v>2244</v>
      </c>
      <c r="P6764">
        <v>13000</v>
      </c>
      <c r="Q6764" s="30">
        <v>12</v>
      </c>
      <c r="R6764">
        <v>571.5</v>
      </c>
      <c r="S6764">
        <v>400</v>
      </c>
      <c r="T6764">
        <v>50</v>
      </c>
      <c r="U6764">
        <v>2500</v>
      </c>
      <c r="V6764" s="30">
        <v>40</v>
      </c>
      <c r="W6764">
        <v>677.31</v>
      </c>
      <c r="X6764">
        <v>500</v>
      </c>
      <c r="Y6764">
        <v>50</v>
      </c>
      <c r="Z6764">
        <v>2000</v>
      </c>
      <c r="AA6764" s="30">
        <v>52</v>
      </c>
      <c r="AB6764">
        <v>957.29</v>
      </c>
      <c r="AC6764">
        <v>700</v>
      </c>
      <c r="AD6764">
        <v>100</v>
      </c>
      <c r="AE6764">
        <v>5000</v>
      </c>
      <c r="AF6764" s="30">
        <v>70</v>
      </c>
      <c r="AG6764">
        <v>797.56</v>
      </c>
      <c r="AH6764">
        <v>500</v>
      </c>
      <c r="AI6764">
        <v>100</v>
      </c>
      <c r="AJ6764">
        <v>3000</v>
      </c>
      <c r="AK6764" s="30">
        <v>41</v>
      </c>
      <c r="AL6764">
        <v>2292.86</v>
      </c>
      <c r="AM6764">
        <v>2000</v>
      </c>
      <c r="AN6764">
        <v>400</v>
      </c>
      <c r="AO6764">
        <v>6000</v>
      </c>
      <c r="AP6764" s="30">
        <v>79</v>
      </c>
      <c r="AQ6764">
        <v>1845.08</v>
      </c>
      <c r="AR6764">
        <v>1000</v>
      </c>
      <c r="AS6764">
        <v>100</v>
      </c>
      <c r="AT6764">
        <v>10000</v>
      </c>
      <c r="AU6764" s="30">
        <v>63</v>
      </c>
      <c r="AV6764">
        <v>557.69000000000005</v>
      </c>
      <c r="AW6764">
        <v>500</v>
      </c>
      <c r="AX6764">
        <v>100</v>
      </c>
      <c r="AY6764">
        <v>1400</v>
      </c>
      <c r="AZ6764" s="30">
        <v>13</v>
      </c>
      <c r="BA6764">
        <v>666.57</v>
      </c>
      <c r="BB6764">
        <v>550</v>
      </c>
      <c r="BC6764">
        <v>140</v>
      </c>
      <c r="BD6764">
        <v>2000</v>
      </c>
      <c r="BE6764" s="30">
        <v>86</v>
      </c>
      <c r="BF6764">
        <v>3250</v>
      </c>
      <c r="BG6764">
        <v>1500</v>
      </c>
      <c r="BH6764">
        <v>300</v>
      </c>
      <c r="BI6764">
        <v>10000</v>
      </c>
      <c r="BJ6764" s="30">
        <v>8</v>
      </c>
      <c r="BK6764">
        <v>7184.09</v>
      </c>
      <c r="BL6764">
        <v>2500</v>
      </c>
      <c r="BM6764">
        <v>450</v>
      </c>
      <c r="BN6764">
        <v>30000</v>
      </c>
      <c r="BO6764" s="30">
        <v>22</v>
      </c>
      <c r="BP6764">
        <v>1631.63</v>
      </c>
      <c r="BQ6764">
        <v>1000</v>
      </c>
      <c r="BR6764">
        <v>50</v>
      </c>
      <c r="BS6764">
        <v>15000</v>
      </c>
      <c r="BT6764" s="30">
        <v>49</v>
      </c>
      <c r="BU6764">
        <v>2760</v>
      </c>
      <c r="BV6764">
        <v>2000</v>
      </c>
      <c r="BW6764">
        <v>200</v>
      </c>
      <c r="BX6764">
        <v>10000</v>
      </c>
      <c r="BY6764" s="30">
        <v>5</v>
      </c>
      <c r="BZ6764">
        <v>86</v>
      </c>
    </row>
    <row r="6765" spans="1:78" x14ac:dyDescent="0.35">
      <c r="A6765" t="s">
        <v>231</v>
      </c>
      <c r="B6765" t="s">
        <v>245</v>
      </c>
      <c r="C6765">
        <v>4793.88</v>
      </c>
      <c r="D6765">
        <v>3000</v>
      </c>
      <c r="E6765">
        <v>500</v>
      </c>
      <c r="F6765">
        <v>30000</v>
      </c>
      <c r="G6765" s="30">
        <v>49</v>
      </c>
      <c r="H6765">
        <v>2900</v>
      </c>
      <c r="I6765">
        <v>2500</v>
      </c>
      <c r="J6765">
        <v>100</v>
      </c>
      <c r="K6765">
        <v>15000</v>
      </c>
      <c r="L6765" s="30">
        <v>20</v>
      </c>
      <c r="M6765">
        <v>5636.36</v>
      </c>
      <c r="N6765">
        <v>5000</v>
      </c>
      <c r="O6765">
        <v>500</v>
      </c>
      <c r="P6765">
        <v>10000</v>
      </c>
      <c r="Q6765" s="30">
        <v>11</v>
      </c>
      <c r="R6765">
        <v>326.25</v>
      </c>
      <c r="S6765">
        <v>200</v>
      </c>
      <c r="T6765">
        <v>50</v>
      </c>
      <c r="U6765">
        <v>1500</v>
      </c>
      <c r="V6765" s="30">
        <v>24</v>
      </c>
      <c r="W6765">
        <v>480.06</v>
      </c>
      <c r="X6765">
        <v>400</v>
      </c>
      <c r="Y6765">
        <v>50</v>
      </c>
      <c r="Z6765">
        <v>1000</v>
      </c>
      <c r="AA6765" s="30">
        <v>18</v>
      </c>
      <c r="AB6765">
        <v>682.43</v>
      </c>
      <c r="AC6765">
        <v>500</v>
      </c>
      <c r="AD6765">
        <v>100</v>
      </c>
      <c r="AE6765">
        <v>5000</v>
      </c>
      <c r="AF6765" s="30">
        <v>37</v>
      </c>
      <c r="AG6765">
        <v>300</v>
      </c>
      <c r="AH6765">
        <v>250</v>
      </c>
      <c r="AI6765">
        <v>100</v>
      </c>
      <c r="AJ6765">
        <v>800</v>
      </c>
      <c r="AK6765" s="30">
        <v>16</v>
      </c>
      <c r="AL6765">
        <v>1491.06</v>
      </c>
      <c r="AM6765">
        <v>1500</v>
      </c>
      <c r="AN6765">
        <v>300</v>
      </c>
      <c r="AO6765">
        <v>4000</v>
      </c>
      <c r="AP6765" s="30">
        <v>47</v>
      </c>
      <c r="AQ6765">
        <v>1538.71</v>
      </c>
      <c r="AR6765">
        <v>400</v>
      </c>
      <c r="AS6765">
        <v>50</v>
      </c>
      <c r="AT6765">
        <v>30000</v>
      </c>
      <c r="AU6765" s="30">
        <v>31</v>
      </c>
      <c r="AV6765">
        <v>500</v>
      </c>
      <c r="AW6765">
        <v>300</v>
      </c>
      <c r="AX6765">
        <v>100</v>
      </c>
      <c r="AY6765">
        <v>1500</v>
      </c>
      <c r="AZ6765" s="30">
        <v>6</v>
      </c>
      <c r="BA6765">
        <v>393.2</v>
      </c>
      <c r="BB6765">
        <v>300</v>
      </c>
      <c r="BC6765">
        <v>50</v>
      </c>
      <c r="BD6765">
        <v>2000</v>
      </c>
      <c r="BE6765" s="30">
        <v>50</v>
      </c>
      <c r="BK6765">
        <v>1410</v>
      </c>
      <c r="BL6765">
        <v>1000</v>
      </c>
      <c r="BM6765">
        <v>200</v>
      </c>
      <c r="BN6765">
        <v>5000</v>
      </c>
      <c r="BO6765" s="30">
        <v>10</v>
      </c>
      <c r="BP6765">
        <v>1039.3800000000001</v>
      </c>
      <c r="BQ6765">
        <v>500</v>
      </c>
      <c r="BR6765">
        <v>100</v>
      </c>
      <c r="BS6765">
        <v>8500</v>
      </c>
      <c r="BT6765" s="30">
        <v>16</v>
      </c>
      <c r="BU6765">
        <v>700</v>
      </c>
      <c r="BV6765">
        <v>800</v>
      </c>
      <c r="BW6765">
        <v>500</v>
      </c>
      <c r="BX6765">
        <v>800</v>
      </c>
      <c r="BY6765" s="30">
        <v>3</v>
      </c>
      <c r="BZ6765">
        <v>50</v>
      </c>
    </row>
    <row r="6766" spans="1:78" x14ac:dyDescent="0.35">
      <c r="A6766" s="27" t="s">
        <v>231</v>
      </c>
      <c r="B6766" s="27" t="s">
        <v>246</v>
      </c>
      <c r="C6766" s="29">
        <v>10192.31</v>
      </c>
      <c r="D6766" s="29">
        <v>10000</v>
      </c>
      <c r="E6766" s="29">
        <v>2500</v>
      </c>
      <c r="F6766" s="29">
        <v>23000</v>
      </c>
      <c r="G6766" s="29">
        <v>13</v>
      </c>
      <c r="H6766" s="29">
        <v>5576.92</v>
      </c>
      <c r="I6766" s="29">
        <v>5000</v>
      </c>
      <c r="J6766" s="29">
        <v>500</v>
      </c>
      <c r="K6766" s="29">
        <v>24000</v>
      </c>
      <c r="L6766" s="29">
        <v>13</v>
      </c>
      <c r="M6766" s="29">
        <v>5000</v>
      </c>
      <c r="N6766" s="29">
        <v>5000</v>
      </c>
      <c r="O6766" s="29">
        <v>5000</v>
      </c>
      <c r="P6766" s="29">
        <v>5000</v>
      </c>
      <c r="Q6766" s="29">
        <v>1</v>
      </c>
      <c r="R6766" s="29">
        <v>450</v>
      </c>
      <c r="S6766" s="29">
        <v>200</v>
      </c>
      <c r="T6766" s="29">
        <v>100</v>
      </c>
      <c r="U6766" s="29">
        <v>1000</v>
      </c>
      <c r="V6766" s="29">
        <v>4</v>
      </c>
      <c r="W6766" s="29">
        <v>600</v>
      </c>
      <c r="X6766" s="29">
        <v>500</v>
      </c>
      <c r="Y6766" s="29">
        <v>100</v>
      </c>
      <c r="Z6766" s="29">
        <v>1000</v>
      </c>
      <c r="AA6766" s="29">
        <v>10</v>
      </c>
      <c r="AB6766" s="29">
        <v>986.75</v>
      </c>
      <c r="AC6766" s="29">
        <v>1000</v>
      </c>
      <c r="AD6766" s="29">
        <v>300</v>
      </c>
      <c r="AE6766" s="29">
        <v>2000</v>
      </c>
      <c r="AF6766" s="29">
        <v>12</v>
      </c>
      <c r="AG6766" s="29">
        <v>728.57</v>
      </c>
      <c r="AH6766" s="29">
        <v>1000</v>
      </c>
      <c r="AI6766" s="29">
        <v>100</v>
      </c>
      <c r="AJ6766" s="29">
        <v>1200</v>
      </c>
      <c r="AK6766" s="29">
        <v>7</v>
      </c>
      <c r="AL6766" s="29">
        <v>2600</v>
      </c>
      <c r="AM6766" s="29">
        <v>3000</v>
      </c>
      <c r="AN6766" s="29">
        <v>500</v>
      </c>
      <c r="AO6766" s="29">
        <v>4000</v>
      </c>
      <c r="AP6766" s="29">
        <v>10</v>
      </c>
      <c r="AQ6766" s="29">
        <v>2880</v>
      </c>
      <c r="AR6766" s="29">
        <v>2000</v>
      </c>
      <c r="AS6766" s="29">
        <v>600</v>
      </c>
      <c r="AT6766" s="29">
        <v>10000</v>
      </c>
      <c r="AU6766" s="29">
        <v>10</v>
      </c>
      <c r="AV6766" s="29">
        <v>400</v>
      </c>
      <c r="AW6766" s="29">
        <v>300</v>
      </c>
      <c r="AX6766" s="29">
        <v>300</v>
      </c>
      <c r="AY6766" s="29">
        <v>500</v>
      </c>
      <c r="AZ6766" s="29">
        <v>2</v>
      </c>
      <c r="BA6766" s="29">
        <v>957.69</v>
      </c>
      <c r="BB6766" s="29">
        <v>1000</v>
      </c>
      <c r="BC6766" s="29">
        <v>600</v>
      </c>
      <c r="BD6766" s="29">
        <v>2000</v>
      </c>
      <c r="BE6766" s="29">
        <v>13</v>
      </c>
      <c r="BF6766" s="29">
        <v>1000</v>
      </c>
      <c r="BG6766" s="29">
        <v>1000</v>
      </c>
      <c r="BH6766" s="29">
        <v>1000</v>
      </c>
      <c r="BI6766" s="29">
        <v>1000</v>
      </c>
      <c r="BJ6766" s="29">
        <v>1</v>
      </c>
      <c r="BK6766" s="29">
        <v>2166.67</v>
      </c>
      <c r="BL6766" s="29">
        <v>2000</v>
      </c>
      <c r="BM6766" s="29">
        <v>500</v>
      </c>
      <c r="BN6766" s="29">
        <v>5000</v>
      </c>
      <c r="BO6766" s="29">
        <v>6</v>
      </c>
      <c r="BP6766" s="29">
        <v>516.66999999999996</v>
      </c>
      <c r="BQ6766" s="29">
        <v>500</v>
      </c>
      <c r="BR6766" s="29">
        <v>200</v>
      </c>
      <c r="BS6766" s="29">
        <v>1000</v>
      </c>
      <c r="BT6766" s="29">
        <v>6</v>
      </c>
      <c r="BU6766" s="29">
        <v>9000</v>
      </c>
      <c r="BV6766" s="29">
        <v>9000</v>
      </c>
      <c r="BW6766" s="29">
        <v>9000</v>
      </c>
      <c r="BX6766" s="29">
        <v>9000</v>
      </c>
      <c r="BY6766" s="29">
        <v>1</v>
      </c>
      <c r="BZ6766" s="29">
        <v>13</v>
      </c>
    </row>
    <row r="6767" spans="1:78" x14ac:dyDescent="0.35">
      <c r="A6767" t="s">
        <v>232</v>
      </c>
      <c r="B6767" t="s">
        <v>232</v>
      </c>
      <c r="C6767">
        <v>7868.72</v>
      </c>
      <c r="D6767">
        <v>6000</v>
      </c>
      <c r="E6767">
        <v>200</v>
      </c>
      <c r="F6767">
        <v>30000</v>
      </c>
      <c r="G6767" s="30">
        <v>2369</v>
      </c>
      <c r="H6767">
        <v>4052.31</v>
      </c>
      <c r="I6767">
        <v>3000</v>
      </c>
      <c r="J6767">
        <v>100</v>
      </c>
      <c r="K6767">
        <v>60000</v>
      </c>
      <c r="L6767" s="30">
        <v>1077</v>
      </c>
      <c r="M6767">
        <v>5938.14</v>
      </c>
      <c r="N6767">
        <v>5000</v>
      </c>
      <c r="O6767">
        <v>183</v>
      </c>
      <c r="P6767">
        <v>16000</v>
      </c>
      <c r="Q6767" s="30">
        <v>345</v>
      </c>
      <c r="R6767">
        <v>468.12</v>
      </c>
      <c r="S6767">
        <v>300</v>
      </c>
      <c r="T6767">
        <v>50</v>
      </c>
      <c r="U6767">
        <v>3000</v>
      </c>
      <c r="V6767" s="30">
        <v>1180</v>
      </c>
      <c r="W6767">
        <v>542.04</v>
      </c>
      <c r="X6767">
        <v>401</v>
      </c>
      <c r="Y6767">
        <v>30</v>
      </c>
      <c r="Z6767">
        <v>3000</v>
      </c>
      <c r="AA6767" s="30">
        <v>1265</v>
      </c>
      <c r="AB6767">
        <v>868.78</v>
      </c>
      <c r="AC6767">
        <v>500</v>
      </c>
      <c r="AD6767">
        <v>100</v>
      </c>
      <c r="AE6767">
        <v>5000</v>
      </c>
      <c r="AF6767" s="30">
        <v>1926</v>
      </c>
      <c r="AG6767">
        <v>667.4</v>
      </c>
      <c r="AH6767">
        <v>500</v>
      </c>
      <c r="AI6767">
        <v>100</v>
      </c>
      <c r="AJ6767">
        <v>5000</v>
      </c>
      <c r="AK6767" s="30">
        <v>856</v>
      </c>
      <c r="AL6767">
        <v>2130.96</v>
      </c>
      <c r="AM6767">
        <v>2000</v>
      </c>
      <c r="AN6767">
        <v>300</v>
      </c>
      <c r="AO6767">
        <v>9100</v>
      </c>
      <c r="AP6767" s="30">
        <v>2431</v>
      </c>
      <c r="AQ6767">
        <v>2285.5300000000002</v>
      </c>
      <c r="AR6767">
        <v>1000</v>
      </c>
      <c r="AS6767">
        <v>50</v>
      </c>
      <c r="AT6767">
        <v>30000</v>
      </c>
      <c r="AU6767" s="30">
        <v>1520</v>
      </c>
      <c r="AV6767">
        <v>776.74</v>
      </c>
      <c r="AW6767">
        <v>500</v>
      </c>
      <c r="AX6767">
        <v>100</v>
      </c>
      <c r="AY6767">
        <v>3000</v>
      </c>
      <c r="AZ6767" s="30">
        <v>266</v>
      </c>
      <c r="BA6767">
        <v>615.85</v>
      </c>
      <c r="BB6767">
        <v>500</v>
      </c>
      <c r="BC6767">
        <v>50</v>
      </c>
      <c r="BD6767">
        <v>2800</v>
      </c>
      <c r="BE6767" s="30">
        <v>2479</v>
      </c>
      <c r="BF6767">
        <v>3040.04</v>
      </c>
      <c r="BG6767">
        <v>2000</v>
      </c>
      <c r="BH6767">
        <v>200</v>
      </c>
      <c r="BI6767">
        <v>10000</v>
      </c>
      <c r="BJ6767" s="30">
        <v>132</v>
      </c>
      <c r="BK6767">
        <v>4895.0200000000004</v>
      </c>
      <c r="BL6767">
        <v>2000</v>
      </c>
      <c r="BM6767">
        <v>100</v>
      </c>
      <c r="BN6767">
        <v>30000</v>
      </c>
      <c r="BO6767" s="30">
        <v>461</v>
      </c>
      <c r="BP6767">
        <v>1288.5999999999999</v>
      </c>
      <c r="BQ6767">
        <v>600</v>
      </c>
      <c r="BR6767">
        <v>50</v>
      </c>
      <c r="BS6767">
        <v>30000</v>
      </c>
      <c r="BT6767" s="30">
        <v>1296</v>
      </c>
      <c r="BU6767">
        <v>3251.2</v>
      </c>
      <c r="BV6767">
        <v>2500</v>
      </c>
      <c r="BW6767">
        <v>100</v>
      </c>
      <c r="BX6767">
        <v>10000</v>
      </c>
      <c r="BY6767" s="30">
        <v>124</v>
      </c>
      <c r="BZ6767">
        <v>2479</v>
      </c>
    </row>
    <row r="6769" spans="1:78" x14ac:dyDescent="0.35">
      <c r="A6769" s="1" t="s">
        <v>968</v>
      </c>
    </row>
    <row r="6770" spans="1:78" x14ac:dyDescent="0.35">
      <c r="A6770" t="s">
        <v>219</v>
      </c>
      <c r="B6770" t="s">
        <v>305</v>
      </c>
      <c r="C6770" t="s">
        <v>889</v>
      </c>
      <c r="D6770" t="s">
        <v>890</v>
      </c>
      <c r="E6770" t="s">
        <v>891</v>
      </c>
      <c r="F6770" t="s">
        <v>892</v>
      </c>
      <c r="G6770" t="s">
        <v>893</v>
      </c>
      <c r="H6770" t="s">
        <v>894</v>
      </c>
      <c r="I6770" t="s">
        <v>895</v>
      </c>
      <c r="J6770" t="s">
        <v>896</v>
      </c>
      <c r="K6770" t="s">
        <v>897</v>
      </c>
      <c r="L6770" t="s">
        <v>898</v>
      </c>
      <c r="M6770" t="s">
        <v>899</v>
      </c>
      <c r="N6770" t="s">
        <v>900</v>
      </c>
      <c r="O6770" t="s">
        <v>901</v>
      </c>
      <c r="P6770" t="s">
        <v>902</v>
      </c>
      <c r="Q6770" t="s">
        <v>903</v>
      </c>
      <c r="R6770" t="s">
        <v>904</v>
      </c>
      <c r="S6770" t="s">
        <v>905</v>
      </c>
      <c r="T6770" t="s">
        <v>906</v>
      </c>
      <c r="U6770" t="s">
        <v>907</v>
      </c>
      <c r="V6770" t="s">
        <v>908</v>
      </c>
      <c r="W6770" t="s">
        <v>909</v>
      </c>
      <c r="X6770" t="s">
        <v>910</v>
      </c>
      <c r="Y6770" t="s">
        <v>911</v>
      </c>
      <c r="Z6770" t="s">
        <v>912</v>
      </c>
      <c r="AA6770" t="s">
        <v>913</v>
      </c>
      <c r="AB6770" t="s">
        <v>914</v>
      </c>
      <c r="AC6770" t="s">
        <v>915</v>
      </c>
      <c r="AD6770" t="s">
        <v>916</v>
      </c>
      <c r="AE6770" t="s">
        <v>917</v>
      </c>
      <c r="AF6770" t="s">
        <v>918</v>
      </c>
      <c r="AG6770" t="s">
        <v>919</v>
      </c>
      <c r="AH6770" t="s">
        <v>920</v>
      </c>
      <c r="AI6770" t="s">
        <v>921</v>
      </c>
      <c r="AJ6770" t="s">
        <v>922</v>
      </c>
      <c r="AK6770" t="s">
        <v>923</v>
      </c>
      <c r="AL6770" t="s">
        <v>924</v>
      </c>
      <c r="AM6770" t="s">
        <v>925</v>
      </c>
      <c r="AN6770" t="s">
        <v>926</v>
      </c>
      <c r="AO6770" t="s">
        <v>927</v>
      </c>
      <c r="AP6770" t="s">
        <v>928</v>
      </c>
      <c r="AQ6770" t="s">
        <v>929</v>
      </c>
      <c r="AR6770" t="s">
        <v>930</v>
      </c>
      <c r="AS6770" t="s">
        <v>931</v>
      </c>
      <c r="AT6770" t="s">
        <v>932</v>
      </c>
      <c r="AU6770" t="s">
        <v>933</v>
      </c>
      <c r="AV6770" t="s">
        <v>934</v>
      </c>
      <c r="AW6770" t="s">
        <v>935</v>
      </c>
      <c r="AX6770" t="s">
        <v>936</v>
      </c>
      <c r="AY6770" t="s">
        <v>937</v>
      </c>
      <c r="AZ6770" t="s">
        <v>938</v>
      </c>
      <c r="BA6770" t="s">
        <v>939</v>
      </c>
      <c r="BB6770" t="s">
        <v>940</v>
      </c>
      <c r="BC6770" t="s">
        <v>941</v>
      </c>
      <c r="BD6770" t="s">
        <v>942</v>
      </c>
      <c r="BE6770" t="s">
        <v>943</v>
      </c>
      <c r="BF6770" t="s">
        <v>944</v>
      </c>
      <c r="BG6770" t="s">
        <v>945</v>
      </c>
      <c r="BH6770" t="s">
        <v>946</v>
      </c>
      <c r="BI6770" t="s">
        <v>947</v>
      </c>
      <c r="BJ6770" t="s">
        <v>948</v>
      </c>
      <c r="BK6770" t="s">
        <v>949</v>
      </c>
      <c r="BL6770" t="s">
        <v>950</v>
      </c>
      <c r="BM6770" t="s">
        <v>951</v>
      </c>
      <c r="BN6770" t="s">
        <v>952</v>
      </c>
      <c r="BO6770" t="s">
        <v>953</v>
      </c>
      <c r="BP6770" t="s">
        <v>954</v>
      </c>
      <c r="BQ6770" t="s">
        <v>955</v>
      </c>
      <c r="BR6770" t="s">
        <v>956</v>
      </c>
      <c r="BS6770" t="s">
        <v>957</v>
      </c>
      <c r="BT6770" t="s">
        <v>958</v>
      </c>
      <c r="BU6770" t="s">
        <v>959</v>
      </c>
      <c r="BV6770" t="s">
        <v>960</v>
      </c>
      <c r="BW6770" t="s">
        <v>961</v>
      </c>
      <c r="BX6770" t="s">
        <v>962</v>
      </c>
      <c r="BY6770" t="s">
        <v>963</v>
      </c>
      <c r="BZ6770" t="s">
        <v>964</v>
      </c>
    </row>
    <row r="6771" spans="1:78" x14ac:dyDescent="0.35">
      <c r="A6771" t="s">
        <v>227</v>
      </c>
      <c r="B6771" t="s">
        <v>267</v>
      </c>
      <c r="C6771">
        <v>5563.35</v>
      </c>
      <c r="D6771">
        <v>5000</v>
      </c>
      <c r="E6771">
        <v>1500</v>
      </c>
      <c r="F6771">
        <v>16322</v>
      </c>
      <c r="G6771" s="30">
        <v>34</v>
      </c>
      <c r="H6771">
        <v>2560</v>
      </c>
      <c r="I6771">
        <v>1500</v>
      </c>
      <c r="J6771">
        <v>500</v>
      </c>
      <c r="K6771">
        <v>6000</v>
      </c>
      <c r="L6771" s="30">
        <v>15</v>
      </c>
      <c r="M6771">
        <v>5000</v>
      </c>
      <c r="N6771">
        <v>7500</v>
      </c>
      <c r="O6771">
        <v>1500</v>
      </c>
      <c r="P6771">
        <v>8000</v>
      </c>
      <c r="Q6771" s="30">
        <v>5</v>
      </c>
      <c r="R6771">
        <v>335</v>
      </c>
      <c r="S6771">
        <v>280</v>
      </c>
      <c r="T6771">
        <v>50</v>
      </c>
      <c r="U6771">
        <v>1000</v>
      </c>
      <c r="V6771" s="30">
        <v>14</v>
      </c>
      <c r="W6771">
        <v>650</v>
      </c>
      <c r="X6771">
        <v>500</v>
      </c>
      <c r="Y6771">
        <v>100</v>
      </c>
      <c r="Z6771">
        <v>1500</v>
      </c>
      <c r="AA6771" s="30">
        <v>8</v>
      </c>
      <c r="AB6771">
        <v>749.04</v>
      </c>
      <c r="AC6771">
        <v>600</v>
      </c>
      <c r="AD6771">
        <v>100</v>
      </c>
      <c r="AE6771">
        <v>2646</v>
      </c>
      <c r="AF6771" s="30">
        <v>25</v>
      </c>
      <c r="AG6771">
        <v>527.08000000000004</v>
      </c>
      <c r="AH6771">
        <v>300</v>
      </c>
      <c r="AI6771">
        <v>100</v>
      </c>
      <c r="AJ6771">
        <v>3000</v>
      </c>
      <c r="AK6771" s="30">
        <v>13</v>
      </c>
      <c r="AL6771">
        <v>1954.12</v>
      </c>
      <c r="AM6771">
        <v>1500</v>
      </c>
      <c r="AN6771">
        <v>400</v>
      </c>
      <c r="AO6771">
        <v>8000</v>
      </c>
      <c r="AP6771" s="30">
        <v>34</v>
      </c>
      <c r="AQ6771">
        <v>1344.76</v>
      </c>
      <c r="AR6771">
        <v>1000</v>
      </c>
      <c r="AS6771">
        <v>50</v>
      </c>
      <c r="AT6771">
        <v>5000</v>
      </c>
      <c r="AU6771" s="30">
        <v>21</v>
      </c>
      <c r="AV6771">
        <v>1100</v>
      </c>
      <c r="AW6771">
        <v>1000</v>
      </c>
      <c r="AX6771">
        <v>1000</v>
      </c>
      <c r="AY6771">
        <v>1200</v>
      </c>
      <c r="AZ6771" s="30">
        <v>2</v>
      </c>
      <c r="BA6771">
        <v>487.28</v>
      </c>
      <c r="BB6771">
        <v>500</v>
      </c>
      <c r="BC6771">
        <v>100</v>
      </c>
      <c r="BD6771">
        <v>1000</v>
      </c>
      <c r="BE6771" s="30">
        <v>32</v>
      </c>
      <c r="BF6771">
        <v>6500</v>
      </c>
      <c r="BG6771">
        <v>6500</v>
      </c>
      <c r="BH6771">
        <v>6500</v>
      </c>
      <c r="BI6771">
        <v>6500</v>
      </c>
      <c r="BJ6771" s="30">
        <v>1</v>
      </c>
      <c r="BK6771">
        <v>1950</v>
      </c>
      <c r="BL6771">
        <v>500</v>
      </c>
      <c r="BM6771">
        <v>300</v>
      </c>
      <c r="BN6771">
        <v>6000</v>
      </c>
      <c r="BO6771" s="30">
        <v>4</v>
      </c>
      <c r="BP6771">
        <v>917.22</v>
      </c>
      <c r="BQ6771">
        <v>400</v>
      </c>
      <c r="BR6771">
        <v>50</v>
      </c>
      <c r="BS6771">
        <v>3500</v>
      </c>
      <c r="BT6771" s="30">
        <v>18</v>
      </c>
      <c r="BU6771">
        <v>2100</v>
      </c>
      <c r="BV6771">
        <v>700</v>
      </c>
      <c r="BW6771">
        <v>700</v>
      </c>
      <c r="BX6771">
        <v>3500</v>
      </c>
      <c r="BY6771" s="30">
        <v>2</v>
      </c>
      <c r="BZ6771">
        <v>34</v>
      </c>
    </row>
    <row r="6772" spans="1:78" x14ac:dyDescent="0.35">
      <c r="A6772" t="s">
        <v>227</v>
      </c>
      <c r="B6772" t="s">
        <v>266</v>
      </c>
      <c r="C6772">
        <v>5475</v>
      </c>
      <c r="D6772">
        <v>4000</v>
      </c>
      <c r="E6772">
        <v>500</v>
      </c>
      <c r="F6772">
        <v>18000</v>
      </c>
      <c r="G6772" s="30">
        <v>50</v>
      </c>
      <c r="H6772">
        <v>3762.76</v>
      </c>
      <c r="I6772">
        <v>3000</v>
      </c>
      <c r="J6772">
        <v>119</v>
      </c>
      <c r="K6772">
        <v>10000</v>
      </c>
      <c r="L6772" s="30">
        <v>21</v>
      </c>
      <c r="M6772">
        <v>5700</v>
      </c>
      <c r="N6772">
        <v>6000</v>
      </c>
      <c r="O6772">
        <v>2000</v>
      </c>
      <c r="P6772">
        <v>12000</v>
      </c>
      <c r="Q6772" s="30">
        <v>10</v>
      </c>
      <c r="R6772">
        <v>306.25</v>
      </c>
      <c r="S6772">
        <v>200</v>
      </c>
      <c r="T6772">
        <v>50</v>
      </c>
      <c r="U6772">
        <v>1000</v>
      </c>
      <c r="V6772" s="30">
        <v>32</v>
      </c>
      <c r="W6772">
        <v>351.48</v>
      </c>
      <c r="X6772">
        <v>300</v>
      </c>
      <c r="Y6772">
        <v>50</v>
      </c>
      <c r="Z6772">
        <v>1000</v>
      </c>
      <c r="AA6772" s="30">
        <v>31</v>
      </c>
      <c r="AB6772">
        <v>680.7</v>
      </c>
      <c r="AC6772">
        <v>600</v>
      </c>
      <c r="AD6772">
        <v>100</v>
      </c>
      <c r="AE6772">
        <v>3000</v>
      </c>
      <c r="AF6772" s="30">
        <v>43</v>
      </c>
      <c r="AG6772">
        <v>563.61</v>
      </c>
      <c r="AH6772">
        <v>500</v>
      </c>
      <c r="AI6772">
        <v>100</v>
      </c>
      <c r="AJ6772">
        <v>1500</v>
      </c>
      <c r="AK6772" s="30">
        <v>18</v>
      </c>
      <c r="AL6772">
        <v>1555.12</v>
      </c>
      <c r="AM6772">
        <v>1500</v>
      </c>
      <c r="AN6772">
        <v>350</v>
      </c>
      <c r="AO6772">
        <v>5500</v>
      </c>
      <c r="AP6772" s="30">
        <v>49</v>
      </c>
      <c r="AQ6772">
        <v>2640.06</v>
      </c>
      <c r="AR6772">
        <v>700</v>
      </c>
      <c r="AS6772">
        <v>50</v>
      </c>
      <c r="AT6772">
        <v>30000</v>
      </c>
      <c r="AU6772" s="30">
        <v>35</v>
      </c>
      <c r="AV6772">
        <v>1200</v>
      </c>
      <c r="AW6772">
        <v>1500</v>
      </c>
      <c r="AX6772">
        <v>200</v>
      </c>
      <c r="AY6772">
        <v>3000</v>
      </c>
      <c r="AZ6772" s="30">
        <v>6</v>
      </c>
      <c r="BA6772">
        <v>440.94</v>
      </c>
      <c r="BB6772">
        <v>350</v>
      </c>
      <c r="BC6772">
        <v>100</v>
      </c>
      <c r="BD6772">
        <v>2000</v>
      </c>
      <c r="BE6772" s="30">
        <v>54</v>
      </c>
      <c r="BF6772">
        <v>2500</v>
      </c>
      <c r="BG6772">
        <v>2000</v>
      </c>
      <c r="BH6772">
        <v>2000</v>
      </c>
      <c r="BI6772">
        <v>3000</v>
      </c>
      <c r="BJ6772" s="30">
        <v>2</v>
      </c>
      <c r="BK6772">
        <v>4200</v>
      </c>
      <c r="BL6772">
        <v>3000</v>
      </c>
      <c r="BM6772">
        <v>1000</v>
      </c>
      <c r="BN6772">
        <v>15000</v>
      </c>
      <c r="BO6772" s="30">
        <v>11</v>
      </c>
      <c r="BP6772">
        <v>688.2</v>
      </c>
      <c r="BQ6772">
        <v>400</v>
      </c>
      <c r="BR6772">
        <v>50</v>
      </c>
      <c r="BS6772">
        <v>2000</v>
      </c>
      <c r="BT6772" s="30">
        <v>30</v>
      </c>
      <c r="BU6772">
        <v>4710</v>
      </c>
      <c r="BV6772">
        <v>5550</v>
      </c>
      <c r="BW6772">
        <v>1000</v>
      </c>
      <c r="BX6772">
        <v>7000</v>
      </c>
      <c r="BY6772" s="30">
        <v>5</v>
      </c>
      <c r="BZ6772">
        <v>54</v>
      </c>
    </row>
    <row r="6773" spans="1:78" x14ac:dyDescent="0.35">
      <c r="A6773" t="s">
        <v>227</v>
      </c>
      <c r="B6773" t="s">
        <v>265</v>
      </c>
      <c r="C6773">
        <v>7082.76</v>
      </c>
      <c r="D6773">
        <v>6000</v>
      </c>
      <c r="E6773">
        <v>1500</v>
      </c>
      <c r="F6773">
        <v>30000</v>
      </c>
      <c r="G6773" s="30">
        <v>58</v>
      </c>
      <c r="H6773">
        <v>3801.67</v>
      </c>
      <c r="I6773">
        <v>2000</v>
      </c>
      <c r="J6773">
        <v>250</v>
      </c>
      <c r="K6773">
        <v>30000</v>
      </c>
      <c r="L6773" s="30">
        <v>30</v>
      </c>
      <c r="M6773">
        <v>3790.91</v>
      </c>
      <c r="N6773">
        <v>4200</v>
      </c>
      <c r="O6773">
        <v>1000</v>
      </c>
      <c r="P6773">
        <v>8000</v>
      </c>
      <c r="Q6773" s="30">
        <v>11</v>
      </c>
      <c r="R6773">
        <v>399.74</v>
      </c>
      <c r="S6773">
        <v>250</v>
      </c>
      <c r="T6773">
        <v>50</v>
      </c>
      <c r="U6773">
        <v>2000</v>
      </c>
      <c r="V6773" s="30">
        <v>38</v>
      </c>
      <c r="W6773">
        <v>659</v>
      </c>
      <c r="X6773">
        <v>500</v>
      </c>
      <c r="Y6773">
        <v>50</v>
      </c>
      <c r="Z6773">
        <v>2000</v>
      </c>
      <c r="AA6773" s="30">
        <v>40</v>
      </c>
      <c r="AB6773">
        <v>876.42</v>
      </c>
      <c r="AC6773">
        <v>600</v>
      </c>
      <c r="AD6773">
        <v>100</v>
      </c>
      <c r="AE6773">
        <v>5000</v>
      </c>
      <c r="AF6773" s="30">
        <v>53</v>
      </c>
      <c r="AG6773">
        <v>697</v>
      </c>
      <c r="AH6773">
        <v>400</v>
      </c>
      <c r="AI6773">
        <v>100</v>
      </c>
      <c r="AJ6773">
        <v>4000</v>
      </c>
      <c r="AK6773" s="30">
        <v>20</v>
      </c>
      <c r="AL6773">
        <v>2093.6</v>
      </c>
      <c r="AM6773">
        <v>2000</v>
      </c>
      <c r="AN6773">
        <v>500</v>
      </c>
      <c r="AO6773">
        <v>5000</v>
      </c>
      <c r="AP6773" s="30">
        <v>63</v>
      </c>
      <c r="AQ6773">
        <v>3624.44</v>
      </c>
      <c r="AR6773">
        <v>2500</v>
      </c>
      <c r="AS6773">
        <v>150</v>
      </c>
      <c r="AT6773">
        <v>30000</v>
      </c>
      <c r="AU6773" s="30">
        <v>45</v>
      </c>
      <c r="AV6773">
        <v>1063.57</v>
      </c>
      <c r="AW6773">
        <v>650</v>
      </c>
      <c r="AX6773">
        <v>200</v>
      </c>
      <c r="AY6773">
        <v>2800</v>
      </c>
      <c r="AZ6773" s="30">
        <v>14</v>
      </c>
      <c r="BA6773">
        <v>682.54</v>
      </c>
      <c r="BB6773">
        <v>620</v>
      </c>
      <c r="BC6773">
        <v>140</v>
      </c>
      <c r="BD6773">
        <v>2500</v>
      </c>
      <c r="BE6773" s="30">
        <v>59</v>
      </c>
      <c r="BF6773">
        <v>2380</v>
      </c>
      <c r="BG6773">
        <v>2500</v>
      </c>
      <c r="BH6773">
        <v>400</v>
      </c>
      <c r="BI6773">
        <v>5000</v>
      </c>
      <c r="BJ6773" s="30">
        <v>5</v>
      </c>
      <c r="BK6773">
        <v>4838.79</v>
      </c>
      <c r="BL6773">
        <v>2000</v>
      </c>
      <c r="BM6773">
        <v>300</v>
      </c>
      <c r="BN6773">
        <v>25000</v>
      </c>
      <c r="BO6773" s="30">
        <v>19</v>
      </c>
      <c r="BP6773">
        <v>779.27</v>
      </c>
      <c r="BQ6773">
        <v>500</v>
      </c>
      <c r="BR6773">
        <v>50</v>
      </c>
      <c r="BS6773">
        <v>3500</v>
      </c>
      <c r="BT6773" s="30">
        <v>41</v>
      </c>
      <c r="BU6773">
        <v>4333.33</v>
      </c>
      <c r="BV6773">
        <v>7500</v>
      </c>
      <c r="BW6773">
        <v>2500</v>
      </c>
      <c r="BX6773">
        <v>7500</v>
      </c>
      <c r="BY6773" s="30">
        <v>3</v>
      </c>
      <c r="BZ6773">
        <v>63</v>
      </c>
    </row>
    <row r="6774" spans="1:78" x14ac:dyDescent="0.35">
      <c r="A6774" t="s">
        <v>228</v>
      </c>
      <c r="B6774" t="s">
        <v>267</v>
      </c>
      <c r="C6774">
        <v>7062.9</v>
      </c>
      <c r="D6774">
        <v>5000</v>
      </c>
      <c r="E6774">
        <v>300</v>
      </c>
      <c r="F6774">
        <v>25000</v>
      </c>
      <c r="G6774" s="30">
        <v>155</v>
      </c>
      <c r="H6774">
        <v>3271.67</v>
      </c>
      <c r="I6774">
        <v>3000</v>
      </c>
      <c r="J6774">
        <v>300</v>
      </c>
      <c r="K6774">
        <v>15000</v>
      </c>
      <c r="L6774" s="30">
        <v>61</v>
      </c>
      <c r="M6774">
        <v>6481.72</v>
      </c>
      <c r="N6774">
        <v>6000</v>
      </c>
      <c r="O6774">
        <v>1000</v>
      </c>
      <c r="P6774">
        <v>15000</v>
      </c>
      <c r="Q6774" s="30">
        <v>22</v>
      </c>
      <c r="R6774">
        <v>429.84</v>
      </c>
      <c r="S6774">
        <v>300</v>
      </c>
      <c r="T6774">
        <v>50</v>
      </c>
      <c r="U6774">
        <v>2000</v>
      </c>
      <c r="V6774" s="30">
        <v>81</v>
      </c>
      <c r="W6774">
        <v>473.36</v>
      </c>
      <c r="X6774">
        <v>380</v>
      </c>
      <c r="Y6774">
        <v>64</v>
      </c>
      <c r="Z6774">
        <v>2000</v>
      </c>
      <c r="AA6774" s="30">
        <v>37</v>
      </c>
      <c r="AB6774">
        <v>685.87</v>
      </c>
      <c r="AC6774">
        <v>500</v>
      </c>
      <c r="AD6774">
        <v>100</v>
      </c>
      <c r="AE6774">
        <v>4000</v>
      </c>
      <c r="AF6774" s="30">
        <v>99</v>
      </c>
      <c r="AG6774">
        <v>528.37</v>
      </c>
      <c r="AH6774">
        <v>400</v>
      </c>
      <c r="AI6774">
        <v>100</v>
      </c>
      <c r="AJ6774">
        <v>4000</v>
      </c>
      <c r="AK6774" s="30">
        <v>44</v>
      </c>
      <c r="AL6774">
        <v>2155.39</v>
      </c>
      <c r="AM6774">
        <v>1800</v>
      </c>
      <c r="AN6774">
        <v>300</v>
      </c>
      <c r="AO6774">
        <v>9000</v>
      </c>
      <c r="AP6774" s="30">
        <v>158</v>
      </c>
      <c r="AQ6774">
        <v>2084.29</v>
      </c>
      <c r="AR6774">
        <v>1000</v>
      </c>
      <c r="AS6774">
        <v>50</v>
      </c>
      <c r="AT6774">
        <v>15000</v>
      </c>
      <c r="AU6774" s="30">
        <v>93</v>
      </c>
      <c r="AV6774">
        <v>783.16</v>
      </c>
      <c r="AW6774">
        <v>900</v>
      </c>
      <c r="AX6774">
        <v>100</v>
      </c>
      <c r="AY6774">
        <v>2000</v>
      </c>
      <c r="AZ6774" s="30">
        <v>17</v>
      </c>
      <c r="BA6774">
        <v>575.04999999999995</v>
      </c>
      <c r="BB6774">
        <v>500</v>
      </c>
      <c r="BC6774">
        <v>100</v>
      </c>
      <c r="BD6774">
        <v>2260</v>
      </c>
      <c r="BE6774" s="30">
        <v>162</v>
      </c>
      <c r="BF6774">
        <v>3127.48</v>
      </c>
      <c r="BG6774">
        <v>4000</v>
      </c>
      <c r="BH6774">
        <v>1000</v>
      </c>
      <c r="BI6774">
        <v>5000</v>
      </c>
      <c r="BJ6774" s="30">
        <v>6</v>
      </c>
      <c r="BK6774">
        <v>3102.16</v>
      </c>
      <c r="BL6774">
        <v>1500</v>
      </c>
      <c r="BM6774">
        <v>500</v>
      </c>
      <c r="BN6774">
        <v>8000</v>
      </c>
      <c r="BO6774" s="30">
        <v>22</v>
      </c>
      <c r="BP6774">
        <v>1167.1300000000001</v>
      </c>
      <c r="BQ6774">
        <v>700</v>
      </c>
      <c r="BR6774">
        <v>70</v>
      </c>
      <c r="BS6774">
        <v>9000</v>
      </c>
      <c r="BT6774" s="30">
        <v>77</v>
      </c>
      <c r="BU6774">
        <v>1281.4100000000001</v>
      </c>
      <c r="BV6774">
        <v>1500</v>
      </c>
      <c r="BW6774">
        <v>385</v>
      </c>
      <c r="BX6774">
        <v>3000</v>
      </c>
      <c r="BY6774" s="30">
        <v>7</v>
      </c>
      <c r="BZ6774">
        <v>162</v>
      </c>
    </row>
    <row r="6775" spans="1:78" x14ac:dyDescent="0.35">
      <c r="A6775" t="s">
        <v>228</v>
      </c>
      <c r="B6775" t="s">
        <v>266</v>
      </c>
      <c r="C6775">
        <v>5912.21</v>
      </c>
      <c r="D6775">
        <v>5000</v>
      </c>
      <c r="E6775">
        <v>200</v>
      </c>
      <c r="F6775">
        <v>26000</v>
      </c>
      <c r="G6775" s="30">
        <v>353</v>
      </c>
      <c r="H6775">
        <v>2987.28</v>
      </c>
      <c r="I6775">
        <v>2000</v>
      </c>
      <c r="J6775">
        <v>200</v>
      </c>
      <c r="K6775">
        <v>10000</v>
      </c>
      <c r="L6775" s="30">
        <v>115</v>
      </c>
      <c r="M6775">
        <v>4750.21</v>
      </c>
      <c r="N6775">
        <v>5000</v>
      </c>
      <c r="O6775">
        <v>300</v>
      </c>
      <c r="P6775">
        <v>14000</v>
      </c>
      <c r="Q6775" s="30">
        <v>58</v>
      </c>
      <c r="R6775">
        <v>341.91</v>
      </c>
      <c r="S6775">
        <v>250</v>
      </c>
      <c r="T6775">
        <v>50</v>
      </c>
      <c r="U6775">
        <v>3000</v>
      </c>
      <c r="V6775" s="30">
        <v>177</v>
      </c>
      <c r="W6775">
        <v>480.89</v>
      </c>
      <c r="X6775">
        <v>300</v>
      </c>
      <c r="Y6775">
        <v>50</v>
      </c>
      <c r="Z6775">
        <v>3000</v>
      </c>
      <c r="AA6775" s="30">
        <v>176</v>
      </c>
      <c r="AB6775">
        <v>630.24</v>
      </c>
      <c r="AC6775">
        <v>500</v>
      </c>
      <c r="AD6775">
        <v>100</v>
      </c>
      <c r="AE6775">
        <v>5000</v>
      </c>
      <c r="AF6775" s="30">
        <v>265</v>
      </c>
      <c r="AG6775">
        <v>653.66999999999996</v>
      </c>
      <c r="AH6775">
        <v>400</v>
      </c>
      <c r="AI6775">
        <v>100</v>
      </c>
      <c r="AJ6775">
        <v>5000</v>
      </c>
      <c r="AK6775" s="30">
        <v>94</v>
      </c>
      <c r="AL6775">
        <v>1686.52</v>
      </c>
      <c r="AM6775">
        <v>1500</v>
      </c>
      <c r="AN6775">
        <v>300</v>
      </c>
      <c r="AO6775">
        <v>8000</v>
      </c>
      <c r="AP6775" s="30">
        <v>367</v>
      </c>
      <c r="AQ6775">
        <v>1712.53</v>
      </c>
      <c r="AR6775">
        <v>600</v>
      </c>
      <c r="AS6775">
        <v>50</v>
      </c>
      <c r="AT6775">
        <v>30000</v>
      </c>
      <c r="AU6775" s="30">
        <v>177</v>
      </c>
      <c r="AV6775">
        <v>800.44</v>
      </c>
      <c r="AW6775">
        <v>600</v>
      </c>
      <c r="AX6775">
        <v>100</v>
      </c>
      <c r="AY6775">
        <v>3000</v>
      </c>
      <c r="AZ6775" s="30">
        <v>27</v>
      </c>
      <c r="BA6775">
        <v>509.2</v>
      </c>
      <c r="BB6775">
        <v>400</v>
      </c>
      <c r="BC6775">
        <v>85</v>
      </c>
      <c r="BD6775">
        <v>2800</v>
      </c>
      <c r="BE6775" s="30">
        <v>382</v>
      </c>
      <c r="BF6775">
        <v>2288.62</v>
      </c>
      <c r="BG6775">
        <v>2000</v>
      </c>
      <c r="BH6775">
        <v>1000</v>
      </c>
      <c r="BI6775">
        <v>7000</v>
      </c>
      <c r="BJ6775" s="30">
        <v>19</v>
      </c>
      <c r="BK6775">
        <v>3803.11</v>
      </c>
      <c r="BL6775">
        <v>2000</v>
      </c>
      <c r="BM6775">
        <v>100</v>
      </c>
      <c r="BN6775">
        <v>28000</v>
      </c>
      <c r="BO6775" s="30">
        <v>42</v>
      </c>
      <c r="BP6775">
        <v>1011.79</v>
      </c>
      <c r="BQ6775">
        <v>500</v>
      </c>
      <c r="BR6775">
        <v>50</v>
      </c>
      <c r="BS6775">
        <v>7000</v>
      </c>
      <c r="BT6775" s="30">
        <v>174</v>
      </c>
      <c r="BU6775">
        <v>1814.91</v>
      </c>
      <c r="BV6775">
        <v>1500</v>
      </c>
      <c r="BW6775">
        <v>500</v>
      </c>
      <c r="BX6775">
        <v>4000</v>
      </c>
      <c r="BY6775" s="30">
        <v>19</v>
      </c>
      <c r="BZ6775">
        <v>382</v>
      </c>
    </row>
    <row r="6776" spans="1:78" x14ac:dyDescent="0.35">
      <c r="A6776" s="27" t="s">
        <v>228</v>
      </c>
      <c r="B6776" s="27" t="s">
        <v>236</v>
      </c>
      <c r="C6776" s="29">
        <v>6500</v>
      </c>
      <c r="D6776" s="29">
        <v>3000</v>
      </c>
      <c r="E6776" s="29">
        <v>3000</v>
      </c>
      <c r="F6776" s="29">
        <v>10000</v>
      </c>
      <c r="G6776" s="29">
        <v>2</v>
      </c>
      <c r="H6776" s="29">
        <v>3100</v>
      </c>
      <c r="I6776" s="29">
        <v>200</v>
      </c>
      <c r="J6776" s="29">
        <v>200</v>
      </c>
      <c r="K6776" s="29">
        <v>6000</v>
      </c>
      <c r="L6776" s="29">
        <v>2</v>
      </c>
      <c r="M6776" s="29"/>
      <c r="N6776" s="29"/>
      <c r="O6776" s="29"/>
      <c r="P6776" s="29"/>
      <c r="Q6776" s="29"/>
      <c r="R6776" s="29">
        <v>1800</v>
      </c>
      <c r="S6776" s="29">
        <v>1800</v>
      </c>
      <c r="T6776" s="29">
        <v>1800</v>
      </c>
      <c r="U6776" s="29">
        <v>1800</v>
      </c>
      <c r="V6776" s="29">
        <v>1</v>
      </c>
      <c r="W6776" s="29">
        <v>350</v>
      </c>
      <c r="X6776" s="29">
        <v>350</v>
      </c>
      <c r="Y6776" s="29">
        <v>350</v>
      </c>
      <c r="Z6776" s="29">
        <v>350</v>
      </c>
      <c r="AA6776" s="29">
        <v>1</v>
      </c>
      <c r="AB6776" s="29">
        <v>800</v>
      </c>
      <c r="AC6776" s="29">
        <v>600</v>
      </c>
      <c r="AD6776" s="29">
        <v>600</v>
      </c>
      <c r="AE6776" s="29">
        <v>1000</v>
      </c>
      <c r="AF6776" s="29">
        <v>2</v>
      </c>
      <c r="AG6776" s="29">
        <v>1500</v>
      </c>
      <c r="AH6776" s="29">
        <v>1500</v>
      </c>
      <c r="AI6776" s="29">
        <v>1500</v>
      </c>
      <c r="AJ6776" s="29">
        <v>1500</v>
      </c>
      <c r="AK6776" s="29">
        <v>1</v>
      </c>
      <c r="AL6776" s="29">
        <v>1462.5</v>
      </c>
      <c r="AM6776" s="29">
        <v>1425</v>
      </c>
      <c r="AN6776" s="29">
        <v>1425</v>
      </c>
      <c r="AO6776" s="29">
        <v>1500</v>
      </c>
      <c r="AP6776" s="29">
        <v>2</v>
      </c>
      <c r="AQ6776" s="29">
        <v>1210</v>
      </c>
      <c r="AR6776" s="29">
        <v>920</v>
      </c>
      <c r="AS6776" s="29">
        <v>920</v>
      </c>
      <c r="AT6776" s="29">
        <v>1500</v>
      </c>
      <c r="AU6776" s="29">
        <v>2</v>
      </c>
      <c r="AV6776" s="29"/>
      <c r="AW6776" s="29"/>
      <c r="AX6776" s="29"/>
      <c r="AY6776" s="29"/>
      <c r="AZ6776" s="29"/>
      <c r="BA6776" s="29">
        <v>425</v>
      </c>
      <c r="BB6776" s="29">
        <v>300</v>
      </c>
      <c r="BC6776" s="29">
        <v>300</v>
      </c>
      <c r="BD6776" s="29">
        <v>550</v>
      </c>
      <c r="BE6776" s="29">
        <v>2</v>
      </c>
      <c r="BF6776" s="29"/>
      <c r="BG6776" s="29"/>
      <c r="BH6776" s="29"/>
      <c r="BI6776" s="29"/>
      <c r="BJ6776" s="29"/>
      <c r="BK6776" s="29">
        <v>900</v>
      </c>
      <c r="BL6776" s="29">
        <v>900</v>
      </c>
      <c r="BM6776" s="29">
        <v>900</v>
      </c>
      <c r="BN6776" s="29">
        <v>900</v>
      </c>
      <c r="BO6776" s="29">
        <v>1</v>
      </c>
      <c r="BP6776" s="29">
        <v>750</v>
      </c>
      <c r="BQ6776" s="29">
        <v>500</v>
      </c>
      <c r="BR6776" s="29">
        <v>500</v>
      </c>
      <c r="BS6776" s="29">
        <v>1000</v>
      </c>
      <c r="BT6776" s="29">
        <v>2</v>
      </c>
      <c r="BU6776" s="29">
        <v>1497.5</v>
      </c>
      <c r="BV6776" s="29">
        <v>400</v>
      </c>
      <c r="BW6776" s="29">
        <v>400</v>
      </c>
      <c r="BX6776" s="29">
        <v>2595</v>
      </c>
      <c r="BY6776" s="29">
        <v>2</v>
      </c>
      <c r="BZ6776" s="29">
        <v>2</v>
      </c>
    </row>
    <row r="6777" spans="1:78" x14ac:dyDescent="0.35">
      <c r="A6777" t="s">
        <v>228</v>
      </c>
      <c r="B6777" t="s">
        <v>265</v>
      </c>
      <c r="C6777">
        <v>9901.1200000000008</v>
      </c>
      <c r="D6777">
        <v>8000</v>
      </c>
      <c r="E6777">
        <v>300</v>
      </c>
      <c r="F6777">
        <v>30000</v>
      </c>
      <c r="G6777" s="30">
        <v>311</v>
      </c>
      <c r="H6777">
        <v>4237.1099999999997</v>
      </c>
      <c r="I6777">
        <v>3000</v>
      </c>
      <c r="J6777">
        <v>100</v>
      </c>
      <c r="K6777">
        <v>30000</v>
      </c>
      <c r="L6777" s="30">
        <v>147</v>
      </c>
      <c r="M6777">
        <v>6486.46</v>
      </c>
      <c r="N6777">
        <v>6500</v>
      </c>
      <c r="O6777">
        <v>183</v>
      </c>
      <c r="P6777">
        <v>16000</v>
      </c>
      <c r="Q6777" s="30">
        <v>50</v>
      </c>
      <c r="R6777">
        <v>532.12</v>
      </c>
      <c r="S6777">
        <v>360</v>
      </c>
      <c r="T6777">
        <v>50</v>
      </c>
      <c r="U6777">
        <v>3000</v>
      </c>
      <c r="V6777" s="30">
        <v>189</v>
      </c>
      <c r="W6777">
        <v>495.48</v>
      </c>
      <c r="X6777">
        <v>300</v>
      </c>
      <c r="Y6777">
        <v>50</v>
      </c>
      <c r="Z6777">
        <v>3000</v>
      </c>
      <c r="AA6777" s="30">
        <v>189</v>
      </c>
      <c r="AB6777">
        <v>826.95</v>
      </c>
      <c r="AC6777">
        <v>500</v>
      </c>
      <c r="AD6777">
        <v>100</v>
      </c>
      <c r="AE6777">
        <v>3500</v>
      </c>
      <c r="AF6777" s="30">
        <v>265</v>
      </c>
      <c r="AG6777">
        <v>632.88</v>
      </c>
      <c r="AH6777">
        <v>500</v>
      </c>
      <c r="AI6777">
        <v>100</v>
      </c>
      <c r="AJ6777">
        <v>3000</v>
      </c>
      <c r="AK6777" s="30">
        <v>126</v>
      </c>
      <c r="AL6777">
        <v>2338.58</v>
      </c>
      <c r="AM6777">
        <v>2000</v>
      </c>
      <c r="AN6777">
        <v>400</v>
      </c>
      <c r="AO6777">
        <v>7000</v>
      </c>
      <c r="AP6777" s="30">
        <v>333</v>
      </c>
      <c r="AQ6777">
        <v>2736.83</v>
      </c>
      <c r="AR6777">
        <v>2000</v>
      </c>
      <c r="AS6777">
        <v>50</v>
      </c>
      <c r="AT6777">
        <v>22000</v>
      </c>
      <c r="AU6777" s="30">
        <v>209</v>
      </c>
      <c r="AV6777">
        <v>640.66</v>
      </c>
      <c r="AW6777">
        <v>500</v>
      </c>
      <c r="AX6777">
        <v>100</v>
      </c>
      <c r="AY6777">
        <v>3000</v>
      </c>
      <c r="AZ6777" s="30">
        <v>40</v>
      </c>
      <c r="BA6777">
        <v>774.99</v>
      </c>
      <c r="BB6777">
        <v>600</v>
      </c>
      <c r="BC6777">
        <v>100</v>
      </c>
      <c r="BD6777">
        <v>2500</v>
      </c>
      <c r="BE6777" s="30">
        <v>331</v>
      </c>
      <c r="BF6777">
        <v>2518.63</v>
      </c>
      <c r="BG6777">
        <v>2000</v>
      </c>
      <c r="BH6777">
        <v>500</v>
      </c>
      <c r="BI6777">
        <v>5000</v>
      </c>
      <c r="BJ6777" s="30">
        <v>25</v>
      </c>
      <c r="BK6777">
        <v>4522.2</v>
      </c>
      <c r="BL6777">
        <v>2500</v>
      </c>
      <c r="BM6777">
        <v>200</v>
      </c>
      <c r="BN6777">
        <v>30000</v>
      </c>
      <c r="BO6777" s="30">
        <v>66</v>
      </c>
      <c r="BP6777">
        <v>1181.77</v>
      </c>
      <c r="BQ6777">
        <v>600</v>
      </c>
      <c r="BR6777">
        <v>50</v>
      </c>
      <c r="BS6777">
        <v>20000</v>
      </c>
      <c r="BT6777" s="30">
        <v>191</v>
      </c>
      <c r="BU6777">
        <v>3058.24</v>
      </c>
      <c r="BV6777">
        <v>2000</v>
      </c>
      <c r="BW6777">
        <v>254</v>
      </c>
      <c r="BX6777">
        <v>7000</v>
      </c>
      <c r="BY6777" s="30">
        <v>11</v>
      </c>
      <c r="BZ6777">
        <v>333</v>
      </c>
    </row>
    <row r="6778" spans="1:78" x14ac:dyDescent="0.35">
      <c r="A6778" t="s">
        <v>229</v>
      </c>
      <c r="B6778" t="s">
        <v>267</v>
      </c>
      <c r="C6778">
        <v>9939.01</v>
      </c>
      <c r="D6778">
        <v>8000</v>
      </c>
      <c r="E6778">
        <v>900</v>
      </c>
      <c r="F6778">
        <v>30000</v>
      </c>
      <c r="G6778" s="30">
        <v>179</v>
      </c>
      <c r="H6778">
        <v>4249.32</v>
      </c>
      <c r="I6778">
        <v>3000</v>
      </c>
      <c r="J6778">
        <v>100</v>
      </c>
      <c r="K6778">
        <v>20000</v>
      </c>
      <c r="L6778" s="30">
        <v>90</v>
      </c>
      <c r="M6778">
        <v>7925.94</v>
      </c>
      <c r="N6778">
        <v>8000</v>
      </c>
      <c r="O6778">
        <v>500</v>
      </c>
      <c r="P6778">
        <v>15000</v>
      </c>
      <c r="Q6778" s="30">
        <v>20</v>
      </c>
      <c r="R6778">
        <v>518.54</v>
      </c>
      <c r="S6778">
        <v>480</v>
      </c>
      <c r="T6778">
        <v>60</v>
      </c>
      <c r="U6778">
        <v>2000</v>
      </c>
      <c r="V6778" s="30">
        <v>68</v>
      </c>
      <c r="W6778">
        <v>537.11</v>
      </c>
      <c r="X6778">
        <v>500</v>
      </c>
      <c r="Y6778">
        <v>100</v>
      </c>
      <c r="Z6778">
        <v>2000</v>
      </c>
      <c r="AA6778" s="30">
        <v>70</v>
      </c>
      <c r="AB6778">
        <v>982.16</v>
      </c>
      <c r="AC6778">
        <v>700</v>
      </c>
      <c r="AD6778">
        <v>100</v>
      </c>
      <c r="AE6778">
        <v>4000</v>
      </c>
      <c r="AF6778" s="30">
        <v>146</v>
      </c>
      <c r="AG6778">
        <v>639.28</v>
      </c>
      <c r="AH6778">
        <v>500</v>
      </c>
      <c r="AI6778">
        <v>100</v>
      </c>
      <c r="AJ6778">
        <v>3000</v>
      </c>
      <c r="AK6778" s="30">
        <v>73</v>
      </c>
      <c r="AL6778">
        <v>2333.87</v>
      </c>
      <c r="AM6778">
        <v>2000</v>
      </c>
      <c r="AN6778">
        <v>300</v>
      </c>
      <c r="AO6778">
        <v>8000</v>
      </c>
      <c r="AP6778" s="30">
        <v>182</v>
      </c>
      <c r="AQ6778">
        <v>2321.4499999999998</v>
      </c>
      <c r="AR6778">
        <v>2000</v>
      </c>
      <c r="AS6778">
        <v>50</v>
      </c>
      <c r="AT6778">
        <v>15000</v>
      </c>
      <c r="AU6778" s="30">
        <v>119</v>
      </c>
      <c r="AV6778">
        <v>709.55</v>
      </c>
      <c r="AW6778">
        <v>500</v>
      </c>
      <c r="AX6778">
        <v>100</v>
      </c>
      <c r="AY6778">
        <v>3000</v>
      </c>
      <c r="AZ6778" s="30">
        <v>24</v>
      </c>
      <c r="BA6778">
        <v>627.05999999999995</v>
      </c>
      <c r="BB6778">
        <v>500</v>
      </c>
      <c r="BC6778">
        <v>50</v>
      </c>
      <c r="BD6778">
        <v>2800</v>
      </c>
      <c r="BE6778" s="30">
        <v>182</v>
      </c>
      <c r="BF6778">
        <v>3032.53</v>
      </c>
      <c r="BG6778">
        <v>6000</v>
      </c>
      <c r="BH6778">
        <v>1000</v>
      </c>
      <c r="BI6778">
        <v>6000</v>
      </c>
      <c r="BJ6778" s="30">
        <v>5</v>
      </c>
      <c r="BK6778">
        <v>3649.29</v>
      </c>
      <c r="BL6778">
        <v>2580</v>
      </c>
      <c r="BM6778">
        <v>300</v>
      </c>
      <c r="BN6778">
        <v>30000</v>
      </c>
      <c r="BO6778" s="30">
        <v>39</v>
      </c>
      <c r="BP6778">
        <v>1665.76</v>
      </c>
      <c r="BQ6778">
        <v>650</v>
      </c>
      <c r="BR6778">
        <v>100</v>
      </c>
      <c r="BS6778">
        <v>10000</v>
      </c>
      <c r="BT6778" s="30">
        <v>95</v>
      </c>
      <c r="BU6778">
        <v>2738.2</v>
      </c>
      <c r="BV6778">
        <v>3000</v>
      </c>
      <c r="BW6778">
        <v>700</v>
      </c>
      <c r="BX6778">
        <v>4500</v>
      </c>
      <c r="BY6778" s="30">
        <v>5</v>
      </c>
      <c r="BZ6778">
        <v>182</v>
      </c>
    </row>
    <row r="6779" spans="1:78" x14ac:dyDescent="0.35">
      <c r="A6779" t="s">
        <v>229</v>
      </c>
      <c r="B6779" t="s">
        <v>265</v>
      </c>
      <c r="C6779">
        <v>10907.27</v>
      </c>
      <c r="D6779">
        <v>10000</v>
      </c>
      <c r="E6779">
        <v>300</v>
      </c>
      <c r="F6779">
        <v>30000</v>
      </c>
      <c r="G6779" s="30">
        <v>287</v>
      </c>
      <c r="H6779">
        <v>4528.2700000000004</v>
      </c>
      <c r="I6779">
        <v>4000</v>
      </c>
      <c r="J6779">
        <v>230</v>
      </c>
      <c r="K6779">
        <v>30000</v>
      </c>
      <c r="L6779" s="30">
        <v>167</v>
      </c>
      <c r="M6779">
        <v>8702.76</v>
      </c>
      <c r="N6779">
        <v>9000</v>
      </c>
      <c r="O6779">
        <v>600</v>
      </c>
      <c r="P6779">
        <v>16000</v>
      </c>
      <c r="Q6779" s="30">
        <v>38</v>
      </c>
      <c r="R6779">
        <v>565.69000000000005</v>
      </c>
      <c r="S6779">
        <v>450</v>
      </c>
      <c r="T6779">
        <v>50</v>
      </c>
      <c r="U6779">
        <v>3000</v>
      </c>
      <c r="V6779" s="30">
        <v>145</v>
      </c>
      <c r="W6779">
        <v>564.71</v>
      </c>
      <c r="X6779">
        <v>400</v>
      </c>
      <c r="Y6779">
        <v>100</v>
      </c>
      <c r="Z6779">
        <v>3000</v>
      </c>
      <c r="AA6779" s="30">
        <v>185</v>
      </c>
      <c r="AB6779">
        <v>1157.3900000000001</v>
      </c>
      <c r="AC6779">
        <v>1000</v>
      </c>
      <c r="AD6779">
        <v>100</v>
      </c>
      <c r="AE6779">
        <v>5000</v>
      </c>
      <c r="AF6779" s="30">
        <v>255</v>
      </c>
      <c r="AG6779">
        <v>795.78</v>
      </c>
      <c r="AH6779">
        <v>500</v>
      </c>
      <c r="AI6779">
        <v>100</v>
      </c>
      <c r="AJ6779">
        <v>5000</v>
      </c>
      <c r="AK6779" s="30">
        <v>130</v>
      </c>
      <c r="AL6779">
        <v>2743.65</v>
      </c>
      <c r="AM6779">
        <v>2500</v>
      </c>
      <c r="AN6779">
        <v>300</v>
      </c>
      <c r="AO6779">
        <v>7800</v>
      </c>
      <c r="AP6779" s="30">
        <v>303</v>
      </c>
      <c r="AQ6779">
        <v>3214.77</v>
      </c>
      <c r="AR6779">
        <v>2000</v>
      </c>
      <c r="AS6779">
        <v>50</v>
      </c>
      <c r="AT6779">
        <v>30000</v>
      </c>
      <c r="AU6779" s="30">
        <v>213</v>
      </c>
      <c r="AV6779">
        <v>864.3</v>
      </c>
      <c r="AW6779">
        <v>600</v>
      </c>
      <c r="AX6779">
        <v>100</v>
      </c>
      <c r="AY6779">
        <v>3000</v>
      </c>
      <c r="AZ6779" s="30">
        <v>40</v>
      </c>
      <c r="BA6779">
        <v>717.7</v>
      </c>
      <c r="BB6779">
        <v>680</v>
      </c>
      <c r="BC6779">
        <v>100</v>
      </c>
      <c r="BD6779">
        <v>2500</v>
      </c>
      <c r="BE6779" s="30">
        <v>309</v>
      </c>
      <c r="BF6779">
        <v>3082.79</v>
      </c>
      <c r="BG6779">
        <v>2000</v>
      </c>
      <c r="BH6779">
        <v>200</v>
      </c>
      <c r="BI6779">
        <v>10000</v>
      </c>
      <c r="BJ6779" s="30">
        <v>27</v>
      </c>
      <c r="BK6779">
        <v>8538.24</v>
      </c>
      <c r="BL6779">
        <v>5000</v>
      </c>
      <c r="BM6779">
        <v>100</v>
      </c>
      <c r="BN6779">
        <v>30000</v>
      </c>
      <c r="BO6779" s="30">
        <v>71</v>
      </c>
      <c r="BP6779">
        <v>1880.74</v>
      </c>
      <c r="BQ6779">
        <v>1000</v>
      </c>
      <c r="BR6779">
        <v>50</v>
      </c>
      <c r="BS6779">
        <v>30000</v>
      </c>
      <c r="BT6779" s="30">
        <v>181</v>
      </c>
      <c r="BU6779">
        <v>4625.08</v>
      </c>
      <c r="BV6779">
        <v>4000</v>
      </c>
      <c r="BW6779">
        <v>200</v>
      </c>
      <c r="BX6779">
        <v>10000</v>
      </c>
      <c r="BY6779" s="30">
        <v>19</v>
      </c>
      <c r="BZ6779">
        <v>309</v>
      </c>
    </row>
    <row r="6780" spans="1:78" x14ac:dyDescent="0.35">
      <c r="A6780" t="s">
        <v>229</v>
      </c>
      <c r="B6780" t="s">
        <v>266</v>
      </c>
      <c r="C6780">
        <v>6631.58</v>
      </c>
      <c r="D6780">
        <v>5000</v>
      </c>
      <c r="E6780">
        <v>200</v>
      </c>
      <c r="F6780">
        <v>30000</v>
      </c>
      <c r="G6780" s="30">
        <v>301</v>
      </c>
      <c r="H6780">
        <v>3527.06</v>
      </c>
      <c r="I6780">
        <v>3000</v>
      </c>
      <c r="J6780">
        <v>100</v>
      </c>
      <c r="K6780">
        <v>20000</v>
      </c>
      <c r="L6780" s="30">
        <v>130</v>
      </c>
      <c r="M6780">
        <v>5120.1000000000004</v>
      </c>
      <c r="N6780">
        <v>3000</v>
      </c>
      <c r="O6780">
        <v>400</v>
      </c>
      <c r="P6780">
        <v>16000</v>
      </c>
      <c r="Q6780" s="30">
        <v>39</v>
      </c>
      <c r="R6780">
        <v>430.83</v>
      </c>
      <c r="S6780">
        <v>200</v>
      </c>
      <c r="T6780">
        <v>50</v>
      </c>
      <c r="U6780">
        <v>3000</v>
      </c>
      <c r="V6780" s="30">
        <v>111</v>
      </c>
      <c r="W6780">
        <v>424.66</v>
      </c>
      <c r="X6780">
        <v>300</v>
      </c>
      <c r="Y6780">
        <v>50</v>
      </c>
      <c r="Z6780">
        <v>3000</v>
      </c>
      <c r="AA6780" s="30">
        <v>198</v>
      </c>
      <c r="AB6780">
        <v>798.28</v>
      </c>
      <c r="AC6780">
        <v>500</v>
      </c>
      <c r="AD6780">
        <v>100</v>
      </c>
      <c r="AE6780">
        <v>5000</v>
      </c>
      <c r="AF6780" s="30">
        <v>257</v>
      </c>
      <c r="AG6780">
        <v>530.92999999999995</v>
      </c>
      <c r="AH6780">
        <v>500</v>
      </c>
      <c r="AI6780">
        <v>100</v>
      </c>
      <c r="AJ6780">
        <v>5000</v>
      </c>
      <c r="AK6780" s="30">
        <v>99</v>
      </c>
      <c r="AL6780">
        <v>1972.06</v>
      </c>
      <c r="AM6780">
        <v>1700</v>
      </c>
      <c r="AN6780">
        <v>300</v>
      </c>
      <c r="AO6780">
        <v>9000</v>
      </c>
      <c r="AP6780" s="30">
        <v>318</v>
      </c>
      <c r="AQ6780">
        <v>1407.43</v>
      </c>
      <c r="AR6780">
        <v>700</v>
      </c>
      <c r="AS6780">
        <v>50</v>
      </c>
      <c r="AT6780">
        <v>15000</v>
      </c>
      <c r="AU6780" s="30">
        <v>183</v>
      </c>
      <c r="AV6780">
        <v>1049.3399999999999</v>
      </c>
      <c r="AW6780">
        <v>500</v>
      </c>
      <c r="AX6780">
        <v>100</v>
      </c>
      <c r="AY6780">
        <v>3000</v>
      </c>
      <c r="AZ6780" s="30">
        <v>25</v>
      </c>
      <c r="BA6780">
        <v>545.1</v>
      </c>
      <c r="BB6780">
        <v>400</v>
      </c>
      <c r="BC6780">
        <v>50</v>
      </c>
      <c r="BD6780">
        <v>2500</v>
      </c>
      <c r="BE6780" s="30">
        <v>316</v>
      </c>
      <c r="BF6780">
        <v>3593.95</v>
      </c>
      <c r="BG6780">
        <v>2000</v>
      </c>
      <c r="BH6780">
        <v>500</v>
      </c>
      <c r="BI6780">
        <v>7000</v>
      </c>
      <c r="BJ6780" s="30">
        <v>10</v>
      </c>
      <c r="BK6780">
        <v>3857.74</v>
      </c>
      <c r="BL6780">
        <v>2000</v>
      </c>
      <c r="BM6780">
        <v>200</v>
      </c>
      <c r="BN6780">
        <v>25000</v>
      </c>
      <c r="BO6780" s="30">
        <v>47</v>
      </c>
      <c r="BP6780">
        <v>1155.8</v>
      </c>
      <c r="BQ6780">
        <v>700</v>
      </c>
      <c r="BR6780">
        <v>50</v>
      </c>
      <c r="BS6780">
        <v>9000</v>
      </c>
      <c r="BT6780" s="30">
        <v>140</v>
      </c>
      <c r="BU6780">
        <v>2288.21</v>
      </c>
      <c r="BV6780">
        <v>1500</v>
      </c>
      <c r="BW6780">
        <v>600</v>
      </c>
      <c r="BX6780">
        <v>10000</v>
      </c>
      <c r="BY6780" s="30">
        <v>9</v>
      </c>
      <c r="BZ6780">
        <v>318</v>
      </c>
    </row>
    <row r="6781" spans="1:78" x14ac:dyDescent="0.35">
      <c r="A6781" t="s">
        <v>230</v>
      </c>
      <c r="B6781" t="s">
        <v>265</v>
      </c>
      <c r="C6781">
        <v>9242.43</v>
      </c>
      <c r="D6781">
        <v>8000</v>
      </c>
      <c r="E6781">
        <v>400</v>
      </c>
      <c r="F6781">
        <v>25000</v>
      </c>
      <c r="G6781" s="30">
        <v>189</v>
      </c>
      <c r="H6781">
        <v>4461.8999999999996</v>
      </c>
      <c r="I6781">
        <v>3000</v>
      </c>
      <c r="J6781">
        <v>400</v>
      </c>
      <c r="K6781">
        <v>30000</v>
      </c>
      <c r="L6781" s="30">
        <v>92</v>
      </c>
      <c r="M6781">
        <v>5856.3</v>
      </c>
      <c r="N6781">
        <v>6000</v>
      </c>
      <c r="O6781">
        <v>1000</v>
      </c>
      <c r="P6781">
        <v>12000</v>
      </c>
      <c r="Q6781" s="30">
        <v>24</v>
      </c>
      <c r="R6781">
        <v>729.67</v>
      </c>
      <c r="S6781">
        <v>500</v>
      </c>
      <c r="T6781">
        <v>50</v>
      </c>
      <c r="U6781">
        <v>3000</v>
      </c>
      <c r="V6781" s="30">
        <v>95</v>
      </c>
      <c r="W6781">
        <v>639.83000000000004</v>
      </c>
      <c r="X6781">
        <v>500</v>
      </c>
      <c r="Y6781">
        <v>50</v>
      </c>
      <c r="Z6781">
        <v>3000</v>
      </c>
      <c r="AA6781" s="30">
        <v>105</v>
      </c>
      <c r="AB6781">
        <v>973.87</v>
      </c>
      <c r="AC6781">
        <v>600</v>
      </c>
      <c r="AD6781">
        <v>100</v>
      </c>
      <c r="AE6781">
        <v>5000</v>
      </c>
      <c r="AF6781" s="30">
        <v>156</v>
      </c>
      <c r="AG6781">
        <v>954.36</v>
      </c>
      <c r="AH6781">
        <v>600</v>
      </c>
      <c r="AI6781">
        <v>100</v>
      </c>
      <c r="AJ6781">
        <v>5000</v>
      </c>
      <c r="AK6781" s="30">
        <v>63</v>
      </c>
      <c r="AL6781">
        <v>2388.65</v>
      </c>
      <c r="AM6781">
        <v>2000</v>
      </c>
      <c r="AN6781">
        <v>450</v>
      </c>
      <c r="AO6781">
        <v>9100</v>
      </c>
      <c r="AP6781" s="30">
        <v>191</v>
      </c>
      <c r="AQ6781">
        <v>2721.53</v>
      </c>
      <c r="AR6781">
        <v>1000</v>
      </c>
      <c r="AS6781">
        <v>60</v>
      </c>
      <c r="AT6781">
        <v>30000</v>
      </c>
      <c r="AU6781" s="30">
        <v>131</v>
      </c>
      <c r="AV6781">
        <v>1111.74</v>
      </c>
      <c r="AW6781">
        <v>1000</v>
      </c>
      <c r="AX6781">
        <v>100</v>
      </c>
      <c r="AY6781">
        <v>2400</v>
      </c>
      <c r="AZ6781" s="30">
        <v>25</v>
      </c>
      <c r="BA6781">
        <v>805.29</v>
      </c>
      <c r="BB6781">
        <v>750</v>
      </c>
      <c r="BC6781">
        <v>100</v>
      </c>
      <c r="BD6781">
        <v>2300</v>
      </c>
      <c r="BE6781" s="30">
        <v>187</v>
      </c>
      <c r="BF6781">
        <v>5166.5</v>
      </c>
      <c r="BG6781">
        <v>3000</v>
      </c>
      <c r="BH6781">
        <v>1000</v>
      </c>
      <c r="BI6781">
        <v>10000</v>
      </c>
      <c r="BJ6781" s="30">
        <v>8</v>
      </c>
      <c r="BK6781">
        <v>3260.68</v>
      </c>
      <c r="BL6781">
        <v>1500</v>
      </c>
      <c r="BM6781">
        <v>100</v>
      </c>
      <c r="BN6781">
        <v>30000</v>
      </c>
      <c r="BO6781" s="30">
        <v>40</v>
      </c>
      <c r="BP6781">
        <v>1328.37</v>
      </c>
      <c r="BQ6781">
        <v>600</v>
      </c>
      <c r="BR6781">
        <v>100</v>
      </c>
      <c r="BS6781">
        <v>10000</v>
      </c>
      <c r="BT6781" s="30">
        <v>94</v>
      </c>
      <c r="BU6781">
        <v>5021.75</v>
      </c>
      <c r="BV6781">
        <v>5000</v>
      </c>
      <c r="BW6781">
        <v>500</v>
      </c>
      <c r="BX6781">
        <v>8000</v>
      </c>
      <c r="BY6781" s="30">
        <v>13</v>
      </c>
      <c r="BZ6781">
        <v>191</v>
      </c>
    </row>
    <row r="6782" spans="1:78" x14ac:dyDescent="0.35">
      <c r="A6782" t="s">
        <v>230</v>
      </c>
      <c r="B6782" t="s">
        <v>266</v>
      </c>
      <c r="C6782">
        <v>5597.53</v>
      </c>
      <c r="D6782">
        <v>5000</v>
      </c>
      <c r="E6782">
        <v>200</v>
      </c>
      <c r="F6782">
        <v>20000</v>
      </c>
      <c r="G6782" s="30">
        <v>201</v>
      </c>
      <c r="H6782">
        <v>2674.92</v>
      </c>
      <c r="I6782">
        <v>1080</v>
      </c>
      <c r="J6782">
        <v>170</v>
      </c>
      <c r="K6782">
        <v>11000</v>
      </c>
      <c r="L6782" s="30">
        <v>78</v>
      </c>
      <c r="M6782">
        <v>4845.63</v>
      </c>
      <c r="N6782">
        <v>4000</v>
      </c>
      <c r="O6782">
        <v>1000</v>
      </c>
      <c r="P6782">
        <v>11500</v>
      </c>
      <c r="Q6782" s="30">
        <v>23</v>
      </c>
      <c r="R6782">
        <v>311.83999999999997</v>
      </c>
      <c r="S6782">
        <v>200</v>
      </c>
      <c r="T6782">
        <v>50</v>
      </c>
      <c r="U6782">
        <v>2000</v>
      </c>
      <c r="V6782" s="30">
        <v>104</v>
      </c>
      <c r="W6782">
        <v>302.74</v>
      </c>
      <c r="X6782">
        <v>250</v>
      </c>
      <c r="Y6782">
        <v>30</v>
      </c>
      <c r="Z6782">
        <v>1000</v>
      </c>
      <c r="AA6782" s="30">
        <v>107</v>
      </c>
      <c r="AB6782">
        <v>688.08</v>
      </c>
      <c r="AC6782">
        <v>300</v>
      </c>
      <c r="AD6782">
        <v>100</v>
      </c>
      <c r="AE6782">
        <v>5000</v>
      </c>
      <c r="AF6782" s="30">
        <v>159</v>
      </c>
      <c r="AG6782">
        <v>442.79</v>
      </c>
      <c r="AH6782">
        <v>200</v>
      </c>
      <c r="AI6782">
        <v>100</v>
      </c>
      <c r="AJ6782">
        <v>5000</v>
      </c>
      <c r="AK6782" s="30">
        <v>66</v>
      </c>
      <c r="AL6782">
        <v>1753.6</v>
      </c>
      <c r="AM6782">
        <v>1500</v>
      </c>
      <c r="AN6782">
        <v>300</v>
      </c>
      <c r="AO6782">
        <v>7000</v>
      </c>
      <c r="AP6782" s="30">
        <v>197</v>
      </c>
      <c r="AQ6782">
        <v>978.07</v>
      </c>
      <c r="AR6782">
        <v>500</v>
      </c>
      <c r="AS6782">
        <v>50</v>
      </c>
      <c r="AT6782">
        <v>10000</v>
      </c>
      <c r="AU6782" s="30">
        <v>117</v>
      </c>
      <c r="AV6782">
        <v>693.93</v>
      </c>
      <c r="AW6782">
        <v>700</v>
      </c>
      <c r="AX6782">
        <v>300</v>
      </c>
      <c r="AY6782">
        <v>2000</v>
      </c>
      <c r="AZ6782" s="30">
        <v>14</v>
      </c>
      <c r="BA6782">
        <v>469.01</v>
      </c>
      <c r="BB6782">
        <v>400</v>
      </c>
      <c r="BC6782">
        <v>100</v>
      </c>
      <c r="BD6782">
        <v>2000</v>
      </c>
      <c r="BE6782" s="30">
        <v>205</v>
      </c>
      <c r="BF6782">
        <v>5407.18</v>
      </c>
      <c r="BG6782">
        <v>10000</v>
      </c>
      <c r="BH6782">
        <v>400</v>
      </c>
      <c r="BI6782">
        <v>10000</v>
      </c>
      <c r="BJ6782" s="30">
        <v>10</v>
      </c>
      <c r="BK6782">
        <v>1940.85</v>
      </c>
      <c r="BL6782">
        <v>1500</v>
      </c>
      <c r="BM6782">
        <v>100</v>
      </c>
      <c r="BN6782">
        <v>10000</v>
      </c>
      <c r="BO6782" s="30">
        <v>33</v>
      </c>
      <c r="BP6782">
        <v>1212.9000000000001</v>
      </c>
      <c r="BQ6782">
        <v>700</v>
      </c>
      <c r="BR6782">
        <v>50</v>
      </c>
      <c r="BS6782">
        <v>10000</v>
      </c>
      <c r="BT6782" s="30">
        <v>122</v>
      </c>
      <c r="BU6782">
        <v>2010.69</v>
      </c>
      <c r="BV6782">
        <v>2000</v>
      </c>
      <c r="BW6782">
        <v>100</v>
      </c>
      <c r="BX6782">
        <v>3500</v>
      </c>
      <c r="BY6782" s="30">
        <v>15</v>
      </c>
      <c r="BZ6782">
        <v>205</v>
      </c>
    </row>
    <row r="6783" spans="1:78" x14ac:dyDescent="0.35">
      <c r="A6783" t="s">
        <v>230</v>
      </c>
      <c r="B6783" t="s">
        <v>267</v>
      </c>
      <c r="C6783">
        <v>8140.39</v>
      </c>
      <c r="D6783">
        <v>5500</v>
      </c>
      <c r="E6783">
        <v>200</v>
      </c>
      <c r="F6783">
        <v>25000</v>
      </c>
      <c r="G6783" s="30">
        <v>109</v>
      </c>
      <c r="H6783">
        <v>7517.26</v>
      </c>
      <c r="I6783">
        <v>3000</v>
      </c>
      <c r="J6783">
        <v>100</v>
      </c>
      <c r="K6783">
        <v>60000</v>
      </c>
      <c r="L6783" s="30">
        <v>50</v>
      </c>
      <c r="M6783">
        <v>7178.82</v>
      </c>
      <c r="N6783">
        <v>8000</v>
      </c>
      <c r="O6783">
        <v>2000</v>
      </c>
      <c r="P6783">
        <v>12000</v>
      </c>
      <c r="Q6783" s="30">
        <v>21</v>
      </c>
      <c r="R6783">
        <v>487.26</v>
      </c>
      <c r="S6783">
        <v>300</v>
      </c>
      <c r="T6783">
        <v>50</v>
      </c>
      <c r="U6783">
        <v>2000</v>
      </c>
      <c r="V6783" s="30">
        <v>57</v>
      </c>
      <c r="W6783">
        <v>807.48</v>
      </c>
      <c r="X6783">
        <v>500</v>
      </c>
      <c r="Y6783">
        <v>50</v>
      </c>
      <c r="Z6783">
        <v>3000</v>
      </c>
      <c r="AA6783" s="30">
        <v>38</v>
      </c>
      <c r="AB6783">
        <v>890.37</v>
      </c>
      <c r="AC6783">
        <v>500</v>
      </c>
      <c r="AD6783">
        <v>100</v>
      </c>
      <c r="AE6783">
        <v>5000</v>
      </c>
      <c r="AF6783" s="30">
        <v>82</v>
      </c>
      <c r="AG6783">
        <v>866.97</v>
      </c>
      <c r="AH6783">
        <v>500</v>
      </c>
      <c r="AI6783">
        <v>100</v>
      </c>
      <c r="AJ6783">
        <v>5000</v>
      </c>
      <c r="AK6783" s="30">
        <v>45</v>
      </c>
      <c r="AL6783">
        <v>2307.9299999999998</v>
      </c>
      <c r="AM6783">
        <v>2000</v>
      </c>
      <c r="AN6783">
        <v>300</v>
      </c>
      <c r="AO6783">
        <v>6000</v>
      </c>
      <c r="AP6783" s="30">
        <v>98</v>
      </c>
      <c r="AQ6783">
        <v>2674.73</v>
      </c>
      <c r="AR6783">
        <v>1500</v>
      </c>
      <c r="AS6783">
        <v>75</v>
      </c>
      <c r="AT6783">
        <v>20000</v>
      </c>
      <c r="AU6783" s="30">
        <v>71</v>
      </c>
      <c r="AV6783">
        <v>572.83000000000004</v>
      </c>
      <c r="AW6783">
        <v>1000</v>
      </c>
      <c r="AX6783">
        <v>100</v>
      </c>
      <c r="AY6783">
        <v>1300</v>
      </c>
      <c r="AZ6783" s="30">
        <v>11</v>
      </c>
      <c r="BA6783">
        <v>723.99</v>
      </c>
      <c r="BB6783">
        <v>520</v>
      </c>
      <c r="BC6783">
        <v>120</v>
      </c>
      <c r="BD6783">
        <v>2000</v>
      </c>
      <c r="BE6783" s="30">
        <v>109</v>
      </c>
      <c r="BF6783">
        <v>2721.32</v>
      </c>
      <c r="BG6783">
        <v>2500</v>
      </c>
      <c r="BH6783">
        <v>2000</v>
      </c>
      <c r="BI6783">
        <v>10000</v>
      </c>
      <c r="BJ6783" s="30">
        <v>5</v>
      </c>
      <c r="BK6783">
        <v>4130.5</v>
      </c>
      <c r="BL6783">
        <v>2700</v>
      </c>
      <c r="BM6783">
        <v>300</v>
      </c>
      <c r="BN6783">
        <v>20000</v>
      </c>
      <c r="BO6783" s="30">
        <v>28</v>
      </c>
      <c r="BP6783">
        <v>1495.31</v>
      </c>
      <c r="BQ6783">
        <v>1000</v>
      </c>
      <c r="BR6783">
        <v>50</v>
      </c>
      <c r="BS6783">
        <v>16000</v>
      </c>
      <c r="BT6783" s="30">
        <v>60</v>
      </c>
      <c r="BU6783">
        <v>1829.54</v>
      </c>
      <c r="BV6783">
        <v>2000</v>
      </c>
      <c r="BW6783">
        <v>1500</v>
      </c>
      <c r="BX6783">
        <v>3300</v>
      </c>
      <c r="BY6783" s="30">
        <v>5</v>
      </c>
      <c r="BZ6783">
        <v>109</v>
      </c>
    </row>
    <row r="6784" spans="1:78" x14ac:dyDescent="0.35">
      <c r="A6784" t="s">
        <v>231</v>
      </c>
      <c r="B6784" t="s">
        <v>267</v>
      </c>
      <c r="C6784">
        <v>8548.15</v>
      </c>
      <c r="D6784">
        <v>7000</v>
      </c>
      <c r="E6784">
        <v>2000</v>
      </c>
      <c r="F6784">
        <v>30000</v>
      </c>
      <c r="G6784" s="30">
        <v>27</v>
      </c>
      <c r="H6784">
        <v>4306.25</v>
      </c>
      <c r="I6784">
        <v>5000</v>
      </c>
      <c r="J6784">
        <v>500</v>
      </c>
      <c r="K6784">
        <v>15000</v>
      </c>
      <c r="L6784" s="30">
        <v>16</v>
      </c>
      <c r="M6784">
        <v>5000</v>
      </c>
      <c r="N6784">
        <v>5000</v>
      </c>
      <c r="O6784">
        <v>5000</v>
      </c>
      <c r="P6784">
        <v>5000</v>
      </c>
      <c r="Q6784" s="30">
        <v>2</v>
      </c>
      <c r="R6784">
        <v>380.56</v>
      </c>
      <c r="S6784">
        <v>400</v>
      </c>
      <c r="T6784">
        <v>50</v>
      </c>
      <c r="U6784">
        <v>1500</v>
      </c>
      <c r="V6784" s="30">
        <v>18</v>
      </c>
      <c r="W6784">
        <v>677.78</v>
      </c>
      <c r="X6784">
        <v>800</v>
      </c>
      <c r="Y6784">
        <v>200</v>
      </c>
      <c r="Z6784">
        <v>1000</v>
      </c>
      <c r="AA6784" s="30">
        <v>9</v>
      </c>
      <c r="AB6784">
        <v>857.64</v>
      </c>
      <c r="AC6784">
        <v>800</v>
      </c>
      <c r="AD6784">
        <v>100</v>
      </c>
      <c r="AE6784">
        <v>5000</v>
      </c>
      <c r="AF6784" s="30">
        <v>25</v>
      </c>
      <c r="AG6784">
        <v>675</v>
      </c>
      <c r="AH6784">
        <v>500</v>
      </c>
      <c r="AI6784">
        <v>100</v>
      </c>
      <c r="AJ6784">
        <v>2000</v>
      </c>
      <c r="AK6784" s="30">
        <v>12</v>
      </c>
      <c r="AL6784">
        <v>2000.37</v>
      </c>
      <c r="AM6784">
        <v>2000</v>
      </c>
      <c r="AN6784">
        <v>500</v>
      </c>
      <c r="AO6784">
        <v>6000</v>
      </c>
      <c r="AP6784" s="30">
        <v>27</v>
      </c>
      <c r="AQ6784">
        <v>3060.45</v>
      </c>
      <c r="AR6784">
        <v>1000</v>
      </c>
      <c r="AS6784">
        <v>100</v>
      </c>
      <c r="AT6784">
        <v>30000</v>
      </c>
      <c r="AU6784" s="30">
        <v>22</v>
      </c>
      <c r="AV6784">
        <v>640</v>
      </c>
      <c r="AW6784">
        <v>600</v>
      </c>
      <c r="AX6784">
        <v>300</v>
      </c>
      <c r="AY6784">
        <v>1500</v>
      </c>
      <c r="AZ6784" s="30">
        <v>5</v>
      </c>
      <c r="BA6784">
        <v>633.83000000000004</v>
      </c>
      <c r="BB6784">
        <v>500</v>
      </c>
      <c r="BC6784">
        <v>100</v>
      </c>
      <c r="BD6784">
        <v>2000</v>
      </c>
      <c r="BE6784" s="30">
        <v>30</v>
      </c>
      <c r="BF6784">
        <v>2000</v>
      </c>
      <c r="BG6784">
        <v>1000</v>
      </c>
      <c r="BH6784">
        <v>1000</v>
      </c>
      <c r="BI6784">
        <v>3000</v>
      </c>
      <c r="BJ6784" s="30">
        <v>2</v>
      </c>
      <c r="BK6784">
        <v>4640</v>
      </c>
      <c r="BL6784">
        <v>2000</v>
      </c>
      <c r="BM6784">
        <v>400</v>
      </c>
      <c r="BN6784">
        <v>20000</v>
      </c>
      <c r="BO6784" s="30">
        <v>10</v>
      </c>
      <c r="BP6784">
        <v>870</v>
      </c>
      <c r="BQ6784">
        <v>1000</v>
      </c>
      <c r="BR6784">
        <v>100</v>
      </c>
      <c r="BS6784">
        <v>2000</v>
      </c>
      <c r="BT6784" s="30">
        <v>9</v>
      </c>
      <c r="BU6784">
        <v>3733.33</v>
      </c>
      <c r="BV6784">
        <v>9000</v>
      </c>
      <c r="BW6784">
        <v>200</v>
      </c>
      <c r="BX6784">
        <v>9000</v>
      </c>
      <c r="BY6784" s="30">
        <v>3</v>
      </c>
      <c r="BZ6784">
        <v>30</v>
      </c>
    </row>
    <row r="6785" spans="1:78" x14ac:dyDescent="0.35">
      <c r="A6785" t="s">
        <v>231</v>
      </c>
      <c r="B6785" t="s">
        <v>265</v>
      </c>
      <c r="C6785">
        <v>9652.5400000000009</v>
      </c>
      <c r="D6785">
        <v>8000</v>
      </c>
      <c r="E6785">
        <v>1000</v>
      </c>
      <c r="F6785">
        <v>30000</v>
      </c>
      <c r="G6785" s="30">
        <v>59</v>
      </c>
      <c r="H6785">
        <v>4890.24</v>
      </c>
      <c r="I6785">
        <v>4000</v>
      </c>
      <c r="J6785">
        <v>500</v>
      </c>
      <c r="K6785">
        <v>24000</v>
      </c>
      <c r="L6785" s="30">
        <v>41</v>
      </c>
      <c r="M6785">
        <v>6074.4</v>
      </c>
      <c r="N6785">
        <v>5000</v>
      </c>
      <c r="O6785">
        <v>2244</v>
      </c>
      <c r="P6785">
        <v>13000</v>
      </c>
      <c r="Q6785" s="30">
        <v>10</v>
      </c>
      <c r="R6785">
        <v>659.67</v>
      </c>
      <c r="S6785">
        <v>500</v>
      </c>
      <c r="T6785">
        <v>100</v>
      </c>
      <c r="U6785">
        <v>2500</v>
      </c>
      <c r="V6785" s="30">
        <v>30</v>
      </c>
      <c r="W6785">
        <v>760.2</v>
      </c>
      <c r="X6785">
        <v>500</v>
      </c>
      <c r="Y6785">
        <v>100</v>
      </c>
      <c r="Z6785">
        <v>2000</v>
      </c>
      <c r="AA6785" s="30">
        <v>41</v>
      </c>
      <c r="AB6785">
        <v>1015.69</v>
      </c>
      <c r="AC6785">
        <v>1000</v>
      </c>
      <c r="AD6785">
        <v>200</v>
      </c>
      <c r="AE6785">
        <v>3000</v>
      </c>
      <c r="AF6785" s="30">
        <v>51</v>
      </c>
      <c r="AG6785">
        <v>782.86</v>
      </c>
      <c r="AH6785">
        <v>500</v>
      </c>
      <c r="AI6785">
        <v>100</v>
      </c>
      <c r="AJ6785">
        <v>3000</v>
      </c>
      <c r="AK6785" s="30">
        <v>35</v>
      </c>
      <c r="AL6785">
        <v>2356.36</v>
      </c>
      <c r="AM6785">
        <v>2500</v>
      </c>
      <c r="AN6785">
        <v>500</v>
      </c>
      <c r="AO6785">
        <v>6000</v>
      </c>
      <c r="AP6785" s="30">
        <v>55</v>
      </c>
      <c r="AQ6785">
        <v>2284.04</v>
      </c>
      <c r="AR6785">
        <v>2000</v>
      </c>
      <c r="AS6785">
        <v>100</v>
      </c>
      <c r="AT6785">
        <v>10000</v>
      </c>
      <c r="AU6785" s="30">
        <v>47</v>
      </c>
      <c r="AV6785">
        <v>566.66999999999996</v>
      </c>
      <c r="AW6785">
        <v>500</v>
      </c>
      <c r="AX6785">
        <v>100</v>
      </c>
      <c r="AY6785">
        <v>1400</v>
      </c>
      <c r="AZ6785" s="30">
        <v>12</v>
      </c>
      <c r="BA6785">
        <v>736.08</v>
      </c>
      <c r="BB6785">
        <v>600</v>
      </c>
      <c r="BC6785">
        <v>200</v>
      </c>
      <c r="BD6785">
        <v>2000</v>
      </c>
      <c r="BE6785" s="30">
        <v>65</v>
      </c>
      <c r="BF6785">
        <v>3285.71</v>
      </c>
      <c r="BG6785">
        <v>3000</v>
      </c>
      <c r="BH6785">
        <v>300</v>
      </c>
      <c r="BI6785">
        <v>10000</v>
      </c>
      <c r="BJ6785" s="30">
        <v>7</v>
      </c>
      <c r="BK6785">
        <v>6806.67</v>
      </c>
      <c r="BL6785">
        <v>2000</v>
      </c>
      <c r="BM6785">
        <v>500</v>
      </c>
      <c r="BN6785">
        <v>30000</v>
      </c>
      <c r="BO6785" s="30">
        <v>15</v>
      </c>
      <c r="BP6785">
        <v>1495.95</v>
      </c>
      <c r="BQ6785">
        <v>1000</v>
      </c>
      <c r="BR6785">
        <v>150</v>
      </c>
      <c r="BS6785">
        <v>15000</v>
      </c>
      <c r="BT6785" s="30">
        <v>37</v>
      </c>
      <c r="BU6785">
        <v>5200</v>
      </c>
      <c r="BV6785">
        <v>400</v>
      </c>
      <c r="BW6785">
        <v>400</v>
      </c>
      <c r="BX6785">
        <v>10000</v>
      </c>
      <c r="BY6785" s="30">
        <v>2</v>
      </c>
      <c r="BZ6785">
        <v>65</v>
      </c>
    </row>
    <row r="6786" spans="1:78" x14ac:dyDescent="0.35">
      <c r="A6786" t="s">
        <v>231</v>
      </c>
      <c r="B6786" t="s">
        <v>266</v>
      </c>
      <c r="C6786">
        <v>4498.1499999999996</v>
      </c>
      <c r="D6786">
        <v>3000</v>
      </c>
      <c r="E6786">
        <v>500</v>
      </c>
      <c r="F6786">
        <v>20000</v>
      </c>
      <c r="G6786" s="30">
        <v>54</v>
      </c>
      <c r="H6786">
        <v>2890.91</v>
      </c>
      <c r="I6786">
        <v>2000</v>
      </c>
      <c r="J6786">
        <v>100</v>
      </c>
      <c r="K6786">
        <v>10000</v>
      </c>
      <c r="L6786" s="30">
        <v>22</v>
      </c>
      <c r="M6786">
        <v>5625</v>
      </c>
      <c r="N6786">
        <v>5000</v>
      </c>
      <c r="O6786">
        <v>500</v>
      </c>
      <c r="P6786">
        <v>10000</v>
      </c>
      <c r="Q6786" s="30">
        <v>12</v>
      </c>
      <c r="R6786">
        <v>292.5</v>
      </c>
      <c r="S6786">
        <v>200</v>
      </c>
      <c r="T6786">
        <v>50</v>
      </c>
      <c r="U6786">
        <v>1500</v>
      </c>
      <c r="V6786" s="30">
        <v>20</v>
      </c>
      <c r="W6786">
        <v>419.77</v>
      </c>
      <c r="X6786">
        <v>300</v>
      </c>
      <c r="Y6786">
        <v>50</v>
      </c>
      <c r="Z6786">
        <v>1000</v>
      </c>
      <c r="AA6786" s="30">
        <v>30</v>
      </c>
      <c r="AB6786">
        <v>717.67</v>
      </c>
      <c r="AC6786">
        <v>500</v>
      </c>
      <c r="AD6786">
        <v>100</v>
      </c>
      <c r="AE6786">
        <v>5000</v>
      </c>
      <c r="AF6786" s="30">
        <v>43</v>
      </c>
      <c r="AG6786">
        <v>417.65</v>
      </c>
      <c r="AH6786">
        <v>400</v>
      </c>
      <c r="AI6786">
        <v>100</v>
      </c>
      <c r="AJ6786">
        <v>1000</v>
      </c>
      <c r="AK6786" s="30">
        <v>17</v>
      </c>
      <c r="AL6786">
        <v>1733.44</v>
      </c>
      <c r="AM6786">
        <v>1500</v>
      </c>
      <c r="AN6786">
        <v>300</v>
      </c>
      <c r="AO6786">
        <v>6000</v>
      </c>
      <c r="AP6786" s="30">
        <v>54</v>
      </c>
      <c r="AQ6786">
        <v>516</v>
      </c>
      <c r="AR6786">
        <v>300</v>
      </c>
      <c r="AS6786">
        <v>50</v>
      </c>
      <c r="AT6786">
        <v>2000</v>
      </c>
      <c r="AU6786" s="30">
        <v>35</v>
      </c>
      <c r="AV6786">
        <v>262.5</v>
      </c>
      <c r="AW6786">
        <v>200</v>
      </c>
      <c r="AX6786">
        <v>100</v>
      </c>
      <c r="AY6786">
        <v>450</v>
      </c>
      <c r="AZ6786" s="30">
        <v>4</v>
      </c>
      <c r="BA6786">
        <v>418.06</v>
      </c>
      <c r="BB6786">
        <v>400</v>
      </c>
      <c r="BC6786">
        <v>50</v>
      </c>
      <c r="BD6786">
        <v>2000</v>
      </c>
      <c r="BE6786" s="30">
        <v>54</v>
      </c>
      <c r="BK6786">
        <v>2819.23</v>
      </c>
      <c r="BL6786">
        <v>2000</v>
      </c>
      <c r="BM6786">
        <v>200</v>
      </c>
      <c r="BN6786">
        <v>17000</v>
      </c>
      <c r="BO6786" s="30">
        <v>13</v>
      </c>
      <c r="BP6786">
        <v>1460</v>
      </c>
      <c r="BQ6786">
        <v>500</v>
      </c>
      <c r="BR6786">
        <v>50</v>
      </c>
      <c r="BS6786">
        <v>8500</v>
      </c>
      <c r="BT6786" s="30">
        <v>25</v>
      </c>
      <c r="BU6786">
        <v>825</v>
      </c>
      <c r="BV6786">
        <v>800</v>
      </c>
      <c r="BW6786">
        <v>500</v>
      </c>
      <c r="BX6786">
        <v>1200</v>
      </c>
      <c r="BY6786" s="30">
        <v>4</v>
      </c>
      <c r="BZ6786">
        <v>54</v>
      </c>
    </row>
    <row r="6787" spans="1:78" x14ac:dyDescent="0.35">
      <c r="A6787" t="s">
        <v>232</v>
      </c>
      <c r="B6787" t="s">
        <v>232</v>
      </c>
      <c r="C6787">
        <v>7868.72</v>
      </c>
      <c r="D6787">
        <v>6000</v>
      </c>
      <c r="E6787">
        <v>200</v>
      </c>
      <c r="F6787">
        <v>30000</v>
      </c>
      <c r="G6787" s="30">
        <v>2369</v>
      </c>
      <c r="H6787">
        <v>4052.31</v>
      </c>
      <c r="I6787">
        <v>3000</v>
      </c>
      <c r="J6787">
        <v>100</v>
      </c>
      <c r="K6787">
        <v>60000</v>
      </c>
      <c r="L6787" s="30">
        <v>1077</v>
      </c>
      <c r="M6787">
        <v>5938.14</v>
      </c>
      <c r="N6787">
        <v>5000</v>
      </c>
      <c r="O6787">
        <v>183</v>
      </c>
      <c r="P6787">
        <v>16000</v>
      </c>
      <c r="Q6787" s="30">
        <v>345</v>
      </c>
      <c r="R6787">
        <v>468.12</v>
      </c>
      <c r="S6787">
        <v>300</v>
      </c>
      <c r="T6787">
        <v>50</v>
      </c>
      <c r="U6787">
        <v>3000</v>
      </c>
      <c r="V6787" s="30">
        <v>1180</v>
      </c>
      <c r="W6787">
        <v>542.04</v>
      </c>
      <c r="X6787">
        <v>401</v>
      </c>
      <c r="Y6787">
        <v>30</v>
      </c>
      <c r="Z6787">
        <v>3000</v>
      </c>
      <c r="AA6787" s="30">
        <v>1265</v>
      </c>
      <c r="AB6787">
        <v>868.78</v>
      </c>
      <c r="AC6787">
        <v>500</v>
      </c>
      <c r="AD6787">
        <v>100</v>
      </c>
      <c r="AE6787">
        <v>5000</v>
      </c>
      <c r="AF6787" s="30">
        <v>1926</v>
      </c>
      <c r="AG6787">
        <v>667.4</v>
      </c>
      <c r="AH6787">
        <v>500</v>
      </c>
      <c r="AI6787">
        <v>100</v>
      </c>
      <c r="AJ6787">
        <v>5000</v>
      </c>
      <c r="AK6787" s="30">
        <v>856</v>
      </c>
      <c r="AL6787">
        <v>2130.96</v>
      </c>
      <c r="AM6787">
        <v>2000</v>
      </c>
      <c r="AN6787">
        <v>300</v>
      </c>
      <c r="AO6787">
        <v>9100</v>
      </c>
      <c r="AP6787" s="30">
        <v>2431</v>
      </c>
      <c r="AQ6787">
        <v>2285.5300000000002</v>
      </c>
      <c r="AR6787">
        <v>1000</v>
      </c>
      <c r="AS6787">
        <v>50</v>
      </c>
      <c r="AT6787">
        <v>30000</v>
      </c>
      <c r="AU6787" s="30">
        <v>1520</v>
      </c>
      <c r="AV6787">
        <v>776.74</v>
      </c>
      <c r="AW6787">
        <v>500</v>
      </c>
      <c r="AX6787">
        <v>100</v>
      </c>
      <c r="AY6787">
        <v>3000</v>
      </c>
      <c r="AZ6787" s="30">
        <v>266</v>
      </c>
      <c r="BA6787">
        <v>615.85</v>
      </c>
      <c r="BB6787">
        <v>500</v>
      </c>
      <c r="BC6787">
        <v>50</v>
      </c>
      <c r="BD6787">
        <v>2800</v>
      </c>
      <c r="BE6787" s="30">
        <v>2479</v>
      </c>
      <c r="BF6787">
        <v>3040.04</v>
      </c>
      <c r="BG6787">
        <v>2000</v>
      </c>
      <c r="BH6787">
        <v>200</v>
      </c>
      <c r="BI6787">
        <v>10000</v>
      </c>
      <c r="BJ6787" s="30">
        <v>132</v>
      </c>
      <c r="BK6787">
        <v>4895.0200000000004</v>
      </c>
      <c r="BL6787">
        <v>2000</v>
      </c>
      <c r="BM6787">
        <v>100</v>
      </c>
      <c r="BN6787">
        <v>30000</v>
      </c>
      <c r="BO6787" s="30">
        <v>461</v>
      </c>
      <c r="BP6787">
        <v>1288.5999999999999</v>
      </c>
      <c r="BQ6787">
        <v>600</v>
      </c>
      <c r="BR6787">
        <v>50</v>
      </c>
      <c r="BS6787">
        <v>30000</v>
      </c>
      <c r="BT6787" s="30">
        <v>1296</v>
      </c>
      <c r="BU6787">
        <v>3251.2</v>
      </c>
      <c r="BV6787">
        <v>2500</v>
      </c>
      <c r="BW6787">
        <v>100</v>
      </c>
      <c r="BX6787">
        <v>10000</v>
      </c>
      <c r="BY6787" s="30">
        <v>124</v>
      </c>
      <c r="BZ6787">
        <v>2479</v>
      </c>
    </row>
    <row r="6789" spans="1:78" x14ac:dyDescent="0.35">
      <c r="A6789" s="1" t="s">
        <v>969</v>
      </c>
    </row>
    <row r="6790" spans="1:78" x14ac:dyDescent="0.35">
      <c r="A6790" t="s">
        <v>219</v>
      </c>
      <c r="B6790" t="s">
        <v>305</v>
      </c>
      <c r="C6790" t="s">
        <v>889</v>
      </c>
      <c r="D6790" t="s">
        <v>890</v>
      </c>
      <c r="E6790" t="s">
        <v>891</v>
      </c>
      <c r="F6790" t="s">
        <v>892</v>
      </c>
      <c r="G6790" t="s">
        <v>893</v>
      </c>
      <c r="H6790" t="s">
        <v>894</v>
      </c>
      <c r="I6790" t="s">
        <v>895</v>
      </c>
      <c r="J6790" t="s">
        <v>896</v>
      </c>
      <c r="K6790" t="s">
        <v>897</v>
      </c>
      <c r="L6790" t="s">
        <v>898</v>
      </c>
      <c r="M6790" t="s">
        <v>899</v>
      </c>
      <c r="N6790" t="s">
        <v>900</v>
      </c>
      <c r="O6790" t="s">
        <v>901</v>
      </c>
      <c r="P6790" t="s">
        <v>902</v>
      </c>
      <c r="Q6790" t="s">
        <v>903</v>
      </c>
      <c r="R6790" t="s">
        <v>904</v>
      </c>
      <c r="S6790" t="s">
        <v>905</v>
      </c>
      <c r="T6790" t="s">
        <v>906</v>
      </c>
      <c r="U6790" t="s">
        <v>907</v>
      </c>
      <c r="V6790" t="s">
        <v>908</v>
      </c>
      <c r="W6790" t="s">
        <v>909</v>
      </c>
      <c r="X6790" t="s">
        <v>910</v>
      </c>
      <c r="Y6790" t="s">
        <v>911</v>
      </c>
      <c r="Z6790" t="s">
        <v>912</v>
      </c>
      <c r="AA6790" t="s">
        <v>913</v>
      </c>
      <c r="AB6790" t="s">
        <v>914</v>
      </c>
      <c r="AC6790" t="s">
        <v>915</v>
      </c>
      <c r="AD6790" t="s">
        <v>916</v>
      </c>
      <c r="AE6790" t="s">
        <v>917</v>
      </c>
      <c r="AF6790" t="s">
        <v>918</v>
      </c>
      <c r="AG6790" t="s">
        <v>919</v>
      </c>
      <c r="AH6790" t="s">
        <v>920</v>
      </c>
      <c r="AI6790" t="s">
        <v>921</v>
      </c>
      <c r="AJ6790" t="s">
        <v>922</v>
      </c>
      <c r="AK6790" t="s">
        <v>923</v>
      </c>
      <c r="AL6790" t="s">
        <v>924</v>
      </c>
      <c r="AM6790" t="s">
        <v>925</v>
      </c>
      <c r="AN6790" t="s">
        <v>926</v>
      </c>
      <c r="AO6790" t="s">
        <v>927</v>
      </c>
      <c r="AP6790" t="s">
        <v>928</v>
      </c>
      <c r="AQ6790" t="s">
        <v>929</v>
      </c>
      <c r="AR6790" t="s">
        <v>930</v>
      </c>
      <c r="AS6790" t="s">
        <v>931</v>
      </c>
      <c r="AT6790" t="s">
        <v>932</v>
      </c>
      <c r="AU6790" t="s">
        <v>933</v>
      </c>
      <c r="AV6790" t="s">
        <v>934</v>
      </c>
      <c r="AW6790" t="s">
        <v>935</v>
      </c>
      <c r="AX6790" t="s">
        <v>936</v>
      </c>
      <c r="AY6790" t="s">
        <v>937</v>
      </c>
      <c r="AZ6790" t="s">
        <v>938</v>
      </c>
      <c r="BA6790" t="s">
        <v>939</v>
      </c>
      <c r="BB6790" t="s">
        <v>940</v>
      </c>
      <c r="BC6790" t="s">
        <v>941</v>
      </c>
      <c r="BD6790" t="s">
        <v>942</v>
      </c>
      <c r="BE6790" t="s">
        <v>943</v>
      </c>
      <c r="BF6790" t="s">
        <v>944</v>
      </c>
      <c r="BG6790" t="s">
        <v>945</v>
      </c>
      <c r="BH6790" t="s">
        <v>946</v>
      </c>
      <c r="BI6790" t="s">
        <v>947</v>
      </c>
      <c r="BJ6790" t="s">
        <v>948</v>
      </c>
      <c r="BK6790" t="s">
        <v>949</v>
      </c>
      <c r="BL6790" t="s">
        <v>950</v>
      </c>
      <c r="BM6790" t="s">
        <v>951</v>
      </c>
      <c r="BN6790" t="s">
        <v>952</v>
      </c>
      <c r="BO6790" t="s">
        <v>953</v>
      </c>
      <c r="BP6790" t="s">
        <v>954</v>
      </c>
      <c r="BQ6790" t="s">
        <v>955</v>
      </c>
      <c r="BR6790" t="s">
        <v>956</v>
      </c>
      <c r="BS6790" t="s">
        <v>957</v>
      </c>
      <c r="BT6790" t="s">
        <v>958</v>
      </c>
      <c r="BU6790" t="s">
        <v>959</v>
      </c>
      <c r="BV6790" t="s">
        <v>960</v>
      </c>
      <c r="BW6790" t="s">
        <v>961</v>
      </c>
      <c r="BX6790" t="s">
        <v>962</v>
      </c>
      <c r="BY6790" t="s">
        <v>963</v>
      </c>
      <c r="BZ6790" t="s">
        <v>964</v>
      </c>
    </row>
    <row r="6791" spans="1:78" x14ac:dyDescent="0.35">
      <c r="A6791" t="s">
        <v>227</v>
      </c>
      <c r="B6791" t="s">
        <v>252</v>
      </c>
      <c r="C6791">
        <v>4349.55</v>
      </c>
      <c r="D6791">
        <v>3000</v>
      </c>
      <c r="E6791">
        <v>500</v>
      </c>
      <c r="F6791">
        <v>17000</v>
      </c>
      <c r="G6791" s="30">
        <v>40</v>
      </c>
      <c r="H6791">
        <v>3162.5</v>
      </c>
      <c r="I6791">
        <v>500</v>
      </c>
      <c r="J6791">
        <v>400</v>
      </c>
      <c r="K6791">
        <v>10000</v>
      </c>
      <c r="L6791" s="30">
        <v>8</v>
      </c>
      <c r="M6791">
        <v>3714.29</v>
      </c>
      <c r="N6791">
        <v>3500</v>
      </c>
      <c r="O6791">
        <v>1500</v>
      </c>
      <c r="P6791">
        <v>7500</v>
      </c>
      <c r="Q6791" s="30">
        <v>7</v>
      </c>
      <c r="R6791">
        <v>196.36</v>
      </c>
      <c r="S6791">
        <v>200</v>
      </c>
      <c r="T6791">
        <v>50</v>
      </c>
      <c r="U6791">
        <v>400</v>
      </c>
      <c r="V6791" s="30">
        <v>22</v>
      </c>
      <c r="W6791">
        <v>232.67</v>
      </c>
      <c r="X6791">
        <v>300</v>
      </c>
      <c r="Y6791">
        <v>94</v>
      </c>
      <c r="Z6791">
        <v>500</v>
      </c>
      <c r="AA6791" s="30">
        <v>9</v>
      </c>
      <c r="AB6791">
        <v>416.67</v>
      </c>
      <c r="AC6791">
        <v>300</v>
      </c>
      <c r="AD6791">
        <v>100</v>
      </c>
      <c r="AE6791">
        <v>1500</v>
      </c>
      <c r="AF6791" s="30">
        <v>30</v>
      </c>
      <c r="AG6791">
        <v>354.44</v>
      </c>
      <c r="AH6791">
        <v>290</v>
      </c>
      <c r="AI6791">
        <v>100</v>
      </c>
      <c r="AJ6791">
        <v>1500</v>
      </c>
      <c r="AK6791" s="30">
        <v>9</v>
      </c>
      <c r="AL6791">
        <v>1357.45</v>
      </c>
      <c r="AM6791">
        <v>1100</v>
      </c>
      <c r="AN6791">
        <v>350</v>
      </c>
      <c r="AO6791">
        <v>4000</v>
      </c>
      <c r="AP6791" s="30">
        <v>38</v>
      </c>
      <c r="AQ6791">
        <v>802.6</v>
      </c>
      <c r="AR6791">
        <v>700</v>
      </c>
      <c r="AS6791">
        <v>50</v>
      </c>
      <c r="AT6791">
        <v>2500</v>
      </c>
      <c r="AU6791" s="30">
        <v>20</v>
      </c>
      <c r="AV6791">
        <v>1550</v>
      </c>
      <c r="AW6791">
        <v>1500</v>
      </c>
      <c r="AX6791">
        <v>1500</v>
      </c>
      <c r="AY6791">
        <v>1600</v>
      </c>
      <c r="AZ6791" s="30">
        <v>2</v>
      </c>
      <c r="BA6791">
        <v>404.62</v>
      </c>
      <c r="BB6791">
        <v>300</v>
      </c>
      <c r="BC6791">
        <v>100</v>
      </c>
      <c r="BD6791">
        <v>2000</v>
      </c>
      <c r="BE6791" s="30">
        <v>40</v>
      </c>
      <c r="BP6791">
        <v>497.9</v>
      </c>
      <c r="BQ6791">
        <v>300</v>
      </c>
      <c r="BR6791">
        <v>50</v>
      </c>
      <c r="BS6791">
        <v>3500</v>
      </c>
      <c r="BT6791" s="30">
        <v>21</v>
      </c>
      <c r="BU6791">
        <v>2437.5</v>
      </c>
      <c r="BV6791">
        <v>1000</v>
      </c>
      <c r="BW6791">
        <v>700</v>
      </c>
      <c r="BX6791">
        <v>5550</v>
      </c>
      <c r="BY6791" s="30">
        <v>4</v>
      </c>
      <c r="BZ6791">
        <v>40</v>
      </c>
    </row>
    <row r="6792" spans="1:78" x14ac:dyDescent="0.35">
      <c r="A6792" t="s">
        <v>227</v>
      </c>
      <c r="B6792" t="s">
        <v>253</v>
      </c>
      <c r="C6792">
        <v>7410.71</v>
      </c>
      <c r="D6792">
        <v>7000</v>
      </c>
      <c r="E6792">
        <v>1200</v>
      </c>
      <c r="F6792">
        <v>18000</v>
      </c>
      <c r="G6792" s="30">
        <v>28</v>
      </c>
      <c r="H6792">
        <v>4432.29</v>
      </c>
      <c r="I6792">
        <v>3000</v>
      </c>
      <c r="J6792">
        <v>250</v>
      </c>
      <c r="K6792">
        <v>30000</v>
      </c>
      <c r="L6792" s="30">
        <v>17</v>
      </c>
      <c r="M6792">
        <v>5900</v>
      </c>
      <c r="N6792">
        <v>8000</v>
      </c>
      <c r="O6792">
        <v>3000</v>
      </c>
      <c r="P6792">
        <v>8000</v>
      </c>
      <c r="Q6792" s="30">
        <v>5</v>
      </c>
      <c r="R6792">
        <v>377.73</v>
      </c>
      <c r="S6792">
        <v>300</v>
      </c>
      <c r="T6792">
        <v>100</v>
      </c>
      <c r="U6792">
        <v>1000</v>
      </c>
      <c r="V6792" s="30">
        <v>22</v>
      </c>
      <c r="W6792">
        <v>615</v>
      </c>
      <c r="X6792">
        <v>500</v>
      </c>
      <c r="Y6792">
        <v>100</v>
      </c>
      <c r="Z6792">
        <v>2000</v>
      </c>
      <c r="AA6792" s="30">
        <v>20</v>
      </c>
      <c r="AB6792">
        <v>882.69</v>
      </c>
      <c r="AC6792">
        <v>600</v>
      </c>
      <c r="AD6792">
        <v>100</v>
      </c>
      <c r="AE6792">
        <v>5000</v>
      </c>
      <c r="AF6792" s="30">
        <v>26</v>
      </c>
      <c r="AG6792">
        <v>780</v>
      </c>
      <c r="AH6792">
        <v>500</v>
      </c>
      <c r="AI6792">
        <v>100</v>
      </c>
      <c r="AJ6792">
        <v>4000</v>
      </c>
      <c r="AK6792" s="30">
        <v>10</v>
      </c>
      <c r="AL6792">
        <v>2230.84</v>
      </c>
      <c r="AM6792">
        <v>2000</v>
      </c>
      <c r="AN6792">
        <v>650</v>
      </c>
      <c r="AO6792">
        <v>5500</v>
      </c>
      <c r="AP6792" s="30">
        <v>32</v>
      </c>
      <c r="AQ6792">
        <v>4495.83</v>
      </c>
      <c r="AR6792">
        <v>2700</v>
      </c>
      <c r="AS6792">
        <v>150</v>
      </c>
      <c r="AT6792">
        <v>25000</v>
      </c>
      <c r="AU6792" s="30">
        <v>24</v>
      </c>
      <c r="AV6792">
        <v>1662.5</v>
      </c>
      <c r="AW6792">
        <v>1000</v>
      </c>
      <c r="AX6792">
        <v>650</v>
      </c>
      <c r="AY6792">
        <v>3000</v>
      </c>
      <c r="AZ6792" s="30">
        <v>4</v>
      </c>
      <c r="BA6792">
        <v>697.34</v>
      </c>
      <c r="BB6792">
        <v>620</v>
      </c>
      <c r="BC6792">
        <v>170</v>
      </c>
      <c r="BD6792">
        <v>2500</v>
      </c>
      <c r="BE6792" s="30">
        <v>32</v>
      </c>
      <c r="BF6792">
        <v>3000</v>
      </c>
      <c r="BG6792">
        <v>5000</v>
      </c>
      <c r="BH6792">
        <v>2000</v>
      </c>
      <c r="BI6792">
        <v>5000</v>
      </c>
      <c r="BJ6792" s="30">
        <v>3</v>
      </c>
      <c r="BK6792">
        <v>4603.3599999999997</v>
      </c>
      <c r="BL6792">
        <v>3000</v>
      </c>
      <c r="BM6792">
        <v>300</v>
      </c>
      <c r="BN6792">
        <v>25000</v>
      </c>
      <c r="BO6792" s="30">
        <v>11</v>
      </c>
      <c r="BP6792">
        <v>920.45</v>
      </c>
      <c r="BQ6792">
        <v>550</v>
      </c>
      <c r="BR6792">
        <v>50</v>
      </c>
      <c r="BS6792">
        <v>3200</v>
      </c>
      <c r="BT6792" s="30">
        <v>22</v>
      </c>
      <c r="BU6792">
        <v>4000</v>
      </c>
      <c r="BV6792">
        <v>3000</v>
      </c>
      <c r="BW6792">
        <v>3000</v>
      </c>
      <c r="BX6792">
        <v>5000</v>
      </c>
      <c r="BY6792" s="30">
        <v>2</v>
      </c>
      <c r="BZ6792">
        <v>32</v>
      </c>
    </row>
    <row r="6793" spans="1:78" x14ac:dyDescent="0.35">
      <c r="A6793" t="s">
        <v>227</v>
      </c>
      <c r="B6793" t="s">
        <v>251</v>
      </c>
      <c r="C6793">
        <v>6651.65</v>
      </c>
      <c r="D6793">
        <v>6000</v>
      </c>
      <c r="E6793">
        <v>1000</v>
      </c>
      <c r="F6793">
        <v>30000</v>
      </c>
      <c r="G6793" s="30">
        <v>74</v>
      </c>
      <c r="H6793">
        <v>3190.71</v>
      </c>
      <c r="I6793">
        <v>3000</v>
      </c>
      <c r="J6793">
        <v>119</v>
      </c>
      <c r="K6793">
        <v>10000</v>
      </c>
      <c r="L6793" s="30">
        <v>41</v>
      </c>
      <c r="M6793">
        <v>4871.43</v>
      </c>
      <c r="N6793">
        <v>5000</v>
      </c>
      <c r="O6793">
        <v>1000</v>
      </c>
      <c r="P6793">
        <v>12000</v>
      </c>
      <c r="Q6793" s="30">
        <v>14</v>
      </c>
      <c r="R6793">
        <v>426.25</v>
      </c>
      <c r="S6793">
        <v>300</v>
      </c>
      <c r="T6793">
        <v>50</v>
      </c>
      <c r="U6793">
        <v>2000</v>
      </c>
      <c r="V6793" s="30">
        <v>40</v>
      </c>
      <c r="W6793">
        <v>561.24</v>
      </c>
      <c r="X6793">
        <v>500</v>
      </c>
      <c r="Y6793">
        <v>50</v>
      </c>
      <c r="Z6793">
        <v>2000</v>
      </c>
      <c r="AA6793" s="30">
        <v>50</v>
      </c>
      <c r="AB6793">
        <v>907.63</v>
      </c>
      <c r="AC6793">
        <v>800</v>
      </c>
      <c r="AD6793">
        <v>100</v>
      </c>
      <c r="AE6793">
        <v>4000</v>
      </c>
      <c r="AF6793" s="30">
        <v>65</v>
      </c>
      <c r="AG6793">
        <v>623.34</v>
      </c>
      <c r="AH6793">
        <v>400</v>
      </c>
      <c r="AI6793">
        <v>100</v>
      </c>
      <c r="AJ6793">
        <v>3000</v>
      </c>
      <c r="AK6793" s="30">
        <v>32</v>
      </c>
      <c r="AL6793">
        <v>1994.32</v>
      </c>
      <c r="AM6793">
        <v>1500</v>
      </c>
      <c r="AN6793">
        <v>500</v>
      </c>
      <c r="AO6793">
        <v>8000</v>
      </c>
      <c r="AP6793" s="30">
        <v>76</v>
      </c>
      <c r="AQ6793">
        <v>2803.33</v>
      </c>
      <c r="AR6793">
        <v>1000</v>
      </c>
      <c r="AS6793">
        <v>50</v>
      </c>
      <c r="AT6793">
        <v>30000</v>
      </c>
      <c r="AU6793" s="30">
        <v>57</v>
      </c>
      <c r="AV6793">
        <v>908.75</v>
      </c>
      <c r="AW6793">
        <v>1000</v>
      </c>
      <c r="AX6793">
        <v>200</v>
      </c>
      <c r="AY6793">
        <v>2800</v>
      </c>
      <c r="AZ6793" s="30">
        <v>16</v>
      </c>
      <c r="BA6793">
        <v>564.03</v>
      </c>
      <c r="BB6793">
        <v>590</v>
      </c>
      <c r="BC6793">
        <v>100</v>
      </c>
      <c r="BD6793">
        <v>1500</v>
      </c>
      <c r="BE6793" s="30">
        <v>73</v>
      </c>
      <c r="BF6793">
        <v>2880</v>
      </c>
      <c r="BG6793">
        <v>3000</v>
      </c>
      <c r="BH6793">
        <v>400</v>
      </c>
      <c r="BI6793">
        <v>6500</v>
      </c>
      <c r="BJ6793" s="30">
        <v>5</v>
      </c>
      <c r="BK6793">
        <v>4143.4799999999996</v>
      </c>
      <c r="BL6793">
        <v>2000</v>
      </c>
      <c r="BM6793">
        <v>300</v>
      </c>
      <c r="BN6793">
        <v>20000</v>
      </c>
      <c r="BO6793" s="30">
        <v>23</v>
      </c>
      <c r="BP6793">
        <v>834.78</v>
      </c>
      <c r="BQ6793">
        <v>500</v>
      </c>
      <c r="BR6793">
        <v>50</v>
      </c>
      <c r="BS6793">
        <v>3500</v>
      </c>
      <c r="BT6793" s="30">
        <v>46</v>
      </c>
      <c r="BU6793">
        <v>5750</v>
      </c>
      <c r="BV6793">
        <v>5000</v>
      </c>
      <c r="BW6793">
        <v>3500</v>
      </c>
      <c r="BX6793">
        <v>7500</v>
      </c>
      <c r="BY6793" s="30">
        <v>4</v>
      </c>
      <c r="BZ6793">
        <v>76</v>
      </c>
    </row>
    <row r="6794" spans="1:78" x14ac:dyDescent="0.35">
      <c r="A6794" t="s">
        <v>228</v>
      </c>
      <c r="B6794" t="s">
        <v>252</v>
      </c>
      <c r="C6794">
        <v>4524.26</v>
      </c>
      <c r="D6794">
        <v>3500</v>
      </c>
      <c r="E6794">
        <v>300</v>
      </c>
      <c r="F6794">
        <v>26000</v>
      </c>
      <c r="G6794" s="30">
        <v>260</v>
      </c>
      <c r="H6794">
        <v>2465.54</v>
      </c>
      <c r="I6794">
        <v>2000</v>
      </c>
      <c r="J6794">
        <v>100</v>
      </c>
      <c r="K6794">
        <v>8000</v>
      </c>
      <c r="L6794" s="30">
        <v>56</v>
      </c>
      <c r="M6794">
        <v>4879.26</v>
      </c>
      <c r="N6794">
        <v>5000</v>
      </c>
      <c r="O6794">
        <v>183</v>
      </c>
      <c r="P6794">
        <v>12000</v>
      </c>
      <c r="Q6794" s="30">
        <v>34</v>
      </c>
      <c r="R6794">
        <v>286.32</v>
      </c>
      <c r="S6794">
        <v>200</v>
      </c>
      <c r="T6794">
        <v>50</v>
      </c>
      <c r="U6794">
        <v>1800</v>
      </c>
      <c r="V6794" s="30">
        <v>117</v>
      </c>
      <c r="W6794">
        <v>264.44</v>
      </c>
      <c r="X6794">
        <v>250</v>
      </c>
      <c r="Y6794">
        <v>50</v>
      </c>
      <c r="Z6794">
        <v>1000</v>
      </c>
      <c r="AA6794" s="30">
        <v>70</v>
      </c>
      <c r="AB6794">
        <v>465.38</v>
      </c>
      <c r="AC6794">
        <v>300</v>
      </c>
      <c r="AD6794">
        <v>100</v>
      </c>
      <c r="AE6794">
        <v>5000</v>
      </c>
      <c r="AF6794" s="30">
        <v>179</v>
      </c>
      <c r="AG6794">
        <v>462.96</v>
      </c>
      <c r="AH6794">
        <v>200</v>
      </c>
      <c r="AI6794">
        <v>100</v>
      </c>
      <c r="AJ6794">
        <v>4000</v>
      </c>
      <c r="AK6794" s="30">
        <v>58</v>
      </c>
      <c r="AL6794">
        <v>1556.79</v>
      </c>
      <c r="AM6794">
        <v>1400</v>
      </c>
      <c r="AN6794">
        <v>300</v>
      </c>
      <c r="AO6794">
        <v>8000</v>
      </c>
      <c r="AP6794" s="30">
        <v>277</v>
      </c>
      <c r="AQ6794">
        <v>889.3</v>
      </c>
      <c r="AR6794">
        <v>600</v>
      </c>
      <c r="AS6794">
        <v>50</v>
      </c>
      <c r="AT6794">
        <v>20000</v>
      </c>
      <c r="AU6794" s="30">
        <v>101</v>
      </c>
      <c r="AV6794">
        <v>732.1</v>
      </c>
      <c r="AW6794">
        <v>750</v>
      </c>
      <c r="AX6794">
        <v>300</v>
      </c>
      <c r="AY6794">
        <v>2000</v>
      </c>
      <c r="AZ6794" s="30">
        <v>17</v>
      </c>
      <c r="BA6794">
        <v>424.68</v>
      </c>
      <c r="BB6794">
        <v>360</v>
      </c>
      <c r="BC6794">
        <v>85</v>
      </c>
      <c r="BD6794">
        <v>2800</v>
      </c>
      <c r="BE6794" s="30">
        <v>280</v>
      </c>
      <c r="BF6794">
        <v>3594.14</v>
      </c>
      <c r="BG6794">
        <v>5000</v>
      </c>
      <c r="BH6794">
        <v>1500</v>
      </c>
      <c r="BI6794">
        <v>7000</v>
      </c>
      <c r="BJ6794" s="30">
        <v>7</v>
      </c>
      <c r="BK6794">
        <v>1193.1099999999999</v>
      </c>
      <c r="BL6794">
        <v>1000</v>
      </c>
      <c r="BM6794">
        <v>900</v>
      </c>
      <c r="BN6794">
        <v>8000</v>
      </c>
      <c r="BO6794" s="30">
        <v>5</v>
      </c>
      <c r="BP6794">
        <v>847.45</v>
      </c>
      <c r="BQ6794">
        <v>500</v>
      </c>
      <c r="BR6794">
        <v>60</v>
      </c>
      <c r="BS6794">
        <v>20000</v>
      </c>
      <c r="BT6794" s="30">
        <v>120</v>
      </c>
      <c r="BU6794">
        <v>1307.1300000000001</v>
      </c>
      <c r="BV6794">
        <v>1500</v>
      </c>
      <c r="BW6794">
        <v>400</v>
      </c>
      <c r="BX6794">
        <v>3500</v>
      </c>
      <c r="BY6794" s="30">
        <v>11</v>
      </c>
      <c r="BZ6794">
        <v>280</v>
      </c>
    </row>
    <row r="6795" spans="1:78" x14ac:dyDescent="0.35">
      <c r="A6795" t="s">
        <v>228</v>
      </c>
      <c r="B6795" t="s">
        <v>253</v>
      </c>
      <c r="C6795">
        <v>8489.23</v>
      </c>
      <c r="D6795">
        <v>7000</v>
      </c>
      <c r="E6795">
        <v>200</v>
      </c>
      <c r="F6795">
        <v>25000</v>
      </c>
      <c r="G6795" s="30">
        <v>176</v>
      </c>
      <c r="H6795">
        <v>3768.06</v>
      </c>
      <c r="I6795">
        <v>3000</v>
      </c>
      <c r="J6795">
        <v>200</v>
      </c>
      <c r="K6795">
        <v>15000</v>
      </c>
      <c r="L6795" s="30">
        <v>66</v>
      </c>
      <c r="M6795">
        <v>7058.15</v>
      </c>
      <c r="N6795">
        <v>5000</v>
      </c>
      <c r="O6795">
        <v>289</v>
      </c>
      <c r="P6795">
        <v>16000</v>
      </c>
      <c r="Q6795" s="30">
        <v>21</v>
      </c>
      <c r="R6795">
        <v>590.79</v>
      </c>
      <c r="S6795">
        <v>424</v>
      </c>
      <c r="T6795">
        <v>50</v>
      </c>
      <c r="U6795">
        <v>3000</v>
      </c>
      <c r="V6795" s="30">
        <v>91</v>
      </c>
      <c r="W6795">
        <v>546.51</v>
      </c>
      <c r="X6795">
        <v>500</v>
      </c>
      <c r="Y6795">
        <v>50</v>
      </c>
      <c r="Z6795">
        <v>2000</v>
      </c>
      <c r="AA6795" s="30">
        <v>103</v>
      </c>
      <c r="AB6795">
        <v>834.54</v>
      </c>
      <c r="AC6795">
        <v>500</v>
      </c>
      <c r="AD6795">
        <v>100</v>
      </c>
      <c r="AE6795">
        <v>4000</v>
      </c>
      <c r="AF6795" s="30">
        <v>143</v>
      </c>
      <c r="AG6795">
        <v>601.83000000000004</v>
      </c>
      <c r="AH6795">
        <v>500</v>
      </c>
      <c r="AI6795">
        <v>100</v>
      </c>
      <c r="AJ6795">
        <v>3000</v>
      </c>
      <c r="AK6795" s="30">
        <v>63</v>
      </c>
      <c r="AL6795">
        <v>2333.9299999999998</v>
      </c>
      <c r="AM6795">
        <v>2000</v>
      </c>
      <c r="AN6795">
        <v>300</v>
      </c>
      <c r="AO6795">
        <v>7000</v>
      </c>
      <c r="AP6795" s="30">
        <v>190</v>
      </c>
      <c r="AQ6795">
        <v>2219.15</v>
      </c>
      <c r="AR6795">
        <v>1000</v>
      </c>
      <c r="AS6795">
        <v>100</v>
      </c>
      <c r="AT6795">
        <v>15000</v>
      </c>
      <c r="AU6795" s="30">
        <v>117</v>
      </c>
      <c r="AV6795">
        <v>669.26</v>
      </c>
      <c r="AW6795">
        <v>500</v>
      </c>
      <c r="AX6795">
        <v>100</v>
      </c>
      <c r="AY6795">
        <v>2000</v>
      </c>
      <c r="AZ6795" s="30">
        <v>23</v>
      </c>
      <c r="BA6795">
        <v>850.04</v>
      </c>
      <c r="BB6795">
        <v>700</v>
      </c>
      <c r="BC6795">
        <v>100</v>
      </c>
      <c r="BD6795">
        <v>2500</v>
      </c>
      <c r="BE6795" s="30">
        <v>190</v>
      </c>
      <c r="BF6795">
        <v>2512.6999999999998</v>
      </c>
      <c r="BG6795">
        <v>2000</v>
      </c>
      <c r="BH6795">
        <v>500</v>
      </c>
      <c r="BI6795">
        <v>4000</v>
      </c>
      <c r="BJ6795" s="30">
        <v>12</v>
      </c>
      <c r="BK6795">
        <v>5745.04</v>
      </c>
      <c r="BL6795">
        <v>2000</v>
      </c>
      <c r="BM6795">
        <v>200</v>
      </c>
      <c r="BN6795">
        <v>20000</v>
      </c>
      <c r="BO6795" s="30">
        <v>23</v>
      </c>
      <c r="BP6795">
        <v>1740.39</v>
      </c>
      <c r="BQ6795">
        <v>800</v>
      </c>
      <c r="BR6795">
        <v>70</v>
      </c>
      <c r="BS6795">
        <v>20000</v>
      </c>
      <c r="BT6795" s="30">
        <v>113</v>
      </c>
      <c r="BU6795">
        <v>3228.21</v>
      </c>
      <c r="BV6795">
        <v>2595</v>
      </c>
      <c r="BW6795">
        <v>500</v>
      </c>
      <c r="BX6795">
        <v>7000</v>
      </c>
      <c r="BY6795" s="30">
        <v>11</v>
      </c>
      <c r="BZ6795">
        <v>190</v>
      </c>
    </row>
    <row r="6796" spans="1:78" x14ac:dyDescent="0.35">
      <c r="A6796" t="s">
        <v>228</v>
      </c>
      <c r="B6796" t="s">
        <v>251</v>
      </c>
      <c r="C6796">
        <v>9494.11</v>
      </c>
      <c r="D6796">
        <v>8000</v>
      </c>
      <c r="E6796">
        <v>300</v>
      </c>
      <c r="F6796">
        <v>30000</v>
      </c>
      <c r="G6796" s="30">
        <v>385</v>
      </c>
      <c r="H6796">
        <v>3898.13</v>
      </c>
      <c r="I6796">
        <v>3000</v>
      </c>
      <c r="J6796">
        <v>200</v>
      </c>
      <c r="K6796">
        <v>30000</v>
      </c>
      <c r="L6796" s="30">
        <v>203</v>
      </c>
      <c r="M6796">
        <v>5768.09</v>
      </c>
      <c r="N6796">
        <v>6000</v>
      </c>
      <c r="O6796">
        <v>300</v>
      </c>
      <c r="P6796">
        <v>15000</v>
      </c>
      <c r="Q6796" s="30">
        <v>75</v>
      </c>
      <c r="R6796">
        <v>484.58</v>
      </c>
      <c r="S6796">
        <v>300</v>
      </c>
      <c r="T6796">
        <v>50</v>
      </c>
      <c r="U6796">
        <v>3000</v>
      </c>
      <c r="V6796" s="30">
        <v>240</v>
      </c>
      <c r="W6796">
        <v>546.82000000000005</v>
      </c>
      <c r="X6796">
        <v>400</v>
      </c>
      <c r="Y6796">
        <v>50</v>
      </c>
      <c r="Z6796">
        <v>3000</v>
      </c>
      <c r="AA6796" s="30">
        <v>230</v>
      </c>
      <c r="AB6796">
        <v>824.99</v>
      </c>
      <c r="AC6796">
        <v>500</v>
      </c>
      <c r="AD6796">
        <v>100</v>
      </c>
      <c r="AE6796">
        <v>5000</v>
      </c>
      <c r="AF6796" s="30">
        <v>309</v>
      </c>
      <c r="AG6796">
        <v>710.01</v>
      </c>
      <c r="AH6796">
        <v>500</v>
      </c>
      <c r="AI6796">
        <v>100</v>
      </c>
      <c r="AJ6796">
        <v>5000</v>
      </c>
      <c r="AK6796" s="30">
        <v>144</v>
      </c>
      <c r="AL6796">
        <v>2231.41</v>
      </c>
      <c r="AM6796">
        <v>2000</v>
      </c>
      <c r="AN6796">
        <v>300</v>
      </c>
      <c r="AO6796">
        <v>9000</v>
      </c>
      <c r="AP6796" s="30">
        <v>393</v>
      </c>
      <c r="AQ6796">
        <v>2719.65</v>
      </c>
      <c r="AR6796">
        <v>1500</v>
      </c>
      <c r="AS6796">
        <v>50</v>
      </c>
      <c r="AT6796">
        <v>30000</v>
      </c>
      <c r="AU6796" s="30">
        <v>263</v>
      </c>
      <c r="AV6796">
        <v>713.99</v>
      </c>
      <c r="AW6796">
        <v>500</v>
      </c>
      <c r="AX6796">
        <v>100</v>
      </c>
      <c r="AY6796">
        <v>3000</v>
      </c>
      <c r="AZ6796" s="30">
        <v>44</v>
      </c>
      <c r="BA6796">
        <v>670.2</v>
      </c>
      <c r="BB6796">
        <v>600</v>
      </c>
      <c r="BC6796">
        <v>100</v>
      </c>
      <c r="BD6796">
        <v>2500</v>
      </c>
      <c r="BE6796" s="30">
        <v>407</v>
      </c>
      <c r="BF6796">
        <v>2175.42</v>
      </c>
      <c r="BG6796">
        <v>2000</v>
      </c>
      <c r="BH6796">
        <v>1000</v>
      </c>
      <c r="BI6796">
        <v>6000</v>
      </c>
      <c r="BJ6796" s="30">
        <v>31</v>
      </c>
      <c r="BK6796">
        <v>3935.59</v>
      </c>
      <c r="BL6796">
        <v>2000</v>
      </c>
      <c r="BM6796">
        <v>100</v>
      </c>
      <c r="BN6796">
        <v>30000</v>
      </c>
      <c r="BO6796" s="30">
        <v>103</v>
      </c>
      <c r="BP6796">
        <v>972.8</v>
      </c>
      <c r="BQ6796">
        <v>600</v>
      </c>
      <c r="BR6796">
        <v>50</v>
      </c>
      <c r="BS6796">
        <v>7000</v>
      </c>
      <c r="BT6796" s="30">
        <v>211</v>
      </c>
      <c r="BU6796">
        <v>1650.76</v>
      </c>
      <c r="BV6796">
        <v>1300</v>
      </c>
      <c r="BW6796">
        <v>254</v>
      </c>
      <c r="BX6796">
        <v>7000</v>
      </c>
      <c r="BY6796" s="30">
        <v>17</v>
      </c>
      <c r="BZ6796">
        <v>407</v>
      </c>
    </row>
    <row r="6797" spans="1:78" x14ac:dyDescent="0.35">
      <c r="A6797" t="s">
        <v>229</v>
      </c>
      <c r="B6797" t="s">
        <v>252</v>
      </c>
      <c r="C6797">
        <v>5464.41</v>
      </c>
      <c r="D6797">
        <v>4000</v>
      </c>
      <c r="E6797">
        <v>200</v>
      </c>
      <c r="F6797">
        <v>22000</v>
      </c>
      <c r="G6797" s="30">
        <v>168</v>
      </c>
      <c r="H6797">
        <v>1977.61</v>
      </c>
      <c r="I6797">
        <v>2000</v>
      </c>
      <c r="J6797">
        <v>100</v>
      </c>
      <c r="K6797">
        <v>10000</v>
      </c>
      <c r="L6797" s="30">
        <v>37</v>
      </c>
      <c r="M6797">
        <v>4335.29</v>
      </c>
      <c r="N6797">
        <v>5000</v>
      </c>
      <c r="O6797">
        <v>600</v>
      </c>
      <c r="P6797">
        <v>10000</v>
      </c>
      <c r="Q6797" s="30">
        <v>12</v>
      </c>
      <c r="R6797">
        <v>236.24</v>
      </c>
      <c r="S6797">
        <v>200</v>
      </c>
      <c r="T6797">
        <v>50</v>
      </c>
      <c r="U6797">
        <v>1000</v>
      </c>
      <c r="V6797" s="30">
        <v>49</v>
      </c>
      <c r="W6797">
        <v>324.66000000000003</v>
      </c>
      <c r="X6797">
        <v>300</v>
      </c>
      <c r="Y6797">
        <v>50</v>
      </c>
      <c r="Z6797">
        <v>1500</v>
      </c>
      <c r="AA6797" s="30">
        <v>47</v>
      </c>
      <c r="AB6797">
        <v>703.11</v>
      </c>
      <c r="AC6797">
        <v>500</v>
      </c>
      <c r="AD6797">
        <v>100</v>
      </c>
      <c r="AE6797">
        <v>5000</v>
      </c>
      <c r="AF6797" s="30">
        <v>129</v>
      </c>
      <c r="AG6797">
        <v>347.83</v>
      </c>
      <c r="AH6797">
        <v>200</v>
      </c>
      <c r="AI6797">
        <v>100</v>
      </c>
      <c r="AJ6797">
        <v>1000</v>
      </c>
      <c r="AK6797" s="30">
        <v>44</v>
      </c>
      <c r="AL6797">
        <v>1799.42</v>
      </c>
      <c r="AM6797">
        <v>1500</v>
      </c>
      <c r="AN6797">
        <v>300</v>
      </c>
      <c r="AO6797">
        <v>7000</v>
      </c>
      <c r="AP6797" s="30">
        <v>174</v>
      </c>
      <c r="AQ6797">
        <v>999.84</v>
      </c>
      <c r="AR6797">
        <v>500</v>
      </c>
      <c r="AS6797">
        <v>60</v>
      </c>
      <c r="AT6797">
        <v>10000</v>
      </c>
      <c r="AU6797" s="30">
        <v>77</v>
      </c>
      <c r="AV6797">
        <v>647.47</v>
      </c>
      <c r="AW6797">
        <v>500</v>
      </c>
      <c r="AX6797">
        <v>100</v>
      </c>
      <c r="AY6797">
        <v>2000</v>
      </c>
      <c r="AZ6797" s="30">
        <v>16</v>
      </c>
      <c r="BA6797">
        <v>390.38</v>
      </c>
      <c r="BB6797">
        <v>300</v>
      </c>
      <c r="BC6797">
        <v>50</v>
      </c>
      <c r="BD6797">
        <v>1500</v>
      </c>
      <c r="BE6797" s="30">
        <v>169</v>
      </c>
      <c r="BF6797">
        <v>1000</v>
      </c>
      <c r="BG6797">
        <v>1000</v>
      </c>
      <c r="BH6797">
        <v>1000</v>
      </c>
      <c r="BI6797">
        <v>1000</v>
      </c>
      <c r="BJ6797" s="30">
        <v>1</v>
      </c>
      <c r="BK6797">
        <v>1998.21</v>
      </c>
      <c r="BL6797">
        <v>1000</v>
      </c>
      <c r="BM6797">
        <v>500</v>
      </c>
      <c r="BN6797">
        <v>7000</v>
      </c>
      <c r="BO6797" s="30">
        <v>7</v>
      </c>
      <c r="BP6797">
        <v>675.68</v>
      </c>
      <c r="BQ6797">
        <v>500</v>
      </c>
      <c r="BR6797">
        <v>100</v>
      </c>
      <c r="BS6797">
        <v>8500</v>
      </c>
      <c r="BT6797" s="30">
        <v>78</v>
      </c>
      <c r="BU6797">
        <v>2956.72</v>
      </c>
      <c r="BV6797">
        <v>4000</v>
      </c>
      <c r="BW6797">
        <v>300</v>
      </c>
      <c r="BX6797">
        <v>6000</v>
      </c>
      <c r="BY6797" s="30">
        <v>8</v>
      </c>
      <c r="BZ6797">
        <v>174</v>
      </c>
    </row>
    <row r="6798" spans="1:78" x14ac:dyDescent="0.35">
      <c r="A6798" t="s">
        <v>229</v>
      </c>
      <c r="B6798" t="s">
        <v>253</v>
      </c>
      <c r="C6798">
        <v>10023.25</v>
      </c>
      <c r="D6798">
        <v>7000</v>
      </c>
      <c r="E6798">
        <v>1000</v>
      </c>
      <c r="F6798">
        <v>30000</v>
      </c>
      <c r="G6798" s="30">
        <v>120</v>
      </c>
      <c r="H6798">
        <v>3971.13</v>
      </c>
      <c r="I6798">
        <v>3000</v>
      </c>
      <c r="J6798">
        <v>100</v>
      </c>
      <c r="K6798">
        <v>30000</v>
      </c>
      <c r="L6798" s="30">
        <v>53</v>
      </c>
      <c r="M6798">
        <v>8477.2199999999993</v>
      </c>
      <c r="N6798">
        <v>5000</v>
      </c>
      <c r="O6798">
        <v>600</v>
      </c>
      <c r="P6798">
        <v>16000</v>
      </c>
      <c r="Q6798" s="30">
        <v>16</v>
      </c>
      <c r="R6798">
        <v>460.72</v>
      </c>
      <c r="S6798">
        <v>300</v>
      </c>
      <c r="T6798">
        <v>50</v>
      </c>
      <c r="U6798">
        <v>2000</v>
      </c>
      <c r="V6798" s="30">
        <v>48</v>
      </c>
      <c r="W6798">
        <v>423.18</v>
      </c>
      <c r="X6798">
        <v>350</v>
      </c>
      <c r="Y6798">
        <v>100</v>
      </c>
      <c r="Z6798">
        <v>3000</v>
      </c>
      <c r="AA6798" s="30">
        <v>66</v>
      </c>
      <c r="AB6798">
        <v>1018.22</v>
      </c>
      <c r="AC6798">
        <v>500</v>
      </c>
      <c r="AD6798">
        <v>100</v>
      </c>
      <c r="AE6798">
        <v>5000</v>
      </c>
      <c r="AF6798" s="30">
        <v>104</v>
      </c>
      <c r="AG6798">
        <v>701.98</v>
      </c>
      <c r="AH6798">
        <v>500</v>
      </c>
      <c r="AI6798">
        <v>100</v>
      </c>
      <c r="AJ6798">
        <v>5000</v>
      </c>
      <c r="AK6798" s="30">
        <v>47</v>
      </c>
      <c r="AL6798">
        <v>2591.1999999999998</v>
      </c>
      <c r="AM6798">
        <v>2500</v>
      </c>
      <c r="AN6798">
        <v>350</v>
      </c>
      <c r="AO6798">
        <v>7000</v>
      </c>
      <c r="AP6798" s="30">
        <v>132</v>
      </c>
      <c r="AQ6798">
        <v>1728.45</v>
      </c>
      <c r="AR6798">
        <v>1500</v>
      </c>
      <c r="AS6798">
        <v>50</v>
      </c>
      <c r="AT6798">
        <v>10000</v>
      </c>
      <c r="AU6798" s="30">
        <v>81</v>
      </c>
      <c r="AV6798">
        <v>881.19</v>
      </c>
      <c r="AW6798">
        <v>500</v>
      </c>
      <c r="AX6798">
        <v>100</v>
      </c>
      <c r="AY6798">
        <v>3000</v>
      </c>
      <c r="AZ6798" s="30">
        <v>22</v>
      </c>
      <c r="BA6798">
        <v>811.89</v>
      </c>
      <c r="BB6798">
        <v>650</v>
      </c>
      <c r="BC6798">
        <v>125</v>
      </c>
      <c r="BD6798">
        <v>2800</v>
      </c>
      <c r="BE6798" s="30">
        <v>126</v>
      </c>
      <c r="BF6798">
        <v>1394.51</v>
      </c>
      <c r="BG6798">
        <v>1500</v>
      </c>
      <c r="BH6798">
        <v>200</v>
      </c>
      <c r="BI6798">
        <v>4000</v>
      </c>
      <c r="BJ6798" s="30">
        <v>9</v>
      </c>
      <c r="BK6798">
        <v>8647.69</v>
      </c>
      <c r="BL6798">
        <v>3000</v>
      </c>
      <c r="BM6798">
        <v>100</v>
      </c>
      <c r="BN6798">
        <v>30000</v>
      </c>
      <c r="BO6798" s="30">
        <v>19</v>
      </c>
      <c r="BP6798">
        <v>1392.15</v>
      </c>
      <c r="BQ6798">
        <v>900</v>
      </c>
      <c r="BR6798">
        <v>100</v>
      </c>
      <c r="BS6798">
        <v>8500</v>
      </c>
      <c r="BT6798" s="30">
        <v>73</v>
      </c>
      <c r="BU6798">
        <v>3011.83</v>
      </c>
      <c r="BV6798">
        <v>700</v>
      </c>
      <c r="BW6798">
        <v>200</v>
      </c>
      <c r="BX6798">
        <v>10000</v>
      </c>
      <c r="BY6798" s="30">
        <v>6</v>
      </c>
      <c r="BZ6798">
        <v>132</v>
      </c>
    </row>
    <row r="6799" spans="1:78" x14ac:dyDescent="0.35">
      <c r="A6799" t="s">
        <v>229</v>
      </c>
      <c r="B6799" t="s">
        <v>251</v>
      </c>
      <c r="C6799">
        <v>10452.59</v>
      </c>
      <c r="D6799">
        <v>10000</v>
      </c>
      <c r="E6799">
        <v>300</v>
      </c>
      <c r="F6799">
        <v>30000</v>
      </c>
      <c r="G6799" s="30">
        <v>479</v>
      </c>
      <c r="H6799">
        <v>4535.71</v>
      </c>
      <c r="I6799">
        <v>4000</v>
      </c>
      <c r="J6799">
        <v>200</v>
      </c>
      <c r="K6799">
        <v>20000</v>
      </c>
      <c r="L6799" s="30">
        <v>297</v>
      </c>
      <c r="M6799">
        <v>7354.21</v>
      </c>
      <c r="N6799">
        <v>8000</v>
      </c>
      <c r="O6799">
        <v>400</v>
      </c>
      <c r="P6799">
        <v>16000</v>
      </c>
      <c r="Q6799" s="30">
        <v>69</v>
      </c>
      <c r="R6799">
        <v>588.48</v>
      </c>
      <c r="S6799">
        <v>480</v>
      </c>
      <c r="T6799">
        <v>50</v>
      </c>
      <c r="U6799">
        <v>3000</v>
      </c>
      <c r="V6799" s="30">
        <v>227</v>
      </c>
      <c r="W6799">
        <v>560.80999999999995</v>
      </c>
      <c r="X6799">
        <v>500</v>
      </c>
      <c r="Y6799">
        <v>50</v>
      </c>
      <c r="Z6799">
        <v>3000</v>
      </c>
      <c r="AA6799" s="30">
        <v>340</v>
      </c>
      <c r="AB6799">
        <v>1084.3900000000001</v>
      </c>
      <c r="AC6799">
        <v>1000</v>
      </c>
      <c r="AD6799">
        <v>100</v>
      </c>
      <c r="AE6799">
        <v>5000</v>
      </c>
      <c r="AF6799" s="30">
        <v>425</v>
      </c>
      <c r="AG6799">
        <v>753.38</v>
      </c>
      <c r="AH6799">
        <v>500</v>
      </c>
      <c r="AI6799">
        <v>100</v>
      </c>
      <c r="AJ6799">
        <v>5000</v>
      </c>
      <c r="AK6799" s="30">
        <v>211</v>
      </c>
      <c r="AL6799">
        <v>2556.16</v>
      </c>
      <c r="AM6799">
        <v>2000</v>
      </c>
      <c r="AN6799">
        <v>300</v>
      </c>
      <c r="AO6799">
        <v>9000</v>
      </c>
      <c r="AP6799" s="30">
        <v>497</v>
      </c>
      <c r="AQ6799">
        <v>2941.21</v>
      </c>
      <c r="AR6799">
        <v>2000</v>
      </c>
      <c r="AS6799">
        <v>50</v>
      </c>
      <c r="AT6799">
        <v>30000</v>
      </c>
      <c r="AU6799" s="30">
        <v>357</v>
      </c>
      <c r="AV6799">
        <v>949.86</v>
      </c>
      <c r="AW6799">
        <v>500</v>
      </c>
      <c r="AX6799">
        <v>100</v>
      </c>
      <c r="AY6799">
        <v>3000</v>
      </c>
      <c r="AZ6799" s="30">
        <v>51</v>
      </c>
      <c r="BA6799">
        <v>675.27</v>
      </c>
      <c r="BB6799">
        <v>600</v>
      </c>
      <c r="BC6799">
        <v>50</v>
      </c>
      <c r="BD6799">
        <v>2500</v>
      </c>
      <c r="BE6799" s="30">
        <v>512</v>
      </c>
      <c r="BF6799">
        <v>3720.16</v>
      </c>
      <c r="BG6799">
        <v>2000</v>
      </c>
      <c r="BH6799">
        <v>500</v>
      </c>
      <c r="BI6799">
        <v>10000</v>
      </c>
      <c r="BJ6799" s="30">
        <v>32</v>
      </c>
      <c r="BK6799">
        <v>6158.9</v>
      </c>
      <c r="BL6799">
        <v>3000</v>
      </c>
      <c r="BM6799">
        <v>200</v>
      </c>
      <c r="BN6799">
        <v>30000</v>
      </c>
      <c r="BO6799" s="30">
        <v>131</v>
      </c>
      <c r="BP6799">
        <v>2017.55</v>
      </c>
      <c r="BQ6799">
        <v>1000</v>
      </c>
      <c r="BR6799">
        <v>50</v>
      </c>
      <c r="BS6799">
        <v>30000</v>
      </c>
      <c r="BT6799" s="30">
        <v>265</v>
      </c>
      <c r="BU6799">
        <v>4328.93</v>
      </c>
      <c r="BV6799">
        <v>3000</v>
      </c>
      <c r="BW6799">
        <v>200</v>
      </c>
      <c r="BX6799">
        <v>10000</v>
      </c>
      <c r="BY6799" s="30">
        <v>19</v>
      </c>
      <c r="BZ6799">
        <v>512</v>
      </c>
    </row>
    <row r="6800" spans="1:78" x14ac:dyDescent="0.35">
      <c r="A6800" t="s">
        <v>230</v>
      </c>
      <c r="B6800" t="s">
        <v>252</v>
      </c>
      <c r="C6800">
        <v>4453.54</v>
      </c>
      <c r="D6800">
        <v>4000</v>
      </c>
      <c r="E6800">
        <v>200</v>
      </c>
      <c r="F6800">
        <v>20000</v>
      </c>
      <c r="G6800" s="30">
        <v>139</v>
      </c>
      <c r="H6800">
        <v>1405.16</v>
      </c>
      <c r="I6800">
        <v>500</v>
      </c>
      <c r="J6800">
        <v>170</v>
      </c>
      <c r="K6800">
        <v>7000</v>
      </c>
      <c r="L6800" s="30">
        <v>17</v>
      </c>
      <c r="M6800">
        <v>3670.92</v>
      </c>
      <c r="N6800">
        <v>5000</v>
      </c>
      <c r="O6800">
        <v>1000</v>
      </c>
      <c r="P6800">
        <v>8000</v>
      </c>
      <c r="Q6800" s="30">
        <v>9</v>
      </c>
      <c r="R6800">
        <v>326.41000000000003</v>
      </c>
      <c r="S6800">
        <v>200</v>
      </c>
      <c r="T6800">
        <v>50</v>
      </c>
      <c r="U6800">
        <v>1500</v>
      </c>
      <c r="V6800" s="30">
        <v>56</v>
      </c>
      <c r="W6800">
        <v>320.25</v>
      </c>
      <c r="X6800">
        <v>380</v>
      </c>
      <c r="Y6800">
        <v>50</v>
      </c>
      <c r="Z6800">
        <v>1500</v>
      </c>
      <c r="AA6800" s="30">
        <v>30</v>
      </c>
      <c r="AB6800">
        <v>567.52</v>
      </c>
      <c r="AC6800">
        <v>300</v>
      </c>
      <c r="AD6800">
        <v>100</v>
      </c>
      <c r="AE6800">
        <v>5000</v>
      </c>
      <c r="AF6800" s="30">
        <v>100</v>
      </c>
      <c r="AG6800">
        <v>359.84</v>
      </c>
      <c r="AH6800">
        <v>200</v>
      </c>
      <c r="AI6800">
        <v>100</v>
      </c>
      <c r="AJ6800">
        <v>3200</v>
      </c>
      <c r="AK6800" s="30">
        <v>40</v>
      </c>
      <c r="AL6800">
        <v>1663.48</v>
      </c>
      <c r="AM6800">
        <v>1400</v>
      </c>
      <c r="AN6800">
        <v>300</v>
      </c>
      <c r="AO6800">
        <v>5500</v>
      </c>
      <c r="AP6800" s="30">
        <v>136</v>
      </c>
      <c r="AQ6800">
        <v>826.95</v>
      </c>
      <c r="AR6800">
        <v>500</v>
      </c>
      <c r="AS6800">
        <v>50</v>
      </c>
      <c r="AT6800">
        <v>6000</v>
      </c>
      <c r="AU6800" s="30">
        <v>64</v>
      </c>
      <c r="AV6800">
        <v>632.08000000000004</v>
      </c>
      <c r="AW6800">
        <v>500</v>
      </c>
      <c r="AX6800">
        <v>400</v>
      </c>
      <c r="AY6800">
        <v>1300</v>
      </c>
      <c r="AZ6800" s="30">
        <v>13</v>
      </c>
      <c r="BA6800">
        <v>430</v>
      </c>
      <c r="BB6800">
        <v>400</v>
      </c>
      <c r="BC6800">
        <v>100</v>
      </c>
      <c r="BD6800">
        <v>2000</v>
      </c>
      <c r="BE6800" s="30">
        <v>142</v>
      </c>
      <c r="BK6800">
        <v>363.07</v>
      </c>
      <c r="BL6800">
        <v>1000</v>
      </c>
      <c r="BM6800">
        <v>100</v>
      </c>
      <c r="BN6800">
        <v>1000</v>
      </c>
      <c r="BO6800" s="30">
        <v>3</v>
      </c>
      <c r="BP6800">
        <v>624.62</v>
      </c>
      <c r="BQ6800">
        <v>500</v>
      </c>
      <c r="BR6800">
        <v>50</v>
      </c>
      <c r="BS6800">
        <v>5000</v>
      </c>
      <c r="BT6800" s="30">
        <v>63</v>
      </c>
      <c r="BU6800">
        <v>2732.58</v>
      </c>
      <c r="BV6800">
        <v>3500</v>
      </c>
      <c r="BW6800">
        <v>300</v>
      </c>
      <c r="BX6800">
        <v>3500</v>
      </c>
      <c r="BY6800" s="30">
        <v>11</v>
      </c>
      <c r="BZ6800">
        <v>142</v>
      </c>
    </row>
    <row r="6801" spans="1:78" x14ac:dyDescent="0.35">
      <c r="A6801" t="s">
        <v>230</v>
      </c>
      <c r="B6801" t="s">
        <v>253</v>
      </c>
      <c r="C6801">
        <v>8838.8799999999992</v>
      </c>
      <c r="D6801">
        <v>8000</v>
      </c>
      <c r="E6801">
        <v>600</v>
      </c>
      <c r="F6801">
        <v>20000</v>
      </c>
      <c r="G6801" s="30">
        <v>101</v>
      </c>
      <c r="H6801">
        <v>3298.91</v>
      </c>
      <c r="I6801">
        <v>2500</v>
      </c>
      <c r="J6801">
        <v>100</v>
      </c>
      <c r="K6801">
        <v>8000</v>
      </c>
      <c r="L6801" s="30">
        <v>42</v>
      </c>
      <c r="M6801">
        <v>6793.45</v>
      </c>
      <c r="N6801">
        <v>8000</v>
      </c>
      <c r="O6801">
        <v>2000</v>
      </c>
      <c r="P6801">
        <v>12000</v>
      </c>
      <c r="Q6801" s="30">
        <v>10</v>
      </c>
      <c r="R6801">
        <v>609.79</v>
      </c>
      <c r="S6801">
        <v>400</v>
      </c>
      <c r="T6801">
        <v>80</v>
      </c>
      <c r="U6801">
        <v>3000</v>
      </c>
      <c r="V6801" s="30">
        <v>49</v>
      </c>
      <c r="W6801">
        <v>471.01</v>
      </c>
      <c r="X6801">
        <v>300</v>
      </c>
      <c r="Y6801">
        <v>100</v>
      </c>
      <c r="Z6801">
        <v>3000</v>
      </c>
      <c r="AA6801" s="30">
        <v>53</v>
      </c>
      <c r="AB6801">
        <v>698.84</v>
      </c>
      <c r="AC6801">
        <v>500</v>
      </c>
      <c r="AD6801">
        <v>100</v>
      </c>
      <c r="AE6801">
        <v>5000</v>
      </c>
      <c r="AF6801" s="30">
        <v>78</v>
      </c>
      <c r="AG6801">
        <v>981.65</v>
      </c>
      <c r="AH6801">
        <v>500</v>
      </c>
      <c r="AI6801">
        <v>100</v>
      </c>
      <c r="AJ6801">
        <v>3000</v>
      </c>
      <c r="AK6801" s="30">
        <v>33</v>
      </c>
      <c r="AL6801">
        <v>2507.67</v>
      </c>
      <c r="AM6801">
        <v>2000</v>
      </c>
      <c r="AN6801">
        <v>500</v>
      </c>
      <c r="AO6801">
        <v>7500</v>
      </c>
      <c r="AP6801" s="30">
        <v>99</v>
      </c>
      <c r="AQ6801">
        <v>2718.32</v>
      </c>
      <c r="AR6801">
        <v>1000</v>
      </c>
      <c r="AS6801">
        <v>50</v>
      </c>
      <c r="AT6801">
        <v>30000</v>
      </c>
      <c r="AU6801" s="30">
        <v>62</v>
      </c>
      <c r="AV6801">
        <v>1027.7</v>
      </c>
      <c r="AW6801">
        <v>1000</v>
      </c>
      <c r="AX6801">
        <v>200</v>
      </c>
      <c r="AY6801">
        <v>2000</v>
      </c>
      <c r="AZ6801" s="30">
        <v>9</v>
      </c>
      <c r="BA6801">
        <v>744.21</v>
      </c>
      <c r="BB6801">
        <v>700</v>
      </c>
      <c r="BC6801">
        <v>200</v>
      </c>
      <c r="BD6801">
        <v>2000</v>
      </c>
      <c r="BE6801" s="30">
        <v>100</v>
      </c>
      <c r="BF6801">
        <v>4536.8100000000004</v>
      </c>
      <c r="BG6801">
        <v>10000</v>
      </c>
      <c r="BH6801">
        <v>1000</v>
      </c>
      <c r="BI6801">
        <v>10000</v>
      </c>
      <c r="BJ6801" s="30">
        <v>7</v>
      </c>
      <c r="BK6801">
        <v>4954.09</v>
      </c>
      <c r="BL6801">
        <v>1000</v>
      </c>
      <c r="BM6801">
        <v>300</v>
      </c>
      <c r="BN6801">
        <v>30000</v>
      </c>
      <c r="BO6801" s="30">
        <v>13</v>
      </c>
      <c r="BP6801">
        <v>1701.22</v>
      </c>
      <c r="BQ6801">
        <v>700</v>
      </c>
      <c r="BR6801">
        <v>50</v>
      </c>
      <c r="BS6801">
        <v>10000</v>
      </c>
      <c r="BT6801" s="30">
        <v>54</v>
      </c>
      <c r="BU6801">
        <v>1382.2</v>
      </c>
      <c r="BV6801">
        <v>1500</v>
      </c>
      <c r="BW6801">
        <v>200</v>
      </c>
      <c r="BX6801">
        <v>6000</v>
      </c>
      <c r="BY6801" s="30">
        <v>5</v>
      </c>
      <c r="BZ6801">
        <v>101</v>
      </c>
    </row>
    <row r="6802" spans="1:78" x14ac:dyDescent="0.35">
      <c r="A6802" t="s">
        <v>230</v>
      </c>
      <c r="B6802" t="s">
        <v>251</v>
      </c>
      <c r="C6802">
        <v>8772.75</v>
      </c>
      <c r="D6802">
        <v>6000</v>
      </c>
      <c r="E6802">
        <v>200</v>
      </c>
      <c r="F6802">
        <v>25000</v>
      </c>
      <c r="G6802" s="30">
        <v>259</v>
      </c>
      <c r="H6802">
        <v>5269.72</v>
      </c>
      <c r="I6802">
        <v>3000</v>
      </c>
      <c r="J6802">
        <v>100</v>
      </c>
      <c r="K6802">
        <v>60000</v>
      </c>
      <c r="L6802" s="30">
        <v>161</v>
      </c>
      <c r="M6802">
        <v>6536.9</v>
      </c>
      <c r="N6802">
        <v>7000</v>
      </c>
      <c r="O6802">
        <v>1000</v>
      </c>
      <c r="P6802">
        <v>12000</v>
      </c>
      <c r="Q6802" s="30">
        <v>49</v>
      </c>
      <c r="R6802">
        <v>575.79</v>
      </c>
      <c r="S6802">
        <v>500</v>
      </c>
      <c r="T6802">
        <v>50</v>
      </c>
      <c r="U6802">
        <v>3000</v>
      </c>
      <c r="V6802" s="30">
        <v>151</v>
      </c>
      <c r="W6802">
        <v>586.11</v>
      </c>
      <c r="X6802">
        <v>500</v>
      </c>
      <c r="Y6802">
        <v>30</v>
      </c>
      <c r="Z6802">
        <v>3000</v>
      </c>
      <c r="AA6802" s="30">
        <v>167</v>
      </c>
      <c r="AB6802">
        <v>1023.09</v>
      </c>
      <c r="AC6802">
        <v>800</v>
      </c>
      <c r="AD6802">
        <v>100</v>
      </c>
      <c r="AE6802">
        <v>5000</v>
      </c>
      <c r="AF6802" s="30">
        <v>219</v>
      </c>
      <c r="AG6802">
        <v>846.13</v>
      </c>
      <c r="AH6802">
        <v>500</v>
      </c>
      <c r="AI6802">
        <v>100</v>
      </c>
      <c r="AJ6802">
        <v>5000</v>
      </c>
      <c r="AK6802" s="30">
        <v>101</v>
      </c>
      <c r="AL6802">
        <v>2227.5700000000002</v>
      </c>
      <c r="AM6802">
        <v>2000</v>
      </c>
      <c r="AN6802">
        <v>330</v>
      </c>
      <c r="AO6802">
        <v>9100</v>
      </c>
      <c r="AP6802" s="30">
        <v>251</v>
      </c>
      <c r="AQ6802">
        <v>2404.84</v>
      </c>
      <c r="AR6802">
        <v>1200</v>
      </c>
      <c r="AS6802">
        <v>50</v>
      </c>
      <c r="AT6802">
        <v>30000</v>
      </c>
      <c r="AU6802" s="30">
        <v>193</v>
      </c>
      <c r="AV6802">
        <v>947.88</v>
      </c>
      <c r="AW6802">
        <v>1000</v>
      </c>
      <c r="AX6802">
        <v>100</v>
      </c>
      <c r="AY6802">
        <v>2400</v>
      </c>
      <c r="AZ6802" s="30">
        <v>28</v>
      </c>
      <c r="BA6802">
        <v>749</v>
      </c>
      <c r="BB6802">
        <v>600</v>
      </c>
      <c r="BC6802">
        <v>100</v>
      </c>
      <c r="BD6802">
        <v>2300</v>
      </c>
      <c r="BE6802" s="30">
        <v>259</v>
      </c>
      <c r="BF6802">
        <v>4854.6000000000004</v>
      </c>
      <c r="BG6802">
        <v>2500</v>
      </c>
      <c r="BH6802">
        <v>400</v>
      </c>
      <c r="BI6802">
        <v>10000</v>
      </c>
      <c r="BJ6802" s="30">
        <v>16</v>
      </c>
      <c r="BK6802">
        <v>2804.61</v>
      </c>
      <c r="BL6802">
        <v>1500</v>
      </c>
      <c r="BM6802">
        <v>100</v>
      </c>
      <c r="BN6802">
        <v>20000</v>
      </c>
      <c r="BO6802" s="30">
        <v>85</v>
      </c>
      <c r="BP6802">
        <v>1375.23</v>
      </c>
      <c r="BQ6802">
        <v>1000</v>
      </c>
      <c r="BR6802">
        <v>50</v>
      </c>
      <c r="BS6802">
        <v>16000</v>
      </c>
      <c r="BT6802" s="30">
        <v>159</v>
      </c>
      <c r="BU6802">
        <v>3906.49</v>
      </c>
      <c r="BV6802">
        <v>5000</v>
      </c>
      <c r="BW6802">
        <v>100</v>
      </c>
      <c r="BX6802">
        <v>8000</v>
      </c>
      <c r="BY6802" s="30">
        <v>17</v>
      </c>
      <c r="BZ6802">
        <v>259</v>
      </c>
    </row>
    <row r="6803" spans="1:78" x14ac:dyDescent="0.35">
      <c r="A6803" t="s">
        <v>231</v>
      </c>
      <c r="B6803" t="s">
        <v>252</v>
      </c>
      <c r="C6803">
        <v>4195.12</v>
      </c>
      <c r="D6803">
        <v>3000</v>
      </c>
      <c r="E6803">
        <v>500</v>
      </c>
      <c r="F6803">
        <v>25000</v>
      </c>
      <c r="G6803" s="30">
        <v>41</v>
      </c>
      <c r="H6803">
        <v>2433.33</v>
      </c>
      <c r="I6803">
        <v>1400</v>
      </c>
      <c r="J6803">
        <v>200</v>
      </c>
      <c r="K6803">
        <v>6000</v>
      </c>
      <c r="L6803" s="30">
        <v>9</v>
      </c>
      <c r="M6803">
        <v>3333.33</v>
      </c>
      <c r="N6803">
        <v>3500</v>
      </c>
      <c r="O6803">
        <v>500</v>
      </c>
      <c r="P6803">
        <v>5000</v>
      </c>
      <c r="Q6803" s="30">
        <v>6</v>
      </c>
      <c r="R6803">
        <v>246.92</v>
      </c>
      <c r="S6803">
        <v>200</v>
      </c>
      <c r="T6803">
        <v>50</v>
      </c>
      <c r="U6803">
        <v>600</v>
      </c>
      <c r="V6803" s="30">
        <v>13</v>
      </c>
      <c r="W6803">
        <v>550</v>
      </c>
      <c r="X6803">
        <v>500</v>
      </c>
      <c r="Y6803">
        <v>100</v>
      </c>
      <c r="Z6803">
        <v>1000</v>
      </c>
      <c r="AA6803" s="30">
        <v>9</v>
      </c>
      <c r="AB6803">
        <v>404</v>
      </c>
      <c r="AC6803">
        <v>400</v>
      </c>
      <c r="AD6803">
        <v>100</v>
      </c>
      <c r="AE6803">
        <v>1000</v>
      </c>
      <c r="AF6803" s="30">
        <v>25</v>
      </c>
      <c r="AG6803">
        <v>527.27</v>
      </c>
      <c r="AH6803">
        <v>400</v>
      </c>
      <c r="AI6803">
        <v>100</v>
      </c>
      <c r="AJ6803">
        <v>3000</v>
      </c>
      <c r="AK6803" s="30">
        <v>11</v>
      </c>
      <c r="AL6803">
        <v>1792.73</v>
      </c>
      <c r="AM6803">
        <v>1500</v>
      </c>
      <c r="AN6803">
        <v>300</v>
      </c>
      <c r="AO6803">
        <v>6000</v>
      </c>
      <c r="AP6803" s="30">
        <v>44</v>
      </c>
      <c r="AQ6803">
        <v>610</v>
      </c>
      <c r="AR6803">
        <v>300</v>
      </c>
      <c r="AS6803">
        <v>50</v>
      </c>
      <c r="AT6803">
        <v>4000</v>
      </c>
      <c r="AU6803" s="30">
        <v>23</v>
      </c>
      <c r="AV6803">
        <v>591.66999999999996</v>
      </c>
      <c r="AW6803">
        <v>500</v>
      </c>
      <c r="AX6803">
        <v>300</v>
      </c>
      <c r="AY6803">
        <v>1500</v>
      </c>
      <c r="AZ6803" s="30">
        <v>6</v>
      </c>
      <c r="BA6803">
        <v>435.24</v>
      </c>
      <c r="BB6803">
        <v>400</v>
      </c>
      <c r="BC6803">
        <v>50</v>
      </c>
      <c r="BD6803">
        <v>1500</v>
      </c>
      <c r="BE6803" s="30">
        <v>42</v>
      </c>
      <c r="BF6803">
        <v>1850</v>
      </c>
      <c r="BG6803">
        <v>700</v>
      </c>
      <c r="BH6803">
        <v>700</v>
      </c>
      <c r="BI6803">
        <v>3000</v>
      </c>
      <c r="BJ6803" s="30">
        <v>2</v>
      </c>
      <c r="BK6803">
        <v>6000</v>
      </c>
      <c r="BL6803">
        <v>2000</v>
      </c>
      <c r="BM6803">
        <v>2000</v>
      </c>
      <c r="BN6803">
        <v>10000</v>
      </c>
      <c r="BO6803" s="30">
        <v>2</v>
      </c>
      <c r="BP6803">
        <v>822.35</v>
      </c>
      <c r="BQ6803">
        <v>500</v>
      </c>
      <c r="BR6803">
        <v>100</v>
      </c>
      <c r="BS6803">
        <v>4000</v>
      </c>
      <c r="BT6803" s="30">
        <v>17</v>
      </c>
      <c r="BU6803">
        <v>566.66999999999996</v>
      </c>
      <c r="BV6803">
        <v>800</v>
      </c>
      <c r="BW6803">
        <v>400</v>
      </c>
      <c r="BX6803">
        <v>800</v>
      </c>
      <c r="BY6803" s="30">
        <v>3</v>
      </c>
      <c r="BZ6803">
        <v>44</v>
      </c>
    </row>
    <row r="6804" spans="1:78" x14ac:dyDescent="0.35">
      <c r="A6804" s="27" t="s">
        <v>231</v>
      </c>
      <c r="B6804" s="27" t="s">
        <v>253</v>
      </c>
      <c r="C6804" s="29">
        <v>8212</v>
      </c>
      <c r="D6804" s="29">
        <v>7000</v>
      </c>
      <c r="E6804" s="29">
        <v>2000</v>
      </c>
      <c r="F6804" s="29">
        <v>20000</v>
      </c>
      <c r="G6804" s="29">
        <v>25</v>
      </c>
      <c r="H6804" s="29">
        <v>3352.94</v>
      </c>
      <c r="I6804" s="29">
        <v>5000</v>
      </c>
      <c r="J6804" s="29">
        <v>500</v>
      </c>
      <c r="K6804" s="29">
        <v>8000</v>
      </c>
      <c r="L6804" s="29">
        <v>17</v>
      </c>
      <c r="M6804" s="29">
        <v>6000</v>
      </c>
      <c r="N6804" s="29">
        <v>3000</v>
      </c>
      <c r="O6804" s="29">
        <v>3000</v>
      </c>
      <c r="P6804" s="29">
        <v>9000</v>
      </c>
      <c r="Q6804" s="29">
        <v>2</v>
      </c>
      <c r="R6804" s="29">
        <v>494.62</v>
      </c>
      <c r="S6804" s="29">
        <v>300</v>
      </c>
      <c r="T6804" s="29">
        <v>100</v>
      </c>
      <c r="U6804" s="29">
        <v>2500</v>
      </c>
      <c r="V6804" s="29">
        <v>13</v>
      </c>
      <c r="W6804" s="29">
        <v>622.22</v>
      </c>
      <c r="X6804" s="29">
        <v>500</v>
      </c>
      <c r="Y6804" s="29">
        <v>100</v>
      </c>
      <c r="Z6804" s="29">
        <v>2000</v>
      </c>
      <c r="AA6804" s="29">
        <v>18</v>
      </c>
      <c r="AB6804" s="29">
        <v>778.57</v>
      </c>
      <c r="AC6804" s="29">
        <v>600</v>
      </c>
      <c r="AD6804" s="29">
        <v>100</v>
      </c>
      <c r="AE6804" s="29">
        <v>2000</v>
      </c>
      <c r="AF6804" s="29">
        <v>21</v>
      </c>
      <c r="AG6804" s="29">
        <v>546.66999999999996</v>
      </c>
      <c r="AH6804" s="29">
        <v>500</v>
      </c>
      <c r="AI6804" s="29">
        <v>100</v>
      </c>
      <c r="AJ6804" s="29">
        <v>1000</v>
      </c>
      <c r="AK6804" s="29">
        <v>15</v>
      </c>
      <c r="AL6804" s="29">
        <v>2416.77</v>
      </c>
      <c r="AM6804" s="29">
        <v>2500</v>
      </c>
      <c r="AN6804" s="29">
        <v>400</v>
      </c>
      <c r="AO6804" s="29">
        <v>6000</v>
      </c>
      <c r="AP6804" s="29">
        <v>26</v>
      </c>
      <c r="AQ6804" s="29">
        <v>1983.64</v>
      </c>
      <c r="AR6804" s="29">
        <v>2000</v>
      </c>
      <c r="AS6804" s="29">
        <v>100</v>
      </c>
      <c r="AT6804" s="29">
        <v>8000</v>
      </c>
      <c r="AU6804" s="29">
        <v>22</v>
      </c>
      <c r="AV6804" s="29">
        <v>525</v>
      </c>
      <c r="AW6804" s="29">
        <v>500</v>
      </c>
      <c r="AX6804" s="29">
        <v>100</v>
      </c>
      <c r="AY6804" s="29">
        <v>1000</v>
      </c>
      <c r="AZ6804" s="29">
        <v>4</v>
      </c>
      <c r="BA6804" s="29">
        <v>728.04</v>
      </c>
      <c r="BB6804" s="29">
        <v>700</v>
      </c>
      <c r="BC6804" s="29">
        <v>140</v>
      </c>
      <c r="BD6804" s="29">
        <v>2000</v>
      </c>
      <c r="BE6804" s="29">
        <v>28</v>
      </c>
      <c r="BF6804" s="29">
        <v>1500</v>
      </c>
      <c r="BG6804" s="29">
        <v>1500</v>
      </c>
      <c r="BH6804" s="29">
        <v>1500</v>
      </c>
      <c r="BI6804" s="29">
        <v>1500</v>
      </c>
      <c r="BJ6804" s="29">
        <v>1</v>
      </c>
      <c r="BK6804" s="29">
        <v>7406.25</v>
      </c>
      <c r="BL6804" s="29">
        <v>1000</v>
      </c>
      <c r="BM6804" s="29">
        <v>450</v>
      </c>
      <c r="BN6804" s="29">
        <v>30000</v>
      </c>
      <c r="BO6804" s="29">
        <v>8</v>
      </c>
      <c r="BP6804" s="29">
        <v>1153.33</v>
      </c>
      <c r="BQ6804" s="29">
        <v>700</v>
      </c>
      <c r="BR6804" s="29">
        <v>100</v>
      </c>
      <c r="BS6804" s="29">
        <v>7000</v>
      </c>
      <c r="BT6804" s="29">
        <v>15</v>
      </c>
      <c r="BU6804" s="29">
        <v>3800</v>
      </c>
      <c r="BV6804" s="29">
        <v>10000</v>
      </c>
      <c r="BW6804" s="29">
        <v>200</v>
      </c>
      <c r="BX6804" s="29">
        <v>10000</v>
      </c>
      <c r="BY6804" s="29">
        <v>3</v>
      </c>
      <c r="BZ6804" s="29">
        <v>28</v>
      </c>
    </row>
    <row r="6805" spans="1:78" x14ac:dyDescent="0.35">
      <c r="A6805" t="s">
        <v>231</v>
      </c>
      <c r="B6805" t="s">
        <v>251</v>
      </c>
      <c r="C6805">
        <v>8998.65</v>
      </c>
      <c r="D6805">
        <v>7000</v>
      </c>
      <c r="E6805">
        <v>900</v>
      </c>
      <c r="F6805">
        <v>30000</v>
      </c>
      <c r="G6805" s="30">
        <v>74</v>
      </c>
      <c r="H6805">
        <v>4794.34</v>
      </c>
      <c r="I6805">
        <v>3000</v>
      </c>
      <c r="J6805">
        <v>100</v>
      </c>
      <c r="K6805">
        <v>24000</v>
      </c>
      <c r="L6805" s="30">
        <v>53</v>
      </c>
      <c r="M6805">
        <v>6640.25</v>
      </c>
      <c r="N6805">
        <v>7500</v>
      </c>
      <c r="O6805">
        <v>2244</v>
      </c>
      <c r="P6805">
        <v>13000</v>
      </c>
      <c r="Q6805" s="30">
        <v>16</v>
      </c>
      <c r="R6805">
        <v>544.04999999999995</v>
      </c>
      <c r="S6805">
        <v>400</v>
      </c>
      <c r="T6805">
        <v>50</v>
      </c>
      <c r="U6805">
        <v>2000</v>
      </c>
      <c r="V6805" s="30">
        <v>42</v>
      </c>
      <c r="W6805">
        <v>636.05999999999995</v>
      </c>
      <c r="X6805">
        <v>500</v>
      </c>
      <c r="Y6805">
        <v>50</v>
      </c>
      <c r="Z6805">
        <v>2000</v>
      </c>
      <c r="AA6805" s="30">
        <v>53</v>
      </c>
      <c r="AB6805">
        <v>1063.71</v>
      </c>
      <c r="AC6805">
        <v>1000</v>
      </c>
      <c r="AD6805">
        <v>100</v>
      </c>
      <c r="AE6805">
        <v>5000</v>
      </c>
      <c r="AF6805" s="30">
        <v>73</v>
      </c>
      <c r="AG6805">
        <v>752.63</v>
      </c>
      <c r="AH6805">
        <v>500</v>
      </c>
      <c r="AI6805">
        <v>100</v>
      </c>
      <c r="AJ6805">
        <v>3000</v>
      </c>
      <c r="AK6805" s="30">
        <v>38</v>
      </c>
      <c r="AL6805">
        <v>2053.0300000000002</v>
      </c>
      <c r="AM6805">
        <v>2000</v>
      </c>
      <c r="AN6805">
        <v>500</v>
      </c>
      <c r="AO6805">
        <v>6000</v>
      </c>
      <c r="AP6805" s="30">
        <v>66</v>
      </c>
      <c r="AQ6805">
        <v>2289.3200000000002</v>
      </c>
      <c r="AR6805">
        <v>1000</v>
      </c>
      <c r="AS6805">
        <v>50</v>
      </c>
      <c r="AT6805">
        <v>30000</v>
      </c>
      <c r="AU6805" s="30">
        <v>59</v>
      </c>
      <c r="AV6805">
        <v>490.91</v>
      </c>
      <c r="AW6805">
        <v>500</v>
      </c>
      <c r="AX6805">
        <v>100</v>
      </c>
      <c r="AY6805">
        <v>1400</v>
      </c>
      <c r="AZ6805" s="30">
        <v>11</v>
      </c>
      <c r="BA6805">
        <v>642.66</v>
      </c>
      <c r="BB6805">
        <v>500</v>
      </c>
      <c r="BC6805">
        <v>100</v>
      </c>
      <c r="BD6805">
        <v>2000</v>
      </c>
      <c r="BE6805" s="30">
        <v>79</v>
      </c>
      <c r="BF6805">
        <v>3633.33</v>
      </c>
      <c r="BG6805">
        <v>3000</v>
      </c>
      <c r="BH6805">
        <v>300</v>
      </c>
      <c r="BI6805">
        <v>10000</v>
      </c>
      <c r="BJ6805" s="30">
        <v>6</v>
      </c>
      <c r="BK6805">
        <v>4067.86</v>
      </c>
      <c r="BL6805">
        <v>2000</v>
      </c>
      <c r="BM6805">
        <v>200</v>
      </c>
      <c r="BN6805">
        <v>20000</v>
      </c>
      <c r="BO6805" s="30">
        <v>28</v>
      </c>
      <c r="BP6805">
        <v>1753.85</v>
      </c>
      <c r="BQ6805">
        <v>1000</v>
      </c>
      <c r="BR6805">
        <v>50</v>
      </c>
      <c r="BS6805">
        <v>15000</v>
      </c>
      <c r="BT6805" s="30">
        <v>39</v>
      </c>
      <c r="BU6805">
        <v>3933.33</v>
      </c>
      <c r="BV6805">
        <v>9000</v>
      </c>
      <c r="BW6805">
        <v>800</v>
      </c>
      <c r="BX6805">
        <v>9000</v>
      </c>
      <c r="BY6805" s="30">
        <v>3</v>
      </c>
      <c r="BZ6805">
        <v>79</v>
      </c>
    </row>
    <row r="6806" spans="1:78" x14ac:dyDescent="0.35">
      <c r="A6806" t="s">
        <v>232</v>
      </c>
      <c r="B6806" t="s">
        <v>232</v>
      </c>
      <c r="C6806">
        <v>7868.72</v>
      </c>
      <c r="D6806">
        <v>6000</v>
      </c>
      <c r="E6806">
        <v>200</v>
      </c>
      <c r="F6806">
        <v>30000</v>
      </c>
      <c r="G6806" s="30">
        <v>2369</v>
      </c>
      <c r="H6806">
        <v>4052.31</v>
      </c>
      <c r="I6806">
        <v>3000</v>
      </c>
      <c r="J6806">
        <v>100</v>
      </c>
      <c r="K6806">
        <v>60000</v>
      </c>
      <c r="L6806" s="30">
        <v>1077</v>
      </c>
      <c r="M6806">
        <v>5938.14</v>
      </c>
      <c r="N6806">
        <v>5000</v>
      </c>
      <c r="O6806">
        <v>183</v>
      </c>
      <c r="P6806">
        <v>16000</v>
      </c>
      <c r="Q6806" s="30">
        <v>345</v>
      </c>
      <c r="R6806">
        <v>468.12</v>
      </c>
      <c r="S6806">
        <v>300</v>
      </c>
      <c r="T6806">
        <v>50</v>
      </c>
      <c r="U6806">
        <v>3000</v>
      </c>
      <c r="V6806" s="30">
        <v>1180</v>
      </c>
      <c r="W6806">
        <v>542.04</v>
      </c>
      <c r="X6806">
        <v>401</v>
      </c>
      <c r="Y6806">
        <v>30</v>
      </c>
      <c r="Z6806">
        <v>3000</v>
      </c>
      <c r="AA6806" s="30">
        <v>1265</v>
      </c>
      <c r="AB6806">
        <v>868.78</v>
      </c>
      <c r="AC6806">
        <v>500</v>
      </c>
      <c r="AD6806">
        <v>100</v>
      </c>
      <c r="AE6806">
        <v>5000</v>
      </c>
      <c r="AF6806" s="30">
        <v>1926</v>
      </c>
      <c r="AG6806">
        <v>667.4</v>
      </c>
      <c r="AH6806">
        <v>500</v>
      </c>
      <c r="AI6806">
        <v>100</v>
      </c>
      <c r="AJ6806">
        <v>5000</v>
      </c>
      <c r="AK6806" s="30">
        <v>856</v>
      </c>
      <c r="AL6806">
        <v>2130.96</v>
      </c>
      <c r="AM6806">
        <v>2000</v>
      </c>
      <c r="AN6806">
        <v>300</v>
      </c>
      <c r="AO6806">
        <v>9100</v>
      </c>
      <c r="AP6806" s="30">
        <v>2431</v>
      </c>
      <c r="AQ6806">
        <v>2285.5300000000002</v>
      </c>
      <c r="AR6806">
        <v>1000</v>
      </c>
      <c r="AS6806">
        <v>50</v>
      </c>
      <c r="AT6806">
        <v>30000</v>
      </c>
      <c r="AU6806" s="30">
        <v>1520</v>
      </c>
      <c r="AV6806">
        <v>776.74</v>
      </c>
      <c r="AW6806">
        <v>500</v>
      </c>
      <c r="AX6806">
        <v>100</v>
      </c>
      <c r="AY6806">
        <v>3000</v>
      </c>
      <c r="AZ6806" s="30">
        <v>266</v>
      </c>
      <c r="BA6806">
        <v>615.85</v>
      </c>
      <c r="BB6806">
        <v>500</v>
      </c>
      <c r="BC6806">
        <v>50</v>
      </c>
      <c r="BD6806">
        <v>2800</v>
      </c>
      <c r="BE6806" s="30">
        <v>2479</v>
      </c>
      <c r="BF6806">
        <v>3040.04</v>
      </c>
      <c r="BG6806">
        <v>2000</v>
      </c>
      <c r="BH6806">
        <v>200</v>
      </c>
      <c r="BI6806">
        <v>10000</v>
      </c>
      <c r="BJ6806" s="30">
        <v>132</v>
      </c>
      <c r="BK6806">
        <v>4895.0200000000004</v>
      </c>
      <c r="BL6806">
        <v>2000</v>
      </c>
      <c r="BM6806">
        <v>100</v>
      </c>
      <c r="BN6806">
        <v>30000</v>
      </c>
      <c r="BO6806" s="30">
        <v>461</v>
      </c>
      <c r="BP6806">
        <v>1288.5999999999999</v>
      </c>
      <c r="BQ6806">
        <v>600</v>
      </c>
      <c r="BR6806">
        <v>50</v>
      </c>
      <c r="BS6806">
        <v>30000</v>
      </c>
      <c r="BT6806" s="30">
        <v>1296</v>
      </c>
      <c r="BU6806">
        <v>3251.2</v>
      </c>
      <c r="BV6806">
        <v>2500</v>
      </c>
      <c r="BW6806">
        <v>100</v>
      </c>
      <c r="BX6806">
        <v>10000</v>
      </c>
      <c r="BY6806" s="30">
        <v>124</v>
      </c>
      <c r="BZ6806">
        <v>2479</v>
      </c>
    </row>
    <row r="6808" spans="1:78" x14ac:dyDescent="0.35">
      <c r="A6808" s="1" t="s">
        <v>970</v>
      </c>
    </row>
    <row r="6809" spans="1:78" x14ac:dyDescent="0.35">
      <c r="A6809" t="s">
        <v>219</v>
      </c>
      <c r="B6809" t="s">
        <v>305</v>
      </c>
      <c r="C6809" t="s">
        <v>889</v>
      </c>
      <c r="D6809" t="s">
        <v>890</v>
      </c>
      <c r="E6809" t="s">
        <v>891</v>
      </c>
      <c r="F6809" t="s">
        <v>892</v>
      </c>
      <c r="G6809" t="s">
        <v>893</v>
      </c>
      <c r="H6809" t="s">
        <v>894</v>
      </c>
      <c r="I6809" t="s">
        <v>895</v>
      </c>
      <c r="J6809" t="s">
        <v>896</v>
      </c>
      <c r="K6809" t="s">
        <v>897</v>
      </c>
      <c r="L6809" t="s">
        <v>898</v>
      </c>
      <c r="M6809" t="s">
        <v>899</v>
      </c>
      <c r="N6809" t="s">
        <v>900</v>
      </c>
      <c r="O6809" t="s">
        <v>901</v>
      </c>
      <c r="P6809" t="s">
        <v>902</v>
      </c>
      <c r="Q6809" t="s">
        <v>903</v>
      </c>
      <c r="R6809" t="s">
        <v>904</v>
      </c>
      <c r="S6809" t="s">
        <v>905</v>
      </c>
      <c r="T6809" t="s">
        <v>906</v>
      </c>
      <c r="U6809" t="s">
        <v>907</v>
      </c>
      <c r="V6809" t="s">
        <v>908</v>
      </c>
      <c r="W6809" t="s">
        <v>909</v>
      </c>
      <c r="X6809" t="s">
        <v>910</v>
      </c>
      <c r="Y6809" t="s">
        <v>911</v>
      </c>
      <c r="Z6809" t="s">
        <v>912</v>
      </c>
      <c r="AA6809" t="s">
        <v>913</v>
      </c>
      <c r="AB6809" t="s">
        <v>914</v>
      </c>
      <c r="AC6809" t="s">
        <v>915</v>
      </c>
      <c r="AD6809" t="s">
        <v>916</v>
      </c>
      <c r="AE6809" t="s">
        <v>917</v>
      </c>
      <c r="AF6809" t="s">
        <v>918</v>
      </c>
      <c r="AG6809" t="s">
        <v>919</v>
      </c>
      <c r="AH6809" t="s">
        <v>920</v>
      </c>
      <c r="AI6809" t="s">
        <v>921</v>
      </c>
      <c r="AJ6809" t="s">
        <v>922</v>
      </c>
      <c r="AK6809" t="s">
        <v>923</v>
      </c>
      <c r="AL6809" t="s">
        <v>924</v>
      </c>
      <c r="AM6809" t="s">
        <v>925</v>
      </c>
      <c r="AN6809" t="s">
        <v>926</v>
      </c>
      <c r="AO6809" t="s">
        <v>927</v>
      </c>
      <c r="AP6809" t="s">
        <v>928</v>
      </c>
      <c r="AQ6809" t="s">
        <v>929</v>
      </c>
      <c r="AR6809" t="s">
        <v>930</v>
      </c>
      <c r="AS6809" t="s">
        <v>931</v>
      </c>
      <c r="AT6809" t="s">
        <v>932</v>
      </c>
      <c r="AU6809" t="s">
        <v>933</v>
      </c>
      <c r="AV6809" t="s">
        <v>934</v>
      </c>
      <c r="AW6809" t="s">
        <v>935</v>
      </c>
      <c r="AX6809" t="s">
        <v>936</v>
      </c>
      <c r="AY6809" t="s">
        <v>937</v>
      </c>
      <c r="AZ6809" t="s">
        <v>938</v>
      </c>
      <c r="BA6809" t="s">
        <v>939</v>
      </c>
      <c r="BB6809" t="s">
        <v>940</v>
      </c>
      <c r="BC6809" t="s">
        <v>941</v>
      </c>
      <c r="BD6809" t="s">
        <v>942</v>
      </c>
      <c r="BE6809" t="s">
        <v>943</v>
      </c>
      <c r="BF6809" t="s">
        <v>944</v>
      </c>
      <c r="BG6809" t="s">
        <v>945</v>
      </c>
      <c r="BH6809" t="s">
        <v>946</v>
      </c>
      <c r="BI6809" t="s">
        <v>947</v>
      </c>
      <c r="BJ6809" t="s">
        <v>948</v>
      </c>
      <c r="BK6809" t="s">
        <v>949</v>
      </c>
      <c r="BL6809" t="s">
        <v>950</v>
      </c>
      <c r="BM6809" t="s">
        <v>951</v>
      </c>
      <c r="BN6809" t="s">
        <v>952</v>
      </c>
      <c r="BO6809" t="s">
        <v>953</v>
      </c>
      <c r="BP6809" t="s">
        <v>954</v>
      </c>
      <c r="BQ6809" t="s">
        <v>955</v>
      </c>
      <c r="BR6809" t="s">
        <v>956</v>
      </c>
      <c r="BS6809" t="s">
        <v>957</v>
      </c>
      <c r="BT6809" t="s">
        <v>958</v>
      </c>
      <c r="BU6809" t="s">
        <v>959</v>
      </c>
      <c r="BV6809" t="s">
        <v>960</v>
      </c>
      <c r="BW6809" t="s">
        <v>961</v>
      </c>
      <c r="BX6809" t="s">
        <v>962</v>
      </c>
      <c r="BY6809" t="s">
        <v>963</v>
      </c>
      <c r="BZ6809" t="s">
        <v>964</v>
      </c>
    </row>
    <row r="6810" spans="1:78" x14ac:dyDescent="0.35">
      <c r="A6810" t="s">
        <v>227</v>
      </c>
      <c r="B6810" t="s">
        <v>249</v>
      </c>
      <c r="C6810">
        <v>7882.05</v>
      </c>
      <c r="D6810">
        <v>7000</v>
      </c>
      <c r="E6810">
        <v>1500</v>
      </c>
      <c r="F6810">
        <v>15000</v>
      </c>
      <c r="G6810" s="30">
        <v>39</v>
      </c>
      <c r="H6810">
        <v>2758.33</v>
      </c>
      <c r="I6810">
        <v>3000</v>
      </c>
      <c r="J6810">
        <v>250</v>
      </c>
      <c r="K6810">
        <v>6000</v>
      </c>
      <c r="L6810" s="30">
        <v>30</v>
      </c>
      <c r="M6810">
        <v>6250</v>
      </c>
      <c r="N6810">
        <v>8000</v>
      </c>
      <c r="O6810">
        <v>2000</v>
      </c>
      <c r="P6810">
        <v>12000</v>
      </c>
      <c r="Q6810" s="30">
        <v>6</v>
      </c>
      <c r="R6810">
        <v>516.79</v>
      </c>
      <c r="S6810">
        <v>350</v>
      </c>
      <c r="T6810">
        <v>80</v>
      </c>
      <c r="U6810">
        <v>2000</v>
      </c>
      <c r="V6810" s="30">
        <v>28</v>
      </c>
      <c r="W6810">
        <v>653.19000000000005</v>
      </c>
      <c r="X6810">
        <v>500</v>
      </c>
      <c r="Y6810">
        <v>50</v>
      </c>
      <c r="Z6810">
        <v>2000</v>
      </c>
      <c r="AA6810" s="30">
        <v>36</v>
      </c>
      <c r="AB6810">
        <v>1111.54</v>
      </c>
      <c r="AC6810">
        <v>800</v>
      </c>
      <c r="AD6810">
        <v>100</v>
      </c>
      <c r="AE6810">
        <v>5000</v>
      </c>
      <c r="AF6810" s="30">
        <v>39</v>
      </c>
      <c r="AG6810">
        <v>641.25</v>
      </c>
      <c r="AH6810">
        <v>400</v>
      </c>
      <c r="AI6810">
        <v>100</v>
      </c>
      <c r="AJ6810">
        <v>4000</v>
      </c>
      <c r="AK6810" s="30">
        <v>20</v>
      </c>
      <c r="AL6810">
        <v>2254.88</v>
      </c>
      <c r="AM6810">
        <v>2000</v>
      </c>
      <c r="AN6810">
        <v>800</v>
      </c>
      <c r="AO6810">
        <v>5500</v>
      </c>
      <c r="AP6810" s="30">
        <v>41</v>
      </c>
      <c r="AQ6810">
        <v>2941.18</v>
      </c>
      <c r="AR6810">
        <v>1000</v>
      </c>
      <c r="AS6810">
        <v>50</v>
      </c>
      <c r="AT6810">
        <v>30000</v>
      </c>
      <c r="AU6810" s="30">
        <v>34</v>
      </c>
      <c r="AV6810">
        <v>1003.33</v>
      </c>
      <c r="AW6810">
        <v>500</v>
      </c>
      <c r="AX6810">
        <v>200</v>
      </c>
      <c r="AY6810">
        <v>3000</v>
      </c>
      <c r="AZ6810" s="30">
        <v>12</v>
      </c>
      <c r="BA6810">
        <v>749.75</v>
      </c>
      <c r="BB6810">
        <v>700</v>
      </c>
      <c r="BC6810">
        <v>215</v>
      </c>
      <c r="BD6810">
        <v>2500</v>
      </c>
      <c r="BE6810" s="30">
        <v>40</v>
      </c>
      <c r="BF6810">
        <v>1725</v>
      </c>
      <c r="BG6810">
        <v>2000</v>
      </c>
      <c r="BH6810">
        <v>400</v>
      </c>
      <c r="BI6810">
        <v>2500</v>
      </c>
      <c r="BJ6810" s="30">
        <v>4</v>
      </c>
      <c r="BK6810">
        <v>3254.58</v>
      </c>
      <c r="BL6810">
        <v>3000</v>
      </c>
      <c r="BM6810">
        <v>300</v>
      </c>
      <c r="BN6810">
        <v>8837</v>
      </c>
      <c r="BO6810" s="30">
        <v>19</v>
      </c>
      <c r="BP6810">
        <v>635.19000000000005</v>
      </c>
      <c r="BQ6810">
        <v>500</v>
      </c>
      <c r="BR6810">
        <v>50</v>
      </c>
      <c r="BS6810">
        <v>2400</v>
      </c>
      <c r="BT6810" s="30">
        <v>27</v>
      </c>
      <c r="BZ6810">
        <v>41</v>
      </c>
    </row>
    <row r="6811" spans="1:78" x14ac:dyDescent="0.35">
      <c r="A6811" t="s">
        <v>227</v>
      </c>
      <c r="B6811" t="s">
        <v>248</v>
      </c>
      <c r="C6811">
        <v>5498.1</v>
      </c>
      <c r="D6811">
        <v>4000</v>
      </c>
      <c r="E6811">
        <v>500</v>
      </c>
      <c r="F6811">
        <v>30000</v>
      </c>
      <c r="G6811" s="30">
        <v>103</v>
      </c>
      <c r="H6811">
        <v>4131.0600000000004</v>
      </c>
      <c r="I6811">
        <v>2000</v>
      </c>
      <c r="J6811">
        <v>119</v>
      </c>
      <c r="K6811">
        <v>30000</v>
      </c>
      <c r="L6811" s="30">
        <v>36</v>
      </c>
      <c r="M6811">
        <v>4310</v>
      </c>
      <c r="N6811">
        <v>4200</v>
      </c>
      <c r="O6811">
        <v>1000</v>
      </c>
      <c r="P6811">
        <v>8000</v>
      </c>
      <c r="Q6811" s="30">
        <v>20</v>
      </c>
      <c r="R6811">
        <v>271.61</v>
      </c>
      <c r="S6811">
        <v>200</v>
      </c>
      <c r="T6811">
        <v>50</v>
      </c>
      <c r="U6811">
        <v>1000</v>
      </c>
      <c r="V6811" s="30">
        <v>56</v>
      </c>
      <c r="W6811">
        <v>440.49</v>
      </c>
      <c r="X6811">
        <v>300</v>
      </c>
      <c r="Y6811">
        <v>50</v>
      </c>
      <c r="Z6811">
        <v>2000</v>
      </c>
      <c r="AA6811" s="30">
        <v>43</v>
      </c>
      <c r="AB6811">
        <v>623.12</v>
      </c>
      <c r="AC6811">
        <v>500</v>
      </c>
      <c r="AD6811">
        <v>100</v>
      </c>
      <c r="AE6811">
        <v>2646</v>
      </c>
      <c r="AF6811" s="30">
        <v>82</v>
      </c>
      <c r="AG6811">
        <v>584.26</v>
      </c>
      <c r="AH6811">
        <v>300</v>
      </c>
      <c r="AI6811">
        <v>100</v>
      </c>
      <c r="AJ6811">
        <v>3000</v>
      </c>
      <c r="AK6811" s="30">
        <v>31</v>
      </c>
      <c r="AL6811">
        <v>1734.17</v>
      </c>
      <c r="AM6811">
        <v>1500</v>
      </c>
      <c r="AN6811">
        <v>350</v>
      </c>
      <c r="AO6811">
        <v>8000</v>
      </c>
      <c r="AP6811" s="30">
        <v>105</v>
      </c>
      <c r="AQ6811">
        <v>2742.42</v>
      </c>
      <c r="AR6811">
        <v>1000</v>
      </c>
      <c r="AS6811">
        <v>50</v>
      </c>
      <c r="AT6811">
        <v>30000</v>
      </c>
      <c r="AU6811" s="30">
        <v>67</v>
      </c>
      <c r="AV6811">
        <v>1225</v>
      </c>
      <c r="AW6811">
        <v>1000</v>
      </c>
      <c r="AX6811">
        <v>500</v>
      </c>
      <c r="AY6811">
        <v>2500</v>
      </c>
      <c r="AZ6811" s="30">
        <v>10</v>
      </c>
      <c r="BA6811">
        <v>473.18</v>
      </c>
      <c r="BB6811">
        <v>450</v>
      </c>
      <c r="BC6811">
        <v>100</v>
      </c>
      <c r="BD6811">
        <v>2000</v>
      </c>
      <c r="BE6811" s="30">
        <v>105</v>
      </c>
      <c r="BF6811">
        <v>4125</v>
      </c>
      <c r="BG6811">
        <v>3000</v>
      </c>
      <c r="BH6811">
        <v>2000</v>
      </c>
      <c r="BI6811">
        <v>6500</v>
      </c>
      <c r="BJ6811" s="30">
        <v>4</v>
      </c>
      <c r="BK6811">
        <v>5606.67</v>
      </c>
      <c r="BL6811">
        <v>1800</v>
      </c>
      <c r="BM6811">
        <v>300</v>
      </c>
      <c r="BN6811">
        <v>25000</v>
      </c>
      <c r="BO6811" s="30">
        <v>15</v>
      </c>
      <c r="BP6811">
        <v>838</v>
      </c>
      <c r="BQ6811">
        <v>400</v>
      </c>
      <c r="BR6811">
        <v>50</v>
      </c>
      <c r="BS6811">
        <v>3500</v>
      </c>
      <c r="BT6811" s="30">
        <v>62</v>
      </c>
      <c r="BU6811">
        <v>4075</v>
      </c>
      <c r="BV6811">
        <v>3500</v>
      </c>
      <c r="BW6811">
        <v>700</v>
      </c>
      <c r="BX6811">
        <v>7500</v>
      </c>
      <c r="BY6811" s="30">
        <v>10</v>
      </c>
      <c r="BZ6811">
        <v>105</v>
      </c>
    </row>
    <row r="6812" spans="1:78" x14ac:dyDescent="0.35">
      <c r="A6812" t="s">
        <v>228</v>
      </c>
      <c r="B6812" t="s">
        <v>249</v>
      </c>
      <c r="C6812">
        <v>11154.88</v>
      </c>
      <c r="D6812">
        <v>10000</v>
      </c>
      <c r="E6812">
        <v>1000</v>
      </c>
      <c r="F6812">
        <v>30000</v>
      </c>
      <c r="G6812" s="30">
        <v>223</v>
      </c>
      <c r="H6812">
        <v>3805.74</v>
      </c>
      <c r="I6812">
        <v>3000</v>
      </c>
      <c r="J6812">
        <v>200</v>
      </c>
      <c r="K6812">
        <v>15000</v>
      </c>
      <c r="L6812" s="30">
        <v>138</v>
      </c>
      <c r="M6812">
        <v>5381.13</v>
      </c>
      <c r="N6812">
        <v>5000</v>
      </c>
      <c r="O6812">
        <v>289</v>
      </c>
      <c r="P6812">
        <v>13000</v>
      </c>
      <c r="Q6812" s="30">
        <v>47</v>
      </c>
      <c r="R6812">
        <v>516.4</v>
      </c>
      <c r="S6812">
        <v>400</v>
      </c>
      <c r="T6812">
        <v>50</v>
      </c>
      <c r="U6812">
        <v>2000</v>
      </c>
      <c r="V6812" s="30">
        <v>147</v>
      </c>
      <c r="W6812">
        <v>594.37</v>
      </c>
      <c r="X6812">
        <v>500</v>
      </c>
      <c r="Y6812">
        <v>80</v>
      </c>
      <c r="Z6812">
        <v>3000</v>
      </c>
      <c r="AA6812" s="30">
        <v>167</v>
      </c>
      <c r="AB6812">
        <v>988.45</v>
      </c>
      <c r="AC6812">
        <v>1000</v>
      </c>
      <c r="AD6812">
        <v>100</v>
      </c>
      <c r="AE6812">
        <v>3000</v>
      </c>
      <c r="AF6812" s="30">
        <v>198</v>
      </c>
      <c r="AG6812">
        <v>618.71</v>
      </c>
      <c r="AH6812">
        <v>500</v>
      </c>
      <c r="AI6812">
        <v>100</v>
      </c>
      <c r="AJ6812">
        <v>5000</v>
      </c>
      <c r="AK6812" s="30">
        <v>93</v>
      </c>
      <c r="AL6812">
        <v>2526.84</v>
      </c>
      <c r="AM6812">
        <v>2300</v>
      </c>
      <c r="AN6812">
        <v>300</v>
      </c>
      <c r="AO6812">
        <v>7000</v>
      </c>
      <c r="AP6812" s="30">
        <v>227</v>
      </c>
      <c r="AQ6812">
        <v>2296.4899999999998</v>
      </c>
      <c r="AR6812">
        <v>1300</v>
      </c>
      <c r="AS6812">
        <v>100</v>
      </c>
      <c r="AT6812">
        <v>15000</v>
      </c>
      <c r="AU6812" s="30">
        <v>164</v>
      </c>
      <c r="AV6812">
        <v>690.81</v>
      </c>
      <c r="AW6812">
        <v>500</v>
      </c>
      <c r="AX6812">
        <v>100</v>
      </c>
      <c r="AY6812">
        <v>3000</v>
      </c>
      <c r="AZ6812" s="30">
        <v>33</v>
      </c>
      <c r="BA6812">
        <v>852.99</v>
      </c>
      <c r="BB6812">
        <v>800</v>
      </c>
      <c r="BC6812">
        <v>100</v>
      </c>
      <c r="BD6812">
        <v>2500</v>
      </c>
      <c r="BE6812" s="30">
        <v>239</v>
      </c>
      <c r="BF6812">
        <v>2134.1999999999998</v>
      </c>
      <c r="BG6812">
        <v>2000</v>
      </c>
      <c r="BH6812">
        <v>500</v>
      </c>
      <c r="BI6812">
        <v>6000</v>
      </c>
      <c r="BJ6812" s="30">
        <v>28</v>
      </c>
      <c r="BK6812">
        <v>3876.15</v>
      </c>
      <c r="BL6812">
        <v>2000</v>
      </c>
      <c r="BM6812">
        <v>100</v>
      </c>
      <c r="BN6812">
        <v>30000</v>
      </c>
      <c r="BO6812" s="30">
        <v>71</v>
      </c>
      <c r="BP6812">
        <v>1060.97</v>
      </c>
      <c r="BQ6812">
        <v>500</v>
      </c>
      <c r="BR6812">
        <v>50</v>
      </c>
      <c r="BS6812">
        <v>20000</v>
      </c>
      <c r="BT6812" s="30">
        <v>136</v>
      </c>
      <c r="BU6812">
        <v>1887.03</v>
      </c>
      <c r="BV6812">
        <v>1500</v>
      </c>
      <c r="BW6812">
        <v>385</v>
      </c>
      <c r="BX6812">
        <v>7000</v>
      </c>
      <c r="BY6812" s="30">
        <v>10</v>
      </c>
      <c r="BZ6812">
        <v>239</v>
      </c>
    </row>
    <row r="6813" spans="1:78" x14ac:dyDescent="0.35">
      <c r="A6813" t="s">
        <v>228</v>
      </c>
      <c r="B6813" t="s">
        <v>248</v>
      </c>
      <c r="C6813">
        <v>6306.99</v>
      </c>
      <c r="D6813">
        <v>5000</v>
      </c>
      <c r="E6813">
        <v>200</v>
      </c>
      <c r="F6813">
        <v>30000</v>
      </c>
      <c r="G6813" s="30">
        <v>598</v>
      </c>
      <c r="H6813">
        <v>3509.85</v>
      </c>
      <c r="I6813">
        <v>3000</v>
      </c>
      <c r="J6813">
        <v>100</v>
      </c>
      <c r="K6813">
        <v>30000</v>
      </c>
      <c r="L6813" s="30">
        <v>187</v>
      </c>
      <c r="M6813">
        <v>5860.05</v>
      </c>
      <c r="N6813">
        <v>5000</v>
      </c>
      <c r="O6813">
        <v>183</v>
      </c>
      <c r="P6813">
        <v>16000</v>
      </c>
      <c r="Q6813" s="30">
        <v>83</v>
      </c>
      <c r="R6813">
        <v>417.71</v>
      </c>
      <c r="S6813">
        <v>300</v>
      </c>
      <c r="T6813">
        <v>50</v>
      </c>
      <c r="U6813">
        <v>3000</v>
      </c>
      <c r="V6813" s="30">
        <v>301</v>
      </c>
      <c r="W6813">
        <v>413.6</v>
      </c>
      <c r="X6813">
        <v>300</v>
      </c>
      <c r="Y6813">
        <v>50</v>
      </c>
      <c r="Z6813">
        <v>3000</v>
      </c>
      <c r="AA6813" s="30">
        <v>236</v>
      </c>
      <c r="AB6813">
        <v>596.11</v>
      </c>
      <c r="AC6813">
        <v>500</v>
      </c>
      <c r="AD6813">
        <v>100</v>
      </c>
      <c r="AE6813">
        <v>5000</v>
      </c>
      <c r="AF6813" s="30">
        <v>433</v>
      </c>
      <c r="AG6813">
        <v>641.70000000000005</v>
      </c>
      <c r="AH6813">
        <v>500</v>
      </c>
      <c r="AI6813">
        <v>100</v>
      </c>
      <c r="AJ6813">
        <v>4000</v>
      </c>
      <c r="AK6813" s="30">
        <v>172</v>
      </c>
      <c r="AL6813">
        <v>1836.54</v>
      </c>
      <c r="AM6813">
        <v>1500</v>
      </c>
      <c r="AN6813">
        <v>300</v>
      </c>
      <c r="AO6813">
        <v>9000</v>
      </c>
      <c r="AP6813" s="30">
        <v>633</v>
      </c>
      <c r="AQ6813">
        <v>2236.66</v>
      </c>
      <c r="AR6813">
        <v>1000</v>
      </c>
      <c r="AS6813">
        <v>50</v>
      </c>
      <c r="AT6813">
        <v>30000</v>
      </c>
      <c r="AU6813" s="30">
        <v>317</v>
      </c>
      <c r="AV6813">
        <v>719.74</v>
      </c>
      <c r="AW6813">
        <v>600</v>
      </c>
      <c r="AX6813">
        <v>100</v>
      </c>
      <c r="AY6813">
        <v>3000</v>
      </c>
      <c r="AZ6813" s="30">
        <v>51</v>
      </c>
      <c r="BA6813">
        <v>529.46</v>
      </c>
      <c r="BB6813">
        <v>460</v>
      </c>
      <c r="BC6813">
        <v>85</v>
      </c>
      <c r="BD6813">
        <v>2800</v>
      </c>
      <c r="BE6813" s="30">
        <v>638</v>
      </c>
      <c r="BF6813">
        <v>2771.26</v>
      </c>
      <c r="BG6813">
        <v>2500</v>
      </c>
      <c r="BH6813">
        <v>600</v>
      </c>
      <c r="BI6813">
        <v>7000</v>
      </c>
      <c r="BJ6813" s="30">
        <v>22</v>
      </c>
      <c r="BK6813">
        <v>4323.59</v>
      </c>
      <c r="BL6813">
        <v>2000</v>
      </c>
      <c r="BM6813">
        <v>200</v>
      </c>
      <c r="BN6813">
        <v>28000</v>
      </c>
      <c r="BO6813" s="30">
        <v>60</v>
      </c>
      <c r="BP6813">
        <v>1136.3</v>
      </c>
      <c r="BQ6813">
        <v>600</v>
      </c>
      <c r="BR6813">
        <v>50</v>
      </c>
      <c r="BS6813">
        <v>20000</v>
      </c>
      <c r="BT6813" s="30">
        <v>308</v>
      </c>
      <c r="BU6813">
        <v>2170.33</v>
      </c>
      <c r="BV6813">
        <v>1500</v>
      </c>
      <c r="BW6813">
        <v>254</v>
      </c>
      <c r="BX6813">
        <v>7000</v>
      </c>
      <c r="BY6813" s="30">
        <v>29</v>
      </c>
      <c r="BZ6813">
        <v>638</v>
      </c>
    </row>
    <row r="6814" spans="1:78" x14ac:dyDescent="0.35">
      <c r="A6814" t="s">
        <v>229</v>
      </c>
      <c r="B6814" t="s">
        <v>249</v>
      </c>
      <c r="C6814">
        <v>12322.51</v>
      </c>
      <c r="D6814">
        <v>10000</v>
      </c>
      <c r="E6814">
        <v>500</v>
      </c>
      <c r="F6814">
        <v>30000</v>
      </c>
      <c r="G6814" s="30">
        <v>227</v>
      </c>
      <c r="H6814">
        <v>4993.46</v>
      </c>
      <c r="I6814">
        <v>5000</v>
      </c>
      <c r="J6814">
        <v>100</v>
      </c>
      <c r="K6814">
        <v>30000</v>
      </c>
      <c r="L6814" s="30">
        <v>163</v>
      </c>
      <c r="M6814">
        <v>7954.88</v>
      </c>
      <c r="N6814">
        <v>10000</v>
      </c>
      <c r="O6814">
        <v>400</v>
      </c>
      <c r="P6814">
        <v>16000</v>
      </c>
      <c r="Q6814" s="30">
        <v>25</v>
      </c>
      <c r="R6814">
        <v>569.85</v>
      </c>
      <c r="S6814">
        <v>500</v>
      </c>
      <c r="T6814">
        <v>100</v>
      </c>
      <c r="U6814">
        <v>3000</v>
      </c>
      <c r="V6814" s="30">
        <v>120</v>
      </c>
      <c r="W6814">
        <v>571.16999999999996</v>
      </c>
      <c r="X6814">
        <v>500</v>
      </c>
      <c r="Y6814">
        <v>75</v>
      </c>
      <c r="Z6814">
        <v>3000</v>
      </c>
      <c r="AA6814" s="30">
        <v>187</v>
      </c>
      <c r="AB6814">
        <v>1186.8499999999999</v>
      </c>
      <c r="AC6814">
        <v>1000</v>
      </c>
      <c r="AD6814">
        <v>100</v>
      </c>
      <c r="AE6814">
        <v>5000</v>
      </c>
      <c r="AF6814" s="30">
        <v>211</v>
      </c>
      <c r="AG6814">
        <v>754.58</v>
      </c>
      <c r="AH6814">
        <v>500</v>
      </c>
      <c r="AI6814">
        <v>100</v>
      </c>
      <c r="AJ6814">
        <v>5000</v>
      </c>
      <c r="AK6814" s="30">
        <v>119</v>
      </c>
      <c r="AL6814">
        <v>2853.81</v>
      </c>
      <c r="AM6814">
        <v>2500</v>
      </c>
      <c r="AN6814">
        <v>300</v>
      </c>
      <c r="AO6814">
        <v>8000</v>
      </c>
      <c r="AP6814" s="30">
        <v>241</v>
      </c>
      <c r="AQ6814">
        <v>3303.6</v>
      </c>
      <c r="AR6814">
        <v>2000</v>
      </c>
      <c r="AS6814">
        <v>100</v>
      </c>
      <c r="AT6814">
        <v>30000</v>
      </c>
      <c r="AU6814" s="30">
        <v>187</v>
      </c>
      <c r="AV6814">
        <v>966.1</v>
      </c>
      <c r="AW6814">
        <v>500</v>
      </c>
      <c r="AX6814">
        <v>100</v>
      </c>
      <c r="AY6814">
        <v>3000</v>
      </c>
      <c r="AZ6814" s="30">
        <v>28</v>
      </c>
      <c r="BA6814">
        <v>840.27</v>
      </c>
      <c r="BB6814">
        <v>750</v>
      </c>
      <c r="BC6814">
        <v>200</v>
      </c>
      <c r="BD6814">
        <v>2800</v>
      </c>
      <c r="BE6814" s="30">
        <v>241</v>
      </c>
      <c r="BF6814">
        <v>3958.89</v>
      </c>
      <c r="BG6814">
        <v>2000</v>
      </c>
      <c r="BH6814">
        <v>500</v>
      </c>
      <c r="BI6814">
        <v>10000</v>
      </c>
      <c r="BJ6814" s="30">
        <v>28</v>
      </c>
      <c r="BK6814">
        <v>8340.1200000000008</v>
      </c>
      <c r="BL6814">
        <v>4000</v>
      </c>
      <c r="BM6814">
        <v>300</v>
      </c>
      <c r="BN6814">
        <v>30000</v>
      </c>
      <c r="BO6814" s="30">
        <v>80</v>
      </c>
      <c r="BP6814">
        <v>2017.9</v>
      </c>
      <c r="BQ6814">
        <v>1000</v>
      </c>
      <c r="BR6814">
        <v>50</v>
      </c>
      <c r="BS6814">
        <v>30000</v>
      </c>
      <c r="BT6814" s="30">
        <v>142</v>
      </c>
      <c r="BU6814">
        <v>4677.41</v>
      </c>
      <c r="BV6814">
        <v>5600</v>
      </c>
      <c r="BW6814">
        <v>600</v>
      </c>
      <c r="BX6814">
        <v>10000</v>
      </c>
      <c r="BY6814" s="30">
        <v>9</v>
      </c>
      <c r="BZ6814">
        <v>241</v>
      </c>
    </row>
    <row r="6815" spans="1:78" x14ac:dyDescent="0.35">
      <c r="A6815" t="s">
        <v>229</v>
      </c>
      <c r="B6815" t="s">
        <v>248</v>
      </c>
      <c r="C6815">
        <v>7785.03</v>
      </c>
      <c r="D6815">
        <v>6000</v>
      </c>
      <c r="E6815">
        <v>200</v>
      </c>
      <c r="F6815">
        <v>30000</v>
      </c>
      <c r="G6815" s="30">
        <v>540</v>
      </c>
      <c r="H6815">
        <v>3538.21</v>
      </c>
      <c r="I6815">
        <v>3000</v>
      </c>
      <c r="J6815">
        <v>100</v>
      </c>
      <c r="K6815">
        <v>20000</v>
      </c>
      <c r="L6815" s="30">
        <v>224</v>
      </c>
      <c r="M6815">
        <v>6747.6</v>
      </c>
      <c r="N6815">
        <v>6500</v>
      </c>
      <c r="O6815">
        <v>500</v>
      </c>
      <c r="P6815">
        <v>16000</v>
      </c>
      <c r="Q6815" s="30">
        <v>72</v>
      </c>
      <c r="R6815">
        <v>479.06</v>
      </c>
      <c r="S6815">
        <v>300</v>
      </c>
      <c r="T6815">
        <v>50</v>
      </c>
      <c r="U6815">
        <v>3000</v>
      </c>
      <c r="V6815" s="30">
        <v>204</v>
      </c>
      <c r="W6815">
        <v>467.15</v>
      </c>
      <c r="X6815">
        <v>300</v>
      </c>
      <c r="Y6815">
        <v>50</v>
      </c>
      <c r="Z6815">
        <v>2000</v>
      </c>
      <c r="AA6815" s="30">
        <v>266</v>
      </c>
      <c r="AB6815">
        <v>894.05</v>
      </c>
      <c r="AC6815">
        <v>500</v>
      </c>
      <c r="AD6815">
        <v>100</v>
      </c>
      <c r="AE6815">
        <v>5000</v>
      </c>
      <c r="AF6815" s="30">
        <v>447</v>
      </c>
      <c r="AG6815">
        <v>631.52</v>
      </c>
      <c r="AH6815">
        <v>500</v>
      </c>
      <c r="AI6815">
        <v>100</v>
      </c>
      <c r="AJ6815">
        <v>5000</v>
      </c>
      <c r="AK6815" s="30">
        <v>183</v>
      </c>
      <c r="AL6815">
        <v>2162.62</v>
      </c>
      <c r="AM6815">
        <v>1800</v>
      </c>
      <c r="AN6815">
        <v>300</v>
      </c>
      <c r="AO6815">
        <v>9000</v>
      </c>
      <c r="AP6815" s="30">
        <v>562</v>
      </c>
      <c r="AQ6815">
        <v>1869.38</v>
      </c>
      <c r="AR6815">
        <v>800</v>
      </c>
      <c r="AS6815">
        <v>50</v>
      </c>
      <c r="AT6815">
        <v>17000</v>
      </c>
      <c r="AU6815" s="30">
        <v>328</v>
      </c>
      <c r="AV6815">
        <v>803.37</v>
      </c>
      <c r="AW6815">
        <v>500</v>
      </c>
      <c r="AX6815">
        <v>100</v>
      </c>
      <c r="AY6815">
        <v>3000</v>
      </c>
      <c r="AZ6815" s="30">
        <v>61</v>
      </c>
      <c r="BA6815">
        <v>538.79</v>
      </c>
      <c r="BB6815">
        <v>500</v>
      </c>
      <c r="BC6815">
        <v>50</v>
      </c>
      <c r="BD6815">
        <v>2000</v>
      </c>
      <c r="BE6815" s="30">
        <v>566</v>
      </c>
      <c r="BF6815">
        <v>1927.62</v>
      </c>
      <c r="BG6815">
        <v>2000</v>
      </c>
      <c r="BH6815">
        <v>200</v>
      </c>
      <c r="BI6815">
        <v>10000</v>
      </c>
      <c r="BJ6815" s="30">
        <v>14</v>
      </c>
      <c r="BK6815">
        <v>3763.68</v>
      </c>
      <c r="BL6815">
        <v>2000</v>
      </c>
      <c r="BM6815">
        <v>100</v>
      </c>
      <c r="BN6815">
        <v>23000</v>
      </c>
      <c r="BO6815" s="30">
        <v>77</v>
      </c>
      <c r="BP6815">
        <v>1365.92</v>
      </c>
      <c r="BQ6815">
        <v>750</v>
      </c>
      <c r="BR6815">
        <v>50</v>
      </c>
      <c r="BS6815">
        <v>9000</v>
      </c>
      <c r="BT6815" s="30">
        <v>274</v>
      </c>
      <c r="BU6815">
        <v>3340.35</v>
      </c>
      <c r="BV6815">
        <v>3000</v>
      </c>
      <c r="BW6815">
        <v>200</v>
      </c>
      <c r="BX6815">
        <v>10000</v>
      </c>
      <c r="BY6815" s="30">
        <v>24</v>
      </c>
      <c r="BZ6815">
        <v>566</v>
      </c>
    </row>
    <row r="6816" spans="1:78" x14ac:dyDescent="0.35">
      <c r="A6816" t="s">
        <v>230</v>
      </c>
      <c r="B6816" t="s">
        <v>249</v>
      </c>
      <c r="C6816">
        <v>9505.41</v>
      </c>
      <c r="D6816">
        <v>8000</v>
      </c>
      <c r="E6816">
        <v>500</v>
      </c>
      <c r="F6816">
        <v>25000</v>
      </c>
      <c r="G6816" s="30">
        <v>147</v>
      </c>
      <c r="H6816">
        <v>4576.18</v>
      </c>
      <c r="I6816">
        <v>3000</v>
      </c>
      <c r="J6816">
        <v>100</v>
      </c>
      <c r="K6816">
        <v>30000</v>
      </c>
      <c r="L6816" s="30">
        <v>105</v>
      </c>
      <c r="M6816">
        <v>5534.27</v>
      </c>
      <c r="N6816">
        <v>5000</v>
      </c>
      <c r="O6816">
        <v>1000</v>
      </c>
      <c r="P6816">
        <v>11500</v>
      </c>
      <c r="Q6816" s="30">
        <v>28</v>
      </c>
      <c r="R6816">
        <v>766.53</v>
      </c>
      <c r="S6816">
        <v>500</v>
      </c>
      <c r="T6816">
        <v>50</v>
      </c>
      <c r="U6816">
        <v>3000</v>
      </c>
      <c r="V6816" s="30">
        <v>90</v>
      </c>
      <c r="W6816">
        <v>600.05999999999995</v>
      </c>
      <c r="X6816">
        <v>500</v>
      </c>
      <c r="Y6816">
        <v>50</v>
      </c>
      <c r="Z6816">
        <v>3000</v>
      </c>
      <c r="AA6816" s="30">
        <v>113</v>
      </c>
      <c r="AB6816">
        <v>1195.44</v>
      </c>
      <c r="AC6816">
        <v>1000</v>
      </c>
      <c r="AD6816">
        <v>100</v>
      </c>
      <c r="AE6816">
        <v>5000</v>
      </c>
      <c r="AF6816" s="30">
        <v>134</v>
      </c>
      <c r="AG6816">
        <v>1024.3699999999999</v>
      </c>
      <c r="AH6816">
        <v>500</v>
      </c>
      <c r="AI6816">
        <v>100</v>
      </c>
      <c r="AJ6816">
        <v>5000</v>
      </c>
      <c r="AK6816" s="30">
        <v>67</v>
      </c>
      <c r="AL6816">
        <v>2435.36</v>
      </c>
      <c r="AM6816">
        <v>2000</v>
      </c>
      <c r="AN6816">
        <v>400</v>
      </c>
      <c r="AO6816">
        <v>9100</v>
      </c>
      <c r="AP6816" s="30">
        <v>152</v>
      </c>
      <c r="AQ6816">
        <v>2481.1799999999998</v>
      </c>
      <c r="AR6816">
        <v>1200</v>
      </c>
      <c r="AS6816">
        <v>60</v>
      </c>
      <c r="AT6816">
        <v>30000</v>
      </c>
      <c r="AU6816" s="30">
        <v>112</v>
      </c>
      <c r="AV6816">
        <v>1042.19</v>
      </c>
      <c r="AW6816">
        <v>1000</v>
      </c>
      <c r="AX6816">
        <v>100</v>
      </c>
      <c r="AY6816">
        <v>2400</v>
      </c>
      <c r="AZ6816" s="30">
        <v>23</v>
      </c>
      <c r="BA6816">
        <v>850.07</v>
      </c>
      <c r="BB6816">
        <v>800</v>
      </c>
      <c r="BC6816">
        <v>150</v>
      </c>
      <c r="BD6816">
        <v>2300</v>
      </c>
      <c r="BE6816" s="30">
        <v>154</v>
      </c>
      <c r="BF6816">
        <v>4220.9799999999996</v>
      </c>
      <c r="BG6816">
        <v>4000</v>
      </c>
      <c r="BH6816">
        <v>400</v>
      </c>
      <c r="BI6816">
        <v>10000</v>
      </c>
      <c r="BJ6816" s="30">
        <v>13</v>
      </c>
      <c r="BK6816">
        <v>2588.21</v>
      </c>
      <c r="BL6816">
        <v>2000</v>
      </c>
      <c r="BM6816">
        <v>200</v>
      </c>
      <c r="BN6816">
        <v>15000</v>
      </c>
      <c r="BO6816" s="30">
        <v>52</v>
      </c>
      <c r="BP6816">
        <v>1206.5</v>
      </c>
      <c r="BQ6816">
        <v>700</v>
      </c>
      <c r="BR6816">
        <v>50</v>
      </c>
      <c r="BS6816">
        <v>16000</v>
      </c>
      <c r="BT6816" s="30">
        <v>95</v>
      </c>
      <c r="BU6816">
        <v>3882.32</v>
      </c>
      <c r="BV6816">
        <v>5000</v>
      </c>
      <c r="BW6816">
        <v>100</v>
      </c>
      <c r="BX6816">
        <v>8000</v>
      </c>
      <c r="BY6816" s="30">
        <v>9</v>
      </c>
      <c r="BZ6816">
        <v>154</v>
      </c>
    </row>
    <row r="6817" spans="1:78" x14ac:dyDescent="0.35">
      <c r="A6817" t="s">
        <v>230</v>
      </c>
      <c r="B6817" t="s">
        <v>248</v>
      </c>
      <c r="C6817">
        <v>6821.09</v>
      </c>
      <c r="D6817">
        <v>5000</v>
      </c>
      <c r="E6817">
        <v>200</v>
      </c>
      <c r="F6817">
        <v>25000</v>
      </c>
      <c r="G6817" s="30">
        <v>352</v>
      </c>
      <c r="H6817">
        <v>4577.28</v>
      </c>
      <c r="I6817">
        <v>2000</v>
      </c>
      <c r="J6817">
        <v>100</v>
      </c>
      <c r="K6817">
        <v>60000</v>
      </c>
      <c r="L6817" s="30">
        <v>115</v>
      </c>
      <c r="M6817">
        <v>6218.41</v>
      </c>
      <c r="N6817">
        <v>7000</v>
      </c>
      <c r="O6817">
        <v>1000</v>
      </c>
      <c r="P6817">
        <v>12000</v>
      </c>
      <c r="Q6817" s="30">
        <v>40</v>
      </c>
      <c r="R6817">
        <v>384.97</v>
      </c>
      <c r="S6817">
        <v>200</v>
      </c>
      <c r="T6817">
        <v>50</v>
      </c>
      <c r="U6817">
        <v>3000</v>
      </c>
      <c r="V6817" s="30">
        <v>166</v>
      </c>
      <c r="W6817">
        <v>460</v>
      </c>
      <c r="X6817">
        <v>400</v>
      </c>
      <c r="Y6817">
        <v>30</v>
      </c>
      <c r="Z6817">
        <v>2000</v>
      </c>
      <c r="AA6817" s="30">
        <v>137</v>
      </c>
      <c r="AB6817">
        <v>659.24</v>
      </c>
      <c r="AC6817">
        <v>500</v>
      </c>
      <c r="AD6817">
        <v>100</v>
      </c>
      <c r="AE6817">
        <v>5000</v>
      </c>
      <c r="AF6817" s="30">
        <v>263</v>
      </c>
      <c r="AG6817">
        <v>566.47</v>
      </c>
      <c r="AH6817">
        <v>300</v>
      </c>
      <c r="AI6817">
        <v>100</v>
      </c>
      <c r="AJ6817">
        <v>5000</v>
      </c>
      <c r="AK6817" s="30">
        <v>107</v>
      </c>
      <c r="AL6817">
        <v>1983.73</v>
      </c>
      <c r="AM6817">
        <v>2000</v>
      </c>
      <c r="AN6817">
        <v>300</v>
      </c>
      <c r="AO6817">
        <v>7000</v>
      </c>
      <c r="AP6817" s="30">
        <v>334</v>
      </c>
      <c r="AQ6817">
        <v>1995.96</v>
      </c>
      <c r="AR6817">
        <v>800</v>
      </c>
      <c r="AS6817">
        <v>50</v>
      </c>
      <c r="AT6817">
        <v>30000</v>
      </c>
      <c r="AU6817" s="30">
        <v>207</v>
      </c>
      <c r="AV6817">
        <v>787.9</v>
      </c>
      <c r="AW6817">
        <v>700</v>
      </c>
      <c r="AX6817">
        <v>100</v>
      </c>
      <c r="AY6817">
        <v>2000</v>
      </c>
      <c r="AZ6817" s="30">
        <v>27</v>
      </c>
      <c r="BA6817">
        <v>568.09</v>
      </c>
      <c r="BB6817">
        <v>500</v>
      </c>
      <c r="BC6817">
        <v>100</v>
      </c>
      <c r="BD6817">
        <v>2000</v>
      </c>
      <c r="BE6817" s="30">
        <v>347</v>
      </c>
      <c r="BF6817">
        <v>6149.81</v>
      </c>
      <c r="BG6817">
        <v>10000</v>
      </c>
      <c r="BH6817">
        <v>1000</v>
      </c>
      <c r="BI6817">
        <v>10000</v>
      </c>
      <c r="BJ6817" s="30">
        <v>10</v>
      </c>
      <c r="BK6817">
        <v>3528.77</v>
      </c>
      <c r="BL6817">
        <v>1000</v>
      </c>
      <c r="BM6817">
        <v>100</v>
      </c>
      <c r="BN6817">
        <v>30000</v>
      </c>
      <c r="BO6817" s="30">
        <v>49</v>
      </c>
      <c r="BP6817">
        <v>1391.71</v>
      </c>
      <c r="BQ6817">
        <v>800</v>
      </c>
      <c r="BR6817">
        <v>50</v>
      </c>
      <c r="BS6817">
        <v>10000</v>
      </c>
      <c r="BT6817" s="30">
        <v>181</v>
      </c>
      <c r="BU6817">
        <v>3003.32</v>
      </c>
      <c r="BV6817">
        <v>3000</v>
      </c>
      <c r="BW6817">
        <v>200</v>
      </c>
      <c r="BX6817">
        <v>8000</v>
      </c>
      <c r="BY6817" s="30">
        <v>24</v>
      </c>
      <c r="BZ6817">
        <v>352</v>
      </c>
    </row>
    <row r="6818" spans="1:78" x14ac:dyDescent="0.35">
      <c r="A6818" t="s">
        <v>231</v>
      </c>
      <c r="B6818" t="s">
        <v>249</v>
      </c>
      <c r="C6818">
        <v>9032.26</v>
      </c>
      <c r="D6818">
        <v>6000</v>
      </c>
      <c r="E6818">
        <v>1000</v>
      </c>
      <c r="F6818">
        <v>30000</v>
      </c>
      <c r="G6818" s="30">
        <v>31</v>
      </c>
      <c r="H6818">
        <v>4875</v>
      </c>
      <c r="I6818">
        <v>5000</v>
      </c>
      <c r="J6818">
        <v>500</v>
      </c>
      <c r="K6818">
        <v>24000</v>
      </c>
      <c r="L6818" s="30">
        <v>20</v>
      </c>
      <c r="M6818">
        <v>4625</v>
      </c>
      <c r="N6818">
        <v>3000</v>
      </c>
      <c r="O6818">
        <v>2500</v>
      </c>
      <c r="P6818">
        <v>8000</v>
      </c>
      <c r="Q6818" s="30">
        <v>4</v>
      </c>
      <c r="R6818">
        <v>564.16999999999996</v>
      </c>
      <c r="S6818">
        <v>200</v>
      </c>
      <c r="T6818">
        <v>100</v>
      </c>
      <c r="U6818">
        <v>2000</v>
      </c>
      <c r="V6818" s="30">
        <v>12</v>
      </c>
      <c r="W6818">
        <v>520.83000000000004</v>
      </c>
      <c r="X6818">
        <v>500</v>
      </c>
      <c r="Y6818">
        <v>100</v>
      </c>
      <c r="Z6818">
        <v>1000</v>
      </c>
      <c r="AA6818" s="30">
        <v>24</v>
      </c>
      <c r="AB6818">
        <v>882.76</v>
      </c>
      <c r="AC6818">
        <v>800</v>
      </c>
      <c r="AD6818">
        <v>200</v>
      </c>
      <c r="AE6818">
        <v>3000</v>
      </c>
      <c r="AF6818" s="30">
        <v>29</v>
      </c>
      <c r="AG6818">
        <v>861.54</v>
      </c>
      <c r="AH6818">
        <v>1000</v>
      </c>
      <c r="AI6818">
        <v>100</v>
      </c>
      <c r="AJ6818">
        <v>3000</v>
      </c>
      <c r="AK6818" s="30">
        <v>13</v>
      </c>
      <c r="AL6818">
        <v>2428.5700000000002</v>
      </c>
      <c r="AM6818">
        <v>2500</v>
      </c>
      <c r="AN6818">
        <v>500</v>
      </c>
      <c r="AO6818">
        <v>6000</v>
      </c>
      <c r="AP6818" s="30">
        <v>28</v>
      </c>
      <c r="AQ6818">
        <v>2294.7600000000002</v>
      </c>
      <c r="AR6818">
        <v>2000</v>
      </c>
      <c r="AS6818">
        <v>200</v>
      </c>
      <c r="AT6818">
        <v>10000</v>
      </c>
      <c r="AU6818" s="30">
        <v>21</v>
      </c>
      <c r="AV6818">
        <v>733.33</v>
      </c>
      <c r="AW6818">
        <v>1400</v>
      </c>
      <c r="AX6818">
        <v>300</v>
      </c>
      <c r="AY6818">
        <v>1400</v>
      </c>
      <c r="AZ6818" s="30">
        <v>3</v>
      </c>
      <c r="BA6818">
        <v>772.5</v>
      </c>
      <c r="BB6818">
        <v>670</v>
      </c>
      <c r="BC6818">
        <v>150</v>
      </c>
      <c r="BD6818">
        <v>2000</v>
      </c>
      <c r="BE6818" s="30">
        <v>32</v>
      </c>
      <c r="BF6818">
        <v>3150</v>
      </c>
      <c r="BG6818">
        <v>300</v>
      </c>
      <c r="BH6818">
        <v>300</v>
      </c>
      <c r="BI6818">
        <v>6000</v>
      </c>
      <c r="BJ6818" s="30">
        <v>2</v>
      </c>
      <c r="BK6818">
        <v>3586.36</v>
      </c>
      <c r="BL6818">
        <v>2000</v>
      </c>
      <c r="BM6818">
        <v>450</v>
      </c>
      <c r="BN6818">
        <v>20000</v>
      </c>
      <c r="BO6818" s="30">
        <v>11</v>
      </c>
      <c r="BP6818">
        <v>1806.67</v>
      </c>
      <c r="BQ6818">
        <v>800</v>
      </c>
      <c r="BR6818">
        <v>50</v>
      </c>
      <c r="BS6818">
        <v>15000</v>
      </c>
      <c r="BT6818" s="30">
        <v>15</v>
      </c>
      <c r="BU6818">
        <v>6733.33</v>
      </c>
      <c r="BV6818">
        <v>10000</v>
      </c>
      <c r="BW6818">
        <v>1200</v>
      </c>
      <c r="BX6818">
        <v>10000</v>
      </c>
      <c r="BY6818" s="30">
        <v>3</v>
      </c>
      <c r="BZ6818">
        <v>32</v>
      </c>
    </row>
    <row r="6819" spans="1:78" x14ac:dyDescent="0.35">
      <c r="A6819" t="s">
        <v>231</v>
      </c>
      <c r="B6819" t="s">
        <v>248</v>
      </c>
      <c r="C6819">
        <v>7001.83</v>
      </c>
      <c r="D6819">
        <v>5000</v>
      </c>
      <c r="E6819">
        <v>500</v>
      </c>
      <c r="F6819">
        <v>30000</v>
      </c>
      <c r="G6819" s="30">
        <v>109</v>
      </c>
      <c r="H6819">
        <v>3991.53</v>
      </c>
      <c r="I6819">
        <v>3000</v>
      </c>
      <c r="J6819">
        <v>100</v>
      </c>
      <c r="K6819">
        <v>15000</v>
      </c>
      <c r="L6819" s="30">
        <v>59</v>
      </c>
      <c r="M6819">
        <v>5987.2</v>
      </c>
      <c r="N6819">
        <v>6000</v>
      </c>
      <c r="O6819">
        <v>500</v>
      </c>
      <c r="P6819">
        <v>13000</v>
      </c>
      <c r="Q6819" s="30">
        <v>20</v>
      </c>
      <c r="R6819">
        <v>459.29</v>
      </c>
      <c r="S6819">
        <v>300</v>
      </c>
      <c r="T6819">
        <v>50</v>
      </c>
      <c r="U6819">
        <v>2500</v>
      </c>
      <c r="V6819" s="30">
        <v>56</v>
      </c>
      <c r="W6819">
        <v>667.16</v>
      </c>
      <c r="X6819">
        <v>500</v>
      </c>
      <c r="Y6819">
        <v>50</v>
      </c>
      <c r="Z6819">
        <v>2000</v>
      </c>
      <c r="AA6819" s="30">
        <v>56</v>
      </c>
      <c r="AB6819">
        <v>872.23</v>
      </c>
      <c r="AC6819">
        <v>500</v>
      </c>
      <c r="AD6819">
        <v>100</v>
      </c>
      <c r="AE6819">
        <v>5000</v>
      </c>
      <c r="AF6819" s="30">
        <v>90</v>
      </c>
      <c r="AG6819">
        <v>615.69000000000005</v>
      </c>
      <c r="AH6819">
        <v>500</v>
      </c>
      <c r="AI6819">
        <v>100</v>
      </c>
      <c r="AJ6819">
        <v>3000</v>
      </c>
      <c r="AK6819" s="30">
        <v>51</v>
      </c>
      <c r="AL6819">
        <v>1937.19</v>
      </c>
      <c r="AM6819">
        <v>1700</v>
      </c>
      <c r="AN6819">
        <v>300</v>
      </c>
      <c r="AO6819">
        <v>6000</v>
      </c>
      <c r="AP6819" s="30">
        <v>108</v>
      </c>
      <c r="AQ6819">
        <v>1741.57</v>
      </c>
      <c r="AR6819">
        <v>620</v>
      </c>
      <c r="AS6819">
        <v>50</v>
      </c>
      <c r="AT6819">
        <v>30000</v>
      </c>
      <c r="AU6819" s="30">
        <v>83</v>
      </c>
      <c r="AV6819">
        <v>491.67</v>
      </c>
      <c r="AW6819">
        <v>500</v>
      </c>
      <c r="AX6819">
        <v>100</v>
      </c>
      <c r="AY6819">
        <v>1500</v>
      </c>
      <c r="AZ6819" s="30">
        <v>18</v>
      </c>
      <c r="BA6819">
        <v>553.12</v>
      </c>
      <c r="BB6819">
        <v>500</v>
      </c>
      <c r="BC6819">
        <v>50</v>
      </c>
      <c r="BD6819">
        <v>2000</v>
      </c>
      <c r="BE6819" s="30">
        <v>117</v>
      </c>
      <c r="BF6819">
        <v>2957.14</v>
      </c>
      <c r="BG6819">
        <v>3000</v>
      </c>
      <c r="BH6819">
        <v>700</v>
      </c>
      <c r="BI6819">
        <v>10000</v>
      </c>
      <c r="BJ6819" s="30">
        <v>7</v>
      </c>
      <c r="BK6819">
        <v>5396.3</v>
      </c>
      <c r="BL6819">
        <v>2000</v>
      </c>
      <c r="BM6819">
        <v>200</v>
      </c>
      <c r="BN6819">
        <v>30000</v>
      </c>
      <c r="BO6819" s="30">
        <v>27</v>
      </c>
      <c r="BP6819">
        <v>1296.07</v>
      </c>
      <c r="BQ6819">
        <v>500</v>
      </c>
      <c r="BR6819">
        <v>100</v>
      </c>
      <c r="BS6819">
        <v>8500</v>
      </c>
      <c r="BT6819" s="30">
        <v>56</v>
      </c>
      <c r="BU6819">
        <v>783.33</v>
      </c>
      <c r="BV6819">
        <v>800</v>
      </c>
      <c r="BW6819">
        <v>200</v>
      </c>
      <c r="BX6819">
        <v>2000</v>
      </c>
      <c r="BY6819" s="30">
        <v>6</v>
      </c>
      <c r="BZ6819">
        <v>117</v>
      </c>
    </row>
    <row r="6820" spans="1:78" x14ac:dyDescent="0.35">
      <c r="A6820" t="s">
        <v>232</v>
      </c>
      <c r="B6820" t="s">
        <v>232</v>
      </c>
      <c r="C6820">
        <v>7868.72</v>
      </c>
      <c r="D6820">
        <v>6000</v>
      </c>
      <c r="E6820">
        <v>200</v>
      </c>
      <c r="F6820">
        <v>30000</v>
      </c>
      <c r="G6820" s="30">
        <v>2369</v>
      </c>
      <c r="H6820">
        <v>4052.31</v>
      </c>
      <c r="I6820">
        <v>3000</v>
      </c>
      <c r="J6820">
        <v>100</v>
      </c>
      <c r="K6820">
        <v>60000</v>
      </c>
      <c r="L6820" s="30">
        <v>1077</v>
      </c>
      <c r="M6820">
        <v>5938.14</v>
      </c>
      <c r="N6820">
        <v>5000</v>
      </c>
      <c r="O6820">
        <v>183</v>
      </c>
      <c r="P6820">
        <v>16000</v>
      </c>
      <c r="Q6820" s="30">
        <v>345</v>
      </c>
      <c r="R6820">
        <v>468.12</v>
      </c>
      <c r="S6820">
        <v>300</v>
      </c>
      <c r="T6820">
        <v>50</v>
      </c>
      <c r="U6820">
        <v>3000</v>
      </c>
      <c r="V6820" s="30">
        <v>1180</v>
      </c>
      <c r="W6820">
        <v>542.04</v>
      </c>
      <c r="X6820">
        <v>401</v>
      </c>
      <c r="Y6820">
        <v>30</v>
      </c>
      <c r="Z6820">
        <v>3000</v>
      </c>
      <c r="AA6820" s="30">
        <v>1265</v>
      </c>
      <c r="AB6820">
        <v>868.78</v>
      </c>
      <c r="AC6820">
        <v>500</v>
      </c>
      <c r="AD6820">
        <v>100</v>
      </c>
      <c r="AE6820">
        <v>5000</v>
      </c>
      <c r="AF6820" s="30">
        <v>1926</v>
      </c>
      <c r="AG6820">
        <v>667.4</v>
      </c>
      <c r="AH6820">
        <v>500</v>
      </c>
      <c r="AI6820">
        <v>100</v>
      </c>
      <c r="AJ6820">
        <v>5000</v>
      </c>
      <c r="AK6820" s="30">
        <v>856</v>
      </c>
      <c r="AL6820">
        <v>2130.96</v>
      </c>
      <c r="AM6820">
        <v>2000</v>
      </c>
      <c r="AN6820">
        <v>300</v>
      </c>
      <c r="AO6820">
        <v>9100</v>
      </c>
      <c r="AP6820" s="30">
        <v>2431</v>
      </c>
      <c r="AQ6820">
        <v>2285.5300000000002</v>
      </c>
      <c r="AR6820">
        <v>1000</v>
      </c>
      <c r="AS6820">
        <v>50</v>
      </c>
      <c r="AT6820">
        <v>30000</v>
      </c>
      <c r="AU6820" s="30">
        <v>1520</v>
      </c>
      <c r="AV6820">
        <v>776.74</v>
      </c>
      <c r="AW6820">
        <v>500</v>
      </c>
      <c r="AX6820">
        <v>100</v>
      </c>
      <c r="AY6820">
        <v>3000</v>
      </c>
      <c r="AZ6820" s="30">
        <v>266</v>
      </c>
      <c r="BA6820">
        <v>615.85</v>
      </c>
      <c r="BB6820">
        <v>500</v>
      </c>
      <c r="BC6820">
        <v>50</v>
      </c>
      <c r="BD6820">
        <v>2800</v>
      </c>
      <c r="BE6820" s="30">
        <v>2479</v>
      </c>
      <c r="BF6820">
        <v>3040.04</v>
      </c>
      <c r="BG6820">
        <v>2000</v>
      </c>
      <c r="BH6820">
        <v>200</v>
      </c>
      <c r="BI6820">
        <v>10000</v>
      </c>
      <c r="BJ6820" s="30">
        <v>132</v>
      </c>
      <c r="BK6820">
        <v>4895.0200000000004</v>
      </c>
      <c r="BL6820">
        <v>2000</v>
      </c>
      <c r="BM6820">
        <v>100</v>
      </c>
      <c r="BN6820">
        <v>30000</v>
      </c>
      <c r="BO6820" s="30">
        <v>461</v>
      </c>
      <c r="BP6820">
        <v>1288.5999999999999</v>
      </c>
      <c r="BQ6820">
        <v>600</v>
      </c>
      <c r="BR6820">
        <v>50</v>
      </c>
      <c r="BS6820">
        <v>30000</v>
      </c>
      <c r="BT6820" s="30">
        <v>1296</v>
      </c>
      <c r="BU6820">
        <v>3251.2</v>
      </c>
      <c r="BV6820">
        <v>2500</v>
      </c>
      <c r="BW6820">
        <v>100</v>
      </c>
      <c r="BX6820">
        <v>10000</v>
      </c>
      <c r="BY6820" s="30">
        <v>124</v>
      </c>
      <c r="BZ6820">
        <v>2479</v>
      </c>
    </row>
    <row r="6822" spans="1:78" x14ac:dyDescent="0.35">
      <c r="A6822" s="1" t="s">
        <v>971</v>
      </c>
    </row>
    <row r="6823" spans="1:78" x14ac:dyDescent="0.35">
      <c r="A6823" t="s">
        <v>219</v>
      </c>
      <c r="B6823" t="s">
        <v>305</v>
      </c>
      <c r="C6823" t="s">
        <v>889</v>
      </c>
      <c r="D6823" t="s">
        <v>890</v>
      </c>
      <c r="E6823" t="s">
        <v>891</v>
      </c>
      <c r="F6823" t="s">
        <v>892</v>
      </c>
      <c r="G6823" t="s">
        <v>893</v>
      </c>
      <c r="H6823" t="s">
        <v>894</v>
      </c>
      <c r="I6823" t="s">
        <v>895</v>
      </c>
      <c r="J6823" t="s">
        <v>896</v>
      </c>
      <c r="K6823" t="s">
        <v>897</v>
      </c>
      <c r="L6823" t="s">
        <v>898</v>
      </c>
      <c r="M6823" t="s">
        <v>899</v>
      </c>
      <c r="N6823" t="s">
        <v>900</v>
      </c>
      <c r="O6823" t="s">
        <v>901</v>
      </c>
      <c r="P6823" t="s">
        <v>902</v>
      </c>
      <c r="Q6823" t="s">
        <v>903</v>
      </c>
      <c r="R6823" t="s">
        <v>904</v>
      </c>
      <c r="S6823" t="s">
        <v>905</v>
      </c>
      <c r="T6823" t="s">
        <v>906</v>
      </c>
      <c r="U6823" t="s">
        <v>907</v>
      </c>
      <c r="V6823" t="s">
        <v>908</v>
      </c>
      <c r="W6823" t="s">
        <v>909</v>
      </c>
      <c r="X6823" t="s">
        <v>910</v>
      </c>
      <c r="Y6823" t="s">
        <v>911</v>
      </c>
      <c r="Z6823" t="s">
        <v>912</v>
      </c>
      <c r="AA6823" t="s">
        <v>913</v>
      </c>
      <c r="AB6823" t="s">
        <v>914</v>
      </c>
      <c r="AC6823" t="s">
        <v>915</v>
      </c>
      <c r="AD6823" t="s">
        <v>916</v>
      </c>
      <c r="AE6823" t="s">
        <v>917</v>
      </c>
      <c r="AF6823" t="s">
        <v>918</v>
      </c>
      <c r="AG6823" t="s">
        <v>919</v>
      </c>
      <c r="AH6823" t="s">
        <v>920</v>
      </c>
      <c r="AI6823" t="s">
        <v>921</v>
      </c>
      <c r="AJ6823" t="s">
        <v>922</v>
      </c>
      <c r="AK6823" t="s">
        <v>923</v>
      </c>
      <c r="AL6823" t="s">
        <v>924</v>
      </c>
      <c r="AM6823" t="s">
        <v>925</v>
      </c>
      <c r="AN6823" t="s">
        <v>926</v>
      </c>
      <c r="AO6823" t="s">
        <v>927</v>
      </c>
      <c r="AP6823" t="s">
        <v>928</v>
      </c>
      <c r="AQ6823" t="s">
        <v>929</v>
      </c>
      <c r="AR6823" t="s">
        <v>930</v>
      </c>
      <c r="AS6823" t="s">
        <v>931</v>
      </c>
      <c r="AT6823" t="s">
        <v>932</v>
      </c>
      <c r="AU6823" t="s">
        <v>933</v>
      </c>
      <c r="AV6823" t="s">
        <v>934</v>
      </c>
      <c r="AW6823" t="s">
        <v>935</v>
      </c>
      <c r="AX6823" t="s">
        <v>936</v>
      </c>
      <c r="AY6823" t="s">
        <v>937</v>
      </c>
      <c r="AZ6823" t="s">
        <v>938</v>
      </c>
      <c r="BA6823" t="s">
        <v>939</v>
      </c>
      <c r="BB6823" t="s">
        <v>940</v>
      </c>
      <c r="BC6823" t="s">
        <v>941</v>
      </c>
      <c r="BD6823" t="s">
        <v>942</v>
      </c>
      <c r="BE6823" t="s">
        <v>943</v>
      </c>
      <c r="BF6823" t="s">
        <v>944</v>
      </c>
      <c r="BG6823" t="s">
        <v>945</v>
      </c>
      <c r="BH6823" t="s">
        <v>946</v>
      </c>
      <c r="BI6823" t="s">
        <v>947</v>
      </c>
      <c r="BJ6823" t="s">
        <v>948</v>
      </c>
      <c r="BK6823" t="s">
        <v>949</v>
      </c>
      <c r="BL6823" t="s">
        <v>950</v>
      </c>
      <c r="BM6823" t="s">
        <v>951</v>
      </c>
      <c r="BN6823" t="s">
        <v>952</v>
      </c>
      <c r="BO6823" t="s">
        <v>953</v>
      </c>
      <c r="BP6823" t="s">
        <v>954</v>
      </c>
      <c r="BQ6823" t="s">
        <v>955</v>
      </c>
      <c r="BR6823" t="s">
        <v>956</v>
      </c>
      <c r="BS6823" t="s">
        <v>957</v>
      </c>
      <c r="BT6823" t="s">
        <v>958</v>
      </c>
      <c r="BU6823" t="s">
        <v>959</v>
      </c>
      <c r="BV6823" t="s">
        <v>960</v>
      </c>
      <c r="BW6823" t="s">
        <v>961</v>
      </c>
      <c r="BX6823" t="s">
        <v>962</v>
      </c>
      <c r="BY6823" t="s">
        <v>963</v>
      </c>
      <c r="BZ6823" t="s">
        <v>964</v>
      </c>
    </row>
    <row r="6824" spans="1:78" x14ac:dyDescent="0.35">
      <c r="A6824" s="27" t="s">
        <v>227</v>
      </c>
      <c r="B6824" s="27" t="s">
        <v>263</v>
      </c>
      <c r="C6824" s="29">
        <v>5333.33</v>
      </c>
      <c r="D6824" s="29">
        <v>8000</v>
      </c>
      <c r="E6824" s="29">
        <v>1000</v>
      </c>
      <c r="F6824" s="29">
        <v>8000</v>
      </c>
      <c r="G6824" s="29">
        <v>3</v>
      </c>
      <c r="H6824" s="29">
        <v>2199.5</v>
      </c>
      <c r="I6824" s="29">
        <v>1599</v>
      </c>
      <c r="J6824" s="29">
        <v>1599</v>
      </c>
      <c r="K6824" s="29">
        <v>2800</v>
      </c>
      <c r="L6824" s="29">
        <v>2</v>
      </c>
      <c r="M6824" s="29">
        <v>3500</v>
      </c>
      <c r="N6824" s="29">
        <v>2000</v>
      </c>
      <c r="O6824" s="29">
        <v>2000</v>
      </c>
      <c r="P6824" s="29">
        <v>5000</v>
      </c>
      <c r="Q6824" s="29">
        <v>2</v>
      </c>
      <c r="R6824" s="29">
        <v>600</v>
      </c>
      <c r="S6824" s="29">
        <v>600</v>
      </c>
      <c r="T6824" s="29">
        <v>600</v>
      </c>
      <c r="U6824" s="29">
        <v>600</v>
      </c>
      <c r="V6824" s="29">
        <v>2</v>
      </c>
      <c r="W6824" s="29">
        <v>333.33</v>
      </c>
      <c r="X6824" s="29">
        <v>700</v>
      </c>
      <c r="Y6824" s="29">
        <v>50</v>
      </c>
      <c r="Z6824" s="29">
        <v>700</v>
      </c>
      <c r="AA6824" s="29">
        <v>3</v>
      </c>
      <c r="AB6824" s="29">
        <v>550</v>
      </c>
      <c r="AC6824" s="29">
        <v>950</v>
      </c>
      <c r="AD6824" s="29">
        <v>100</v>
      </c>
      <c r="AE6824" s="29">
        <v>950</v>
      </c>
      <c r="AF6824" s="29">
        <v>3</v>
      </c>
      <c r="AG6824" s="29">
        <v>350</v>
      </c>
      <c r="AH6824" s="29">
        <v>100</v>
      </c>
      <c r="AI6824" s="29">
        <v>100</v>
      </c>
      <c r="AJ6824" s="29">
        <v>600</v>
      </c>
      <c r="AK6824" s="29">
        <v>2</v>
      </c>
      <c r="AL6824" s="29">
        <v>1650</v>
      </c>
      <c r="AM6824" s="29">
        <v>2300</v>
      </c>
      <c r="AN6824" s="29">
        <v>650</v>
      </c>
      <c r="AO6824" s="29">
        <v>2300</v>
      </c>
      <c r="AP6824" s="29">
        <v>3</v>
      </c>
      <c r="AQ6824" s="29">
        <v>1733.33</v>
      </c>
      <c r="AR6824" s="29">
        <v>2700</v>
      </c>
      <c r="AS6824" s="29">
        <v>500</v>
      </c>
      <c r="AT6824" s="29">
        <v>2700</v>
      </c>
      <c r="AU6824" s="29">
        <v>3</v>
      </c>
      <c r="AV6824" s="29"/>
      <c r="AW6824" s="29"/>
      <c r="AX6824" s="29"/>
      <c r="AY6824" s="29"/>
      <c r="AZ6824" s="29"/>
      <c r="BA6824" s="29">
        <v>491.67</v>
      </c>
      <c r="BB6824" s="29">
        <v>875</v>
      </c>
      <c r="BC6824" s="29">
        <v>100</v>
      </c>
      <c r="BD6824" s="29">
        <v>875</v>
      </c>
      <c r="BE6824" s="29">
        <v>3</v>
      </c>
      <c r="BF6824" s="29"/>
      <c r="BG6824" s="29"/>
      <c r="BH6824" s="29"/>
      <c r="BI6824" s="29"/>
      <c r="BJ6824" s="29"/>
      <c r="BK6824" s="29">
        <v>1500</v>
      </c>
      <c r="BL6824" s="29">
        <v>1200</v>
      </c>
      <c r="BM6824" s="29">
        <v>1200</v>
      </c>
      <c r="BN6824" s="29">
        <v>1800</v>
      </c>
      <c r="BO6824" s="29">
        <v>2</v>
      </c>
      <c r="BP6824" s="29">
        <v>1400</v>
      </c>
      <c r="BQ6824" s="29">
        <v>1000</v>
      </c>
      <c r="BR6824" s="29">
        <v>1000</v>
      </c>
      <c r="BS6824" s="29">
        <v>1800</v>
      </c>
      <c r="BT6824" s="29">
        <v>2</v>
      </c>
      <c r="BU6824" s="29">
        <v>6000</v>
      </c>
      <c r="BV6824" s="29">
        <v>5000</v>
      </c>
      <c r="BW6824" s="29">
        <v>5000</v>
      </c>
      <c r="BX6824" s="29">
        <v>7000</v>
      </c>
      <c r="BY6824" s="29">
        <v>2</v>
      </c>
      <c r="BZ6824" s="29">
        <v>3</v>
      </c>
    </row>
    <row r="6825" spans="1:78" x14ac:dyDescent="0.35">
      <c r="A6825" s="27" t="s">
        <v>227</v>
      </c>
      <c r="B6825" s="27" t="s">
        <v>262</v>
      </c>
      <c r="C6825" s="29">
        <v>3000</v>
      </c>
      <c r="D6825" s="29">
        <v>2000</v>
      </c>
      <c r="E6825" s="29">
        <v>2000</v>
      </c>
      <c r="F6825" s="29">
        <v>4000</v>
      </c>
      <c r="G6825" s="29">
        <v>2</v>
      </c>
      <c r="H6825" s="29">
        <v>1000</v>
      </c>
      <c r="I6825" s="29">
        <v>1000</v>
      </c>
      <c r="J6825" s="29">
        <v>1000</v>
      </c>
      <c r="K6825" s="29">
        <v>1000</v>
      </c>
      <c r="L6825" s="29">
        <v>2</v>
      </c>
      <c r="M6825" s="29">
        <v>6000</v>
      </c>
      <c r="N6825" s="29">
        <v>6000</v>
      </c>
      <c r="O6825" s="29">
        <v>6000</v>
      </c>
      <c r="P6825" s="29">
        <v>6000</v>
      </c>
      <c r="Q6825" s="29">
        <v>1</v>
      </c>
      <c r="R6825" s="29">
        <v>300</v>
      </c>
      <c r="S6825" s="29">
        <v>300</v>
      </c>
      <c r="T6825" s="29">
        <v>300</v>
      </c>
      <c r="U6825" s="29">
        <v>300</v>
      </c>
      <c r="V6825" s="29">
        <v>2</v>
      </c>
      <c r="W6825" s="29">
        <v>450</v>
      </c>
      <c r="X6825" s="29">
        <v>400</v>
      </c>
      <c r="Y6825" s="29">
        <v>400</v>
      </c>
      <c r="Z6825" s="29">
        <v>500</v>
      </c>
      <c r="AA6825" s="29">
        <v>2</v>
      </c>
      <c r="AB6825" s="29">
        <v>750</v>
      </c>
      <c r="AC6825" s="29">
        <v>500</v>
      </c>
      <c r="AD6825" s="29">
        <v>500</v>
      </c>
      <c r="AE6825" s="29">
        <v>1000</v>
      </c>
      <c r="AF6825" s="29">
        <v>2</v>
      </c>
      <c r="AG6825" s="29"/>
      <c r="AH6825" s="29"/>
      <c r="AI6825" s="29"/>
      <c r="AJ6825" s="29"/>
      <c r="AK6825" s="29"/>
      <c r="AL6825" s="29">
        <v>2133.33</v>
      </c>
      <c r="AM6825" s="29">
        <v>3000</v>
      </c>
      <c r="AN6825" s="29">
        <v>900</v>
      </c>
      <c r="AO6825" s="29">
        <v>3000</v>
      </c>
      <c r="AP6825" s="29">
        <v>3</v>
      </c>
      <c r="AQ6825" s="29">
        <v>1600</v>
      </c>
      <c r="AR6825" s="29">
        <v>200</v>
      </c>
      <c r="AS6825" s="29">
        <v>200</v>
      </c>
      <c r="AT6825" s="29">
        <v>3000</v>
      </c>
      <c r="AU6825" s="29">
        <v>2</v>
      </c>
      <c r="AV6825" s="29"/>
      <c r="AW6825" s="29"/>
      <c r="AX6825" s="29"/>
      <c r="AY6825" s="29"/>
      <c r="AZ6825" s="29"/>
      <c r="BA6825" s="29">
        <v>800</v>
      </c>
      <c r="BB6825" s="29">
        <v>600</v>
      </c>
      <c r="BC6825" s="29">
        <v>600</v>
      </c>
      <c r="BD6825" s="29">
        <v>1000</v>
      </c>
      <c r="BE6825" s="29">
        <v>2</v>
      </c>
      <c r="BF6825" s="29"/>
      <c r="BG6825" s="29"/>
      <c r="BH6825" s="29"/>
      <c r="BI6825" s="29"/>
      <c r="BJ6825" s="29"/>
      <c r="BK6825" s="29">
        <v>3500</v>
      </c>
      <c r="BL6825" s="29">
        <v>1000</v>
      </c>
      <c r="BM6825" s="29">
        <v>1000</v>
      </c>
      <c r="BN6825" s="29">
        <v>6000</v>
      </c>
      <c r="BO6825" s="29">
        <v>2</v>
      </c>
      <c r="BP6825" s="29">
        <v>1500</v>
      </c>
      <c r="BQ6825" s="29">
        <v>1000</v>
      </c>
      <c r="BR6825" s="29">
        <v>1000</v>
      </c>
      <c r="BS6825" s="29">
        <v>2000</v>
      </c>
      <c r="BT6825" s="29">
        <v>2</v>
      </c>
      <c r="BU6825" s="29"/>
      <c r="BV6825" s="29"/>
      <c r="BW6825" s="29"/>
      <c r="BX6825" s="29"/>
      <c r="BY6825" s="29"/>
      <c r="BZ6825" s="29">
        <v>3</v>
      </c>
    </row>
    <row r="6826" spans="1:78" x14ac:dyDescent="0.35">
      <c r="A6826" t="s">
        <v>227</v>
      </c>
      <c r="B6826" t="s">
        <v>260</v>
      </c>
      <c r="C6826">
        <v>6108.72</v>
      </c>
      <c r="D6826">
        <v>5000</v>
      </c>
      <c r="E6826">
        <v>500</v>
      </c>
      <c r="F6826">
        <v>30000</v>
      </c>
      <c r="G6826" s="30">
        <v>109</v>
      </c>
      <c r="H6826">
        <v>3588.09</v>
      </c>
      <c r="I6826">
        <v>3000</v>
      </c>
      <c r="J6826">
        <v>119</v>
      </c>
      <c r="K6826">
        <v>30000</v>
      </c>
      <c r="L6826" s="30">
        <v>53</v>
      </c>
      <c r="M6826">
        <v>6800</v>
      </c>
      <c r="N6826">
        <v>8000</v>
      </c>
      <c r="O6826">
        <v>2000</v>
      </c>
      <c r="P6826">
        <v>12000</v>
      </c>
      <c r="Q6826" s="30">
        <v>5</v>
      </c>
      <c r="R6826">
        <v>343.86</v>
      </c>
      <c r="S6826">
        <v>200</v>
      </c>
      <c r="T6826">
        <v>50</v>
      </c>
      <c r="U6826">
        <v>2000</v>
      </c>
      <c r="V6826" s="30">
        <v>57</v>
      </c>
      <c r="W6826">
        <v>562.29</v>
      </c>
      <c r="X6826">
        <v>300</v>
      </c>
      <c r="Y6826">
        <v>50</v>
      </c>
      <c r="Z6826">
        <v>2000</v>
      </c>
      <c r="AA6826" s="30">
        <v>62</v>
      </c>
      <c r="AB6826">
        <v>796.11</v>
      </c>
      <c r="AC6826">
        <v>600</v>
      </c>
      <c r="AD6826">
        <v>100</v>
      </c>
      <c r="AE6826">
        <v>5000</v>
      </c>
      <c r="AF6826" s="30">
        <v>90</v>
      </c>
      <c r="AG6826">
        <v>564.34</v>
      </c>
      <c r="AH6826">
        <v>400</v>
      </c>
      <c r="AI6826">
        <v>100</v>
      </c>
      <c r="AJ6826">
        <v>3000</v>
      </c>
      <c r="AK6826" s="30">
        <v>38</v>
      </c>
      <c r="AL6826">
        <v>1904.83</v>
      </c>
      <c r="AM6826">
        <v>1500</v>
      </c>
      <c r="AN6826">
        <v>350</v>
      </c>
      <c r="AO6826">
        <v>8000</v>
      </c>
      <c r="AP6826" s="30">
        <v>114</v>
      </c>
      <c r="AQ6826">
        <v>2695.35</v>
      </c>
      <c r="AR6826">
        <v>1000</v>
      </c>
      <c r="AS6826">
        <v>50</v>
      </c>
      <c r="AT6826">
        <v>30000</v>
      </c>
      <c r="AU6826" s="30">
        <v>77</v>
      </c>
      <c r="AV6826">
        <v>1118.8900000000001</v>
      </c>
      <c r="AW6826">
        <v>1000</v>
      </c>
      <c r="AX6826">
        <v>200</v>
      </c>
      <c r="AY6826">
        <v>3000</v>
      </c>
      <c r="AZ6826" s="30">
        <v>18</v>
      </c>
      <c r="BA6826">
        <v>540.15</v>
      </c>
      <c r="BB6826">
        <v>500</v>
      </c>
      <c r="BC6826">
        <v>100</v>
      </c>
      <c r="BD6826">
        <v>2500</v>
      </c>
      <c r="BE6826" s="30">
        <v>112</v>
      </c>
      <c r="BF6826">
        <v>2985.71</v>
      </c>
      <c r="BG6826">
        <v>3000</v>
      </c>
      <c r="BH6826">
        <v>400</v>
      </c>
      <c r="BI6826">
        <v>6500</v>
      </c>
      <c r="BJ6826" s="30">
        <v>7</v>
      </c>
      <c r="BK6826">
        <v>4949.5200000000004</v>
      </c>
      <c r="BL6826">
        <v>3000</v>
      </c>
      <c r="BM6826">
        <v>300</v>
      </c>
      <c r="BN6826">
        <v>25000</v>
      </c>
      <c r="BO6826" s="30">
        <v>27</v>
      </c>
      <c r="BP6826">
        <v>768.11</v>
      </c>
      <c r="BQ6826">
        <v>500</v>
      </c>
      <c r="BR6826">
        <v>50</v>
      </c>
      <c r="BS6826">
        <v>3500</v>
      </c>
      <c r="BT6826" s="30">
        <v>71</v>
      </c>
      <c r="BU6826">
        <v>4258.33</v>
      </c>
      <c r="BV6826">
        <v>5550</v>
      </c>
      <c r="BW6826">
        <v>1000</v>
      </c>
      <c r="BX6826">
        <v>7500</v>
      </c>
      <c r="BY6826" s="30">
        <v>6</v>
      </c>
      <c r="BZ6826">
        <v>114</v>
      </c>
    </row>
    <row r="6827" spans="1:78" x14ac:dyDescent="0.35">
      <c r="A6827" s="27" t="s">
        <v>227</v>
      </c>
      <c r="B6827" s="27" t="s">
        <v>261</v>
      </c>
      <c r="C6827" s="29">
        <v>6637.64</v>
      </c>
      <c r="D6827" s="29">
        <v>6300</v>
      </c>
      <c r="E6827" s="29">
        <v>1500</v>
      </c>
      <c r="F6827" s="29">
        <v>16322</v>
      </c>
      <c r="G6827" s="29">
        <v>28</v>
      </c>
      <c r="H6827" s="29">
        <v>3877.78</v>
      </c>
      <c r="I6827" s="29">
        <v>5000</v>
      </c>
      <c r="J6827" s="29">
        <v>400</v>
      </c>
      <c r="K6827" s="29">
        <v>10000</v>
      </c>
      <c r="L6827" s="29">
        <v>9</v>
      </c>
      <c r="M6827" s="29">
        <v>4261.1099999999997</v>
      </c>
      <c r="N6827" s="29">
        <v>4200</v>
      </c>
      <c r="O6827" s="29">
        <v>1000</v>
      </c>
      <c r="P6827" s="29">
        <v>8000</v>
      </c>
      <c r="Q6827" s="29">
        <v>18</v>
      </c>
      <c r="R6827" s="29">
        <v>360</v>
      </c>
      <c r="S6827" s="29">
        <v>300</v>
      </c>
      <c r="T6827" s="29">
        <v>50</v>
      </c>
      <c r="U6827" s="29">
        <v>2000</v>
      </c>
      <c r="V6827" s="29">
        <v>23</v>
      </c>
      <c r="W6827" s="29">
        <v>474.5</v>
      </c>
      <c r="X6827" s="29">
        <v>300</v>
      </c>
      <c r="Y6827" s="29">
        <v>94</v>
      </c>
      <c r="Z6827" s="29">
        <v>1500</v>
      </c>
      <c r="AA6827" s="29">
        <v>12</v>
      </c>
      <c r="AB6827" s="29">
        <v>755.62</v>
      </c>
      <c r="AC6827" s="29">
        <v>500</v>
      </c>
      <c r="AD6827" s="29">
        <v>200</v>
      </c>
      <c r="AE6827" s="29">
        <v>4000</v>
      </c>
      <c r="AF6827" s="29">
        <v>26</v>
      </c>
      <c r="AG6827" s="29">
        <v>799.27</v>
      </c>
      <c r="AH6827" s="29">
        <v>500</v>
      </c>
      <c r="AI6827" s="29">
        <v>100</v>
      </c>
      <c r="AJ6827" s="29">
        <v>4000</v>
      </c>
      <c r="AK6827" s="29">
        <v>11</v>
      </c>
      <c r="AL6827" s="29">
        <v>1770.65</v>
      </c>
      <c r="AM6827" s="29">
        <v>1500</v>
      </c>
      <c r="AN6827" s="29">
        <v>560</v>
      </c>
      <c r="AO6827" s="29">
        <v>8000</v>
      </c>
      <c r="AP6827" s="29">
        <v>26</v>
      </c>
      <c r="AQ6827" s="29">
        <v>3568.42</v>
      </c>
      <c r="AR6827" s="29">
        <v>1000</v>
      </c>
      <c r="AS6827" s="29">
        <v>150</v>
      </c>
      <c r="AT6827" s="29">
        <v>30000</v>
      </c>
      <c r="AU6827" s="29">
        <v>19</v>
      </c>
      <c r="AV6827" s="29">
        <v>1037.5</v>
      </c>
      <c r="AW6827" s="29">
        <v>500</v>
      </c>
      <c r="AX6827" s="29">
        <v>500</v>
      </c>
      <c r="AY6827" s="29">
        <v>2500</v>
      </c>
      <c r="AZ6827" s="29">
        <v>4</v>
      </c>
      <c r="BA6827" s="29">
        <v>575.07000000000005</v>
      </c>
      <c r="BB6827" s="29">
        <v>500</v>
      </c>
      <c r="BC6827" s="29">
        <v>192</v>
      </c>
      <c r="BD6827" s="29">
        <v>2000</v>
      </c>
      <c r="BE6827" s="29">
        <v>28</v>
      </c>
      <c r="BF6827" s="29">
        <v>2500</v>
      </c>
      <c r="BG6827" s="29">
        <v>2500</v>
      </c>
      <c r="BH6827" s="29">
        <v>2500</v>
      </c>
      <c r="BI6827" s="29">
        <v>2500</v>
      </c>
      <c r="BJ6827" s="29">
        <v>1</v>
      </c>
      <c r="BK6827" s="29">
        <v>766.67</v>
      </c>
      <c r="BL6827" s="29">
        <v>1000</v>
      </c>
      <c r="BM6827" s="29">
        <v>500</v>
      </c>
      <c r="BN6827" s="29">
        <v>1000</v>
      </c>
      <c r="BO6827" s="29">
        <v>3</v>
      </c>
      <c r="BP6827" s="29">
        <v>626.42999999999995</v>
      </c>
      <c r="BQ6827" s="29">
        <v>300</v>
      </c>
      <c r="BR6827" s="29">
        <v>100</v>
      </c>
      <c r="BS6827" s="29">
        <v>2400</v>
      </c>
      <c r="BT6827" s="29">
        <v>14</v>
      </c>
      <c r="BU6827" s="29">
        <v>1600</v>
      </c>
      <c r="BV6827" s="29">
        <v>700</v>
      </c>
      <c r="BW6827" s="29">
        <v>700</v>
      </c>
      <c r="BX6827" s="29">
        <v>2500</v>
      </c>
      <c r="BY6827" s="29">
        <v>2</v>
      </c>
      <c r="BZ6827" s="29">
        <v>28</v>
      </c>
    </row>
    <row r="6828" spans="1:78" x14ac:dyDescent="0.35">
      <c r="A6828" t="s">
        <v>228</v>
      </c>
      <c r="B6828" t="s">
        <v>262</v>
      </c>
      <c r="C6828">
        <v>9120.36</v>
      </c>
      <c r="D6828">
        <v>7000</v>
      </c>
      <c r="E6828">
        <v>300</v>
      </c>
      <c r="F6828">
        <v>30000</v>
      </c>
      <c r="G6828" s="30">
        <v>158</v>
      </c>
      <c r="H6828">
        <v>3919.46</v>
      </c>
      <c r="I6828">
        <v>3000</v>
      </c>
      <c r="J6828">
        <v>500</v>
      </c>
      <c r="K6828">
        <v>15000</v>
      </c>
      <c r="L6828" s="30">
        <v>69</v>
      </c>
      <c r="M6828">
        <v>4389.3599999999997</v>
      </c>
      <c r="N6828">
        <v>5000</v>
      </c>
      <c r="O6828">
        <v>1500</v>
      </c>
      <c r="P6828">
        <v>8000</v>
      </c>
      <c r="Q6828" s="30">
        <v>11</v>
      </c>
      <c r="R6828">
        <v>472.51</v>
      </c>
      <c r="S6828">
        <v>300</v>
      </c>
      <c r="T6828">
        <v>50</v>
      </c>
      <c r="U6828">
        <v>3000</v>
      </c>
      <c r="V6828" s="30">
        <v>97</v>
      </c>
      <c r="W6828">
        <v>541.39</v>
      </c>
      <c r="X6828">
        <v>300</v>
      </c>
      <c r="Y6828">
        <v>50</v>
      </c>
      <c r="Z6828">
        <v>3000</v>
      </c>
      <c r="AA6828" s="30">
        <v>91</v>
      </c>
      <c r="AB6828">
        <v>719.62</v>
      </c>
      <c r="AC6828">
        <v>500</v>
      </c>
      <c r="AD6828">
        <v>100</v>
      </c>
      <c r="AE6828">
        <v>2000</v>
      </c>
      <c r="AF6828" s="30">
        <v>134</v>
      </c>
      <c r="AG6828">
        <v>685.15</v>
      </c>
      <c r="AH6828">
        <v>500</v>
      </c>
      <c r="AI6828">
        <v>100</v>
      </c>
      <c r="AJ6828">
        <v>5000</v>
      </c>
      <c r="AK6828" s="30">
        <v>59</v>
      </c>
      <c r="AL6828">
        <v>2199.1799999999998</v>
      </c>
      <c r="AM6828">
        <v>2000</v>
      </c>
      <c r="AN6828">
        <v>450</v>
      </c>
      <c r="AO6828">
        <v>7000</v>
      </c>
      <c r="AP6828" s="30">
        <v>182</v>
      </c>
      <c r="AQ6828">
        <v>2621.2399999999998</v>
      </c>
      <c r="AR6828">
        <v>2000</v>
      </c>
      <c r="AS6828">
        <v>52</v>
      </c>
      <c r="AT6828">
        <v>22000</v>
      </c>
      <c r="AU6828" s="30">
        <v>111</v>
      </c>
      <c r="AV6828">
        <v>414.77</v>
      </c>
      <c r="AW6828">
        <v>400</v>
      </c>
      <c r="AX6828">
        <v>100</v>
      </c>
      <c r="AY6828">
        <v>3000</v>
      </c>
      <c r="AZ6828" s="30">
        <v>18</v>
      </c>
      <c r="BA6828">
        <v>704.72</v>
      </c>
      <c r="BB6828">
        <v>600</v>
      </c>
      <c r="BC6828">
        <v>180</v>
      </c>
      <c r="BD6828">
        <v>2500</v>
      </c>
      <c r="BE6828" s="30">
        <v>175</v>
      </c>
      <c r="BF6828">
        <v>2332.9499999999998</v>
      </c>
      <c r="BG6828">
        <v>2000</v>
      </c>
      <c r="BH6828">
        <v>500</v>
      </c>
      <c r="BI6828">
        <v>7000</v>
      </c>
      <c r="BJ6828" s="30">
        <v>18</v>
      </c>
      <c r="BK6828">
        <v>5765.77</v>
      </c>
      <c r="BL6828">
        <v>4000</v>
      </c>
      <c r="BM6828">
        <v>200</v>
      </c>
      <c r="BN6828">
        <v>28000</v>
      </c>
      <c r="BO6828" s="30">
        <v>46</v>
      </c>
      <c r="BP6828">
        <v>1189.18</v>
      </c>
      <c r="BQ6828">
        <v>500</v>
      </c>
      <c r="BR6828">
        <v>50</v>
      </c>
      <c r="BS6828">
        <v>7000</v>
      </c>
      <c r="BT6828" s="30">
        <v>91</v>
      </c>
      <c r="BU6828">
        <v>2447.6</v>
      </c>
      <c r="BV6828">
        <v>3000</v>
      </c>
      <c r="BW6828">
        <v>1200</v>
      </c>
      <c r="BX6828">
        <v>7000</v>
      </c>
      <c r="BY6828" s="30">
        <v>9</v>
      </c>
      <c r="BZ6828">
        <v>182</v>
      </c>
    </row>
    <row r="6829" spans="1:78" x14ac:dyDescent="0.35">
      <c r="A6829" s="27" t="s">
        <v>228</v>
      </c>
      <c r="B6829" s="27" t="s">
        <v>236</v>
      </c>
      <c r="C6829" s="29">
        <v>4797.33</v>
      </c>
      <c r="D6829" s="29">
        <v>8000</v>
      </c>
      <c r="E6829" s="29">
        <v>1000</v>
      </c>
      <c r="F6829" s="29">
        <v>8000</v>
      </c>
      <c r="G6829" s="29">
        <v>4</v>
      </c>
      <c r="H6829" s="29">
        <v>1500</v>
      </c>
      <c r="I6829" s="29">
        <v>1500</v>
      </c>
      <c r="J6829" s="29">
        <v>1500</v>
      </c>
      <c r="K6829" s="29">
        <v>1500</v>
      </c>
      <c r="L6829" s="29">
        <v>1</v>
      </c>
      <c r="M6829" s="29">
        <v>8000</v>
      </c>
      <c r="N6829" s="29">
        <v>8000</v>
      </c>
      <c r="O6829" s="29">
        <v>8000</v>
      </c>
      <c r="P6829" s="29">
        <v>8000</v>
      </c>
      <c r="Q6829" s="29">
        <v>1</v>
      </c>
      <c r="R6829" s="29">
        <v>500</v>
      </c>
      <c r="S6829" s="29">
        <v>500</v>
      </c>
      <c r="T6829" s="29">
        <v>500</v>
      </c>
      <c r="U6829" s="29">
        <v>500</v>
      </c>
      <c r="V6829" s="29">
        <v>1</v>
      </c>
      <c r="W6829" s="29">
        <v>400</v>
      </c>
      <c r="X6829" s="29">
        <v>400</v>
      </c>
      <c r="Y6829" s="29">
        <v>400</v>
      </c>
      <c r="Z6829" s="29">
        <v>400</v>
      </c>
      <c r="AA6829" s="29">
        <v>1</v>
      </c>
      <c r="AB6829" s="29">
        <v>700</v>
      </c>
      <c r="AC6829" s="29">
        <v>700</v>
      </c>
      <c r="AD6829" s="29">
        <v>700</v>
      </c>
      <c r="AE6829" s="29">
        <v>700</v>
      </c>
      <c r="AF6829" s="29">
        <v>1</v>
      </c>
      <c r="AG6829" s="29">
        <v>491.02</v>
      </c>
      <c r="AH6829" s="29">
        <v>200</v>
      </c>
      <c r="AI6829" s="29">
        <v>200</v>
      </c>
      <c r="AJ6829" s="29">
        <v>900</v>
      </c>
      <c r="AK6829" s="29">
        <v>2</v>
      </c>
      <c r="AL6829" s="29">
        <v>1051.97</v>
      </c>
      <c r="AM6829" s="29">
        <v>1000</v>
      </c>
      <c r="AN6829" s="29">
        <v>1000</v>
      </c>
      <c r="AO6829" s="29">
        <v>1500</v>
      </c>
      <c r="AP6829" s="29">
        <v>3</v>
      </c>
      <c r="AQ6829" s="29">
        <v>300</v>
      </c>
      <c r="AR6829" s="29">
        <v>300</v>
      </c>
      <c r="AS6829" s="29">
        <v>300</v>
      </c>
      <c r="AT6829" s="29">
        <v>300</v>
      </c>
      <c r="AU6829" s="29">
        <v>1</v>
      </c>
      <c r="AV6829" s="29"/>
      <c r="AW6829" s="29"/>
      <c r="AX6829" s="29"/>
      <c r="AY6829" s="29"/>
      <c r="AZ6829" s="29"/>
      <c r="BA6829" s="29">
        <v>465.59</v>
      </c>
      <c r="BB6829" s="29">
        <v>440</v>
      </c>
      <c r="BC6829" s="29">
        <v>260</v>
      </c>
      <c r="BD6829" s="29">
        <v>1000</v>
      </c>
      <c r="BE6829" s="29">
        <v>4</v>
      </c>
      <c r="BF6829" s="29"/>
      <c r="BG6829" s="29"/>
      <c r="BH6829" s="29"/>
      <c r="BI6829" s="29"/>
      <c r="BJ6829" s="29"/>
      <c r="BK6829" s="29"/>
      <c r="BL6829" s="29"/>
      <c r="BM6829" s="29"/>
      <c r="BN6829" s="29"/>
      <c r="BO6829" s="29"/>
      <c r="BP6829" s="29"/>
      <c r="BQ6829" s="29"/>
      <c r="BR6829" s="29"/>
      <c r="BS6829" s="29"/>
      <c r="BT6829" s="29"/>
      <c r="BU6829" s="29"/>
      <c r="BV6829" s="29"/>
      <c r="BW6829" s="29"/>
      <c r="BX6829" s="29"/>
      <c r="BY6829" s="29"/>
      <c r="BZ6829" s="29">
        <v>4</v>
      </c>
    </row>
    <row r="6830" spans="1:78" x14ac:dyDescent="0.35">
      <c r="A6830" t="s">
        <v>228</v>
      </c>
      <c r="B6830" t="s">
        <v>260</v>
      </c>
      <c r="C6830">
        <v>7424.78</v>
      </c>
      <c r="D6830">
        <v>5500</v>
      </c>
      <c r="E6830">
        <v>200</v>
      </c>
      <c r="F6830">
        <v>30000</v>
      </c>
      <c r="G6830" s="30">
        <v>485</v>
      </c>
      <c r="H6830">
        <v>3830.27</v>
      </c>
      <c r="I6830">
        <v>3000</v>
      </c>
      <c r="J6830">
        <v>100</v>
      </c>
      <c r="K6830">
        <v>30000</v>
      </c>
      <c r="L6830" s="30">
        <v>183</v>
      </c>
      <c r="M6830">
        <v>5227.7700000000004</v>
      </c>
      <c r="N6830">
        <v>5000</v>
      </c>
      <c r="O6830">
        <v>183</v>
      </c>
      <c r="P6830">
        <v>15000</v>
      </c>
      <c r="Q6830" s="30">
        <v>28</v>
      </c>
      <c r="R6830">
        <v>418.2</v>
      </c>
      <c r="S6830">
        <v>300</v>
      </c>
      <c r="T6830">
        <v>50</v>
      </c>
      <c r="U6830">
        <v>3000</v>
      </c>
      <c r="V6830" s="30">
        <v>247</v>
      </c>
      <c r="W6830">
        <v>449.72</v>
      </c>
      <c r="X6830">
        <v>300</v>
      </c>
      <c r="Y6830">
        <v>50</v>
      </c>
      <c r="Z6830">
        <v>3000</v>
      </c>
      <c r="AA6830" s="30">
        <v>219</v>
      </c>
      <c r="AB6830">
        <v>712.96</v>
      </c>
      <c r="AC6830">
        <v>500</v>
      </c>
      <c r="AD6830">
        <v>100</v>
      </c>
      <c r="AE6830">
        <v>5000</v>
      </c>
      <c r="AF6830" s="30">
        <v>366</v>
      </c>
      <c r="AG6830">
        <v>566.98</v>
      </c>
      <c r="AH6830">
        <v>500</v>
      </c>
      <c r="AI6830">
        <v>100</v>
      </c>
      <c r="AJ6830">
        <v>4000</v>
      </c>
      <c r="AK6830" s="30">
        <v>140</v>
      </c>
      <c r="AL6830">
        <v>2021.82</v>
      </c>
      <c r="AM6830">
        <v>1776</v>
      </c>
      <c r="AN6830">
        <v>300</v>
      </c>
      <c r="AO6830">
        <v>9000</v>
      </c>
      <c r="AP6830" s="30">
        <v>506</v>
      </c>
      <c r="AQ6830">
        <v>2141.5700000000002</v>
      </c>
      <c r="AR6830">
        <v>1000</v>
      </c>
      <c r="AS6830">
        <v>50</v>
      </c>
      <c r="AT6830">
        <v>21000</v>
      </c>
      <c r="AU6830" s="30">
        <v>267</v>
      </c>
      <c r="AV6830">
        <v>784.22</v>
      </c>
      <c r="AW6830">
        <v>500</v>
      </c>
      <c r="AX6830">
        <v>100</v>
      </c>
      <c r="AY6830">
        <v>3000</v>
      </c>
      <c r="AZ6830" s="30">
        <v>41</v>
      </c>
      <c r="BA6830">
        <v>577.63</v>
      </c>
      <c r="BB6830">
        <v>500</v>
      </c>
      <c r="BC6830">
        <v>85</v>
      </c>
      <c r="BD6830">
        <v>2500</v>
      </c>
      <c r="BE6830" s="30">
        <v>513</v>
      </c>
      <c r="BF6830">
        <v>2470.6</v>
      </c>
      <c r="BG6830">
        <v>2000</v>
      </c>
      <c r="BH6830">
        <v>1000</v>
      </c>
      <c r="BI6830">
        <v>5000</v>
      </c>
      <c r="BJ6830" s="30">
        <v>25</v>
      </c>
      <c r="BK6830">
        <v>3489.36</v>
      </c>
      <c r="BL6830">
        <v>2000</v>
      </c>
      <c r="BM6830">
        <v>100</v>
      </c>
      <c r="BN6830">
        <v>30000</v>
      </c>
      <c r="BO6830" s="30">
        <v>65</v>
      </c>
      <c r="BP6830">
        <v>984.97</v>
      </c>
      <c r="BQ6830">
        <v>500</v>
      </c>
      <c r="BR6830">
        <v>50</v>
      </c>
      <c r="BS6830">
        <v>20000</v>
      </c>
      <c r="BT6830" s="30">
        <v>257</v>
      </c>
      <c r="BU6830">
        <v>2121.23</v>
      </c>
      <c r="BV6830">
        <v>1200</v>
      </c>
      <c r="BW6830">
        <v>254</v>
      </c>
      <c r="BX6830">
        <v>7000</v>
      </c>
      <c r="BY6830" s="30">
        <v>22</v>
      </c>
      <c r="BZ6830">
        <v>513</v>
      </c>
    </row>
    <row r="6831" spans="1:78" x14ac:dyDescent="0.35">
      <c r="A6831" s="27" t="s">
        <v>228</v>
      </c>
      <c r="B6831" s="27" t="s">
        <v>263</v>
      </c>
      <c r="C6831" s="29">
        <v>9256.9500000000007</v>
      </c>
      <c r="D6831" s="29">
        <v>6500</v>
      </c>
      <c r="E6831" s="29">
        <v>1500</v>
      </c>
      <c r="F6831" s="29">
        <v>28000</v>
      </c>
      <c r="G6831" s="29">
        <v>23</v>
      </c>
      <c r="H6831" s="29">
        <v>3776.23</v>
      </c>
      <c r="I6831" s="29">
        <v>2000</v>
      </c>
      <c r="J6831" s="29">
        <v>700</v>
      </c>
      <c r="K6831" s="29">
        <v>10000</v>
      </c>
      <c r="L6831" s="29">
        <v>10</v>
      </c>
      <c r="M6831" s="29">
        <v>6305.5</v>
      </c>
      <c r="N6831" s="29">
        <v>10000</v>
      </c>
      <c r="O6831" s="29">
        <v>3000</v>
      </c>
      <c r="P6831" s="29">
        <v>13000</v>
      </c>
      <c r="Q6831" s="29">
        <v>4</v>
      </c>
      <c r="R6831" s="29">
        <v>491.14</v>
      </c>
      <c r="S6831" s="29">
        <v>400</v>
      </c>
      <c r="T6831" s="29">
        <v>60</v>
      </c>
      <c r="U6831" s="29">
        <v>1600</v>
      </c>
      <c r="V6831" s="29">
        <v>14</v>
      </c>
      <c r="W6831" s="29">
        <v>392.4</v>
      </c>
      <c r="X6831" s="29">
        <v>500</v>
      </c>
      <c r="Y6831" s="29">
        <v>150</v>
      </c>
      <c r="Z6831" s="29">
        <v>1000</v>
      </c>
      <c r="AA6831" s="29">
        <v>11</v>
      </c>
      <c r="AB6831" s="29">
        <v>607.54999999999995</v>
      </c>
      <c r="AC6831" s="29">
        <v>500</v>
      </c>
      <c r="AD6831" s="29">
        <v>100</v>
      </c>
      <c r="AE6831" s="29">
        <v>2000</v>
      </c>
      <c r="AF6831" s="29">
        <v>16</v>
      </c>
      <c r="AG6831" s="29">
        <v>907.61</v>
      </c>
      <c r="AH6831" s="29">
        <v>1000</v>
      </c>
      <c r="AI6831" s="29">
        <v>100</v>
      </c>
      <c r="AJ6831" s="29">
        <v>3000</v>
      </c>
      <c r="AK6831" s="29">
        <v>12</v>
      </c>
      <c r="AL6831" s="29">
        <v>2060.9499999999998</v>
      </c>
      <c r="AM6831" s="29">
        <v>2500</v>
      </c>
      <c r="AN6831" s="29">
        <v>338</v>
      </c>
      <c r="AO6831" s="29">
        <v>3500</v>
      </c>
      <c r="AP6831" s="29">
        <v>22</v>
      </c>
      <c r="AQ6831" s="29">
        <v>1630.63</v>
      </c>
      <c r="AR6831" s="29">
        <v>1500</v>
      </c>
      <c r="AS6831" s="29">
        <v>100</v>
      </c>
      <c r="AT6831" s="29">
        <v>4000</v>
      </c>
      <c r="AU6831" s="29">
        <v>12</v>
      </c>
      <c r="AV6831" s="29">
        <v>1116.44</v>
      </c>
      <c r="AW6831" s="29">
        <v>450</v>
      </c>
      <c r="AX6831" s="29">
        <v>450</v>
      </c>
      <c r="AY6831" s="29">
        <v>3000</v>
      </c>
      <c r="AZ6831" s="29">
        <v>2</v>
      </c>
      <c r="BA6831" s="29">
        <v>839.64</v>
      </c>
      <c r="BB6831" s="29">
        <v>1000</v>
      </c>
      <c r="BC6831" s="29">
        <v>185</v>
      </c>
      <c r="BD6831" s="29">
        <v>1700</v>
      </c>
      <c r="BE6831" s="29">
        <v>22</v>
      </c>
      <c r="BF6831" s="29">
        <v>3666.05</v>
      </c>
      <c r="BG6831" s="29">
        <v>3500</v>
      </c>
      <c r="BH6831" s="29">
        <v>3500</v>
      </c>
      <c r="BI6831" s="29">
        <v>4000</v>
      </c>
      <c r="BJ6831" s="29">
        <v>2</v>
      </c>
      <c r="BK6831" s="29">
        <v>5045.8999999999996</v>
      </c>
      <c r="BL6831" s="29">
        <v>20000</v>
      </c>
      <c r="BM6831" s="29">
        <v>2000</v>
      </c>
      <c r="BN6831" s="29">
        <v>20000</v>
      </c>
      <c r="BO6831" s="29">
        <v>4</v>
      </c>
      <c r="BP6831" s="29">
        <v>1315.36</v>
      </c>
      <c r="BQ6831" s="29">
        <v>1000</v>
      </c>
      <c r="BR6831" s="29">
        <v>100</v>
      </c>
      <c r="BS6831" s="29">
        <v>3000</v>
      </c>
      <c r="BT6831" s="29">
        <v>13</v>
      </c>
      <c r="BU6831" s="29"/>
      <c r="BV6831" s="29"/>
      <c r="BW6831" s="29"/>
      <c r="BX6831" s="29"/>
      <c r="BY6831" s="29"/>
      <c r="BZ6831" s="29">
        <v>23</v>
      </c>
    </row>
    <row r="6832" spans="1:78" x14ac:dyDescent="0.35">
      <c r="A6832" t="s">
        <v>228</v>
      </c>
      <c r="B6832" t="s">
        <v>261</v>
      </c>
      <c r="C6832">
        <v>7614.4</v>
      </c>
      <c r="D6832">
        <v>7000</v>
      </c>
      <c r="E6832">
        <v>400</v>
      </c>
      <c r="F6832">
        <v>20000</v>
      </c>
      <c r="G6832" s="30">
        <v>151</v>
      </c>
      <c r="H6832">
        <v>2912</v>
      </c>
      <c r="I6832">
        <v>3000</v>
      </c>
      <c r="J6832">
        <v>300</v>
      </c>
      <c r="K6832">
        <v>8000</v>
      </c>
      <c r="L6832" s="30">
        <v>62</v>
      </c>
      <c r="M6832">
        <v>5812.42</v>
      </c>
      <c r="N6832">
        <v>5000</v>
      </c>
      <c r="O6832">
        <v>300</v>
      </c>
      <c r="P6832">
        <v>16000</v>
      </c>
      <c r="Q6832" s="30">
        <v>86</v>
      </c>
      <c r="R6832">
        <v>530.88</v>
      </c>
      <c r="S6832">
        <v>400</v>
      </c>
      <c r="T6832">
        <v>50</v>
      </c>
      <c r="U6832">
        <v>3000</v>
      </c>
      <c r="V6832" s="30">
        <v>89</v>
      </c>
      <c r="W6832">
        <v>563.91999999999996</v>
      </c>
      <c r="X6832">
        <v>500</v>
      </c>
      <c r="Y6832">
        <v>60</v>
      </c>
      <c r="Z6832">
        <v>2000</v>
      </c>
      <c r="AA6832" s="30">
        <v>81</v>
      </c>
      <c r="AB6832">
        <v>800.86</v>
      </c>
      <c r="AC6832">
        <v>500</v>
      </c>
      <c r="AD6832">
        <v>100</v>
      </c>
      <c r="AE6832">
        <v>3000</v>
      </c>
      <c r="AF6832" s="30">
        <v>114</v>
      </c>
      <c r="AG6832">
        <v>756.85</v>
      </c>
      <c r="AH6832">
        <v>500</v>
      </c>
      <c r="AI6832">
        <v>100</v>
      </c>
      <c r="AJ6832">
        <v>3000</v>
      </c>
      <c r="AK6832" s="30">
        <v>52</v>
      </c>
      <c r="AL6832">
        <v>1981.99</v>
      </c>
      <c r="AM6832">
        <v>1600</v>
      </c>
      <c r="AN6832">
        <v>300</v>
      </c>
      <c r="AO6832">
        <v>6000</v>
      </c>
      <c r="AP6832" s="30">
        <v>147</v>
      </c>
      <c r="AQ6832">
        <v>2392.02</v>
      </c>
      <c r="AR6832">
        <v>1000</v>
      </c>
      <c r="AS6832">
        <v>100</v>
      </c>
      <c r="AT6832">
        <v>30000</v>
      </c>
      <c r="AU6832" s="30">
        <v>90</v>
      </c>
      <c r="AV6832">
        <v>765.59</v>
      </c>
      <c r="AW6832">
        <v>680</v>
      </c>
      <c r="AX6832">
        <v>100</v>
      </c>
      <c r="AY6832">
        <v>3000</v>
      </c>
      <c r="AZ6832" s="30">
        <v>23</v>
      </c>
      <c r="BA6832">
        <v>705.27</v>
      </c>
      <c r="BB6832">
        <v>500</v>
      </c>
      <c r="BC6832">
        <v>130</v>
      </c>
      <c r="BD6832">
        <v>2800</v>
      </c>
      <c r="BE6832" s="30">
        <v>163</v>
      </c>
      <c r="BF6832">
        <v>2412.3000000000002</v>
      </c>
      <c r="BG6832">
        <v>4000</v>
      </c>
      <c r="BH6832">
        <v>1000</v>
      </c>
      <c r="BI6832">
        <v>4000</v>
      </c>
      <c r="BJ6832" s="30">
        <v>5</v>
      </c>
      <c r="BK6832">
        <v>1877.89</v>
      </c>
      <c r="BL6832">
        <v>2000</v>
      </c>
      <c r="BM6832">
        <v>400</v>
      </c>
      <c r="BN6832">
        <v>10000</v>
      </c>
      <c r="BO6832" s="30">
        <v>16</v>
      </c>
      <c r="BP6832">
        <v>1472.41</v>
      </c>
      <c r="BQ6832">
        <v>800</v>
      </c>
      <c r="BR6832">
        <v>50</v>
      </c>
      <c r="BS6832">
        <v>20000</v>
      </c>
      <c r="BT6832" s="30">
        <v>83</v>
      </c>
      <c r="BU6832">
        <v>1765.18</v>
      </c>
      <c r="BV6832">
        <v>1360</v>
      </c>
      <c r="BW6832">
        <v>500</v>
      </c>
      <c r="BX6832">
        <v>4000</v>
      </c>
      <c r="BY6832" s="30">
        <v>8</v>
      </c>
      <c r="BZ6832">
        <v>163</v>
      </c>
    </row>
    <row r="6833" spans="1:78" x14ac:dyDescent="0.35">
      <c r="A6833" t="s">
        <v>229</v>
      </c>
      <c r="B6833" t="s">
        <v>261</v>
      </c>
      <c r="C6833">
        <v>7849.08</v>
      </c>
      <c r="D6833">
        <v>5000</v>
      </c>
      <c r="E6833">
        <v>700</v>
      </c>
      <c r="F6833">
        <v>30000</v>
      </c>
      <c r="G6833" s="30">
        <v>81</v>
      </c>
      <c r="H6833">
        <v>3222.58</v>
      </c>
      <c r="I6833">
        <v>3000</v>
      </c>
      <c r="J6833">
        <v>250</v>
      </c>
      <c r="K6833">
        <v>15000</v>
      </c>
      <c r="L6833" s="30">
        <v>41</v>
      </c>
      <c r="M6833">
        <v>7928.26</v>
      </c>
      <c r="N6833">
        <v>9000</v>
      </c>
      <c r="O6833">
        <v>600</v>
      </c>
      <c r="P6833">
        <v>16000</v>
      </c>
      <c r="Q6833" s="30">
        <v>46</v>
      </c>
      <c r="R6833">
        <v>431.4</v>
      </c>
      <c r="S6833">
        <v>300</v>
      </c>
      <c r="T6833">
        <v>100</v>
      </c>
      <c r="U6833">
        <v>2000</v>
      </c>
      <c r="V6833" s="30">
        <v>51</v>
      </c>
      <c r="W6833">
        <v>513.37</v>
      </c>
      <c r="X6833">
        <v>300</v>
      </c>
      <c r="Y6833">
        <v>100</v>
      </c>
      <c r="Z6833">
        <v>3000</v>
      </c>
      <c r="AA6833" s="30">
        <v>51</v>
      </c>
      <c r="AB6833">
        <v>913.65</v>
      </c>
      <c r="AC6833">
        <v>600</v>
      </c>
      <c r="AD6833">
        <v>100</v>
      </c>
      <c r="AE6833">
        <v>4000</v>
      </c>
      <c r="AF6833" s="30">
        <v>67</v>
      </c>
      <c r="AG6833">
        <v>889.87</v>
      </c>
      <c r="AH6833">
        <v>600</v>
      </c>
      <c r="AI6833">
        <v>100</v>
      </c>
      <c r="AJ6833">
        <v>5000</v>
      </c>
      <c r="AK6833" s="30">
        <v>36</v>
      </c>
      <c r="AL6833">
        <v>2341.7800000000002</v>
      </c>
      <c r="AM6833">
        <v>2000</v>
      </c>
      <c r="AN6833">
        <v>350</v>
      </c>
      <c r="AO6833">
        <v>7800</v>
      </c>
      <c r="AP6833" s="30">
        <v>85</v>
      </c>
      <c r="AQ6833">
        <v>2552.88</v>
      </c>
      <c r="AR6833">
        <v>1500</v>
      </c>
      <c r="AS6833">
        <v>60</v>
      </c>
      <c r="AT6833">
        <v>20000</v>
      </c>
      <c r="AU6833" s="30">
        <v>61</v>
      </c>
      <c r="AV6833">
        <v>656.48</v>
      </c>
      <c r="AW6833">
        <v>600</v>
      </c>
      <c r="AX6833">
        <v>100</v>
      </c>
      <c r="AY6833">
        <v>1500</v>
      </c>
      <c r="AZ6833" s="30">
        <v>12</v>
      </c>
      <c r="BA6833">
        <v>573.83000000000004</v>
      </c>
      <c r="BB6833">
        <v>520</v>
      </c>
      <c r="BC6833">
        <v>125</v>
      </c>
      <c r="BD6833">
        <v>1500</v>
      </c>
      <c r="BE6833" s="30">
        <v>83</v>
      </c>
      <c r="BF6833">
        <v>4089.45</v>
      </c>
      <c r="BG6833">
        <v>2000</v>
      </c>
      <c r="BH6833">
        <v>200</v>
      </c>
      <c r="BI6833">
        <v>10000</v>
      </c>
      <c r="BJ6833" s="30">
        <v>7</v>
      </c>
      <c r="BK6833">
        <v>2792.48</v>
      </c>
      <c r="BL6833">
        <v>2000</v>
      </c>
      <c r="BM6833">
        <v>300</v>
      </c>
      <c r="BN6833">
        <v>14000</v>
      </c>
      <c r="BO6833" s="30">
        <v>16</v>
      </c>
      <c r="BP6833">
        <v>1576.92</v>
      </c>
      <c r="BQ6833">
        <v>1500</v>
      </c>
      <c r="BR6833">
        <v>100</v>
      </c>
      <c r="BS6833">
        <v>5000</v>
      </c>
      <c r="BT6833" s="30">
        <v>39</v>
      </c>
      <c r="BU6833">
        <v>7091.56</v>
      </c>
      <c r="BV6833">
        <v>10000</v>
      </c>
      <c r="BW6833">
        <v>200</v>
      </c>
      <c r="BX6833">
        <v>10000</v>
      </c>
      <c r="BY6833" s="30">
        <v>5</v>
      </c>
      <c r="BZ6833">
        <v>85</v>
      </c>
    </row>
    <row r="6834" spans="1:78" x14ac:dyDescent="0.35">
      <c r="A6834" t="s">
        <v>229</v>
      </c>
      <c r="B6834" t="s">
        <v>260</v>
      </c>
      <c r="C6834">
        <v>7788.53</v>
      </c>
      <c r="D6834">
        <v>6000</v>
      </c>
      <c r="E6834">
        <v>200</v>
      </c>
      <c r="F6834">
        <v>30000</v>
      </c>
      <c r="G6834" s="30">
        <v>507</v>
      </c>
      <c r="H6834">
        <v>3656.48</v>
      </c>
      <c r="I6834">
        <v>3000</v>
      </c>
      <c r="J6834">
        <v>100</v>
      </c>
      <c r="K6834">
        <v>30000</v>
      </c>
      <c r="L6834" s="30">
        <v>236</v>
      </c>
      <c r="M6834">
        <v>5895.62</v>
      </c>
      <c r="N6834">
        <v>5000</v>
      </c>
      <c r="O6834">
        <v>500</v>
      </c>
      <c r="P6834">
        <v>15000</v>
      </c>
      <c r="Q6834" s="30">
        <v>37</v>
      </c>
      <c r="R6834">
        <v>452.34</v>
      </c>
      <c r="S6834">
        <v>300</v>
      </c>
      <c r="T6834">
        <v>50</v>
      </c>
      <c r="U6834">
        <v>3000</v>
      </c>
      <c r="V6834" s="30">
        <v>173</v>
      </c>
      <c r="W6834">
        <v>451.33</v>
      </c>
      <c r="X6834">
        <v>350</v>
      </c>
      <c r="Y6834">
        <v>50</v>
      </c>
      <c r="Z6834">
        <v>3000</v>
      </c>
      <c r="AA6834" s="30">
        <v>278</v>
      </c>
      <c r="AB6834">
        <v>862.11</v>
      </c>
      <c r="AC6834">
        <v>500</v>
      </c>
      <c r="AD6834">
        <v>100</v>
      </c>
      <c r="AE6834">
        <v>5000</v>
      </c>
      <c r="AF6834" s="30">
        <v>423</v>
      </c>
      <c r="AG6834">
        <v>622.91999999999996</v>
      </c>
      <c r="AH6834">
        <v>300</v>
      </c>
      <c r="AI6834">
        <v>100</v>
      </c>
      <c r="AJ6834">
        <v>5000</v>
      </c>
      <c r="AK6834" s="30">
        <v>176</v>
      </c>
      <c r="AL6834">
        <v>2122.16</v>
      </c>
      <c r="AM6834">
        <v>1800</v>
      </c>
      <c r="AN6834">
        <v>300</v>
      </c>
      <c r="AO6834">
        <v>8000</v>
      </c>
      <c r="AP6834" s="30">
        <v>532</v>
      </c>
      <c r="AQ6834">
        <v>1601.34</v>
      </c>
      <c r="AR6834">
        <v>1000</v>
      </c>
      <c r="AS6834">
        <v>50</v>
      </c>
      <c r="AT6834">
        <v>17000</v>
      </c>
      <c r="AU6834" s="30">
        <v>312</v>
      </c>
      <c r="AV6834">
        <v>998.71</v>
      </c>
      <c r="AW6834">
        <v>1000</v>
      </c>
      <c r="AX6834">
        <v>100</v>
      </c>
      <c r="AY6834">
        <v>3000</v>
      </c>
      <c r="AZ6834" s="30">
        <v>53</v>
      </c>
      <c r="BA6834">
        <v>573.80999999999995</v>
      </c>
      <c r="BB6834">
        <v>500</v>
      </c>
      <c r="BC6834">
        <v>50</v>
      </c>
      <c r="BD6834">
        <v>2500</v>
      </c>
      <c r="BE6834" s="30">
        <v>534</v>
      </c>
      <c r="BF6834">
        <v>1748.13</v>
      </c>
      <c r="BG6834">
        <v>2000</v>
      </c>
      <c r="BH6834">
        <v>400</v>
      </c>
      <c r="BI6834">
        <v>10000</v>
      </c>
      <c r="BJ6834" s="30">
        <v>17</v>
      </c>
      <c r="BK6834">
        <v>5236.4799999999996</v>
      </c>
      <c r="BL6834">
        <v>3000</v>
      </c>
      <c r="BM6834">
        <v>100</v>
      </c>
      <c r="BN6834">
        <v>30000</v>
      </c>
      <c r="BO6834" s="30">
        <v>78</v>
      </c>
      <c r="BP6834">
        <v>1316.65</v>
      </c>
      <c r="BQ6834">
        <v>650</v>
      </c>
      <c r="BR6834">
        <v>50</v>
      </c>
      <c r="BS6834">
        <v>9000</v>
      </c>
      <c r="BT6834" s="30">
        <v>291</v>
      </c>
      <c r="BU6834">
        <v>3174.5</v>
      </c>
      <c r="BV6834">
        <v>3000</v>
      </c>
      <c r="BW6834">
        <v>200</v>
      </c>
      <c r="BX6834">
        <v>6000</v>
      </c>
      <c r="BY6834" s="30">
        <v>19</v>
      </c>
      <c r="BZ6834">
        <v>534</v>
      </c>
    </row>
    <row r="6835" spans="1:78" x14ac:dyDescent="0.35">
      <c r="A6835" s="27" t="s">
        <v>229</v>
      </c>
      <c r="B6835" s="27" t="s">
        <v>263</v>
      </c>
      <c r="C6835" s="29">
        <v>14997.84</v>
      </c>
      <c r="D6835" s="29">
        <v>12000</v>
      </c>
      <c r="E6835" s="29">
        <v>5000</v>
      </c>
      <c r="F6835" s="29">
        <v>30000</v>
      </c>
      <c r="G6835" s="29">
        <v>11</v>
      </c>
      <c r="H6835" s="29">
        <v>2335.4499999999998</v>
      </c>
      <c r="I6835" s="29">
        <v>5000</v>
      </c>
      <c r="J6835" s="29">
        <v>1000</v>
      </c>
      <c r="K6835" s="29">
        <v>5000</v>
      </c>
      <c r="L6835" s="29">
        <v>6</v>
      </c>
      <c r="M6835" s="29">
        <v>7635.88</v>
      </c>
      <c r="N6835" s="29">
        <v>8000</v>
      </c>
      <c r="O6835" s="29">
        <v>6000</v>
      </c>
      <c r="P6835" s="29">
        <v>8000</v>
      </c>
      <c r="Q6835" s="29">
        <v>2</v>
      </c>
      <c r="R6835" s="29">
        <v>403.09</v>
      </c>
      <c r="S6835" s="29">
        <v>300</v>
      </c>
      <c r="T6835" s="29">
        <v>200</v>
      </c>
      <c r="U6835" s="29">
        <v>700</v>
      </c>
      <c r="V6835" s="29">
        <v>6</v>
      </c>
      <c r="W6835" s="29">
        <v>782.57</v>
      </c>
      <c r="X6835" s="29">
        <v>500</v>
      </c>
      <c r="Y6835" s="29">
        <v>100</v>
      </c>
      <c r="Z6835" s="29">
        <v>2000</v>
      </c>
      <c r="AA6835" s="29">
        <v>9</v>
      </c>
      <c r="AB6835" s="29">
        <v>912.45</v>
      </c>
      <c r="AC6835" s="29">
        <v>1000</v>
      </c>
      <c r="AD6835" s="29">
        <v>200</v>
      </c>
      <c r="AE6835" s="29">
        <v>2000</v>
      </c>
      <c r="AF6835" s="29">
        <v>11</v>
      </c>
      <c r="AG6835" s="29">
        <v>697.35</v>
      </c>
      <c r="AH6835" s="29">
        <v>1000</v>
      </c>
      <c r="AI6835" s="29">
        <v>100</v>
      </c>
      <c r="AJ6835" s="29">
        <v>2000</v>
      </c>
      <c r="AK6835" s="29">
        <v>7</v>
      </c>
      <c r="AL6835" s="29">
        <v>2332.1999999999998</v>
      </c>
      <c r="AM6835" s="29">
        <v>2500</v>
      </c>
      <c r="AN6835" s="29">
        <v>600</v>
      </c>
      <c r="AO6835" s="29">
        <v>5000</v>
      </c>
      <c r="AP6835" s="29">
        <v>13</v>
      </c>
      <c r="AQ6835" s="29">
        <v>2128.12</v>
      </c>
      <c r="AR6835" s="29">
        <v>2000</v>
      </c>
      <c r="AS6835" s="29">
        <v>300</v>
      </c>
      <c r="AT6835" s="29">
        <v>10000</v>
      </c>
      <c r="AU6835" s="29">
        <v>11</v>
      </c>
      <c r="AV6835" s="29">
        <v>100</v>
      </c>
      <c r="AW6835" s="29">
        <v>100</v>
      </c>
      <c r="AX6835" s="29">
        <v>100</v>
      </c>
      <c r="AY6835" s="29">
        <v>100</v>
      </c>
      <c r="AZ6835" s="29">
        <v>1</v>
      </c>
      <c r="BA6835" s="29">
        <v>849.75</v>
      </c>
      <c r="BB6835" s="29">
        <v>875</v>
      </c>
      <c r="BC6835" s="29">
        <v>260</v>
      </c>
      <c r="BD6835" s="29">
        <v>2000</v>
      </c>
      <c r="BE6835" s="29">
        <v>12</v>
      </c>
      <c r="BF6835" s="29">
        <v>3333.33</v>
      </c>
      <c r="BG6835" s="29">
        <v>5000</v>
      </c>
      <c r="BH6835" s="29">
        <v>1000</v>
      </c>
      <c r="BI6835" s="29">
        <v>5000</v>
      </c>
      <c r="BJ6835" s="29">
        <v>3</v>
      </c>
      <c r="BK6835" s="29">
        <v>9089.7000000000007</v>
      </c>
      <c r="BL6835" s="29">
        <v>10000</v>
      </c>
      <c r="BM6835" s="29">
        <v>5000</v>
      </c>
      <c r="BN6835" s="29">
        <v>10000</v>
      </c>
      <c r="BO6835" s="29">
        <v>2</v>
      </c>
      <c r="BP6835" s="29">
        <v>1170.55</v>
      </c>
      <c r="BQ6835" s="29">
        <v>600</v>
      </c>
      <c r="BR6835" s="29">
        <v>200</v>
      </c>
      <c r="BS6835" s="29">
        <v>4000</v>
      </c>
      <c r="BT6835" s="29">
        <v>8</v>
      </c>
      <c r="BU6835" s="29"/>
      <c r="BV6835" s="29"/>
      <c r="BW6835" s="29"/>
      <c r="BX6835" s="29"/>
      <c r="BY6835" s="29"/>
      <c r="BZ6835" s="29">
        <v>13</v>
      </c>
    </row>
    <row r="6836" spans="1:78" x14ac:dyDescent="0.35">
      <c r="A6836" t="s">
        <v>229</v>
      </c>
      <c r="B6836" t="s">
        <v>262</v>
      </c>
      <c r="C6836">
        <v>12510.48</v>
      </c>
      <c r="D6836">
        <v>10000</v>
      </c>
      <c r="E6836">
        <v>900</v>
      </c>
      <c r="F6836">
        <v>30000</v>
      </c>
      <c r="G6836" s="30">
        <v>168</v>
      </c>
      <c r="H6836">
        <v>5347.51</v>
      </c>
      <c r="I6836">
        <v>5000</v>
      </c>
      <c r="J6836">
        <v>500</v>
      </c>
      <c r="K6836">
        <v>20000</v>
      </c>
      <c r="L6836" s="30">
        <v>104</v>
      </c>
      <c r="M6836">
        <v>5379.21</v>
      </c>
      <c r="N6836">
        <v>7000</v>
      </c>
      <c r="O6836">
        <v>400</v>
      </c>
      <c r="P6836">
        <v>10000</v>
      </c>
      <c r="Q6836" s="30">
        <v>12</v>
      </c>
      <c r="R6836">
        <v>653.5</v>
      </c>
      <c r="S6836">
        <v>500</v>
      </c>
      <c r="T6836">
        <v>100</v>
      </c>
      <c r="U6836">
        <v>3000</v>
      </c>
      <c r="V6836" s="30">
        <v>94</v>
      </c>
      <c r="W6836">
        <v>582.21</v>
      </c>
      <c r="X6836">
        <v>450</v>
      </c>
      <c r="Y6836">
        <v>50</v>
      </c>
      <c r="Z6836">
        <v>3000</v>
      </c>
      <c r="AA6836" s="30">
        <v>115</v>
      </c>
      <c r="AB6836">
        <v>1280.46</v>
      </c>
      <c r="AC6836">
        <v>1000</v>
      </c>
      <c r="AD6836">
        <v>100</v>
      </c>
      <c r="AE6836">
        <v>5000</v>
      </c>
      <c r="AF6836" s="30">
        <v>157</v>
      </c>
      <c r="AG6836">
        <v>684.28</v>
      </c>
      <c r="AH6836">
        <v>500</v>
      </c>
      <c r="AI6836">
        <v>100</v>
      </c>
      <c r="AJ6836">
        <v>2000</v>
      </c>
      <c r="AK6836" s="30">
        <v>83</v>
      </c>
      <c r="AL6836">
        <v>2957.03</v>
      </c>
      <c r="AM6836">
        <v>2700</v>
      </c>
      <c r="AN6836">
        <v>300</v>
      </c>
      <c r="AO6836">
        <v>9000</v>
      </c>
      <c r="AP6836" s="30">
        <v>173</v>
      </c>
      <c r="AQ6836">
        <v>3729.67</v>
      </c>
      <c r="AR6836">
        <v>2500</v>
      </c>
      <c r="AS6836">
        <v>50</v>
      </c>
      <c r="AT6836">
        <v>30000</v>
      </c>
      <c r="AU6836" s="30">
        <v>131</v>
      </c>
      <c r="AV6836">
        <v>829.44</v>
      </c>
      <c r="AW6836">
        <v>500</v>
      </c>
      <c r="AX6836">
        <v>100</v>
      </c>
      <c r="AY6836">
        <v>3000</v>
      </c>
      <c r="AZ6836" s="30">
        <v>23</v>
      </c>
      <c r="BA6836">
        <v>784.19</v>
      </c>
      <c r="BB6836">
        <v>700</v>
      </c>
      <c r="BC6836">
        <v>100</v>
      </c>
      <c r="BD6836">
        <v>2800</v>
      </c>
      <c r="BE6836" s="30">
        <v>178</v>
      </c>
      <c r="BF6836">
        <v>3518.24</v>
      </c>
      <c r="BG6836">
        <v>2000</v>
      </c>
      <c r="BH6836">
        <v>500</v>
      </c>
      <c r="BI6836">
        <v>10000</v>
      </c>
      <c r="BJ6836" s="30">
        <v>15</v>
      </c>
      <c r="BK6836">
        <v>7884.87</v>
      </c>
      <c r="BL6836">
        <v>3000</v>
      </c>
      <c r="BM6836">
        <v>300</v>
      </c>
      <c r="BN6836">
        <v>30000</v>
      </c>
      <c r="BO6836" s="30">
        <v>61</v>
      </c>
      <c r="BP6836">
        <v>2445.21</v>
      </c>
      <c r="BQ6836">
        <v>1000</v>
      </c>
      <c r="BR6836">
        <v>50</v>
      </c>
      <c r="BS6836">
        <v>30000</v>
      </c>
      <c r="BT6836" s="30">
        <v>78</v>
      </c>
      <c r="BU6836">
        <v>2755.58</v>
      </c>
      <c r="BV6836">
        <v>3000</v>
      </c>
      <c r="BW6836">
        <v>500</v>
      </c>
      <c r="BX6836">
        <v>10000</v>
      </c>
      <c r="BY6836" s="30">
        <v>9</v>
      </c>
      <c r="BZ6836">
        <v>178</v>
      </c>
    </row>
    <row r="6837" spans="1:78" x14ac:dyDescent="0.35">
      <c r="A6837" t="s">
        <v>230</v>
      </c>
      <c r="B6837" t="s">
        <v>261</v>
      </c>
      <c r="C6837">
        <v>8717.5</v>
      </c>
      <c r="D6837">
        <v>6000</v>
      </c>
      <c r="E6837">
        <v>800</v>
      </c>
      <c r="F6837">
        <v>25000</v>
      </c>
      <c r="G6837" s="30">
        <v>50</v>
      </c>
      <c r="H6837">
        <v>3074.3</v>
      </c>
      <c r="I6837">
        <v>3000</v>
      </c>
      <c r="J6837">
        <v>100</v>
      </c>
      <c r="K6837">
        <v>10000</v>
      </c>
      <c r="L6837" s="30">
        <v>22</v>
      </c>
      <c r="M6837">
        <v>5979.04</v>
      </c>
      <c r="N6837">
        <v>7000</v>
      </c>
      <c r="O6837">
        <v>1000</v>
      </c>
      <c r="P6837">
        <v>12000</v>
      </c>
      <c r="Q6837" s="30">
        <v>30</v>
      </c>
      <c r="R6837">
        <v>422.22</v>
      </c>
      <c r="S6837">
        <v>300</v>
      </c>
      <c r="T6837">
        <v>50</v>
      </c>
      <c r="U6837">
        <v>2000</v>
      </c>
      <c r="V6837" s="30">
        <v>29</v>
      </c>
      <c r="W6837">
        <v>346.73</v>
      </c>
      <c r="X6837">
        <v>200</v>
      </c>
      <c r="Y6837">
        <v>50</v>
      </c>
      <c r="Z6837">
        <v>2000</v>
      </c>
      <c r="AA6837" s="30">
        <v>29</v>
      </c>
      <c r="AB6837">
        <v>778.14</v>
      </c>
      <c r="AC6837">
        <v>400</v>
      </c>
      <c r="AD6837">
        <v>100</v>
      </c>
      <c r="AE6837">
        <v>3000</v>
      </c>
      <c r="AF6837" s="30">
        <v>43</v>
      </c>
      <c r="AG6837">
        <v>705.96</v>
      </c>
      <c r="AH6837">
        <v>500</v>
      </c>
      <c r="AI6837">
        <v>100</v>
      </c>
      <c r="AJ6837">
        <v>4000</v>
      </c>
      <c r="AK6837" s="30">
        <v>19</v>
      </c>
      <c r="AL6837">
        <v>1984.37</v>
      </c>
      <c r="AM6837">
        <v>2000</v>
      </c>
      <c r="AN6837">
        <v>300</v>
      </c>
      <c r="AO6837">
        <v>4000</v>
      </c>
      <c r="AP6837" s="30">
        <v>46</v>
      </c>
      <c r="AQ6837">
        <v>2013.53</v>
      </c>
      <c r="AR6837">
        <v>1000</v>
      </c>
      <c r="AS6837">
        <v>100</v>
      </c>
      <c r="AT6837">
        <v>7000</v>
      </c>
      <c r="AU6837" s="30">
        <v>38</v>
      </c>
      <c r="AV6837">
        <v>324.12</v>
      </c>
      <c r="AW6837">
        <v>700</v>
      </c>
      <c r="AX6837">
        <v>100</v>
      </c>
      <c r="AY6837">
        <v>700</v>
      </c>
      <c r="AZ6837" s="30">
        <v>3</v>
      </c>
      <c r="BA6837">
        <v>615.55999999999995</v>
      </c>
      <c r="BB6837">
        <v>520</v>
      </c>
      <c r="BC6837">
        <v>125</v>
      </c>
      <c r="BD6837">
        <v>2000</v>
      </c>
      <c r="BE6837" s="30">
        <v>50</v>
      </c>
      <c r="BF6837">
        <v>2500</v>
      </c>
      <c r="BG6837">
        <v>2500</v>
      </c>
      <c r="BH6837">
        <v>2500</v>
      </c>
      <c r="BI6837">
        <v>2500</v>
      </c>
      <c r="BJ6837" s="30">
        <v>2</v>
      </c>
      <c r="BK6837">
        <v>4651.2</v>
      </c>
      <c r="BL6837">
        <v>4000</v>
      </c>
      <c r="BM6837">
        <v>300</v>
      </c>
      <c r="BN6837">
        <v>20000</v>
      </c>
      <c r="BO6837" s="30">
        <v>11</v>
      </c>
      <c r="BP6837">
        <v>806.16</v>
      </c>
      <c r="BQ6837">
        <v>800</v>
      </c>
      <c r="BR6837">
        <v>200</v>
      </c>
      <c r="BS6837">
        <v>2000</v>
      </c>
      <c r="BT6837" s="30">
        <v>28</v>
      </c>
      <c r="BU6837">
        <v>3701.3</v>
      </c>
      <c r="BV6837">
        <v>1000</v>
      </c>
      <c r="BW6837">
        <v>100</v>
      </c>
      <c r="BX6837">
        <v>8000</v>
      </c>
      <c r="BY6837" s="30">
        <v>4</v>
      </c>
      <c r="BZ6837">
        <v>50</v>
      </c>
    </row>
    <row r="6838" spans="1:78" x14ac:dyDescent="0.35">
      <c r="A6838" t="s">
        <v>230</v>
      </c>
      <c r="B6838" t="s">
        <v>260</v>
      </c>
      <c r="C6838">
        <v>7468.28</v>
      </c>
      <c r="D6838">
        <v>6000</v>
      </c>
      <c r="E6838">
        <v>200</v>
      </c>
      <c r="F6838">
        <v>25000</v>
      </c>
      <c r="G6838" s="30">
        <v>319</v>
      </c>
      <c r="H6838">
        <v>4589.99</v>
      </c>
      <c r="I6838">
        <v>2000</v>
      </c>
      <c r="J6838">
        <v>170</v>
      </c>
      <c r="K6838">
        <v>60000</v>
      </c>
      <c r="L6838" s="30">
        <v>128</v>
      </c>
      <c r="M6838">
        <v>5984.86</v>
      </c>
      <c r="N6838">
        <v>5500</v>
      </c>
      <c r="O6838">
        <v>1500</v>
      </c>
      <c r="P6838">
        <v>12000</v>
      </c>
      <c r="Q6838" s="30">
        <v>27</v>
      </c>
      <c r="R6838">
        <v>517.91999999999996</v>
      </c>
      <c r="S6838">
        <v>300</v>
      </c>
      <c r="T6838">
        <v>50</v>
      </c>
      <c r="U6838">
        <v>3000</v>
      </c>
      <c r="V6838" s="30">
        <v>151</v>
      </c>
      <c r="W6838">
        <v>547.42999999999995</v>
      </c>
      <c r="X6838">
        <v>400</v>
      </c>
      <c r="Y6838">
        <v>30</v>
      </c>
      <c r="Z6838">
        <v>3000</v>
      </c>
      <c r="AA6838" s="30">
        <v>145</v>
      </c>
      <c r="AB6838">
        <v>854.06</v>
      </c>
      <c r="AC6838">
        <v>500</v>
      </c>
      <c r="AD6838">
        <v>100</v>
      </c>
      <c r="AE6838">
        <v>5000</v>
      </c>
      <c r="AF6838" s="30">
        <v>247</v>
      </c>
      <c r="AG6838">
        <v>591.75</v>
      </c>
      <c r="AH6838">
        <v>300</v>
      </c>
      <c r="AI6838">
        <v>100</v>
      </c>
      <c r="AJ6838">
        <v>5000</v>
      </c>
      <c r="AK6838" s="30">
        <v>94</v>
      </c>
      <c r="AL6838">
        <v>2107.0700000000002</v>
      </c>
      <c r="AM6838">
        <v>2000</v>
      </c>
      <c r="AN6838">
        <v>300</v>
      </c>
      <c r="AO6838">
        <v>7000</v>
      </c>
      <c r="AP6838" s="30">
        <v>311</v>
      </c>
      <c r="AQ6838">
        <v>2107.7199999999998</v>
      </c>
      <c r="AR6838">
        <v>800</v>
      </c>
      <c r="AS6838">
        <v>50</v>
      </c>
      <c r="AT6838">
        <v>30000</v>
      </c>
      <c r="AU6838" s="30">
        <v>183</v>
      </c>
      <c r="AV6838">
        <v>830.83</v>
      </c>
      <c r="AW6838">
        <v>800</v>
      </c>
      <c r="AX6838">
        <v>100</v>
      </c>
      <c r="AY6838">
        <v>2000</v>
      </c>
      <c r="AZ6838" s="30">
        <v>32</v>
      </c>
      <c r="BA6838">
        <v>638.84</v>
      </c>
      <c r="BB6838">
        <v>530</v>
      </c>
      <c r="BC6838">
        <v>100</v>
      </c>
      <c r="BD6838">
        <v>2000</v>
      </c>
      <c r="BE6838" s="30">
        <v>313</v>
      </c>
      <c r="BF6838">
        <v>5670.66</v>
      </c>
      <c r="BG6838">
        <v>5000</v>
      </c>
      <c r="BH6838">
        <v>400</v>
      </c>
      <c r="BI6838">
        <v>10000</v>
      </c>
      <c r="BJ6838" s="30">
        <v>14</v>
      </c>
      <c r="BK6838">
        <v>2835.14</v>
      </c>
      <c r="BL6838">
        <v>1000</v>
      </c>
      <c r="BM6838">
        <v>100</v>
      </c>
      <c r="BN6838">
        <v>30000</v>
      </c>
      <c r="BO6838" s="30">
        <v>62</v>
      </c>
      <c r="BP6838">
        <v>1478.29</v>
      </c>
      <c r="BQ6838">
        <v>800</v>
      </c>
      <c r="BR6838">
        <v>50</v>
      </c>
      <c r="BS6838">
        <v>16000</v>
      </c>
      <c r="BT6838" s="30">
        <v>164</v>
      </c>
      <c r="BU6838">
        <v>3181.2</v>
      </c>
      <c r="BV6838">
        <v>3300</v>
      </c>
      <c r="BW6838">
        <v>500</v>
      </c>
      <c r="BX6838">
        <v>8000</v>
      </c>
      <c r="BY6838" s="30">
        <v>23</v>
      </c>
      <c r="BZ6838">
        <v>319</v>
      </c>
    </row>
    <row r="6839" spans="1:78" x14ac:dyDescent="0.35">
      <c r="A6839" s="27" t="s">
        <v>230</v>
      </c>
      <c r="B6839" s="27" t="s">
        <v>263</v>
      </c>
      <c r="C6839" s="29">
        <v>8301.9500000000007</v>
      </c>
      <c r="D6839" s="29">
        <v>10000</v>
      </c>
      <c r="E6839" s="29">
        <v>600</v>
      </c>
      <c r="F6839" s="29">
        <v>20000</v>
      </c>
      <c r="G6839" s="29">
        <v>24</v>
      </c>
      <c r="H6839" s="29">
        <v>3039.69</v>
      </c>
      <c r="I6839" s="29">
        <v>4000</v>
      </c>
      <c r="J6839" s="29">
        <v>100</v>
      </c>
      <c r="K6839" s="29">
        <v>5000</v>
      </c>
      <c r="L6839" s="29">
        <v>7</v>
      </c>
      <c r="M6839" s="29">
        <v>3608.48</v>
      </c>
      <c r="N6839" s="29">
        <v>5000</v>
      </c>
      <c r="O6839" s="29">
        <v>1500</v>
      </c>
      <c r="P6839" s="29">
        <v>5000</v>
      </c>
      <c r="Q6839" s="29">
        <v>5</v>
      </c>
      <c r="R6839" s="29">
        <v>719.01</v>
      </c>
      <c r="S6839" s="29">
        <v>1300</v>
      </c>
      <c r="T6839" s="29">
        <v>80</v>
      </c>
      <c r="U6839" s="29">
        <v>1300</v>
      </c>
      <c r="V6839" s="29">
        <v>14</v>
      </c>
      <c r="W6839" s="29">
        <v>469.94</v>
      </c>
      <c r="X6839" s="29">
        <v>600</v>
      </c>
      <c r="Y6839" s="29">
        <v>60</v>
      </c>
      <c r="Z6839" s="29">
        <v>1500</v>
      </c>
      <c r="AA6839" s="29">
        <v>13</v>
      </c>
      <c r="AB6839" s="29">
        <v>1575.66</v>
      </c>
      <c r="AC6839" s="29">
        <v>1500</v>
      </c>
      <c r="AD6839" s="29">
        <v>150</v>
      </c>
      <c r="AE6839" s="29">
        <v>5000</v>
      </c>
      <c r="AF6839" s="29">
        <v>17</v>
      </c>
      <c r="AG6839" s="29">
        <v>1404.66</v>
      </c>
      <c r="AH6839" s="29">
        <v>3000</v>
      </c>
      <c r="AI6839" s="29">
        <v>100</v>
      </c>
      <c r="AJ6839" s="29">
        <v>3000</v>
      </c>
      <c r="AK6839" s="29">
        <v>14</v>
      </c>
      <c r="AL6839" s="29">
        <v>2754.44</v>
      </c>
      <c r="AM6839" s="29">
        <v>3200</v>
      </c>
      <c r="AN6839" s="29">
        <v>700</v>
      </c>
      <c r="AO6839" s="29">
        <v>5000</v>
      </c>
      <c r="AP6839" s="29">
        <v>21</v>
      </c>
      <c r="AQ6839" s="29">
        <v>3295.09</v>
      </c>
      <c r="AR6839" s="29">
        <v>4000</v>
      </c>
      <c r="AS6839" s="29">
        <v>60</v>
      </c>
      <c r="AT6839" s="29">
        <v>6000</v>
      </c>
      <c r="AU6839" s="29">
        <v>18</v>
      </c>
      <c r="AV6839" s="29">
        <v>2196.4699999999998</v>
      </c>
      <c r="AW6839" s="29">
        <v>2400</v>
      </c>
      <c r="AX6839" s="29">
        <v>500</v>
      </c>
      <c r="AY6839" s="29">
        <v>2400</v>
      </c>
      <c r="AZ6839" s="29">
        <v>3</v>
      </c>
      <c r="BA6839" s="29">
        <v>1295.68</v>
      </c>
      <c r="BB6839" s="29">
        <v>1000</v>
      </c>
      <c r="BC6839" s="29">
        <v>260</v>
      </c>
      <c r="BD6839" s="29">
        <v>2300</v>
      </c>
      <c r="BE6839" s="29">
        <v>20</v>
      </c>
      <c r="BF6839" s="29"/>
      <c r="BG6839" s="29"/>
      <c r="BH6839" s="29"/>
      <c r="BI6839" s="29"/>
      <c r="BJ6839" s="29"/>
      <c r="BK6839" s="29">
        <v>1000</v>
      </c>
      <c r="BL6839" s="29">
        <v>1000</v>
      </c>
      <c r="BM6839" s="29">
        <v>1000</v>
      </c>
      <c r="BN6839" s="29">
        <v>1000</v>
      </c>
      <c r="BO6839" s="29">
        <v>1</v>
      </c>
      <c r="BP6839" s="29">
        <v>792.62</v>
      </c>
      <c r="BQ6839" s="29">
        <v>1000</v>
      </c>
      <c r="BR6839" s="29">
        <v>75</v>
      </c>
      <c r="BS6839" s="29">
        <v>2500</v>
      </c>
      <c r="BT6839" s="29">
        <v>14</v>
      </c>
      <c r="BU6839" s="29">
        <v>2700</v>
      </c>
      <c r="BV6839" s="29">
        <v>2700</v>
      </c>
      <c r="BW6839" s="29">
        <v>2700</v>
      </c>
      <c r="BX6839" s="29">
        <v>2700</v>
      </c>
      <c r="BY6839" s="29">
        <v>1</v>
      </c>
      <c r="BZ6839" s="29">
        <v>24</v>
      </c>
    </row>
    <row r="6840" spans="1:78" x14ac:dyDescent="0.35">
      <c r="A6840" s="27" t="s">
        <v>230</v>
      </c>
      <c r="B6840" s="27" t="s">
        <v>236</v>
      </c>
      <c r="C6840" s="29">
        <v>2046.61</v>
      </c>
      <c r="D6840" s="29">
        <v>3000</v>
      </c>
      <c r="E6840" s="29">
        <v>1500</v>
      </c>
      <c r="F6840" s="29">
        <v>5000</v>
      </c>
      <c r="G6840" s="29">
        <v>3</v>
      </c>
      <c r="H6840" s="29">
        <v>200</v>
      </c>
      <c r="I6840" s="29">
        <v>200</v>
      </c>
      <c r="J6840" s="29">
        <v>200</v>
      </c>
      <c r="K6840" s="29">
        <v>200</v>
      </c>
      <c r="L6840" s="29">
        <v>1</v>
      </c>
      <c r="M6840" s="29"/>
      <c r="N6840" s="29"/>
      <c r="O6840" s="29"/>
      <c r="P6840" s="29"/>
      <c r="Q6840" s="29"/>
      <c r="R6840" s="29">
        <v>200</v>
      </c>
      <c r="S6840" s="29">
        <v>200</v>
      </c>
      <c r="T6840" s="29">
        <v>200</v>
      </c>
      <c r="U6840" s="29">
        <v>200</v>
      </c>
      <c r="V6840" s="29">
        <v>1</v>
      </c>
      <c r="W6840" s="29">
        <v>404.83</v>
      </c>
      <c r="X6840" s="29">
        <v>400</v>
      </c>
      <c r="Y6840" s="29">
        <v>400</v>
      </c>
      <c r="Z6840" s="29">
        <v>500</v>
      </c>
      <c r="AA6840" s="29">
        <v>2</v>
      </c>
      <c r="AB6840" s="29">
        <v>309.64999999999998</v>
      </c>
      <c r="AC6840" s="29">
        <v>300</v>
      </c>
      <c r="AD6840" s="29">
        <v>300</v>
      </c>
      <c r="AE6840" s="29">
        <v>500</v>
      </c>
      <c r="AF6840" s="29">
        <v>2</v>
      </c>
      <c r="AG6840" s="29">
        <v>170</v>
      </c>
      <c r="AH6840" s="29">
        <v>170</v>
      </c>
      <c r="AI6840" s="29">
        <v>170</v>
      </c>
      <c r="AJ6840" s="29">
        <v>170</v>
      </c>
      <c r="AK6840" s="29">
        <v>1</v>
      </c>
      <c r="AL6840" s="29">
        <v>1000.58</v>
      </c>
      <c r="AM6840" s="29">
        <v>1000</v>
      </c>
      <c r="AN6840" s="29">
        <v>950</v>
      </c>
      <c r="AO6840" s="29">
        <v>2000</v>
      </c>
      <c r="AP6840" s="29">
        <v>3</v>
      </c>
      <c r="AQ6840" s="29">
        <v>1000</v>
      </c>
      <c r="AR6840" s="29">
        <v>1000</v>
      </c>
      <c r="AS6840" s="29">
        <v>1000</v>
      </c>
      <c r="AT6840" s="29">
        <v>1000</v>
      </c>
      <c r="AU6840" s="29">
        <v>1</v>
      </c>
      <c r="AV6840" s="29"/>
      <c r="AW6840" s="29"/>
      <c r="AX6840" s="29"/>
      <c r="AY6840" s="29"/>
      <c r="AZ6840" s="29"/>
      <c r="BA6840" s="29">
        <v>243.1</v>
      </c>
      <c r="BB6840" s="29">
        <v>225</v>
      </c>
      <c r="BC6840" s="29">
        <v>225</v>
      </c>
      <c r="BD6840" s="29">
        <v>600</v>
      </c>
      <c r="BE6840" s="29">
        <v>2</v>
      </c>
      <c r="BF6840" s="29"/>
      <c r="BG6840" s="29"/>
      <c r="BH6840" s="29"/>
      <c r="BI6840" s="29"/>
      <c r="BJ6840" s="29"/>
      <c r="BK6840" s="29"/>
      <c r="BL6840" s="29"/>
      <c r="BM6840" s="29"/>
      <c r="BN6840" s="29"/>
      <c r="BO6840" s="29"/>
      <c r="BP6840" s="29">
        <v>270</v>
      </c>
      <c r="BQ6840" s="29">
        <v>270</v>
      </c>
      <c r="BR6840" s="29">
        <v>270</v>
      </c>
      <c r="BS6840" s="29">
        <v>270</v>
      </c>
      <c r="BT6840" s="29">
        <v>1</v>
      </c>
      <c r="BU6840" s="29">
        <v>3500</v>
      </c>
      <c r="BV6840" s="29">
        <v>3500</v>
      </c>
      <c r="BW6840" s="29">
        <v>3500</v>
      </c>
      <c r="BX6840" s="29">
        <v>3500</v>
      </c>
      <c r="BY6840" s="29">
        <v>1</v>
      </c>
      <c r="BZ6840" s="29">
        <v>3</v>
      </c>
    </row>
    <row r="6841" spans="1:78" x14ac:dyDescent="0.35">
      <c r="A6841" t="s">
        <v>230</v>
      </c>
      <c r="B6841" t="s">
        <v>262</v>
      </c>
      <c r="C6841">
        <v>8256.14</v>
      </c>
      <c r="D6841">
        <v>7000</v>
      </c>
      <c r="E6841">
        <v>400</v>
      </c>
      <c r="F6841">
        <v>20000</v>
      </c>
      <c r="G6841" s="30">
        <v>103</v>
      </c>
      <c r="H6841">
        <v>5748.31</v>
      </c>
      <c r="I6841">
        <v>4000</v>
      </c>
      <c r="J6841">
        <v>500</v>
      </c>
      <c r="K6841">
        <v>30000</v>
      </c>
      <c r="L6841" s="30">
        <v>62</v>
      </c>
      <c r="M6841">
        <v>5676.29</v>
      </c>
      <c r="N6841">
        <v>7000</v>
      </c>
      <c r="O6841">
        <v>1000</v>
      </c>
      <c r="P6841">
        <v>11000</v>
      </c>
      <c r="Q6841" s="30">
        <v>6</v>
      </c>
      <c r="R6841">
        <v>611.74</v>
      </c>
      <c r="S6841">
        <v>500</v>
      </c>
      <c r="T6841">
        <v>50</v>
      </c>
      <c r="U6841">
        <v>3000</v>
      </c>
      <c r="V6841" s="30">
        <v>61</v>
      </c>
      <c r="W6841">
        <v>611.96</v>
      </c>
      <c r="X6841">
        <v>500</v>
      </c>
      <c r="Y6841">
        <v>70</v>
      </c>
      <c r="Z6841">
        <v>3000</v>
      </c>
      <c r="AA6841" s="30">
        <v>61</v>
      </c>
      <c r="AB6841">
        <v>877.63</v>
      </c>
      <c r="AC6841">
        <v>500</v>
      </c>
      <c r="AD6841">
        <v>100</v>
      </c>
      <c r="AE6841">
        <v>5000</v>
      </c>
      <c r="AF6841" s="30">
        <v>88</v>
      </c>
      <c r="AG6841">
        <v>1257.1300000000001</v>
      </c>
      <c r="AH6841">
        <v>520</v>
      </c>
      <c r="AI6841">
        <v>100</v>
      </c>
      <c r="AJ6841">
        <v>5000</v>
      </c>
      <c r="AK6841" s="30">
        <v>46</v>
      </c>
      <c r="AL6841">
        <v>2419.73</v>
      </c>
      <c r="AM6841">
        <v>2000</v>
      </c>
      <c r="AN6841">
        <v>450</v>
      </c>
      <c r="AO6841">
        <v>9100</v>
      </c>
      <c r="AP6841" s="30">
        <v>105</v>
      </c>
      <c r="AQ6841">
        <v>2558.5700000000002</v>
      </c>
      <c r="AR6841">
        <v>2000</v>
      </c>
      <c r="AS6841">
        <v>50</v>
      </c>
      <c r="AT6841">
        <v>30000</v>
      </c>
      <c r="AU6841" s="30">
        <v>79</v>
      </c>
      <c r="AV6841">
        <v>800.02</v>
      </c>
      <c r="AW6841">
        <v>1000</v>
      </c>
      <c r="AX6841">
        <v>100</v>
      </c>
      <c r="AY6841">
        <v>2000</v>
      </c>
      <c r="AZ6841" s="30">
        <v>12</v>
      </c>
      <c r="BA6841">
        <v>779.81</v>
      </c>
      <c r="BB6841">
        <v>700</v>
      </c>
      <c r="BC6841">
        <v>125</v>
      </c>
      <c r="BD6841">
        <v>2000</v>
      </c>
      <c r="BE6841" s="30">
        <v>116</v>
      </c>
      <c r="BF6841">
        <v>1745.51</v>
      </c>
      <c r="BG6841">
        <v>1000</v>
      </c>
      <c r="BH6841">
        <v>1000</v>
      </c>
      <c r="BI6841">
        <v>5000</v>
      </c>
      <c r="BJ6841" s="30">
        <v>7</v>
      </c>
      <c r="BK6841">
        <v>2577.0700000000002</v>
      </c>
      <c r="BL6841">
        <v>2000</v>
      </c>
      <c r="BM6841">
        <v>300</v>
      </c>
      <c r="BN6841">
        <v>10000</v>
      </c>
      <c r="BO6841" s="30">
        <v>27</v>
      </c>
      <c r="BP6841">
        <v>1218.96</v>
      </c>
      <c r="BQ6841">
        <v>1000</v>
      </c>
      <c r="BR6841">
        <v>50</v>
      </c>
      <c r="BS6841">
        <v>9000</v>
      </c>
      <c r="BT6841" s="30">
        <v>69</v>
      </c>
      <c r="BU6841">
        <v>3310.34</v>
      </c>
      <c r="BV6841">
        <v>5000</v>
      </c>
      <c r="BW6841">
        <v>200</v>
      </c>
      <c r="BX6841">
        <v>5000</v>
      </c>
      <c r="BY6841" s="30">
        <v>4</v>
      </c>
      <c r="BZ6841">
        <v>116</v>
      </c>
    </row>
    <row r="6842" spans="1:78" x14ac:dyDescent="0.35">
      <c r="A6842" s="27" t="s">
        <v>231</v>
      </c>
      <c r="B6842" s="27" t="s">
        <v>261</v>
      </c>
      <c r="C6842" s="29">
        <v>6714.29</v>
      </c>
      <c r="D6842" s="29">
        <v>5000</v>
      </c>
      <c r="E6842" s="29">
        <v>1500</v>
      </c>
      <c r="F6842" s="29">
        <v>30000</v>
      </c>
      <c r="G6842" s="29">
        <v>21</v>
      </c>
      <c r="H6842" s="29">
        <v>3136.36</v>
      </c>
      <c r="I6842" s="29">
        <v>2500</v>
      </c>
      <c r="J6842" s="29">
        <v>500</v>
      </c>
      <c r="K6842" s="29">
        <v>15000</v>
      </c>
      <c r="L6842" s="29">
        <v>11</v>
      </c>
      <c r="M6842" s="29">
        <v>6437.5</v>
      </c>
      <c r="N6842" s="29">
        <v>5000</v>
      </c>
      <c r="O6842" s="29">
        <v>3000</v>
      </c>
      <c r="P6842" s="29">
        <v>10000</v>
      </c>
      <c r="Q6842" s="29">
        <v>8</v>
      </c>
      <c r="R6842" s="29">
        <v>267.33</v>
      </c>
      <c r="S6842" s="29">
        <v>200</v>
      </c>
      <c r="T6842" s="29">
        <v>100</v>
      </c>
      <c r="U6842" s="29">
        <v>600</v>
      </c>
      <c r="V6842" s="29">
        <v>15</v>
      </c>
      <c r="W6842" s="29">
        <v>438.46</v>
      </c>
      <c r="X6842" s="29">
        <v>300</v>
      </c>
      <c r="Y6842" s="29">
        <v>100</v>
      </c>
      <c r="Z6842" s="29">
        <v>1000</v>
      </c>
      <c r="AA6842" s="29">
        <v>13</v>
      </c>
      <c r="AB6842" s="29">
        <v>770.45</v>
      </c>
      <c r="AC6842" s="29">
        <v>500</v>
      </c>
      <c r="AD6842" s="29">
        <v>100</v>
      </c>
      <c r="AE6842" s="29">
        <v>5000</v>
      </c>
      <c r="AF6842" s="29">
        <v>22</v>
      </c>
      <c r="AG6842" s="29">
        <v>420.83</v>
      </c>
      <c r="AH6842" s="29">
        <v>200</v>
      </c>
      <c r="AI6842" s="29">
        <v>100</v>
      </c>
      <c r="AJ6842" s="29">
        <v>2000</v>
      </c>
      <c r="AK6842" s="29">
        <v>12</v>
      </c>
      <c r="AL6842" s="29">
        <v>2042.86</v>
      </c>
      <c r="AM6842" s="29">
        <v>2000</v>
      </c>
      <c r="AN6842" s="29">
        <v>700</v>
      </c>
      <c r="AO6842" s="29">
        <v>3500</v>
      </c>
      <c r="AP6842" s="29">
        <v>14</v>
      </c>
      <c r="AQ6842" s="29">
        <v>1090</v>
      </c>
      <c r="AR6842" s="29">
        <v>200</v>
      </c>
      <c r="AS6842" s="29">
        <v>50</v>
      </c>
      <c r="AT6842" s="29">
        <v>10000</v>
      </c>
      <c r="AU6842" s="29">
        <v>17</v>
      </c>
      <c r="AV6842" s="29">
        <v>700</v>
      </c>
      <c r="AW6842" s="29">
        <v>1000</v>
      </c>
      <c r="AX6842" s="29">
        <v>500</v>
      </c>
      <c r="AY6842" s="29">
        <v>1000</v>
      </c>
      <c r="AZ6842" s="29">
        <v>3</v>
      </c>
      <c r="BA6842" s="29">
        <v>531.79999999999995</v>
      </c>
      <c r="BB6842" s="29">
        <v>500</v>
      </c>
      <c r="BC6842" s="29">
        <v>125</v>
      </c>
      <c r="BD6842" s="29">
        <v>2000</v>
      </c>
      <c r="BE6842" s="29">
        <v>25</v>
      </c>
      <c r="BF6842" s="29">
        <v>1333.33</v>
      </c>
      <c r="BG6842" s="29">
        <v>3000</v>
      </c>
      <c r="BH6842" s="29">
        <v>300</v>
      </c>
      <c r="BI6842" s="29">
        <v>3000</v>
      </c>
      <c r="BJ6842" s="29">
        <v>3</v>
      </c>
      <c r="BK6842" s="29">
        <v>933.33</v>
      </c>
      <c r="BL6842" s="29">
        <v>1000</v>
      </c>
      <c r="BM6842" s="29">
        <v>800</v>
      </c>
      <c r="BN6842" s="29">
        <v>1000</v>
      </c>
      <c r="BO6842" s="29">
        <v>3</v>
      </c>
      <c r="BP6842" s="29">
        <v>2362.5</v>
      </c>
      <c r="BQ6842" s="29">
        <v>300</v>
      </c>
      <c r="BR6842" s="29">
        <v>100</v>
      </c>
      <c r="BS6842" s="29">
        <v>15000</v>
      </c>
      <c r="BT6842" s="29">
        <v>8</v>
      </c>
      <c r="BU6842" s="29"/>
      <c r="BV6842" s="29"/>
      <c r="BW6842" s="29"/>
      <c r="BX6842" s="29"/>
      <c r="BY6842" s="29"/>
      <c r="BZ6842" s="29">
        <v>25</v>
      </c>
    </row>
    <row r="6843" spans="1:78" x14ac:dyDescent="0.35">
      <c r="A6843" s="27" t="s">
        <v>231</v>
      </c>
      <c r="B6843" s="27" t="s">
        <v>263</v>
      </c>
      <c r="C6843" s="29">
        <v>4250</v>
      </c>
      <c r="D6843" s="29">
        <v>1500</v>
      </c>
      <c r="E6843" s="29">
        <v>1500</v>
      </c>
      <c r="F6843" s="29">
        <v>7000</v>
      </c>
      <c r="G6843" s="29">
        <v>2</v>
      </c>
      <c r="H6843" s="29">
        <v>2000</v>
      </c>
      <c r="I6843" s="29">
        <v>2000</v>
      </c>
      <c r="J6843" s="29">
        <v>2000</v>
      </c>
      <c r="K6843" s="29">
        <v>2000</v>
      </c>
      <c r="L6843" s="29">
        <v>1</v>
      </c>
      <c r="M6843" s="29">
        <v>2750</v>
      </c>
      <c r="N6843" s="29">
        <v>2500</v>
      </c>
      <c r="O6843" s="29">
        <v>2500</v>
      </c>
      <c r="P6843" s="29">
        <v>3000</v>
      </c>
      <c r="Q6843" s="29">
        <v>2</v>
      </c>
      <c r="R6843" s="29">
        <v>825</v>
      </c>
      <c r="S6843" s="29">
        <v>150</v>
      </c>
      <c r="T6843" s="29">
        <v>150</v>
      </c>
      <c r="U6843" s="29">
        <v>1500</v>
      </c>
      <c r="V6843" s="29">
        <v>2</v>
      </c>
      <c r="W6843" s="29">
        <v>300</v>
      </c>
      <c r="X6843" s="29">
        <v>100</v>
      </c>
      <c r="Y6843" s="29">
        <v>100</v>
      </c>
      <c r="Z6843" s="29">
        <v>500</v>
      </c>
      <c r="AA6843" s="29">
        <v>2</v>
      </c>
      <c r="AB6843" s="29">
        <v>300</v>
      </c>
      <c r="AC6843" s="29">
        <v>100</v>
      </c>
      <c r="AD6843" s="29">
        <v>100</v>
      </c>
      <c r="AE6843" s="29">
        <v>500</v>
      </c>
      <c r="AF6843" s="29">
        <v>2</v>
      </c>
      <c r="AG6843" s="29"/>
      <c r="AH6843" s="29"/>
      <c r="AI6843" s="29"/>
      <c r="AJ6843" s="29"/>
      <c r="AK6843" s="29"/>
      <c r="AL6843" s="29">
        <v>1650</v>
      </c>
      <c r="AM6843" s="29">
        <v>300</v>
      </c>
      <c r="AN6843" s="29">
        <v>300</v>
      </c>
      <c r="AO6843" s="29">
        <v>3000</v>
      </c>
      <c r="AP6843" s="29">
        <v>2</v>
      </c>
      <c r="AQ6843" s="29">
        <v>2000</v>
      </c>
      <c r="AR6843" s="29">
        <v>2000</v>
      </c>
      <c r="AS6843" s="29">
        <v>2000</v>
      </c>
      <c r="AT6843" s="29">
        <v>2000</v>
      </c>
      <c r="AU6843" s="29">
        <v>1</v>
      </c>
      <c r="AV6843" s="29"/>
      <c r="AW6843" s="29"/>
      <c r="AX6843" s="29"/>
      <c r="AY6843" s="29"/>
      <c r="AZ6843" s="29"/>
      <c r="BA6843" s="29">
        <v>375</v>
      </c>
      <c r="BB6843" s="29">
        <v>150</v>
      </c>
      <c r="BC6843" s="29">
        <v>150</v>
      </c>
      <c r="BD6843" s="29">
        <v>600</v>
      </c>
      <c r="BE6843" s="29">
        <v>2</v>
      </c>
      <c r="BF6843" s="29"/>
      <c r="BG6843" s="29"/>
      <c r="BH6843" s="29"/>
      <c r="BI6843" s="29"/>
      <c r="BJ6843" s="29"/>
      <c r="BK6843" s="29"/>
      <c r="BL6843" s="29"/>
      <c r="BM6843" s="29"/>
      <c r="BN6843" s="29"/>
      <c r="BO6843" s="29"/>
      <c r="BP6843" s="29">
        <v>200</v>
      </c>
      <c r="BQ6843" s="29">
        <v>200</v>
      </c>
      <c r="BR6843" s="29">
        <v>200</v>
      </c>
      <c r="BS6843" s="29">
        <v>200</v>
      </c>
      <c r="BT6843" s="29">
        <v>1</v>
      </c>
      <c r="BU6843" s="29">
        <v>800</v>
      </c>
      <c r="BV6843" s="29">
        <v>800</v>
      </c>
      <c r="BW6843" s="29">
        <v>800</v>
      </c>
      <c r="BX6843" s="29">
        <v>800</v>
      </c>
      <c r="BY6843" s="29">
        <v>1</v>
      </c>
      <c r="BZ6843" s="29">
        <v>2</v>
      </c>
    </row>
    <row r="6844" spans="1:78" x14ac:dyDescent="0.35">
      <c r="A6844" s="27" t="s">
        <v>231</v>
      </c>
      <c r="B6844" s="27" t="s">
        <v>262</v>
      </c>
      <c r="C6844" s="29">
        <v>7500</v>
      </c>
      <c r="D6844" s="29">
        <v>7000</v>
      </c>
      <c r="E6844" s="29">
        <v>1000</v>
      </c>
      <c r="F6844" s="29">
        <v>20000</v>
      </c>
      <c r="G6844" s="29">
        <v>10</v>
      </c>
      <c r="H6844" s="29">
        <v>3388.89</v>
      </c>
      <c r="I6844" s="29">
        <v>3000</v>
      </c>
      <c r="J6844" s="29">
        <v>500</v>
      </c>
      <c r="K6844" s="29">
        <v>10000</v>
      </c>
      <c r="L6844" s="29">
        <v>9</v>
      </c>
      <c r="M6844" s="29">
        <v>9000</v>
      </c>
      <c r="N6844" s="29">
        <v>13000</v>
      </c>
      <c r="O6844" s="29">
        <v>5000</v>
      </c>
      <c r="P6844" s="29">
        <v>13000</v>
      </c>
      <c r="Q6844" s="29">
        <v>3</v>
      </c>
      <c r="R6844" s="29">
        <v>433.33</v>
      </c>
      <c r="S6844" s="29">
        <v>500</v>
      </c>
      <c r="T6844" s="29">
        <v>100</v>
      </c>
      <c r="U6844" s="29">
        <v>1000</v>
      </c>
      <c r="V6844" s="29">
        <v>6</v>
      </c>
      <c r="W6844" s="29">
        <v>620</v>
      </c>
      <c r="X6844" s="29">
        <v>1000</v>
      </c>
      <c r="Y6844" s="29">
        <v>100</v>
      </c>
      <c r="Z6844" s="29">
        <v>1000</v>
      </c>
      <c r="AA6844" s="29">
        <v>5</v>
      </c>
      <c r="AB6844" s="29">
        <v>780.13</v>
      </c>
      <c r="AC6844" s="29">
        <v>800</v>
      </c>
      <c r="AD6844" s="29">
        <v>100</v>
      </c>
      <c r="AE6844" s="29">
        <v>1141</v>
      </c>
      <c r="AF6844" s="29">
        <v>8</v>
      </c>
      <c r="AG6844" s="29">
        <v>350</v>
      </c>
      <c r="AH6844" s="29">
        <v>200</v>
      </c>
      <c r="AI6844" s="29">
        <v>200</v>
      </c>
      <c r="AJ6844" s="29">
        <v>500</v>
      </c>
      <c r="AK6844" s="29">
        <v>2</v>
      </c>
      <c r="AL6844" s="29">
        <v>2062.5</v>
      </c>
      <c r="AM6844" s="29">
        <v>2500</v>
      </c>
      <c r="AN6844" s="29">
        <v>500</v>
      </c>
      <c r="AO6844" s="29">
        <v>3000</v>
      </c>
      <c r="AP6844" s="29">
        <v>8</v>
      </c>
      <c r="AQ6844" s="29">
        <v>1062.5</v>
      </c>
      <c r="AR6844" s="29">
        <v>700</v>
      </c>
      <c r="AS6844" s="29">
        <v>300</v>
      </c>
      <c r="AT6844" s="29">
        <v>2000</v>
      </c>
      <c r="AU6844" s="29">
        <v>8</v>
      </c>
      <c r="AV6844" s="29">
        <v>200</v>
      </c>
      <c r="AW6844" s="29">
        <v>100</v>
      </c>
      <c r="AX6844" s="29">
        <v>100</v>
      </c>
      <c r="AY6844" s="29">
        <v>300</v>
      </c>
      <c r="AZ6844" s="29">
        <v>2</v>
      </c>
      <c r="BA6844" s="29">
        <v>509.44</v>
      </c>
      <c r="BB6844" s="29">
        <v>600</v>
      </c>
      <c r="BC6844" s="29">
        <v>225</v>
      </c>
      <c r="BD6844" s="29">
        <v>1000</v>
      </c>
      <c r="BE6844" s="29">
        <v>9</v>
      </c>
      <c r="BF6844" s="29">
        <v>1333.33</v>
      </c>
      <c r="BG6844" s="29">
        <v>1500</v>
      </c>
      <c r="BH6844" s="29">
        <v>1000</v>
      </c>
      <c r="BI6844" s="29">
        <v>1500</v>
      </c>
      <c r="BJ6844" s="29">
        <v>3</v>
      </c>
      <c r="BK6844" s="29">
        <v>1650</v>
      </c>
      <c r="BL6844" s="29">
        <v>2000</v>
      </c>
      <c r="BM6844" s="29">
        <v>400</v>
      </c>
      <c r="BN6844" s="29">
        <v>3000</v>
      </c>
      <c r="BO6844" s="29">
        <v>6</v>
      </c>
      <c r="BP6844" s="29">
        <v>778.57</v>
      </c>
      <c r="BQ6844" s="29">
        <v>1000</v>
      </c>
      <c r="BR6844" s="29">
        <v>200</v>
      </c>
      <c r="BS6844" s="29">
        <v>2000</v>
      </c>
      <c r="BT6844" s="29">
        <v>7</v>
      </c>
      <c r="BU6844" s="29"/>
      <c r="BV6844" s="29"/>
      <c r="BW6844" s="29"/>
      <c r="BX6844" s="29"/>
      <c r="BY6844" s="29"/>
      <c r="BZ6844" s="29">
        <v>10</v>
      </c>
    </row>
    <row r="6845" spans="1:78" x14ac:dyDescent="0.35">
      <c r="A6845" t="s">
        <v>231</v>
      </c>
      <c r="B6845" t="s">
        <v>260</v>
      </c>
      <c r="C6845">
        <v>7651.4</v>
      </c>
      <c r="D6845">
        <v>5000</v>
      </c>
      <c r="E6845">
        <v>500</v>
      </c>
      <c r="F6845">
        <v>30000</v>
      </c>
      <c r="G6845" s="30">
        <v>107</v>
      </c>
      <c r="H6845">
        <v>4586.21</v>
      </c>
      <c r="I6845">
        <v>3500</v>
      </c>
      <c r="J6845">
        <v>100</v>
      </c>
      <c r="K6845">
        <v>24000</v>
      </c>
      <c r="L6845" s="30">
        <v>58</v>
      </c>
      <c r="M6845">
        <v>4931.2700000000004</v>
      </c>
      <c r="N6845">
        <v>5000</v>
      </c>
      <c r="O6845">
        <v>500</v>
      </c>
      <c r="P6845">
        <v>10000</v>
      </c>
      <c r="Q6845" s="30">
        <v>11</v>
      </c>
      <c r="R6845">
        <v>538.44000000000005</v>
      </c>
      <c r="S6845">
        <v>400</v>
      </c>
      <c r="T6845">
        <v>50</v>
      </c>
      <c r="U6845">
        <v>2500</v>
      </c>
      <c r="V6845" s="30">
        <v>45</v>
      </c>
      <c r="W6845">
        <v>674.35</v>
      </c>
      <c r="X6845">
        <v>500</v>
      </c>
      <c r="Y6845">
        <v>50</v>
      </c>
      <c r="Z6845">
        <v>2000</v>
      </c>
      <c r="AA6845" s="30">
        <v>60</v>
      </c>
      <c r="AB6845">
        <v>923.1</v>
      </c>
      <c r="AC6845">
        <v>700</v>
      </c>
      <c r="AD6845">
        <v>100</v>
      </c>
      <c r="AE6845">
        <v>5000</v>
      </c>
      <c r="AF6845" s="30">
        <v>87</v>
      </c>
      <c r="AG6845">
        <v>737</v>
      </c>
      <c r="AH6845">
        <v>500</v>
      </c>
      <c r="AI6845">
        <v>100</v>
      </c>
      <c r="AJ6845">
        <v>3000</v>
      </c>
      <c r="AK6845" s="30">
        <v>50</v>
      </c>
      <c r="AL6845">
        <v>2043</v>
      </c>
      <c r="AM6845">
        <v>2000</v>
      </c>
      <c r="AN6845">
        <v>400</v>
      </c>
      <c r="AO6845">
        <v>6000</v>
      </c>
      <c r="AP6845" s="30">
        <v>112</v>
      </c>
      <c r="AQ6845">
        <v>2098.85</v>
      </c>
      <c r="AR6845">
        <v>1000</v>
      </c>
      <c r="AS6845">
        <v>50</v>
      </c>
      <c r="AT6845">
        <v>30000</v>
      </c>
      <c r="AU6845" s="30">
        <v>78</v>
      </c>
      <c r="AV6845">
        <v>534.38</v>
      </c>
      <c r="AW6845">
        <v>500</v>
      </c>
      <c r="AX6845">
        <v>100</v>
      </c>
      <c r="AY6845">
        <v>1500</v>
      </c>
      <c r="AZ6845" s="30">
        <v>16</v>
      </c>
      <c r="BA6845">
        <v>626.59</v>
      </c>
      <c r="BB6845">
        <v>500</v>
      </c>
      <c r="BC6845">
        <v>50</v>
      </c>
      <c r="BD6845">
        <v>2000</v>
      </c>
      <c r="BE6845" s="30">
        <v>113</v>
      </c>
      <c r="BF6845">
        <v>6333.33</v>
      </c>
      <c r="BG6845">
        <v>10000</v>
      </c>
      <c r="BH6845">
        <v>3000</v>
      </c>
      <c r="BI6845">
        <v>10000</v>
      </c>
      <c r="BJ6845" s="30">
        <v>3</v>
      </c>
      <c r="BK6845">
        <v>5946.55</v>
      </c>
      <c r="BL6845">
        <v>2000</v>
      </c>
      <c r="BM6845">
        <v>200</v>
      </c>
      <c r="BN6845">
        <v>30000</v>
      </c>
      <c r="BO6845" s="30">
        <v>29</v>
      </c>
      <c r="BP6845">
        <v>1366</v>
      </c>
      <c r="BQ6845">
        <v>800</v>
      </c>
      <c r="BR6845">
        <v>50</v>
      </c>
      <c r="BS6845">
        <v>8500</v>
      </c>
      <c r="BT6845" s="30">
        <v>55</v>
      </c>
      <c r="BU6845">
        <v>3012.5</v>
      </c>
      <c r="BV6845">
        <v>800</v>
      </c>
      <c r="BW6845">
        <v>200</v>
      </c>
      <c r="BX6845">
        <v>10000</v>
      </c>
      <c r="BY6845" s="30">
        <v>8</v>
      </c>
      <c r="BZ6845">
        <v>113</v>
      </c>
    </row>
    <row r="6846" spans="1:78" x14ac:dyDescent="0.35">
      <c r="A6846" t="s">
        <v>232</v>
      </c>
      <c r="B6846" t="s">
        <v>232</v>
      </c>
      <c r="C6846">
        <v>7868.72</v>
      </c>
      <c r="D6846">
        <v>6000</v>
      </c>
      <c r="E6846">
        <v>200</v>
      </c>
      <c r="F6846">
        <v>30000</v>
      </c>
      <c r="G6846" s="30">
        <v>2369</v>
      </c>
      <c r="H6846">
        <v>4052.31</v>
      </c>
      <c r="I6846">
        <v>3000</v>
      </c>
      <c r="J6846">
        <v>100</v>
      </c>
      <c r="K6846">
        <v>60000</v>
      </c>
      <c r="L6846" s="30">
        <v>1077</v>
      </c>
      <c r="M6846">
        <v>5938.14</v>
      </c>
      <c r="N6846">
        <v>5000</v>
      </c>
      <c r="O6846">
        <v>183</v>
      </c>
      <c r="P6846">
        <v>16000</v>
      </c>
      <c r="Q6846" s="30">
        <v>345</v>
      </c>
      <c r="R6846">
        <v>468.12</v>
      </c>
      <c r="S6846">
        <v>300</v>
      </c>
      <c r="T6846">
        <v>50</v>
      </c>
      <c r="U6846">
        <v>3000</v>
      </c>
      <c r="V6846" s="30">
        <v>1180</v>
      </c>
      <c r="W6846">
        <v>542.04</v>
      </c>
      <c r="X6846">
        <v>401</v>
      </c>
      <c r="Y6846">
        <v>30</v>
      </c>
      <c r="Z6846">
        <v>3000</v>
      </c>
      <c r="AA6846" s="30">
        <v>1265</v>
      </c>
      <c r="AB6846">
        <v>868.78</v>
      </c>
      <c r="AC6846">
        <v>500</v>
      </c>
      <c r="AD6846">
        <v>100</v>
      </c>
      <c r="AE6846">
        <v>5000</v>
      </c>
      <c r="AF6846" s="30">
        <v>1926</v>
      </c>
      <c r="AG6846">
        <v>667.4</v>
      </c>
      <c r="AH6846">
        <v>500</v>
      </c>
      <c r="AI6846">
        <v>100</v>
      </c>
      <c r="AJ6846">
        <v>5000</v>
      </c>
      <c r="AK6846" s="30">
        <v>856</v>
      </c>
      <c r="AL6846">
        <v>2130.96</v>
      </c>
      <c r="AM6846">
        <v>2000</v>
      </c>
      <c r="AN6846">
        <v>300</v>
      </c>
      <c r="AO6846">
        <v>9100</v>
      </c>
      <c r="AP6846" s="30">
        <v>2431</v>
      </c>
      <c r="AQ6846">
        <v>2285.5300000000002</v>
      </c>
      <c r="AR6846">
        <v>1000</v>
      </c>
      <c r="AS6846">
        <v>50</v>
      </c>
      <c r="AT6846">
        <v>30000</v>
      </c>
      <c r="AU6846" s="30">
        <v>1520</v>
      </c>
      <c r="AV6846">
        <v>776.74</v>
      </c>
      <c r="AW6846">
        <v>500</v>
      </c>
      <c r="AX6846">
        <v>100</v>
      </c>
      <c r="AY6846">
        <v>3000</v>
      </c>
      <c r="AZ6846" s="30">
        <v>266</v>
      </c>
      <c r="BA6846">
        <v>615.85</v>
      </c>
      <c r="BB6846">
        <v>500</v>
      </c>
      <c r="BC6846">
        <v>50</v>
      </c>
      <c r="BD6846">
        <v>2800</v>
      </c>
      <c r="BE6846" s="30">
        <v>2479</v>
      </c>
      <c r="BF6846">
        <v>3040.04</v>
      </c>
      <c r="BG6846">
        <v>2000</v>
      </c>
      <c r="BH6846">
        <v>200</v>
      </c>
      <c r="BI6846">
        <v>10000</v>
      </c>
      <c r="BJ6846" s="30">
        <v>132</v>
      </c>
      <c r="BK6846">
        <v>4895.0200000000004</v>
      </c>
      <c r="BL6846">
        <v>2000</v>
      </c>
      <c r="BM6846">
        <v>100</v>
      </c>
      <c r="BN6846">
        <v>30000</v>
      </c>
      <c r="BO6846" s="30">
        <v>461</v>
      </c>
      <c r="BP6846">
        <v>1288.5999999999999</v>
      </c>
      <c r="BQ6846">
        <v>600</v>
      </c>
      <c r="BR6846">
        <v>50</v>
      </c>
      <c r="BS6846">
        <v>30000</v>
      </c>
      <c r="BT6846" s="30">
        <v>1296</v>
      </c>
      <c r="BU6846">
        <v>3251.2</v>
      </c>
      <c r="BV6846">
        <v>2500</v>
      </c>
      <c r="BW6846">
        <v>100</v>
      </c>
      <c r="BX6846">
        <v>10000</v>
      </c>
      <c r="BY6846" s="30">
        <v>124</v>
      </c>
      <c r="BZ6846">
        <v>2479</v>
      </c>
    </row>
    <row r="6848" spans="1:78" x14ac:dyDescent="0.35">
      <c r="A6848" s="1" t="s">
        <v>972</v>
      </c>
    </row>
    <row r="6849" spans="1:78" x14ac:dyDescent="0.35">
      <c r="A6849" t="s">
        <v>219</v>
      </c>
      <c r="B6849" t="s">
        <v>305</v>
      </c>
      <c r="C6849" t="s">
        <v>889</v>
      </c>
      <c r="D6849" t="s">
        <v>890</v>
      </c>
      <c r="E6849" t="s">
        <v>891</v>
      </c>
      <c r="F6849" t="s">
        <v>892</v>
      </c>
      <c r="G6849" t="s">
        <v>893</v>
      </c>
      <c r="H6849" t="s">
        <v>894</v>
      </c>
      <c r="I6849" t="s">
        <v>895</v>
      </c>
      <c r="J6849" t="s">
        <v>896</v>
      </c>
      <c r="K6849" t="s">
        <v>897</v>
      </c>
      <c r="L6849" t="s">
        <v>898</v>
      </c>
      <c r="M6849" t="s">
        <v>899</v>
      </c>
      <c r="N6849" t="s">
        <v>900</v>
      </c>
      <c r="O6849" t="s">
        <v>901</v>
      </c>
      <c r="P6849" t="s">
        <v>902</v>
      </c>
      <c r="Q6849" t="s">
        <v>903</v>
      </c>
      <c r="R6849" t="s">
        <v>904</v>
      </c>
      <c r="S6849" t="s">
        <v>905</v>
      </c>
      <c r="T6849" t="s">
        <v>906</v>
      </c>
      <c r="U6849" t="s">
        <v>907</v>
      </c>
      <c r="V6849" t="s">
        <v>908</v>
      </c>
      <c r="W6849" t="s">
        <v>909</v>
      </c>
      <c r="X6849" t="s">
        <v>910</v>
      </c>
      <c r="Y6849" t="s">
        <v>911</v>
      </c>
      <c r="Z6849" t="s">
        <v>912</v>
      </c>
      <c r="AA6849" t="s">
        <v>913</v>
      </c>
      <c r="AB6849" t="s">
        <v>914</v>
      </c>
      <c r="AC6849" t="s">
        <v>915</v>
      </c>
      <c r="AD6849" t="s">
        <v>916</v>
      </c>
      <c r="AE6849" t="s">
        <v>917</v>
      </c>
      <c r="AF6849" t="s">
        <v>918</v>
      </c>
      <c r="AG6849" t="s">
        <v>919</v>
      </c>
      <c r="AH6849" t="s">
        <v>920</v>
      </c>
      <c r="AI6849" t="s">
        <v>921</v>
      </c>
      <c r="AJ6849" t="s">
        <v>922</v>
      </c>
      <c r="AK6849" t="s">
        <v>923</v>
      </c>
      <c r="AL6849" t="s">
        <v>924</v>
      </c>
      <c r="AM6849" t="s">
        <v>925</v>
      </c>
      <c r="AN6849" t="s">
        <v>926</v>
      </c>
      <c r="AO6849" t="s">
        <v>927</v>
      </c>
      <c r="AP6849" t="s">
        <v>928</v>
      </c>
      <c r="AQ6849" t="s">
        <v>929</v>
      </c>
      <c r="AR6849" t="s">
        <v>930</v>
      </c>
      <c r="AS6849" t="s">
        <v>931</v>
      </c>
      <c r="AT6849" t="s">
        <v>932</v>
      </c>
      <c r="AU6849" t="s">
        <v>933</v>
      </c>
      <c r="AV6849" t="s">
        <v>934</v>
      </c>
      <c r="AW6849" t="s">
        <v>935</v>
      </c>
      <c r="AX6849" t="s">
        <v>936</v>
      </c>
      <c r="AY6849" t="s">
        <v>937</v>
      </c>
      <c r="AZ6849" t="s">
        <v>938</v>
      </c>
      <c r="BA6849" t="s">
        <v>939</v>
      </c>
      <c r="BB6849" t="s">
        <v>940</v>
      </c>
      <c r="BC6849" t="s">
        <v>941</v>
      </c>
      <c r="BD6849" t="s">
        <v>942</v>
      </c>
      <c r="BE6849" t="s">
        <v>943</v>
      </c>
      <c r="BF6849" t="s">
        <v>944</v>
      </c>
      <c r="BG6849" t="s">
        <v>945</v>
      </c>
      <c r="BH6849" t="s">
        <v>946</v>
      </c>
      <c r="BI6849" t="s">
        <v>947</v>
      </c>
      <c r="BJ6849" t="s">
        <v>948</v>
      </c>
      <c r="BK6849" t="s">
        <v>949</v>
      </c>
      <c r="BL6849" t="s">
        <v>950</v>
      </c>
      <c r="BM6849" t="s">
        <v>951</v>
      </c>
      <c r="BN6849" t="s">
        <v>952</v>
      </c>
      <c r="BO6849" t="s">
        <v>953</v>
      </c>
      <c r="BP6849" t="s">
        <v>954</v>
      </c>
      <c r="BQ6849" t="s">
        <v>955</v>
      </c>
      <c r="BR6849" t="s">
        <v>956</v>
      </c>
      <c r="BS6849" t="s">
        <v>957</v>
      </c>
      <c r="BT6849" t="s">
        <v>958</v>
      </c>
      <c r="BU6849" t="s">
        <v>959</v>
      </c>
      <c r="BV6849" t="s">
        <v>960</v>
      </c>
      <c r="BW6849" t="s">
        <v>961</v>
      </c>
      <c r="BX6849" t="s">
        <v>962</v>
      </c>
      <c r="BY6849" t="s">
        <v>963</v>
      </c>
      <c r="BZ6849" t="s">
        <v>964</v>
      </c>
    </row>
    <row r="6850" spans="1:78" x14ac:dyDescent="0.35">
      <c r="A6850" s="27" t="s">
        <v>227</v>
      </c>
      <c r="B6850" s="27" t="s">
        <v>368</v>
      </c>
      <c r="C6850" s="29">
        <v>6637.64</v>
      </c>
      <c r="D6850" s="29">
        <v>6300</v>
      </c>
      <c r="E6850" s="29">
        <v>1500</v>
      </c>
      <c r="F6850" s="29">
        <v>16322</v>
      </c>
      <c r="G6850" s="29">
        <v>28</v>
      </c>
      <c r="H6850" s="29">
        <v>3877.78</v>
      </c>
      <c r="I6850" s="29">
        <v>5000</v>
      </c>
      <c r="J6850" s="29">
        <v>400</v>
      </c>
      <c r="K6850" s="29">
        <v>10000</v>
      </c>
      <c r="L6850" s="29">
        <v>9</v>
      </c>
      <c r="M6850" s="29">
        <v>4261.1099999999997</v>
      </c>
      <c r="N6850" s="29">
        <v>4200</v>
      </c>
      <c r="O6850" s="29">
        <v>1000</v>
      </c>
      <c r="P6850" s="29">
        <v>8000</v>
      </c>
      <c r="Q6850" s="29">
        <v>18</v>
      </c>
      <c r="R6850" s="29">
        <v>360</v>
      </c>
      <c r="S6850" s="29">
        <v>300</v>
      </c>
      <c r="T6850" s="29">
        <v>50</v>
      </c>
      <c r="U6850" s="29">
        <v>2000</v>
      </c>
      <c r="V6850" s="29">
        <v>23</v>
      </c>
      <c r="W6850" s="29">
        <v>474.5</v>
      </c>
      <c r="X6850" s="29">
        <v>300</v>
      </c>
      <c r="Y6850" s="29">
        <v>94</v>
      </c>
      <c r="Z6850" s="29">
        <v>1500</v>
      </c>
      <c r="AA6850" s="29">
        <v>12</v>
      </c>
      <c r="AB6850" s="29">
        <v>755.62</v>
      </c>
      <c r="AC6850" s="29">
        <v>500</v>
      </c>
      <c r="AD6850" s="29">
        <v>200</v>
      </c>
      <c r="AE6850" s="29">
        <v>4000</v>
      </c>
      <c r="AF6850" s="29">
        <v>26</v>
      </c>
      <c r="AG6850" s="29">
        <v>799.27</v>
      </c>
      <c r="AH6850" s="29">
        <v>500</v>
      </c>
      <c r="AI6850" s="29">
        <v>100</v>
      </c>
      <c r="AJ6850" s="29">
        <v>4000</v>
      </c>
      <c r="AK6850" s="29">
        <v>11</v>
      </c>
      <c r="AL6850" s="29">
        <v>1770.65</v>
      </c>
      <c r="AM6850" s="29">
        <v>1500</v>
      </c>
      <c r="AN6850" s="29">
        <v>560</v>
      </c>
      <c r="AO6850" s="29">
        <v>8000</v>
      </c>
      <c r="AP6850" s="29">
        <v>26</v>
      </c>
      <c r="AQ6850" s="29">
        <v>3568.42</v>
      </c>
      <c r="AR6850" s="29">
        <v>1000</v>
      </c>
      <c r="AS6850" s="29">
        <v>150</v>
      </c>
      <c r="AT6850" s="29">
        <v>30000</v>
      </c>
      <c r="AU6850" s="29">
        <v>19</v>
      </c>
      <c r="AV6850" s="29">
        <v>1037.5</v>
      </c>
      <c r="AW6850" s="29">
        <v>500</v>
      </c>
      <c r="AX6850" s="29">
        <v>500</v>
      </c>
      <c r="AY6850" s="29">
        <v>2500</v>
      </c>
      <c r="AZ6850" s="29">
        <v>4</v>
      </c>
      <c r="BA6850" s="29">
        <v>575.07000000000005</v>
      </c>
      <c r="BB6850" s="29">
        <v>500</v>
      </c>
      <c r="BC6850" s="29">
        <v>192</v>
      </c>
      <c r="BD6850" s="29">
        <v>2000</v>
      </c>
      <c r="BE6850" s="29">
        <v>28</v>
      </c>
      <c r="BF6850" s="29">
        <v>2500</v>
      </c>
      <c r="BG6850" s="29">
        <v>2500</v>
      </c>
      <c r="BH6850" s="29">
        <v>2500</v>
      </c>
      <c r="BI6850" s="29">
        <v>2500</v>
      </c>
      <c r="BJ6850" s="29">
        <v>1</v>
      </c>
      <c r="BK6850" s="29">
        <v>766.67</v>
      </c>
      <c r="BL6850" s="29">
        <v>1000</v>
      </c>
      <c r="BM6850" s="29">
        <v>500</v>
      </c>
      <c r="BN6850" s="29">
        <v>1000</v>
      </c>
      <c r="BO6850" s="29">
        <v>3</v>
      </c>
      <c r="BP6850" s="29">
        <v>626.42999999999995</v>
      </c>
      <c r="BQ6850" s="29">
        <v>300</v>
      </c>
      <c r="BR6850" s="29">
        <v>100</v>
      </c>
      <c r="BS6850" s="29">
        <v>2400</v>
      </c>
      <c r="BT6850" s="29">
        <v>14</v>
      </c>
      <c r="BU6850" s="29">
        <v>1600</v>
      </c>
      <c r="BV6850" s="29">
        <v>700</v>
      </c>
      <c r="BW6850" s="29">
        <v>700</v>
      </c>
      <c r="BX6850" s="29">
        <v>2500</v>
      </c>
      <c r="BY6850" s="29">
        <v>2</v>
      </c>
      <c r="BZ6850" s="29">
        <v>28</v>
      </c>
    </row>
    <row r="6851" spans="1:78" x14ac:dyDescent="0.35">
      <c r="A6851" t="s">
        <v>227</v>
      </c>
      <c r="B6851" t="s">
        <v>369</v>
      </c>
      <c r="C6851">
        <v>6033.77</v>
      </c>
      <c r="D6851">
        <v>5000</v>
      </c>
      <c r="E6851">
        <v>500</v>
      </c>
      <c r="F6851">
        <v>30000</v>
      </c>
      <c r="G6851" s="30">
        <v>114</v>
      </c>
      <c r="H6851">
        <v>3448.56</v>
      </c>
      <c r="I6851">
        <v>2000</v>
      </c>
      <c r="J6851">
        <v>119</v>
      </c>
      <c r="K6851">
        <v>30000</v>
      </c>
      <c r="L6851" s="30">
        <v>57</v>
      </c>
      <c r="M6851">
        <v>5875</v>
      </c>
      <c r="N6851">
        <v>6000</v>
      </c>
      <c r="O6851">
        <v>2000</v>
      </c>
      <c r="P6851">
        <v>12000</v>
      </c>
      <c r="Q6851" s="30">
        <v>8</v>
      </c>
      <c r="R6851">
        <v>350.82</v>
      </c>
      <c r="S6851">
        <v>240</v>
      </c>
      <c r="T6851">
        <v>50</v>
      </c>
      <c r="U6851">
        <v>2000</v>
      </c>
      <c r="V6851" s="30">
        <v>61</v>
      </c>
      <c r="W6851">
        <v>548.69000000000005</v>
      </c>
      <c r="X6851">
        <v>500</v>
      </c>
      <c r="Y6851">
        <v>50</v>
      </c>
      <c r="Z6851">
        <v>2000</v>
      </c>
      <c r="AA6851" s="30">
        <v>67</v>
      </c>
      <c r="AB6851">
        <v>787.37</v>
      </c>
      <c r="AC6851">
        <v>600</v>
      </c>
      <c r="AD6851">
        <v>100</v>
      </c>
      <c r="AE6851">
        <v>5000</v>
      </c>
      <c r="AF6851" s="30">
        <v>95</v>
      </c>
      <c r="AG6851">
        <v>553.62</v>
      </c>
      <c r="AH6851">
        <v>400</v>
      </c>
      <c r="AI6851">
        <v>100</v>
      </c>
      <c r="AJ6851">
        <v>3000</v>
      </c>
      <c r="AK6851" s="30">
        <v>40</v>
      </c>
      <c r="AL6851">
        <v>1904.17</v>
      </c>
      <c r="AM6851">
        <v>1500</v>
      </c>
      <c r="AN6851">
        <v>350</v>
      </c>
      <c r="AO6851">
        <v>8000</v>
      </c>
      <c r="AP6851" s="30">
        <v>120</v>
      </c>
      <c r="AQ6851">
        <v>2633.44</v>
      </c>
      <c r="AR6851">
        <v>1000</v>
      </c>
      <c r="AS6851">
        <v>50</v>
      </c>
      <c r="AT6851">
        <v>30000</v>
      </c>
      <c r="AU6851" s="30">
        <v>82</v>
      </c>
      <c r="AV6851">
        <v>1118.8900000000001</v>
      </c>
      <c r="AW6851">
        <v>1000</v>
      </c>
      <c r="AX6851">
        <v>200</v>
      </c>
      <c r="AY6851">
        <v>3000</v>
      </c>
      <c r="AZ6851" s="30">
        <v>18</v>
      </c>
      <c r="BA6851">
        <v>543.35</v>
      </c>
      <c r="BB6851">
        <v>500</v>
      </c>
      <c r="BC6851">
        <v>100</v>
      </c>
      <c r="BD6851">
        <v>2500</v>
      </c>
      <c r="BE6851" s="30">
        <v>117</v>
      </c>
      <c r="BF6851">
        <v>2985.71</v>
      </c>
      <c r="BG6851">
        <v>3000</v>
      </c>
      <c r="BH6851">
        <v>400</v>
      </c>
      <c r="BI6851">
        <v>6500</v>
      </c>
      <c r="BJ6851" s="30">
        <v>7</v>
      </c>
      <c r="BK6851">
        <v>4633.45</v>
      </c>
      <c r="BL6851">
        <v>3000</v>
      </c>
      <c r="BM6851">
        <v>300</v>
      </c>
      <c r="BN6851">
        <v>25000</v>
      </c>
      <c r="BO6851" s="30">
        <v>31</v>
      </c>
      <c r="BP6851">
        <v>804.48</v>
      </c>
      <c r="BQ6851">
        <v>500</v>
      </c>
      <c r="BR6851">
        <v>50</v>
      </c>
      <c r="BS6851">
        <v>3500</v>
      </c>
      <c r="BT6851" s="30">
        <v>75</v>
      </c>
      <c r="BU6851">
        <v>4693.75</v>
      </c>
      <c r="BV6851">
        <v>5000</v>
      </c>
      <c r="BW6851">
        <v>1000</v>
      </c>
      <c r="BX6851">
        <v>7500</v>
      </c>
      <c r="BY6851" s="30">
        <v>8</v>
      </c>
      <c r="BZ6851">
        <v>120</v>
      </c>
    </row>
    <row r="6852" spans="1:78" x14ac:dyDescent="0.35">
      <c r="A6852" t="s">
        <v>228</v>
      </c>
      <c r="B6852" t="s">
        <v>368</v>
      </c>
      <c r="C6852">
        <v>7614.4</v>
      </c>
      <c r="D6852">
        <v>7000</v>
      </c>
      <c r="E6852">
        <v>400</v>
      </c>
      <c r="F6852">
        <v>20000</v>
      </c>
      <c r="G6852" s="30">
        <v>151</v>
      </c>
      <c r="H6852">
        <v>2912</v>
      </c>
      <c r="I6852">
        <v>3000</v>
      </c>
      <c r="J6852">
        <v>300</v>
      </c>
      <c r="K6852">
        <v>8000</v>
      </c>
      <c r="L6852" s="30">
        <v>62</v>
      </c>
      <c r="M6852">
        <v>5812.42</v>
      </c>
      <c r="N6852">
        <v>5000</v>
      </c>
      <c r="O6852">
        <v>300</v>
      </c>
      <c r="P6852">
        <v>16000</v>
      </c>
      <c r="Q6852" s="30">
        <v>86</v>
      </c>
      <c r="R6852">
        <v>530.88</v>
      </c>
      <c r="S6852">
        <v>400</v>
      </c>
      <c r="T6852">
        <v>50</v>
      </c>
      <c r="U6852">
        <v>3000</v>
      </c>
      <c r="V6852" s="30">
        <v>89</v>
      </c>
      <c r="W6852">
        <v>563.91999999999996</v>
      </c>
      <c r="X6852">
        <v>500</v>
      </c>
      <c r="Y6852">
        <v>60</v>
      </c>
      <c r="Z6852">
        <v>2000</v>
      </c>
      <c r="AA6852" s="30">
        <v>81</v>
      </c>
      <c r="AB6852">
        <v>800.86</v>
      </c>
      <c r="AC6852">
        <v>500</v>
      </c>
      <c r="AD6852">
        <v>100</v>
      </c>
      <c r="AE6852">
        <v>3000</v>
      </c>
      <c r="AF6852" s="30">
        <v>114</v>
      </c>
      <c r="AG6852">
        <v>756.85</v>
      </c>
      <c r="AH6852">
        <v>500</v>
      </c>
      <c r="AI6852">
        <v>100</v>
      </c>
      <c r="AJ6852">
        <v>3000</v>
      </c>
      <c r="AK6852" s="30">
        <v>52</v>
      </c>
      <c r="AL6852">
        <v>1981.99</v>
      </c>
      <c r="AM6852">
        <v>1600</v>
      </c>
      <c r="AN6852">
        <v>300</v>
      </c>
      <c r="AO6852">
        <v>6000</v>
      </c>
      <c r="AP6852" s="30">
        <v>147</v>
      </c>
      <c r="AQ6852">
        <v>2392.02</v>
      </c>
      <c r="AR6852">
        <v>1000</v>
      </c>
      <c r="AS6852">
        <v>100</v>
      </c>
      <c r="AT6852">
        <v>30000</v>
      </c>
      <c r="AU6852" s="30">
        <v>90</v>
      </c>
      <c r="AV6852">
        <v>765.59</v>
      </c>
      <c r="AW6852">
        <v>680</v>
      </c>
      <c r="AX6852">
        <v>100</v>
      </c>
      <c r="AY6852">
        <v>3000</v>
      </c>
      <c r="AZ6852" s="30">
        <v>23</v>
      </c>
      <c r="BA6852">
        <v>705.27</v>
      </c>
      <c r="BB6852">
        <v>500</v>
      </c>
      <c r="BC6852">
        <v>130</v>
      </c>
      <c r="BD6852">
        <v>2800</v>
      </c>
      <c r="BE6852" s="30">
        <v>163</v>
      </c>
      <c r="BF6852">
        <v>2412.3000000000002</v>
      </c>
      <c r="BG6852">
        <v>4000</v>
      </c>
      <c r="BH6852">
        <v>1000</v>
      </c>
      <c r="BI6852">
        <v>4000</v>
      </c>
      <c r="BJ6852" s="30">
        <v>5</v>
      </c>
      <c r="BK6852">
        <v>1877.89</v>
      </c>
      <c r="BL6852">
        <v>2000</v>
      </c>
      <c r="BM6852">
        <v>400</v>
      </c>
      <c r="BN6852">
        <v>10000</v>
      </c>
      <c r="BO6852" s="30">
        <v>16</v>
      </c>
      <c r="BP6852">
        <v>1472.41</v>
      </c>
      <c r="BQ6852">
        <v>800</v>
      </c>
      <c r="BR6852">
        <v>50</v>
      </c>
      <c r="BS6852">
        <v>20000</v>
      </c>
      <c r="BT6852" s="30">
        <v>83</v>
      </c>
      <c r="BU6852">
        <v>1765.18</v>
      </c>
      <c r="BV6852">
        <v>1360</v>
      </c>
      <c r="BW6852">
        <v>500</v>
      </c>
      <c r="BX6852">
        <v>4000</v>
      </c>
      <c r="BY6852" s="30">
        <v>8</v>
      </c>
      <c r="BZ6852">
        <v>163</v>
      </c>
    </row>
    <row r="6853" spans="1:78" x14ac:dyDescent="0.35">
      <c r="A6853" t="s">
        <v>228</v>
      </c>
      <c r="B6853" t="s">
        <v>369</v>
      </c>
      <c r="C6853">
        <v>7804.8</v>
      </c>
      <c r="D6853">
        <v>6000</v>
      </c>
      <c r="E6853">
        <v>200</v>
      </c>
      <c r="F6853">
        <v>30000</v>
      </c>
      <c r="G6853" s="30">
        <v>670</v>
      </c>
      <c r="H6853">
        <v>3839.66</v>
      </c>
      <c r="I6853">
        <v>3000</v>
      </c>
      <c r="J6853">
        <v>100</v>
      </c>
      <c r="K6853">
        <v>30000</v>
      </c>
      <c r="L6853" s="30">
        <v>263</v>
      </c>
      <c r="M6853">
        <v>5409.99</v>
      </c>
      <c r="N6853">
        <v>5000</v>
      </c>
      <c r="O6853">
        <v>183</v>
      </c>
      <c r="P6853">
        <v>15000</v>
      </c>
      <c r="Q6853" s="30">
        <v>44</v>
      </c>
      <c r="R6853">
        <v>432.65</v>
      </c>
      <c r="S6853">
        <v>300</v>
      </c>
      <c r="T6853">
        <v>50</v>
      </c>
      <c r="U6853">
        <v>3000</v>
      </c>
      <c r="V6853" s="30">
        <v>359</v>
      </c>
      <c r="W6853">
        <v>468.63</v>
      </c>
      <c r="X6853">
        <v>300</v>
      </c>
      <c r="Y6853">
        <v>50</v>
      </c>
      <c r="Z6853">
        <v>3000</v>
      </c>
      <c r="AA6853" s="30">
        <v>322</v>
      </c>
      <c r="AB6853">
        <v>712.17</v>
      </c>
      <c r="AC6853">
        <v>500</v>
      </c>
      <c r="AD6853">
        <v>100</v>
      </c>
      <c r="AE6853">
        <v>5000</v>
      </c>
      <c r="AF6853" s="30">
        <v>517</v>
      </c>
      <c r="AG6853">
        <v>609.63</v>
      </c>
      <c r="AH6853">
        <v>500</v>
      </c>
      <c r="AI6853">
        <v>100</v>
      </c>
      <c r="AJ6853">
        <v>5000</v>
      </c>
      <c r="AK6853" s="30">
        <v>213</v>
      </c>
      <c r="AL6853">
        <v>2056.02</v>
      </c>
      <c r="AM6853">
        <v>1800</v>
      </c>
      <c r="AN6853">
        <v>300</v>
      </c>
      <c r="AO6853">
        <v>9000</v>
      </c>
      <c r="AP6853" s="30">
        <v>713</v>
      </c>
      <c r="AQ6853">
        <v>2228.94</v>
      </c>
      <c r="AR6853">
        <v>1000</v>
      </c>
      <c r="AS6853">
        <v>50</v>
      </c>
      <c r="AT6853">
        <v>22000</v>
      </c>
      <c r="AU6853" s="30">
        <v>391</v>
      </c>
      <c r="AV6853">
        <v>689.61</v>
      </c>
      <c r="AW6853">
        <v>500</v>
      </c>
      <c r="AX6853">
        <v>100</v>
      </c>
      <c r="AY6853">
        <v>3000</v>
      </c>
      <c r="AZ6853" s="30">
        <v>61</v>
      </c>
      <c r="BA6853">
        <v>609.66999999999996</v>
      </c>
      <c r="BB6853">
        <v>500</v>
      </c>
      <c r="BC6853">
        <v>85</v>
      </c>
      <c r="BD6853">
        <v>2500</v>
      </c>
      <c r="BE6853" s="30">
        <v>714</v>
      </c>
      <c r="BF6853">
        <v>2452.25</v>
      </c>
      <c r="BG6853">
        <v>2000</v>
      </c>
      <c r="BH6853">
        <v>500</v>
      </c>
      <c r="BI6853">
        <v>7000</v>
      </c>
      <c r="BJ6853" s="30">
        <v>45</v>
      </c>
      <c r="BK6853">
        <v>4291.29</v>
      </c>
      <c r="BL6853">
        <v>2000</v>
      </c>
      <c r="BM6853">
        <v>100</v>
      </c>
      <c r="BN6853">
        <v>30000</v>
      </c>
      <c r="BO6853" s="30">
        <v>115</v>
      </c>
      <c r="BP6853">
        <v>1036.6400000000001</v>
      </c>
      <c r="BQ6853">
        <v>500</v>
      </c>
      <c r="BR6853">
        <v>50</v>
      </c>
      <c r="BS6853">
        <v>20000</v>
      </c>
      <c r="BT6853" s="30">
        <v>361</v>
      </c>
      <c r="BU6853">
        <v>2189.13</v>
      </c>
      <c r="BV6853">
        <v>1500</v>
      </c>
      <c r="BW6853">
        <v>254</v>
      </c>
      <c r="BX6853">
        <v>7000</v>
      </c>
      <c r="BY6853" s="30">
        <v>31</v>
      </c>
      <c r="BZ6853">
        <v>714</v>
      </c>
    </row>
    <row r="6854" spans="1:78" x14ac:dyDescent="0.35">
      <c r="A6854" t="s">
        <v>229</v>
      </c>
      <c r="B6854" t="s">
        <v>368</v>
      </c>
      <c r="C6854">
        <v>7849.08</v>
      </c>
      <c r="D6854">
        <v>5000</v>
      </c>
      <c r="E6854">
        <v>700</v>
      </c>
      <c r="F6854">
        <v>30000</v>
      </c>
      <c r="G6854" s="30">
        <v>81</v>
      </c>
      <c r="H6854">
        <v>3222.58</v>
      </c>
      <c r="I6854">
        <v>3000</v>
      </c>
      <c r="J6854">
        <v>250</v>
      </c>
      <c r="K6854">
        <v>15000</v>
      </c>
      <c r="L6854" s="30">
        <v>41</v>
      </c>
      <c r="M6854">
        <v>7928.26</v>
      </c>
      <c r="N6854">
        <v>9000</v>
      </c>
      <c r="O6854">
        <v>600</v>
      </c>
      <c r="P6854">
        <v>16000</v>
      </c>
      <c r="Q6854" s="30">
        <v>46</v>
      </c>
      <c r="R6854">
        <v>431.4</v>
      </c>
      <c r="S6854">
        <v>300</v>
      </c>
      <c r="T6854">
        <v>100</v>
      </c>
      <c r="U6854">
        <v>2000</v>
      </c>
      <c r="V6854" s="30">
        <v>51</v>
      </c>
      <c r="W6854">
        <v>513.37</v>
      </c>
      <c r="X6854">
        <v>300</v>
      </c>
      <c r="Y6854">
        <v>100</v>
      </c>
      <c r="Z6854">
        <v>3000</v>
      </c>
      <c r="AA6854" s="30">
        <v>51</v>
      </c>
      <c r="AB6854">
        <v>913.65</v>
      </c>
      <c r="AC6854">
        <v>600</v>
      </c>
      <c r="AD6854">
        <v>100</v>
      </c>
      <c r="AE6854">
        <v>4000</v>
      </c>
      <c r="AF6854" s="30">
        <v>67</v>
      </c>
      <c r="AG6854">
        <v>889.87</v>
      </c>
      <c r="AH6854">
        <v>600</v>
      </c>
      <c r="AI6854">
        <v>100</v>
      </c>
      <c r="AJ6854">
        <v>5000</v>
      </c>
      <c r="AK6854" s="30">
        <v>36</v>
      </c>
      <c r="AL6854">
        <v>2341.7800000000002</v>
      </c>
      <c r="AM6854">
        <v>2000</v>
      </c>
      <c r="AN6854">
        <v>350</v>
      </c>
      <c r="AO6854">
        <v>7800</v>
      </c>
      <c r="AP6854" s="30">
        <v>85</v>
      </c>
      <c r="AQ6854">
        <v>2552.88</v>
      </c>
      <c r="AR6854">
        <v>1500</v>
      </c>
      <c r="AS6854">
        <v>60</v>
      </c>
      <c r="AT6854">
        <v>20000</v>
      </c>
      <c r="AU6854" s="30">
        <v>61</v>
      </c>
      <c r="AV6854">
        <v>656.48</v>
      </c>
      <c r="AW6854">
        <v>600</v>
      </c>
      <c r="AX6854">
        <v>100</v>
      </c>
      <c r="AY6854">
        <v>1500</v>
      </c>
      <c r="AZ6854" s="30">
        <v>12</v>
      </c>
      <c r="BA6854">
        <v>573.83000000000004</v>
      </c>
      <c r="BB6854">
        <v>520</v>
      </c>
      <c r="BC6854">
        <v>125</v>
      </c>
      <c r="BD6854">
        <v>1500</v>
      </c>
      <c r="BE6854" s="30">
        <v>83</v>
      </c>
      <c r="BF6854">
        <v>4089.45</v>
      </c>
      <c r="BG6854">
        <v>2000</v>
      </c>
      <c r="BH6854">
        <v>200</v>
      </c>
      <c r="BI6854">
        <v>10000</v>
      </c>
      <c r="BJ6854" s="30">
        <v>7</v>
      </c>
      <c r="BK6854">
        <v>2792.48</v>
      </c>
      <c r="BL6854">
        <v>2000</v>
      </c>
      <c r="BM6854">
        <v>300</v>
      </c>
      <c r="BN6854">
        <v>14000</v>
      </c>
      <c r="BO6854" s="30">
        <v>16</v>
      </c>
      <c r="BP6854">
        <v>1576.92</v>
      </c>
      <c r="BQ6854">
        <v>1500</v>
      </c>
      <c r="BR6854">
        <v>100</v>
      </c>
      <c r="BS6854">
        <v>5000</v>
      </c>
      <c r="BT6854" s="30">
        <v>39</v>
      </c>
      <c r="BU6854">
        <v>7091.56</v>
      </c>
      <c r="BV6854">
        <v>10000</v>
      </c>
      <c r="BW6854">
        <v>200</v>
      </c>
      <c r="BX6854">
        <v>10000</v>
      </c>
      <c r="BY6854" s="30">
        <v>5</v>
      </c>
      <c r="BZ6854">
        <v>85</v>
      </c>
    </row>
    <row r="6855" spans="1:78" x14ac:dyDescent="0.35">
      <c r="A6855" t="s">
        <v>229</v>
      </c>
      <c r="B6855" t="s">
        <v>369</v>
      </c>
      <c r="C6855">
        <v>9510.01</v>
      </c>
      <c r="D6855">
        <v>8000</v>
      </c>
      <c r="E6855">
        <v>200</v>
      </c>
      <c r="F6855">
        <v>30000</v>
      </c>
      <c r="G6855" s="30">
        <v>686</v>
      </c>
      <c r="H6855">
        <v>4345.92</v>
      </c>
      <c r="I6855">
        <v>3000</v>
      </c>
      <c r="J6855">
        <v>100</v>
      </c>
      <c r="K6855">
        <v>30000</v>
      </c>
      <c r="L6855" s="30">
        <v>346</v>
      </c>
      <c r="M6855">
        <v>5882.93</v>
      </c>
      <c r="N6855">
        <v>5000</v>
      </c>
      <c r="O6855">
        <v>400</v>
      </c>
      <c r="P6855">
        <v>15000</v>
      </c>
      <c r="Q6855" s="30">
        <v>51</v>
      </c>
      <c r="R6855">
        <v>535.46</v>
      </c>
      <c r="S6855">
        <v>300</v>
      </c>
      <c r="T6855">
        <v>50</v>
      </c>
      <c r="U6855">
        <v>3000</v>
      </c>
      <c r="V6855" s="30">
        <v>273</v>
      </c>
      <c r="W6855">
        <v>511.23</v>
      </c>
      <c r="X6855">
        <v>399</v>
      </c>
      <c r="Y6855">
        <v>50</v>
      </c>
      <c r="Z6855">
        <v>3000</v>
      </c>
      <c r="AA6855" s="30">
        <v>402</v>
      </c>
      <c r="AB6855">
        <v>1012.84</v>
      </c>
      <c r="AC6855">
        <v>700</v>
      </c>
      <c r="AD6855">
        <v>100</v>
      </c>
      <c r="AE6855">
        <v>5000</v>
      </c>
      <c r="AF6855" s="30">
        <v>591</v>
      </c>
      <c r="AG6855">
        <v>650.11</v>
      </c>
      <c r="AH6855">
        <v>500</v>
      </c>
      <c r="AI6855">
        <v>100</v>
      </c>
      <c r="AJ6855">
        <v>5000</v>
      </c>
      <c r="AK6855" s="30">
        <v>266</v>
      </c>
      <c r="AL6855">
        <v>2402.2399999999998</v>
      </c>
      <c r="AM6855">
        <v>2000</v>
      </c>
      <c r="AN6855">
        <v>300</v>
      </c>
      <c r="AO6855">
        <v>9000</v>
      </c>
      <c r="AP6855" s="30">
        <v>718</v>
      </c>
      <c r="AQ6855">
        <v>2444.19</v>
      </c>
      <c r="AR6855">
        <v>1000</v>
      </c>
      <c r="AS6855">
        <v>50</v>
      </c>
      <c r="AT6855">
        <v>30000</v>
      </c>
      <c r="AU6855" s="30">
        <v>454</v>
      </c>
      <c r="AV6855">
        <v>912.5</v>
      </c>
      <c r="AW6855">
        <v>500</v>
      </c>
      <c r="AX6855">
        <v>100</v>
      </c>
      <c r="AY6855">
        <v>3000</v>
      </c>
      <c r="AZ6855" s="30">
        <v>77</v>
      </c>
      <c r="BA6855">
        <v>651.58000000000004</v>
      </c>
      <c r="BB6855">
        <v>550</v>
      </c>
      <c r="BC6855">
        <v>50</v>
      </c>
      <c r="BD6855">
        <v>2800</v>
      </c>
      <c r="BE6855" s="30">
        <v>724</v>
      </c>
      <c r="BF6855">
        <v>2973.66</v>
      </c>
      <c r="BG6855">
        <v>2000</v>
      </c>
      <c r="BH6855">
        <v>400</v>
      </c>
      <c r="BI6855">
        <v>10000</v>
      </c>
      <c r="BJ6855" s="30">
        <v>35</v>
      </c>
      <c r="BK6855">
        <v>6719.76</v>
      </c>
      <c r="BL6855">
        <v>3000</v>
      </c>
      <c r="BM6855">
        <v>100</v>
      </c>
      <c r="BN6855">
        <v>30000</v>
      </c>
      <c r="BO6855" s="30">
        <v>141</v>
      </c>
      <c r="BP6855">
        <v>1630.25</v>
      </c>
      <c r="BQ6855">
        <v>800</v>
      </c>
      <c r="BR6855">
        <v>50</v>
      </c>
      <c r="BS6855">
        <v>30000</v>
      </c>
      <c r="BT6855" s="30">
        <v>377</v>
      </c>
      <c r="BU6855">
        <v>2948.42</v>
      </c>
      <c r="BV6855">
        <v>3000</v>
      </c>
      <c r="BW6855">
        <v>200</v>
      </c>
      <c r="BX6855">
        <v>10000</v>
      </c>
      <c r="BY6855" s="30">
        <v>28</v>
      </c>
      <c r="BZ6855">
        <v>724</v>
      </c>
    </row>
    <row r="6856" spans="1:78" x14ac:dyDescent="0.35">
      <c r="A6856" t="s">
        <v>230</v>
      </c>
      <c r="B6856" t="s">
        <v>368</v>
      </c>
      <c r="C6856">
        <v>8717.5</v>
      </c>
      <c r="D6856">
        <v>6000</v>
      </c>
      <c r="E6856">
        <v>800</v>
      </c>
      <c r="F6856">
        <v>25000</v>
      </c>
      <c r="G6856" s="30">
        <v>50</v>
      </c>
      <c r="H6856">
        <v>3074.3</v>
      </c>
      <c r="I6856">
        <v>3000</v>
      </c>
      <c r="J6856">
        <v>100</v>
      </c>
      <c r="K6856">
        <v>10000</v>
      </c>
      <c r="L6856" s="30">
        <v>22</v>
      </c>
      <c r="M6856">
        <v>5979.04</v>
      </c>
      <c r="N6856">
        <v>7000</v>
      </c>
      <c r="O6856">
        <v>1000</v>
      </c>
      <c r="P6856">
        <v>12000</v>
      </c>
      <c r="Q6856" s="30">
        <v>30</v>
      </c>
      <c r="R6856">
        <v>422.22</v>
      </c>
      <c r="S6856">
        <v>300</v>
      </c>
      <c r="T6856">
        <v>50</v>
      </c>
      <c r="U6856">
        <v>2000</v>
      </c>
      <c r="V6856" s="30">
        <v>29</v>
      </c>
      <c r="W6856">
        <v>346.73</v>
      </c>
      <c r="X6856">
        <v>200</v>
      </c>
      <c r="Y6856">
        <v>50</v>
      </c>
      <c r="Z6856">
        <v>2000</v>
      </c>
      <c r="AA6856" s="30">
        <v>29</v>
      </c>
      <c r="AB6856">
        <v>778.14</v>
      </c>
      <c r="AC6856">
        <v>400</v>
      </c>
      <c r="AD6856">
        <v>100</v>
      </c>
      <c r="AE6856">
        <v>3000</v>
      </c>
      <c r="AF6856" s="30">
        <v>43</v>
      </c>
      <c r="AG6856">
        <v>705.96</v>
      </c>
      <c r="AH6856">
        <v>500</v>
      </c>
      <c r="AI6856">
        <v>100</v>
      </c>
      <c r="AJ6856">
        <v>4000</v>
      </c>
      <c r="AK6856" s="30">
        <v>19</v>
      </c>
      <c r="AL6856">
        <v>1984.37</v>
      </c>
      <c r="AM6856">
        <v>2000</v>
      </c>
      <c r="AN6856">
        <v>300</v>
      </c>
      <c r="AO6856">
        <v>4000</v>
      </c>
      <c r="AP6856" s="30">
        <v>46</v>
      </c>
      <c r="AQ6856">
        <v>2013.53</v>
      </c>
      <c r="AR6856">
        <v>1000</v>
      </c>
      <c r="AS6856">
        <v>100</v>
      </c>
      <c r="AT6856">
        <v>7000</v>
      </c>
      <c r="AU6856" s="30">
        <v>38</v>
      </c>
      <c r="AV6856">
        <v>324.12</v>
      </c>
      <c r="AW6856">
        <v>700</v>
      </c>
      <c r="AX6856">
        <v>100</v>
      </c>
      <c r="AY6856">
        <v>700</v>
      </c>
      <c r="AZ6856" s="30">
        <v>3</v>
      </c>
      <c r="BA6856">
        <v>615.55999999999995</v>
      </c>
      <c r="BB6856">
        <v>520</v>
      </c>
      <c r="BC6856">
        <v>125</v>
      </c>
      <c r="BD6856">
        <v>2000</v>
      </c>
      <c r="BE6856" s="30">
        <v>50</v>
      </c>
      <c r="BF6856">
        <v>2500</v>
      </c>
      <c r="BG6856">
        <v>2500</v>
      </c>
      <c r="BH6856">
        <v>2500</v>
      </c>
      <c r="BI6856">
        <v>2500</v>
      </c>
      <c r="BJ6856" s="30">
        <v>2</v>
      </c>
      <c r="BK6856">
        <v>4651.2</v>
      </c>
      <c r="BL6856">
        <v>4000</v>
      </c>
      <c r="BM6856">
        <v>300</v>
      </c>
      <c r="BN6856">
        <v>20000</v>
      </c>
      <c r="BO6856" s="30">
        <v>11</v>
      </c>
      <c r="BP6856">
        <v>806.16</v>
      </c>
      <c r="BQ6856">
        <v>800</v>
      </c>
      <c r="BR6856">
        <v>200</v>
      </c>
      <c r="BS6856">
        <v>2000</v>
      </c>
      <c r="BT6856" s="30">
        <v>28</v>
      </c>
      <c r="BU6856">
        <v>3701.3</v>
      </c>
      <c r="BV6856">
        <v>1000</v>
      </c>
      <c r="BW6856">
        <v>100</v>
      </c>
      <c r="BX6856">
        <v>8000</v>
      </c>
      <c r="BY6856" s="30">
        <v>4</v>
      </c>
      <c r="BZ6856">
        <v>50</v>
      </c>
    </row>
    <row r="6857" spans="1:78" x14ac:dyDescent="0.35">
      <c r="A6857" t="s">
        <v>230</v>
      </c>
      <c r="B6857" t="s">
        <v>369</v>
      </c>
      <c r="C6857">
        <v>7569.98</v>
      </c>
      <c r="D6857">
        <v>6000</v>
      </c>
      <c r="E6857">
        <v>200</v>
      </c>
      <c r="F6857">
        <v>25000</v>
      </c>
      <c r="G6857" s="30">
        <v>449</v>
      </c>
      <c r="H6857">
        <v>4780.3599999999997</v>
      </c>
      <c r="I6857">
        <v>2000</v>
      </c>
      <c r="J6857">
        <v>100</v>
      </c>
      <c r="K6857">
        <v>60000</v>
      </c>
      <c r="L6857" s="30">
        <v>198</v>
      </c>
      <c r="M6857">
        <v>5884.04</v>
      </c>
      <c r="N6857">
        <v>5000</v>
      </c>
      <c r="O6857">
        <v>1000</v>
      </c>
      <c r="P6857">
        <v>12000</v>
      </c>
      <c r="Q6857" s="30">
        <v>38</v>
      </c>
      <c r="R6857">
        <v>538.85</v>
      </c>
      <c r="S6857">
        <v>350</v>
      </c>
      <c r="T6857">
        <v>50</v>
      </c>
      <c r="U6857">
        <v>3000</v>
      </c>
      <c r="V6857" s="30">
        <v>227</v>
      </c>
      <c r="W6857">
        <v>556.04999999999995</v>
      </c>
      <c r="X6857">
        <v>500</v>
      </c>
      <c r="Y6857">
        <v>30</v>
      </c>
      <c r="Z6857">
        <v>3000</v>
      </c>
      <c r="AA6857" s="30">
        <v>221</v>
      </c>
      <c r="AB6857">
        <v>867.47</v>
      </c>
      <c r="AC6857">
        <v>500</v>
      </c>
      <c r="AD6857">
        <v>100</v>
      </c>
      <c r="AE6857">
        <v>5000</v>
      </c>
      <c r="AF6857" s="30">
        <v>354</v>
      </c>
      <c r="AG6857">
        <v>762.66</v>
      </c>
      <c r="AH6857">
        <v>300</v>
      </c>
      <c r="AI6857">
        <v>100</v>
      </c>
      <c r="AJ6857">
        <v>5000</v>
      </c>
      <c r="AK6857" s="30">
        <v>155</v>
      </c>
      <c r="AL6857">
        <v>2161.27</v>
      </c>
      <c r="AM6857">
        <v>2000</v>
      </c>
      <c r="AN6857">
        <v>300</v>
      </c>
      <c r="AO6857">
        <v>9100</v>
      </c>
      <c r="AP6857" s="30">
        <v>440</v>
      </c>
      <c r="AQ6857">
        <v>2235.0300000000002</v>
      </c>
      <c r="AR6857">
        <v>1000</v>
      </c>
      <c r="AS6857">
        <v>50</v>
      </c>
      <c r="AT6857">
        <v>30000</v>
      </c>
      <c r="AU6857" s="30">
        <v>281</v>
      </c>
      <c r="AV6857">
        <v>933.89</v>
      </c>
      <c r="AW6857">
        <v>1000</v>
      </c>
      <c r="AX6857">
        <v>100</v>
      </c>
      <c r="AY6857">
        <v>2400</v>
      </c>
      <c r="AZ6857" s="30">
        <v>47</v>
      </c>
      <c r="BA6857">
        <v>672.83</v>
      </c>
      <c r="BB6857">
        <v>570</v>
      </c>
      <c r="BC6857">
        <v>100</v>
      </c>
      <c r="BD6857">
        <v>2300</v>
      </c>
      <c r="BE6857" s="30">
        <v>451</v>
      </c>
      <c r="BF6857">
        <v>5224.16</v>
      </c>
      <c r="BG6857">
        <v>5000</v>
      </c>
      <c r="BH6857">
        <v>400</v>
      </c>
      <c r="BI6857">
        <v>10000</v>
      </c>
      <c r="BJ6857" s="30">
        <v>21</v>
      </c>
      <c r="BK6857">
        <v>2782.33</v>
      </c>
      <c r="BL6857">
        <v>1100</v>
      </c>
      <c r="BM6857">
        <v>100</v>
      </c>
      <c r="BN6857">
        <v>30000</v>
      </c>
      <c r="BO6857" s="30">
        <v>90</v>
      </c>
      <c r="BP6857">
        <v>1402.69</v>
      </c>
      <c r="BQ6857">
        <v>800</v>
      </c>
      <c r="BR6857">
        <v>50</v>
      </c>
      <c r="BS6857">
        <v>16000</v>
      </c>
      <c r="BT6857" s="30">
        <v>248</v>
      </c>
      <c r="BU6857">
        <v>3217.38</v>
      </c>
      <c r="BV6857">
        <v>3300</v>
      </c>
      <c r="BW6857">
        <v>200</v>
      </c>
      <c r="BX6857">
        <v>8000</v>
      </c>
      <c r="BY6857" s="30">
        <v>29</v>
      </c>
      <c r="BZ6857">
        <v>451</v>
      </c>
    </row>
    <row r="6858" spans="1:78" x14ac:dyDescent="0.35">
      <c r="A6858" s="27" t="s">
        <v>231</v>
      </c>
      <c r="B6858" s="27" t="s">
        <v>368</v>
      </c>
      <c r="C6858" s="29">
        <v>6714.29</v>
      </c>
      <c r="D6858" s="29">
        <v>5000</v>
      </c>
      <c r="E6858" s="29">
        <v>1500</v>
      </c>
      <c r="F6858" s="29">
        <v>30000</v>
      </c>
      <c r="G6858" s="29">
        <v>21</v>
      </c>
      <c r="H6858" s="29">
        <v>3136.36</v>
      </c>
      <c r="I6858" s="29">
        <v>2500</v>
      </c>
      <c r="J6858" s="29">
        <v>500</v>
      </c>
      <c r="K6858" s="29">
        <v>15000</v>
      </c>
      <c r="L6858" s="29">
        <v>11</v>
      </c>
      <c r="M6858" s="29">
        <v>6437.5</v>
      </c>
      <c r="N6858" s="29">
        <v>5000</v>
      </c>
      <c r="O6858" s="29">
        <v>3000</v>
      </c>
      <c r="P6858" s="29">
        <v>10000</v>
      </c>
      <c r="Q6858" s="29">
        <v>8</v>
      </c>
      <c r="R6858" s="29">
        <v>267.33</v>
      </c>
      <c r="S6858" s="29">
        <v>200</v>
      </c>
      <c r="T6858" s="29">
        <v>100</v>
      </c>
      <c r="U6858" s="29">
        <v>600</v>
      </c>
      <c r="V6858" s="29">
        <v>15</v>
      </c>
      <c r="W6858" s="29">
        <v>438.46</v>
      </c>
      <c r="X6858" s="29">
        <v>300</v>
      </c>
      <c r="Y6858" s="29">
        <v>100</v>
      </c>
      <c r="Z6858" s="29">
        <v>1000</v>
      </c>
      <c r="AA6858" s="29">
        <v>13</v>
      </c>
      <c r="AB6858" s="29">
        <v>770.45</v>
      </c>
      <c r="AC6858" s="29">
        <v>500</v>
      </c>
      <c r="AD6858" s="29">
        <v>100</v>
      </c>
      <c r="AE6858" s="29">
        <v>5000</v>
      </c>
      <c r="AF6858" s="29">
        <v>22</v>
      </c>
      <c r="AG6858" s="29">
        <v>420.83</v>
      </c>
      <c r="AH6858" s="29">
        <v>200</v>
      </c>
      <c r="AI6858" s="29">
        <v>100</v>
      </c>
      <c r="AJ6858" s="29">
        <v>2000</v>
      </c>
      <c r="AK6858" s="29">
        <v>12</v>
      </c>
      <c r="AL6858" s="29">
        <v>2042.86</v>
      </c>
      <c r="AM6858" s="29">
        <v>2000</v>
      </c>
      <c r="AN6858" s="29">
        <v>700</v>
      </c>
      <c r="AO6858" s="29">
        <v>3500</v>
      </c>
      <c r="AP6858" s="29">
        <v>14</v>
      </c>
      <c r="AQ6858" s="29">
        <v>1090</v>
      </c>
      <c r="AR6858" s="29">
        <v>200</v>
      </c>
      <c r="AS6858" s="29">
        <v>50</v>
      </c>
      <c r="AT6858" s="29">
        <v>10000</v>
      </c>
      <c r="AU6858" s="29">
        <v>17</v>
      </c>
      <c r="AV6858" s="29">
        <v>700</v>
      </c>
      <c r="AW6858" s="29">
        <v>1000</v>
      </c>
      <c r="AX6858" s="29">
        <v>500</v>
      </c>
      <c r="AY6858" s="29">
        <v>1000</v>
      </c>
      <c r="AZ6858" s="29">
        <v>3</v>
      </c>
      <c r="BA6858" s="29">
        <v>531.79999999999995</v>
      </c>
      <c r="BB6858" s="29">
        <v>500</v>
      </c>
      <c r="BC6858" s="29">
        <v>125</v>
      </c>
      <c r="BD6858" s="29">
        <v>2000</v>
      </c>
      <c r="BE6858" s="29">
        <v>25</v>
      </c>
      <c r="BF6858" s="29">
        <v>1333.33</v>
      </c>
      <c r="BG6858" s="29">
        <v>3000</v>
      </c>
      <c r="BH6858" s="29">
        <v>300</v>
      </c>
      <c r="BI6858" s="29">
        <v>3000</v>
      </c>
      <c r="BJ6858" s="29">
        <v>3</v>
      </c>
      <c r="BK6858" s="29">
        <v>933.33</v>
      </c>
      <c r="BL6858" s="29">
        <v>1000</v>
      </c>
      <c r="BM6858" s="29">
        <v>800</v>
      </c>
      <c r="BN6858" s="29">
        <v>1000</v>
      </c>
      <c r="BO6858" s="29">
        <v>3</v>
      </c>
      <c r="BP6858" s="29">
        <v>2362.5</v>
      </c>
      <c r="BQ6858" s="29">
        <v>300</v>
      </c>
      <c r="BR6858" s="29">
        <v>100</v>
      </c>
      <c r="BS6858" s="29">
        <v>15000</v>
      </c>
      <c r="BT6858" s="29">
        <v>8</v>
      </c>
      <c r="BU6858" s="29"/>
      <c r="BV6858" s="29"/>
      <c r="BW6858" s="29"/>
      <c r="BX6858" s="29"/>
      <c r="BY6858" s="29"/>
      <c r="BZ6858" s="29">
        <v>25</v>
      </c>
    </row>
    <row r="6859" spans="1:78" x14ac:dyDescent="0.35">
      <c r="A6859" t="s">
        <v>231</v>
      </c>
      <c r="B6859" t="s">
        <v>369</v>
      </c>
      <c r="C6859">
        <v>7581.51</v>
      </c>
      <c r="D6859">
        <v>5500</v>
      </c>
      <c r="E6859">
        <v>500</v>
      </c>
      <c r="F6859">
        <v>30000</v>
      </c>
      <c r="G6859" s="30">
        <v>119</v>
      </c>
      <c r="H6859">
        <v>4389.71</v>
      </c>
      <c r="I6859">
        <v>3000</v>
      </c>
      <c r="J6859">
        <v>100</v>
      </c>
      <c r="K6859">
        <v>24000</v>
      </c>
      <c r="L6859" s="30">
        <v>68</v>
      </c>
      <c r="M6859">
        <v>5421.5</v>
      </c>
      <c r="N6859">
        <v>5000</v>
      </c>
      <c r="O6859">
        <v>500</v>
      </c>
      <c r="P6859">
        <v>13000</v>
      </c>
      <c r="Q6859" s="30">
        <v>16</v>
      </c>
      <c r="R6859">
        <v>537.36</v>
      </c>
      <c r="S6859">
        <v>400</v>
      </c>
      <c r="T6859">
        <v>50</v>
      </c>
      <c r="U6859">
        <v>2500</v>
      </c>
      <c r="V6859" s="30">
        <v>53</v>
      </c>
      <c r="W6859">
        <v>659.12</v>
      </c>
      <c r="X6859">
        <v>500</v>
      </c>
      <c r="Y6859">
        <v>50</v>
      </c>
      <c r="Z6859">
        <v>2000</v>
      </c>
      <c r="AA6859" s="30">
        <v>67</v>
      </c>
      <c r="AB6859">
        <v>898.46</v>
      </c>
      <c r="AC6859">
        <v>700</v>
      </c>
      <c r="AD6859">
        <v>100</v>
      </c>
      <c r="AE6859">
        <v>5000</v>
      </c>
      <c r="AF6859" s="30">
        <v>97</v>
      </c>
      <c r="AG6859">
        <v>722.12</v>
      </c>
      <c r="AH6859">
        <v>500</v>
      </c>
      <c r="AI6859">
        <v>100</v>
      </c>
      <c r="AJ6859">
        <v>3000</v>
      </c>
      <c r="AK6859" s="30">
        <v>52</v>
      </c>
      <c r="AL6859">
        <v>2037.84</v>
      </c>
      <c r="AM6859">
        <v>2000</v>
      </c>
      <c r="AN6859">
        <v>300</v>
      </c>
      <c r="AO6859">
        <v>6000</v>
      </c>
      <c r="AP6859" s="30">
        <v>122</v>
      </c>
      <c r="AQ6859">
        <v>2002.41</v>
      </c>
      <c r="AR6859">
        <v>1000</v>
      </c>
      <c r="AS6859">
        <v>50</v>
      </c>
      <c r="AT6859">
        <v>30000</v>
      </c>
      <c r="AU6859" s="30">
        <v>87</v>
      </c>
      <c r="AV6859">
        <v>497.22</v>
      </c>
      <c r="AW6859">
        <v>500</v>
      </c>
      <c r="AX6859">
        <v>100</v>
      </c>
      <c r="AY6859">
        <v>1500</v>
      </c>
      <c r="AZ6859" s="30">
        <v>18</v>
      </c>
      <c r="BA6859">
        <v>614.03</v>
      </c>
      <c r="BB6859">
        <v>500</v>
      </c>
      <c r="BC6859">
        <v>50</v>
      </c>
      <c r="BD6859">
        <v>2000</v>
      </c>
      <c r="BE6859" s="30">
        <v>124</v>
      </c>
      <c r="BF6859">
        <v>3833.33</v>
      </c>
      <c r="BG6859">
        <v>3000</v>
      </c>
      <c r="BH6859">
        <v>1000</v>
      </c>
      <c r="BI6859">
        <v>10000</v>
      </c>
      <c r="BJ6859" s="30">
        <v>6</v>
      </c>
      <c r="BK6859">
        <v>5210</v>
      </c>
      <c r="BL6859">
        <v>2000</v>
      </c>
      <c r="BM6859">
        <v>200</v>
      </c>
      <c r="BN6859">
        <v>30000</v>
      </c>
      <c r="BO6859" s="30">
        <v>35</v>
      </c>
      <c r="BP6859">
        <v>1282.22</v>
      </c>
      <c r="BQ6859">
        <v>700</v>
      </c>
      <c r="BR6859">
        <v>50</v>
      </c>
      <c r="BS6859">
        <v>8500</v>
      </c>
      <c r="BT6859" s="30">
        <v>63</v>
      </c>
      <c r="BU6859">
        <v>2766.67</v>
      </c>
      <c r="BV6859">
        <v>1200</v>
      </c>
      <c r="BW6859">
        <v>200</v>
      </c>
      <c r="BX6859">
        <v>10000</v>
      </c>
      <c r="BY6859" s="30">
        <v>9</v>
      </c>
      <c r="BZ6859">
        <v>124</v>
      </c>
    </row>
    <row r="6860" spans="1:78" x14ac:dyDescent="0.35">
      <c r="A6860" t="s">
        <v>232</v>
      </c>
      <c r="B6860" t="s">
        <v>232</v>
      </c>
      <c r="C6860">
        <v>7868.72</v>
      </c>
      <c r="D6860">
        <v>6000</v>
      </c>
      <c r="E6860">
        <v>200</v>
      </c>
      <c r="F6860">
        <v>30000</v>
      </c>
      <c r="G6860" s="30">
        <v>2369</v>
      </c>
      <c r="H6860">
        <v>4052.31</v>
      </c>
      <c r="I6860">
        <v>3000</v>
      </c>
      <c r="J6860">
        <v>100</v>
      </c>
      <c r="K6860">
        <v>60000</v>
      </c>
      <c r="L6860" s="30">
        <v>1077</v>
      </c>
      <c r="M6860">
        <v>5938.14</v>
      </c>
      <c r="N6860">
        <v>5000</v>
      </c>
      <c r="O6860">
        <v>183</v>
      </c>
      <c r="P6860">
        <v>16000</v>
      </c>
      <c r="Q6860" s="30">
        <v>345</v>
      </c>
      <c r="R6860">
        <v>468.12</v>
      </c>
      <c r="S6860">
        <v>300</v>
      </c>
      <c r="T6860">
        <v>50</v>
      </c>
      <c r="U6860">
        <v>3000</v>
      </c>
      <c r="V6860" s="30">
        <v>1180</v>
      </c>
      <c r="W6860">
        <v>542.04</v>
      </c>
      <c r="X6860">
        <v>401</v>
      </c>
      <c r="Y6860">
        <v>30</v>
      </c>
      <c r="Z6860">
        <v>3000</v>
      </c>
      <c r="AA6860" s="30">
        <v>1265</v>
      </c>
      <c r="AB6860">
        <v>868.78</v>
      </c>
      <c r="AC6860">
        <v>500</v>
      </c>
      <c r="AD6860">
        <v>100</v>
      </c>
      <c r="AE6860">
        <v>5000</v>
      </c>
      <c r="AF6860" s="30">
        <v>1926</v>
      </c>
      <c r="AG6860">
        <v>667.4</v>
      </c>
      <c r="AH6860">
        <v>500</v>
      </c>
      <c r="AI6860">
        <v>100</v>
      </c>
      <c r="AJ6860">
        <v>5000</v>
      </c>
      <c r="AK6860" s="30">
        <v>856</v>
      </c>
      <c r="AL6860">
        <v>2130.96</v>
      </c>
      <c r="AM6860">
        <v>2000</v>
      </c>
      <c r="AN6860">
        <v>300</v>
      </c>
      <c r="AO6860">
        <v>9100</v>
      </c>
      <c r="AP6860" s="30">
        <v>2431</v>
      </c>
      <c r="AQ6860">
        <v>2285.5300000000002</v>
      </c>
      <c r="AR6860">
        <v>1000</v>
      </c>
      <c r="AS6860">
        <v>50</v>
      </c>
      <c r="AT6860">
        <v>30000</v>
      </c>
      <c r="AU6860" s="30">
        <v>1520</v>
      </c>
      <c r="AV6860">
        <v>776.74</v>
      </c>
      <c r="AW6860">
        <v>500</v>
      </c>
      <c r="AX6860">
        <v>100</v>
      </c>
      <c r="AY6860">
        <v>3000</v>
      </c>
      <c r="AZ6860" s="30">
        <v>266</v>
      </c>
      <c r="BA6860">
        <v>615.85</v>
      </c>
      <c r="BB6860">
        <v>500</v>
      </c>
      <c r="BC6860">
        <v>50</v>
      </c>
      <c r="BD6860">
        <v>2800</v>
      </c>
      <c r="BE6860" s="30">
        <v>2479</v>
      </c>
      <c r="BF6860">
        <v>3040.04</v>
      </c>
      <c r="BG6860">
        <v>2000</v>
      </c>
      <c r="BH6860">
        <v>200</v>
      </c>
      <c r="BI6860">
        <v>10000</v>
      </c>
      <c r="BJ6860" s="30">
        <v>132</v>
      </c>
      <c r="BK6860">
        <v>4895.0200000000004</v>
      </c>
      <c r="BL6860">
        <v>2000</v>
      </c>
      <c r="BM6860">
        <v>100</v>
      </c>
      <c r="BN6860">
        <v>30000</v>
      </c>
      <c r="BO6860" s="30">
        <v>461</v>
      </c>
      <c r="BP6860">
        <v>1288.5999999999999</v>
      </c>
      <c r="BQ6860">
        <v>600</v>
      </c>
      <c r="BR6860">
        <v>50</v>
      </c>
      <c r="BS6860">
        <v>30000</v>
      </c>
      <c r="BT6860" s="30">
        <v>1296</v>
      </c>
      <c r="BU6860">
        <v>3251.2</v>
      </c>
      <c r="BV6860">
        <v>2500</v>
      </c>
      <c r="BW6860">
        <v>100</v>
      </c>
      <c r="BX6860">
        <v>10000</v>
      </c>
      <c r="BY6860" s="30">
        <v>124</v>
      </c>
      <c r="BZ6860">
        <v>2479</v>
      </c>
    </row>
    <row r="6862" spans="1:78" x14ac:dyDescent="0.35">
      <c r="A6862" s="1" t="s">
        <v>973</v>
      </c>
    </row>
    <row r="6863" spans="1:78" x14ac:dyDescent="0.35">
      <c r="A6863" t="s">
        <v>219</v>
      </c>
      <c r="B6863" t="s">
        <v>305</v>
      </c>
      <c r="C6863" t="s">
        <v>889</v>
      </c>
      <c r="D6863" t="s">
        <v>890</v>
      </c>
      <c r="E6863" t="s">
        <v>891</v>
      </c>
      <c r="F6863" t="s">
        <v>892</v>
      </c>
      <c r="G6863" t="s">
        <v>893</v>
      </c>
      <c r="H6863" t="s">
        <v>894</v>
      </c>
      <c r="I6863" t="s">
        <v>895</v>
      </c>
      <c r="J6863" t="s">
        <v>896</v>
      </c>
      <c r="K6863" t="s">
        <v>897</v>
      </c>
      <c r="L6863" t="s">
        <v>898</v>
      </c>
      <c r="M6863" t="s">
        <v>899</v>
      </c>
      <c r="N6863" t="s">
        <v>900</v>
      </c>
      <c r="O6863" t="s">
        <v>901</v>
      </c>
      <c r="P6863" t="s">
        <v>902</v>
      </c>
      <c r="Q6863" t="s">
        <v>903</v>
      </c>
      <c r="R6863" t="s">
        <v>904</v>
      </c>
      <c r="S6863" t="s">
        <v>905</v>
      </c>
      <c r="T6863" t="s">
        <v>906</v>
      </c>
      <c r="U6863" t="s">
        <v>907</v>
      </c>
      <c r="V6863" t="s">
        <v>908</v>
      </c>
      <c r="W6863" t="s">
        <v>909</v>
      </c>
      <c r="X6863" t="s">
        <v>910</v>
      </c>
      <c r="Y6863" t="s">
        <v>911</v>
      </c>
      <c r="Z6863" t="s">
        <v>912</v>
      </c>
      <c r="AA6863" t="s">
        <v>913</v>
      </c>
      <c r="AB6863" t="s">
        <v>914</v>
      </c>
      <c r="AC6863" t="s">
        <v>915</v>
      </c>
      <c r="AD6863" t="s">
        <v>916</v>
      </c>
      <c r="AE6863" t="s">
        <v>917</v>
      </c>
      <c r="AF6863" t="s">
        <v>918</v>
      </c>
      <c r="AG6863" t="s">
        <v>919</v>
      </c>
      <c r="AH6863" t="s">
        <v>920</v>
      </c>
      <c r="AI6863" t="s">
        <v>921</v>
      </c>
      <c r="AJ6863" t="s">
        <v>922</v>
      </c>
      <c r="AK6863" t="s">
        <v>923</v>
      </c>
      <c r="AL6863" t="s">
        <v>924</v>
      </c>
      <c r="AM6863" t="s">
        <v>925</v>
      </c>
      <c r="AN6863" t="s">
        <v>926</v>
      </c>
      <c r="AO6863" t="s">
        <v>927</v>
      </c>
      <c r="AP6863" t="s">
        <v>928</v>
      </c>
      <c r="AQ6863" t="s">
        <v>929</v>
      </c>
      <c r="AR6863" t="s">
        <v>930</v>
      </c>
      <c r="AS6863" t="s">
        <v>931</v>
      </c>
      <c r="AT6863" t="s">
        <v>932</v>
      </c>
      <c r="AU6863" t="s">
        <v>933</v>
      </c>
      <c r="AV6863" t="s">
        <v>934</v>
      </c>
      <c r="AW6863" t="s">
        <v>935</v>
      </c>
      <c r="AX6863" t="s">
        <v>936</v>
      </c>
      <c r="AY6863" t="s">
        <v>937</v>
      </c>
      <c r="AZ6863" t="s">
        <v>938</v>
      </c>
      <c r="BA6863" t="s">
        <v>939</v>
      </c>
      <c r="BB6863" t="s">
        <v>940</v>
      </c>
      <c r="BC6863" t="s">
        <v>941</v>
      </c>
      <c r="BD6863" t="s">
        <v>942</v>
      </c>
      <c r="BE6863" t="s">
        <v>943</v>
      </c>
      <c r="BF6863" t="s">
        <v>944</v>
      </c>
      <c r="BG6863" t="s">
        <v>945</v>
      </c>
      <c r="BH6863" t="s">
        <v>946</v>
      </c>
      <c r="BI6863" t="s">
        <v>947</v>
      </c>
      <c r="BJ6863" t="s">
        <v>948</v>
      </c>
      <c r="BK6863" t="s">
        <v>949</v>
      </c>
      <c r="BL6863" t="s">
        <v>950</v>
      </c>
      <c r="BM6863" t="s">
        <v>951</v>
      </c>
      <c r="BN6863" t="s">
        <v>952</v>
      </c>
      <c r="BO6863" t="s">
        <v>953</v>
      </c>
      <c r="BP6863" t="s">
        <v>954</v>
      </c>
      <c r="BQ6863" t="s">
        <v>955</v>
      </c>
      <c r="BR6863" t="s">
        <v>956</v>
      </c>
      <c r="BS6863" t="s">
        <v>957</v>
      </c>
      <c r="BT6863" t="s">
        <v>958</v>
      </c>
      <c r="BU6863" t="s">
        <v>959</v>
      </c>
      <c r="BV6863" t="s">
        <v>960</v>
      </c>
      <c r="BW6863" t="s">
        <v>961</v>
      </c>
      <c r="BX6863" t="s">
        <v>962</v>
      </c>
      <c r="BY6863" t="s">
        <v>963</v>
      </c>
      <c r="BZ6863" t="s">
        <v>964</v>
      </c>
    </row>
    <row r="6864" spans="1:78" x14ac:dyDescent="0.35">
      <c r="A6864" t="s">
        <v>227</v>
      </c>
      <c r="B6864" t="s">
        <v>371</v>
      </c>
      <c r="C6864">
        <v>6152.85</v>
      </c>
      <c r="D6864">
        <v>5000</v>
      </c>
      <c r="E6864">
        <v>500</v>
      </c>
      <c r="F6864">
        <v>30000</v>
      </c>
      <c r="G6864" s="30">
        <v>142</v>
      </c>
      <c r="H6864">
        <v>3507.09</v>
      </c>
      <c r="I6864">
        <v>2000</v>
      </c>
      <c r="J6864">
        <v>119</v>
      </c>
      <c r="K6864">
        <v>30000</v>
      </c>
      <c r="L6864" s="30">
        <v>66</v>
      </c>
      <c r="M6864">
        <v>4757.6899999999996</v>
      </c>
      <c r="N6864">
        <v>5000</v>
      </c>
      <c r="O6864">
        <v>1000</v>
      </c>
      <c r="P6864">
        <v>12000</v>
      </c>
      <c r="Q6864" s="30">
        <v>26</v>
      </c>
      <c r="R6864">
        <v>353.33</v>
      </c>
      <c r="S6864">
        <v>200</v>
      </c>
      <c r="T6864">
        <v>50</v>
      </c>
      <c r="U6864">
        <v>2000</v>
      </c>
      <c r="V6864" s="30">
        <v>84</v>
      </c>
      <c r="W6864">
        <v>537.41999999999996</v>
      </c>
      <c r="X6864">
        <v>500</v>
      </c>
      <c r="Y6864">
        <v>50</v>
      </c>
      <c r="Z6864">
        <v>2000</v>
      </c>
      <c r="AA6864" s="30">
        <v>79</v>
      </c>
      <c r="AB6864">
        <v>780.55</v>
      </c>
      <c r="AC6864">
        <v>600</v>
      </c>
      <c r="AD6864">
        <v>100</v>
      </c>
      <c r="AE6864">
        <v>5000</v>
      </c>
      <c r="AF6864" s="30">
        <v>121</v>
      </c>
      <c r="AG6864">
        <v>606.61</v>
      </c>
      <c r="AH6864">
        <v>400</v>
      </c>
      <c r="AI6864">
        <v>100</v>
      </c>
      <c r="AJ6864">
        <v>4000</v>
      </c>
      <c r="AK6864" s="30">
        <v>51</v>
      </c>
      <c r="AL6864">
        <v>1880.4</v>
      </c>
      <c r="AM6864">
        <v>1500</v>
      </c>
      <c r="AN6864">
        <v>350</v>
      </c>
      <c r="AO6864">
        <v>8000</v>
      </c>
      <c r="AP6864" s="30">
        <v>146</v>
      </c>
      <c r="AQ6864">
        <v>2809.33</v>
      </c>
      <c r="AR6864">
        <v>1000</v>
      </c>
      <c r="AS6864">
        <v>50</v>
      </c>
      <c r="AT6864">
        <v>30000</v>
      </c>
      <c r="AU6864" s="30">
        <v>101</v>
      </c>
      <c r="AV6864">
        <v>1104.0899999999999</v>
      </c>
      <c r="AW6864">
        <v>1000</v>
      </c>
      <c r="AX6864">
        <v>200</v>
      </c>
      <c r="AY6864">
        <v>3000</v>
      </c>
      <c r="AZ6864" s="30">
        <v>22</v>
      </c>
      <c r="BA6864">
        <v>549.48</v>
      </c>
      <c r="BB6864">
        <v>500</v>
      </c>
      <c r="BC6864">
        <v>100</v>
      </c>
      <c r="BD6864">
        <v>2500</v>
      </c>
      <c r="BE6864" s="30">
        <v>145</v>
      </c>
      <c r="BF6864">
        <v>2925</v>
      </c>
      <c r="BG6864">
        <v>2000</v>
      </c>
      <c r="BH6864">
        <v>400</v>
      </c>
      <c r="BI6864">
        <v>6500</v>
      </c>
      <c r="BJ6864" s="30">
        <v>8</v>
      </c>
      <c r="BK6864">
        <v>4292.26</v>
      </c>
      <c r="BL6864">
        <v>2000</v>
      </c>
      <c r="BM6864">
        <v>300</v>
      </c>
      <c r="BN6864">
        <v>25000</v>
      </c>
      <c r="BO6864" s="30">
        <v>34</v>
      </c>
      <c r="BP6864">
        <v>776.47</v>
      </c>
      <c r="BQ6864">
        <v>500</v>
      </c>
      <c r="BR6864">
        <v>50</v>
      </c>
      <c r="BS6864">
        <v>3500</v>
      </c>
      <c r="BT6864" s="30">
        <v>89</v>
      </c>
      <c r="BU6864">
        <v>4075</v>
      </c>
      <c r="BV6864">
        <v>3500</v>
      </c>
      <c r="BW6864">
        <v>700</v>
      </c>
      <c r="BX6864">
        <v>7500</v>
      </c>
      <c r="BY6864" s="30">
        <v>10</v>
      </c>
      <c r="BZ6864">
        <v>146</v>
      </c>
    </row>
    <row r="6865" spans="1:78" x14ac:dyDescent="0.35">
      <c r="A6865" t="s">
        <v>228</v>
      </c>
      <c r="B6865" t="s">
        <v>371</v>
      </c>
      <c r="C6865">
        <v>8049.14</v>
      </c>
      <c r="D6865">
        <v>6000</v>
      </c>
      <c r="E6865">
        <v>600</v>
      </c>
      <c r="F6865">
        <v>30000</v>
      </c>
      <c r="G6865" s="30">
        <v>234</v>
      </c>
      <c r="H6865">
        <v>4030.52</v>
      </c>
      <c r="I6865">
        <v>3000</v>
      </c>
      <c r="J6865">
        <v>200</v>
      </c>
      <c r="K6865">
        <v>30000</v>
      </c>
      <c r="L6865" s="30">
        <v>98</v>
      </c>
      <c r="M6865">
        <v>6322.12</v>
      </c>
      <c r="N6865">
        <v>6000</v>
      </c>
      <c r="O6865">
        <v>400</v>
      </c>
      <c r="P6865">
        <v>16000</v>
      </c>
      <c r="Q6865" s="30">
        <v>46</v>
      </c>
      <c r="R6865">
        <v>455.9</v>
      </c>
      <c r="S6865">
        <v>300</v>
      </c>
      <c r="T6865">
        <v>50</v>
      </c>
      <c r="U6865">
        <v>3000</v>
      </c>
      <c r="V6865" s="30">
        <v>137</v>
      </c>
      <c r="W6865">
        <v>499.21</v>
      </c>
      <c r="X6865">
        <v>300</v>
      </c>
      <c r="Y6865">
        <v>50</v>
      </c>
      <c r="Z6865">
        <v>3000</v>
      </c>
      <c r="AA6865" s="30">
        <v>119</v>
      </c>
      <c r="AB6865">
        <v>757.1</v>
      </c>
      <c r="AC6865">
        <v>500</v>
      </c>
      <c r="AD6865">
        <v>100</v>
      </c>
      <c r="AE6865">
        <v>4000</v>
      </c>
      <c r="AF6865" s="30">
        <v>182</v>
      </c>
      <c r="AG6865">
        <v>725.99</v>
      </c>
      <c r="AH6865">
        <v>500</v>
      </c>
      <c r="AI6865">
        <v>100</v>
      </c>
      <c r="AJ6865">
        <v>5000</v>
      </c>
      <c r="AK6865" s="30">
        <v>77</v>
      </c>
      <c r="AL6865">
        <v>2072.59</v>
      </c>
      <c r="AM6865">
        <v>1900</v>
      </c>
      <c r="AN6865">
        <v>300</v>
      </c>
      <c r="AO6865">
        <v>7000</v>
      </c>
      <c r="AP6865" s="30">
        <v>237</v>
      </c>
      <c r="AQ6865">
        <v>2229.4</v>
      </c>
      <c r="AR6865">
        <v>1000</v>
      </c>
      <c r="AS6865">
        <v>50</v>
      </c>
      <c r="AT6865">
        <v>21000</v>
      </c>
      <c r="AU6865" s="30">
        <v>140</v>
      </c>
      <c r="AV6865">
        <v>546.99</v>
      </c>
      <c r="AW6865">
        <v>500</v>
      </c>
      <c r="AX6865">
        <v>100</v>
      </c>
      <c r="AY6865">
        <v>3000</v>
      </c>
      <c r="AZ6865" s="30">
        <v>24</v>
      </c>
      <c r="BA6865">
        <v>617.83000000000004</v>
      </c>
      <c r="BB6865">
        <v>500</v>
      </c>
      <c r="BC6865">
        <v>85</v>
      </c>
      <c r="BD6865">
        <v>2000</v>
      </c>
      <c r="BE6865" s="30">
        <v>244</v>
      </c>
      <c r="BF6865">
        <v>2369.09</v>
      </c>
      <c r="BG6865">
        <v>2000</v>
      </c>
      <c r="BH6865">
        <v>1000</v>
      </c>
      <c r="BI6865">
        <v>5000</v>
      </c>
      <c r="BJ6865" s="30">
        <v>17</v>
      </c>
      <c r="BK6865">
        <v>4419.3100000000004</v>
      </c>
      <c r="BL6865">
        <v>2000</v>
      </c>
      <c r="BM6865">
        <v>200</v>
      </c>
      <c r="BN6865">
        <v>20000</v>
      </c>
      <c r="BO6865" s="30">
        <v>42</v>
      </c>
      <c r="BP6865">
        <v>1073.5</v>
      </c>
      <c r="BQ6865">
        <v>550</v>
      </c>
      <c r="BR6865">
        <v>50</v>
      </c>
      <c r="BS6865">
        <v>7000</v>
      </c>
      <c r="BT6865" s="30">
        <v>121</v>
      </c>
      <c r="BU6865">
        <v>2270.92</v>
      </c>
      <c r="BV6865">
        <v>1360</v>
      </c>
      <c r="BW6865">
        <v>400</v>
      </c>
      <c r="BX6865">
        <v>7000</v>
      </c>
      <c r="BY6865" s="30">
        <v>8</v>
      </c>
      <c r="BZ6865">
        <v>244</v>
      </c>
    </row>
    <row r="6866" spans="1:78" x14ac:dyDescent="0.35">
      <c r="A6866" t="s">
        <v>228</v>
      </c>
      <c r="B6866" t="s">
        <v>372</v>
      </c>
      <c r="C6866">
        <v>6591.77</v>
      </c>
      <c r="D6866">
        <v>5000</v>
      </c>
      <c r="E6866">
        <v>500</v>
      </c>
      <c r="F6866">
        <v>30000</v>
      </c>
      <c r="G6866" s="30">
        <v>164</v>
      </c>
      <c r="H6866">
        <v>3383.61</v>
      </c>
      <c r="I6866">
        <v>3000</v>
      </c>
      <c r="J6866">
        <v>200</v>
      </c>
      <c r="K6866">
        <v>12000</v>
      </c>
      <c r="L6866" s="30">
        <v>57</v>
      </c>
      <c r="M6866">
        <v>4169.3999999999996</v>
      </c>
      <c r="N6866">
        <v>3500</v>
      </c>
      <c r="O6866">
        <v>1000</v>
      </c>
      <c r="P6866">
        <v>15000</v>
      </c>
      <c r="Q6866" s="30">
        <v>14</v>
      </c>
      <c r="R6866">
        <v>568.1</v>
      </c>
      <c r="S6866">
        <v>400</v>
      </c>
      <c r="T6866">
        <v>50</v>
      </c>
      <c r="U6866">
        <v>3000</v>
      </c>
      <c r="V6866" s="30">
        <v>71</v>
      </c>
      <c r="W6866">
        <v>464.56</v>
      </c>
      <c r="X6866">
        <v>400</v>
      </c>
      <c r="Y6866">
        <v>100</v>
      </c>
      <c r="Z6866">
        <v>3000</v>
      </c>
      <c r="AA6866" s="30">
        <v>62</v>
      </c>
      <c r="AB6866">
        <v>843.04</v>
      </c>
      <c r="AC6866">
        <v>500</v>
      </c>
      <c r="AD6866">
        <v>100</v>
      </c>
      <c r="AE6866">
        <v>5000</v>
      </c>
      <c r="AF6866" s="30">
        <v>104</v>
      </c>
      <c r="AG6866">
        <v>566.87</v>
      </c>
      <c r="AH6866">
        <v>500</v>
      </c>
      <c r="AI6866">
        <v>100</v>
      </c>
      <c r="AJ6866">
        <v>2000</v>
      </c>
      <c r="AK6866" s="30">
        <v>38</v>
      </c>
      <c r="AL6866">
        <v>1814.16</v>
      </c>
      <c r="AM6866">
        <v>1500</v>
      </c>
      <c r="AN6866">
        <v>350</v>
      </c>
      <c r="AO6866">
        <v>7000</v>
      </c>
      <c r="AP6866" s="30">
        <v>180</v>
      </c>
      <c r="AQ6866">
        <v>2521.12</v>
      </c>
      <c r="AR6866">
        <v>1100</v>
      </c>
      <c r="AS6866">
        <v>52</v>
      </c>
      <c r="AT6866">
        <v>22000</v>
      </c>
      <c r="AU6866" s="30">
        <v>85</v>
      </c>
      <c r="AV6866">
        <v>1232.21</v>
      </c>
      <c r="AW6866">
        <v>1200</v>
      </c>
      <c r="AX6866">
        <v>150</v>
      </c>
      <c r="AY6866">
        <v>3000</v>
      </c>
      <c r="AZ6866" s="30">
        <v>16</v>
      </c>
      <c r="BA6866">
        <v>572.4</v>
      </c>
      <c r="BB6866">
        <v>500</v>
      </c>
      <c r="BC6866">
        <v>100</v>
      </c>
      <c r="BD6866">
        <v>1838</v>
      </c>
      <c r="BE6866" s="30">
        <v>179</v>
      </c>
      <c r="BF6866">
        <v>2563.81</v>
      </c>
      <c r="BG6866">
        <v>2500</v>
      </c>
      <c r="BH6866">
        <v>600</v>
      </c>
      <c r="BI6866">
        <v>7000</v>
      </c>
      <c r="BJ6866" s="30">
        <v>11</v>
      </c>
      <c r="BK6866">
        <v>4425.57</v>
      </c>
      <c r="BL6866">
        <v>2000</v>
      </c>
      <c r="BM6866">
        <v>100</v>
      </c>
      <c r="BN6866">
        <v>20000</v>
      </c>
      <c r="BO6866" s="30">
        <v>12</v>
      </c>
      <c r="BP6866">
        <v>1547.08</v>
      </c>
      <c r="BQ6866">
        <v>1000</v>
      </c>
      <c r="BR6866">
        <v>70</v>
      </c>
      <c r="BS6866">
        <v>20000</v>
      </c>
      <c r="BT6866" s="30">
        <v>85</v>
      </c>
      <c r="BU6866">
        <v>1567.34</v>
      </c>
      <c r="BV6866">
        <v>1200</v>
      </c>
      <c r="BW6866">
        <v>254</v>
      </c>
      <c r="BX6866">
        <v>4000</v>
      </c>
      <c r="BY6866" s="30">
        <v>8</v>
      </c>
      <c r="BZ6866">
        <v>180</v>
      </c>
    </row>
    <row r="6867" spans="1:78" x14ac:dyDescent="0.35">
      <c r="A6867" t="s">
        <v>228</v>
      </c>
      <c r="B6867" t="s">
        <v>373</v>
      </c>
      <c r="C6867">
        <v>7627.39</v>
      </c>
      <c r="D6867">
        <v>6000</v>
      </c>
      <c r="E6867">
        <v>200</v>
      </c>
      <c r="F6867">
        <v>30000</v>
      </c>
      <c r="G6867" s="30">
        <v>423</v>
      </c>
      <c r="H6867">
        <v>3127.33</v>
      </c>
      <c r="I6867">
        <v>2000</v>
      </c>
      <c r="J6867">
        <v>100</v>
      </c>
      <c r="K6867">
        <v>15000</v>
      </c>
      <c r="L6867" s="30">
        <v>170</v>
      </c>
      <c r="M6867">
        <v>4690.2700000000004</v>
      </c>
      <c r="N6867">
        <v>4500</v>
      </c>
      <c r="O6867">
        <v>183</v>
      </c>
      <c r="P6867">
        <v>10000</v>
      </c>
      <c r="Q6867" s="30">
        <v>70</v>
      </c>
      <c r="R6867">
        <v>429.86</v>
      </c>
      <c r="S6867">
        <v>300</v>
      </c>
      <c r="T6867">
        <v>50</v>
      </c>
      <c r="U6867">
        <v>2000</v>
      </c>
      <c r="V6867" s="30">
        <v>240</v>
      </c>
      <c r="W6867">
        <v>468.77</v>
      </c>
      <c r="X6867">
        <v>300</v>
      </c>
      <c r="Y6867">
        <v>50</v>
      </c>
      <c r="Z6867">
        <v>3000</v>
      </c>
      <c r="AA6867" s="30">
        <v>222</v>
      </c>
      <c r="AB6867">
        <v>669.17</v>
      </c>
      <c r="AC6867">
        <v>500</v>
      </c>
      <c r="AD6867">
        <v>100</v>
      </c>
      <c r="AE6867">
        <v>3000</v>
      </c>
      <c r="AF6867" s="30">
        <v>345</v>
      </c>
      <c r="AG6867">
        <v>526.45000000000005</v>
      </c>
      <c r="AH6867">
        <v>400</v>
      </c>
      <c r="AI6867">
        <v>100</v>
      </c>
      <c r="AJ6867">
        <v>4000</v>
      </c>
      <c r="AK6867" s="30">
        <v>150</v>
      </c>
      <c r="AL6867">
        <v>2053.2399999999998</v>
      </c>
      <c r="AM6867">
        <v>1800</v>
      </c>
      <c r="AN6867">
        <v>300</v>
      </c>
      <c r="AO6867">
        <v>9000</v>
      </c>
      <c r="AP6867" s="30">
        <v>443</v>
      </c>
      <c r="AQ6867">
        <v>2252.92</v>
      </c>
      <c r="AR6867">
        <v>1000</v>
      </c>
      <c r="AS6867">
        <v>50</v>
      </c>
      <c r="AT6867">
        <v>30000</v>
      </c>
      <c r="AU6867" s="30">
        <v>256</v>
      </c>
      <c r="AV6867">
        <v>877.36</v>
      </c>
      <c r="AW6867">
        <v>700</v>
      </c>
      <c r="AX6867">
        <v>100</v>
      </c>
      <c r="AY6867">
        <v>3000</v>
      </c>
      <c r="AZ6867" s="30">
        <v>44</v>
      </c>
      <c r="BA6867">
        <v>651.89</v>
      </c>
      <c r="BB6867">
        <v>500</v>
      </c>
      <c r="BC6867">
        <v>100</v>
      </c>
      <c r="BD6867">
        <v>2800</v>
      </c>
      <c r="BE6867" s="30">
        <v>454</v>
      </c>
      <c r="BF6867">
        <v>2624.47</v>
      </c>
      <c r="BG6867">
        <v>2000</v>
      </c>
      <c r="BH6867">
        <v>500</v>
      </c>
      <c r="BI6867">
        <v>6000</v>
      </c>
      <c r="BJ6867" s="30">
        <v>22</v>
      </c>
      <c r="BK6867">
        <v>3474.83</v>
      </c>
      <c r="BL6867">
        <v>2000</v>
      </c>
      <c r="BM6867">
        <v>100</v>
      </c>
      <c r="BN6867">
        <v>30000</v>
      </c>
      <c r="BO6867" s="30">
        <v>77</v>
      </c>
      <c r="BP6867">
        <v>1077.45</v>
      </c>
      <c r="BQ6867">
        <v>600</v>
      </c>
      <c r="BR6867">
        <v>50</v>
      </c>
      <c r="BS6867">
        <v>20000</v>
      </c>
      <c r="BT6867" s="30">
        <v>238</v>
      </c>
      <c r="BU6867">
        <v>1969.03</v>
      </c>
      <c r="BV6867">
        <v>1500</v>
      </c>
      <c r="BW6867">
        <v>385</v>
      </c>
      <c r="BX6867">
        <v>7000</v>
      </c>
      <c r="BY6867" s="30">
        <v>23</v>
      </c>
      <c r="BZ6867">
        <v>454</v>
      </c>
    </row>
    <row r="6868" spans="1:78" x14ac:dyDescent="0.35">
      <c r="A6868" t="s">
        <v>229</v>
      </c>
      <c r="B6868" t="s">
        <v>371</v>
      </c>
      <c r="C6868">
        <v>9539.01</v>
      </c>
      <c r="D6868">
        <v>8000</v>
      </c>
      <c r="E6868">
        <v>300</v>
      </c>
      <c r="F6868">
        <v>30000</v>
      </c>
      <c r="G6868" s="30">
        <v>496</v>
      </c>
      <c r="H6868">
        <v>4241.3999999999996</v>
      </c>
      <c r="I6868">
        <v>3000</v>
      </c>
      <c r="J6868">
        <v>100</v>
      </c>
      <c r="K6868">
        <v>20000</v>
      </c>
      <c r="L6868" s="30">
        <v>267</v>
      </c>
      <c r="M6868">
        <v>7411.19</v>
      </c>
      <c r="N6868">
        <v>8000</v>
      </c>
      <c r="O6868">
        <v>400</v>
      </c>
      <c r="P6868">
        <v>16000</v>
      </c>
      <c r="Q6868" s="30">
        <v>63</v>
      </c>
      <c r="R6868">
        <v>514.62</v>
      </c>
      <c r="S6868">
        <v>300</v>
      </c>
      <c r="T6868">
        <v>50</v>
      </c>
      <c r="U6868">
        <v>3000</v>
      </c>
      <c r="V6868" s="30">
        <v>241</v>
      </c>
      <c r="W6868">
        <v>508.94</v>
      </c>
      <c r="X6868">
        <v>332</v>
      </c>
      <c r="Y6868">
        <v>50</v>
      </c>
      <c r="Z6868">
        <v>3000</v>
      </c>
      <c r="AA6868" s="30">
        <v>302</v>
      </c>
      <c r="AB6868">
        <v>1020.33</v>
      </c>
      <c r="AC6868">
        <v>700</v>
      </c>
      <c r="AD6868">
        <v>100</v>
      </c>
      <c r="AE6868">
        <v>5000</v>
      </c>
      <c r="AF6868" s="30">
        <v>427</v>
      </c>
      <c r="AG6868">
        <v>688.11</v>
      </c>
      <c r="AH6868">
        <v>500</v>
      </c>
      <c r="AI6868">
        <v>100</v>
      </c>
      <c r="AJ6868">
        <v>5000</v>
      </c>
      <c r="AK6868" s="30">
        <v>201</v>
      </c>
      <c r="AL6868">
        <v>2448.0300000000002</v>
      </c>
      <c r="AM6868">
        <v>2000</v>
      </c>
      <c r="AN6868">
        <v>300</v>
      </c>
      <c r="AO6868">
        <v>8000</v>
      </c>
      <c r="AP6868" s="30">
        <v>526</v>
      </c>
      <c r="AQ6868">
        <v>2506.36</v>
      </c>
      <c r="AR6868">
        <v>1200</v>
      </c>
      <c r="AS6868">
        <v>50</v>
      </c>
      <c r="AT6868">
        <v>30000</v>
      </c>
      <c r="AU6868" s="30">
        <v>349</v>
      </c>
      <c r="AV6868">
        <v>842.94</v>
      </c>
      <c r="AW6868">
        <v>500</v>
      </c>
      <c r="AX6868">
        <v>100</v>
      </c>
      <c r="AY6868">
        <v>3000</v>
      </c>
      <c r="AZ6868" s="30">
        <v>55</v>
      </c>
      <c r="BA6868">
        <v>648.75</v>
      </c>
      <c r="BB6868">
        <v>570</v>
      </c>
      <c r="BC6868">
        <v>50</v>
      </c>
      <c r="BD6868">
        <v>2800</v>
      </c>
      <c r="BE6868" s="30">
        <v>523</v>
      </c>
      <c r="BF6868">
        <v>3267.21</v>
      </c>
      <c r="BG6868">
        <v>2000</v>
      </c>
      <c r="BH6868">
        <v>500</v>
      </c>
      <c r="BI6868">
        <v>10000</v>
      </c>
      <c r="BJ6868" s="30">
        <v>27</v>
      </c>
      <c r="BK6868">
        <v>6248.93</v>
      </c>
      <c r="BL6868">
        <v>3000</v>
      </c>
      <c r="BM6868">
        <v>100</v>
      </c>
      <c r="BN6868">
        <v>30000</v>
      </c>
      <c r="BO6868" s="30">
        <v>123</v>
      </c>
      <c r="BP6868">
        <v>1664.94</v>
      </c>
      <c r="BQ6868">
        <v>900</v>
      </c>
      <c r="BR6868">
        <v>50</v>
      </c>
      <c r="BS6868">
        <v>30000</v>
      </c>
      <c r="BT6868" s="30">
        <v>265</v>
      </c>
      <c r="BU6868">
        <v>3942.82</v>
      </c>
      <c r="BV6868">
        <v>3000</v>
      </c>
      <c r="BW6868">
        <v>500</v>
      </c>
      <c r="BX6868">
        <v>10000</v>
      </c>
      <c r="BY6868" s="30">
        <v>23</v>
      </c>
      <c r="BZ6868">
        <v>526</v>
      </c>
    </row>
    <row r="6869" spans="1:78" x14ac:dyDescent="0.35">
      <c r="A6869" t="s">
        <v>229</v>
      </c>
      <c r="B6869" t="s">
        <v>372</v>
      </c>
      <c r="C6869">
        <v>6332.03</v>
      </c>
      <c r="D6869">
        <v>5000</v>
      </c>
      <c r="E6869">
        <v>200</v>
      </c>
      <c r="F6869">
        <v>30000</v>
      </c>
      <c r="G6869" s="30">
        <v>194</v>
      </c>
      <c r="H6869">
        <v>3495.96</v>
      </c>
      <c r="I6869">
        <v>3000</v>
      </c>
      <c r="J6869">
        <v>100</v>
      </c>
      <c r="K6869">
        <v>30000</v>
      </c>
      <c r="L6869" s="30">
        <v>86</v>
      </c>
      <c r="M6869">
        <v>3364.9</v>
      </c>
      <c r="N6869">
        <v>4000</v>
      </c>
      <c r="O6869">
        <v>1000</v>
      </c>
      <c r="P6869">
        <v>7000</v>
      </c>
      <c r="Q6869" s="30">
        <v>25</v>
      </c>
      <c r="R6869">
        <v>476.03</v>
      </c>
      <c r="S6869">
        <v>300</v>
      </c>
      <c r="T6869">
        <v>50</v>
      </c>
      <c r="U6869">
        <v>2000</v>
      </c>
      <c r="V6869" s="30">
        <v>58</v>
      </c>
      <c r="W6869">
        <v>514.58000000000004</v>
      </c>
      <c r="X6869">
        <v>300</v>
      </c>
      <c r="Y6869">
        <v>50</v>
      </c>
      <c r="Z6869">
        <v>3000</v>
      </c>
      <c r="AA6869" s="30">
        <v>110</v>
      </c>
      <c r="AB6869">
        <v>685.48</v>
      </c>
      <c r="AC6869">
        <v>500</v>
      </c>
      <c r="AD6869">
        <v>100</v>
      </c>
      <c r="AE6869">
        <v>3000</v>
      </c>
      <c r="AF6869" s="30">
        <v>165</v>
      </c>
      <c r="AG6869">
        <v>674.36</v>
      </c>
      <c r="AH6869">
        <v>500</v>
      </c>
      <c r="AI6869">
        <v>100</v>
      </c>
      <c r="AJ6869">
        <v>5000</v>
      </c>
      <c r="AK6869" s="30">
        <v>80</v>
      </c>
      <c r="AL6869">
        <v>1739.67</v>
      </c>
      <c r="AM6869">
        <v>1500</v>
      </c>
      <c r="AN6869">
        <v>300</v>
      </c>
      <c r="AO6869">
        <v>5000</v>
      </c>
      <c r="AP6869" s="30">
        <v>196</v>
      </c>
      <c r="AQ6869">
        <v>1915.33</v>
      </c>
      <c r="AR6869">
        <v>800</v>
      </c>
      <c r="AS6869">
        <v>50</v>
      </c>
      <c r="AT6869">
        <v>17000</v>
      </c>
      <c r="AU6869" s="30">
        <v>117</v>
      </c>
      <c r="AV6869">
        <v>1177.52</v>
      </c>
      <c r="AW6869">
        <v>1000</v>
      </c>
      <c r="AX6869">
        <v>300</v>
      </c>
      <c r="AY6869">
        <v>3000</v>
      </c>
      <c r="AZ6869" s="30">
        <v>25</v>
      </c>
      <c r="BA6869">
        <v>522.12</v>
      </c>
      <c r="BB6869">
        <v>500</v>
      </c>
      <c r="BC6869">
        <v>50</v>
      </c>
      <c r="BD6869">
        <v>2000</v>
      </c>
      <c r="BE6869" s="30">
        <v>202</v>
      </c>
      <c r="BF6869">
        <v>1434.26</v>
      </c>
      <c r="BG6869">
        <v>1000</v>
      </c>
      <c r="BH6869">
        <v>200</v>
      </c>
      <c r="BI6869">
        <v>4000</v>
      </c>
      <c r="BJ6869" s="30">
        <v>13</v>
      </c>
      <c r="BK6869">
        <v>3603.87</v>
      </c>
      <c r="BL6869">
        <v>1400</v>
      </c>
      <c r="BM6869">
        <v>200</v>
      </c>
      <c r="BN6869">
        <v>30000</v>
      </c>
      <c r="BO6869" s="30">
        <v>26</v>
      </c>
      <c r="BP6869">
        <v>1261.07</v>
      </c>
      <c r="BQ6869">
        <v>750</v>
      </c>
      <c r="BR6869">
        <v>100</v>
      </c>
      <c r="BS6869">
        <v>9000</v>
      </c>
      <c r="BT6869" s="30">
        <v>105</v>
      </c>
      <c r="BU6869">
        <v>3514.88</v>
      </c>
      <c r="BV6869">
        <v>1700</v>
      </c>
      <c r="BW6869">
        <v>200</v>
      </c>
      <c r="BX6869">
        <v>10000</v>
      </c>
      <c r="BY6869" s="30">
        <v>7</v>
      </c>
      <c r="BZ6869">
        <v>202</v>
      </c>
    </row>
    <row r="6870" spans="1:78" x14ac:dyDescent="0.35">
      <c r="A6870" t="s">
        <v>229</v>
      </c>
      <c r="B6870" t="s">
        <v>373</v>
      </c>
      <c r="C6870">
        <v>5802.95</v>
      </c>
      <c r="D6870">
        <v>5000</v>
      </c>
      <c r="E6870">
        <v>500</v>
      </c>
      <c r="F6870">
        <v>20000</v>
      </c>
      <c r="G6870" s="30">
        <v>77</v>
      </c>
      <c r="H6870">
        <v>3061.84</v>
      </c>
      <c r="I6870">
        <v>2000</v>
      </c>
      <c r="J6870">
        <v>500</v>
      </c>
      <c r="K6870">
        <v>15000</v>
      </c>
      <c r="L6870" s="30">
        <v>34</v>
      </c>
      <c r="M6870">
        <v>3328.98</v>
      </c>
      <c r="N6870">
        <v>3000</v>
      </c>
      <c r="O6870">
        <v>600</v>
      </c>
      <c r="P6870">
        <v>8000</v>
      </c>
      <c r="Q6870" s="30">
        <v>9</v>
      </c>
      <c r="R6870">
        <v>637.41999999999996</v>
      </c>
      <c r="S6870">
        <v>500</v>
      </c>
      <c r="T6870">
        <v>80</v>
      </c>
      <c r="U6870">
        <v>2000</v>
      </c>
      <c r="V6870" s="30">
        <v>25</v>
      </c>
      <c r="W6870">
        <v>610.49</v>
      </c>
      <c r="X6870">
        <v>500</v>
      </c>
      <c r="Y6870">
        <v>60</v>
      </c>
      <c r="Z6870">
        <v>3000</v>
      </c>
      <c r="AA6870" s="30">
        <v>41</v>
      </c>
      <c r="AB6870">
        <v>800.04</v>
      </c>
      <c r="AC6870">
        <v>500</v>
      </c>
      <c r="AD6870">
        <v>170</v>
      </c>
      <c r="AE6870">
        <v>3000</v>
      </c>
      <c r="AF6870" s="30">
        <v>66</v>
      </c>
      <c r="AG6870">
        <v>528.01</v>
      </c>
      <c r="AH6870">
        <v>500</v>
      </c>
      <c r="AI6870">
        <v>100</v>
      </c>
      <c r="AJ6870">
        <v>2000</v>
      </c>
      <c r="AK6870" s="30">
        <v>21</v>
      </c>
      <c r="AL6870">
        <v>1695.31</v>
      </c>
      <c r="AM6870">
        <v>1500</v>
      </c>
      <c r="AN6870">
        <v>400</v>
      </c>
      <c r="AO6870">
        <v>9000</v>
      </c>
      <c r="AP6870" s="30">
        <v>81</v>
      </c>
      <c r="AQ6870">
        <v>1614.03</v>
      </c>
      <c r="AR6870">
        <v>1000</v>
      </c>
      <c r="AS6870">
        <v>100</v>
      </c>
      <c r="AT6870">
        <v>8000</v>
      </c>
      <c r="AU6870" s="30">
        <v>49</v>
      </c>
      <c r="AV6870">
        <v>998.93</v>
      </c>
      <c r="AW6870">
        <v>1200</v>
      </c>
      <c r="AX6870">
        <v>150</v>
      </c>
      <c r="AY6870">
        <v>1600</v>
      </c>
      <c r="AZ6870" s="30">
        <v>9</v>
      </c>
      <c r="BA6870">
        <v>589.84</v>
      </c>
      <c r="BB6870">
        <v>500</v>
      </c>
      <c r="BC6870">
        <v>100</v>
      </c>
      <c r="BD6870">
        <v>2500</v>
      </c>
      <c r="BE6870" s="30">
        <v>82</v>
      </c>
      <c r="BF6870">
        <v>3200</v>
      </c>
      <c r="BG6870">
        <v>400</v>
      </c>
      <c r="BH6870">
        <v>400</v>
      </c>
      <c r="BI6870">
        <v>6000</v>
      </c>
      <c r="BJ6870" s="30">
        <v>2</v>
      </c>
      <c r="BK6870">
        <v>4912.5</v>
      </c>
      <c r="BL6870">
        <v>3000</v>
      </c>
      <c r="BM6870">
        <v>300</v>
      </c>
      <c r="BN6870">
        <v>12000</v>
      </c>
      <c r="BO6870" s="30">
        <v>8</v>
      </c>
      <c r="BP6870">
        <v>988.44</v>
      </c>
      <c r="BQ6870">
        <v>500</v>
      </c>
      <c r="BR6870">
        <v>100</v>
      </c>
      <c r="BS6870">
        <v>8500</v>
      </c>
      <c r="BT6870" s="30">
        <v>46</v>
      </c>
      <c r="BU6870">
        <v>750</v>
      </c>
      <c r="BV6870">
        <v>1750</v>
      </c>
      <c r="BW6870">
        <v>200</v>
      </c>
      <c r="BX6870">
        <v>1750</v>
      </c>
      <c r="BY6870" s="30">
        <v>3</v>
      </c>
      <c r="BZ6870">
        <v>82</v>
      </c>
    </row>
    <row r="6871" spans="1:78" x14ac:dyDescent="0.35">
      <c r="A6871" t="s">
        <v>230</v>
      </c>
      <c r="B6871" t="s">
        <v>371</v>
      </c>
      <c r="C6871">
        <v>7923.19</v>
      </c>
      <c r="D6871">
        <v>6000</v>
      </c>
      <c r="E6871">
        <v>200</v>
      </c>
      <c r="F6871">
        <v>25000</v>
      </c>
      <c r="G6871" s="30">
        <v>243</v>
      </c>
      <c r="H6871">
        <v>4800.68</v>
      </c>
      <c r="I6871">
        <v>2000</v>
      </c>
      <c r="J6871">
        <v>100</v>
      </c>
      <c r="K6871">
        <v>60000</v>
      </c>
      <c r="L6871" s="30">
        <v>118</v>
      </c>
      <c r="M6871">
        <v>6026.54</v>
      </c>
      <c r="N6871">
        <v>6500</v>
      </c>
      <c r="O6871">
        <v>1000</v>
      </c>
      <c r="P6871">
        <v>12000</v>
      </c>
      <c r="Q6871" s="30">
        <v>40</v>
      </c>
      <c r="R6871">
        <v>526.63</v>
      </c>
      <c r="S6871">
        <v>300</v>
      </c>
      <c r="T6871">
        <v>50</v>
      </c>
      <c r="U6871">
        <v>3000</v>
      </c>
      <c r="V6871" s="30">
        <v>135</v>
      </c>
      <c r="W6871">
        <v>531.03</v>
      </c>
      <c r="X6871">
        <v>400</v>
      </c>
      <c r="Y6871">
        <v>30</v>
      </c>
      <c r="Z6871">
        <v>2000</v>
      </c>
      <c r="AA6871" s="30">
        <v>140</v>
      </c>
      <c r="AB6871">
        <v>866.02</v>
      </c>
      <c r="AC6871">
        <v>500</v>
      </c>
      <c r="AD6871">
        <v>100</v>
      </c>
      <c r="AE6871">
        <v>5000</v>
      </c>
      <c r="AF6871" s="30">
        <v>208</v>
      </c>
      <c r="AG6871">
        <v>779.18</v>
      </c>
      <c r="AH6871">
        <v>500</v>
      </c>
      <c r="AI6871">
        <v>100</v>
      </c>
      <c r="AJ6871">
        <v>5000</v>
      </c>
      <c r="AK6871" s="30">
        <v>84</v>
      </c>
      <c r="AL6871">
        <v>2173.58</v>
      </c>
      <c r="AM6871">
        <v>2000</v>
      </c>
      <c r="AN6871">
        <v>300</v>
      </c>
      <c r="AO6871">
        <v>7000</v>
      </c>
      <c r="AP6871" s="30">
        <v>237</v>
      </c>
      <c r="AQ6871">
        <v>2206.4699999999998</v>
      </c>
      <c r="AR6871">
        <v>1000</v>
      </c>
      <c r="AS6871">
        <v>50</v>
      </c>
      <c r="AT6871">
        <v>30000</v>
      </c>
      <c r="AU6871" s="30">
        <v>159</v>
      </c>
      <c r="AV6871">
        <v>895.4</v>
      </c>
      <c r="AW6871">
        <v>1000</v>
      </c>
      <c r="AX6871">
        <v>100</v>
      </c>
      <c r="AY6871">
        <v>2400</v>
      </c>
      <c r="AZ6871" s="30">
        <v>27</v>
      </c>
      <c r="BA6871">
        <v>674.59</v>
      </c>
      <c r="BB6871">
        <v>600</v>
      </c>
      <c r="BC6871">
        <v>120</v>
      </c>
      <c r="BD6871">
        <v>2300</v>
      </c>
      <c r="BE6871" s="30">
        <v>243</v>
      </c>
      <c r="BF6871">
        <v>5407.98</v>
      </c>
      <c r="BG6871">
        <v>10000</v>
      </c>
      <c r="BH6871">
        <v>550</v>
      </c>
      <c r="BI6871">
        <v>10000</v>
      </c>
      <c r="BJ6871" s="30">
        <v>9</v>
      </c>
      <c r="BK6871">
        <v>3014.01</v>
      </c>
      <c r="BL6871">
        <v>1500</v>
      </c>
      <c r="BM6871">
        <v>100</v>
      </c>
      <c r="BN6871">
        <v>30000</v>
      </c>
      <c r="BO6871" s="30">
        <v>64</v>
      </c>
      <c r="BP6871">
        <v>1326.12</v>
      </c>
      <c r="BQ6871">
        <v>800</v>
      </c>
      <c r="BR6871">
        <v>50</v>
      </c>
      <c r="BS6871">
        <v>10000</v>
      </c>
      <c r="BT6871" s="30">
        <v>128</v>
      </c>
      <c r="BU6871">
        <v>3283.52</v>
      </c>
      <c r="BV6871">
        <v>3500</v>
      </c>
      <c r="BW6871">
        <v>100</v>
      </c>
      <c r="BX6871">
        <v>8000</v>
      </c>
      <c r="BY6871" s="30">
        <v>24</v>
      </c>
      <c r="BZ6871">
        <v>243</v>
      </c>
    </row>
    <row r="6872" spans="1:78" x14ac:dyDescent="0.35">
      <c r="A6872" t="s">
        <v>230</v>
      </c>
      <c r="B6872" t="s">
        <v>372</v>
      </c>
      <c r="C6872">
        <v>5169.6099999999997</v>
      </c>
      <c r="D6872">
        <v>5000</v>
      </c>
      <c r="E6872">
        <v>400</v>
      </c>
      <c r="F6872">
        <v>20000</v>
      </c>
      <c r="G6872" s="30">
        <v>127</v>
      </c>
      <c r="H6872">
        <v>2684.25</v>
      </c>
      <c r="I6872">
        <v>2500</v>
      </c>
      <c r="J6872">
        <v>200</v>
      </c>
      <c r="K6872">
        <v>10000</v>
      </c>
      <c r="L6872" s="30">
        <v>42</v>
      </c>
      <c r="M6872">
        <v>3683.67</v>
      </c>
      <c r="N6872">
        <v>4000</v>
      </c>
      <c r="O6872">
        <v>1000</v>
      </c>
      <c r="P6872">
        <v>11000</v>
      </c>
      <c r="Q6872" s="30">
        <v>13</v>
      </c>
      <c r="R6872">
        <v>532.91999999999996</v>
      </c>
      <c r="S6872">
        <v>400</v>
      </c>
      <c r="T6872">
        <v>50</v>
      </c>
      <c r="U6872">
        <v>3000</v>
      </c>
      <c r="V6872" s="30">
        <v>58</v>
      </c>
      <c r="W6872">
        <v>660.07</v>
      </c>
      <c r="X6872">
        <v>500</v>
      </c>
      <c r="Y6872">
        <v>50</v>
      </c>
      <c r="Z6872">
        <v>3000</v>
      </c>
      <c r="AA6872" s="30">
        <v>47</v>
      </c>
      <c r="AB6872">
        <v>910.59</v>
      </c>
      <c r="AC6872">
        <v>500</v>
      </c>
      <c r="AD6872">
        <v>100</v>
      </c>
      <c r="AE6872">
        <v>5000</v>
      </c>
      <c r="AF6872" s="30">
        <v>88</v>
      </c>
      <c r="AG6872">
        <v>527.86</v>
      </c>
      <c r="AH6872">
        <v>500</v>
      </c>
      <c r="AI6872">
        <v>100</v>
      </c>
      <c r="AJ6872">
        <v>3200</v>
      </c>
      <c r="AK6872" s="30">
        <v>52</v>
      </c>
      <c r="AL6872">
        <v>1900.77</v>
      </c>
      <c r="AM6872">
        <v>1666</v>
      </c>
      <c r="AN6872">
        <v>300</v>
      </c>
      <c r="AO6872">
        <v>9100</v>
      </c>
      <c r="AP6872" s="30">
        <v>113</v>
      </c>
      <c r="AQ6872">
        <v>1087.83</v>
      </c>
      <c r="AR6872">
        <v>500</v>
      </c>
      <c r="AS6872">
        <v>50</v>
      </c>
      <c r="AT6872">
        <v>10000</v>
      </c>
      <c r="AU6872" s="30">
        <v>73</v>
      </c>
      <c r="AV6872">
        <v>906.54</v>
      </c>
      <c r="AW6872">
        <v>1000</v>
      </c>
      <c r="AX6872">
        <v>200</v>
      </c>
      <c r="AY6872">
        <v>1300</v>
      </c>
      <c r="AZ6872" s="30">
        <v>12</v>
      </c>
      <c r="BA6872">
        <v>618.54</v>
      </c>
      <c r="BB6872">
        <v>520</v>
      </c>
      <c r="BC6872">
        <v>100</v>
      </c>
      <c r="BD6872">
        <v>2000</v>
      </c>
      <c r="BE6872" s="30">
        <v>123</v>
      </c>
      <c r="BF6872">
        <v>2674.04</v>
      </c>
      <c r="BG6872">
        <v>4000</v>
      </c>
      <c r="BH6872">
        <v>1000</v>
      </c>
      <c r="BI6872">
        <v>10000</v>
      </c>
      <c r="BJ6872" s="30">
        <v>7</v>
      </c>
      <c r="BK6872">
        <v>2618.5500000000002</v>
      </c>
      <c r="BL6872">
        <v>3000</v>
      </c>
      <c r="BM6872">
        <v>300</v>
      </c>
      <c r="BN6872">
        <v>10000</v>
      </c>
      <c r="BO6872" s="30">
        <v>13</v>
      </c>
      <c r="BP6872">
        <v>1108.4100000000001</v>
      </c>
      <c r="BQ6872">
        <v>600</v>
      </c>
      <c r="BR6872">
        <v>50</v>
      </c>
      <c r="BS6872">
        <v>9000</v>
      </c>
      <c r="BT6872" s="30">
        <v>74</v>
      </c>
      <c r="BU6872">
        <v>3069.53</v>
      </c>
      <c r="BV6872">
        <v>3300</v>
      </c>
      <c r="BW6872">
        <v>200</v>
      </c>
      <c r="BX6872">
        <v>6500</v>
      </c>
      <c r="BY6872" s="30">
        <v>7</v>
      </c>
      <c r="BZ6872">
        <v>127</v>
      </c>
    </row>
    <row r="6873" spans="1:78" x14ac:dyDescent="0.35">
      <c r="A6873" t="s">
        <v>230</v>
      </c>
      <c r="B6873" t="s">
        <v>373</v>
      </c>
      <c r="C6873">
        <v>7430.38</v>
      </c>
      <c r="D6873">
        <v>5000</v>
      </c>
      <c r="E6873">
        <v>200</v>
      </c>
      <c r="F6873">
        <v>20000</v>
      </c>
      <c r="G6873" s="30">
        <v>129</v>
      </c>
      <c r="H6873">
        <v>3613.55</v>
      </c>
      <c r="I6873">
        <v>3000</v>
      </c>
      <c r="J6873">
        <v>100</v>
      </c>
      <c r="K6873">
        <v>20000</v>
      </c>
      <c r="L6873" s="30">
        <v>60</v>
      </c>
      <c r="M6873">
        <v>5640</v>
      </c>
      <c r="N6873">
        <v>5500</v>
      </c>
      <c r="O6873">
        <v>2000</v>
      </c>
      <c r="P6873">
        <v>12000</v>
      </c>
      <c r="Q6873" s="30">
        <v>15</v>
      </c>
      <c r="R6873">
        <v>482.41</v>
      </c>
      <c r="S6873">
        <v>450</v>
      </c>
      <c r="T6873">
        <v>50</v>
      </c>
      <c r="U6873">
        <v>2000</v>
      </c>
      <c r="V6873" s="30">
        <v>63</v>
      </c>
      <c r="W6873">
        <v>431.77</v>
      </c>
      <c r="X6873">
        <v>300</v>
      </c>
      <c r="Y6873">
        <v>80</v>
      </c>
      <c r="Z6873">
        <v>2000</v>
      </c>
      <c r="AA6873" s="30">
        <v>63</v>
      </c>
      <c r="AB6873">
        <v>746.35</v>
      </c>
      <c r="AC6873">
        <v>500</v>
      </c>
      <c r="AD6873">
        <v>100</v>
      </c>
      <c r="AE6873">
        <v>5000</v>
      </c>
      <c r="AF6873" s="30">
        <v>101</v>
      </c>
      <c r="AG6873">
        <v>684.04</v>
      </c>
      <c r="AH6873">
        <v>400</v>
      </c>
      <c r="AI6873">
        <v>100</v>
      </c>
      <c r="AJ6873">
        <v>5000</v>
      </c>
      <c r="AK6873" s="30">
        <v>38</v>
      </c>
      <c r="AL6873">
        <v>2012.94</v>
      </c>
      <c r="AM6873">
        <v>2000</v>
      </c>
      <c r="AN6873">
        <v>450</v>
      </c>
      <c r="AO6873">
        <v>5000</v>
      </c>
      <c r="AP6873" s="30">
        <v>136</v>
      </c>
      <c r="AQ6873">
        <v>2578.91</v>
      </c>
      <c r="AR6873">
        <v>1000</v>
      </c>
      <c r="AS6873">
        <v>100</v>
      </c>
      <c r="AT6873">
        <v>30000</v>
      </c>
      <c r="AU6873" s="30">
        <v>87</v>
      </c>
      <c r="AV6873">
        <v>781.03</v>
      </c>
      <c r="AW6873">
        <v>1000</v>
      </c>
      <c r="AX6873">
        <v>100</v>
      </c>
      <c r="AY6873">
        <v>1000</v>
      </c>
      <c r="AZ6873" s="30">
        <v>11</v>
      </c>
      <c r="BA6873">
        <v>622.98</v>
      </c>
      <c r="BB6873">
        <v>600</v>
      </c>
      <c r="BC6873">
        <v>100</v>
      </c>
      <c r="BD6873">
        <v>2000</v>
      </c>
      <c r="BE6873" s="30">
        <v>135</v>
      </c>
      <c r="BF6873">
        <v>2587.81</v>
      </c>
      <c r="BG6873">
        <v>3000</v>
      </c>
      <c r="BH6873">
        <v>400</v>
      </c>
      <c r="BI6873">
        <v>5000</v>
      </c>
      <c r="BJ6873" s="30">
        <v>7</v>
      </c>
      <c r="BK6873">
        <v>3741.41</v>
      </c>
      <c r="BL6873">
        <v>3000</v>
      </c>
      <c r="BM6873">
        <v>300</v>
      </c>
      <c r="BN6873">
        <v>10000</v>
      </c>
      <c r="BO6873" s="30">
        <v>24</v>
      </c>
      <c r="BP6873">
        <v>1322.63</v>
      </c>
      <c r="BQ6873">
        <v>800</v>
      </c>
      <c r="BR6873">
        <v>50</v>
      </c>
      <c r="BS6873">
        <v>16000</v>
      </c>
      <c r="BT6873" s="30">
        <v>74</v>
      </c>
      <c r="BU6873">
        <v>3250</v>
      </c>
      <c r="BV6873">
        <v>1500</v>
      </c>
      <c r="BW6873">
        <v>1500</v>
      </c>
      <c r="BX6873">
        <v>5000</v>
      </c>
      <c r="BY6873" s="30">
        <v>2</v>
      </c>
      <c r="BZ6873">
        <v>136</v>
      </c>
    </row>
    <row r="6874" spans="1:78" x14ac:dyDescent="0.35">
      <c r="A6874" t="s">
        <v>231</v>
      </c>
      <c r="B6874" t="s">
        <v>371</v>
      </c>
      <c r="C6874">
        <v>7451.43</v>
      </c>
      <c r="D6874">
        <v>5000</v>
      </c>
      <c r="E6874">
        <v>500</v>
      </c>
      <c r="F6874">
        <v>30000</v>
      </c>
      <c r="G6874" s="30">
        <v>140</v>
      </c>
      <c r="H6874">
        <v>4215.1899999999996</v>
      </c>
      <c r="I6874">
        <v>3000</v>
      </c>
      <c r="J6874">
        <v>100</v>
      </c>
      <c r="K6874">
        <v>24000</v>
      </c>
      <c r="L6874" s="30">
        <v>79</v>
      </c>
      <c r="M6874">
        <v>5760.17</v>
      </c>
      <c r="N6874">
        <v>5000</v>
      </c>
      <c r="O6874">
        <v>500</v>
      </c>
      <c r="P6874">
        <v>13000</v>
      </c>
      <c r="Q6874" s="30">
        <v>24</v>
      </c>
      <c r="R6874">
        <v>477.79</v>
      </c>
      <c r="S6874">
        <v>300</v>
      </c>
      <c r="T6874">
        <v>50</v>
      </c>
      <c r="U6874">
        <v>2500</v>
      </c>
      <c r="V6874" s="30">
        <v>68</v>
      </c>
      <c r="W6874">
        <v>623.26</v>
      </c>
      <c r="X6874">
        <v>500</v>
      </c>
      <c r="Y6874">
        <v>50</v>
      </c>
      <c r="Z6874">
        <v>2000</v>
      </c>
      <c r="AA6874" s="30">
        <v>80</v>
      </c>
      <c r="AB6874">
        <v>874.8</v>
      </c>
      <c r="AC6874">
        <v>500</v>
      </c>
      <c r="AD6874">
        <v>100</v>
      </c>
      <c r="AE6874">
        <v>5000</v>
      </c>
      <c r="AF6874" s="30">
        <v>119</v>
      </c>
      <c r="AG6874">
        <v>665.63</v>
      </c>
      <c r="AH6874">
        <v>500</v>
      </c>
      <c r="AI6874">
        <v>100</v>
      </c>
      <c r="AJ6874">
        <v>3000</v>
      </c>
      <c r="AK6874" s="30">
        <v>64</v>
      </c>
      <c r="AL6874">
        <v>2038.35</v>
      </c>
      <c r="AM6874">
        <v>2000</v>
      </c>
      <c r="AN6874">
        <v>300</v>
      </c>
      <c r="AO6874">
        <v>6000</v>
      </c>
      <c r="AP6874" s="30">
        <v>136</v>
      </c>
      <c r="AQ6874">
        <v>1853.27</v>
      </c>
      <c r="AR6874">
        <v>1000</v>
      </c>
      <c r="AS6874">
        <v>50</v>
      </c>
      <c r="AT6874">
        <v>30000</v>
      </c>
      <c r="AU6874" s="30">
        <v>104</v>
      </c>
      <c r="AV6874">
        <v>526.19000000000005</v>
      </c>
      <c r="AW6874">
        <v>500</v>
      </c>
      <c r="AX6874">
        <v>100</v>
      </c>
      <c r="AY6874">
        <v>1500</v>
      </c>
      <c r="AZ6874" s="30">
        <v>21</v>
      </c>
      <c r="BA6874">
        <v>600.23</v>
      </c>
      <c r="BB6874">
        <v>500</v>
      </c>
      <c r="BC6874">
        <v>50</v>
      </c>
      <c r="BD6874">
        <v>2000</v>
      </c>
      <c r="BE6874" s="30">
        <v>149</v>
      </c>
      <c r="BF6874">
        <v>3000</v>
      </c>
      <c r="BG6874">
        <v>3000</v>
      </c>
      <c r="BH6874">
        <v>300</v>
      </c>
      <c r="BI6874">
        <v>10000</v>
      </c>
      <c r="BJ6874" s="30">
        <v>9</v>
      </c>
      <c r="BK6874">
        <v>4872.37</v>
      </c>
      <c r="BL6874">
        <v>2000</v>
      </c>
      <c r="BM6874">
        <v>200</v>
      </c>
      <c r="BN6874">
        <v>30000</v>
      </c>
      <c r="BO6874" s="30">
        <v>38</v>
      </c>
      <c r="BP6874">
        <v>1403.94</v>
      </c>
      <c r="BQ6874">
        <v>500</v>
      </c>
      <c r="BR6874">
        <v>50</v>
      </c>
      <c r="BS6874">
        <v>15000</v>
      </c>
      <c r="BT6874" s="30">
        <v>71</v>
      </c>
      <c r="BU6874">
        <v>2766.67</v>
      </c>
      <c r="BV6874">
        <v>1200</v>
      </c>
      <c r="BW6874">
        <v>200</v>
      </c>
      <c r="BX6874">
        <v>10000</v>
      </c>
      <c r="BY6874" s="30">
        <v>9</v>
      </c>
      <c r="BZ6874">
        <v>149</v>
      </c>
    </row>
    <row r="6875" spans="1:78" x14ac:dyDescent="0.35">
      <c r="A6875" t="s">
        <v>232</v>
      </c>
      <c r="B6875" t="s">
        <v>232</v>
      </c>
      <c r="C6875">
        <v>7868.72</v>
      </c>
      <c r="D6875">
        <v>6000</v>
      </c>
      <c r="E6875">
        <v>200</v>
      </c>
      <c r="F6875">
        <v>30000</v>
      </c>
      <c r="G6875" s="30">
        <v>2369</v>
      </c>
      <c r="H6875">
        <v>4052.31</v>
      </c>
      <c r="I6875">
        <v>3000</v>
      </c>
      <c r="J6875">
        <v>100</v>
      </c>
      <c r="K6875">
        <v>60000</v>
      </c>
      <c r="L6875" s="30">
        <v>1077</v>
      </c>
      <c r="M6875">
        <v>5938.14</v>
      </c>
      <c r="N6875">
        <v>5000</v>
      </c>
      <c r="O6875">
        <v>183</v>
      </c>
      <c r="P6875">
        <v>16000</v>
      </c>
      <c r="Q6875" s="30">
        <v>345</v>
      </c>
      <c r="R6875">
        <v>468.12</v>
      </c>
      <c r="S6875">
        <v>300</v>
      </c>
      <c r="T6875">
        <v>50</v>
      </c>
      <c r="U6875">
        <v>3000</v>
      </c>
      <c r="V6875" s="30">
        <v>1180</v>
      </c>
      <c r="W6875">
        <v>542.04</v>
      </c>
      <c r="X6875">
        <v>401</v>
      </c>
      <c r="Y6875">
        <v>30</v>
      </c>
      <c r="Z6875">
        <v>3000</v>
      </c>
      <c r="AA6875" s="30">
        <v>1265</v>
      </c>
      <c r="AB6875">
        <v>868.78</v>
      </c>
      <c r="AC6875">
        <v>500</v>
      </c>
      <c r="AD6875">
        <v>100</v>
      </c>
      <c r="AE6875">
        <v>5000</v>
      </c>
      <c r="AF6875" s="30">
        <v>1926</v>
      </c>
      <c r="AG6875">
        <v>667.4</v>
      </c>
      <c r="AH6875">
        <v>500</v>
      </c>
      <c r="AI6875">
        <v>100</v>
      </c>
      <c r="AJ6875">
        <v>5000</v>
      </c>
      <c r="AK6875" s="30">
        <v>856</v>
      </c>
      <c r="AL6875">
        <v>2130.96</v>
      </c>
      <c r="AM6875">
        <v>2000</v>
      </c>
      <c r="AN6875">
        <v>300</v>
      </c>
      <c r="AO6875">
        <v>9100</v>
      </c>
      <c r="AP6875" s="30">
        <v>2431</v>
      </c>
      <c r="AQ6875">
        <v>2285.5300000000002</v>
      </c>
      <c r="AR6875">
        <v>1000</v>
      </c>
      <c r="AS6875">
        <v>50</v>
      </c>
      <c r="AT6875">
        <v>30000</v>
      </c>
      <c r="AU6875" s="30">
        <v>1520</v>
      </c>
      <c r="AV6875">
        <v>776.74</v>
      </c>
      <c r="AW6875">
        <v>500</v>
      </c>
      <c r="AX6875">
        <v>100</v>
      </c>
      <c r="AY6875">
        <v>3000</v>
      </c>
      <c r="AZ6875" s="30">
        <v>266</v>
      </c>
      <c r="BA6875">
        <v>615.85</v>
      </c>
      <c r="BB6875">
        <v>500</v>
      </c>
      <c r="BC6875">
        <v>50</v>
      </c>
      <c r="BD6875">
        <v>2800</v>
      </c>
      <c r="BE6875" s="30">
        <v>2479</v>
      </c>
      <c r="BF6875">
        <v>3040.04</v>
      </c>
      <c r="BG6875">
        <v>2000</v>
      </c>
      <c r="BH6875">
        <v>200</v>
      </c>
      <c r="BI6875">
        <v>10000</v>
      </c>
      <c r="BJ6875" s="30">
        <v>132</v>
      </c>
      <c r="BK6875">
        <v>4895.0200000000004</v>
      </c>
      <c r="BL6875">
        <v>2000</v>
      </c>
      <c r="BM6875">
        <v>100</v>
      </c>
      <c r="BN6875">
        <v>30000</v>
      </c>
      <c r="BO6875" s="30">
        <v>461</v>
      </c>
      <c r="BP6875">
        <v>1288.5999999999999</v>
      </c>
      <c r="BQ6875">
        <v>600</v>
      </c>
      <c r="BR6875">
        <v>50</v>
      </c>
      <c r="BS6875">
        <v>30000</v>
      </c>
      <c r="BT6875" s="30">
        <v>1296</v>
      </c>
      <c r="BU6875">
        <v>3251.2</v>
      </c>
      <c r="BV6875">
        <v>2500</v>
      </c>
      <c r="BW6875">
        <v>100</v>
      </c>
      <c r="BX6875">
        <v>10000</v>
      </c>
      <c r="BY6875" s="30">
        <v>124</v>
      </c>
      <c r="BZ6875">
        <v>2479</v>
      </c>
    </row>
    <row r="6877" spans="1:78" x14ac:dyDescent="0.35">
      <c r="A6877" s="1" t="s">
        <v>974</v>
      </c>
    </row>
    <row r="6878" spans="1:78" x14ac:dyDescent="0.35">
      <c r="A6878" t="s">
        <v>219</v>
      </c>
      <c r="B6878" t="s">
        <v>305</v>
      </c>
      <c r="C6878" t="s">
        <v>889</v>
      </c>
      <c r="D6878" t="s">
        <v>890</v>
      </c>
      <c r="E6878" t="s">
        <v>891</v>
      </c>
      <c r="F6878" t="s">
        <v>892</v>
      </c>
      <c r="G6878" t="s">
        <v>893</v>
      </c>
      <c r="H6878" t="s">
        <v>894</v>
      </c>
      <c r="I6878" t="s">
        <v>895</v>
      </c>
      <c r="J6878" t="s">
        <v>896</v>
      </c>
      <c r="K6878" t="s">
        <v>897</v>
      </c>
      <c r="L6878" t="s">
        <v>898</v>
      </c>
      <c r="M6878" t="s">
        <v>899</v>
      </c>
      <c r="N6878" t="s">
        <v>900</v>
      </c>
      <c r="O6878" t="s">
        <v>901</v>
      </c>
      <c r="P6878" t="s">
        <v>902</v>
      </c>
      <c r="Q6878" t="s">
        <v>903</v>
      </c>
      <c r="R6878" t="s">
        <v>904</v>
      </c>
      <c r="S6878" t="s">
        <v>905</v>
      </c>
      <c r="T6878" t="s">
        <v>906</v>
      </c>
      <c r="U6878" t="s">
        <v>907</v>
      </c>
      <c r="V6878" t="s">
        <v>908</v>
      </c>
      <c r="W6878" t="s">
        <v>909</v>
      </c>
      <c r="X6878" t="s">
        <v>910</v>
      </c>
      <c r="Y6878" t="s">
        <v>911</v>
      </c>
      <c r="Z6878" t="s">
        <v>912</v>
      </c>
      <c r="AA6878" t="s">
        <v>913</v>
      </c>
      <c r="AB6878" t="s">
        <v>914</v>
      </c>
      <c r="AC6878" t="s">
        <v>915</v>
      </c>
      <c r="AD6878" t="s">
        <v>916</v>
      </c>
      <c r="AE6878" t="s">
        <v>917</v>
      </c>
      <c r="AF6878" t="s">
        <v>918</v>
      </c>
      <c r="AG6878" t="s">
        <v>919</v>
      </c>
      <c r="AH6878" t="s">
        <v>920</v>
      </c>
      <c r="AI6878" t="s">
        <v>921</v>
      </c>
      <c r="AJ6878" t="s">
        <v>922</v>
      </c>
      <c r="AK6878" t="s">
        <v>923</v>
      </c>
      <c r="AL6878" t="s">
        <v>924</v>
      </c>
      <c r="AM6878" t="s">
        <v>925</v>
      </c>
      <c r="AN6878" t="s">
        <v>926</v>
      </c>
      <c r="AO6878" t="s">
        <v>927</v>
      </c>
      <c r="AP6878" t="s">
        <v>928</v>
      </c>
      <c r="AQ6878" t="s">
        <v>929</v>
      </c>
      <c r="AR6878" t="s">
        <v>930</v>
      </c>
      <c r="AS6878" t="s">
        <v>931</v>
      </c>
      <c r="AT6878" t="s">
        <v>932</v>
      </c>
      <c r="AU6878" t="s">
        <v>933</v>
      </c>
      <c r="AV6878" t="s">
        <v>934</v>
      </c>
      <c r="AW6878" t="s">
        <v>935</v>
      </c>
      <c r="AX6878" t="s">
        <v>936</v>
      </c>
      <c r="AY6878" t="s">
        <v>937</v>
      </c>
      <c r="AZ6878" t="s">
        <v>938</v>
      </c>
      <c r="BA6878" t="s">
        <v>939</v>
      </c>
      <c r="BB6878" t="s">
        <v>940</v>
      </c>
      <c r="BC6878" t="s">
        <v>941</v>
      </c>
      <c r="BD6878" t="s">
        <v>942</v>
      </c>
      <c r="BE6878" t="s">
        <v>943</v>
      </c>
      <c r="BF6878" t="s">
        <v>944</v>
      </c>
      <c r="BG6878" t="s">
        <v>945</v>
      </c>
      <c r="BH6878" t="s">
        <v>946</v>
      </c>
      <c r="BI6878" t="s">
        <v>947</v>
      </c>
      <c r="BJ6878" t="s">
        <v>948</v>
      </c>
      <c r="BK6878" t="s">
        <v>949</v>
      </c>
      <c r="BL6878" t="s">
        <v>950</v>
      </c>
      <c r="BM6878" t="s">
        <v>951</v>
      </c>
      <c r="BN6878" t="s">
        <v>952</v>
      </c>
      <c r="BO6878" t="s">
        <v>953</v>
      </c>
      <c r="BP6878" t="s">
        <v>954</v>
      </c>
      <c r="BQ6878" t="s">
        <v>955</v>
      </c>
      <c r="BR6878" t="s">
        <v>956</v>
      </c>
      <c r="BS6878" t="s">
        <v>957</v>
      </c>
      <c r="BT6878" t="s">
        <v>958</v>
      </c>
      <c r="BU6878" t="s">
        <v>959</v>
      </c>
      <c r="BV6878" t="s">
        <v>960</v>
      </c>
      <c r="BW6878" t="s">
        <v>961</v>
      </c>
      <c r="BX6878" t="s">
        <v>962</v>
      </c>
      <c r="BY6878" t="s">
        <v>963</v>
      </c>
      <c r="BZ6878" t="s">
        <v>964</v>
      </c>
    </row>
    <row r="6879" spans="1:78" x14ac:dyDescent="0.35">
      <c r="A6879" t="s">
        <v>227</v>
      </c>
      <c r="B6879" t="s">
        <v>255</v>
      </c>
      <c r="C6879">
        <v>5498.1</v>
      </c>
      <c r="D6879">
        <v>4000</v>
      </c>
      <c r="E6879">
        <v>500</v>
      </c>
      <c r="F6879">
        <v>30000</v>
      </c>
      <c r="G6879" s="30">
        <v>103</v>
      </c>
      <c r="H6879">
        <v>4131.0600000000004</v>
      </c>
      <c r="I6879">
        <v>2000</v>
      </c>
      <c r="J6879">
        <v>119</v>
      </c>
      <c r="K6879">
        <v>30000</v>
      </c>
      <c r="L6879" s="30">
        <v>36</v>
      </c>
      <c r="M6879">
        <v>4310</v>
      </c>
      <c r="N6879">
        <v>4200</v>
      </c>
      <c r="O6879">
        <v>1000</v>
      </c>
      <c r="P6879">
        <v>8000</v>
      </c>
      <c r="Q6879" s="30">
        <v>20</v>
      </c>
      <c r="R6879">
        <v>271.61</v>
      </c>
      <c r="S6879">
        <v>200</v>
      </c>
      <c r="T6879">
        <v>50</v>
      </c>
      <c r="U6879">
        <v>1000</v>
      </c>
      <c r="V6879" s="30">
        <v>56</v>
      </c>
      <c r="W6879">
        <v>440.49</v>
      </c>
      <c r="X6879">
        <v>300</v>
      </c>
      <c r="Y6879">
        <v>50</v>
      </c>
      <c r="Z6879">
        <v>2000</v>
      </c>
      <c r="AA6879" s="30">
        <v>43</v>
      </c>
      <c r="AB6879">
        <v>623.12</v>
      </c>
      <c r="AC6879">
        <v>500</v>
      </c>
      <c r="AD6879">
        <v>100</v>
      </c>
      <c r="AE6879">
        <v>2646</v>
      </c>
      <c r="AF6879" s="30">
        <v>82</v>
      </c>
      <c r="AG6879">
        <v>584.26</v>
      </c>
      <c r="AH6879">
        <v>300</v>
      </c>
      <c r="AI6879">
        <v>100</v>
      </c>
      <c r="AJ6879">
        <v>3000</v>
      </c>
      <c r="AK6879" s="30">
        <v>31</v>
      </c>
      <c r="AL6879">
        <v>1734.17</v>
      </c>
      <c r="AM6879">
        <v>1500</v>
      </c>
      <c r="AN6879">
        <v>350</v>
      </c>
      <c r="AO6879">
        <v>8000</v>
      </c>
      <c r="AP6879" s="30">
        <v>105</v>
      </c>
      <c r="AQ6879">
        <v>2742.42</v>
      </c>
      <c r="AR6879">
        <v>1000</v>
      </c>
      <c r="AS6879">
        <v>50</v>
      </c>
      <c r="AT6879">
        <v>30000</v>
      </c>
      <c r="AU6879" s="30">
        <v>67</v>
      </c>
      <c r="AV6879">
        <v>1225</v>
      </c>
      <c r="AW6879">
        <v>1000</v>
      </c>
      <c r="AX6879">
        <v>500</v>
      </c>
      <c r="AY6879">
        <v>2500</v>
      </c>
      <c r="AZ6879" s="30">
        <v>10</v>
      </c>
      <c r="BA6879">
        <v>473.18</v>
      </c>
      <c r="BB6879">
        <v>450</v>
      </c>
      <c r="BC6879">
        <v>100</v>
      </c>
      <c r="BD6879">
        <v>2000</v>
      </c>
      <c r="BE6879" s="30">
        <v>105</v>
      </c>
      <c r="BF6879">
        <v>4125</v>
      </c>
      <c r="BG6879">
        <v>3000</v>
      </c>
      <c r="BH6879">
        <v>2000</v>
      </c>
      <c r="BI6879">
        <v>6500</v>
      </c>
      <c r="BJ6879" s="30">
        <v>4</v>
      </c>
      <c r="BK6879">
        <v>5606.67</v>
      </c>
      <c r="BL6879">
        <v>1800</v>
      </c>
      <c r="BM6879">
        <v>300</v>
      </c>
      <c r="BN6879">
        <v>25000</v>
      </c>
      <c r="BO6879" s="30">
        <v>15</v>
      </c>
      <c r="BP6879">
        <v>838</v>
      </c>
      <c r="BQ6879">
        <v>400</v>
      </c>
      <c r="BR6879">
        <v>50</v>
      </c>
      <c r="BS6879">
        <v>3500</v>
      </c>
      <c r="BT6879" s="30">
        <v>62</v>
      </c>
      <c r="BU6879">
        <v>4075</v>
      </c>
      <c r="BV6879">
        <v>3500</v>
      </c>
      <c r="BW6879">
        <v>700</v>
      </c>
      <c r="BX6879">
        <v>7500</v>
      </c>
      <c r="BY6879" s="30">
        <v>10</v>
      </c>
      <c r="BZ6879">
        <v>105</v>
      </c>
    </row>
    <row r="6880" spans="1:78" x14ac:dyDescent="0.35">
      <c r="A6880" t="s">
        <v>227</v>
      </c>
      <c r="B6880" t="s">
        <v>256</v>
      </c>
      <c r="C6880">
        <v>7335.48</v>
      </c>
      <c r="D6880">
        <v>7000</v>
      </c>
      <c r="E6880">
        <v>1500</v>
      </c>
      <c r="F6880">
        <v>15000</v>
      </c>
      <c r="G6880" s="30">
        <v>31</v>
      </c>
      <c r="H6880">
        <v>2489.58</v>
      </c>
      <c r="I6880">
        <v>2000</v>
      </c>
      <c r="J6880">
        <v>250</v>
      </c>
      <c r="K6880">
        <v>6000</v>
      </c>
      <c r="L6880" s="30">
        <v>24</v>
      </c>
      <c r="M6880">
        <v>4875</v>
      </c>
      <c r="N6880">
        <v>4500</v>
      </c>
      <c r="O6880">
        <v>2000</v>
      </c>
      <c r="P6880">
        <v>8000</v>
      </c>
      <c r="Q6880" s="30">
        <v>4</v>
      </c>
      <c r="R6880">
        <v>517.73</v>
      </c>
      <c r="S6880">
        <v>350</v>
      </c>
      <c r="T6880">
        <v>100</v>
      </c>
      <c r="U6880">
        <v>2000</v>
      </c>
      <c r="V6880" s="30">
        <v>22</v>
      </c>
      <c r="W6880">
        <v>727.93</v>
      </c>
      <c r="X6880">
        <v>500</v>
      </c>
      <c r="Y6880">
        <v>50</v>
      </c>
      <c r="Z6880">
        <v>2000</v>
      </c>
      <c r="AA6880" s="30">
        <v>29</v>
      </c>
      <c r="AB6880">
        <v>1131.67</v>
      </c>
      <c r="AC6880">
        <v>1000</v>
      </c>
      <c r="AD6880">
        <v>100</v>
      </c>
      <c r="AE6880">
        <v>5000</v>
      </c>
      <c r="AF6880" s="30">
        <v>30</v>
      </c>
      <c r="AG6880">
        <v>666.67</v>
      </c>
      <c r="AH6880">
        <v>500</v>
      </c>
      <c r="AI6880">
        <v>100</v>
      </c>
      <c r="AJ6880">
        <v>4000</v>
      </c>
      <c r="AK6880" s="30">
        <v>15</v>
      </c>
      <c r="AL6880">
        <v>2345.59</v>
      </c>
      <c r="AM6880">
        <v>2000</v>
      </c>
      <c r="AN6880">
        <v>1000</v>
      </c>
      <c r="AO6880">
        <v>5500</v>
      </c>
      <c r="AP6880" s="30">
        <v>34</v>
      </c>
      <c r="AQ6880">
        <v>2425</v>
      </c>
      <c r="AR6880">
        <v>1500</v>
      </c>
      <c r="AS6880">
        <v>150</v>
      </c>
      <c r="AT6880">
        <v>9000</v>
      </c>
      <c r="AU6880" s="30">
        <v>28</v>
      </c>
      <c r="AV6880">
        <v>1148.8900000000001</v>
      </c>
      <c r="AW6880">
        <v>1200</v>
      </c>
      <c r="AX6880">
        <v>200</v>
      </c>
      <c r="AY6880">
        <v>3000</v>
      </c>
      <c r="AZ6880" s="30">
        <v>9</v>
      </c>
      <c r="BA6880">
        <v>808.55</v>
      </c>
      <c r="BB6880">
        <v>800</v>
      </c>
      <c r="BC6880">
        <v>240</v>
      </c>
      <c r="BD6880">
        <v>2500</v>
      </c>
      <c r="BE6880" s="30">
        <v>31</v>
      </c>
      <c r="BF6880">
        <v>1633.33</v>
      </c>
      <c r="BG6880">
        <v>2500</v>
      </c>
      <c r="BH6880">
        <v>400</v>
      </c>
      <c r="BI6880">
        <v>2500</v>
      </c>
      <c r="BJ6880" s="30">
        <v>3</v>
      </c>
      <c r="BK6880">
        <v>3075.8</v>
      </c>
      <c r="BL6880">
        <v>3000</v>
      </c>
      <c r="BM6880">
        <v>300</v>
      </c>
      <c r="BN6880">
        <v>8837</v>
      </c>
      <c r="BO6880" s="30">
        <v>15</v>
      </c>
      <c r="BP6880">
        <v>747.37</v>
      </c>
      <c r="BQ6880">
        <v>500</v>
      </c>
      <c r="BR6880">
        <v>200</v>
      </c>
      <c r="BS6880">
        <v>2400</v>
      </c>
      <c r="BT6880" s="30">
        <v>19</v>
      </c>
      <c r="BZ6880">
        <v>34</v>
      </c>
    </row>
    <row r="6881" spans="1:78" x14ac:dyDescent="0.35">
      <c r="A6881" s="27" t="s">
        <v>227</v>
      </c>
      <c r="B6881" s="27" t="s">
        <v>257</v>
      </c>
      <c r="C6881" s="29">
        <v>10000</v>
      </c>
      <c r="D6881" s="29">
        <v>8000</v>
      </c>
      <c r="E6881" s="29">
        <v>7000</v>
      </c>
      <c r="F6881" s="29">
        <v>15000</v>
      </c>
      <c r="G6881" s="29">
        <v>8</v>
      </c>
      <c r="H6881" s="29">
        <v>3833.33</v>
      </c>
      <c r="I6881" s="29">
        <v>5000</v>
      </c>
      <c r="J6881" s="29">
        <v>1000</v>
      </c>
      <c r="K6881" s="29">
        <v>5000</v>
      </c>
      <c r="L6881" s="29">
        <v>6</v>
      </c>
      <c r="M6881" s="29">
        <v>9000</v>
      </c>
      <c r="N6881" s="29">
        <v>6000</v>
      </c>
      <c r="O6881" s="29">
        <v>6000</v>
      </c>
      <c r="P6881" s="29">
        <v>12000</v>
      </c>
      <c r="Q6881" s="29">
        <v>2</v>
      </c>
      <c r="R6881" s="29">
        <v>513.33000000000004</v>
      </c>
      <c r="S6881" s="29">
        <v>1000</v>
      </c>
      <c r="T6881" s="29">
        <v>80</v>
      </c>
      <c r="U6881" s="29">
        <v>1000</v>
      </c>
      <c r="V6881" s="29">
        <v>6</v>
      </c>
      <c r="W6881" s="29">
        <v>343.57</v>
      </c>
      <c r="X6881" s="29">
        <v>500</v>
      </c>
      <c r="Y6881" s="29">
        <v>50</v>
      </c>
      <c r="Z6881" s="29">
        <v>1000</v>
      </c>
      <c r="AA6881" s="29">
        <v>7</v>
      </c>
      <c r="AB6881" s="29">
        <v>1044.44</v>
      </c>
      <c r="AC6881" s="29">
        <v>800</v>
      </c>
      <c r="AD6881" s="29">
        <v>300</v>
      </c>
      <c r="AE6881" s="29">
        <v>3000</v>
      </c>
      <c r="AF6881" s="29">
        <v>9</v>
      </c>
      <c r="AG6881" s="29">
        <v>565</v>
      </c>
      <c r="AH6881" s="29">
        <v>1000</v>
      </c>
      <c r="AI6881" s="29">
        <v>125</v>
      </c>
      <c r="AJ6881" s="29">
        <v>1000</v>
      </c>
      <c r="AK6881" s="29">
        <v>5</v>
      </c>
      <c r="AL6881" s="29">
        <v>1814.29</v>
      </c>
      <c r="AM6881" s="29">
        <v>2000</v>
      </c>
      <c r="AN6881" s="29">
        <v>800</v>
      </c>
      <c r="AO6881" s="29">
        <v>3500</v>
      </c>
      <c r="AP6881" s="29">
        <v>7</v>
      </c>
      <c r="AQ6881" s="29">
        <v>5350</v>
      </c>
      <c r="AR6881" s="29">
        <v>1000</v>
      </c>
      <c r="AS6881" s="29">
        <v>50</v>
      </c>
      <c r="AT6881" s="29">
        <v>30000</v>
      </c>
      <c r="AU6881" s="29">
        <v>6</v>
      </c>
      <c r="AV6881" s="29">
        <v>566.66999999999996</v>
      </c>
      <c r="AW6881" s="29">
        <v>1000</v>
      </c>
      <c r="AX6881" s="29">
        <v>200</v>
      </c>
      <c r="AY6881" s="29">
        <v>1000</v>
      </c>
      <c r="AZ6881" s="29">
        <v>3</v>
      </c>
      <c r="BA6881" s="29">
        <v>547.22</v>
      </c>
      <c r="BB6881" s="29">
        <v>600</v>
      </c>
      <c r="BC6881" s="29">
        <v>215</v>
      </c>
      <c r="BD6881" s="29">
        <v>1000</v>
      </c>
      <c r="BE6881" s="29">
        <v>9</v>
      </c>
      <c r="BF6881" s="29">
        <v>2000</v>
      </c>
      <c r="BG6881" s="29">
        <v>2000</v>
      </c>
      <c r="BH6881" s="29">
        <v>2000</v>
      </c>
      <c r="BI6881" s="29">
        <v>2000</v>
      </c>
      <c r="BJ6881" s="29">
        <v>1</v>
      </c>
      <c r="BK6881" s="29">
        <v>3925</v>
      </c>
      <c r="BL6881" s="29">
        <v>1700</v>
      </c>
      <c r="BM6881" s="29">
        <v>1000</v>
      </c>
      <c r="BN6881" s="29">
        <v>7000</v>
      </c>
      <c r="BO6881" s="29">
        <v>4</v>
      </c>
      <c r="BP6881" s="29">
        <v>368.75</v>
      </c>
      <c r="BQ6881" s="29">
        <v>200</v>
      </c>
      <c r="BR6881" s="29">
        <v>50</v>
      </c>
      <c r="BS6881" s="29">
        <v>1000</v>
      </c>
      <c r="BT6881" s="29">
        <v>8</v>
      </c>
      <c r="BU6881" s="29"/>
      <c r="BV6881" s="29"/>
      <c r="BW6881" s="29"/>
      <c r="BX6881" s="29"/>
      <c r="BY6881" s="29"/>
      <c r="BZ6881" s="29">
        <v>9</v>
      </c>
    </row>
    <row r="6882" spans="1:78" x14ac:dyDescent="0.35">
      <c r="A6882" t="s">
        <v>228</v>
      </c>
      <c r="B6882" t="s">
        <v>255</v>
      </c>
      <c r="C6882">
        <v>6306.99</v>
      </c>
      <c r="D6882">
        <v>5000</v>
      </c>
      <c r="E6882">
        <v>200</v>
      </c>
      <c r="F6882">
        <v>30000</v>
      </c>
      <c r="G6882" s="30">
        <v>598</v>
      </c>
      <c r="H6882">
        <v>3509.85</v>
      </c>
      <c r="I6882">
        <v>3000</v>
      </c>
      <c r="J6882">
        <v>100</v>
      </c>
      <c r="K6882">
        <v>30000</v>
      </c>
      <c r="L6882" s="30">
        <v>187</v>
      </c>
      <c r="M6882">
        <v>5860.05</v>
      </c>
      <c r="N6882">
        <v>5000</v>
      </c>
      <c r="O6882">
        <v>183</v>
      </c>
      <c r="P6882">
        <v>16000</v>
      </c>
      <c r="Q6882" s="30">
        <v>83</v>
      </c>
      <c r="R6882">
        <v>417.71</v>
      </c>
      <c r="S6882">
        <v>300</v>
      </c>
      <c r="T6882">
        <v>50</v>
      </c>
      <c r="U6882">
        <v>3000</v>
      </c>
      <c r="V6882" s="30">
        <v>301</v>
      </c>
      <c r="W6882">
        <v>413.6</v>
      </c>
      <c r="X6882">
        <v>300</v>
      </c>
      <c r="Y6882">
        <v>50</v>
      </c>
      <c r="Z6882">
        <v>3000</v>
      </c>
      <c r="AA6882" s="30">
        <v>236</v>
      </c>
      <c r="AB6882">
        <v>596.11</v>
      </c>
      <c r="AC6882">
        <v>500</v>
      </c>
      <c r="AD6882">
        <v>100</v>
      </c>
      <c r="AE6882">
        <v>5000</v>
      </c>
      <c r="AF6882" s="30">
        <v>433</v>
      </c>
      <c r="AG6882">
        <v>641.70000000000005</v>
      </c>
      <c r="AH6882">
        <v>500</v>
      </c>
      <c r="AI6882">
        <v>100</v>
      </c>
      <c r="AJ6882">
        <v>4000</v>
      </c>
      <c r="AK6882" s="30">
        <v>172</v>
      </c>
      <c r="AL6882">
        <v>1836.54</v>
      </c>
      <c r="AM6882">
        <v>1500</v>
      </c>
      <c r="AN6882">
        <v>300</v>
      </c>
      <c r="AO6882">
        <v>9000</v>
      </c>
      <c r="AP6882" s="30">
        <v>633</v>
      </c>
      <c r="AQ6882">
        <v>2236.66</v>
      </c>
      <c r="AR6882">
        <v>1000</v>
      </c>
      <c r="AS6882">
        <v>50</v>
      </c>
      <c r="AT6882">
        <v>30000</v>
      </c>
      <c r="AU6882" s="30">
        <v>317</v>
      </c>
      <c r="AV6882">
        <v>719.74</v>
      </c>
      <c r="AW6882">
        <v>600</v>
      </c>
      <c r="AX6882">
        <v>100</v>
      </c>
      <c r="AY6882">
        <v>3000</v>
      </c>
      <c r="AZ6882" s="30">
        <v>51</v>
      </c>
      <c r="BA6882">
        <v>529.46</v>
      </c>
      <c r="BB6882">
        <v>460</v>
      </c>
      <c r="BC6882">
        <v>85</v>
      </c>
      <c r="BD6882">
        <v>2800</v>
      </c>
      <c r="BE6882" s="30">
        <v>638</v>
      </c>
      <c r="BF6882">
        <v>2771.26</v>
      </c>
      <c r="BG6882">
        <v>2500</v>
      </c>
      <c r="BH6882">
        <v>600</v>
      </c>
      <c r="BI6882">
        <v>7000</v>
      </c>
      <c r="BJ6882" s="30">
        <v>22</v>
      </c>
      <c r="BK6882">
        <v>4323.59</v>
      </c>
      <c r="BL6882">
        <v>2000</v>
      </c>
      <c r="BM6882">
        <v>200</v>
      </c>
      <c r="BN6882">
        <v>28000</v>
      </c>
      <c r="BO6882" s="30">
        <v>60</v>
      </c>
      <c r="BP6882">
        <v>1136.3</v>
      </c>
      <c r="BQ6882">
        <v>600</v>
      </c>
      <c r="BR6882">
        <v>50</v>
      </c>
      <c r="BS6882">
        <v>20000</v>
      </c>
      <c r="BT6882" s="30">
        <v>308</v>
      </c>
      <c r="BU6882">
        <v>2170.33</v>
      </c>
      <c r="BV6882">
        <v>1500</v>
      </c>
      <c r="BW6882">
        <v>254</v>
      </c>
      <c r="BX6882">
        <v>7000</v>
      </c>
      <c r="BY6882" s="30">
        <v>29</v>
      </c>
      <c r="BZ6882">
        <v>638</v>
      </c>
    </row>
    <row r="6883" spans="1:78" x14ac:dyDescent="0.35">
      <c r="A6883" t="s">
        <v>228</v>
      </c>
      <c r="B6883" t="s">
        <v>256</v>
      </c>
      <c r="C6883">
        <v>12131.12</v>
      </c>
      <c r="D6883">
        <v>10000</v>
      </c>
      <c r="E6883">
        <v>3000</v>
      </c>
      <c r="F6883">
        <v>30000</v>
      </c>
      <c r="G6883" s="30">
        <v>177</v>
      </c>
      <c r="H6883">
        <v>4015.36</v>
      </c>
      <c r="I6883">
        <v>3000</v>
      </c>
      <c r="J6883">
        <v>200</v>
      </c>
      <c r="K6883">
        <v>15000</v>
      </c>
      <c r="L6883" s="30">
        <v>112</v>
      </c>
      <c r="M6883">
        <v>5843.95</v>
      </c>
      <c r="N6883">
        <v>6000</v>
      </c>
      <c r="O6883">
        <v>289</v>
      </c>
      <c r="P6883">
        <v>13000</v>
      </c>
      <c r="Q6883" s="30">
        <v>37</v>
      </c>
      <c r="R6883">
        <v>546.44000000000005</v>
      </c>
      <c r="S6883">
        <v>500</v>
      </c>
      <c r="T6883">
        <v>50</v>
      </c>
      <c r="U6883">
        <v>2000</v>
      </c>
      <c r="V6883" s="30">
        <v>121</v>
      </c>
      <c r="W6883">
        <v>608.99</v>
      </c>
      <c r="X6883">
        <v>500</v>
      </c>
      <c r="Y6883">
        <v>80</v>
      </c>
      <c r="Z6883">
        <v>3000</v>
      </c>
      <c r="AA6883" s="30">
        <v>137</v>
      </c>
      <c r="AB6883">
        <v>1061.75</v>
      </c>
      <c r="AC6883">
        <v>1000</v>
      </c>
      <c r="AD6883">
        <v>100</v>
      </c>
      <c r="AE6883">
        <v>3000</v>
      </c>
      <c r="AF6883" s="30">
        <v>165</v>
      </c>
      <c r="AG6883">
        <v>630.69000000000005</v>
      </c>
      <c r="AH6883">
        <v>500</v>
      </c>
      <c r="AI6883">
        <v>100</v>
      </c>
      <c r="AJ6883">
        <v>5000</v>
      </c>
      <c r="AK6883" s="30">
        <v>81</v>
      </c>
      <c r="AL6883">
        <v>2647.58</v>
      </c>
      <c r="AM6883">
        <v>2500</v>
      </c>
      <c r="AN6883">
        <v>500</v>
      </c>
      <c r="AO6883">
        <v>7000</v>
      </c>
      <c r="AP6883" s="30">
        <v>184</v>
      </c>
      <c r="AQ6883">
        <v>2393.54</v>
      </c>
      <c r="AR6883">
        <v>1500</v>
      </c>
      <c r="AS6883">
        <v>100</v>
      </c>
      <c r="AT6883">
        <v>15000</v>
      </c>
      <c r="AU6883" s="30">
        <v>138</v>
      </c>
      <c r="AV6883">
        <v>664.8</v>
      </c>
      <c r="AW6883">
        <v>500</v>
      </c>
      <c r="AX6883">
        <v>100</v>
      </c>
      <c r="AY6883">
        <v>3000</v>
      </c>
      <c r="AZ6883" s="30">
        <v>28</v>
      </c>
      <c r="BA6883">
        <v>919.5</v>
      </c>
      <c r="BB6883">
        <v>900</v>
      </c>
      <c r="BC6883">
        <v>175</v>
      </c>
      <c r="BD6883">
        <v>2500</v>
      </c>
      <c r="BE6883" s="30">
        <v>192</v>
      </c>
      <c r="BF6883">
        <v>2101.5300000000002</v>
      </c>
      <c r="BG6883">
        <v>2000</v>
      </c>
      <c r="BH6883">
        <v>500</v>
      </c>
      <c r="BI6883">
        <v>6000</v>
      </c>
      <c r="BJ6883" s="30">
        <v>26</v>
      </c>
      <c r="BK6883">
        <v>4319.13</v>
      </c>
      <c r="BL6883">
        <v>2000</v>
      </c>
      <c r="BM6883">
        <v>100</v>
      </c>
      <c r="BN6883">
        <v>30000</v>
      </c>
      <c r="BO6883" s="30">
        <v>60</v>
      </c>
      <c r="BP6883">
        <v>1124.08</v>
      </c>
      <c r="BQ6883">
        <v>600</v>
      </c>
      <c r="BR6883">
        <v>50</v>
      </c>
      <c r="BS6883">
        <v>20000</v>
      </c>
      <c r="BT6883" s="30">
        <v>108</v>
      </c>
      <c r="BU6883">
        <v>2247.4899999999998</v>
      </c>
      <c r="BV6883">
        <v>1800</v>
      </c>
      <c r="BW6883">
        <v>385</v>
      </c>
      <c r="BX6883">
        <v>7000</v>
      </c>
      <c r="BY6883" s="30">
        <v>9</v>
      </c>
      <c r="BZ6883">
        <v>192</v>
      </c>
    </row>
    <row r="6884" spans="1:78" x14ac:dyDescent="0.35">
      <c r="A6884" t="s">
        <v>228</v>
      </c>
      <c r="B6884" t="s">
        <v>257</v>
      </c>
      <c r="C6884">
        <v>7316.28</v>
      </c>
      <c r="D6884">
        <v>8000</v>
      </c>
      <c r="E6884">
        <v>1000</v>
      </c>
      <c r="F6884">
        <v>20000</v>
      </c>
      <c r="G6884" s="30">
        <v>43</v>
      </c>
      <c r="H6884">
        <v>2305.4699999999998</v>
      </c>
      <c r="I6884">
        <v>1500</v>
      </c>
      <c r="J6884">
        <v>400</v>
      </c>
      <c r="K6884">
        <v>8000</v>
      </c>
      <c r="L6884" s="30">
        <v>24</v>
      </c>
      <c r="M6884">
        <v>3526.47</v>
      </c>
      <c r="N6884">
        <v>4000</v>
      </c>
      <c r="O6884">
        <v>300</v>
      </c>
      <c r="P6884">
        <v>8000</v>
      </c>
      <c r="Q6884" s="30">
        <v>9</v>
      </c>
      <c r="R6884">
        <v>348.47</v>
      </c>
      <c r="S6884">
        <v>300</v>
      </c>
      <c r="T6884">
        <v>70</v>
      </c>
      <c r="U6884">
        <v>2000</v>
      </c>
      <c r="V6884" s="30">
        <v>24</v>
      </c>
      <c r="W6884">
        <v>515.95000000000005</v>
      </c>
      <c r="X6884">
        <v>300</v>
      </c>
      <c r="Y6884">
        <v>100</v>
      </c>
      <c r="Z6884">
        <v>2000</v>
      </c>
      <c r="AA6884" s="30">
        <v>28</v>
      </c>
      <c r="AB6884">
        <v>639.17999999999995</v>
      </c>
      <c r="AC6884">
        <v>500</v>
      </c>
      <c r="AD6884">
        <v>100</v>
      </c>
      <c r="AE6884">
        <v>2000</v>
      </c>
      <c r="AF6884" s="30">
        <v>31</v>
      </c>
      <c r="AG6884">
        <v>462.45</v>
      </c>
      <c r="AH6884">
        <v>500</v>
      </c>
      <c r="AI6884">
        <v>200</v>
      </c>
      <c r="AJ6884">
        <v>2000</v>
      </c>
      <c r="AK6884" s="30">
        <v>12</v>
      </c>
      <c r="AL6884">
        <v>1934.25</v>
      </c>
      <c r="AM6884">
        <v>2000</v>
      </c>
      <c r="AN6884">
        <v>300</v>
      </c>
      <c r="AO6884">
        <v>6000</v>
      </c>
      <c r="AP6884" s="30">
        <v>40</v>
      </c>
      <c r="AQ6884">
        <v>1433.44</v>
      </c>
      <c r="AR6884">
        <v>1000</v>
      </c>
      <c r="AS6884">
        <v>100</v>
      </c>
      <c r="AT6884">
        <v>15000</v>
      </c>
      <c r="AU6884" s="30">
        <v>25</v>
      </c>
      <c r="AV6884">
        <v>1061.08</v>
      </c>
      <c r="AW6884">
        <v>1300</v>
      </c>
      <c r="AX6884">
        <v>100</v>
      </c>
      <c r="AY6884">
        <v>3000</v>
      </c>
      <c r="AZ6884" s="30">
        <v>5</v>
      </c>
      <c r="BA6884">
        <v>562.70000000000005</v>
      </c>
      <c r="BB6884">
        <v>500</v>
      </c>
      <c r="BC6884">
        <v>100</v>
      </c>
      <c r="BD6884">
        <v>1500</v>
      </c>
      <c r="BE6884" s="30">
        <v>44</v>
      </c>
      <c r="BF6884">
        <v>3386.46</v>
      </c>
      <c r="BG6884">
        <v>4000</v>
      </c>
      <c r="BH6884">
        <v>2000</v>
      </c>
      <c r="BI6884">
        <v>4000</v>
      </c>
      <c r="BJ6884" s="30">
        <v>2</v>
      </c>
      <c r="BK6884">
        <v>1096.49</v>
      </c>
      <c r="BL6884">
        <v>1000</v>
      </c>
      <c r="BM6884">
        <v>100</v>
      </c>
      <c r="BN6884">
        <v>10000</v>
      </c>
      <c r="BO6884" s="30">
        <v>11</v>
      </c>
      <c r="BP6884">
        <v>742.41</v>
      </c>
      <c r="BQ6884">
        <v>500</v>
      </c>
      <c r="BR6884">
        <v>50</v>
      </c>
      <c r="BS6884">
        <v>7000</v>
      </c>
      <c r="BT6884" s="30">
        <v>27</v>
      </c>
      <c r="BU6884">
        <v>1300</v>
      </c>
      <c r="BV6884">
        <v>1300</v>
      </c>
      <c r="BW6884">
        <v>1300</v>
      </c>
      <c r="BX6884">
        <v>1300</v>
      </c>
      <c r="BY6884" s="30">
        <v>1</v>
      </c>
      <c r="BZ6884">
        <v>44</v>
      </c>
    </row>
    <row r="6885" spans="1:78" x14ac:dyDescent="0.35">
      <c r="A6885" s="27" t="s">
        <v>228</v>
      </c>
      <c r="B6885" s="27" t="s">
        <v>258</v>
      </c>
      <c r="C6885" s="29">
        <v>7109.08</v>
      </c>
      <c r="D6885" s="29">
        <v>8000</v>
      </c>
      <c r="E6885" s="29">
        <v>5000</v>
      </c>
      <c r="F6885" s="29">
        <v>18000</v>
      </c>
      <c r="G6885" s="29">
        <v>3</v>
      </c>
      <c r="H6885" s="29">
        <v>7914.68</v>
      </c>
      <c r="I6885" s="29">
        <v>6000</v>
      </c>
      <c r="J6885" s="29">
        <v>6000</v>
      </c>
      <c r="K6885" s="29">
        <v>12000</v>
      </c>
      <c r="L6885" s="29">
        <v>2</v>
      </c>
      <c r="M6885" s="29">
        <v>5000</v>
      </c>
      <c r="N6885" s="29">
        <v>5000</v>
      </c>
      <c r="O6885" s="29">
        <v>5000</v>
      </c>
      <c r="P6885" s="29">
        <v>5000</v>
      </c>
      <c r="Q6885" s="29">
        <v>1</v>
      </c>
      <c r="R6885" s="29">
        <v>819.11</v>
      </c>
      <c r="S6885" s="29">
        <v>500</v>
      </c>
      <c r="T6885" s="29">
        <v>500</v>
      </c>
      <c r="U6885" s="29">
        <v>1500</v>
      </c>
      <c r="V6885" s="29">
        <v>2</v>
      </c>
      <c r="W6885" s="29">
        <v>751.03</v>
      </c>
      <c r="X6885" s="29">
        <v>400</v>
      </c>
      <c r="Y6885" s="29">
        <v>400</v>
      </c>
      <c r="Z6885" s="29">
        <v>1500</v>
      </c>
      <c r="AA6885" s="29">
        <v>2</v>
      </c>
      <c r="AB6885" s="29">
        <v>1000</v>
      </c>
      <c r="AC6885" s="29">
        <v>1000</v>
      </c>
      <c r="AD6885" s="29">
        <v>1000</v>
      </c>
      <c r="AE6885" s="29">
        <v>1000</v>
      </c>
      <c r="AF6885" s="29">
        <v>2</v>
      </c>
      <c r="AG6885" s="29"/>
      <c r="AH6885" s="29"/>
      <c r="AI6885" s="29"/>
      <c r="AJ6885" s="29"/>
      <c r="AK6885" s="29"/>
      <c r="AL6885" s="29">
        <v>2437.62</v>
      </c>
      <c r="AM6885" s="29">
        <v>4700</v>
      </c>
      <c r="AN6885" s="29">
        <v>1200</v>
      </c>
      <c r="AO6885" s="29">
        <v>4700</v>
      </c>
      <c r="AP6885" s="29">
        <v>3</v>
      </c>
      <c r="AQ6885" s="29">
        <v>2000</v>
      </c>
      <c r="AR6885" s="29">
        <v>2000</v>
      </c>
      <c r="AS6885" s="29">
        <v>2000</v>
      </c>
      <c r="AT6885" s="29">
        <v>2000</v>
      </c>
      <c r="AU6885" s="29">
        <v>1</v>
      </c>
      <c r="AV6885" s="29"/>
      <c r="AW6885" s="29"/>
      <c r="AX6885" s="29"/>
      <c r="AY6885" s="29"/>
      <c r="AZ6885" s="29"/>
      <c r="BA6885" s="29">
        <v>916.64</v>
      </c>
      <c r="BB6885" s="29">
        <v>1300</v>
      </c>
      <c r="BC6885" s="29">
        <v>500</v>
      </c>
      <c r="BD6885" s="29">
        <v>1300</v>
      </c>
      <c r="BE6885" s="29">
        <v>3</v>
      </c>
      <c r="BF6885" s="29"/>
      <c r="BG6885" s="29"/>
      <c r="BH6885" s="29"/>
      <c r="BI6885" s="29"/>
      <c r="BJ6885" s="29"/>
      <c r="BK6885" s="29"/>
      <c r="BL6885" s="29"/>
      <c r="BM6885" s="29"/>
      <c r="BN6885" s="29"/>
      <c r="BO6885" s="29"/>
      <c r="BP6885" s="29">
        <v>500</v>
      </c>
      <c r="BQ6885" s="29">
        <v>500</v>
      </c>
      <c r="BR6885" s="29">
        <v>500</v>
      </c>
      <c r="BS6885" s="29">
        <v>500</v>
      </c>
      <c r="BT6885" s="29">
        <v>1</v>
      </c>
      <c r="BU6885" s="29"/>
      <c r="BV6885" s="29"/>
      <c r="BW6885" s="29"/>
      <c r="BX6885" s="29"/>
      <c r="BY6885" s="29"/>
      <c r="BZ6885" s="29">
        <v>3</v>
      </c>
    </row>
    <row r="6886" spans="1:78" x14ac:dyDescent="0.35">
      <c r="A6886" t="s">
        <v>229</v>
      </c>
      <c r="B6886" t="s">
        <v>255</v>
      </c>
      <c r="C6886">
        <v>7785.03</v>
      </c>
      <c r="D6886">
        <v>6000</v>
      </c>
      <c r="E6886">
        <v>200</v>
      </c>
      <c r="F6886">
        <v>30000</v>
      </c>
      <c r="G6886" s="30">
        <v>540</v>
      </c>
      <c r="H6886">
        <v>3538.21</v>
      </c>
      <c r="I6886">
        <v>3000</v>
      </c>
      <c r="J6886">
        <v>100</v>
      </c>
      <c r="K6886">
        <v>20000</v>
      </c>
      <c r="L6886" s="30">
        <v>224</v>
      </c>
      <c r="M6886">
        <v>6747.6</v>
      </c>
      <c r="N6886">
        <v>6500</v>
      </c>
      <c r="O6886">
        <v>500</v>
      </c>
      <c r="P6886">
        <v>16000</v>
      </c>
      <c r="Q6886" s="30">
        <v>72</v>
      </c>
      <c r="R6886">
        <v>479.06</v>
      </c>
      <c r="S6886">
        <v>300</v>
      </c>
      <c r="T6886">
        <v>50</v>
      </c>
      <c r="U6886">
        <v>3000</v>
      </c>
      <c r="V6886" s="30">
        <v>204</v>
      </c>
      <c r="W6886">
        <v>467.15</v>
      </c>
      <c r="X6886">
        <v>300</v>
      </c>
      <c r="Y6886">
        <v>50</v>
      </c>
      <c r="Z6886">
        <v>2000</v>
      </c>
      <c r="AA6886" s="30">
        <v>266</v>
      </c>
      <c r="AB6886">
        <v>894.05</v>
      </c>
      <c r="AC6886">
        <v>500</v>
      </c>
      <c r="AD6886">
        <v>100</v>
      </c>
      <c r="AE6886">
        <v>5000</v>
      </c>
      <c r="AF6886" s="30">
        <v>447</v>
      </c>
      <c r="AG6886">
        <v>631.52</v>
      </c>
      <c r="AH6886">
        <v>500</v>
      </c>
      <c r="AI6886">
        <v>100</v>
      </c>
      <c r="AJ6886">
        <v>5000</v>
      </c>
      <c r="AK6886" s="30">
        <v>183</v>
      </c>
      <c r="AL6886">
        <v>2162.62</v>
      </c>
      <c r="AM6886">
        <v>1800</v>
      </c>
      <c r="AN6886">
        <v>300</v>
      </c>
      <c r="AO6886">
        <v>9000</v>
      </c>
      <c r="AP6886" s="30">
        <v>562</v>
      </c>
      <c r="AQ6886">
        <v>1869.38</v>
      </c>
      <c r="AR6886">
        <v>800</v>
      </c>
      <c r="AS6886">
        <v>50</v>
      </c>
      <c r="AT6886">
        <v>17000</v>
      </c>
      <c r="AU6886" s="30">
        <v>328</v>
      </c>
      <c r="AV6886">
        <v>803.37</v>
      </c>
      <c r="AW6886">
        <v>500</v>
      </c>
      <c r="AX6886">
        <v>100</v>
      </c>
      <c r="AY6886">
        <v>3000</v>
      </c>
      <c r="AZ6886" s="30">
        <v>61</v>
      </c>
      <c r="BA6886">
        <v>538.79</v>
      </c>
      <c r="BB6886">
        <v>500</v>
      </c>
      <c r="BC6886">
        <v>50</v>
      </c>
      <c r="BD6886">
        <v>2000</v>
      </c>
      <c r="BE6886" s="30">
        <v>566</v>
      </c>
      <c r="BF6886">
        <v>1927.62</v>
      </c>
      <c r="BG6886">
        <v>2000</v>
      </c>
      <c r="BH6886">
        <v>200</v>
      </c>
      <c r="BI6886">
        <v>10000</v>
      </c>
      <c r="BJ6886" s="30">
        <v>14</v>
      </c>
      <c r="BK6886">
        <v>3763.68</v>
      </c>
      <c r="BL6886">
        <v>2000</v>
      </c>
      <c r="BM6886">
        <v>100</v>
      </c>
      <c r="BN6886">
        <v>23000</v>
      </c>
      <c r="BO6886" s="30">
        <v>77</v>
      </c>
      <c r="BP6886">
        <v>1365.92</v>
      </c>
      <c r="BQ6886">
        <v>750</v>
      </c>
      <c r="BR6886">
        <v>50</v>
      </c>
      <c r="BS6886">
        <v>9000</v>
      </c>
      <c r="BT6886" s="30">
        <v>274</v>
      </c>
      <c r="BU6886">
        <v>3340.35</v>
      </c>
      <c r="BV6886">
        <v>3000</v>
      </c>
      <c r="BW6886">
        <v>200</v>
      </c>
      <c r="BX6886">
        <v>10000</v>
      </c>
      <c r="BY6886" s="30">
        <v>24</v>
      </c>
      <c r="BZ6886">
        <v>566</v>
      </c>
    </row>
    <row r="6887" spans="1:78" x14ac:dyDescent="0.35">
      <c r="A6887" s="27" t="s">
        <v>229</v>
      </c>
      <c r="B6887" s="27" t="s">
        <v>258</v>
      </c>
      <c r="C6887" s="29">
        <v>4568.91</v>
      </c>
      <c r="D6887" s="29">
        <v>3000</v>
      </c>
      <c r="E6887" s="29">
        <v>3000</v>
      </c>
      <c r="F6887" s="29">
        <v>10000</v>
      </c>
      <c r="G6887" s="29">
        <v>2</v>
      </c>
      <c r="H6887" s="29">
        <v>2629.23</v>
      </c>
      <c r="I6887" s="29">
        <v>500</v>
      </c>
      <c r="J6887" s="29">
        <v>500</v>
      </c>
      <c r="K6887" s="29">
        <v>10000</v>
      </c>
      <c r="L6887" s="29">
        <v>2</v>
      </c>
      <c r="M6887" s="29">
        <v>2000</v>
      </c>
      <c r="N6887" s="29">
        <v>2000</v>
      </c>
      <c r="O6887" s="29">
        <v>2000</v>
      </c>
      <c r="P6887" s="29">
        <v>2000</v>
      </c>
      <c r="Q6887" s="29">
        <v>1</v>
      </c>
      <c r="R6887" s="29"/>
      <c r="S6887" s="29"/>
      <c r="T6887" s="29"/>
      <c r="U6887" s="29"/>
      <c r="V6887" s="29"/>
      <c r="W6887" s="29">
        <v>200</v>
      </c>
      <c r="X6887" s="29">
        <v>200</v>
      </c>
      <c r="Y6887" s="29">
        <v>200</v>
      </c>
      <c r="Z6887" s="29">
        <v>200</v>
      </c>
      <c r="AA6887" s="29">
        <v>1</v>
      </c>
      <c r="AB6887" s="29">
        <v>477.59</v>
      </c>
      <c r="AC6887" s="29">
        <v>500</v>
      </c>
      <c r="AD6887" s="29">
        <v>400</v>
      </c>
      <c r="AE6887" s="29">
        <v>500</v>
      </c>
      <c r="AF6887" s="29">
        <v>2</v>
      </c>
      <c r="AG6887" s="29">
        <v>1000</v>
      </c>
      <c r="AH6887" s="29">
        <v>1000</v>
      </c>
      <c r="AI6887" s="29">
        <v>1000</v>
      </c>
      <c r="AJ6887" s="29">
        <v>1000</v>
      </c>
      <c r="AK6887" s="29">
        <v>1</v>
      </c>
      <c r="AL6887" s="29">
        <v>836.19</v>
      </c>
      <c r="AM6887" s="29">
        <v>500</v>
      </c>
      <c r="AN6887" s="29">
        <v>500</v>
      </c>
      <c r="AO6887" s="29">
        <v>2000</v>
      </c>
      <c r="AP6887" s="29">
        <v>2</v>
      </c>
      <c r="AQ6887" s="29">
        <v>791.37</v>
      </c>
      <c r="AR6887" s="29">
        <v>500</v>
      </c>
      <c r="AS6887" s="29">
        <v>500</v>
      </c>
      <c r="AT6887" s="29">
        <v>1800</v>
      </c>
      <c r="AU6887" s="29">
        <v>2</v>
      </c>
      <c r="AV6887" s="29"/>
      <c r="AW6887" s="29"/>
      <c r="AX6887" s="29"/>
      <c r="AY6887" s="29"/>
      <c r="AZ6887" s="29"/>
      <c r="BA6887" s="29">
        <v>350.86</v>
      </c>
      <c r="BB6887" s="29">
        <v>250</v>
      </c>
      <c r="BC6887" s="29">
        <v>250</v>
      </c>
      <c r="BD6887" s="29">
        <v>700</v>
      </c>
      <c r="BE6887" s="29">
        <v>2</v>
      </c>
      <c r="BF6887" s="29"/>
      <c r="BG6887" s="29"/>
      <c r="BH6887" s="29"/>
      <c r="BI6887" s="29"/>
      <c r="BJ6887" s="29"/>
      <c r="BK6887" s="29">
        <v>300</v>
      </c>
      <c r="BL6887" s="29">
        <v>300</v>
      </c>
      <c r="BM6887" s="29">
        <v>300</v>
      </c>
      <c r="BN6887" s="29">
        <v>300</v>
      </c>
      <c r="BO6887" s="29">
        <v>1</v>
      </c>
      <c r="BP6887" s="29">
        <v>150</v>
      </c>
      <c r="BQ6887" s="29">
        <v>150</v>
      </c>
      <c r="BR6887" s="29">
        <v>150</v>
      </c>
      <c r="BS6887" s="29">
        <v>150</v>
      </c>
      <c r="BT6887" s="29">
        <v>1</v>
      </c>
      <c r="BU6887" s="29"/>
      <c r="BV6887" s="29"/>
      <c r="BW6887" s="29"/>
      <c r="BX6887" s="29"/>
      <c r="BY6887" s="29"/>
      <c r="BZ6887" s="29">
        <v>2</v>
      </c>
    </row>
    <row r="6888" spans="1:78" x14ac:dyDescent="0.35">
      <c r="A6888" t="s">
        <v>229</v>
      </c>
      <c r="B6888" t="s">
        <v>256</v>
      </c>
      <c r="C6888">
        <v>13108.4</v>
      </c>
      <c r="D6888">
        <v>11000</v>
      </c>
      <c r="E6888">
        <v>1000</v>
      </c>
      <c r="F6888">
        <v>30000</v>
      </c>
      <c r="G6888" s="30">
        <v>180</v>
      </c>
      <c r="H6888">
        <v>5412.72</v>
      </c>
      <c r="I6888">
        <v>5000</v>
      </c>
      <c r="J6888">
        <v>100</v>
      </c>
      <c r="K6888">
        <v>30000</v>
      </c>
      <c r="L6888" s="30">
        <v>128</v>
      </c>
      <c r="M6888">
        <v>9167.58</v>
      </c>
      <c r="N6888">
        <v>10000</v>
      </c>
      <c r="O6888">
        <v>2000</v>
      </c>
      <c r="P6888">
        <v>16000</v>
      </c>
      <c r="Q6888" s="30">
        <v>16</v>
      </c>
      <c r="R6888">
        <v>600.51</v>
      </c>
      <c r="S6888">
        <v>500</v>
      </c>
      <c r="T6888">
        <v>100</v>
      </c>
      <c r="U6888">
        <v>3000</v>
      </c>
      <c r="V6888" s="30">
        <v>98</v>
      </c>
      <c r="W6888">
        <v>593.73</v>
      </c>
      <c r="X6888">
        <v>500</v>
      </c>
      <c r="Y6888">
        <v>100</v>
      </c>
      <c r="Z6888">
        <v>3000</v>
      </c>
      <c r="AA6888" s="30">
        <v>143</v>
      </c>
      <c r="AB6888">
        <v>1267.8900000000001</v>
      </c>
      <c r="AC6888">
        <v>1000</v>
      </c>
      <c r="AD6888">
        <v>100</v>
      </c>
      <c r="AE6888">
        <v>4000</v>
      </c>
      <c r="AF6888" s="30">
        <v>166</v>
      </c>
      <c r="AG6888">
        <v>800.92</v>
      </c>
      <c r="AH6888">
        <v>500</v>
      </c>
      <c r="AI6888">
        <v>100</v>
      </c>
      <c r="AJ6888">
        <v>5000</v>
      </c>
      <c r="AK6888" s="30">
        <v>100</v>
      </c>
      <c r="AL6888">
        <v>3016.99</v>
      </c>
      <c r="AM6888">
        <v>3000</v>
      </c>
      <c r="AN6888">
        <v>400</v>
      </c>
      <c r="AO6888">
        <v>8000</v>
      </c>
      <c r="AP6888" s="30">
        <v>191</v>
      </c>
      <c r="AQ6888">
        <v>3711.35</v>
      </c>
      <c r="AR6888">
        <v>2000</v>
      </c>
      <c r="AS6888">
        <v>100</v>
      </c>
      <c r="AT6888">
        <v>30000</v>
      </c>
      <c r="AU6888" s="30">
        <v>152</v>
      </c>
      <c r="AV6888">
        <v>759.52</v>
      </c>
      <c r="AW6888">
        <v>500</v>
      </c>
      <c r="AX6888">
        <v>100</v>
      </c>
      <c r="AY6888">
        <v>3000</v>
      </c>
      <c r="AZ6888" s="30">
        <v>24</v>
      </c>
      <c r="BA6888">
        <v>875.08</v>
      </c>
      <c r="BB6888">
        <v>800</v>
      </c>
      <c r="BC6888">
        <v>250</v>
      </c>
      <c r="BD6888">
        <v>2800</v>
      </c>
      <c r="BE6888" s="30">
        <v>192</v>
      </c>
      <c r="BF6888">
        <v>3775.59</v>
      </c>
      <c r="BG6888">
        <v>2000</v>
      </c>
      <c r="BH6888">
        <v>750</v>
      </c>
      <c r="BI6888">
        <v>10000</v>
      </c>
      <c r="BJ6888" s="30">
        <v>24</v>
      </c>
      <c r="BK6888">
        <v>8175.7</v>
      </c>
      <c r="BL6888">
        <v>4000</v>
      </c>
      <c r="BM6888">
        <v>400</v>
      </c>
      <c r="BN6888">
        <v>30000</v>
      </c>
      <c r="BO6888" s="30">
        <v>66</v>
      </c>
      <c r="BP6888">
        <v>2175.41</v>
      </c>
      <c r="BQ6888">
        <v>1000</v>
      </c>
      <c r="BR6888">
        <v>50</v>
      </c>
      <c r="BS6888">
        <v>30000</v>
      </c>
      <c r="BT6888" s="30">
        <v>122</v>
      </c>
      <c r="BU6888">
        <v>4927.8900000000003</v>
      </c>
      <c r="BV6888">
        <v>5600</v>
      </c>
      <c r="BW6888">
        <v>600</v>
      </c>
      <c r="BX6888">
        <v>10000</v>
      </c>
      <c r="BY6888" s="30">
        <v>8</v>
      </c>
      <c r="BZ6888">
        <v>192</v>
      </c>
    </row>
    <row r="6889" spans="1:78" x14ac:dyDescent="0.35">
      <c r="A6889" t="s">
        <v>229</v>
      </c>
      <c r="B6889" t="s">
        <v>257</v>
      </c>
      <c r="C6889">
        <v>8536.14</v>
      </c>
      <c r="D6889">
        <v>8000</v>
      </c>
      <c r="E6889">
        <v>500</v>
      </c>
      <c r="F6889">
        <v>20000</v>
      </c>
      <c r="G6889" s="30">
        <v>45</v>
      </c>
      <c r="H6889">
        <v>2885.26</v>
      </c>
      <c r="I6889">
        <v>3000</v>
      </c>
      <c r="J6889">
        <v>300</v>
      </c>
      <c r="K6889">
        <v>15000</v>
      </c>
      <c r="L6889" s="30">
        <v>33</v>
      </c>
      <c r="M6889">
        <v>4286.08</v>
      </c>
      <c r="N6889">
        <v>2500</v>
      </c>
      <c r="O6889">
        <v>400</v>
      </c>
      <c r="P6889">
        <v>10000</v>
      </c>
      <c r="Q6889" s="30">
        <v>8</v>
      </c>
      <c r="R6889">
        <v>410.14</v>
      </c>
      <c r="S6889">
        <v>300</v>
      </c>
      <c r="T6889">
        <v>100</v>
      </c>
      <c r="U6889">
        <v>1000</v>
      </c>
      <c r="V6889" s="30">
        <v>22</v>
      </c>
      <c r="W6889">
        <v>480.09</v>
      </c>
      <c r="X6889">
        <v>300</v>
      </c>
      <c r="Y6889">
        <v>75</v>
      </c>
      <c r="Z6889">
        <v>2200</v>
      </c>
      <c r="AA6889" s="30">
        <v>43</v>
      </c>
      <c r="AB6889">
        <v>832.72</v>
      </c>
      <c r="AC6889">
        <v>500</v>
      </c>
      <c r="AD6889">
        <v>100</v>
      </c>
      <c r="AE6889">
        <v>5000</v>
      </c>
      <c r="AF6889" s="30">
        <v>43</v>
      </c>
      <c r="AG6889">
        <v>437.5</v>
      </c>
      <c r="AH6889">
        <v>500</v>
      </c>
      <c r="AI6889">
        <v>100</v>
      </c>
      <c r="AJ6889">
        <v>1200</v>
      </c>
      <c r="AK6889" s="30">
        <v>18</v>
      </c>
      <c r="AL6889">
        <v>2052.2600000000002</v>
      </c>
      <c r="AM6889">
        <v>2000</v>
      </c>
      <c r="AN6889">
        <v>300</v>
      </c>
      <c r="AO6889">
        <v>5000</v>
      </c>
      <c r="AP6889" s="30">
        <v>48</v>
      </c>
      <c r="AQ6889">
        <v>1289.97</v>
      </c>
      <c r="AR6889">
        <v>1000</v>
      </c>
      <c r="AS6889">
        <v>100</v>
      </c>
      <c r="AT6889">
        <v>6000</v>
      </c>
      <c r="AU6889" s="30">
        <v>33</v>
      </c>
      <c r="AV6889">
        <v>2721.04</v>
      </c>
      <c r="AW6889">
        <v>3000</v>
      </c>
      <c r="AX6889">
        <v>1000</v>
      </c>
      <c r="AY6889">
        <v>3000</v>
      </c>
      <c r="AZ6889" s="30">
        <v>4</v>
      </c>
      <c r="BA6889">
        <v>676.02</v>
      </c>
      <c r="BB6889">
        <v>500</v>
      </c>
      <c r="BC6889">
        <v>200</v>
      </c>
      <c r="BD6889">
        <v>2500</v>
      </c>
      <c r="BE6889" s="30">
        <v>47</v>
      </c>
      <c r="BF6889">
        <v>5405</v>
      </c>
      <c r="BG6889">
        <v>7000</v>
      </c>
      <c r="BH6889">
        <v>500</v>
      </c>
      <c r="BI6889">
        <v>7000</v>
      </c>
      <c r="BJ6889" s="30">
        <v>4</v>
      </c>
      <c r="BK6889">
        <v>9851.98</v>
      </c>
      <c r="BL6889">
        <v>10000</v>
      </c>
      <c r="BM6889">
        <v>300</v>
      </c>
      <c r="BN6889">
        <v>25000</v>
      </c>
      <c r="BO6889" s="30">
        <v>13</v>
      </c>
      <c r="BP6889">
        <v>716.18</v>
      </c>
      <c r="BQ6889">
        <v>800</v>
      </c>
      <c r="BR6889">
        <v>200</v>
      </c>
      <c r="BS6889">
        <v>1700</v>
      </c>
      <c r="BT6889" s="30">
        <v>19</v>
      </c>
      <c r="BU6889">
        <v>3000</v>
      </c>
      <c r="BV6889">
        <v>3000</v>
      </c>
      <c r="BW6889">
        <v>3000</v>
      </c>
      <c r="BX6889">
        <v>3000</v>
      </c>
      <c r="BY6889" s="30">
        <v>1</v>
      </c>
      <c r="BZ6889">
        <v>48</v>
      </c>
    </row>
    <row r="6890" spans="1:78" x14ac:dyDescent="0.35">
      <c r="A6890" t="s">
        <v>230</v>
      </c>
      <c r="B6890" t="s">
        <v>255</v>
      </c>
      <c r="C6890">
        <v>6821.09</v>
      </c>
      <c r="D6890">
        <v>5000</v>
      </c>
      <c r="E6890">
        <v>200</v>
      </c>
      <c r="F6890">
        <v>25000</v>
      </c>
      <c r="G6890" s="30">
        <v>352</v>
      </c>
      <c r="H6890">
        <v>4577.28</v>
      </c>
      <c r="I6890">
        <v>2000</v>
      </c>
      <c r="J6890">
        <v>100</v>
      </c>
      <c r="K6890">
        <v>60000</v>
      </c>
      <c r="L6890" s="30">
        <v>115</v>
      </c>
      <c r="M6890">
        <v>6218.41</v>
      </c>
      <c r="N6890">
        <v>7000</v>
      </c>
      <c r="O6890">
        <v>1000</v>
      </c>
      <c r="P6890">
        <v>12000</v>
      </c>
      <c r="Q6890" s="30">
        <v>40</v>
      </c>
      <c r="R6890">
        <v>384.97</v>
      </c>
      <c r="S6890">
        <v>200</v>
      </c>
      <c r="T6890">
        <v>50</v>
      </c>
      <c r="U6890">
        <v>3000</v>
      </c>
      <c r="V6890" s="30">
        <v>166</v>
      </c>
      <c r="W6890">
        <v>460</v>
      </c>
      <c r="X6890">
        <v>400</v>
      </c>
      <c r="Y6890">
        <v>30</v>
      </c>
      <c r="Z6890">
        <v>2000</v>
      </c>
      <c r="AA6890" s="30">
        <v>137</v>
      </c>
      <c r="AB6890">
        <v>659.24</v>
      </c>
      <c r="AC6890">
        <v>500</v>
      </c>
      <c r="AD6890">
        <v>100</v>
      </c>
      <c r="AE6890">
        <v>5000</v>
      </c>
      <c r="AF6890" s="30">
        <v>263</v>
      </c>
      <c r="AG6890">
        <v>566.47</v>
      </c>
      <c r="AH6890">
        <v>300</v>
      </c>
      <c r="AI6890">
        <v>100</v>
      </c>
      <c r="AJ6890">
        <v>5000</v>
      </c>
      <c r="AK6890" s="30">
        <v>107</v>
      </c>
      <c r="AL6890">
        <v>1983.73</v>
      </c>
      <c r="AM6890">
        <v>2000</v>
      </c>
      <c r="AN6890">
        <v>300</v>
      </c>
      <c r="AO6890">
        <v>7000</v>
      </c>
      <c r="AP6890" s="30">
        <v>334</v>
      </c>
      <c r="AQ6890">
        <v>1995.96</v>
      </c>
      <c r="AR6890">
        <v>800</v>
      </c>
      <c r="AS6890">
        <v>50</v>
      </c>
      <c r="AT6890">
        <v>30000</v>
      </c>
      <c r="AU6890" s="30">
        <v>207</v>
      </c>
      <c r="AV6890">
        <v>787.9</v>
      </c>
      <c r="AW6890">
        <v>700</v>
      </c>
      <c r="AX6890">
        <v>100</v>
      </c>
      <c r="AY6890">
        <v>2000</v>
      </c>
      <c r="AZ6890" s="30">
        <v>27</v>
      </c>
      <c r="BA6890">
        <v>568.09</v>
      </c>
      <c r="BB6890">
        <v>500</v>
      </c>
      <c r="BC6890">
        <v>100</v>
      </c>
      <c r="BD6890">
        <v>2000</v>
      </c>
      <c r="BE6890" s="30">
        <v>347</v>
      </c>
      <c r="BF6890">
        <v>6149.81</v>
      </c>
      <c r="BG6890">
        <v>10000</v>
      </c>
      <c r="BH6890">
        <v>1000</v>
      </c>
      <c r="BI6890">
        <v>10000</v>
      </c>
      <c r="BJ6890" s="30">
        <v>10</v>
      </c>
      <c r="BK6890">
        <v>3528.77</v>
      </c>
      <c r="BL6890">
        <v>1000</v>
      </c>
      <c r="BM6890">
        <v>100</v>
      </c>
      <c r="BN6890">
        <v>30000</v>
      </c>
      <c r="BO6890" s="30">
        <v>49</v>
      </c>
      <c r="BP6890">
        <v>1391.71</v>
      </c>
      <c r="BQ6890">
        <v>800</v>
      </c>
      <c r="BR6890">
        <v>50</v>
      </c>
      <c r="BS6890">
        <v>10000</v>
      </c>
      <c r="BT6890" s="30">
        <v>181</v>
      </c>
      <c r="BU6890">
        <v>3003.32</v>
      </c>
      <c r="BV6890">
        <v>3000</v>
      </c>
      <c r="BW6890">
        <v>200</v>
      </c>
      <c r="BX6890">
        <v>8000</v>
      </c>
      <c r="BY6890" s="30">
        <v>24</v>
      </c>
      <c r="BZ6890">
        <v>352</v>
      </c>
    </row>
    <row r="6891" spans="1:78" x14ac:dyDescent="0.35">
      <c r="A6891" t="s">
        <v>230</v>
      </c>
      <c r="B6891" t="s">
        <v>256</v>
      </c>
      <c r="C6891">
        <v>10054.93</v>
      </c>
      <c r="D6891">
        <v>8000</v>
      </c>
      <c r="E6891">
        <v>500</v>
      </c>
      <c r="F6891">
        <v>25000</v>
      </c>
      <c r="G6891" s="30">
        <v>113</v>
      </c>
      <c r="H6891">
        <v>4961.54</v>
      </c>
      <c r="I6891">
        <v>3500</v>
      </c>
      <c r="J6891">
        <v>100</v>
      </c>
      <c r="K6891">
        <v>30000</v>
      </c>
      <c r="L6891" s="30">
        <v>81</v>
      </c>
      <c r="M6891">
        <v>5666.29</v>
      </c>
      <c r="N6891">
        <v>6000</v>
      </c>
      <c r="O6891">
        <v>1000</v>
      </c>
      <c r="P6891">
        <v>11000</v>
      </c>
      <c r="Q6891" s="30">
        <v>18</v>
      </c>
      <c r="R6891">
        <v>922.58</v>
      </c>
      <c r="S6891">
        <v>700</v>
      </c>
      <c r="T6891">
        <v>50</v>
      </c>
      <c r="U6891">
        <v>3000</v>
      </c>
      <c r="V6891" s="30">
        <v>68</v>
      </c>
      <c r="W6891">
        <v>708.16</v>
      </c>
      <c r="X6891">
        <v>500</v>
      </c>
      <c r="Y6891">
        <v>50</v>
      </c>
      <c r="Z6891">
        <v>3000</v>
      </c>
      <c r="AA6891" s="30">
        <v>83</v>
      </c>
      <c r="AB6891">
        <v>1191.3499999999999</v>
      </c>
      <c r="AC6891">
        <v>1000</v>
      </c>
      <c r="AD6891">
        <v>125</v>
      </c>
      <c r="AE6891">
        <v>5000</v>
      </c>
      <c r="AF6891" s="30">
        <v>101</v>
      </c>
      <c r="AG6891">
        <v>1144.28</v>
      </c>
      <c r="AH6891">
        <v>520</v>
      </c>
      <c r="AI6891">
        <v>100</v>
      </c>
      <c r="AJ6891">
        <v>5000</v>
      </c>
      <c r="AK6891" s="30">
        <v>49</v>
      </c>
      <c r="AL6891">
        <v>2600.83</v>
      </c>
      <c r="AM6891">
        <v>2500</v>
      </c>
      <c r="AN6891">
        <v>400</v>
      </c>
      <c r="AO6891">
        <v>9100</v>
      </c>
      <c r="AP6891" s="30">
        <v>116</v>
      </c>
      <c r="AQ6891">
        <v>2815.15</v>
      </c>
      <c r="AR6891">
        <v>1500</v>
      </c>
      <c r="AS6891">
        <v>75</v>
      </c>
      <c r="AT6891">
        <v>30000</v>
      </c>
      <c r="AU6891" s="30">
        <v>83</v>
      </c>
      <c r="AV6891">
        <v>1182.74</v>
      </c>
      <c r="AW6891">
        <v>1000</v>
      </c>
      <c r="AX6891">
        <v>100</v>
      </c>
      <c r="AY6891">
        <v>2400</v>
      </c>
      <c r="AZ6891" s="30">
        <v>20</v>
      </c>
      <c r="BA6891">
        <v>918.12</v>
      </c>
      <c r="BB6891">
        <v>1000</v>
      </c>
      <c r="BC6891">
        <v>150</v>
      </c>
      <c r="BD6891">
        <v>2300</v>
      </c>
      <c r="BE6891" s="30">
        <v>116</v>
      </c>
      <c r="BF6891">
        <v>4772.26</v>
      </c>
      <c r="BG6891">
        <v>4000</v>
      </c>
      <c r="BH6891">
        <v>2000</v>
      </c>
      <c r="BI6891">
        <v>10000</v>
      </c>
      <c r="BJ6891" s="30">
        <v>7</v>
      </c>
      <c r="BK6891">
        <v>2946.13</v>
      </c>
      <c r="BL6891">
        <v>3000</v>
      </c>
      <c r="BM6891">
        <v>200</v>
      </c>
      <c r="BN6891">
        <v>15000</v>
      </c>
      <c r="BO6891" s="30">
        <v>37</v>
      </c>
      <c r="BP6891">
        <v>1236.53</v>
      </c>
      <c r="BQ6891">
        <v>800</v>
      </c>
      <c r="BR6891">
        <v>50</v>
      </c>
      <c r="BS6891">
        <v>16000</v>
      </c>
      <c r="BT6891" s="30">
        <v>70</v>
      </c>
      <c r="BU6891">
        <v>5563.46</v>
      </c>
      <c r="BV6891">
        <v>6500</v>
      </c>
      <c r="BW6891">
        <v>500</v>
      </c>
      <c r="BX6891">
        <v>8000</v>
      </c>
      <c r="BY6891" s="30">
        <v>7</v>
      </c>
      <c r="BZ6891">
        <v>116</v>
      </c>
    </row>
    <row r="6892" spans="1:78" x14ac:dyDescent="0.35">
      <c r="A6892" s="27" t="s">
        <v>230</v>
      </c>
      <c r="B6892" s="27" t="s">
        <v>258</v>
      </c>
      <c r="C6892" s="29">
        <v>3312.83</v>
      </c>
      <c r="D6892" s="29">
        <v>4000</v>
      </c>
      <c r="E6892" s="29">
        <v>3000</v>
      </c>
      <c r="F6892" s="29">
        <v>5000</v>
      </c>
      <c r="G6892" s="29">
        <v>3</v>
      </c>
      <c r="H6892" s="29">
        <v>2500</v>
      </c>
      <c r="I6892" s="29">
        <v>2500</v>
      </c>
      <c r="J6892" s="29">
        <v>2500</v>
      </c>
      <c r="K6892" s="29">
        <v>2500</v>
      </c>
      <c r="L6892" s="29">
        <v>1</v>
      </c>
      <c r="M6892" s="29"/>
      <c r="N6892" s="29"/>
      <c r="O6892" s="29"/>
      <c r="P6892" s="29"/>
      <c r="Q6892" s="29"/>
      <c r="R6892" s="29">
        <v>300</v>
      </c>
      <c r="S6892" s="29">
        <v>300</v>
      </c>
      <c r="T6892" s="29">
        <v>300</v>
      </c>
      <c r="U6892" s="29">
        <v>300</v>
      </c>
      <c r="V6892" s="29">
        <v>1</v>
      </c>
      <c r="W6892" s="29"/>
      <c r="X6892" s="29"/>
      <c r="Y6892" s="29"/>
      <c r="Z6892" s="29"/>
      <c r="AA6892" s="29"/>
      <c r="AB6892" s="29">
        <v>1500</v>
      </c>
      <c r="AC6892" s="29">
        <v>1500</v>
      </c>
      <c r="AD6892" s="29">
        <v>1500</v>
      </c>
      <c r="AE6892" s="29">
        <v>1500</v>
      </c>
      <c r="AF6892" s="29">
        <v>1</v>
      </c>
      <c r="AG6892" s="29">
        <v>500</v>
      </c>
      <c r="AH6892" s="29">
        <v>500</v>
      </c>
      <c r="AI6892" s="29">
        <v>500</v>
      </c>
      <c r="AJ6892" s="29">
        <v>500</v>
      </c>
      <c r="AK6892" s="29">
        <v>1</v>
      </c>
      <c r="AL6892" s="29">
        <v>1108.45</v>
      </c>
      <c r="AM6892" s="29">
        <v>1000</v>
      </c>
      <c r="AN6892" s="29">
        <v>1000</v>
      </c>
      <c r="AO6892" s="29">
        <v>1800</v>
      </c>
      <c r="AP6892" s="29">
        <v>3</v>
      </c>
      <c r="AQ6892" s="29">
        <v>1500</v>
      </c>
      <c r="AR6892" s="29">
        <v>1500</v>
      </c>
      <c r="AS6892" s="29">
        <v>1500</v>
      </c>
      <c r="AT6892" s="29">
        <v>1500</v>
      </c>
      <c r="AU6892" s="29">
        <v>1</v>
      </c>
      <c r="AV6892" s="29">
        <v>1000</v>
      </c>
      <c r="AW6892" s="29">
        <v>1000</v>
      </c>
      <c r="AX6892" s="29">
        <v>1000</v>
      </c>
      <c r="AY6892" s="29">
        <v>1000</v>
      </c>
      <c r="AZ6892" s="29">
        <v>1</v>
      </c>
      <c r="BA6892" s="29">
        <v>1286.23</v>
      </c>
      <c r="BB6892" s="29">
        <v>1500</v>
      </c>
      <c r="BC6892" s="29">
        <v>200</v>
      </c>
      <c r="BD6892" s="29">
        <v>1500</v>
      </c>
      <c r="BE6892" s="29">
        <v>3</v>
      </c>
      <c r="BF6892" s="29"/>
      <c r="BG6892" s="29"/>
      <c r="BH6892" s="29"/>
      <c r="BI6892" s="29"/>
      <c r="BJ6892" s="29"/>
      <c r="BK6892" s="29"/>
      <c r="BL6892" s="29"/>
      <c r="BM6892" s="29"/>
      <c r="BN6892" s="29"/>
      <c r="BO6892" s="29"/>
      <c r="BP6892" s="29"/>
      <c r="BQ6892" s="29"/>
      <c r="BR6892" s="29"/>
      <c r="BS6892" s="29"/>
      <c r="BT6892" s="29"/>
      <c r="BU6892" s="29"/>
      <c r="BV6892" s="29"/>
      <c r="BW6892" s="29"/>
      <c r="BX6892" s="29"/>
      <c r="BY6892" s="29"/>
      <c r="BZ6892" s="29">
        <v>3</v>
      </c>
    </row>
    <row r="6893" spans="1:78" x14ac:dyDescent="0.35">
      <c r="A6893" t="s">
        <v>230</v>
      </c>
      <c r="B6893" t="s">
        <v>257</v>
      </c>
      <c r="C6893">
        <v>7821.04</v>
      </c>
      <c r="D6893">
        <v>7000</v>
      </c>
      <c r="E6893">
        <v>2000</v>
      </c>
      <c r="F6893">
        <v>20000</v>
      </c>
      <c r="G6893" s="30">
        <v>31</v>
      </c>
      <c r="H6893">
        <v>3155.93</v>
      </c>
      <c r="I6893">
        <v>1500</v>
      </c>
      <c r="J6893">
        <v>500</v>
      </c>
      <c r="K6893">
        <v>11000</v>
      </c>
      <c r="L6893" s="30">
        <v>23</v>
      </c>
      <c r="M6893">
        <v>5256.57</v>
      </c>
      <c r="N6893">
        <v>4000</v>
      </c>
      <c r="O6893">
        <v>1500</v>
      </c>
      <c r="P6893">
        <v>11500</v>
      </c>
      <c r="Q6893" s="30">
        <v>10</v>
      </c>
      <c r="R6893">
        <v>334.03</v>
      </c>
      <c r="S6893">
        <v>400</v>
      </c>
      <c r="T6893">
        <v>100</v>
      </c>
      <c r="U6893">
        <v>1000</v>
      </c>
      <c r="V6893" s="30">
        <v>21</v>
      </c>
      <c r="W6893">
        <v>261.95</v>
      </c>
      <c r="X6893">
        <v>200</v>
      </c>
      <c r="Y6893">
        <v>50</v>
      </c>
      <c r="Z6893">
        <v>800</v>
      </c>
      <c r="AA6893" s="30">
        <v>30</v>
      </c>
      <c r="AB6893">
        <v>1184.79</v>
      </c>
      <c r="AC6893">
        <v>700</v>
      </c>
      <c r="AD6893">
        <v>100</v>
      </c>
      <c r="AE6893">
        <v>3000</v>
      </c>
      <c r="AF6893" s="30">
        <v>32</v>
      </c>
      <c r="AG6893">
        <v>611.36</v>
      </c>
      <c r="AH6893">
        <v>400</v>
      </c>
      <c r="AI6893">
        <v>100</v>
      </c>
      <c r="AJ6893">
        <v>5000</v>
      </c>
      <c r="AK6893" s="30">
        <v>17</v>
      </c>
      <c r="AL6893">
        <v>1972.52</v>
      </c>
      <c r="AM6893">
        <v>2000</v>
      </c>
      <c r="AN6893">
        <v>600</v>
      </c>
      <c r="AO6893">
        <v>7000</v>
      </c>
      <c r="AP6893" s="30">
        <v>33</v>
      </c>
      <c r="AQ6893">
        <v>1444.52</v>
      </c>
      <c r="AR6893">
        <v>1000</v>
      </c>
      <c r="AS6893">
        <v>60</v>
      </c>
      <c r="AT6893">
        <v>10000</v>
      </c>
      <c r="AU6893" s="30">
        <v>28</v>
      </c>
      <c r="AV6893">
        <v>545.4</v>
      </c>
      <c r="AW6893">
        <v>300</v>
      </c>
      <c r="AX6893">
        <v>300</v>
      </c>
      <c r="AY6893">
        <v>2000</v>
      </c>
      <c r="AZ6893" s="30">
        <v>2</v>
      </c>
      <c r="BA6893">
        <v>562.66999999999996</v>
      </c>
      <c r="BB6893">
        <v>500</v>
      </c>
      <c r="BC6893">
        <v>220</v>
      </c>
      <c r="BD6893">
        <v>1500</v>
      </c>
      <c r="BE6893" s="30">
        <v>35</v>
      </c>
      <c r="BF6893">
        <v>1553.28</v>
      </c>
      <c r="BG6893">
        <v>1000</v>
      </c>
      <c r="BH6893">
        <v>400</v>
      </c>
      <c r="BI6893">
        <v>4000</v>
      </c>
      <c r="BJ6893" s="30">
        <v>6</v>
      </c>
      <c r="BK6893">
        <v>1352.32</v>
      </c>
      <c r="BL6893">
        <v>1000</v>
      </c>
      <c r="BM6893">
        <v>300</v>
      </c>
      <c r="BN6893">
        <v>6000</v>
      </c>
      <c r="BO6893" s="30">
        <v>15</v>
      </c>
      <c r="BP6893">
        <v>1129.25</v>
      </c>
      <c r="BQ6893">
        <v>680</v>
      </c>
      <c r="BR6893">
        <v>75</v>
      </c>
      <c r="BS6893">
        <v>3000</v>
      </c>
      <c r="BT6893" s="30">
        <v>25</v>
      </c>
      <c r="BU6893">
        <v>800</v>
      </c>
      <c r="BV6893">
        <v>100</v>
      </c>
      <c r="BW6893">
        <v>100</v>
      </c>
      <c r="BX6893">
        <v>1500</v>
      </c>
      <c r="BY6893" s="30">
        <v>2</v>
      </c>
      <c r="BZ6893">
        <v>35</v>
      </c>
    </row>
    <row r="6894" spans="1:78" x14ac:dyDescent="0.35">
      <c r="A6894" s="27" t="s">
        <v>231</v>
      </c>
      <c r="B6894" s="27" t="s">
        <v>256</v>
      </c>
      <c r="C6894" s="29">
        <v>10708.33</v>
      </c>
      <c r="D6894" s="29">
        <v>8000</v>
      </c>
      <c r="E6894" s="29">
        <v>2500</v>
      </c>
      <c r="F6894" s="29">
        <v>30000</v>
      </c>
      <c r="G6894" s="29">
        <v>24</v>
      </c>
      <c r="H6894" s="29">
        <v>5088.24</v>
      </c>
      <c r="I6894" s="29">
        <v>5000</v>
      </c>
      <c r="J6894" s="29">
        <v>500</v>
      </c>
      <c r="K6894" s="29">
        <v>24000</v>
      </c>
      <c r="L6894" s="29">
        <v>17</v>
      </c>
      <c r="M6894" s="29">
        <v>5166.67</v>
      </c>
      <c r="N6894" s="29">
        <v>8000</v>
      </c>
      <c r="O6894" s="29">
        <v>2500</v>
      </c>
      <c r="P6894" s="29">
        <v>8000</v>
      </c>
      <c r="Q6894" s="29">
        <v>3</v>
      </c>
      <c r="R6894" s="29">
        <v>606.36</v>
      </c>
      <c r="S6894" s="29">
        <v>500</v>
      </c>
      <c r="T6894" s="29">
        <v>100</v>
      </c>
      <c r="U6894" s="29">
        <v>2000</v>
      </c>
      <c r="V6894" s="29">
        <v>11</v>
      </c>
      <c r="W6894" s="29">
        <v>590</v>
      </c>
      <c r="X6894" s="29">
        <v>500</v>
      </c>
      <c r="Y6894" s="29">
        <v>100</v>
      </c>
      <c r="Z6894" s="29">
        <v>1000</v>
      </c>
      <c r="AA6894" s="29">
        <v>20</v>
      </c>
      <c r="AB6894" s="29">
        <v>965.22</v>
      </c>
      <c r="AC6894" s="29">
        <v>1000</v>
      </c>
      <c r="AD6894" s="29">
        <v>200</v>
      </c>
      <c r="AE6894" s="29">
        <v>3000</v>
      </c>
      <c r="AF6894" s="29">
        <v>23</v>
      </c>
      <c r="AG6894" s="29">
        <v>861.54</v>
      </c>
      <c r="AH6894" s="29">
        <v>1000</v>
      </c>
      <c r="AI6894" s="29">
        <v>100</v>
      </c>
      <c r="AJ6894" s="29">
        <v>3000</v>
      </c>
      <c r="AK6894" s="29">
        <v>13</v>
      </c>
      <c r="AL6894" s="29">
        <v>2690.91</v>
      </c>
      <c r="AM6894" s="29">
        <v>3000</v>
      </c>
      <c r="AN6894" s="29">
        <v>500</v>
      </c>
      <c r="AO6894" s="29">
        <v>6000</v>
      </c>
      <c r="AP6894" s="29">
        <v>22</v>
      </c>
      <c r="AQ6894" s="29">
        <v>2764.12</v>
      </c>
      <c r="AR6894" s="29">
        <v>2000</v>
      </c>
      <c r="AS6894" s="29">
        <v>200</v>
      </c>
      <c r="AT6894" s="29">
        <v>10000</v>
      </c>
      <c r="AU6894" s="29">
        <v>17</v>
      </c>
      <c r="AV6894" s="29">
        <v>733.33</v>
      </c>
      <c r="AW6894" s="29">
        <v>1400</v>
      </c>
      <c r="AX6894" s="29">
        <v>300</v>
      </c>
      <c r="AY6894" s="29">
        <v>1400</v>
      </c>
      <c r="AZ6894" s="29">
        <v>3</v>
      </c>
      <c r="BA6894" s="29">
        <v>872.8</v>
      </c>
      <c r="BB6894" s="29">
        <v>1000</v>
      </c>
      <c r="BC6894" s="29">
        <v>300</v>
      </c>
      <c r="BD6894" s="29">
        <v>2000</v>
      </c>
      <c r="BE6894" s="29">
        <v>25</v>
      </c>
      <c r="BF6894" s="29">
        <v>3150</v>
      </c>
      <c r="BG6894" s="29">
        <v>300</v>
      </c>
      <c r="BH6894" s="29">
        <v>300</v>
      </c>
      <c r="BI6894" s="29">
        <v>6000</v>
      </c>
      <c r="BJ6894" s="29">
        <v>2</v>
      </c>
      <c r="BK6894" s="29">
        <v>4056.25</v>
      </c>
      <c r="BL6894" s="29">
        <v>1500</v>
      </c>
      <c r="BM6894" s="29">
        <v>450</v>
      </c>
      <c r="BN6894" s="29">
        <v>20000</v>
      </c>
      <c r="BO6894" s="29">
        <v>8</v>
      </c>
      <c r="BP6894" s="29">
        <v>2191.67</v>
      </c>
      <c r="BQ6894" s="29">
        <v>800</v>
      </c>
      <c r="BR6894" s="29">
        <v>200</v>
      </c>
      <c r="BS6894" s="29">
        <v>15000</v>
      </c>
      <c r="BT6894" s="29">
        <v>12</v>
      </c>
      <c r="BU6894" s="29">
        <v>6733.33</v>
      </c>
      <c r="BV6894" s="29">
        <v>10000</v>
      </c>
      <c r="BW6894" s="29">
        <v>1200</v>
      </c>
      <c r="BX6894" s="29">
        <v>10000</v>
      </c>
      <c r="BY6894" s="29">
        <v>3</v>
      </c>
      <c r="BZ6894" s="29">
        <v>25</v>
      </c>
    </row>
    <row r="6895" spans="1:78" x14ac:dyDescent="0.35">
      <c r="A6895" t="s">
        <v>231</v>
      </c>
      <c r="B6895" t="s">
        <v>255</v>
      </c>
      <c r="C6895">
        <v>7001.83</v>
      </c>
      <c r="D6895">
        <v>5000</v>
      </c>
      <c r="E6895">
        <v>500</v>
      </c>
      <c r="F6895">
        <v>30000</v>
      </c>
      <c r="G6895" s="30">
        <v>109</v>
      </c>
      <c r="H6895">
        <v>3991.53</v>
      </c>
      <c r="I6895">
        <v>3000</v>
      </c>
      <c r="J6895">
        <v>100</v>
      </c>
      <c r="K6895">
        <v>15000</v>
      </c>
      <c r="L6895" s="30">
        <v>59</v>
      </c>
      <c r="M6895">
        <v>5987.2</v>
      </c>
      <c r="N6895">
        <v>6000</v>
      </c>
      <c r="O6895">
        <v>500</v>
      </c>
      <c r="P6895">
        <v>13000</v>
      </c>
      <c r="Q6895" s="30">
        <v>20</v>
      </c>
      <c r="R6895">
        <v>459.29</v>
      </c>
      <c r="S6895">
        <v>300</v>
      </c>
      <c r="T6895">
        <v>50</v>
      </c>
      <c r="U6895">
        <v>2500</v>
      </c>
      <c r="V6895" s="30">
        <v>56</v>
      </c>
      <c r="W6895">
        <v>667.16</v>
      </c>
      <c r="X6895">
        <v>500</v>
      </c>
      <c r="Y6895">
        <v>50</v>
      </c>
      <c r="Z6895">
        <v>2000</v>
      </c>
      <c r="AA6895" s="30">
        <v>56</v>
      </c>
      <c r="AB6895">
        <v>872.23</v>
      </c>
      <c r="AC6895">
        <v>500</v>
      </c>
      <c r="AD6895">
        <v>100</v>
      </c>
      <c r="AE6895">
        <v>5000</v>
      </c>
      <c r="AF6895" s="30">
        <v>90</v>
      </c>
      <c r="AG6895">
        <v>615.69000000000005</v>
      </c>
      <c r="AH6895">
        <v>500</v>
      </c>
      <c r="AI6895">
        <v>100</v>
      </c>
      <c r="AJ6895">
        <v>3000</v>
      </c>
      <c r="AK6895" s="30">
        <v>51</v>
      </c>
      <c r="AL6895">
        <v>1937.19</v>
      </c>
      <c r="AM6895">
        <v>1700</v>
      </c>
      <c r="AN6895">
        <v>300</v>
      </c>
      <c r="AO6895">
        <v>6000</v>
      </c>
      <c r="AP6895" s="30">
        <v>108</v>
      </c>
      <c r="AQ6895">
        <v>1741.57</v>
      </c>
      <c r="AR6895">
        <v>620</v>
      </c>
      <c r="AS6895">
        <v>50</v>
      </c>
      <c r="AT6895">
        <v>30000</v>
      </c>
      <c r="AU6895" s="30">
        <v>83</v>
      </c>
      <c r="AV6895">
        <v>491.67</v>
      </c>
      <c r="AW6895">
        <v>500</v>
      </c>
      <c r="AX6895">
        <v>100</v>
      </c>
      <c r="AY6895">
        <v>1500</v>
      </c>
      <c r="AZ6895" s="30">
        <v>18</v>
      </c>
      <c r="BA6895">
        <v>553.12</v>
      </c>
      <c r="BB6895">
        <v>500</v>
      </c>
      <c r="BC6895">
        <v>50</v>
      </c>
      <c r="BD6895">
        <v>2000</v>
      </c>
      <c r="BE6895" s="30">
        <v>117</v>
      </c>
      <c r="BF6895">
        <v>2957.14</v>
      </c>
      <c r="BG6895">
        <v>3000</v>
      </c>
      <c r="BH6895">
        <v>700</v>
      </c>
      <c r="BI6895">
        <v>10000</v>
      </c>
      <c r="BJ6895" s="30">
        <v>7</v>
      </c>
      <c r="BK6895">
        <v>5396.3</v>
      </c>
      <c r="BL6895">
        <v>2000</v>
      </c>
      <c r="BM6895">
        <v>200</v>
      </c>
      <c r="BN6895">
        <v>30000</v>
      </c>
      <c r="BO6895" s="30">
        <v>27</v>
      </c>
      <c r="BP6895">
        <v>1296.07</v>
      </c>
      <c r="BQ6895">
        <v>500</v>
      </c>
      <c r="BR6895">
        <v>100</v>
      </c>
      <c r="BS6895">
        <v>8500</v>
      </c>
      <c r="BT6895" s="30">
        <v>56</v>
      </c>
      <c r="BU6895">
        <v>783.33</v>
      </c>
      <c r="BV6895">
        <v>800</v>
      </c>
      <c r="BW6895">
        <v>200</v>
      </c>
      <c r="BX6895">
        <v>2000</v>
      </c>
      <c r="BY6895" s="30">
        <v>6</v>
      </c>
      <c r="BZ6895">
        <v>117</v>
      </c>
    </row>
    <row r="6896" spans="1:78" x14ac:dyDescent="0.35">
      <c r="A6896" s="27" t="s">
        <v>231</v>
      </c>
      <c r="B6896" s="27" t="s">
        <v>257</v>
      </c>
      <c r="C6896" s="29">
        <v>3285.71</v>
      </c>
      <c r="D6896" s="29">
        <v>3000</v>
      </c>
      <c r="E6896" s="29">
        <v>1000</v>
      </c>
      <c r="F6896" s="29">
        <v>6000</v>
      </c>
      <c r="G6896" s="29">
        <v>7</v>
      </c>
      <c r="H6896" s="29">
        <v>3666.67</v>
      </c>
      <c r="I6896" s="29">
        <v>8000</v>
      </c>
      <c r="J6896" s="29">
        <v>1000</v>
      </c>
      <c r="K6896" s="29">
        <v>8000</v>
      </c>
      <c r="L6896" s="29">
        <v>3</v>
      </c>
      <c r="M6896" s="29">
        <v>3000</v>
      </c>
      <c r="N6896" s="29">
        <v>3000</v>
      </c>
      <c r="O6896" s="29">
        <v>3000</v>
      </c>
      <c r="P6896" s="29">
        <v>3000</v>
      </c>
      <c r="Q6896" s="29">
        <v>1</v>
      </c>
      <c r="R6896" s="29">
        <v>100</v>
      </c>
      <c r="S6896" s="29">
        <v>100</v>
      </c>
      <c r="T6896" s="29">
        <v>100</v>
      </c>
      <c r="U6896" s="29">
        <v>100</v>
      </c>
      <c r="V6896" s="29">
        <v>1</v>
      </c>
      <c r="W6896" s="29">
        <v>175</v>
      </c>
      <c r="X6896" s="29">
        <v>200</v>
      </c>
      <c r="Y6896" s="29">
        <v>100</v>
      </c>
      <c r="Z6896" s="29">
        <v>200</v>
      </c>
      <c r="AA6896" s="29">
        <v>4</v>
      </c>
      <c r="AB6896" s="29">
        <v>566.66999999999996</v>
      </c>
      <c r="AC6896" s="29">
        <v>700</v>
      </c>
      <c r="AD6896" s="29">
        <v>200</v>
      </c>
      <c r="AE6896" s="29">
        <v>800</v>
      </c>
      <c r="AF6896" s="29">
        <v>6</v>
      </c>
      <c r="AG6896" s="29"/>
      <c r="AH6896" s="29"/>
      <c r="AI6896" s="29"/>
      <c r="AJ6896" s="29"/>
      <c r="AK6896" s="29"/>
      <c r="AL6896" s="29">
        <v>1466.67</v>
      </c>
      <c r="AM6896" s="29">
        <v>2000</v>
      </c>
      <c r="AN6896" s="29">
        <v>600</v>
      </c>
      <c r="AO6896" s="29">
        <v>2500</v>
      </c>
      <c r="AP6896" s="29">
        <v>6</v>
      </c>
      <c r="AQ6896" s="29">
        <v>300</v>
      </c>
      <c r="AR6896" s="29">
        <v>200</v>
      </c>
      <c r="AS6896" s="29">
        <v>200</v>
      </c>
      <c r="AT6896" s="29">
        <v>500</v>
      </c>
      <c r="AU6896" s="29">
        <v>4</v>
      </c>
      <c r="AV6896" s="29"/>
      <c r="AW6896" s="29"/>
      <c r="AX6896" s="29"/>
      <c r="AY6896" s="29"/>
      <c r="AZ6896" s="29"/>
      <c r="BA6896" s="29">
        <v>414.29</v>
      </c>
      <c r="BB6896" s="29">
        <v>500</v>
      </c>
      <c r="BC6896" s="29">
        <v>150</v>
      </c>
      <c r="BD6896" s="29">
        <v>500</v>
      </c>
      <c r="BE6896" s="29">
        <v>7</v>
      </c>
      <c r="BF6896" s="29"/>
      <c r="BG6896" s="29"/>
      <c r="BH6896" s="29"/>
      <c r="BI6896" s="29"/>
      <c r="BJ6896" s="29"/>
      <c r="BK6896" s="29">
        <v>2333.33</v>
      </c>
      <c r="BL6896" s="29">
        <v>3000</v>
      </c>
      <c r="BM6896" s="29">
        <v>2000</v>
      </c>
      <c r="BN6896" s="29">
        <v>3000</v>
      </c>
      <c r="BO6896" s="29">
        <v>3</v>
      </c>
      <c r="BP6896" s="29">
        <v>266.67</v>
      </c>
      <c r="BQ6896" s="29">
        <v>450</v>
      </c>
      <c r="BR6896" s="29">
        <v>50</v>
      </c>
      <c r="BS6896" s="29">
        <v>450</v>
      </c>
      <c r="BT6896" s="29">
        <v>3</v>
      </c>
      <c r="BU6896" s="29"/>
      <c r="BV6896" s="29"/>
      <c r="BW6896" s="29"/>
      <c r="BX6896" s="29"/>
      <c r="BY6896" s="29"/>
      <c r="BZ6896" s="29">
        <v>7</v>
      </c>
    </row>
    <row r="6897" spans="1:78" x14ac:dyDescent="0.35">
      <c r="A6897" t="s">
        <v>232</v>
      </c>
      <c r="B6897" t="s">
        <v>232</v>
      </c>
      <c r="C6897">
        <v>7868.72</v>
      </c>
      <c r="D6897">
        <v>6000</v>
      </c>
      <c r="E6897">
        <v>200</v>
      </c>
      <c r="F6897">
        <v>30000</v>
      </c>
      <c r="G6897" s="30">
        <v>2369</v>
      </c>
      <c r="H6897">
        <v>4052.31</v>
      </c>
      <c r="I6897">
        <v>3000</v>
      </c>
      <c r="J6897">
        <v>100</v>
      </c>
      <c r="K6897">
        <v>60000</v>
      </c>
      <c r="L6897" s="30">
        <v>1077</v>
      </c>
      <c r="M6897">
        <v>5938.14</v>
      </c>
      <c r="N6897">
        <v>5000</v>
      </c>
      <c r="O6897">
        <v>183</v>
      </c>
      <c r="P6897">
        <v>16000</v>
      </c>
      <c r="Q6897" s="30">
        <v>345</v>
      </c>
      <c r="R6897">
        <v>468.12</v>
      </c>
      <c r="S6897">
        <v>300</v>
      </c>
      <c r="T6897">
        <v>50</v>
      </c>
      <c r="U6897">
        <v>3000</v>
      </c>
      <c r="V6897" s="30">
        <v>1180</v>
      </c>
      <c r="W6897">
        <v>542.04</v>
      </c>
      <c r="X6897">
        <v>401</v>
      </c>
      <c r="Y6897">
        <v>30</v>
      </c>
      <c r="Z6897">
        <v>3000</v>
      </c>
      <c r="AA6897" s="30">
        <v>1265</v>
      </c>
      <c r="AB6897">
        <v>868.78</v>
      </c>
      <c r="AC6897">
        <v>500</v>
      </c>
      <c r="AD6897">
        <v>100</v>
      </c>
      <c r="AE6897">
        <v>5000</v>
      </c>
      <c r="AF6897" s="30">
        <v>1926</v>
      </c>
      <c r="AG6897">
        <v>667.4</v>
      </c>
      <c r="AH6897">
        <v>500</v>
      </c>
      <c r="AI6897">
        <v>100</v>
      </c>
      <c r="AJ6897">
        <v>5000</v>
      </c>
      <c r="AK6897" s="30">
        <v>856</v>
      </c>
      <c r="AL6897">
        <v>2130.96</v>
      </c>
      <c r="AM6897">
        <v>2000</v>
      </c>
      <c r="AN6897">
        <v>300</v>
      </c>
      <c r="AO6897">
        <v>9100</v>
      </c>
      <c r="AP6897" s="30">
        <v>2431</v>
      </c>
      <c r="AQ6897">
        <v>2285.5300000000002</v>
      </c>
      <c r="AR6897">
        <v>1000</v>
      </c>
      <c r="AS6897">
        <v>50</v>
      </c>
      <c r="AT6897">
        <v>30000</v>
      </c>
      <c r="AU6897" s="30">
        <v>1520</v>
      </c>
      <c r="AV6897">
        <v>776.74</v>
      </c>
      <c r="AW6897">
        <v>500</v>
      </c>
      <c r="AX6897">
        <v>100</v>
      </c>
      <c r="AY6897">
        <v>3000</v>
      </c>
      <c r="AZ6897" s="30">
        <v>266</v>
      </c>
      <c r="BA6897">
        <v>615.85</v>
      </c>
      <c r="BB6897">
        <v>500</v>
      </c>
      <c r="BC6897">
        <v>50</v>
      </c>
      <c r="BD6897">
        <v>2800</v>
      </c>
      <c r="BE6897" s="30">
        <v>2479</v>
      </c>
      <c r="BF6897">
        <v>3040.04</v>
      </c>
      <c r="BG6897">
        <v>2000</v>
      </c>
      <c r="BH6897">
        <v>200</v>
      </c>
      <c r="BI6897">
        <v>10000</v>
      </c>
      <c r="BJ6897" s="30">
        <v>132</v>
      </c>
      <c r="BK6897">
        <v>4895.0200000000004</v>
      </c>
      <c r="BL6897">
        <v>2000</v>
      </c>
      <c r="BM6897">
        <v>100</v>
      </c>
      <c r="BN6897">
        <v>30000</v>
      </c>
      <c r="BO6897" s="30">
        <v>461</v>
      </c>
      <c r="BP6897">
        <v>1288.5999999999999</v>
      </c>
      <c r="BQ6897">
        <v>600</v>
      </c>
      <c r="BR6897">
        <v>50</v>
      </c>
      <c r="BS6897">
        <v>30000</v>
      </c>
      <c r="BT6897" s="30">
        <v>1296</v>
      </c>
      <c r="BU6897">
        <v>3251.2</v>
      </c>
      <c r="BV6897">
        <v>2500</v>
      </c>
      <c r="BW6897">
        <v>100</v>
      </c>
      <c r="BX6897">
        <v>10000</v>
      </c>
      <c r="BY6897" s="30">
        <v>124</v>
      </c>
      <c r="BZ6897">
        <v>2479</v>
      </c>
    </row>
    <row r="6899" spans="1:78" x14ac:dyDescent="0.35">
      <c r="A6899" s="1" t="s">
        <v>975</v>
      </c>
    </row>
    <row r="6900" spans="1:78" x14ac:dyDescent="0.35">
      <c r="A6900" t="s">
        <v>219</v>
      </c>
      <c r="B6900" t="s">
        <v>534</v>
      </c>
      <c r="C6900" t="s">
        <v>535</v>
      </c>
      <c r="D6900" t="s">
        <v>536</v>
      </c>
      <c r="E6900" t="s">
        <v>537</v>
      </c>
      <c r="F6900" t="s">
        <v>226</v>
      </c>
    </row>
    <row r="6901" spans="1:78" x14ac:dyDescent="0.35">
      <c r="A6901" t="s">
        <v>227</v>
      </c>
      <c r="B6901">
        <v>2582.0100000000002</v>
      </c>
      <c r="C6901">
        <v>2000</v>
      </c>
      <c r="D6901">
        <v>0</v>
      </c>
      <c r="E6901">
        <v>18000</v>
      </c>
      <c r="F6901">
        <v>144</v>
      </c>
    </row>
    <row r="6902" spans="1:78" x14ac:dyDescent="0.35">
      <c r="A6902" t="s">
        <v>228</v>
      </c>
      <c r="B6902">
        <v>2636.58</v>
      </c>
      <c r="C6902">
        <v>2000</v>
      </c>
      <c r="D6902">
        <v>0</v>
      </c>
      <c r="E6902">
        <v>33900</v>
      </c>
      <c r="F6902">
        <v>836</v>
      </c>
    </row>
    <row r="6903" spans="1:78" x14ac:dyDescent="0.35">
      <c r="A6903" t="s">
        <v>229</v>
      </c>
      <c r="B6903">
        <v>2670.35</v>
      </c>
      <c r="C6903">
        <v>2000</v>
      </c>
      <c r="D6903">
        <v>0</v>
      </c>
      <c r="E6903">
        <v>25000</v>
      </c>
      <c r="F6903">
        <v>763</v>
      </c>
    </row>
    <row r="6904" spans="1:78" x14ac:dyDescent="0.35">
      <c r="A6904" t="s">
        <v>230</v>
      </c>
      <c r="B6904">
        <v>2673.66</v>
      </c>
      <c r="C6904">
        <v>2000</v>
      </c>
      <c r="D6904">
        <v>0</v>
      </c>
      <c r="E6904">
        <v>25000</v>
      </c>
      <c r="F6904">
        <v>481</v>
      </c>
    </row>
    <row r="6905" spans="1:78" x14ac:dyDescent="0.35">
      <c r="A6905" t="s">
        <v>231</v>
      </c>
      <c r="B6905">
        <v>2663.34</v>
      </c>
      <c r="C6905">
        <v>2000</v>
      </c>
      <c r="D6905">
        <v>0</v>
      </c>
      <c r="E6905">
        <v>20000</v>
      </c>
      <c r="F6905">
        <v>132</v>
      </c>
    </row>
    <row r="6906" spans="1:78" x14ac:dyDescent="0.35">
      <c r="A6906" t="s">
        <v>232</v>
      </c>
      <c r="B6906">
        <v>2648.46</v>
      </c>
      <c r="C6906">
        <v>2000</v>
      </c>
      <c r="D6906">
        <v>0</v>
      </c>
      <c r="E6906">
        <v>33900</v>
      </c>
      <c r="F6906">
        <v>2356</v>
      </c>
    </row>
    <row r="6908" spans="1:78" x14ac:dyDescent="0.35">
      <c r="A6908" s="1" t="s">
        <v>976</v>
      </c>
    </row>
    <row r="6909" spans="1:78" x14ac:dyDescent="0.35">
      <c r="A6909" t="s">
        <v>219</v>
      </c>
      <c r="B6909" t="s">
        <v>305</v>
      </c>
      <c r="C6909" t="s">
        <v>534</v>
      </c>
      <c r="D6909" t="s">
        <v>535</v>
      </c>
      <c r="E6909" t="s">
        <v>536</v>
      </c>
      <c r="F6909" t="s">
        <v>537</v>
      </c>
      <c r="G6909" t="s">
        <v>226</v>
      </c>
    </row>
    <row r="6910" spans="1:78" x14ac:dyDescent="0.35">
      <c r="A6910" t="s">
        <v>227</v>
      </c>
      <c r="B6910" t="s">
        <v>242</v>
      </c>
      <c r="C6910">
        <v>3036.29</v>
      </c>
      <c r="D6910">
        <v>2500</v>
      </c>
      <c r="E6910">
        <v>300</v>
      </c>
      <c r="F6910">
        <v>18000</v>
      </c>
      <c r="G6910">
        <v>62</v>
      </c>
    </row>
    <row r="6911" spans="1:78" x14ac:dyDescent="0.35">
      <c r="A6911" t="s">
        <v>227</v>
      </c>
      <c r="B6911" t="s">
        <v>241</v>
      </c>
      <c r="C6911">
        <v>2238.54</v>
      </c>
      <c r="D6911">
        <v>2000</v>
      </c>
      <c r="E6911">
        <v>0</v>
      </c>
      <c r="F6911">
        <v>7000</v>
      </c>
      <c r="G6911">
        <v>82</v>
      </c>
    </row>
    <row r="6912" spans="1:78" x14ac:dyDescent="0.35">
      <c r="A6912" t="s">
        <v>228</v>
      </c>
      <c r="B6912" t="s">
        <v>242</v>
      </c>
      <c r="C6912">
        <v>2947.91</v>
      </c>
      <c r="D6912">
        <v>2000</v>
      </c>
      <c r="E6912">
        <v>0</v>
      </c>
      <c r="F6912">
        <v>33900</v>
      </c>
      <c r="G6912">
        <v>328</v>
      </c>
    </row>
    <row r="6913" spans="1:7" x14ac:dyDescent="0.35">
      <c r="A6913" t="s">
        <v>228</v>
      </c>
      <c r="B6913" t="s">
        <v>241</v>
      </c>
      <c r="C6913">
        <v>2473.85</v>
      </c>
      <c r="D6913">
        <v>2000</v>
      </c>
      <c r="E6913">
        <v>0</v>
      </c>
      <c r="F6913">
        <v>31000</v>
      </c>
      <c r="G6913">
        <v>508</v>
      </c>
    </row>
    <row r="6914" spans="1:7" x14ac:dyDescent="0.35">
      <c r="A6914" t="s">
        <v>229</v>
      </c>
      <c r="B6914" t="s">
        <v>242</v>
      </c>
      <c r="C6914">
        <v>2846.77</v>
      </c>
      <c r="D6914">
        <v>2000</v>
      </c>
      <c r="E6914">
        <v>0</v>
      </c>
      <c r="F6914">
        <v>25000</v>
      </c>
      <c r="G6914">
        <v>256</v>
      </c>
    </row>
    <row r="6915" spans="1:7" x14ac:dyDescent="0.35">
      <c r="A6915" t="s">
        <v>229</v>
      </c>
      <c r="B6915" t="s">
        <v>241</v>
      </c>
      <c r="C6915">
        <v>2554.48</v>
      </c>
      <c r="D6915">
        <v>2000</v>
      </c>
      <c r="E6915">
        <v>0</v>
      </c>
      <c r="F6915">
        <v>20000</v>
      </c>
      <c r="G6915">
        <v>507</v>
      </c>
    </row>
    <row r="6916" spans="1:7" x14ac:dyDescent="0.35">
      <c r="A6916" t="s">
        <v>230</v>
      </c>
      <c r="B6916" t="s">
        <v>242</v>
      </c>
      <c r="C6916">
        <v>3146.36</v>
      </c>
      <c r="D6916">
        <v>2000</v>
      </c>
      <c r="E6916">
        <v>0</v>
      </c>
      <c r="F6916">
        <v>25000</v>
      </c>
      <c r="G6916">
        <v>168</v>
      </c>
    </row>
    <row r="6917" spans="1:7" x14ac:dyDescent="0.35">
      <c r="A6917" t="s">
        <v>230</v>
      </c>
      <c r="B6917" t="s">
        <v>241</v>
      </c>
      <c r="C6917">
        <v>2423.4299999999998</v>
      </c>
      <c r="D6917">
        <v>2000</v>
      </c>
      <c r="E6917">
        <v>0</v>
      </c>
      <c r="F6917">
        <v>15000</v>
      </c>
      <c r="G6917">
        <v>313</v>
      </c>
    </row>
    <row r="6918" spans="1:7" x14ac:dyDescent="0.35">
      <c r="A6918" t="s">
        <v>231</v>
      </c>
      <c r="B6918" t="s">
        <v>242</v>
      </c>
      <c r="C6918">
        <v>2772.68</v>
      </c>
      <c r="D6918">
        <v>3000</v>
      </c>
      <c r="E6918">
        <v>0</v>
      </c>
      <c r="F6918">
        <v>6000</v>
      </c>
      <c r="G6918">
        <v>47</v>
      </c>
    </row>
    <row r="6919" spans="1:7" x14ac:dyDescent="0.35">
      <c r="A6919" t="s">
        <v>231</v>
      </c>
      <c r="B6919" t="s">
        <v>241</v>
      </c>
      <c r="C6919">
        <v>2602.88</v>
      </c>
      <c r="D6919">
        <v>2000</v>
      </c>
      <c r="E6919">
        <v>0</v>
      </c>
      <c r="F6919">
        <v>20000</v>
      </c>
      <c r="G6919">
        <v>85</v>
      </c>
    </row>
    <row r="6920" spans="1:7" x14ac:dyDescent="0.35">
      <c r="A6920" t="s">
        <v>232</v>
      </c>
      <c r="B6920" t="s">
        <v>232</v>
      </c>
      <c r="C6920">
        <v>2648.46</v>
      </c>
      <c r="D6920">
        <v>2000</v>
      </c>
      <c r="E6920">
        <v>0</v>
      </c>
      <c r="F6920">
        <v>33900</v>
      </c>
      <c r="G6920">
        <v>2356</v>
      </c>
    </row>
    <row r="6922" spans="1:7" x14ac:dyDescent="0.35">
      <c r="A6922" s="1" t="s">
        <v>977</v>
      </c>
    </row>
    <row r="6923" spans="1:7" x14ac:dyDescent="0.35">
      <c r="A6923" t="s">
        <v>219</v>
      </c>
      <c r="B6923" t="s">
        <v>305</v>
      </c>
      <c r="C6923" t="s">
        <v>534</v>
      </c>
      <c r="D6923" t="s">
        <v>535</v>
      </c>
      <c r="E6923" t="s">
        <v>536</v>
      </c>
      <c r="F6923" t="s">
        <v>537</v>
      </c>
      <c r="G6923" t="s">
        <v>226</v>
      </c>
    </row>
    <row r="6924" spans="1:7" x14ac:dyDescent="0.35">
      <c r="A6924" t="s">
        <v>227</v>
      </c>
      <c r="B6924" t="s">
        <v>239</v>
      </c>
      <c r="C6924">
        <v>3284.21</v>
      </c>
      <c r="D6924">
        <v>2700</v>
      </c>
      <c r="E6924">
        <v>500</v>
      </c>
      <c r="F6924">
        <v>18000</v>
      </c>
      <c r="G6924">
        <v>57</v>
      </c>
    </row>
    <row r="6925" spans="1:7" x14ac:dyDescent="0.35">
      <c r="A6925" t="s">
        <v>227</v>
      </c>
      <c r="B6925" t="s">
        <v>238</v>
      </c>
      <c r="C6925">
        <v>2121.9499999999998</v>
      </c>
      <c r="D6925">
        <v>2000</v>
      </c>
      <c r="E6925">
        <v>0</v>
      </c>
      <c r="F6925">
        <v>10000</v>
      </c>
      <c r="G6925">
        <v>87</v>
      </c>
    </row>
    <row r="6926" spans="1:7" x14ac:dyDescent="0.35">
      <c r="A6926" t="s">
        <v>228</v>
      </c>
      <c r="B6926" t="s">
        <v>239</v>
      </c>
      <c r="C6926">
        <v>3928.11</v>
      </c>
      <c r="D6926">
        <v>3000</v>
      </c>
      <c r="E6926">
        <v>0</v>
      </c>
      <c r="F6926">
        <v>33900</v>
      </c>
      <c r="G6926">
        <v>258</v>
      </c>
    </row>
    <row r="6927" spans="1:7" x14ac:dyDescent="0.35">
      <c r="A6927" t="s">
        <v>228</v>
      </c>
      <c r="B6927" t="s">
        <v>238</v>
      </c>
      <c r="C6927">
        <v>2305.77</v>
      </c>
      <c r="D6927">
        <v>2000</v>
      </c>
      <c r="E6927">
        <v>0</v>
      </c>
      <c r="F6927">
        <v>20000</v>
      </c>
      <c r="G6927">
        <v>578</v>
      </c>
    </row>
    <row r="6928" spans="1:7" x14ac:dyDescent="0.35">
      <c r="A6928" t="s">
        <v>229</v>
      </c>
      <c r="B6928" t="s">
        <v>239</v>
      </c>
      <c r="C6928">
        <v>3455.79</v>
      </c>
      <c r="D6928">
        <v>3000</v>
      </c>
      <c r="E6928">
        <v>0</v>
      </c>
      <c r="F6928">
        <v>20000</v>
      </c>
      <c r="G6928">
        <v>276</v>
      </c>
    </row>
    <row r="6929" spans="1:7" x14ac:dyDescent="0.35">
      <c r="A6929" t="s">
        <v>229</v>
      </c>
      <c r="B6929" t="s">
        <v>238</v>
      </c>
      <c r="C6929">
        <v>2406.8000000000002</v>
      </c>
      <c r="D6929">
        <v>2000</v>
      </c>
      <c r="E6929">
        <v>0</v>
      </c>
      <c r="F6929">
        <v>25000</v>
      </c>
      <c r="G6929">
        <v>487</v>
      </c>
    </row>
    <row r="6930" spans="1:7" x14ac:dyDescent="0.35">
      <c r="A6930" t="s">
        <v>230</v>
      </c>
      <c r="B6930" t="s">
        <v>239</v>
      </c>
      <c r="C6930">
        <v>3320.16</v>
      </c>
      <c r="D6930">
        <v>3000</v>
      </c>
      <c r="E6930">
        <v>0</v>
      </c>
      <c r="F6930">
        <v>24000</v>
      </c>
      <c r="G6930">
        <v>181</v>
      </c>
    </row>
    <row r="6931" spans="1:7" x14ac:dyDescent="0.35">
      <c r="A6931" t="s">
        <v>230</v>
      </c>
      <c r="B6931" t="s">
        <v>238</v>
      </c>
      <c r="C6931">
        <v>2391.5100000000002</v>
      </c>
      <c r="D6931">
        <v>2000</v>
      </c>
      <c r="E6931">
        <v>0</v>
      </c>
      <c r="F6931">
        <v>25000</v>
      </c>
      <c r="G6931">
        <v>300</v>
      </c>
    </row>
    <row r="6932" spans="1:7" x14ac:dyDescent="0.35">
      <c r="A6932" t="s">
        <v>231</v>
      </c>
      <c r="B6932" t="s">
        <v>239</v>
      </c>
      <c r="C6932">
        <v>2756.47</v>
      </c>
      <c r="D6932">
        <v>3000</v>
      </c>
      <c r="E6932">
        <v>0</v>
      </c>
      <c r="F6932">
        <v>6500</v>
      </c>
      <c r="G6932">
        <v>45</v>
      </c>
    </row>
    <row r="6933" spans="1:7" x14ac:dyDescent="0.35">
      <c r="A6933" t="s">
        <v>231</v>
      </c>
      <c r="B6933" t="s">
        <v>238</v>
      </c>
      <c r="C6933">
        <v>2615.17</v>
      </c>
      <c r="D6933">
        <v>2000</v>
      </c>
      <c r="E6933">
        <v>0</v>
      </c>
      <c r="F6933">
        <v>20000</v>
      </c>
      <c r="G6933">
        <v>87</v>
      </c>
    </row>
    <row r="6934" spans="1:7" x14ac:dyDescent="0.35">
      <c r="A6934" t="s">
        <v>232</v>
      </c>
      <c r="B6934" t="s">
        <v>232</v>
      </c>
      <c r="C6934">
        <v>2648.46</v>
      </c>
      <c r="D6934">
        <v>2000</v>
      </c>
      <c r="E6934">
        <v>0</v>
      </c>
      <c r="F6934">
        <v>33900</v>
      </c>
      <c r="G6934">
        <v>2356</v>
      </c>
    </row>
    <row r="6936" spans="1:7" x14ac:dyDescent="0.35">
      <c r="A6936" s="1" t="s">
        <v>978</v>
      </c>
    </row>
    <row r="6937" spans="1:7" x14ac:dyDescent="0.35">
      <c r="A6937" t="s">
        <v>219</v>
      </c>
      <c r="B6937" t="s">
        <v>305</v>
      </c>
      <c r="C6937" t="s">
        <v>534</v>
      </c>
      <c r="D6937" t="s">
        <v>535</v>
      </c>
      <c r="E6937" t="s">
        <v>536</v>
      </c>
      <c r="F6937" t="s">
        <v>537</v>
      </c>
      <c r="G6937" t="s">
        <v>226</v>
      </c>
    </row>
    <row r="6938" spans="1:7" x14ac:dyDescent="0.35">
      <c r="A6938" t="s">
        <v>227</v>
      </c>
      <c r="B6938" t="s">
        <v>244</v>
      </c>
      <c r="C6938">
        <v>2680.24</v>
      </c>
      <c r="D6938">
        <v>2500</v>
      </c>
      <c r="E6938">
        <v>0</v>
      </c>
      <c r="F6938">
        <v>18000</v>
      </c>
      <c r="G6938">
        <v>85</v>
      </c>
    </row>
    <row r="6939" spans="1:7" x14ac:dyDescent="0.35">
      <c r="A6939" t="s">
        <v>227</v>
      </c>
      <c r="B6939" t="s">
        <v>245</v>
      </c>
      <c r="C6939">
        <v>2212.29</v>
      </c>
      <c r="D6939">
        <v>2000</v>
      </c>
      <c r="E6939">
        <v>300</v>
      </c>
      <c r="F6939">
        <v>9500</v>
      </c>
      <c r="G6939">
        <v>48</v>
      </c>
    </row>
    <row r="6940" spans="1:7" x14ac:dyDescent="0.35">
      <c r="A6940" s="27" t="s">
        <v>227</v>
      </c>
      <c r="B6940" s="27" t="s">
        <v>246</v>
      </c>
      <c r="C6940" s="29">
        <v>3436.36</v>
      </c>
      <c r="D6940" s="29">
        <v>2500</v>
      </c>
      <c r="E6940" s="29">
        <v>1200</v>
      </c>
      <c r="F6940" s="29">
        <v>10000</v>
      </c>
      <c r="G6940" s="29">
        <v>11</v>
      </c>
    </row>
    <row r="6941" spans="1:7" x14ac:dyDescent="0.35">
      <c r="A6941" t="s">
        <v>228</v>
      </c>
      <c r="B6941" t="s">
        <v>244</v>
      </c>
      <c r="C6941">
        <v>2692.13</v>
      </c>
      <c r="D6941">
        <v>2000</v>
      </c>
      <c r="E6941">
        <v>0</v>
      </c>
      <c r="F6941">
        <v>33900</v>
      </c>
      <c r="G6941">
        <v>517</v>
      </c>
    </row>
    <row r="6942" spans="1:7" x14ac:dyDescent="0.35">
      <c r="A6942" t="s">
        <v>228</v>
      </c>
      <c r="B6942" t="s">
        <v>245</v>
      </c>
      <c r="C6942">
        <v>2273.7399999999998</v>
      </c>
      <c r="D6942">
        <v>1900</v>
      </c>
      <c r="E6942">
        <v>0</v>
      </c>
      <c r="F6942">
        <v>21000</v>
      </c>
      <c r="G6942">
        <v>263</v>
      </c>
    </row>
    <row r="6943" spans="1:7" x14ac:dyDescent="0.35">
      <c r="A6943" t="s">
        <v>228</v>
      </c>
      <c r="B6943" t="s">
        <v>246</v>
      </c>
      <c r="C6943">
        <v>3566.69</v>
      </c>
      <c r="D6943">
        <v>3500</v>
      </c>
      <c r="E6943">
        <v>1000</v>
      </c>
      <c r="F6943">
        <v>10000</v>
      </c>
      <c r="G6943">
        <v>56</v>
      </c>
    </row>
    <row r="6944" spans="1:7" x14ac:dyDescent="0.35">
      <c r="A6944" t="s">
        <v>229</v>
      </c>
      <c r="B6944" t="s">
        <v>244</v>
      </c>
      <c r="C6944">
        <v>2768.09</v>
      </c>
      <c r="D6944">
        <v>2100</v>
      </c>
      <c r="E6944">
        <v>0</v>
      </c>
      <c r="F6944">
        <v>25000</v>
      </c>
      <c r="G6944">
        <v>482</v>
      </c>
    </row>
    <row r="6945" spans="1:7" x14ac:dyDescent="0.35">
      <c r="A6945" t="s">
        <v>229</v>
      </c>
      <c r="B6945" t="s">
        <v>245</v>
      </c>
      <c r="C6945">
        <v>2065.5700000000002</v>
      </c>
      <c r="D6945">
        <v>2000</v>
      </c>
      <c r="E6945">
        <v>0</v>
      </c>
      <c r="F6945">
        <v>10000</v>
      </c>
      <c r="G6945">
        <v>243</v>
      </c>
    </row>
    <row r="6946" spans="1:7" x14ac:dyDescent="0.35">
      <c r="A6946" t="s">
        <v>229</v>
      </c>
      <c r="B6946" t="s">
        <v>246</v>
      </c>
      <c r="C6946">
        <v>4204.03</v>
      </c>
      <c r="D6946">
        <v>3000</v>
      </c>
      <c r="E6946">
        <v>0</v>
      </c>
      <c r="F6946">
        <v>15000</v>
      </c>
      <c r="G6946">
        <v>38</v>
      </c>
    </row>
    <row r="6947" spans="1:7" x14ac:dyDescent="0.35">
      <c r="A6947" t="s">
        <v>230</v>
      </c>
      <c r="B6947" t="s">
        <v>244</v>
      </c>
      <c r="C6947">
        <v>2895.02</v>
      </c>
      <c r="D6947">
        <v>2200</v>
      </c>
      <c r="E6947">
        <v>0</v>
      </c>
      <c r="F6947">
        <v>24000</v>
      </c>
      <c r="G6947">
        <v>321</v>
      </c>
    </row>
    <row r="6948" spans="1:7" x14ac:dyDescent="0.35">
      <c r="A6948" t="s">
        <v>230</v>
      </c>
      <c r="B6948" t="s">
        <v>245</v>
      </c>
      <c r="C6948">
        <v>1762.87</v>
      </c>
      <c r="D6948">
        <v>1500</v>
      </c>
      <c r="E6948">
        <v>0</v>
      </c>
      <c r="F6948">
        <v>25000</v>
      </c>
      <c r="G6948">
        <v>136</v>
      </c>
    </row>
    <row r="6949" spans="1:7" x14ac:dyDescent="0.35">
      <c r="A6949" s="27" t="s">
        <v>230</v>
      </c>
      <c r="B6949" s="27" t="s">
        <v>246</v>
      </c>
      <c r="C6949" s="29">
        <v>4458.12</v>
      </c>
      <c r="D6949" s="29">
        <v>3000</v>
      </c>
      <c r="E6949" s="29">
        <v>1000</v>
      </c>
      <c r="F6949" s="29">
        <v>12500</v>
      </c>
      <c r="G6949" s="29">
        <v>24</v>
      </c>
    </row>
    <row r="6950" spans="1:7" x14ac:dyDescent="0.35">
      <c r="A6950" t="s">
        <v>231</v>
      </c>
      <c r="B6950" t="s">
        <v>244</v>
      </c>
      <c r="C6950">
        <v>2719.14</v>
      </c>
      <c r="D6950">
        <v>2500</v>
      </c>
      <c r="E6950">
        <v>0</v>
      </c>
      <c r="F6950">
        <v>7000</v>
      </c>
      <c r="G6950">
        <v>74</v>
      </c>
    </row>
    <row r="6951" spans="1:7" x14ac:dyDescent="0.35">
      <c r="A6951" t="s">
        <v>231</v>
      </c>
      <c r="B6951" t="s">
        <v>245</v>
      </c>
      <c r="C6951">
        <v>2038.44</v>
      </c>
      <c r="D6951">
        <v>2000</v>
      </c>
      <c r="E6951">
        <v>0</v>
      </c>
      <c r="F6951">
        <v>15000</v>
      </c>
      <c r="G6951">
        <v>48</v>
      </c>
    </row>
    <row r="6952" spans="1:7" x14ac:dyDescent="0.35">
      <c r="A6952" s="27" t="s">
        <v>231</v>
      </c>
      <c r="B6952" s="27" t="s">
        <v>246</v>
      </c>
      <c r="C6952" s="29">
        <v>5250</v>
      </c>
      <c r="D6952" s="29">
        <v>4000</v>
      </c>
      <c r="E6952" s="29">
        <v>2000</v>
      </c>
      <c r="F6952" s="29">
        <v>20000</v>
      </c>
      <c r="G6952" s="29">
        <v>10</v>
      </c>
    </row>
    <row r="6953" spans="1:7" x14ac:dyDescent="0.35">
      <c r="A6953" t="s">
        <v>232</v>
      </c>
      <c r="B6953" t="s">
        <v>232</v>
      </c>
      <c r="C6953">
        <v>2648.46</v>
      </c>
      <c r="D6953">
        <v>2000</v>
      </c>
      <c r="E6953">
        <v>0</v>
      </c>
      <c r="F6953">
        <v>33900</v>
      </c>
      <c r="G6953">
        <v>2356</v>
      </c>
    </row>
    <row r="6955" spans="1:7" x14ac:dyDescent="0.35">
      <c r="A6955" s="1" t="s">
        <v>979</v>
      </c>
    </row>
    <row r="6956" spans="1:7" x14ac:dyDescent="0.35">
      <c r="A6956" t="s">
        <v>219</v>
      </c>
      <c r="B6956" t="s">
        <v>305</v>
      </c>
      <c r="C6956" t="s">
        <v>534</v>
      </c>
      <c r="D6956" t="s">
        <v>535</v>
      </c>
      <c r="E6956" t="s">
        <v>536</v>
      </c>
      <c r="F6956" t="s">
        <v>537</v>
      </c>
      <c r="G6956" t="s">
        <v>226</v>
      </c>
    </row>
    <row r="6957" spans="1:7" x14ac:dyDescent="0.35">
      <c r="A6957" t="s">
        <v>227</v>
      </c>
      <c r="B6957" t="s">
        <v>360</v>
      </c>
      <c r="C6957">
        <v>3256.86</v>
      </c>
      <c r="D6957">
        <v>2500</v>
      </c>
      <c r="E6957">
        <v>0</v>
      </c>
      <c r="F6957">
        <v>18000</v>
      </c>
      <c r="G6957">
        <v>35</v>
      </c>
    </row>
    <row r="6958" spans="1:7" x14ac:dyDescent="0.35">
      <c r="A6958" t="s">
        <v>227</v>
      </c>
      <c r="B6958" t="s">
        <v>363</v>
      </c>
      <c r="C6958">
        <v>2200.4899999999998</v>
      </c>
      <c r="D6958">
        <v>2200</v>
      </c>
      <c r="E6958">
        <v>800</v>
      </c>
      <c r="F6958">
        <v>6000</v>
      </c>
      <c r="G6958">
        <v>41</v>
      </c>
    </row>
    <row r="6959" spans="1:7" x14ac:dyDescent="0.35">
      <c r="A6959" s="27" t="s">
        <v>227</v>
      </c>
      <c r="B6959" s="27" t="s">
        <v>361</v>
      </c>
      <c r="C6959" s="29">
        <v>2517.2399999999998</v>
      </c>
      <c r="D6959" s="29">
        <v>2100</v>
      </c>
      <c r="E6959" s="29">
        <v>300</v>
      </c>
      <c r="F6959" s="29">
        <v>9500</v>
      </c>
      <c r="G6959" s="29">
        <v>29</v>
      </c>
    </row>
    <row r="6960" spans="1:7" x14ac:dyDescent="0.35">
      <c r="A6960" t="s">
        <v>227</v>
      </c>
      <c r="B6960" t="s">
        <v>362</v>
      </c>
      <c r="C6960">
        <v>2288.5700000000002</v>
      </c>
      <c r="D6960">
        <v>2200</v>
      </c>
      <c r="E6960">
        <v>0</v>
      </c>
      <c r="F6960">
        <v>5400</v>
      </c>
      <c r="G6960">
        <v>35</v>
      </c>
    </row>
    <row r="6961" spans="1:7" x14ac:dyDescent="0.35">
      <c r="A6961" t="s">
        <v>228</v>
      </c>
      <c r="B6961" t="s">
        <v>361</v>
      </c>
      <c r="C6961">
        <v>2276.33</v>
      </c>
      <c r="D6961">
        <v>2000</v>
      </c>
      <c r="E6961">
        <v>0</v>
      </c>
      <c r="F6961">
        <v>20000</v>
      </c>
      <c r="G6961">
        <v>169</v>
      </c>
    </row>
    <row r="6962" spans="1:7" x14ac:dyDescent="0.35">
      <c r="A6962" t="s">
        <v>228</v>
      </c>
      <c r="B6962" t="s">
        <v>362</v>
      </c>
      <c r="C6962">
        <v>2920.01</v>
      </c>
      <c r="D6962">
        <v>2000</v>
      </c>
      <c r="E6962">
        <v>0</v>
      </c>
      <c r="F6962">
        <v>33900</v>
      </c>
      <c r="G6962">
        <v>199</v>
      </c>
    </row>
    <row r="6963" spans="1:7" x14ac:dyDescent="0.35">
      <c r="A6963" t="s">
        <v>228</v>
      </c>
      <c r="B6963" t="s">
        <v>363</v>
      </c>
      <c r="C6963">
        <v>2409.13</v>
      </c>
      <c r="D6963">
        <v>2000</v>
      </c>
      <c r="E6963">
        <v>0</v>
      </c>
      <c r="F6963">
        <v>15000</v>
      </c>
      <c r="G6963">
        <v>182</v>
      </c>
    </row>
    <row r="6964" spans="1:7" x14ac:dyDescent="0.35">
      <c r="A6964" t="s">
        <v>228</v>
      </c>
      <c r="B6964" t="s">
        <v>360</v>
      </c>
      <c r="C6964">
        <v>3035.3</v>
      </c>
      <c r="D6964">
        <v>2400</v>
      </c>
      <c r="E6964">
        <v>0</v>
      </c>
      <c r="F6964">
        <v>21000</v>
      </c>
      <c r="G6964">
        <v>204</v>
      </c>
    </row>
    <row r="6965" spans="1:7" x14ac:dyDescent="0.35">
      <c r="A6965" t="s">
        <v>229</v>
      </c>
      <c r="B6965" t="s">
        <v>362</v>
      </c>
      <c r="C6965">
        <v>2457.89</v>
      </c>
      <c r="D6965">
        <v>2000</v>
      </c>
      <c r="E6965">
        <v>300</v>
      </c>
      <c r="F6965">
        <v>25000</v>
      </c>
      <c r="G6965">
        <v>152</v>
      </c>
    </row>
    <row r="6966" spans="1:7" x14ac:dyDescent="0.35">
      <c r="A6966" t="s">
        <v>229</v>
      </c>
      <c r="B6966" t="s">
        <v>360</v>
      </c>
      <c r="C6966">
        <v>2894.33</v>
      </c>
      <c r="D6966">
        <v>2300</v>
      </c>
      <c r="E6966">
        <v>0</v>
      </c>
      <c r="F6966">
        <v>20000</v>
      </c>
      <c r="G6966">
        <v>145</v>
      </c>
    </row>
    <row r="6967" spans="1:7" x14ac:dyDescent="0.35">
      <c r="A6967" t="s">
        <v>229</v>
      </c>
      <c r="B6967" t="s">
        <v>361</v>
      </c>
      <c r="C6967">
        <v>2969.95</v>
      </c>
      <c r="D6967">
        <v>2000</v>
      </c>
      <c r="E6967">
        <v>200</v>
      </c>
      <c r="F6967">
        <v>20000</v>
      </c>
      <c r="G6967">
        <v>215</v>
      </c>
    </row>
    <row r="6968" spans="1:7" x14ac:dyDescent="0.35">
      <c r="A6968" t="s">
        <v>229</v>
      </c>
      <c r="B6968" t="s">
        <v>363</v>
      </c>
      <c r="C6968">
        <v>2293.7399999999998</v>
      </c>
      <c r="D6968">
        <v>2000</v>
      </c>
      <c r="E6968">
        <v>0</v>
      </c>
      <c r="F6968">
        <v>15000</v>
      </c>
      <c r="G6968">
        <v>166</v>
      </c>
    </row>
    <row r="6969" spans="1:7" x14ac:dyDescent="0.35">
      <c r="A6969" t="s">
        <v>230</v>
      </c>
      <c r="B6969" t="s">
        <v>361</v>
      </c>
      <c r="C6969">
        <v>2651.05</v>
      </c>
      <c r="D6969">
        <v>2000</v>
      </c>
      <c r="E6969">
        <v>0</v>
      </c>
      <c r="F6969">
        <v>10000</v>
      </c>
      <c r="G6969">
        <v>99</v>
      </c>
    </row>
    <row r="6970" spans="1:7" x14ac:dyDescent="0.35">
      <c r="A6970" t="s">
        <v>230</v>
      </c>
      <c r="B6970" t="s">
        <v>363</v>
      </c>
      <c r="C6970">
        <v>2299.64</v>
      </c>
      <c r="D6970">
        <v>2000</v>
      </c>
      <c r="E6970">
        <v>0</v>
      </c>
      <c r="F6970">
        <v>25000</v>
      </c>
      <c r="G6970">
        <v>120</v>
      </c>
    </row>
    <row r="6971" spans="1:7" x14ac:dyDescent="0.35">
      <c r="A6971" t="s">
        <v>230</v>
      </c>
      <c r="B6971" t="s">
        <v>360</v>
      </c>
      <c r="C6971">
        <v>3612.48</v>
      </c>
      <c r="D6971">
        <v>2400</v>
      </c>
      <c r="E6971">
        <v>0</v>
      </c>
      <c r="F6971">
        <v>24000</v>
      </c>
      <c r="G6971">
        <v>97</v>
      </c>
    </row>
    <row r="6972" spans="1:7" x14ac:dyDescent="0.35">
      <c r="A6972" t="s">
        <v>230</v>
      </c>
      <c r="B6972" t="s">
        <v>362</v>
      </c>
      <c r="C6972">
        <v>2361.39</v>
      </c>
      <c r="D6972">
        <v>2000</v>
      </c>
      <c r="E6972">
        <v>0</v>
      </c>
      <c r="F6972">
        <v>20000</v>
      </c>
      <c r="G6972">
        <v>138</v>
      </c>
    </row>
    <row r="6973" spans="1:7" x14ac:dyDescent="0.35">
      <c r="A6973" t="s">
        <v>231</v>
      </c>
      <c r="B6973" t="s">
        <v>360</v>
      </c>
      <c r="C6973">
        <v>2611.11</v>
      </c>
      <c r="D6973">
        <v>3000</v>
      </c>
      <c r="E6973">
        <v>0</v>
      </c>
      <c r="F6973">
        <v>7000</v>
      </c>
      <c r="G6973">
        <v>36</v>
      </c>
    </row>
    <row r="6974" spans="1:7" x14ac:dyDescent="0.35">
      <c r="A6974" s="27" t="s">
        <v>231</v>
      </c>
      <c r="B6974" s="27" t="s">
        <v>363</v>
      </c>
      <c r="C6974" s="29">
        <v>2757.08</v>
      </c>
      <c r="D6974" s="29">
        <v>3000</v>
      </c>
      <c r="E6974" s="29">
        <v>0</v>
      </c>
      <c r="F6974" s="29">
        <v>6000</v>
      </c>
      <c r="G6974" s="29">
        <v>24</v>
      </c>
    </row>
    <row r="6975" spans="1:7" x14ac:dyDescent="0.35">
      <c r="A6975" t="s">
        <v>231</v>
      </c>
      <c r="B6975" t="s">
        <v>361</v>
      </c>
      <c r="C6975">
        <v>2836.9</v>
      </c>
      <c r="D6975">
        <v>2000</v>
      </c>
      <c r="E6975">
        <v>0</v>
      </c>
      <c r="F6975">
        <v>20000</v>
      </c>
      <c r="G6975">
        <v>42</v>
      </c>
    </row>
    <row r="6976" spans="1:7" x14ac:dyDescent="0.35">
      <c r="A6976" s="27" t="s">
        <v>231</v>
      </c>
      <c r="B6976" s="27" t="s">
        <v>362</v>
      </c>
      <c r="C6976" s="29">
        <v>2583.6799999999998</v>
      </c>
      <c r="D6976" s="29">
        <v>3000</v>
      </c>
      <c r="E6976" s="29">
        <v>0</v>
      </c>
      <c r="F6976" s="29">
        <v>6500</v>
      </c>
      <c r="G6976" s="29">
        <v>22</v>
      </c>
    </row>
    <row r="6977" spans="1:7" x14ac:dyDescent="0.35">
      <c r="A6977" t="s">
        <v>232</v>
      </c>
      <c r="B6977" t="s">
        <v>232</v>
      </c>
      <c r="C6977">
        <v>2648.46</v>
      </c>
      <c r="D6977">
        <v>2000</v>
      </c>
      <c r="E6977">
        <v>0</v>
      </c>
      <c r="F6977">
        <v>33900</v>
      </c>
      <c r="G6977">
        <v>2356</v>
      </c>
    </row>
    <row r="6979" spans="1:7" x14ac:dyDescent="0.35">
      <c r="A6979" s="1" t="s">
        <v>980</v>
      </c>
    </row>
    <row r="6980" spans="1:7" x14ac:dyDescent="0.35">
      <c r="A6980" t="s">
        <v>219</v>
      </c>
      <c r="B6980" t="s">
        <v>305</v>
      </c>
      <c r="C6980" t="s">
        <v>534</v>
      </c>
      <c r="D6980" t="s">
        <v>535</v>
      </c>
      <c r="E6980" t="s">
        <v>536</v>
      </c>
      <c r="F6980" t="s">
        <v>537</v>
      </c>
      <c r="G6980" t="s">
        <v>226</v>
      </c>
    </row>
    <row r="6981" spans="1:7" x14ac:dyDescent="0.35">
      <c r="A6981" t="s">
        <v>227</v>
      </c>
      <c r="B6981" t="s">
        <v>267</v>
      </c>
      <c r="C6981">
        <v>2629.38</v>
      </c>
      <c r="D6981">
        <v>2400</v>
      </c>
      <c r="E6981">
        <v>0</v>
      </c>
      <c r="F6981">
        <v>9500</v>
      </c>
      <c r="G6981">
        <v>32</v>
      </c>
    </row>
    <row r="6982" spans="1:7" x14ac:dyDescent="0.35">
      <c r="A6982" t="s">
        <v>227</v>
      </c>
      <c r="B6982" t="s">
        <v>266</v>
      </c>
      <c r="C6982">
        <v>2100.39</v>
      </c>
      <c r="D6982">
        <v>2000</v>
      </c>
      <c r="E6982">
        <v>0</v>
      </c>
      <c r="F6982">
        <v>7300</v>
      </c>
      <c r="G6982">
        <v>51</v>
      </c>
    </row>
    <row r="6983" spans="1:7" x14ac:dyDescent="0.35">
      <c r="A6983" t="s">
        <v>227</v>
      </c>
      <c r="B6983" t="s">
        <v>265</v>
      </c>
      <c r="C6983">
        <v>2959.84</v>
      </c>
      <c r="D6983">
        <v>2500</v>
      </c>
      <c r="E6983">
        <v>900</v>
      </c>
      <c r="F6983">
        <v>18000</v>
      </c>
      <c r="G6983">
        <v>61</v>
      </c>
    </row>
    <row r="6984" spans="1:7" x14ac:dyDescent="0.35">
      <c r="A6984" t="s">
        <v>228</v>
      </c>
      <c r="B6984" t="s">
        <v>267</v>
      </c>
      <c r="C6984">
        <v>2409.89</v>
      </c>
      <c r="D6984">
        <v>2000</v>
      </c>
      <c r="E6984">
        <v>0</v>
      </c>
      <c r="F6984">
        <v>20000</v>
      </c>
      <c r="G6984">
        <v>156</v>
      </c>
    </row>
    <row r="6985" spans="1:7" x14ac:dyDescent="0.35">
      <c r="A6985" t="s">
        <v>228</v>
      </c>
      <c r="B6985" t="s">
        <v>266</v>
      </c>
      <c r="C6985">
        <v>2452.67</v>
      </c>
      <c r="D6985">
        <v>2000</v>
      </c>
      <c r="E6985">
        <v>0</v>
      </c>
      <c r="F6985">
        <v>21000</v>
      </c>
      <c r="G6985">
        <v>357</v>
      </c>
    </row>
    <row r="6986" spans="1:7" x14ac:dyDescent="0.35">
      <c r="A6986" s="27" t="s">
        <v>228</v>
      </c>
      <c r="B6986" s="27" t="s">
        <v>236</v>
      </c>
      <c r="C6986" s="29">
        <v>18050</v>
      </c>
      <c r="D6986" s="29">
        <v>2200</v>
      </c>
      <c r="E6986" s="29">
        <v>2200</v>
      </c>
      <c r="F6986" s="29">
        <v>33900</v>
      </c>
      <c r="G6986" s="29">
        <v>2</v>
      </c>
    </row>
    <row r="6987" spans="1:7" x14ac:dyDescent="0.35">
      <c r="A6987" t="s">
        <v>228</v>
      </c>
      <c r="B6987" t="s">
        <v>265</v>
      </c>
      <c r="C6987">
        <v>2609.9</v>
      </c>
      <c r="D6987">
        <v>2000</v>
      </c>
      <c r="E6987">
        <v>0</v>
      </c>
      <c r="F6987">
        <v>31000</v>
      </c>
      <c r="G6987">
        <v>321</v>
      </c>
    </row>
    <row r="6988" spans="1:7" x14ac:dyDescent="0.35">
      <c r="A6988" t="s">
        <v>229</v>
      </c>
      <c r="B6988" t="s">
        <v>267</v>
      </c>
      <c r="C6988">
        <v>2793.33</v>
      </c>
      <c r="D6988">
        <v>2000</v>
      </c>
      <c r="E6988">
        <v>0</v>
      </c>
      <c r="F6988">
        <v>20000</v>
      </c>
      <c r="G6988">
        <v>173</v>
      </c>
    </row>
    <row r="6989" spans="1:7" x14ac:dyDescent="0.35">
      <c r="A6989" t="s">
        <v>229</v>
      </c>
      <c r="B6989" t="s">
        <v>265</v>
      </c>
      <c r="C6989">
        <v>2752.93</v>
      </c>
      <c r="D6989">
        <v>2200</v>
      </c>
      <c r="E6989">
        <v>0</v>
      </c>
      <c r="F6989">
        <v>25000</v>
      </c>
      <c r="G6989">
        <v>296</v>
      </c>
    </row>
    <row r="6990" spans="1:7" x14ac:dyDescent="0.35">
      <c r="A6990" t="s">
        <v>229</v>
      </c>
      <c r="B6990" t="s">
        <v>266</v>
      </c>
      <c r="C6990">
        <v>2463.59</v>
      </c>
      <c r="D6990">
        <v>2000</v>
      </c>
      <c r="E6990">
        <v>200</v>
      </c>
      <c r="F6990">
        <v>15000</v>
      </c>
      <c r="G6990">
        <v>294</v>
      </c>
    </row>
    <row r="6991" spans="1:7" x14ac:dyDescent="0.35">
      <c r="A6991" t="s">
        <v>230</v>
      </c>
      <c r="B6991" t="s">
        <v>265</v>
      </c>
      <c r="C6991">
        <v>2997.5</v>
      </c>
      <c r="D6991">
        <v>2600</v>
      </c>
      <c r="E6991">
        <v>0</v>
      </c>
      <c r="F6991">
        <v>20000</v>
      </c>
      <c r="G6991">
        <v>180</v>
      </c>
    </row>
    <row r="6992" spans="1:7" x14ac:dyDescent="0.35">
      <c r="A6992" t="s">
        <v>230</v>
      </c>
      <c r="B6992" t="s">
        <v>266</v>
      </c>
      <c r="C6992">
        <v>2533.5100000000002</v>
      </c>
      <c r="D6992">
        <v>2000</v>
      </c>
      <c r="E6992">
        <v>0</v>
      </c>
      <c r="F6992">
        <v>25000</v>
      </c>
      <c r="G6992">
        <v>201</v>
      </c>
    </row>
    <row r="6993" spans="1:7" x14ac:dyDescent="0.35">
      <c r="A6993" t="s">
        <v>230</v>
      </c>
      <c r="B6993" t="s">
        <v>267</v>
      </c>
      <c r="C6993">
        <v>2313.06</v>
      </c>
      <c r="D6993">
        <v>2000</v>
      </c>
      <c r="E6993">
        <v>0</v>
      </c>
      <c r="F6993">
        <v>20000</v>
      </c>
      <c r="G6993">
        <v>100</v>
      </c>
    </row>
    <row r="6994" spans="1:7" x14ac:dyDescent="0.35">
      <c r="A6994" t="s">
        <v>231</v>
      </c>
      <c r="B6994" t="s">
        <v>267</v>
      </c>
      <c r="C6994">
        <v>2962.5</v>
      </c>
      <c r="D6994">
        <v>2000</v>
      </c>
      <c r="E6994">
        <v>0</v>
      </c>
      <c r="F6994">
        <v>15000</v>
      </c>
      <c r="G6994">
        <v>30</v>
      </c>
    </row>
    <row r="6995" spans="1:7" x14ac:dyDescent="0.35">
      <c r="A6995" t="s">
        <v>231</v>
      </c>
      <c r="B6995" t="s">
        <v>265</v>
      </c>
      <c r="C6995">
        <v>3115.69</v>
      </c>
      <c r="D6995">
        <v>3000</v>
      </c>
      <c r="E6995">
        <v>0</v>
      </c>
      <c r="F6995">
        <v>20000</v>
      </c>
      <c r="G6995">
        <v>52</v>
      </c>
    </row>
    <row r="6996" spans="1:7" x14ac:dyDescent="0.35">
      <c r="A6996" t="s">
        <v>231</v>
      </c>
      <c r="B6996" t="s">
        <v>266</v>
      </c>
      <c r="C6996">
        <v>2013.4</v>
      </c>
      <c r="D6996">
        <v>2000</v>
      </c>
      <c r="E6996">
        <v>0</v>
      </c>
      <c r="F6996">
        <v>6000</v>
      </c>
      <c r="G6996">
        <v>50</v>
      </c>
    </row>
    <row r="6997" spans="1:7" x14ac:dyDescent="0.35">
      <c r="A6997" t="s">
        <v>232</v>
      </c>
      <c r="B6997" t="s">
        <v>232</v>
      </c>
      <c r="C6997">
        <v>2648.46</v>
      </c>
      <c r="D6997">
        <v>2000</v>
      </c>
      <c r="E6997">
        <v>0</v>
      </c>
      <c r="F6997">
        <v>33900</v>
      </c>
      <c r="G6997">
        <v>2356</v>
      </c>
    </row>
    <row r="6999" spans="1:7" x14ac:dyDescent="0.35">
      <c r="A6999" s="1" t="s">
        <v>981</v>
      </c>
    </row>
    <row r="7000" spans="1:7" x14ac:dyDescent="0.35">
      <c r="A7000" t="s">
        <v>219</v>
      </c>
      <c r="B7000" t="s">
        <v>305</v>
      </c>
      <c r="C7000" t="s">
        <v>534</v>
      </c>
      <c r="D7000" t="s">
        <v>535</v>
      </c>
      <c r="E7000" t="s">
        <v>536</v>
      </c>
      <c r="F7000" t="s">
        <v>537</v>
      </c>
      <c r="G7000" t="s">
        <v>226</v>
      </c>
    </row>
    <row r="7001" spans="1:7" x14ac:dyDescent="0.35">
      <c r="A7001" t="s">
        <v>227</v>
      </c>
      <c r="B7001" t="s">
        <v>252</v>
      </c>
      <c r="C7001">
        <v>2341</v>
      </c>
      <c r="D7001">
        <v>2000</v>
      </c>
      <c r="E7001">
        <v>0</v>
      </c>
      <c r="F7001">
        <v>6000</v>
      </c>
      <c r="G7001">
        <v>40</v>
      </c>
    </row>
    <row r="7002" spans="1:7" x14ac:dyDescent="0.35">
      <c r="A7002" t="s">
        <v>227</v>
      </c>
      <c r="B7002" t="s">
        <v>253</v>
      </c>
      <c r="C7002">
        <v>3592.67</v>
      </c>
      <c r="D7002">
        <v>2830</v>
      </c>
      <c r="E7002">
        <v>1000</v>
      </c>
      <c r="F7002">
        <v>18000</v>
      </c>
      <c r="G7002">
        <v>30</v>
      </c>
    </row>
    <row r="7003" spans="1:7" x14ac:dyDescent="0.35">
      <c r="A7003" t="s">
        <v>227</v>
      </c>
      <c r="B7003" t="s">
        <v>251</v>
      </c>
      <c r="C7003">
        <v>2302.5700000000002</v>
      </c>
      <c r="D7003">
        <v>2000</v>
      </c>
      <c r="E7003">
        <v>0</v>
      </c>
      <c r="F7003">
        <v>9500</v>
      </c>
      <c r="G7003">
        <v>74</v>
      </c>
    </row>
    <row r="7004" spans="1:7" x14ac:dyDescent="0.35">
      <c r="A7004" t="s">
        <v>228</v>
      </c>
      <c r="B7004" t="s">
        <v>252</v>
      </c>
      <c r="C7004">
        <v>2392.17</v>
      </c>
      <c r="D7004">
        <v>2000</v>
      </c>
      <c r="E7004">
        <v>0</v>
      </c>
      <c r="F7004">
        <v>21000</v>
      </c>
      <c r="G7004">
        <v>277</v>
      </c>
    </row>
    <row r="7005" spans="1:7" x14ac:dyDescent="0.35">
      <c r="A7005" t="s">
        <v>228</v>
      </c>
      <c r="B7005" t="s">
        <v>253</v>
      </c>
      <c r="C7005">
        <v>3647.94</v>
      </c>
      <c r="D7005">
        <v>2500</v>
      </c>
      <c r="E7005">
        <v>0</v>
      </c>
      <c r="F7005">
        <v>33900</v>
      </c>
      <c r="G7005">
        <v>174</v>
      </c>
    </row>
    <row r="7006" spans="1:7" x14ac:dyDescent="0.35">
      <c r="A7006" t="s">
        <v>228</v>
      </c>
      <c r="B7006" t="s">
        <v>251</v>
      </c>
      <c r="C7006">
        <v>2394.19</v>
      </c>
      <c r="D7006">
        <v>2000</v>
      </c>
      <c r="E7006">
        <v>0</v>
      </c>
      <c r="F7006">
        <v>20000</v>
      </c>
      <c r="G7006">
        <v>385</v>
      </c>
    </row>
    <row r="7007" spans="1:7" x14ac:dyDescent="0.35">
      <c r="A7007" t="s">
        <v>229</v>
      </c>
      <c r="B7007" t="s">
        <v>252</v>
      </c>
      <c r="C7007">
        <v>2154.21</v>
      </c>
      <c r="D7007">
        <v>2000</v>
      </c>
      <c r="E7007">
        <v>0</v>
      </c>
      <c r="F7007">
        <v>25000</v>
      </c>
      <c r="G7007">
        <v>175</v>
      </c>
    </row>
    <row r="7008" spans="1:7" x14ac:dyDescent="0.35">
      <c r="A7008" t="s">
        <v>229</v>
      </c>
      <c r="B7008" t="s">
        <v>253</v>
      </c>
      <c r="C7008">
        <v>3038.69</v>
      </c>
      <c r="D7008">
        <v>2500</v>
      </c>
      <c r="E7008">
        <v>0</v>
      </c>
      <c r="F7008">
        <v>20000</v>
      </c>
      <c r="G7008">
        <v>127</v>
      </c>
    </row>
    <row r="7009" spans="1:7" x14ac:dyDescent="0.35">
      <c r="A7009" t="s">
        <v>229</v>
      </c>
      <c r="B7009" t="s">
        <v>251</v>
      </c>
      <c r="C7009">
        <v>2753.13</v>
      </c>
      <c r="D7009">
        <v>2000</v>
      </c>
      <c r="E7009">
        <v>0</v>
      </c>
      <c r="F7009">
        <v>20000</v>
      </c>
      <c r="G7009">
        <v>461</v>
      </c>
    </row>
    <row r="7010" spans="1:7" x14ac:dyDescent="0.35">
      <c r="A7010" t="s">
        <v>230</v>
      </c>
      <c r="B7010" t="s">
        <v>252</v>
      </c>
      <c r="C7010">
        <v>2442.5</v>
      </c>
      <c r="D7010">
        <v>1500</v>
      </c>
      <c r="E7010">
        <v>0</v>
      </c>
      <c r="F7010">
        <v>25000</v>
      </c>
      <c r="G7010">
        <v>140</v>
      </c>
    </row>
    <row r="7011" spans="1:7" x14ac:dyDescent="0.35">
      <c r="A7011" t="s">
        <v>230</v>
      </c>
      <c r="B7011" t="s">
        <v>253</v>
      </c>
      <c r="C7011">
        <v>2609.7800000000002</v>
      </c>
      <c r="D7011">
        <v>2000</v>
      </c>
      <c r="E7011">
        <v>0</v>
      </c>
      <c r="F7011">
        <v>24000</v>
      </c>
      <c r="G7011">
        <v>99</v>
      </c>
    </row>
    <row r="7012" spans="1:7" x14ac:dyDescent="0.35">
      <c r="A7012" t="s">
        <v>230</v>
      </c>
      <c r="B7012" t="s">
        <v>251</v>
      </c>
      <c r="C7012">
        <v>2803.56</v>
      </c>
      <c r="D7012">
        <v>2200</v>
      </c>
      <c r="E7012">
        <v>0</v>
      </c>
      <c r="F7012">
        <v>20000</v>
      </c>
      <c r="G7012">
        <v>242</v>
      </c>
    </row>
    <row r="7013" spans="1:7" x14ac:dyDescent="0.35">
      <c r="A7013" t="s">
        <v>231</v>
      </c>
      <c r="B7013" t="s">
        <v>252</v>
      </c>
      <c r="C7013">
        <v>1970.61</v>
      </c>
      <c r="D7013">
        <v>2000</v>
      </c>
      <c r="E7013">
        <v>0</v>
      </c>
      <c r="F7013">
        <v>6000</v>
      </c>
      <c r="G7013">
        <v>41</v>
      </c>
    </row>
    <row r="7014" spans="1:7" x14ac:dyDescent="0.35">
      <c r="A7014" s="27" t="s">
        <v>231</v>
      </c>
      <c r="B7014" s="27" t="s">
        <v>253</v>
      </c>
      <c r="C7014" s="29">
        <v>2710</v>
      </c>
      <c r="D7014" s="29">
        <v>3000</v>
      </c>
      <c r="E7014" s="29">
        <v>350</v>
      </c>
      <c r="F7014" s="29">
        <v>6500</v>
      </c>
      <c r="G7014" s="29">
        <v>25</v>
      </c>
    </row>
    <row r="7015" spans="1:7" x14ac:dyDescent="0.35">
      <c r="A7015" t="s">
        <v>231</v>
      </c>
      <c r="B7015" t="s">
        <v>251</v>
      </c>
      <c r="C7015">
        <v>3076</v>
      </c>
      <c r="D7015">
        <v>2600</v>
      </c>
      <c r="E7015">
        <v>0</v>
      </c>
      <c r="F7015">
        <v>20000</v>
      </c>
      <c r="G7015">
        <v>66</v>
      </c>
    </row>
    <row r="7016" spans="1:7" x14ac:dyDescent="0.35">
      <c r="A7016" t="s">
        <v>232</v>
      </c>
      <c r="B7016" t="s">
        <v>232</v>
      </c>
      <c r="C7016">
        <v>2648.46</v>
      </c>
      <c r="D7016">
        <v>2000</v>
      </c>
      <c r="E7016">
        <v>0</v>
      </c>
      <c r="F7016">
        <v>33900</v>
      </c>
      <c r="G7016">
        <v>2356</v>
      </c>
    </row>
    <row r="7018" spans="1:7" x14ac:dyDescent="0.35">
      <c r="A7018" s="1" t="s">
        <v>982</v>
      </c>
    </row>
    <row r="7019" spans="1:7" x14ac:dyDescent="0.35">
      <c r="A7019" t="s">
        <v>219</v>
      </c>
      <c r="B7019" t="s">
        <v>305</v>
      </c>
      <c r="C7019" t="s">
        <v>534</v>
      </c>
      <c r="D7019" t="s">
        <v>535</v>
      </c>
      <c r="E7019" t="s">
        <v>536</v>
      </c>
      <c r="F7019" t="s">
        <v>537</v>
      </c>
      <c r="G7019" t="s">
        <v>226</v>
      </c>
    </row>
    <row r="7020" spans="1:7" x14ac:dyDescent="0.35">
      <c r="A7020" t="s">
        <v>227</v>
      </c>
      <c r="B7020" t="s">
        <v>249</v>
      </c>
      <c r="C7020">
        <v>2604.75</v>
      </c>
      <c r="D7020">
        <v>2500</v>
      </c>
      <c r="E7020">
        <v>0</v>
      </c>
      <c r="F7020">
        <v>10000</v>
      </c>
      <c r="G7020">
        <v>40</v>
      </c>
    </row>
    <row r="7021" spans="1:7" x14ac:dyDescent="0.35">
      <c r="A7021" t="s">
        <v>227</v>
      </c>
      <c r="B7021" t="s">
        <v>248</v>
      </c>
      <c r="C7021">
        <v>2573.27</v>
      </c>
      <c r="D7021">
        <v>2000</v>
      </c>
      <c r="E7021">
        <v>0</v>
      </c>
      <c r="F7021">
        <v>18000</v>
      </c>
      <c r="G7021">
        <v>104</v>
      </c>
    </row>
    <row r="7022" spans="1:7" x14ac:dyDescent="0.35">
      <c r="A7022" t="s">
        <v>228</v>
      </c>
      <c r="B7022" t="s">
        <v>249</v>
      </c>
      <c r="C7022">
        <v>2694.18</v>
      </c>
      <c r="D7022">
        <v>2000</v>
      </c>
      <c r="E7022">
        <v>0</v>
      </c>
      <c r="F7022">
        <v>10000</v>
      </c>
      <c r="G7022">
        <v>222</v>
      </c>
    </row>
    <row r="7023" spans="1:7" x14ac:dyDescent="0.35">
      <c r="A7023" t="s">
        <v>228</v>
      </c>
      <c r="B7023" t="s">
        <v>248</v>
      </c>
      <c r="C7023">
        <v>2611.83</v>
      </c>
      <c r="D7023">
        <v>2000</v>
      </c>
      <c r="E7023">
        <v>0</v>
      </c>
      <c r="F7023">
        <v>33900</v>
      </c>
      <c r="G7023">
        <v>614</v>
      </c>
    </row>
    <row r="7024" spans="1:7" x14ac:dyDescent="0.35">
      <c r="A7024" t="s">
        <v>229</v>
      </c>
      <c r="B7024" t="s">
        <v>249</v>
      </c>
      <c r="C7024">
        <v>2946.17</v>
      </c>
      <c r="D7024">
        <v>2400</v>
      </c>
      <c r="E7024">
        <v>0</v>
      </c>
      <c r="F7024">
        <v>15000</v>
      </c>
      <c r="G7024">
        <v>227</v>
      </c>
    </row>
    <row r="7025" spans="1:7" x14ac:dyDescent="0.35">
      <c r="A7025" t="s">
        <v>229</v>
      </c>
      <c r="B7025" t="s">
        <v>248</v>
      </c>
      <c r="C7025">
        <v>2534.94</v>
      </c>
      <c r="D7025">
        <v>2000</v>
      </c>
      <c r="E7025">
        <v>0</v>
      </c>
      <c r="F7025">
        <v>25000</v>
      </c>
      <c r="G7025">
        <v>536</v>
      </c>
    </row>
    <row r="7026" spans="1:7" x14ac:dyDescent="0.35">
      <c r="A7026" t="s">
        <v>230</v>
      </c>
      <c r="B7026" t="s">
        <v>249</v>
      </c>
      <c r="C7026">
        <v>3080.4</v>
      </c>
      <c r="D7026">
        <v>2500</v>
      </c>
      <c r="E7026">
        <v>0</v>
      </c>
      <c r="F7026">
        <v>24000</v>
      </c>
      <c r="G7026">
        <v>146</v>
      </c>
    </row>
    <row r="7027" spans="1:7" x14ac:dyDescent="0.35">
      <c r="A7027" t="s">
        <v>230</v>
      </c>
      <c r="B7027" t="s">
        <v>248</v>
      </c>
      <c r="C7027">
        <v>2461.96</v>
      </c>
      <c r="D7027">
        <v>2000</v>
      </c>
      <c r="E7027">
        <v>0</v>
      </c>
      <c r="F7027">
        <v>25000</v>
      </c>
      <c r="G7027">
        <v>335</v>
      </c>
    </row>
    <row r="7028" spans="1:7" x14ac:dyDescent="0.35">
      <c r="A7028" s="27" t="s">
        <v>231</v>
      </c>
      <c r="B7028" s="27" t="s">
        <v>249</v>
      </c>
      <c r="C7028" s="29">
        <v>3602.36</v>
      </c>
      <c r="D7028" s="29">
        <v>3000</v>
      </c>
      <c r="E7028" s="29">
        <v>0</v>
      </c>
      <c r="F7028" s="29">
        <v>20000</v>
      </c>
      <c r="G7028" s="29">
        <v>28</v>
      </c>
    </row>
    <row r="7029" spans="1:7" x14ac:dyDescent="0.35">
      <c r="A7029" t="s">
        <v>231</v>
      </c>
      <c r="B7029" t="s">
        <v>248</v>
      </c>
      <c r="C7029">
        <v>2410.5300000000002</v>
      </c>
      <c r="D7029">
        <v>2000</v>
      </c>
      <c r="E7029">
        <v>0</v>
      </c>
      <c r="F7029">
        <v>15000</v>
      </c>
      <c r="G7029">
        <v>104</v>
      </c>
    </row>
    <row r="7030" spans="1:7" x14ac:dyDescent="0.35">
      <c r="A7030" t="s">
        <v>232</v>
      </c>
      <c r="B7030" t="s">
        <v>232</v>
      </c>
      <c r="C7030">
        <v>2648.46</v>
      </c>
      <c r="D7030">
        <v>2000</v>
      </c>
      <c r="E7030">
        <v>0</v>
      </c>
      <c r="F7030">
        <v>33900</v>
      </c>
      <c r="G7030">
        <v>2356</v>
      </c>
    </row>
    <row r="7032" spans="1:7" x14ac:dyDescent="0.35">
      <c r="A7032" s="1" t="s">
        <v>983</v>
      </c>
    </row>
    <row r="7033" spans="1:7" x14ac:dyDescent="0.35">
      <c r="A7033" t="s">
        <v>219</v>
      </c>
      <c r="B7033" t="s">
        <v>305</v>
      </c>
      <c r="C7033" t="s">
        <v>534</v>
      </c>
      <c r="D7033" t="s">
        <v>535</v>
      </c>
      <c r="E7033" t="s">
        <v>536</v>
      </c>
      <c r="F7033" t="s">
        <v>537</v>
      </c>
      <c r="G7033" t="s">
        <v>226</v>
      </c>
    </row>
    <row r="7034" spans="1:7" x14ac:dyDescent="0.35">
      <c r="A7034" s="27" t="s">
        <v>227</v>
      </c>
      <c r="B7034" s="27" t="s">
        <v>263</v>
      </c>
      <c r="C7034" s="29">
        <v>2166.67</v>
      </c>
      <c r="D7034" s="29">
        <v>3000</v>
      </c>
      <c r="E7034" s="29">
        <v>1000</v>
      </c>
      <c r="F7034" s="29">
        <v>3000</v>
      </c>
      <c r="G7034" s="29">
        <v>3</v>
      </c>
    </row>
    <row r="7035" spans="1:7" x14ac:dyDescent="0.35">
      <c r="A7035" s="27" t="s">
        <v>227</v>
      </c>
      <c r="B7035" s="27" t="s">
        <v>262</v>
      </c>
      <c r="C7035" s="29">
        <v>1400</v>
      </c>
      <c r="D7035" s="29">
        <v>1500</v>
      </c>
      <c r="E7035" s="29">
        <v>1200</v>
      </c>
      <c r="F7035" s="29">
        <v>1500</v>
      </c>
      <c r="G7035" s="29">
        <v>3</v>
      </c>
    </row>
    <row r="7036" spans="1:7" x14ac:dyDescent="0.35">
      <c r="A7036" t="s">
        <v>227</v>
      </c>
      <c r="B7036" t="s">
        <v>260</v>
      </c>
      <c r="C7036">
        <v>2489.08</v>
      </c>
      <c r="D7036">
        <v>2000</v>
      </c>
      <c r="E7036">
        <v>300</v>
      </c>
      <c r="F7036">
        <v>10000</v>
      </c>
      <c r="G7036">
        <v>109</v>
      </c>
    </row>
    <row r="7037" spans="1:7" x14ac:dyDescent="0.35">
      <c r="A7037" s="27" t="s">
        <v>227</v>
      </c>
      <c r="B7037" s="27" t="s">
        <v>261</v>
      </c>
      <c r="C7037" s="29">
        <v>3096.55</v>
      </c>
      <c r="D7037" s="29">
        <v>2500</v>
      </c>
      <c r="E7037" s="29">
        <v>0</v>
      </c>
      <c r="F7037" s="29">
        <v>18000</v>
      </c>
      <c r="G7037" s="29">
        <v>29</v>
      </c>
    </row>
    <row r="7038" spans="1:7" x14ac:dyDescent="0.35">
      <c r="A7038" t="s">
        <v>228</v>
      </c>
      <c r="B7038" t="s">
        <v>262</v>
      </c>
      <c r="C7038">
        <v>2257.2399999999998</v>
      </c>
      <c r="D7038">
        <v>2000</v>
      </c>
      <c r="E7038">
        <v>200</v>
      </c>
      <c r="F7038">
        <v>19500</v>
      </c>
      <c r="G7038">
        <v>172</v>
      </c>
    </row>
    <row r="7039" spans="1:7" x14ac:dyDescent="0.35">
      <c r="A7039" s="27" t="s">
        <v>228</v>
      </c>
      <c r="B7039" s="27" t="s">
        <v>236</v>
      </c>
      <c r="C7039" s="29">
        <v>4260.8999999999996</v>
      </c>
      <c r="D7039" s="29">
        <v>5000</v>
      </c>
      <c r="E7039" s="29">
        <v>3000</v>
      </c>
      <c r="F7039" s="29">
        <v>5000</v>
      </c>
      <c r="G7039" s="29">
        <v>2</v>
      </c>
    </row>
    <row r="7040" spans="1:7" x14ac:dyDescent="0.35">
      <c r="A7040" t="s">
        <v>228</v>
      </c>
      <c r="B7040" t="s">
        <v>260</v>
      </c>
      <c r="C7040">
        <v>2525.39</v>
      </c>
      <c r="D7040">
        <v>2000</v>
      </c>
      <c r="E7040">
        <v>0</v>
      </c>
      <c r="F7040">
        <v>33900</v>
      </c>
      <c r="G7040">
        <v>489</v>
      </c>
    </row>
    <row r="7041" spans="1:7" x14ac:dyDescent="0.35">
      <c r="A7041" s="27" t="s">
        <v>228</v>
      </c>
      <c r="B7041" s="27" t="s">
        <v>263</v>
      </c>
      <c r="C7041" s="29">
        <v>2892.17</v>
      </c>
      <c r="D7041" s="29">
        <v>3000</v>
      </c>
      <c r="E7041" s="29">
        <v>200</v>
      </c>
      <c r="F7041" s="29">
        <v>8000</v>
      </c>
      <c r="G7041" s="29">
        <v>21</v>
      </c>
    </row>
    <row r="7042" spans="1:7" x14ac:dyDescent="0.35">
      <c r="A7042" t="s">
        <v>228</v>
      </c>
      <c r="B7042" t="s">
        <v>261</v>
      </c>
      <c r="C7042">
        <v>3329.17</v>
      </c>
      <c r="D7042">
        <v>2500</v>
      </c>
      <c r="E7042">
        <v>0</v>
      </c>
      <c r="F7042">
        <v>20000</v>
      </c>
      <c r="G7042">
        <v>152</v>
      </c>
    </row>
    <row r="7043" spans="1:7" x14ac:dyDescent="0.35">
      <c r="A7043" t="s">
        <v>229</v>
      </c>
      <c r="B7043" t="s">
        <v>261</v>
      </c>
      <c r="C7043">
        <v>2671.86</v>
      </c>
      <c r="D7043">
        <v>2000</v>
      </c>
      <c r="E7043">
        <v>0</v>
      </c>
      <c r="F7043">
        <v>15000</v>
      </c>
      <c r="G7043">
        <v>81</v>
      </c>
    </row>
    <row r="7044" spans="1:7" x14ac:dyDescent="0.35">
      <c r="A7044" t="s">
        <v>229</v>
      </c>
      <c r="B7044" t="s">
        <v>260</v>
      </c>
      <c r="C7044">
        <v>2473.46</v>
      </c>
      <c r="D7044">
        <v>2000</v>
      </c>
      <c r="E7044">
        <v>0</v>
      </c>
      <c r="F7044">
        <v>25000</v>
      </c>
      <c r="G7044">
        <v>509</v>
      </c>
    </row>
    <row r="7045" spans="1:7" x14ac:dyDescent="0.35">
      <c r="A7045" s="27" t="s">
        <v>229</v>
      </c>
      <c r="B7045" s="27" t="s">
        <v>263</v>
      </c>
      <c r="C7045" s="29">
        <v>4354.29</v>
      </c>
      <c r="D7045" s="29">
        <v>2000</v>
      </c>
      <c r="E7045" s="29">
        <v>1000</v>
      </c>
      <c r="F7045" s="29">
        <v>20000</v>
      </c>
      <c r="G7045" s="29">
        <v>14</v>
      </c>
    </row>
    <row r="7046" spans="1:7" x14ac:dyDescent="0.35">
      <c r="A7046" t="s">
        <v>229</v>
      </c>
      <c r="B7046" t="s">
        <v>262</v>
      </c>
      <c r="C7046">
        <v>2939.18</v>
      </c>
      <c r="D7046">
        <v>2000</v>
      </c>
      <c r="E7046">
        <v>400</v>
      </c>
      <c r="F7046">
        <v>20000</v>
      </c>
      <c r="G7046">
        <v>159</v>
      </c>
    </row>
    <row r="7047" spans="1:7" x14ac:dyDescent="0.35">
      <c r="A7047" t="s">
        <v>230</v>
      </c>
      <c r="B7047" t="s">
        <v>261</v>
      </c>
      <c r="C7047">
        <v>2267.25</v>
      </c>
      <c r="D7047">
        <v>2000</v>
      </c>
      <c r="E7047">
        <v>0</v>
      </c>
      <c r="F7047">
        <v>20000</v>
      </c>
      <c r="G7047">
        <v>51</v>
      </c>
    </row>
    <row r="7048" spans="1:7" x14ac:dyDescent="0.35">
      <c r="A7048" t="s">
        <v>230</v>
      </c>
      <c r="B7048" t="s">
        <v>260</v>
      </c>
      <c r="C7048">
        <v>2560.0700000000002</v>
      </c>
      <c r="D7048">
        <v>2000</v>
      </c>
      <c r="E7048">
        <v>0</v>
      </c>
      <c r="F7048">
        <v>24000</v>
      </c>
      <c r="G7048">
        <v>298</v>
      </c>
    </row>
    <row r="7049" spans="1:7" x14ac:dyDescent="0.35">
      <c r="A7049" s="27" t="s">
        <v>230</v>
      </c>
      <c r="B7049" s="27" t="s">
        <v>263</v>
      </c>
      <c r="C7049" s="29">
        <v>3175.34</v>
      </c>
      <c r="D7049" s="29">
        <v>3000</v>
      </c>
      <c r="E7049" s="29">
        <v>0</v>
      </c>
      <c r="F7049" s="29">
        <v>6000</v>
      </c>
      <c r="G7049" s="29">
        <v>23</v>
      </c>
    </row>
    <row r="7050" spans="1:7" x14ac:dyDescent="0.35">
      <c r="A7050" s="27" t="s">
        <v>230</v>
      </c>
      <c r="B7050" s="27" t="s">
        <v>236</v>
      </c>
      <c r="C7050" s="29">
        <v>1048.03</v>
      </c>
      <c r="D7050" s="29">
        <v>2000</v>
      </c>
      <c r="E7050" s="29">
        <v>800</v>
      </c>
      <c r="F7050" s="29">
        <v>2000</v>
      </c>
      <c r="G7050" s="29">
        <v>3</v>
      </c>
    </row>
    <row r="7051" spans="1:7" x14ac:dyDescent="0.35">
      <c r="A7051" t="s">
        <v>230</v>
      </c>
      <c r="B7051" t="s">
        <v>262</v>
      </c>
      <c r="C7051">
        <v>3564.89</v>
      </c>
      <c r="D7051">
        <v>2500</v>
      </c>
      <c r="E7051">
        <v>0</v>
      </c>
      <c r="F7051">
        <v>25000</v>
      </c>
      <c r="G7051">
        <v>106</v>
      </c>
    </row>
    <row r="7052" spans="1:7" x14ac:dyDescent="0.35">
      <c r="A7052" s="27" t="s">
        <v>231</v>
      </c>
      <c r="B7052" s="27" t="s">
        <v>261</v>
      </c>
      <c r="C7052" s="29">
        <v>2718</v>
      </c>
      <c r="D7052" s="29">
        <v>1700</v>
      </c>
      <c r="E7052" s="29">
        <v>0</v>
      </c>
      <c r="F7052" s="29">
        <v>15000</v>
      </c>
      <c r="G7052" s="29">
        <v>15</v>
      </c>
    </row>
    <row r="7053" spans="1:7" x14ac:dyDescent="0.35">
      <c r="A7053" s="27" t="s">
        <v>231</v>
      </c>
      <c r="B7053" s="27" t="s">
        <v>263</v>
      </c>
      <c r="C7053" s="29">
        <v>2750</v>
      </c>
      <c r="D7053" s="29">
        <v>2000</v>
      </c>
      <c r="E7053" s="29">
        <v>2000</v>
      </c>
      <c r="F7053" s="29">
        <v>3500</v>
      </c>
      <c r="G7053" s="29">
        <v>2</v>
      </c>
    </row>
    <row r="7054" spans="1:7" x14ac:dyDescent="0.35">
      <c r="A7054" s="27" t="s">
        <v>231</v>
      </c>
      <c r="B7054" s="27" t="s">
        <v>262</v>
      </c>
      <c r="C7054" s="29">
        <v>2035.71</v>
      </c>
      <c r="D7054" s="29">
        <v>2200</v>
      </c>
      <c r="E7054" s="29">
        <v>350</v>
      </c>
      <c r="F7054" s="29">
        <v>5000</v>
      </c>
      <c r="G7054" s="29">
        <v>7</v>
      </c>
    </row>
    <row r="7055" spans="1:7" x14ac:dyDescent="0.35">
      <c r="A7055" t="s">
        <v>231</v>
      </c>
      <c r="B7055" t="s">
        <v>260</v>
      </c>
      <c r="C7055">
        <v>2694.82</v>
      </c>
      <c r="D7055">
        <v>2500</v>
      </c>
      <c r="E7055">
        <v>0</v>
      </c>
      <c r="F7055">
        <v>20000</v>
      </c>
      <c r="G7055">
        <v>108</v>
      </c>
    </row>
    <row r="7056" spans="1:7" x14ac:dyDescent="0.35">
      <c r="A7056" t="s">
        <v>232</v>
      </c>
      <c r="B7056" t="s">
        <v>232</v>
      </c>
      <c r="C7056">
        <v>2648.46</v>
      </c>
      <c r="D7056">
        <v>2000</v>
      </c>
      <c r="E7056">
        <v>0</v>
      </c>
      <c r="F7056">
        <v>33900</v>
      </c>
      <c r="G7056">
        <v>2356</v>
      </c>
    </row>
    <row r="7058" spans="1:7" x14ac:dyDescent="0.35">
      <c r="A7058" s="1" t="s">
        <v>984</v>
      </c>
    </row>
    <row r="7059" spans="1:7" x14ac:dyDescent="0.35">
      <c r="A7059" t="s">
        <v>219</v>
      </c>
      <c r="B7059" t="s">
        <v>305</v>
      </c>
      <c r="C7059" t="s">
        <v>534</v>
      </c>
      <c r="D7059" t="s">
        <v>535</v>
      </c>
      <c r="E7059" t="s">
        <v>536</v>
      </c>
      <c r="F7059" t="s">
        <v>537</v>
      </c>
      <c r="G7059" t="s">
        <v>226</v>
      </c>
    </row>
    <row r="7060" spans="1:7" x14ac:dyDescent="0.35">
      <c r="A7060" s="27" t="s">
        <v>227</v>
      </c>
      <c r="B7060" s="27" t="s">
        <v>368</v>
      </c>
      <c r="C7060" s="29">
        <v>3096.55</v>
      </c>
      <c r="D7060" s="29">
        <v>2500</v>
      </c>
      <c r="E7060" s="29">
        <v>0</v>
      </c>
      <c r="F7060" s="29">
        <v>18000</v>
      </c>
      <c r="G7060" s="29">
        <v>29</v>
      </c>
    </row>
    <row r="7061" spans="1:7" x14ac:dyDescent="0.35">
      <c r="A7061" t="s">
        <v>227</v>
      </c>
      <c r="B7061" t="s">
        <v>369</v>
      </c>
      <c r="C7061">
        <v>2452.2600000000002</v>
      </c>
      <c r="D7061">
        <v>2000</v>
      </c>
      <c r="E7061">
        <v>300</v>
      </c>
      <c r="F7061">
        <v>10000</v>
      </c>
      <c r="G7061">
        <v>115</v>
      </c>
    </row>
    <row r="7062" spans="1:7" x14ac:dyDescent="0.35">
      <c r="A7062" t="s">
        <v>228</v>
      </c>
      <c r="B7062" t="s">
        <v>368</v>
      </c>
      <c r="C7062">
        <v>3329.17</v>
      </c>
      <c r="D7062">
        <v>2500</v>
      </c>
      <c r="E7062">
        <v>0</v>
      </c>
      <c r="F7062">
        <v>20000</v>
      </c>
      <c r="G7062">
        <v>152</v>
      </c>
    </row>
    <row r="7063" spans="1:7" x14ac:dyDescent="0.35">
      <c r="A7063" t="s">
        <v>228</v>
      </c>
      <c r="B7063" t="s">
        <v>369</v>
      </c>
      <c r="C7063">
        <v>2479.17</v>
      </c>
      <c r="D7063">
        <v>2000</v>
      </c>
      <c r="E7063">
        <v>0</v>
      </c>
      <c r="F7063">
        <v>33900</v>
      </c>
      <c r="G7063">
        <v>684</v>
      </c>
    </row>
    <row r="7064" spans="1:7" x14ac:dyDescent="0.35">
      <c r="A7064" t="s">
        <v>229</v>
      </c>
      <c r="B7064" t="s">
        <v>368</v>
      </c>
      <c r="C7064">
        <v>2671.86</v>
      </c>
      <c r="D7064">
        <v>2000</v>
      </c>
      <c r="E7064">
        <v>0</v>
      </c>
      <c r="F7064">
        <v>15000</v>
      </c>
      <c r="G7064">
        <v>81</v>
      </c>
    </row>
    <row r="7065" spans="1:7" x14ac:dyDescent="0.35">
      <c r="A7065" t="s">
        <v>229</v>
      </c>
      <c r="B7065" t="s">
        <v>369</v>
      </c>
      <c r="C7065">
        <v>2670.09</v>
      </c>
      <c r="D7065">
        <v>2000</v>
      </c>
      <c r="E7065">
        <v>0</v>
      </c>
      <c r="F7065">
        <v>25000</v>
      </c>
      <c r="G7065">
        <v>682</v>
      </c>
    </row>
    <row r="7066" spans="1:7" x14ac:dyDescent="0.35">
      <c r="A7066" t="s">
        <v>230</v>
      </c>
      <c r="B7066" t="s">
        <v>368</v>
      </c>
      <c r="C7066">
        <v>2267.25</v>
      </c>
      <c r="D7066">
        <v>2000</v>
      </c>
      <c r="E7066">
        <v>0</v>
      </c>
      <c r="F7066">
        <v>20000</v>
      </c>
      <c r="G7066">
        <v>51</v>
      </c>
    </row>
    <row r="7067" spans="1:7" x14ac:dyDescent="0.35">
      <c r="A7067" t="s">
        <v>230</v>
      </c>
      <c r="B7067" t="s">
        <v>369</v>
      </c>
      <c r="C7067">
        <v>2741.24</v>
      </c>
      <c r="D7067">
        <v>2000</v>
      </c>
      <c r="E7067">
        <v>0</v>
      </c>
      <c r="F7067">
        <v>25000</v>
      </c>
      <c r="G7067">
        <v>430</v>
      </c>
    </row>
    <row r="7068" spans="1:7" x14ac:dyDescent="0.35">
      <c r="A7068" s="27" t="s">
        <v>231</v>
      </c>
      <c r="B7068" s="27" t="s">
        <v>368</v>
      </c>
      <c r="C7068" s="29">
        <v>2718</v>
      </c>
      <c r="D7068" s="29">
        <v>1700</v>
      </c>
      <c r="E7068" s="29">
        <v>0</v>
      </c>
      <c r="F7068" s="29">
        <v>15000</v>
      </c>
      <c r="G7068" s="29">
        <v>15</v>
      </c>
    </row>
    <row r="7069" spans="1:7" x14ac:dyDescent="0.35">
      <c r="A7069" t="s">
        <v>231</v>
      </c>
      <c r="B7069" t="s">
        <v>369</v>
      </c>
      <c r="C7069">
        <v>2656.33</v>
      </c>
      <c r="D7069">
        <v>2500</v>
      </c>
      <c r="E7069">
        <v>0</v>
      </c>
      <c r="F7069">
        <v>20000</v>
      </c>
      <c r="G7069">
        <v>117</v>
      </c>
    </row>
    <row r="7070" spans="1:7" x14ac:dyDescent="0.35">
      <c r="A7070" t="s">
        <v>232</v>
      </c>
      <c r="B7070" t="s">
        <v>232</v>
      </c>
      <c r="C7070">
        <v>2648.46</v>
      </c>
      <c r="D7070">
        <v>2000</v>
      </c>
      <c r="E7070">
        <v>0</v>
      </c>
      <c r="F7070">
        <v>33900</v>
      </c>
      <c r="G7070">
        <v>2356</v>
      </c>
    </row>
    <row r="7072" spans="1:7" x14ac:dyDescent="0.35">
      <c r="A7072" s="1" t="s">
        <v>985</v>
      </c>
    </row>
    <row r="7073" spans="1:7" x14ac:dyDescent="0.35">
      <c r="A7073" t="s">
        <v>219</v>
      </c>
      <c r="B7073" t="s">
        <v>305</v>
      </c>
      <c r="C7073" t="s">
        <v>534</v>
      </c>
      <c r="D7073" t="s">
        <v>535</v>
      </c>
      <c r="E7073" t="s">
        <v>536</v>
      </c>
      <c r="F7073" t="s">
        <v>537</v>
      </c>
      <c r="G7073" t="s">
        <v>226</v>
      </c>
    </row>
    <row r="7074" spans="1:7" x14ac:dyDescent="0.35">
      <c r="A7074" t="s">
        <v>227</v>
      </c>
      <c r="B7074" t="s">
        <v>371</v>
      </c>
      <c r="C7074">
        <v>2582.0100000000002</v>
      </c>
      <c r="D7074">
        <v>2000</v>
      </c>
      <c r="E7074">
        <v>0</v>
      </c>
      <c r="F7074">
        <v>18000</v>
      </c>
      <c r="G7074">
        <v>144</v>
      </c>
    </row>
    <row r="7075" spans="1:7" x14ac:dyDescent="0.35">
      <c r="A7075" t="s">
        <v>228</v>
      </c>
      <c r="B7075" t="s">
        <v>371</v>
      </c>
      <c r="C7075">
        <v>2697.41</v>
      </c>
      <c r="D7075">
        <v>2000</v>
      </c>
      <c r="E7075">
        <v>0</v>
      </c>
      <c r="F7075">
        <v>33900</v>
      </c>
      <c r="G7075">
        <v>227</v>
      </c>
    </row>
    <row r="7076" spans="1:7" x14ac:dyDescent="0.35">
      <c r="A7076" t="s">
        <v>228</v>
      </c>
      <c r="B7076" t="s">
        <v>372</v>
      </c>
      <c r="C7076">
        <v>3167</v>
      </c>
      <c r="D7076">
        <v>2700</v>
      </c>
      <c r="E7076">
        <v>0</v>
      </c>
      <c r="F7076">
        <v>21000</v>
      </c>
      <c r="G7076">
        <v>171</v>
      </c>
    </row>
    <row r="7077" spans="1:7" x14ac:dyDescent="0.35">
      <c r="A7077" t="s">
        <v>228</v>
      </c>
      <c r="B7077" t="s">
        <v>373</v>
      </c>
      <c r="C7077">
        <v>2450.5100000000002</v>
      </c>
      <c r="D7077">
        <v>2000</v>
      </c>
      <c r="E7077">
        <v>0</v>
      </c>
      <c r="F7077">
        <v>31000</v>
      </c>
      <c r="G7077">
        <v>438</v>
      </c>
    </row>
    <row r="7078" spans="1:7" x14ac:dyDescent="0.35">
      <c r="A7078" t="s">
        <v>229</v>
      </c>
      <c r="B7078" t="s">
        <v>371</v>
      </c>
      <c r="C7078">
        <v>2661</v>
      </c>
      <c r="D7078">
        <v>2000</v>
      </c>
      <c r="E7078">
        <v>0</v>
      </c>
      <c r="F7078">
        <v>20000</v>
      </c>
      <c r="G7078">
        <v>501</v>
      </c>
    </row>
    <row r="7079" spans="1:7" x14ac:dyDescent="0.35">
      <c r="A7079" t="s">
        <v>229</v>
      </c>
      <c r="B7079" t="s">
        <v>372</v>
      </c>
      <c r="C7079">
        <v>3046</v>
      </c>
      <c r="D7079">
        <v>2000</v>
      </c>
      <c r="E7079">
        <v>0</v>
      </c>
      <c r="F7079">
        <v>25000</v>
      </c>
      <c r="G7079">
        <v>190</v>
      </c>
    </row>
    <row r="7080" spans="1:7" x14ac:dyDescent="0.35">
      <c r="A7080" t="s">
        <v>229</v>
      </c>
      <c r="B7080" t="s">
        <v>373</v>
      </c>
      <c r="C7080">
        <v>2271.7600000000002</v>
      </c>
      <c r="D7080">
        <v>2000</v>
      </c>
      <c r="E7080">
        <v>0</v>
      </c>
      <c r="F7080">
        <v>8300</v>
      </c>
      <c r="G7080">
        <v>72</v>
      </c>
    </row>
    <row r="7081" spans="1:7" x14ac:dyDescent="0.35">
      <c r="A7081" t="s">
        <v>230</v>
      </c>
      <c r="B7081" t="s">
        <v>371</v>
      </c>
      <c r="C7081">
        <v>2696.09</v>
      </c>
      <c r="D7081">
        <v>2000</v>
      </c>
      <c r="E7081">
        <v>0</v>
      </c>
      <c r="F7081">
        <v>25000</v>
      </c>
      <c r="G7081">
        <v>238</v>
      </c>
    </row>
    <row r="7082" spans="1:7" x14ac:dyDescent="0.35">
      <c r="A7082" t="s">
        <v>230</v>
      </c>
      <c r="B7082" t="s">
        <v>372</v>
      </c>
      <c r="C7082">
        <v>2404.7199999999998</v>
      </c>
      <c r="D7082">
        <v>2000</v>
      </c>
      <c r="E7082">
        <v>0</v>
      </c>
      <c r="F7082">
        <v>20000</v>
      </c>
      <c r="G7082">
        <v>117</v>
      </c>
    </row>
    <row r="7083" spans="1:7" x14ac:dyDescent="0.35">
      <c r="A7083" t="s">
        <v>230</v>
      </c>
      <c r="B7083" t="s">
        <v>373</v>
      </c>
      <c r="C7083">
        <v>2637.57</v>
      </c>
      <c r="D7083">
        <v>2000</v>
      </c>
      <c r="E7083">
        <v>0</v>
      </c>
      <c r="F7083">
        <v>18000</v>
      </c>
      <c r="G7083">
        <v>126</v>
      </c>
    </row>
    <row r="7084" spans="1:7" x14ac:dyDescent="0.35">
      <c r="A7084" t="s">
        <v>231</v>
      </c>
      <c r="B7084" t="s">
        <v>371</v>
      </c>
      <c r="C7084">
        <v>2663.34</v>
      </c>
      <c r="D7084">
        <v>2000</v>
      </c>
      <c r="E7084">
        <v>0</v>
      </c>
      <c r="F7084">
        <v>20000</v>
      </c>
      <c r="G7084">
        <v>132</v>
      </c>
    </row>
    <row r="7085" spans="1:7" x14ac:dyDescent="0.35">
      <c r="A7085" t="s">
        <v>232</v>
      </c>
      <c r="B7085" t="s">
        <v>232</v>
      </c>
      <c r="C7085">
        <v>2648.46</v>
      </c>
      <c r="D7085">
        <v>2000</v>
      </c>
      <c r="E7085">
        <v>0</v>
      </c>
      <c r="F7085">
        <v>33900</v>
      </c>
      <c r="G7085">
        <v>2356</v>
      </c>
    </row>
    <row r="7087" spans="1:7" x14ac:dyDescent="0.35">
      <c r="A7087" s="1" t="s">
        <v>986</v>
      </c>
    </row>
    <row r="7088" spans="1:7" x14ac:dyDescent="0.35">
      <c r="A7088" t="s">
        <v>219</v>
      </c>
      <c r="B7088" t="s">
        <v>305</v>
      </c>
      <c r="C7088" t="s">
        <v>534</v>
      </c>
      <c r="D7088" t="s">
        <v>535</v>
      </c>
      <c r="E7088" t="s">
        <v>536</v>
      </c>
      <c r="F7088" t="s">
        <v>537</v>
      </c>
      <c r="G7088" t="s">
        <v>226</v>
      </c>
    </row>
    <row r="7089" spans="1:7" x14ac:dyDescent="0.35">
      <c r="A7089" t="s">
        <v>227</v>
      </c>
      <c r="B7089" t="s">
        <v>255</v>
      </c>
      <c r="C7089">
        <v>2573.27</v>
      </c>
      <c r="D7089">
        <v>2000</v>
      </c>
      <c r="E7089">
        <v>0</v>
      </c>
      <c r="F7089">
        <v>18000</v>
      </c>
      <c r="G7089">
        <v>104</v>
      </c>
    </row>
    <row r="7090" spans="1:7" x14ac:dyDescent="0.35">
      <c r="A7090" t="s">
        <v>227</v>
      </c>
      <c r="B7090" t="s">
        <v>256</v>
      </c>
      <c r="C7090">
        <v>2701.61</v>
      </c>
      <c r="D7090">
        <v>2500</v>
      </c>
      <c r="E7090">
        <v>1200</v>
      </c>
      <c r="F7090">
        <v>10000</v>
      </c>
      <c r="G7090">
        <v>31</v>
      </c>
    </row>
    <row r="7091" spans="1:7" x14ac:dyDescent="0.35">
      <c r="A7091" s="27" t="s">
        <v>227</v>
      </c>
      <c r="B7091" s="27" t="s">
        <v>257</v>
      </c>
      <c r="C7091" s="29">
        <v>2271.11</v>
      </c>
      <c r="D7091" s="29">
        <v>1640</v>
      </c>
      <c r="E7091" s="29">
        <v>0</v>
      </c>
      <c r="F7091" s="29">
        <v>7300</v>
      </c>
      <c r="G7091" s="29">
        <v>9</v>
      </c>
    </row>
    <row r="7092" spans="1:7" x14ac:dyDescent="0.35">
      <c r="A7092" t="s">
        <v>228</v>
      </c>
      <c r="B7092" t="s">
        <v>255</v>
      </c>
      <c r="C7092">
        <v>2611.83</v>
      </c>
      <c r="D7092">
        <v>2000</v>
      </c>
      <c r="E7092">
        <v>0</v>
      </c>
      <c r="F7092">
        <v>33900</v>
      </c>
      <c r="G7092">
        <v>614</v>
      </c>
    </row>
    <row r="7093" spans="1:7" x14ac:dyDescent="0.35">
      <c r="A7093" t="s">
        <v>228</v>
      </c>
      <c r="B7093" t="s">
        <v>256</v>
      </c>
      <c r="C7093">
        <v>2828.48</v>
      </c>
      <c r="D7093">
        <v>2400</v>
      </c>
      <c r="E7093">
        <v>0</v>
      </c>
      <c r="F7093">
        <v>10000</v>
      </c>
      <c r="G7093">
        <v>182</v>
      </c>
    </row>
    <row r="7094" spans="1:7" x14ac:dyDescent="0.35">
      <c r="A7094" t="s">
        <v>228</v>
      </c>
      <c r="B7094" t="s">
        <v>257</v>
      </c>
      <c r="C7094">
        <v>2188.21</v>
      </c>
      <c r="D7094">
        <v>1800</v>
      </c>
      <c r="E7094">
        <v>0</v>
      </c>
      <c r="F7094">
        <v>7000</v>
      </c>
      <c r="G7094">
        <v>37</v>
      </c>
    </row>
    <row r="7095" spans="1:7" x14ac:dyDescent="0.35">
      <c r="A7095" s="27" t="s">
        <v>228</v>
      </c>
      <c r="B7095" s="27" t="s">
        <v>258</v>
      </c>
      <c r="C7095" s="29">
        <v>1663.1</v>
      </c>
      <c r="D7095" s="29">
        <v>1600</v>
      </c>
      <c r="E7095" s="29">
        <v>1300</v>
      </c>
      <c r="F7095" s="29">
        <v>4000</v>
      </c>
      <c r="G7095" s="29">
        <v>3</v>
      </c>
    </row>
    <row r="7096" spans="1:7" x14ac:dyDescent="0.35">
      <c r="A7096" t="s">
        <v>229</v>
      </c>
      <c r="B7096" t="s">
        <v>255</v>
      </c>
      <c r="C7096">
        <v>2534.94</v>
      </c>
      <c r="D7096">
        <v>2000</v>
      </c>
      <c r="E7096">
        <v>0</v>
      </c>
      <c r="F7096">
        <v>25000</v>
      </c>
      <c r="G7096">
        <v>536</v>
      </c>
    </row>
    <row r="7097" spans="1:7" x14ac:dyDescent="0.35">
      <c r="A7097" s="27" t="s">
        <v>229</v>
      </c>
      <c r="B7097" s="27" t="s">
        <v>258</v>
      </c>
      <c r="C7097" s="29">
        <v>2672.39</v>
      </c>
      <c r="D7097" s="29">
        <v>2000</v>
      </c>
      <c r="E7097" s="29">
        <v>2000</v>
      </c>
      <c r="F7097" s="29">
        <v>5000</v>
      </c>
      <c r="G7097" s="29">
        <v>2</v>
      </c>
    </row>
    <row r="7098" spans="1:7" x14ac:dyDescent="0.35">
      <c r="A7098" t="s">
        <v>229</v>
      </c>
      <c r="B7098" t="s">
        <v>256</v>
      </c>
      <c r="C7098">
        <v>2946.58</v>
      </c>
      <c r="D7098">
        <v>2500</v>
      </c>
      <c r="E7098">
        <v>0</v>
      </c>
      <c r="F7098">
        <v>15000</v>
      </c>
      <c r="G7098">
        <v>182</v>
      </c>
    </row>
    <row r="7099" spans="1:7" x14ac:dyDescent="0.35">
      <c r="A7099" t="s">
        <v>229</v>
      </c>
      <c r="B7099" t="s">
        <v>257</v>
      </c>
      <c r="C7099">
        <v>2946.54</v>
      </c>
      <c r="D7099">
        <v>2000</v>
      </c>
      <c r="E7099">
        <v>1000</v>
      </c>
      <c r="F7099">
        <v>8300</v>
      </c>
      <c r="G7099">
        <v>43</v>
      </c>
    </row>
    <row r="7100" spans="1:7" x14ac:dyDescent="0.35">
      <c r="A7100" t="s">
        <v>230</v>
      </c>
      <c r="B7100" t="s">
        <v>255</v>
      </c>
      <c r="C7100">
        <v>2461.96</v>
      </c>
      <c r="D7100">
        <v>2000</v>
      </c>
      <c r="E7100">
        <v>0</v>
      </c>
      <c r="F7100">
        <v>25000</v>
      </c>
      <c r="G7100">
        <v>335</v>
      </c>
    </row>
    <row r="7101" spans="1:7" x14ac:dyDescent="0.35">
      <c r="A7101" t="s">
        <v>230</v>
      </c>
      <c r="B7101" t="s">
        <v>256</v>
      </c>
      <c r="C7101">
        <v>3391.83</v>
      </c>
      <c r="D7101">
        <v>2800</v>
      </c>
      <c r="E7101">
        <v>0</v>
      </c>
      <c r="F7101">
        <v>24000</v>
      </c>
      <c r="G7101">
        <v>111</v>
      </c>
    </row>
    <row r="7102" spans="1:7" x14ac:dyDescent="0.35">
      <c r="A7102" s="27" t="s">
        <v>230</v>
      </c>
      <c r="B7102" s="27" t="s">
        <v>258</v>
      </c>
      <c r="C7102" s="29">
        <v>572.39</v>
      </c>
      <c r="D7102" s="29">
        <v>500</v>
      </c>
      <c r="E7102" s="29">
        <v>500</v>
      </c>
      <c r="F7102" s="29">
        <v>2000</v>
      </c>
      <c r="G7102" s="29">
        <v>2</v>
      </c>
    </row>
    <row r="7103" spans="1:7" x14ac:dyDescent="0.35">
      <c r="A7103" t="s">
        <v>230</v>
      </c>
      <c r="B7103" t="s">
        <v>257</v>
      </c>
      <c r="C7103">
        <v>2232.67</v>
      </c>
      <c r="D7103">
        <v>2000</v>
      </c>
      <c r="E7103">
        <v>0</v>
      </c>
      <c r="F7103">
        <v>6000</v>
      </c>
      <c r="G7103">
        <v>33</v>
      </c>
    </row>
    <row r="7104" spans="1:7" x14ac:dyDescent="0.35">
      <c r="A7104" s="27" t="s">
        <v>231</v>
      </c>
      <c r="B7104" s="27" t="s">
        <v>256</v>
      </c>
      <c r="C7104" s="29">
        <v>3794.42</v>
      </c>
      <c r="D7104" s="29">
        <v>3500</v>
      </c>
      <c r="E7104" s="29">
        <v>0</v>
      </c>
      <c r="F7104" s="29">
        <v>20000</v>
      </c>
      <c r="G7104" s="29">
        <v>24</v>
      </c>
    </row>
    <row r="7105" spans="1:32" x14ac:dyDescent="0.35">
      <c r="A7105" t="s">
        <v>231</v>
      </c>
      <c r="B7105" t="s">
        <v>255</v>
      </c>
      <c r="C7105">
        <v>2410.5300000000002</v>
      </c>
      <c r="D7105">
        <v>2000</v>
      </c>
      <c r="E7105">
        <v>0</v>
      </c>
      <c r="F7105">
        <v>15000</v>
      </c>
      <c r="G7105">
        <v>104</v>
      </c>
    </row>
    <row r="7106" spans="1:32" x14ac:dyDescent="0.35">
      <c r="A7106" s="27" t="s">
        <v>231</v>
      </c>
      <c r="B7106" s="27" t="s">
        <v>257</v>
      </c>
      <c r="C7106" s="29">
        <v>2450</v>
      </c>
      <c r="D7106" s="29">
        <v>1800</v>
      </c>
      <c r="E7106" s="29">
        <v>1000</v>
      </c>
      <c r="F7106" s="29">
        <v>5000</v>
      </c>
      <c r="G7106" s="29">
        <v>4</v>
      </c>
    </row>
    <row r="7107" spans="1:32" x14ac:dyDescent="0.35">
      <c r="A7107" t="s">
        <v>232</v>
      </c>
      <c r="B7107" t="s">
        <v>232</v>
      </c>
      <c r="C7107">
        <v>2648.46</v>
      </c>
      <c r="D7107">
        <v>2000</v>
      </c>
      <c r="E7107">
        <v>0</v>
      </c>
      <c r="F7107">
        <v>33900</v>
      </c>
      <c r="G7107">
        <v>2356</v>
      </c>
    </row>
    <row r="7109" spans="1:32" x14ac:dyDescent="0.35">
      <c r="A7109" s="1" t="s">
        <v>987</v>
      </c>
    </row>
    <row r="7110" spans="1:32" x14ac:dyDescent="0.35">
      <c r="A7110" t="s">
        <v>219</v>
      </c>
      <c r="B7110" t="s">
        <v>988</v>
      </c>
      <c r="C7110" t="s">
        <v>989</v>
      </c>
      <c r="D7110" t="s">
        <v>990</v>
      </c>
      <c r="E7110" t="s">
        <v>991</v>
      </c>
      <c r="F7110" t="s">
        <v>992</v>
      </c>
      <c r="G7110" t="s">
        <v>993</v>
      </c>
      <c r="H7110" t="s">
        <v>994</v>
      </c>
      <c r="I7110" t="s">
        <v>281</v>
      </c>
      <c r="J7110" t="s">
        <v>286</v>
      </c>
      <c r="K7110" t="s">
        <v>226</v>
      </c>
    </row>
    <row r="7111" spans="1:32" x14ac:dyDescent="0.35">
      <c r="A7111" t="s">
        <v>227</v>
      </c>
      <c r="B7111" s="26">
        <v>0.81130000000000002</v>
      </c>
      <c r="C7111" s="26">
        <v>0.32079999999999997</v>
      </c>
      <c r="D7111" s="26">
        <v>0.22009999999999999</v>
      </c>
      <c r="E7111" s="26">
        <v>0.20130000000000001</v>
      </c>
      <c r="F7111" s="26">
        <v>0.1447</v>
      </c>
      <c r="G7111" s="26">
        <v>0.1069</v>
      </c>
      <c r="H7111" s="26">
        <v>3.1399999999999997E-2</v>
      </c>
      <c r="I7111" s="26">
        <v>6.3E-3</v>
      </c>
      <c r="K7111">
        <v>159</v>
      </c>
    </row>
    <row r="7112" spans="1:32" x14ac:dyDescent="0.35">
      <c r="A7112" t="s">
        <v>228</v>
      </c>
      <c r="B7112" s="26">
        <v>0.78120000000000001</v>
      </c>
      <c r="C7112" s="26">
        <v>0.254</v>
      </c>
      <c r="D7112" s="26">
        <v>0.2319</v>
      </c>
      <c r="E7112" s="26">
        <v>0.21079999999999999</v>
      </c>
      <c r="F7112" s="26">
        <v>0.1845</v>
      </c>
      <c r="G7112" s="26">
        <v>0.12429999999999999</v>
      </c>
      <c r="H7112" s="26">
        <v>1.4E-2</v>
      </c>
      <c r="I7112" s="26">
        <v>2.7000000000000001E-3</v>
      </c>
      <c r="J7112" s="26">
        <v>2.0000000000000001E-4</v>
      </c>
      <c r="K7112">
        <v>1028</v>
      </c>
    </row>
    <row r="7113" spans="1:32" x14ac:dyDescent="0.35">
      <c r="A7113" t="s">
        <v>229</v>
      </c>
      <c r="B7113" s="26">
        <v>0.81699999999999995</v>
      </c>
      <c r="C7113" s="26">
        <v>0.32290000000000002</v>
      </c>
      <c r="D7113" s="26">
        <v>0.27889999999999998</v>
      </c>
      <c r="E7113" s="26">
        <v>0.29039999999999999</v>
      </c>
      <c r="F7113" s="26">
        <v>0.2039</v>
      </c>
      <c r="G7113" s="26">
        <v>9.6100000000000005E-2</v>
      </c>
      <c r="H7113" s="26">
        <v>1.47E-2</v>
      </c>
      <c r="I7113" s="26">
        <v>6.7999999999999996E-3</v>
      </c>
      <c r="J7113" s="26">
        <v>2.9999999999999997E-4</v>
      </c>
      <c r="K7113">
        <v>890</v>
      </c>
    </row>
    <row r="7114" spans="1:32" x14ac:dyDescent="0.35">
      <c r="A7114" t="s">
        <v>230</v>
      </c>
      <c r="B7114" s="26">
        <v>0.80779999999999996</v>
      </c>
      <c r="C7114" s="26">
        <v>0.33029999999999998</v>
      </c>
      <c r="D7114" s="26">
        <v>0.2364</v>
      </c>
      <c r="E7114" s="26">
        <v>0.25919999999999999</v>
      </c>
      <c r="F7114" s="26">
        <v>0.21210000000000001</v>
      </c>
      <c r="G7114" s="26">
        <v>8.77E-2</v>
      </c>
      <c r="H7114" s="26">
        <v>1.6199999999999999E-2</v>
      </c>
      <c r="I7114" s="26">
        <v>1.1999999999999999E-3</v>
      </c>
      <c r="J7114" s="26">
        <v>2.9999999999999997E-4</v>
      </c>
      <c r="K7114">
        <v>557</v>
      </c>
    </row>
    <row r="7115" spans="1:32" x14ac:dyDescent="0.35">
      <c r="A7115" t="s">
        <v>231</v>
      </c>
      <c r="B7115" s="26">
        <v>0.79879999999999995</v>
      </c>
      <c r="C7115" s="26">
        <v>0.28660000000000002</v>
      </c>
      <c r="D7115" s="26">
        <v>0.28050000000000003</v>
      </c>
      <c r="E7115" s="26">
        <v>0.17680000000000001</v>
      </c>
      <c r="F7115" s="26">
        <v>0.22559999999999999</v>
      </c>
      <c r="G7115" s="26">
        <v>0.1159</v>
      </c>
      <c r="H7115" s="26">
        <v>3.0499999999999999E-2</v>
      </c>
      <c r="K7115">
        <v>164</v>
      </c>
    </row>
    <row r="7116" spans="1:32" x14ac:dyDescent="0.35">
      <c r="A7116" t="s">
        <v>232</v>
      </c>
      <c r="B7116" s="26">
        <v>0.80330000000000001</v>
      </c>
      <c r="C7116" s="26">
        <v>0.2999</v>
      </c>
      <c r="D7116" s="26">
        <v>0.25729999999999997</v>
      </c>
      <c r="E7116" s="26">
        <v>0.22720000000000001</v>
      </c>
      <c r="F7116" s="26">
        <v>0.19800000000000001</v>
      </c>
      <c r="G7116" s="26">
        <v>0.10780000000000001</v>
      </c>
      <c r="H7116" s="26">
        <v>2.1600000000000001E-2</v>
      </c>
      <c r="I7116" s="26">
        <v>3.5000000000000001E-3</v>
      </c>
      <c r="J7116" s="26">
        <v>2.0000000000000001E-4</v>
      </c>
      <c r="K7116">
        <v>2798</v>
      </c>
    </row>
    <row r="7118" spans="1:32" x14ac:dyDescent="0.35">
      <c r="A7118" s="1" t="s">
        <v>115</v>
      </c>
    </row>
    <row r="7119" spans="1:32" x14ac:dyDescent="0.35">
      <c r="A7119" t="s">
        <v>219</v>
      </c>
      <c r="B7119" t="s">
        <v>995</v>
      </c>
      <c r="C7119" t="s">
        <v>996</v>
      </c>
      <c r="D7119" t="s">
        <v>997</v>
      </c>
      <c r="E7119" t="s">
        <v>998</v>
      </c>
      <c r="F7119" t="s">
        <v>999</v>
      </c>
      <c r="G7119" t="s">
        <v>1000</v>
      </c>
      <c r="H7119" t="s">
        <v>1001</v>
      </c>
      <c r="I7119" t="s">
        <v>1002</v>
      </c>
      <c r="J7119" t="s">
        <v>1003</v>
      </c>
      <c r="K7119" t="s">
        <v>1004</v>
      </c>
      <c r="L7119" t="s">
        <v>1005</v>
      </c>
      <c r="M7119" t="s">
        <v>1006</v>
      </c>
      <c r="N7119" t="s">
        <v>1007</v>
      </c>
      <c r="O7119" t="s">
        <v>1008</v>
      </c>
      <c r="P7119" t="s">
        <v>1009</v>
      </c>
      <c r="Q7119" t="s">
        <v>1010</v>
      </c>
      <c r="R7119" t="s">
        <v>1011</v>
      </c>
      <c r="S7119" t="s">
        <v>1012</v>
      </c>
      <c r="T7119" t="s">
        <v>1013</v>
      </c>
      <c r="U7119" t="s">
        <v>1014</v>
      </c>
      <c r="V7119" t="s">
        <v>1015</v>
      </c>
      <c r="W7119" t="s">
        <v>1016</v>
      </c>
      <c r="X7119" t="s">
        <v>1017</v>
      </c>
      <c r="Y7119" t="s">
        <v>1018</v>
      </c>
      <c r="Z7119" t="s">
        <v>1019</v>
      </c>
      <c r="AA7119" t="s">
        <v>1020</v>
      </c>
      <c r="AB7119" t="s">
        <v>1021</v>
      </c>
      <c r="AC7119" t="s">
        <v>1022</v>
      </c>
      <c r="AD7119" t="s">
        <v>1023</v>
      </c>
      <c r="AE7119" t="s">
        <v>1024</v>
      </c>
      <c r="AF7119" t="s">
        <v>964</v>
      </c>
    </row>
    <row r="7120" spans="1:32" x14ac:dyDescent="0.35">
      <c r="A7120" t="s">
        <v>227</v>
      </c>
      <c r="B7120">
        <v>10624.42</v>
      </c>
      <c r="C7120">
        <v>3500</v>
      </c>
      <c r="D7120">
        <v>150</v>
      </c>
      <c r="E7120">
        <v>100000</v>
      </c>
      <c r="F7120" s="30">
        <v>43</v>
      </c>
      <c r="G7120">
        <v>4196</v>
      </c>
      <c r="H7120">
        <v>3000</v>
      </c>
      <c r="I7120">
        <v>300</v>
      </c>
      <c r="J7120">
        <v>25000</v>
      </c>
      <c r="K7120" s="30">
        <v>27</v>
      </c>
      <c r="L7120">
        <v>7110.78</v>
      </c>
      <c r="M7120">
        <v>4000</v>
      </c>
      <c r="N7120">
        <v>100</v>
      </c>
      <c r="O7120">
        <v>50000</v>
      </c>
      <c r="P7120" s="30">
        <v>116</v>
      </c>
      <c r="Q7120">
        <v>7748.15</v>
      </c>
      <c r="R7120">
        <v>6000</v>
      </c>
      <c r="S7120">
        <v>500</v>
      </c>
      <c r="T7120">
        <v>42000</v>
      </c>
      <c r="U7120" s="30">
        <v>27</v>
      </c>
      <c r="V7120">
        <v>33242.86</v>
      </c>
      <c r="W7120">
        <v>8000</v>
      </c>
      <c r="X7120">
        <v>1300</v>
      </c>
      <c r="Y7120">
        <v>400000</v>
      </c>
      <c r="Z7120" s="30">
        <v>21</v>
      </c>
      <c r="AA7120">
        <v>8784</v>
      </c>
      <c r="AB7120">
        <v>10000</v>
      </c>
      <c r="AC7120">
        <v>1000</v>
      </c>
      <c r="AD7120">
        <v>25000</v>
      </c>
      <c r="AE7120" s="30">
        <v>15</v>
      </c>
      <c r="AF7120">
        <v>116</v>
      </c>
    </row>
    <row r="7121" spans="1:32" x14ac:dyDescent="0.35">
      <c r="A7121" t="s">
        <v>228</v>
      </c>
      <c r="B7121">
        <v>10947.69</v>
      </c>
      <c r="C7121">
        <v>4000</v>
      </c>
      <c r="D7121">
        <v>180</v>
      </c>
      <c r="E7121">
        <v>200000</v>
      </c>
      <c r="F7121" s="30">
        <v>206</v>
      </c>
      <c r="G7121">
        <v>4949.04</v>
      </c>
      <c r="H7121">
        <v>3000</v>
      </c>
      <c r="I7121">
        <v>200</v>
      </c>
      <c r="J7121">
        <v>30000</v>
      </c>
      <c r="K7121" s="30">
        <v>163</v>
      </c>
      <c r="L7121">
        <v>10063.200000000001</v>
      </c>
      <c r="M7121">
        <v>5000</v>
      </c>
      <c r="N7121">
        <v>100</v>
      </c>
      <c r="O7121">
        <v>100000</v>
      </c>
      <c r="P7121" s="30">
        <v>673</v>
      </c>
      <c r="Q7121">
        <v>8621.34</v>
      </c>
      <c r="R7121">
        <v>5000</v>
      </c>
      <c r="S7121">
        <v>150</v>
      </c>
      <c r="T7121">
        <v>40000</v>
      </c>
      <c r="U7121" s="30">
        <v>140</v>
      </c>
      <c r="V7121">
        <v>17826.59</v>
      </c>
      <c r="W7121">
        <v>10000</v>
      </c>
      <c r="X7121">
        <v>200</v>
      </c>
      <c r="Y7121">
        <v>120000</v>
      </c>
      <c r="Z7121" s="30">
        <v>139</v>
      </c>
      <c r="AA7121">
        <v>8038.94</v>
      </c>
      <c r="AB7121">
        <v>3600</v>
      </c>
      <c r="AC7121">
        <v>100</v>
      </c>
      <c r="AD7121">
        <v>31000</v>
      </c>
      <c r="AE7121" s="30">
        <v>41</v>
      </c>
      <c r="AF7121">
        <v>673</v>
      </c>
    </row>
    <row r="7122" spans="1:32" x14ac:dyDescent="0.35">
      <c r="A7122" t="s">
        <v>229</v>
      </c>
      <c r="B7122">
        <v>14759.07</v>
      </c>
      <c r="C7122">
        <v>5000</v>
      </c>
      <c r="D7122">
        <v>100</v>
      </c>
      <c r="E7122">
        <v>200000</v>
      </c>
      <c r="F7122" s="30">
        <v>213</v>
      </c>
      <c r="G7122">
        <v>6647.7</v>
      </c>
      <c r="H7122">
        <v>4000</v>
      </c>
      <c r="I7122">
        <v>200</v>
      </c>
      <c r="J7122">
        <v>30000</v>
      </c>
      <c r="K7122" s="30">
        <v>165</v>
      </c>
      <c r="L7122">
        <v>10911.41</v>
      </c>
      <c r="M7122">
        <v>6000</v>
      </c>
      <c r="N7122">
        <v>150</v>
      </c>
      <c r="O7122">
        <v>100000</v>
      </c>
      <c r="P7122" s="30">
        <v>591</v>
      </c>
      <c r="Q7122">
        <v>8315.83</v>
      </c>
      <c r="R7122">
        <v>5000</v>
      </c>
      <c r="S7122">
        <v>200</v>
      </c>
      <c r="T7122">
        <v>45000</v>
      </c>
      <c r="U7122" s="30">
        <v>174</v>
      </c>
      <c r="V7122">
        <v>20113.52</v>
      </c>
      <c r="W7122">
        <v>12000</v>
      </c>
      <c r="X7122">
        <v>300</v>
      </c>
      <c r="Y7122">
        <v>200000</v>
      </c>
      <c r="Z7122" s="30">
        <v>126</v>
      </c>
      <c r="AA7122">
        <v>7302.65</v>
      </c>
      <c r="AB7122">
        <v>4000</v>
      </c>
      <c r="AC7122">
        <v>200</v>
      </c>
      <c r="AD7122">
        <v>30000</v>
      </c>
      <c r="AE7122" s="30">
        <v>45</v>
      </c>
      <c r="AF7122">
        <v>591</v>
      </c>
    </row>
    <row r="7123" spans="1:32" x14ac:dyDescent="0.35">
      <c r="A7123" t="s">
        <v>230</v>
      </c>
      <c r="B7123">
        <v>12046.63</v>
      </c>
      <c r="C7123">
        <v>5000</v>
      </c>
      <c r="D7123">
        <v>100</v>
      </c>
      <c r="E7123">
        <v>200000</v>
      </c>
      <c r="F7123" s="30">
        <v>158</v>
      </c>
      <c r="G7123">
        <v>5034</v>
      </c>
      <c r="H7123">
        <v>3000</v>
      </c>
      <c r="I7123">
        <v>200</v>
      </c>
      <c r="J7123">
        <v>30000</v>
      </c>
      <c r="K7123" s="30">
        <v>100</v>
      </c>
      <c r="L7123">
        <v>9784.44</v>
      </c>
      <c r="M7123">
        <v>5000</v>
      </c>
      <c r="N7123">
        <v>100</v>
      </c>
      <c r="O7123">
        <v>100000</v>
      </c>
      <c r="P7123" s="30">
        <v>382</v>
      </c>
      <c r="Q7123">
        <v>7268.74</v>
      </c>
      <c r="R7123">
        <v>5000</v>
      </c>
      <c r="S7123">
        <v>200</v>
      </c>
      <c r="T7123">
        <v>40000</v>
      </c>
      <c r="U7123" s="30">
        <v>89</v>
      </c>
      <c r="V7123">
        <v>15481.48</v>
      </c>
      <c r="W7123">
        <v>7000</v>
      </c>
      <c r="X7123">
        <v>400</v>
      </c>
      <c r="Y7123">
        <v>250000</v>
      </c>
      <c r="Z7123" s="30">
        <v>100</v>
      </c>
      <c r="AA7123">
        <v>6232.74</v>
      </c>
      <c r="AB7123">
        <v>5000</v>
      </c>
      <c r="AC7123">
        <v>500</v>
      </c>
      <c r="AD7123">
        <v>30000</v>
      </c>
      <c r="AE7123" s="30">
        <v>32</v>
      </c>
      <c r="AF7123">
        <v>382</v>
      </c>
    </row>
    <row r="7124" spans="1:32" x14ac:dyDescent="0.35">
      <c r="A7124" t="s">
        <v>231</v>
      </c>
      <c r="B7124">
        <v>20677.27</v>
      </c>
      <c r="C7124">
        <v>6000</v>
      </c>
      <c r="D7124">
        <v>200</v>
      </c>
      <c r="E7124">
        <v>200000</v>
      </c>
      <c r="F7124" s="30">
        <v>44</v>
      </c>
      <c r="G7124">
        <v>5799.73</v>
      </c>
      <c r="H7124">
        <v>4000</v>
      </c>
      <c r="I7124">
        <v>200</v>
      </c>
      <c r="J7124">
        <v>30000</v>
      </c>
      <c r="K7124" s="30">
        <v>37</v>
      </c>
      <c r="L7124">
        <v>8223.3799999999992</v>
      </c>
      <c r="M7124">
        <v>5000</v>
      </c>
      <c r="N7124">
        <v>170</v>
      </c>
      <c r="O7124">
        <v>100000</v>
      </c>
      <c r="P7124" s="30">
        <v>111</v>
      </c>
      <c r="Q7124">
        <v>10620.45</v>
      </c>
      <c r="R7124">
        <v>5000</v>
      </c>
      <c r="S7124">
        <v>350</v>
      </c>
      <c r="T7124">
        <v>40000</v>
      </c>
      <c r="U7124" s="30">
        <v>22</v>
      </c>
      <c r="V7124">
        <v>11296.39</v>
      </c>
      <c r="W7124">
        <v>7000</v>
      </c>
      <c r="X7124">
        <v>500</v>
      </c>
      <c r="Y7124">
        <v>50000</v>
      </c>
      <c r="Z7124" s="30">
        <v>31</v>
      </c>
      <c r="AA7124">
        <v>2285.71</v>
      </c>
      <c r="AB7124">
        <v>2000</v>
      </c>
      <c r="AC7124">
        <v>300</v>
      </c>
      <c r="AD7124">
        <v>8000</v>
      </c>
      <c r="AE7124" s="30">
        <v>7</v>
      </c>
      <c r="AF7124">
        <v>111</v>
      </c>
    </row>
    <row r="7125" spans="1:32" x14ac:dyDescent="0.35">
      <c r="A7125" t="s">
        <v>232</v>
      </c>
      <c r="B7125">
        <v>14899.73</v>
      </c>
      <c r="C7125">
        <v>5000</v>
      </c>
      <c r="D7125">
        <v>100</v>
      </c>
      <c r="E7125">
        <v>200000</v>
      </c>
      <c r="F7125" s="30">
        <v>664</v>
      </c>
      <c r="G7125">
        <v>5630.43</v>
      </c>
      <c r="H7125">
        <v>3000</v>
      </c>
      <c r="I7125">
        <v>200</v>
      </c>
      <c r="J7125">
        <v>30000</v>
      </c>
      <c r="K7125" s="30">
        <v>492</v>
      </c>
      <c r="L7125">
        <v>9336.61</v>
      </c>
      <c r="M7125">
        <v>5000</v>
      </c>
      <c r="N7125">
        <v>100</v>
      </c>
      <c r="O7125">
        <v>100000</v>
      </c>
      <c r="P7125" s="30">
        <v>1873</v>
      </c>
      <c r="Q7125">
        <v>8628.5300000000007</v>
      </c>
      <c r="R7125">
        <v>5000</v>
      </c>
      <c r="S7125">
        <v>150</v>
      </c>
      <c r="T7125">
        <v>45000</v>
      </c>
      <c r="U7125" s="30">
        <v>452</v>
      </c>
      <c r="V7125">
        <v>18064.68</v>
      </c>
      <c r="W7125">
        <v>9000</v>
      </c>
      <c r="X7125">
        <v>200</v>
      </c>
      <c r="Y7125">
        <v>400000</v>
      </c>
      <c r="Z7125" s="30">
        <v>417</v>
      </c>
      <c r="AA7125">
        <v>6639.38</v>
      </c>
      <c r="AB7125">
        <v>4000</v>
      </c>
      <c r="AC7125">
        <v>100</v>
      </c>
      <c r="AD7125">
        <v>31000</v>
      </c>
      <c r="AE7125" s="30">
        <v>140</v>
      </c>
      <c r="AF7125">
        <v>1873</v>
      </c>
    </row>
    <row r="7127" spans="1:32" x14ac:dyDescent="0.35">
      <c r="A7127" s="1" t="s">
        <v>1025</v>
      </c>
    </row>
    <row r="7128" spans="1:32" x14ac:dyDescent="0.35">
      <c r="A7128" t="s">
        <v>219</v>
      </c>
      <c r="B7128" t="s">
        <v>305</v>
      </c>
      <c r="C7128" t="s">
        <v>988</v>
      </c>
      <c r="D7128" t="s">
        <v>989</v>
      </c>
      <c r="E7128" t="s">
        <v>990</v>
      </c>
      <c r="F7128" t="s">
        <v>991</v>
      </c>
      <c r="G7128" t="s">
        <v>992</v>
      </c>
      <c r="H7128" t="s">
        <v>993</v>
      </c>
      <c r="I7128" t="s">
        <v>994</v>
      </c>
      <c r="J7128" t="s">
        <v>281</v>
      </c>
      <c r="K7128" t="s">
        <v>286</v>
      </c>
      <c r="L7128" t="s">
        <v>226</v>
      </c>
    </row>
    <row r="7129" spans="1:32" x14ac:dyDescent="0.35">
      <c r="A7129" t="s">
        <v>227</v>
      </c>
      <c r="B7129" t="s">
        <v>242</v>
      </c>
      <c r="C7129" s="26">
        <v>0.91180000000000005</v>
      </c>
      <c r="D7129" s="26">
        <v>0.30880000000000002</v>
      </c>
      <c r="E7129" s="26">
        <v>0.10290000000000001</v>
      </c>
      <c r="F7129" s="26">
        <v>0.14710000000000001</v>
      </c>
      <c r="G7129" s="26">
        <v>8.8200000000000001E-2</v>
      </c>
      <c r="H7129" s="26">
        <v>4.41E-2</v>
      </c>
      <c r="I7129" s="26">
        <v>1.47E-2</v>
      </c>
      <c r="J7129" s="26">
        <v>1.47E-2</v>
      </c>
      <c r="L7129">
        <v>68</v>
      </c>
    </row>
    <row r="7130" spans="1:32" x14ac:dyDescent="0.35">
      <c r="A7130" t="s">
        <v>227</v>
      </c>
      <c r="B7130" t="s">
        <v>241</v>
      </c>
      <c r="C7130" s="26">
        <v>0.73629999999999995</v>
      </c>
      <c r="D7130" s="26">
        <v>0.32969999999999999</v>
      </c>
      <c r="E7130" s="26">
        <v>0.30769999999999997</v>
      </c>
      <c r="F7130" s="26">
        <v>0.24179999999999999</v>
      </c>
      <c r="G7130" s="26">
        <v>0.18679999999999999</v>
      </c>
      <c r="H7130" s="26">
        <v>0.15379999999999999</v>
      </c>
      <c r="I7130" s="26">
        <v>4.3999999999999997E-2</v>
      </c>
      <c r="L7130">
        <v>91</v>
      </c>
    </row>
    <row r="7131" spans="1:32" x14ac:dyDescent="0.35">
      <c r="A7131" t="s">
        <v>228</v>
      </c>
      <c r="B7131" t="s">
        <v>242</v>
      </c>
      <c r="C7131" s="26">
        <v>0.85419999999999996</v>
      </c>
      <c r="D7131" s="26">
        <v>0.21909999999999999</v>
      </c>
      <c r="E7131" s="26">
        <v>0.18920000000000001</v>
      </c>
      <c r="F7131" s="26">
        <v>0.14779999999999999</v>
      </c>
      <c r="G7131" s="26">
        <v>0.17979999999999999</v>
      </c>
      <c r="H7131" s="26">
        <v>9.9699999999999997E-2</v>
      </c>
      <c r="I7131" s="26">
        <v>1.5900000000000001E-2</v>
      </c>
      <c r="J7131" s="26">
        <v>2.3E-3</v>
      </c>
      <c r="K7131" s="26">
        <v>6.9999999999999999E-4</v>
      </c>
      <c r="L7131">
        <v>401</v>
      </c>
    </row>
    <row r="7132" spans="1:32" x14ac:dyDescent="0.35">
      <c r="A7132" t="s">
        <v>228</v>
      </c>
      <c r="B7132" t="s">
        <v>241</v>
      </c>
      <c r="C7132" s="26">
        <v>0.73970000000000002</v>
      </c>
      <c r="D7132" s="26">
        <v>0.2737</v>
      </c>
      <c r="E7132" s="26">
        <v>0.25609999999999999</v>
      </c>
      <c r="F7132" s="26">
        <v>0.2465</v>
      </c>
      <c r="G7132" s="26">
        <v>0.18720000000000001</v>
      </c>
      <c r="H7132" s="26">
        <v>0.13830000000000001</v>
      </c>
      <c r="I7132" s="26">
        <v>1.2999999999999999E-2</v>
      </c>
      <c r="J7132" s="26">
        <v>3.0000000000000001E-3</v>
      </c>
      <c r="L7132">
        <v>627</v>
      </c>
    </row>
    <row r="7133" spans="1:32" x14ac:dyDescent="0.35">
      <c r="A7133" t="s">
        <v>229</v>
      </c>
      <c r="B7133" t="s">
        <v>242</v>
      </c>
      <c r="C7133" s="26">
        <v>0.91320000000000001</v>
      </c>
      <c r="D7133" s="26">
        <v>0.27689999999999998</v>
      </c>
      <c r="E7133" s="26">
        <v>0.24640000000000001</v>
      </c>
      <c r="F7133" s="26">
        <v>0.26829999999999998</v>
      </c>
      <c r="G7133" s="26">
        <v>0.1794</v>
      </c>
      <c r="H7133" s="26">
        <v>4.3799999999999999E-2</v>
      </c>
      <c r="I7133" s="26">
        <v>8.2000000000000007E-3</v>
      </c>
      <c r="J7133" s="26">
        <v>1.6999999999999999E-3</v>
      </c>
      <c r="L7133">
        <v>292</v>
      </c>
    </row>
    <row r="7134" spans="1:32" x14ac:dyDescent="0.35">
      <c r="A7134" t="s">
        <v>229</v>
      </c>
      <c r="B7134" t="s">
        <v>241</v>
      </c>
      <c r="C7134" s="26">
        <v>0.75460000000000005</v>
      </c>
      <c r="D7134" s="26">
        <v>0.3528</v>
      </c>
      <c r="E7134" s="26">
        <v>0.3</v>
      </c>
      <c r="F7134" s="26">
        <v>0.30480000000000002</v>
      </c>
      <c r="G7134" s="26">
        <v>0.21990000000000001</v>
      </c>
      <c r="H7134" s="26">
        <v>0.13009999999999999</v>
      </c>
      <c r="I7134" s="26">
        <v>1.9E-2</v>
      </c>
      <c r="J7134" s="26">
        <v>0.01</v>
      </c>
      <c r="K7134" s="26">
        <v>5.0000000000000001E-4</v>
      </c>
      <c r="L7134">
        <v>598</v>
      </c>
    </row>
    <row r="7135" spans="1:32" x14ac:dyDescent="0.35">
      <c r="A7135" t="s">
        <v>230</v>
      </c>
      <c r="B7135" t="s">
        <v>242</v>
      </c>
      <c r="C7135" s="26">
        <v>0.90169999999999995</v>
      </c>
      <c r="D7135" s="26">
        <v>0.27829999999999999</v>
      </c>
      <c r="E7135" s="26">
        <v>0.21790000000000001</v>
      </c>
      <c r="F7135" s="26">
        <v>0.27289999999999998</v>
      </c>
      <c r="G7135" s="26">
        <v>0.18049999999999999</v>
      </c>
      <c r="H7135" s="26">
        <v>6.8500000000000005E-2</v>
      </c>
      <c r="I7135" s="26">
        <v>8.0000000000000002E-3</v>
      </c>
      <c r="K7135" s="26">
        <v>8.0000000000000004E-4</v>
      </c>
      <c r="L7135">
        <v>189</v>
      </c>
    </row>
    <row r="7136" spans="1:32" x14ac:dyDescent="0.35">
      <c r="A7136" t="s">
        <v>230</v>
      </c>
      <c r="B7136" t="s">
        <v>241</v>
      </c>
      <c r="C7136" s="26">
        <v>0.75970000000000004</v>
      </c>
      <c r="D7136" s="26">
        <v>0.3569</v>
      </c>
      <c r="E7136" s="26">
        <v>0.24579999999999999</v>
      </c>
      <c r="F7136" s="26">
        <v>0.25209999999999999</v>
      </c>
      <c r="G7136" s="26">
        <v>0.2283</v>
      </c>
      <c r="H7136" s="26">
        <v>9.7600000000000006E-2</v>
      </c>
      <c r="I7136" s="26">
        <v>2.0400000000000001E-2</v>
      </c>
      <c r="J7136" s="26">
        <v>1.8E-3</v>
      </c>
      <c r="L7136">
        <v>368</v>
      </c>
    </row>
    <row r="7137" spans="1:33" x14ac:dyDescent="0.35">
      <c r="A7137" t="s">
        <v>231</v>
      </c>
      <c r="B7137" t="s">
        <v>242</v>
      </c>
      <c r="C7137" s="26">
        <v>0.87039999999999995</v>
      </c>
      <c r="D7137" s="26">
        <v>0.33329999999999999</v>
      </c>
      <c r="E7137" s="26">
        <v>0.25929999999999997</v>
      </c>
      <c r="F7137" s="26">
        <v>9.2600000000000002E-2</v>
      </c>
      <c r="G7137" s="26">
        <v>0.2407</v>
      </c>
      <c r="H7137" s="26">
        <v>9.2600000000000002E-2</v>
      </c>
      <c r="I7137" s="26">
        <v>3.6999999999999998E-2</v>
      </c>
      <c r="L7137">
        <v>54</v>
      </c>
    </row>
    <row r="7138" spans="1:33" x14ac:dyDescent="0.35">
      <c r="A7138" t="s">
        <v>231</v>
      </c>
      <c r="B7138" t="s">
        <v>241</v>
      </c>
      <c r="C7138" s="26">
        <v>0.76359999999999995</v>
      </c>
      <c r="D7138" s="26">
        <v>0.2636</v>
      </c>
      <c r="E7138" s="26">
        <v>0.29089999999999999</v>
      </c>
      <c r="F7138" s="26">
        <v>0.21820000000000001</v>
      </c>
      <c r="G7138" s="26">
        <v>0.21820000000000001</v>
      </c>
      <c r="H7138" s="26">
        <v>0.1273</v>
      </c>
      <c r="I7138" s="26">
        <v>2.7300000000000001E-2</v>
      </c>
      <c r="L7138">
        <v>110</v>
      </c>
    </row>
    <row r="7139" spans="1:33" x14ac:dyDescent="0.35">
      <c r="A7139" t="s">
        <v>232</v>
      </c>
      <c r="B7139" t="s">
        <v>232</v>
      </c>
      <c r="C7139" s="26">
        <v>0.80330000000000001</v>
      </c>
      <c r="D7139" s="26">
        <v>0.2999</v>
      </c>
      <c r="E7139" s="26">
        <v>0.25729999999999997</v>
      </c>
      <c r="F7139" s="26">
        <v>0.22720000000000001</v>
      </c>
      <c r="G7139" s="26">
        <v>0.19800000000000001</v>
      </c>
      <c r="H7139" s="26">
        <v>0.10780000000000001</v>
      </c>
      <c r="I7139" s="26">
        <v>2.1600000000000001E-2</v>
      </c>
      <c r="J7139" s="26">
        <v>3.5000000000000001E-3</v>
      </c>
      <c r="K7139" s="26">
        <v>2.0000000000000001E-4</v>
      </c>
      <c r="L7139">
        <v>2798</v>
      </c>
    </row>
    <row r="7141" spans="1:33" x14ac:dyDescent="0.35">
      <c r="A7141" s="1" t="s">
        <v>1026</v>
      </c>
    </row>
    <row r="7142" spans="1:33" x14ac:dyDescent="0.35">
      <c r="A7142" t="s">
        <v>219</v>
      </c>
      <c r="B7142" t="s">
        <v>305</v>
      </c>
      <c r="C7142" t="s">
        <v>995</v>
      </c>
      <c r="D7142" t="s">
        <v>996</v>
      </c>
      <c r="E7142" t="s">
        <v>997</v>
      </c>
      <c r="F7142" t="s">
        <v>998</v>
      </c>
      <c r="G7142" t="s">
        <v>999</v>
      </c>
      <c r="H7142" t="s">
        <v>1000</v>
      </c>
      <c r="I7142" t="s">
        <v>1001</v>
      </c>
      <c r="J7142" t="s">
        <v>1002</v>
      </c>
      <c r="K7142" t="s">
        <v>1003</v>
      </c>
      <c r="L7142" t="s">
        <v>1004</v>
      </c>
      <c r="M7142" t="s">
        <v>1005</v>
      </c>
      <c r="N7142" t="s">
        <v>1006</v>
      </c>
      <c r="O7142" t="s">
        <v>1007</v>
      </c>
      <c r="P7142" t="s">
        <v>1008</v>
      </c>
      <c r="Q7142" t="s">
        <v>1009</v>
      </c>
      <c r="R7142" t="s">
        <v>1010</v>
      </c>
      <c r="S7142" t="s">
        <v>1011</v>
      </c>
      <c r="T7142" t="s">
        <v>1012</v>
      </c>
      <c r="U7142" t="s">
        <v>1013</v>
      </c>
      <c r="V7142" t="s">
        <v>1014</v>
      </c>
      <c r="W7142" t="s">
        <v>1015</v>
      </c>
      <c r="X7142" t="s">
        <v>1016</v>
      </c>
      <c r="Y7142" t="s">
        <v>1017</v>
      </c>
      <c r="Z7142" t="s">
        <v>1018</v>
      </c>
      <c r="AA7142" t="s">
        <v>1019</v>
      </c>
      <c r="AB7142" t="s">
        <v>1020</v>
      </c>
      <c r="AC7142" t="s">
        <v>1021</v>
      </c>
      <c r="AD7142" t="s">
        <v>1022</v>
      </c>
      <c r="AE7142" t="s">
        <v>1023</v>
      </c>
      <c r="AF7142" t="s">
        <v>1024</v>
      </c>
      <c r="AG7142" t="s">
        <v>964</v>
      </c>
    </row>
    <row r="7143" spans="1:33" x14ac:dyDescent="0.35">
      <c r="A7143" t="s">
        <v>227</v>
      </c>
      <c r="B7143" t="s">
        <v>242</v>
      </c>
      <c r="C7143">
        <v>9944.1200000000008</v>
      </c>
      <c r="D7143">
        <v>3000</v>
      </c>
      <c r="E7143">
        <v>150</v>
      </c>
      <c r="F7143">
        <v>100000</v>
      </c>
      <c r="G7143" s="30">
        <v>17</v>
      </c>
      <c r="H7143">
        <v>5414.29</v>
      </c>
      <c r="I7143">
        <v>3900</v>
      </c>
      <c r="J7143">
        <v>500</v>
      </c>
      <c r="K7143">
        <v>25000</v>
      </c>
      <c r="L7143" s="30">
        <v>7</v>
      </c>
      <c r="M7143">
        <v>8155.36</v>
      </c>
      <c r="N7143">
        <v>5000</v>
      </c>
      <c r="O7143">
        <v>400</v>
      </c>
      <c r="P7143">
        <v>50000</v>
      </c>
      <c r="Q7143" s="30">
        <v>56</v>
      </c>
      <c r="R7143">
        <v>5671.43</v>
      </c>
      <c r="S7143">
        <v>7000</v>
      </c>
      <c r="T7143">
        <v>1000</v>
      </c>
      <c r="U7143">
        <v>10000</v>
      </c>
      <c r="V7143" s="30">
        <v>7</v>
      </c>
      <c r="W7143">
        <v>82500</v>
      </c>
      <c r="X7143">
        <v>30000</v>
      </c>
      <c r="Y7143">
        <v>3000</v>
      </c>
      <c r="Z7143">
        <v>400000</v>
      </c>
      <c r="AA7143" s="30">
        <v>6</v>
      </c>
      <c r="AB7143">
        <v>11000</v>
      </c>
      <c r="AC7143">
        <v>25000</v>
      </c>
      <c r="AD7143">
        <v>1000</v>
      </c>
      <c r="AE7143">
        <v>25000</v>
      </c>
      <c r="AF7143" s="30">
        <v>3</v>
      </c>
      <c r="AG7143">
        <v>56</v>
      </c>
    </row>
    <row r="7144" spans="1:33" x14ac:dyDescent="0.35">
      <c r="A7144" t="s">
        <v>227</v>
      </c>
      <c r="B7144" t="s">
        <v>241</v>
      </c>
      <c r="C7144">
        <v>11069.23</v>
      </c>
      <c r="D7144">
        <v>5000</v>
      </c>
      <c r="E7144">
        <v>300</v>
      </c>
      <c r="F7144">
        <v>100000</v>
      </c>
      <c r="G7144" s="30">
        <v>26</v>
      </c>
      <c r="H7144">
        <v>3769.6</v>
      </c>
      <c r="I7144">
        <v>3000</v>
      </c>
      <c r="J7144">
        <v>300</v>
      </c>
      <c r="K7144">
        <v>20000</v>
      </c>
      <c r="L7144" s="30">
        <v>20</v>
      </c>
      <c r="M7144">
        <v>6135.83</v>
      </c>
      <c r="N7144">
        <v>3500</v>
      </c>
      <c r="O7144">
        <v>100</v>
      </c>
      <c r="P7144">
        <v>50000</v>
      </c>
      <c r="Q7144" s="30">
        <v>60</v>
      </c>
      <c r="R7144">
        <v>8475</v>
      </c>
      <c r="S7144">
        <v>6000</v>
      </c>
      <c r="T7144">
        <v>500</v>
      </c>
      <c r="U7144">
        <v>42000</v>
      </c>
      <c r="V7144" s="30">
        <v>20</v>
      </c>
      <c r="W7144">
        <v>13540</v>
      </c>
      <c r="X7144">
        <v>7500</v>
      </c>
      <c r="Y7144">
        <v>1300</v>
      </c>
      <c r="Z7144">
        <v>60000</v>
      </c>
      <c r="AA7144" s="30">
        <v>15</v>
      </c>
      <c r="AB7144">
        <v>8230</v>
      </c>
      <c r="AC7144">
        <v>6000</v>
      </c>
      <c r="AD7144">
        <v>2160</v>
      </c>
      <c r="AE7144">
        <v>20000</v>
      </c>
      <c r="AF7144" s="30">
        <v>12</v>
      </c>
      <c r="AG7144">
        <v>60</v>
      </c>
    </row>
    <row r="7145" spans="1:33" x14ac:dyDescent="0.35">
      <c r="A7145" t="s">
        <v>228</v>
      </c>
      <c r="B7145" t="s">
        <v>242</v>
      </c>
      <c r="C7145">
        <v>12082.21</v>
      </c>
      <c r="D7145">
        <v>5000</v>
      </c>
      <c r="E7145">
        <v>200</v>
      </c>
      <c r="F7145">
        <v>150000</v>
      </c>
      <c r="G7145" s="30">
        <v>66</v>
      </c>
      <c r="H7145">
        <v>6618.42</v>
      </c>
      <c r="I7145">
        <v>3700</v>
      </c>
      <c r="J7145">
        <v>250</v>
      </c>
      <c r="K7145">
        <v>30000</v>
      </c>
      <c r="L7145" s="30">
        <v>50</v>
      </c>
      <c r="M7145">
        <v>13711.33</v>
      </c>
      <c r="N7145">
        <v>7000</v>
      </c>
      <c r="O7145">
        <v>120</v>
      </c>
      <c r="P7145">
        <v>100000</v>
      </c>
      <c r="Q7145" s="30">
        <v>290</v>
      </c>
      <c r="R7145">
        <v>9389.2199999999993</v>
      </c>
      <c r="S7145">
        <v>5000</v>
      </c>
      <c r="T7145">
        <v>300</v>
      </c>
      <c r="U7145">
        <v>40000</v>
      </c>
      <c r="V7145" s="30">
        <v>40</v>
      </c>
      <c r="W7145">
        <v>20943.79</v>
      </c>
      <c r="X7145">
        <v>10000</v>
      </c>
      <c r="Y7145">
        <v>1000</v>
      </c>
      <c r="Z7145">
        <v>100000</v>
      </c>
      <c r="AA7145" s="30">
        <v>55</v>
      </c>
      <c r="AB7145">
        <v>7149.4</v>
      </c>
      <c r="AC7145">
        <v>3000</v>
      </c>
      <c r="AD7145">
        <v>100</v>
      </c>
      <c r="AE7145">
        <v>31000</v>
      </c>
      <c r="AF7145" s="30">
        <v>18</v>
      </c>
      <c r="AG7145">
        <v>290</v>
      </c>
    </row>
    <row r="7146" spans="1:33" x14ac:dyDescent="0.35">
      <c r="A7146" t="s">
        <v>228</v>
      </c>
      <c r="B7146" t="s">
        <v>241</v>
      </c>
      <c r="C7146">
        <v>10495</v>
      </c>
      <c r="D7146">
        <v>4000</v>
      </c>
      <c r="E7146">
        <v>180</v>
      </c>
      <c r="F7146">
        <v>200000</v>
      </c>
      <c r="G7146" s="30">
        <v>140</v>
      </c>
      <c r="H7146">
        <v>4227.4799999999996</v>
      </c>
      <c r="I7146">
        <v>2500</v>
      </c>
      <c r="J7146">
        <v>200</v>
      </c>
      <c r="K7146">
        <v>30000</v>
      </c>
      <c r="L7146" s="30">
        <v>113</v>
      </c>
      <c r="M7146">
        <v>7688.58</v>
      </c>
      <c r="N7146">
        <v>4000</v>
      </c>
      <c r="O7146">
        <v>100</v>
      </c>
      <c r="P7146">
        <v>100000</v>
      </c>
      <c r="Q7146" s="30">
        <v>383</v>
      </c>
      <c r="R7146">
        <v>8370.99</v>
      </c>
      <c r="S7146">
        <v>5000</v>
      </c>
      <c r="T7146">
        <v>150</v>
      </c>
      <c r="U7146">
        <v>40000</v>
      </c>
      <c r="V7146" s="30">
        <v>100</v>
      </c>
      <c r="W7146">
        <v>15833.41</v>
      </c>
      <c r="X7146">
        <v>9000</v>
      </c>
      <c r="Y7146">
        <v>200</v>
      </c>
      <c r="Z7146">
        <v>120000</v>
      </c>
      <c r="AA7146" s="30">
        <v>84</v>
      </c>
      <c r="AB7146">
        <v>8426.33</v>
      </c>
      <c r="AC7146">
        <v>6000</v>
      </c>
      <c r="AD7146">
        <v>350</v>
      </c>
      <c r="AE7146">
        <v>30000</v>
      </c>
      <c r="AF7146" s="30">
        <v>23</v>
      </c>
      <c r="AG7146">
        <v>383</v>
      </c>
    </row>
    <row r="7147" spans="1:33" x14ac:dyDescent="0.35">
      <c r="A7147" t="s">
        <v>229</v>
      </c>
      <c r="B7147" t="s">
        <v>242</v>
      </c>
      <c r="C7147">
        <v>10461.75</v>
      </c>
      <c r="D7147">
        <v>5000</v>
      </c>
      <c r="E7147">
        <v>250</v>
      </c>
      <c r="F7147">
        <v>70000</v>
      </c>
      <c r="G7147" s="30">
        <v>69</v>
      </c>
      <c r="H7147">
        <v>6254.57</v>
      </c>
      <c r="I7147">
        <v>3000</v>
      </c>
      <c r="J7147">
        <v>200</v>
      </c>
      <c r="K7147">
        <v>30000</v>
      </c>
      <c r="L7147" s="30">
        <v>48</v>
      </c>
      <c r="M7147">
        <v>13585.79</v>
      </c>
      <c r="N7147">
        <v>10000</v>
      </c>
      <c r="O7147">
        <v>400</v>
      </c>
      <c r="P7147">
        <v>100000</v>
      </c>
      <c r="Q7147" s="30">
        <v>228</v>
      </c>
      <c r="R7147">
        <v>7560.29</v>
      </c>
      <c r="S7147">
        <v>5000</v>
      </c>
      <c r="T7147">
        <v>300</v>
      </c>
      <c r="U7147">
        <v>35000</v>
      </c>
      <c r="V7147" s="30">
        <v>52</v>
      </c>
      <c r="W7147">
        <v>20519.54</v>
      </c>
      <c r="X7147">
        <v>12000</v>
      </c>
      <c r="Y7147">
        <v>300</v>
      </c>
      <c r="Z7147">
        <v>120000</v>
      </c>
      <c r="AA7147" s="30">
        <v>46</v>
      </c>
      <c r="AB7147">
        <v>4399.34</v>
      </c>
      <c r="AC7147">
        <v>4000</v>
      </c>
      <c r="AD7147">
        <v>200</v>
      </c>
      <c r="AE7147">
        <v>18000</v>
      </c>
      <c r="AF7147" s="30">
        <v>16</v>
      </c>
      <c r="AG7147">
        <v>228</v>
      </c>
    </row>
    <row r="7148" spans="1:33" x14ac:dyDescent="0.35">
      <c r="A7148" t="s">
        <v>229</v>
      </c>
      <c r="B7148" t="s">
        <v>241</v>
      </c>
      <c r="C7148">
        <v>17022.09</v>
      </c>
      <c r="D7148">
        <v>5000</v>
      </c>
      <c r="E7148">
        <v>100</v>
      </c>
      <c r="F7148">
        <v>200000</v>
      </c>
      <c r="G7148" s="30">
        <v>144</v>
      </c>
      <c r="H7148">
        <v>6850.76</v>
      </c>
      <c r="I7148">
        <v>4000</v>
      </c>
      <c r="J7148">
        <v>240</v>
      </c>
      <c r="K7148">
        <v>30000</v>
      </c>
      <c r="L7148" s="30">
        <v>117</v>
      </c>
      <c r="M7148">
        <v>8857.74</v>
      </c>
      <c r="N7148">
        <v>5000</v>
      </c>
      <c r="O7148">
        <v>150</v>
      </c>
      <c r="P7148">
        <v>100000</v>
      </c>
      <c r="Q7148" s="30">
        <v>363</v>
      </c>
      <c r="R7148">
        <v>8762.25</v>
      </c>
      <c r="S7148">
        <v>5000</v>
      </c>
      <c r="T7148">
        <v>200</v>
      </c>
      <c r="U7148">
        <v>45000</v>
      </c>
      <c r="V7148" s="30">
        <v>122</v>
      </c>
      <c r="W7148">
        <v>19892.810000000001</v>
      </c>
      <c r="X7148">
        <v>15000</v>
      </c>
      <c r="Y7148">
        <v>560</v>
      </c>
      <c r="Z7148">
        <v>200000</v>
      </c>
      <c r="AA7148" s="30">
        <v>80</v>
      </c>
      <c r="AB7148">
        <v>8540.25</v>
      </c>
      <c r="AC7148">
        <v>7000</v>
      </c>
      <c r="AD7148">
        <v>600</v>
      </c>
      <c r="AE7148">
        <v>30000</v>
      </c>
      <c r="AF7148" s="30">
        <v>29</v>
      </c>
      <c r="AG7148">
        <v>363</v>
      </c>
    </row>
    <row r="7149" spans="1:33" x14ac:dyDescent="0.35">
      <c r="A7149" t="s">
        <v>230</v>
      </c>
      <c r="B7149" t="s">
        <v>242</v>
      </c>
      <c r="C7149">
        <v>10157.93</v>
      </c>
      <c r="D7149">
        <v>5000</v>
      </c>
      <c r="E7149">
        <v>100</v>
      </c>
      <c r="F7149">
        <v>200000</v>
      </c>
      <c r="G7149" s="30">
        <v>54</v>
      </c>
      <c r="H7149">
        <v>4674.22</v>
      </c>
      <c r="I7149">
        <v>3000</v>
      </c>
      <c r="J7149">
        <v>250</v>
      </c>
      <c r="K7149">
        <v>30000</v>
      </c>
      <c r="L7149" s="30">
        <v>30</v>
      </c>
      <c r="M7149">
        <v>11919.61</v>
      </c>
      <c r="N7149">
        <v>7000</v>
      </c>
      <c r="O7149">
        <v>200</v>
      </c>
      <c r="P7149">
        <v>100000</v>
      </c>
      <c r="Q7149" s="30">
        <v>144</v>
      </c>
      <c r="R7149">
        <v>6002.81</v>
      </c>
      <c r="S7149">
        <v>5000</v>
      </c>
      <c r="T7149">
        <v>200</v>
      </c>
      <c r="U7149">
        <v>35000</v>
      </c>
      <c r="V7149" s="30">
        <v>26</v>
      </c>
      <c r="W7149">
        <v>16263.2</v>
      </c>
      <c r="X7149">
        <v>7590</v>
      </c>
      <c r="Y7149">
        <v>400</v>
      </c>
      <c r="Z7149">
        <v>250000</v>
      </c>
      <c r="AA7149" s="30">
        <v>34</v>
      </c>
      <c r="AB7149">
        <v>5360.95</v>
      </c>
      <c r="AC7149">
        <v>10000</v>
      </c>
      <c r="AD7149">
        <v>740</v>
      </c>
      <c r="AE7149">
        <v>14000</v>
      </c>
      <c r="AF7149" s="30">
        <v>10</v>
      </c>
      <c r="AG7149">
        <v>144</v>
      </c>
    </row>
    <row r="7150" spans="1:33" x14ac:dyDescent="0.35">
      <c r="A7150" t="s">
        <v>230</v>
      </c>
      <c r="B7150" t="s">
        <v>241</v>
      </c>
      <c r="C7150">
        <v>12878.35</v>
      </c>
      <c r="D7150">
        <v>5000</v>
      </c>
      <c r="E7150">
        <v>100</v>
      </c>
      <c r="F7150">
        <v>200000</v>
      </c>
      <c r="G7150" s="30">
        <v>104</v>
      </c>
      <c r="H7150">
        <v>5218.16</v>
      </c>
      <c r="I7150">
        <v>3000</v>
      </c>
      <c r="J7150">
        <v>200</v>
      </c>
      <c r="K7150">
        <v>30000</v>
      </c>
      <c r="L7150" s="30">
        <v>70</v>
      </c>
      <c r="M7150">
        <v>8491.42</v>
      </c>
      <c r="N7150">
        <v>5000</v>
      </c>
      <c r="O7150">
        <v>100</v>
      </c>
      <c r="P7150">
        <v>80000</v>
      </c>
      <c r="Q7150" s="30">
        <v>238</v>
      </c>
      <c r="R7150">
        <v>7845.63</v>
      </c>
      <c r="S7150">
        <v>5000</v>
      </c>
      <c r="T7150">
        <v>200</v>
      </c>
      <c r="U7150">
        <v>40000</v>
      </c>
      <c r="V7150" s="30">
        <v>63</v>
      </c>
      <c r="W7150">
        <v>15198.54</v>
      </c>
      <c r="X7150">
        <v>7200</v>
      </c>
      <c r="Y7150">
        <v>560</v>
      </c>
      <c r="Z7150">
        <v>110000</v>
      </c>
      <c r="AA7150" s="30">
        <v>66</v>
      </c>
      <c r="AB7150">
        <v>6830.4</v>
      </c>
      <c r="AC7150">
        <v>5000</v>
      </c>
      <c r="AD7150">
        <v>500</v>
      </c>
      <c r="AE7150">
        <v>30000</v>
      </c>
      <c r="AF7150" s="30">
        <v>22</v>
      </c>
      <c r="AG7150">
        <v>238</v>
      </c>
    </row>
    <row r="7151" spans="1:33" x14ac:dyDescent="0.35">
      <c r="A7151" t="s">
        <v>231</v>
      </c>
      <c r="B7151" t="s">
        <v>242</v>
      </c>
      <c r="C7151">
        <v>19464.71</v>
      </c>
      <c r="D7151">
        <v>15000</v>
      </c>
      <c r="E7151">
        <v>300</v>
      </c>
      <c r="F7151">
        <v>100000</v>
      </c>
      <c r="G7151" s="30">
        <v>17</v>
      </c>
      <c r="H7151">
        <v>3825</v>
      </c>
      <c r="I7151">
        <v>3000</v>
      </c>
      <c r="J7151">
        <v>200</v>
      </c>
      <c r="K7151">
        <v>10000</v>
      </c>
      <c r="L7151" s="30">
        <v>12</v>
      </c>
      <c r="M7151">
        <v>14460</v>
      </c>
      <c r="N7151">
        <v>10000</v>
      </c>
      <c r="O7151">
        <v>400</v>
      </c>
      <c r="P7151">
        <v>100000</v>
      </c>
      <c r="Q7151" s="30">
        <v>40</v>
      </c>
      <c r="R7151">
        <v>4000</v>
      </c>
      <c r="S7151">
        <v>3000</v>
      </c>
      <c r="T7151">
        <v>3000</v>
      </c>
      <c r="U7151">
        <v>5000</v>
      </c>
      <c r="V7151" s="30">
        <v>2</v>
      </c>
      <c r="W7151">
        <v>10548.8</v>
      </c>
      <c r="X7151">
        <v>5000</v>
      </c>
      <c r="Y7151">
        <v>500</v>
      </c>
      <c r="Z7151">
        <v>50000</v>
      </c>
      <c r="AA7151" s="30">
        <v>10</v>
      </c>
      <c r="AB7151">
        <v>3175</v>
      </c>
      <c r="AC7151">
        <v>1700</v>
      </c>
      <c r="AD7151">
        <v>1000</v>
      </c>
      <c r="AE7151">
        <v>8000</v>
      </c>
      <c r="AF7151" s="30">
        <v>4</v>
      </c>
      <c r="AG7151">
        <v>40</v>
      </c>
    </row>
    <row r="7152" spans="1:33" x14ac:dyDescent="0.35">
      <c r="A7152" t="s">
        <v>231</v>
      </c>
      <c r="B7152" t="s">
        <v>241</v>
      </c>
      <c r="C7152">
        <v>21440.74</v>
      </c>
      <c r="D7152">
        <v>5000</v>
      </c>
      <c r="E7152">
        <v>200</v>
      </c>
      <c r="F7152">
        <v>200000</v>
      </c>
      <c r="G7152" s="30">
        <v>27</v>
      </c>
      <c r="H7152">
        <v>6747.6</v>
      </c>
      <c r="I7152">
        <v>5000</v>
      </c>
      <c r="J7152">
        <v>490</v>
      </c>
      <c r="K7152">
        <v>30000</v>
      </c>
      <c r="L7152" s="30">
        <v>25</v>
      </c>
      <c r="M7152">
        <v>4709.79</v>
      </c>
      <c r="N7152">
        <v>4000</v>
      </c>
      <c r="O7152">
        <v>170</v>
      </c>
      <c r="P7152">
        <v>20000</v>
      </c>
      <c r="Q7152" s="30">
        <v>71</v>
      </c>
      <c r="R7152">
        <v>11282.5</v>
      </c>
      <c r="S7152">
        <v>5000</v>
      </c>
      <c r="T7152">
        <v>350</v>
      </c>
      <c r="U7152">
        <v>40000</v>
      </c>
      <c r="V7152" s="30">
        <v>20</v>
      </c>
      <c r="W7152">
        <v>11652.38</v>
      </c>
      <c r="X7152">
        <v>9000</v>
      </c>
      <c r="Y7152">
        <v>1200</v>
      </c>
      <c r="Z7152">
        <v>30000</v>
      </c>
      <c r="AA7152" s="30">
        <v>21</v>
      </c>
      <c r="AB7152">
        <v>1100</v>
      </c>
      <c r="AC7152">
        <v>2000</v>
      </c>
      <c r="AD7152">
        <v>300</v>
      </c>
      <c r="AE7152">
        <v>2000</v>
      </c>
      <c r="AF7152" s="30">
        <v>3</v>
      </c>
      <c r="AG7152">
        <v>71</v>
      </c>
    </row>
    <row r="7153" spans="1:33" x14ac:dyDescent="0.35">
      <c r="A7153" t="s">
        <v>232</v>
      </c>
      <c r="B7153" t="s">
        <v>232</v>
      </c>
      <c r="C7153">
        <v>14899.73</v>
      </c>
      <c r="D7153">
        <v>5000</v>
      </c>
      <c r="E7153">
        <v>100</v>
      </c>
      <c r="F7153">
        <v>200000</v>
      </c>
      <c r="G7153" s="30">
        <v>664</v>
      </c>
      <c r="H7153">
        <v>5630.43</v>
      </c>
      <c r="I7153">
        <v>3000</v>
      </c>
      <c r="J7153">
        <v>200</v>
      </c>
      <c r="K7153">
        <v>30000</v>
      </c>
      <c r="L7153" s="30">
        <v>492</v>
      </c>
      <c r="M7153">
        <v>9336.61</v>
      </c>
      <c r="N7153">
        <v>5000</v>
      </c>
      <c r="O7153">
        <v>100</v>
      </c>
      <c r="P7153">
        <v>100000</v>
      </c>
      <c r="Q7153" s="30">
        <v>1873</v>
      </c>
      <c r="R7153">
        <v>8628.5300000000007</v>
      </c>
      <c r="S7153">
        <v>5000</v>
      </c>
      <c r="T7153">
        <v>150</v>
      </c>
      <c r="U7153">
        <v>45000</v>
      </c>
      <c r="V7153" s="30">
        <v>452</v>
      </c>
      <c r="W7153">
        <v>18064.68</v>
      </c>
      <c r="X7153">
        <v>9000</v>
      </c>
      <c r="Y7153">
        <v>200</v>
      </c>
      <c r="Z7153">
        <v>400000</v>
      </c>
      <c r="AA7153" s="30">
        <v>417</v>
      </c>
      <c r="AB7153">
        <v>6639.38</v>
      </c>
      <c r="AC7153">
        <v>4000</v>
      </c>
      <c r="AD7153">
        <v>100</v>
      </c>
      <c r="AE7153">
        <v>31000</v>
      </c>
      <c r="AF7153" s="30">
        <v>140</v>
      </c>
      <c r="AG7153">
        <v>1873</v>
      </c>
    </row>
    <row r="7155" spans="1:33" x14ac:dyDescent="0.35">
      <c r="A7155" s="1" t="s">
        <v>1027</v>
      </c>
    </row>
    <row r="7156" spans="1:33" x14ac:dyDescent="0.35">
      <c r="A7156" t="s">
        <v>219</v>
      </c>
      <c r="B7156" t="s">
        <v>305</v>
      </c>
      <c r="C7156" t="s">
        <v>988</v>
      </c>
      <c r="D7156" t="s">
        <v>989</v>
      </c>
      <c r="E7156" t="s">
        <v>990</v>
      </c>
      <c r="F7156" t="s">
        <v>991</v>
      </c>
      <c r="G7156" t="s">
        <v>992</v>
      </c>
      <c r="H7156" t="s">
        <v>993</v>
      </c>
      <c r="I7156" t="s">
        <v>994</v>
      </c>
      <c r="J7156" t="s">
        <v>281</v>
      </c>
      <c r="K7156" t="s">
        <v>286</v>
      </c>
      <c r="L7156" t="s">
        <v>226</v>
      </c>
    </row>
    <row r="7157" spans="1:33" x14ac:dyDescent="0.35">
      <c r="A7157" t="s">
        <v>227</v>
      </c>
      <c r="B7157" t="s">
        <v>239</v>
      </c>
      <c r="C7157" s="26">
        <v>0.75</v>
      </c>
      <c r="D7157" s="26">
        <v>0.33329999999999999</v>
      </c>
      <c r="E7157" s="26">
        <v>0.18329999999999999</v>
      </c>
      <c r="F7157" s="26">
        <v>0.2</v>
      </c>
      <c r="G7157" s="26">
        <v>0.16669999999999999</v>
      </c>
      <c r="H7157" s="26">
        <v>0.1167</v>
      </c>
      <c r="I7157" s="26">
        <v>6.6699999999999995E-2</v>
      </c>
      <c r="L7157">
        <v>60</v>
      </c>
    </row>
    <row r="7158" spans="1:33" x14ac:dyDescent="0.35">
      <c r="A7158" t="s">
        <v>227</v>
      </c>
      <c r="B7158" t="s">
        <v>238</v>
      </c>
      <c r="C7158" s="26">
        <v>0.84850000000000003</v>
      </c>
      <c r="D7158" s="26">
        <v>0.31309999999999999</v>
      </c>
      <c r="E7158" s="26">
        <v>0.2424</v>
      </c>
      <c r="F7158" s="26">
        <v>0.20200000000000001</v>
      </c>
      <c r="G7158" s="26">
        <v>0.1313</v>
      </c>
      <c r="H7158" s="26">
        <v>0.10100000000000001</v>
      </c>
      <c r="I7158" s="26">
        <v>1.01E-2</v>
      </c>
      <c r="J7158" s="26">
        <v>1.01E-2</v>
      </c>
      <c r="L7158">
        <v>99</v>
      </c>
    </row>
    <row r="7159" spans="1:33" x14ac:dyDescent="0.35">
      <c r="A7159" t="s">
        <v>228</v>
      </c>
      <c r="B7159" t="s">
        <v>239</v>
      </c>
      <c r="C7159" s="26">
        <v>0.7964</v>
      </c>
      <c r="D7159" s="26">
        <v>0.28070000000000001</v>
      </c>
      <c r="E7159" s="26">
        <v>0.1845</v>
      </c>
      <c r="F7159" s="26">
        <v>0.2485</v>
      </c>
      <c r="G7159" s="26">
        <v>0.1396</v>
      </c>
      <c r="H7159" s="26">
        <v>0.1236</v>
      </c>
      <c r="I7159" s="26">
        <v>2.3199999999999998E-2</v>
      </c>
      <c r="J7159" s="26">
        <v>5.7999999999999996E-3</v>
      </c>
      <c r="L7159">
        <v>327</v>
      </c>
    </row>
    <row r="7160" spans="1:33" x14ac:dyDescent="0.35">
      <c r="A7160" t="s">
        <v>228</v>
      </c>
      <c r="B7160" t="s">
        <v>238</v>
      </c>
      <c r="C7160" s="26">
        <v>0.7772</v>
      </c>
      <c r="D7160" s="26">
        <v>0.247</v>
      </c>
      <c r="E7160" s="26">
        <v>0.2442</v>
      </c>
      <c r="F7160" s="26">
        <v>0.20100000000000001</v>
      </c>
      <c r="G7160" s="26">
        <v>0.19620000000000001</v>
      </c>
      <c r="H7160" s="26">
        <v>0.1245</v>
      </c>
      <c r="I7160" s="26">
        <v>1.17E-2</v>
      </c>
      <c r="J7160" s="26">
        <v>1.9E-3</v>
      </c>
      <c r="K7160" s="26">
        <v>2.9999999999999997E-4</v>
      </c>
      <c r="L7160">
        <v>701</v>
      </c>
    </row>
    <row r="7161" spans="1:33" x14ac:dyDescent="0.35">
      <c r="A7161" t="s">
        <v>229</v>
      </c>
      <c r="B7161" t="s">
        <v>239</v>
      </c>
      <c r="C7161" s="26">
        <v>0.79090000000000005</v>
      </c>
      <c r="D7161" s="26">
        <v>0.41210000000000002</v>
      </c>
      <c r="E7161" s="26">
        <v>0.29559999999999997</v>
      </c>
      <c r="F7161" s="26">
        <v>0.26629999999999998</v>
      </c>
      <c r="G7161" s="26">
        <v>0.26200000000000001</v>
      </c>
      <c r="H7161" s="26">
        <v>7.6100000000000001E-2</v>
      </c>
      <c r="I7161" s="26">
        <v>2.7000000000000001E-3</v>
      </c>
      <c r="J7161" s="26">
        <v>1.0500000000000001E-2</v>
      </c>
      <c r="L7161">
        <v>331</v>
      </c>
    </row>
    <row r="7162" spans="1:33" x14ac:dyDescent="0.35">
      <c r="A7162" t="s">
        <v>229</v>
      </c>
      <c r="B7162" t="s">
        <v>238</v>
      </c>
      <c r="C7162" s="26">
        <v>0.82609999999999995</v>
      </c>
      <c r="D7162" s="26">
        <v>0.29210000000000003</v>
      </c>
      <c r="E7162" s="26">
        <v>0.27310000000000001</v>
      </c>
      <c r="F7162" s="26">
        <v>0.29880000000000001</v>
      </c>
      <c r="G7162" s="26">
        <v>0.18390000000000001</v>
      </c>
      <c r="H7162" s="26">
        <v>0.1031</v>
      </c>
      <c r="I7162" s="26">
        <v>1.89E-2</v>
      </c>
      <c r="J7162" s="26">
        <v>5.4999999999999997E-3</v>
      </c>
      <c r="K7162" s="26">
        <v>4.0000000000000002E-4</v>
      </c>
      <c r="L7162">
        <v>559</v>
      </c>
    </row>
    <row r="7163" spans="1:33" x14ac:dyDescent="0.35">
      <c r="A7163" t="s">
        <v>230</v>
      </c>
      <c r="B7163" t="s">
        <v>239</v>
      </c>
      <c r="C7163" s="26">
        <v>0.82550000000000001</v>
      </c>
      <c r="D7163" s="26">
        <v>0.4486</v>
      </c>
      <c r="E7163" s="26">
        <v>0.22739999999999999</v>
      </c>
      <c r="F7163" s="26">
        <v>0.37440000000000001</v>
      </c>
      <c r="G7163" s="26">
        <v>0.2213</v>
      </c>
      <c r="H7163" s="26">
        <v>6.8099999999999994E-2</v>
      </c>
      <c r="I7163" s="26">
        <v>2.98E-2</v>
      </c>
      <c r="J7163" s="26">
        <v>3.0000000000000001E-3</v>
      </c>
      <c r="L7163">
        <v>210</v>
      </c>
    </row>
    <row r="7164" spans="1:33" x14ac:dyDescent="0.35">
      <c r="A7164" t="s">
        <v>230</v>
      </c>
      <c r="B7164" t="s">
        <v>238</v>
      </c>
      <c r="C7164" s="26">
        <v>0.80020000000000002</v>
      </c>
      <c r="D7164" s="26">
        <v>0.2792</v>
      </c>
      <c r="E7164" s="26">
        <v>0.2402</v>
      </c>
      <c r="F7164" s="26">
        <v>0.2094</v>
      </c>
      <c r="G7164" s="26">
        <v>0.20810000000000001</v>
      </c>
      <c r="H7164" s="26">
        <v>9.6199999999999994E-2</v>
      </c>
      <c r="I7164" s="26">
        <v>1.03E-2</v>
      </c>
      <c r="J7164" s="26">
        <v>4.0000000000000002E-4</v>
      </c>
      <c r="K7164" s="26">
        <v>4.0000000000000002E-4</v>
      </c>
      <c r="L7164">
        <v>347</v>
      </c>
    </row>
    <row r="7165" spans="1:33" x14ac:dyDescent="0.35">
      <c r="A7165" t="s">
        <v>231</v>
      </c>
      <c r="B7165" t="s">
        <v>239</v>
      </c>
      <c r="C7165" s="26">
        <v>0.87719999999999998</v>
      </c>
      <c r="D7165" s="26">
        <v>0.42109999999999997</v>
      </c>
      <c r="E7165" s="26">
        <v>0.26319999999999999</v>
      </c>
      <c r="F7165" s="26">
        <v>0.21049999999999999</v>
      </c>
      <c r="G7165" s="26">
        <v>0.26319999999999999</v>
      </c>
      <c r="H7165" s="26">
        <v>8.77E-2</v>
      </c>
      <c r="I7165" s="26">
        <v>3.5099999999999999E-2</v>
      </c>
      <c r="L7165">
        <v>57</v>
      </c>
    </row>
    <row r="7166" spans="1:33" x14ac:dyDescent="0.35">
      <c r="A7166" t="s">
        <v>231</v>
      </c>
      <c r="B7166" t="s">
        <v>238</v>
      </c>
      <c r="C7166" s="26">
        <v>0.75700000000000001</v>
      </c>
      <c r="D7166" s="26">
        <v>0.215</v>
      </c>
      <c r="E7166" s="26">
        <v>0.28970000000000001</v>
      </c>
      <c r="F7166" s="26">
        <v>0.15890000000000001</v>
      </c>
      <c r="G7166" s="26">
        <v>0.2056</v>
      </c>
      <c r="H7166" s="26">
        <v>0.1308</v>
      </c>
      <c r="I7166" s="26">
        <v>2.8000000000000001E-2</v>
      </c>
      <c r="L7166">
        <v>107</v>
      </c>
    </row>
    <row r="7167" spans="1:33" x14ac:dyDescent="0.35">
      <c r="A7167" t="s">
        <v>232</v>
      </c>
      <c r="B7167" t="s">
        <v>232</v>
      </c>
      <c r="C7167" s="26">
        <v>0.80330000000000001</v>
      </c>
      <c r="D7167" s="26">
        <v>0.2999</v>
      </c>
      <c r="E7167" s="26">
        <v>0.25729999999999997</v>
      </c>
      <c r="F7167" s="26">
        <v>0.22720000000000001</v>
      </c>
      <c r="G7167" s="26">
        <v>0.19800000000000001</v>
      </c>
      <c r="H7167" s="26">
        <v>0.10780000000000001</v>
      </c>
      <c r="I7167" s="26">
        <v>2.1600000000000001E-2</v>
      </c>
      <c r="J7167" s="26">
        <v>3.5000000000000001E-3</v>
      </c>
      <c r="K7167" s="26">
        <v>2.0000000000000001E-4</v>
      </c>
      <c r="L7167">
        <v>2798</v>
      </c>
    </row>
    <row r="7169" spans="1:33" x14ac:dyDescent="0.35">
      <c r="A7169" s="1" t="s">
        <v>1028</v>
      </c>
    </row>
    <row r="7170" spans="1:33" x14ac:dyDescent="0.35">
      <c r="A7170" t="s">
        <v>219</v>
      </c>
      <c r="B7170" t="s">
        <v>305</v>
      </c>
      <c r="C7170" t="s">
        <v>995</v>
      </c>
      <c r="D7170" t="s">
        <v>996</v>
      </c>
      <c r="E7170" t="s">
        <v>997</v>
      </c>
      <c r="F7170" t="s">
        <v>998</v>
      </c>
      <c r="G7170" t="s">
        <v>999</v>
      </c>
      <c r="H7170" t="s">
        <v>1000</v>
      </c>
      <c r="I7170" t="s">
        <v>1001</v>
      </c>
      <c r="J7170" t="s">
        <v>1002</v>
      </c>
      <c r="K7170" t="s">
        <v>1003</v>
      </c>
      <c r="L7170" t="s">
        <v>1004</v>
      </c>
      <c r="M7170" t="s">
        <v>1005</v>
      </c>
      <c r="N7170" t="s">
        <v>1006</v>
      </c>
      <c r="O7170" t="s">
        <v>1007</v>
      </c>
      <c r="P7170" t="s">
        <v>1008</v>
      </c>
      <c r="Q7170" t="s">
        <v>1009</v>
      </c>
      <c r="R7170" t="s">
        <v>1010</v>
      </c>
      <c r="S7170" t="s">
        <v>1011</v>
      </c>
      <c r="T7170" t="s">
        <v>1012</v>
      </c>
      <c r="U7170" t="s">
        <v>1013</v>
      </c>
      <c r="V7170" t="s">
        <v>1014</v>
      </c>
      <c r="W7170" t="s">
        <v>1015</v>
      </c>
      <c r="X7170" t="s">
        <v>1016</v>
      </c>
      <c r="Y7170" t="s">
        <v>1017</v>
      </c>
      <c r="Z7170" t="s">
        <v>1018</v>
      </c>
      <c r="AA7170" t="s">
        <v>1019</v>
      </c>
      <c r="AB7170" t="s">
        <v>1020</v>
      </c>
      <c r="AC7170" t="s">
        <v>1021</v>
      </c>
      <c r="AD7170" t="s">
        <v>1022</v>
      </c>
      <c r="AE7170" t="s">
        <v>1023</v>
      </c>
      <c r="AF7170" t="s">
        <v>1024</v>
      </c>
      <c r="AG7170" t="s">
        <v>964</v>
      </c>
    </row>
    <row r="7171" spans="1:33" x14ac:dyDescent="0.35">
      <c r="A7171" t="s">
        <v>227</v>
      </c>
      <c r="B7171" t="s">
        <v>239</v>
      </c>
      <c r="C7171">
        <v>9828.9500000000007</v>
      </c>
      <c r="D7171">
        <v>5000</v>
      </c>
      <c r="E7171">
        <v>150</v>
      </c>
      <c r="F7171">
        <v>100000</v>
      </c>
      <c r="G7171" s="30">
        <v>19</v>
      </c>
      <c r="H7171">
        <v>3833.33</v>
      </c>
      <c r="I7171">
        <v>5000</v>
      </c>
      <c r="J7171">
        <v>500</v>
      </c>
      <c r="K7171">
        <v>8000</v>
      </c>
      <c r="L7171" s="30">
        <v>9</v>
      </c>
      <c r="M7171">
        <v>7785.71</v>
      </c>
      <c r="N7171">
        <v>4000</v>
      </c>
      <c r="O7171">
        <v>400</v>
      </c>
      <c r="P7171">
        <v>50000</v>
      </c>
      <c r="Q7171" s="30">
        <v>42</v>
      </c>
      <c r="R7171">
        <v>7050</v>
      </c>
      <c r="S7171">
        <v>2000</v>
      </c>
      <c r="T7171">
        <v>600</v>
      </c>
      <c r="U7171">
        <v>30000</v>
      </c>
      <c r="V7171" s="30">
        <v>12</v>
      </c>
      <c r="W7171">
        <v>14730</v>
      </c>
      <c r="X7171">
        <v>7000</v>
      </c>
      <c r="Y7171">
        <v>2500</v>
      </c>
      <c r="Z7171">
        <v>50000</v>
      </c>
      <c r="AA7171" s="30">
        <v>10</v>
      </c>
      <c r="AB7171">
        <v>10125</v>
      </c>
      <c r="AC7171">
        <v>10000</v>
      </c>
      <c r="AD7171">
        <v>3000</v>
      </c>
      <c r="AE7171">
        <v>25000</v>
      </c>
      <c r="AF7171" s="30">
        <v>8</v>
      </c>
      <c r="AG7171">
        <v>42</v>
      </c>
    </row>
    <row r="7172" spans="1:33" x14ac:dyDescent="0.35">
      <c r="A7172" t="s">
        <v>227</v>
      </c>
      <c r="B7172" t="s">
        <v>238</v>
      </c>
      <c r="C7172">
        <v>11254.17</v>
      </c>
      <c r="D7172">
        <v>3000</v>
      </c>
      <c r="E7172">
        <v>300</v>
      </c>
      <c r="F7172">
        <v>100000</v>
      </c>
      <c r="G7172" s="30">
        <v>24</v>
      </c>
      <c r="H7172">
        <v>4377.33</v>
      </c>
      <c r="I7172">
        <v>2000</v>
      </c>
      <c r="J7172">
        <v>300</v>
      </c>
      <c r="K7172">
        <v>25000</v>
      </c>
      <c r="L7172" s="30">
        <v>18</v>
      </c>
      <c r="M7172">
        <v>6727.7</v>
      </c>
      <c r="N7172">
        <v>4000</v>
      </c>
      <c r="O7172">
        <v>100</v>
      </c>
      <c r="P7172">
        <v>39000</v>
      </c>
      <c r="Q7172" s="30">
        <v>74</v>
      </c>
      <c r="R7172">
        <v>8306.67</v>
      </c>
      <c r="S7172">
        <v>7000</v>
      </c>
      <c r="T7172">
        <v>500</v>
      </c>
      <c r="U7172">
        <v>42000</v>
      </c>
      <c r="V7172" s="30">
        <v>15</v>
      </c>
      <c r="W7172">
        <v>50072.73</v>
      </c>
      <c r="X7172">
        <v>8000</v>
      </c>
      <c r="Y7172">
        <v>1300</v>
      </c>
      <c r="Z7172">
        <v>400000</v>
      </c>
      <c r="AA7172" s="30">
        <v>11</v>
      </c>
      <c r="AB7172">
        <v>7251.43</v>
      </c>
      <c r="AC7172">
        <v>7000</v>
      </c>
      <c r="AD7172">
        <v>1000</v>
      </c>
      <c r="AE7172">
        <v>20000</v>
      </c>
      <c r="AF7172" s="30">
        <v>7</v>
      </c>
      <c r="AG7172">
        <v>74</v>
      </c>
    </row>
    <row r="7173" spans="1:33" x14ac:dyDescent="0.35">
      <c r="A7173" t="s">
        <v>228</v>
      </c>
      <c r="B7173" t="s">
        <v>239</v>
      </c>
      <c r="C7173">
        <v>12293.7</v>
      </c>
      <c r="D7173">
        <v>5000</v>
      </c>
      <c r="E7173">
        <v>200</v>
      </c>
      <c r="F7173">
        <v>200000</v>
      </c>
      <c r="G7173" s="30">
        <v>73</v>
      </c>
      <c r="H7173">
        <v>5372.88</v>
      </c>
      <c r="I7173">
        <v>4000</v>
      </c>
      <c r="J7173">
        <v>400</v>
      </c>
      <c r="K7173">
        <v>20000</v>
      </c>
      <c r="L7173" s="30">
        <v>44</v>
      </c>
      <c r="M7173">
        <v>9177.94</v>
      </c>
      <c r="N7173">
        <v>5000</v>
      </c>
      <c r="O7173">
        <v>120</v>
      </c>
      <c r="P7173">
        <v>100000</v>
      </c>
      <c r="Q7173" s="30">
        <v>211</v>
      </c>
      <c r="R7173">
        <v>8072.36</v>
      </c>
      <c r="S7173">
        <v>5000</v>
      </c>
      <c r="T7173">
        <v>300</v>
      </c>
      <c r="U7173">
        <v>40000</v>
      </c>
      <c r="V7173" s="30">
        <v>53</v>
      </c>
      <c r="W7173">
        <v>9653.81</v>
      </c>
      <c r="X7173">
        <v>4800</v>
      </c>
      <c r="Y7173">
        <v>200</v>
      </c>
      <c r="Z7173">
        <v>100000</v>
      </c>
      <c r="AA7173" s="30">
        <v>40</v>
      </c>
      <c r="AB7173">
        <v>3634.13</v>
      </c>
      <c r="AC7173">
        <v>1000</v>
      </c>
      <c r="AD7173">
        <v>100</v>
      </c>
      <c r="AE7173">
        <v>25000</v>
      </c>
      <c r="AF7173" s="30">
        <v>17</v>
      </c>
      <c r="AG7173">
        <v>211</v>
      </c>
    </row>
    <row r="7174" spans="1:33" x14ac:dyDescent="0.35">
      <c r="A7174" t="s">
        <v>228</v>
      </c>
      <c r="B7174" t="s">
        <v>238</v>
      </c>
      <c r="C7174">
        <v>10527.64</v>
      </c>
      <c r="D7174">
        <v>4000</v>
      </c>
      <c r="E7174">
        <v>180</v>
      </c>
      <c r="F7174">
        <v>150000</v>
      </c>
      <c r="G7174" s="30">
        <v>133</v>
      </c>
      <c r="H7174">
        <v>4872.41</v>
      </c>
      <c r="I7174">
        <v>3000</v>
      </c>
      <c r="J7174">
        <v>200</v>
      </c>
      <c r="K7174">
        <v>30000</v>
      </c>
      <c r="L7174" s="30">
        <v>119</v>
      </c>
      <c r="M7174">
        <v>10289.549999999999</v>
      </c>
      <c r="N7174">
        <v>5000</v>
      </c>
      <c r="O7174">
        <v>100</v>
      </c>
      <c r="P7174">
        <v>100000</v>
      </c>
      <c r="Q7174" s="30">
        <v>462</v>
      </c>
      <c r="R7174">
        <v>8811.74</v>
      </c>
      <c r="S7174">
        <v>5000</v>
      </c>
      <c r="T7174">
        <v>150</v>
      </c>
      <c r="U7174">
        <v>40000</v>
      </c>
      <c r="V7174" s="30">
        <v>87</v>
      </c>
      <c r="W7174">
        <v>19495.080000000002</v>
      </c>
      <c r="X7174">
        <v>10000</v>
      </c>
      <c r="Y7174">
        <v>250</v>
      </c>
      <c r="Z7174">
        <v>120000</v>
      </c>
      <c r="AA7174" s="30">
        <v>99</v>
      </c>
      <c r="AB7174">
        <v>10627.25</v>
      </c>
      <c r="AC7174">
        <v>6000</v>
      </c>
      <c r="AD7174">
        <v>350</v>
      </c>
      <c r="AE7174">
        <v>31000</v>
      </c>
      <c r="AF7174" s="30">
        <v>24</v>
      </c>
      <c r="AG7174">
        <v>462</v>
      </c>
    </row>
    <row r="7175" spans="1:33" x14ac:dyDescent="0.35">
      <c r="A7175" t="s">
        <v>229</v>
      </c>
      <c r="B7175" t="s">
        <v>239</v>
      </c>
      <c r="C7175">
        <v>17246.93</v>
      </c>
      <c r="D7175">
        <v>6000</v>
      </c>
      <c r="E7175">
        <v>200</v>
      </c>
      <c r="F7175">
        <v>200000</v>
      </c>
      <c r="G7175" s="30">
        <v>86</v>
      </c>
      <c r="H7175">
        <v>3795.88</v>
      </c>
      <c r="I7175">
        <v>2500</v>
      </c>
      <c r="J7175">
        <v>200</v>
      </c>
      <c r="K7175">
        <v>20000</v>
      </c>
      <c r="L7175" s="30">
        <v>64</v>
      </c>
      <c r="M7175">
        <v>9483.14</v>
      </c>
      <c r="N7175">
        <v>5000</v>
      </c>
      <c r="O7175">
        <v>300</v>
      </c>
      <c r="P7175">
        <v>100000</v>
      </c>
      <c r="Q7175" s="30">
        <v>205</v>
      </c>
      <c r="R7175">
        <v>8585.7000000000007</v>
      </c>
      <c r="S7175">
        <v>5000</v>
      </c>
      <c r="T7175">
        <v>300</v>
      </c>
      <c r="U7175">
        <v>45000</v>
      </c>
      <c r="V7175" s="30">
        <v>55</v>
      </c>
      <c r="W7175">
        <v>30542.95</v>
      </c>
      <c r="X7175">
        <v>19200</v>
      </c>
      <c r="Y7175">
        <v>300</v>
      </c>
      <c r="Z7175">
        <v>200000</v>
      </c>
      <c r="AA7175" s="30">
        <v>46</v>
      </c>
      <c r="AB7175">
        <v>4333.8</v>
      </c>
      <c r="AC7175">
        <v>1600</v>
      </c>
      <c r="AD7175">
        <v>200</v>
      </c>
      <c r="AE7175">
        <v>18000</v>
      </c>
      <c r="AF7175" s="30">
        <v>17</v>
      </c>
      <c r="AG7175">
        <v>205</v>
      </c>
    </row>
    <row r="7176" spans="1:33" x14ac:dyDescent="0.35">
      <c r="A7176" t="s">
        <v>229</v>
      </c>
      <c r="B7176" t="s">
        <v>238</v>
      </c>
      <c r="C7176">
        <v>13539.35</v>
      </c>
      <c r="D7176">
        <v>5000</v>
      </c>
      <c r="E7176">
        <v>100</v>
      </c>
      <c r="F7176">
        <v>200000</v>
      </c>
      <c r="G7176" s="30">
        <v>127</v>
      </c>
      <c r="H7176">
        <v>7768.68</v>
      </c>
      <c r="I7176">
        <v>5000</v>
      </c>
      <c r="J7176">
        <v>300</v>
      </c>
      <c r="K7176">
        <v>30000</v>
      </c>
      <c r="L7176" s="30">
        <v>101</v>
      </c>
      <c r="M7176">
        <v>11412.65</v>
      </c>
      <c r="N7176">
        <v>6000</v>
      </c>
      <c r="O7176">
        <v>150</v>
      </c>
      <c r="P7176">
        <v>100000</v>
      </c>
      <c r="Q7176" s="30">
        <v>386</v>
      </c>
      <c r="R7176">
        <v>8230.14</v>
      </c>
      <c r="S7176">
        <v>5000</v>
      </c>
      <c r="T7176">
        <v>200</v>
      </c>
      <c r="U7176">
        <v>40000</v>
      </c>
      <c r="V7176" s="30">
        <v>119</v>
      </c>
      <c r="W7176">
        <v>14628.21</v>
      </c>
      <c r="X7176">
        <v>10000</v>
      </c>
      <c r="Y7176">
        <v>900</v>
      </c>
      <c r="Z7176">
        <v>48000</v>
      </c>
      <c r="AA7176" s="30">
        <v>80</v>
      </c>
      <c r="AB7176">
        <v>8223.7000000000007</v>
      </c>
      <c r="AC7176">
        <v>6000</v>
      </c>
      <c r="AD7176">
        <v>1000</v>
      </c>
      <c r="AE7176">
        <v>30000</v>
      </c>
      <c r="AF7176" s="30">
        <v>28</v>
      </c>
      <c r="AG7176">
        <v>386</v>
      </c>
    </row>
    <row r="7177" spans="1:33" x14ac:dyDescent="0.35">
      <c r="A7177" t="s">
        <v>230</v>
      </c>
      <c r="B7177" t="s">
        <v>239</v>
      </c>
      <c r="C7177">
        <v>9715.82</v>
      </c>
      <c r="D7177">
        <v>5000</v>
      </c>
      <c r="E7177">
        <v>400</v>
      </c>
      <c r="F7177">
        <v>200000</v>
      </c>
      <c r="G7177" s="30">
        <v>68</v>
      </c>
      <c r="H7177">
        <v>6165.47</v>
      </c>
      <c r="I7177">
        <v>3000</v>
      </c>
      <c r="J7177">
        <v>250</v>
      </c>
      <c r="K7177">
        <v>30000</v>
      </c>
      <c r="L7177" s="30">
        <v>34</v>
      </c>
      <c r="M7177">
        <v>8374.7000000000007</v>
      </c>
      <c r="N7177">
        <v>5000</v>
      </c>
      <c r="O7177">
        <v>400</v>
      </c>
      <c r="P7177">
        <v>50000</v>
      </c>
      <c r="Q7177" s="30">
        <v>152</v>
      </c>
      <c r="R7177">
        <v>5162.41</v>
      </c>
      <c r="S7177">
        <v>3000</v>
      </c>
      <c r="T7177">
        <v>400</v>
      </c>
      <c r="U7177">
        <v>30000</v>
      </c>
      <c r="V7177" s="30">
        <v>40</v>
      </c>
      <c r="W7177">
        <v>15592.67</v>
      </c>
      <c r="X7177">
        <v>12000</v>
      </c>
      <c r="Y7177">
        <v>400</v>
      </c>
      <c r="Z7177">
        <v>110000</v>
      </c>
      <c r="AA7177" s="30">
        <v>36</v>
      </c>
      <c r="AB7177">
        <v>5910.01</v>
      </c>
      <c r="AC7177">
        <v>10800</v>
      </c>
      <c r="AD7177">
        <v>500</v>
      </c>
      <c r="AE7177">
        <v>12000</v>
      </c>
      <c r="AF7177" s="30">
        <v>11</v>
      </c>
      <c r="AG7177">
        <v>152</v>
      </c>
    </row>
    <row r="7178" spans="1:33" x14ac:dyDescent="0.35">
      <c r="A7178" t="s">
        <v>230</v>
      </c>
      <c r="B7178" t="s">
        <v>238</v>
      </c>
      <c r="C7178">
        <v>13710.45</v>
      </c>
      <c r="D7178">
        <v>4000</v>
      </c>
      <c r="E7178">
        <v>100</v>
      </c>
      <c r="F7178">
        <v>200000</v>
      </c>
      <c r="G7178" s="30">
        <v>90</v>
      </c>
      <c r="H7178">
        <v>4519.26</v>
      </c>
      <c r="I7178">
        <v>3000</v>
      </c>
      <c r="J7178">
        <v>200</v>
      </c>
      <c r="K7178">
        <v>20000</v>
      </c>
      <c r="L7178" s="30">
        <v>66</v>
      </c>
      <c r="M7178">
        <v>10422.030000000001</v>
      </c>
      <c r="N7178">
        <v>5000</v>
      </c>
      <c r="O7178">
        <v>100</v>
      </c>
      <c r="P7178">
        <v>100000</v>
      </c>
      <c r="Q7178" s="30">
        <v>230</v>
      </c>
      <c r="R7178">
        <v>8831.34</v>
      </c>
      <c r="S7178">
        <v>7000</v>
      </c>
      <c r="T7178">
        <v>200</v>
      </c>
      <c r="U7178">
        <v>40000</v>
      </c>
      <c r="V7178" s="30">
        <v>49</v>
      </c>
      <c r="W7178">
        <v>15431.87</v>
      </c>
      <c r="X7178">
        <v>7000</v>
      </c>
      <c r="Y7178">
        <v>560</v>
      </c>
      <c r="Z7178">
        <v>250000</v>
      </c>
      <c r="AA7178" s="30">
        <v>64</v>
      </c>
      <c r="AB7178">
        <v>6378.9</v>
      </c>
      <c r="AC7178">
        <v>5000</v>
      </c>
      <c r="AD7178">
        <v>600</v>
      </c>
      <c r="AE7178">
        <v>30000</v>
      </c>
      <c r="AF7178" s="30">
        <v>21</v>
      </c>
      <c r="AG7178">
        <v>230</v>
      </c>
    </row>
    <row r="7179" spans="1:33" x14ac:dyDescent="0.35">
      <c r="A7179" t="s">
        <v>231</v>
      </c>
      <c r="B7179" t="s">
        <v>239</v>
      </c>
      <c r="C7179">
        <v>27765.22</v>
      </c>
      <c r="D7179">
        <v>18000</v>
      </c>
      <c r="E7179">
        <v>500</v>
      </c>
      <c r="F7179">
        <v>200000</v>
      </c>
      <c r="G7179" s="30">
        <v>23</v>
      </c>
      <c r="H7179">
        <v>6000</v>
      </c>
      <c r="I7179">
        <v>5000</v>
      </c>
      <c r="J7179">
        <v>1500</v>
      </c>
      <c r="K7179">
        <v>20000</v>
      </c>
      <c r="L7179" s="30">
        <v>13</v>
      </c>
      <c r="M7179">
        <v>8688.64</v>
      </c>
      <c r="N7179">
        <v>5000</v>
      </c>
      <c r="O7179">
        <v>500</v>
      </c>
      <c r="P7179">
        <v>48800</v>
      </c>
      <c r="Q7179" s="30">
        <v>44</v>
      </c>
      <c r="R7179">
        <v>4833.33</v>
      </c>
      <c r="S7179">
        <v>5000</v>
      </c>
      <c r="T7179">
        <v>1000</v>
      </c>
      <c r="U7179">
        <v>20000</v>
      </c>
      <c r="V7179" s="30">
        <v>9</v>
      </c>
      <c r="W7179">
        <v>8114.46</v>
      </c>
      <c r="X7179">
        <v>5000</v>
      </c>
      <c r="Y7179">
        <v>500</v>
      </c>
      <c r="Z7179">
        <v>25000</v>
      </c>
      <c r="AA7179" s="30">
        <v>13</v>
      </c>
      <c r="AB7179">
        <v>1500</v>
      </c>
      <c r="AC7179">
        <v>1700</v>
      </c>
      <c r="AD7179">
        <v>300</v>
      </c>
      <c r="AE7179">
        <v>2000</v>
      </c>
      <c r="AF7179" s="30">
        <v>4</v>
      </c>
      <c r="AG7179">
        <v>44</v>
      </c>
    </row>
    <row r="7180" spans="1:33" x14ac:dyDescent="0.35">
      <c r="A7180" t="s">
        <v>231</v>
      </c>
      <c r="B7180" t="s">
        <v>238</v>
      </c>
      <c r="C7180">
        <v>12914.29</v>
      </c>
      <c r="D7180">
        <v>5000</v>
      </c>
      <c r="E7180">
        <v>200</v>
      </c>
      <c r="F7180">
        <v>70000</v>
      </c>
      <c r="G7180" s="30">
        <v>21</v>
      </c>
      <c r="H7180">
        <v>5691.25</v>
      </c>
      <c r="I7180">
        <v>4000</v>
      </c>
      <c r="J7180">
        <v>200</v>
      </c>
      <c r="K7180">
        <v>30000</v>
      </c>
      <c r="L7180" s="30">
        <v>24</v>
      </c>
      <c r="M7180">
        <v>7917.84</v>
      </c>
      <c r="N7180">
        <v>4000</v>
      </c>
      <c r="O7180">
        <v>170</v>
      </c>
      <c r="P7180">
        <v>100000</v>
      </c>
      <c r="Q7180" s="30">
        <v>67</v>
      </c>
      <c r="R7180">
        <v>14626.92</v>
      </c>
      <c r="S7180">
        <v>10000</v>
      </c>
      <c r="T7180">
        <v>350</v>
      </c>
      <c r="U7180">
        <v>40000</v>
      </c>
      <c r="V7180" s="30">
        <v>13</v>
      </c>
      <c r="W7180">
        <v>13594.44</v>
      </c>
      <c r="X7180">
        <v>10000</v>
      </c>
      <c r="Y7180">
        <v>1200</v>
      </c>
      <c r="Z7180">
        <v>50000</v>
      </c>
      <c r="AA7180" s="30">
        <v>18</v>
      </c>
      <c r="AB7180">
        <v>3333.33</v>
      </c>
      <c r="AC7180">
        <v>8000</v>
      </c>
      <c r="AD7180">
        <v>1000</v>
      </c>
      <c r="AE7180">
        <v>8000</v>
      </c>
      <c r="AF7180" s="30">
        <v>3</v>
      </c>
      <c r="AG7180">
        <v>67</v>
      </c>
    </row>
    <row r="7181" spans="1:33" x14ac:dyDescent="0.35">
      <c r="A7181" t="s">
        <v>232</v>
      </c>
      <c r="B7181" t="s">
        <v>232</v>
      </c>
      <c r="C7181">
        <v>14899.73</v>
      </c>
      <c r="D7181">
        <v>5000</v>
      </c>
      <c r="E7181">
        <v>100</v>
      </c>
      <c r="F7181">
        <v>200000</v>
      </c>
      <c r="G7181" s="30">
        <v>664</v>
      </c>
      <c r="H7181">
        <v>5630.43</v>
      </c>
      <c r="I7181">
        <v>3000</v>
      </c>
      <c r="J7181">
        <v>200</v>
      </c>
      <c r="K7181">
        <v>30000</v>
      </c>
      <c r="L7181" s="30">
        <v>492</v>
      </c>
      <c r="M7181">
        <v>9336.61</v>
      </c>
      <c r="N7181">
        <v>5000</v>
      </c>
      <c r="O7181">
        <v>100</v>
      </c>
      <c r="P7181">
        <v>100000</v>
      </c>
      <c r="Q7181" s="30">
        <v>1873</v>
      </c>
      <c r="R7181">
        <v>8628.5300000000007</v>
      </c>
      <c r="S7181">
        <v>5000</v>
      </c>
      <c r="T7181">
        <v>150</v>
      </c>
      <c r="U7181">
        <v>45000</v>
      </c>
      <c r="V7181" s="30">
        <v>452</v>
      </c>
      <c r="W7181">
        <v>18064.68</v>
      </c>
      <c r="X7181">
        <v>9000</v>
      </c>
      <c r="Y7181">
        <v>200</v>
      </c>
      <c r="Z7181">
        <v>400000</v>
      </c>
      <c r="AA7181" s="30">
        <v>417</v>
      </c>
      <c r="AB7181">
        <v>6639.38</v>
      </c>
      <c r="AC7181">
        <v>4000</v>
      </c>
      <c r="AD7181">
        <v>100</v>
      </c>
      <c r="AE7181">
        <v>31000</v>
      </c>
      <c r="AF7181" s="30">
        <v>140</v>
      </c>
      <c r="AG7181">
        <v>1873</v>
      </c>
    </row>
    <row r="7183" spans="1:33" x14ac:dyDescent="0.35">
      <c r="A7183" s="1" t="s">
        <v>1029</v>
      </c>
    </row>
    <row r="7184" spans="1:33" x14ac:dyDescent="0.35">
      <c r="A7184" t="s">
        <v>219</v>
      </c>
      <c r="B7184" t="s">
        <v>305</v>
      </c>
      <c r="C7184" t="s">
        <v>988</v>
      </c>
      <c r="D7184" t="s">
        <v>989</v>
      </c>
      <c r="E7184" t="s">
        <v>990</v>
      </c>
      <c r="F7184" t="s">
        <v>991</v>
      </c>
      <c r="G7184" t="s">
        <v>992</v>
      </c>
      <c r="H7184" t="s">
        <v>993</v>
      </c>
      <c r="I7184" t="s">
        <v>994</v>
      </c>
      <c r="J7184" t="s">
        <v>281</v>
      </c>
      <c r="K7184" t="s">
        <v>286</v>
      </c>
      <c r="L7184" t="s">
        <v>226</v>
      </c>
    </row>
    <row r="7185" spans="1:12" x14ac:dyDescent="0.35">
      <c r="A7185" t="s">
        <v>227</v>
      </c>
      <c r="B7185" t="s">
        <v>244</v>
      </c>
      <c r="C7185" s="26">
        <v>0.8</v>
      </c>
      <c r="D7185" s="26">
        <v>0.37890000000000001</v>
      </c>
      <c r="E7185" s="26">
        <v>0.21049999999999999</v>
      </c>
      <c r="F7185" s="26">
        <v>0.22109999999999999</v>
      </c>
      <c r="G7185" s="26">
        <v>0.15790000000000001</v>
      </c>
      <c r="H7185" s="26">
        <v>0.1053</v>
      </c>
      <c r="I7185" s="26">
        <v>1.0500000000000001E-2</v>
      </c>
      <c r="J7185" s="26">
        <v>1.0500000000000001E-2</v>
      </c>
      <c r="L7185">
        <v>95</v>
      </c>
    </row>
    <row r="7186" spans="1:12" x14ac:dyDescent="0.35">
      <c r="A7186" t="s">
        <v>227</v>
      </c>
      <c r="B7186" t="s">
        <v>245</v>
      </c>
      <c r="C7186" s="26">
        <v>0.78849999999999998</v>
      </c>
      <c r="D7186" s="26">
        <v>0.23080000000000001</v>
      </c>
      <c r="E7186" s="26">
        <v>0.23080000000000001</v>
      </c>
      <c r="F7186" s="26">
        <v>3.85E-2</v>
      </c>
      <c r="G7186" s="26">
        <v>9.6199999999999994E-2</v>
      </c>
      <c r="H7186" s="26">
        <v>0.1346</v>
      </c>
      <c r="I7186" s="26">
        <v>5.7700000000000001E-2</v>
      </c>
      <c r="L7186">
        <v>52</v>
      </c>
    </row>
    <row r="7187" spans="1:12" x14ac:dyDescent="0.35">
      <c r="A7187" s="27" t="s">
        <v>227</v>
      </c>
      <c r="B7187" s="27" t="s">
        <v>246</v>
      </c>
      <c r="C7187" s="28">
        <v>1</v>
      </c>
      <c r="D7187" s="28">
        <v>0.25</v>
      </c>
      <c r="E7187" s="28">
        <v>0.25</v>
      </c>
      <c r="F7187" s="28">
        <v>0.75</v>
      </c>
      <c r="G7187" s="28">
        <v>0.25</v>
      </c>
      <c r="H7187" s="29"/>
      <c r="I7187" s="28">
        <v>8.3299999999999999E-2</v>
      </c>
      <c r="J7187" s="29"/>
      <c r="K7187" s="29"/>
      <c r="L7187" s="29" t="s">
        <v>342</v>
      </c>
    </row>
    <row r="7188" spans="1:12" x14ac:dyDescent="0.35">
      <c r="A7188" t="s">
        <v>228</v>
      </c>
      <c r="B7188" t="s">
        <v>244</v>
      </c>
      <c r="C7188" s="26">
        <v>0.81779999999999997</v>
      </c>
      <c r="D7188" s="26">
        <v>0.28949999999999998</v>
      </c>
      <c r="E7188" s="26">
        <v>0.24660000000000001</v>
      </c>
      <c r="F7188" s="26">
        <v>0.24679999999999999</v>
      </c>
      <c r="G7188" s="26">
        <v>0.19120000000000001</v>
      </c>
      <c r="H7188" s="26">
        <v>7.9699999999999993E-2</v>
      </c>
      <c r="I7188" s="26">
        <v>6.8999999999999999E-3</v>
      </c>
      <c r="J7188" s="26">
        <v>1.1999999999999999E-3</v>
      </c>
      <c r="K7188" s="26">
        <v>4.0000000000000002E-4</v>
      </c>
      <c r="L7188">
        <v>634</v>
      </c>
    </row>
    <row r="7189" spans="1:12" x14ac:dyDescent="0.35">
      <c r="A7189" t="s">
        <v>228</v>
      </c>
      <c r="B7189" t="s">
        <v>245</v>
      </c>
      <c r="C7189" s="26">
        <v>0.66359999999999997</v>
      </c>
      <c r="D7189" s="26">
        <v>0.161</v>
      </c>
      <c r="E7189" s="26">
        <v>0.17860000000000001</v>
      </c>
      <c r="F7189" s="26">
        <v>5.1700000000000003E-2</v>
      </c>
      <c r="G7189" s="26">
        <v>0.15140000000000001</v>
      </c>
      <c r="H7189" s="26">
        <v>0.2402</v>
      </c>
      <c r="I7189" s="26">
        <v>3.0300000000000001E-2</v>
      </c>
      <c r="J7189" s="26">
        <v>5.7000000000000002E-3</v>
      </c>
      <c r="L7189">
        <v>327</v>
      </c>
    </row>
    <row r="7190" spans="1:12" x14ac:dyDescent="0.35">
      <c r="A7190" t="s">
        <v>228</v>
      </c>
      <c r="B7190" t="s">
        <v>246</v>
      </c>
      <c r="C7190" s="26">
        <v>0.91110000000000002</v>
      </c>
      <c r="D7190" s="26">
        <v>0.29380000000000001</v>
      </c>
      <c r="E7190" s="26">
        <v>0.30859999999999999</v>
      </c>
      <c r="F7190" s="26">
        <v>0.51400000000000001</v>
      </c>
      <c r="G7190" s="26">
        <v>0.25530000000000003</v>
      </c>
      <c r="H7190" s="26">
        <v>7.7600000000000002E-2</v>
      </c>
      <c r="I7190" s="26">
        <v>1.5699999999999999E-2</v>
      </c>
      <c r="J7190" s="26">
        <v>5.1999999999999998E-3</v>
      </c>
      <c r="L7190">
        <v>67</v>
      </c>
    </row>
    <row r="7191" spans="1:12" x14ac:dyDescent="0.35">
      <c r="A7191" t="s">
        <v>229</v>
      </c>
      <c r="B7191" t="s">
        <v>244</v>
      </c>
      <c r="C7191" s="26">
        <v>0.84870000000000001</v>
      </c>
      <c r="D7191" s="26">
        <v>0.34789999999999999</v>
      </c>
      <c r="E7191" s="26">
        <v>0.3241</v>
      </c>
      <c r="F7191" s="26">
        <v>0.34200000000000003</v>
      </c>
      <c r="G7191" s="26">
        <v>0.21940000000000001</v>
      </c>
      <c r="H7191" s="26">
        <v>6.9099999999999995E-2</v>
      </c>
      <c r="I7191" s="26">
        <v>1.6500000000000001E-2</v>
      </c>
      <c r="J7191" s="26">
        <v>1E-3</v>
      </c>
      <c r="K7191" s="26">
        <v>5.0000000000000001E-4</v>
      </c>
      <c r="L7191">
        <v>553</v>
      </c>
    </row>
    <row r="7192" spans="1:12" x14ac:dyDescent="0.35">
      <c r="A7192" t="s">
        <v>229</v>
      </c>
      <c r="B7192" t="s">
        <v>245</v>
      </c>
      <c r="C7192" s="26">
        <v>0.71209999999999996</v>
      </c>
      <c r="D7192" s="26">
        <v>0.26619999999999999</v>
      </c>
      <c r="E7192" s="26">
        <v>0.1653</v>
      </c>
      <c r="F7192" s="26">
        <v>4.6300000000000001E-2</v>
      </c>
      <c r="G7192" s="26">
        <v>0.1239</v>
      </c>
      <c r="H7192" s="26">
        <v>0.1794</v>
      </c>
      <c r="I7192" s="26">
        <v>1.26E-2</v>
      </c>
      <c r="J7192" s="26">
        <v>2.1399999999999999E-2</v>
      </c>
      <c r="L7192">
        <v>292</v>
      </c>
    </row>
    <row r="7193" spans="1:12" x14ac:dyDescent="0.35">
      <c r="A7193" t="s">
        <v>229</v>
      </c>
      <c r="B7193" t="s">
        <v>246</v>
      </c>
      <c r="C7193" s="26">
        <v>0.90229999999999999</v>
      </c>
      <c r="D7193" s="26">
        <v>0.26790000000000003</v>
      </c>
      <c r="E7193" s="26">
        <v>0.22939999999999999</v>
      </c>
      <c r="F7193" s="26">
        <v>0.77429999999999999</v>
      </c>
      <c r="G7193" s="26">
        <v>0.38109999999999999</v>
      </c>
      <c r="H7193" s="26">
        <v>5.33E-2</v>
      </c>
      <c r="I7193" s="26">
        <v>1.8E-3</v>
      </c>
      <c r="J7193" s="26">
        <v>1.2500000000000001E-2</v>
      </c>
      <c r="L7193">
        <v>45</v>
      </c>
    </row>
    <row r="7194" spans="1:12" x14ac:dyDescent="0.35">
      <c r="A7194" t="s">
        <v>230</v>
      </c>
      <c r="B7194" t="s">
        <v>244</v>
      </c>
      <c r="C7194" s="26">
        <v>0.80559999999999998</v>
      </c>
      <c r="D7194" s="26">
        <v>0.3422</v>
      </c>
      <c r="E7194" s="26">
        <v>0.26519999999999999</v>
      </c>
      <c r="F7194" s="26">
        <v>0.32219999999999999</v>
      </c>
      <c r="G7194" s="26">
        <v>0.1993</v>
      </c>
      <c r="H7194" s="26">
        <v>8.5199999999999998E-2</v>
      </c>
      <c r="I7194" s="26">
        <v>1.17E-2</v>
      </c>
      <c r="J7194" s="26">
        <v>1.6999999999999999E-3</v>
      </c>
      <c r="L7194">
        <v>368</v>
      </c>
    </row>
    <row r="7195" spans="1:12" x14ac:dyDescent="0.35">
      <c r="A7195" t="s">
        <v>230</v>
      </c>
      <c r="B7195" t="s">
        <v>245</v>
      </c>
      <c r="C7195" s="26">
        <v>0.78810000000000002</v>
      </c>
      <c r="D7195" s="26">
        <v>0.24399999999999999</v>
      </c>
      <c r="E7195" s="26">
        <v>0.15409999999999999</v>
      </c>
      <c r="F7195" s="26">
        <v>3.3300000000000003E-2</v>
      </c>
      <c r="G7195" s="26">
        <v>0.21460000000000001</v>
      </c>
      <c r="H7195" s="26">
        <v>0.1074</v>
      </c>
      <c r="I7195" s="26">
        <v>1.04E-2</v>
      </c>
      <c r="K7195" s="26">
        <v>1.1000000000000001E-3</v>
      </c>
      <c r="L7195">
        <v>160</v>
      </c>
    </row>
    <row r="7196" spans="1:12" x14ac:dyDescent="0.35">
      <c r="A7196" s="27" t="s">
        <v>230</v>
      </c>
      <c r="B7196" s="27" t="s">
        <v>246</v>
      </c>
      <c r="C7196" s="28">
        <v>0.94440000000000002</v>
      </c>
      <c r="D7196" s="28">
        <v>0.62039999999999995</v>
      </c>
      <c r="E7196" s="28">
        <v>0.26369999999999999</v>
      </c>
      <c r="F7196" s="28">
        <v>0.56520000000000004</v>
      </c>
      <c r="G7196" s="28">
        <v>0.3805</v>
      </c>
      <c r="H7196" s="28">
        <v>1.8700000000000001E-2</v>
      </c>
      <c r="I7196" s="28">
        <v>0.1108</v>
      </c>
      <c r="J7196" s="29"/>
      <c r="K7196" s="29"/>
      <c r="L7196" s="29" t="s">
        <v>329</v>
      </c>
    </row>
    <row r="7197" spans="1:12" x14ac:dyDescent="0.35">
      <c r="A7197" t="s">
        <v>231</v>
      </c>
      <c r="B7197" t="s">
        <v>244</v>
      </c>
      <c r="C7197" s="26">
        <v>0.78949999999999998</v>
      </c>
      <c r="D7197" s="26">
        <v>0.29470000000000002</v>
      </c>
      <c r="E7197" s="26">
        <v>0.26319999999999999</v>
      </c>
      <c r="F7197" s="26">
        <v>0.2</v>
      </c>
      <c r="G7197" s="26">
        <v>0.2316</v>
      </c>
      <c r="H7197" s="26">
        <v>0.1158</v>
      </c>
      <c r="I7197" s="26">
        <v>2.1100000000000001E-2</v>
      </c>
      <c r="L7197">
        <v>95</v>
      </c>
    </row>
    <row r="7198" spans="1:12" x14ac:dyDescent="0.35">
      <c r="A7198" t="s">
        <v>231</v>
      </c>
      <c r="B7198" t="s">
        <v>245</v>
      </c>
      <c r="C7198" s="26">
        <v>0.80359999999999998</v>
      </c>
      <c r="D7198" s="26">
        <v>0.17860000000000001</v>
      </c>
      <c r="E7198" s="26">
        <v>0.26790000000000003</v>
      </c>
      <c r="F7198" s="26">
        <v>3.5700000000000003E-2</v>
      </c>
      <c r="G7198" s="26">
        <v>0.17860000000000001</v>
      </c>
      <c r="H7198" s="26">
        <v>0.125</v>
      </c>
      <c r="I7198" s="26">
        <v>5.3600000000000002E-2</v>
      </c>
      <c r="L7198">
        <v>56</v>
      </c>
    </row>
    <row r="7199" spans="1:12" x14ac:dyDescent="0.35">
      <c r="A7199" s="27" t="s">
        <v>231</v>
      </c>
      <c r="B7199" s="27" t="s">
        <v>246</v>
      </c>
      <c r="C7199" s="28">
        <v>0.84619999999999995</v>
      </c>
      <c r="D7199" s="28">
        <v>0.69230000000000003</v>
      </c>
      <c r="E7199" s="28">
        <v>0.46150000000000002</v>
      </c>
      <c r="F7199" s="28">
        <v>0.61539999999999995</v>
      </c>
      <c r="G7199" s="28">
        <v>0.3846</v>
      </c>
      <c r="H7199" s="28">
        <v>7.6899999999999996E-2</v>
      </c>
      <c r="I7199" s="29"/>
      <c r="J7199" s="29"/>
      <c r="K7199" s="29"/>
      <c r="L7199" s="29" t="s">
        <v>341</v>
      </c>
    </row>
    <row r="7200" spans="1:12" x14ac:dyDescent="0.35">
      <c r="A7200" t="s">
        <v>232</v>
      </c>
      <c r="B7200" t="s">
        <v>232</v>
      </c>
      <c r="C7200" s="26">
        <v>0.80330000000000001</v>
      </c>
      <c r="D7200" s="26">
        <v>0.2999</v>
      </c>
      <c r="E7200" s="26">
        <v>0.25729999999999997</v>
      </c>
      <c r="F7200" s="26">
        <v>0.22720000000000001</v>
      </c>
      <c r="G7200" s="26">
        <v>0.19800000000000001</v>
      </c>
      <c r="H7200" s="26">
        <v>0.10780000000000001</v>
      </c>
      <c r="I7200" s="26">
        <v>2.1600000000000001E-2</v>
      </c>
      <c r="J7200" s="26">
        <v>3.5000000000000001E-3</v>
      </c>
      <c r="K7200" s="26">
        <v>2.0000000000000001E-4</v>
      </c>
      <c r="L7200">
        <v>2798</v>
      </c>
    </row>
    <row r="7202" spans="1:33" x14ac:dyDescent="0.35">
      <c r="A7202" s="1" t="s">
        <v>1030</v>
      </c>
    </row>
    <row r="7203" spans="1:33" x14ac:dyDescent="0.35">
      <c r="A7203" t="s">
        <v>219</v>
      </c>
      <c r="B7203" t="s">
        <v>305</v>
      </c>
      <c r="C7203" t="s">
        <v>995</v>
      </c>
      <c r="D7203" t="s">
        <v>996</v>
      </c>
      <c r="E7203" t="s">
        <v>997</v>
      </c>
      <c r="F7203" t="s">
        <v>998</v>
      </c>
      <c r="G7203" t="s">
        <v>999</v>
      </c>
      <c r="H7203" t="s">
        <v>1000</v>
      </c>
      <c r="I7203" t="s">
        <v>1001</v>
      </c>
      <c r="J7203" t="s">
        <v>1002</v>
      </c>
      <c r="K7203" t="s">
        <v>1003</v>
      </c>
      <c r="L7203" t="s">
        <v>1004</v>
      </c>
      <c r="M7203" t="s">
        <v>1005</v>
      </c>
      <c r="N7203" t="s">
        <v>1006</v>
      </c>
      <c r="O7203" t="s">
        <v>1007</v>
      </c>
      <c r="P7203" t="s">
        <v>1008</v>
      </c>
      <c r="Q7203" t="s">
        <v>1009</v>
      </c>
      <c r="R7203" t="s">
        <v>1010</v>
      </c>
      <c r="S7203" t="s">
        <v>1011</v>
      </c>
      <c r="T7203" t="s">
        <v>1012</v>
      </c>
      <c r="U7203" t="s">
        <v>1013</v>
      </c>
      <c r="V7203" t="s">
        <v>1014</v>
      </c>
      <c r="W7203" t="s">
        <v>1015</v>
      </c>
      <c r="X7203" t="s">
        <v>1016</v>
      </c>
      <c r="Y7203" t="s">
        <v>1017</v>
      </c>
      <c r="Z7203" t="s">
        <v>1018</v>
      </c>
      <c r="AA7203" t="s">
        <v>1019</v>
      </c>
      <c r="AB7203" t="s">
        <v>1020</v>
      </c>
      <c r="AC7203" t="s">
        <v>1021</v>
      </c>
      <c r="AD7203" t="s">
        <v>1022</v>
      </c>
      <c r="AE7203" t="s">
        <v>1023</v>
      </c>
      <c r="AF7203" t="s">
        <v>1024</v>
      </c>
      <c r="AG7203" t="s">
        <v>964</v>
      </c>
    </row>
    <row r="7204" spans="1:33" x14ac:dyDescent="0.35">
      <c r="A7204" t="s">
        <v>227</v>
      </c>
      <c r="B7204" t="s">
        <v>244</v>
      </c>
      <c r="C7204">
        <v>12794.64</v>
      </c>
      <c r="D7204">
        <v>5000</v>
      </c>
      <c r="E7204">
        <v>150</v>
      </c>
      <c r="F7204">
        <v>100000</v>
      </c>
      <c r="G7204" s="30">
        <v>28</v>
      </c>
      <c r="H7204">
        <v>5653.33</v>
      </c>
      <c r="I7204">
        <v>3000</v>
      </c>
      <c r="J7204">
        <v>300</v>
      </c>
      <c r="K7204">
        <v>25000</v>
      </c>
      <c r="L7204" s="30">
        <v>15</v>
      </c>
      <c r="M7204">
        <v>7658.21</v>
      </c>
      <c r="N7204">
        <v>5000</v>
      </c>
      <c r="O7204">
        <v>400</v>
      </c>
      <c r="P7204">
        <v>50000</v>
      </c>
      <c r="Q7204" s="30">
        <v>67</v>
      </c>
      <c r="R7204">
        <v>8505.26</v>
      </c>
      <c r="S7204">
        <v>6000</v>
      </c>
      <c r="T7204">
        <v>500</v>
      </c>
      <c r="U7204">
        <v>42000</v>
      </c>
      <c r="V7204" s="30">
        <v>19</v>
      </c>
      <c r="W7204">
        <v>41673.33</v>
      </c>
      <c r="X7204">
        <v>8000</v>
      </c>
      <c r="Y7204">
        <v>1300</v>
      </c>
      <c r="Z7204">
        <v>400000</v>
      </c>
      <c r="AA7204" s="30">
        <v>15</v>
      </c>
      <c r="AB7204">
        <v>8075</v>
      </c>
      <c r="AC7204">
        <v>6000</v>
      </c>
      <c r="AD7204">
        <v>1000</v>
      </c>
      <c r="AE7204">
        <v>20000</v>
      </c>
      <c r="AF7204" s="30">
        <v>8</v>
      </c>
      <c r="AG7204">
        <v>67</v>
      </c>
    </row>
    <row r="7205" spans="1:33" x14ac:dyDescent="0.35">
      <c r="A7205" t="s">
        <v>227</v>
      </c>
      <c r="B7205" t="s">
        <v>245</v>
      </c>
      <c r="C7205">
        <v>5466.67</v>
      </c>
      <c r="D7205">
        <v>2000</v>
      </c>
      <c r="E7205">
        <v>300</v>
      </c>
      <c r="F7205">
        <v>40000</v>
      </c>
      <c r="G7205" s="30">
        <v>12</v>
      </c>
      <c r="H7205">
        <v>1849.2</v>
      </c>
      <c r="I7205">
        <v>2000</v>
      </c>
      <c r="J7205">
        <v>500</v>
      </c>
      <c r="K7205">
        <v>3900</v>
      </c>
      <c r="L7205" s="30">
        <v>10</v>
      </c>
      <c r="M7205">
        <v>5025.6400000000003</v>
      </c>
      <c r="N7205">
        <v>3000</v>
      </c>
      <c r="O7205">
        <v>100</v>
      </c>
      <c r="P7205">
        <v>30000</v>
      </c>
      <c r="Q7205" s="30">
        <v>39</v>
      </c>
      <c r="R7205">
        <v>3550</v>
      </c>
      <c r="S7205">
        <v>600</v>
      </c>
      <c r="T7205">
        <v>600</v>
      </c>
      <c r="U7205">
        <v>6500</v>
      </c>
      <c r="V7205" s="30">
        <v>2</v>
      </c>
      <c r="W7205">
        <v>10000</v>
      </c>
      <c r="X7205">
        <v>7500</v>
      </c>
      <c r="Y7205">
        <v>7500</v>
      </c>
      <c r="Z7205">
        <v>15000</v>
      </c>
      <c r="AA7205" s="30">
        <v>4</v>
      </c>
      <c r="AB7205">
        <v>10693.33</v>
      </c>
      <c r="AC7205">
        <v>12000</v>
      </c>
      <c r="AD7205">
        <v>2160</v>
      </c>
      <c r="AE7205">
        <v>25000</v>
      </c>
      <c r="AF7205" s="30">
        <v>6</v>
      </c>
      <c r="AG7205">
        <v>39</v>
      </c>
    </row>
    <row r="7206" spans="1:33" x14ac:dyDescent="0.35">
      <c r="A7206" s="27" t="s">
        <v>227</v>
      </c>
      <c r="B7206" s="27" t="s">
        <v>246</v>
      </c>
      <c r="C7206" s="29">
        <v>11000</v>
      </c>
      <c r="D7206" s="29">
        <v>30000</v>
      </c>
      <c r="E7206" s="29">
        <v>1000</v>
      </c>
      <c r="F7206" s="29">
        <v>30000</v>
      </c>
      <c r="G7206" s="29">
        <v>3</v>
      </c>
      <c r="H7206" s="29">
        <v>5000</v>
      </c>
      <c r="I7206" s="29">
        <v>5000</v>
      </c>
      <c r="J7206" s="29">
        <v>5000</v>
      </c>
      <c r="K7206" s="29">
        <v>5000</v>
      </c>
      <c r="L7206" s="29">
        <v>2</v>
      </c>
      <c r="M7206" s="29">
        <v>11575</v>
      </c>
      <c r="N7206" s="29">
        <v>3000</v>
      </c>
      <c r="O7206" s="29">
        <v>550</v>
      </c>
      <c r="P7206" s="29">
        <v>50000</v>
      </c>
      <c r="Q7206" s="29">
        <v>10</v>
      </c>
      <c r="R7206" s="29">
        <v>6750</v>
      </c>
      <c r="S7206" s="29">
        <v>10000</v>
      </c>
      <c r="T7206" s="29">
        <v>2000</v>
      </c>
      <c r="U7206" s="29">
        <v>10000</v>
      </c>
      <c r="V7206" s="29">
        <v>6</v>
      </c>
      <c r="W7206" s="29">
        <v>16500</v>
      </c>
      <c r="X7206" s="29">
        <v>3000</v>
      </c>
      <c r="Y7206" s="29">
        <v>3000</v>
      </c>
      <c r="Z7206" s="29">
        <v>30000</v>
      </c>
      <c r="AA7206" s="29">
        <v>2</v>
      </c>
      <c r="AB7206" s="29">
        <v>3000</v>
      </c>
      <c r="AC7206" s="29">
        <v>3000</v>
      </c>
      <c r="AD7206" s="29">
        <v>3000</v>
      </c>
      <c r="AE7206" s="29">
        <v>3000</v>
      </c>
      <c r="AF7206" s="29">
        <v>1</v>
      </c>
      <c r="AG7206" s="29">
        <v>10</v>
      </c>
    </row>
    <row r="7207" spans="1:33" x14ac:dyDescent="0.35">
      <c r="A7207" t="s">
        <v>228</v>
      </c>
      <c r="B7207" t="s">
        <v>244</v>
      </c>
      <c r="C7207">
        <v>12090.95</v>
      </c>
      <c r="D7207">
        <v>5000</v>
      </c>
      <c r="E7207">
        <v>200</v>
      </c>
      <c r="F7207">
        <v>200000</v>
      </c>
      <c r="G7207" s="30">
        <v>143</v>
      </c>
      <c r="H7207">
        <v>5654.59</v>
      </c>
      <c r="I7207">
        <v>3000</v>
      </c>
      <c r="J7207">
        <v>200</v>
      </c>
      <c r="K7207">
        <v>30000</v>
      </c>
      <c r="L7207" s="30">
        <v>110</v>
      </c>
      <c r="M7207">
        <v>10304.42</v>
      </c>
      <c r="N7207">
        <v>5000</v>
      </c>
      <c r="O7207">
        <v>200</v>
      </c>
      <c r="P7207">
        <v>70000</v>
      </c>
      <c r="Q7207" s="30">
        <v>428</v>
      </c>
      <c r="R7207">
        <v>7674.62</v>
      </c>
      <c r="S7207">
        <v>5000</v>
      </c>
      <c r="T7207">
        <v>150</v>
      </c>
      <c r="U7207">
        <v>40000</v>
      </c>
      <c r="V7207" s="30">
        <v>105</v>
      </c>
      <c r="W7207">
        <v>19249.150000000001</v>
      </c>
      <c r="X7207">
        <v>10000</v>
      </c>
      <c r="Y7207">
        <v>200</v>
      </c>
      <c r="Z7207">
        <v>120000</v>
      </c>
      <c r="AA7207" s="30">
        <v>94</v>
      </c>
      <c r="AB7207">
        <v>7233.99</v>
      </c>
      <c r="AC7207">
        <v>9000</v>
      </c>
      <c r="AD7207">
        <v>100</v>
      </c>
      <c r="AE7207">
        <v>30000</v>
      </c>
      <c r="AF7207" s="30">
        <v>22</v>
      </c>
      <c r="AG7207">
        <v>428</v>
      </c>
    </row>
    <row r="7208" spans="1:33" x14ac:dyDescent="0.35">
      <c r="A7208" t="s">
        <v>228</v>
      </c>
      <c r="B7208" t="s">
        <v>245</v>
      </c>
      <c r="C7208">
        <v>8580.5</v>
      </c>
      <c r="D7208">
        <v>2600</v>
      </c>
      <c r="E7208">
        <v>180</v>
      </c>
      <c r="F7208">
        <v>100000</v>
      </c>
      <c r="G7208" s="30">
        <v>50</v>
      </c>
      <c r="H7208">
        <v>2646.98</v>
      </c>
      <c r="I7208">
        <v>2000</v>
      </c>
      <c r="J7208">
        <v>250</v>
      </c>
      <c r="K7208">
        <v>9000</v>
      </c>
      <c r="L7208" s="30">
        <v>36</v>
      </c>
      <c r="M7208">
        <v>6797.16</v>
      </c>
      <c r="N7208">
        <v>3500</v>
      </c>
      <c r="O7208">
        <v>100</v>
      </c>
      <c r="P7208">
        <v>100000</v>
      </c>
      <c r="Q7208" s="30">
        <v>197</v>
      </c>
      <c r="R7208">
        <v>17986.77</v>
      </c>
      <c r="S7208">
        <v>17500</v>
      </c>
      <c r="T7208">
        <v>300</v>
      </c>
      <c r="U7208">
        <v>40000</v>
      </c>
      <c r="V7208" s="30">
        <v>12</v>
      </c>
      <c r="W7208">
        <v>9407.01</v>
      </c>
      <c r="X7208">
        <v>5000</v>
      </c>
      <c r="Y7208">
        <v>200</v>
      </c>
      <c r="Z7208">
        <v>40000</v>
      </c>
      <c r="AA7208" s="30">
        <v>32</v>
      </c>
      <c r="AB7208">
        <v>10050.26</v>
      </c>
      <c r="AC7208">
        <v>3000</v>
      </c>
      <c r="AD7208">
        <v>350</v>
      </c>
      <c r="AE7208">
        <v>31000</v>
      </c>
      <c r="AF7208" s="30">
        <v>15</v>
      </c>
      <c r="AG7208">
        <v>197</v>
      </c>
    </row>
    <row r="7209" spans="1:33" x14ac:dyDescent="0.35">
      <c r="A7209" t="s">
        <v>228</v>
      </c>
      <c r="B7209" t="s">
        <v>246</v>
      </c>
      <c r="C7209">
        <v>5268.63</v>
      </c>
      <c r="D7209">
        <v>5000</v>
      </c>
      <c r="E7209">
        <v>200</v>
      </c>
      <c r="F7209">
        <v>20000</v>
      </c>
      <c r="G7209" s="30">
        <v>13</v>
      </c>
      <c r="H7209">
        <v>4912.92</v>
      </c>
      <c r="I7209">
        <v>4000</v>
      </c>
      <c r="J7209">
        <v>500</v>
      </c>
      <c r="K7209">
        <v>30000</v>
      </c>
      <c r="L7209" s="30">
        <v>17</v>
      </c>
      <c r="M7209">
        <v>17998.45</v>
      </c>
      <c r="N7209">
        <v>7000</v>
      </c>
      <c r="O7209">
        <v>1000</v>
      </c>
      <c r="P7209">
        <v>80000</v>
      </c>
      <c r="Q7209" s="30">
        <v>48</v>
      </c>
      <c r="R7209">
        <v>8442.56</v>
      </c>
      <c r="S7209">
        <v>5000</v>
      </c>
      <c r="T7209">
        <v>300</v>
      </c>
      <c r="U7209">
        <v>25000</v>
      </c>
      <c r="V7209" s="30">
        <v>23</v>
      </c>
      <c r="W7209">
        <v>28157.23</v>
      </c>
      <c r="X7209">
        <v>20000</v>
      </c>
      <c r="Y7209">
        <v>2000</v>
      </c>
      <c r="Z7209">
        <v>80000</v>
      </c>
      <c r="AA7209" s="30">
        <v>13</v>
      </c>
      <c r="AB7209">
        <v>2663.69</v>
      </c>
      <c r="AC7209">
        <v>3600</v>
      </c>
      <c r="AD7209">
        <v>1000</v>
      </c>
      <c r="AE7209">
        <v>4000</v>
      </c>
      <c r="AF7209" s="30">
        <v>4</v>
      </c>
      <c r="AG7209">
        <v>48</v>
      </c>
    </row>
    <row r="7210" spans="1:33" x14ac:dyDescent="0.35">
      <c r="A7210" t="s">
        <v>229</v>
      </c>
      <c r="B7210" t="s">
        <v>244</v>
      </c>
      <c r="C7210">
        <v>16772.009999999998</v>
      </c>
      <c r="D7210">
        <v>5000</v>
      </c>
      <c r="E7210">
        <v>100</v>
      </c>
      <c r="F7210">
        <v>200000</v>
      </c>
      <c r="G7210" s="30">
        <v>142</v>
      </c>
      <c r="H7210">
        <v>6980.06</v>
      </c>
      <c r="I7210">
        <v>5000</v>
      </c>
      <c r="J7210">
        <v>200</v>
      </c>
      <c r="K7210">
        <v>30000</v>
      </c>
      <c r="L7210" s="30">
        <v>122</v>
      </c>
      <c r="M7210">
        <v>11304.92</v>
      </c>
      <c r="N7210">
        <v>6000</v>
      </c>
      <c r="O7210">
        <v>200</v>
      </c>
      <c r="P7210">
        <v>100000</v>
      </c>
      <c r="Q7210" s="30">
        <v>386</v>
      </c>
      <c r="R7210">
        <v>8340.83</v>
      </c>
      <c r="S7210">
        <v>5000</v>
      </c>
      <c r="T7210">
        <v>200</v>
      </c>
      <c r="U7210">
        <v>45000</v>
      </c>
      <c r="V7210" s="30">
        <v>149</v>
      </c>
      <c r="W7210">
        <v>24081.83</v>
      </c>
      <c r="X7210">
        <v>15000</v>
      </c>
      <c r="Y7210">
        <v>300</v>
      </c>
      <c r="Z7210">
        <v>200000</v>
      </c>
      <c r="AA7210" s="30">
        <v>90</v>
      </c>
      <c r="AB7210">
        <v>6727.06</v>
      </c>
      <c r="AC7210">
        <v>4000</v>
      </c>
      <c r="AD7210">
        <v>200</v>
      </c>
      <c r="AE7210">
        <v>30000</v>
      </c>
      <c r="AF7210" s="30">
        <v>30</v>
      </c>
      <c r="AG7210">
        <v>386</v>
      </c>
    </row>
    <row r="7211" spans="1:33" x14ac:dyDescent="0.35">
      <c r="A7211" t="s">
        <v>229</v>
      </c>
      <c r="B7211" t="s">
        <v>245</v>
      </c>
      <c r="C7211">
        <v>7659.05</v>
      </c>
      <c r="D7211">
        <v>4000</v>
      </c>
      <c r="E7211">
        <v>200</v>
      </c>
      <c r="F7211">
        <v>80000</v>
      </c>
      <c r="G7211" s="30">
        <v>60</v>
      </c>
      <c r="H7211">
        <v>3502.22</v>
      </c>
      <c r="I7211">
        <v>2000</v>
      </c>
      <c r="J7211">
        <v>240</v>
      </c>
      <c r="K7211">
        <v>12000</v>
      </c>
      <c r="L7211" s="30">
        <v>35</v>
      </c>
      <c r="M7211">
        <v>7714.85</v>
      </c>
      <c r="N7211">
        <v>4000</v>
      </c>
      <c r="O7211">
        <v>150</v>
      </c>
      <c r="P7211">
        <v>70000</v>
      </c>
      <c r="Q7211" s="30">
        <v>174</v>
      </c>
      <c r="R7211">
        <v>10157.15</v>
      </c>
      <c r="S7211">
        <v>12000</v>
      </c>
      <c r="T7211">
        <v>1500</v>
      </c>
      <c r="U7211">
        <v>20000</v>
      </c>
      <c r="V7211" s="30">
        <v>7</v>
      </c>
      <c r="W7211">
        <v>9238.31</v>
      </c>
      <c r="X7211">
        <v>6500</v>
      </c>
      <c r="Y7211">
        <v>900</v>
      </c>
      <c r="Z7211">
        <v>30000</v>
      </c>
      <c r="AA7211" s="30">
        <v>25</v>
      </c>
      <c r="AB7211">
        <v>7185.84</v>
      </c>
      <c r="AC7211">
        <v>10000</v>
      </c>
      <c r="AD7211">
        <v>1000</v>
      </c>
      <c r="AE7211">
        <v>20000</v>
      </c>
      <c r="AF7211" s="30">
        <v>13</v>
      </c>
      <c r="AG7211">
        <v>174</v>
      </c>
    </row>
    <row r="7212" spans="1:33" x14ac:dyDescent="0.35">
      <c r="A7212" t="s">
        <v>229</v>
      </c>
      <c r="B7212" t="s">
        <v>246</v>
      </c>
      <c r="C7212">
        <v>16560.900000000001</v>
      </c>
      <c r="D7212">
        <v>5000</v>
      </c>
      <c r="E7212">
        <v>700</v>
      </c>
      <c r="F7212">
        <v>200000</v>
      </c>
      <c r="G7212" s="30">
        <v>11</v>
      </c>
      <c r="H7212">
        <v>12077.68</v>
      </c>
      <c r="I7212">
        <v>7000</v>
      </c>
      <c r="J7212">
        <v>1000</v>
      </c>
      <c r="K7212">
        <v>30000</v>
      </c>
      <c r="L7212" s="30">
        <v>8</v>
      </c>
      <c r="M7212">
        <v>18831.64</v>
      </c>
      <c r="N7212">
        <v>15000</v>
      </c>
      <c r="O7212">
        <v>1500</v>
      </c>
      <c r="P7212">
        <v>80000</v>
      </c>
      <c r="Q7212" s="30">
        <v>31</v>
      </c>
      <c r="R7212">
        <v>7552.23</v>
      </c>
      <c r="S7212">
        <v>7000</v>
      </c>
      <c r="T7212">
        <v>750</v>
      </c>
      <c r="U7212">
        <v>19000</v>
      </c>
      <c r="V7212" s="30">
        <v>18</v>
      </c>
      <c r="W7212">
        <v>8455.01</v>
      </c>
      <c r="X7212">
        <v>6000</v>
      </c>
      <c r="Y7212">
        <v>1000</v>
      </c>
      <c r="Z7212">
        <v>40000</v>
      </c>
      <c r="AA7212" s="30">
        <v>11</v>
      </c>
      <c r="AB7212">
        <v>17780.759999999998</v>
      </c>
      <c r="AC7212">
        <v>18000</v>
      </c>
      <c r="AD7212">
        <v>12000</v>
      </c>
      <c r="AE7212">
        <v>18000</v>
      </c>
      <c r="AF7212" s="30">
        <v>2</v>
      </c>
      <c r="AG7212">
        <v>31</v>
      </c>
    </row>
    <row r="7213" spans="1:33" x14ac:dyDescent="0.35">
      <c r="A7213" t="s">
        <v>230</v>
      </c>
      <c r="B7213" t="s">
        <v>244</v>
      </c>
      <c r="C7213">
        <v>13940.41</v>
      </c>
      <c r="D7213">
        <v>6000</v>
      </c>
      <c r="E7213">
        <v>100</v>
      </c>
      <c r="F7213">
        <v>200000</v>
      </c>
      <c r="G7213" s="30">
        <v>111</v>
      </c>
      <c r="H7213">
        <v>4752.8</v>
      </c>
      <c r="I7213">
        <v>3000</v>
      </c>
      <c r="J7213">
        <v>300</v>
      </c>
      <c r="K7213">
        <v>30000</v>
      </c>
      <c r="L7213" s="30">
        <v>70</v>
      </c>
      <c r="M7213">
        <v>11679.61</v>
      </c>
      <c r="N7213">
        <v>6000</v>
      </c>
      <c r="O7213">
        <v>200</v>
      </c>
      <c r="P7213">
        <v>100000</v>
      </c>
      <c r="Q7213" s="30">
        <v>256</v>
      </c>
      <c r="R7213">
        <v>7442</v>
      </c>
      <c r="S7213">
        <v>5000</v>
      </c>
      <c r="T7213">
        <v>200</v>
      </c>
      <c r="U7213">
        <v>40000</v>
      </c>
      <c r="V7213" s="30">
        <v>76</v>
      </c>
      <c r="W7213">
        <v>16917.349999999999</v>
      </c>
      <c r="X7213">
        <v>10000</v>
      </c>
      <c r="Y7213">
        <v>560</v>
      </c>
      <c r="Z7213">
        <v>250000</v>
      </c>
      <c r="AA7213" s="30">
        <v>69</v>
      </c>
      <c r="AB7213">
        <v>5957</v>
      </c>
      <c r="AC7213">
        <v>5000</v>
      </c>
      <c r="AD7213">
        <v>600</v>
      </c>
      <c r="AE7213">
        <v>21000</v>
      </c>
      <c r="AF7213" s="30">
        <v>20</v>
      </c>
      <c r="AG7213">
        <v>256</v>
      </c>
    </row>
    <row r="7214" spans="1:33" x14ac:dyDescent="0.35">
      <c r="A7214" t="s">
        <v>230</v>
      </c>
      <c r="B7214" t="s">
        <v>245</v>
      </c>
      <c r="C7214">
        <v>6996.98</v>
      </c>
      <c r="D7214">
        <v>2000</v>
      </c>
      <c r="E7214">
        <v>200</v>
      </c>
      <c r="F7214">
        <v>200000</v>
      </c>
      <c r="G7214" s="30">
        <v>38</v>
      </c>
      <c r="H7214">
        <v>3447.47</v>
      </c>
      <c r="I7214">
        <v>3000</v>
      </c>
      <c r="J7214">
        <v>200</v>
      </c>
      <c r="K7214">
        <v>7000</v>
      </c>
      <c r="L7214" s="30">
        <v>26</v>
      </c>
      <c r="M7214">
        <v>5435.53</v>
      </c>
      <c r="N7214">
        <v>3500</v>
      </c>
      <c r="O7214">
        <v>100</v>
      </c>
      <c r="P7214">
        <v>40000</v>
      </c>
      <c r="Q7214" s="30">
        <v>103</v>
      </c>
      <c r="R7214">
        <v>6519.07</v>
      </c>
      <c r="S7214">
        <v>8000</v>
      </c>
      <c r="T7214">
        <v>450</v>
      </c>
      <c r="U7214">
        <v>10000</v>
      </c>
      <c r="V7214" s="30">
        <v>5</v>
      </c>
      <c r="W7214">
        <v>8871.1200000000008</v>
      </c>
      <c r="X7214">
        <v>6000</v>
      </c>
      <c r="Y7214">
        <v>400</v>
      </c>
      <c r="Z7214">
        <v>30000</v>
      </c>
      <c r="AA7214" s="30">
        <v>25</v>
      </c>
      <c r="AB7214">
        <v>6866.89</v>
      </c>
      <c r="AC7214">
        <v>10000</v>
      </c>
      <c r="AD7214">
        <v>500</v>
      </c>
      <c r="AE7214">
        <v>30000</v>
      </c>
      <c r="AF7214" s="30">
        <v>12</v>
      </c>
      <c r="AG7214">
        <v>103</v>
      </c>
    </row>
    <row r="7215" spans="1:33" x14ac:dyDescent="0.35">
      <c r="A7215" s="27" t="s">
        <v>230</v>
      </c>
      <c r="B7215" s="27" t="s">
        <v>246</v>
      </c>
      <c r="C7215" s="29">
        <v>6009.01</v>
      </c>
      <c r="D7215" s="29">
        <v>5000</v>
      </c>
      <c r="E7215" s="29">
        <v>1200</v>
      </c>
      <c r="F7215" s="29">
        <v>15000</v>
      </c>
      <c r="G7215" s="29">
        <v>9</v>
      </c>
      <c r="H7215" s="29">
        <v>13746.64</v>
      </c>
      <c r="I7215" s="29">
        <v>30000</v>
      </c>
      <c r="J7215" s="29">
        <v>250</v>
      </c>
      <c r="K7215" s="29">
        <v>30000</v>
      </c>
      <c r="L7215" s="29">
        <v>4</v>
      </c>
      <c r="M7215" s="29">
        <v>7371.59</v>
      </c>
      <c r="N7215" s="29">
        <v>4000</v>
      </c>
      <c r="O7215" s="29">
        <v>600</v>
      </c>
      <c r="P7215" s="29">
        <v>50000</v>
      </c>
      <c r="Q7215" s="29">
        <v>23</v>
      </c>
      <c r="R7215" s="29">
        <v>5841.81</v>
      </c>
      <c r="S7215" s="29">
        <v>5000</v>
      </c>
      <c r="T7215" s="29">
        <v>400</v>
      </c>
      <c r="U7215" s="29">
        <v>34000</v>
      </c>
      <c r="V7215" s="29">
        <v>8</v>
      </c>
      <c r="W7215" s="29">
        <v>26177.65</v>
      </c>
      <c r="X7215" s="29">
        <v>60000</v>
      </c>
      <c r="Y7215" s="29">
        <v>5000</v>
      </c>
      <c r="Z7215" s="29">
        <v>60000</v>
      </c>
      <c r="AA7215" s="29">
        <v>6</v>
      </c>
      <c r="AB7215" s="29"/>
      <c r="AC7215" s="29"/>
      <c r="AD7215" s="29"/>
      <c r="AE7215" s="29"/>
      <c r="AF7215" s="29"/>
      <c r="AG7215" s="29">
        <v>23</v>
      </c>
    </row>
    <row r="7216" spans="1:33" x14ac:dyDescent="0.35">
      <c r="A7216" t="s">
        <v>231</v>
      </c>
      <c r="B7216" t="s">
        <v>244</v>
      </c>
      <c r="C7216">
        <v>26315.38</v>
      </c>
      <c r="D7216">
        <v>12000</v>
      </c>
      <c r="E7216">
        <v>200</v>
      </c>
      <c r="F7216">
        <v>200000</v>
      </c>
      <c r="G7216" s="30">
        <v>26</v>
      </c>
      <c r="H7216">
        <v>6589.47</v>
      </c>
      <c r="I7216">
        <v>5000</v>
      </c>
      <c r="J7216">
        <v>200</v>
      </c>
      <c r="K7216">
        <v>20000</v>
      </c>
      <c r="L7216" s="30">
        <v>19</v>
      </c>
      <c r="M7216">
        <v>9967.27</v>
      </c>
      <c r="N7216">
        <v>5000</v>
      </c>
      <c r="O7216">
        <v>405</v>
      </c>
      <c r="P7216">
        <v>100000</v>
      </c>
      <c r="Q7216" s="30">
        <v>64</v>
      </c>
      <c r="R7216">
        <v>11176.92</v>
      </c>
      <c r="S7216">
        <v>6000</v>
      </c>
      <c r="T7216">
        <v>400</v>
      </c>
      <c r="U7216">
        <v>40000</v>
      </c>
      <c r="V7216" s="30">
        <v>13</v>
      </c>
      <c r="W7216">
        <v>13449.37</v>
      </c>
      <c r="X7216">
        <v>9000</v>
      </c>
      <c r="Y7216">
        <v>2538</v>
      </c>
      <c r="Z7216">
        <v>50000</v>
      </c>
      <c r="AA7216" s="30">
        <v>19</v>
      </c>
      <c r="AB7216">
        <v>3175</v>
      </c>
      <c r="AC7216">
        <v>1700</v>
      </c>
      <c r="AD7216">
        <v>1000</v>
      </c>
      <c r="AE7216">
        <v>8000</v>
      </c>
      <c r="AF7216" s="30">
        <v>4</v>
      </c>
      <c r="AG7216">
        <v>64</v>
      </c>
    </row>
    <row r="7217" spans="1:33" x14ac:dyDescent="0.35">
      <c r="A7217" t="s">
        <v>231</v>
      </c>
      <c r="B7217" t="s">
        <v>245</v>
      </c>
      <c r="C7217">
        <v>7066.67</v>
      </c>
      <c r="D7217">
        <v>3500</v>
      </c>
      <c r="E7217">
        <v>500</v>
      </c>
      <c r="F7217">
        <v>30000</v>
      </c>
      <c r="G7217" s="30">
        <v>9</v>
      </c>
      <c r="H7217">
        <v>4337.6899999999996</v>
      </c>
      <c r="I7217">
        <v>2000</v>
      </c>
      <c r="J7217">
        <v>490</v>
      </c>
      <c r="K7217">
        <v>30000</v>
      </c>
      <c r="L7217" s="30">
        <v>13</v>
      </c>
      <c r="M7217">
        <v>5799.74</v>
      </c>
      <c r="N7217">
        <v>3000</v>
      </c>
      <c r="O7217">
        <v>170</v>
      </c>
      <c r="P7217">
        <v>40000</v>
      </c>
      <c r="Q7217" s="30">
        <v>38</v>
      </c>
      <c r="R7217">
        <v>22500</v>
      </c>
      <c r="S7217">
        <v>5000</v>
      </c>
      <c r="T7217">
        <v>5000</v>
      </c>
      <c r="U7217">
        <v>40000</v>
      </c>
      <c r="V7217" s="30">
        <v>2</v>
      </c>
      <c r="W7217">
        <v>4950</v>
      </c>
      <c r="X7217">
        <v>7000</v>
      </c>
      <c r="Y7217">
        <v>500</v>
      </c>
      <c r="Z7217">
        <v>10000</v>
      </c>
      <c r="AA7217" s="30">
        <v>7</v>
      </c>
      <c r="AB7217">
        <v>1100</v>
      </c>
      <c r="AC7217">
        <v>2000</v>
      </c>
      <c r="AD7217">
        <v>300</v>
      </c>
      <c r="AE7217">
        <v>2000</v>
      </c>
      <c r="AF7217" s="30">
        <v>3</v>
      </c>
      <c r="AG7217">
        <v>38</v>
      </c>
    </row>
    <row r="7218" spans="1:33" x14ac:dyDescent="0.35">
      <c r="A7218" s="27" t="s">
        <v>231</v>
      </c>
      <c r="B7218" s="27" t="s">
        <v>246</v>
      </c>
      <c r="C7218" s="29">
        <v>18000</v>
      </c>
      <c r="D7218" s="29">
        <v>20000</v>
      </c>
      <c r="E7218" s="29">
        <v>2000</v>
      </c>
      <c r="F7218" s="29">
        <v>50000</v>
      </c>
      <c r="G7218" s="29">
        <v>9</v>
      </c>
      <c r="H7218" s="29">
        <v>6600</v>
      </c>
      <c r="I7218" s="29">
        <v>10000</v>
      </c>
      <c r="J7218" s="29">
        <v>3000</v>
      </c>
      <c r="K7218" s="29">
        <v>10000</v>
      </c>
      <c r="L7218" s="29">
        <v>5</v>
      </c>
      <c r="M7218" s="29">
        <v>6055.56</v>
      </c>
      <c r="N7218" s="29">
        <v>6000</v>
      </c>
      <c r="O7218" s="29">
        <v>1500</v>
      </c>
      <c r="P7218" s="29">
        <v>20000</v>
      </c>
      <c r="Q7218" s="29">
        <v>9</v>
      </c>
      <c r="R7218" s="29">
        <v>6192.86</v>
      </c>
      <c r="S7218" s="29">
        <v>5000</v>
      </c>
      <c r="T7218" s="29">
        <v>350</v>
      </c>
      <c r="U7218" s="29">
        <v>20000</v>
      </c>
      <c r="V7218" s="29">
        <v>7</v>
      </c>
      <c r="W7218" s="29">
        <v>12000</v>
      </c>
      <c r="X7218" s="29">
        <v>15000</v>
      </c>
      <c r="Y7218" s="29">
        <v>5000</v>
      </c>
      <c r="Z7218" s="29">
        <v>25000</v>
      </c>
      <c r="AA7218" s="29">
        <v>5</v>
      </c>
      <c r="AB7218" s="29"/>
      <c r="AC7218" s="29"/>
      <c r="AD7218" s="29"/>
      <c r="AE7218" s="29"/>
      <c r="AF7218" s="29"/>
      <c r="AG7218" s="29">
        <v>9</v>
      </c>
    </row>
    <row r="7219" spans="1:33" x14ac:dyDescent="0.35">
      <c r="A7219" t="s">
        <v>232</v>
      </c>
      <c r="B7219" t="s">
        <v>232</v>
      </c>
      <c r="C7219">
        <v>14899.73</v>
      </c>
      <c r="D7219">
        <v>5000</v>
      </c>
      <c r="E7219">
        <v>100</v>
      </c>
      <c r="F7219">
        <v>200000</v>
      </c>
      <c r="G7219" s="30">
        <v>664</v>
      </c>
      <c r="H7219">
        <v>5630.43</v>
      </c>
      <c r="I7219">
        <v>3000</v>
      </c>
      <c r="J7219">
        <v>200</v>
      </c>
      <c r="K7219">
        <v>30000</v>
      </c>
      <c r="L7219" s="30">
        <v>492</v>
      </c>
      <c r="M7219">
        <v>9336.61</v>
      </c>
      <c r="N7219">
        <v>5000</v>
      </c>
      <c r="O7219">
        <v>100</v>
      </c>
      <c r="P7219">
        <v>100000</v>
      </c>
      <c r="Q7219" s="30">
        <v>1873</v>
      </c>
      <c r="R7219">
        <v>8628.5300000000007</v>
      </c>
      <c r="S7219">
        <v>5000</v>
      </c>
      <c r="T7219">
        <v>150</v>
      </c>
      <c r="U7219">
        <v>45000</v>
      </c>
      <c r="V7219" s="30">
        <v>452</v>
      </c>
      <c r="W7219">
        <v>18064.68</v>
      </c>
      <c r="X7219">
        <v>9000</v>
      </c>
      <c r="Y7219">
        <v>200</v>
      </c>
      <c r="Z7219">
        <v>400000</v>
      </c>
      <c r="AA7219" s="30">
        <v>417</v>
      </c>
      <c r="AB7219">
        <v>6639.38</v>
      </c>
      <c r="AC7219">
        <v>4000</v>
      </c>
      <c r="AD7219">
        <v>100</v>
      </c>
      <c r="AE7219">
        <v>31000</v>
      </c>
      <c r="AF7219" s="30">
        <v>140</v>
      </c>
      <c r="AG7219">
        <v>1873</v>
      </c>
    </row>
    <row r="7221" spans="1:33" x14ac:dyDescent="0.35">
      <c r="A7221" s="1" t="s">
        <v>1031</v>
      </c>
    </row>
    <row r="7222" spans="1:33" x14ac:dyDescent="0.35">
      <c r="A7222" t="s">
        <v>219</v>
      </c>
      <c r="B7222" t="s">
        <v>305</v>
      </c>
      <c r="C7222" t="s">
        <v>988</v>
      </c>
      <c r="D7222" t="s">
        <v>989</v>
      </c>
      <c r="E7222" t="s">
        <v>990</v>
      </c>
      <c r="F7222" t="s">
        <v>991</v>
      </c>
      <c r="G7222" t="s">
        <v>992</v>
      </c>
      <c r="H7222" t="s">
        <v>993</v>
      </c>
      <c r="I7222" t="s">
        <v>994</v>
      </c>
      <c r="J7222" t="s">
        <v>281</v>
      </c>
      <c r="K7222" t="s">
        <v>286</v>
      </c>
      <c r="L7222" t="s">
        <v>226</v>
      </c>
    </row>
    <row r="7223" spans="1:33" x14ac:dyDescent="0.35">
      <c r="A7223" t="s">
        <v>227</v>
      </c>
      <c r="B7223" t="s">
        <v>267</v>
      </c>
      <c r="C7223" s="26">
        <v>0.71430000000000005</v>
      </c>
      <c r="D7223" s="26">
        <v>0.31430000000000002</v>
      </c>
      <c r="E7223" s="26">
        <v>0.34289999999999998</v>
      </c>
      <c r="F7223" s="26">
        <v>0.1429</v>
      </c>
      <c r="G7223" s="26">
        <v>0.2</v>
      </c>
      <c r="H7223" s="26">
        <v>0.1714</v>
      </c>
      <c r="I7223" s="26">
        <v>5.7099999999999998E-2</v>
      </c>
      <c r="L7223">
        <v>35</v>
      </c>
    </row>
    <row r="7224" spans="1:33" x14ac:dyDescent="0.35">
      <c r="A7224" t="s">
        <v>227</v>
      </c>
      <c r="B7224" t="s">
        <v>266</v>
      </c>
      <c r="C7224" s="26">
        <v>0.83050000000000002</v>
      </c>
      <c r="D7224" s="26">
        <v>0.23730000000000001</v>
      </c>
      <c r="E7224" s="26">
        <v>0.1017</v>
      </c>
      <c r="F7224" s="26">
        <v>0.1186</v>
      </c>
      <c r="G7224" s="26">
        <v>6.7799999999999999E-2</v>
      </c>
      <c r="H7224" s="26">
        <v>8.4699999999999998E-2</v>
      </c>
      <c r="I7224" s="26">
        <v>3.39E-2</v>
      </c>
      <c r="J7224" s="26">
        <v>1.6899999999999998E-2</v>
      </c>
      <c r="L7224">
        <v>59</v>
      </c>
    </row>
    <row r="7225" spans="1:33" x14ac:dyDescent="0.35">
      <c r="A7225" t="s">
        <v>227</v>
      </c>
      <c r="B7225" t="s">
        <v>265</v>
      </c>
      <c r="C7225" s="26">
        <v>0.84619999999999995</v>
      </c>
      <c r="D7225" s="26">
        <v>0.4</v>
      </c>
      <c r="E7225" s="26">
        <v>0.26150000000000001</v>
      </c>
      <c r="F7225" s="26">
        <v>0.30769999999999997</v>
      </c>
      <c r="G7225" s="26">
        <v>0.18459999999999999</v>
      </c>
      <c r="H7225" s="26">
        <v>9.2299999999999993E-2</v>
      </c>
      <c r="I7225" s="26">
        <v>1.54E-2</v>
      </c>
      <c r="L7225">
        <v>65</v>
      </c>
    </row>
    <row r="7226" spans="1:33" x14ac:dyDescent="0.35">
      <c r="A7226" t="s">
        <v>228</v>
      </c>
      <c r="B7226" t="s">
        <v>267</v>
      </c>
      <c r="C7226" s="26">
        <v>0.72389999999999999</v>
      </c>
      <c r="D7226" s="26">
        <v>0.2712</v>
      </c>
      <c r="E7226" s="26">
        <v>0.19139999999999999</v>
      </c>
      <c r="F7226" s="26">
        <v>9.01E-2</v>
      </c>
      <c r="G7226" s="26">
        <v>0.15010000000000001</v>
      </c>
      <c r="H7226" s="26">
        <v>0.14849999999999999</v>
      </c>
      <c r="I7226" s="26">
        <v>1.34E-2</v>
      </c>
      <c r="J7226" s="26">
        <v>2.0999999999999999E-3</v>
      </c>
      <c r="L7226">
        <v>199</v>
      </c>
    </row>
    <row r="7227" spans="1:33" x14ac:dyDescent="0.35">
      <c r="A7227" t="s">
        <v>228</v>
      </c>
      <c r="B7227" t="s">
        <v>265</v>
      </c>
      <c r="C7227" s="26">
        <v>0.8175</v>
      </c>
      <c r="D7227" s="26">
        <v>0.26619999999999999</v>
      </c>
      <c r="E7227" s="26">
        <v>0.24049999999999999</v>
      </c>
      <c r="F7227" s="26">
        <v>0.2863</v>
      </c>
      <c r="G7227" s="26">
        <v>0.24990000000000001</v>
      </c>
      <c r="H7227" s="26">
        <v>8.8499999999999995E-2</v>
      </c>
      <c r="I7227" s="26">
        <v>3.5000000000000001E-3</v>
      </c>
      <c r="J7227" s="26">
        <v>1.9E-3</v>
      </c>
      <c r="L7227">
        <v>382</v>
      </c>
    </row>
    <row r="7228" spans="1:33" x14ac:dyDescent="0.35">
      <c r="A7228" s="27" t="s">
        <v>228</v>
      </c>
      <c r="B7228" s="27" t="s">
        <v>236</v>
      </c>
      <c r="C7228" s="28">
        <v>1</v>
      </c>
      <c r="D7228" s="29"/>
      <c r="E7228" s="28">
        <v>0.5</v>
      </c>
      <c r="F7228" s="29"/>
      <c r="G7228" s="28">
        <v>0.5</v>
      </c>
      <c r="H7228" s="29"/>
      <c r="I7228" s="29"/>
      <c r="J7228" s="29"/>
      <c r="K7228" s="29"/>
      <c r="L7228" s="29" t="s">
        <v>314</v>
      </c>
    </row>
    <row r="7229" spans="1:33" x14ac:dyDescent="0.35">
      <c r="A7229" t="s">
        <v>228</v>
      </c>
      <c r="B7229" t="s">
        <v>266</v>
      </c>
      <c r="C7229" s="26">
        <v>0.76490000000000002</v>
      </c>
      <c r="D7229" s="26">
        <v>0.2387</v>
      </c>
      <c r="E7229" s="26">
        <v>0.2356</v>
      </c>
      <c r="F7229" s="26">
        <v>0.1883</v>
      </c>
      <c r="G7229" s="26">
        <v>0.12820000000000001</v>
      </c>
      <c r="H7229" s="26">
        <v>0.1522</v>
      </c>
      <c r="I7229" s="26">
        <v>2.5100000000000001E-2</v>
      </c>
      <c r="J7229" s="26">
        <v>3.8999999999999998E-3</v>
      </c>
      <c r="K7229" s="26">
        <v>5.9999999999999995E-4</v>
      </c>
      <c r="L7229">
        <v>445</v>
      </c>
    </row>
    <row r="7230" spans="1:33" x14ac:dyDescent="0.35">
      <c r="A7230" t="s">
        <v>229</v>
      </c>
      <c r="B7230" t="s">
        <v>266</v>
      </c>
      <c r="C7230" s="26">
        <v>0.81669999999999998</v>
      </c>
      <c r="D7230" s="26">
        <v>0.30130000000000001</v>
      </c>
      <c r="E7230" s="26">
        <v>0.27660000000000001</v>
      </c>
      <c r="F7230" s="26">
        <v>0.21790000000000001</v>
      </c>
      <c r="G7230" s="26">
        <v>0.17</v>
      </c>
      <c r="H7230" s="26">
        <v>0.1094</v>
      </c>
      <c r="I7230" s="26">
        <v>2.1100000000000001E-2</v>
      </c>
      <c r="J7230" s="26">
        <v>1.04E-2</v>
      </c>
      <c r="L7230">
        <v>357</v>
      </c>
    </row>
    <row r="7231" spans="1:33" x14ac:dyDescent="0.35">
      <c r="A7231" t="s">
        <v>229</v>
      </c>
      <c r="B7231" t="s">
        <v>267</v>
      </c>
      <c r="C7231" s="26">
        <v>0.75290000000000001</v>
      </c>
      <c r="D7231" s="26">
        <v>0.318</v>
      </c>
      <c r="E7231" s="26">
        <v>0.30380000000000001</v>
      </c>
      <c r="F7231" s="26">
        <v>0.30640000000000001</v>
      </c>
      <c r="G7231" s="26">
        <v>0.18890000000000001</v>
      </c>
      <c r="H7231" s="26">
        <v>0.1406</v>
      </c>
      <c r="I7231" s="26">
        <v>1.49E-2</v>
      </c>
      <c r="J7231" s="26">
        <v>1.2200000000000001E-2</v>
      </c>
      <c r="L7231">
        <v>200</v>
      </c>
    </row>
    <row r="7232" spans="1:33" x14ac:dyDescent="0.35">
      <c r="A7232" t="s">
        <v>229</v>
      </c>
      <c r="B7232" t="s">
        <v>265</v>
      </c>
      <c r="C7232" s="26">
        <v>0.84860000000000002</v>
      </c>
      <c r="D7232" s="26">
        <v>0.34089999999999998</v>
      </c>
      <c r="E7232" s="26">
        <v>0.26829999999999998</v>
      </c>
      <c r="F7232" s="26">
        <v>0.33479999999999999</v>
      </c>
      <c r="G7232" s="26">
        <v>0.23569999999999999</v>
      </c>
      <c r="H7232" s="26">
        <v>6.4899999999999999E-2</v>
      </c>
      <c r="I7232" s="26">
        <v>0.01</v>
      </c>
      <c r="J7232" s="26">
        <v>1.5E-3</v>
      </c>
      <c r="K7232" s="26">
        <v>6.9999999999999999E-4</v>
      </c>
      <c r="L7232">
        <v>333</v>
      </c>
    </row>
    <row r="7233" spans="1:33" x14ac:dyDescent="0.35">
      <c r="A7233" t="s">
        <v>230</v>
      </c>
      <c r="B7233" t="s">
        <v>267</v>
      </c>
      <c r="C7233" s="26">
        <v>0.69699999999999995</v>
      </c>
      <c r="D7233" s="26">
        <v>0.32279999999999998</v>
      </c>
      <c r="E7233" s="26">
        <v>0.38979999999999998</v>
      </c>
      <c r="F7233" s="26">
        <v>0.26869999999999999</v>
      </c>
      <c r="G7233" s="26">
        <v>0.21260000000000001</v>
      </c>
      <c r="H7233" s="26">
        <v>0.1381</v>
      </c>
      <c r="I7233" s="26">
        <v>3.6799999999999999E-2</v>
      </c>
      <c r="J7233" s="26">
        <v>4.1000000000000003E-3</v>
      </c>
      <c r="L7233">
        <v>118</v>
      </c>
    </row>
    <row r="7234" spans="1:33" x14ac:dyDescent="0.35">
      <c r="A7234" t="s">
        <v>230</v>
      </c>
      <c r="B7234" t="s">
        <v>266</v>
      </c>
      <c r="C7234" s="26">
        <v>0.83320000000000005</v>
      </c>
      <c r="D7234" s="26">
        <v>0.27110000000000001</v>
      </c>
      <c r="E7234" s="26">
        <v>0.16719999999999999</v>
      </c>
      <c r="F7234" s="26">
        <v>0.20680000000000001</v>
      </c>
      <c r="G7234" s="26">
        <v>0.2402</v>
      </c>
      <c r="H7234" s="26">
        <v>7.46E-2</v>
      </c>
      <c r="I7234" s="26">
        <v>7.4999999999999997E-3</v>
      </c>
      <c r="K7234" s="26">
        <v>8.0000000000000004E-4</v>
      </c>
      <c r="L7234">
        <v>231</v>
      </c>
    </row>
    <row r="7235" spans="1:33" x14ac:dyDescent="0.35">
      <c r="A7235" t="s">
        <v>230</v>
      </c>
      <c r="B7235" t="s">
        <v>265</v>
      </c>
      <c r="C7235" s="26">
        <v>0.84399999999999997</v>
      </c>
      <c r="D7235" s="26">
        <v>0.38529999999999998</v>
      </c>
      <c r="E7235" s="26">
        <v>0.2157</v>
      </c>
      <c r="F7235" s="26">
        <v>0.2994</v>
      </c>
      <c r="G7235" s="26">
        <v>0.1875</v>
      </c>
      <c r="H7235" s="26">
        <v>7.2599999999999998E-2</v>
      </c>
      <c r="I7235" s="26">
        <v>1.29E-2</v>
      </c>
      <c r="J7235" s="26">
        <v>6.9999999999999999E-4</v>
      </c>
      <c r="L7235">
        <v>208</v>
      </c>
    </row>
    <row r="7236" spans="1:33" x14ac:dyDescent="0.35">
      <c r="A7236" t="s">
        <v>231</v>
      </c>
      <c r="B7236" t="s">
        <v>267</v>
      </c>
      <c r="C7236" s="26">
        <v>0.76470000000000005</v>
      </c>
      <c r="D7236" s="26">
        <v>0.32350000000000001</v>
      </c>
      <c r="E7236" s="26">
        <v>0.29409999999999997</v>
      </c>
      <c r="F7236" s="26">
        <v>0.14710000000000001</v>
      </c>
      <c r="G7236" s="26">
        <v>0.26469999999999999</v>
      </c>
      <c r="H7236" s="26">
        <v>0.14710000000000001</v>
      </c>
      <c r="I7236" s="26">
        <v>8.8200000000000001E-2</v>
      </c>
      <c r="L7236">
        <v>34</v>
      </c>
    </row>
    <row r="7237" spans="1:33" x14ac:dyDescent="0.35">
      <c r="A7237" t="s">
        <v>231</v>
      </c>
      <c r="B7237" t="s">
        <v>266</v>
      </c>
      <c r="C7237" s="26">
        <v>0.8226</v>
      </c>
      <c r="D7237" s="26">
        <v>0.1774</v>
      </c>
      <c r="E7237" s="26">
        <v>0.2419</v>
      </c>
      <c r="F7237" s="26">
        <v>0.129</v>
      </c>
      <c r="G7237" s="26">
        <v>0.19350000000000001</v>
      </c>
      <c r="H7237" s="26">
        <v>9.6799999999999997E-2</v>
      </c>
      <c r="I7237" s="26">
        <v>1.61E-2</v>
      </c>
      <c r="L7237">
        <v>62</v>
      </c>
    </row>
    <row r="7238" spans="1:33" x14ac:dyDescent="0.35">
      <c r="A7238" t="s">
        <v>231</v>
      </c>
      <c r="B7238" t="s">
        <v>265</v>
      </c>
      <c r="C7238" s="26">
        <v>0.79410000000000003</v>
      </c>
      <c r="D7238" s="26">
        <v>0.36759999999999998</v>
      </c>
      <c r="E7238" s="26">
        <v>0.30880000000000002</v>
      </c>
      <c r="F7238" s="26">
        <v>0.23530000000000001</v>
      </c>
      <c r="G7238" s="26">
        <v>0.23530000000000001</v>
      </c>
      <c r="H7238" s="26">
        <v>0.1176</v>
      </c>
      <c r="I7238" s="26">
        <v>1.47E-2</v>
      </c>
      <c r="L7238">
        <v>68</v>
      </c>
    </row>
    <row r="7239" spans="1:33" x14ac:dyDescent="0.35">
      <c r="A7239" t="s">
        <v>232</v>
      </c>
      <c r="B7239" t="s">
        <v>232</v>
      </c>
      <c r="C7239" s="26">
        <v>0.80330000000000001</v>
      </c>
      <c r="D7239" s="26">
        <v>0.2999</v>
      </c>
      <c r="E7239" s="26">
        <v>0.25729999999999997</v>
      </c>
      <c r="F7239" s="26">
        <v>0.22720000000000001</v>
      </c>
      <c r="G7239" s="26">
        <v>0.19800000000000001</v>
      </c>
      <c r="H7239" s="26">
        <v>0.10780000000000001</v>
      </c>
      <c r="I7239" s="26">
        <v>2.1600000000000001E-2</v>
      </c>
      <c r="J7239" s="26">
        <v>3.5000000000000001E-3</v>
      </c>
      <c r="K7239" s="26">
        <v>2.0000000000000001E-4</v>
      </c>
      <c r="L7239">
        <v>2798</v>
      </c>
    </row>
    <row r="7241" spans="1:33" x14ac:dyDescent="0.35">
      <c r="A7241" s="1" t="s">
        <v>1032</v>
      </c>
    </row>
    <row r="7242" spans="1:33" x14ac:dyDescent="0.35">
      <c r="A7242" t="s">
        <v>219</v>
      </c>
      <c r="B7242" t="s">
        <v>305</v>
      </c>
      <c r="C7242" t="s">
        <v>995</v>
      </c>
      <c r="D7242" t="s">
        <v>996</v>
      </c>
      <c r="E7242" t="s">
        <v>997</v>
      </c>
      <c r="F7242" t="s">
        <v>998</v>
      </c>
      <c r="G7242" t="s">
        <v>999</v>
      </c>
      <c r="H7242" t="s">
        <v>1000</v>
      </c>
      <c r="I7242" t="s">
        <v>1001</v>
      </c>
      <c r="J7242" t="s">
        <v>1002</v>
      </c>
      <c r="K7242" t="s">
        <v>1003</v>
      </c>
      <c r="L7242" t="s">
        <v>1004</v>
      </c>
      <c r="M7242" t="s">
        <v>1005</v>
      </c>
      <c r="N7242" t="s">
        <v>1006</v>
      </c>
      <c r="O7242" t="s">
        <v>1007</v>
      </c>
      <c r="P7242" t="s">
        <v>1008</v>
      </c>
      <c r="Q7242" t="s">
        <v>1009</v>
      </c>
      <c r="R7242" t="s">
        <v>1010</v>
      </c>
      <c r="S7242" t="s">
        <v>1011</v>
      </c>
      <c r="T7242" t="s">
        <v>1012</v>
      </c>
      <c r="U7242" t="s">
        <v>1013</v>
      </c>
      <c r="V7242" t="s">
        <v>1014</v>
      </c>
      <c r="W7242" t="s">
        <v>1015</v>
      </c>
      <c r="X7242" t="s">
        <v>1016</v>
      </c>
      <c r="Y7242" t="s">
        <v>1017</v>
      </c>
      <c r="Z7242" t="s">
        <v>1018</v>
      </c>
      <c r="AA7242" t="s">
        <v>1019</v>
      </c>
      <c r="AB7242" t="s">
        <v>1020</v>
      </c>
      <c r="AC7242" t="s">
        <v>1021</v>
      </c>
      <c r="AD7242" t="s">
        <v>1022</v>
      </c>
      <c r="AE7242" t="s">
        <v>1023</v>
      </c>
      <c r="AF7242" t="s">
        <v>1024</v>
      </c>
      <c r="AG7242" t="s">
        <v>964</v>
      </c>
    </row>
    <row r="7243" spans="1:33" x14ac:dyDescent="0.35">
      <c r="A7243" s="27" t="s">
        <v>227</v>
      </c>
      <c r="B7243" s="27" t="s">
        <v>267</v>
      </c>
      <c r="C7243" s="29">
        <v>8033.33</v>
      </c>
      <c r="D7243" s="29">
        <v>3000</v>
      </c>
      <c r="E7243" s="29">
        <v>300</v>
      </c>
      <c r="F7243" s="29">
        <v>40000</v>
      </c>
      <c r="G7243" s="29">
        <v>9</v>
      </c>
      <c r="H7243" s="29">
        <v>4110.22</v>
      </c>
      <c r="I7243" s="29">
        <v>3000</v>
      </c>
      <c r="J7243" s="29">
        <v>500</v>
      </c>
      <c r="K7243" s="29">
        <v>20000</v>
      </c>
      <c r="L7243" s="29">
        <v>9</v>
      </c>
      <c r="M7243" s="29">
        <v>5188</v>
      </c>
      <c r="N7243" s="29">
        <v>4200</v>
      </c>
      <c r="O7243" s="29">
        <v>200</v>
      </c>
      <c r="P7243" s="29">
        <v>20000</v>
      </c>
      <c r="Q7243" s="29">
        <v>25</v>
      </c>
      <c r="R7243" s="29">
        <v>5320</v>
      </c>
      <c r="S7243" s="29">
        <v>7000</v>
      </c>
      <c r="T7243" s="29">
        <v>600</v>
      </c>
      <c r="U7243" s="29">
        <v>15000</v>
      </c>
      <c r="V7243" s="29">
        <v>5</v>
      </c>
      <c r="W7243" s="29">
        <v>20083.330000000002</v>
      </c>
      <c r="X7243" s="29">
        <v>30000</v>
      </c>
      <c r="Y7243" s="29">
        <v>7500</v>
      </c>
      <c r="Z7243" s="29">
        <v>50000</v>
      </c>
      <c r="AA7243" s="29">
        <v>6</v>
      </c>
      <c r="AB7243" s="29">
        <v>7333.33</v>
      </c>
      <c r="AC7243" s="29">
        <v>10000</v>
      </c>
      <c r="AD7243" s="29">
        <v>5000</v>
      </c>
      <c r="AE7243" s="29">
        <v>10000</v>
      </c>
      <c r="AF7243" s="29">
        <v>6</v>
      </c>
      <c r="AG7243" s="29">
        <v>25</v>
      </c>
    </row>
    <row r="7244" spans="1:33" x14ac:dyDescent="0.35">
      <c r="A7244" t="s">
        <v>227</v>
      </c>
      <c r="B7244" t="s">
        <v>266</v>
      </c>
      <c r="C7244">
        <v>2390.91</v>
      </c>
      <c r="D7244">
        <v>2000</v>
      </c>
      <c r="E7244">
        <v>500</v>
      </c>
      <c r="F7244">
        <v>6000</v>
      </c>
      <c r="G7244" s="30">
        <v>11</v>
      </c>
      <c r="H7244">
        <v>2200</v>
      </c>
      <c r="I7244">
        <v>2000</v>
      </c>
      <c r="J7244">
        <v>500</v>
      </c>
      <c r="K7244">
        <v>6000</v>
      </c>
      <c r="L7244" s="30">
        <v>5</v>
      </c>
      <c r="M7244">
        <v>6471.43</v>
      </c>
      <c r="N7244">
        <v>4000</v>
      </c>
      <c r="O7244">
        <v>100</v>
      </c>
      <c r="P7244">
        <v>30000</v>
      </c>
      <c r="Q7244" s="30">
        <v>42</v>
      </c>
      <c r="R7244">
        <v>12233.33</v>
      </c>
      <c r="S7244">
        <v>10900</v>
      </c>
      <c r="T7244">
        <v>6000</v>
      </c>
      <c r="U7244">
        <v>30000</v>
      </c>
      <c r="V7244" s="30">
        <v>6</v>
      </c>
      <c r="W7244">
        <v>103450</v>
      </c>
      <c r="X7244">
        <v>5000</v>
      </c>
      <c r="Y7244">
        <v>1300</v>
      </c>
      <c r="Z7244">
        <v>400000</v>
      </c>
      <c r="AA7244" s="30">
        <v>4</v>
      </c>
      <c r="AB7244">
        <v>12032</v>
      </c>
      <c r="AC7244">
        <v>20000</v>
      </c>
      <c r="AD7244">
        <v>1000</v>
      </c>
      <c r="AE7244">
        <v>25000</v>
      </c>
      <c r="AF7244" s="30">
        <v>5</v>
      </c>
      <c r="AG7244">
        <v>42</v>
      </c>
    </row>
    <row r="7245" spans="1:33" x14ac:dyDescent="0.35">
      <c r="A7245" t="s">
        <v>227</v>
      </c>
      <c r="B7245" t="s">
        <v>265</v>
      </c>
      <c r="C7245">
        <v>15576.09</v>
      </c>
      <c r="D7245">
        <v>5000</v>
      </c>
      <c r="E7245">
        <v>150</v>
      </c>
      <c r="F7245">
        <v>100000</v>
      </c>
      <c r="G7245" s="30">
        <v>23</v>
      </c>
      <c r="H7245">
        <v>5023.08</v>
      </c>
      <c r="I7245">
        <v>5000</v>
      </c>
      <c r="J7245">
        <v>300</v>
      </c>
      <c r="K7245">
        <v>25000</v>
      </c>
      <c r="L7245" s="30">
        <v>13</v>
      </c>
      <c r="M7245">
        <v>8639.7999999999993</v>
      </c>
      <c r="N7245">
        <v>5000</v>
      </c>
      <c r="O7245">
        <v>400</v>
      </c>
      <c r="P7245">
        <v>50000</v>
      </c>
      <c r="Q7245" s="30">
        <v>49</v>
      </c>
      <c r="R7245">
        <v>6825</v>
      </c>
      <c r="S7245">
        <v>4000</v>
      </c>
      <c r="T7245">
        <v>500</v>
      </c>
      <c r="U7245">
        <v>42000</v>
      </c>
      <c r="V7245" s="30">
        <v>16</v>
      </c>
      <c r="W7245">
        <v>14890.91</v>
      </c>
      <c r="X7245">
        <v>7000</v>
      </c>
      <c r="Y7245">
        <v>1500</v>
      </c>
      <c r="Z7245">
        <v>60000</v>
      </c>
      <c r="AA7245" s="30">
        <v>11</v>
      </c>
      <c r="AB7245">
        <v>6900</v>
      </c>
      <c r="AC7245">
        <v>4600</v>
      </c>
      <c r="AD7245">
        <v>3000</v>
      </c>
      <c r="AE7245">
        <v>10000</v>
      </c>
      <c r="AF7245" s="30">
        <v>4</v>
      </c>
      <c r="AG7245">
        <v>49</v>
      </c>
    </row>
    <row r="7246" spans="1:33" x14ac:dyDescent="0.35">
      <c r="A7246" t="s">
        <v>228</v>
      </c>
      <c r="B7246" t="s">
        <v>267</v>
      </c>
      <c r="C7246">
        <v>15789.11</v>
      </c>
      <c r="D7246">
        <v>5000</v>
      </c>
      <c r="E7246">
        <v>200</v>
      </c>
      <c r="F7246">
        <v>200000</v>
      </c>
      <c r="G7246" s="30">
        <v>39</v>
      </c>
      <c r="H7246">
        <v>2352.13</v>
      </c>
      <c r="I7246">
        <v>2000</v>
      </c>
      <c r="J7246">
        <v>200</v>
      </c>
      <c r="K7246">
        <v>8000</v>
      </c>
      <c r="L7246" s="30">
        <v>28</v>
      </c>
      <c r="M7246">
        <v>9252.73</v>
      </c>
      <c r="N7246">
        <v>4500</v>
      </c>
      <c r="O7246">
        <v>100</v>
      </c>
      <c r="P7246">
        <v>100000</v>
      </c>
      <c r="Q7246" s="30">
        <v>113</v>
      </c>
      <c r="R7246">
        <v>4998.59</v>
      </c>
      <c r="S7246">
        <v>5000</v>
      </c>
      <c r="T7246">
        <v>300</v>
      </c>
      <c r="U7246">
        <v>16000</v>
      </c>
      <c r="V7246" s="30">
        <v>14</v>
      </c>
      <c r="W7246">
        <v>10975.28</v>
      </c>
      <c r="X7246">
        <v>6000</v>
      </c>
      <c r="Y7246">
        <v>200</v>
      </c>
      <c r="Z7246">
        <v>100000</v>
      </c>
      <c r="AA7246" s="30">
        <v>20</v>
      </c>
      <c r="AB7246">
        <v>18969.36</v>
      </c>
      <c r="AC7246">
        <v>30000</v>
      </c>
      <c r="AD7246">
        <v>800</v>
      </c>
      <c r="AE7246">
        <v>30000</v>
      </c>
      <c r="AF7246" s="30">
        <v>6</v>
      </c>
      <c r="AG7246">
        <v>113</v>
      </c>
    </row>
    <row r="7247" spans="1:33" x14ac:dyDescent="0.35">
      <c r="A7247" t="s">
        <v>228</v>
      </c>
      <c r="B7247" t="s">
        <v>266</v>
      </c>
      <c r="C7247">
        <v>8092.51</v>
      </c>
      <c r="D7247">
        <v>3000</v>
      </c>
      <c r="E7247">
        <v>180</v>
      </c>
      <c r="F7247">
        <v>150000</v>
      </c>
      <c r="G7247" s="30">
        <v>83</v>
      </c>
      <c r="H7247">
        <v>3482.98</v>
      </c>
      <c r="I7247">
        <v>2000</v>
      </c>
      <c r="J7247">
        <v>250</v>
      </c>
      <c r="K7247">
        <v>30000</v>
      </c>
      <c r="L7247" s="30">
        <v>64</v>
      </c>
      <c r="M7247">
        <v>7772.63</v>
      </c>
      <c r="N7247">
        <v>5000</v>
      </c>
      <c r="O7247">
        <v>120</v>
      </c>
      <c r="P7247">
        <v>80000</v>
      </c>
      <c r="Q7247" s="30">
        <v>294</v>
      </c>
      <c r="R7247">
        <v>10174.24</v>
      </c>
      <c r="S7247">
        <v>5000</v>
      </c>
      <c r="T7247">
        <v>300</v>
      </c>
      <c r="U7247">
        <v>40000</v>
      </c>
      <c r="V7247" s="30">
        <v>54</v>
      </c>
      <c r="W7247">
        <v>17496.8</v>
      </c>
      <c r="X7247">
        <v>9000</v>
      </c>
      <c r="Y7247">
        <v>1000</v>
      </c>
      <c r="Z7247">
        <v>100000</v>
      </c>
      <c r="AA7247" s="30">
        <v>49</v>
      </c>
      <c r="AB7247">
        <v>4768.6499999999996</v>
      </c>
      <c r="AC7247">
        <v>3000</v>
      </c>
      <c r="AD7247">
        <v>350</v>
      </c>
      <c r="AE7247">
        <v>31000</v>
      </c>
      <c r="AF7247" s="30">
        <v>20</v>
      </c>
      <c r="AG7247">
        <v>294</v>
      </c>
    </row>
    <row r="7248" spans="1:33" x14ac:dyDescent="0.35">
      <c r="A7248" t="s">
        <v>228</v>
      </c>
      <c r="B7248" t="s">
        <v>265</v>
      </c>
      <c r="C7248">
        <v>11695.31</v>
      </c>
      <c r="D7248">
        <v>5000</v>
      </c>
      <c r="E7248">
        <v>200</v>
      </c>
      <c r="F7248">
        <v>80000</v>
      </c>
      <c r="G7248" s="30">
        <v>84</v>
      </c>
      <c r="H7248">
        <v>6991.56</v>
      </c>
      <c r="I7248">
        <v>4000</v>
      </c>
      <c r="J7248">
        <v>200</v>
      </c>
      <c r="K7248">
        <v>30000</v>
      </c>
      <c r="L7248" s="30">
        <v>70</v>
      </c>
      <c r="M7248">
        <v>12145.7</v>
      </c>
      <c r="N7248">
        <v>5500</v>
      </c>
      <c r="O7248">
        <v>200</v>
      </c>
      <c r="P7248">
        <v>70000</v>
      </c>
      <c r="Q7248" s="30">
        <v>264</v>
      </c>
      <c r="R7248">
        <v>8075.54</v>
      </c>
      <c r="S7248">
        <v>5000</v>
      </c>
      <c r="T7248">
        <v>150</v>
      </c>
      <c r="U7248">
        <v>25000</v>
      </c>
      <c r="V7248" s="30">
        <v>72</v>
      </c>
      <c r="W7248">
        <v>20046.53</v>
      </c>
      <c r="X7248">
        <v>10000</v>
      </c>
      <c r="Y7248">
        <v>250</v>
      </c>
      <c r="Z7248">
        <v>120000</v>
      </c>
      <c r="AA7248" s="30">
        <v>69</v>
      </c>
      <c r="AB7248">
        <v>6859.42</v>
      </c>
      <c r="AC7248">
        <v>3200</v>
      </c>
      <c r="AD7248">
        <v>100</v>
      </c>
      <c r="AE7248">
        <v>30000</v>
      </c>
      <c r="AF7248" s="30">
        <v>15</v>
      </c>
      <c r="AG7248">
        <v>264</v>
      </c>
    </row>
    <row r="7249" spans="1:33" x14ac:dyDescent="0.35">
      <c r="A7249" t="s">
        <v>229</v>
      </c>
      <c r="B7249" t="s">
        <v>267</v>
      </c>
      <c r="C7249">
        <v>14199.68</v>
      </c>
      <c r="D7249">
        <v>4000</v>
      </c>
      <c r="E7249">
        <v>100</v>
      </c>
      <c r="F7249">
        <v>200000</v>
      </c>
      <c r="G7249" s="30">
        <v>52</v>
      </c>
      <c r="H7249">
        <v>7364.57</v>
      </c>
      <c r="I7249">
        <v>6000</v>
      </c>
      <c r="J7249">
        <v>240</v>
      </c>
      <c r="K7249">
        <v>26000</v>
      </c>
      <c r="L7249" s="30">
        <v>39</v>
      </c>
      <c r="M7249">
        <v>11807.34</v>
      </c>
      <c r="N7249">
        <v>5000</v>
      </c>
      <c r="O7249">
        <v>150</v>
      </c>
      <c r="P7249">
        <v>100000</v>
      </c>
      <c r="Q7249" s="30">
        <v>126</v>
      </c>
      <c r="R7249">
        <v>12692.98</v>
      </c>
      <c r="S7249">
        <v>12000</v>
      </c>
      <c r="T7249">
        <v>200</v>
      </c>
      <c r="U7249">
        <v>30000</v>
      </c>
      <c r="V7249" s="30">
        <v>41</v>
      </c>
      <c r="W7249">
        <v>14551.51</v>
      </c>
      <c r="X7249">
        <v>15000</v>
      </c>
      <c r="Y7249">
        <v>2000</v>
      </c>
      <c r="Z7249">
        <v>40000</v>
      </c>
      <c r="AA7249" s="30">
        <v>24</v>
      </c>
      <c r="AB7249">
        <v>6702.64</v>
      </c>
      <c r="AC7249">
        <v>12000</v>
      </c>
      <c r="AD7249">
        <v>600</v>
      </c>
      <c r="AE7249">
        <v>18000</v>
      </c>
      <c r="AF7249" s="30">
        <v>7</v>
      </c>
      <c r="AG7249">
        <v>126</v>
      </c>
    </row>
    <row r="7250" spans="1:33" x14ac:dyDescent="0.35">
      <c r="A7250" t="s">
        <v>229</v>
      </c>
      <c r="B7250" t="s">
        <v>266</v>
      </c>
      <c r="C7250">
        <v>7058.71</v>
      </c>
      <c r="D7250">
        <v>3500</v>
      </c>
      <c r="E7250">
        <v>200</v>
      </c>
      <c r="F7250">
        <v>80000</v>
      </c>
      <c r="G7250" s="30">
        <v>72</v>
      </c>
      <c r="H7250">
        <v>4267.84</v>
      </c>
      <c r="I7250">
        <v>3000</v>
      </c>
      <c r="J7250">
        <v>200</v>
      </c>
      <c r="K7250">
        <v>15000</v>
      </c>
      <c r="L7250" s="30">
        <v>66</v>
      </c>
      <c r="M7250">
        <v>9909.81</v>
      </c>
      <c r="N7250">
        <v>6000</v>
      </c>
      <c r="O7250">
        <v>200</v>
      </c>
      <c r="P7250">
        <v>70000</v>
      </c>
      <c r="Q7250" s="30">
        <v>235</v>
      </c>
      <c r="R7250">
        <v>6481.78</v>
      </c>
      <c r="S7250">
        <v>4000</v>
      </c>
      <c r="T7250">
        <v>300</v>
      </c>
      <c r="U7250">
        <v>45000</v>
      </c>
      <c r="V7250" s="30">
        <v>54</v>
      </c>
      <c r="W7250">
        <v>15216.4</v>
      </c>
      <c r="X7250">
        <v>10000</v>
      </c>
      <c r="Y7250">
        <v>300</v>
      </c>
      <c r="Z7250">
        <v>51000</v>
      </c>
      <c r="AA7250" s="30">
        <v>42</v>
      </c>
      <c r="AB7250">
        <v>6404.81</v>
      </c>
      <c r="AC7250">
        <v>6000</v>
      </c>
      <c r="AD7250">
        <v>200</v>
      </c>
      <c r="AE7250">
        <v>20000</v>
      </c>
      <c r="AF7250" s="30">
        <v>20</v>
      </c>
      <c r="AG7250">
        <v>235</v>
      </c>
    </row>
    <row r="7251" spans="1:33" x14ac:dyDescent="0.35">
      <c r="A7251" t="s">
        <v>229</v>
      </c>
      <c r="B7251" t="s">
        <v>265</v>
      </c>
      <c r="C7251">
        <v>20140.2</v>
      </c>
      <c r="D7251">
        <v>10000</v>
      </c>
      <c r="E7251">
        <v>200</v>
      </c>
      <c r="F7251">
        <v>200000</v>
      </c>
      <c r="G7251" s="30">
        <v>89</v>
      </c>
      <c r="H7251">
        <v>8346.94</v>
      </c>
      <c r="I7251">
        <v>5000</v>
      </c>
      <c r="J7251">
        <v>300</v>
      </c>
      <c r="K7251">
        <v>30000</v>
      </c>
      <c r="L7251" s="30">
        <v>60</v>
      </c>
      <c r="M7251">
        <v>11252.34</v>
      </c>
      <c r="N7251">
        <v>7000</v>
      </c>
      <c r="O7251">
        <v>400</v>
      </c>
      <c r="P7251">
        <v>100000</v>
      </c>
      <c r="Q7251" s="30">
        <v>230</v>
      </c>
      <c r="R7251">
        <v>6972.83</v>
      </c>
      <c r="S7251">
        <v>5000</v>
      </c>
      <c r="T7251">
        <v>300</v>
      </c>
      <c r="U7251">
        <v>45000</v>
      </c>
      <c r="V7251" s="30">
        <v>79</v>
      </c>
      <c r="W7251">
        <v>24995.51</v>
      </c>
      <c r="X7251">
        <v>18000</v>
      </c>
      <c r="Y7251">
        <v>560</v>
      </c>
      <c r="Z7251">
        <v>200000</v>
      </c>
      <c r="AA7251" s="30">
        <v>60</v>
      </c>
      <c r="AB7251">
        <v>8461.24</v>
      </c>
      <c r="AC7251">
        <v>4000</v>
      </c>
      <c r="AD7251">
        <v>1000</v>
      </c>
      <c r="AE7251">
        <v>30000</v>
      </c>
      <c r="AF7251" s="30">
        <v>18</v>
      </c>
      <c r="AG7251">
        <v>230</v>
      </c>
    </row>
    <row r="7252" spans="1:33" x14ac:dyDescent="0.35">
      <c r="A7252" t="s">
        <v>230</v>
      </c>
      <c r="B7252" t="s">
        <v>267</v>
      </c>
      <c r="C7252">
        <v>17349.37</v>
      </c>
      <c r="D7252">
        <v>5000</v>
      </c>
      <c r="E7252">
        <v>100</v>
      </c>
      <c r="F7252">
        <v>200000</v>
      </c>
      <c r="G7252" s="30">
        <v>33</v>
      </c>
      <c r="H7252">
        <v>6919.84</v>
      </c>
      <c r="I7252">
        <v>5000</v>
      </c>
      <c r="J7252">
        <v>200</v>
      </c>
      <c r="K7252">
        <v>30000</v>
      </c>
      <c r="L7252" s="30">
        <v>29</v>
      </c>
      <c r="M7252">
        <v>9963.41</v>
      </c>
      <c r="N7252">
        <v>5000</v>
      </c>
      <c r="O7252">
        <v>400</v>
      </c>
      <c r="P7252">
        <v>50000</v>
      </c>
      <c r="Q7252" s="30">
        <v>70</v>
      </c>
      <c r="R7252">
        <v>10437.98</v>
      </c>
      <c r="S7252">
        <v>6000</v>
      </c>
      <c r="T7252">
        <v>500</v>
      </c>
      <c r="U7252">
        <v>40000</v>
      </c>
      <c r="V7252" s="30">
        <v>19</v>
      </c>
      <c r="W7252">
        <v>26158.65</v>
      </c>
      <c r="X7252">
        <v>10000</v>
      </c>
      <c r="Y7252">
        <v>2000</v>
      </c>
      <c r="Z7252">
        <v>250000</v>
      </c>
      <c r="AA7252" s="30">
        <v>19</v>
      </c>
      <c r="AB7252">
        <v>11763.25</v>
      </c>
      <c r="AC7252">
        <v>12000</v>
      </c>
      <c r="AD7252">
        <v>900</v>
      </c>
      <c r="AE7252">
        <v>30000</v>
      </c>
      <c r="AF7252" s="30">
        <v>7</v>
      </c>
      <c r="AG7252">
        <v>70</v>
      </c>
    </row>
    <row r="7253" spans="1:33" x14ac:dyDescent="0.35">
      <c r="A7253" t="s">
        <v>230</v>
      </c>
      <c r="B7253" t="s">
        <v>266</v>
      </c>
      <c r="C7253">
        <v>8548.14</v>
      </c>
      <c r="D7253">
        <v>2500</v>
      </c>
      <c r="E7253">
        <v>400</v>
      </c>
      <c r="F7253">
        <v>200000</v>
      </c>
      <c r="G7253" s="30">
        <v>59</v>
      </c>
      <c r="H7253">
        <v>3691.69</v>
      </c>
      <c r="I7253">
        <v>3000</v>
      </c>
      <c r="J7253">
        <v>300</v>
      </c>
      <c r="K7253">
        <v>30000</v>
      </c>
      <c r="L7253" s="30">
        <v>36</v>
      </c>
      <c r="M7253">
        <v>5997.1</v>
      </c>
      <c r="N7253">
        <v>5000</v>
      </c>
      <c r="O7253">
        <v>100</v>
      </c>
      <c r="P7253">
        <v>50000</v>
      </c>
      <c r="Q7253" s="30">
        <v>163</v>
      </c>
      <c r="R7253">
        <v>4743.5200000000004</v>
      </c>
      <c r="S7253">
        <v>3000</v>
      </c>
      <c r="T7253">
        <v>200</v>
      </c>
      <c r="U7253">
        <v>20000</v>
      </c>
      <c r="V7253" s="30">
        <v>30</v>
      </c>
      <c r="W7253">
        <v>8301.74</v>
      </c>
      <c r="X7253">
        <v>6000</v>
      </c>
      <c r="Y7253">
        <v>400</v>
      </c>
      <c r="Z7253">
        <v>30000</v>
      </c>
      <c r="AA7253" s="30">
        <v>42</v>
      </c>
      <c r="AB7253">
        <v>7152.92</v>
      </c>
      <c r="AC7253">
        <v>10000</v>
      </c>
      <c r="AD7253">
        <v>500</v>
      </c>
      <c r="AE7253">
        <v>21000</v>
      </c>
      <c r="AF7253" s="30">
        <v>14</v>
      </c>
      <c r="AG7253">
        <v>163</v>
      </c>
    </row>
    <row r="7254" spans="1:33" x14ac:dyDescent="0.35">
      <c r="A7254" t="s">
        <v>230</v>
      </c>
      <c r="B7254" t="s">
        <v>265</v>
      </c>
      <c r="C7254">
        <v>12210.57</v>
      </c>
      <c r="D7254">
        <v>5000</v>
      </c>
      <c r="E7254">
        <v>500</v>
      </c>
      <c r="F7254">
        <v>150000</v>
      </c>
      <c r="G7254" s="30">
        <v>66</v>
      </c>
      <c r="H7254">
        <v>4147.24</v>
      </c>
      <c r="I7254">
        <v>3000</v>
      </c>
      <c r="J7254">
        <v>250</v>
      </c>
      <c r="K7254">
        <v>22000</v>
      </c>
      <c r="L7254" s="30">
        <v>35</v>
      </c>
      <c r="M7254">
        <v>13014.63</v>
      </c>
      <c r="N7254">
        <v>6000</v>
      </c>
      <c r="O7254">
        <v>200</v>
      </c>
      <c r="P7254">
        <v>100000</v>
      </c>
      <c r="Q7254" s="30">
        <v>149</v>
      </c>
      <c r="R7254">
        <v>7267.49</v>
      </c>
      <c r="S7254">
        <v>6000</v>
      </c>
      <c r="T7254">
        <v>200</v>
      </c>
      <c r="U7254">
        <v>35000</v>
      </c>
      <c r="V7254" s="30">
        <v>40</v>
      </c>
      <c r="W7254">
        <v>18882.63</v>
      </c>
      <c r="X7254">
        <v>12000</v>
      </c>
      <c r="Y7254">
        <v>2000</v>
      </c>
      <c r="Z7254">
        <v>110000</v>
      </c>
      <c r="AA7254" s="30">
        <v>39</v>
      </c>
      <c r="AB7254">
        <v>4299.62</v>
      </c>
      <c r="AC7254">
        <v>5000</v>
      </c>
      <c r="AD7254">
        <v>600</v>
      </c>
      <c r="AE7254">
        <v>14000</v>
      </c>
      <c r="AF7254" s="30">
        <v>11</v>
      </c>
      <c r="AG7254">
        <v>149</v>
      </c>
    </row>
    <row r="7255" spans="1:33" x14ac:dyDescent="0.35">
      <c r="A7255" s="27" t="s">
        <v>231</v>
      </c>
      <c r="B7255" s="27" t="s">
        <v>267</v>
      </c>
      <c r="C7255" s="29">
        <v>12350</v>
      </c>
      <c r="D7255" s="29">
        <v>4000</v>
      </c>
      <c r="E7255" s="29">
        <v>300</v>
      </c>
      <c r="F7255" s="29">
        <v>50000</v>
      </c>
      <c r="G7255" s="29">
        <v>10</v>
      </c>
      <c r="H7255" s="29">
        <v>4050</v>
      </c>
      <c r="I7255" s="29">
        <v>3500</v>
      </c>
      <c r="J7255" s="29">
        <v>200</v>
      </c>
      <c r="K7255" s="29">
        <v>10000</v>
      </c>
      <c r="L7255" s="29">
        <v>8</v>
      </c>
      <c r="M7255" s="29">
        <v>8769.58</v>
      </c>
      <c r="N7255" s="29">
        <v>5000</v>
      </c>
      <c r="O7255" s="29">
        <v>170</v>
      </c>
      <c r="P7255" s="29">
        <v>100000</v>
      </c>
      <c r="Q7255" s="29">
        <v>24</v>
      </c>
      <c r="R7255" s="29">
        <v>19000</v>
      </c>
      <c r="S7255" s="29">
        <v>5000</v>
      </c>
      <c r="T7255" s="29">
        <v>3000</v>
      </c>
      <c r="U7255" s="29">
        <v>40000</v>
      </c>
      <c r="V7255" s="29">
        <v>4</v>
      </c>
      <c r="W7255" s="29">
        <v>8083.33</v>
      </c>
      <c r="X7255" s="29">
        <v>5000</v>
      </c>
      <c r="Y7255" s="29">
        <v>1500</v>
      </c>
      <c r="Z7255" s="29">
        <v>25000</v>
      </c>
      <c r="AA7255" s="29">
        <v>6</v>
      </c>
      <c r="AB7255" s="29">
        <v>3666.67</v>
      </c>
      <c r="AC7255" s="29">
        <v>8000</v>
      </c>
      <c r="AD7255" s="29">
        <v>1000</v>
      </c>
      <c r="AE7255" s="29">
        <v>8000</v>
      </c>
      <c r="AF7255" s="29">
        <v>3</v>
      </c>
      <c r="AG7255" s="29">
        <v>24</v>
      </c>
    </row>
    <row r="7256" spans="1:33" x14ac:dyDescent="0.35">
      <c r="A7256" t="s">
        <v>231</v>
      </c>
      <c r="B7256" t="s">
        <v>266</v>
      </c>
      <c r="C7256">
        <v>25763.64</v>
      </c>
      <c r="D7256">
        <v>10000</v>
      </c>
      <c r="E7256">
        <v>500</v>
      </c>
      <c r="F7256">
        <v>200000</v>
      </c>
      <c r="G7256" s="30">
        <v>11</v>
      </c>
      <c r="H7256">
        <v>4860.7700000000004</v>
      </c>
      <c r="I7256">
        <v>4000</v>
      </c>
      <c r="J7256">
        <v>490</v>
      </c>
      <c r="K7256">
        <v>30000</v>
      </c>
      <c r="L7256" s="30">
        <v>13</v>
      </c>
      <c r="M7256">
        <v>6366.48</v>
      </c>
      <c r="N7256">
        <v>3500</v>
      </c>
      <c r="O7256">
        <v>405</v>
      </c>
      <c r="P7256">
        <v>40000</v>
      </c>
      <c r="Q7256" s="30">
        <v>44</v>
      </c>
      <c r="R7256">
        <v>9392.86</v>
      </c>
      <c r="S7256">
        <v>6000</v>
      </c>
      <c r="T7256">
        <v>350</v>
      </c>
      <c r="U7256">
        <v>40000</v>
      </c>
      <c r="V7256" s="30">
        <v>7</v>
      </c>
      <c r="W7256">
        <v>9512.5</v>
      </c>
      <c r="X7256">
        <v>5450</v>
      </c>
      <c r="Y7256">
        <v>500</v>
      </c>
      <c r="Z7256">
        <v>50000</v>
      </c>
      <c r="AA7256" s="30">
        <v>12</v>
      </c>
      <c r="AB7256">
        <v>650</v>
      </c>
      <c r="AC7256">
        <v>300</v>
      </c>
      <c r="AD7256">
        <v>300</v>
      </c>
      <c r="AE7256">
        <v>1000</v>
      </c>
      <c r="AF7256" s="30">
        <v>2</v>
      </c>
      <c r="AG7256">
        <v>44</v>
      </c>
    </row>
    <row r="7257" spans="1:33" x14ac:dyDescent="0.35">
      <c r="A7257" t="s">
        <v>231</v>
      </c>
      <c r="B7257" t="s">
        <v>265</v>
      </c>
      <c r="C7257">
        <v>21865.22</v>
      </c>
      <c r="D7257">
        <v>15000</v>
      </c>
      <c r="E7257">
        <v>200</v>
      </c>
      <c r="F7257">
        <v>100000</v>
      </c>
      <c r="G7257" s="30">
        <v>23</v>
      </c>
      <c r="H7257">
        <v>7437.5</v>
      </c>
      <c r="I7257">
        <v>5000</v>
      </c>
      <c r="J7257">
        <v>1500</v>
      </c>
      <c r="K7257">
        <v>20000</v>
      </c>
      <c r="L7257" s="30">
        <v>16</v>
      </c>
      <c r="M7257">
        <v>9818.6</v>
      </c>
      <c r="N7257">
        <v>6000</v>
      </c>
      <c r="O7257">
        <v>500</v>
      </c>
      <c r="P7257">
        <v>48800</v>
      </c>
      <c r="Q7257" s="30">
        <v>43</v>
      </c>
      <c r="R7257">
        <v>8354.5499999999993</v>
      </c>
      <c r="S7257">
        <v>5000</v>
      </c>
      <c r="T7257">
        <v>400</v>
      </c>
      <c r="U7257">
        <v>40000</v>
      </c>
      <c r="V7257" s="30">
        <v>11</v>
      </c>
      <c r="W7257">
        <v>14426</v>
      </c>
      <c r="X7257">
        <v>15000</v>
      </c>
      <c r="Y7257">
        <v>2538</v>
      </c>
      <c r="Z7257">
        <v>30000</v>
      </c>
      <c r="AA7257" s="30">
        <v>13</v>
      </c>
      <c r="AB7257">
        <v>1850</v>
      </c>
      <c r="AC7257">
        <v>1700</v>
      </c>
      <c r="AD7257">
        <v>1700</v>
      </c>
      <c r="AE7257">
        <v>2000</v>
      </c>
      <c r="AF7257" s="30">
        <v>2</v>
      </c>
      <c r="AG7257">
        <v>43</v>
      </c>
    </row>
    <row r="7258" spans="1:33" x14ac:dyDescent="0.35">
      <c r="A7258" t="s">
        <v>232</v>
      </c>
      <c r="B7258" t="s">
        <v>232</v>
      </c>
      <c r="C7258">
        <v>14899.73</v>
      </c>
      <c r="D7258">
        <v>5000</v>
      </c>
      <c r="E7258">
        <v>100</v>
      </c>
      <c r="F7258">
        <v>200000</v>
      </c>
      <c r="G7258" s="30">
        <v>664</v>
      </c>
      <c r="H7258">
        <v>5630.43</v>
      </c>
      <c r="I7258">
        <v>3000</v>
      </c>
      <c r="J7258">
        <v>200</v>
      </c>
      <c r="K7258">
        <v>30000</v>
      </c>
      <c r="L7258" s="30">
        <v>492</v>
      </c>
      <c r="M7258">
        <v>9336.61</v>
      </c>
      <c r="N7258">
        <v>5000</v>
      </c>
      <c r="O7258">
        <v>100</v>
      </c>
      <c r="P7258">
        <v>100000</v>
      </c>
      <c r="Q7258" s="30">
        <v>1873</v>
      </c>
      <c r="R7258">
        <v>8628.5300000000007</v>
      </c>
      <c r="S7258">
        <v>5000</v>
      </c>
      <c r="T7258">
        <v>150</v>
      </c>
      <c r="U7258">
        <v>45000</v>
      </c>
      <c r="V7258" s="30">
        <v>452</v>
      </c>
      <c r="W7258">
        <v>18064.68</v>
      </c>
      <c r="X7258">
        <v>9000</v>
      </c>
      <c r="Y7258">
        <v>200</v>
      </c>
      <c r="Z7258">
        <v>400000</v>
      </c>
      <c r="AA7258" s="30">
        <v>417</v>
      </c>
      <c r="AB7258">
        <v>6639.38</v>
      </c>
      <c r="AC7258">
        <v>4000</v>
      </c>
      <c r="AD7258">
        <v>100</v>
      </c>
      <c r="AE7258">
        <v>31000</v>
      </c>
      <c r="AF7258" s="30">
        <v>140</v>
      </c>
      <c r="AG7258">
        <v>1873</v>
      </c>
    </row>
    <row r="7260" spans="1:33" x14ac:dyDescent="0.35">
      <c r="A7260" s="1" t="s">
        <v>1033</v>
      </c>
    </row>
    <row r="7261" spans="1:33" x14ac:dyDescent="0.35">
      <c r="A7261" t="s">
        <v>219</v>
      </c>
      <c r="B7261" t="s">
        <v>305</v>
      </c>
      <c r="C7261" t="s">
        <v>988</v>
      </c>
      <c r="D7261" t="s">
        <v>989</v>
      </c>
      <c r="E7261" t="s">
        <v>990</v>
      </c>
      <c r="F7261" t="s">
        <v>991</v>
      </c>
      <c r="G7261" t="s">
        <v>992</v>
      </c>
      <c r="H7261" t="s">
        <v>993</v>
      </c>
      <c r="I7261" t="s">
        <v>994</v>
      </c>
      <c r="J7261" t="s">
        <v>281</v>
      </c>
      <c r="K7261" t="s">
        <v>286</v>
      </c>
      <c r="L7261" t="s">
        <v>226</v>
      </c>
    </row>
    <row r="7262" spans="1:33" x14ac:dyDescent="0.35">
      <c r="A7262" t="s">
        <v>227</v>
      </c>
      <c r="B7262" t="s">
        <v>252</v>
      </c>
      <c r="C7262" s="26">
        <v>0.91110000000000002</v>
      </c>
      <c r="D7262" s="26">
        <v>0.28889999999999999</v>
      </c>
      <c r="E7262" s="26">
        <v>0.1333</v>
      </c>
      <c r="G7262" s="26">
        <v>2.2200000000000001E-2</v>
      </c>
      <c r="H7262" s="26">
        <v>6.6699999999999995E-2</v>
      </c>
      <c r="I7262" s="26">
        <v>4.4400000000000002E-2</v>
      </c>
      <c r="L7262">
        <v>45</v>
      </c>
    </row>
    <row r="7263" spans="1:33" x14ac:dyDescent="0.35">
      <c r="A7263" t="s">
        <v>227</v>
      </c>
      <c r="B7263" t="s">
        <v>253</v>
      </c>
      <c r="C7263" s="26">
        <v>0.87880000000000003</v>
      </c>
      <c r="D7263" s="26">
        <v>0.30299999999999999</v>
      </c>
      <c r="E7263" s="26">
        <v>0.21210000000000001</v>
      </c>
      <c r="F7263" s="26">
        <v>0.2727</v>
      </c>
      <c r="G7263" s="26">
        <v>0.2424</v>
      </c>
      <c r="H7263" s="26">
        <v>6.0600000000000001E-2</v>
      </c>
      <c r="J7263" s="26">
        <v>3.0300000000000001E-2</v>
      </c>
      <c r="L7263">
        <v>33</v>
      </c>
    </row>
    <row r="7264" spans="1:33" x14ac:dyDescent="0.35">
      <c r="A7264" t="s">
        <v>227</v>
      </c>
      <c r="B7264" t="s">
        <v>251</v>
      </c>
      <c r="C7264" s="26">
        <v>0.72840000000000005</v>
      </c>
      <c r="D7264" s="26">
        <v>0.34570000000000001</v>
      </c>
      <c r="E7264" s="26">
        <v>0.27160000000000001</v>
      </c>
      <c r="F7264" s="26">
        <v>0.28399999999999997</v>
      </c>
      <c r="G7264" s="26">
        <v>0.17280000000000001</v>
      </c>
      <c r="H7264" s="26">
        <v>0.14810000000000001</v>
      </c>
      <c r="I7264" s="26">
        <v>3.6999999999999998E-2</v>
      </c>
      <c r="L7264">
        <v>81</v>
      </c>
    </row>
    <row r="7265" spans="1:33" x14ac:dyDescent="0.35">
      <c r="A7265" t="s">
        <v>228</v>
      </c>
      <c r="B7265" t="s">
        <v>252</v>
      </c>
      <c r="C7265" s="26">
        <v>0.81699999999999995</v>
      </c>
      <c r="D7265" s="26">
        <v>0.18029999999999999</v>
      </c>
      <c r="E7265" s="26">
        <v>0.129</v>
      </c>
      <c r="F7265" s="26">
        <v>2.3099999999999999E-2</v>
      </c>
      <c r="G7265" s="26">
        <v>7.6200000000000004E-2</v>
      </c>
      <c r="H7265" s="26">
        <v>0.1527</v>
      </c>
      <c r="I7265" s="26">
        <v>0.03</v>
      </c>
      <c r="J7265" s="26">
        <v>1.2999999999999999E-3</v>
      </c>
      <c r="L7265">
        <v>341</v>
      </c>
    </row>
    <row r="7266" spans="1:33" x14ac:dyDescent="0.35">
      <c r="A7266" t="s">
        <v>228</v>
      </c>
      <c r="B7266" t="s">
        <v>253</v>
      </c>
      <c r="C7266" s="26">
        <v>0.90249999999999997</v>
      </c>
      <c r="D7266" s="26">
        <v>0.32200000000000001</v>
      </c>
      <c r="E7266" s="26">
        <v>0.21390000000000001</v>
      </c>
      <c r="F7266" s="26">
        <v>0.19359999999999999</v>
      </c>
      <c r="G7266" s="26">
        <v>0.20599999999999999</v>
      </c>
      <c r="H7266" s="26">
        <v>4.9200000000000001E-2</v>
      </c>
      <c r="I7266" s="26">
        <v>6.4999999999999997E-3</v>
      </c>
      <c r="J7266" s="26">
        <v>3.8E-3</v>
      </c>
      <c r="L7266">
        <v>220</v>
      </c>
    </row>
    <row r="7267" spans="1:33" x14ac:dyDescent="0.35">
      <c r="A7267" t="s">
        <v>228</v>
      </c>
      <c r="B7267" t="s">
        <v>251</v>
      </c>
      <c r="C7267" s="26">
        <v>0.70540000000000003</v>
      </c>
      <c r="D7267" s="26">
        <v>0.2737</v>
      </c>
      <c r="E7267" s="26">
        <v>0.30790000000000001</v>
      </c>
      <c r="F7267" s="26">
        <v>0.3427</v>
      </c>
      <c r="G7267" s="26">
        <v>0.24729999999999999</v>
      </c>
      <c r="H7267" s="26">
        <v>0.13769999999999999</v>
      </c>
      <c r="I7267" s="26">
        <v>6.7000000000000002E-3</v>
      </c>
      <c r="J7267" s="26">
        <v>3.2000000000000002E-3</v>
      </c>
      <c r="K7267" s="26">
        <v>5.0000000000000001E-4</v>
      </c>
      <c r="L7267">
        <v>467</v>
      </c>
    </row>
    <row r="7268" spans="1:33" x14ac:dyDescent="0.35">
      <c r="A7268" t="s">
        <v>229</v>
      </c>
      <c r="B7268" t="s">
        <v>252</v>
      </c>
      <c r="C7268" s="26">
        <v>0.875</v>
      </c>
      <c r="D7268" s="26">
        <v>0.27160000000000001</v>
      </c>
      <c r="E7268" s="26">
        <v>0.17749999999999999</v>
      </c>
      <c r="F7268" s="26">
        <v>8.0000000000000004E-4</v>
      </c>
      <c r="G7268" s="26">
        <v>4.5900000000000003E-2</v>
      </c>
      <c r="H7268" s="26">
        <v>8.5800000000000001E-2</v>
      </c>
      <c r="I7268" s="26">
        <v>2.75E-2</v>
      </c>
      <c r="J7268" s="26">
        <v>1.12E-2</v>
      </c>
      <c r="L7268">
        <v>198</v>
      </c>
    </row>
    <row r="7269" spans="1:33" x14ac:dyDescent="0.35">
      <c r="A7269" t="s">
        <v>229</v>
      </c>
      <c r="B7269" t="s">
        <v>253</v>
      </c>
      <c r="C7269" s="26">
        <v>0.9163</v>
      </c>
      <c r="D7269" s="26">
        <v>0.30020000000000002</v>
      </c>
      <c r="E7269" s="26">
        <v>0.24460000000000001</v>
      </c>
      <c r="F7269" s="26">
        <v>0.2727</v>
      </c>
      <c r="G7269" s="26">
        <v>0.1835</v>
      </c>
      <c r="H7269" s="26">
        <v>6.1600000000000002E-2</v>
      </c>
      <c r="I7269" s="26">
        <v>1.5E-3</v>
      </c>
      <c r="J7269" s="26">
        <v>3.5000000000000001E-3</v>
      </c>
      <c r="L7269">
        <v>145</v>
      </c>
    </row>
    <row r="7270" spans="1:33" x14ac:dyDescent="0.35">
      <c r="A7270" t="s">
        <v>229</v>
      </c>
      <c r="B7270" t="s">
        <v>251</v>
      </c>
      <c r="C7270" s="26">
        <v>0.76219999999999999</v>
      </c>
      <c r="D7270" s="26">
        <v>0.35020000000000001</v>
      </c>
      <c r="E7270" s="26">
        <v>0.32929999999999998</v>
      </c>
      <c r="F7270" s="26">
        <v>0.40820000000000001</v>
      </c>
      <c r="G7270" s="26">
        <v>0.2717</v>
      </c>
      <c r="H7270" s="26">
        <v>0.1114</v>
      </c>
      <c r="I7270" s="26">
        <v>1.41E-2</v>
      </c>
      <c r="J7270" s="26">
        <v>6.1000000000000004E-3</v>
      </c>
      <c r="K7270" s="26">
        <v>5.9999999999999995E-4</v>
      </c>
      <c r="L7270">
        <v>547</v>
      </c>
    </row>
    <row r="7271" spans="1:33" x14ac:dyDescent="0.35">
      <c r="A7271" t="s">
        <v>230</v>
      </c>
      <c r="B7271" t="s">
        <v>252</v>
      </c>
      <c r="C7271" s="26">
        <v>0.95089999999999997</v>
      </c>
      <c r="D7271" s="26">
        <v>0.2969</v>
      </c>
      <c r="E7271" s="26">
        <v>9.6699999999999994E-2</v>
      </c>
      <c r="G7271" s="26">
        <v>0.12509999999999999</v>
      </c>
      <c r="H7271" s="26">
        <v>3.3300000000000003E-2</v>
      </c>
      <c r="I7271" s="26">
        <v>1.4200000000000001E-2</v>
      </c>
      <c r="K7271" s="26">
        <v>1.1000000000000001E-3</v>
      </c>
      <c r="L7271">
        <v>157</v>
      </c>
    </row>
    <row r="7272" spans="1:33" x14ac:dyDescent="0.35">
      <c r="A7272" t="s">
        <v>230</v>
      </c>
      <c r="B7272" t="s">
        <v>253</v>
      </c>
      <c r="C7272" s="26">
        <v>0.91679999999999995</v>
      </c>
      <c r="D7272" s="26">
        <v>0.3891</v>
      </c>
      <c r="E7272" s="26">
        <v>0.27960000000000002</v>
      </c>
      <c r="F7272" s="26">
        <v>0.2009</v>
      </c>
      <c r="G7272" s="26">
        <v>0.2034</v>
      </c>
      <c r="H7272" s="26">
        <v>6.9400000000000003E-2</v>
      </c>
      <c r="I7272" s="26">
        <v>4.7500000000000001E-2</v>
      </c>
      <c r="L7272">
        <v>110</v>
      </c>
    </row>
    <row r="7273" spans="1:33" x14ac:dyDescent="0.35">
      <c r="A7273" t="s">
        <v>230</v>
      </c>
      <c r="B7273" t="s">
        <v>251</v>
      </c>
      <c r="C7273" s="26">
        <v>0.70489999999999997</v>
      </c>
      <c r="D7273" s="26">
        <v>0.3256</v>
      </c>
      <c r="E7273" s="26">
        <v>0.2858</v>
      </c>
      <c r="F7273" s="26">
        <v>0.3982</v>
      </c>
      <c r="G7273" s="26">
        <v>0.255</v>
      </c>
      <c r="H7273" s="26">
        <v>0.11899999999999999</v>
      </c>
      <c r="I7273" s="26">
        <v>6.4000000000000003E-3</v>
      </c>
      <c r="J7273" s="26">
        <v>2.0999999999999999E-3</v>
      </c>
      <c r="L7273">
        <v>290</v>
      </c>
    </row>
    <row r="7274" spans="1:33" x14ac:dyDescent="0.35">
      <c r="A7274" t="s">
        <v>231</v>
      </c>
      <c r="B7274" t="s">
        <v>252</v>
      </c>
      <c r="C7274" s="26">
        <v>0.91839999999999999</v>
      </c>
      <c r="D7274" s="26">
        <v>0.2041</v>
      </c>
      <c r="E7274" s="26">
        <v>0.12239999999999999</v>
      </c>
      <c r="F7274" s="26">
        <v>2.0400000000000001E-2</v>
      </c>
      <c r="G7274" s="26">
        <v>4.0800000000000003E-2</v>
      </c>
      <c r="H7274" s="26">
        <v>8.1600000000000006E-2</v>
      </c>
      <c r="I7274" s="26">
        <v>4.0800000000000003E-2</v>
      </c>
      <c r="L7274">
        <v>49</v>
      </c>
    </row>
    <row r="7275" spans="1:33" x14ac:dyDescent="0.35">
      <c r="A7275" t="s">
        <v>231</v>
      </c>
      <c r="B7275" t="s">
        <v>253</v>
      </c>
      <c r="C7275" s="26">
        <v>0.86670000000000003</v>
      </c>
      <c r="D7275" s="26">
        <v>0.3</v>
      </c>
      <c r="E7275" s="26">
        <v>0.33329999999999999</v>
      </c>
      <c r="F7275" s="26">
        <v>0.1333</v>
      </c>
      <c r="G7275" s="26">
        <v>0.2</v>
      </c>
      <c r="H7275" s="26">
        <v>3.3300000000000003E-2</v>
      </c>
      <c r="I7275" s="26">
        <v>3.3300000000000003E-2</v>
      </c>
      <c r="L7275">
        <v>30</v>
      </c>
    </row>
    <row r="7276" spans="1:33" x14ac:dyDescent="0.35">
      <c r="A7276" t="s">
        <v>231</v>
      </c>
      <c r="B7276" t="s">
        <v>251</v>
      </c>
      <c r="C7276" s="26">
        <v>0.70589999999999997</v>
      </c>
      <c r="D7276" s="26">
        <v>0.32940000000000003</v>
      </c>
      <c r="E7276" s="26">
        <v>0.35289999999999999</v>
      </c>
      <c r="F7276" s="26">
        <v>0.28239999999999998</v>
      </c>
      <c r="G7276" s="26">
        <v>0.3412</v>
      </c>
      <c r="H7276" s="26">
        <v>0.16470000000000001</v>
      </c>
      <c r="I7276" s="26">
        <v>2.35E-2</v>
      </c>
      <c r="L7276">
        <v>85</v>
      </c>
    </row>
    <row r="7277" spans="1:33" x14ac:dyDescent="0.35">
      <c r="A7277" t="s">
        <v>232</v>
      </c>
      <c r="B7277" t="s">
        <v>232</v>
      </c>
      <c r="C7277" s="26">
        <v>0.80330000000000001</v>
      </c>
      <c r="D7277" s="26">
        <v>0.2999</v>
      </c>
      <c r="E7277" s="26">
        <v>0.25729999999999997</v>
      </c>
      <c r="F7277" s="26">
        <v>0.22720000000000001</v>
      </c>
      <c r="G7277" s="26">
        <v>0.19800000000000001</v>
      </c>
      <c r="H7277" s="26">
        <v>0.10780000000000001</v>
      </c>
      <c r="I7277" s="26">
        <v>2.1600000000000001E-2</v>
      </c>
      <c r="J7277" s="26">
        <v>3.5000000000000001E-3</v>
      </c>
      <c r="K7277" s="26">
        <v>2.0000000000000001E-4</v>
      </c>
      <c r="L7277">
        <v>2798</v>
      </c>
    </row>
    <row r="7279" spans="1:33" x14ac:dyDescent="0.35">
      <c r="A7279" s="1" t="s">
        <v>1034</v>
      </c>
    </row>
    <row r="7280" spans="1:33" x14ac:dyDescent="0.35">
      <c r="A7280" t="s">
        <v>219</v>
      </c>
      <c r="B7280" t="s">
        <v>305</v>
      </c>
      <c r="C7280" t="s">
        <v>995</v>
      </c>
      <c r="D7280" t="s">
        <v>996</v>
      </c>
      <c r="E7280" t="s">
        <v>997</v>
      </c>
      <c r="F7280" t="s">
        <v>998</v>
      </c>
      <c r="G7280" t="s">
        <v>999</v>
      </c>
      <c r="H7280" t="s">
        <v>1000</v>
      </c>
      <c r="I7280" t="s">
        <v>1001</v>
      </c>
      <c r="J7280" t="s">
        <v>1002</v>
      </c>
      <c r="K7280" t="s">
        <v>1003</v>
      </c>
      <c r="L7280" t="s">
        <v>1004</v>
      </c>
      <c r="M7280" t="s">
        <v>1005</v>
      </c>
      <c r="N7280" t="s">
        <v>1006</v>
      </c>
      <c r="O7280" t="s">
        <v>1007</v>
      </c>
      <c r="P7280" t="s">
        <v>1008</v>
      </c>
      <c r="Q7280" t="s">
        <v>1009</v>
      </c>
      <c r="R7280" t="s">
        <v>1010</v>
      </c>
      <c r="S7280" t="s">
        <v>1011</v>
      </c>
      <c r="T7280" t="s">
        <v>1012</v>
      </c>
      <c r="U7280" t="s">
        <v>1013</v>
      </c>
      <c r="V7280" t="s">
        <v>1014</v>
      </c>
      <c r="W7280" t="s">
        <v>1015</v>
      </c>
      <c r="X7280" t="s">
        <v>1016</v>
      </c>
      <c r="Y7280" t="s">
        <v>1017</v>
      </c>
      <c r="Z7280" t="s">
        <v>1018</v>
      </c>
      <c r="AA7280" t="s">
        <v>1019</v>
      </c>
      <c r="AB7280" t="s">
        <v>1020</v>
      </c>
      <c r="AC7280" t="s">
        <v>1021</v>
      </c>
      <c r="AD7280" t="s">
        <v>1022</v>
      </c>
      <c r="AE7280" t="s">
        <v>1023</v>
      </c>
      <c r="AF7280" t="s">
        <v>1024</v>
      </c>
      <c r="AG7280" t="s">
        <v>964</v>
      </c>
    </row>
    <row r="7281" spans="1:33" x14ac:dyDescent="0.35">
      <c r="A7281" t="s">
        <v>227</v>
      </c>
      <c r="B7281" t="s">
        <v>252</v>
      </c>
      <c r="C7281">
        <v>2633.33</v>
      </c>
      <c r="D7281">
        <v>2000</v>
      </c>
      <c r="E7281">
        <v>500</v>
      </c>
      <c r="F7281">
        <v>6000</v>
      </c>
      <c r="G7281" s="30">
        <v>12</v>
      </c>
      <c r="H7281">
        <v>1682</v>
      </c>
      <c r="I7281">
        <v>2000</v>
      </c>
      <c r="J7281">
        <v>500</v>
      </c>
      <c r="K7281">
        <v>3000</v>
      </c>
      <c r="L7281" s="30">
        <v>6</v>
      </c>
      <c r="M7281">
        <v>6397.3</v>
      </c>
      <c r="N7281">
        <v>5000</v>
      </c>
      <c r="O7281">
        <v>200</v>
      </c>
      <c r="P7281">
        <v>30000</v>
      </c>
      <c r="Q7281" s="30">
        <v>37</v>
      </c>
      <c r="W7281">
        <v>3200</v>
      </c>
      <c r="X7281">
        <v>3200</v>
      </c>
      <c r="Y7281">
        <v>3200</v>
      </c>
      <c r="Z7281">
        <v>3200</v>
      </c>
      <c r="AA7281" s="30">
        <v>1</v>
      </c>
      <c r="AB7281">
        <v>18500</v>
      </c>
      <c r="AC7281">
        <v>12000</v>
      </c>
      <c r="AD7281">
        <v>12000</v>
      </c>
      <c r="AE7281">
        <v>25000</v>
      </c>
      <c r="AF7281" s="30">
        <v>2</v>
      </c>
      <c r="AG7281">
        <v>37</v>
      </c>
    </row>
    <row r="7282" spans="1:33" x14ac:dyDescent="0.35">
      <c r="A7282" s="27" t="s">
        <v>227</v>
      </c>
      <c r="B7282" s="27" t="s">
        <v>253</v>
      </c>
      <c r="C7282" s="29">
        <v>27378.57</v>
      </c>
      <c r="D7282" s="29">
        <v>30000</v>
      </c>
      <c r="E7282" s="29">
        <v>150</v>
      </c>
      <c r="F7282" s="29">
        <v>100000</v>
      </c>
      <c r="G7282" s="29">
        <v>7</v>
      </c>
      <c r="H7282" s="29">
        <v>6550</v>
      </c>
      <c r="I7282" s="29">
        <v>5000</v>
      </c>
      <c r="J7282" s="29">
        <v>300</v>
      </c>
      <c r="K7282" s="29">
        <v>25000</v>
      </c>
      <c r="L7282" s="29">
        <v>6</v>
      </c>
      <c r="M7282" s="29">
        <v>9837.0400000000009</v>
      </c>
      <c r="N7282" s="29">
        <v>5000</v>
      </c>
      <c r="O7282" s="29">
        <v>500</v>
      </c>
      <c r="P7282" s="29">
        <v>50000</v>
      </c>
      <c r="Q7282" s="29">
        <v>27</v>
      </c>
      <c r="R7282" s="29">
        <v>4200</v>
      </c>
      <c r="S7282" s="29">
        <v>6000</v>
      </c>
      <c r="T7282" s="29">
        <v>1000</v>
      </c>
      <c r="U7282" s="29">
        <v>10000</v>
      </c>
      <c r="V7282" s="29">
        <v>6</v>
      </c>
      <c r="W7282" s="29">
        <v>66471.429999999993</v>
      </c>
      <c r="X7282" s="29">
        <v>27000</v>
      </c>
      <c r="Y7282" s="29">
        <v>1300</v>
      </c>
      <c r="Z7282" s="29">
        <v>400000</v>
      </c>
      <c r="AA7282" s="29">
        <v>7</v>
      </c>
      <c r="AB7282" s="29">
        <v>10000</v>
      </c>
      <c r="AC7282" s="29">
        <v>10000</v>
      </c>
      <c r="AD7282" s="29">
        <v>10000</v>
      </c>
      <c r="AE7282" s="29">
        <v>10000</v>
      </c>
      <c r="AF7282" s="29">
        <v>2</v>
      </c>
      <c r="AG7282" s="29">
        <v>27</v>
      </c>
    </row>
    <row r="7283" spans="1:33" x14ac:dyDescent="0.35">
      <c r="A7283" t="s">
        <v>227</v>
      </c>
      <c r="B7283" t="s">
        <v>251</v>
      </c>
      <c r="C7283">
        <v>9733.33</v>
      </c>
      <c r="D7283">
        <v>4000</v>
      </c>
      <c r="E7283">
        <v>300</v>
      </c>
      <c r="F7283">
        <v>100000</v>
      </c>
      <c r="G7283" s="30">
        <v>24</v>
      </c>
      <c r="H7283">
        <v>4260</v>
      </c>
      <c r="I7283">
        <v>3000</v>
      </c>
      <c r="J7283">
        <v>500</v>
      </c>
      <c r="K7283">
        <v>20000</v>
      </c>
      <c r="L7283" s="30">
        <v>15</v>
      </c>
      <c r="M7283">
        <v>6202.88</v>
      </c>
      <c r="N7283">
        <v>3500</v>
      </c>
      <c r="O7283">
        <v>100</v>
      </c>
      <c r="P7283">
        <v>50000</v>
      </c>
      <c r="Q7283" s="30">
        <v>52</v>
      </c>
      <c r="R7283">
        <v>8761.9</v>
      </c>
      <c r="S7283">
        <v>7000</v>
      </c>
      <c r="T7283">
        <v>500</v>
      </c>
      <c r="U7283">
        <v>42000</v>
      </c>
      <c r="V7283" s="30">
        <v>21</v>
      </c>
      <c r="W7283">
        <v>17661.54</v>
      </c>
      <c r="X7283">
        <v>10000</v>
      </c>
      <c r="Y7283">
        <v>4800</v>
      </c>
      <c r="Z7283">
        <v>60000</v>
      </c>
      <c r="AA7283" s="30">
        <v>13</v>
      </c>
      <c r="AB7283">
        <v>6796.36</v>
      </c>
      <c r="AC7283">
        <v>6000</v>
      </c>
      <c r="AD7283">
        <v>1000</v>
      </c>
      <c r="AE7283">
        <v>20000</v>
      </c>
      <c r="AF7283" s="30">
        <v>11</v>
      </c>
      <c r="AG7283">
        <v>52</v>
      </c>
    </row>
    <row r="7284" spans="1:33" x14ac:dyDescent="0.35">
      <c r="A7284" t="s">
        <v>228</v>
      </c>
      <c r="B7284" t="s">
        <v>252</v>
      </c>
      <c r="C7284">
        <v>9374.44</v>
      </c>
      <c r="D7284">
        <v>3000</v>
      </c>
      <c r="E7284">
        <v>180</v>
      </c>
      <c r="F7284">
        <v>150000</v>
      </c>
      <c r="G7284" s="30">
        <v>58</v>
      </c>
      <c r="H7284">
        <v>5211.8900000000003</v>
      </c>
      <c r="I7284">
        <v>1100</v>
      </c>
      <c r="J7284">
        <v>200</v>
      </c>
      <c r="K7284">
        <v>28900</v>
      </c>
      <c r="L7284" s="30">
        <v>29</v>
      </c>
      <c r="M7284">
        <v>7515.39</v>
      </c>
      <c r="N7284">
        <v>3500</v>
      </c>
      <c r="O7284">
        <v>100</v>
      </c>
      <c r="P7284">
        <v>70000</v>
      </c>
      <c r="Q7284" s="30">
        <v>239</v>
      </c>
      <c r="R7284">
        <v>5312.69</v>
      </c>
      <c r="S7284">
        <v>9000</v>
      </c>
      <c r="T7284">
        <v>800</v>
      </c>
      <c r="U7284">
        <v>17500</v>
      </c>
      <c r="V7284" s="30">
        <v>4</v>
      </c>
      <c r="W7284">
        <v>4274.76</v>
      </c>
      <c r="X7284">
        <v>4500</v>
      </c>
      <c r="Y7284">
        <v>200</v>
      </c>
      <c r="Z7284">
        <v>15000</v>
      </c>
      <c r="AA7284" s="30">
        <v>21</v>
      </c>
      <c r="AB7284">
        <v>4224.83</v>
      </c>
      <c r="AC7284">
        <v>4000</v>
      </c>
      <c r="AD7284">
        <v>100</v>
      </c>
      <c r="AE7284">
        <v>31000</v>
      </c>
      <c r="AF7284" s="30">
        <v>13</v>
      </c>
      <c r="AG7284">
        <v>239</v>
      </c>
    </row>
    <row r="7285" spans="1:33" x14ac:dyDescent="0.35">
      <c r="A7285" t="s">
        <v>228</v>
      </c>
      <c r="B7285" t="s">
        <v>253</v>
      </c>
      <c r="C7285">
        <v>9131.8700000000008</v>
      </c>
      <c r="D7285">
        <v>3000</v>
      </c>
      <c r="E7285">
        <v>200</v>
      </c>
      <c r="F7285">
        <v>120000</v>
      </c>
      <c r="G7285" s="30">
        <v>52</v>
      </c>
      <c r="H7285">
        <v>5692.64</v>
      </c>
      <c r="I7285">
        <v>4000</v>
      </c>
      <c r="J7285">
        <v>300</v>
      </c>
      <c r="K7285">
        <v>30000</v>
      </c>
      <c r="L7285" s="30">
        <v>34</v>
      </c>
      <c r="M7285">
        <v>15966.73</v>
      </c>
      <c r="N7285">
        <v>7500</v>
      </c>
      <c r="O7285">
        <v>800</v>
      </c>
      <c r="P7285">
        <v>60000</v>
      </c>
      <c r="Q7285" s="30">
        <v>154</v>
      </c>
      <c r="R7285">
        <v>7791.75</v>
      </c>
      <c r="S7285">
        <v>5000</v>
      </c>
      <c r="T7285">
        <v>500</v>
      </c>
      <c r="U7285">
        <v>40000</v>
      </c>
      <c r="V7285" s="30">
        <v>26</v>
      </c>
      <c r="W7285">
        <v>29949.56</v>
      </c>
      <c r="X7285">
        <v>13000</v>
      </c>
      <c r="Y7285">
        <v>250</v>
      </c>
      <c r="Z7285">
        <v>100000</v>
      </c>
      <c r="AA7285" s="30">
        <v>34</v>
      </c>
      <c r="AB7285">
        <v>2465.23</v>
      </c>
      <c r="AC7285">
        <v>1800</v>
      </c>
      <c r="AD7285">
        <v>600</v>
      </c>
      <c r="AE7285">
        <v>20000</v>
      </c>
      <c r="AF7285" s="30">
        <v>13</v>
      </c>
      <c r="AG7285">
        <v>154</v>
      </c>
    </row>
    <row r="7286" spans="1:33" x14ac:dyDescent="0.35">
      <c r="A7286" t="s">
        <v>228</v>
      </c>
      <c r="B7286" t="s">
        <v>251</v>
      </c>
      <c r="C7286">
        <v>12541.16</v>
      </c>
      <c r="D7286">
        <v>5000</v>
      </c>
      <c r="E7286">
        <v>300</v>
      </c>
      <c r="F7286">
        <v>200000</v>
      </c>
      <c r="G7286" s="30">
        <v>96</v>
      </c>
      <c r="H7286">
        <v>4639.5200000000004</v>
      </c>
      <c r="I7286">
        <v>3000</v>
      </c>
      <c r="J7286">
        <v>300</v>
      </c>
      <c r="K7286">
        <v>30000</v>
      </c>
      <c r="L7286" s="30">
        <v>100</v>
      </c>
      <c r="M7286">
        <v>8870.5300000000007</v>
      </c>
      <c r="N7286">
        <v>5000</v>
      </c>
      <c r="O7286">
        <v>120</v>
      </c>
      <c r="P7286">
        <v>100000</v>
      </c>
      <c r="Q7286" s="30">
        <v>280</v>
      </c>
      <c r="R7286">
        <v>8935.58</v>
      </c>
      <c r="S7286">
        <v>5000</v>
      </c>
      <c r="T7286">
        <v>150</v>
      </c>
      <c r="U7286">
        <v>40000</v>
      </c>
      <c r="V7286" s="30">
        <v>110</v>
      </c>
      <c r="W7286">
        <v>16183.49</v>
      </c>
      <c r="X7286">
        <v>10000</v>
      </c>
      <c r="Y7286">
        <v>200</v>
      </c>
      <c r="Z7286">
        <v>120000</v>
      </c>
      <c r="AA7286" s="30">
        <v>84</v>
      </c>
      <c r="AB7286">
        <v>14354.68</v>
      </c>
      <c r="AC7286">
        <v>15000</v>
      </c>
      <c r="AD7286">
        <v>350</v>
      </c>
      <c r="AE7286">
        <v>30000</v>
      </c>
      <c r="AF7286" s="30">
        <v>15</v>
      </c>
      <c r="AG7286">
        <v>280</v>
      </c>
    </row>
    <row r="7287" spans="1:33" x14ac:dyDescent="0.35">
      <c r="A7287" t="s">
        <v>229</v>
      </c>
      <c r="B7287" t="s">
        <v>252</v>
      </c>
      <c r="C7287">
        <v>7000.13</v>
      </c>
      <c r="D7287">
        <v>4000</v>
      </c>
      <c r="E7287">
        <v>500</v>
      </c>
      <c r="F7287">
        <v>30000</v>
      </c>
      <c r="G7287" s="30">
        <v>32</v>
      </c>
      <c r="H7287">
        <v>4536.51</v>
      </c>
      <c r="I7287">
        <v>3000</v>
      </c>
      <c r="J7287">
        <v>300</v>
      </c>
      <c r="K7287">
        <v>15000</v>
      </c>
      <c r="L7287" s="30">
        <v>21</v>
      </c>
      <c r="M7287">
        <v>8395.0300000000007</v>
      </c>
      <c r="N7287">
        <v>5000</v>
      </c>
      <c r="O7287">
        <v>200</v>
      </c>
      <c r="P7287">
        <v>60000</v>
      </c>
      <c r="Q7287" s="30">
        <v>152</v>
      </c>
      <c r="W7287">
        <v>5795.09</v>
      </c>
      <c r="X7287">
        <v>3000</v>
      </c>
      <c r="Y7287">
        <v>2000</v>
      </c>
      <c r="Z7287">
        <v>30000</v>
      </c>
      <c r="AA7287" s="30">
        <v>8</v>
      </c>
      <c r="AB7287">
        <v>2072.7399999999998</v>
      </c>
      <c r="AC7287">
        <v>1600</v>
      </c>
      <c r="AD7287">
        <v>1000</v>
      </c>
      <c r="AE7287">
        <v>12000</v>
      </c>
      <c r="AF7287" s="30">
        <v>11</v>
      </c>
      <c r="AG7287">
        <v>152</v>
      </c>
    </row>
    <row r="7288" spans="1:33" x14ac:dyDescent="0.35">
      <c r="A7288" t="s">
        <v>229</v>
      </c>
      <c r="B7288" t="s">
        <v>253</v>
      </c>
      <c r="C7288">
        <v>9771.86</v>
      </c>
      <c r="D7288">
        <v>5000</v>
      </c>
      <c r="E7288">
        <v>250</v>
      </c>
      <c r="F7288">
        <v>70000</v>
      </c>
      <c r="G7288" s="30">
        <v>36</v>
      </c>
      <c r="H7288">
        <v>5836.42</v>
      </c>
      <c r="I7288">
        <v>4000</v>
      </c>
      <c r="J7288">
        <v>500</v>
      </c>
      <c r="K7288">
        <v>30000</v>
      </c>
      <c r="L7288" s="30">
        <v>26</v>
      </c>
      <c r="M7288">
        <v>14216.91</v>
      </c>
      <c r="N7288">
        <v>9000</v>
      </c>
      <c r="O7288">
        <v>400</v>
      </c>
      <c r="P7288">
        <v>100000</v>
      </c>
      <c r="Q7288" s="30">
        <v>113</v>
      </c>
      <c r="R7288">
        <v>7445.43</v>
      </c>
      <c r="S7288">
        <v>7000</v>
      </c>
      <c r="T7288">
        <v>300</v>
      </c>
      <c r="U7288">
        <v>45000</v>
      </c>
      <c r="V7288" s="30">
        <v>26</v>
      </c>
      <c r="W7288">
        <v>12925.98</v>
      </c>
      <c r="X7288">
        <v>10000</v>
      </c>
      <c r="Y7288">
        <v>560</v>
      </c>
      <c r="Z7288">
        <v>50000</v>
      </c>
      <c r="AA7288" s="30">
        <v>22</v>
      </c>
      <c r="AB7288">
        <v>9315.7099999999991</v>
      </c>
      <c r="AC7288">
        <v>12000</v>
      </c>
      <c r="AD7288">
        <v>200</v>
      </c>
      <c r="AE7288">
        <v>18000</v>
      </c>
      <c r="AF7288" s="30">
        <v>8</v>
      </c>
      <c r="AG7288">
        <v>113</v>
      </c>
    </row>
    <row r="7289" spans="1:33" x14ac:dyDescent="0.35">
      <c r="A7289" t="s">
        <v>229</v>
      </c>
      <c r="B7289" t="s">
        <v>251</v>
      </c>
      <c r="C7289">
        <v>18873.13</v>
      </c>
      <c r="D7289">
        <v>5000</v>
      </c>
      <c r="E7289">
        <v>100</v>
      </c>
      <c r="F7289">
        <v>200000</v>
      </c>
      <c r="G7289" s="30">
        <v>145</v>
      </c>
      <c r="H7289">
        <v>7274.32</v>
      </c>
      <c r="I7289">
        <v>5000</v>
      </c>
      <c r="J7289">
        <v>200</v>
      </c>
      <c r="K7289">
        <v>30000</v>
      </c>
      <c r="L7289" s="30">
        <v>118</v>
      </c>
      <c r="M7289">
        <v>10741.33</v>
      </c>
      <c r="N7289">
        <v>6000</v>
      </c>
      <c r="O7289">
        <v>150</v>
      </c>
      <c r="P7289">
        <v>100000</v>
      </c>
      <c r="Q7289" s="30">
        <v>326</v>
      </c>
      <c r="R7289">
        <v>8464.7999999999993</v>
      </c>
      <c r="S7289">
        <v>5000</v>
      </c>
      <c r="T7289">
        <v>200</v>
      </c>
      <c r="U7289">
        <v>45000</v>
      </c>
      <c r="V7289" s="30">
        <v>148</v>
      </c>
      <c r="W7289">
        <v>22919.119999999999</v>
      </c>
      <c r="X7289">
        <v>15000</v>
      </c>
      <c r="Y7289">
        <v>300</v>
      </c>
      <c r="Z7289">
        <v>200000</v>
      </c>
      <c r="AA7289" s="30">
        <v>96</v>
      </c>
      <c r="AB7289">
        <v>8858.85</v>
      </c>
      <c r="AC7289">
        <v>6000</v>
      </c>
      <c r="AD7289">
        <v>600</v>
      </c>
      <c r="AE7289">
        <v>30000</v>
      </c>
      <c r="AF7289" s="30">
        <v>26</v>
      </c>
      <c r="AG7289">
        <v>326</v>
      </c>
    </row>
    <row r="7290" spans="1:33" x14ac:dyDescent="0.35">
      <c r="A7290" t="s">
        <v>230</v>
      </c>
      <c r="B7290" t="s">
        <v>252</v>
      </c>
      <c r="C7290">
        <v>4768.33</v>
      </c>
      <c r="D7290">
        <v>3000</v>
      </c>
      <c r="E7290">
        <v>200</v>
      </c>
      <c r="F7290">
        <v>42000</v>
      </c>
      <c r="G7290" s="30">
        <v>49</v>
      </c>
      <c r="H7290">
        <v>3959.32</v>
      </c>
      <c r="I7290">
        <v>5000</v>
      </c>
      <c r="J7290">
        <v>350</v>
      </c>
      <c r="K7290">
        <v>10000</v>
      </c>
      <c r="L7290" s="30">
        <v>15</v>
      </c>
      <c r="M7290">
        <v>7926.85</v>
      </c>
      <c r="N7290">
        <v>6000</v>
      </c>
      <c r="O7290">
        <v>100</v>
      </c>
      <c r="P7290">
        <v>36000</v>
      </c>
      <c r="Q7290" s="30">
        <v>123</v>
      </c>
      <c r="W7290">
        <v>11394.62</v>
      </c>
      <c r="X7290">
        <v>7590</v>
      </c>
      <c r="Y7290">
        <v>400</v>
      </c>
      <c r="Z7290">
        <v>110000</v>
      </c>
      <c r="AA7290" s="30">
        <v>18</v>
      </c>
      <c r="AB7290">
        <v>6381.02</v>
      </c>
      <c r="AC7290">
        <v>10000</v>
      </c>
      <c r="AD7290">
        <v>500</v>
      </c>
      <c r="AE7290">
        <v>30000</v>
      </c>
      <c r="AF7290" s="30">
        <v>12</v>
      </c>
      <c r="AG7290">
        <v>123</v>
      </c>
    </row>
    <row r="7291" spans="1:33" x14ac:dyDescent="0.35">
      <c r="A7291" t="s">
        <v>230</v>
      </c>
      <c r="B7291" t="s">
        <v>253</v>
      </c>
      <c r="C7291">
        <v>10221.82</v>
      </c>
      <c r="D7291">
        <v>4000</v>
      </c>
      <c r="E7291">
        <v>500</v>
      </c>
      <c r="F7291">
        <v>200000</v>
      </c>
      <c r="G7291" s="30">
        <v>33</v>
      </c>
      <c r="H7291">
        <v>6221.55</v>
      </c>
      <c r="I7291">
        <v>3000</v>
      </c>
      <c r="J7291">
        <v>250</v>
      </c>
      <c r="K7291">
        <v>30000</v>
      </c>
      <c r="L7291" s="30">
        <v>19</v>
      </c>
      <c r="M7291">
        <v>10643.07</v>
      </c>
      <c r="N7291">
        <v>6000</v>
      </c>
      <c r="O7291">
        <v>200</v>
      </c>
      <c r="P7291">
        <v>50000</v>
      </c>
      <c r="Q7291" s="30">
        <v>83</v>
      </c>
      <c r="R7291">
        <v>3960.87</v>
      </c>
      <c r="S7291">
        <v>3000</v>
      </c>
      <c r="T7291">
        <v>400</v>
      </c>
      <c r="U7291">
        <v>34000</v>
      </c>
      <c r="V7291" s="30">
        <v>11</v>
      </c>
      <c r="W7291">
        <v>18254.68</v>
      </c>
      <c r="X7291">
        <v>7000</v>
      </c>
      <c r="Y7291">
        <v>2000</v>
      </c>
      <c r="Z7291">
        <v>100000</v>
      </c>
      <c r="AA7291" s="30">
        <v>19</v>
      </c>
      <c r="AB7291">
        <v>9600.7900000000009</v>
      </c>
      <c r="AC7291">
        <v>12000</v>
      </c>
      <c r="AD7291">
        <v>600</v>
      </c>
      <c r="AE7291">
        <v>21000</v>
      </c>
      <c r="AF7291" s="30">
        <v>6</v>
      </c>
      <c r="AG7291">
        <v>83</v>
      </c>
    </row>
    <row r="7292" spans="1:33" x14ac:dyDescent="0.35">
      <c r="A7292" t="s">
        <v>230</v>
      </c>
      <c r="B7292" t="s">
        <v>251</v>
      </c>
      <c r="C7292">
        <v>16182.87</v>
      </c>
      <c r="D7292">
        <v>7000</v>
      </c>
      <c r="E7292">
        <v>100</v>
      </c>
      <c r="F7292">
        <v>200000</v>
      </c>
      <c r="G7292" s="30">
        <v>76</v>
      </c>
      <c r="H7292">
        <v>4736.76</v>
      </c>
      <c r="I7292">
        <v>3000</v>
      </c>
      <c r="J7292">
        <v>200</v>
      </c>
      <c r="K7292">
        <v>30000</v>
      </c>
      <c r="L7292" s="30">
        <v>66</v>
      </c>
      <c r="M7292">
        <v>10576.64</v>
      </c>
      <c r="N7292">
        <v>5000</v>
      </c>
      <c r="O7292">
        <v>200</v>
      </c>
      <c r="P7292">
        <v>100000</v>
      </c>
      <c r="Q7292" s="30">
        <v>176</v>
      </c>
      <c r="R7292">
        <v>7898.26</v>
      </c>
      <c r="S7292">
        <v>6000</v>
      </c>
      <c r="T7292">
        <v>200</v>
      </c>
      <c r="U7292">
        <v>40000</v>
      </c>
      <c r="V7292" s="30">
        <v>78</v>
      </c>
      <c r="W7292">
        <v>15786.83</v>
      </c>
      <c r="X7292">
        <v>10000</v>
      </c>
      <c r="Y7292">
        <v>560</v>
      </c>
      <c r="Z7292">
        <v>250000</v>
      </c>
      <c r="AA7292" s="30">
        <v>63</v>
      </c>
      <c r="AB7292">
        <v>5460.41</v>
      </c>
      <c r="AC7292">
        <v>5000</v>
      </c>
      <c r="AD7292">
        <v>740</v>
      </c>
      <c r="AE7292">
        <v>20000</v>
      </c>
      <c r="AF7292" s="30">
        <v>14</v>
      </c>
      <c r="AG7292">
        <v>176</v>
      </c>
    </row>
    <row r="7293" spans="1:33" x14ac:dyDescent="0.35">
      <c r="A7293" t="s">
        <v>231</v>
      </c>
      <c r="B7293" t="s">
        <v>252</v>
      </c>
      <c r="C7293">
        <v>5700</v>
      </c>
      <c r="D7293">
        <v>2500</v>
      </c>
      <c r="E7293">
        <v>200</v>
      </c>
      <c r="F7293">
        <v>30000</v>
      </c>
      <c r="G7293" s="30">
        <v>9</v>
      </c>
      <c r="H7293">
        <v>2047.5</v>
      </c>
      <c r="I7293">
        <v>1200</v>
      </c>
      <c r="J7293">
        <v>490</v>
      </c>
      <c r="K7293">
        <v>4000</v>
      </c>
      <c r="L7293" s="30">
        <v>4</v>
      </c>
      <c r="M7293">
        <v>5376.97</v>
      </c>
      <c r="N7293">
        <v>3000</v>
      </c>
      <c r="O7293">
        <v>400</v>
      </c>
      <c r="P7293">
        <v>40000</v>
      </c>
      <c r="Q7293" s="30">
        <v>38</v>
      </c>
      <c r="R7293">
        <v>40000</v>
      </c>
      <c r="S7293">
        <v>40000</v>
      </c>
      <c r="T7293">
        <v>40000</v>
      </c>
      <c r="U7293">
        <v>40000</v>
      </c>
      <c r="V7293" s="30">
        <v>1</v>
      </c>
      <c r="W7293">
        <v>1000</v>
      </c>
      <c r="X7293">
        <v>500</v>
      </c>
      <c r="Y7293">
        <v>500</v>
      </c>
      <c r="Z7293">
        <v>1500</v>
      </c>
      <c r="AA7293" s="30">
        <v>2</v>
      </c>
      <c r="AB7293">
        <v>1433.33</v>
      </c>
      <c r="AC7293">
        <v>2000</v>
      </c>
      <c r="AD7293">
        <v>300</v>
      </c>
      <c r="AE7293">
        <v>2000</v>
      </c>
      <c r="AF7293" s="30">
        <v>3</v>
      </c>
      <c r="AG7293">
        <v>38</v>
      </c>
    </row>
    <row r="7294" spans="1:33" x14ac:dyDescent="0.35">
      <c r="A7294" s="27" t="s">
        <v>231</v>
      </c>
      <c r="B7294" s="27" t="s">
        <v>253</v>
      </c>
      <c r="C7294" s="29">
        <v>20775</v>
      </c>
      <c r="D7294" s="29">
        <v>15000</v>
      </c>
      <c r="E7294" s="29">
        <v>500</v>
      </c>
      <c r="F7294" s="29">
        <v>60000</v>
      </c>
      <c r="G7294" s="29">
        <v>8</v>
      </c>
      <c r="H7294" s="29">
        <v>4333.33</v>
      </c>
      <c r="I7294" s="29">
        <v>5000</v>
      </c>
      <c r="J7294" s="29">
        <v>2000</v>
      </c>
      <c r="K7294" s="29">
        <v>8000</v>
      </c>
      <c r="L7294" s="29">
        <v>6</v>
      </c>
      <c r="M7294" s="29">
        <v>15100</v>
      </c>
      <c r="N7294" s="29">
        <v>15000</v>
      </c>
      <c r="O7294" s="29">
        <v>500</v>
      </c>
      <c r="P7294" s="29">
        <v>100000</v>
      </c>
      <c r="Q7294" s="29">
        <v>19</v>
      </c>
      <c r="R7294" s="29">
        <v>10000</v>
      </c>
      <c r="S7294" s="29">
        <v>10000</v>
      </c>
      <c r="T7294" s="29">
        <v>10000</v>
      </c>
      <c r="U7294" s="29">
        <v>10000</v>
      </c>
      <c r="V7294" s="29">
        <v>1</v>
      </c>
      <c r="W7294" s="29">
        <v>18750</v>
      </c>
      <c r="X7294" s="29">
        <v>5000</v>
      </c>
      <c r="Y7294" s="29">
        <v>3000</v>
      </c>
      <c r="Z7294" s="29">
        <v>50000</v>
      </c>
      <c r="AA7294" s="29">
        <v>4</v>
      </c>
      <c r="AB7294" s="29">
        <v>1350</v>
      </c>
      <c r="AC7294" s="29">
        <v>1000</v>
      </c>
      <c r="AD7294" s="29">
        <v>1000</v>
      </c>
      <c r="AE7294" s="29">
        <v>1700</v>
      </c>
      <c r="AF7294" s="29">
        <v>2</v>
      </c>
      <c r="AG7294" s="29">
        <v>19</v>
      </c>
    </row>
    <row r="7295" spans="1:33" x14ac:dyDescent="0.35">
      <c r="A7295" t="s">
        <v>231</v>
      </c>
      <c r="B7295" t="s">
        <v>251</v>
      </c>
      <c r="C7295">
        <v>25640.74</v>
      </c>
      <c r="D7295">
        <v>12000</v>
      </c>
      <c r="E7295">
        <v>300</v>
      </c>
      <c r="F7295">
        <v>200000</v>
      </c>
      <c r="G7295" s="30">
        <v>27</v>
      </c>
      <c r="H7295">
        <v>6681.48</v>
      </c>
      <c r="I7295">
        <v>5000</v>
      </c>
      <c r="J7295">
        <v>200</v>
      </c>
      <c r="K7295">
        <v>30000</v>
      </c>
      <c r="L7295" s="30">
        <v>27</v>
      </c>
      <c r="M7295">
        <v>7806.85</v>
      </c>
      <c r="N7295">
        <v>5000</v>
      </c>
      <c r="O7295">
        <v>170</v>
      </c>
      <c r="P7295">
        <v>48800</v>
      </c>
      <c r="Q7295" s="30">
        <v>54</v>
      </c>
      <c r="R7295">
        <v>9182.5</v>
      </c>
      <c r="S7295">
        <v>5000</v>
      </c>
      <c r="T7295">
        <v>350</v>
      </c>
      <c r="U7295">
        <v>40000</v>
      </c>
      <c r="V7295" s="30">
        <v>20</v>
      </c>
      <c r="W7295">
        <v>10927.52</v>
      </c>
      <c r="X7295">
        <v>9000</v>
      </c>
      <c r="Y7295">
        <v>1200</v>
      </c>
      <c r="Z7295">
        <v>30000</v>
      </c>
      <c r="AA7295" s="30">
        <v>25</v>
      </c>
      <c r="AB7295">
        <v>4500</v>
      </c>
      <c r="AC7295">
        <v>1000</v>
      </c>
      <c r="AD7295">
        <v>1000</v>
      </c>
      <c r="AE7295">
        <v>8000</v>
      </c>
      <c r="AF7295" s="30">
        <v>2</v>
      </c>
      <c r="AG7295">
        <v>54</v>
      </c>
    </row>
    <row r="7296" spans="1:33" x14ac:dyDescent="0.35">
      <c r="A7296" t="s">
        <v>232</v>
      </c>
      <c r="B7296" t="s">
        <v>232</v>
      </c>
      <c r="C7296">
        <v>14899.73</v>
      </c>
      <c r="D7296">
        <v>5000</v>
      </c>
      <c r="E7296">
        <v>100</v>
      </c>
      <c r="F7296">
        <v>200000</v>
      </c>
      <c r="G7296" s="30">
        <v>664</v>
      </c>
      <c r="H7296">
        <v>5630.43</v>
      </c>
      <c r="I7296">
        <v>3000</v>
      </c>
      <c r="J7296">
        <v>200</v>
      </c>
      <c r="K7296">
        <v>30000</v>
      </c>
      <c r="L7296" s="30">
        <v>492</v>
      </c>
      <c r="M7296">
        <v>9336.61</v>
      </c>
      <c r="N7296">
        <v>5000</v>
      </c>
      <c r="O7296">
        <v>100</v>
      </c>
      <c r="P7296">
        <v>100000</v>
      </c>
      <c r="Q7296" s="30">
        <v>1873</v>
      </c>
      <c r="R7296">
        <v>8628.5300000000007</v>
      </c>
      <c r="S7296">
        <v>5000</v>
      </c>
      <c r="T7296">
        <v>150</v>
      </c>
      <c r="U7296">
        <v>45000</v>
      </c>
      <c r="V7296" s="30">
        <v>452</v>
      </c>
      <c r="W7296">
        <v>18064.68</v>
      </c>
      <c r="X7296">
        <v>9000</v>
      </c>
      <c r="Y7296">
        <v>200</v>
      </c>
      <c r="Z7296">
        <v>400000</v>
      </c>
      <c r="AA7296" s="30">
        <v>417</v>
      </c>
      <c r="AB7296">
        <v>6639.38</v>
      </c>
      <c r="AC7296">
        <v>4000</v>
      </c>
      <c r="AD7296">
        <v>100</v>
      </c>
      <c r="AE7296">
        <v>31000</v>
      </c>
      <c r="AF7296" s="30">
        <v>140</v>
      </c>
      <c r="AG7296">
        <v>1873</v>
      </c>
    </row>
    <row r="7298" spans="1:12" x14ac:dyDescent="0.35">
      <c r="A7298" s="1" t="s">
        <v>1035</v>
      </c>
    </row>
    <row r="7299" spans="1:12" x14ac:dyDescent="0.35">
      <c r="A7299" t="s">
        <v>219</v>
      </c>
      <c r="B7299" t="s">
        <v>305</v>
      </c>
      <c r="C7299" t="s">
        <v>988</v>
      </c>
      <c r="D7299" t="s">
        <v>989</v>
      </c>
      <c r="E7299" t="s">
        <v>990</v>
      </c>
      <c r="F7299" t="s">
        <v>991</v>
      </c>
      <c r="G7299" t="s">
        <v>992</v>
      </c>
      <c r="H7299" t="s">
        <v>993</v>
      </c>
      <c r="I7299" t="s">
        <v>994</v>
      </c>
      <c r="J7299" t="s">
        <v>281</v>
      </c>
      <c r="K7299" t="s">
        <v>286</v>
      </c>
      <c r="L7299" t="s">
        <v>226</v>
      </c>
    </row>
    <row r="7300" spans="1:12" x14ac:dyDescent="0.35">
      <c r="A7300" t="s">
        <v>227</v>
      </c>
      <c r="B7300" t="s">
        <v>249</v>
      </c>
      <c r="C7300" s="26">
        <v>0.81399999999999995</v>
      </c>
      <c r="D7300" s="26">
        <v>0.46510000000000001</v>
      </c>
      <c r="E7300" s="26">
        <v>0.3488</v>
      </c>
      <c r="F7300" s="26">
        <v>0.6512</v>
      </c>
      <c r="G7300" s="26">
        <v>0.3256</v>
      </c>
      <c r="H7300" s="26">
        <v>4.65E-2</v>
      </c>
      <c r="I7300" s="26">
        <v>4.65E-2</v>
      </c>
      <c r="L7300">
        <v>43</v>
      </c>
    </row>
    <row r="7301" spans="1:12" x14ac:dyDescent="0.35">
      <c r="A7301" t="s">
        <v>227</v>
      </c>
      <c r="B7301" t="s">
        <v>248</v>
      </c>
      <c r="C7301" s="26">
        <v>0.81030000000000002</v>
      </c>
      <c r="D7301" s="26">
        <v>0.26719999999999999</v>
      </c>
      <c r="E7301" s="26">
        <v>0.1724</v>
      </c>
      <c r="F7301" s="26">
        <v>3.4500000000000003E-2</v>
      </c>
      <c r="G7301" s="26">
        <v>7.7600000000000002E-2</v>
      </c>
      <c r="H7301" s="26">
        <v>0.1293</v>
      </c>
      <c r="I7301" s="26">
        <v>2.5899999999999999E-2</v>
      </c>
      <c r="J7301" s="26">
        <v>8.6E-3</v>
      </c>
      <c r="L7301">
        <v>116</v>
      </c>
    </row>
    <row r="7302" spans="1:12" x14ac:dyDescent="0.35">
      <c r="A7302" t="s">
        <v>228</v>
      </c>
      <c r="B7302" t="s">
        <v>249</v>
      </c>
      <c r="C7302" s="26">
        <v>0.79459999999999997</v>
      </c>
      <c r="D7302" s="26">
        <v>0.31209999999999999</v>
      </c>
      <c r="E7302" s="26">
        <v>0.30499999999999999</v>
      </c>
      <c r="F7302" s="26">
        <v>0.5161</v>
      </c>
      <c r="G7302" s="26">
        <v>0.24249999999999999</v>
      </c>
      <c r="H7302" s="26">
        <v>7.2400000000000006E-2</v>
      </c>
      <c r="I7302" s="26">
        <v>6.6E-3</v>
      </c>
      <c r="J7302" s="26">
        <v>1.1999999999999999E-3</v>
      </c>
      <c r="K7302" s="26">
        <v>8.0000000000000004E-4</v>
      </c>
      <c r="L7302">
        <v>272</v>
      </c>
    </row>
    <row r="7303" spans="1:12" x14ac:dyDescent="0.35">
      <c r="A7303" t="s">
        <v>228</v>
      </c>
      <c r="B7303" t="s">
        <v>248</v>
      </c>
      <c r="C7303" s="26">
        <v>0.77549999999999997</v>
      </c>
      <c r="D7303" s="26">
        <v>0.2291</v>
      </c>
      <c r="E7303" s="26">
        <v>0.2006</v>
      </c>
      <c r="F7303" s="26">
        <v>0.08</v>
      </c>
      <c r="G7303" s="26">
        <v>0.15970000000000001</v>
      </c>
      <c r="H7303" s="26">
        <v>0.14649999999999999</v>
      </c>
      <c r="I7303" s="26">
        <v>1.72E-2</v>
      </c>
      <c r="J7303" s="26">
        <v>3.3999999999999998E-3</v>
      </c>
      <c r="L7303">
        <v>756</v>
      </c>
    </row>
    <row r="7304" spans="1:12" x14ac:dyDescent="0.35">
      <c r="A7304" t="s">
        <v>229</v>
      </c>
      <c r="B7304" t="s">
        <v>249</v>
      </c>
      <c r="C7304" s="26">
        <v>0.83009999999999995</v>
      </c>
      <c r="D7304" s="26">
        <v>0.39639999999999997</v>
      </c>
      <c r="E7304" s="26">
        <v>0.37380000000000002</v>
      </c>
      <c r="F7304" s="26">
        <v>0.7167</v>
      </c>
      <c r="G7304" s="26">
        <v>0.31669999999999998</v>
      </c>
      <c r="H7304" s="26">
        <v>6.1899999999999997E-2</v>
      </c>
      <c r="I7304" s="26">
        <v>1.0500000000000001E-2</v>
      </c>
      <c r="J7304" s="26">
        <v>4.1000000000000003E-3</v>
      </c>
      <c r="L7304">
        <v>257</v>
      </c>
    </row>
    <row r="7305" spans="1:12" x14ac:dyDescent="0.35">
      <c r="A7305" t="s">
        <v>229</v>
      </c>
      <c r="B7305" t="s">
        <v>248</v>
      </c>
      <c r="C7305" s="26">
        <v>0.81069999999999998</v>
      </c>
      <c r="D7305" s="26">
        <v>0.28689999999999999</v>
      </c>
      <c r="E7305" s="26">
        <v>0.2324</v>
      </c>
      <c r="F7305" s="26">
        <v>8.1600000000000006E-2</v>
      </c>
      <c r="G7305" s="26">
        <v>0.1487</v>
      </c>
      <c r="H7305" s="26">
        <v>0.1129</v>
      </c>
      <c r="I7305" s="26">
        <v>1.6799999999999999E-2</v>
      </c>
      <c r="J7305" s="26">
        <v>8.0999999999999996E-3</v>
      </c>
      <c r="K7305" s="26">
        <v>5.0000000000000001E-4</v>
      </c>
      <c r="L7305">
        <v>633</v>
      </c>
    </row>
    <row r="7306" spans="1:12" x14ac:dyDescent="0.35">
      <c r="A7306" t="s">
        <v>230</v>
      </c>
      <c r="B7306" t="s">
        <v>249</v>
      </c>
      <c r="C7306" s="26">
        <v>0.83840000000000003</v>
      </c>
      <c r="D7306" s="26">
        <v>0.39529999999999998</v>
      </c>
      <c r="E7306" s="26">
        <v>0.30659999999999998</v>
      </c>
      <c r="F7306" s="26">
        <v>0.60340000000000005</v>
      </c>
      <c r="G7306" s="26">
        <v>0.24410000000000001</v>
      </c>
      <c r="H7306" s="26">
        <v>7.51E-2</v>
      </c>
      <c r="I7306" s="26">
        <v>2.6599999999999999E-2</v>
      </c>
      <c r="J7306" s="26">
        <v>3.5000000000000001E-3</v>
      </c>
      <c r="L7306">
        <v>171</v>
      </c>
    </row>
    <row r="7307" spans="1:12" x14ac:dyDescent="0.35">
      <c r="A7307" t="s">
        <v>230</v>
      </c>
      <c r="B7307" t="s">
        <v>248</v>
      </c>
      <c r="C7307" s="26">
        <v>0.79220000000000002</v>
      </c>
      <c r="D7307" s="26">
        <v>0.29709999999999998</v>
      </c>
      <c r="E7307" s="26">
        <v>0.2006</v>
      </c>
      <c r="F7307" s="26">
        <v>8.3599999999999994E-2</v>
      </c>
      <c r="G7307" s="26">
        <v>0.19570000000000001</v>
      </c>
      <c r="H7307" s="26">
        <v>9.4200000000000006E-2</v>
      </c>
      <c r="I7307" s="26">
        <v>1.09E-2</v>
      </c>
      <c r="K7307" s="26">
        <v>4.0000000000000002E-4</v>
      </c>
      <c r="L7307">
        <v>386</v>
      </c>
    </row>
    <row r="7308" spans="1:12" x14ac:dyDescent="0.35">
      <c r="A7308" t="s">
        <v>231</v>
      </c>
      <c r="B7308" t="s">
        <v>249</v>
      </c>
      <c r="C7308" s="26">
        <v>0.8</v>
      </c>
      <c r="D7308" s="26">
        <v>0.4</v>
      </c>
      <c r="E7308" s="26">
        <v>0.2286</v>
      </c>
      <c r="F7308" s="26">
        <v>0.6</v>
      </c>
      <c r="G7308" s="26">
        <v>0.4</v>
      </c>
      <c r="H7308" s="26">
        <v>2.86E-2</v>
      </c>
      <c r="L7308">
        <v>35</v>
      </c>
    </row>
    <row r="7309" spans="1:12" x14ac:dyDescent="0.35">
      <c r="A7309" t="s">
        <v>231</v>
      </c>
      <c r="B7309" t="s">
        <v>248</v>
      </c>
      <c r="C7309" s="26">
        <v>0.7984</v>
      </c>
      <c r="D7309" s="26">
        <v>0.25580000000000003</v>
      </c>
      <c r="E7309" s="26">
        <v>0.29459999999999997</v>
      </c>
      <c r="F7309" s="26">
        <v>6.2E-2</v>
      </c>
      <c r="G7309" s="26">
        <v>0.17829999999999999</v>
      </c>
      <c r="H7309" s="26">
        <v>0.13950000000000001</v>
      </c>
      <c r="I7309" s="26">
        <v>3.8800000000000001E-2</v>
      </c>
      <c r="L7309">
        <v>129</v>
      </c>
    </row>
    <row r="7310" spans="1:12" x14ac:dyDescent="0.35">
      <c r="A7310" t="s">
        <v>232</v>
      </c>
      <c r="B7310" t="s">
        <v>232</v>
      </c>
      <c r="C7310" s="26">
        <v>0.80330000000000001</v>
      </c>
      <c r="D7310" s="26">
        <v>0.2999</v>
      </c>
      <c r="E7310" s="26">
        <v>0.25729999999999997</v>
      </c>
      <c r="F7310" s="26">
        <v>0.22720000000000001</v>
      </c>
      <c r="G7310" s="26">
        <v>0.19800000000000001</v>
      </c>
      <c r="H7310" s="26">
        <v>0.10780000000000001</v>
      </c>
      <c r="I7310" s="26">
        <v>2.1600000000000001E-2</v>
      </c>
      <c r="J7310" s="26">
        <v>3.5000000000000001E-3</v>
      </c>
      <c r="K7310" s="26">
        <v>2.0000000000000001E-4</v>
      </c>
      <c r="L7310">
        <v>2798</v>
      </c>
    </row>
    <row r="7312" spans="1:12" x14ac:dyDescent="0.35">
      <c r="A7312" s="1" t="s">
        <v>1036</v>
      </c>
    </row>
    <row r="7313" spans="1:33" x14ac:dyDescent="0.35">
      <c r="A7313" t="s">
        <v>219</v>
      </c>
      <c r="B7313" t="s">
        <v>305</v>
      </c>
      <c r="C7313" t="s">
        <v>995</v>
      </c>
      <c r="D7313" t="s">
        <v>996</v>
      </c>
      <c r="E7313" t="s">
        <v>997</v>
      </c>
      <c r="F7313" t="s">
        <v>998</v>
      </c>
      <c r="G7313" t="s">
        <v>999</v>
      </c>
      <c r="H7313" t="s">
        <v>1000</v>
      </c>
      <c r="I7313" t="s">
        <v>1001</v>
      </c>
      <c r="J7313" t="s">
        <v>1002</v>
      </c>
      <c r="K7313" t="s">
        <v>1003</v>
      </c>
      <c r="L7313" t="s">
        <v>1004</v>
      </c>
      <c r="M7313" t="s">
        <v>1005</v>
      </c>
      <c r="N7313" t="s">
        <v>1006</v>
      </c>
      <c r="O7313" t="s">
        <v>1007</v>
      </c>
      <c r="P7313" t="s">
        <v>1008</v>
      </c>
      <c r="Q7313" t="s">
        <v>1009</v>
      </c>
      <c r="R7313" t="s">
        <v>1010</v>
      </c>
      <c r="S7313" t="s">
        <v>1011</v>
      </c>
      <c r="T7313" t="s">
        <v>1012</v>
      </c>
      <c r="U7313" t="s">
        <v>1013</v>
      </c>
      <c r="V7313" t="s">
        <v>1014</v>
      </c>
      <c r="W7313" t="s">
        <v>1015</v>
      </c>
      <c r="X7313" t="s">
        <v>1016</v>
      </c>
      <c r="Y7313" t="s">
        <v>1017</v>
      </c>
      <c r="Z7313" t="s">
        <v>1018</v>
      </c>
      <c r="AA7313" t="s">
        <v>1019</v>
      </c>
      <c r="AB7313" t="s">
        <v>1020</v>
      </c>
      <c r="AC7313" t="s">
        <v>1021</v>
      </c>
      <c r="AD7313" t="s">
        <v>1022</v>
      </c>
      <c r="AE7313" t="s">
        <v>1023</v>
      </c>
      <c r="AF7313" t="s">
        <v>1024</v>
      </c>
      <c r="AG7313" t="s">
        <v>964</v>
      </c>
    </row>
    <row r="7314" spans="1:33" x14ac:dyDescent="0.35">
      <c r="A7314" t="s">
        <v>227</v>
      </c>
      <c r="B7314" t="s">
        <v>249</v>
      </c>
      <c r="C7314">
        <v>5941.18</v>
      </c>
      <c r="D7314">
        <v>4000</v>
      </c>
      <c r="E7314">
        <v>500</v>
      </c>
      <c r="F7314">
        <v>30000</v>
      </c>
      <c r="G7314" s="30">
        <v>17</v>
      </c>
      <c r="H7314">
        <v>5300</v>
      </c>
      <c r="I7314">
        <v>5000</v>
      </c>
      <c r="J7314">
        <v>300</v>
      </c>
      <c r="K7314">
        <v>20000</v>
      </c>
      <c r="L7314" s="30">
        <v>11</v>
      </c>
      <c r="M7314">
        <v>9298.33</v>
      </c>
      <c r="N7314">
        <v>5000</v>
      </c>
      <c r="O7314">
        <v>550</v>
      </c>
      <c r="P7314">
        <v>50000</v>
      </c>
      <c r="Q7314" s="30">
        <v>30</v>
      </c>
      <c r="R7314">
        <v>8084</v>
      </c>
      <c r="S7314">
        <v>6000</v>
      </c>
      <c r="T7314">
        <v>500</v>
      </c>
      <c r="U7314">
        <v>42000</v>
      </c>
      <c r="V7314" s="30">
        <v>25</v>
      </c>
      <c r="W7314">
        <v>19315.38</v>
      </c>
      <c r="X7314">
        <v>20000</v>
      </c>
      <c r="Y7314">
        <v>1500</v>
      </c>
      <c r="Z7314">
        <v>60000</v>
      </c>
      <c r="AA7314" s="30">
        <v>13</v>
      </c>
      <c r="AB7314">
        <v>6100</v>
      </c>
      <c r="AC7314">
        <v>7000</v>
      </c>
      <c r="AD7314">
        <v>3000</v>
      </c>
      <c r="AE7314">
        <v>10000</v>
      </c>
      <c r="AF7314" s="30">
        <v>6</v>
      </c>
      <c r="AG7314">
        <v>30</v>
      </c>
    </row>
    <row r="7315" spans="1:33" x14ac:dyDescent="0.35">
      <c r="A7315" t="s">
        <v>227</v>
      </c>
      <c r="B7315" t="s">
        <v>248</v>
      </c>
      <c r="C7315">
        <v>13686.54</v>
      </c>
      <c r="D7315">
        <v>3000</v>
      </c>
      <c r="E7315">
        <v>150</v>
      </c>
      <c r="F7315">
        <v>100000</v>
      </c>
      <c r="G7315" s="30">
        <v>26</v>
      </c>
      <c r="H7315">
        <v>3437</v>
      </c>
      <c r="I7315">
        <v>2000</v>
      </c>
      <c r="J7315">
        <v>500</v>
      </c>
      <c r="K7315">
        <v>25000</v>
      </c>
      <c r="L7315" s="30">
        <v>16</v>
      </c>
      <c r="M7315">
        <v>6347.67</v>
      </c>
      <c r="N7315">
        <v>3500</v>
      </c>
      <c r="O7315">
        <v>100</v>
      </c>
      <c r="P7315">
        <v>50000</v>
      </c>
      <c r="Q7315" s="30">
        <v>86</v>
      </c>
      <c r="R7315">
        <v>3550</v>
      </c>
      <c r="S7315">
        <v>600</v>
      </c>
      <c r="T7315">
        <v>600</v>
      </c>
      <c r="U7315">
        <v>6500</v>
      </c>
      <c r="V7315" s="30">
        <v>2</v>
      </c>
      <c r="W7315">
        <v>55875</v>
      </c>
      <c r="X7315">
        <v>7500</v>
      </c>
      <c r="Y7315">
        <v>1300</v>
      </c>
      <c r="Z7315">
        <v>400000</v>
      </c>
      <c r="AA7315" s="30">
        <v>8</v>
      </c>
      <c r="AB7315">
        <v>10573.33</v>
      </c>
      <c r="AC7315">
        <v>10000</v>
      </c>
      <c r="AD7315">
        <v>1000</v>
      </c>
      <c r="AE7315">
        <v>25000</v>
      </c>
      <c r="AF7315" s="30">
        <v>9</v>
      </c>
      <c r="AG7315">
        <v>86</v>
      </c>
    </row>
    <row r="7316" spans="1:33" x14ac:dyDescent="0.35">
      <c r="A7316" t="s">
        <v>228</v>
      </c>
      <c r="B7316" t="s">
        <v>249</v>
      </c>
      <c r="C7316">
        <v>11591.83</v>
      </c>
      <c r="D7316">
        <v>5000</v>
      </c>
      <c r="E7316">
        <v>200</v>
      </c>
      <c r="F7316">
        <v>120000</v>
      </c>
      <c r="G7316" s="30">
        <v>66</v>
      </c>
      <c r="H7316">
        <v>4066.9</v>
      </c>
      <c r="I7316">
        <v>3000</v>
      </c>
      <c r="J7316">
        <v>400</v>
      </c>
      <c r="K7316">
        <v>30000</v>
      </c>
      <c r="L7316" s="30">
        <v>63</v>
      </c>
      <c r="M7316">
        <v>10253.09</v>
      </c>
      <c r="N7316">
        <v>5000</v>
      </c>
      <c r="O7316">
        <v>300</v>
      </c>
      <c r="P7316">
        <v>80000</v>
      </c>
      <c r="Q7316" s="30">
        <v>178</v>
      </c>
      <c r="R7316">
        <v>7060.5</v>
      </c>
      <c r="S7316">
        <v>4000</v>
      </c>
      <c r="T7316">
        <v>150</v>
      </c>
      <c r="U7316">
        <v>30000</v>
      </c>
      <c r="V7316" s="30">
        <v>96</v>
      </c>
      <c r="W7316">
        <v>19058.84</v>
      </c>
      <c r="X7316">
        <v>18000</v>
      </c>
      <c r="Y7316">
        <v>1000</v>
      </c>
      <c r="Z7316">
        <v>120000</v>
      </c>
      <c r="AA7316" s="30">
        <v>52</v>
      </c>
      <c r="AB7316">
        <v>8485.1</v>
      </c>
      <c r="AC7316">
        <v>9000</v>
      </c>
      <c r="AD7316">
        <v>1000</v>
      </c>
      <c r="AE7316">
        <v>30000</v>
      </c>
      <c r="AF7316" s="30">
        <v>15</v>
      </c>
      <c r="AG7316">
        <v>178</v>
      </c>
    </row>
    <row r="7317" spans="1:33" x14ac:dyDescent="0.35">
      <c r="A7317" t="s">
        <v>228</v>
      </c>
      <c r="B7317" t="s">
        <v>248</v>
      </c>
      <c r="C7317">
        <v>10561.11</v>
      </c>
      <c r="D7317">
        <v>3000</v>
      </c>
      <c r="E7317">
        <v>180</v>
      </c>
      <c r="F7317">
        <v>200000</v>
      </c>
      <c r="G7317" s="30">
        <v>140</v>
      </c>
      <c r="H7317">
        <v>5516.61</v>
      </c>
      <c r="I7317">
        <v>2500</v>
      </c>
      <c r="J7317">
        <v>200</v>
      </c>
      <c r="K7317">
        <v>30000</v>
      </c>
      <c r="L7317" s="30">
        <v>100</v>
      </c>
      <c r="M7317">
        <v>9980.2099999999991</v>
      </c>
      <c r="N7317">
        <v>5000</v>
      </c>
      <c r="O7317">
        <v>100</v>
      </c>
      <c r="P7317">
        <v>100000</v>
      </c>
      <c r="Q7317" s="30">
        <v>495</v>
      </c>
      <c r="R7317">
        <v>12127.13</v>
      </c>
      <c r="S7317">
        <v>12000</v>
      </c>
      <c r="T7317">
        <v>300</v>
      </c>
      <c r="U7317">
        <v>40000</v>
      </c>
      <c r="V7317" s="30">
        <v>44</v>
      </c>
      <c r="W7317">
        <v>17118</v>
      </c>
      <c r="X7317">
        <v>6000</v>
      </c>
      <c r="Y7317">
        <v>200</v>
      </c>
      <c r="Z7317">
        <v>100000</v>
      </c>
      <c r="AA7317" s="30">
        <v>87</v>
      </c>
      <c r="AB7317">
        <v>7769.05</v>
      </c>
      <c r="AC7317">
        <v>3200</v>
      </c>
      <c r="AD7317">
        <v>100</v>
      </c>
      <c r="AE7317">
        <v>31000</v>
      </c>
      <c r="AF7317" s="30">
        <v>26</v>
      </c>
      <c r="AG7317">
        <v>495</v>
      </c>
    </row>
    <row r="7318" spans="1:33" x14ac:dyDescent="0.35">
      <c r="A7318" t="s">
        <v>229</v>
      </c>
      <c r="B7318" t="s">
        <v>249</v>
      </c>
      <c r="C7318">
        <v>17292.72</v>
      </c>
      <c r="D7318">
        <v>5000</v>
      </c>
      <c r="E7318">
        <v>100</v>
      </c>
      <c r="F7318">
        <v>200000</v>
      </c>
      <c r="G7318" s="30">
        <v>71</v>
      </c>
      <c r="H7318">
        <v>7688.29</v>
      </c>
      <c r="I7318">
        <v>5000</v>
      </c>
      <c r="J7318">
        <v>400</v>
      </c>
      <c r="K7318">
        <v>30000</v>
      </c>
      <c r="L7318" s="30">
        <v>58</v>
      </c>
      <c r="M7318">
        <v>12862.78</v>
      </c>
      <c r="N7318">
        <v>7000</v>
      </c>
      <c r="O7318">
        <v>500</v>
      </c>
      <c r="P7318">
        <v>100000</v>
      </c>
      <c r="Q7318" s="30">
        <v>170</v>
      </c>
      <c r="R7318">
        <v>7036.36</v>
      </c>
      <c r="S7318">
        <v>5000</v>
      </c>
      <c r="T7318">
        <v>200</v>
      </c>
      <c r="U7318">
        <v>40000</v>
      </c>
      <c r="V7318" s="30">
        <v>137</v>
      </c>
      <c r="W7318">
        <v>26010.29</v>
      </c>
      <c r="X7318">
        <v>15000</v>
      </c>
      <c r="Y7318">
        <v>1000</v>
      </c>
      <c r="Z7318">
        <v>200000</v>
      </c>
      <c r="AA7318" s="30">
        <v>55</v>
      </c>
      <c r="AB7318">
        <v>12164.77</v>
      </c>
      <c r="AC7318">
        <v>12000</v>
      </c>
      <c r="AD7318">
        <v>1000</v>
      </c>
      <c r="AE7318">
        <v>30000</v>
      </c>
      <c r="AF7318" s="30">
        <v>13</v>
      </c>
      <c r="AG7318">
        <v>170</v>
      </c>
    </row>
    <row r="7319" spans="1:33" x14ac:dyDescent="0.35">
      <c r="A7319" t="s">
        <v>229</v>
      </c>
      <c r="B7319" t="s">
        <v>248</v>
      </c>
      <c r="C7319">
        <v>13071.4</v>
      </c>
      <c r="D7319">
        <v>5000</v>
      </c>
      <c r="E7319">
        <v>200</v>
      </c>
      <c r="F7319">
        <v>200000</v>
      </c>
      <c r="G7319" s="30">
        <v>142</v>
      </c>
      <c r="H7319">
        <v>5736.3</v>
      </c>
      <c r="I7319">
        <v>3000</v>
      </c>
      <c r="J7319">
        <v>200</v>
      </c>
      <c r="K7319">
        <v>30000</v>
      </c>
      <c r="L7319" s="30">
        <v>107</v>
      </c>
      <c r="M7319">
        <v>10003.719999999999</v>
      </c>
      <c r="N7319">
        <v>6000</v>
      </c>
      <c r="O7319">
        <v>150</v>
      </c>
      <c r="P7319">
        <v>70000</v>
      </c>
      <c r="Q7319" s="30">
        <v>421</v>
      </c>
      <c r="R7319">
        <v>13180.17</v>
      </c>
      <c r="S7319">
        <v>15000</v>
      </c>
      <c r="T7319">
        <v>1300</v>
      </c>
      <c r="U7319">
        <v>45000</v>
      </c>
      <c r="V7319" s="30">
        <v>37</v>
      </c>
      <c r="W7319">
        <v>14290.6</v>
      </c>
      <c r="X7319">
        <v>12000</v>
      </c>
      <c r="Y7319">
        <v>300</v>
      </c>
      <c r="Z7319">
        <v>50000</v>
      </c>
      <c r="AA7319" s="30">
        <v>71</v>
      </c>
      <c r="AB7319">
        <v>4849.97</v>
      </c>
      <c r="AC7319">
        <v>2000</v>
      </c>
      <c r="AD7319">
        <v>200</v>
      </c>
      <c r="AE7319">
        <v>20000</v>
      </c>
      <c r="AF7319" s="30">
        <v>32</v>
      </c>
      <c r="AG7319">
        <v>421</v>
      </c>
    </row>
    <row r="7320" spans="1:33" x14ac:dyDescent="0.35">
      <c r="A7320" t="s">
        <v>230</v>
      </c>
      <c r="B7320" t="s">
        <v>249</v>
      </c>
      <c r="C7320">
        <v>18494.04</v>
      </c>
      <c r="D7320">
        <v>8500</v>
      </c>
      <c r="E7320">
        <v>100</v>
      </c>
      <c r="F7320">
        <v>200000</v>
      </c>
      <c r="G7320" s="30">
        <v>57</v>
      </c>
      <c r="H7320">
        <v>6421.63</v>
      </c>
      <c r="I7320">
        <v>3000</v>
      </c>
      <c r="J7320">
        <v>250</v>
      </c>
      <c r="K7320">
        <v>30000</v>
      </c>
      <c r="L7320" s="30">
        <v>39</v>
      </c>
      <c r="M7320">
        <v>9353.66</v>
      </c>
      <c r="N7320">
        <v>5000</v>
      </c>
      <c r="O7320">
        <v>500</v>
      </c>
      <c r="P7320">
        <v>100000</v>
      </c>
      <c r="Q7320" s="30">
        <v>114</v>
      </c>
      <c r="R7320">
        <v>6357.29</v>
      </c>
      <c r="S7320">
        <v>4000</v>
      </c>
      <c r="T7320">
        <v>200</v>
      </c>
      <c r="U7320">
        <v>40000</v>
      </c>
      <c r="V7320" s="30">
        <v>72</v>
      </c>
      <c r="W7320">
        <v>16557.75</v>
      </c>
      <c r="X7320">
        <v>10000</v>
      </c>
      <c r="Y7320">
        <v>560</v>
      </c>
      <c r="Z7320">
        <v>250000</v>
      </c>
      <c r="AA7320" s="30">
        <v>40</v>
      </c>
      <c r="AB7320">
        <v>6269.35</v>
      </c>
      <c r="AC7320">
        <v>10800</v>
      </c>
      <c r="AD7320">
        <v>740</v>
      </c>
      <c r="AE7320">
        <v>20000</v>
      </c>
      <c r="AF7320" s="30">
        <v>9</v>
      </c>
      <c r="AG7320">
        <v>114</v>
      </c>
    </row>
    <row r="7321" spans="1:33" x14ac:dyDescent="0.35">
      <c r="A7321" t="s">
        <v>230</v>
      </c>
      <c r="B7321" t="s">
        <v>248</v>
      </c>
      <c r="C7321">
        <v>8057.2</v>
      </c>
      <c r="D7321">
        <v>3000</v>
      </c>
      <c r="E7321">
        <v>100</v>
      </c>
      <c r="F7321">
        <v>200000</v>
      </c>
      <c r="G7321" s="30">
        <v>101</v>
      </c>
      <c r="H7321">
        <v>4021.04</v>
      </c>
      <c r="I7321">
        <v>3000</v>
      </c>
      <c r="J7321">
        <v>200</v>
      </c>
      <c r="K7321">
        <v>17000</v>
      </c>
      <c r="L7321" s="30">
        <v>61</v>
      </c>
      <c r="M7321">
        <v>10006.69</v>
      </c>
      <c r="N7321">
        <v>5000</v>
      </c>
      <c r="O7321">
        <v>100</v>
      </c>
      <c r="P7321">
        <v>80000</v>
      </c>
      <c r="Q7321" s="30">
        <v>268</v>
      </c>
      <c r="R7321">
        <v>10148.25</v>
      </c>
      <c r="S7321">
        <v>10000</v>
      </c>
      <c r="T7321">
        <v>450</v>
      </c>
      <c r="U7321">
        <v>30000</v>
      </c>
      <c r="V7321" s="30">
        <v>17</v>
      </c>
      <c r="W7321">
        <v>14832.47</v>
      </c>
      <c r="X7321">
        <v>7000</v>
      </c>
      <c r="Y7321">
        <v>400</v>
      </c>
      <c r="Z7321">
        <v>110000</v>
      </c>
      <c r="AA7321" s="30">
        <v>60</v>
      </c>
      <c r="AB7321">
        <v>6209.8</v>
      </c>
      <c r="AC7321">
        <v>5000</v>
      </c>
      <c r="AD7321">
        <v>500</v>
      </c>
      <c r="AE7321">
        <v>30000</v>
      </c>
      <c r="AF7321" s="30">
        <v>23</v>
      </c>
      <c r="AG7321">
        <v>268</v>
      </c>
    </row>
    <row r="7322" spans="1:33" x14ac:dyDescent="0.35">
      <c r="A7322" s="27" t="s">
        <v>231</v>
      </c>
      <c r="B7322" s="27" t="s">
        <v>249</v>
      </c>
      <c r="C7322" s="29">
        <v>25071.43</v>
      </c>
      <c r="D7322" s="29">
        <v>20000</v>
      </c>
      <c r="E7322" s="29">
        <v>2000</v>
      </c>
      <c r="F7322" s="29">
        <v>70000</v>
      </c>
      <c r="G7322" s="29">
        <v>14</v>
      </c>
      <c r="H7322" s="29">
        <v>4916.67</v>
      </c>
      <c r="I7322" s="29">
        <v>5000</v>
      </c>
      <c r="J7322" s="29">
        <v>1500</v>
      </c>
      <c r="K7322" s="29">
        <v>10000</v>
      </c>
      <c r="L7322" s="29">
        <v>6</v>
      </c>
      <c r="M7322" s="29">
        <v>7383.54</v>
      </c>
      <c r="N7322" s="29">
        <v>5000</v>
      </c>
      <c r="O7322" s="29">
        <v>405</v>
      </c>
      <c r="P7322" s="29">
        <v>48800</v>
      </c>
      <c r="Q7322" s="29">
        <v>24</v>
      </c>
      <c r="R7322" s="29">
        <v>6140.62</v>
      </c>
      <c r="S7322" s="29">
        <v>5000</v>
      </c>
      <c r="T7322" s="29">
        <v>350</v>
      </c>
      <c r="U7322" s="29">
        <v>28000</v>
      </c>
      <c r="V7322" s="29">
        <v>16</v>
      </c>
      <c r="W7322" s="29">
        <v>12656.77</v>
      </c>
      <c r="X7322" s="29">
        <v>10000</v>
      </c>
      <c r="Y7322" s="29">
        <v>2538</v>
      </c>
      <c r="Z7322" s="29">
        <v>30000</v>
      </c>
      <c r="AA7322" s="29">
        <v>13</v>
      </c>
      <c r="AB7322" s="29"/>
      <c r="AC7322" s="29"/>
      <c r="AD7322" s="29"/>
      <c r="AE7322" s="29"/>
      <c r="AF7322" s="29"/>
      <c r="AG7322" s="29">
        <v>24</v>
      </c>
    </row>
    <row r="7323" spans="1:33" x14ac:dyDescent="0.35">
      <c r="A7323" t="s">
        <v>231</v>
      </c>
      <c r="B7323" t="s">
        <v>248</v>
      </c>
      <c r="C7323">
        <v>18626.669999999998</v>
      </c>
      <c r="D7323">
        <v>4000</v>
      </c>
      <c r="E7323">
        <v>200</v>
      </c>
      <c r="F7323">
        <v>200000</v>
      </c>
      <c r="G7323" s="30">
        <v>30</v>
      </c>
      <c r="H7323">
        <v>5970.65</v>
      </c>
      <c r="I7323">
        <v>4000</v>
      </c>
      <c r="J7323">
        <v>200</v>
      </c>
      <c r="K7323">
        <v>30000</v>
      </c>
      <c r="L7323" s="30">
        <v>31</v>
      </c>
      <c r="M7323">
        <v>8455.06</v>
      </c>
      <c r="N7323">
        <v>5000</v>
      </c>
      <c r="O7323">
        <v>170</v>
      </c>
      <c r="P7323">
        <v>100000</v>
      </c>
      <c r="Q7323" s="30">
        <v>87</v>
      </c>
      <c r="R7323">
        <v>22566.67</v>
      </c>
      <c r="S7323">
        <v>40000</v>
      </c>
      <c r="T7323">
        <v>400</v>
      </c>
      <c r="U7323">
        <v>40000</v>
      </c>
      <c r="V7323" s="30">
        <v>6</v>
      </c>
      <c r="W7323">
        <v>10313.89</v>
      </c>
      <c r="X7323">
        <v>9000</v>
      </c>
      <c r="Y7323">
        <v>500</v>
      </c>
      <c r="Z7323">
        <v>50000</v>
      </c>
      <c r="AA7323" s="30">
        <v>18</v>
      </c>
      <c r="AB7323">
        <v>2285.71</v>
      </c>
      <c r="AC7323">
        <v>2000</v>
      </c>
      <c r="AD7323">
        <v>300</v>
      </c>
      <c r="AE7323">
        <v>8000</v>
      </c>
      <c r="AF7323" s="30">
        <v>7</v>
      </c>
      <c r="AG7323">
        <v>87</v>
      </c>
    </row>
    <row r="7324" spans="1:33" x14ac:dyDescent="0.35">
      <c r="A7324" t="s">
        <v>232</v>
      </c>
      <c r="B7324" t="s">
        <v>232</v>
      </c>
      <c r="C7324">
        <v>14899.73</v>
      </c>
      <c r="D7324">
        <v>5000</v>
      </c>
      <c r="E7324">
        <v>100</v>
      </c>
      <c r="F7324">
        <v>200000</v>
      </c>
      <c r="G7324" s="30">
        <v>664</v>
      </c>
      <c r="H7324">
        <v>5630.43</v>
      </c>
      <c r="I7324">
        <v>3000</v>
      </c>
      <c r="J7324">
        <v>200</v>
      </c>
      <c r="K7324">
        <v>30000</v>
      </c>
      <c r="L7324" s="30">
        <v>492</v>
      </c>
      <c r="M7324">
        <v>9336.61</v>
      </c>
      <c r="N7324">
        <v>5000</v>
      </c>
      <c r="O7324">
        <v>100</v>
      </c>
      <c r="P7324">
        <v>100000</v>
      </c>
      <c r="Q7324" s="30">
        <v>1873</v>
      </c>
      <c r="R7324">
        <v>8628.5300000000007</v>
      </c>
      <c r="S7324">
        <v>5000</v>
      </c>
      <c r="T7324">
        <v>150</v>
      </c>
      <c r="U7324">
        <v>45000</v>
      </c>
      <c r="V7324" s="30">
        <v>452</v>
      </c>
      <c r="W7324">
        <v>18064.68</v>
      </c>
      <c r="X7324">
        <v>9000</v>
      </c>
      <c r="Y7324">
        <v>200</v>
      </c>
      <c r="Z7324">
        <v>400000</v>
      </c>
      <c r="AA7324" s="30">
        <v>417</v>
      </c>
      <c r="AB7324">
        <v>6639.38</v>
      </c>
      <c r="AC7324">
        <v>4000</v>
      </c>
      <c r="AD7324">
        <v>100</v>
      </c>
      <c r="AE7324">
        <v>31000</v>
      </c>
      <c r="AF7324" s="30">
        <v>140</v>
      </c>
      <c r="AG7324">
        <v>1873</v>
      </c>
    </row>
    <row r="7326" spans="1:33" x14ac:dyDescent="0.35">
      <c r="A7326" s="1" t="s">
        <v>1037</v>
      </c>
    </row>
    <row r="7327" spans="1:33" x14ac:dyDescent="0.35">
      <c r="A7327" t="s">
        <v>219</v>
      </c>
      <c r="B7327" t="s">
        <v>305</v>
      </c>
      <c r="C7327" t="s">
        <v>988</v>
      </c>
      <c r="D7327" t="s">
        <v>989</v>
      </c>
      <c r="E7327" t="s">
        <v>990</v>
      </c>
      <c r="F7327" t="s">
        <v>991</v>
      </c>
      <c r="G7327" t="s">
        <v>992</v>
      </c>
      <c r="H7327" t="s">
        <v>993</v>
      </c>
      <c r="I7327" t="s">
        <v>994</v>
      </c>
      <c r="J7327" t="s">
        <v>281</v>
      </c>
      <c r="K7327" t="s">
        <v>286</v>
      </c>
      <c r="L7327" t="s">
        <v>226</v>
      </c>
    </row>
    <row r="7328" spans="1:33" x14ac:dyDescent="0.35">
      <c r="A7328" s="27" t="s">
        <v>227</v>
      </c>
      <c r="B7328" s="27" t="s">
        <v>263</v>
      </c>
      <c r="C7328" s="28">
        <v>0.66669999999999996</v>
      </c>
      <c r="D7328" s="28">
        <v>0.66669999999999996</v>
      </c>
      <c r="E7328" s="29"/>
      <c r="F7328" s="28">
        <v>0.66669999999999996</v>
      </c>
      <c r="G7328" s="28">
        <v>0.33329999999999999</v>
      </c>
      <c r="H7328" s="29"/>
      <c r="I7328" s="29"/>
      <c r="J7328" s="29"/>
      <c r="K7328" s="29"/>
      <c r="L7328" s="29" t="s">
        <v>315</v>
      </c>
    </row>
    <row r="7329" spans="1:12" x14ac:dyDescent="0.35">
      <c r="A7329" t="s">
        <v>227</v>
      </c>
      <c r="B7329" t="s">
        <v>261</v>
      </c>
      <c r="C7329" s="26">
        <v>0.90910000000000002</v>
      </c>
      <c r="D7329" s="26">
        <v>0.30299999999999999</v>
      </c>
      <c r="E7329" s="26">
        <v>0.2424</v>
      </c>
      <c r="F7329" s="26">
        <v>3.0300000000000001E-2</v>
      </c>
      <c r="G7329" s="26">
        <v>9.0899999999999995E-2</v>
      </c>
      <c r="H7329" s="26">
        <v>6.0600000000000001E-2</v>
      </c>
      <c r="L7329">
        <v>33</v>
      </c>
    </row>
    <row r="7330" spans="1:12" x14ac:dyDescent="0.35">
      <c r="A7330" s="27" t="s">
        <v>227</v>
      </c>
      <c r="B7330" s="27" t="s">
        <v>262</v>
      </c>
      <c r="C7330" s="28">
        <v>1</v>
      </c>
      <c r="D7330" s="28">
        <v>0.33329999999999999</v>
      </c>
      <c r="E7330" s="29"/>
      <c r="F7330" s="28">
        <v>0.66669999999999996</v>
      </c>
      <c r="G7330" s="28">
        <v>0.33329999999999999</v>
      </c>
      <c r="H7330" s="29"/>
      <c r="I7330" s="29"/>
      <c r="J7330" s="29"/>
      <c r="K7330" s="29"/>
      <c r="L7330" s="29" t="s">
        <v>315</v>
      </c>
    </row>
    <row r="7331" spans="1:12" x14ac:dyDescent="0.35">
      <c r="A7331" t="s">
        <v>227</v>
      </c>
      <c r="B7331" t="s">
        <v>260</v>
      </c>
      <c r="C7331" s="26">
        <v>0.7833</v>
      </c>
      <c r="D7331" s="26">
        <v>0.31669999999999998</v>
      </c>
      <c r="E7331" s="26">
        <v>0.22500000000000001</v>
      </c>
      <c r="F7331" s="26">
        <v>0.22500000000000001</v>
      </c>
      <c r="G7331" s="26">
        <v>0.15</v>
      </c>
      <c r="H7331" s="26">
        <v>0.125</v>
      </c>
      <c r="I7331" s="26">
        <v>4.1700000000000001E-2</v>
      </c>
      <c r="J7331" s="26">
        <v>8.3000000000000001E-3</v>
      </c>
      <c r="L7331">
        <v>120</v>
      </c>
    </row>
    <row r="7332" spans="1:12" x14ac:dyDescent="0.35">
      <c r="A7332" t="s">
        <v>228</v>
      </c>
      <c r="B7332" t="s">
        <v>261</v>
      </c>
      <c r="C7332" s="26">
        <v>0.78359999999999996</v>
      </c>
      <c r="D7332" s="26">
        <v>0.2555</v>
      </c>
      <c r="E7332" s="26">
        <v>0.25779999999999997</v>
      </c>
      <c r="F7332" s="26">
        <v>0.22120000000000001</v>
      </c>
      <c r="G7332" s="26">
        <v>0.1384</v>
      </c>
      <c r="H7332" s="26">
        <v>0.10630000000000001</v>
      </c>
      <c r="J7332" s="26">
        <v>6.0000000000000001E-3</v>
      </c>
      <c r="L7332">
        <v>190</v>
      </c>
    </row>
    <row r="7333" spans="1:12" x14ac:dyDescent="0.35">
      <c r="A7333" s="27" t="s">
        <v>228</v>
      </c>
      <c r="B7333" s="27" t="s">
        <v>263</v>
      </c>
      <c r="C7333" s="28">
        <v>0.76470000000000005</v>
      </c>
      <c r="D7333" s="28">
        <v>0.5071</v>
      </c>
      <c r="E7333" s="28">
        <v>0.221</v>
      </c>
      <c r="F7333" s="28">
        <v>0.1585</v>
      </c>
      <c r="G7333" s="28">
        <v>0.1643</v>
      </c>
      <c r="H7333" s="29"/>
      <c r="I7333" s="28">
        <v>4.4499999999999998E-2</v>
      </c>
      <c r="J7333" s="29"/>
      <c r="K7333" s="29"/>
      <c r="L7333" s="29" t="s">
        <v>312</v>
      </c>
    </row>
    <row r="7334" spans="1:12" x14ac:dyDescent="0.35">
      <c r="A7334" s="27" t="s">
        <v>228</v>
      </c>
      <c r="B7334" s="27" t="s">
        <v>236</v>
      </c>
      <c r="C7334" s="28">
        <v>0.46600000000000003</v>
      </c>
      <c r="D7334" s="28">
        <v>0.13370000000000001</v>
      </c>
      <c r="E7334" s="28">
        <v>0.17269999999999999</v>
      </c>
      <c r="F7334" s="28">
        <v>3.9E-2</v>
      </c>
      <c r="G7334" s="29"/>
      <c r="H7334" s="28">
        <v>0.53400000000000003</v>
      </c>
      <c r="I7334" s="29"/>
      <c r="J7334" s="29"/>
      <c r="K7334" s="29"/>
      <c r="L7334" s="29" t="s">
        <v>335</v>
      </c>
    </row>
    <row r="7335" spans="1:12" x14ac:dyDescent="0.35">
      <c r="A7335" t="s">
        <v>228</v>
      </c>
      <c r="B7335" t="s">
        <v>262</v>
      </c>
      <c r="C7335" s="26">
        <v>0.84619999999999995</v>
      </c>
      <c r="D7335" s="26">
        <v>0.28849999999999998</v>
      </c>
      <c r="E7335" s="26">
        <v>0.30430000000000001</v>
      </c>
      <c r="F7335" s="26">
        <v>0.34710000000000002</v>
      </c>
      <c r="G7335" s="26">
        <v>0.24460000000000001</v>
      </c>
      <c r="H7335" s="26">
        <v>5.0799999999999998E-2</v>
      </c>
      <c r="I7335" s="26">
        <v>1.3299999999999999E-2</v>
      </c>
      <c r="J7335" s="26">
        <v>2.2000000000000001E-3</v>
      </c>
      <c r="K7335" s="26">
        <v>1.5E-3</v>
      </c>
      <c r="L7335">
        <v>199</v>
      </c>
    </row>
    <row r="7336" spans="1:12" x14ac:dyDescent="0.35">
      <c r="A7336" t="s">
        <v>228</v>
      </c>
      <c r="B7336" t="s">
        <v>260</v>
      </c>
      <c r="C7336" s="26">
        <v>0.76690000000000003</v>
      </c>
      <c r="D7336" s="26">
        <v>0.2379</v>
      </c>
      <c r="E7336" s="26">
        <v>0.20549999999999999</v>
      </c>
      <c r="F7336" s="26">
        <v>0.17469999999999999</v>
      </c>
      <c r="G7336" s="26">
        <v>0.1857</v>
      </c>
      <c r="H7336" s="26">
        <v>0.14910000000000001</v>
      </c>
      <c r="I7336" s="26">
        <v>1.7899999999999999E-2</v>
      </c>
      <c r="J7336" s="26">
        <v>1.9E-3</v>
      </c>
      <c r="L7336">
        <v>608</v>
      </c>
    </row>
    <row r="7337" spans="1:12" x14ac:dyDescent="0.35">
      <c r="A7337" s="27" t="s">
        <v>229</v>
      </c>
      <c r="B7337" s="27" t="s">
        <v>263</v>
      </c>
      <c r="C7337" s="28">
        <v>0.96530000000000005</v>
      </c>
      <c r="D7337" s="28">
        <v>0.62280000000000002</v>
      </c>
      <c r="E7337" s="28">
        <v>0.15570000000000001</v>
      </c>
      <c r="F7337" s="28">
        <v>0.52790000000000004</v>
      </c>
      <c r="G7337" s="28">
        <v>0.38069999999999998</v>
      </c>
      <c r="H7337" s="29"/>
      <c r="I7337" s="29"/>
      <c r="J7337" s="29"/>
      <c r="K7337" s="29"/>
      <c r="L7337" s="29" t="s">
        <v>379</v>
      </c>
    </row>
    <row r="7338" spans="1:12" x14ac:dyDescent="0.35">
      <c r="A7338" t="s">
        <v>229</v>
      </c>
      <c r="B7338" t="s">
        <v>262</v>
      </c>
      <c r="C7338" s="26">
        <v>0.87560000000000004</v>
      </c>
      <c r="D7338" s="26">
        <v>0.34139999999999998</v>
      </c>
      <c r="E7338" s="26">
        <v>0.37230000000000002</v>
      </c>
      <c r="F7338" s="26">
        <v>0.47599999999999998</v>
      </c>
      <c r="G7338" s="26">
        <v>0.29859999999999998</v>
      </c>
      <c r="H7338" s="26">
        <v>5.7599999999999998E-2</v>
      </c>
      <c r="I7338" s="26">
        <v>2.5499999999999998E-2</v>
      </c>
      <c r="K7338" s="26">
        <v>1.1999999999999999E-3</v>
      </c>
      <c r="L7338">
        <v>186</v>
      </c>
    </row>
    <row r="7339" spans="1:12" x14ac:dyDescent="0.35">
      <c r="A7339" t="s">
        <v>229</v>
      </c>
      <c r="B7339" t="s">
        <v>261</v>
      </c>
      <c r="C7339" s="26">
        <v>0.98709999999999998</v>
      </c>
      <c r="D7339" s="26">
        <v>0.26590000000000003</v>
      </c>
      <c r="E7339" s="26">
        <v>0.34739999999999999</v>
      </c>
      <c r="F7339" s="26">
        <v>0.24310000000000001</v>
      </c>
      <c r="G7339" s="26">
        <v>0.16070000000000001</v>
      </c>
      <c r="H7339" s="26">
        <v>8.8999999999999999E-3</v>
      </c>
      <c r="I7339" s="26">
        <v>2.24E-2</v>
      </c>
      <c r="L7339">
        <v>96</v>
      </c>
    </row>
    <row r="7340" spans="1:12" x14ac:dyDescent="0.35">
      <c r="A7340" s="27" t="s">
        <v>229</v>
      </c>
      <c r="B7340" s="27" t="s">
        <v>236</v>
      </c>
      <c r="C7340" s="29"/>
      <c r="D7340" s="29"/>
      <c r="E7340" s="28">
        <v>1</v>
      </c>
      <c r="F7340" s="29"/>
      <c r="G7340" s="29"/>
      <c r="H7340" s="29"/>
      <c r="I7340" s="29"/>
      <c r="J7340" s="29"/>
      <c r="K7340" s="29"/>
      <c r="L7340" s="29" t="s">
        <v>331</v>
      </c>
    </row>
    <row r="7341" spans="1:12" x14ac:dyDescent="0.35">
      <c r="A7341" t="s">
        <v>229</v>
      </c>
      <c r="B7341" t="s">
        <v>260</v>
      </c>
      <c r="C7341" s="26">
        <v>0.73699999999999999</v>
      </c>
      <c r="D7341" s="26">
        <v>0.31879999999999997</v>
      </c>
      <c r="E7341" s="26">
        <v>0.218</v>
      </c>
      <c r="F7341" s="26">
        <v>0.2026</v>
      </c>
      <c r="G7341" s="26">
        <v>0.16239999999999999</v>
      </c>
      <c r="H7341" s="26">
        <v>0.14230000000000001</v>
      </c>
      <c r="I7341" s="26">
        <v>7.7999999999999996E-3</v>
      </c>
      <c r="J7341" s="26">
        <v>1.2200000000000001E-2</v>
      </c>
      <c r="L7341">
        <v>593</v>
      </c>
    </row>
    <row r="7342" spans="1:12" x14ac:dyDescent="0.35">
      <c r="A7342" s="27" t="s">
        <v>230</v>
      </c>
      <c r="B7342" s="27" t="s">
        <v>236</v>
      </c>
      <c r="C7342" s="28">
        <v>0.7591</v>
      </c>
      <c r="D7342" s="28">
        <v>0.11899999999999999</v>
      </c>
      <c r="E7342" s="29"/>
      <c r="F7342" s="28">
        <v>0.11899999999999999</v>
      </c>
      <c r="G7342" s="29"/>
      <c r="H7342" s="28">
        <v>0.12189999999999999</v>
      </c>
      <c r="I7342" s="29"/>
      <c r="J7342" s="29"/>
      <c r="K7342" s="29"/>
      <c r="L7342" s="29" t="s">
        <v>337</v>
      </c>
    </row>
    <row r="7343" spans="1:12" x14ac:dyDescent="0.35">
      <c r="A7343" t="s">
        <v>230</v>
      </c>
      <c r="B7343" t="s">
        <v>262</v>
      </c>
      <c r="C7343" s="26">
        <v>0.76380000000000003</v>
      </c>
      <c r="D7343" s="26">
        <v>0.4456</v>
      </c>
      <c r="E7343" s="26">
        <v>0.3483</v>
      </c>
      <c r="F7343" s="26">
        <v>0.32490000000000002</v>
      </c>
      <c r="G7343" s="26">
        <v>0.38669999999999999</v>
      </c>
      <c r="H7343" s="26">
        <v>3.2899999999999999E-2</v>
      </c>
      <c r="I7343" s="26">
        <v>2.98E-2</v>
      </c>
      <c r="L7343">
        <v>121</v>
      </c>
    </row>
    <row r="7344" spans="1:12" x14ac:dyDescent="0.35">
      <c r="A7344" t="s">
        <v>230</v>
      </c>
      <c r="B7344" t="s">
        <v>261</v>
      </c>
      <c r="C7344" s="26">
        <v>0.87990000000000002</v>
      </c>
      <c r="D7344" s="26">
        <v>0.28449999999999998</v>
      </c>
      <c r="E7344" s="26">
        <v>0.2422</v>
      </c>
      <c r="F7344" s="26">
        <v>0.23080000000000001</v>
      </c>
      <c r="G7344" s="26">
        <v>0.1704</v>
      </c>
      <c r="H7344" s="26">
        <v>2.18E-2</v>
      </c>
      <c r="L7344">
        <v>57</v>
      </c>
    </row>
    <row r="7345" spans="1:33" x14ac:dyDescent="0.35">
      <c r="A7345" s="27" t="s">
        <v>230</v>
      </c>
      <c r="B7345" s="27" t="s">
        <v>263</v>
      </c>
      <c r="C7345" s="28">
        <v>0.89400000000000002</v>
      </c>
      <c r="D7345" s="28">
        <v>0.61219999999999997</v>
      </c>
      <c r="E7345" s="28">
        <v>0.106</v>
      </c>
      <c r="F7345" s="28">
        <v>0.44180000000000003</v>
      </c>
      <c r="G7345" s="28">
        <v>0.50749999999999995</v>
      </c>
      <c r="H7345" s="29"/>
      <c r="I7345" s="29"/>
      <c r="J7345" s="29"/>
      <c r="K7345" s="28">
        <v>1.6799999999999999E-2</v>
      </c>
      <c r="L7345" s="29" t="s">
        <v>312</v>
      </c>
    </row>
    <row r="7346" spans="1:33" x14ac:dyDescent="0.35">
      <c r="A7346" t="s">
        <v>230</v>
      </c>
      <c r="B7346" t="s">
        <v>260</v>
      </c>
      <c r="C7346" s="26">
        <v>0.80189999999999995</v>
      </c>
      <c r="D7346" s="26">
        <v>0.30980000000000002</v>
      </c>
      <c r="E7346" s="26">
        <v>0.2167</v>
      </c>
      <c r="F7346" s="26">
        <v>0.24759999999999999</v>
      </c>
      <c r="G7346" s="26">
        <v>0.17780000000000001</v>
      </c>
      <c r="H7346" s="26">
        <v>0.114</v>
      </c>
      <c r="I7346" s="26">
        <v>1.6899999999999998E-2</v>
      </c>
      <c r="J7346" s="26">
        <v>1.6999999999999999E-3</v>
      </c>
      <c r="L7346">
        <v>350</v>
      </c>
    </row>
    <row r="7347" spans="1:33" x14ac:dyDescent="0.35">
      <c r="A7347" s="27" t="s">
        <v>231</v>
      </c>
      <c r="B7347" s="27" t="s">
        <v>263</v>
      </c>
      <c r="C7347" s="28">
        <v>1</v>
      </c>
      <c r="D7347" s="29"/>
      <c r="E7347" s="29"/>
      <c r="F7347" s="28">
        <v>0.5</v>
      </c>
      <c r="G7347" s="28">
        <v>0.5</v>
      </c>
      <c r="H7347" s="29"/>
      <c r="I7347" s="29"/>
      <c r="J7347" s="29"/>
      <c r="K7347" s="29"/>
      <c r="L7347" s="29" t="s">
        <v>314</v>
      </c>
    </row>
    <row r="7348" spans="1:33" x14ac:dyDescent="0.35">
      <c r="A7348" t="s">
        <v>231</v>
      </c>
      <c r="B7348" t="s">
        <v>260</v>
      </c>
      <c r="C7348" s="26">
        <v>0.80649999999999999</v>
      </c>
      <c r="D7348" s="26">
        <v>0.2823</v>
      </c>
      <c r="E7348" s="26">
        <v>0.2903</v>
      </c>
      <c r="F7348" s="26">
        <v>0.1855</v>
      </c>
      <c r="G7348" s="26">
        <v>0.2097</v>
      </c>
      <c r="H7348" s="26">
        <v>0.129</v>
      </c>
      <c r="I7348" s="26">
        <v>2.4199999999999999E-2</v>
      </c>
      <c r="L7348">
        <v>124</v>
      </c>
    </row>
    <row r="7349" spans="1:33" x14ac:dyDescent="0.35">
      <c r="A7349" s="27" t="s">
        <v>231</v>
      </c>
      <c r="B7349" s="27" t="s">
        <v>261</v>
      </c>
      <c r="C7349" s="28">
        <v>0.85189999999999999</v>
      </c>
      <c r="D7349" s="28">
        <v>0.29630000000000001</v>
      </c>
      <c r="E7349" s="28">
        <v>0.25929999999999997</v>
      </c>
      <c r="F7349" s="28">
        <v>3.6999999999999998E-2</v>
      </c>
      <c r="G7349" s="28">
        <v>0.1852</v>
      </c>
      <c r="H7349" s="28">
        <v>7.4099999999999999E-2</v>
      </c>
      <c r="I7349" s="28">
        <v>3.6999999999999998E-2</v>
      </c>
      <c r="J7349" s="29"/>
      <c r="K7349" s="29"/>
      <c r="L7349" s="29" t="s">
        <v>338</v>
      </c>
    </row>
    <row r="7350" spans="1:33" x14ac:dyDescent="0.35">
      <c r="A7350" s="27" t="s">
        <v>231</v>
      </c>
      <c r="B7350" s="27" t="s">
        <v>262</v>
      </c>
      <c r="C7350" s="28">
        <v>0.54549999999999998</v>
      </c>
      <c r="D7350" s="28">
        <v>0.36359999999999998</v>
      </c>
      <c r="E7350" s="28">
        <v>0.2727</v>
      </c>
      <c r="F7350" s="28">
        <v>0.36359999999999998</v>
      </c>
      <c r="G7350" s="28">
        <v>0.45450000000000002</v>
      </c>
      <c r="H7350" s="28">
        <v>9.0899999999999995E-2</v>
      </c>
      <c r="I7350" s="28">
        <v>9.0899999999999995E-2</v>
      </c>
      <c r="J7350" s="29"/>
      <c r="K7350" s="29"/>
      <c r="L7350" s="29" t="s">
        <v>352</v>
      </c>
    </row>
    <row r="7351" spans="1:33" x14ac:dyDescent="0.35">
      <c r="A7351" t="s">
        <v>232</v>
      </c>
      <c r="B7351" t="s">
        <v>232</v>
      </c>
      <c r="C7351" s="26">
        <v>0.80330000000000001</v>
      </c>
      <c r="D7351" s="26">
        <v>0.2999</v>
      </c>
      <c r="E7351" s="26">
        <v>0.25729999999999997</v>
      </c>
      <c r="F7351" s="26">
        <v>0.22720000000000001</v>
      </c>
      <c r="G7351" s="26">
        <v>0.19800000000000001</v>
      </c>
      <c r="H7351" s="26">
        <v>0.10780000000000001</v>
      </c>
      <c r="I7351" s="26">
        <v>2.1600000000000001E-2</v>
      </c>
      <c r="J7351" s="26">
        <v>3.5000000000000001E-3</v>
      </c>
      <c r="K7351" s="26">
        <v>2.0000000000000001E-4</v>
      </c>
      <c r="L7351">
        <v>2798</v>
      </c>
    </row>
    <row r="7353" spans="1:33" x14ac:dyDescent="0.35">
      <c r="A7353" s="1" t="s">
        <v>1038</v>
      </c>
    </row>
    <row r="7354" spans="1:33" x14ac:dyDescent="0.35">
      <c r="A7354" t="s">
        <v>219</v>
      </c>
      <c r="B7354" t="s">
        <v>305</v>
      </c>
      <c r="C7354" t="s">
        <v>995</v>
      </c>
      <c r="D7354" t="s">
        <v>996</v>
      </c>
      <c r="E7354" t="s">
        <v>997</v>
      </c>
      <c r="F7354" t="s">
        <v>998</v>
      </c>
      <c r="G7354" t="s">
        <v>999</v>
      </c>
      <c r="H7354" t="s">
        <v>1000</v>
      </c>
      <c r="I7354" t="s">
        <v>1001</v>
      </c>
      <c r="J7354" t="s">
        <v>1002</v>
      </c>
      <c r="K7354" t="s">
        <v>1003</v>
      </c>
      <c r="L7354" t="s">
        <v>1004</v>
      </c>
      <c r="M7354" t="s">
        <v>1005</v>
      </c>
      <c r="N7354" t="s">
        <v>1006</v>
      </c>
      <c r="O7354" t="s">
        <v>1007</v>
      </c>
      <c r="P7354" t="s">
        <v>1008</v>
      </c>
      <c r="Q7354" t="s">
        <v>1009</v>
      </c>
      <c r="R7354" t="s">
        <v>1010</v>
      </c>
      <c r="S7354" t="s">
        <v>1011</v>
      </c>
      <c r="T7354" t="s">
        <v>1012</v>
      </c>
      <c r="U7354" t="s">
        <v>1013</v>
      </c>
      <c r="V7354" t="s">
        <v>1014</v>
      </c>
      <c r="W7354" t="s">
        <v>1015</v>
      </c>
      <c r="X7354" t="s">
        <v>1016</v>
      </c>
      <c r="Y7354" t="s">
        <v>1017</v>
      </c>
      <c r="Z7354" t="s">
        <v>1018</v>
      </c>
      <c r="AA7354" t="s">
        <v>1019</v>
      </c>
      <c r="AB7354" t="s">
        <v>1020</v>
      </c>
      <c r="AC7354" t="s">
        <v>1021</v>
      </c>
      <c r="AD7354" t="s">
        <v>1022</v>
      </c>
      <c r="AE7354" t="s">
        <v>1023</v>
      </c>
      <c r="AF7354" t="s">
        <v>1024</v>
      </c>
      <c r="AG7354" t="s">
        <v>964</v>
      </c>
    </row>
    <row r="7355" spans="1:33" x14ac:dyDescent="0.35">
      <c r="A7355" s="27" t="s">
        <v>227</v>
      </c>
      <c r="B7355" s="27" t="s">
        <v>262</v>
      </c>
      <c r="C7355" s="29">
        <v>2000</v>
      </c>
      <c r="D7355" s="29">
        <v>2000</v>
      </c>
      <c r="E7355" s="29">
        <v>2000</v>
      </c>
      <c r="F7355" s="29">
        <v>2000</v>
      </c>
      <c r="G7355" s="29">
        <v>1</v>
      </c>
      <c r="H7355" s="29"/>
      <c r="I7355" s="29"/>
      <c r="J7355" s="29"/>
      <c r="K7355" s="29"/>
      <c r="L7355" s="29"/>
      <c r="M7355" s="29">
        <v>3066.67</v>
      </c>
      <c r="N7355" s="29">
        <v>5000</v>
      </c>
      <c r="O7355" s="29">
        <v>1200</v>
      </c>
      <c r="P7355" s="29">
        <v>5000</v>
      </c>
      <c r="Q7355" s="29">
        <v>3</v>
      </c>
      <c r="R7355" s="29">
        <v>2500</v>
      </c>
      <c r="S7355" s="29">
        <v>2500</v>
      </c>
      <c r="T7355" s="29">
        <v>2500</v>
      </c>
      <c r="U7355" s="29">
        <v>2500</v>
      </c>
      <c r="V7355" s="29">
        <v>1</v>
      </c>
      <c r="W7355" s="29"/>
      <c r="X7355" s="29"/>
      <c r="Y7355" s="29"/>
      <c r="Z7355" s="29"/>
      <c r="AA7355" s="29"/>
      <c r="AB7355" s="29"/>
      <c r="AC7355" s="29"/>
      <c r="AD7355" s="29"/>
      <c r="AE7355" s="29"/>
      <c r="AF7355" s="29"/>
      <c r="AG7355" s="29">
        <v>3</v>
      </c>
    </row>
    <row r="7356" spans="1:33" x14ac:dyDescent="0.35">
      <c r="A7356" s="27" t="s">
        <v>227</v>
      </c>
      <c r="B7356" s="27" t="s">
        <v>261</v>
      </c>
      <c r="C7356" s="29">
        <v>3218.75</v>
      </c>
      <c r="D7356" s="29">
        <v>2500</v>
      </c>
      <c r="E7356" s="29">
        <v>150</v>
      </c>
      <c r="F7356" s="29">
        <v>10000</v>
      </c>
      <c r="G7356" s="29">
        <v>8</v>
      </c>
      <c r="H7356" s="29">
        <v>5860</v>
      </c>
      <c r="I7356" s="29">
        <v>3000</v>
      </c>
      <c r="J7356" s="29">
        <v>300</v>
      </c>
      <c r="K7356" s="29">
        <v>25000</v>
      </c>
      <c r="L7356" s="29">
        <v>5</v>
      </c>
      <c r="M7356" s="29">
        <v>5407.69</v>
      </c>
      <c r="N7356" s="29">
        <v>4200</v>
      </c>
      <c r="O7356" s="29">
        <v>500</v>
      </c>
      <c r="P7356" s="29">
        <v>30000</v>
      </c>
      <c r="Q7356" s="29">
        <v>26</v>
      </c>
      <c r="R7356" s="29">
        <v>10000</v>
      </c>
      <c r="S7356" s="29">
        <v>10000</v>
      </c>
      <c r="T7356" s="29">
        <v>10000</v>
      </c>
      <c r="U7356" s="29">
        <v>10000</v>
      </c>
      <c r="V7356" s="29">
        <v>1</v>
      </c>
      <c r="W7356" s="29">
        <v>6566.67</v>
      </c>
      <c r="X7356" s="29">
        <v>15000</v>
      </c>
      <c r="Y7356" s="29">
        <v>1500</v>
      </c>
      <c r="Z7356" s="29">
        <v>15000</v>
      </c>
      <c r="AA7356" s="29">
        <v>3</v>
      </c>
      <c r="AB7356" s="29">
        <v>2800</v>
      </c>
      <c r="AC7356" s="29">
        <v>1000</v>
      </c>
      <c r="AD7356" s="29">
        <v>1000</v>
      </c>
      <c r="AE7356" s="29">
        <v>4600</v>
      </c>
      <c r="AF7356" s="29">
        <v>2</v>
      </c>
      <c r="AG7356" s="29">
        <v>26</v>
      </c>
    </row>
    <row r="7357" spans="1:33" x14ac:dyDescent="0.35">
      <c r="A7357" t="s">
        <v>227</v>
      </c>
      <c r="B7357" t="s">
        <v>260</v>
      </c>
      <c r="C7357">
        <v>12620.59</v>
      </c>
      <c r="D7357">
        <v>4000</v>
      </c>
      <c r="E7357">
        <v>300</v>
      </c>
      <c r="F7357">
        <v>100000</v>
      </c>
      <c r="G7357" s="30">
        <v>34</v>
      </c>
      <c r="H7357">
        <v>3817.82</v>
      </c>
      <c r="I7357">
        <v>3000</v>
      </c>
      <c r="J7357">
        <v>500</v>
      </c>
      <c r="K7357">
        <v>20000</v>
      </c>
      <c r="L7357" s="30">
        <v>22</v>
      </c>
      <c r="M7357">
        <v>7587.65</v>
      </c>
      <c r="N7357">
        <v>4000</v>
      </c>
      <c r="O7357">
        <v>200</v>
      </c>
      <c r="P7357">
        <v>50000</v>
      </c>
      <c r="Q7357" s="30">
        <v>85</v>
      </c>
      <c r="R7357">
        <v>7925</v>
      </c>
      <c r="S7357">
        <v>6000</v>
      </c>
      <c r="T7357">
        <v>500</v>
      </c>
      <c r="U7357">
        <v>42000</v>
      </c>
      <c r="V7357" s="30">
        <v>24</v>
      </c>
      <c r="W7357">
        <v>16376.47</v>
      </c>
      <c r="X7357">
        <v>8000</v>
      </c>
      <c r="Y7357">
        <v>1300</v>
      </c>
      <c r="Z7357">
        <v>60000</v>
      </c>
      <c r="AA7357" s="30">
        <v>17</v>
      </c>
      <c r="AB7357">
        <v>8846.67</v>
      </c>
      <c r="AC7357">
        <v>7000</v>
      </c>
      <c r="AD7357">
        <v>2160</v>
      </c>
      <c r="AE7357">
        <v>25000</v>
      </c>
      <c r="AF7357" s="30">
        <v>12</v>
      </c>
      <c r="AG7357">
        <v>85</v>
      </c>
    </row>
    <row r="7358" spans="1:33" x14ac:dyDescent="0.35">
      <c r="A7358" s="27" t="s">
        <v>228</v>
      </c>
      <c r="B7358" s="27" t="s">
        <v>263</v>
      </c>
      <c r="C7358" s="29">
        <v>12388.85</v>
      </c>
      <c r="D7358" s="29">
        <v>10000</v>
      </c>
      <c r="E7358" s="29">
        <v>700</v>
      </c>
      <c r="F7358" s="29">
        <v>40000</v>
      </c>
      <c r="G7358" s="29">
        <v>9</v>
      </c>
      <c r="H7358" s="29">
        <v>5281.4</v>
      </c>
      <c r="I7358" s="29">
        <v>10000</v>
      </c>
      <c r="J7358" s="29">
        <v>1000</v>
      </c>
      <c r="K7358" s="29">
        <v>10000</v>
      </c>
      <c r="L7358" s="29">
        <v>5</v>
      </c>
      <c r="M7358" s="29">
        <v>11494.36</v>
      </c>
      <c r="N7358" s="29">
        <v>15000</v>
      </c>
      <c r="O7358" s="29">
        <v>1000</v>
      </c>
      <c r="P7358" s="29">
        <v>50000</v>
      </c>
      <c r="Q7358" s="29">
        <v>19</v>
      </c>
      <c r="R7358" s="29">
        <v>8292.7900000000009</v>
      </c>
      <c r="S7358" s="29">
        <v>10000</v>
      </c>
      <c r="T7358" s="29">
        <v>2000</v>
      </c>
      <c r="U7358" s="29">
        <v>12000</v>
      </c>
      <c r="V7358" s="29">
        <v>4</v>
      </c>
      <c r="W7358" s="29">
        <v>14144.02</v>
      </c>
      <c r="X7358" s="29">
        <v>15000</v>
      </c>
      <c r="Y7358" s="29">
        <v>5000</v>
      </c>
      <c r="Z7358" s="29">
        <v>50000</v>
      </c>
      <c r="AA7358" s="29">
        <v>5</v>
      </c>
      <c r="AB7358" s="29">
        <v>6000</v>
      </c>
      <c r="AC7358" s="29">
        <v>6000</v>
      </c>
      <c r="AD7358" s="29">
        <v>6000</v>
      </c>
      <c r="AE7358" s="29">
        <v>6000</v>
      </c>
      <c r="AF7358" s="29">
        <v>1</v>
      </c>
      <c r="AG7358" s="29">
        <v>19</v>
      </c>
    </row>
    <row r="7359" spans="1:33" x14ac:dyDescent="0.35">
      <c r="A7359" t="s">
        <v>228</v>
      </c>
      <c r="B7359" t="s">
        <v>262</v>
      </c>
      <c r="C7359">
        <v>12283.25</v>
      </c>
      <c r="D7359">
        <v>7000</v>
      </c>
      <c r="E7359">
        <v>200</v>
      </c>
      <c r="F7359">
        <v>60000</v>
      </c>
      <c r="G7359" s="30">
        <v>52</v>
      </c>
      <c r="H7359">
        <v>5173.72</v>
      </c>
      <c r="I7359">
        <v>3000</v>
      </c>
      <c r="J7359">
        <v>200</v>
      </c>
      <c r="K7359">
        <v>20000</v>
      </c>
      <c r="L7359" s="30">
        <v>37</v>
      </c>
      <c r="M7359">
        <v>10630.03</v>
      </c>
      <c r="N7359">
        <v>6000</v>
      </c>
      <c r="O7359">
        <v>300</v>
      </c>
      <c r="P7359">
        <v>100000</v>
      </c>
      <c r="Q7359" s="30">
        <v>144</v>
      </c>
      <c r="R7359">
        <v>8176.16</v>
      </c>
      <c r="S7359">
        <v>4500</v>
      </c>
      <c r="T7359">
        <v>150</v>
      </c>
      <c r="U7359">
        <v>40000</v>
      </c>
      <c r="V7359" s="30">
        <v>44</v>
      </c>
      <c r="W7359">
        <v>26107.77</v>
      </c>
      <c r="X7359">
        <v>10000</v>
      </c>
      <c r="Y7359">
        <v>1500</v>
      </c>
      <c r="Z7359">
        <v>100000</v>
      </c>
      <c r="AA7359" s="30">
        <v>41</v>
      </c>
      <c r="AB7359">
        <v>9941.4699999999993</v>
      </c>
      <c r="AC7359">
        <v>10000</v>
      </c>
      <c r="AD7359">
        <v>800</v>
      </c>
      <c r="AE7359">
        <v>31000</v>
      </c>
      <c r="AF7359" s="30">
        <v>18</v>
      </c>
      <c r="AG7359">
        <v>144</v>
      </c>
    </row>
    <row r="7360" spans="1:33" x14ac:dyDescent="0.35">
      <c r="A7360" t="s">
        <v>228</v>
      </c>
      <c r="B7360" t="s">
        <v>260</v>
      </c>
      <c r="C7360">
        <v>11081.28</v>
      </c>
      <c r="D7360">
        <v>3000</v>
      </c>
      <c r="E7360">
        <v>180</v>
      </c>
      <c r="F7360">
        <v>200000</v>
      </c>
      <c r="G7360" s="30">
        <v>111</v>
      </c>
      <c r="H7360">
        <v>5573.06</v>
      </c>
      <c r="I7360">
        <v>3000</v>
      </c>
      <c r="J7360">
        <v>200</v>
      </c>
      <c r="K7360">
        <v>30000</v>
      </c>
      <c r="L7360" s="30">
        <v>90</v>
      </c>
      <c r="M7360">
        <v>9303.65</v>
      </c>
      <c r="N7360">
        <v>4500</v>
      </c>
      <c r="O7360">
        <v>100</v>
      </c>
      <c r="P7360">
        <v>100000</v>
      </c>
      <c r="Q7360" s="30">
        <v>394</v>
      </c>
      <c r="R7360">
        <v>8339.07</v>
      </c>
      <c r="S7360">
        <v>5000</v>
      </c>
      <c r="T7360">
        <v>300</v>
      </c>
      <c r="U7360">
        <v>40000</v>
      </c>
      <c r="V7360" s="30">
        <v>61</v>
      </c>
      <c r="W7360">
        <v>14909.52</v>
      </c>
      <c r="X7360">
        <v>10000</v>
      </c>
      <c r="Y7360">
        <v>200</v>
      </c>
      <c r="Z7360">
        <v>120000</v>
      </c>
      <c r="AA7360" s="30">
        <v>68</v>
      </c>
      <c r="AB7360">
        <v>7830.56</v>
      </c>
      <c r="AC7360">
        <v>3000</v>
      </c>
      <c r="AD7360">
        <v>100</v>
      </c>
      <c r="AE7360">
        <v>30000</v>
      </c>
      <c r="AF7360" s="30">
        <v>18</v>
      </c>
      <c r="AG7360">
        <v>394</v>
      </c>
    </row>
    <row r="7361" spans="1:33" x14ac:dyDescent="0.35">
      <c r="A7361" t="s">
        <v>228</v>
      </c>
      <c r="B7361" t="s">
        <v>261</v>
      </c>
      <c r="C7361">
        <v>9048.2000000000007</v>
      </c>
      <c r="D7361">
        <v>4000</v>
      </c>
      <c r="E7361">
        <v>250</v>
      </c>
      <c r="F7361">
        <v>100000</v>
      </c>
      <c r="G7361" s="30">
        <v>34</v>
      </c>
      <c r="H7361">
        <v>3136.06</v>
      </c>
      <c r="I7361">
        <v>3000</v>
      </c>
      <c r="J7361">
        <v>500</v>
      </c>
      <c r="K7361">
        <v>20000</v>
      </c>
      <c r="L7361" s="30">
        <v>31</v>
      </c>
      <c r="M7361">
        <v>12122.32</v>
      </c>
      <c r="N7361">
        <v>6000</v>
      </c>
      <c r="O7361">
        <v>500</v>
      </c>
      <c r="P7361">
        <v>60000</v>
      </c>
      <c r="Q7361" s="30">
        <v>114</v>
      </c>
      <c r="R7361">
        <v>9846.6200000000008</v>
      </c>
      <c r="S7361">
        <v>7000</v>
      </c>
      <c r="T7361">
        <v>500</v>
      </c>
      <c r="U7361">
        <v>30000</v>
      </c>
      <c r="V7361" s="30">
        <v>31</v>
      </c>
      <c r="W7361">
        <v>19327.02</v>
      </c>
      <c r="X7361">
        <v>12000</v>
      </c>
      <c r="Y7361">
        <v>250</v>
      </c>
      <c r="Z7361">
        <v>80000</v>
      </c>
      <c r="AA7361" s="30">
        <v>25</v>
      </c>
      <c r="AB7361">
        <v>1722.13</v>
      </c>
      <c r="AC7361">
        <v>1000</v>
      </c>
      <c r="AD7361">
        <v>800</v>
      </c>
      <c r="AE7361">
        <v>4000</v>
      </c>
      <c r="AF7361" s="30">
        <v>3</v>
      </c>
      <c r="AG7361">
        <v>114</v>
      </c>
    </row>
    <row r="7362" spans="1:33" x14ac:dyDescent="0.35">
      <c r="A7362" t="s">
        <v>229</v>
      </c>
      <c r="B7362" t="s">
        <v>260</v>
      </c>
      <c r="C7362">
        <v>15189.13</v>
      </c>
      <c r="D7362">
        <v>5000</v>
      </c>
      <c r="E7362">
        <v>100</v>
      </c>
      <c r="F7362">
        <v>200000</v>
      </c>
      <c r="G7362" s="30">
        <v>134</v>
      </c>
      <c r="H7362">
        <v>5577.09</v>
      </c>
      <c r="I7362">
        <v>2000</v>
      </c>
      <c r="J7362">
        <v>200</v>
      </c>
      <c r="K7362">
        <v>30000</v>
      </c>
      <c r="L7362" s="30">
        <v>89</v>
      </c>
      <c r="M7362">
        <v>9524.94</v>
      </c>
      <c r="N7362">
        <v>5000</v>
      </c>
      <c r="O7362">
        <v>200</v>
      </c>
      <c r="P7362">
        <v>80000</v>
      </c>
      <c r="Q7362" s="30">
        <v>367</v>
      </c>
      <c r="R7362">
        <v>10288.09</v>
      </c>
      <c r="S7362">
        <v>7000</v>
      </c>
      <c r="T7362">
        <v>200</v>
      </c>
      <c r="U7362">
        <v>45000</v>
      </c>
      <c r="V7362" s="30">
        <v>84</v>
      </c>
      <c r="W7362">
        <v>13686.51</v>
      </c>
      <c r="X7362">
        <v>10000</v>
      </c>
      <c r="Y7362">
        <v>300</v>
      </c>
      <c r="Z7362">
        <v>51000</v>
      </c>
      <c r="AA7362" s="30">
        <v>64</v>
      </c>
      <c r="AB7362">
        <v>4995.32</v>
      </c>
      <c r="AC7362">
        <v>2000</v>
      </c>
      <c r="AD7362">
        <v>200</v>
      </c>
      <c r="AE7362">
        <v>30000</v>
      </c>
      <c r="AF7362" s="30">
        <v>29</v>
      </c>
      <c r="AG7362">
        <v>367</v>
      </c>
    </row>
    <row r="7363" spans="1:33" x14ac:dyDescent="0.35">
      <c r="A7363" s="27" t="s">
        <v>229</v>
      </c>
      <c r="B7363" s="27" t="s">
        <v>263</v>
      </c>
      <c r="C7363" s="29">
        <v>9572.58</v>
      </c>
      <c r="D7363" s="29">
        <v>10000</v>
      </c>
      <c r="E7363" s="29">
        <v>1000</v>
      </c>
      <c r="F7363" s="29">
        <v>20000</v>
      </c>
      <c r="G7363" s="29">
        <v>7</v>
      </c>
      <c r="H7363" s="29">
        <v>4035.3</v>
      </c>
      <c r="I7363" s="29">
        <v>4000</v>
      </c>
      <c r="J7363" s="29">
        <v>700</v>
      </c>
      <c r="K7363" s="29">
        <v>15000</v>
      </c>
      <c r="L7363" s="29">
        <v>4</v>
      </c>
      <c r="M7363" s="29">
        <v>10926.35</v>
      </c>
      <c r="N7363" s="29">
        <v>12000</v>
      </c>
      <c r="O7363" s="29">
        <v>3000</v>
      </c>
      <c r="P7363" s="29">
        <v>65000</v>
      </c>
      <c r="Q7363" s="29">
        <v>12</v>
      </c>
      <c r="R7363" s="29">
        <v>7777.44</v>
      </c>
      <c r="S7363" s="29">
        <v>10000</v>
      </c>
      <c r="T7363" s="29">
        <v>3000</v>
      </c>
      <c r="U7363" s="29">
        <v>15000</v>
      </c>
      <c r="V7363" s="29">
        <v>5</v>
      </c>
      <c r="W7363" s="29">
        <v>13388.43</v>
      </c>
      <c r="X7363" s="29">
        <v>12000</v>
      </c>
      <c r="Y7363" s="29">
        <v>10000</v>
      </c>
      <c r="Z7363" s="29">
        <v>30000</v>
      </c>
      <c r="AA7363" s="29">
        <v>3</v>
      </c>
      <c r="AB7363" s="29"/>
      <c r="AC7363" s="29"/>
      <c r="AD7363" s="29"/>
      <c r="AE7363" s="29"/>
      <c r="AF7363" s="29"/>
      <c r="AG7363" s="29">
        <v>12</v>
      </c>
    </row>
    <row r="7364" spans="1:33" x14ac:dyDescent="0.35">
      <c r="A7364" t="s">
        <v>229</v>
      </c>
      <c r="B7364" t="s">
        <v>262</v>
      </c>
      <c r="C7364">
        <v>17754.939999999999</v>
      </c>
      <c r="D7364">
        <v>5000</v>
      </c>
      <c r="E7364">
        <v>234</v>
      </c>
      <c r="F7364">
        <v>200000</v>
      </c>
      <c r="G7364" s="30">
        <v>52</v>
      </c>
      <c r="H7364">
        <v>8109.02</v>
      </c>
      <c r="I7364">
        <v>5000</v>
      </c>
      <c r="J7364">
        <v>300</v>
      </c>
      <c r="K7364">
        <v>30000</v>
      </c>
      <c r="L7364" s="30">
        <v>51</v>
      </c>
      <c r="M7364">
        <v>13920.6</v>
      </c>
      <c r="N7364">
        <v>10000</v>
      </c>
      <c r="O7364">
        <v>600</v>
      </c>
      <c r="P7364">
        <v>100000</v>
      </c>
      <c r="Q7364" s="30">
        <v>138</v>
      </c>
      <c r="R7364">
        <v>8281.17</v>
      </c>
      <c r="S7364">
        <v>5000</v>
      </c>
      <c r="T7364">
        <v>400</v>
      </c>
      <c r="U7364">
        <v>40000</v>
      </c>
      <c r="V7364" s="30">
        <v>67</v>
      </c>
      <c r="W7364">
        <v>21447.1</v>
      </c>
      <c r="X7364">
        <v>15000</v>
      </c>
      <c r="Y7364">
        <v>1000</v>
      </c>
      <c r="Z7364">
        <v>120000</v>
      </c>
      <c r="AA7364" s="30">
        <v>43</v>
      </c>
      <c r="AB7364">
        <v>10713.53</v>
      </c>
      <c r="AC7364">
        <v>7000</v>
      </c>
      <c r="AD7364">
        <v>1500</v>
      </c>
      <c r="AE7364">
        <v>29000</v>
      </c>
      <c r="AF7364" s="30">
        <v>11</v>
      </c>
      <c r="AG7364">
        <v>138</v>
      </c>
    </row>
    <row r="7365" spans="1:33" x14ac:dyDescent="0.35">
      <c r="A7365" t="s">
        <v>229</v>
      </c>
      <c r="B7365" t="s">
        <v>261</v>
      </c>
      <c r="C7365">
        <v>6988.86</v>
      </c>
      <c r="D7365">
        <v>5000</v>
      </c>
      <c r="E7365">
        <v>250</v>
      </c>
      <c r="F7365">
        <v>70000</v>
      </c>
      <c r="G7365" s="30">
        <v>20</v>
      </c>
      <c r="H7365">
        <v>5937.74</v>
      </c>
      <c r="I7365">
        <v>5000</v>
      </c>
      <c r="J7365">
        <v>500</v>
      </c>
      <c r="K7365">
        <v>30000</v>
      </c>
      <c r="L7365" s="30">
        <v>21</v>
      </c>
      <c r="M7365">
        <v>9674.1299999999992</v>
      </c>
      <c r="N7365">
        <v>8000</v>
      </c>
      <c r="O7365">
        <v>150</v>
      </c>
      <c r="P7365">
        <v>41000</v>
      </c>
      <c r="Q7365" s="30">
        <v>74</v>
      </c>
      <c r="R7365">
        <v>2676.43</v>
      </c>
      <c r="S7365">
        <v>3000</v>
      </c>
      <c r="T7365">
        <v>300</v>
      </c>
      <c r="U7365">
        <v>20000</v>
      </c>
      <c r="V7365" s="30">
        <v>18</v>
      </c>
      <c r="W7365">
        <v>38682.69</v>
      </c>
      <c r="X7365">
        <v>25000</v>
      </c>
      <c r="Y7365">
        <v>2000</v>
      </c>
      <c r="Z7365">
        <v>200000</v>
      </c>
      <c r="AA7365" s="30">
        <v>16</v>
      </c>
      <c r="AB7365">
        <v>5741.6</v>
      </c>
      <c r="AC7365">
        <v>4000</v>
      </c>
      <c r="AD7365">
        <v>1000</v>
      </c>
      <c r="AE7365">
        <v>11600</v>
      </c>
      <c r="AF7365" s="30">
        <v>5</v>
      </c>
      <c r="AG7365">
        <v>74</v>
      </c>
    </row>
    <row r="7366" spans="1:33" x14ac:dyDescent="0.35">
      <c r="A7366" t="s">
        <v>230</v>
      </c>
      <c r="B7366" t="s">
        <v>261</v>
      </c>
      <c r="C7366">
        <v>5789.35</v>
      </c>
      <c r="D7366">
        <v>5000</v>
      </c>
      <c r="E7366">
        <v>400</v>
      </c>
      <c r="F7366">
        <v>15000</v>
      </c>
      <c r="G7366" s="30">
        <v>14</v>
      </c>
      <c r="H7366">
        <v>4082.49</v>
      </c>
      <c r="I7366">
        <v>4000</v>
      </c>
      <c r="J7366">
        <v>1000</v>
      </c>
      <c r="K7366">
        <v>17000</v>
      </c>
      <c r="L7366" s="30">
        <v>9</v>
      </c>
      <c r="M7366">
        <v>11565.97</v>
      </c>
      <c r="N7366">
        <v>5000</v>
      </c>
      <c r="O7366">
        <v>300</v>
      </c>
      <c r="P7366">
        <v>70000</v>
      </c>
      <c r="Q7366" s="30">
        <v>40</v>
      </c>
      <c r="R7366">
        <v>5353.23</v>
      </c>
      <c r="S7366">
        <v>5000</v>
      </c>
      <c r="T7366">
        <v>200</v>
      </c>
      <c r="U7366">
        <v>30000</v>
      </c>
      <c r="V7366" s="30">
        <v>12</v>
      </c>
      <c r="W7366">
        <v>17196.54</v>
      </c>
      <c r="X7366">
        <v>15000</v>
      </c>
      <c r="Y7366">
        <v>800</v>
      </c>
      <c r="Z7366">
        <v>30000</v>
      </c>
      <c r="AA7366" s="30">
        <v>7</v>
      </c>
      <c r="AG7366">
        <v>40</v>
      </c>
    </row>
    <row r="7367" spans="1:33" x14ac:dyDescent="0.35">
      <c r="A7367" t="s">
        <v>230</v>
      </c>
      <c r="B7367" t="s">
        <v>260</v>
      </c>
      <c r="C7367">
        <v>13957.13</v>
      </c>
      <c r="D7367">
        <v>5000</v>
      </c>
      <c r="E7367">
        <v>400</v>
      </c>
      <c r="F7367">
        <v>200000</v>
      </c>
      <c r="G7367" s="30">
        <v>93</v>
      </c>
      <c r="H7367">
        <v>5033.1099999999997</v>
      </c>
      <c r="I7367">
        <v>3000</v>
      </c>
      <c r="J7367">
        <v>200</v>
      </c>
      <c r="K7367">
        <v>30000</v>
      </c>
      <c r="L7367" s="30">
        <v>58</v>
      </c>
      <c r="M7367">
        <v>8964.11</v>
      </c>
      <c r="N7367">
        <v>5000</v>
      </c>
      <c r="O7367">
        <v>100</v>
      </c>
      <c r="P7367">
        <v>80000</v>
      </c>
      <c r="Q7367" s="30">
        <v>232</v>
      </c>
      <c r="R7367">
        <v>6034.54</v>
      </c>
      <c r="S7367">
        <v>4000</v>
      </c>
      <c r="T7367">
        <v>200</v>
      </c>
      <c r="U7367">
        <v>30000</v>
      </c>
      <c r="V7367" s="30">
        <v>47</v>
      </c>
      <c r="W7367">
        <v>16853.57</v>
      </c>
      <c r="X7367">
        <v>6000</v>
      </c>
      <c r="Y7367">
        <v>400</v>
      </c>
      <c r="Z7367">
        <v>250000</v>
      </c>
      <c r="AA7367" s="30">
        <v>54</v>
      </c>
      <c r="AB7367">
        <v>5227.96</v>
      </c>
      <c r="AC7367">
        <v>5000</v>
      </c>
      <c r="AD7367">
        <v>500</v>
      </c>
      <c r="AE7367">
        <v>30000</v>
      </c>
      <c r="AF7367" s="30">
        <v>23</v>
      </c>
      <c r="AG7367">
        <v>232</v>
      </c>
    </row>
    <row r="7368" spans="1:33" x14ac:dyDescent="0.35">
      <c r="A7368" s="27" t="s">
        <v>230</v>
      </c>
      <c r="B7368" s="27" t="s">
        <v>263</v>
      </c>
      <c r="C7368" s="29">
        <v>5369.17</v>
      </c>
      <c r="D7368" s="29">
        <v>10000</v>
      </c>
      <c r="E7368" s="29">
        <v>200</v>
      </c>
      <c r="F7368" s="29">
        <v>17000</v>
      </c>
      <c r="G7368" s="29">
        <v>10</v>
      </c>
      <c r="H7368" s="29">
        <v>1877.85</v>
      </c>
      <c r="I7368" s="29">
        <v>3000</v>
      </c>
      <c r="J7368" s="29">
        <v>400</v>
      </c>
      <c r="K7368" s="29">
        <v>3000</v>
      </c>
      <c r="L7368" s="29">
        <v>4</v>
      </c>
      <c r="M7368" s="29">
        <v>9451.43</v>
      </c>
      <c r="N7368" s="29">
        <v>9000</v>
      </c>
      <c r="O7368" s="29">
        <v>1500</v>
      </c>
      <c r="P7368" s="29">
        <v>30000</v>
      </c>
      <c r="Q7368" s="29">
        <v>20</v>
      </c>
      <c r="R7368" s="29">
        <v>5500</v>
      </c>
      <c r="S7368" s="29">
        <v>2000</v>
      </c>
      <c r="T7368" s="29">
        <v>2000</v>
      </c>
      <c r="U7368" s="29">
        <v>9000</v>
      </c>
      <c r="V7368" s="29">
        <v>2</v>
      </c>
      <c r="W7368" s="29">
        <v>9510.56</v>
      </c>
      <c r="X7368" s="29">
        <v>12000</v>
      </c>
      <c r="Y7368" s="29">
        <v>600</v>
      </c>
      <c r="Z7368" s="29">
        <v>12000</v>
      </c>
      <c r="AA7368" s="29">
        <v>6</v>
      </c>
      <c r="AB7368" s="29"/>
      <c r="AC7368" s="29"/>
      <c r="AD7368" s="29"/>
      <c r="AE7368" s="29"/>
      <c r="AF7368" s="29"/>
      <c r="AG7368" s="29">
        <v>20</v>
      </c>
    </row>
    <row r="7369" spans="1:33" x14ac:dyDescent="0.35">
      <c r="A7369" t="s">
        <v>230</v>
      </c>
      <c r="B7369" t="s">
        <v>262</v>
      </c>
      <c r="C7369">
        <v>9390.48</v>
      </c>
      <c r="D7369">
        <v>6000</v>
      </c>
      <c r="E7369">
        <v>100</v>
      </c>
      <c r="F7369">
        <v>200000</v>
      </c>
      <c r="G7369" s="30">
        <v>41</v>
      </c>
      <c r="H7369">
        <v>5723.86</v>
      </c>
      <c r="I7369">
        <v>5000</v>
      </c>
      <c r="J7369">
        <v>350</v>
      </c>
      <c r="K7369">
        <v>22000</v>
      </c>
      <c r="L7369" s="30">
        <v>29</v>
      </c>
      <c r="M7369">
        <v>12349.9</v>
      </c>
      <c r="N7369">
        <v>5000</v>
      </c>
      <c r="O7369">
        <v>200</v>
      </c>
      <c r="P7369">
        <v>100000</v>
      </c>
      <c r="Q7369" s="30">
        <v>88</v>
      </c>
      <c r="R7369">
        <v>12799.83</v>
      </c>
      <c r="S7369">
        <v>8000</v>
      </c>
      <c r="T7369">
        <v>620</v>
      </c>
      <c r="U7369">
        <v>40000</v>
      </c>
      <c r="V7369" s="30">
        <v>28</v>
      </c>
      <c r="W7369">
        <v>13010.29</v>
      </c>
      <c r="X7369">
        <v>7590</v>
      </c>
      <c r="Y7369">
        <v>1500</v>
      </c>
      <c r="Z7369">
        <v>110000</v>
      </c>
      <c r="AA7369" s="30">
        <v>33</v>
      </c>
      <c r="AB7369">
        <v>10765.73</v>
      </c>
      <c r="AC7369">
        <v>12000</v>
      </c>
      <c r="AD7369">
        <v>1000</v>
      </c>
      <c r="AE7369">
        <v>20000</v>
      </c>
      <c r="AF7369" s="30">
        <v>9</v>
      </c>
      <c r="AG7369">
        <v>88</v>
      </c>
    </row>
    <row r="7370" spans="1:33" x14ac:dyDescent="0.35">
      <c r="A7370" s="27" t="s">
        <v>231</v>
      </c>
      <c r="B7370" s="27" t="s">
        <v>261</v>
      </c>
      <c r="C7370" s="29">
        <v>6212.5</v>
      </c>
      <c r="D7370" s="29">
        <v>700</v>
      </c>
      <c r="E7370" s="29">
        <v>200</v>
      </c>
      <c r="F7370" s="29">
        <v>30000</v>
      </c>
      <c r="G7370" s="29">
        <v>8</v>
      </c>
      <c r="H7370" s="29">
        <v>3198.33</v>
      </c>
      <c r="I7370" s="29">
        <v>4000</v>
      </c>
      <c r="J7370" s="29">
        <v>200</v>
      </c>
      <c r="K7370" s="29">
        <v>8000</v>
      </c>
      <c r="L7370" s="29">
        <v>6</v>
      </c>
      <c r="M7370" s="29">
        <v>7943.06</v>
      </c>
      <c r="N7370" s="29">
        <v>6000</v>
      </c>
      <c r="O7370" s="29">
        <v>170</v>
      </c>
      <c r="P7370" s="29">
        <v>30000</v>
      </c>
      <c r="Q7370" s="29">
        <v>18</v>
      </c>
      <c r="R7370" s="29"/>
      <c r="S7370" s="29"/>
      <c r="T7370" s="29"/>
      <c r="U7370" s="29"/>
      <c r="V7370" s="29"/>
      <c r="W7370" s="29">
        <v>12000</v>
      </c>
      <c r="X7370" s="29">
        <v>7000</v>
      </c>
      <c r="Y7370" s="29">
        <v>7000</v>
      </c>
      <c r="Z7370" s="29">
        <v>17000</v>
      </c>
      <c r="AA7370" s="29">
        <v>2</v>
      </c>
      <c r="AB7370" s="29">
        <v>3666.67</v>
      </c>
      <c r="AC7370" s="29">
        <v>8000</v>
      </c>
      <c r="AD7370" s="29">
        <v>1000</v>
      </c>
      <c r="AE7370" s="29">
        <v>8000</v>
      </c>
      <c r="AF7370" s="29">
        <v>3</v>
      </c>
      <c r="AG7370" s="29">
        <v>18</v>
      </c>
    </row>
    <row r="7371" spans="1:33" x14ac:dyDescent="0.35">
      <c r="A7371" s="27" t="s">
        <v>231</v>
      </c>
      <c r="B7371" s="27" t="s">
        <v>262</v>
      </c>
      <c r="C7371" s="29">
        <v>7750</v>
      </c>
      <c r="D7371" s="29">
        <v>4000</v>
      </c>
      <c r="E7371" s="29">
        <v>2000</v>
      </c>
      <c r="F7371" s="29">
        <v>20000</v>
      </c>
      <c r="G7371" s="29">
        <v>4</v>
      </c>
      <c r="H7371" s="29">
        <v>10000</v>
      </c>
      <c r="I7371" s="29">
        <v>10000</v>
      </c>
      <c r="J7371" s="29">
        <v>10000</v>
      </c>
      <c r="K7371" s="29">
        <v>10000</v>
      </c>
      <c r="L7371" s="29">
        <v>1</v>
      </c>
      <c r="M7371" s="29">
        <v>6125</v>
      </c>
      <c r="N7371" s="29">
        <v>4000</v>
      </c>
      <c r="O7371" s="29">
        <v>500</v>
      </c>
      <c r="P7371" s="29">
        <v>15000</v>
      </c>
      <c r="Q7371" s="29">
        <v>4</v>
      </c>
      <c r="R7371" s="29">
        <v>4250</v>
      </c>
      <c r="S7371" s="29">
        <v>10000</v>
      </c>
      <c r="T7371" s="29">
        <v>350</v>
      </c>
      <c r="U7371" s="29">
        <v>10000</v>
      </c>
      <c r="V7371" s="29">
        <v>3</v>
      </c>
      <c r="W7371" s="29">
        <v>12500</v>
      </c>
      <c r="X7371" s="29">
        <v>5000</v>
      </c>
      <c r="Y7371" s="29">
        <v>5000</v>
      </c>
      <c r="Z7371" s="29">
        <v>30000</v>
      </c>
      <c r="AA7371" s="29">
        <v>4</v>
      </c>
      <c r="AB7371" s="29"/>
      <c r="AC7371" s="29"/>
      <c r="AD7371" s="29"/>
      <c r="AE7371" s="29"/>
      <c r="AF7371" s="29"/>
      <c r="AG7371" s="29">
        <v>4</v>
      </c>
    </row>
    <row r="7372" spans="1:33" x14ac:dyDescent="0.35">
      <c r="A7372" t="s">
        <v>231</v>
      </c>
      <c r="B7372" t="s">
        <v>260</v>
      </c>
      <c r="C7372">
        <v>25909.38</v>
      </c>
      <c r="D7372">
        <v>10000</v>
      </c>
      <c r="E7372">
        <v>500</v>
      </c>
      <c r="F7372">
        <v>200000</v>
      </c>
      <c r="G7372" s="30">
        <v>32</v>
      </c>
      <c r="H7372">
        <v>6180</v>
      </c>
      <c r="I7372">
        <v>3500</v>
      </c>
      <c r="J7372">
        <v>700</v>
      </c>
      <c r="K7372">
        <v>30000</v>
      </c>
      <c r="L7372" s="30">
        <v>30</v>
      </c>
      <c r="M7372">
        <v>8442.76</v>
      </c>
      <c r="N7372">
        <v>5000</v>
      </c>
      <c r="O7372">
        <v>400</v>
      </c>
      <c r="P7372">
        <v>100000</v>
      </c>
      <c r="Q7372" s="30">
        <v>87</v>
      </c>
      <c r="R7372">
        <v>12105.56</v>
      </c>
      <c r="S7372">
        <v>5000</v>
      </c>
      <c r="T7372">
        <v>400</v>
      </c>
      <c r="U7372">
        <v>40000</v>
      </c>
      <c r="V7372" s="30">
        <v>18</v>
      </c>
      <c r="W7372">
        <v>11382.83</v>
      </c>
      <c r="X7372">
        <v>9000</v>
      </c>
      <c r="Y7372">
        <v>500</v>
      </c>
      <c r="Z7372">
        <v>50000</v>
      </c>
      <c r="AA7372" s="30">
        <v>24</v>
      </c>
      <c r="AB7372">
        <v>1250</v>
      </c>
      <c r="AC7372">
        <v>1000</v>
      </c>
      <c r="AD7372">
        <v>300</v>
      </c>
      <c r="AE7372">
        <v>2000</v>
      </c>
      <c r="AF7372" s="30">
        <v>4</v>
      </c>
      <c r="AG7372">
        <v>87</v>
      </c>
    </row>
    <row r="7373" spans="1:33" x14ac:dyDescent="0.35">
      <c r="A7373" t="s">
        <v>232</v>
      </c>
      <c r="B7373" t="s">
        <v>232</v>
      </c>
      <c r="C7373">
        <v>14899.73</v>
      </c>
      <c r="D7373">
        <v>5000</v>
      </c>
      <c r="E7373">
        <v>100</v>
      </c>
      <c r="F7373">
        <v>200000</v>
      </c>
      <c r="G7373" s="30">
        <v>664</v>
      </c>
      <c r="H7373">
        <v>5630.43</v>
      </c>
      <c r="I7373">
        <v>3000</v>
      </c>
      <c r="J7373">
        <v>200</v>
      </c>
      <c r="K7373">
        <v>30000</v>
      </c>
      <c r="L7373" s="30">
        <v>492</v>
      </c>
      <c r="M7373">
        <v>9336.61</v>
      </c>
      <c r="N7373">
        <v>5000</v>
      </c>
      <c r="O7373">
        <v>100</v>
      </c>
      <c r="P7373">
        <v>100000</v>
      </c>
      <c r="Q7373" s="30">
        <v>1873</v>
      </c>
      <c r="R7373">
        <v>8628.5300000000007</v>
      </c>
      <c r="S7373">
        <v>5000</v>
      </c>
      <c r="T7373">
        <v>150</v>
      </c>
      <c r="U7373">
        <v>45000</v>
      </c>
      <c r="V7373" s="30">
        <v>452</v>
      </c>
      <c r="W7373">
        <v>18064.68</v>
      </c>
      <c r="X7373">
        <v>9000</v>
      </c>
      <c r="Y7373">
        <v>200</v>
      </c>
      <c r="Z7373">
        <v>400000</v>
      </c>
      <c r="AA7373" s="30">
        <v>417</v>
      </c>
      <c r="AB7373">
        <v>6639.38</v>
      </c>
      <c r="AC7373">
        <v>4000</v>
      </c>
      <c r="AD7373">
        <v>100</v>
      </c>
      <c r="AE7373">
        <v>31000</v>
      </c>
      <c r="AF7373" s="30">
        <v>140</v>
      </c>
      <c r="AG7373">
        <v>1873</v>
      </c>
    </row>
    <row r="7375" spans="1:33" x14ac:dyDescent="0.35">
      <c r="A7375" s="1" t="s">
        <v>1039</v>
      </c>
    </row>
    <row r="7376" spans="1:33" x14ac:dyDescent="0.35">
      <c r="A7376" t="s">
        <v>219</v>
      </c>
      <c r="B7376" t="s">
        <v>305</v>
      </c>
      <c r="C7376" t="s">
        <v>988</v>
      </c>
      <c r="D7376" t="s">
        <v>989</v>
      </c>
      <c r="E7376" t="s">
        <v>990</v>
      </c>
      <c r="F7376" t="s">
        <v>991</v>
      </c>
      <c r="G7376" t="s">
        <v>992</v>
      </c>
      <c r="H7376" t="s">
        <v>993</v>
      </c>
      <c r="I7376" t="s">
        <v>994</v>
      </c>
      <c r="J7376" t="s">
        <v>281</v>
      </c>
      <c r="K7376" t="s">
        <v>286</v>
      </c>
      <c r="L7376" t="s">
        <v>226</v>
      </c>
    </row>
    <row r="7377" spans="1:33" x14ac:dyDescent="0.35">
      <c r="A7377" t="s">
        <v>227</v>
      </c>
      <c r="B7377" t="s">
        <v>368</v>
      </c>
      <c r="C7377" s="26">
        <v>0.90910000000000002</v>
      </c>
      <c r="D7377" s="26">
        <v>0.30299999999999999</v>
      </c>
      <c r="E7377" s="26">
        <v>0.2424</v>
      </c>
      <c r="F7377" s="26">
        <v>3.0300000000000001E-2</v>
      </c>
      <c r="G7377" s="26">
        <v>9.0899999999999995E-2</v>
      </c>
      <c r="H7377" s="26">
        <v>6.0600000000000001E-2</v>
      </c>
      <c r="L7377">
        <v>33</v>
      </c>
    </row>
    <row r="7378" spans="1:33" x14ac:dyDescent="0.35">
      <c r="A7378" t="s">
        <v>227</v>
      </c>
      <c r="B7378" t="s">
        <v>369</v>
      </c>
      <c r="C7378" s="26">
        <v>0.78569999999999995</v>
      </c>
      <c r="D7378" s="26">
        <v>0.32540000000000002</v>
      </c>
      <c r="E7378" s="26">
        <v>0.21429999999999999</v>
      </c>
      <c r="F7378" s="26">
        <v>0.246</v>
      </c>
      <c r="G7378" s="26">
        <v>0.15870000000000001</v>
      </c>
      <c r="H7378" s="26">
        <v>0.11899999999999999</v>
      </c>
      <c r="I7378" s="26">
        <v>3.9699999999999999E-2</v>
      </c>
      <c r="J7378" s="26">
        <v>7.9000000000000008E-3</v>
      </c>
      <c r="L7378">
        <v>126</v>
      </c>
    </row>
    <row r="7379" spans="1:33" x14ac:dyDescent="0.35">
      <c r="A7379" t="s">
        <v>228</v>
      </c>
      <c r="B7379" t="s">
        <v>368</v>
      </c>
      <c r="C7379" s="26">
        <v>0.78359999999999996</v>
      </c>
      <c r="D7379" s="26">
        <v>0.2555</v>
      </c>
      <c r="E7379" s="26">
        <v>0.25779999999999997</v>
      </c>
      <c r="F7379" s="26">
        <v>0.22120000000000001</v>
      </c>
      <c r="G7379" s="26">
        <v>0.1384</v>
      </c>
      <c r="H7379" s="26">
        <v>0.10630000000000001</v>
      </c>
      <c r="J7379" s="26">
        <v>6.0000000000000001E-3</v>
      </c>
      <c r="L7379">
        <v>190</v>
      </c>
    </row>
    <row r="7380" spans="1:33" x14ac:dyDescent="0.35">
      <c r="A7380" t="s">
        <v>228</v>
      </c>
      <c r="B7380" t="s">
        <v>369</v>
      </c>
      <c r="C7380" s="26">
        <v>0.78059999999999996</v>
      </c>
      <c r="D7380" s="26">
        <v>0.25359999999999999</v>
      </c>
      <c r="E7380" s="26">
        <v>0.22559999999999999</v>
      </c>
      <c r="F7380" s="26">
        <v>0.2082</v>
      </c>
      <c r="G7380" s="26">
        <v>0.19570000000000001</v>
      </c>
      <c r="H7380" s="26">
        <v>0.12859999999999999</v>
      </c>
      <c r="I7380" s="26">
        <v>1.7399999999999999E-2</v>
      </c>
      <c r="J7380" s="26">
        <v>1.9E-3</v>
      </c>
      <c r="K7380" s="26">
        <v>2.9999999999999997E-4</v>
      </c>
      <c r="L7380">
        <v>838</v>
      </c>
    </row>
    <row r="7381" spans="1:33" x14ac:dyDescent="0.35">
      <c r="A7381" t="s">
        <v>229</v>
      </c>
      <c r="B7381" t="s">
        <v>368</v>
      </c>
      <c r="C7381" s="26">
        <v>0.98709999999999998</v>
      </c>
      <c r="D7381" s="26">
        <v>0.26590000000000003</v>
      </c>
      <c r="E7381" s="26">
        <v>0.34739999999999999</v>
      </c>
      <c r="F7381" s="26">
        <v>0.24310000000000001</v>
      </c>
      <c r="G7381" s="26">
        <v>0.16070000000000001</v>
      </c>
      <c r="H7381" s="26">
        <v>8.8999999999999999E-3</v>
      </c>
      <c r="I7381" s="26">
        <v>2.24E-2</v>
      </c>
      <c r="L7381">
        <v>96</v>
      </c>
    </row>
    <row r="7382" spans="1:33" x14ac:dyDescent="0.35">
      <c r="A7382" t="s">
        <v>229</v>
      </c>
      <c r="B7382" t="s">
        <v>369</v>
      </c>
      <c r="C7382" s="26">
        <v>0.78710000000000002</v>
      </c>
      <c r="D7382" s="26">
        <v>0.33300000000000002</v>
      </c>
      <c r="E7382" s="26">
        <v>0.26679999999999998</v>
      </c>
      <c r="F7382" s="26">
        <v>0.29880000000000001</v>
      </c>
      <c r="G7382" s="26">
        <v>0.21160000000000001</v>
      </c>
      <c r="H7382" s="26">
        <v>0.1115</v>
      </c>
      <c r="I7382" s="26">
        <v>1.34E-2</v>
      </c>
      <c r="J7382" s="26">
        <v>8.0000000000000002E-3</v>
      </c>
      <c r="K7382" s="26">
        <v>4.0000000000000002E-4</v>
      </c>
      <c r="L7382">
        <v>794</v>
      </c>
    </row>
    <row r="7383" spans="1:33" x14ac:dyDescent="0.35">
      <c r="A7383" t="s">
        <v>230</v>
      </c>
      <c r="B7383" t="s">
        <v>368</v>
      </c>
      <c r="C7383" s="26">
        <v>0.87990000000000002</v>
      </c>
      <c r="D7383" s="26">
        <v>0.28449999999999998</v>
      </c>
      <c r="E7383" s="26">
        <v>0.2422</v>
      </c>
      <c r="F7383" s="26">
        <v>0.23080000000000001</v>
      </c>
      <c r="G7383" s="26">
        <v>0.1704</v>
      </c>
      <c r="H7383" s="26">
        <v>2.18E-2</v>
      </c>
      <c r="L7383">
        <v>57</v>
      </c>
    </row>
    <row r="7384" spans="1:33" x14ac:dyDescent="0.35">
      <c r="A7384" t="s">
        <v>230</v>
      </c>
      <c r="B7384" t="s">
        <v>369</v>
      </c>
      <c r="C7384" s="26">
        <v>0.79669999999999996</v>
      </c>
      <c r="D7384" s="26">
        <v>0.33729999999999999</v>
      </c>
      <c r="E7384" s="26">
        <v>0.23549999999999999</v>
      </c>
      <c r="F7384" s="26">
        <v>0.26350000000000001</v>
      </c>
      <c r="G7384" s="26">
        <v>0.2185</v>
      </c>
      <c r="H7384" s="26">
        <v>9.7900000000000001E-2</v>
      </c>
      <c r="I7384" s="26">
        <v>1.8700000000000001E-2</v>
      </c>
      <c r="J7384" s="26">
        <v>1.4E-3</v>
      </c>
      <c r="K7384" s="26">
        <v>2.9999999999999997E-4</v>
      </c>
      <c r="L7384">
        <v>500</v>
      </c>
    </row>
    <row r="7385" spans="1:33" x14ac:dyDescent="0.35">
      <c r="A7385" s="27" t="s">
        <v>231</v>
      </c>
      <c r="B7385" s="27" t="s">
        <v>368</v>
      </c>
      <c r="C7385" s="28">
        <v>0.85189999999999999</v>
      </c>
      <c r="D7385" s="28">
        <v>0.29630000000000001</v>
      </c>
      <c r="E7385" s="28">
        <v>0.25929999999999997</v>
      </c>
      <c r="F7385" s="28">
        <v>3.6999999999999998E-2</v>
      </c>
      <c r="G7385" s="28">
        <v>0.1852</v>
      </c>
      <c r="H7385" s="28">
        <v>7.4099999999999999E-2</v>
      </c>
      <c r="I7385" s="28">
        <v>3.6999999999999998E-2</v>
      </c>
      <c r="J7385" s="29"/>
      <c r="K7385" s="29"/>
      <c r="L7385" s="29" t="s">
        <v>338</v>
      </c>
    </row>
    <row r="7386" spans="1:33" x14ac:dyDescent="0.35">
      <c r="A7386" t="s">
        <v>231</v>
      </c>
      <c r="B7386" t="s">
        <v>369</v>
      </c>
      <c r="C7386" s="26">
        <v>0.7883</v>
      </c>
      <c r="D7386" s="26">
        <v>0.28470000000000001</v>
      </c>
      <c r="E7386" s="26">
        <v>0.28470000000000001</v>
      </c>
      <c r="F7386" s="26">
        <v>0.2044</v>
      </c>
      <c r="G7386" s="26">
        <v>0.2336</v>
      </c>
      <c r="H7386" s="26">
        <v>0.1241</v>
      </c>
      <c r="I7386" s="26">
        <v>2.92E-2</v>
      </c>
      <c r="L7386">
        <v>137</v>
      </c>
    </row>
    <row r="7387" spans="1:33" x14ac:dyDescent="0.35">
      <c r="A7387" t="s">
        <v>232</v>
      </c>
      <c r="B7387" t="s">
        <v>232</v>
      </c>
      <c r="C7387" s="26">
        <v>0.80330000000000001</v>
      </c>
      <c r="D7387" s="26">
        <v>0.2999</v>
      </c>
      <c r="E7387" s="26">
        <v>0.25729999999999997</v>
      </c>
      <c r="F7387" s="26">
        <v>0.22720000000000001</v>
      </c>
      <c r="G7387" s="26">
        <v>0.19800000000000001</v>
      </c>
      <c r="H7387" s="26">
        <v>0.10780000000000001</v>
      </c>
      <c r="I7387" s="26">
        <v>2.1600000000000001E-2</v>
      </c>
      <c r="J7387" s="26">
        <v>3.5000000000000001E-3</v>
      </c>
      <c r="K7387" s="26">
        <v>2.0000000000000001E-4</v>
      </c>
      <c r="L7387">
        <v>2798</v>
      </c>
    </row>
    <row r="7389" spans="1:33" x14ac:dyDescent="0.35">
      <c r="A7389" s="1" t="s">
        <v>1040</v>
      </c>
    </row>
    <row r="7390" spans="1:33" x14ac:dyDescent="0.35">
      <c r="A7390" t="s">
        <v>219</v>
      </c>
      <c r="B7390" t="s">
        <v>305</v>
      </c>
      <c r="C7390" t="s">
        <v>995</v>
      </c>
      <c r="D7390" t="s">
        <v>996</v>
      </c>
      <c r="E7390" t="s">
        <v>997</v>
      </c>
      <c r="F7390" t="s">
        <v>998</v>
      </c>
      <c r="G7390" t="s">
        <v>999</v>
      </c>
      <c r="H7390" t="s">
        <v>1000</v>
      </c>
      <c r="I7390" t="s">
        <v>1001</v>
      </c>
      <c r="J7390" t="s">
        <v>1002</v>
      </c>
      <c r="K7390" t="s">
        <v>1003</v>
      </c>
      <c r="L7390" t="s">
        <v>1004</v>
      </c>
      <c r="M7390" t="s">
        <v>1005</v>
      </c>
      <c r="N7390" t="s">
        <v>1006</v>
      </c>
      <c r="O7390" t="s">
        <v>1007</v>
      </c>
      <c r="P7390" t="s">
        <v>1008</v>
      </c>
      <c r="Q7390" t="s">
        <v>1009</v>
      </c>
      <c r="R7390" t="s">
        <v>1010</v>
      </c>
      <c r="S7390" t="s">
        <v>1011</v>
      </c>
      <c r="T7390" t="s">
        <v>1012</v>
      </c>
      <c r="U7390" t="s">
        <v>1013</v>
      </c>
      <c r="V7390" t="s">
        <v>1014</v>
      </c>
      <c r="W7390" t="s">
        <v>1015</v>
      </c>
      <c r="X7390" t="s">
        <v>1016</v>
      </c>
      <c r="Y7390" t="s">
        <v>1017</v>
      </c>
      <c r="Z7390" t="s">
        <v>1018</v>
      </c>
      <c r="AA7390" t="s">
        <v>1019</v>
      </c>
      <c r="AB7390" t="s">
        <v>1020</v>
      </c>
      <c r="AC7390" t="s">
        <v>1021</v>
      </c>
      <c r="AD7390" t="s">
        <v>1022</v>
      </c>
      <c r="AE7390" t="s">
        <v>1023</v>
      </c>
      <c r="AF7390" t="s">
        <v>1024</v>
      </c>
      <c r="AG7390" t="s">
        <v>964</v>
      </c>
    </row>
    <row r="7391" spans="1:33" x14ac:dyDescent="0.35">
      <c r="A7391" s="27" t="s">
        <v>227</v>
      </c>
      <c r="B7391" s="27" t="s">
        <v>368</v>
      </c>
      <c r="C7391" s="29">
        <v>3218.75</v>
      </c>
      <c r="D7391" s="29">
        <v>2500</v>
      </c>
      <c r="E7391" s="29">
        <v>150</v>
      </c>
      <c r="F7391" s="29">
        <v>10000</v>
      </c>
      <c r="G7391" s="29">
        <v>8</v>
      </c>
      <c r="H7391" s="29">
        <v>5860</v>
      </c>
      <c r="I7391" s="29">
        <v>3000</v>
      </c>
      <c r="J7391" s="29">
        <v>300</v>
      </c>
      <c r="K7391" s="29">
        <v>25000</v>
      </c>
      <c r="L7391" s="29">
        <v>5</v>
      </c>
      <c r="M7391" s="29">
        <v>5407.69</v>
      </c>
      <c r="N7391" s="29">
        <v>4200</v>
      </c>
      <c r="O7391" s="29">
        <v>500</v>
      </c>
      <c r="P7391" s="29">
        <v>30000</v>
      </c>
      <c r="Q7391" s="29">
        <v>26</v>
      </c>
      <c r="R7391" s="29">
        <v>10000</v>
      </c>
      <c r="S7391" s="29">
        <v>10000</v>
      </c>
      <c r="T7391" s="29">
        <v>10000</v>
      </c>
      <c r="U7391" s="29">
        <v>10000</v>
      </c>
      <c r="V7391" s="29">
        <v>1</v>
      </c>
      <c r="W7391" s="29">
        <v>6566.67</v>
      </c>
      <c r="X7391" s="29">
        <v>15000</v>
      </c>
      <c r="Y7391" s="29">
        <v>1500</v>
      </c>
      <c r="Z7391" s="29">
        <v>15000</v>
      </c>
      <c r="AA7391" s="29">
        <v>3</v>
      </c>
      <c r="AB7391" s="29">
        <v>2800</v>
      </c>
      <c r="AC7391" s="29">
        <v>1000</v>
      </c>
      <c r="AD7391" s="29">
        <v>1000</v>
      </c>
      <c r="AE7391" s="29">
        <v>4600</v>
      </c>
      <c r="AF7391" s="29">
        <v>2</v>
      </c>
      <c r="AG7391" s="29">
        <v>26</v>
      </c>
    </row>
    <row r="7392" spans="1:33" x14ac:dyDescent="0.35">
      <c r="A7392" t="s">
        <v>227</v>
      </c>
      <c r="B7392" t="s">
        <v>369</v>
      </c>
      <c r="C7392">
        <v>12317.14</v>
      </c>
      <c r="D7392">
        <v>4000</v>
      </c>
      <c r="E7392">
        <v>300</v>
      </c>
      <c r="F7392">
        <v>100000</v>
      </c>
      <c r="G7392" s="30">
        <v>35</v>
      </c>
      <c r="H7392">
        <v>3817.82</v>
      </c>
      <c r="I7392">
        <v>3000</v>
      </c>
      <c r="J7392">
        <v>500</v>
      </c>
      <c r="K7392">
        <v>20000</v>
      </c>
      <c r="L7392" s="30">
        <v>22</v>
      </c>
      <c r="M7392">
        <v>7602.78</v>
      </c>
      <c r="N7392">
        <v>4000</v>
      </c>
      <c r="O7392">
        <v>100</v>
      </c>
      <c r="P7392">
        <v>50000</v>
      </c>
      <c r="Q7392" s="30">
        <v>90</v>
      </c>
      <c r="R7392">
        <v>7661.54</v>
      </c>
      <c r="S7392">
        <v>6000</v>
      </c>
      <c r="T7392">
        <v>500</v>
      </c>
      <c r="U7392">
        <v>42000</v>
      </c>
      <c r="V7392" s="30">
        <v>26</v>
      </c>
      <c r="W7392">
        <v>37688.89</v>
      </c>
      <c r="X7392">
        <v>8000</v>
      </c>
      <c r="Y7392">
        <v>1300</v>
      </c>
      <c r="Z7392">
        <v>400000</v>
      </c>
      <c r="AA7392" s="30">
        <v>18</v>
      </c>
      <c r="AB7392">
        <v>9704.6200000000008</v>
      </c>
      <c r="AC7392">
        <v>10000</v>
      </c>
      <c r="AD7392">
        <v>2160</v>
      </c>
      <c r="AE7392">
        <v>25000</v>
      </c>
      <c r="AF7392" s="30">
        <v>13</v>
      </c>
      <c r="AG7392">
        <v>90</v>
      </c>
    </row>
    <row r="7393" spans="1:33" x14ac:dyDescent="0.35">
      <c r="A7393" t="s">
        <v>228</v>
      </c>
      <c r="B7393" t="s">
        <v>368</v>
      </c>
      <c r="C7393">
        <v>9048.2000000000007</v>
      </c>
      <c r="D7393">
        <v>4000</v>
      </c>
      <c r="E7393">
        <v>250</v>
      </c>
      <c r="F7393">
        <v>100000</v>
      </c>
      <c r="G7393" s="30">
        <v>34</v>
      </c>
      <c r="H7393">
        <v>3136.06</v>
      </c>
      <c r="I7393">
        <v>3000</v>
      </c>
      <c r="J7393">
        <v>500</v>
      </c>
      <c r="K7393">
        <v>20000</v>
      </c>
      <c r="L7393" s="30">
        <v>31</v>
      </c>
      <c r="M7393">
        <v>12122.32</v>
      </c>
      <c r="N7393">
        <v>6000</v>
      </c>
      <c r="O7393">
        <v>500</v>
      </c>
      <c r="P7393">
        <v>60000</v>
      </c>
      <c r="Q7393" s="30">
        <v>114</v>
      </c>
      <c r="R7393">
        <v>9846.6200000000008</v>
      </c>
      <c r="S7393">
        <v>7000</v>
      </c>
      <c r="T7393">
        <v>500</v>
      </c>
      <c r="U7393">
        <v>30000</v>
      </c>
      <c r="V7393" s="30">
        <v>31</v>
      </c>
      <c r="W7393">
        <v>19327.02</v>
      </c>
      <c r="X7393">
        <v>12000</v>
      </c>
      <c r="Y7393">
        <v>250</v>
      </c>
      <c r="Z7393">
        <v>80000</v>
      </c>
      <c r="AA7393" s="30">
        <v>25</v>
      </c>
      <c r="AB7393">
        <v>1722.13</v>
      </c>
      <c r="AC7393">
        <v>1000</v>
      </c>
      <c r="AD7393">
        <v>800</v>
      </c>
      <c r="AE7393">
        <v>4000</v>
      </c>
      <c r="AF7393" s="30">
        <v>3</v>
      </c>
      <c r="AG7393">
        <v>114</v>
      </c>
    </row>
    <row r="7394" spans="1:33" x14ac:dyDescent="0.35">
      <c r="A7394" t="s">
        <v>228</v>
      </c>
      <c r="B7394" t="s">
        <v>369</v>
      </c>
      <c r="C7394">
        <v>11444.25</v>
      </c>
      <c r="D7394">
        <v>5000</v>
      </c>
      <c r="E7394">
        <v>180</v>
      </c>
      <c r="F7394">
        <v>200000</v>
      </c>
      <c r="G7394" s="30">
        <v>172</v>
      </c>
      <c r="H7394">
        <v>5465.54</v>
      </c>
      <c r="I7394">
        <v>3000</v>
      </c>
      <c r="J7394">
        <v>200</v>
      </c>
      <c r="K7394">
        <v>30000</v>
      </c>
      <c r="L7394" s="30">
        <v>132</v>
      </c>
      <c r="M7394">
        <v>9633.8799999999992</v>
      </c>
      <c r="N7394">
        <v>5000</v>
      </c>
      <c r="O7394">
        <v>100</v>
      </c>
      <c r="P7394">
        <v>100000</v>
      </c>
      <c r="Q7394" s="30">
        <v>559</v>
      </c>
      <c r="R7394">
        <v>8278.2999999999993</v>
      </c>
      <c r="S7394">
        <v>5000</v>
      </c>
      <c r="T7394">
        <v>150</v>
      </c>
      <c r="U7394">
        <v>40000</v>
      </c>
      <c r="V7394" s="30">
        <v>109</v>
      </c>
      <c r="W7394">
        <v>17536.439999999999</v>
      </c>
      <c r="X7394">
        <v>10000</v>
      </c>
      <c r="Y7394">
        <v>200</v>
      </c>
      <c r="Z7394">
        <v>120000</v>
      </c>
      <c r="AA7394" s="30">
        <v>114</v>
      </c>
      <c r="AB7394">
        <v>8288.4599999999991</v>
      </c>
      <c r="AC7394">
        <v>4000</v>
      </c>
      <c r="AD7394">
        <v>100</v>
      </c>
      <c r="AE7394">
        <v>31000</v>
      </c>
      <c r="AF7394" s="30">
        <v>38</v>
      </c>
      <c r="AG7394">
        <v>559</v>
      </c>
    </row>
    <row r="7395" spans="1:33" x14ac:dyDescent="0.35">
      <c r="A7395" t="s">
        <v>229</v>
      </c>
      <c r="B7395" t="s">
        <v>368</v>
      </c>
      <c r="C7395">
        <v>6988.86</v>
      </c>
      <c r="D7395">
        <v>5000</v>
      </c>
      <c r="E7395">
        <v>250</v>
      </c>
      <c r="F7395">
        <v>70000</v>
      </c>
      <c r="G7395" s="30">
        <v>20</v>
      </c>
      <c r="H7395">
        <v>5937.74</v>
      </c>
      <c r="I7395">
        <v>5000</v>
      </c>
      <c r="J7395">
        <v>500</v>
      </c>
      <c r="K7395">
        <v>30000</v>
      </c>
      <c r="L7395" s="30">
        <v>21</v>
      </c>
      <c r="M7395">
        <v>9674.1299999999992</v>
      </c>
      <c r="N7395">
        <v>8000</v>
      </c>
      <c r="O7395">
        <v>150</v>
      </c>
      <c r="P7395">
        <v>41000</v>
      </c>
      <c r="Q7395" s="30">
        <v>74</v>
      </c>
      <c r="R7395">
        <v>2676.43</v>
      </c>
      <c r="S7395">
        <v>3000</v>
      </c>
      <c r="T7395">
        <v>300</v>
      </c>
      <c r="U7395">
        <v>20000</v>
      </c>
      <c r="V7395" s="30">
        <v>18</v>
      </c>
      <c r="W7395">
        <v>38682.69</v>
      </c>
      <c r="X7395">
        <v>25000</v>
      </c>
      <c r="Y7395">
        <v>2000</v>
      </c>
      <c r="Z7395">
        <v>200000</v>
      </c>
      <c r="AA7395" s="30">
        <v>16</v>
      </c>
      <c r="AB7395">
        <v>5741.6</v>
      </c>
      <c r="AC7395">
        <v>4000</v>
      </c>
      <c r="AD7395">
        <v>1000</v>
      </c>
      <c r="AE7395">
        <v>11600</v>
      </c>
      <c r="AF7395" s="30">
        <v>5</v>
      </c>
      <c r="AG7395">
        <v>74</v>
      </c>
    </row>
    <row r="7396" spans="1:33" x14ac:dyDescent="0.35">
      <c r="A7396" t="s">
        <v>229</v>
      </c>
      <c r="B7396" t="s">
        <v>369</v>
      </c>
      <c r="C7396">
        <v>15830.29</v>
      </c>
      <c r="D7396">
        <v>5000</v>
      </c>
      <c r="E7396">
        <v>100</v>
      </c>
      <c r="F7396">
        <v>200000</v>
      </c>
      <c r="G7396" s="30">
        <v>193</v>
      </c>
      <c r="H7396">
        <v>6832.69</v>
      </c>
      <c r="I7396">
        <v>3999</v>
      </c>
      <c r="J7396">
        <v>200</v>
      </c>
      <c r="K7396">
        <v>30000</v>
      </c>
      <c r="L7396" s="30">
        <v>144</v>
      </c>
      <c r="M7396">
        <v>11143.94</v>
      </c>
      <c r="N7396">
        <v>6000</v>
      </c>
      <c r="O7396">
        <v>200</v>
      </c>
      <c r="P7396">
        <v>100000</v>
      </c>
      <c r="Q7396" s="30">
        <v>517</v>
      </c>
      <c r="R7396">
        <v>9049.2000000000007</v>
      </c>
      <c r="S7396">
        <v>5000</v>
      </c>
      <c r="T7396">
        <v>200</v>
      </c>
      <c r="U7396">
        <v>45000</v>
      </c>
      <c r="V7396" s="30">
        <v>156</v>
      </c>
      <c r="W7396">
        <v>17315.78</v>
      </c>
      <c r="X7396">
        <v>12000</v>
      </c>
      <c r="Y7396">
        <v>300</v>
      </c>
      <c r="Z7396">
        <v>120000</v>
      </c>
      <c r="AA7396" s="30">
        <v>110</v>
      </c>
      <c r="AB7396">
        <v>7493.08</v>
      </c>
      <c r="AC7396">
        <v>5000</v>
      </c>
      <c r="AD7396">
        <v>200</v>
      </c>
      <c r="AE7396">
        <v>30000</v>
      </c>
      <c r="AF7396" s="30">
        <v>40</v>
      </c>
      <c r="AG7396">
        <v>517</v>
      </c>
    </row>
    <row r="7397" spans="1:33" x14ac:dyDescent="0.35">
      <c r="A7397" t="s">
        <v>230</v>
      </c>
      <c r="B7397" t="s">
        <v>368</v>
      </c>
      <c r="C7397">
        <v>5789.35</v>
      </c>
      <c r="D7397">
        <v>5000</v>
      </c>
      <c r="E7397">
        <v>400</v>
      </c>
      <c r="F7397">
        <v>15000</v>
      </c>
      <c r="G7397" s="30">
        <v>14</v>
      </c>
      <c r="H7397">
        <v>4082.49</v>
      </c>
      <c r="I7397">
        <v>4000</v>
      </c>
      <c r="J7397">
        <v>1000</v>
      </c>
      <c r="K7397">
        <v>17000</v>
      </c>
      <c r="L7397" s="30">
        <v>9</v>
      </c>
      <c r="M7397">
        <v>11565.97</v>
      </c>
      <c r="N7397">
        <v>5000</v>
      </c>
      <c r="O7397">
        <v>300</v>
      </c>
      <c r="P7397">
        <v>70000</v>
      </c>
      <c r="Q7397" s="30">
        <v>40</v>
      </c>
      <c r="R7397">
        <v>5353.23</v>
      </c>
      <c r="S7397">
        <v>5000</v>
      </c>
      <c r="T7397">
        <v>200</v>
      </c>
      <c r="U7397">
        <v>30000</v>
      </c>
      <c r="V7397" s="30">
        <v>12</v>
      </c>
      <c r="W7397">
        <v>17196.54</v>
      </c>
      <c r="X7397">
        <v>15000</v>
      </c>
      <c r="Y7397">
        <v>800</v>
      </c>
      <c r="Z7397">
        <v>30000</v>
      </c>
      <c r="AA7397" s="30">
        <v>7</v>
      </c>
      <c r="AG7397">
        <v>40</v>
      </c>
    </row>
    <row r="7398" spans="1:33" x14ac:dyDescent="0.35">
      <c r="A7398" t="s">
        <v>230</v>
      </c>
      <c r="B7398" t="s">
        <v>369</v>
      </c>
      <c r="C7398">
        <v>12754.93</v>
      </c>
      <c r="D7398">
        <v>5000</v>
      </c>
      <c r="E7398">
        <v>100</v>
      </c>
      <c r="F7398">
        <v>200000</v>
      </c>
      <c r="G7398" s="30">
        <v>144</v>
      </c>
      <c r="H7398">
        <v>5172.59</v>
      </c>
      <c r="I7398">
        <v>3000</v>
      </c>
      <c r="J7398">
        <v>200</v>
      </c>
      <c r="K7398">
        <v>30000</v>
      </c>
      <c r="L7398" s="30">
        <v>91</v>
      </c>
      <c r="M7398">
        <v>9498.3799999999992</v>
      </c>
      <c r="N7398">
        <v>5000</v>
      </c>
      <c r="O7398">
        <v>100</v>
      </c>
      <c r="P7398">
        <v>100000</v>
      </c>
      <c r="Q7398" s="30">
        <v>342</v>
      </c>
      <c r="R7398">
        <v>7491.7</v>
      </c>
      <c r="S7398">
        <v>5000</v>
      </c>
      <c r="T7398">
        <v>200</v>
      </c>
      <c r="U7398">
        <v>40000</v>
      </c>
      <c r="V7398" s="30">
        <v>77</v>
      </c>
      <c r="W7398">
        <v>15340.5</v>
      </c>
      <c r="X7398">
        <v>7000</v>
      </c>
      <c r="Y7398">
        <v>400</v>
      </c>
      <c r="Z7398">
        <v>250000</v>
      </c>
      <c r="AA7398" s="30">
        <v>93</v>
      </c>
      <c r="AB7398">
        <v>6232.74</v>
      </c>
      <c r="AC7398">
        <v>5000</v>
      </c>
      <c r="AD7398">
        <v>500</v>
      </c>
      <c r="AE7398">
        <v>30000</v>
      </c>
      <c r="AF7398" s="30">
        <v>32</v>
      </c>
      <c r="AG7398">
        <v>342</v>
      </c>
    </row>
    <row r="7399" spans="1:33" x14ac:dyDescent="0.35">
      <c r="A7399" s="27" t="s">
        <v>231</v>
      </c>
      <c r="B7399" s="27" t="s">
        <v>368</v>
      </c>
      <c r="C7399" s="29">
        <v>6212.5</v>
      </c>
      <c r="D7399" s="29">
        <v>700</v>
      </c>
      <c r="E7399" s="29">
        <v>200</v>
      </c>
      <c r="F7399" s="29">
        <v>30000</v>
      </c>
      <c r="G7399" s="29">
        <v>8</v>
      </c>
      <c r="H7399" s="29">
        <v>3198.33</v>
      </c>
      <c r="I7399" s="29">
        <v>4000</v>
      </c>
      <c r="J7399" s="29">
        <v>200</v>
      </c>
      <c r="K7399" s="29">
        <v>8000</v>
      </c>
      <c r="L7399" s="29">
        <v>6</v>
      </c>
      <c r="M7399" s="29">
        <v>7943.06</v>
      </c>
      <c r="N7399" s="29">
        <v>6000</v>
      </c>
      <c r="O7399" s="29">
        <v>170</v>
      </c>
      <c r="P7399" s="29">
        <v>30000</v>
      </c>
      <c r="Q7399" s="29">
        <v>18</v>
      </c>
      <c r="R7399" s="29"/>
      <c r="S7399" s="29"/>
      <c r="T7399" s="29"/>
      <c r="U7399" s="29"/>
      <c r="V7399" s="29"/>
      <c r="W7399" s="29">
        <v>12000</v>
      </c>
      <c r="X7399" s="29">
        <v>7000</v>
      </c>
      <c r="Y7399" s="29">
        <v>7000</v>
      </c>
      <c r="Z7399" s="29">
        <v>17000</v>
      </c>
      <c r="AA7399" s="29">
        <v>2</v>
      </c>
      <c r="AB7399" s="29">
        <v>3666.67</v>
      </c>
      <c r="AC7399" s="29">
        <v>8000</v>
      </c>
      <c r="AD7399" s="29">
        <v>1000</v>
      </c>
      <c r="AE7399" s="29">
        <v>8000</v>
      </c>
      <c r="AF7399" s="29">
        <v>3</v>
      </c>
      <c r="AG7399" s="29">
        <v>18</v>
      </c>
    </row>
    <row r="7400" spans="1:33" x14ac:dyDescent="0.35">
      <c r="A7400" t="s">
        <v>231</v>
      </c>
      <c r="B7400" t="s">
        <v>369</v>
      </c>
      <c r="C7400">
        <v>23891.67</v>
      </c>
      <c r="D7400">
        <v>10000</v>
      </c>
      <c r="E7400">
        <v>500</v>
      </c>
      <c r="F7400">
        <v>200000</v>
      </c>
      <c r="G7400" s="30">
        <v>36</v>
      </c>
      <c r="H7400">
        <v>6303.23</v>
      </c>
      <c r="I7400">
        <v>5000</v>
      </c>
      <c r="J7400">
        <v>700</v>
      </c>
      <c r="K7400">
        <v>30000</v>
      </c>
      <c r="L7400" s="30">
        <v>31</v>
      </c>
      <c r="M7400">
        <v>8277.6299999999992</v>
      </c>
      <c r="N7400">
        <v>5000</v>
      </c>
      <c r="O7400">
        <v>400</v>
      </c>
      <c r="P7400">
        <v>100000</v>
      </c>
      <c r="Q7400" s="30">
        <v>93</v>
      </c>
      <c r="R7400">
        <v>10620.45</v>
      </c>
      <c r="S7400">
        <v>5000</v>
      </c>
      <c r="T7400">
        <v>350</v>
      </c>
      <c r="U7400">
        <v>40000</v>
      </c>
      <c r="V7400" s="30">
        <v>22</v>
      </c>
      <c r="W7400">
        <v>11247.86</v>
      </c>
      <c r="X7400">
        <v>7000</v>
      </c>
      <c r="Y7400">
        <v>500</v>
      </c>
      <c r="Z7400">
        <v>50000</v>
      </c>
      <c r="AA7400" s="30">
        <v>29</v>
      </c>
      <c r="AB7400">
        <v>1250</v>
      </c>
      <c r="AC7400">
        <v>1000</v>
      </c>
      <c r="AD7400">
        <v>300</v>
      </c>
      <c r="AE7400">
        <v>2000</v>
      </c>
      <c r="AF7400" s="30">
        <v>4</v>
      </c>
      <c r="AG7400">
        <v>93</v>
      </c>
    </row>
    <row r="7401" spans="1:33" x14ac:dyDescent="0.35">
      <c r="A7401" t="s">
        <v>232</v>
      </c>
      <c r="B7401" t="s">
        <v>232</v>
      </c>
      <c r="C7401">
        <v>14899.73</v>
      </c>
      <c r="D7401">
        <v>5000</v>
      </c>
      <c r="E7401">
        <v>100</v>
      </c>
      <c r="F7401">
        <v>200000</v>
      </c>
      <c r="G7401" s="30">
        <v>664</v>
      </c>
      <c r="H7401">
        <v>5630.43</v>
      </c>
      <c r="I7401">
        <v>3000</v>
      </c>
      <c r="J7401">
        <v>200</v>
      </c>
      <c r="K7401">
        <v>30000</v>
      </c>
      <c r="L7401" s="30">
        <v>492</v>
      </c>
      <c r="M7401">
        <v>9336.61</v>
      </c>
      <c r="N7401">
        <v>5000</v>
      </c>
      <c r="O7401">
        <v>100</v>
      </c>
      <c r="P7401">
        <v>100000</v>
      </c>
      <c r="Q7401" s="30">
        <v>1873</v>
      </c>
      <c r="R7401">
        <v>8628.5300000000007</v>
      </c>
      <c r="S7401">
        <v>5000</v>
      </c>
      <c r="T7401">
        <v>150</v>
      </c>
      <c r="U7401">
        <v>45000</v>
      </c>
      <c r="V7401" s="30">
        <v>452</v>
      </c>
      <c r="W7401">
        <v>18064.68</v>
      </c>
      <c r="X7401">
        <v>9000</v>
      </c>
      <c r="Y7401">
        <v>200</v>
      </c>
      <c r="Z7401">
        <v>400000</v>
      </c>
      <c r="AA7401" s="30">
        <v>417</v>
      </c>
      <c r="AB7401">
        <v>6639.38</v>
      </c>
      <c r="AC7401">
        <v>4000</v>
      </c>
      <c r="AD7401">
        <v>100</v>
      </c>
      <c r="AE7401">
        <v>31000</v>
      </c>
      <c r="AF7401" s="30">
        <v>140</v>
      </c>
      <c r="AG7401">
        <v>1873</v>
      </c>
    </row>
    <row r="7403" spans="1:33" x14ac:dyDescent="0.35">
      <c r="A7403" s="1" t="s">
        <v>1041</v>
      </c>
    </row>
    <row r="7404" spans="1:33" x14ac:dyDescent="0.35">
      <c r="A7404" t="s">
        <v>219</v>
      </c>
      <c r="B7404" t="s">
        <v>305</v>
      </c>
      <c r="C7404" t="s">
        <v>988</v>
      </c>
      <c r="D7404" t="s">
        <v>989</v>
      </c>
      <c r="E7404" t="s">
        <v>990</v>
      </c>
      <c r="F7404" t="s">
        <v>991</v>
      </c>
      <c r="G7404" t="s">
        <v>992</v>
      </c>
      <c r="H7404" t="s">
        <v>993</v>
      </c>
      <c r="I7404" t="s">
        <v>994</v>
      </c>
      <c r="J7404" t="s">
        <v>281</v>
      </c>
      <c r="K7404" t="s">
        <v>286</v>
      </c>
      <c r="L7404" t="s">
        <v>226</v>
      </c>
    </row>
    <row r="7405" spans="1:33" x14ac:dyDescent="0.35">
      <c r="A7405" t="s">
        <v>227</v>
      </c>
      <c r="B7405" t="s">
        <v>371</v>
      </c>
      <c r="C7405" s="26">
        <v>0.81130000000000002</v>
      </c>
      <c r="D7405" s="26">
        <v>0.32079999999999997</v>
      </c>
      <c r="E7405" s="26">
        <v>0.22009999999999999</v>
      </c>
      <c r="F7405" s="26">
        <v>0.20130000000000001</v>
      </c>
      <c r="G7405" s="26">
        <v>0.1447</v>
      </c>
      <c r="H7405" s="26">
        <v>0.1069</v>
      </c>
      <c r="I7405" s="26">
        <v>3.1399999999999997E-2</v>
      </c>
      <c r="J7405" s="26">
        <v>6.3E-3</v>
      </c>
      <c r="L7405">
        <v>159</v>
      </c>
    </row>
    <row r="7406" spans="1:33" x14ac:dyDescent="0.35">
      <c r="A7406" t="s">
        <v>228</v>
      </c>
      <c r="B7406" t="s">
        <v>371</v>
      </c>
      <c r="C7406" s="26">
        <v>0.80359999999999998</v>
      </c>
      <c r="D7406" s="26">
        <v>0.26029999999999998</v>
      </c>
      <c r="E7406" s="26">
        <v>0.26079999999999998</v>
      </c>
      <c r="F7406" s="26">
        <v>0.2681</v>
      </c>
      <c r="G7406" s="26">
        <v>0.21340000000000001</v>
      </c>
      <c r="H7406" s="26">
        <v>0.1037</v>
      </c>
      <c r="I7406" s="26">
        <v>1.35E-2</v>
      </c>
      <c r="J7406" s="26">
        <v>1.4E-3</v>
      </c>
      <c r="L7406">
        <v>291</v>
      </c>
    </row>
    <row r="7407" spans="1:33" x14ac:dyDescent="0.35">
      <c r="A7407" t="s">
        <v>228</v>
      </c>
      <c r="B7407" t="s">
        <v>372</v>
      </c>
      <c r="C7407" s="26">
        <v>0.81230000000000002</v>
      </c>
      <c r="D7407" s="26">
        <v>0.25009999999999999</v>
      </c>
      <c r="E7407" s="26">
        <v>0.13039999999999999</v>
      </c>
      <c r="F7407" s="26">
        <v>0.14399999999999999</v>
      </c>
      <c r="G7407" s="26">
        <v>0.14460000000000001</v>
      </c>
      <c r="H7407" s="26">
        <v>0.12740000000000001</v>
      </c>
      <c r="I7407" s="26">
        <v>6.4999999999999997E-3</v>
      </c>
      <c r="J7407" s="26">
        <v>4.8999999999999998E-3</v>
      </c>
      <c r="K7407" s="26">
        <v>2.8999999999999998E-3</v>
      </c>
      <c r="L7407">
        <v>216</v>
      </c>
    </row>
    <row r="7408" spans="1:33" x14ac:dyDescent="0.35">
      <c r="A7408" t="s">
        <v>228</v>
      </c>
      <c r="B7408" t="s">
        <v>373</v>
      </c>
      <c r="C7408" s="26">
        <v>0.74470000000000003</v>
      </c>
      <c r="D7408" s="26">
        <v>0.24640000000000001</v>
      </c>
      <c r="E7408" s="26">
        <v>0.21540000000000001</v>
      </c>
      <c r="F7408" s="26">
        <v>0.14910000000000001</v>
      </c>
      <c r="G7408" s="26">
        <v>0.15479999999999999</v>
      </c>
      <c r="H7408" s="26">
        <v>0.151</v>
      </c>
      <c r="I7408" s="26">
        <v>1.6400000000000001E-2</v>
      </c>
      <c r="J7408" s="26">
        <v>4.0000000000000001E-3</v>
      </c>
      <c r="L7408">
        <v>521</v>
      </c>
    </row>
    <row r="7409" spans="1:33" x14ac:dyDescent="0.35">
      <c r="A7409" t="s">
        <v>229</v>
      </c>
      <c r="B7409" t="s">
        <v>371</v>
      </c>
      <c r="C7409" s="26">
        <v>0.82350000000000001</v>
      </c>
      <c r="D7409" s="26">
        <v>0.32850000000000001</v>
      </c>
      <c r="E7409" s="26">
        <v>0.28649999999999998</v>
      </c>
      <c r="F7409" s="26">
        <v>0.29699999999999999</v>
      </c>
      <c r="G7409" s="26">
        <v>0.20979999999999999</v>
      </c>
      <c r="H7409" s="26">
        <v>9.0999999999999998E-2</v>
      </c>
      <c r="I7409" s="26">
        <v>1.4800000000000001E-2</v>
      </c>
      <c r="J7409" s="26">
        <v>7.1000000000000004E-3</v>
      </c>
      <c r="L7409">
        <v>580</v>
      </c>
    </row>
    <row r="7410" spans="1:33" x14ac:dyDescent="0.35">
      <c r="A7410" t="s">
        <v>229</v>
      </c>
      <c r="B7410" t="s">
        <v>372</v>
      </c>
      <c r="C7410" s="26">
        <v>0.77439999999999998</v>
      </c>
      <c r="D7410" s="26">
        <v>0.25119999999999998</v>
      </c>
      <c r="E7410" s="26">
        <v>0.182</v>
      </c>
      <c r="F7410" s="26">
        <v>0.2369</v>
      </c>
      <c r="G7410" s="26">
        <v>0.1421</v>
      </c>
      <c r="H7410" s="26">
        <v>0.12790000000000001</v>
      </c>
      <c r="I7410" s="26">
        <v>1.7100000000000001E-2</v>
      </c>
      <c r="J7410" s="26">
        <v>3.8E-3</v>
      </c>
      <c r="K7410" s="26">
        <v>6.6E-3</v>
      </c>
      <c r="L7410">
        <v>220</v>
      </c>
    </row>
    <row r="7411" spans="1:33" x14ac:dyDescent="0.35">
      <c r="A7411" t="s">
        <v>229</v>
      </c>
      <c r="B7411" t="s">
        <v>373</v>
      </c>
      <c r="C7411" s="26">
        <v>0.67449999999999999</v>
      </c>
      <c r="D7411" s="26">
        <v>0.26629999999999998</v>
      </c>
      <c r="E7411" s="26">
        <v>0.19750000000000001</v>
      </c>
      <c r="F7411" s="26">
        <v>0.1638</v>
      </c>
      <c r="G7411" s="26">
        <v>0.1173</v>
      </c>
      <c r="H7411" s="26">
        <v>0.21340000000000001</v>
      </c>
      <c r="I7411" s="26">
        <v>6.3E-3</v>
      </c>
      <c r="L7411">
        <v>90</v>
      </c>
    </row>
    <row r="7412" spans="1:33" x14ac:dyDescent="0.35">
      <c r="A7412" t="s">
        <v>230</v>
      </c>
      <c r="B7412" t="s">
        <v>371</v>
      </c>
      <c r="C7412" s="26">
        <v>0.82120000000000004</v>
      </c>
      <c r="D7412" s="26">
        <v>0.32740000000000002</v>
      </c>
      <c r="E7412" s="26">
        <v>0.2392</v>
      </c>
      <c r="F7412" s="26">
        <v>0.28320000000000001</v>
      </c>
      <c r="G7412" s="26">
        <v>0.21609999999999999</v>
      </c>
      <c r="H7412" s="26">
        <v>7.4999999999999997E-2</v>
      </c>
      <c r="I7412" s="26">
        <v>1.3299999999999999E-2</v>
      </c>
      <c r="J7412" s="26">
        <v>1.1000000000000001E-3</v>
      </c>
      <c r="L7412">
        <v>262</v>
      </c>
    </row>
    <row r="7413" spans="1:33" x14ac:dyDescent="0.35">
      <c r="A7413" t="s">
        <v>230</v>
      </c>
      <c r="B7413" t="s">
        <v>372</v>
      </c>
      <c r="C7413" s="26">
        <v>0.74790000000000001</v>
      </c>
      <c r="D7413" s="26">
        <v>0.316</v>
      </c>
      <c r="E7413" s="26">
        <v>0.17280000000000001</v>
      </c>
      <c r="F7413" s="26">
        <v>0.1148</v>
      </c>
      <c r="G7413" s="26">
        <v>0.18579999999999999</v>
      </c>
      <c r="H7413" s="26">
        <v>0.16089999999999999</v>
      </c>
      <c r="J7413" s="26">
        <v>4.7000000000000002E-3</v>
      </c>
      <c r="K7413" s="26">
        <v>4.7000000000000002E-3</v>
      </c>
      <c r="L7413">
        <v>146</v>
      </c>
    </row>
    <row r="7414" spans="1:33" x14ac:dyDescent="0.35">
      <c r="A7414" t="s">
        <v>230</v>
      </c>
      <c r="B7414" t="s">
        <v>373</v>
      </c>
      <c r="C7414" s="26">
        <v>0.74819999999999998</v>
      </c>
      <c r="D7414" s="26">
        <v>0.35520000000000002</v>
      </c>
      <c r="E7414" s="26">
        <v>0.2475</v>
      </c>
      <c r="F7414" s="26">
        <v>0.1691</v>
      </c>
      <c r="G7414" s="26">
        <v>0.19800000000000001</v>
      </c>
      <c r="H7414" s="26">
        <v>0.13650000000000001</v>
      </c>
      <c r="I7414" s="26">
        <v>4.24E-2</v>
      </c>
      <c r="L7414">
        <v>149</v>
      </c>
    </row>
    <row r="7415" spans="1:33" x14ac:dyDescent="0.35">
      <c r="A7415" t="s">
        <v>231</v>
      </c>
      <c r="B7415" t="s">
        <v>371</v>
      </c>
      <c r="C7415" s="26">
        <v>0.79879999999999995</v>
      </c>
      <c r="D7415" s="26">
        <v>0.28660000000000002</v>
      </c>
      <c r="E7415" s="26">
        <v>0.28050000000000003</v>
      </c>
      <c r="F7415" s="26">
        <v>0.17680000000000001</v>
      </c>
      <c r="G7415" s="26">
        <v>0.22559999999999999</v>
      </c>
      <c r="H7415" s="26">
        <v>0.1159</v>
      </c>
      <c r="I7415" s="26">
        <v>3.0499999999999999E-2</v>
      </c>
      <c r="L7415">
        <v>164</v>
      </c>
    </row>
    <row r="7416" spans="1:33" x14ac:dyDescent="0.35">
      <c r="A7416" t="s">
        <v>232</v>
      </c>
      <c r="B7416" t="s">
        <v>232</v>
      </c>
      <c r="C7416" s="26">
        <v>0.80330000000000001</v>
      </c>
      <c r="D7416" s="26">
        <v>0.2999</v>
      </c>
      <c r="E7416" s="26">
        <v>0.25729999999999997</v>
      </c>
      <c r="F7416" s="26">
        <v>0.22720000000000001</v>
      </c>
      <c r="G7416" s="26">
        <v>0.19800000000000001</v>
      </c>
      <c r="H7416" s="26">
        <v>0.10780000000000001</v>
      </c>
      <c r="I7416" s="26">
        <v>2.1600000000000001E-2</v>
      </c>
      <c r="J7416" s="26">
        <v>3.5000000000000001E-3</v>
      </c>
      <c r="K7416" s="26">
        <v>2.0000000000000001E-4</v>
      </c>
      <c r="L7416">
        <v>2798</v>
      </c>
    </row>
    <row r="7418" spans="1:33" x14ac:dyDescent="0.35">
      <c r="A7418" s="1" t="s">
        <v>1042</v>
      </c>
    </row>
    <row r="7419" spans="1:33" x14ac:dyDescent="0.35">
      <c r="A7419" t="s">
        <v>219</v>
      </c>
      <c r="B7419" t="s">
        <v>305</v>
      </c>
      <c r="C7419" t="s">
        <v>995</v>
      </c>
      <c r="D7419" t="s">
        <v>996</v>
      </c>
      <c r="E7419" t="s">
        <v>997</v>
      </c>
      <c r="F7419" t="s">
        <v>998</v>
      </c>
      <c r="G7419" t="s">
        <v>999</v>
      </c>
      <c r="H7419" t="s">
        <v>1000</v>
      </c>
      <c r="I7419" t="s">
        <v>1001</v>
      </c>
      <c r="J7419" t="s">
        <v>1002</v>
      </c>
      <c r="K7419" t="s">
        <v>1003</v>
      </c>
      <c r="L7419" t="s">
        <v>1004</v>
      </c>
      <c r="M7419" t="s">
        <v>1005</v>
      </c>
      <c r="N7419" t="s">
        <v>1006</v>
      </c>
      <c r="O7419" t="s">
        <v>1007</v>
      </c>
      <c r="P7419" t="s">
        <v>1008</v>
      </c>
      <c r="Q7419" t="s">
        <v>1009</v>
      </c>
      <c r="R7419" t="s">
        <v>1010</v>
      </c>
      <c r="S7419" t="s">
        <v>1011</v>
      </c>
      <c r="T7419" t="s">
        <v>1012</v>
      </c>
      <c r="U7419" t="s">
        <v>1013</v>
      </c>
      <c r="V7419" t="s">
        <v>1014</v>
      </c>
      <c r="W7419" t="s">
        <v>1015</v>
      </c>
      <c r="X7419" t="s">
        <v>1016</v>
      </c>
      <c r="Y7419" t="s">
        <v>1017</v>
      </c>
      <c r="Z7419" t="s">
        <v>1018</v>
      </c>
      <c r="AA7419" t="s">
        <v>1019</v>
      </c>
      <c r="AB7419" t="s">
        <v>1020</v>
      </c>
      <c r="AC7419" t="s">
        <v>1021</v>
      </c>
      <c r="AD7419" t="s">
        <v>1022</v>
      </c>
      <c r="AE7419" t="s">
        <v>1023</v>
      </c>
      <c r="AF7419" t="s">
        <v>1024</v>
      </c>
      <c r="AG7419" t="s">
        <v>964</v>
      </c>
    </row>
    <row r="7420" spans="1:33" x14ac:dyDescent="0.35">
      <c r="A7420" t="s">
        <v>227</v>
      </c>
      <c r="B7420" t="s">
        <v>371</v>
      </c>
      <c r="C7420">
        <v>10624.42</v>
      </c>
      <c r="D7420">
        <v>3500</v>
      </c>
      <c r="E7420">
        <v>150</v>
      </c>
      <c r="F7420">
        <v>100000</v>
      </c>
      <c r="G7420" s="30">
        <v>43</v>
      </c>
      <c r="H7420">
        <v>4196</v>
      </c>
      <c r="I7420">
        <v>3000</v>
      </c>
      <c r="J7420">
        <v>300</v>
      </c>
      <c r="K7420">
        <v>25000</v>
      </c>
      <c r="L7420" s="30">
        <v>27</v>
      </c>
      <c r="M7420">
        <v>7110.78</v>
      </c>
      <c r="N7420">
        <v>4000</v>
      </c>
      <c r="O7420">
        <v>100</v>
      </c>
      <c r="P7420">
        <v>50000</v>
      </c>
      <c r="Q7420" s="30">
        <v>116</v>
      </c>
      <c r="R7420">
        <v>7748.15</v>
      </c>
      <c r="S7420">
        <v>6000</v>
      </c>
      <c r="T7420">
        <v>500</v>
      </c>
      <c r="U7420">
        <v>42000</v>
      </c>
      <c r="V7420" s="30">
        <v>27</v>
      </c>
      <c r="W7420">
        <v>33242.86</v>
      </c>
      <c r="X7420">
        <v>8000</v>
      </c>
      <c r="Y7420">
        <v>1300</v>
      </c>
      <c r="Z7420">
        <v>400000</v>
      </c>
      <c r="AA7420" s="30">
        <v>21</v>
      </c>
      <c r="AB7420">
        <v>8784</v>
      </c>
      <c r="AC7420">
        <v>10000</v>
      </c>
      <c r="AD7420">
        <v>1000</v>
      </c>
      <c r="AE7420">
        <v>25000</v>
      </c>
      <c r="AF7420" s="30">
        <v>15</v>
      </c>
      <c r="AG7420">
        <v>116</v>
      </c>
    </row>
    <row r="7421" spans="1:33" x14ac:dyDescent="0.35">
      <c r="A7421" t="s">
        <v>228</v>
      </c>
      <c r="B7421" t="s">
        <v>371</v>
      </c>
      <c r="C7421">
        <v>5687.48</v>
      </c>
      <c r="D7421">
        <v>4000</v>
      </c>
      <c r="E7421">
        <v>250</v>
      </c>
      <c r="F7421">
        <v>50000</v>
      </c>
      <c r="G7421" s="30">
        <v>62</v>
      </c>
      <c r="H7421">
        <v>5598.12</v>
      </c>
      <c r="I7421">
        <v>3000</v>
      </c>
      <c r="J7421">
        <v>250</v>
      </c>
      <c r="K7421">
        <v>30000</v>
      </c>
      <c r="L7421" s="30">
        <v>58</v>
      </c>
      <c r="M7421">
        <v>10431.299999999999</v>
      </c>
      <c r="N7421">
        <v>5000</v>
      </c>
      <c r="O7421">
        <v>100</v>
      </c>
      <c r="P7421">
        <v>70000</v>
      </c>
      <c r="Q7421" s="30">
        <v>190</v>
      </c>
      <c r="R7421">
        <v>9990.74</v>
      </c>
      <c r="S7421">
        <v>7000</v>
      </c>
      <c r="T7421">
        <v>500</v>
      </c>
      <c r="U7421">
        <v>40000</v>
      </c>
      <c r="V7421" s="30">
        <v>55</v>
      </c>
      <c r="W7421">
        <v>18595.45</v>
      </c>
      <c r="X7421">
        <v>10000</v>
      </c>
      <c r="Y7421">
        <v>200</v>
      </c>
      <c r="Z7421">
        <v>100000</v>
      </c>
      <c r="AA7421" s="30">
        <v>44</v>
      </c>
      <c r="AB7421">
        <v>10151.01</v>
      </c>
      <c r="AC7421">
        <v>12000</v>
      </c>
      <c r="AD7421">
        <v>500</v>
      </c>
      <c r="AE7421">
        <v>31000</v>
      </c>
      <c r="AF7421" s="30">
        <v>6</v>
      </c>
      <c r="AG7421">
        <v>190</v>
      </c>
    </row>
    <row r="7422" spans="1:33" x14ac:dyDescent="0.35">
      <c r="A7422" t="s">
        <v>228</v>
      </c>
      <c r="B7422" t="s">
        <v>372</v>
      </c>
      <c r="C7422">
        <v>16322.55</v>
      </c>
      <c r="D7422">
        <v>7000</v>
      </c>
      <c r="E7422">
        <v>200</v>
      </c>
      <c r="F7422">
        <v>120000</v>
      </c>
      <c r="G7422" s="30">
        <v>38</v>
      </c>
      <c r="H7422">
        <v>4429.62</v>
      </c>
      <c r="I7422">
        <v>2000</v>
      </c>
      <c r="J7422">
        <v>300</v>
      </c>
      <c r="K7422">
        <v>30000</v>
      </c>
      <c r="L7422" s="30">
        <v>17</v>
      </c>
      <c r="M7422">
        <v>11166.75</v>
      </c>
      <c r="N7422">
        <v>6000</v>
      </c>
      <c r="O7422">
        <v>300</v>
      </c>
      <c r="P7422">
        <v>70000</v>
      </c>
      <c r="Q7422" s="30">
        <v>142</v>
      </c>
      <c r="R7422">
        <v>5685.84</v>
      </c>
      <c r="S7422">
        <v>5000</v>
      </c>
      <c r="T7422">
        <v>300</v>
      </c>
      <c r="U7422">
        <v>25000</v>
      </c>
      <c r="V7422" s="30">
        <v>22</v>
      </c>
      <c r="W7422">
        <v>18104.53</v>
      </c>
      <c r="X7422">
        <v>12000</v>
      </c>
      <c r="Y7422">
        <v>2000</v>
      </c>
      <c r="Z7422">
        <v>81000</v>
      </c>
      <c r="AA7422" s="30">
        <v>26</v>
      </c>
      <c r="AB7422">
        <v>7086.35</v>
      </c>
      <c r="AC7422">
        <v>4000</v>
      </c>
      <c r="AD7422">
        <v>1000</v>
      </c>
      <c r="AE7422">
        <v>30000</v>
      </c>
      <c r="AF7422" s="30">
        <v>9</v>
      </c>
      <c r="AG7422">
        <v>142</v>
      </c>
    </row>
    <row r="7423" spans="1:33" x14ac:dyDescent="0.35">
      <c r="A7423" t="s">
        <v>228</v>
      </c>
      <c r="B7423" t="s">
        <v>373</v>
      </c>
      <c r="C7423">
        <v>17377.21</v>
      </c>
      <c r="D7423">
        <v>5000</v>
      </c>
      <c r="E7423">
        <v>180</v>
      </c>
      <c r="F7423">
        <v>200000</v>
      </c>
      <c r="G7423" s="30">
        <v>106</v>
      </c>
      <c r="H7423">
        <v>3875.26</v>
      </c>
      <c r="I7423">
        <v>2000</v>
      </c>
      <c r="J7423">
        <v>200</v>
      </c>
      <c r="K7423">
        <v>30000</v>
      </c>
      <c r="L7423" s="30">
        <v>88</v>
      </c>
      <c r="M7423">
        <v>9284.7900000000009</v>
      </c>
      <c r="N7423">
        <v>5000</v>
      </c>
      <c r="O7423">
        <v>200</v>
      </c>
      <c r="P7423">
        <v>100000</v>
      </c>
      <c r="Q7423" s="30">
        <v>341</v>
      </c>
      <c r="R7423">
        <v>5762.77</v>
      </c>
      <c r="S7423">
        <v>4000</v>
      </c>
      <c r="T7423">
        <v>150</v>
      </c>
      <c r="U7423">
        <v>40000</v>
      </c>
      <c r="V7423" s="30">
        <v>63</v>
      </c>
      <c r="W7423">
        <v>16202.85</v>
      </c>
      <c r="X7423">
        <v>10000</v>
      </c>
      <c r="Y7423">
        <v>200</v>
      </c>
      <c r="Z7423">
        <v>120000</v>
      </c>
      <c r="AA7423" s="30">
        <v>69</v>
      </c>
      <c r="AB7423">
        <v>6273.71</v>
      </c>
      <c r="AC7423">
        <v>3000</v>
      </c>
      <c r="AD7423">
        <v>100</v>
      </c>
      <c r="AE7423">
        <v>25000</v>
      </c>
      <c r="AF7423" s="30">
        <v>26</v>
      </c>
      <c r="AG7423">
        <v>341</v>
      </c>
    </row>
    <row r="7424" spans="1:33" x14ac:dyDescent="0.35">
      <c r="A7424" t="s">
        <v>229</v>
      </c>
      <c r="B7424" t="s">
        <v>371</v>
      </c>
      <c r="C7424">
        <v>14946</v>
      </c>
      <c r="D7424">
        <v>5000</v>
      </c>
      <c r="E7424">
        <v>200</v>
      </c>
      <c r="F7424">
        <v>200000</v>
      </c>
      <c r="G7424" s="30">
        <v>150</v>
      </c>
      <c r="H7424">
        <v>6774.62</v>
      </c>
      <c r="I7424">
        <v>4000</v>
      </c>
      <c r="J7424">
        <v>200</v>
      </c>
      <c r="K7424">
        <v>30000</v>
      </c>
      <c r="L7424" s="30">
        <v>120</v>
      </c>
      <c r="M7424">
        <v>11080.78</v>
      </c>
      <c r="N7424">
        <v>6000</v>
      </c>
      <c r="O7424">
        <v>200</v>
      </c>
      <c r="P7424">
        <v>100000</v>
      </c>
      <c r="Q7424" s="30">
        <v>384</v>
      </c>
      <c r="R7424">
        <v>8413.76</v>
      </c>
      <c r="S7424">
        <v>5000</v>
      </c>
      <c r="T7424">
        <v>300</v>
      </c>
      <c r="U7424">
        <v>45000</v>
      </c>
      <c r="V7424" s="30">
        <v>119</v>
      </c>
      <c r="W7424">
        <v>20474.8</v>
      </c>
      <c r="X7424">
        <v>15000</v>
      </c>
      <c r="Y7424">
        <v>560</v>
      </c>
      <c r="Z7424">
        <v>200000</v>
      </c>
      <c r="AA7424" s="30">
        <v>92</v>
      </c>
      <c r="AB7424">
        <v>7422.43</v>
      </c>
      <c r="AC7424">
        <v>5000</v>
      </c>
      <c r="AD7424">
        <v>1000</v>
      </c>
      <c r="AE7424">
        <v>30000</v>
      </c>
      <c r="AF7424" s="30">
        <v>33</v>
      </c>
      <c r="AG7424">
        <v>384</v>
      </c>
    </row>
    <row r="7425" spans="1:33" x14ac:dyDescent="0.35">
      <c r="A7425" t="s">
        <v>229</v>
      </c>
      <c r="B7425" t="s">
        <v>372</v>
      </c>
      <c r="C7425">
        <v>10704.95</v>
      </c>
      <c r="D7425">
        <v>5000</v>
      </c>
      <c r="E7425">
        <v>200</v>
      </c>
      <c r="F7425">
        <v>120000</v>
      </c>
      <c r="G7425" s="30">
        <v>45</v>
      </c>
      <c r="H7425">
        <v>3709.09</v>
      </c>
      <c r="I7425">
        <v>3000</v>
      </c>
      <c r="J7425">
        <v>340</v>
      </c>
      <c r="K7425">
        <v>15000</v>
      </c>
      <c r="L7425" s="30">
        <v>35</v>
      </c>
      <c r="M7425">
        <v>9292</v>
      </c>
      <c r="N7425">
        <v>5000</v>
      </c>
      <c r="O7425">
        <v>150</v>
      </c>
      <c r="P7425">
        <v>100000</v>
      </c>
      <c r="Q7425" s="30">
        <v>154</v>
      </c>
      <c r="R7425">
        <v>6930.85</v>
      </c>
      <c r="S7425">
        <v>4000</v>
      </c>
      <c r="T7425">
        <v>300</v>
      </c>
      <c r="U7425">
        <v>30000</v>
      </c>
      <c r="V7425" s="30">
        <v>44</v>
      </c>
      <c r="W7425">
        <v>13052.95</v>
      </c>
      <c r="X7425">
        <v>12000</v>
      </c>
      <c r="Y7425">
        <v>900</v>
      </c>
      <c r="Z7425">
        <v>34200</v>
      </c>
      <c r="AA7425" s="30">
        <v>26</v>
      </c>
      <c r="AB7425">
        <v>3832.07</v>
      </c>
      <c r="AC7425">
        <v>2000</v>
      </c>
      <c r="AD7425">
        <v>200</v>
      </c>
      <c r="AE7425">
        <v>15000</v>
      </c>
      <c r="AF7425" s="30">
        <v>10</v>
      </c>
      <c r="AG7425">
        <v>154</v>
      </c>
    </row>
    <row r="7426" spans="1:33" x14ac:dyDescent="0.35">
      <c r="A7426" t="s">
        <v>229</v>
      </c>
      <c r="B7426" t="s">
        <v>373</v>
      </c>
      <c r="C7426">
        <v>13508.77</v>
      </c>
      <c r="D7426">
        <v>5000</v>
      </c>
      <c r="E7426">
        <v>100</v>
      </c>
      <c r="F7426">
        <v>70000</v>
      </c>
      <c r="G7426" s="30">
        <v>18</v>
      </c>
      <c r="H7426">
        <v>4977.9799999999996</v>
      </c>
      <c r="I7426">
        <v>3000</v>
      </c>
      <c r="J7426">
        <v>240</v>
      </c>
      <c r="K7426">
        <v>20000</v>
      </c>
      <c r="L7426" s="30">
        <v>10</v>
      </c>
      <c r="M7426">
        <v>7385.06</v>
      </c>
      <c r="N7426">
        <v>4000</v>
      </c>
      <c r="O7426">
        <v>500</v>
      </c>
      <c r="P7426">
        <v>100000</v>
      </c>
      <c r="Q7426" s="30">
        <v>53</v>
      </c>
      <c r="R7426">
        <v>6009.71</v>
      </c>
      <c r="S7426">
        <v>9000</v>
      </c>
      <c r="T7426">
        <v>200</v>
      </c>
      <c r="U7426">
        <v>15000</v>
      </c>
      <c r="V7426" s="30">
        <v>11</v>
      </c>
      <c r="W7426">
        <v>11783.72</v>
      </c>
      <c r="X7426">
        <v>12000</v>
      </c>
      <c r="Y7426">
        <v>300</v>
      </c>
      <c r="Z7426">
        <v>40000</v>
      </c>
      <c r="AA7426" s="30">
        <v>8</v>
      </c>
      <c r="AB7426">
        <v>864.37</v>
      </c>
      <c r="AC7426">
        <v>1000</v>
      </c>
      <c r="AD7426">
        <v>600</v>
      </c>
      <c r="AE7426">
        <v>1000</v>
      </c>
      <c r="AF7426" s="30">
        <v>2</v>
      </c>
      <c r="AG7426">
        <v>53</v>
      </c>
    </row>
    <row r="7427" spans="1:33" x14ac:dyDescent="0.35">
      <c r="A7427" t="s">
        <v>230</v>
      </c>
      <c r="B7427" t="s">
        <v>371</v>
      </c>
      <c r="C7427">
        <v>10924.97</v>
      </c>
      <c r="D7427">
        <v>5000</v>
      </c>
      <c r="E7427">
        <v>100</v>
      </c>
      <c r="F7427">
        <v>150000</v>
      </c>
      <c r="G7427" s="30">
        <v>76</v>
      </c>
      <c r="H7427">
        <v>5185.88</v>
      </c>
      <c r="I7427">
        <v>3000</v>
      </c>
      <c r="J7427">
        <v>200</v>
      </c>
      <c r="K7427">
        <v>30000</v>
      </c>
      <c r="L7427" s="30">
        <v>48</v>
      </c>
      <c r="M7427">
        <v>9726.1200000000008</v>
      </c>
      <c r="N7427">
        <v>5000</v>
      </c>
      <c r="O7427">
        <v>100</v>
      </c>
      <c r="P7427">
        <v>80000</v>
      </c>
      <c r="Q7427" s="30">
        <v>189</v>
      </c>
      <c r="R7427">
        <v>6996.35</v>
      </c>
      <c r="S7427">
        <v>5000</v>
      </c>
      <c r="T7427">
        <v>400</v>
      </c>
      <c r="U7427">
        <v>40000</v>
      </c>
      <c r="V7427" s="30">
        <v>58</v>
      </c>
      <c r="W7427">
        <v>14738.24</v>
      </c>
      <c r="X7427">
        <v>7200</v>
      </c>
      <c r="Y7427">
        <v>800</v>
      </c>
      <c r="Z7427">
        <v>110000</v>
      </c>
      <c r="AA7427" s="30">
        <v>50</v>
      </c>
      <c r="AB7427">
        <v>4574.09</v>
      </c>
      <c r="AC7427">
        <v>5000</v>
      </c>
      <c r="AD7427">
        <v>500</v>
      </c>
      <c r="AE7427">
        <v>21000</v>
      </c>
      <c r="AF7427" s="30">
        <v>19</v>
      </c>
      <c r="AG7427">
        <v>189</v>
      </c>
    </row>
    <row r="7428" spans="1:33" x14ac:dyDescent="0.35">
      <c r="A7428" t="s">
        <v>230</v>
      </c>
      <c r="B7428" t="s">
        <v>372</v>
      </c>
      <c r="C7428">
        <v>18337.45</v>
      </c>
      <c r="D7428">
        <v>7000</v>
      </c>
      <c r="E7428">
        <v>200</v>
      </c>
      <c r="F7428">
        <v>200000</v>
      </c>
      <c r="G7428" s="30">
        <v>37</v>
      </c>
      <c r="H7428">
        <v>2380.42</v>
      </c>
      <c r="I7428">
        <v>2000</v>
      </c>
      <c r="J7428">
        <v>300</v>
      </c>
      <c r="K7428">
        <v>10000</v>
      </c>
      <c r="L7428" s="30">
        <v>22</v>
      </c>
      <c r="M7428">
        <v>8830.27</v>
      </c>
      <c r="N7428">
        <v>5000</v>
      </c>
      <c r="O7428">
        <v>200</v>
      </c>
      <c r="P7428">
        <v>50000</v>
      </c>
      <c r="Q7428" s="30">
        <v>96</v>
      </c>
      <c r="R7428">
        <v>7376.15</v>
      </c>
      <c r="S7428">
        <v>10000</v>
      </c>
      <c r="T7428">
        <v>200</v>
      </c>
      <c r="U7428">
        <v>34000</v>
      </c>
      <c r="V7428" s="30">
        <v>12</v>
      </c>
      <c r="W7428">
        <v>9624.69</v>
      </c>
      <c r="X7428">
        <v>7000</v>
      </c>
      <c r="Y7428">
        <v>400</v>
      </c>
      <c r="Z7428">
        <v>36000</v>
      </c>
      <c r="AA7428" s="30">
        <v>27</v>
      </c>
      <c r="AB7428">
        <v>7266.67</v>
      </c>
      <c r="AC7428">
        <v>16000</v>
      </c>
      <c r="AD7428">
        <v>1800</v>
      </c>
      <c r="AE7428">
        <v>16000</v>
      </c>
      <c r="AF7428" s="30">
        <v>3</v>
      </c>
      <c r="AG7428">
        <v>96</v>
      </c>
    </row>
    <row r="7429" spans="1:33" x14ac:dyDescent="0.35">
      <c r="A7429" t="s">
        <v>230</v>
      </c>
      <c r="B7429" t="s">
        <v>373</v>
      </c>
      <c r="C7429">
        <v>16374.44</v>
      </c>
      <c r="D7429">
        <v>4000</v>
      </c>
      <c r="E7429">
        <v>100</v>
      </c>
      <c r="F7429">
        <v>200000</v>
      </c>
      <c r="G7429" s="30">
        <v>45</v>
      </c>
      <c r="H7429">
        <v>4975</v>
      </c>
      <c r="I7429">
        <v>3000</v>
      </c>
      <c r="J7429">
        <v>300</v>
      </c>
      <c r="K7429">
        <v>22000</v>
      </c>
      <c r="L7429" s="30">
        <v>30</v>
      </c>
      <c r="M7429">
        <v>10713.23</v>
      </c>
      <c r="N7429">
        <v>5000</v>
      </c>
      <c r="O7429">
        <v>200</v>
      </c>
      <c r="P7429">
        <v>100000</v>
      </c>
      <c r="Q7429" s="30">
        <v>97</v>
      </c>
      <c r="R7429">
        <v>10800.2</v>
      </c>
      <c r="S7429">
        <v>6000</v>
      </c>
      <c r="T7429">
        <v>200</v>
      </c>
      <c r="U7429">
        <v>35000</v>
      </c>
      <c r="V7429" s="30">
        <v>19</v>
      </c>
      <c r="W7429">
        <v>24372.17</v>
      </c>
      <c r="X7429">
        <v>10000</v>
      </c>
      <c r="Y7429">
        <v>560</v>
      </c>
      <c r="Z7429">
        <v>250000</v>
      </c>
      <c r="AA7429" s="30">
        <v>23</v>
      </c>
      <c r="AB7429">
        <v>13193.32</v>
      </c>
      <c r="AC7429">
        <v>14000</v>
      </c>
      <c r="AD7429">
        <v>1000</v>
      </c>
      <c r="AE7429">
        <v>30000</v>
      </c>
      <c r="AF7429" s="30">
        <v>10</v>
      </c>
      <c r="AG7429">
        <v>97</v>
      </c>
    </row>
    <row r="7430" spans="1:33" x14ac:dyDescent="0.35">
      <c r="A7430" t="s">
        <v>231</v>
      </c>
      <c r="B7430" t="s">
        <v>371</v>
      </c>
      <c r="C7430">
        <v>20677.27</v>
      </c>
      <c r="D7430">
        <v>6000</v>
      </c>
      <c r="E7430">
        <v>200</v>
      </c>
      <c r="F7430">
        <v>200000</v>
      </c>
      <c r="G7430" s="30">
        <v>44</v>
      </c>
      <c r="H7430">
        <v>5799.73</v>
      </c>
      <c r="I7430">
        <v>4000</v>
      </c>
      <c r="J7430">
        <v>200</v>
      </c>
      <c r="K7430">
        <v>30000</v>
      </c>
      <c r="L7430" s="30">
        <v>37</v>
      </c>
      <c r="M7430">
        <v>8223.3799999999992</v>
      </c>
      <c r="N7430">
        <v>5000</v>
      </c>
      <c r="O7430">
        <v>170</v>
      </c>
      <c r="P7430">
        <v>100000</v>
      </c>
      <c r="Q7430" s="30">
        <v>111</v>
      </c>
      <c r="R7430">
        <v>10620.45</v>
      </c>
      <c r="S7430">
        <v>5000</v>
      </c>
      <c r="T7430">
        <v>350</v>
      </c>
      <c r="U7430">
        <v>40000</v>
      </c>
      <c r="V7430" s="30">
        <v>22</v>
      </c>
      <c r="W7430">
        <v>11296.39</v>
      </c>
      <c r="X7430">
        <v>7000</v>
      </c>
      <c r="Y7430">
        <v>500</v>
      </c>
      <c r="Z7430">
        <v>50000</v>
      </c>
      <c r="AA7430" s="30">
        <v>31</v>
      </c>
      <c r="AB7430">
        <v>2285.71</v>
      </c>
      <c r="AC7430">
        <v>2000</v>
      </c>
      <c r="AD7430">
        <v>300</v>
      </c>
      <c r="AE7430">
        <v>8000</v>
      </c>
      <c r="AF7430" s="30">
        <v>7</v>
      </c>
      <c r="AG7430">
        <v>111</v>
      </c>
    </row>
    <row r="7431" spans="1:33" x14ac:dyDescent="0.35">
      <c r="A7431" t="s">
        <v>232</v>
      </c>
      <c r="B7431" t="s">
        <v>232</v>
      </c>
      <c r="C7431">
        <v>14899.73</v>
      </c>
      <c r="D7431">
        <v>5000</v>
      </c>
      <c r="E7431">
        <v>100</v>
      </c>
      <c r="F7431">
        <v>200000</v>
      </c>
      <c r="G7431" s="30">
        <v>664</v>
      </c>
      <c r="H7431">
        <v>5630.43</v>
      </c>
      <c r="I7431">
        <v>3000</v>
      </c>
      <c r="J7431">
        <v>200</v>
      </c>
      <c r="K7431">
        <v>30000</v>
      </c>
      <c r="L7431" s="30">
        <v>492</v>
      </c>
      <c r="M7431">
        <v>9336.61</v>
      </c>
      <c r="N7431">
        <v>5000</v>
      </c>
      <c r="O7431">
        <v>100</v>
      </c>
      <c r="P7431">
        <v>100000</v>
      </c>
      <c r="Q7431" s="30">
        <v>1873</v>
      </c>
      <c r="R7431">
        <v>8628.5300000000007</v>
      </c>
      <c r="S7431">
        <v>5000</v>
      </c>
      <c r="T7431">
        <v>150</v>
      </c>
      <c r="U7431">
        <v>45000</v>
      </c>
      <c r="V7431" s="30">
        <v>452</v>
      </c>
      <c r="W7431">
        <v>18064.68</v>
      </c>
      <c r="X7431">
        <v>9000</v>
      </c>
      <c r="Y7431">
        <v>200</v>
      </c>
      <c r="Z7431">
        <v>400000</v>
      </c>
      <c r="AA7431" s="30">
        <v>417</v>
      </c>
      <c r="AB7431">
        <v>6639.38</v>
      </c>
      <c r="AC7431">
        <v>4000</v>
      </c>
      <c r="AD7431">
        <v>100</v>
      </c>
      <c r="AE7431">
        <v>31000</v>
      </c>
      <c r="AF7431" s="30">
        <v>140</v>
      </c>
      <c r="AG7431">
        <v>1873</v>
      </c>
    </row>
    <row r="7433" spans="1:33" x14ac:dyDescent="0.35">
      <c r="A7433" s="1" t="s">
        <v>1043</v>
      </c>
    </row>
    <row r="7434" spans="1:33" x14ac:dyDescent="0.35">
      <c r="A7434" t="s">
        <v>219</v>
      </c>
      <c r="B7434" t="s">
        <v>305</v>
      </c>
      <c r="C7434" t="s">
        <v>988</v>
      </c>
      <c r="D7434" t="s">
        <v>989</v>
      </c>
      <c r="E7434" t="s">
        <v>990</v>
      </c>
      <c r="F7434" t="s">
        <v>991</v>
      </c>
      <c r="G7434" t="s">
        <v>992</v>
      </c>
      <c r="H7434" t="s">
        <v>993</v>
      </c>
      <c r="I7434" t="s">
        <v>994</v>
      </c>
      <c r="J7434" t="s">
        <v>281</v>
      </c>
      <c r="K7434" t="s">
        <v>286</v>
      </c>
      <c r="L7434" t="s">
        <v>226</v>
      </c>
    </row>
    <row r="7435" spans="1:33" x14ac:dyDescent="0.35">
      <c r="A7435" t="s">
        <v>227</v>
      </c>
      <c r="B7435" t="s">
        <v>255</v>
      </c>
      <c r="C7435" s="26">
        <v>0.81030000000000002</v>
      </c>
      <c r="D7435" s="26">
        <v>0.26719999999999999</v>
      </c>
      <c r="E7435" s="26">
        <v>0.1724</v>
      </c>
      <c r="F7435" s="26">
        <v>3.4500000000000003E-2</v>
      </c>
      <c r="G7435" s="26">
        <v>7.7600000000000002E-2</v>
      </c>
      <c r="H7435" s="26">
        <v>0.1293</v>
      </c>
      <c r="I7435" s="26">
        <v>2.5899999999999999E-2</v>
      </c>
      <c r="J7435" s="26">
        <v>8.6E-3</v>
      </c>
      <c r="L7435">
        <v>116</v>
      </c>
    </row>
    <row r="7436" spans="1:33" x14ac:dyDescent="0.35">
      <c r="A7436" s="27" t="s">
        <v>227</v>
      </c>
      <c r="B7436" s="27" t="s">
        <v>257</v>
      </c>
      <c r="C7436" s="28">
        <v>0.77780000000000005</v>
      </c>
      <c r="D7436" s="28">
        <v>0.33329999999999999</v>
      </c>
      <c r="E7436" s="28">
        <v>0.22220000000000001</v>
      </c>
      <c r="F7436" s="28">
        <v>0.44440000000000002</v>
      </c>
      <c r="G7436" s="28">
        <v>0.1111</v>
      </c>
      <c r="H7436" s="29"/>
      <c r="I7436" s="29"/>
      <c r="J7436" s="29"/>
      <c r="K7436" s="29"/>
      <c r="L7436" s="29" t="s">
        <v>334</v>
      </c>
    </row>
    <row r="7437" spans="1:33" x14ac:dyDescent="0.35">
      <c r="A7437" t="s">
        <v>227</v>
      </c>
      <c r="B7437" t="s">
        <v>256</v>
      </c>
      <c r="C7437" s="26">
        <v>0.82350000000000001</v>
      </c>
      <c r="D7437" s="26">
        <v>0.5</v>
      </c>
      <c r="E7437" s="26">
        <v>0.38240000000000002</v>
      </c>
      <c r="F7437" s="26">
        <v>0.70589999999999997</v>
      </c>
      <c r="G7437" s="26">
        <v>0.38240000000000002</v>
      </c>
      <c r="H7437" s="26">
        <v>5.8799999999999998E-2</v>
      </c>
      <c r="I7437" s="26">
        <v>5.8799999999999998E-2</v>
      </c>
      <c r="L7437">
        <v>34</v>
      </c>
    </row>
    <row r="7438" spans="1:33" x14ac:dyDescent="0.35">
      <c r="A7438" t="s">
        <v>228</v>
      </c>
      <c r="B7438" t="s">
        <v>257</v>
      </c>
      <c r="C7438" s="26">
        <v>0.70030000000000003</v>
      </c>
      <c r="D7438" s="26">
        <v>0.36980000000000002</v>
      </c>
      <c r="E7438" s="26">
        <v>0.15090000000000001</v>
      </c>
      <c r="F7438" s="26">
        <v>0.61729999999999996</v>
      </c>
      <c r="G7438" s="26">
        <v>0.113</v>
      </c>
      <c r="H7438" s="26">
        <v>9.5500000000000002E-2</v>
      </c>
      <c r="K7438" s="26">
        <v>4.7000000000000002E-3</v>
      </c>
      <c r="L7438">
        <v>49</v>
      </c>
    </row>
    <row r="7439" spans="1:33" x14ac:dyDescent="0.35">
      <c r="A7439" s="27" t="s">
        <v>228</v>
      </c>
      <c r="B7439" s="27" t="s">
        <v>258</v>
      </c>
      <c r="C7439" s="28">
        <v>0.30730000000000002</v>
      </c>
      <c r="D7439" s="28">
        <v>1</v>
      </c>
      <c r="E7439" s="28">
        <v>0.30730000000000002</v>
      </c>
      <c r="F7439" s="28">
        <v>9.8100000000000007E-2</v>
      </c>
      <c r="G7439" s="28">
        <v>9.8100000000000007E-2</v>
      </c>
      <c r="H7439" s="29"/>
      <c r="I7439" s="29"/>
      <c r="J7439" s="29"/>
      <c r="K7439" s="29"/>
      <c r="L7439" s="29" t="s">
        <v>337</v>
      </c>
    </row>
    <row r="7440" spans="1:33" x14ac:dyDescent="0.35">
      <c r="A7440" t="s">
        <v>228</v>
      </c>
      <c r="B7440" t="s">
        <v>256</v>
      </c>
      <c r="C7440" s="26">
        <v>0.82630000000000003</v>
      </c>
      <c r="D7440" s="26">
        <v>0.28360000000000002</v>
      </c>
      <c r="E7440" s="26">
        <v>0.33829999999999999</v>
      </c>
      <c r="F7440" s="26">
        <v>0.50390000000000001</v>
      </c>
      <c r="G7440" s="26">
        <v>0.27389999999999998</v>
      </c>
      <c r="H7440" s="26">
        <v>6.9099999999999995E-2</v>
      </c>
      <c r="I7440" s="26">
        <v>8.2000000000000007E-3</v>
      </c>
      <c r="J7440" s="26">
        <v>1.5E-3</v>
      </c>
      <c r="L7440">
        <v>219</v>
      </c>
    </row>
    <row r="7441" spans="1:33" x14ac:dyDescent="0.35">
      <c r="A7441" t="s">
        <v>228</v>
      </c>
      <c r="B7441" t="s">
        <v>255</v>
      </c>
      <c r="C7441" s="26">
        <v>0.77549999999999997</v>
      </c>
      <c r="D7441" s="26">
        <v>0.2291</v>
      </c>
      <c r="E7441" s="26">
        <v>0.2006</v>
      </c>
      <c r="F7441" s="26">
        <v>0.08</v>
      </c>
      <c r="G7441" s="26">
        <v>0.15970000000000001</v>
      </c>
      <c r="H7441" s="26">
        <v>0.14649999999999999</v>
      </c>
      <c r="I7441" s="26">
        <v>1.72E-2</v>
      </c>
      <c r="J7441" s="26">
        <v>3.3999999999999998E-3</v>
      </c>
      <c r="L7441">
        <v>756</v>
      </c>
    </row>
    <row r="7442" spans="1:33" x14ac:dyDescent="0.35">
      <c r="A7442" t="s">
        <v>229</v>
      </c>
      <c r="B7442" t="s">
        <v>256</v>
      </c>
      <c r="C7442" s="26">
        <v>0.84060000000000001</v>
      </c>
      <c r="D7442" s="26">
        <v>0.39100000000000001</v>
      </c>
      <c r="E7442" s="26">
        <v>0.35920000000000002</v>
      </c>
      <c r="F7442" s="26">
        <v>0.71409999999999996</v>
      </c>
      <c r="G7442" s="26">
        <v>0.3044</v>
      </c>
      <c r="H7442" s="26">
        <v>4.8599999999999997E-2</v>
      </c>
      <c r="I7442" s="26">
        <v>1.2500000000000001E-2</v>
      </c>
      <c r="J7442" s="26">
        <v>2.3999999999999998E-3</v>
      </c>
      <c r="L7442">
        <v>206</v>
      </c>
    </row>
    <row r="7443" spans="1:33" x14ac:dyDescent="0.35">
      <c r="A7443" t="s">
        <v>229</v>
      </c>
      <c r="B7443" t="s">
        <v>255</v>
      </c>
      <c r="C7443" s="26">
        <v>0.81069999999999998</v>
      </c>
      <c r="D7443" s="26">
        <v>0.28689999999999999</v>
      </c>
      <c r="E7443" s="26">
        <v>0.2324</v>
      </c>
      <c r="F7443" s="26">
        <v>8.1600000000000006E-2</v>
      </c>
      <c r="G7443" s="26">
        <v>0.1487</v>
      </c>
      <c r="H7443" s="26">
        <v>0.1129</v>
      </c>
      <c r="I7443" s="26">
        <v>1.6799999999999999E-2</v>
      </c>
      <c r="J7443" s="26">
        <v>8.0999999999999996E-3</v>
      </c>
      <c r="K7443" s="26">
        <v>5.0000000000000001E-4</v>
      </c>
      <c r="L7443">
        <v>633</v>
      </c>
    </row>
    <row r="7444" spans="1:33" x14ac:dyDescent="0.35">
      <c r="A7444" t="s">
        <v>229</v>
      </c>
      <c r="B7444" t="s">
        <v>257</v>
      </c>
      <c r="C7444" s="26">
        <v>0.77490000000000003</v>
      </c>
      <c r="D7444" s="26">
        <v>0.42209999999999998</v>
      </c>
      <c r="E7444" s="26">
        <v>0.45419999999999999</v>
      </c>
      <c r="F7444" s="26">
        <v>0.7298</v>
      </c>
      <c r="G7444" s="26">
        <v>0.37809999999999999</v>
      </c>
      <c r="H7444" s="26">
        <v>0.13100000000000001</v>
      </c>
      <c r="J7444" s="26">
        <v>1.29E-2</v>
      </c>
      <c r="L7444">
        <v>49</v>
      </c>
    </row>
    <row r="7445" spans="1:33" x14ac:dyDescent="0.35">
      <c r="A7445" s="27" t="s">
        <v>229</v>
      </c>
      <c r="B7445" s="27" t="s">
        <v>258</v>
      </c>
      <c r="C7445" s="28">
        <v>0.77590000000000003</v>
      </c>
      <c r="D7445" s="28">
        <v>0.77590000000000003</v>
      </c>
      <c r="E7445" s="29"/>
      <c r="F7445" s="28">
        <v>0.77590000000000003</v>
      </c>
      <c r="G7445" s="28">
        <v>0.77590000000000003</v>
      </c>
      <c r="H7445" s="28">
        <v>0.22409999999999999</v>
      </c>
      <c r="I7445" s="29"/>
      <c r="J7445" s="29"/>
      <c r="K7445" s="29"/>
      <c r="L7445" s="29" t="s">
        <v>314</v>
      </c>
    </row>
    <row r="7446" spans="1:33" x14ac:dyDescent="0.35">
      <c r="A7446" t="s">
        <v>230</v>
      </c>
      <c r="B7446" t="s">
        <v>256</v>
      </c>
      <c r="C7446" s="26">
        <v>0.85209999999999997</v>
      </c>
      <c r="D7446" s="26">
        <v>0.42099999999999999</v>
      </c>
      <c r="E7446" s="26">
        <v>0.31030000000000002</v>
      </c>
      <c r="F7446" s="26">
        <v>0.57120000000000004</v>
      </c>
      <c r="G7446" s="26">
        <v>0.23619999999999999</v>
      </c>
      <c r="H7446" s="26">
        <v>8.0399999999999999E-2</v>
      </c>
      <c r="I7446" s="26">
        <v>3.1E-2</v>
      </c>
      <c r="J7446" s="26">
        <v>4.4999999999999997E-3</v>
      </c>
      <c r="L7446">
        <v>130</v>
      </c>
    </row>
    <row r="7447" spans="1:33" x14ac:dyDescent="0.35">
      <c r="A7447" t="s">
        <v>230</v>
      </c>
      <c r="B7447" t="s">
        <v>255</v>
      </c>
      <c r="C7447" s="26">
        <v>0.79220000000000002</v>
      </c>
      <c r="D7447" s="26">
        <v>0.29709999999999998</v>
      </c>
      <c r="E7447" s="26">
        <v>0.2006</v>
      </c>
      <c r="F7447" s="26">
        <v>8.3599999999999994E-2</v>
      </c>
      <c r="G7447" s="26">
        <v>0.19570000000000001</v>
      </c>
      <c r="H7447" s="26">
        <v>9.4200000000000006E-2</v>
      </c>
      <c r="I7447" s="26">
        <v>1.09E-2</v>
      </c>
      <c r="K7447" s="26">
        <v>4.0000000000000002E-4</v>
      </c>
      <c r="L7447">
        <v>386</v>
      </c>
    </row>
    <row r="7448" spans="1:33" x14ac:dyDescent="0.35">
      <c r="A7448" t="s">
        <v>230</v>
      </c>
      <c r="B7448" t="s">
        <v>257</v>
      </c>
      <c r="C7448" s="26">
        <v>0.78949999999999998</v>
      </c>
      <c r="D7448" s="26">
        <v>0.32479999999999998</v>
      </c>
      <c r="E7448" s="26">
        <v>0.32119999999999999</v>
      </c>
      <c r="F7448" s="26">
        <v>0.70150000000000001</v>
      </c>
      <c r="G7448" s="26">
        <v>0.29580000000000001</v>
      </c>
      <c r="H7448" s="26">
        <v>5.8500000000000003E-2</v>
      </c>
      <c r="I7448" s="26">
        <v>1.2500000000000001E-2</v>
      </c>
      <c r="L7448">
        <v>38</v>
      </c>
    </row>
    <row r="7449" spans="1:33" x14ac:dyDescent="0.35">
      <c r="A7449" s="27" t="s">
        <v>230</v>
      </c>
      <c r="B7449" s="27" t="s">
        <v>258</v>
      </c>
      <c r="C7449" s="28">
        <v>0.82269999999999999</v>
      </c>
      <c r="D7449" s="28">
        <v>0.1356</v>
      </c>
      <c r="E7449" s="29"/>
      <c r="F7449" s="28">
        <v>0.82269999999999999</v>
      </c>
      <c r="G7449" s="29"/>
      <c r="H7449" s="28">
        <v>4.1700000000000001E-2</v>
      </c>
      <c r="I7449" s="29"/>
      <c r="J7449" s="29"/>
      <c r="K7449" s="29"/>
      <c r="L7449" s="29" t="s">
        <v>315</v>
      </c>
    </row>
    <row r="7450" spans="1:33" x14ac:dyDescent="0.35">
      <c r="A7450" s="27" t="s">
        <v>231</v>
      </c>
      <c r="B7450" s="27" t="s">
        <v>257</v>
      </c>
      <c r="C7450" s="28">
        <v>0.57140000000000002</v>
      </c>
      <c r="D7450" s="28">
        <v>0.1429</v>
      </c>
      <c r="E7450" s="29"/>
      <c r="F7450" s="28">
        <v>0.42859999999999998</v>
      </c>
      <c r="G7450" s="28">
        <v>0.28570000000000001</v>
      </c>
      <c r="H7450" s="28">
        <v>0.1429</v>
      </c>
      <c r="I7450" s="29"/>
      <c r="J7450" s="29"/>
      <c r="K7450" s="29"/>
      <c r="L7450" s="29" t="s">
        <v>339</v>
      </c>
    </row>
    <row r="7451" spans="1:33" x14ac:dyDescent="0.35">
      <c r="A7451" t="s">
        <v>231</v>
      </c>
      <c r="B7451" t="s">
        <v>255</v>
      </c>
      <c r="C7451" s="26">
        <v>0.7984</v>
      </c>
      <c r="D7451" s="26">
        <v>0.25580000000000003</v>
      </c>
      <c r="E7451" s="26">
        <v>0.29459999999999997</v>
      </c>
      <c r="F7451" s="26">
        <v>6.2E-2</v>
      </c>
      <c r="G7451" s="26">
        <v>0.17829999999999999</v>
      </c>
      <c r="H7451" s="26">
        <v>0.13950000000000001</v>
      </c>
      <c r="I7451" s="26">
        <v>3.8800000000000001E-2</v>
      </c>
      <c r="L7451">
        <v>129</v>
      </c>
    </row>
    <row r="7452" spans="1:33" x14ac:dyDescent="0.35">
      <c r="A7452" s="27" t="s">
        <v>231</v>
      </c>
      <c r="B7452" s="27" t="s">
        <v>256</v>
      </c>
      <c r="C7452" s="28">
        <v>0.85709999999999997</v>
      </c>
      <c r="D7452" s="28">
        <v>0.46429999999999999</v>
      </c>
      <c r="E7452" s="28">
        <v>0.28570000000000001</v>
      </c>
      <c r="F7452" s="28">
        <v>0.64290000000000003</v>
      </c>
      <c r="G7452" s="28">
        <v>0.42859999999999998</v>
      </c>
      <c r="H7452" s="29"/>
      <c r="I7452" s="29"/>
      <c r="J7452" s="29"/>
      <c r="K7452" s="29"/>
      <c r="L7452" s="29" t="s">
        <v>336</v>
      </c>
    </row>
    <row r="7453" spans="1:33" x14ac:dyDescent="0.35">
      <c r="A7453" t="s">
        <v>232</v>
      </c>
      <c r="B7453" t="s">
        <v>232</v>
      </c>
      <c r="C7453" s="26">
        <v>0.80330000000000001</v>
      </c>
      <c r="D7453" s="26">
        <v>0.2999</v>
      </c>
      <c r="E7453" s="26">
        <v>0.25729999999999997</v>
      </c>
      <c r="F7453" s="26">
        <v>0.22720000000000001</v>
      </c>
      <c r="G7453" s="26">
        <v>0.19800000000000001</v>
      </c>
      <c r="H7453" s="26">
        <v>0.10780000000000001</v>
      </c>
      <c r="I7453" s="26">
        <v>2.1600000000000001E-2</v>
      </c>
      <c r="J7453" s="26">
        <v>3.5000000000000001E-3</v>
      </c>
      <c r="K7453" s="26">
        <v>2.0000000000000001E-4</v>
      </c>
      <c r="L7453">
        <v>2798</v>
      </c>
    </row>
    <row r="7455" spans="1:33" x14ac:dyDescent="0.35">
      <c r="A7455" s="1" t="s">
        <v>1044</v>
      </c>
    </row>
    <row r="7456" spans="1:33" x14ac:dyDescent="0.35">
      <c r="A7456" t="s">
        <v>219</v>
      </c>
      <c r="B7456" t="s">
        <v>305</v>
      </c>
      <c r="C7456" t="s">
        <v>995</v>
      </c>
      <c r="D7456" t="s">
        <v>996</v>
      </c>
      <c r="E7456" t="s">
        <v>997</v>
      </c>
      <c r="F7456" t="s">
        <v>998</v>
      </c>
      <c r="G7456" t="s">
        <v>999</v>
      </c>
      <c r="H7456" t="s">
        <v>1000</v>
      </c>
      <c r="I7456" t="s">
        <v>1001</v>
      </c>
      <c r="J7456" t="s">
        <v>1002</v>
      </c>
      <c r="K7456" t="s">
        <v>1003</v>
      </c>
      <c r="L7456" t="s">
        <v>1004</v>
      </c>
      <c r="M7456" t="s">
        <v>1005</v>
      </c>
      <c r="N7456" t="s">
        <v>1006</v>
      </c>
      <c r="O7456" t="s">
        <v>1007</v>
      </c>
      <c r="P7456" t="s">
        <v>1008</v>
      </c>
      <c r="Q7456" t="s">
        <v>1009</v>
      </c>
      <c r="R7456" t="s">
        <v>1010</v>
      </c>
      <c r="S7456" t="s">
        <v>1011</v>
      </c>
      <c r="T7456" t="s">
        <v>1012</v>
      </c>
      <c r="U7456" t="s">
        <v>1013</v>
      </c>
      <c r="V7456" t="s">
        <v>1014</v>
      </c>
      <c r="W7456" t="s">
        <v>1015</v>
      </c>
      <c r="X7456" t="s">
        <v>1016</v>
      </c>
      <c r="Y7456" t="s">
        <v>1017</v>
      </c>
      <c r="Z7456" t="s">
        <v>1018</v>
      </c>
      <c r="AA7456" t="s">
        <v>1019</v>
      </c>
      <c r="AB7456" t="s">
        <v>1020</v>
      </c>
      <c r="AC7456" t="s">
        <v>1021</v>
      </c>
      <c r="AD7456" t="s">
        <v>1022</v>
      </c>
      <c r="AE7456" t="s">
        <v>1023</v>
      </c>
      <c r="AF7456" t="s">
        <v>1024</v>
      </c>
      <c r="AG7456" t="s">
        <v>964</v>
      </c>
    </row>
    <row r="7457" spans="1:33" x14ac:dyDescent="0.35">
      <c r="A7457" t="s">
        <v>227</v>
      </c>
      <c r="B7457" t="s">
        <v>255</v>
      </c>
      <c r="C7457">
        <v>13686.54</v>
      </c>
      <c r="D7457">
        <v>3000</v>
      </c>
      <c r="E7457">
        <v>150</v>
      </c>
      <c r="F7457">
        <v>100000</v>
      </c>
      <c r="G7457" s="30">
        <v>26</v>
      </c>
      <c r="H7457">
        <v>3437</v>
      </c>
      <c r="I7457">
        <v>2000</v>
      </c>
      <c r="J7457">
        <v>500</v>
      </c>
      <c r="K7457">
        <v>25000</v>
      </c>
      <c r="L7457" s="30">
        <v>16</v>
      </c>
      <c r="M7457">
        <v>6347.67</v>
      </c>
      <c r="N7457">
        <v>3500</v>
      </c>
      <c r="O7457">
        <v>100</v>
      </c>
      <c r="P7457">
        <v>50000</v>
      </c>
      <c r="Q7457" s="30">
        <v>86</v>
      </c>
      <c r="R7457">
        <v>3550</v>
      </c>
      <c r="S7457">
        <v>600</v>
      </c>
      <c r="T7457">
        <v>600</v>
      </c>
      <c r="U7457">
        <v>6500</v>
      </c>
      <c r="V7457" s="30">
        <v>2</v>
      </c>
      <c r="W7457">
        <v>55875</v>
      </c>
      <c r="X7457">
        <v>7500</v>
      </c>
      <c r="Y7457">
        <v>1300</v>
      </c>
      <c r="Z7457">
        <v>400000</v>
      </c>
      <c r="AA7457" s="30">
        <v>8</v>
      </c>
      <c r="AB7457">
        <v>10573.33</v>
      </c>
      <c r="AC7457">
        <v>10000</v>
      </c>
      <c r="AD7457">
        <v>1000</v>
      </c>
      <c r="AE7457">
        <v>25000</v>
      </c>
      <c r="AF7457" s="30">
        <v>9</v>
      </c>
      <c r="AG7457">
        <v>86</v>
      </c>
    </row>
    <row r="7458" spans="1:33" x14ac:dyDescent="0.35">
      <c r="A7458" s="27" t="s">
        <v>227</v>
      </c>
      <c r="B7458" s="27" t="s">
        <v>256</v>
      </c>
      <c r="C7458" s="29">
        <v>6392.86</v>
      </c>
      <c r="D7458" s="29">
        <v>3000</v>
      </c>
      <c r="E7458" s="29">
        <v>1000</v>
      </c>
      <c r="F7458" s="29">
        <v>30000</v>
      </c>
      <c r="G7458" s="29">
        <v>14</v>
      </c>
      <c r="H7458" s="29">
        <v>5230</v>
      </c>
      <c r="I7458" s="29">
        <v>3000</v>
      </c>
      <c r="J7458" s="29">
        <v>300</v>
      </c>
      <c r="K7458" s="29">
        <v>20000</v>
      </c>
      <c r="L7458" s="29">
        <v>10</v>
      </c>
      <c r="M7458" s="29">
        <v>9289.58</v>
      </c>
      <c r="N7458" s="29">
        <v>5000</v>
      </c>
      <c r="O7458" s="29">
        <v>550</v>
      </c>
      <c r="P7458" s="29">
        <v>50000</v>
      </c>
      <c r="Q7458" s="29">
        <v>24</v>
      </c>
      <c r="R7458" s="29">
        <v>6723.81</v>
      </c>
      <c r="S7458" s="29">
        <v>4200</v>
      </c>
      <c r="T7458" s="29">
        <v>500</v>
      </c>
      <c r="U7458" s="29">
        <v>42000</v>
      </c>
      <c r="V7458" s="29">
        <v>21</v>
      </c>
      <c r="W7458" s="29">
        <v>20508.330000000002</v>
      </c>
      <c r="X7458" s="29">
        <v>8000</v>
      </c>
      <c r="Y7458" s="29">
        <v>1500</v>
      </c>
      <c r="Z7458" s="29">
        <v>60000</v>
      </c>
      <c r="AA7458" s="29">
        <v>12</v>
      </c>
      <c r="AB7458" s="29">
        <v>6100</v>
      </c>
      <c r="AC7458" s="29">
        <v>7000</v>
      </c>
      <c r="AD7458" s="29">
        <v>3000</v>
      </c>
      <c r="AE7458" s="29">
        <v>10000</v>
      </c>
      <c r="AF7458" s="29">
        <v>6</v>
      </c>
      <c r="AG7458" s="29">
        <v>24</v>
      </c>
    </row>
    <row r="7459" spans="1:33" x14ac:dyDescent="0.35">
      <c r="A7459" s="27" t="s">
        <v>227</v>
      </c>
      <c r="B7459" s="27" t="s">
        <v>257</v>
      </c>
      <c r="C7459" s="29">
        <v>3833.33</v>
      </c>
      <c r="D7459" s="29">
        <v>6000</v>
      </c>
      <c r="E7459" s="29">
        <v>500</v>
      </c>
      <c r="F7459" s="29">
        <v>6000</v>
      </c>
      <c r="G7459" s="29">
        <v>3</v>
      </c>
      <c r="H7459" s="29">
        <v>6000</v>
      </c>
      <c r="I7459" s="29">
        <v>6000</v>
      </c>
      <c r="J7459" s="29">
        <v>6000</v>
      </c>
      <c r="K7459" s="29">
        <v>6000</v>
      </c>
      <c r="L7459" s="29">
        <v>1</v>
      </c>
      <c r="M7459" s="29">
        <v>9333.33</v>
      </c>
      <c r="N7459" s="29">
        <v>20000</v>
      </c>
      <c r="O7459" s="29">
        <v>2000</v>
      </c>
      <c r="P7459" s="29">
        <v>20000</v>
      </c>
      <c r="Q7459" s="29">
        <v>6</v>
      </c>
      <c r="R7459" s="29">
        <v>15225</v>
      </c>
      <c r="S7459" s="29">
        <v>10000</v>
      </c>
      <c r="T7459" s="29">
        <v>10000</v>
      </c>
      <c r="U7459" s="29">
        <v>30000</v>
      </c>
      <c r="V7459" s="29">
        <v>4</v>
      </c>
      <c r="W7459" s="29">
        <v>5000</v>
      </c>
      <c r="X7459" s="29">
        <v>5000</v>
      </c>
      <c r="Y7459" s="29">
        <v>5000</v>
      </c>
      <c r="Z7459" s="29">
        <v>5000</v>
      </c>
      <c r="AA7459" s="29">
        <v>1</v>
      </c>
      <c r="AB7459" s="29"/>
      <c r="AC7459" s="29"/>
      <c r="AD7459" s="29"/>
      <c r="AE7459" s="29"/>
      <c r="AF7459" s="29"/>
      <c r="AG7459" s="29">
        <v>6</v>
      </c>
    </row>
    <row r="7460" spans="1:33" x14ac:dyDescent="0.35">
      <c r="A7460" t="s">
        <v>228</v>
      </c>
      <c r="B7460" t="s">
        <v>255</v>
      </c>
      <c r="C7460">
        <v>10561.11</v>
      </c>
      <c r="D7460">
        <v>3000</v>
      </c>
      <c r="E7460">
        <v>180</v>
      </c>
      <c r="F7460">
        <v>200000</v>
      </c>
      <c r="G7460" s="30">
        <v>140</v>
      </c>
      <c r="H7460">
        <v>5516.61</v>
      </c>
      <c r="I7460">
        <v>2500</v>
      </c>
      <c r="J7460">
        <v>200</v>
      </c>
      <c r="K7460">
        <v>30000</v>
      </c>
      <c r="L7460" s="30">
        <v>100</v>
      </c>
      <c r="M7460">
        <v>9980.2099999999991</v>
      </c>
      <c r="N7460">
        <v>5000</v>
      </c>
      <c r="O7460">
        <v>100</v>
      </c>
      <c r="P7460">
        <v>100000</v>
      </c>
      <c r="Q7460" s="30">
        <v>495</v>
      </c>
      <c r="R7460">
        <v>12127.13</v>
      </c>
      <c r="S7460">
        <v>12000</v>
      </c>
      <c r="T7460">
        <v>300</v>
      </c>
      <c r="U7460">
        <v>40000</v>
      </c>
      <c r="V7460" s="30">
        <v>44</v>
      </c>
      <c r="W7460">
        <v>17118</v>
      </c>
      <c r="X7460">
        <v>6000</v>
      </c>
      <c r="Y7460">
        <v>200</v>
      </c>
      <c r="Z7460">
        <v>100000</v>
      </c>
      <c r="AA7460" s="30">
        <v>87</v>
      </c>
      <c r="AB7460">
        <v>7769.05</v>
      </c>
      <c r="AC7460">
        <v>3200</v>
      </c>
      <c r="AD7460">
        <v>100</v>
      </c>
      <c r="AE7460">
        <v>31000</v>
      </c>
      <c r="AF7460" s="30">
        <v>26</v>
      </c>
      <c r="AG7460">
        <v>495</v>
      </c>
    </row>
    <row r="7461" spans="1:33" x14ac:dyDescent="0.35">
      <c r="A7461" t="s">
        <v>228</v>
      </c>
      <c r="B7461" t="s">
        <v>256</v>
      </c>
      <c r="C7461">
        <v>12857.38</v>
      </c>
      <c r="D7461">
        <v>5000</v>
      </c>
      <c r="E7461">
        <v>200</v>
      </c>
      <c r="F7461">
        <v>120000</v>
      </c>
      <c r="G7461" s="30">
        <v>52</v>
      </c>
      <c r="H7461">
        <v>4229.74</v>
      </c>
      <c r="I7461">
        <v>3000</v>
      </c>
      <c r="J7461">
        <v>400</v>
      </c>
      <c r="K7461">
        <v>30000</v>
      </c>
      <c r="L7461" s="30">
        <v>54</v>
      </c>
      <c r="M7461">
        <v>10672.04</v>
      </c>
      <c r="N7461">
        <v>5000</v>
      </c>
      <c r="O7461">
        <v>300</v>
      </c>
      <c r="P7461">
        <v>80000</v>
      </c>
      <c r="Q7461" s="30">
        <v>149</v>
      </c>
      <c r="R7461">
        <v>7208.1</v>
      </c>
      <c r="S7461">
        <v>4000</v>
      </c>
      <c r="T7461">
        <v>150</v>
      </c>
      <c r="U7461">
        <v>30000</v>
      </c>
      <c r="V7461" s="30">
        <v>75</v>
      </c>
      <c r="W7461">
        <v>18511.66</v>
      </c>
      <c r="X7461">
        <v>17400</v>
      </c>
      <c r="Y7461">
        <v>1000</v>
      </c>
      <c r="Z7461">
        <v>120000</v>
      </c>
      <c r="AA7461" s="30">
        <v>47</v>
      </c>
      <c r="AB7461">
        <v>7797.32</v>
      </c>
      <c r="AC7461">
        <v>4000</v>
      </c>
      <c r="AD7461">
        <v>1000</v>
      </c>
      <c r="AE7461">
        <v>30000</v>
      </c>
      <c r="AF7461" s="30">
        <v>14</v>
      </c>
      <c r="AG7461">
        <v>149</v>
      </c>
    </row>
    <row r="7462" spans="1:33" x14ac:dyDescent="0.35">
      <c r="A7462" s="27" t="s">
        <v>228</v>
      </c>
      <c r="B7462" s="27" t="s">
        <v>257</v>
      </c>
      <c r="C7462" s="29">
        <v>8507.57</v>
      </c>
      <c r="D7462" s="29">
        <v>3000</v>
      </c>
      <c r="E7462" s="29">
        <v>350</v>
      </c>
      <c r="F7462" s="29">
        <v>100000</v>
      </c>
      <c r="G7462" s="29">
        <v>11</v>
      </c>
      <c r="H7462" s="29">
        <v>2785.64</v>
      </c>
      <c r="I7462" s="29">
        <v>3000</v>
      </c>
      <c r="J7462" s="29">
        <v>1000</v>
      </c>
      <c r="K7462" s="29">
        <v>6000</v>
      </c>
      <c r="L7462" s="29">
        <v>7</v>
      </c>
      <c r="M7462" s="29">
        <v>6849.39</v>
      </c>
      <c r="N7462" s="29">
        <v>3500</v>
      </c>
      <c r="O7462" s="29">
        <v>600</v>
      </c>
      <c r="P7462" s="29">
        <v>20000</v>
      </c>
      <c r="Q7462" s="29">
        <v>27</v>
      </c>
      <c r="R7462" s="29">
        <v>6540.08</v>
      </c>
      <c r="S7462" s="29">
        <v>3000</v>
      </c>
      <c r="T7462" s="29">
        <v>300</v>
      </c>
      <c r="U7462" s="29">
        <v>30000</v>
      </c>
      <c r="V7462" s="29">
        <v>20</v>
      </c>
      <c r="W7462" s="29">
        <v>25622.240000000002</v>
      </c>
      <c r="X7462" s="29">
        <v>36000</v>
      </c>
      <c r="Y7462" s="29">
        <v>1000</v>
      </c>
      <c r="Z7462" s="29">
        <v>36000</v>
      </c>
      <c r="AA7462" s="29">
        <v>4</v>
      </c>
      <c r="AB7462" s="29">
        <v>20000</v>
      </c>
      <c r="AC7462" s="29">
        <v>20000</v>
      </c>
      <c r="AD7462" s="29">
        <v>20000</v>
      </c>
      <c r="AE7462" s="29">
        <v>20000</v>
      </c>
      <c r="AF7462" s="29">
        <v>1</v>
      </c>
      <c r="AG7462" s="29">
        <v>27</v>
      </c>
    </row>
    <row r="7463" spans="1:33" x14ac:dyDescent="0.35">
      <c r="A7463" s="27" t="s">
        <v>228</v>
      </c>
      <c r="B7463" s="27" t="s">
        <v>258</v>
      </c>
      <c r="C7463" s="29">
        <v>5326.13</v>
      </c>
      <c r="D7463" s="29">
        <v>5000</v>
      </c>
      <c r="E7463" s="29">
        <v>5000</v>
      </c>
      <c r="F7463" s="29">
        <v>8000</v>
      </c>
      <c r="G7463" s="29">
        <v>3</v>
      </c>
      <c r="H7463" s="29">
        <v>1840.44</v>
      </c>
      <c r="I7463" s="29">
        <v>2000</v>
      </c>
      <c r="J7463" s="29">
        <v>1500</v>
      </c>
      <c r="K7463" s="29">
        <v>2000</v>
      </c>
      <c r="L7463" s="29">
        <v>2</v>
      </c>
      <c r="M7463" s="29">
        <v>29146.83</v>
      </c>
      <c r="N7463" s="29">
        <v>10000</v>
      </c>
      <c r="O7463" s="29">
        <v>10000</v>
      </c>
      <c r="P7463" s="29">
        <v>70000</v>
      </c>
      <c r="Q7463" s="29">
        <v>2</v>
      </c>
      <c r="R7463" s="29">
        <v>5000</v>
      </c>
      <c r="S7463" s="29">
        <v>5000</v>
      </c>
      <c r="T7463" s="29">
        <v>5000</v>
      </c>
      <c r="U7463" s="29">
        <v>5000</v>
      </c>
      <c r="V7463" s="29">
        <v>1</v>
      </c>
      <c r="W7463" s="29">
        <v>10000</v>
      </c>
      <c r="X7463" s="29">
        <v>10000</v>
      </c>
      <c r="Y7463" s="29">
        <v>10000</v>
      </c>
      <c r="Z7463" s="29">
        <v>10000</v>
      </c>
      <c r="AA7463" s="29">
        <v>1</v>
      </c>
      <c r="AB7463" s="29"/>
      <c r="AC7463" s="29"/>
      <c r="AD7463" s="29"/>
      <c r="AE7463" s="29"/>
      <c r="AF7463" s="29"/>
      <c r="AG7463" s="29">
        <v>3</v>
      </c>
    </row>
    <row r="7464" spans="1:33" x14ac:dyDescent="0.35">
      <c r="A7464" t="s">
        <v>229</v>
      </c>
      <c r="B7464" t="s">
        <v>255</v>
      </c>
      <c r="C7464">
        <v>13071.4</v>
      </c>
      <c r="D7464">
        <v>5000</v>
      </c>
      <c r="E7464">
        <v>200</v>
      </c>
      <c r="F7464">
        <v>200000</v>
      </c>
      <c r="G7464" s="30">
        <v>142</v>
      </c>
      <c r="H7464">
        <v>5736.3</v>
      </c>
      <c r="I7464">
        <v>3000</v>
      </c>
      <c r="J7464">
        <v>200</v>
      </c>
      <c r="K7464">
        <v>30000</v>
      </c>
      <c r="L7464" s="30">
        <v>107</v>
      </c>
      <c r="M7464">
        <v>10003.719999999999</v>
      </c>
      <c r="N7464">
        <v>6000</v>
      </c>
      <c r="O7464">
        <v>150</v>
      </c>
      <c r="P7464">
        <v>70000</v>
      </c>
      <c r="Q7464" s="30">
        <v>421</v>
      </c>
      <c r="R7464">
        <v>13180.17</v>
      </c>
      <c r="S7464">
        <v>15000</v>
      </c>
      <c r="T7464">
        <v>1300</v>
      </c>
      <c r="U7464">
        <v>45000</v>
      </c>
      <c r="V7464" s="30">
        <v>37</v>
      </c>
      <c r="W7464">
        <v>14290.6</v>
      </c>
      <c r="X7464">
        <v>12000</v>
      </c>
      <c r="Y7464">
        <v>300</v>
      </c>
      <c r="Z7464">
        <v>50000</v>
      </c>
      <c r="AA7464" s="30">
        <v>71</v>
      </c>
      <c r="AB7464">
        <v>4849.97</v>
      </c>
      <c r="AC7464">
        <v>2000</v>
      </c>
      <c r="AD7464">
        <v>200</v>
      </c>
      <c r="AE7464">
        <v>20000</v>
      </c>
      <c r="AF7464" s="30">
        <v>32</v>
      </c>
      <c r="AG7464">
        <v>421</v>
      </c>
    </row>
    <row r="7465" spans="1:33" x14ac:dyDescent="0.35">
      <c r="A7465" s="27" t="s">
        <v>229</v>
      </c>
      <c r="B7465" s="27" t="s">
        <v>258</v>
      </c>
      <c r="C7465" s="29">
        <v>1500</v>
      </c>
      <c r="D7465" s="29">
        <v>1500</v>
      </c>
      <c r="E7465" s="29">
        <v>1500</v>
      </c>
      <c r="F7465" s="29">
        <v>1500</v>
      </c>
      <c r="G7465" s="29">
        <v>1</v>
      </c>
      <c r="H7465" s="29"/>
      <c r="I7465" s="29"/>
      <c r="J7465" s="29"/>
      <c r="K7465" s="29"/>
      <c r="L7465" s="29"/>
      <c r="M7465" s="29">
        <v>500</v>
      </c>
      <c r="N7465" s="29">
        <v>500</v>
      </c>
      <c r="O7465" s="29">
        <v>500</v>
      </c>
      <c r="P7465" s="29">
        <v>500</v>
      </c>
      <c r="Q7465" s="29">
        <v>1</v>
      </c>
      <c r="R7465" s="29">
        <v>1300</v>
      </c>
      <c r="S7465" s="29">
        <v>1300</v>
      </c>
      <c r="T7465" s="29">
        <v>1300</v>
      </c>
      <c r="U7465" s="29">
        <v>1300</v>
      </c>
      <c r="V7465" s="29">
        <v>1</v>
      </c>
      <c r="W7465" s="29"/>
      <c r="X7465" s="29"/>
      <c r="Y7465" s="29"/>
      <c r="Z7465" s="29"/>
      <c r="AA7465" s="29"/>
      <c r="AB7465" s="29"/>
      <c r="AC7465" s="29"/>
      <c r="AD7465" s="29"/>
      <c r="AE7465" s="29"/>
      <c r="AF7465" s="29"/>
      <c r="AG7465" s="29">
        <v>1</v>
      </c>
    </row>
    <row r="7466" spans="1:33" x14ac:dyDescent="0.35">
      <c r="A7466" t="s">
        <v>229</v>
      </c>
      <c r="B7466" t="s">
        <v>256</v>
      </c>
      <c r="C7466">
        <v>20667.509999999998</v>
      </c>
      <c r="D7466">
        <v>6000</v>
      </c>
      <c r="E7466">
        <v>100</v>
      </c>
      <c r="F7466">
        <v>200000</v>
      </c>
      <c r="G7466" s="30">
        <v>59</v>
      </c>
      <c r="H7466">
        <v>8240.2800000000007</v>
      </c>
      <c r="I7466">
        <v>5000</v>
      </c>
      <c r="J7466">
        <v>400</v>
      </c>
      <c r="K7466">
        <v>30000</v>
      </c>
      <c r="L7466" s="30">
        <v>43</v>
      </c>
      <c r="M7466">
        <v>13788.68</v>
      </c>
      <c r="N7466">
        <v>8000</v>
      </c>
      <c r="O7466">
        <v>500</v>
      </c>
      <c r="P7466">
        <v>100000</v>
      </c>
      <c r="Q7466" s="30">
        <v>139</v>
      </c>
      <c r="R7466">
        <v>7263.29</v>
      </c>
      <c r="S7466">
        <v>5000</v>
      </c>
      <c r="T7466">
        <v>200</v>
      </c>
      <c r="U7466">
        <v>35000</v>
      </c>
      <c r="V7466" s="30">
        <v>109</v>
      </c>
      <c r="W7466">
        <v>26220.400000000001</v>
      </c>
      <c r="X7466">
        <v>12000</v>
      </c>
      <c r="Y7466">
        <v>1000</v>
      </c>
      <c r="Z7466">
        <v>200000</v>
      </c>
      <c r="AA7466" s="30">
        <v>45</v>
      </c>
      <c r="AB7466">
        <v>13857.92</v>
      </c>
      <c r="AC7466">
        <v>12000</v>
      </c>
      <c r="AD7466">
        <v>1000</v>
      </c>
      <c r="AE7466">
        <v>30000</v>
      </c>
      <c r="AF7466" s="30">
        <v>11</v>
      </c>
      <c r="AG7466">
        <v>139</v>
      </c>
    </row>
    <row r="7467" spans="1:33" x14ac:dyDescent="0.35">
      <c r="A7467" t="s">
        <v>229</v>
      </c>
      <c r="B7467" t="s">
        <v>257</v>
      </c>
      <c r="C7467">
        <v>2321.92</v>
      </c>
      <c r="D7467">
        <v>3000</v>
      </c>
      <c r="E7467">
        <v>260</v>
      </c>
      <c r="F7467">
        <v>20000</v>
      </c>
      <c r="G7467" s="30">
        <v>11</v>
      </c>
      <c r="H7467">
        <v>5814.73</v>
      </c>
      <c r="I7467">
        <v>8000</v>
      </c>
      <c r="J7467">
        <v>600</v>
      </c>
      <c r="K7467">
        <v>15000</v>
      </c>
      <c r="L7467" s="30">
        <v>15</v>
      </c>
      <c r="M7467">
        <v>8007.6</v>
      </c>
      <c r="N7467">
        <v>7000</v>
      </c>
      <c r="O7467">
        <v>500</v>
      </c>
      <c r="P7467">
        <v>20000</v>
      </c>
      <c r="Q7467" s="30">
        <v>30</v>
      </c>
      <c r="R7467">
        <v>5840.18</v>
      </c>
      <c r="S7467">
        <v>2000</v>
      </c>
      <c r="T7467">
        <v>400</v>
      </c>
      <c r="U7467">
        <v>40000</v>
      </c>
      <c r="V7467" s="30">
        <v>27</v>
      </c>
      <c r="W7467">
        <v>25101.8</v>
      </c>
      <c r="X7467">
        <v>25000</v>
      </c>
      <c r="Y7467">
        <v>3000</v>
      </c>
      <c r="Z7467">
        <v>50000</v>
      </c>
      <c r="AA7467" s="30">
        <v>10</v>
      </c>
      <c r="AB7467">
        <v>6750</v>
      </c>
      <c r="AC7467">
        <v>1500</v>
      </c>
      <c r="AD7467">
        <v>1500</v>
      </c>
      <c r="AE7467">
        <v>12000</v>
      </c>
      <c r="AF7467" s="30">
        <v>2</v>
      </c>
      <c r="AG7467">
        <v>30</v>
      </c>
    </row>
    <row r="7468" spans="1:33" x14ac:dyDescent="0.35">
      <c r="A7468" t="s">
        <v>230</v>
      </c>
      <c r="B7468" t="s">
        <v>255</v>
      </c>
      <c r="C7468">
        <v>8057.2</v>
      </c>
      <c r="D7468">
        <v>3000</v>
      </c>
      <c r="E7468">
        <v>100</v>
      </c>
      <c r="F7468">
        <v>200000</v>
      </c>
      <c r="G7468" s="30">
        <v>101</v>
      </c>
      <c r="H7468">
        <v>4021.04</v>
      </c>
      <c r="I7468">
        <v>3000</v>
      </c>
      <c r="J7468">
        <v>200</v>
      </c>
      <c r="K7468">
        <v>17000</v>
      </c>
      <c r="L7468" s="30">
        <v>61</v>
      </c>
      <c r="M7468">
        <v>10006.69</v>
      </c>
      <c r="N7468">
        <v>5000</v>
      </c>
      <c r="O7468">
        <v>100</v>
      </c>
      <c r="P7468">
        <v>80000</v>
      </c>
      <c r="Q7468" s="30">
        <v>268</v>
      </c>
      <c r="R7468">
        <v>10148.25</v>
      </c>
      <c r="S7468">
        <v>10000</v>
      </c>
      <c r="T7468">
        <v>450</v>
      </c>
      <c r="U7468">
        <v>30000</v>
      </c>
      <c r="V7468" s="30">
        <v>17</v>
      </c>
      <c r="W7468">
        <v>14832.47</v>
      </c>
      <c r="X7468">
        <v>7000</v>
      </c>
      <c r="Y7468">
        <v>400</v>
      </c>
      <c r="Z7468">
        <v>110000</v>
      </c>
      <c r="AA7468" s="30">
        <v>60</v>
      </c>
      <c r="AB7468">
        <v>6209.8</v>
      </c>
      <c r="AC7468">
        <v>5000</v>
      </c>
      <c r="AD7468">
        <v>500</v>
      </c>
      <c r="AE7468">
        <v>30000</v>
      </c>
      <c r="AF7468" s="30">
        <v>23</v>
      </c>
      <c r="AG7468">
        <v>268</v>
      </c>
    </row>
    <row r="7469" spans="1:33" x14ac:dyDescent="0.35">
      <c r="A7469" t="s">
        <v>230</v>
      </c>
      <c r="B7469" t="s">
        <v>256</v>
      </c>
      <c r="C7469">
        <v>21031.27</v>
      </c>
      <c r="D7469">
        <v>10000</v>
      </c>
      <c r="E7469">
        <v>100</v>
      </c>
      <c r="F7469">
        <v>200000</v>
      </c>
      <c r="G7469" s="30">
        <v>45</v>
      </c>
      <c r="H7469">
        <v>6712.02</v>
      </c>
      <c r="I7469">
        <v>3000</v>
      </c>
      <c r="J7469">
        <v>250</v>
      </c>
      <c r="K7469">
        <v>30000</v>
      </c>
      <c r="L7469" s="30">
        <v>29</v>
      </c>
      <c r="M7469">
        <v>10590.31</v>
      </c>
      <c r="N7469">
        <v>5000</v>
      </c>
      <c r="O7469">
        <v>600</v>
      </c>
      <c r="P7469">
        <v>100000</v>
      </c>
      <c r="Q7469" s="30">
        <v>90</v>
      </c>
      <c r="R7469">
        <v>7435.04</v>
      </c>
      <c r="S7469">
        <v>5000</v>
      </c>
      <c r="T7469">
        <v>200</v>
      </c>
      <c r="U7469">
        <v>40000</v>
      </c>
      <c r="V7469" s="30">
        <v>53</v>
      </c>
      <c r="W7469">
        <v>20363.18</v>
      </c>
      <c r="X7469">
        <v>12000</v>
      </c>
      <c r="Y7469">
        <v>1500</v>
      </c>
      <c r="Z7469">
        <v>250000</v>
      </c>
      <c r="AA7469" s="30">
        <v>31</v>
      </c>
      <c r="AB7469">
        <v>5138.55</v>
      </c>
      <c r="AC7469">
        <v>10800</v>
      </c>
      <c r="AD7469">
        <v>740</v>
      </c>
      <c r="AE7469">
        <v>20000</v>
      </c>
      <c r="AF7469" s="30">
        <v>7</v>
      </c>
      <c r="AG7469">
        <v>90</v>
      </c>
    </row>
    <row r="7470" spans="1:33" x14ac:dyDescent="0.35">
      <c r="A7470" s="27" t="s">
        <v>230</v>
      </c>
      <c r="B7470" s="27" t="s">
        <v>258</v>
      </c>
      <c r="C7470" s="29">
        <v>4000</v>
      </c>
      <c r="D7470" s="29">
        <v>4000</v>
      </c>
      <c r="E7470" s="29">
        <v>4000</v>
      </c>
      <c r="F7470" s="29">
        <v>4000</v>
      </c>
      <c r="G7470" s="29">
        <v>1</v>
      </c>
      <c r="H7470" s="29"/>
      <c r="I7470" s="29"/>
      <c r="J7470" s="29"/>
      <c r="K7470" s="29"/>
      <c r="L7470" s="29"/>
      <c r="M7470" s="29">
        <v>2000</v>
      </c>
      <c r="N7470" s="29">
        <v>2000</v>
      </c>
      <c r="O7470" s="29">
        <v>2000</v>
      </c>
      <c r="P7470" s="29">
        <v>2000</v>
      </c>
      <c r="Q7470" s="29">
        <v>1</v>
      </c>
      <c r="R7470" s="29">
        <v>3000</v>
      </c>
      <c r="S7470" s="29">
        <v>3000</v>
      </c>
      <c r="T7470" s="29">
        <v>3000</v>
      </c>
      <c r="U7470" s="29">
        <v>3000</v>
      </c>
      <c r="V7470" s="29">
        <v>1</v>
      </c>
      <c r="W7470" s="29"/>
      <c r="X7470" s="29"/>
      <c r="Y7470" s="29"/>
      <c r="Z7470" s="29"/>
      <c r="AA7470" s="29"/>
      <c r="AB7470" s="29"/>
      <c r="AC7470" s="29"/>
      <c r="AD7470" s="29"/>
      <c r="AE7470" s="29"/>
      <c r="AF7470" s="29"/>
      <c r="AG7470" s="29">
        <v>1</v>
      </c>
    </row>
    <row r="7471" spans="1:33" x14ac:dyDescent="0.35">
      <c r="A7471" s="27" t="s">
        <v>230</v>
      </c>
      <c r="B7471" s="27" t="s">
        <v>257</v>
      </c>
      <c r="C7471" s="29">
        <v>8830.26</v>
      </c>
      <c r="D7471" s="29">
        <v>10000</v>
      </c>
      <c r="E7471" s="29">
        <v>500</v>
      </c>
      <c r="F7471" s="29">
        <v>40000</v>
      </c>
      <c r="G7471" s="29">
        <v>11</v>
      </c>
      <c r="H7471" s="29">
        <v>5265.8</v>
      </c>
      <c r="I7471" s="29">
        <v>5000</v>
      </c>
      <c r="J7471" s="29">
        <v>500</v>
      </c>
      <c r="K7471" s="29">
        <v>30000</v>
      </c>
      <c r="L7471" s="29">
        <v>10</v>
      </c>
      <c r="M7471" s="29">
        <v>5110.3</v>
      </c>
      <c r="N7471" s="29">
        <v>5000</v>
      </c>
      <c r="O7471" s="29">
        <v>500</v>
      </c>
      <c r="P7471" s="29">
        <v>15000</v>
      </c>
      <c r="Q7471" s="29">
        <v>23</v>
      </c>
      <c r="R7471" s="29">
        <v>3636.21</v>
      </c>
      <c r="S7471" s="29">
        <v>3000</v>
      </c>
      <c r="T7471" s="29">
        <v>200</v>
      </c>
      <c r="U7471" s="29">
        <v>20000</v>
      </c>
      <c r="V7471" s="29">
        <v>18</v>
      </c>
      <c r="W7471" s="29">
        <v>7184.59</v>
      </c>
      <c r="X7471" s="29">
        <v>10000</v>
      </c>
      <c r="Y7471" s="29">
        <v>560</v>
      </c>
      <c r="Z7471" s="29">
        <v>12000</v>
      </c>
      <c r="AA7471" s="29">
        <v>9</v>
      </c>
      <c r="AB7471" s="29">
        <v>16000</v>
      </c>
      <c r="AC7471" s="29">
        <v>12000</v>
      </c>
      <c r="AD7471" s="29">
        <v>12000</v>
      </c>
      <c r="AE7471" s="29">
        <v>20000</v>
      </c>
      <c r="AF7471" s="29">
        <v>2</v>
      </c>
      <c r="AG7471" s="29">
        <v>23</v>
      </c>
    </row>
    <row r="7472" spans="1:33" x14ac:dyDescent="0.35">
      <c r="A7472" s="27" t="s">
        <v>231</v>
      </c>
      <c r="B7472" s="27" t="s">
        <v>256</v>
      </c>
      <c r="C7472" s="29">
        <v>26846.15</v>
      </c>
      <c r="D7472" s="29">
        <v>25000</v>
      </c>
      <c r="E7472" s="29">
        <v>2000</v>
      </c>
      <c r="F7472" s="29">
        <v>70000</v>
      </c>
      <c r="G7472" s="29">
        <v>13</v>
      </c>
      <c r="H7472" s="29">
        <v>4916.67</v>
      </c>
      <c r="I7472" s="29">
        <v>5000</v>
      </c>
      <c r="J7472" s="29">
        <v>1500</v>
      </c>
      <c r="K7472" s="29">
        <v>10000</v>
      </c>
      <c r="L7472" s="29">
        <v>6</v>
      </c>
      <c r="M7472" s="29">
        <v>8465</v>
      </c>
      <c r="N7472" s="29">
        <v>6000</v>
      </c>
      <c r="O7472" s="29">
        <v>1000</v>
      </c>
      <c r="P7472" s="29">
        <v>48800</v>
      </c>
      <c r="Q7472" s="29">
        <v>20</v>
      </c>
      <c r="R7472" s="29">
        <v>6757.69</v>
      </c>
      <c r="S7472" s="29">
        <v>5000</v>
      </c>
      <c r="T7472" s="29">
        <v>350</v>
      </c>
      <c r="U7472" s="29">
        <v>28000</v>
      </c>
      <c r="V7472" s="29">
        <v>13</v>
      </c>
      <c r="W7472" s="29">
        <v>14139.82</v>
      </c>
      <c r="X7472" s="29">
        <v>15000</v>
      </c>
      <c r="Y7472" s="29">
        <v>2538</v>
      </c>
      <c r="Z7472" s="29">
        <v>30000</v>
      </c>
      <c r="AA7472" s="29">
        <v>11</v>
      </c>
      <c r="AB7472" s="29"/>
      <c r="AC7472" s="29"/>
      <c r="AD7472" s="29"/>
      <c r="AE7472" s="29"/>
      <c r="AF7472" s="29"/>
      <c r="AG7472" s="29">
        <v>20</v>
      </c>
    </row>
    <row r="7473" spans="1:33" x14ac:dyDescent="0.35">
      <c r="A7473" t="s">
        <v>231</v>
      </c>
      <c r="B7473" t="s">
        <v>255</v>
      </c>
      <c r="C7473">
        <v>18626.669999999998</v>
      </c>
      <c r="D7473">
        <v>4000</v>
      </c>
      <c r="E7473">
        <v>200</v>
      </c>
      <c r="F7473">
        <v>200000</v>
      </c>
      <c r="G7473" s="30">
        <v>30</v>
      </c>
      <c r="H7473">
        <v>5970.65</v>
      </c>
      <c r="I7473">
        <v>4000</v>
      </c>
      <c r="J7473">
        <v>200</v>
      </c>
      <c r="K7473">
        <v>30000</v>
      </c>
      <c r="L7473" s="30">
        <v>31</v>
      </c>
      <c r="M7473">
        <v>8455.06</v>
      </c>
      <c r="N7473">
        <v>5000</v>
      </c>
      <c r="O7473">
        <v>170</v>
      </c>
      <c r="P7473">
        <v>100000</v>
      </c>
      <c r="Q7473" s="30">
        <v>87</v>
      </c>
      <c r="R7473">
        <v>22566.67</v>
      </c>
      <c r="S7473">
        <v>40000</v>
      </c>
      <c r="T7473">
        <v>400</v>
      </c>
      <c r="U7473">
        <v>40000</v>
      </c>
      <c r="V7473" s="30">
        <v>6</v>
      </c>
      <c r="W7473">
        <v>10313.89</v>
      </c>
      <c r="X7473">
        <v>9000</v>
      </c>
      <c r="Y7473">
        <v>500</v>
      </c>
      <c r="Z7473">
        <v>50000</v>
      </c>
      <c r="AA7473" s="30">
        <v>18</v>
      </c>
      <c r="AB7473">
        <v>2285.71</v>
      </c>
      <c r="AC7473">
        <v>2000</v>
      </c>
      <c r="AD7473">
        <v>300</v>
      </c>
      <c r="AE7473">
        <v>8000</v>
      </c>
      <c r="AF7473" s="30">
        <v>7</v>
      </c>
      <c r="AG7473">
        <v>87</v>
      </c>
    </row>
    <row r="7474" spans="1:33" x14ac:dyDescent="0.35">
      <c r="A7474" s="27" t="s">
        <v>231</v>
      </c>
      <c r="B7474" s="27" t="s">
        <v>257</v>
      </c>
      <c r="C7474" s="29">
        <v>2000</v>
      </c>
      <c r="D7474" s="29">
        <v>2000</v>
      </c>
      <c r="E7474" s="29">
        <v>2000</v>
      </c>
      <c r="F7474" s="29">
        <v>2000</v>
      </c>
      <c r="G7474" s="29">
        <v>1</v>
      </c>
      <c r="H7474" s="29"/>
      <c r="I7474" s="29"/>
      <c r="J7474" s="29"/>
      <c r="K7474" s="29"/>
      <c r="L7474" s="29"/>
      <c r="M7474" s="29">
        <v>1976.25</v>
      </c>
      <c r="N7474" s="29">
        <v>500</v>
      </c>
      <c r="O7474" s="29">
        <v>405</v>
      </c>
      <c r="P7474" s="29">
        <v>4000</v>
      </c>
      <c r="Q7474" s="29">
        <v>4</v>
      </c>
      <c r="R7474" s="29">
        <v>3466.67</v>
      </c>
      <c r="S7474" s="29">
        <v>6000</v>
      </c>
      <c r="T7474" s="29">
        <v>2000</v>
      </c>
      <c r="U7474" s="29">
        <v>6000</v>
      </c>
      <c r="V7474" s="29">
        <v>3</v>
      </c>
      <c r="W7474" s="29">
        <v>4500</v>
      </c>
      <c r="X7474" s="29">
        <v>4000</v>
      </c>
      <c r="Y7474" s="29">
        <v>4000</v>
      </c>
      <c r="Z7474" s="29">
        <v>5000</v>
      </c>
      <c r="AA7474" s="29">
        <v>2</v>
      </c>
      <c r="AB7474" s="29"/>
      <c r="AC7474" s="29"/>
      <c r="AD7474" s="29"/>
      <c r="AE7474" s="29"/>
      <c r="AF7474" s="29"/>
      <c r="AG7474" s="29">
        <v>4</v>
      </c>
    </row>
    <row r="7475" spans="1:33" x14ac:dyDescent="0.35">
      <c r="A7475" t="s">
        <v>232</v>
      </c>
      <c r="B7475" t="s">
        <v>232</v>
      </c>
      <c r="C7475">
        <v>14899.73</v>
      </c>
      <c r="D7475">
        <v>5000</v>
      </c>
      <c r="E7475">
        <v>100</v>
      </c>
      <c r="F7475">
        <v>200000</v>
      </c>
      <c r="G7475" s="30">
        <v>664</v>
      </c>
      <c r="H7475">
        <v>5630.43</v>
      </c>
      <c r="I7475">
        <v>3000</v>
      </c>
      <c r="J7475">
        <v>200</v>
      </c>
      <c r="K7475">
        <v>30000</v>
      </c>
      <c r="L7475" s="30">
        <v>492</v>
      </c>
      <c r="M7475">
        <v>9336.61</v>
      </c>
      <c r="N7475">
        <v>5000</v>
      </c>
      <c r="O7475">
        <v>100</v>
      </c>
      <c r="P7475">
        <v>100000</v>
      </c>
      <c r="Q7475" s="30">
        <v>1873</v>
      </c>
      <c r="R7475">
        <v>8628.5300000000007</v>
      </c>
      <c r="S7475">
        <v>5000</v>
      </c>
      <c r="T7475">
        <v>150</v>
      </c>
      <c r="U7475">
        <v>45000</v>
      </c>
      <c r="V7475" s="30">
        <v>452</v>
      </c>
      <c r="W7475">
        <v>18064.68</v>
      </c>
      <c r="X7475">
        <v>9000</v>
      </c>
      <c r="Y7475">
        <v>200</v>
      </c>
      <c r="Z7475">
        <v>400000</v>
      </c>
      <c r="AA7475" s="30">
        <v>417</v>
      </c>
      <c r="AB7475">
        <v>6639.38</v>
      </c>
      <c r="AC7475">
        <v>4000</v>
      </c>
      <c r="AD7475">
        <v>100</v>
      </c>
      <c r="AE7475">
        <v>31000</v>
      </c>
      <c r="AF7475" s="30">
        <v>140</v>
      </c>
      <c r="AG7475">
        <v>1873</v>
      </c>
    </row>
    <row r="7477" spans="1:33" x14ac:dyDescent="0.35">
      <c r="A7477" s="1" t="s">
        <v>1045</v>
      </c>
    </row>
    <row r="7478" spans="1:33" x14ac:dyDescent="0.35">
      <c r="A7478" t="s">
        <v>219</v>
      </c>
      <c r="B7478" t="s">
        <v>534</v>
      </c>
      <c r="C7478" t="s">
        <v>535</v>
      </c>
      <c r="D7478" t="s">
        <v>536</v>
      </c>
      <c r="E7478" t="s">
        <v>537</v>
      </c>
      <c r="F7478" t="s">
        <v>226</v>
      </c>
    </row>
    <row r="7479" spans="1:33" x14ac:dyDescent="0.35">
      <c r="A7479" t="s">
        <v>227</v>
      </c>
      <c r="B7479">
        <v>9322.51</v>
      </c>
      <c r="C7479">
        <v>6388.9</v>
      </c>
      <c r="D7479">
        <v>235</v>
      </c>
      <c r="E7479">
        <v>102149.5</v>
      </c>
      <c r="F7479">
        <v>160</v>
      </c>
    </row>
    <row r="7480" spans="1:33" x14ac:dyDescent="0.35">
      <c r="A7480" t="s">
        <v>228</v>
      </c>
      <c r="B7480">
        <v>9128.3700000000008</v>
      </c>
      <c r="C7480">
        <v>6640</v>
      </c>
      <c r="D7480">
        <v>0</v>
      </c>
      <c r="E7480">
        <v>70216.7</v>
      </c>
      <c r="F7480">
        <v>983</v>
      </c>
    </row>
    <row r="7481" spans="1:33" x14ac:dyDescent="0.35">
      <c r="A7481" t="s">
        <v>229</v>
      </c>
      <c r="B7481">
        <v>11849.68</v>
      </c>
      <c r="C7481">
        <v>8588.9</v>
      </c>
      <c r="D7481">
        <v>27.8</v>
      </c>
      <c r="E7481">
        <v>92200</v>
      </c>
      <c r="F7481">
        <v>867</v>
      </c>
    </row>
    <row r="7482" spans="1:33" x14ac:dyDescent="0.35">
      <c r="A7482" t="s">
        <v>230</v>
      </c>
      <c r="B7482">
        <v>11029.08</v>
      </c>
      <c r="C7482">
        <v>8000</v>
      </c>
      <c r="D7482">
        <v>0</v>
      </c>
      <c r="E7482">
        <v>122633.3</v>
      </c>
      <c r="F7482">
        <v>549</v>
      </c>
    </row>
    <row r="7483" spans="1:33" x14ac:dyDescent="0.35">
      <c r="A7483" t="s">
        <v>231</v>
      </c>
      <c r="B7483">
        <v>10977.24</v>
      </c>
      <c r="C7483">
        <v>6360</v>
      </c>
      <c r="D7483">
        <v>200</v>
      </c>
      <c r="E7483">
        <v>97600</v>
      </c>
      <c r="F7483">
        <v>164</v>
      </c>
    </row>
    <row r="7484" spans="1:33" x14ac:dyDescent="0.35">
      <c r="A7484" t="s">
        <v>232</v>
      </c>
      <c r="B7484">
        <v>10625.29</v>
      </c>
      <c r="C7484">
        <v>7296.7</v>
      </c>
      <c r="D7484">
        <v>0</v>
      </c>
      <c r="E7484">
        <v>122633.3</v>
      </c>
      <c r="F7484">
        <v>2723</v>
      </c>
    </row>
    <row r="7486" spans="1:33" x14ac:dyDescent="0.35">
      <c r="A7486" s="1" t="s">
        <v>1046</v>
      </c>
    </row>
    <row r="7487" spans="1:33" x14ac:dyDescent="0.35">
      <c r="A7487" t="s">
        <v>219</v>
      </c>
      <c r="B7487" t="s">
        <v>305</v>
      </c>
      <c r="C7487" t="s">
        <v>534</v>
      </c>
      <c r="D7487" t="s">
        <v>535</v>
      </c>
      <c r="E7487" t="s">
        <v>536</v>
      </c>
      <c r="F7487" t="s">
        <v>537</v>
      </c>
      <c r="G7487" t="s">
        <v>226</v>
      </c>
    </row>
    <row r="7488" spans="1:33" x14ac:dyDescent="0.35">
      <c r="A7488" t="s">
        <v>227</v>
      </c>
      <c r="B7488" t="s">
        <v>242</v>
      </c>
      <c r="C7488">
        <v>9138.7199999999993</v>
      </c>
      <c r="D7488">
        <v>5959.3</v>
      </c>
      <c r="E7488">
        <v>1525</v>
      </c>
      <c r="F7488">
        <v>102149.5</v>
      </c>
      <c r="G7488">
        <v>68</v>
      </c>
    </row>
    <row r="7489" spans="1:7" x14ac:dyDescent="0.35">
      <c r="A7489" t="s">
        <v>227</v>
      </c>
      <c r="B7489" t="s">
        <v>241</v>
      </c>
      <c r="C7489">
        <v>9458.36</v>
      </c>
      <c r="D7489">
        <v>7244.4</v>
      </c>
      <c r="E7489">
        <v>235</v>
      </c>
      <c r="F7489">
        <v>82666.7</v>
      </c>
      <c r="G7489">
        <v>92</v>
      </c>
    </row>
    <row r="7490" spans="1:7" x14ac:dyDescent="0.35">
      <c r="A7490" t="s">
        <v>228</v>
      </c>
      <c r="B7490" t="s">
        <v>242</v>
      </c>
      <c r="C7490">
        <v>8259.93</v>
      </c>
      <c r="D7490">
        <v>5866</v>
      </c>
      <c r="E7490">
        <v>0</v>
      </c>
      <c r="F7490">
        <v>70216.7</v>
      </c>
      <c r="G7490">
        <v>387</v>
      </c>
    </row>
    <row r="7491" spans="1:7" x14ac:dyDescent="0.35">
      <c r="A7491" t="s">
        <v>228</v>
      </c>
      <c r="B7491" t="s">
        <v>241</v>
      </c>
      <c r="C7491">
        <v>9632.1200000000008</v>
      </c>
      <c r="D7491">
        <v>7073.3</v>
      </c>
      <c r="E7491">
        <v>41.7</v>
      </c>
      <c r="F7491">
        <v>65366.7</v>
      </c>
      <c r="G7491">
        <v>596</v>
      </c>
    </row>
    <row r="7492" spans="1:7" x14ac:dyDescent="0.35">
      <c r="A7492" t="s">
        <v>229</v>
      </c>
      <c r="B7492" t="s">
        <v>242</v>
      </c>
      <c r="C7492">
        <v>9694.09</v>
      </c>
      <c r="D7492">
        <v>7208.3</v>
      </c>
      <c r="E7492">
        <v>240</v>
      </c>
      <c r="F7492">
        <v>53166.7</v>
      </c>
      <c r="G7492">
        <v>285</v>
      </c>
    </row>
    <row r="7493" spans="1:7" x14ac:dyDescent="0.35">
      <c r="A7493" t="s">
        <v>229</v>
      </c>
      <c r="B7493" t="s">
        <v>241</v>
      </c>
      <c r="C7493">
        <v>13221.35</v>
      </c>
      <c r="D7493">
        <v>10010</v>
      </c>
      <c r="E7493">
        <v>27.8</v>
      </c>
      <c r="F7493">
        <v>92200</v>
      </c>
      <c r="G7493">
        <v>582</v>
      </c>
    </row>
    <row r="7494" spans="1:7" x14ac:dyDescent="0.35">
      <c r="A7494" t="s">
        <v>230</v>
      </c>
      <c r="B7494" t="s">
        <v>242</v>
      </c>
      <c r="C7494">
        <v>10366.61</v>
      </c>
      <c r="D7494">
        <v>7830</v>
      </c>
      <c r="E7494">
        <v>240</v>
      </c>
      <c r="F7494">
        <v>54350</v>
      </c>
      <c r="G7494">
        <v>186</v>
      </c>
    </row>
    <row r="7495" spans="1:7" x14ac:dyDescent="0.35">
      <c r="A7495" t="s">
        <v>230</v>
      </c>
      <c r="B7495" t="s">
        <v>241</v>
      </c>
      <c r="C7495">
        <v>11369.13</v>
      </c>
      <c r="D7495">
        <v>8000</v>
      </c>
      <c r="E7495">
        <v>0</v>
      </c>
      <c r="F7495">
        <v>122633.3</v>
      </c>
      <c r="G7495">
        <v>363</v>
      </c>
    </row>
    <row r="7496" spans="1:7" x14ac:dyDescent="0.35">
      <c r="A7496" t="s">
        <v>231</v>
      </c>
      <c r="B7496" t="s">
        <v>242</v>
      </c>
      <c r="C7496">
        <v>9606.44</v>
      </c>
      <c r="D7496">
        <v>6745</v>
      </c>
      <c r="E7496">
        <v>1500</v>
      </c>
      <c r="F7496">
        <v>31500</v>
      </c>
      <c r="G7496">
        <v>54</v>
      </c>
    </row>
    <row r="7497" spans="1:7" x14ac:dyDescent="0.35">
      <c r="A7497" t="s">
        <v>231</v>
      </c>
      <c r="B7497" t="s">
        <v>241</v>
      </c>
      <c r="C7497">
        <v>11650.18</v>
      </c>
      <c r="D7497">
        <v>6360</v>
      </c>
      <c r="E7497">
        <v>200</v>
      </c>
      <c r="F7497">
        <v>97600</v>
      </c>
      <c r="G7497">
        <v>110</v>
      </c>
    </row>
    <row r="7498" spans="1:7" x14ac:dyDescent="0.35">
      <c r="A7498" t="s">
        <v>232</v>
      </c>
      <c r="B7498" t="s">
        <v>232</v>
      </c>
      <c r="C7498">
        <v>10625.29</v>
      </c>
      <c r="D7498">
        <v>7296.7</v>
      </c>
      <c r="E7498">
        <v>0</v>
      </c>
      <c r="F7498">
        <v>122633.3</v>
      </c>
      <c r="G7498">
        <v>2723</v>
      </c>
    </row>
    <row r="7500" spans="1:7" x14ac:dyDescent="0.35">
      <c r="A7500" s="1" t="s">
        <v>1047</v>
      </c>
    </row>
    <row r="7501" spans="1:7" x14ac:dyDescent="0.35">
      <c r="A7501" t="s">
        <v>219</v>
      </c>
      <c r="B7501" t="s">
        <v>305</v>
      </c>
      <c r="C7501" t="s">
        <v>534</v>
      </c>
      <c r="D7501" t="s">
        <v>535</v>
      </c>
      <c r="E7501" t="s">
        <v>536</v>
      </c>
      <c r="F7501" t="s">
        <v>537</v>
      </c>
      <c r="G7501" t="s">
        <v>226</v>
      </c>
    </row>
    <row r="7502" spans="1:7" x14ac:dyDescent="0.35">
      <c r="A7502" t="s">
        <v>227</v>
      </c>
      <c r="B7502" t="s">
        <v>239</v>
      </c>
      <c r="C7502">
        <v>8017.83</v>
      </c>
      <c r="D7502">
        <v>6266.7</v>
      </c>
      <c r="E7502">
        <v>235</v>
      </c>
      <c r="F7502">
        <v>45016.7</v>
      </c>
      <c r="G7502">
        <v>61</v>
      </c>
    </row>
    <row r="7503" spans="1:7" x14ac:dyDescent="0.35">
      <c r="A7503" t="s">
        <v>227</v>
      </c>
      <c r="B7503" t="s">
        <v>238</v>
      </c>
      <c r="C7503">
        <v>10126.41</v>
      </c>
      <c r="D7503">
        <v>7350</v>
      </c>
      <c r="E7503">
        <v>255.6</v>
      </c>
      <c r="F7503">
        <v>102149.5</v>
      </c>
      <c r="G7503">
        <v>99</v>
      </c>
    </row>
    <row r="7504" spans="1:7" x14ac:dyDescent="0.35">
      <c r="A7504" t="s">
        <v>228</v>
      </c>
      <c r="B7504" t="s">
        <v>239</v>
      </c>
      <c r="C7504">
        <v>7431.52</v>
      </c>
      <c r="D7504">
        <v>5388.9</v>
      </c>
      <c r="E7504">
        <v>41.7</v>
      </c>
      <c r="F7504">
        <v>65366.7</v>
      </c>
      <c r="G7504">
        <v>309</v>
      </c>
    </row>
    <row r="7505" spans="1:7" x14ac:dyDescent="0.35">
      <c r="A7505" t="s">
        <v>228</v>
      </c>
      <c r="B7505" t="s">
        <v>238</v>
      </c>
      <c r="C7505">
        <v>9560.9699999999993</v>
      </c>
      <c r="D7505">
        <v>7069.1</v>
      </c>
      <c r="E7505">
        <v>0</v>
      </c>
      <c r="F7505">
        <v>70216.7</v>
      </c>
      <c r="G7505">
        <v>674</v>
      </c>
    </row>
    <row r="7506" spans="1:7" x14ac:dyDescent="0.35">
      <c r="A7506" t="s">
        <v>229</v>
      </c>
      <c r="B7506" t="s">
        <v>239</v>
      </c>
      <c r="C7506">
        <v>10277.049999999999</v>
      </c>
      <c r="D7506">
        <v>7133.3</v>
      </c>
      <c r="E7506">
        <v>150</v>
      </c>
      <c r="F7506">
        <v>92200</v>
      </c>
      <c r="G7506">
        <v>317</v>
      </c>
    </row>
    <row r="7507" spans="1:7" x14ac:dyDescent="0.35">
      <c r="A7507" t="s">
        <v>229</v>
      </c>
      <c r="B7507" t="s">
        <v>238</v>
      </c>
      <c r="C7507">
        <v>12381.81</v>
      </c>
      <c r="D7507">
        <v>9326.7000000000007</v>
      </c>
      <c r="E7507">
        <v>27.8</v>
      </c>
      <c r="F7507">
        <v>67388.899999999994</v>
      </c>
      <c r="G7507">
        <v>550</v>
      </c>
    </row>
    <row r="7508" spans="1:7" x14ac:dyDescent="0.35">
      <c r="A7508" t="s">
        <v>230</v>
      </c>
      <c r="B7508" t="s">
        <v>239</v>
      </c>
      <c r="C7508">
        <v>7021.75</v>
      </c>
      <c r="D7508">
        <v>5777.8</v>
      </c>
      <c r="E7508">
        <v>350</v>
      </c>
      <c r="F7508">
        <v>32266.7</v>
      </c>
      <c r="G7508">
        <v>206</v>
      </c>
    </row>
    <row r="7509" spans="1:7" x14ac:dyDescent="0.35">
      <c r="A7509" t="s">
        <v>230</v>
      </c>
      <c r="B7509" t="s">
        <v>238</v>
      </c>
      <c r="C7509">
        <v>12743.3</v>
      </c>
      <c r="D7509">
        <v>8840</v>
      </c>
      <c r="E7509">
        <v>0</v>
      </c>
      <c r="F7509">
        <v>122633.3</v>
      </c>
      <c r="G7509">
        <v>343</v>
      </c>
    </row>
    <row r="7510" spans="1:7" x14ac:dyDescent="0.35">
      <c r="A7510" t="s">
        <v>231</v>
      </c>
      <c r="B7510" t="s">
        <v>239</v>
      </c>
      <c r="C7510">
        <v>7688.48</v>
      </c>
      <c r="D7510">
        <v>5730</v>
      </c>
      <c r="E7510">
        <v>250</v>
      </c>
      <c r="F7510">
        <v>37516.699999999997</v>
      </c>
      <c r="G7510">
        <v>57</v>
      </c>
    </row>
    <row r="7511" spans="1:7" x14ac:dyDescent="0.35">
      <c r="A7511" t="s">
        <v>231</v>
      </c>
      <c r="B7511" t="s">
        <v>238</v>
      </c>
      <c r="C7511">
        <v>12729.2</v>
      </c>
      <c r="D7511">
        <v>7300</v>
      </c>
      <c r="E7511">
        <v>200</v>
      </c>
      <c r="F7511">
        <v>97600</v>
      </c>
      <c r="G7511">
        <v>107</v>
      </c>
    </row>
    <row r="7512" spans="1:7" x14ac:dyDescent="0.35">
      <c r="A7512" t="s">
        <v>232</v>
      </c>
      <c r="B7512" t="s">
        <v>232</v>
      </c>
      <c r="C7512">
        <v>10625.29</v>
      </c>
      <c r="D7512">
        <v>7296.7</v>
      </c>
      <c r="E7512">
        <v>0</v>
      </c>
      <c r="F7512">
        <v>122633.3</v>
      </c>
      <c r="G7512">
        <v>2723</v>
      </c>
    </row>
    <row r="7514" spans="1:7" x14ac:dyDescent="0.35">
      <c r="A7514" s="1" t="s">
        <v>1048</v>
      </c>
    </row>
    <row r="7515" spans="1:7" x14ac:dyDescent="0.35">
      <c r="A7515" t="s">
        <v>219</v>
      </c>
      <c r="B7515" t="s">
        <v>305</v>
      </c>
      <c r="C7515" t="s">
        <v>534</v>
      </c>
      <c r="D7515" t="s">
        <v>535</v>
      </c>
      <c r="E7515" t="s">
        <v>536</v>
      </c>
      <c r="F7515" t="s">
        <v>537</v>
      </c>
      <c r="G7515" t="s">
        <v>226</v>
      </c>
    </row>
    <row r="7516" spans="1:7" x14ac:dyDescent="0.35">
      <c r="A7516" t="s">
        <v>227</v>
      </c>
      <c r="B7516" t="s">
        <v>244</v>
      </c>
      <c r="C7516">
        <v>9929.26</v>
      </c>
      <c r="D7516">
        <v>6858.3</v>
      </c>
      <c r="E7516">
        <v>255.6</v>
      </c>
      <c r="F7516">
        <v>102149.5</v>
      </c>
      <c r="G7516">
        <v>95</v>
      </c>
    </row>
    <row r="7517" spans="1:7" x14ac:dyDescent="0.35">
      <c r="A7517" t="s">
        <v>227</v>
      </c>
      <c r="B7517" t="s">
        <v>245</v>
      </c>
      <c r="C7517">
        <v>9480.67</v>
      </c>
      <c r="D7517">
        <v>7500</v>
      </c>
      <c r="E7517">
        <v>235</v>
      </c>
      <c r="F7517">
        <v>31580</v>
      </c>
      <c r="G7517">
        <v>53</v>
      </c>
    </row>
    <row r="7518" spans="1:7" x14ac:dyDescent="0.35">
      <c r="A7518" s="27" t="s">
        <v>227</v>
      </c>
      <c r="B7518" s="27" t="s">
        <v>246</v>
      </c>
      <c r="C7518" s="29">
        <v>3820.57</v>
      </c>
      <c r="D7518" s="29">
        <v>2510.3000000000002</v>
      </c>
      <c r="E7518" s="29">
        <v>2171.6999999999998</v>
      </c>
      <c r="F7518" s="29">
        <v>9820</v>
      </c>
      <c r="G7518" s="29">
        <v>12</v>
      </c>
    </row>
    <row r="7519" spans="1:7" x14ac:dyDescent="0.35">
      <c r="A7519" t="s">
        <v>228</v>
      </c>
      <c r="B7519" t="s">
        <v>244</v>
      </c>
      <c r="C7519">
        <v>8846.4599999999991</v>
      </c>
      <c r="D7519">
        <v>6750</v>
      </c>
      <c r="E7519">
        <v>41.7</v>
      </c>
      <c r="F7519">
        <v>58611.1</v>
      </c>
      <c r="G7519">
        <v>609</v>
      </c>
    </row>
    <row r="7520" spans="1:7" x14ac:dyDescent="0.35">
      <c r="A7520" t="s">
        <v>228</v>
      </c>
      <c r="B7520" t="s">
        <v>245</v>
      </c>
      <c r="C7520">
        <v>10716.34</v>
      </c>
      <c r="D7520">
        <v>7386.7</v>
      </c>
      <c r="E7520">
        <v>0</v>
      </c>
      <c r="F7520">
        <v>70216.7</v>
      </c>
      <c r="G7520">
        <v>310</v>
      </c>
    </row>
    <row r="7521" spans="1:7" x14ac:dyDescent="0.35">
      <c r="A7521" t="s">
        <v>228</v>
      </c>
      <c r="B7521" t="s">
        <v>246</v>
      </c>
      <c r="C7521">
        <v>5473.43</v>
      </c>
      <c r="D7521">
        <v>4533.3</v>
      </c>
      <c r="E7521">
        <v>100</v>
      </c>
      <c r="F7521">
        <v>23370</v>
      </c>
      <c r="G7521">
        <v>64</v>
      </c>
    </row>
    <row r="7522" spans="1:7" x14ac:dyDescent="0.35">
      <c r="A7522" t="s">
        <v>229</v>
      </c>
      <c r="B7522" t="s">
        <v>244</v>
      </c>
      <c r="C7522">
        <v>12018.59</v>
      </c>
      <c r="D7522">
        <v>8825</v>
      </c>
      <c r="E7522">
        <v>27.8</v>
      </c>
      <c r="F7522">
        <v>92200</v>
      </c>
      <c r="G7522">
        <v>542</v>
      </c>
    </row>
    <row r="7523" spans="1:7" x14ac:dyDescent="0.35">
      <c r="A7523" t="s">
        <v>229</v>
      </c>
      <c r="B7523" t="s">
        <v>245</v>
      </c>
      <c r="C7523">
        <v>12529.47</v>
      </c>
      <c r="D7523">
        <v>9133.2999999999993</v>
      </c>
      <c r="E7523">
        <v>100</v>
      </c>
      <c r="F7523">
        <v>53166.7</v>
      </c>
      <c r="G7523">
        <v>281</v>
      </c>
    </row>
    <row r="7524" spans="1:7" x14ac:dyDescent="0.35">
      <c r="A7524" t="s">
        <v>229</v>
      </c>
      <c r="B7524" t="s">
        <v>246</v>
      </c>
      <c r="C7524">
        <v>6406.3</v>
      </c>
      <c r="D7524">
        <v>5703.3</v>
      </c>
      <c r="E7524">
        <v>500</v>
      </c>
      <c r="F7524">
        <v>16566.7</v>
      </c>
      <c r="G7524">
        <v>44</v>
      </c>
    </row>
    <row r="7525" spans="1:7" x14ac:dyDescent="0.35">
      <c r="A7525" t="s">
        <v>230</v>
      </c>
      <c r="B7525" t="s">
        <v>244</v>
      </c>
      <c r="C7525">
        <v>10759.43</v>
      </c>
      <c r="D7525">
        <v>7830</v>
      </c>
      <c r="E7525">
        <v>0</v>
      </c>
      <c r="F7525">
        <v>122633.3</v>
      </c>
      <c r="G7525">
        <v>362</v>
      </c>
    </row>
    <row r="7526" spans="1:7" x14ac:dyDescent="0.35">
      <c r="A7526" t="s">
        <v>230</v>
      </c>
      <c r="B7526" t="s">
        <v>245</v>
      </c>
      <c r="C7526">
        <v>12817.96</v>
      </c>
      <c r="D7526">
        <v>8550</v>
      </c>
      <c r="E7526">
        <v>800</v>
      </c>
      <c r="F7526">
        <v>114386.7</v>
      </c>
      <c r="G7526">
        <v>158</v>
      </c>
    </row>
    <row r="7527" spans="1:7" x14ac:dyDescent="0.35">
      <c r="A7527" s="27" t="s">
        <v>230</v>
      </c>
      <c r="B7527" s="27" t="s">
        <v>246</v>
      </c>
      <c r="C7527" s="29">
        <v>5331.16</v>
      </c>
      <c r="D7527" s="29">
        <v>4200</v>
      </c>
      <c r="E7527" s="29">
        <v>979.2</v>
      </c>
      <c r="F7527" s="29">
        <v>30900</v>
      </c>
      <c r="G7527" s="29">
        <v>29</v>
      </c>
    </row>
    <row r="7528" spans="1:7" x14ac:dyDescent="0.35">
      <c r="A7528" t="s">
        <v>231</v>
      </c>
      <c r="B7528" t="s">
        <v>244</v>
      </c>
      <c r="C7528">
        <v>9610.7800000000007</v>
      </c>
      <c r="D7528">
        <v>6913.3</v>
      </c>
      <c r="E7528">
        <v>200</v>
      </c>
      <c r="F7528">
        <v>39350</v>
      </c>
      <c r="G7528">
        <v>95</v>
      </c>
    </row>
    <row r="7529" spans="1:7" x14ac:dyDescent="0.35">
      <c r="A7529" t="s">
        <v>231</v>
      </c>
      <c r="B7529" t="s">
        <v>245</v>
      </c>
      <c r="C7529">
        <v>14512.29</v>
      </c>
      <c r="D7529">
        <v>6745</v>
      </c>
      <c r="E7529">
        <v>850</v>
      </c>
      <c r="F7529">
        <v>97600</v>
      </c>
      <c r="G7529">
        <v>56</v>
      </c>
    </row>
    <row r="7530" spans="1:7" x14ac:dyDescent="0.35">
      <c r="A7530" s="27" t="s">
        <v>231</v>
      </c>
      <c r="B7530" s="27" t="s">
        <v>246</v>
      </c>
      <c r="C7530" s="29">
        <v>5735</v>
      </c>
      <c r="D7530" s="29">
        <v>4510</v>
      </c>
      <c r="E7530" s="29">
        <v>2403.3000000000002</v>
      </c>
      <c r="F7530" s="29">
        <v>12666.7</v>
      </c>
      <c r="G7530" s="29">
        <v>13</v>
      </c>
    </row>
    <row r="7531" spans="1:7" x14ac:dyDescent="0.35">
      <c r="A7531" t="s">
        <v>232</v>
      </c>
      <c r="B7531" t="s">
        <v>232</v>
      </c>
      <c r="C7531">
        <v>10625.29</v>
      </c>
      <c r="D7531">
        <v>7296.7</v>
      </c>
      <c r="E7531">
        <v>0</v>
      </c>
      <c r="F7531">
        <v>122633.3</v>
      </c>
      <c r="G7531">
        <v>2723</v>
      </c>
    </row>
    <row r="7533" spans="1:7" x14ac:dyDescent="0.35">
      <c r="A7533" s="1" t="s">
        <v>1049</v>
      </c>
    </row>
    <row r="7534" spans="1:7" x14ac:dyDescent="0.35">
      <c r="A7534" t="s">
        <v>219</v>
      </c>
      <c r="B7534" t="s">
        <v>305</v>
      </c>
      <c r="C7534" t="s">
        <v>534</v>
      </c>
      <c r="D7534" t="s">
        <v>535</v>
      </c>
      <c r="E7534" t="s">
        <v>536</v>
      </c>
      <c r="F7534" t="s">
        <v>537</v>
      </c>
      <c r="G7534" t="s">
        <v>226</v>
      </c>
    </row>
    <row r="7535" spans="1:7" x14ac:dyDescent="0.35">
      <c r="A7535" t="s">
        <v>227</v>
      </c>
      <c r="B7535" t="s">
        <v>360</v>
      </c>
      <c r="C7535">
        <v>4873.88</v>
      </c>
      <c r="D7535">
        <v>3717.8</v>
      </c>
      <c r="E7535">
        <v>235</v>
      </c>
      <c r="F7535">
        <v>24600</v>
      </c>
      <c r="G7535">
        <v>39</v>
      </c>
    </row>
    <row r="7536" spans="1:7" x14ac:dyDescent="0.35">
      <c r="A7536" t="s">
        <v>227</v>
      </c>
      <c r="B7536" t="s">
        <v>363</v>
      </c>
      <c r="C7536">
        <v>10439.700000000001</v>
      </c>
      <c r="D7536">
        <v>7362.5</v>
      </c>
      <c r="E7536">
        <v>2340</v>
      </c>
      <c r="F7536">
        <v>102149.5</v>
      </c>
      <c r="G7536">
        <v>45</v>
      </c>
    </row>
    <row r="7537" spans="1:7" x14ac:dyDescent="0.35">
      <c r="A7537" t="s">
        <v>227</v>
      </c>
      <c r="B7537" t="s">
        <v>361</v>
      </c>
      <c r="C7537">
        <v>16135.81</v>
      </c>
      <c r="D7537">
        <v>13255.6</v>
      </c>
      <c r="E7537">
        <v>255.6</v>
      </c>
      <c r="F7537">
        <v>82666.7</v>
      </c>
      <c r="G7537">
        <v>32</v>
      </c>
    </row>
    <row r="7538" spans="1:7" x14ac:dyDescent="0.35">
      <c r="A7538" t="s">
        <v>227</v>
      </c>
      <c r="B7538" t="s">
        <v>362</v>
      </c>
      <c r="C7538">
        <v>6582.82</v>
      </c>
      <c r="D7538">
        <v>5970</v>
      </c>
      <c r="E7538">
        <v>975</v>
      </c>
      <c r="F7538">
        <v>19050</v>
      </c>
      <c r="G7538">
        <v>37</v>
      </c>
    </row>
    <row r="7539" spans="1:7" x14ac:dyDescent="0.35">
      <c r="A7539" t="s">
        <v>228</v>
      </c>
      <c r="B7539" t="s">
        <v>361</v>
      </c>
      <c r="C7539">
        <v>17340.939999999999</v>
      </c>
      <c r="D7539">
        <v>13466.7</v>
      </c>
      <c r="E7539">
        <v>1450</v>
      </c>
      <c r="F7539">
        <v>70216.7</v>
      </c>
      <c r="G7539">
        <v>193</v>
      </c>
    </row>
    <row r="7540" spans="1:7" x14ac:dyDescent="0.35">
      <c r="A7540" t="s">
        <v>228</v>
      </c>
      <c r="B7540" t="s">
        <v>362</v>
      </c>
      <c r="C7540">
        <v>5534.23</v>
      </c>
      <c r="D7540">
        <v>4750</v>
      </c>
      <c r="E7540">
        <v>150</v>
      </c>
      <c r="F7540">
        <v>38500</v>
      </c>
      <c r="G7540">
        <v>228</v>
      </c>
    </row>
    <row r="7541" spans="1:7" x14ac:dyDescent="0.35">
      <c r="A7541" t="s">
        <v>228</v>
      </c>
      <c r="B7541" t="s">
        <v>363</v>
      </c>
      <c r="C7541">
        <v>7890.5</v>
      </c>
      <c r="D7541">
        <v>6985</v>
      </c>
      <c r="E7541">
        <v>41.7</v>
      </c>
      <c r="F7541">
        <v>38786.699999999997</v>
      </c>
      <c r="G7541">
        <v>209</v>
      </c>
    </row>
    <row r="7542" spans="1:7" x14ac:dyDescent="0.35">
      <c r="A7542" t="s">
        <v>228</v>
      </c>
      <c r="B7542" t="s">
        <v>360</v>
      </c>
      <c r="C7542">
        <v>5431.47</v>
      </c>
      <c r="D7542">
        <v>4341.7</v>
      </c>
      <c r="E7542">
        <v>0</v>
      </c>
      <c r="F7542">
        <v>26033.3</v>
      </c>
      <c r="G7542">
        <v>249</v>
      </c>
    </row>
    <row r="7543" spans="1:7" x14ac:dyDescent="0.35">
      <c r="A7543" t="s">
        <v>229</v>
      </c>
      <c r="B7543" t="s">
        <v>362</v>
      </c>
      <c r="C7543">
        <v>7153.79</v>
      </c>
      <c r="D7543">
        <v>5760</v>
      </c>
      <c r="E7543">
        <v>27.8</v>
      </c>
      <c r="F7543">
        <v>32391.7</v>
      </c>
      <c r="G7543">
        <v>170</v>
      </c>
    </row>
    <row r="7544" spans="1:7" x14ac:dyDescent="0.35">
      <c r="A7544" t="s">
        <v>229</v>
      </c>
      <c r="B7544" t="s">
        <v>360</v>
      </c>
      <c r="C7544">
        <v>5181.88</v>
      </c>
      <c r="D7544">
        <v>4093.3</v>
      </c>
      <c r="E7544">
        <v>400</v>
      </c>
      <c r="F7544">
        <v>23866.7</v>
      </c>
      <c r="G7544">
        <v>160</v>
      </c>
    </row>
    <row r="7545" spans="1:7" x14ac:dyDescent="0.35">
      <c r="A7545" t="s">
        <v>229</v>
      </c>
      <c r="B7545" t="s">
        <v>361</v>
      </c>
      <c r="C7545">
        <v>17835.28</v>
      </c>
      <c r="D7545">
        <v>15416.7</v>
      </c>
      <c r="E7545">
        <v>833.3</v>
      </c>
      <c r="F7545">
        <v>92200</v>
      </c>
      <c r="G7545">
        <v>240</v>
      </c>
    </row>
    <row r="7546" spans="1:7" x14ac:dyDescent="0.35">
      <c r="A7546" t="s">
        <v>229</v>
      </c>
      <c r="B7546" t="s">
        <v>363</v>
      </c>
      <c r="C7546">
        <v>8700.33</v>
      </c>
      <c r="D7546">
        <v>7425</v>
      </c>
      <c r="E7546">
        <v>1258.3</v>
      </c>
      <c r="F7546">
        <v>52283.3</v>
      </c>
      <c r="G7546">
        <v>190</v>
      </c>
    </row>
    <row r="7547" spans="1:7" x14ac:dyDescent="0.35">
      <c r="A7547" t="s">
        <v>230</v>
      </c>
      <c r="B7547" t="s">
        <v>361</v>
      </c>
      <c r="C7547">
        <v>17288.84</v>
      </c>
      <c r="D7547">
        <v>13916.7</v>
      </c>
      <c r="E7547">
        <v>2716.7</v>
      </c>
      <c r="F7547">
        <v>114386.7</v>
      </c>
      <c r="G7547">
        <v>109</v>
      </c>
    </row>
    <row r="7548" spans="1:7" x14ac:dyDescent="0.35">
      <c r="A7548" t="s">
        <v>230</v>
      </c>
      <c r="B7548" t="s">
        <v>363</v>
      </c>
      <c r="C7548">
        <v>9186.98</v>
      </c>
      <c r="D7548">
        <v>9133.2999999999993</v>
      </c>
      <c r="E7548">
        <v>1000</v>
      </c>
      <c r="F7548">
        <v>24850</v>
      </c>
      <c r="G7548">
        <v>127</v>
      </c>
    </row>
    <row r="7549" spans="1:7" x14ac:dyDescent="0.35">
      <c r="A7549" t="s">
        <v>230</v>
      </c>
      <c r="B7549" t="s">
        <v>360</v>
      </c>
      <c r="C7549">
        <v>5767.32</v>
      </c>
      <c r="D7549">
        <v>4675</v>
      </c>
      <c r="E7549">
        <v>216.7</v>
      </c>
      <c r="F7549">
        <v>18450</v>
      </c>
      <c r="G7549">
        <v>118</v>
      </c>
    </row>
    <row r="7550" spans="1:7" x14ac:dyDescent="0.35">
      <c r="A7550" t="s">
        <v>230</v>
      </c>
      <c r="B7550" t="s">
        <v>362</v>
      </c>
      <c r="C7550">
        <v>7565.49</v>
      </c>
      <c r="D7550">
        <v>6166.7</v>
      </c>
      <c r="E7550">
        <v>287.5</v>
      </c>
      <c r="F7550">
        <v>31640</v>
      </c>
      <c r="G7550">
        <v>147</v>
      </c>
    </row>
    <row r="7551" spans="1:7" x14ac:dyDescent="0.35">
      <c r="A7551" t="s">
        <v>231</v>
      </c>
      <c r="B7551" t="s">
        <v>360</v>
      </c>
      <c r="C7551">
        <v>5430.92</v>
      </c>
      <c r="D7551">
        <v>3886.7</v>
      </c>
      <c r="E7551">
        <v>200</v>
      </c>
      <c r="F7551">
        <v>37516.699999999997</v>
      </c>
      <c r="G7551">
        <v>44</v>
      </c>
    </row>
    <row r="7552" spans="1:7" x14ac:dyDescent="0.35">
      <c r="A7552" s="27" t="s">
        <v>231</v>
      </c>
      <c r="B7552" s="27" t="s">
        <v>363</v>
      </c>
      <c r="C7552" s="29">
        <v>9607.33</v>
      </c>
      <c r="D7552" s="29">
        <v>8800</v>
      </c>
      <c r="E7552" s="29">
        <v>1255</v>
      </c>
      <c r="F7552" s="29">
        <v>23916.7</v>
      </c>
      <c r="G7552" s="29">
        <v>27</v>
      </c>
    </row>
    <row r="7553" spans="1:7" x14ac:dyDescent="0.35">
      <c r="A7553" t="s">
        <v>231</v>
      </c>
      <c r="B7553" t="s">
        <v>361</v>
      </c>
      <c r="C7553">
        <v>18467.66</v>
      </c>
      <c r="D7553">
        <v>14733.3</v>
      </c>
      <c r="E7553">
        <v>3222.2</v>
      </c>
      <c r="F7553">
        <v>97600</v>
      </c>
      <c r="G7553">
        <v>50</v>
      </c>
    </row>
    <row r="7554" spans="1:7" x14ac:dyDescent="0.35">
      <c r="A7554" s="27" t="s">
        <v>231</v>
      </c>
      <c r="B7554" s="27" t="s">
        <v>362</v>
      </c>
      <c r="C7554" s="29">
        <v>8473.9699999999993</v>
      </c>
      <c r="D7554" s="29">
        <v>5740</v>
      </c>
      <c r="E7554" s="29">
        <v>766.3</v>
      </c>
      <c r="F7554" s="29">
        <v>69366.7</v>
      </c>
      <c r="G7554" s="29">
        <v>29</v>
      </c>
    </row>
    <row r="7555" spans="1:7" x14ac:dyDescent="0.35">
      <c r="A7555" t="s">
        <v>232</v>
      </c>
      <c r="B7555" t="s">
        <v>232</v>
      </c>
      <c r="C7555">
        <v>10625.29</v>
      </c>
      <c r="D7555">
        <v>7296.7</v>
      </c>
      <c r="E7555">
        <v>0</v>
      </c>
      <c r="F7555">
        <v>122633.3</v>
      </c>
      <c r="G7555">
        <v>2723</v>
      </c>
    </row>
    <row r="7557" spans="1:7" x14ac:dyDescent="0.35">
      <c r="A7557" s="1" t="s">
        <v>1050</v>
      </c>
    </row>
    <row r="7558" spans="1:7" x14ac:dyDescent="0.35">
      <c r="A7558" t="s">
        <v>219</v>
      </c>
      <c r="B7558" t="s">
        <v>305</v>
      </c>
      <c r="C7558" t="s">
        <v>534</v>
      </c>
      <c r="D7558" t="s">
        <v>535</v>
      </c>
      <c r="E7558" t="s">
        <v>536</v>
      </c>
      <c r="F7558" t="s">
        <v>537</v>
      </c>
      <c r="G7558" t="s">
        <v>226</v>
      </c>
    </row>
    <row r="7559" spans="1:7" x14ac:dyDescent="0.35">
      <c r="A7559" t="s">
        <v>227</v>
      </c>
      <c r="B7559" t="s">
        <v>267</v>
      </c>
      <c r="C7559">
        <v>9579.81</v>
      </c>
      <c r="D7559">
        <v>7300</v>
      </c>
      <c r="E7559">
        <v>2500</v>
      </c>
      <c r="F7559">
        <v>31580</v>
      </c>
      <c r="G7559">
        <v>36</v>
      </c>
    </row>
    <row r="7560" spans="1:7" x14ac:dyDescent="0.35">
      <c r="A7560" t="s">
        <v>227</v>
      </c>
      <c r="B7560" t="s">
        <v>266</v>
      </c>
      <c r="C7560">
        <v>10437.33</v>
      </c>
      <c r="D7560">
        <v>7450</v>
      </c>
      <c r="E7560">
        <v>235</v>
      </c>
      <c r="F7560">
        <v>102149.5</v>
      </c>
      <c r="G7560">
        <v>58</v>
      </c>
    </row>
    <row r="7561" spans="1:7" x14ac:dyDescent="0.35">
      <c r="A7561" t="s">
        <v>227</v>
      </c>
      <c r="B7561" t="s">
        <v>265</v>
      </c>
      <c r="C7561">
        <v>8202.48</v>
      </c>
      <c r="D7561">
        <v>5627.8</v>
      </c>
      <c r="E7561">
        <v>255.6</v>
      </c>
      <c r="F7561">
        <v>82666.7</v>
      </c>
      <c r="G7561">
        <v>66</v>
      </c>
    </row>
    <row r="7562" spans="1:7" x14ac:dyDescent="0.35">
      <c r="A7562" t="s">
        <v>228</v>
      </c>
      <c r="B7562" t="s">
        <v>267</v>
      </c>
      <c r="C7562">
        <v>9699.64</v>
      </c>
      <c r="D7562">
        <v>6550</v>
      </c>
      <c r="E7562">
        <v>100</v>
      </c>
      <c r="F7562">
        <v>65366.7</v>
      </c>
      <c r="G7562">
        <v>187</v>
      </c>
    </row>
    <row r="7563" spans="1:7" x14ac:dyDescent="0.35">
      <c r="A7563" t="s">
        <v>228</v>
      </c>
      <c r="B7563" t="s">
        <v>266</v>
      </c>
      <c r="C7563">
        <v>8705.2000000000007</v>
      </c>
      <c r="D7563">
        <v>6300</v>
      </c>
      <c r="E7563">
        <v>0</v>
      </c>
      <c r="F7563">
        <v>70216.7</v>
      </c>
      <c r="G7563">
        <v>425</v>
      </c>
    </row>
    <row r="7564" spans="1:7" x14ac:dyDescent="0.35">
      <c r="A7564" s="27" t="s">
        <v>228</v>
      </c>
      <c r="B7564" s="27" t="s">
        <v>236</v>
      </c>
      <c r="C7564" s="29">
        <v>18994.169999999998</v>
      </c>
      <c r="D7564" s="29">
        <v>9718.2999999999993</v>
      </c>
      <c r="E7564" s="29">
        <v>9718.2999999999993</v>
      </c>
      <c r="F7564" s="29">
        <v>28270</v>
      </c>
      <c r="G7564" s="29">
        <v>2</v>
      </c>
    </row>
    <row r="7565" spans="1:7" x14ac:dyDescent="0.35">
      <c r="A7565" t="s">
        <v>228</v>
      </c>
      <c r="B7565" t="s">
        <v>265</v>
      </c>
      <c r="C7565">
        <v>9151.66</v>
      </c>
      <c r="D7565">
        <v>6958.3</v>
      </c>
      <c r="E7565">
        <v>166.7</v>
      </c>
      <c r="F7565">
        <v>44888.9</v>
      </c>
      <c r="G7565">
        <v>369</v>
      </c>
    </row>
    <row r="7566" spans="1:7" x14ac:dyDescent="0.35">
      <c r="A7566" t="s">
        <v>229</v>
      </c>
      <c r="B7566" t="s">
        <v>267</v>
      </c>
      <c r="C7566">
        <v>13845.9</v>
      </c>
      <c r="D7566">
        <v>10966.7</v>
      </c>
      <c r="E7566">
        <v>550</v>
      </c>
      <c r="F7566">
        <v>49916.7</v>
      </c>
      <c r="G7566">
        <v>194</v>
      </c>
    </row>
    <row r="7567" spans="1:7" x14ac:dyDescent="0.35">
      <c r="A7567" t="s">
        <v>229</v>
      </c>
      <c r="B7567" t="s">
        <v>265</v>
      </c>
      <c r="C7567">
        <v>11888.56</v>
      </c>
      <c r="D7567">
        <v>8135</v>
      </c>
      <c r="E7567">
        <v>166.7</v>
      </c>
      <c r="F7567">
        <v>92200</v>
      </c>
      <c r="G7567">
        <v>327</v>
      </c>
    </row>
    <row r="7568" spans="1:7" x14ac:dyDescent="0.35">
      <c r="A7568" t="s">
        <v>229</v>
      </c>
      <c r="B7568" t="s">
        <v>266</v>
      </c>
      <c r="C7568">
        <v>10477.1</v>
      </c>
      <c r="D7568">
        <v>7500</v>
      </c>
      <c r="E7568">
        <v>27.8</v>
      </c>
      <c r="F7568">
        <v>53166.7</v>
      </c>
      <c r="G7568">
        <v>346</v>
      </c>
    </row>
    <row r="7569" spans="1:7" x14ac:dyDescent="0.35">
      <c r="A7569" t="s">
        <v>230</v>
      </c>
      <c r="B7569" t="s">
        <v>265</v>
      </c>
      <c r="C7569">
        <v>9542.7000000000007</v>
      </c>
      <c r="D7569">
        <v>7361.1</v>
      </c>
      <c r="E7569">
        <v>216.7</v>
      </c>
      <c r="F7569">
        <v>41016.699999999997</v>
      </c>
      <c r="G7569">
        <v>205</v>
      </c>
    </row>
    <row r="7570" spans="1:7" x14ac:dyDescent="0.35">
      <c r="A7570" t="s">
        <v>230</v>
      </c>
      <c r="B7570" t="s">
        <v>266</v>
      </c>
      <c r="C7570">
        <v>9342.93</v>
      </c>
      <c r="D7570">
        <v>7650</v>
      </c>
      <c r="E7570">
        <v>240</v>
      </c>
      <c r="F7570">
        <v>114386.7</v>
      </c>
      <c r="G7570">
        <v>225</v>
      </c>
    </row>
    <row r="7571" spans="1:7" x14ac:dyDescent="0.35">
      <c r="A7571" t="s">
        <v>230</v>
      </c>
      <c r="B7571" t="s">
        <v>267</v>
      </c>
      <c r="C7571">
        <v>16575.7</v>
      </c>
      <c r="D7571">
        <v>8983.2999999999993</v>
      </c>
      <c r="E7571">
        <v>0</v>
      </c>
      <c r="F7571">
        <v>122633.3</v>
      </c>
      <c r="G7571">
        <v>119</v>
      </c>
    </row>
    <row r="7572" spans="1:7" x14ac:dyDescent="0.35">
      <c r="A7572" t="s">
        <v>231</v>
      </c>
      <c r="B7572" t="s">
        <v>267</v>
      </c>
      <c r="C7572">
        <v>11636.78</v>
      </c>
      <c r="D7572">
        <v>8393.2999999999993</v>
      </c>
      <c r="E7572">
        <v>750</v>
      </c>
      <c r="F7572">
        <v>68666.7</v>
      </c>
      <c r="G7572">
        <v>34</v>
      </c>
    </row>
    <row r="7573" spans="1:7" x14ac:dyDescent="0.35">
      <c r="A7573" t="s">
        <v>231</v>
      </c>
      <c r="B7573" t="s">
        <v>265</v>
      </c>
      <c r="C7573">
        <v>10095.77</v>
      </c>
      <c r="D7573">
        <v>7300</v>
      </c>
      <c r="E7573">
        <v>250</v>
      </c>
      <c r="F7573">
        <v>39350</v>
      </c>
      <c r="G7573">
        <v>68</v>
      </c>
    </row>
    <row r="7574" spans="1:7" x14ac:dyDescent="0.35">
      <c r="A7574" t="s">
        <v>231</v>
      </c>
      <c r="B7574" t="s">
        <v>266</v>
      </c>
      <c r="C7574">
        <v>11582.34</v>
      </c>
      <c r="D7574">
        <v>5730</v>
      </c>
      <c r="E7574">
        <v>200</v>
      </c>
      <c r="F7574">
        <v>97600</v>
      </c>
      <c r="G7574">
        <v>62</v>
      </c>
    </row>
    <row r="7575" spans="1:7" x14ac:dyDescent="0.35">
      <c r="A7575" t="s">
        <v>232</v>
      </c>
      <c r="B7575" t="s">
        <v>232</v>
      </c>
      <c r="C7575">
        <v>10625.29</v>
      </c>
      <c r="D7575">
        <v>7296.7</v>
      </c>
      <c r="E7575">
        <v>0</v>
      </c>
      <c r="F7575">
        <v>122633.3</v>
      </c>
      <c r="G7575">
        <v>2723</v>
      </c>
    </row>
    <row r="7577" spans="1:7" x14ac:dyDescent="0.35">
      <c r="A7577" s="1" t="s">
        <v>1051</v>
      </c>
    </row>
    <row r="7578" spans="1:7" x14ac:dyDescent="0.35">
      <c r="A7578" t="s">
        <v>219</v>
      </c>
      <c r="B7578" t="s">
        <v>305</v>
      </c>
      <c r="C7578" t="s">
        <v>534</v>
      </c>
      <c r="D7578" t="s">
        <v>535</v>
      </c>
      <c r="E7578" t="s">
        <v>536</v>
      </c>
      <c r="F7578" t="s">
        <v>537</v>
      </c>
      <c r="G7578" t="s">
        <v>226</v>
      </c>
    </row>
    <row r="7579" spans="1:7" x14ac:dyDescent="0.35">
      <c r="A7579" t="s">
        <v>227</v>
      </c>
      <c r="B7579" t="s">
        <v>252</v>
      </c>
      <c r="C7579">
        <v>6150.42</v>
      </c>
      <c r="D7579">
        <v>5658.3</v>
      </c>
      <c r="E7579">
        <v>235</v>
      </c>
      <c r="F7579">
        <v>19050</v>
      </c>
      <c r="G7579">
        <v>45</v>
      </c>
    </row>
    <row r="7580" spans="1:7" x14ac:dyDescent="0.35">
      <c r="A7580" t="s">
        <v>227</v>
      </c>
      <c r="B7580" t="s">
        <v>253</v>
      </c>
      <c r="C7580">
        <v>10582.84</v>
      </c>
      <c r="D7580">
        <v>7362.5</v>
      </c>
      <c r="E7580">
        <v>975</v>
      </c>
      <c r="F7580">
        <v>102149.5</v>
      </c>
      <c r="G7580">
        <v>34</v>
      </c>
    </row>
    <row r="7581" spans="1:7" x14ac:dyDescent="0.35">
      <c r="A7581" t="s">
        <v>227</v>
      </c>
      <c r="B7581" t="s">
        <v>251</v>
      </c>
      <c r="C7581">
        <v>10555.76</v>
      </c>
      <c r="D7581">
        <v>7500</v>
      </c>
      <c r="E7581">
        <v>255.6</v>
      </c>
      <c r="F7581">
        <v>82666.7</v>
      </c>
      <c r="G7581">
        <v>81</v>
      </c>
    </row>
    <row r="7582" spans="1:7" x14ac:dyDescent="0.35">
      <c r="A7582" t="s">
        <v>228</v>
      </c>
      <c r="B7582" t="s">
        <v>252</v>
      </c>
      <c r="C7582">
        <v>6501.97</v>
      </c>
      <c r="D7582">
        <v>5126.7</v>
      </c>
      <c r="E7582">
        <v>0</v>
      </c>
      <c r="F7582">
        <v>38786.699999999997</v>
      </c>
      <c r="G7582">
        <v>327</v>
      </c>
    </row>
    <row r="7583" spans="1:7" x14ac:dyDescent="0.35">
      <c r="A7583" t="s">
        <v>228</v>
      </c>
      <c r="B7583" t="s">
        <v>253</v>
      </c>
      <c r="C7583">
        <v>7965.87</v>
      </c>
      <c r="D7583">
        <v>5783.3</v>
      </c>
      <c r="E7583">
        <v>100</v>
      </c>
      <c r="F7583">
        <v>58611.1</v>
      </c>
      <c r="G7583">
        <v>211</v>
      </c>
    </row>
    <row r="7584" spans="1:7" x14ac:dyDescent="0.35">
      <c r="A7584" t="s">
        <v>228</v>
      </c>
      <c r="B7584" t="s">
        <v>251</v>
      </c>
      <c r="C7584">
        <v>11416.78</v>
      </c>
      <c r="D7584">
        <v>8175</v>
      </c>
      <c r="E7584">
        <v>166.7</v>
      </c>
      <c r="F7584">
        <v>70216.7</v>
      </c>
      <c r="G7584">
        <v>445</v>
      </c>
    </row>
    <row r="7585" spans="1:7" x14ac:dyDescent="0.35">
      <c r="A7585" t="s">
        <v>229</v>
      </c>
      <c r="B7585" t="s">
        <v>252</v>
      </c>
      <c r="C7585">
        <v>7866.17</v>
      </c>
      <c r="D7585">
        <v>5970</v>
      </c>
      <c r="E7585">
        <v>500</v>
      </c>
      <c r="F7585">
        <v>52283.3</v>
      </c>
      <c r="G7585">
        <v>189</v>
      </c>
    </row>
    <row r="7586" spans="1:7" x14ac:dyDescent="0.35">
      <c r="A7586" t="s">
        <v>229</v>
      </c>
      <c r="B7586" t="s">
        <v>253</v>
      </c>
      <c r="C7586">
        <v>7634.62</v>
      </c>
      <c r="D7586">
        <v>5972.2</v>
      </c>
      <c r="E7586">
        <v>166.7</v>
      </c>
      <c r="F7586">
        <v>31083.3</v>
      </c>
      <c r="G7586">
        <v>141</v>
      </c>
    </row>
    <row r="7587" spans="1:7" x14ac:dyDescent="0.35">
      <c r="A7587" t="s">
        <v>229</v>
      </c>
      <c r="B7587" t="s">
        <v>251</v>
      </c>
      <c r="C7587">
        <v>14695.13</v>
      </c>
      <c r="D7587">
        <v>12050</v>
      </c>
      <c r="E7587">
        <v>27.8</v>
      </c>
      <c r="F7587">
        <v>92200</v>
      </c>
      <c r="G7587">
        <v>537</v>
      </c>
    </row>
    <row r="7588" spans="1:7" x14ac:dyDescent="0.35">
      <c r="A7588" t="s">
        <v>230</v>
      </c>
      <c r="B7588" t="s">
        <v>252</v>
      </c>
      <c r="C7588">
        <v>8529.1</v>
      </c>
      <c r="D7588">
        <v>7183.3</v>
      </c>
      <c r="E7588">
        <v>0</v>
      </c>
      <c r="F7588">
        <v>31640</v>
      </c>
      <c r="G7588">
        <v>156</v>
      </c>
    </row>
    <row r="7589" spans="1:7" x14ac:dyDescent="0.35">
      <c r="A7589" t="s">
        <v>230</v>
      </c>
      <c r="B7589" t="s">
        <v>253</v>
      </c>
      <c r="C7589">
        <v>9086.2199999999993</v>
      </c>
      <c r="D7589">
        <v>7627.8</v>
      </c>
      <c r="E7589">
        <v>350</v>
      </c>
      <c r="F7589">
        <v>32266.7</v>
      </c>
      <c r="G7589">
        <v>108</v>
      </c>
    </row>
    <row r="7590" spans="1:7" x14ac:dyDescent="0.35">
      <c r="A7590" t="s">
        <v>230</v>
      </c>
      <c r="B7590" t="s">
        <v>251</v>
      </c>
      <c r="C7590">
        <v>12847.68</v>
      </c>
      <c r="D7590">
        <v>8550</v>
      </c>
      <c r="E7590">
        <v>216.7</v>
      </c>
      <c r="F7590">
        <v>122633.3</v>
      </c>
      <c r="G7590">
        <v>285</v>
      </c>
    </row>
    <row r="7591" spans="1:7" x14ac:dyDescent="0.35">
      <c r="A7591" t="s">
        <v>231</v>
      </c>
      <c r="B7591" t="s">
        <v>252</v>
      </c>
      <c r="C7591">
        <v>7815.11</v>
      </c>
      <c r="D7591">
        <v>5650</v>
      </c>
      <c r="E7591">
        <v>250</v>
      </c>
      <c r="F7591">
        <v>69366.7</v>
      </c>
      <c r="G7591">
        <v>49</v>
      </c>
    </row>
    <row r="7592" spans="1:7" x14ac:dyDescent="0.35">
      <c r="A7592" t="s">
        <v>231</v>
      </c>
      <c r="B7592" t="s">
        <v>253</v>
      </c>
      <c r="C7592">
        <v>7948.54</v>
      </c>
      <c r="D7592">
        <v>5450.8</v>
      </c>
      <c r="E7592">
        <v>200</v>
      </c>
      <c r="F7592">
        <v>28954.2</v>
      </c>
      <c r="G7592">
        <v>30</v>
      </c>
    </row>
    <row r="7593" spans="1:7" x14ac:dyDescent="0.35">
      <c r="A7593" t="s">
        <v>231</v>
      </c>
      <c r="B7593" t="s">
        <v>251</v>
      </c>
      <c r="C7593">
        <v>13869.07</v>
      </c>
      <c r="D7593">
        <v>8393.2999999999993</v>
      </c>
      <c r="E7593">
        <v>850</v>
      </c>
      <c r="F7593">
        <v>97600</v>
      </c>
      <c r="G7593">
        <v>85</v>
      </c>
    </row>
    <row r="7594" spans="1:7" x14ac:dyDescent="0.35">
      <c r="A7594" t="s">
        <v>232</v>
      </c>
      <c r="B7594" t="s">
        <v>232</v>
      </c>
      <c r="C7594">
        <v>10625.29</v>
      </c>
      <c r="D7594">
        <v>7296.7</v>
      </c>
      <c r="E7594">
        <v>0</v>
      </c>
      <c r="F7594">
        <v>122633.3</v>
      </c>
      <c r="G7594">
        <v>2723</v>
      </c>
    </row>
    <row r="7596" spans="1:7" x14ac:dyDescent="0.35">
      <c r="A7596" s="1" t="s">
        <v>1052</v>
      </c>
    </row>
    <row r="7597" spans="1:7" x14ac:dyDescent="0.35">
      <c r="A7597" t="s">
        <v>219</v>
      </c>
      <c r="B7597" t="s">
        <v>305</v>
      </c>
      <c r="C7597" t="s">
        <v>534</v>
      </c>
      <c r="D7597" t="s">
        <v>535</v>
      </c>
      <c r="E7597" t="s">
        <v>536</v>
      </c>
      <c r="F7597" t="s">
        <v>537</v>
      </c>
      <c r="G7597" t="s">
        <v>226</v>
      </c>
    </row>
    <row r="7598" spans="1:7" x14ac:dyDescent="0.35">
      <c r="A7598" t="s">
        <v>227</v>
      </c>
      <c r="B7598" t="s">
        <v>249</v>
      </c>
      <c r="C7598">
        <v>7011.09</v>
      </c>
      <c r="D7598">
        <v>5413.3</v>
      </c>
      <c r="E7598">
        <v>255.6</v>
      </c>
      <c r="F7598">
        <v>36950</v>
      </c>
      <c r="G7598">
        <v>44</v>
      </c>
    </row>
    <row r="7599" spans="1:7" x14ac:dyDescent="0.35">
      <c r="A7599" t="s">
        <v>227</v>
      </c>
      <c r="B7599" t="s">
        <v>248</v>
      </c>
      <c r="C7599">
        <v>10199.26</v>
      </c>
      <c r="D7599">
        <v>7083.3</v>
      </c>
      <c r="E7599">
        <v>235</v>
      </c>
      <c r="F7599">
        <v>102149.5</v>
      </c>
      <c r="G7599">
        <v>116</v>
      </c>
    </row>
    <row r="7600" spans="1:7" x14ac:dyDescent="0.35">
      <c r="A7600" t="s">
        <v>228</v>
      </c>
      <c r="B7600" t="s">
        <v>249</v>
      </c>
      <c r="C7600">
        <v>8159.82</v>
      </c>
      <c r="D7600">
        <v>6433.3</v>
      </c>
      <c r="E7600">
        <v>116.7</v>
      </c>
      <c r="F7600">
        <v>44888.9</v>
      </c>
      <c r="G7600">
        <v>257</v>
      </c>
    </row>
    <row r="7601" spans="1:7" x14ac:dyDescent="0.35">
      <c r="A7601" t="s">
        <v>228</v>
      </c>
      <c r="B7601" t="s">
        <v>248</v>
      </c>
      <c r="C7601">
        <v>9538.77</v>
      </c>
      <c r="D7601">
        <v>6877.8</v>
      </c>
      <c r="E7601">
        <v>0</v>
      </c>
      <c r="F7601">
        <v>70216.7</v>
      </c>
      <c r="G7601">
        <v>726</v>
      </c>
    </row>
    <row r="7602" spans="1:7" x14ac:dyDescent="0.35">
      <c r="A7602" t="s">
        <v>229</v>
      </c>
      <c r="B7602" t="s">
        <v>249</v>
      </c>
      <c r="C7602">
        <v>12407.22</v>
      </c>
      <c r="D7602">
        <v>9400</v>
      </c>
      <c r="E7602">
        <v>27.8</v>
      </c>
      <c r="F7602">
        <v>92200</v>
      </c>
      <c r="G7602">
        <v>255</v>
      </c>
    </row>
    <row r="7603" spans="1:7" x14ac:dyDescent="0.35">
      <c r="A7603" t="s">
        <v>229</v>
      </c>
      <c r="B7603" t="s">
        <v>248</v>
      </c>
      <c r="C7603">
        <v>11575.89</v>
      </c>
      <c r="D7603">
        <v>8283.2999999999993</v>
      </c>
      <c r="E7603">
        <v>100</v>
      </c>
      <c r="F7603">
        <v>64476.7</v>
      </c>
      <c r="G7603">
        <v>612</v>
      </c>
    </row>
    <row r="7604" spans="1:7" x14ac:dyDescent="0.35">
      <c r="A7604" t="s">
        <v>230</v>
      </c>
      <c r="B7604" t="s">
        <v>249</v>
      </c>
      <c r="C7604">
        <v>10503.43</v>
      </c>
      <c r="D7604">
        <v>7350</v>
      </c>
      <c r="E7604">
        <v>240</v>
      </c>
      <c r="F7604">
        <v>122633.3</v>
      </c>
      <c r="G7604">
        <v>165</v>
      </c>
    </row>
    <row r="7605" spans="1:7" x14ac:dyDescent="0.35">
      <c r="A7605" t="s">
        <v>230</v>
      </c>
      <c r="B7605" t="s">
        <v>248</v>
      </c>
      <c r="C7605">
        <v>11293.61</v>
      </c>
      <c r="D7605">
        <v>8325</v>
      </c>
      <c r="E7605">
        <v>0</v>
      </c>
      <c r="F7605">
        <v>114386.7</v>
      </c>
      <c r="G7605">
        <v>384</v>
      </c>
    </row>
    <row r="7606" spans="1:7" x14ac:dyDescent="0.35">
      <c r="A7606" t="s">
        <v>231</v>
      </c>
      <c r="B7606" t="s">
        <v>249</v>
      </c>
      <c r="C7606">
        <v>8198.4599999999991</v>
      </c>
      <c r="D7606">
        <v>4888.8999999999996</v>
      </c>
      <c r="E7606">
        <v>1605.6</v>
      </c>
      <c r="F7606">
        <v>30966.7</v>
      </c>
      <c r="G7606">
        <v>35</v>
      </c>
    </row>
    <row r="7607" spans="1:7" x14ac:dyDescent="0.35">
      <c r="A7607" t="s">
        <v>231</v>
      </c>
      <c r="B7607" t="s">
        <v>248</v>
      </c>
      <c r="C7607">
        <v>11731.17</v>
      </c>
      <c r="D7607">
        <v>7300</v>
      </c>
      <c r="E7607">
        <v>200</v>
      </c>
      <c r="F7607">
        <v>97600</v>
      </c>
      <c r="G7607">
        <v>129</v>
      </c>
    </row>
    <row r="7608" spans="1:7" x14ac:dyDescent="0.35">
      <c r="A7608" t="s">
        <v>232</v>
      </c>
      <c r="B7608" t="s">
        <v>232</v>
      </c>
      <c r="C7608">
        <v>10625.29</v>
      </c>
      <c r="D7608">
        <v>7296.7</v>
      </c>
      <c r="E7608">
        <v>0</v>
      </c>
      <c r="F7608">
        <v>122633.3</v>
      </c>
      <c r="G7608">
        <v>2723</v>
      </c>
    </row>
    <row r="7610" spans="1:7" x14ac:dyDescent="0.35">
      <c r="A7610" s="1" t="s">
        <v>1053</v>
      </c>
    </row>
    <row r="7611" spans="1:7" x14ac:dyDescent="0.35">
      <c r="A7611" t="s">
        <v>219</v>
      </c>
      <c r="B7611" t="s">
        <v>305</v>
      </c>
      <c r="C7611" t="s">
        <v>534</v>
      </c>
      <c r="D7611" t="s">
        <v>535</v>
      </c>
      <c r="E7611" t="s">
        <v>536</v>
      </c>
      <c r="F7611" t="s">
        <v>537</v>
      </c>
      <c r="G7611" t="s">
        <v>226</v>
      </c>
    </row>
    <row r="7612" spans="1:7" x14ac:dyDescent="0.35">
      <c r="A7612" s="27" t="s">
        <v>227</v>
      </c>
      <c r="B7612" s="27" t="s">
        <v>263</v>
      </c>
      <c r="C7612" s="29">
        <v>42959.56</v>
      </c>
      <c r="D7612" s="29">
        <v>102149.5</v>
      </c>
      <c r="E7612" s="29">
        <v>11950</v>
      </c>
      <c r="F7612" s="29">
        <v>102149.5</v>
      </c>
      <c r="G7612" s="29">
        <v>3</v>
      </c>
    </row>
    <row r="7613" spans="1:7" x14ac:dyDescent="0.35">
      <c r="A7613" s="27" t="s">
        <v>227</v>
      </c>
      <c r="B7613" s="27" t="s">
        <v>262</v>
      </c>
      <c r="C7613" s="29">
        <v>6761.11</v>
      </c>
      <c r="D7613" s="29">
        <v>15233.3</v>
      </c>
      <c r="E7613" s="29">
        <v>2340</v>
      </c>
      <c r="F7613" s="29">
        <v>15233.3</v>
      </c>
      <c r="G7613" s="29">
        <v>3</v>
      </c>
    </row>
    <row r="7614" spans="1:7" x14ac:dyDescent="0.35">
      <c r="A7614" t="s">
        <v>227</v>
      </c>
      <c r="B7614" t="s">
        <v>260</v>
      </c>
      <c r="C7614">
        <v>8827.1200000000008</v>
      </c>
      <c r="D7614">
        <v>6525</v>
      </c>
      <c r="E7614">
        <v>235</v>
      </c>
      <c r="F7614">
        <v>82666.7</v>
      </c>
      <c r="G7614">
        <v>121</v>
      </c>
    </row>
    <row r="7615" spans="1:7" x14ac:dyDescent="0.35">
      <c r="A7615" t="s">
        <v>227</v>
      </c>
      <c r="B7615" t="s">
        <v>261</v>
      </c>
      <c r="C7615">
        <v>8313.89</v>
      </c>
      <c r="D7615">
        <v>6858.3</v>
      </c>
      <c r="E7615">
        <v>255.6</v>
      </c>
      <c r="F7615">
        <v>31580</v>
      </c>
      <c r="G7615">
        <v>33</v>
      </c>
    </row>
    <row r="7616" spans="1:7" x14ac:dyDescent="0.35">
      <c r="A7616" t="s">
        <v>228</v>
      </c>
      <c r="B7616" t="s">
        <v>262</v>
      </c>
      <c r="C7616">
        <v>11009.16</v>
      </c>
      <c r="D7616">
        <v>7500</v>
      </c>
      <c r="E7616">
        <v>350</v>
      </c>
      <c r="F7616">
        <v>65366.7</v>
      </c>
      <c r="G7616">
        <v>192</v>
      </c>
    </row>
    <row r="7617" spans="1:7" x14ac:dyDescent="0.35">
      <c r="A7617" s="27" t="s">
        <v>228</v>
      </c>
      <c r="B7617" s="27" t="s">
        <v>236</v>
      </c>
      <c r="C7617" s="29">
        <v>8147.77</v>
      </c>
      <c r="D7617" s="29">
        <v>11091.7</v>
      </c>
      <c r="E7617" s="29">
        <v>1470</v>
      </c>
      <c r="F7617" s="29">
        <v>11091.7</v>
      </c>
      <c r="G7617" s="29">
        <v>5</v>
      </c>
    </row>
    <row r="7618" spans="1:7" x14ac:dyDescent="0.35">
      <c r="A7618" t="s">
        <v>228</v>
      </c>
      <c r="B7618" t="s">
        <v>260</v>
      </c>
      <c r="C7618">
        <v>8680.92</v>
      </c>
      <c r="D7618">
        <v>6350</v>
      </c>
      <c r="E7618">
        <v>0</v>
      </c>
      <c r="F7618">
        <v>70216.7</v>
      </c>
      <c r="G7618">
        <v>581</v>
      </c>
    </row>
    <row r="7619" spans="1:7" x14ac:dyDescent="0.35">
      <c r="A7619" s="27" t="s">
        <v>228</v>
      </c>
      <c r="B7619" s="27" t="s">
        <v>263</v>
      </c>
      <c r="C7619" s="29">
        <v>11479.44</v>
      </c>
      <c r="D7619" s="29">
        <v>11677.8</v>
      </c>
      <c r="E7619" s="29">
        <v>2220</v>
      </c>
      <c r="F7619" s="29">
        <v>22166.7</v>
      </c>
      <c r="G7619" s="29">
        <v>24</v>
      </c>
    </row>
    <row r="7620" spans="1:7" x14ac:dyDescent="0.35">
      <c r="A7620" t="s">
        <v>228</v>
      </c>
      <c r="B7620" t="s">
        <v>261</v>
      </c>
      <c r="C7620">
        <v>8735.58</v>
      </c>
      <c r="D7620">
        <v>6957.8</v>
      </c>
      <c r="E7620">
        <v>41.7</v>
      </c>
      <c r="F7620">
        <v>50500</v>
      </c>
      <c r="G7620">
        <v>181</v>
      </c>
    </row>
    <row r="7621" spans="1:7" x14ac:dyDescent="0.35">
      <c r="A7621" t="s">
        <v>229</v>
      </c>
      <c r="B7621" t="s">
        <v>261</v>
      </c>
      <c r="C7621">
        <v>11941.38</v>
      </c>
      <c r="D7621">
        <v>8588.9</v>
      </c>
      <c r="E7621">
        <v>27.8</v>
      </c>
      <c r="F7621">
        <v>52283.3</v>
      </c>
      <c r="G7621">
        <v>95</v>
      </c>
    </row>
    <row r="7622" spans="1:7" x14ac:dyDescent="0.35">
      <c r="A7622" t="s">
        <v>229</v>
      </c>
      <c r="B7622" t="s">
        <v>260</v>
      </c>
      <c r="C7622">
        <v>10348.620000000001</v>
      </c>
      <c r="D7622">
        <v>7333.3</v>
      </c>
      <c r="E7622">
        <v>100</v>
      </c>
      <c r="F7622">
        <v>92200</v>
      </c>
      <c r="G7622">
        <v>573</v>
      </c>
    </row>
    <row r="7623" spans="1:7" x14ac:dyDescent="0.35">
      <c r="A7623" s="27" t="s">
        <v>229</v>
      </c>
      <c r="B7623" s="27" t="s">
        <v>263</v>
      </c>
      <c r="C7623" s="29">
        <v>10685.89</v>
      </c>
      <c r="D7623" s="29">
        <v>7816.7</v>
      </c>
      <c r="E7623" s="29">
        <v>944.4</v>
      </c>
      <c r="F7623" s="29">
        <v>26600</v>
      </c>
      <c r="G7623" s="29">
        <v>14</v>
      </c>
    </row>
    <row r="7624" spans="1:7" x14ac:dyDescent="0.35">
      <c r="A7624" t="s">
        <v>229</v>
      </c>
      <c r="B7624" t="s">
        <v>262</v>
      </c>
      <c r="C7624">
        <v>14846.78</v>
      </c>
      <c r="D7624">
        <v>12722.2</v>
      </c>
      <c r="E7624">
        <v>400</v>
      </c>
      <c r="F7624">
        <v>67388.899999999994</v>
      </c>
      <c r="G7624">
        <v>185</v>
      </c>
    </row>
    <row r="7625" spans="1:7" x14ac:dyDescent="0.35">
      <c r="A7625" t="s">
        <v>230</v>
      </c>
      <c r="B7625" t="s">
        <v>261</v>
      </c>
      <c r="C7625">
        <v>10433.969999999999</v>
      </c>
      <c r="D7625">
        <v>9133.2999999999993</v>
      </c>
      <c r="E7625">
        <v>1150</v>
      </c>
      <c r="F7625">
        <v>35216.699999999997</v>
      </c>
      <c r="G7625">
        <v>55</v>
      </c>
    </row>
    <row r="7626" spans="1:7" x14ac:dyDescent="0.35">
      <c r="A7626" t="s">
        <v>230</v>
      </c>
      <c r="B7626" t="s">
        <v>260</v>
      </c>
      <c r="C7626">
        <v>10594.67</v>
      </c>
      <c r="D7626">
        <v>7627.8</v>
      </c>
      <c r="E7626">
        <v>0</v>
      </c>
      <c r="F7626">
        <v>114386.7</v>
      </c>
      <c r="G7626">
        <v>344</v>
      </c>
    </row>
    <row r="7627" spans="1:7" x14ac:dyDescent="0.35">
      <c r="A7627" s="27" t="s">
        <v>230</v>
      </c>
      <c r="B7627" s="27" t="s">
        <v>263</v>
      </c>
      <c r="C7627" s="29">
        <v>7228.9</v>
      </c>
      <c r="D7627" s="29">
        <v>7913.3</v>
      </c>
      <c r="E7627" s="29">
        <v>800</v>
      </c>
      <c r="F7627" s="29">
        <v>18016.7</v>
      </c>
      <c r="G7627" s="29">
        <v>25</v>
      </c>
    </row>
    <row r="7628" spans="1:7" x14ac:dyDescent="0.35">
      <c r="A7628" s="27" t="s">
        <v>230</v>
      </c>
      <c r="B7628" s="27" t="s">
        <v>236</v>
      </c>
      <c r="C7628" s="29">
        <v>7794.27</v>
      </c>
      <c r="D7628" s="29">
        <v>8215</v>
      </c>
      <c r="E7628" s="29">
        <v>5466.7</v>
      </c>
      <c r="F7628" s="29">
        <v>8215</v>
      </c>
      <c r="G7628" s="29">
        <v>3</v>
      </c>
    </row>
    <row r="7629" spans="1:7" x14ac:dyDescent="0.35">
      <c r="A7629" t="s">
        <v>230</v>
      </c>
      <c r="B7629" t="s">
        <v>262</v>
      </c>
      <c r="C7629">
        <v>14096.06</v>
      </c>
      <c r="D7629">
        <v>9366.7000000000007</v>
      </c>
      <c r="E7629">
        <v>240</v>
      </c>
      <c r="F7629">
        <v>122633.3</v>
      </c>
      <c r="G7629">
        <v>122</v>
      </c>
    </row>
    <row r="7630" spans="1:7" x14ac:dyDescent="0.35">
      <c r="A7630" s="27" t="s">
        <v>231</v>
      </c>
      <c r="B7630" s="27" t="s">
        <v>261</v>
      </c>
      <c r="C7630" s="29">
        <v>10638.53</v>
      </c>
      <c r="D7630" s="29">
        <v>7300</v>
      </c>
      <c r="E7630" s="29">
        <v>250</v>
      </c>
      <c r="F7630" s="29">
        <v>68666.7</v>
      </c>
      <c r="G7630" s="29">
        <v>27</v>
      </c>
    </row>
    <row r="7631" spans="1:7" x14ac:dyDescent="0.35">
      <c r="A7631" s="27" t="s">
        <v>231</v>
      </c>
      <c r="B7631" s="27" t="s">
        <v>263</v>
      </c>
      <c r="C7631" s="29">
        <v>5925</v>
      </c>
      <c r="D7631" s="29">
        <v>5616.7</v>
      </c>
      <c r="E7631" s="29">
        <v>5616.7</v>
      </c>
      <c r="F7631" s="29">
        <v>6233.3</v>
      </c>
      <c r="G7631" s="29">
        <v>2</v>
      </c>
    </row>
    <row r="7632" spans="1:7" x14ac:dyDescent="0.35">
      <c r="A7632" s="27" t="s">
        <v>231</v>
      </c>
      <c r="B7632" s="27" t="s">
        <v>262</v>
      </c>
      <c r="C7632" s="29">
        <v>7167.25</v>
      </c>
      <c r="D7632" s="29">
        <v>6983.3</v>
      </c>
      <c r="E7632" s="29">
        <v>1433.3</v>
      </c>
      <c r="F7632" s="29">
        <v>14733.3</v>
      </c>
      <c r="G7632" s="29">
        <v>11</v>
      </c>
    </row>
    <row r="7633" spans="1:7" x14ac:dyDescent="0.35">
      <c r="A7633" t="s">
        <v>231</v>
      </c>
      <c r="B7633" t="s">
        <v>260</v>
      </c>
      <c r="C7633">
        <v>11470.46</v>
      </c>
      <c r="D7633">
        <v>6358.3</v>
      </c>
      <c r="E7633">
        <v>200</v>
      </c>
      <c r="F7633">
        <v>97600</v>
      </c>
      <c r="G7633">
        <v>124</v>
      </c>
    </row>
    <row r="7634" spans="1:7" x14ac:dyDescent="0.35">
      <c r="A7634" t="s">
        <v>232</v>
      </c>
      <c r="B7634" t="s">
        <v>232</v>
      </c>
      <c r="C7634">
        <v>10625.29</v>
      </c>
      <c r="D7634">
        <v>7296.7</v>
      </c>
      <c r="E7634">
        <v>0</v>
      </c>
      <c r="F7634">
        <v>122633.3</v>
      </c>
      <c r="G7634">
        <v>2723</v>
      </c>
    </row>
    <row r="7636" spans="1:7" x14ac:dyDescent="0.35">
      <c r="A7636" s="1" t="s">
        <v>1054</v>
      </c>
    </row>
    <row r="7637" spans="1:7" x14ac:dyDescent="0.35">
      <c r="A7637" t="s">
        <v>219</v>
      </c>
      <c r="B7637" t="s">
        <v>305</v>
      </c>
      <c r="C7637" t="s">
        <v>534</v>
      </c>
      <c r="D7637" t="s">
        <v>535</v>
      </c>
      <c r="E7637" t="s">
        <v>536</v>
      </c>
      <c r="F7637" t="s">
        <v>537</v>
      </c>
      <c r="G7637" t="s">
        <v>226</v>
      </c>
    </row>
    <row r="7638" spans="1:7" x14ac:dyDescent="0.35">
      <c r="A7638" t="s">
        <v>227</v>
      </c>
      <c r="B7638" t="s">
        <v>368</v>
      </c>
      <c r="C7638">
        <v>8313.89</v>
      </c>
      <c r="D7638">
        <v>6858.3</v>
      </c>
      <c r="E7638">
        <v>255.6</v>
      </c>
      <c r="F7638">
        <v>31580</v>
      </c>
      <c r="G7638">
        <v>33</v>
      </c>
    </row>
    <row r="7639" spans="1:7" x14ac:dyDescent="0.35">
      <c r="A7639" t="s">
        <v>227</v>
      </c>
      <c r="B7639" t="s">
        <v>369</v>
      </c>
      <c r="C7639">
        <v>9584.6</v>
      </c>
      <c r="D7639">
        <v>6800</v>
      </c>
      <c r="E7639">
        <v>235</v>
      </c>
      <c r="F7639">
        <v>102149.5</v>
      </c>
      <c r="G7639">
        <v>127</v>
      </c>
    </row>
    <row r="7640" spans="1:7" x14ac:dyDescent="0.35">
      <c r="A7640" t="s">
        <v>228</v>
      </c>
      <c r="B7640" t="s">
        <v>368</v>
      </c>
      <c r="C7640">
        <v>8735.58</v>
      </c>
      <c r="D7640">
        <v>6957.8</v>
      </c>
      <c r="E7640">
        <v>41.7</v>
      </c>
      <c r="F7640">
        <v>50500</v>
      </c>
      <c r="G7640">
        <v>181</v>
      </c>
    </row>
    <row r="7641" spans="1:7" x14ac:dyDescent="0.35">
      <c r="A7641" t="s">
        <v>228</v>
      </c>
      <c r="B7641" t="s">
        <v>369</v>
      </c>
      <c r="C7641">
        <v>9221.52</v>
      </c>
      <c r="D7641">
        <v>6575</v>
      </c>
      <c r="E7641">
        <v>0</v>
      </c>
      <c r="F7641">
        <v>70216.7</v>
      </c>
      <c r="G7641">
        <v>802</v>
      </c>
    </row>
    <row r="7642" spans="1:7" x14ac:dyDescent="0.35">
      <c r="A7642" t="s">
        <v>229</v>
      </c>
      <c r="B7642" t="s">
        <v>368</v>
      </c>
      <c r="C7642">
        <v>11941.38</v>
      </c>
      <c r="D7642">
        <v>8588.9</v>
      </c>
      <c r="E7642">
        <v>27.8</v>
      </c>
      <c r="F7642">
        <v>52283.3</v>
      </c>
      <c r="G7642">
        <v>95</v>
      </c>
    </row>
    <row r="7643" spans="1:7" x14ac:dyDescent="0.35">
      <c r="A7643" t="s">
        <v>229</v>
      </c>
      <c r="B7643" t="s">
        <v>369</v>
      </c>
      <c r="C7643">
        <v>11833.72</v>
      </c>
      <c r="D7643">
        <v>8566.7000000000007</v>
      </c>
      <c r="E7643">
        <v>100</v>
      </c>
      <c r="F7643">
        <v>92200</v>
      </c>
      <c r="G7643">
        <v>772</v>
      </c>
    </row>
    <row r="7644" spans="1:7" x14ac:dyDescent="0.35">
      <c r="A7644" t="s">
        <v>230</v>
      </c>
      <c r="B7644" t="s">
        <v>368</v>
      </c>
      <c r="C7644">
        <v>10433.969999999999</v>
      </c>
      <c r="D7644">
        <v>9133.2999999999993</v>
      </c>
      <c r="E7644">
        <v>1150</v>
      </c>
      <c r="F7644">
        <v>35216.699999999997</v>
      </c>
      <c r="G7644">
        <v>55</v>
      </c>
    </row>
    <row r="7645" spans="1:7" x14ac:dyDescent="0.35">
      <c r="A7645" t="s">
        <v>230</v>
      </c>
      <c r="B7645" t="s">
        <v>369</v>
      </c>
      <c r="C7645">
        <v>11120.45</v>
      </c>
      <c r="D7645">
        <v>7750</v>
      </c>
      <c r="E7645">
        <v>0</v>
      </c>
      <c r="F7645">
        <v>122633.3</v>
      </c>
      <c r="G7645">
        <v>494</v>
      </c>
    </row>
    <row r="7646" spans="1:7" x14ac:dyDescent="0.35">
      <c r="A7646" s="27" t="s">
        <v>231</v>
      </c>
      <c r="B7646" s="27" t="s">
        <v>368</v>
      </c>
      <c r="C7646" s="29">
        <v>10638.53</v>
      </c>
      <c r="D7646" s="29">
        <v>7300</v>
      </c>
      <c r="E7646" s="29">
        <v>250</v>
      </c>
      <c r="F7646" s="29">
        <v>68666.7</v>
      </c>
      <c r="G7646" s="29">
        <v>27</v>
      </c>
    </row>
    <row r="7647" spans="1:7" x14ac:dyDescent="0.35">
      <c r="A7647" t="s">
        <v>231</v>
      </c>
      <c r="B7647" t="s">
        <v>369</v>
      </c>
      <c r="C7647">
        <v>11043.99</v>
      </c>
      <c r="D7647">
        <v>6358.3</v>
      </c>
      <c r="E7647">
        <v>200</v>
      </c>
      <c r="F7647">
        <v>97600</v>
      </c>
      <c r="G7647">
        <v>137</v>
      </c>
    </row>
    <row r="7648" spans="1:7" x14ac:dyDescent="0.35">
      <c r="A7648" t="s">
        <v>232</v>
      </c>
      <c r="B7648" t="s">
        <v>232</v>
      </c>
      <c r="C7648">
        <v>10625.29</v>
      </c>
      <c r="D7648">
        <v>7296.7</v>
      </c>
      <c r="E7648">
        <v>0</v>
      </c>
      <c r="F7648">
        <v>122633.3</v>
      </c>
      <c r="G7648">
        <v>2723</v>
      </c>
    </row>
    <row r="7650" spans="1:7" x14ac:dyDescent="0.35">
      <c r="A7650" s="1" t="s">
        <v>1055</v>
      </c>
    </row>
    <row r="7651" spans="1:7" x14ac:dyDescent="0.35">
      <c r="A7651" t="s">
        <v>219</v>
      </c>
      <c r="B7651" t="s">
        <v>305</v>
      </c>
      <c r="C7651" t="s">
        <v>534</v>
      </c>
      <c r="D7651" t="s">
        <v>535</v>
      </c>
      <c r="E7651" t="s">
        <v>536</v>
      </c>
      <c r="F7651" t="s">
        <v>537</v>
      </c>
      <c r="G7651" t="s">
        <v>226</v>
      </c>
    </row>
    <row r="7652" spans="1:7" x14ac:dyDescent="0.35">
      <c r="A7652" t="s">
        <v>227</v>
      </c>
      <c r="B7652" t="s">
        <v>371</v>
      </c>
      <c r="C7652">
        <v>9322.51</v>
      </c>
      <c r="D7652">
        <v>6388.9</v>
      </c>
      <c r="E7652">
        <v>235</v>
      </c>
      <c r="F7652">
        <v>102149.5</v>
      </c>
      <c r="G7652">
        <v>160</v>
      </c>
    </row>
    <row r="7653" spans="1:7" x14ac:dyDescent="0.35">
      <c r="A7653" t="s">
        <v>228</v>
      </c>
      <c r="B7653" t="s">
        <v>371</v>
      </c>
      <c r="C7653">
        <v>9566.91</v>
      </c>
      <c r="D7653">
        <v>6937.5</v>
      </c>
      <c r="E7653">
        <v>0</v>
      </c>
      <c r="F7653">
        <v>70216.7</v>
      </c>
      <c r="G7653">
        <v>275</v>
      </c>
    </row>
    <row r="7654" spans="1:7" x14ac:dyDescent="0.35">
      <c r="A7654" t="s">
        <v>228</v>
      </c>
      <c r="B7654" t="s">
        <v>372</v>
      </c>
      <c r="C7654">
        <v>7630.63</v>
      </c>
      <c r="D7654">
        <v>5403.3</v>
      </c>
      <c r="E7654">
        <v>150</v>
      </c>
      <c r="F7654">
        <v>38280</v>
      </c>
      <c r="G7654">
        <v>204</v>
      </c>
    </row>
    <row r="7655" spans="1:7" x14ac:dyDescent="0.35">
      <c r="A7655" t="s">
        <v>228</v>
      </c>
      <c r="B7655" t="s">
        <v>373</v>
      </c>
      <c r="C7655">
        <v>8852.7800000000007</v>
      </c>
      <c r="D7655">
        <v>6665</v>
      </c>
      <c r="E7655">
        <v>100</v>
      </c>
      <c r="F7655">
        <v>65366.7</v>
      </c>
      <c r="G7655">
        <v>504</v>
      </c>
    </row>
    <row r="7656" spans="1:7" x14ac:dyDescent="0.35">
      <c r="A7656" t="s">
        <v>229</v>
      </c>
      <c r="B7656" t="s">
        <v>371</v>
      </c>
      <c r="C7656">
        <v>12194.39</v>
      </c>
      <c r="D7656">
        <v>9000</v>
      </c>
      <c r="E7656">
        <v>100</v>
      </c>
      <c r="F7656">
        <v>92200</v>
      </c>
      <c r="G7656">
        <v>564</v>
      </c>
    </row>
    <row r="7657" spans="1:7" x14ac:dyDescent="0.35">
      <c r="A7657" t="s">
        <v>229</v>
      </c>
      <c r="B7657" t="s">
        <v>372</v>
      </c>
      <c r="C7657">
        <v>7817.58</v>
      </c>
      <c r="D7657">
        <v>6333.3</v>
      </c>
      <c r="E7657">
        <v>27.8</v>
      </c>
      <c r="F7657">
        <v>67388.899999999994</v>
      </c>
      <c r="G7657">
        <v>218</v>
      </c>
    </row>
    <row r="7658" spans="1:7" x14ac:dyDescent="0.35">
      <c r="A7658" t="s">
        <v>229</v>
      </c>
      <c r="B7658" t="s">
        <v>373</v>
      </c>
      <c r="C7658">
        <v>7288.58</v>
      </c>
      <c r="D7658">
        <v>5760</v>
      </c>
      <c r="E7658">
        <v>1070</v>
      </c>
      <c r="F7658">
        <v>24508.3</v>
      </c>
      <c r="G7658">
        <v>85</v>
      </c>
    </row>
    <row r="7659" spans="1:7" x14ac:dyDescent="0.35">
      <c r="A7659" t="s">
        <v>230</v>
      </c>
      <c r="B7659" t="s">
        <v>371</v>
      </c>
      <c r="C7659">
        <v>11471.33</v>
      </c>
      <c r="D7659">
        <v>8300</v>
      </c>
      <c r="E7659">
        <v>350</v>
      </c>
      <c r="F7659">
        <v>122633.3</v>
      </c>
      <c r="G7659">
        <v>259</v>
      </c>
    </row>
    <row r="7660" spans="1:7" x14ac:dyDescent="0.35">
      <c r="A7660" t="s">
        <v>230</v>
      </c>
      <c r="B7660" t="s">
        <v>372</v>
      </c>
      <c r="C7660">
        <v>6948.56</v>
      </c>
      <c r="D7660">
        <v>5396.7</v>
      </c>
      <c r="E7660">
        <v>0</v>
      </c>
      <c r="F7660">
        <v>32266.7</v>
      </c>
      <c r="G7660">
        <v>140</v>
      </c>
    </row>
    <row r="7661" spans="1:7" x14ac:dyDescent="0.35">
      <c r="A7661" t="s">
        <v>230</v>
      </c>
      <c r="B7661" t="s">
        <v>373</v>
      </c>
      <c r="C7661">
        <v>9949.51</v>
      </c>
      <c r="D7661">
        <v>6694.4</v>
      </c>
      <c r="E7661">
        <v>240</v>
      </c>
      <c r="F7661">
        <v>114386.7</v>
      </c>
      <c r="G7661">
        <v>150</v>
      </c>
    </row>
    <row r="7662" spans="1:7" x14ac:dyDescent="0.35">
      <c r="A7662" t="s">
        <v>231</v>
      </c>
      <c r="B7662" t="s">
        <v>371</v>
      </c>
      <c r="C7662">
        <v>10977.24</v>
      </c>
      <c r="D7662">
        <v>6360</v>
      </c>
      <c r="E7662">
        <v>200</v>
      </c>
      <c r="F7662">
        <v>97600</v>
      </c>
      <c r="G7662">
        <v>164</v>
      </c>
    </row>
    <row r="7663" spans="1:7" x14ac:dyDescent="0.35">
      <c r="A7663" t="s">
        <v>232</v>
      </c>
      <c r="B7663" t="s">
        <v>232</v>
      </c>
      <c r="C7663">
        <v>10625.29</v>
      </c>
      <c r="D7663">
        <v>7296.7</v>
      </c>
      <c r="E7663">
        <v>0</v>
      </c>
      <c r="F7663">
        <v>122633.3</v>
      </c>
      <c r="G7663">
        <v>2723</v>
      </c>
    </row>
    <row r="7665" spans="1:7" x14ac:dyDescent="0.35">
      <c r="A7665" s="1" t="s">
        <v>1056</v>
      </c>
    </row>
    <row r="7666" spans="1:7" x14ac:dyDescent="0.35">
      <c r="A7666" t="s">
        <v>219</v>
      </c>
      <c r="B7666" t="s">
        <v>305</v>
      </c>
      <c r="C7666" t="s">
        <v>534</v>
      </c>
      <c r="D7666" t="s">
        <v>535</v>
      </c>
      <c r="E7666" t="s">
        <v>536</v>
      </c>
      <c r="F7666" t="s">
        <v>537</v>
      </c>
      <c r="G7666" t="s">
        <v>226</v>
      </c>
    </row>
    <row r="7667" spans="1:7" x14ac:dyDescent="0.35">
      <c r="A7667" t="s">
        <v>227</v>
      </c>
      <c r="B7667" t="s">
        <v>255</v>
      </c>
      <c r="C7667">
        <v>10199.26</v>
      </c>
      <c r="D7667">
        <v>7083.3</v>
      </c>
      <c r="E7667">
        <v>235</v>
      </c>
      <c r="F7667">
        <v>102149.5</v>
      </c>
      <c r="G7667">
        <v>116</v>
      </c>
    </row>
    <row r="7668" spans="1:7" x14ac:dyDescent="0.35">
      <c r="A7668" t="s">
        <v>227</v>
      </c>
      <c r="B7668" t="s">
        <v>256</v>
      </c>
      <c r="C7668">
        <v>5833.36</v>
      </c>
      <c r="D7668">
        <v>5229.2</v>
      </c>
      <c r="E7668">
        <v>255.6</v>
      </c>
      <c r="F7668">
        <v>14315.1</v>
      </c>
      <c r="G7668">
        <v>35</v>
      </c>
    </row>
    <row r="7669" spans="1:7" x14ac:dyDescent="0.35">
      <c r="A7669" s="27" t="s">
        <v>227</v>
      </c>
      <c r="B7669" s="27" t="s">
        <v>257</v>
      </c>
      <c r="C7669" s="29">
        <v>11591.14</v>
      </c>
      <c r="D7669" s="29">
        <v>10780.8</v>
      </c>
      <c r="E7669" s="29">
        <v>2438.9</v>
      </c>
      <c r="F7669" s="29">
        <v>36950</v>
      </c>
      <c r="G7669" s="29">
        <v>9</v>
      </c>
    </row>
    <row r="7670" spans="1:7" x14ac:dyDescent="0.35">
      <c r="A7670" t="s">
        <v>228</v>
      </c>
      <c r="B7670" t="s">
        <v>255</v>
      </c>
      <c r="C7670">
        <v>9538.77</v>
      </c>
      <c r="D7670">
        <v>6877.8</v>
      </c>
      <c r="E7670">
        <v>0</v>
      </c>
      <c r="F7670">
        <v>70216.7</v>
      </c>
      <c r="G7670">
        <v>726</v>
      </c>
    </row>
    <row r="7671" spans="1:7" x14ac:dyDescent="0.35">
      <c r="A7671" t="s">
        <v>228</v>
      </c>
      <c r="B7671" t="s">
        <v>256</v>
      </c>
      <c r="C7671">
        <v>8330.8799999999992</v>
      </c>
      <c r="D7671">
        <v>6516.7</v>
      </c>
      <c r="E7671">
        <v>116.7</v>
      </c>
      <c r="F7671">
        <v>44888.9</v>
      </c>
      <c r="G7671">
        <v>207</v>
      </c>
    </row>
    <row r="7672" spans="1:7" x14ac:dyDescent="0.35">
      <c r="A7672" t="s">
        <v>228</v>
      </c>
      <c r="B7672" t="s">
        <v>257</v>
      </c>
      <c r="C7672">
        <v>6363.76</v>
      </c>
      <c r="D7672">
        <v>5188.8999999999996</v>
      </c>
      <c r="E7672">
        <v>166.7</v>
      </c>
      <c r="F7672">
        <v>20291.7</v>
      </c>
      <c r="G7672">
        <v>47</v>
      </c>
    </row>
    <row r="7673" spans="1:7" x14ac:dyDescent="0.35">
      <c r="A7673" s="27" t="s">
        <v>228</v>
      </c>
      <c r="B7673" s="27" t="s">
        <v>258</v>
      </c>
      <c r="C7673" s="29">
        <v>18568.2</v>
      </c>
      <c r="D7673" s="29">
        <v>22166.7</v>
      </c>
      <c r="E7673" s="29">
        <v>10216.700000000001</v>
      </c>
      <c r="F7673" s="29">
        <v>22166.7</v>
      </c>
      <c r="G7673" s="29">
        <v>3</v>
      </c>
    </row>
    <row r="7674" spans="1:7" x14ac:dyDescent="0.35">
      <c r="A7674" t="s">
        <v>229</v>
      </c>
      <c r="B7674" t="s">
        <v>255</v>
      </c>
      <c r="C7674">
        <v>11575.89</v>
      </c>
      <c r="D7674">
        <v>8283.2999999999993</v>
      </c>
      <c r="E7674">
        <v>100</v>
      </c>
      <c r="F7674">
        <v>64476.7</v>
      </c>
      <c r="G7674">
        <v>612</v>
      </c>
    </row>
    <row r="7675" spans="1:7" x14ac:dyDescent="0.35">
      <c r="A7675" s="27" t="s">
        <v>229</v>
      </c>
      <c r="B7675" s="27" t="s">
        <v>258</v>
      </c>
      <c r="C7675" s="29">
        <v>6125.36</v>
      </c>
      <c r="D7675" s="29">
        <v>4125</v>
      </c>
      <c r="E7675" s="29">
        <v>4125</v>
      </c>
      <c r="F7675" s="29">
        <v>13050</v>
      </c>
      <c r="G7675" s="29">
        <v>2</v>
      </c>
    </row>
    <row r="7676" spans="1:7" x14ac:dyDescent="0.35">
      <c r="A7676" t="s">
        <v>229</v>
      </c>
      <c r="B7676" t="s">
        <v>256</v>
      </c>
      <c r="C7676">
        <v>12804.66</v>
      </c>
      <c r="D7676">
        <v>10100</v>
      </c>
      <c r="E7676">
        <v>500</v>
      </c>
      <c r="F7676">
        <v>92200</v>
      </c>
      <c r="G7676">
        <v>203</v>
      </c>
    </row>
    <row r="7677" spans="1:7" x14ac:dyDescent="0.35">
      <c r="A7677" t="s">
        <v>229</v>
      </c>
      <c r="B7677" t="s">
        <v>257</v>
      </c>
      <c r="C7677">
        <v>10473.27</v>
      </c>
      <c r="D7677">
        <v>7663.3</v>
      </c>
      <c r="E7677">
        <v>27.8</v>
      </c>
      <c r="F7677">
        <v>41500</v>
      </c>
      <c r="G7677">
        <v>50</v>
      </c>
    </row>
    <row r="7678" spans="1:7" x14ac:dyDescent="0.35">
      <c r="A7678" t="s">
        <v>230</v>
      </c>
      <c r="B7678" t="s">
        <v>255</v>
      </c>
      <c r="C7678">
        <v>11293.61</v>
      </c>
      <c r="D7678">
        <v>8325</v>
      </c>
      <c r="E7678">
        <v>0</v>
      </c>
      <c r="F7678">
        <v>114386.7</v>
      </c>
      <c r="G7678">
        <v>384</v>
      </c>
    </row>
    <row r="7679" spans="1:7" x14ac:dyDescent="0.35">
      <c r="A7679" t="s">
        <v>230</v>
      </c>
      <c r="B7679" t="s">
        <v>256</v>
      </c>
      <c r="C7679">
        <v>11076.81</v>
      </c>
      <c r="D7679">
        <v>7161.1</v>
      </c>
      <c r="E7679">
        <v>750</v>
      </c>
      <c r="F7679">
        <v>122633.3</v>
      </c>
      <c r="G7679">
        <v>126</v>
      </c>
    </row>
    <row r="7680" spans="1:7" x14ac:dyDescent="0.35">
      <c r="A7680" s="27" t="s">
        <v>230</v>
      </c>
      <c r="B7680" s="27" t="s">
        <v>258</v>
      </c>
      <c r="C7680" s="29">
        <v>4649.9799999999996</v>
      </c>
      <c r="D7680" s="29">
        <v>4733.3</v>
      </c>
      <c r="E7680" s="29">
        <v>4050</v>
      </c>
      <c r="F7680" s="29">
        <v>4733.3</v>
      </c>
      <c r="G7680" s="29">
        <v>3</v>
      </c>
    </row>
    <row r="7681" spans="1:16" x14ac:dyDescent="0.35">
      <c r="A7681" t="s">
        <v>230</v>
      </c>
      <c r="B7681" t="s">
        <v>257</v>
      </c>
      <c r="C7681">
        <v>8922.2000000000007</v>
      </c>
      <c r="D7681">
        <v>9191.7000000000007</v>
      </c>
      <c r="E7681">
        <v>240</v>
      </c>
      <c r="F7681">
        <v>24850</v>
      </c>
      <c r="G7681">
        <v>36</v>
      </c>
    </row>
    <row r="7682" spans="1:16" x14ac:dyDescent="0.35">
      <c r="A7682" s="27" t="s">
        <v>231</v>
      </c>
      <c r="B7682" s="27" t="s">
        <v>256</v>
      </c>
      <c r="C7682" s="29">
        <v>9218.9</v>
      </c>
      <c r="D7682" s="29">
        <v>5616.7</v>
      </c>
      <c r="E7682" s="29">
        <v>2133.3000000000002</v>
      </c>
      <c r="F7682" s="29">
        <v>30966.7</v>
      </c>
      <c r="G7682" s="29">
        <v>28</v>
      </c>
    </row>
    <row r="7683" spans="1:16" x14ac:dyDescent="0.35">
      <c r="A7683" t="s">
        <v>231</v>
      </c>
      <c r="B7683" t="s">
        <v>255</v>
      </c>
      <c r="C7683">
        <v>11731.17</v>
      </c>
      <c r="D7683">
        <v>7300</v>
      </c>
      <c r="E7683">
        <v>200</v>
      </c>
      <c r="F7683">
        <v>97600</v>
      </c>
      <c r="G7683">
        <v>129</v>
      </c>
    </row>
    <row r="7684" spans="1:16" x14ac:dyDescent="0.35">
      <c r="A7684" s="27" t="s">
        <v>231</v>
      </c>
      <c r="B7684" s="27" t="s">
        <v>257</v>
      </c>
      <c r="C7684" s="29">
        <v>4116.7299999999996</v>
      </c>
      <c r="D7684" s="29">
        <v>4711.1000000000004</v>
      </c>
      <c r="E7684" s="29">
        <v>1605.6</v>
      </c>
      <c r="F7684" s="29">
        <v>6983.3</v>
      </c>
      <c r="G7684" s="29">
        <v>7</v>
      </c>
    </row>
    <row r="7685" spans="1:16" x14ac:dyDescent="0.35">
      <c r="A7685" t="s">
        <v>232</v>
      </c>
      <c r="B7685" t="s">
        <v>232</v>
      </c>
      <c r="C7685">
        <v>10625.29</v>
      </c>
      <c r="D7685">
        <v>7296.7</v>
      </c>
      <c r="E7685">
        <v>0</v>
      </c>
      <c r="F7685">
        <v>122633.3</v>
      </c>
      <c r="G7685">
        <v>2723</v>
      </c>
    </row>
    <row r="7687" spans="1:16" x14ac:dyDescent="0.35">
      <c r="A7687" s="1" t="s">
        <v>1057</v>
      </c>
    </row>
    <row r="7688" spans="1:16" x14ac:dyDescent="0.35">
      <c r="A7688" t="s">
        <v>219</v>
      </c>
      <c r="B7688" t="s">
        <v>550</v>
      </c>
      <c r="C7688" t="s">
        <v>1058</v>
      </c>
      <c r="D7688" t="s">
        <v>1059</v>
      </c>
      <c r="E7688" t="s">
        <v>1060</v>
      </c>
      <c r="F7688" t="s">
        <v>1061</v>
      </c>
      <c r="G7688" t="s">
        <v>1062</v>
      </c>
      <c r="H7688" t="s">
        <v>1063</v>
      </c>
      <c r="I7688" t="s">
        <v>1064</v>
      </c>
      <c r="J7688" t="s">
        <v>1065</v>
      </c>
      <c r="K7688" t="s">
        <v>1066</v>
      </c>
      <c r="L7688" t="s">
        <v>281</v>
      </c>
      <c r="M7688" t="s">
        <v>1067</v>
      </c>
      <c r="N7688" t="s">
        <v>326</v>
      </c>
      <c r="O7688" t="s">
        <v>286</v>
      </c>
      <c r="P7688" t="s">
        <v>226</v>
      </c>
    </row>
    <row r="7689" spans="1:16" x14ac:dyDescent="0.35">
      <c r="A7689" t="s">
        <v>227</v>
      </c>
      <c r="B7689" s="26">
        <v>0.7329</v>
      </c>
      <c r="C7689" s="26">
        <v>0.1118</v>
      </c>
      <c r="D7689" s="26">
        <v>9.3200000000000005E-2</v>
      </c>
      <c r="E7689" s="26">
        <v>8.0699999999999994E-2</v>
      </c>
      <c r="F7689" s="26">
        <v>7.4499999999999997E-2</v>
      </c>
      <c r="G7689" s="26">
        <v>3.1099999999999999E-2</v>
      </c>
      <c r="H7689" s="26">
        <v>5.5899999999999998E-2</v>
      </c>
      <c r="I7689" s="26">
        <v>3.73E-2</v>
      </c>
      <c r="J7689" s="26">
        <v>4.3499999999999997E-2</v>
      </c>
      <c r="K7689" s="26">
        <v>1.24E-2</v>
      </c>
      <c r="P7689">
        <v>161</v>
      </c>
    </row>
    <row r="7690" spans="1:16" x14ac:dyDescent="0.35">
      <c r="A7690" t="s">
        <v>228</v>
      </c>
      <c r="B7690" s="26">
        <v>0.65890000000000004</v>
      </c>
      <c r="C7690" s="26">
        <v>0.14369999999999999</v>
      </c>
      <c r="D7690" s="26">
        <v>0.1195</v>
      </c>
      <c r="E7690" s="26">
        <v>0.127</v>
      </c>
      <c r="F7690" s="26">
        <v>5.7700000000000001E-2</v>
      </c>
      <c r="G7690" s="26">
        <v>8.2299999999999998E-2</v>
      </c>
      <c r="H7690" s="26">
        <v>6.9500000000000006E-2</v>
      </c>
      <c r="I7690" s="26">
        <v>4.2200000000000001E-2</v>
      </c>
      <c r="J7690" s="26">
        <v>6.5799999999999997E-2</v>
      </c>
      <c r="K7690" s="26">
        <v>4.9500000000000002E-2</v>
      </c>
      <c r="L7690" s="26">
        <v>1.5599999999999999E-2</v>
      </c>
      <c r="M7690" s="26">
        <v>1.09E-2</v>
      </c>
      <c r="N7690" s="26">
        <v>3.3E-3</v>
      </c>
      <c r="O7690" s="26">
        <v>4.1999999999999997E-3</v>
      </c>
      <c r="P7690">
        <v>1027</v>
      </c>
    </row>
    <row r="7691" spans="1:16" x14ac:dyDescent="0.35">
      <c r="A7691" t="s">
        <v>229</v>
      </c>
      <c r="B7691" s="26">
        <v>0.71689999999999998</v>
      </c>
      <c r="C7691" s="26">
        <v>0.1275</v>
      </c>
      <c r="D7691" s="26">
        <v>0.1041</v>
      </c>
      <c r="E7691" s="26">
        <v>8.6499999999999994E-2</v>
      </c>
      <c r="F7691" s="26">
        <v>5.3900000000000003E-2</v>
      </c>
      <c r="G7691" s="26">
        <v>5.67E-2</v>
      </c>
      <c r="H7691" s="26">
        <v>5.0900000000000001E-2</v>
      </c>
      <c r="I7691" s="26">
        <v>4.9500000000000002E-2</v>
      </c>
      <c r="J7691" s="26">
        <v>3.4799999999999998E-2</v>
      </c>
      <c r="K7691" s="26">
        <v>4.8300000000000003E-2</v>
      </c>
      <c r="L7691" s="26">
        <v>1.18E-2</v>
      </c>
      <c r="M7691" s="26">
        <v>1.5E-3</v>
      </c>
      <c r="N7691" s="26">
        <v>2.5000000000000001E-3</v>
      </c>
      <c r="O7691" s="26">
        <v>3.3E-3</v>
      </c>
      <c r="P7691">
        <v>893</v>
      </c>
    </row>
    <row r="7692" spans="1:16" x14ac:dyDescent="0.35">
      <c r="A7692" t="s">
        <v>230</v>
      </c>
      <c r="B7692" s="26">
        <v>0.68130000000000002</v>
      </c>
      <c r="C7692" s="26">
        <v>0.13389999999999999</v>
      </c>
      <c r="D7692" s="26">
        <v>9.3200000000000005E-2</v>
      </c>
      <c r="E7692" s="26">
        <v>0.10929999999999999</v>
      </c>
      <c r="F7692" s="26">
        <v>8.9399999999999993E-2</v>
      </c>
      <c r="G7692" s="26">
        <v>6.7400000000000002E-2</v>
      </c>
      <c r="H7692" s="26">
        <v>6.0400000000000002E-2</v>
      </c>
      <c r="I7692" s="26">
        <v>7.8700000000000006E-2</v>
      </c>
      <c r="J7692" s="26">
        <v>3.4700000000000002E-2</v>
      </c>
      <c r="K7692" s="26">
        <v>6.7199999999999996E-2</v>
      </c>
      <c r="L7692" s="26">
        <v>8.3000000000000001E-3</v>
      </c>
      <c r="M7692" s="26">
        <v>2.3599999999999999E-2</v>
      </c>
      <c r="N7692" s="26">
        <v>6.4000000000000003E-3</v>
      </c>
      <c r="P7692">
        <v>553</v>
      </c>
    </row>
    <row r="7693" spans="1:16" x14ac:dyDescent="0.35">
      <c r="A7693" t="s">
        <v>231</v>
      </c>
      <c r="B7693" s="26">
        <v>0.70189999999999997</v>
      </c>
      <c r="C7693" s="26">
        <v>0.1242</v>
      </c>
      <c r="D7693" s="26">
        <v>9.9400000000000002E-2</v>
      </c>
      <c r="E7693" s="26">
        <v>0.1118</v>
      </c>
      <c r="F7693" s="26">
        <v>8.6999999999999994E-2</v>
      </c>
      <c r="G7693" s="26">
        <v>6.83E-2</v>
      </c>
      <c r="H7693" s="26">
        <v>4.3499999999999997E-2</v>
      </c>
      <c r="I7693" s="26">
        <v>6.83E-2</v>
      </c>
      <c r="J7693" s="26">
        <v>6.2100000000000002E-2</v>
      </c>
      <c r="K7693" s="26">
        <v>3.1099999999999999E-2</v>
      </c>
      <c r="L7693" s="26">
        <v>1.8599999999999998E-2</v>
      </c>
      <c r="M7693" s="26">
        <v>6.1999999999999998E-3</v>
      </c>
      <c r="P7693">
        <v>161</v>
      </c>
    </row>
    <row r="7694" spans="1:16" x14ac:dyDescent="0.35">
      <c r="A7694" t="s">
        <v>232</v>
      </c>
      <c r="B7694" s="26">
        <v>0.7006</v>
      </c>
      <c r="C7694" s="26">
        <v>0.128</v>
      </c>
      <c r="D7694" s="26">
        <v>0.1031</v>
      </c>
      <c r="E7694" s="26">
        <v>0.10249999999999999</v>
      </c>
      <c r="F7694" s="26">
        <v>7.0099999999999996E-2</v>
      </c>
      <c r="G7694" s="26">
        <v>6.1899999999999997E-2</v>
      </c>
      <c r="H7694" s="26">
        <v>5.4199999999999998E-2</v>
      </c>
      <c r="I7694" s="26">
        <v>5.4100000000000002E-2</v>
      </c>
      <c r="J7694" s="26">
        <v>4.9599999999999998E-2</v>
      </c>
      <c r="K7694" s="26">
        <v>4.0099999999999997E-2</v>
      </c>
      <c r="L7694" s="26">
        <v>1.23E-2</v>
      </c>
      <c r="M7694" s="26">
        <v>6.4000000000000003E-3</v>
      </c>
      <c r="N7694" s="26">
        <v>2E-3</v>
      </c>
      <c r="O7694" s="26">
        <v>1.8E-3</v>
      </c>
      <c r="P7694">
        <v>2795</v>
      </c>
    </row>
    <row r="7696" spans="1:16" x14ac:dyDescent="0.35">
      <c r="A7696" s="1" t="s">
        <v>1068</v>
      </c>
    </row>
    <row r="7697" spans="1:17" x14ac:dyDescent="0.35">
      <c r="A7697" t="s">
        <v>219</v>
      </c>
      <c r="B7697" t="s">
        <v>305</v>
      </c>
      <c r="C7697" t="s">
        <v>550</v>
      </c>
      <c r="D7697" t="s">
        <v>1058</v>
      </c>
      <c r="E7697" t="s">
        <v>1059</v>
      </c>
      <c r="F7697" t="s">
        <v>1060</v>
      </c>
      <c r="G7697" t="s">
        <v>1061</v>
      </c>
      <c r="H7697" t="s">
        <v>1062</v>
      </c>
      <c r="I7697" t="s">
        <v>1063</v>
      </c>
      <c r="J7697" t="s">
        <v>1064</v>
      </c>
      <c r="K7697" t="s">
        <v>1065</v>
      </c>
      <c r="L7697" t="s">
        <v>1066</v>
      </c>
      <c r="M7697" t="s">
        <v>281</v>
      </c>
      <c r="N7697" t="s">
        <v>1067</v>
      </c>
      <c r="O7697" t="s">
        <v>326</v>
      </c>
      <c r="P7697" t="s">
        <v>286</v>
      </c>
      <c r="Q7697" t="s">
        <v>226</v>
      </c>
    </row>
    <row r="7698" spans="1:17" x14ac:dyDescent="0.35">
      <c r="A7698" t="s">
        <v>227</v>
      </c>
      <c r="B7698" t="s">
        <v>242</v>
      </c>
      <c r="C7698" s="26">
        <v>0.69120000000000004</v>
      </c>
      <c r="D7698" s="26">
        <v>0.13239999999999999</v>
      </c>
      <c r="E7698" s="26">
        <v>0.1618</v>
      </c>
      <c r="F7698" s="26">
        <v>0.13239999999999999</v>
      </c>
      <c r="G7698" s="26">
        <v>0.10290000000000001</v>
      </c>
      <c r="H7698" s="26">
        <v>4.41E-2</v>
      </c>
      <c r="I7698" s="26">
        <v>0.10290000000000001</v>
      </c>
      <c r="J7698" s="26">
        <v>4.41E-2</v>
      </c>
      <c r="K7698" s="26">
        <v>5.8799999999999998E-2</v>
      </c>
      <c r="L7698" s="26">
        <v>1.47E-2</v>
      </c>
      <c r="Q7698">
        <v>68</v>
      </c>
    </row>
    <row r="7699" spans="1:17" x14ac:dyDescent="0.35">
      <c r="A7699" t="s">
        <v>227</v>
      </c>
      <c r="B7699" t="s">
        <v>241</v>
      </c>
      <c r="C7699" s="26">
        <v>0.76339999999999997</v>
      </c>
      <c r="D7699" s="26">
        <v>9.6799999999999997E-2</v>
      </c>
      <c r="E7699" s="26">
        <v>4.2999999999999997E-2</v>
      </c>
      <c r="F7699" s="26">
        <v>4.2999999999999997E-2</v>
      </c>
      <c r="G7699" s="26">
        <v>5.3800000000000001E-2</v>
      </c>
      <c r="H7699" s="26">
        <v>2.1499999999999998E-2</v>
      </c>
      <c r="I7699" s="26">
        <v>2.1499999999999998E-2</v>
      </c>
      <c r="J7699" s="26">
        <v>3.2300000000000002E-2</v>
      </c>
      <c r="K7699" s="26">
        <v>3.2300000000000002E-2</v>
      </c>
      <c r="L7699" s="26">
        <v>1.0800000000000001E-2</v>
      </c>
      <c r="Q7699">
        <v>93</v>
      </c>
    </row>
    <row r="7700" spans="1:17" x14ac:dyDescent="0.35">
      <c r="A7700" t="s">
        <v>228</v>
      </c>
      <c r="B7700" t="s">
        <v>242</v>
      </c>
      <c r="C7700" s="26">
        <v>0.55330000000000001</v>
      </c>
      <c r="D7700" s="26">
        <v>0.1867</v>
      </c>
      <c r="E7700" s="26">
        <v>0.17380000000000001</v>
      </c>
      <c r="F7700" s="26">
        <v>0.19539999999999999</v>
      </c>
      <c r="G7700" s="26">
        <v>6.4199999999999993E-2</v>
      </c>
      <c r="H7700" s="26">
        <v>0.14280000000000001</v>
      </c>
      <c r="I7700" s="26">
        <v>9.0899999999999995E-2</v>
      </c>
      <c r="J7700" s="26">
        <v>7.4300000000000005E-2</v>
      </c>
      <c r="K7700" s="26">
        <v>8.8999999999999996E-2</v>
      </c>
      <c r="L7700" s="26">
        <v>0.1002</v>
      </c>
      <c r="M7700" s="26">
        <v>6.1000000000000004E-3</v>
      </c>
      <c r="N7700" s="26">
        <v>1.54E-2</v>
      </c>
      <c r="P7700" s="26">
        <v>2.5000000000000001E-3</v>
      </c>
      <c r="Q7700">
        <v>399</v>
      </c>
    </row>
    <row r="7701" spans="1:17" x14ac:dyDescent="0.35">
      <c r="A7701" t="s">
        <v>228</v>
      </c>
      <c r="B7701" t="s">
        <v>241</v>
      </c>
      <c r="C7701" s="26">
        <v>0.71909999999999996</v>
      </c>
      <c r="D7701" s="26">
        <v>0.1192</v>
      </c>
      <c r="E7701" s="26">
        <v>8.8499999999999995E-2</v>
      </c>
      <c r="F7701" s="26">
        <v>8.8099999999999998E-2</v>
      </c>
      <c r="G7701" s="26">
        <v>5.3900000000000003E-2</v>
      </c>
      <c r="H7701" s="26">
        <v>4.7699999999999999E-2</v>
      </c>
      <c r="I7701" s="26">
        <v>5.7299999999999997E-2</v>
      </c>
      <c r="J7701" s="26">
        <v>2.3800000000000002E-2</v>
      </c>
      <c r="K7701" s="26">
        <v>5.2600000000000001E-2</v>
      </c>
      <c r="L7701" s="26">
        <v>2.06E-2</v>
      </c>
      <c r="M7701" s="26">
        <v>2.1000000000000001E-2</v>
      </c>
      <c r="N7701" s="26">
        <v>8.3000000000000001E-3</v>
      </c>
      <c r="O7701" s="26">
        <v>5.1999999999999998E-3</v>
      </c>
      <c r="P7701" s="26">
        <v>5.1999999999999998E-3</v>
      </c>
      <c r="Q7701">
        <v>628</v>
      </c>
    </row>
    <row r="7702" spans="1:17" x14ac:dyDescent="0.35">
      <c r="A7702" t="s">
        <v>229</v>
      </c>
      <c r="B7702" t="s">
        <v>242</v>
      </c>
      <c r="C7702" s="26">
        <v>0.53890000000000005</v>
      </c>
      <c r="D7702" s="26">
        <v>0.20860000000000001</v>
      </c>
      <c r="E7702" s="26">
        <v>0.1736</v>
      </c>
      <c r="F7702" s="26">
        <v>0.14940000000000001</v>
      </c>
      <c r="G7702" s="26">
        <v>9.9400000000000002E-2</v>
      </c>
      <c r="H7702" s="26">
        <v>7.9799999999999996E-2</v>
      </c>
      <c r="I7702" s="26">
        <v>9.0700000000000003E-2</v>
      </c>
      <c r="J7702" s="26">
        <v>7.3800000000000004E-2</v>
      </c>
      <c r="K7702" s="26">
        <v>4.4499999999999998E-2</v>
      </c>
      <c r="L7702" s="26">
        <v>8.72E-2</v>
      </c>
      <c r="M7702" s="26">
        <v>2.8199999999999999E-2</v>
      </c>
      <c r="Q7702">
        <v>292</v>
      </c>
    </row>
    <row r="7703" spans="1:17" x14ac:dyDescent="0.35">
      <c r="A7703" t="s">
        <v>229</v>
      </c>
      <c r="B7703" t="s">
        <v>241</v>
      </c>
      <c r="C7703" s="26">
        <v>0.83099999999999996</v>
      </c>
      <c r="D7703" s="26">
        <v>7.5600000000000001E-2</v>
      </c>
      <c r="E7703" s="26">
        <v>5.96E-2</v>
      </c>
      <c r="F7703" s="26">
        <v>4.6199999999999998E-2</v>
      </c>
      <c r="G7703" s="26">
        <v>2.4799999999999999E-2</v>
      </c>
      <c r="H7703" s="26">
        <v>4.19E-2</v>
      </c>
      <c r="I7703" s="26">
        <v>2.5399999999999999E-2</v>
      </c>
      <c r="J7703" s="26">
        <v>3.4000000000000002E-2</v>
      </c>
      <c r="K7703" s="26">
        <v>2.8500000000000001E-2</v>
      </c>
      <c r="L7703" s="26">
        <v>2.3300000000000001E-2</v>
      </c>
      <c r="M7703" s="26">
        <v>1.4E-3</v>
      </c>
      <c r="N7703" s="26">
        <v>2.3999999999999998E-3</v>
      </c>
      <c r="O7703" s="26">
        <v>4.1000000000000003E-3</v>
      </c>
      <c r="P7703" s="26">
        <v>5.4999999999999997E-3</v>
      </c>
      <c r="Q7703">
        <v>601</v>
      </c>
    </row>
    <row r="7704" spans="1:17" x14ac:dyDescent="0.35">
      <c r="A7704" t="s">
        <v>230</v>
      </c>
      <c r="B7704" t="s">
        <v>242</v>
      </c>
      <c r="C7704" s="26">
        <v>0.53200000000000003</v>
      </c>
      <c r="D7704" s="26">
        <v>0.2001</v>
      </c>
      <c r="E7704" s="26">
        <v>0.1646</v>
      </c>
      <c r="F7704" s="26">
        <v>0.16569999999999999</v>
      </c>
      <c r="G7704" s="26">
        <v>0.1196</v>
      </c>
      <c r="H7704" s="26">
        <v>0.15620000000000001</v>
      </c>
      <c r="I7704" s="26">
        <v>0.10639999999999999</v>
      </c>
      <c r="J7704" s="26">
        <v>0.10050000000000001</v>
      </c>
      <c r="K7704" s="26">
        <v>5.2699999999999997E-2</v>
      </c>
      <c r="L7704" s="26">
        <v>8.2299999999999998E-2</v>
      </c>
      <c r="M7704" s="26">
        <v>2.5899999999999999E-2</v>
      </c>
      <c r="N7704" s="26">
        <v>1.8200000000000001E-2</v>
      </c>
      <c r="O7704" s="26">
        <v>2.01E-2</v>
      </c>
      <c r="Q7704">
        <v>184</v>
      </c>
    </row>
    <row r="7705" spans="1:17" x14ac:dyDescent="0.35">
      <c r="A7705" t="s">
        <v>230</v>
      </c>
      <c r="B7705" t="s">
        <v>241</v>
      </c>
      <c r="C7705" s="26">
        <v>0.75160000000000005</v>
      </c>
      <c r="D7705" s="26">
        <v>0.1027</v>
      </c>
      <c r="E7705" s="26">
        <v>5.9499999999999997E-2</v>
      </c>
      <c r="F7705" s="26">
        <v>8.2699999999999996E-2</v>
      </c>
      <c r="G7705" s="26">
        <v>7.5200000000000003E-2</v>
      </c>
      <c r="H7705" s="26">
        <v>2.5600000000000001E-2</v>
      </c>
      <c r="I7705" s="26">
        <v>3.8699999999999998E-2</v>
      </c>
      <c r="J7705" s="26">
        <v>6.8400000000000002E-2</v>
      </c>
      <c r="K7705" s="26">
        <v>2.6200000000000001E-2</v>
      </c>
      <c r="L7705" s="26">
        <v>0.06</v>
      </c>
      <c r="N7705" s="26">
        <v>2.6200000000000001E-2</v>
      </c>
      <c r="Q7705">
        <v>369</v>
      </c>
    </row>
    <row r="7706" spans="1:17" x14ac:dyDescent="0.35">
      <c r="A7706" t="s">
        <v>231</v>
      </c>
      <c r="B7706" t="s">
        <v>242</v>
      </c>
      <c r="C7706" s="26">
        <v>0.59619999999999995</v>
      </c>
      <c r="D7706" s="26">
        <v>0.21149999999999999</v>
      </c>
      <c r="E7706" s="26">
        <v>0.1346</v>
      </c>
      <c r="F7706" s="26">
        <v>0.23080000000000001</v>
      </c>
      <c r="G7706" s="26">
        <v>9.6199999999999994E-2</v>
      </c>
      <c r="H7706" s="26">
        <v>9.6199999999999994E-2</v>
      </c>
      <c r="I7706" s="26">
        <v>9.6199999999999994E-2</v>
      </c>
      <c r="J7706" s="26">
        <v>7.6899999999999996E-2</v>
      </c>
      <c r="K7706" s="26">
        <v>5.7700000000000001E-2</v>
      </c>
      <c r="L7706" s="26">
        <v>5.7700000000000001E-2</v>
      </c>
      <c r="Q7706">
        <v>52</v>
      </c>
    </row>
    <row r="7707" spans="1:17" x14ac:dyDescent="0.35">
      <c r="A7707" t="s">
        <v>231</v>
      </c>
      <c r="B7707" t="s">
        <v>241</v>
      </c>
      <c r="C7707" s="26">
        <v>0.75229999999999997</v>
      </c>
      <c r="D7707" s="26">
        <v>8.2600000000000007E-2</v>
      </c>
      <c r="E7707" s="26">
        <v>8.2600000000000007E-2</v>
      </c>
      <c r="F7707" s="26">
        <v>5.5E-2</v>
      </c>
      <c r="G7707" s="26">
        <v>8.2600000000000007E-2</v>
      </c>
      <c r="H7707" s="26">
        <v>5.5E-2</v>
      </c>
      <c r="I7707" s="26">
        <v>1.83E-2</v>
      </c>
      <c r="J7707" s="26">
        <v>6.4199999999999993E-2</v>
      </c>
      <c r="K7707" s="26">
        <v>6.4199999999999993E-2</v>
      </c>
      <c r="L7707" s="26">
        <v>1.83E-2</v>
      </c>
      <c r="M7707" s="26">
        <v>2.75E-2</v>
      </c>
      <c r="N7707" s="26">
        <v>9.1999999999999998E-3</v>
      </c>
      <c r="Q7707">
        <v>109</v>
      </c>
    </row>
    <row r="7708" spans="1:17" x14ac:dyDescent="0.35">
      <c r="A7708" t="s">
        <v>232</v>
      </c>
      <c r="B7708" t="s">
        <v>232</v>
      </c>
      <c r="C7708" s="26">
        <v>0.7006</v>
      </c>
      <c r="D7708" s="26">
        <v>0.128</v>
      </c>
      <c r="E7708" s="26">
        <v>0.1031</v>
      </c>
      <c r="F7708" s="26">
        <v>0.10249999999999999</v>
      </c>
      <c r="G7708" s="26">
        <v>7.0099999999999996E-2</v>
      </c>
      <c r="H7708" s="26">
        <v>6.1899999999999997E-2</v>
      </c>
      <c r="I7708" s="26">
        <v>5.4199999999999998E-2</v>
      </c>
      <c r="J7708" s="26">
        <v>5.4100000000000002E-2</v>
      </c>
      <c r="K7708" s="26">
        <v>4.9599999999999998E-2</v>
      </c>
      <c r="L7708" s="26">
        <v>4.0099999999999997E-2</v>
      </c>
      <c r="M7708" s="26">
        <v>1.23E-2</v>
      </c>
      <c r="N7708" s="26">
        <v>6.4000000000000003E-3</v>
      </c>
      <c r="O7708" s="26">
        <v>2E-3</v>
      </c>
      <c r="P7708" s="26">
        <v>1.8E-3</v>
      </c>
      <c r="Q7708">
        <v>2795</v>
      </c>
    </row>
    <row r="7710" spans="1:17" x14ac:dyDescent="0.35">
      <c r="A7710" s="1" t="s">
        <v>1069</v>
      </c>
    </row>
    <row r="7711" spans="1:17" x14ac:dyDescent="0.35">
      <c r="A7711" t="s">
        <v>219</v>
      </c>
      <c r="B7711" t="s">
        <v>305</v>
      </c>
      <c r="C7711" t="s">
        <v>550</v>
      </c>
      <c r="D7711" t="s">
        <v>1058</v>
      </c>
      <c r="E7711" t="s">
        <v>1059</v>
      </c>
      <c r="F7711" t="s">
        <v>1060</v>
      </c>
      <c r="G7711" t="s">
        <v>1061</v>
      </c>
      <c r="H7711" t="s">
        <v>1062</v>
      </c>
      <c r="I7711" t="s">
        <v>1063</v>
      </c>
      <c r="J7711" t="s">
        <v>1064</v>
      </c>
      <c r="K7711" t="s">
        <v>1065</v>
      </c>
      <c r="L7711" t="s">
        <v>1066</v>
      </c>
      <c r="M7711" t="s">
        <v>281</v>
      </c>
      <c r="N7711" t="s">
        <v>1067</v>
      </c>
      <c r="O7711" t="s">
        <v>326</v>
      </c>
      <c r="P7711" t="s">
        <v>286</v>
      </c>
      <c r="Q7711" t="s">
        <v>226</v>
      </c>
    </row>
    <row r="7712" spans="1:17" x14ac:dyDescent="0.35">
      <c r="A7712" t="s">
        <v>227</v>
      </c>
      <c r="B7712" t="s">
        <v>239</v>
      </c>
      <c r="C7712" s="26">
        <v>0.6452</v>
      </c>
      <c r="D7712" s="26">
        <v>0.1613</v>
      </c>
      <c r="E7712" s="26">
        <v>8.0600000000000005E-2</v>
      </c>
      <c r="F7712" s="26">
        <v>9.6799999999999997E-2</v>
      </c>
      <c r="G7712" s="26">
        <v>0.1613</v>
      </c>
      <c r="H7712" s="26">
        <v>4.8399999999999999E-2</v>
      </c>
      <c r="I7712" s="26">
        <v>6.4500000000000002E-2</v>
      </c>
      <c r="J7712" s="26">
        <v>6.4500000000000002E-2</v>
      </c>
      <c r="K7712" s="26">
        <v>3.2300000000000002E-2</v>
      </c>
      <c r="L7712" s="26">
        <v>1.61E-2</v>
      </c>
      <c r="Q7712">
        <v>62</v>
      </c>
    </row>
    <row r="7713" spans="1:17" x14ac:dyDescent="0.35">
      <c r="A7713" t="s">
        <v>227</v>
      </c>
      <c r="B7713" t="s">
        <v>238</v>
      </c>
      <c r="C7713" s="26">
        <v>0.78790000000000004</v>
      </c>
      <c r="D7713" s="26">
        <v>8.0799999999999997E-2</v>
      </c>
      <c r="E7713" s="26">
        <v>0.10100000000000001</v>
      </c>
      <c r="F7713" s="26">
        <v>7.0699999999999999E-2</v>
      </c>
      <c r="G7713" s="26">
        <v>2.0199999999999999E-2</v>
      </c>
      <c r="H7713" s="26">
        <v>2.0199999999999999E-2</v>
      </c>
      <c r="I7713" s="26">
        <v>5.0500000000000003E-2</v>
      </c>
      <c r="J7713" s="26">
        <v>2.0199999999999999E-2</v>
      </c>
      <c r="K7713" s="26">
        <v>5.0500000000000003E-2</v>
      </c>
      <c r="L7713" s="26">
        <v>1.01E-2</v>
      </c>
      <c r="Q7713">
        <v>99</v>
      </c>
    </row>
    <row r="7714" spans="1:17" x14ac:dyDescent="0.35">
      <c r="A7714" t="s">
        <v>228</v>
      </c>
      <c r="B7714" t="s">
        <v>239</v>
      </c>
      <c r="C7714" s="26">
        <v>0.65739999999999998</v>
      </c>
      <c r="D7714" s="26">
        <v>0.122</v>
      </c>
      <c r="E7714" s="26">
        <v>0.1119</v>
      </c>
      <c r="F7714" s="26">
        <v>0.13500000000000001</v>
      </c>
      <c r="G7714" s="26">
        <v>0.1174</v>
      </c>
      <c r="H7714" s="26">
        <v>0.108</v>
      </c>
      <c r="I7714" s="26">
        <v>5.6000000000000001E-2</v>
      </c>
      <c r="J7714" s="26">
        <v>1.8700000000000001E-2</v>
      </c>
      <c r="K7714" s="26">
        <v>7.7600000000000002E-2</v>
      </c>
      <c r="L7714" s="26">
        <v>5.4399999999999997E-2</v>
      </c>
      <c r="M7714" s="26">
        <v>1.8100000000000002E-2</v>
      </c>
      <c r="N7714" s="26">
        <v>3.0499999999999999E-2</v>
      </c>
      <c r="P7714" s="26">
        <v>1.6999999999999999E-3</v>
      </c>
      <c r="Q7714">
        <v>330</v>
      </c>
    </row>
    <row r="7715" spans="1:17" x14ac:dyDescent="0.35">
      <c r="A7715" t="s">
        <v>228</v>
      </c>
      <c r="B7715" t="s">
        <v>238</v>
      </c>
      <c r="C7715" s="26">
        <v>0.6593</v>
      </c>
      <c r="D7715" s="26">
        <v>0.14940000000000001</v>
      </c>
      <c r="E7715" s="26">
        <v>0.1215</v>
      </c>
      <c r="F7715" s="26">
        <v>0.1249</v>
      </c>
      <c r="G7715" s="26">
        <v>4.2000000000000003E-2</v>
      </c>
      <c r="H7715" s="26">
        <v>7.5499999999999998E-2</v>
      </c>
      <c r="I7715" s="26">
        <v>7.2999999999999995E-2</v>
      </c>
      <c r="J7715" s="26">
        <v>4.8300000000000003E-2</v>
      </c>
      <c r="K7715" s="26">
        <v>6.2799999999999995E-2</v>
      </c>
      <c r="L7715" s="26">
        <v>4.82E-2</v>
      </c>
      <c r="M7715" s="26">
        <v>1.4999999999999999E-2</v>
      </c>
      <c r="N7715" s="26">
        <v>5.7000000000000002E-3</v>
      </c>
      <c r="O7715" s="26">
        <v>4.1999999999999997E-3</v>
      </c>
      <c r="P7715" s="26">
        <v>4.8999999999999998E-3</v>
      </c>
      <c r="Q7715">
        <v>697</v>
      </c>
    </row>
    <row r="7716" spans="1:17" x14ac:dyDescent="0.35">
      <c r="A7716" t="s">
        <v>229</v>
      </c>
      <c r="B7716" t="s">
        <v>239</v>
      </c>
      <c r="C7716" s="26">
        <v>0.72230000000000005</v>
      </c>
      <c r="D7716" s="26">
        <v>8.9499999999999996E-2</v>
      </c>
      <c r="E7716" s="26">
        <v>9.3799999999999994E-2</v>
      </c>
      <c r="F7716" s="26">
        <v>9.4600000000000004E-2</v>
      </c>
      <c r="G7716" s="26">
        <v>0.1278</v>
      </c>
      <c r="H7716" s="26">
        <v>4.6899999999999997E-2</v>
      </c>
      <c r="I7716" s="26">
        <v>5.3199999999999997E-2</v>
      </c>
      <c r="J7716" s="26">
        <v>6.0499999999999998E-2</v>
      </c>
      <c r="K7716" s="26">
        <v>1.5299999999999999E-2</v>
      </c>
      <c r="L7716" s="26">
        <v>6.2E-2</v>
      </c>
      <c r="M7716" s="26">
        <v>2E-3</v>
      </c>
      <c r="N7716" s="26">
        <v>2.5999999999999999E-3</v>
      </c>
      <c r="Q7716">
        <v>332</v>
      </c>
    </row>
    <row r="7717" spans="1:17" x14ac:dyDescent="0.35">
      <c r="A7717" t="s">
        <v>229</v>
      </c>
      <c r="B7717" t="s">
        <v>238</v>
      </c>
      <c r="C7717" s="26">
        <v>0.71509999999999996</v>
      </c>
      <c r="D7717" s="26">
        <v>0.14050000000000001</v>
      </c>
      <c r="E7717" s="26">
        <v>0.1076</v>
      </c>
      <c r="F7717" s="26">
        <v>8.3699999999999997E-2</v>
      </c>
      <c r="G7717" s="26">
        <v>2.86E-2</v>
      </c>
      <c r="H7717" s="26">
        <v>0.06</v>
      </c>
      <c r="I7717" s="26">
        <v>5.0099999999999999E-2</v>
      </c>
      <c r="J7717" s="26">
        <v>4.58E-2</v>
      </c>
      <c r="K7717" s="26">
        <v>4.1399999999999999E-2</v>
      </c>
      <c r="L7717" s="26">
        <v>4.36E-2</v>
      </c>
      <c r="M7717" s="26">
        <v>1.52E-2</v>
      </c>
      <c r="N7717" s="26">
        <v>1.1000000000000001E-3</v>
      </c>
      <c r="O7717" s="26">
        <v>3.3999999999999998E-3</v>
      </c>
      <c r="P7717" s="26">
        <v>4.4999999999999997E-3</v>
      </c>
      <c r="Q7717">
        <v>561</v>
      </c>
    </row>
    <row r="7718" spans="1:17" x14ac:dyDescent="0.35">
      <c r="A7718" t="s">
        <v>230</v>
      </c>
      <c r="B7718" t="s">
        <v>239</v>
      </c>
      <c r="C7718" s="26">
        <v>0.62860000000000005</v>
      </c>
      <c r="D7718" s="26">
        <v>0.12189999999999999</v>
      </c>
      <c r="E7718" s="26">
        <v>0.1288</v>
      </c>
      <c r="F7718" s="26">
        <v>0.13819999999999999</v>
      </c>
      <c r="G7718" s="26">
        <v>0.182</v>
      </c>
      <c r="H7718" s="26">
        <v>6.1499999999999999E-2</v>
      </c>
      <c r="I7718" s="26">
        <v>5.6599999999999998E-2</v>
      </c>
      <c r="J7718" s="26">
        <v>6.5799999999999997E-2</v>
      </c>
      <c r="K7718" s="26">
        <v>4.65E-2</v>
      </c>
      <c r="L7718" s="26">
        <v>8.9700000000000002E-2</v>
      </c>
      <c r="M7718" s="26">
        <v>2.4299999999999999E-2</v>
      </c>
      <c r="N7718" s="26">
        <v>2.3099999999999999E-2</v>
      </c>
      <c r="Q7718">
        <v>209</v>
      </c>
    </row>
    <row r="7719" spans="1:17" x14ac:dyDescent="0.35">
      <c r="A7719" t="s">
        <v>230</v>
      </c>
      <c r="B7719" t="s">
        <v>238</v>
      </c>
      <c r="C7719" s="26">
        <v>0.70430000000000004</v>
      </c>
      <c r="D7719" s="26">
        <v>0.13919999999999999</v>
      </c>
      <c r="E7719" s="26">
        <v>7.7600000000000002E-2</v>
      </c>
      <c r="F7719" s="26">
        <v>9.6699999999999994E-2</v>
      </c>
      <c r="G7719" s="26">
        <v>4.9000000000000002E-2</v>
      </c>
      <c r="H7719" s="26">
        <v>7.0000000000000007E-2</v>
      </c>
      <c r="I7719" s="26">
        <v>6.2E-2</v>
      </c>
      <c r="J7719" s="26">
        <v>8.4400000000000003E-2</v>
      </c>
      <c r="K7719" s="26">
        <v>2.9499999999999998E-2</v>
      </c>
      <c r="L7719" s="26">
        <v>5.7299999999999997E-2</v>
      </c>
      <c r="M7719" s="26">
        <v>1.2999999999999999E-3</v>
      </c>
      <c r="N7719" s="26">
        <v>2.3900000000000001E-2</v>
      </c>
      <c r="O7719" s="26">
        <v>9.2999999999999992E-3</v>
      </c>
      <c r="Q7719">
        <v>344</v>
      </c>
    </row>
    <row r="7720" spans="1:17" x14ac:dyDescent="0.35">
      <c r="A7720" t="s">
        <v>231</v>
      </c>
      <c r="B7720" t="s">
        <v>239</v>
      </c>
      <c r="C7720" s="26">
        <v>0.63639999999999997</v>
      </c>
      <c r="D7720" s="26">
        <v>0.1636</v>
      </c>
      <c r="E7720" s="26">
        <v>0.1091</v>
      </c>
      <c r="F7720" s="26">
        <v>0.14549999999999999</v>
      </c>
      <c r="G7720" s="26">
        <v>0.2</v>
      </c>
      <c r="H7720" s="26">
        <v>7.2700000000000001E-2</v>
      </c>
      <c r="I7720" s="26">
        <v>7.2700000000000001E-2</v>
      </c>
      <c r="J7720" s="26">
        <v>7.2700000000000001E-2</v>
      </c>
      <c r="K7720" s="26">
        <v>5.45E-2</v>
      </c>
      <c r="L7720" s="26">
        <v>5.45E-2</v>
      </c>
      <c r="M7720" s="26">
        <v>3.6400000000000002E-2</v>
      </c>
      <c r="N7720" s="26">
        <v>1.8200000000000001E-2</v>
      </c>
      <c r="Q7720">
        <v>55</v>
      </c>
    </row>
    <row r="7721" spans="1:17" x14ac:dyDescent="0.35">
      <c r="A7721" t="s">
        <v>231</v>
      </c>
      <c r="B7721" t="s">
        <v>238</v>
      </c>
      <c r="C7721" s="26">
        <v>0.73580000000000001</v>
      </c>
      <c r="D7721" s="26">
        <v>0.1038</v>
      </c>
      <c r="E7721" s="26">
        <v>9.4299999999999995E-2</v>
      </c>
      <c r="F7721" s="26">
        <v>9.4299999999999995E-2</v>
      </c>
      <c r="G7721" s="26">
        <v>2.8299999999999999E-2</v>
      </c>
      <c r="H7721" s="26">
        <v>6.6000000000000003E-2</v>
      </c>
      <c r="I7721" s="26">
        <v>2.8299999999999999E-2</v>
      </c>
      <c r="J7721" s="26">
        <v>6.6000000000000003E-2</v>
      </c>
      <c r="K7721" s="26">
        <v>6.6000000000000003E-2</v>
      </c>
      <c r="L7721" s="26">
        <v>1.89E-2</v>
      </c>
      <c r="M7721" s="26">
        <v>9.4000000000000004E-3</v>
      </c>
      <c r="Q7721">
        <v>106</v>
      </c>
    </row>
    <row r="7722" spans="1:17" x14ac:dyDescent="0.35">
      <c r="A7722" t="s">
        <v>232</v>
      </c>
      <c r="B7722" t="s">
        <v>232</v>
      </c>
      <c r="C7722" s="26">
        <v>0.7006</v>
      </c>
      <c r="D7722" s="26">
        <v>0.128</v>
      </c>
      <c r="E7722" s="26">
        <v>0.1031</v>
      </c>
      <c r="F7722" s="26">
        <v>0.10249999999999999</v>
      </c>
      <c r="G7722" s="26">
        <v>7.0099999999999996E-2</v>
      </c>
      <c r="H7722" s="26">
        <v>6.1899999999999997E-2</v>
      </c>
      <c r="I7722" s="26">
        <v>5.4199999999999998E-2</v>
      </c>
      <c r="J7722" s="26">
        <v>5.4100000000000002E-2</v>
      </c>
      <c r="K7722" s="26">
        <v>4.9599999999999998E-2</v>
      </c>
      <c r="L7722" s="26">
        <v>4.0099999999999997E-2</v>
      </c>
      <c r="M7722" s="26">
        <v>1.23E-2</v>
      </c>
      <c r="N7722" s="26">
        <v>6.4000000000000003E-3</v>
      </c>
      <c r="O7722" s="26">
        <v>2E-3</v>
      </c>
      <c r="P7722" s="26">
        <v>1.8E-3</v>
      </c>
      <c r="Q7722">
        <v>2795</v>
      </c>
    </row>
    <row r="7724" spans="1:17" x14ac:dyDescent="0.35">
      <c r="A7724" s="1" t="s">
        <v>1070</v>
      </c>
    </row>
    <row r="7725" spans="1:17" x14ac:dyDescent="0.35">
      <c r="A7725" t="s">
        <v>219</v>
      </c>
      <c r="B7725" t="s">
        <v>305</v>
      </c>
      <c r="C7725" t="s">
        <v>550</v>
      </c>
      <c r="D7725" t="s">
        <v>1058</v>
      </c>
      <c r="E7725" t="s">
        <v>1059</v>
      </c>
      <c r="F7725" t="s">
        <v>1060</v>
      </c>
      <c r="G7725" t="s">
        <v>1061</v>
      </c>
      <c r="H7725" t="s">
        <v>1062</v>
      </c>
      <c r="I7725" t="s">
        <v>1063</v>
      </c>
      <c r="J7725" t="s">
        <v>1064</v>
      </c>
      <c r="K7725" t="s">
        <v>1065</v>
      </c>
      <c r="L7725" t="s">
        <v>1066</v>
      </c>
      <c r="M7725" t="s">
        <v>281</v>
      </c>
      <c r="N7725" t="s">
        <v>1067</v>
      </c>
      <c r="O7725" t="s">
        <v>326</v>
      </c>
      <c r="P7725" t="s">
        <v>286</v>
      </c>
      <c r="Q7725" t="s">
        <v>226</v>
      </c>
    </row>
    <row r="7726" spans="1:17" x14ac:dyDescent="0.35">
      <c r="A7726" t="s">
        <v>227</v>
      </c>
      <c r="B7726" t="s">
        <v>244</v>
      </c>
      <c r="C7726" s="26">
        <v>0.78120000000000001</v>
      </c>
      <c r="D7726" s="26">
        <v>9.3799999999999994E-2</v>
      </c>
      <c r="E7726" s="26">
        <v>8.3299999999999999E-2</v>
      </c>
      <c r="F7726" s="26">
        <v>7.2900000000000006E-2</v>
      </c>
      <c r="G7726" s="26">
        <v>7.2900000000000006E-2</v>
      </c>
      <c r="H7726" s="26">
        <v>1.04E-2</v>
      </c>
      <c r="I7726" s="26">
        <v>3.1199999999999999E-2</v>
      </c>
      <c r="J7726" s="26">
        <v>4.1700000000000001E-2</v>
      </c>
      <c r="K7726" s="26">
        <v>3.1199999999999999E-2</v>
      </c>
      <c r="L7726" s="26">
        <v>1.04E-2</v>
      </c>
      <c r="Q7726">
        <v>96</v>
      </c>
    </row>
    <row r="7727" spans="1:17" x14ac:dyDescent="0.35">
      <c r="A7727" t="s">
        <v>227</v>
      </c>
      <c r="B7727" t="s">
        <v>245</v>
      </c>
      <c r="C7727" s="26">
        <v>0.67920000000000003</v>
      </c>
      <c r="D7727" s="26">
        <v>0.1321</v>
      </c>
      <c r="E7727" s="26">
        <v>9.4299999999999995E-2</v>
      </c>
      <c r="F7727" s="26">
        <v>7.5499999999999998E-2</v>
      </c>
      <c r="G7727" s="26">
        <v>3.7699999999999997E-2</v>
      </c>
      <c r="H7727" s="26">
        <v>1.89E-2</v>
      </c>
      <c r="I7727" s="26">
        <v>7.5499999999999998E-2</v>
      </c>
      <c r="J7727" s="26">
        <v>3.7699999999999997E-2</v>
      </c>
      <c r="K7727" s="26">
        <v>5.6599999999999998E-2</v>
      </c>
      <c r="L7727" s="26">
        <v>1.89E-2</v>
      </c>
      <c r="Q7727">
        <v>53</v>
      </c>
    </row>
    <row r="7728" spans="1:17" x14ac:dyDescent="0.35">
      <c r="A7728" s="27" t="s">
        <v>227</v>
      </c>
      <c r="B7728" s="27" t="s">
        <v>246</v>
      </c>
      <c r="C7728" s="28">
        <v>0.58330000000000004</v>
      </c>
      <c r="D7728" s="28">
        <v>0.16669999999999999</v>
      </c>
      <c r="E7728" s="28">
        <v>0.16669999999999999</v>
      </c>
      <c r="F7728" s="28">
        <v>0.16669999999999999</v>
      </c>
      <c r="G7728" s="28">
        <v>0.25</v>
      </c>
      <c r="H7728" s="28">
        <v>0.25</v>
      </c>
      <c r="I7728" s="28">
        <v>0.16669999999999999</v>
      </c>
      <c r="J7728" s="29"/>
      <c r="K7728" s="28">
        <v>8.3299999999999999E-2</v>
      </c>
      <c r="L7728" s="29"/>
      <c r="M7728" s="29"/>
      <c r="N7728" s="29"/>
      <c r="O7728" s="29"/>
      <c r="P7728" s="29"/>
      <c r="Q7728" s="29" t="s">
        <v>342</v>
      </c>
    </row>
    <row r="7729" spans="1:17" x14ac:dyDescent="0.35">
      <c r="A7729" t="s">
        <v>228</v>
      </c>
      <c r="B7729" t="s">
        <v>244</v>
      </c>
      <c r="C7729" s="26">
        <v>0.66649999999999998</v>
      </c>
      <c r="D7729" s="26">
        <v>0.1196</v>
      </c>
      <c r="E7729" s="26">
        <v>0.11269999999999999</v>
      </c>
      <c r="F7729" s="26">
        <v>0.1042</v>
      </c>
      <c r="G7729" s="26">
        <v>5.1499999999999997E-2</v>
      </c>
      <c r="H7729" s="26">
        <v>8.6400000000000005E-2</v>
      </c>
      <c r="I7729" s="26">
        <v>6.9800000000000001E-2</v>
      </c>
      <c r="J7729" s="26">
        <v>3.5799999999999998E-2</v>
      </c>
      <c r="K7729" s="26">
        <v>6.8400000000000002E-2</v>
      </c>
      <c r="L7729" s="26">
        <v>4.6899999999999997E-2</v>
      </c>
      <c r="M7729" s="26">
        <v>2.1100000000000001E-2</v>
      </c>
      <c r="N7729" s="26">
        <v>3.0000000000000001E-3</v>
      </c>
      <c r="O7729" s="26">
        <v>5.1000000000000004E-3</v>
      </c>
      <c r="P7729" s="26">
        <v>5.1000000000000004E-3</v>
      </c>
      <c r="Q7729">
        <v>635</v>
      </c>
    </row>
    <row r="7730" spans="1:17" x14ac:dyDescent="0.35">
      <c r="A7730" t="s">
        <v>228</v>
      </c>
      <c r="B7730" t="s">
        <v>245</v>
      </c>
      <c r="C7730" s="26">
        <v>0.65029999999999999</v>
      </c>
      <c r="D7730" s="26">
        <v>0.17580000000000001</v>
      </c>
      <c r="E7730" s="26">
        <v>0.1338</v>
      </c>
      <c r="F7730" s="26">
        <v>0.1636</v>
      </c>
      <c r="G7730" s="26">
        <v>5.4699999999999999E-2</v>
      </c>
      <c r="H7730" s="26">
        <v>6.54E-2</v>
      </c>
      <c r="I7730" s="26">
        <v>5.7799999999999997E-2</v>
      </c>
      <c r="J7730" s="26">
        <v>6.1400000000000003E-2</v>
      </c>
      <c r="K7730" s="26">
        <v>5.1700000000000003E-2</v>
      </c>
      <c r="L7730" s="26">
        <v>4.1700000000000001E-2</v>
      </c>
      <c r="M7730" s="26">
        <v>6.6E-3</v>
      </c>
      <c r="N7730" s="26">
        <v>1.5E-3</v>
      </c>
      <c r="P7730" s="26">
        <v>2E-3</v>
      </c>
      <c r="Q7730">
        <v>325</v>
      </c>
    </row>
    <row r="7731" spans="1:17" x14ac:dyDescent="0.35">
      <c r="A7731" t="s">
        <v>228</v>
      </c>
      <c r="B7731" t="s">
        <v>246</v>
      </c>
      <c r="C7731" s="26">
        <v>0.62180000000000002</v>
      </c>
      <c r="D7731" s="26">
        <v>0.24299999999999999</v>
      </c>
      <c r="E7731" s="26">
        <v>0.12609999999999999</v>
      </c>
      <c r="F7731" s="26">
        <v>0.19539999999999999</v>
      </c>
      <c r="G7731" s="26">
        <v>0.1283</v>
      </c>
      <c r="H7731" s="26">
        <v>0.1114</v>
      </c>
      <c r="I7731" s="26">
        <v>0.1139</v>
      </c>
      <c r="J7731" s="26">
        <v>2.4199999999999999E-2</v>
      </c>
      <c r="K7731" s="26">
        <v>9.8500000000000004E-2</v>
      </c>
      <c r="L7731" s="26">
        <v>0.10589999999999999</v>
      </c>
      <c r="N7731" s="26">
        <v>0.1229</v>
      </c>
      <c r="P7731" s="26">
        <v>5.1999999999999998E-3</v>
      </c>
      <c r="Q7731">
        <v>67</v>
      </c>
    </row>
    <row r="7732" spans="1:17" x14ac:dyDescent="0.35">
      <c r="A7732" t="s">
        <v>229</v>
      </c>
      <c r="B7732" t="s">
        <v>244</v>
      </c>
      <c r="C7732" s="26">
        <v>0.72809999999999997</v>
      </c>
      <c r="D7732" s="26">
        <v>0.1244</v>
      </c>
      <c r="E7732" s="26">
        <v>0.1028</v>
      </c>
      <c r="F7732" s="26">
        <v>7.5800000000000006E-2</v>
      </c>
      <c r="G7732" s="26">
        <v>5.1200000000000002E-2</v>
      </c>
      <c r="H7732" s="26">
        <v>5.1799999999999999E-2</v>
      </c>
      <c r="I7732" s="26">
        <v>5.4899999999999997E-2</v>
      </c>
      <c r="J7732" s="26">
        <v>4.48E-2</v>
      </c>
      <c r="K7732" s="26">
        <v>2.64E-2</v>
      </c>
      <c r="L7732" s="26">
        <v>4.7899999999999998E-2</v>
      </c>
      <c r="M7732" s="26">
        <v>1.6799999999999999E-2</v>
      </c>
      <c r="N7732" s="26">
        <v>1.4E-3</v>
      </c>
      <c r="P7732" s="26">
        <v>4.7999999999999996E-3</v>
      </c>
      <c r="Q7732">
        <v>556</v>
      </c>
    </row>
    <row r="7733" spans="1:17" x14ac:dyDescent="0.35">
      <c r="A7733" t="s">
        <v>229</v>
      </c>
      <c r="B7733" t="s">
        <v>245</v>
      </c>
      <c r="C7733" s="26">
        <v>0.69920000000000004</v>
      </c>
      <c r="D7733" s="26">
        <v>0.13789999999999999</v>
      </c>
      <c r="E7733" s="26">
        <v>8.2799999999999999E-2</v>
      </c>
      <c r="F7733" s="26">
        <v>7.9200000000000007E-2</v>
      </c>
      <c r="G7733" s="26">
        <v>3.9300000000000002E-2</v>
      </c>
      <c r="H7733" s="26">
        <v>6.1800000000000001E-2</v>
      </c>
      <c r="I7733" s="26">
        <v>3.9899999999999998E-2</v>
      </c>
      <c r="J7733" s="26">
        <v>5.11E-2</v>
      </c>
      <c r="K7733" s="26">
        <v>4.2700000000000002E-2</v>
      </c>
      <c r="L7733" s="26">
        <v>3.6999999999999998E-2</v>
      </c>
      <c r="M7733" s="26">
        <v>6.9999999999999999E-4</v>
      </c>
      <c r="O7733" s="26">
        <v>9.9000000000000008E-3</v>
      </c>
      <c r="Q7733">
        <v>292</v>
      </c>
    </row>
    <row r="7734" spans="1:17" x14ac:dyDescent="0.35">
      <c r="A7734" t="s">
        <v>229</v>
      </c>
      <c r="B7734" t="s">
        <v>246</v>
      </c>
      <c r="C7734" s="26">
        <v>0.65649999999999997</v>
      </c>
      <c r="D7734" s="26">
        <v>0.1192</v>
      </c>
      <c r="E7734" s="26">
        <v>0.2225</v>
      </c>
      <c r="F7734" s="26">
        <v>0.26029999999999998</v>
      </c>
      <c r="G7734" s="26">
        <v>0.1588</v>
      </c>
      <c r="H7734" s="26">
        <v>9.6000000000000002E-2</v>
      </c>
      <c r="I7734" s="26">
        <v>5.0299999999999997E-2</v>
      </c>
      <c r="J7734" s="26">
        <v>0.10349999999999999</v>
      </c>
      <c r="K7734" s="26">
        <v>0.1066</v>
      </c>
      <c r="L7734" s="26">
        <v>0.1066</v>
      </c>
      <c r="N7734" s="26">
        <v>9.4000000000000004E-3</v>
      </c>
      <c r="Q7734">
        <v>45</v>
      </c>
    </row>
    <row r="7735" spans="1:17" x14ac:dyDescent="0.35">
      <c r="A7735" t="s">
        <v>230</v>
      </c>
      <c r="B7735" t="s">
        <v>244</v>
      </c>
      <c r="C7735" s="26">
        <v>0.70860000000000001</v>
      </c>
      <c r="D7735" s="26">
        <v>0.1323</v>
      </c>
      <c r="E7735" s="26">
        <v>8.2799999999999999E-2</v>
      </c>
      <c r="F7735" s="26">
        <v>0.1009</v>
      </c>
      <c r="G7735" s="26">
        <v>8.4000000000000005E-2</v>
      </c>
      <c r="H7735" s="26">
        <v>4.9700000000000001E-2</v>
      </c>
      <c r="I7735" s="26">
        <v>3.44E-2</v>
      </c>
      <c r="J7735" s="26">
        <v>8.1100000000000005E-2</v>
      </c>
      <c r="K7735" s="26">
        <v>2.9700000000000001E-2</v>
      </c>
      <c r="L7735" s="26">
        <v>6.3500000000000001E-2</v>
      </c>
      <c r="M7735" s="26">
        <v>1.0800000000000001E-2</v>
      </c>
      <c r="N7735" s="26">
        <v>2.47E-2</v>
      </c>
      <c r="O7735" s="26">
        <v>8.0999999999999996E-3</v>
      </c>
      <c r="Q7735">
        <v>364</v>
      </c>
    </row>
    <row r="7736" spans="1:17" x14ac:dyDescent="0.35">
      <c r="A7736" t="s">
        <v>230</v>
      </c>
      <c r="B7736" t="s">
        <v>245</v>
      </c>
      <c r="C7736" s="26">
        <v>0.63880000000000003</v>
      </c>
      <c r="D7736" s="26">
        <v>0.1288</v>
      </c>
      <c r="E7736" s="26">
        <v>0.1076</v>
      </c>
      <c r="F7736" s="26">
        <v>7.6700000000000004E-2</v>
      </c>
      <c r="G7736" s="26">
        <v>7.3099999999999998E-2</v>
      </c>
      <c r="H7736" s="26">
        <v>0.1013</v>
      </c>
      <c r="I7736" s="26">
        <v>9.3399999999999997E-2</v>
      </c>
      <c r="J7736" s="26">
        <v>8.0299999999999996E-2</v>
      </c>
      <c r="K7736" s="26">
        <v>5.0500000000000003E-2</v>
      </c>
      <c r="L7736" s="26">
        <v>4.4299999999999999E-2</v>
      </c>
      <c r="M7736" s="26">
        <v>3.5000000000000001E-3</v>
      </c>
      <c r="O7736" s="26">
        <v>3.3999999999999998E-3</v>
      </c>
      <c r="Q7736">
        <v>160</v>
      </c>
    </row>
    <row r="7737" spans="1:17" x14ac:dyDescent="0.35">
      <c r="A7737" s="27" t="s">
        <v>230</v>
      </c>
      <c r="B7737" s="27" t="s">
        <v>246</v>
      </c>
      <c r="C7737" s="28">
        <v>0.53520000000000001</v>
      </c>
      <c r="D7737" s="28">
        <v>0.1842</v>
      </c>
      <c r="E7737" s="28">
        <v>0.1585</v>
      </c>
      <c r="F7737" s="28">
        <v>0.39829999999999999</v>
      </c>
      <c r="G7737" s="28">
        <v>0.25109999999999999</v>
      </c>
      <c r="H7737" s="28">
        <v>0.129</v>
      </c>
      <c r="I7737" s="28">
        <v>0.23980000000000001</v>
      </c>
      <c r="J7737" s="28">
        <v>3.6900000000000002E-2</v>
      </c>
      <c r="K7737" s="28">
        <v>1.83E-2</v>
      </c>
      <c r="L7737" s="28">
        <v>0.23980000000000001</v>
      </c>
      <c r="M7737" s="29"/>
      <c r="N7737" s="28">
        <v>0.13469999999999999</v>
      </c>
      <c r="O7737" s="29"/>
      <c r="P7737" s="29"/>
      <c r="Q7737" s="29" t="s">
        <v>329</v>
      </c>
    </row>
    <row r="7738" spans="1:17" x14ac:dyDescent="0.35">
      <c r="A7738" t="s">
        <v>231</v>
      </c>
      <c r="B7738" t="s">
        <v>244</v>
      </c>
      <c r="C7738" s="26">
        <v>0.69569999999999999</v>
      </c>
      <c r="D7738" s="26">
        <v>0.14130000000000001</v>
      </c>
      <c r="E7738" s="26">
        <v>0.1087</v>
      </c>
      <c r="F7738" s="26">
        <v>0.1087</v>
      </c>
      <c r="G7738" s="26">
        <v>7.6100000000000001E-2</v>
      </c>
      <c r="H7738" s="26">
        <v>7.6100000000000001E-2</v>
      </c>
      <c r="I7738" s="26">
        <v>3.2599999999999997E-2</v>
      </c>
      <c r="J7738" s="26">
        <v>8.6999999999999994E-2</v>
      </c>
      <c r="K7738" s="26">
        <v>8.6999999999999994E-2</v>
      </c>
      <c r="L7738" s="26">
        <v>4.3499999999999997E-2</v>
      </c>
      <c r="M7738" s="26">
        <v>1.09E-2</v>
      </c>
      <c r="Q7738">
        <v>92</v>
      </c>
    </row>
    <row r="7739" spans="1:17" x14ac:dyDescent="0.35">
      <c r="A7739" t="s">
        <v>231</v>
      </c>
      <c r="B7739" t="s">
        <v>245</v>
      </c>
      <c r="C7739" s="26">
        <v>0.71430000000000005</v>
      </c>
      <c r="D7739" s="26">
        <v>8.9300000000000004E-2</v>
      </c>
      <c r="E7739" s="26">
        <v>7.1400000000000005E-2</v>
      </c>
      <c r="F7739" s="26">
        <v>0.1071</v>
      </c>
      <c r="G7739" s="26">
        <v>7.1400000000000005E-2</v>
      </c>
      <c r="H7739" s="26">
        <v>7.1400000000000005E-2</v>
      </c>
      <c r="I7739" s="26">
        <v>5.3600000000000002E-2</v>
      </c>
      <c r="J7739" s="26">
        <v>5.3600000000000002E-2</v>
      </c>
      <c r="K7739" s="26">
        <v>3.5700000000000003E-2</v>
      </c>
      <c r="M7739" s="26">
        <v>3.5700000000000003E-2</v>
      </c>
      <c r="Q7739">
        <v>56</v>
      </c>
    </row>
    <row r="7740" spans="1:17" x14ac:dyDescent="0.35">
      <c r="A7740" s="27" t="s">
        <v>231</v>
      </c>
      <c r="B7740" s="27" t="s">
        <v>246</v>
      </c>
      <c r="C7740" s="28">
        <v>0.69230000000000003</v>
      </c>
      <c r="D7740" s="28">
        <v>0.15379999999999999</v>
      </c>
      <c r="E7740" s="28">
        <v>0.15379999999999999</v>
      </c>
      <c r="F7740" s="28">
        <v>0.15379999999999999</v>
      </c>
      <c r="G7740" s="28">
        <v>0.23080000000000001</v>
      </c>
      <c r="H7740" s="29"/>
      <c r="I7740" s="28">
        <v>7.6899999999999996E-2</v>
      </c>
      <c r="J7740" s="29"/>
      <c r="K7740" s="29"/>
      <c r="L7740" s="28">
        <v>7.6899999999999996E-2</v>
      </c>
      <c r="M7740" s="29"/>
      <c r="N7740" s="28">
        <v>7.6899999999999996E-2</v>
      </c>
      <c r="O7740" s="29"/>
      <c r="P7740" s="29"/>
      <c r="Q7740" s="29" t="s">
        <v>341</v>
      </c>
    </row>
    <row r="7741" spans="1:17" x14ac:dyDescent="0.35">
      <c r="A7741" t="s">
        <v>232</v>
      </c>
      <c r="B7741" t="s">
        <v>232</v>
      </c>
      <c r="C7741" s="26">
        <v>0.7006</v>
      </c>
      <c r="D7741" s="26">
        <v>0.128</v>
      </c>
      <c r="E7741" s="26">
        <v>0.1031</v>
      </c>
      <c r="F7741" s="26">
        <v>0.10249999999999999</v>
      </c>
      <c r="G7741" s="26">
        <v>7.0099999999999996E-2</v>
      </c>
      <c r="H7741" s="26">
        <v>6.1899999999999997E-2</v>
      </c>
      <c r="I7741" s="26">
        <v>5.4199999999999998E-2</v>
      </c>
      <c r="J7741" s="26">
        <v>5.4100000000000002E-2</v>
      </c>
      <c r="K7741" s="26">
        <v>4.9599999999999998E-2</v>
      </c>
      <c r="L7741" s="26">
        <v>4.0099999999999997E-2</v>
      </c>
      <c r="M7741" s="26">
        <v>1.23E-2</v>
      </c>
      <c r="N7741" s="26">
        <v>6.4000000000000003E-3</v>
      </c>
      <c r="O7741" s="26">
        <v>2E-3</v>
      </c>
      <c r="P7741" s="26">
        <v>1.8E-3</v>
      </c>
      <c r="Q7741">
        <v>2795</v>
      </c>
    </row>
    <row r="7743" spans="1:17" x14ac:dyDescent="0.35">
      <c r="A7743" s="1" t="s">
        <v>1071</v>
      </c>
    </row>
    <row r="7744" spans="1:17" x14ac:dyDescent="0.35">
      <c r="A7744" t="s">
        <v>219</v>
      </c>
      <c r="B7744" t="s">
        <v>305</v>
      </c>
      <c r="C7744" t="s">
        <v>550</v>
      </c>
      <c r="D7744" t="s">
        <v>1058</v>
      </c>
      <c r="E7744" t="s">
        <v>1059</v>
      </c>
      <c r="F7744" t="s">
        <v>1060</v>
      </c>
      <c r="G7744" t="s">
        <v>1061</v>
      </c>
      <c r="H7744" t="s">
        <v>1062</v>
      </c>
      <c r="I7744" t="s">
        <v>1063</v>
      </c>
      <c r="J7744" t="s">
        <v>1064</v>
      </c>
      <c r="K7744" t="s">
        <v>1065</v>
      </c>
      <c r="L7744" t="s">
        <v>1066</v>
      </c>
      <c r="M7744" t="s">
        <v>281</v>
      </c>
      <c r="N7744" t="s">
        <v>1067</v>
      </c>
      <c r="O7744" t="s">
        <v>326</v>
      </c>
      <c r="P7744" t="s">
        <v>286</v>
      </c>
      <c r="Q7744" t="s">
        <v>226</v>
      </c>
    </row>
    <row r="7745" spans="1:17" x14ac:dyDescent="0.35">
      <c r="A7745" t="s">
        <v>227</v>
      </c>
      <c r="B7745" t="s">
        <v>360</v>
      </c>
      <c r="C7745" s="26">
        <v>0.64100000000000001</v>
      </c>
      <c r="D7745" s="26">
        <v>0.15379999999999999</v>
      </c>
      <c r="E7745" s="26">
        <v>0.1026</v>
      </c>
      <c r="F7745" s="26">
        <v>7.6899999999999996E-2</v>
      </c>
      <c r="G7745" s="26">
        <v>0.15379999999999999</v>
      </c>
      <c r="H7745" s="26">
        <v>7.6899999999999996E-2</v>
      </c>
      <c r="I7745" s="26">
        <v>7.6899999999999996E-2</v>
      </c>
      <c r="J7745" s="26">
        <v>5.1299999999999998E-2</v>
      </c>
      <c r="K7745" s="26">
        <v>5.1299999999999998E-2</v>
      </c>
      <c r="L7745" s="26">
        <v>2.5600000000000001E-2</v>
      </c>
      <c r="Q7745">
        <v>39</v>
      </c>
    </row>
    <row r="7746" spans="1:17" x14ac:dyDescent="0.35">
      <c r="A7746" t="s">
        <v>227</v>
      </c>
      <c r="B7746" t="s">
        <v>361</v>
      </c>
      <c r="C7746" s="26">
        <v>0.84379999999999999</v>
      </c>
      <c r="D7746" s="26">
        <v>6.25E-2</v>
      </c>
      <c r="E7746" s="26">
        <v>6.25E-2</v>
      </c>
      <c r="F7746" s="26">
        <v>3.1199999999999999E-2</v>
      </c>
      <c r="J7746" s="26">
        <v>3.1199999999999999E-2</v>
      </c>
      <c r="K7746" s="26">
        <v>3.1199999999999999E-2</v>
      </c>
      <c r="Q7746">
        <v>32</v>
      </c>
    </row>
    <row r="7747" spans="1:17" x14ac:dyDescent="0.35">
      <c r="A7747" t="s">
        <v>227</v>
      </c>
      <c r="B7747" t="s">
        <v>362</v>
      </c>
      <c r="C7747" s="26">
        <v>0.81079999999999997</v>
      </c>
      <c r="E7747" s="26">
        <v>5.4100000000000002E-2</v>
      </c>
      <c r="F7747" s="26">
        <v>8.1100000000000005E-2</v>
      </c>
      <c r="G7747" s="26">
        <v>8.1100000000000005E-2</v>
      </c>
      <c r="J7747" s="26">
        <v>2.7E-2</v>
      </c>
      <c r="Q7747">
        <v>37</v>
      </c>
    </row>
    <row r="7748" spans="1:17" x14ac:dyDescent="0.35">
      <c r="A7748" t="s">
        <v>227</v>
      </c>
      <c r="B7748" t="s">
        <v>363</v>
      </c>
      <c r="C7748" s="26">
        <v>0.71109999999999995</v>
      </c>
      <c r="D7748" s="26">
        <v>0.2</v>
      </c>
      <c r="E7748" s="26">
        <v>8.8900000000000007E-2</v>
      </c>
      <c r="F7748" s="26">
        <v>8.8900000000000007E-2</v>
      </c>
      <c r="G7748" s="26">
        <v>6.6699999999999995E-2</v>
      </c>
      <c r="H7748" s="26">
        <v>4.4400000000000002E-2</v>
      </c>
      <c r="I7748" s="26">
        <v>8.8900000000000007E-2</v>
      </c>
      <c r="J7748" s="26">
        <v>4.4400000000000002E-2</v>
      </c>
      <c r="K7748" s="26">
        <v>8.8900000000000007E-2</v>
      </c>
      <c r="L7748" s="26">
        <v>2.2200000000000001E-2</v>
      </c>
      <c r="Q7748">
        <v>45</v>
      </c>
    </row>
    <row r="7749" spans="1:17" x14ac:dyDescent="0.35">
      <c r="A7749" t="s">
        <v>228</v>
      </c>
      <c r="B7749" t="s">
        <v>360</v>
      </c>
      <c r="C7749" s="26">
        <v>0.45829999999999999</v>
      </c>
      <c r="D7749" s="26">
        <v>0.26960000000000001</v>
      </c>
      <c r="E7749" s="26">
        <v>0.21010000000000001</v>
      </c>
      <c r="F7749" s="26">
        <v>0.2142</v>
      </c>
      <c r="G7749" s="26">
        <v>0.1608</v>
      </c>
      <c r="H7749" s="26">
        <v>0.1142</v>
      </c>
      <c r="I7749" s="26">
        <v>0.12540000000000001</v>
      </c>
      <c r="J7749" s="26">
        <v>8.2199999999999995E-2</v>
      </c>
      <c r="K7749" s="26">
        <v>0.13669999999999999</v>
      </c>
      <c r="L7749" s="26">
        <v>9.3200000000000005E-2</v>
      </c>
      <c r="M7749" s="26">
        <v>2.53E-2</v>
      </c>
      <c r="N7749" s="26">
        <v>3.3599999999999998E-2</v>
      </c>
      <c r="Q7749">
        <v>257</v>
      </c>
    </row>
    <row r="7750" spans="1:17" x14ac:dyDescent="0.35">
      <c r="A7750" t="s">
        <v>228</v>
      </c>
      <c r="B7750" t="s">
        <v>361</v>
      </c>
      <c r="C7750" s="26">
        <v>0.75549999999999995</v>
      </c>
      <c r="D7750" s="26">
        <v>8.5599999999999996E-2</v>
      </c>
      <c r="E7750" s="26">
        <v>8.3699999999999997E-2</v>
      </c>
      <c r="F7750" s="26">
        <v>9.8000000000000004E-2</v>
      </c>
      <c r="G7750" s="26">
        <v>1.1599999999999999E-2</v>
      </c>
      <c r="H7750" s="26">
        <v>8.9800000000000005E-2</v>
      </c>
      <c r="I7750" s="26">
        <v>4.1399999999999999E-2</v>
      </c>
      <c r="J7750" s="26">
        <v>2.1700000000000001E-2</v>
      </c>
      <c r="K7750" s="26">
        <v>6.8699999999999997E-2</v>
      </c>
      <c r="L7750" s="26">
        <v>1.9800000000000002E-2</v>
      </c>
      <c r="M7750" s="26">
        <v>1.6999999999999999E-3</v>
      </c>
      <c r="O7750" s="26">
        <v>1.38E-2</v>
      </c>
      <c r="Q7750">
        <v>193</v>
      </c>
    </row>
    <row r="7751" spans="1:17" x14ac:dyDescent="0.35">
      <c r="A7751" t="s">
        <v>228</v>
      </c>
      <c r="B7751" t="s">
        <v>363</v>
      </c>
      <c r="C7751" s="26">
        <v>0.68289999999999995</v>
      </c>
      <c r="D7751" s="26">
        <v>0.1676</v>
      </c>
      <c r="E7751" s="26">
        <v>0.1288</v>
      </c>
      <c r="F7751" s="26">
        <v>9.5500000000000002E-2</v>
      </c>
      <c r="G7751" s="26">
        <v>4.1500000000000002E-2</v>
      </c>
      <c r="H7751" s="26">
        <v>7.0099999999999996E-2</v>
      </c>
      <c r="I7751" s="26">
        <v>7.2300000000000003E-2</v>
      </c>
      <c r="J7751" s="26">
        <v>6.3299999999999995E-2</v>
      </c>
      <c r="K7751" s="26">
        <v>4.1599999999999998E-2</v>
      </c>
      <c r="L7751" s="26">
        <v>3.6799999999999999E-2</v>
      </c>
      <c r="M7751" s="26">
        <v>1.5699999999999999E-2</v>
      </c>
      <c r="N7751" s="26">
        <v>2.3E-3</v>
      </c>
      <c r="Q7751">
        <v>211</v>
      </c>
    </row>
    <row r="7752" spans="1:17" x14ac:dyDescent="0.35">
      <c r="A7752" t="s">
        <v>228</v>
      </c>
      <c r="B7752" t="s">
        <v>362</v>
      </c>
      <c r="C7752" s="26">
        <v>0.6754</v>
      </c>
      <c r="D7752" s="26">
        <v>0.1042</v>
      </c>
      <c r="E7752" s="26">
        <v>9.2899999999999996E-2</v>
      </c>
      <c r="F7752" s="26">
        <v>0.1386</v>
      </c>
      <c r="G7752" s="26">
        <v>4.5900000000000003E-2</v>
      </c>
      <c r="H7752" s="26">
        <v>8.2400000000000001E-2</v>
      </c>
      <c r="I7752" s="26">
        <v>5.3499999999999999E-2</v>
      </c>
      <c r="J7752" s="26">
        <v>2.12E-2</v>
      </c>
      <c r="K7752" s="26">
        <v>3.0599999999999999E-2</v>
      </c>
      <c r="L7752" s="26">
        <v>7.1499999999999994E-2</v>
      </c>
      <c r="M7752" s="26">
        <v>8.6E-3</v>
      </c>
      <c r="N7752" s="26">
        <v>1.34E-2</v>
      </c>
      <c r="P7752" s="26">
        <v>2.3999999999999998E-3</v>
      </c>
      <c r="Q7752">
        <v>234</v>
      </c>
    </row>
    <row r="7753" spans="1:17" x14ac:dyDescent="0.35">
      <c r="A7753" t="s">
        <v>229</v>
      </c>
      <c r="B7753" t="s">
        <v>363</v>
      </c>
      <c r="C7753" s="26">
        <v>0.64739999999999998</v>
      </c>
      <c r="D7753" s="26">
        <v>0.1525</v>
      </c>
      <c r="E7753" s="26">
        <v>0.151</v>
      </c>
      <c r="F7753" s="26">
        <v>0.1053</v>
      </c>
      <c r="G7753" s="26">
        <v>3.7999999999999999E-2</v>
      </c>
      <c r="H7753" s="26">
        <v>2.6599999999999999E-2</v>
      </c>
      <c r="I7753" s="26">
        <v>8.9300000000000004E-2</v>
      </c>
      <c r="J7753" s="26">
        <v>6.9400000000000003E-2</v>
      </c>
      <c r="K7753" s="26">
        <v>4.2299999999999997E-2</v>
      </c>
      <c r="L7753" s="26">
        <v>8.6300000000000002E-2</v>
      </c>
      <c r="M7753" s="26">
        <v>1.8E-3</v>
      </c>
      <c r="N7753" s="26">
        <v>1.8E-3</v>
      </c>
      <c r="Q7753">
        <v>191</v>
      </c>
    </row>
    <row r="7754" spans="1:17" x14ac:dyDescent="0.35">
      <c r="A7754" t="s">
        <v>229</v>
      </c>
      <c r="B7754" t="s">
        <v>360</v>
      </c>
      <c r="C7754" s="26">
        <v>0.57469999999999999</v>
      </c>
      <c r="D7754" s="26">
        <v>0.13220000000000001</v>
      </c>
      <c r="E7754" s="26">
        <v>0.1739</v>
      </c>
      <c r="F7754" s="26">
        <v>0.1618</v>
      </c>
      <c r="G7754" s="26">
        <v>0.15609999999999999</v>
      </c>
      <c r="H7754" s="26">
        <v>9.7199999999999995E-2</v>
      </c>
      <c r="I7754" s="26">
        <v>8.5400000000000004E-2</v>
      </c>
      <c r="J7754" s="26">
        <v>6.7599999999999993E-2</v>
      </c>
      <c r="K7754" s="26">
        <v>8.0299999999999996E-2</v>
      </c>
      <c r="L7754" s="26">
        <v>6.4399999999999999E-2</v>
      </c>
      <c r="M7754" s="26">
        <v>3.5700000000000003E-2</v>
      </c>
      <c r="N7754" s="26">
        <v>7.4999999999999997E-3</v>
      </c>
      <c r="Q7754">
        <v>163</v>
      </c>
    </row>
    <row r="7755" spans="1:17" x14ac:dyDescent="0.35">
      <c r="A7755" t="s">
        <v>229</v>
      </c>
      <c r="B7755" t="s">
        <v>361</v>
      </c>
      <c r="C7755" s="26">
        <v>0.86250000000000004</v>
      </c>
      <c r="D7755" s="26">
        <v>9.8599999999999993E-2</v>
      </c>
      <c r="E7755" s="26">
        <v>4.7600000000000003E-2</v>
      </c>
      <c r="F7755" s="26">
        <v>2.4299999999999999E-2</v>
      </c>
      <c r="G7755" s="26">
        <v>7.9000000000000008E-3</v>
      </c>
      <c r="H7755" s="26">
        <v>4.7399999999999998E-2</v>
      </c>
      <c r="I7755" s="26">
        <v>2.8899999999999999E-2</v>
      </c>
      <c r="J7755" s="26">
        <v>2.3599999999999999E-2</v>
      </c>
      <c r="K7755" s="26">
        <v>9.5999999999999992E-3</v>
      </c>
      <c r="L7755" s="26">
        <v>3.3500000000000002E-2</v>
      </c>
      <c r="P7755" s="26">
        <v>7.9000000000000008E-3</v>
      </c>
      <c r="Q7755">
        <v>243</v>
      </c>
    </row>
    <row r="7756" spans="1:17" x14ac:dyDescent="0.35">
      <c r="A7756" t="s">
        <v>229</v>
      </c>
      <c r="B7756" t="s">
        <v>362</v>
      </c>
      <c r="C7756" s="26">
        <v>0.52380000000000004</v>
      </c>
      <c r="D7756" s="26">
        <v>0.2336</v>
      </c>
      <c r="E7756" s="26">
        <v>0.17399999999999999</v>
      </c>
      <c r="F7756" s="26">
        <v>0.1772</v>
      </c>
      <c r="G7756" s="26">
        <v>0.1158</v>
      </c>
      <c r="H7756" s="26">
        <v>0.1148</v>
      </c>
      <c r="I7756" s="26">
        <v>6.2E-2</v>
      </c>
      <c r="J7756" s="26">
        <v>7.0900000000000005E-2</v>
      </c>
      <c r="K7756" s="26">
        <v>3.6900000000000002E-2</v>
      </c>
      <c r="L7756" s="26">
        <v>5.8299999999999998E-2</v>
      </c>
      <c r="M7756" s="26">
        <v>2E-3</v>
      </c>
      <c r="O7756" s="26">
        <v>1.55E-2</v>
      </c>
      <c r="Q7756">
        <v>171</v>
      </c>
    </row>
    <row r="7757" spans="1:17" x14ac:dyDescent="0.35">
      <c r="A7757" t="s">
        <v>230</v>
      </c>
      <c r="B7757" t="s">
        <v>360</v>
      </c>
      <c r="C7757" s="26">
        <v>0.49340000000000001</v>
      </c>
      <c r="D7757" s="26">
        <v>0.14130000000000001</v>
      </c>
      <c r="E7757" s="26">
        <v>0.122</v>
      </c>
      <c r="F7757" s="26">
        <v>0.15579999999999999</v>
      </c>
      <c r="G7757" s="26">
        <v>0.154</v>
      </c>
      <c r="H7757" s="26">
        <v>5.2400000000000002E-2</v>
      </c>
      <c r="I7757" s="26">
        <v>0.13550000000000001</v>
      </c>
      <c r="J7757" s="26">
        <v>6.9699999999999998E-2</v>
      </c>
      <c r="K7757" s="26">
        <v>3.8399999999999997E-2</v>
      </c>
      <c r="L7757" s="26">
        <v>0.1148</v>
      </c>
      <c r="M7757" s="26">
        <v>3.3500000000000002E-2</v>
      </c>
      <c r="N7757" s="26">
        <v>3.0200000000000001E-2</v>
      </c>
      <c r="O7757" s="26">
        <v>2.8799999999999999E-2</v>
      </c>
      <c r="Q7757">
        <v>120</v>
      </c>
    </row>
    <row r="7758" spans="1:17" x14ac:dyDescent="0.35">
      <c r="A7758" t="s">
        <v>230</v>
      </c>
      <c r="B7758" t="s">
        <v>363</v>
      </c>
      <c r="C7758" s="26">
        <v>0.68889999999999996</v>
      </c>
      <c r="D7758" s="26">
        <v>9.4100000000000003E-2</v>
      </c>
      <c r="E7758" s="26">
        <v>8.8800000000000004E-2</v>
      </c>
      <c r="F7758" s="26">
        <v>0.12039999999999999</v>
      </c>
      <c r="G7758" s="26">
        <v>0.1429</v>
      </c>
      <c r="H7758" s="26">
        <v>0.1179</v>
      </c>
      <c r="I7758" s="26">
        <v>6.2799999999999995E-2</v>
      </c>
      <c r="J7758" s="26">
        <v>0.12429999999999999</v>
      </c>
      <c r="K7758" s="26">
        <v>3.9300000000000002E-2</v>
      </c>
      <c r="L7758" s="26">
        <v>0.11650000000000001</v>
      </c>
      <c r="N7758" s="26">
        <v>4.7199999999999999E-2</v>
      </c>
      <c r="Q7758">
        <v>126</v>
      </c>
    </row>
    <row r="7759" spans="1:17" x14ac:dyDescent="0.35">
      <c r="A7759" t="s">
        <v>230</v>
      </c>
      <c r="B7759" t="s">
        <v>361</v>
      </c>
      <c r="C7759" s="26">
        <v>0.87060000000000004</v>
      </c>
      <c r="D7759" s="26">
        <v>0.1023</v>
      </c>
      <c r="E7759" s="26">
        <v>5.28E-2</v>
      </c>
      <c r="F7759" s="26">
        <v>7.1999999999999998E-3</v>
      </c>
      <c r="G7759" s="26">
        <v>1.04E-2</v>
      </c>
      <c r="H7759" s="26">
        <v>4.7000000000000002E-3</v>
      </c>
      <c r="I7759" s="26">
        <v>3.7000000000000002E-3</v>
      </c>
      <c r="J7759" s="26">
        <v>3.1E-2</v>
      </c>
      <c r="K7759" s="26">
        <v>1.29E-2</v>
      </c>
      <c r="L7759" s="26">
        <v>4.7000000000000002E-3</v>
      </c>
      <c r="N7759" s="26">
        <v>2.1700000000000001E-2</v>
      </c>
      <c r="Q7759">
        <v>108</v>
      </c>
    </row>
    <row r="7760" spans="1:17" x14ac:dyDescent="0.35">
      <c r="A7760" t="s">
        <v>230</v>
      </c>
      <c r="B7760" t="s">
        <v>362</v>
      </c>
      <c r="C7760" s="26">
        <v>0.54869999999999997</v>
      </c>
      <c r="D7760" s="26">
        <v>0.23100000000000001</v>
      </c>
      <c r="E7760" s="26">
        <v>0.1358</v>
      </c>
      <c r="F7760" s="26">
        <v>0.2011</v>
      </c>
      <c r="G7760" s="26">
        <v>8.9399999999999993E-2</v>
      </c>
      <c r="H7760" s="26">
        <v>0.1148</v>
      </c>
      <c r="I7760" s="26">
        <v>7.7499999999999999E-2</v>
      </c>
      <c r="J7760" s="26">
        <v>0.1096</v>
      </c>
      <c r="K7760" s="26">
        <v>5.7599999999999998E-2</v>
      </c>
      <c r="L7760" s="26">
        <v>6.1199999999999997E-2</v>
      </c>
      <c r="M7760" s="26">
        <v>7.7000000000000002E-3</v>
      </c>
      <c r="N7760" s="26">
        <v>3.8E-3</v>
      </c>
      <c r="O7760" s="26">
        <v>3.8E-3</v>
      </c>
      <c r="Q7760">
        <v>143</v>
      </c>
    </row>
    <row r="7761" spans="1:17" x14ac:dyDescent="0.35">
      <c r="A7761" s="27" t="s">
        <v>231</v>
      </c>
      <c r="B7761" s="27" t="s">
        <v>362</v>
      </c>
      <c r="C7761" s="28">
        <v>0.6552</v>
      </c>
      <c r="D7761" s="28">
        <v>0.10340000000000001</v>
      </c>
      <c r="E7761" s="28">
        <v>0.10340000000000001</v>
      </c>
      <c r="F7761" s="28">
        <v>0.13789999999999999</v>
      </c>
      <c r="G7761" s="28">
        <v>6.9000000000000006E-2</v>
      </c>
      <c r="H7761" s="29"/>
      <c r="I7761" s="29"/>
      <c r="J7761" s="28">
        <v>0.10340000000000001</v>
      </c>
      <c r="K7761" s="29"/>
      <c r="L7761" s="28">
        <v>3.4500000000000003E-2</v>
      </c>
      <c r="M7761" s="28">
        <v>3.4500000000000003E-2</v>
      </c>
      <c r="N7761" s="29"/>
      <c r="O7761" s="29"/>
      <c r="P7761" s="29"/>
      <c r="Q7761" s="29" t="s">
        <v>329</v>
      </c>
    </row>
    <row r="7762" spans="1:17" x14ac:dyDescent="0.35">
      <c r="A7762" t="s">
        <v>231</v>
      </c>
      <c r="B7762" t="s">
        <v>361</v>
      </c>
      <c r="C7762" s="26">
        <v>0.8</v>
      </c>
      <c r="D7762" s="26">
        <v>0.1</v>
      </c>
      <c r="E7762" s="26">
        <v>0.04</v>
      </c>
      <c r="F7762" s="26">
        <v>0.1</v>
      </c>
      <c r="G7762" s="26">
        <v>0.04</v>
      </c>
      <c r="H7762" s="26">
        <v>0.1</v>
      </c>
      <c r="I7762" s="26">
        <v>0.02</v>
      </c>
      <c r="J7762" s="26">
        <v>0.02</v>
      </c>
      <c r="K7762" s="26">
        <v>0.04</v>
      </c>
      <c r="M7762" s="26">
        <v>0.02</v>
      </c>
      <c r="Q7762">
        <v>50</v>
      </c>
    </row>
    <row r="7763" spans="1:17" x14ac:dyDescent="0.35">
      <c r="A7763" t="s">
        <v>231</v>
      </c>
      <c r="B7763" t="s">
        <v>360</v>
      </c>
      <c r="C7763" s="26">
        <v>0.59519999999999995</v>
      </c>
      <c r="D7763" s="26">
        <v>0.21429999999999999</v>
      </c>
      <c r="E7763" s="26">
        <v>0.16669999999999999</v>
      </c>
      <c r="F7763" s="26">
        <v>0.1429</v>
      </c>
      <c r="G7763" s="26">
        <v>0.16669999999999999</v>
      </c>
      <c r="H7763" s="26">
        <v>4.7600000000000003E-2</v>
      </c>
      <c r="I7763" s="26">
        <v>9.5200000000000007E-2</v>
      </c>
      <c r="J7763" s="26">
        <v>7.1400000000000005E-2</v>
      </c>
      <c r="K7763" s="26">
        <v>7.1400000000000005E-2</v>
      </c>
      <c r="L7763" s="26">
        <v>2.3800000000000002E-2</v>
      </c>
      <c r="M7763" s="26">
        <v>2.3800000000000002E-2</v>
      </c>
      <c r="N7763" s="26">
        <v>2.3800000000000002E-2</v>
      </c>
      <c r="Q7763">
        <v>42</v>
      </c>
    </row>
    <row r="7764" spans="1:17" x14ac:dyDescent="0.35">
      <c r="A7764" s="27" t="s">
        <v>231</v>
      </c>
      <c r="B7764" s="27" t="s">
        <v>363</v>
      </c>
      <c r="C7764" s="28">
        <v>0.77780000000000005</v>
      </c>
      <c r="D7764" s="28">
        <v>0.1111</v>
      </c>
      <c r="E7764" s="28">
        <v>7.4099999999999999E-2</v>
      </c>
      <c r="F7764" s="28">
        <v>7.4099999999999999E-2</v>
      </c>
      <c r="G7764" s="28">
        <v>7.4099999999999999E-2</v>
      </c>
      <c r="H7764" s="28">
        <v>0.1111</v>
      </c>
      <c r="I7764" s="28">
        <v>7.4099999999999999E-2</v>
      </c>
      <c r="J7764" s="28">
        <v>0.1111</v>
      </c>
      <c r="K7764" s="28">
        <v>0.1111</v>
      </c>
      <c r="L7764" s="28">
        <v>0.1111</v>
      </c>
      <c r="M7764" s="29"/>
      <c r="N7764" s="29"/>
      <c r="O7764" s="29"/>
      <c r="P7764" s="29"/>
      <c r="Q7764" s="29" t="s">
        <v>338</v>
      </c>
    </row>
    <row r="7765" spans="1:17" x14ac:dyDescent="0.35">
      <c r="A7765" t="s">
        <v>232</v>
      </c>
      <c r="B7765" t="s">
        <v>232</v>
      </c>
      <c r="C7765" s="26">
        <v>0.7006</v>
      </c>
      <c r="D7765" s="26">
        <v>0.128</v>
      </c>
      <c r="E7765" s="26">
        <v>0.1031</v>
      </c>
      <c r="F7765" s="26">
        <v>0.10249999999999999</v>
      </c>
      <c r="G7765" s="26">
        <v>7.0099999999999996E-2</v>
      </c>
      <c r="H7765" s="26">
        <v>6.1899999999999997E-2</v>
      </c>
      <c r="I7765" s="26">
        <v>5.4199999999999998E-2</v>
      </c>
      <c r="J7765" s="26">
        <v>5.4100000000000002E-2</v>
      </c>
      <c r="K7765" s="26">
        <v>4.9599999999999998E-2</v>
      </c>
      <c r="L7765" s="26">
        <v>4.0099999999999997E-2</v>
      </c>
      <c r="M7765" s="26">
        <v>1.23E-2</v>
      </c>
      <c r="N7765" s="26">
        <v>6.4000000000000003E-3</v>
      </c>
      <c r="O7765" s="26">
        <v>2E-3</v>
      </c>
      <c r="P7765" s="26">
        <v>1.8E-3</v>
      </c>
      <c r="Q7765">
        <v>2461</v>
      </c>
    </row>
    <row r="7767" spans="1:17" x14ac:dyDescent="0.35">
      <c r="A7767" s="1" t="s">
        <v>1072</v>
      </c>
    </row>
    <row r="7768" spans="1:17" x14ac:dyDescent="0.35">
      <c r="A7768" t="s">
        <v>219</v>
      </c>
      <c r="B7768" t="s">
        <v>305</v>
      </c>
      <c r="C7768" t="s">
        <v>550</v>
      </c>
      <c r="D7768" t="s">
        <v>1058</v>
      </c>
      <c r="E7768" t="s">
        <v>1059</v>
      </c>
      <c r="F7768" t="s">
        <v>1060</v>
      </c>
      <c r="G7768" t="s">
        <v>1061</v>
      </c>
      <c r="H7768" t="s">
        <v>1062</v>
      </c>
      <c r="I7768" t="s">
        <v>1063</v>
      </c>
      <c r="J7768" t="s">
        <v>1064</v>
      </c>
      <c r="K7768" t="s">
        <v>1065</v>
      </c>
      <c r="L7768" t="s">
        <v>1066</v>
      </c>
      <c r="M7768" t="s">
        <v>281</v>
      </c>
      <c r="N7768" t="s">
        <v>1067</v>
      </c>
      <c r="O7768" t="s">
        <v>326</v>
      </c>
      <c r="P7768" t="s">
        <v>286</v>
      </c>
      <c r="Q7768" t="s">
        <v>226</v>
      </c>
    </row>
    <row r="7769" spans="1:17" x14ac:dyDescent="0.35">
      <c r="A7769" t="s">
        <v>227</v>
      </c>
      <c r="B7769" t="s">
        <v>267</v>
      </c>
      <c r="C7769" s="26">
        <v>0.75</v>
      </c>
      <c r="D7769" s="26">
        <v>5.5599999999999997E-2</v>
      </c>
      <c r="E7769" s="26">
        <v>5.5599999999999997E-2</v>
      </c>
      <c r="F7769" s="26">
        <v>5.5599999999999997E-2</v>
      </c>
      <c r="G7769" s="26">
        <v>8.3299999999999999E-2</v>
      </c>
      <c r="I7769" s="26">
        <v>2.7799999999999998E-2</v>
      </c>
      <c r="J7769" s="26">
        <v>2.7799999999999998E-2</v>
      </c>
      <c r="L7769" s="26">
        <v>2.7799999999999998E-2</v>
      </c>
      <c r="Q7769">
        <v>36</v>
      </c>
    </row>
    <row r="7770" spans="1:17" x14ac:dyDescent="0.35">
      <c r="A7770" t="s">
        <v>227</v>
      </c>
      <c r="B7770" t="s">
        <v>266</v>
      </c>
      <c r="C7770" s="26">
        <v>0.7288</v>
      </c>
      <c r="D7770" s="26">
        <v>0.1017</v>
      </c>
      <c r="E7770" s="26">
        <v>0.1186</v>
      </c>
      <c r="F7770" s="26">
        <v>8.4699999999999998E-2</v>
      </c>
      <c r="G7770" s="26">
        <v>1.6899999999999998E-2</v>
      </c>
      <c r="H7770" s="26">
        <v>3.39E-2</v>
      </c>
      <c r="I7770" s="26">
        <v>0.1017</v>
      </c>
      <c r="J7770" s="26">
        <v>3.39E-2</v>
      </c>
      <c r="K7770" s="26">
        <v>5.0799999999999998E-2</v>
      </c>
      <c r="Q7770">
        <v>59</v>
      </c>
    </row>
    <row r="7771" spans="1:17" x14ac:dyDescent="0.35">
      <c r="A7771" t="s">
        <v>227</v>
      </c>
      <c r="B7771" t="s">
        <v>265</v>
      </c>
      <c r="C7771" s="26">
        <v>0.72729999999999995</v>
      </c>
      <c r="D7771" s="26">
        <v>0.1515</v>
      </c>
      <c r="E7771" s="26">
        <v>9.0899999999999995E-2</v>
      </c>
      <c r="F7771" s="26">
        <v>9.0899999999999995E-2</v>
      </c>
      <c r="G7771" s="26">
        <v>0.1212</v>
      </c>
      <c r="H7771" s="26">
        <v>4.5499999999999999E-2</v>
      </c>
      <c r="I7771" s="26">
        <v>3.0300000000000001E-2</v>
      </c>
      <c r="J7771" s="26">
        <v>4.5499999999999999E-2</v>
      </c>
      <c r="K7771" s="26">
        <v>6.0600000000000001E-2</v>
      </c>
      <c r="L7771" s="26">
        <v>1.52E-2</v>
      </c>
      <c r="Q7771">
        <v>66</v>
      </c>
    </row>
    <row r="7772" spans="1:17" x14ac:dyDescent="0.35">
      <c r="A7772" t="s">
        <v>228</v>
      </c>
      <c r="B7772" t="s">
        <v>267</v>
      </c>
      <c r="C7772" s="26">
        <v>0.74390000000000001</v>
      </c>
      <c r="D7772" s="26">
        <v>0.10589999999999999</v>
      </c>
      <c r="E7772" s="26">
        <v>0.1</v>
      </c>
      <c r="F7772" s="26">
        <v>0.1215</v>
      </c>
      <c r="G7772" s="26">
        <v>5.11E-2</v>
      </c>
      <c r="H7772" s="26">
        <v>7.9000000000000008E-3</v>
      </c>
      <c r="I7772" s="26">
        <v>1.43E-2</v>
      </c>
      <c r="J7772" s="26">
        <v>1.5E-3</v>
      </c>
      <c r="K7772" s="26">
        <v>2.0199999999999999E-2</v>
      </c>
      <c r="L7772" s="26">
        <v>3.3500000000000002E-2</v>
      </c>
      <c r="M7772" s="26">
        <v>1.03E-2</v>
      </c>
      <c r="P7772" s="26">
        <v>3.3E-3</v>
      </c>
      <c r="Q7772">
        <v>195</v>
      </c>
    </row>
    <row r="7773" spans="1:17" x14ac:dyDescent="0.35">
      <c r="A7773" t="s">
        <v>228</v>
      </c>
      <c r="B7773" t="s">
        <v>265</v>
      </c>
      <c r="C7773" s="26">
        <v>0.65069999999999995</v>
      </c>
      <c r="D7773" s="26">
        <v>0.11890000000000001</v>
      </c>
      <c r="E7773" s="26">
        <v>9.01E-2</v>
      </c>
      <c r="F7773" s="26">
        <v>0.1</v>
      </c>
      <c r="G7773" s="26">
        <v>7.5800000000000006E-2</v>
      </c>
      <c r="H7773" s="26">
        <v>9.2600000000000002E-2</v>
      </c>
      <c r="I7773" s="26">
        <v>6.5699999999999995E-2</v>
      </c>
      <c r="J7773" s="26">
        <v>3.9699999999999999E-2</v>
      </c>
      <c r="K7773" s="26">
        <v>6.6900000000000001E-2</v>
      </c>
      <c r="L7773" s="26">
        <v>5.33E-2</v>
      </c>
      <c r="M7773" s="26">
        <v>2.86E-2</v>
      </c>
      <c r="N7773" s="26">
        <v>1.14E-2</v>
      </c>
      <c r="P7773" s="26">
        <v>8.0999999999999996E-3</v>
      </c>
      <c r="Q7773">
        <v>382</v>
      </c>
    </row>
    <row r="7774" spans="1:17" x14ac:dyDescent="0.35">
      <c r="A7774" s="27" t="s">
        <v>228</v>
      </c>
      <c r="B7774" s="27" t="s">
        <v>236</v>
      </c>
      <c r="C7774" s="28">
        <v>0.5</v>
      </c>
      <c r="D7774" s="29"/>
      <c r="E7774" s="28">
        <v>0.5</v>
      </c>
      <c r="F7774" s="29"/>
      <c r="G7774" s="29"/>
      <c r="H7774" s="29"/>
      <c r="I7774" s="29"/>
      <c r="J7774" s="29"/>
      <c r="K7774" s="29"/>
      <c r="L7774" s="29"/>
      <c r="M7774" s="29"/>
      <c r="N7774" s="29"/>
      <c r="O7774" s="29"/>
      <c r="P7774" s="29"/>
      <c r="Q7774" s="29" t="s">
        <v>314</v>
      </c>
    </row>
    <row r="7775" spans="1:17" x14ac:dyDescent="0.35">
      <c r="A7775" t="s">
        <v>228</v>
      </c>
      <c r="B7775" t="s">
        <v>266</v>
      </c>
      <c r="C7775" s="26">
        <v>0.63519999999999999</v>
      </c>
      <c r="D7775" s="26">
        <v>0.18629999999999999</v>
      </c>
      <c r="E7775" s="26">
        <v>0.1507</v>
      </c>
      <c r="F7775" s="26">
        <v>0.15840000000000001</v>
      </c>
      <c r="G7775" s="26">
        <v>4.3099999999999999E-2</v>
      </c>
      <c r="H7775" s="26">
        <v>0.10340000000000001</v>
      </c>
      <c r="I7775" s="26">
        <v>9.69E-2</v>
      </c>
      <c r="J7775" s="26">
        <v>6.1800000000000001E-2</v>
      </c>
      <c r="K7775" s="26">
        <v>8.43E-2</v>
      </c>
      <c r="L7775" s="26">
        <v>5.2999999999999999E-2</v>
      </c>
      <c r="M7775" s="26">
        <v>5.0000000000000001E-3</v>
      </c>
      <c r="N7775" s="26">
        <v>1.49E-2</v>
      </c>
      <c r="O7775" s="26">
        <v>8.0999999999999996E-3</v>
      </c>
      <c r="P7775" s="26">
        <v>8.9999999999999998E-4</v>
      </c>
      <c r="Q7775">
        <v>448</v>
      </c>
    </row>
    <row r="7776" spans="1:17" x14ac:dyDescent="0.35">
      <c r="A7776" t="s">
        <v>229</v>
      </c>
      <c r="B7776" t="s">
        <v>266</v>
      </c>
      <c r="C7776" s="26">
        <v>0.5917</v>
      </c>
      <c r="D7776" s="26">
        <v>0.18490000000000001</v>
      </c>
      <c r="E7776" s="26">
        <v>0.16550000000000001</v>
      </c>
      <c r="F7776" s="26">
        <v>0.1336</v>
      </c>
      <c r="G7776" s="26">
        <v>5.8000000000000003E-2</v>
      </c>
      <c r="H7776" s="26">
        <v>9.8799999999999999E-2</v>
      </c>
      <c r="I7776" s="26">
        <v>0.08</v>
      </c>
      <c r="J7776" s="26">
        <v>8.1900000000000001E-2</v>
      </c>
      <c r="K7776" s="26">
        <v>4.4600000000000001E-2</v>
      </c>
      <c r="L7776" s="26">
        <v>6.9400000000000003E-2</v>
      </c>
      <c r="M7776" s="26">
        <v>5.0000000000000001E-4</v>
      </c>
      <c r="N7776" s="26">
        <v>1E-3</v>
      </c>
      <c r="O7776" s="26">
        <v>7.6E-3</v>
      </c>
      <c r="Q7776">
        <v>359</v>
      </c>
    </row>
    <row r="7777" spans="1:17" x14ac:dyDescent="0.35">
      <c r="A7777" t="s">
        <v>229</v>
      </c>
      <c r="B7777" t="s">
        <v>267</v>
      </c>
      <c r="C7777" s="26">
        <v>0.81440000000000001</v>
      </c>
      <c r="D7777" s="26">
        <v>8.5999999999999993E-2</v>
      </c>
      <c r="E7777" s="26">
        <v>6.3600000000000004E-2</v>
      </c>
      <c r="F7777" s="26">
        <v>5.0799999999999998E-2</v>
      </c>
      <c r="G7777" s="26">
        <v>4.4900000000000002E-2</v>
      </c>
      <c r="H7777" s="26">
        <v>3.3099999999999997E-2</v>
      </c>
      <c r="I7777" s="26">
        <v>1.95E-2</v>
      </c>
      <c r="J7777" s="26">
        <v>3.9199999999999999E-2</v>
      </c>
      <c r="K7777" s="26">
        <v>3.9199999999999999E-2</v>
      </c>
      <c r="L7777" s="26">
        <v>4.8599999999999997E-2</v>
      </c>
      <c r="N7777" s="26">
        <v>2.2000000000000001E-3</v>
      </c>
      <c r="Q7777">
        <v>199</v>
      </c>
    </row>
    <row r="7778" spans="1:17" x14ac:dyDescent="0.35">
      <c r="A7778" t="s">
        <v>229</v>
      </c>
      <c r="B7778" t="s">
        <v>265</v>
      </c>
      <c r="C7778" s="26">
        <v>0.76039999999999996</v>
      </c>
      <c r="D7778" s="26">
        <v>0.1061</v>
      </c>
      <c r="E7778" s="26">
        <v>7.9200000000000007E-2</v>
      </c>
      <c r="F7778" s="26">
        <v>6.9599999999999995E-2</v>
      </c>
      <c r="G7778" s="26">
        <v>5.5300000000000002E-2</v>
      </c>
      <c r="H7778" s="26">
        <v>3.7499999999999999E-2</v>
      </c>
      <c r="I7778" s="26">
        <v>4.4999999999999998E-2</v>
      </c>
      <c r="J7778" s="26">
        <v>3.1E-2</v>
      </c>
      <c r="K7778" s="26">
        <v>2.5399999999999999E-2</v>
      </c>
      <c r="L7778" s="26">
        <v>3.2599999999999997E-2</v>
      </c>
      <c r="M7778" s="26">
        <v>2.5899999999999999E-2</v>
      </c>
      <c r="N7778" s="26">
        <v>1.5E-3</v>
      </c>
      <c r="P7778" s="26">
        <v>7.4000000000000003E-3</v>
      </c>
      <c r="Q7778">
        <v>335</v>
      </c>
    </row>
    <row r="7779" spans="1:17" x14ac:dyDescent="0.35">
      <c r="A7779" t="s">
        <v>230</v>
      </c>
      <c r="B7779" t="s">
        <v>267</v>
      </c>
      <c r="C7779" s="26">
        <v>0.77829999999999999</v>
      </c>
      <c r="D7779" s="26">
        <v>0.10059999999999999</v>
      </c>
      <c r="E7779" s="26">
        <v>7.0199999999999999E-2</v>
      </c>
      <c r="F7779" s="26">
        <v>6.4799999999999996E-2</v>
      </c>
      <c r="G7779" s="26">
        <v>6.13E-2</v>
      </c>
      <c r="H7779" s="26">
        <v>1.44E-2</v>
      </c>
      <c r="I7779" s="26">
        <v>8.6E-3</v>
      </c>
      <c r="J7779" s="26">
        <v>4.58E-2</v>
      </c>
      <c r="K7779" s="26">
        <v>4.4400000000000002E-2</v>
      </c>
      <c r="L7779" s="26">
        <v>4.4600000000000001E-2</v>
      </c>
      <c r="M7779" s="26">
        <v>2.58E-2</v>
      </c>
      <c r="Q7779">
        <v>116</v>
      </c>
    </row>
    <row r="7780" spans="1:17" x14ac:dyDescent="0.35">
      <c r="A7780" t="s">
        <v>230</v>
      </c>
      <c r="B7780" t="s">
        <v>266</v>
      </c>
      <c r="C7780" s="26">
        <v>0.53759999999999997</v>
      </c>
      <c r="D7780" s="26">
        <v>0.20300000000000001</v>
      </c>
      <c r="E7780" s="26">
        <v>0.15559999999999999</v>
      </c>
      <c r="F7780" s="26">
        <v>0.1608</v>
      </c>
      <c r="G7780" s="26">
        <v>0.11459999999999999</v>
      </c>
      <c r="H7780" s="26">
        <v>0.14119999999999999</v>
      </c>
      <c r="I7780" s="26">
        <v>9.9900000000000003E-2</v>
      </c>
      <c r="J7780" s="26">
        <v>0.10150000000000001</v>
      </c>
      <c r="K7780" s="26">
        <v>5.79E-2</v>
      </c>
      <c r="L7780" s="26">
        <v>7.4899999999999994E-2</v>
      </c>
      <c r="M7780" s="26">
        <v>5.0000000000000001E-3</v>
      </c>
      <c r="N7780" s="26">
        <v>4.5499999999999999E-2</v>
      </c>
      <c r="O7780" s="26">
        <v>2.5000000000000001E-3</v>
      </c>
      <c r="Q7780">
        <v>231</v>
      </c>
    </row>
    <row r="7781" spans="1:17" x14ac:dyDescent="0.35">
      <c r="A7781" t="s">
        <v>230</v>
      </c>
      <c r="B7781" t="s">
        <v>265</v>
      </c>
      <c r="C7781" s="26">
        <v>0.76</v>
      </c>
      <c r="D7781" s="26">
        <v>8.9200000000000002E-2</v>
      </c>
      <c r="E7781" s="26">
        <v>4.9099999999999998E-2</v>
      </c>
      <c r="F7781" s="26">
        <v>8.6199999999999999E-2</v>
      </c>
      <c r="G7781" s="26">
        <v>8.14E-2</v>
      </c>
      <c r="H7781" s="26">
        <v>2.87E-2</v>
      </c>
      <c r="I7781" s="26">
        <v>5.1700000000000003E-2</v>
      </c>
      <c r="J7781" s="26">
        <v>7.5300000000000006E-2</v>
      </c>
      <c r="K7781" s="26">
        <v>8.8000000000000005E-3</v>
      </c>
      <c r="L7781" s="26">
        <v>7.1999999999999995E-2</v>
      </c>
      <c r="M7781" s="26">
        <v>2.2000000000000001E-3</v>
      </c>
      <c r="N7781" s="26">
        <v>1.6199999999999999E-2</v>
      </c>
      <c r="O7781" s="26">
        <v>1.34E-2</v>
      </c>
      <c r="Q7781">
        <v>206</v>
      </c>
    </row>
    <row r="7782" spans="1:17" x14ac:dyDescent="0.35">
      <c r="A7782" t="s">
        <v>231</v>
      </c>
      <c r="B7782" t="s">
        <v>267</v>
      </c>
      <c r="C7782" s="26">
        <v>0.85289999999999999</v>
      </c>
      <c r="D7782" s="26">
        <v>5.8799999999999998E-2</v>
      </c>
      <c r="E7782" s="26">
        <v>2.9399999999999999E-2</v>
      </c>
      <c r="F7782" s="26">
        <v>2.9399999999999999E-2</v>
      </c>
      <c r="H7782" s="26">
        <v>5.8799999999999998E-2</v>
      </c>
      <c r="J7782" s="26">
        <v>2.9399999999999999E-2</v>
      </c>
      <c r="K7782" s="26">
        <v>2.9399999999999999E-2</v>
      </c>
      <c r="M7782" s="26">
        <v>2.9399999999999999E-2</v>
      </c>
      <c r="Q7782">
        <v>34</v>
      </c>
    </row>
    <row r="7783" spans="1:17" x14ac:dyDescent="0.35">
      <c r="A7783" t="s">
        <v>231</v>
      </c>
      <c r="B7783" t="s">
        <v>266</v>
      </c>
      <c r="C7783" s="26">
        <v>0.6885</v>
      </c>
      <c r="D7783" s="26">
        <v>0.13109999999999999</v>
      </c>
      <c r="E7783" s="26">
        <v>6.5600000000000006E-2</v>
      </c>
      <c r="F7783" s="26">
        <v>0.1148</v>
      </c>
      <c r="G7783" s="26">
        <v>8.2000000000000003E-2</v>
      </c>
      <c r="H7783" s="26">
        <v>9.8400000000000001E-2</v>
      </c>
      <c r="I7783" s="26">
        <v>6.5600000000000006E-2</v>
      </c>
      <c r="J7783" s="26">
        <v>4.9200000000000001E-2</v>
      </c>
      <c r="K7783" s="26">
        <v>4.9200000000000001E-2</v>
      </c>
      <c r="L7783" s="26">
        <v>3.2800000000000003E-2</v>
      </c>
      <c r="M7783" s="26">
        <v>1.6400000000000001E-2</v>
      </c>
      <c r="Q7783">
        <v>61</v>
      </c>
    </row>
    <row r="7784" spans="1:17" x14ac:dyDescent="0.35">
      <c r="A7784" t="s">
        <v>231</v>
      </c>
      <c r="B7784" t="s">
        <v>265</v>
      </c>
      <c r="C7784" s="26">
        <v>0.63639999999999997</v>
      </c>
      <c r="D7784" s="26">
        <v>0.1515</v>
      </c>
      <c r="E7784" s="26">
        <v>0.16669999999999999</v>
      </c>
      <c r="F7784" s="26">
        <v>0.1515</v>
      </c>
      <c r="G7784" s="26">
        <v>0.13639999999999999</v>
      </c>
      <c r="H7784" s="26">
        <v>4.5499999999999999E-2</v>
      </c>
      <c r="I7784" s="26">
        <v>4.5499999999999999E-2</v>
      </c>
      <c r="J7784" s="26">
        <v>0.1061</v>
      </c>
      <c r="K7784" s="26">
        <v>9.0899999999999995E-2</v>
      </c>
      <c r="L7784" s="26">
        <v>4.5499999999999999E-2</v>
      </c>
      <c r="M7784" s="26">
        <v>1.52E-2</v>
      </c>
      <c r="N7784" s="26">
        <v>1.52E-2</v>
      </c>
      <c r="Q7784">
        <v>66</v>
      </c>
    </row>
    <row r="7785" spans="1:17" x14ac:dyDescent="0.35">
      <c r="A7785" t="s">
        <v>232</v>
      </c>
      <c r="B7785" t="s">
        <v>232</v>
      </c>
      <c r="C7785" s="26">
        <v>0.7006</v>
      </c>
      <c r="D7785" s="26">
        <v>0.128</v>
      </c>
      <c r="E7785" s="26">
        <v>0.1031</v>
      </c>
      <c r="F7785" s="26">
        <v>0.10249999999999999</v>
      </c>
      <c r="G7785" s="26">
        <v>7.0099999999999996E-2</v>
      </c>
      <c r="H7785" s="26">
        <v>6.1899999999999997E-2</v>
      </c>
      <c r="I7785" s="26">
        <v>5.4199999999999998E-2</v>
      </c>
      <c r="J7785" s="26">
        <v>5.4100000000000002E-2</v>
      </c>
      <c r="K7785" s="26">
        <v>4.9599999999999998E-2</v>
      </c>
      <c r="L7785" s="26">
        <v>4.0099999999999997E-2</v>
      </c>
      <c r="M7785" s="26">
        <v>1.23E-2</v>
      </c>
      <c r="N7785" s="26">
        <v>6.4000000000000003E-3</v>
      </c>
      <c r="O7785" s="26">
        <v>2E-3</v>
      </c>
      <c r="P7785" s="26">
        <v>1.8E-3</v>
      </c>
      <c r="Q7785">
        <v>2795</v>
      </c>
    </row>
    <row r="7787" spans="1:17" x14ac:dyDescent="0.35">
      <c r="A7787" s="1" t="s">
        <v>1073</v>
      </c>
    </row>
    <row r="7788" spans="1:17" x14ac:dyDescent="0.35">
      <c r="A7788" t="s">
        <v>219</v>
      </c>
      <c r="B7788" t="s">
        <v>305</v>
      </c>
      <c r="C7788" t="s">
        <v>550</v>
      </c>
      <c r="D7788" t="s">
        <v>1058</v>
      </c>
      <c r="E7788" t="s">
        <v>1059</v>
      </c>
      <c r="F7788" t="s">
        <v>1060</v>
      </c>
      <c r="G7788" t="s">
        <v>1061</v>
      </c>
      <c r="H7788" t="s">
        <v>1062</v>
      </c>
      <c r="I7788" t="s">
        <v>1063</v>
      </c>
      <c r="J7788" t="s">
        <v>1064</v>
      </c>
      <c r="K7788" t="s">
        <v>1065</v>
      </c>
      <c r="L7788" t="s">
        <v>1066</v>
      </c>
      <c r="M7788" t="s">
        <v>281</v>
      </c>
      <c r="N7788" t="s">
        <v>1067</v>
      </c>
      <c r="O7788" t="s">
        <v>326</v>
      </c>
      <c r="P7788" t="s">
        <v>286</v>
      </c>
      <c r="Q7788" t="s">
        <v>226</v>
      </c>
    </row>
    <row r="7789" spans="1:17" x14ac:dyDescent="0.35">
      <c r="A7789" t="s">
        <v>227</v>
      </c>
      <c r="B7789" t="s">
        <v>252</v>
      </c>
      <c r="C7789" s="26">
        <v>0.71109999999999995</v>
      </c>
      <c r="D7789" s="26">
        <v>6.6699999999999995E-2</v>
      </c>
      <c r="E7789" s="26">
        <v>6.6699999999999995E-2</v>
      </c>
      <c r="F7789" s="26">
        <v>0.1111</v>
      </c>
      <c r="G7789" s="26">
        <v>4.4400000000000002E-2</v>
      </c>
      <c r="I7789" s="26">
        <v>6.6699999999999995E-2</v>
      </c>
      <c r="J7789" s="26">
        <v>6.6699999999999995E-2</v>
      </c>
      <c r="K7789" s="26">
        <v>4.4400000000000002E-2</v>
      </c>
      <c r="L7789" s="26">
        <v>2.2200000000000001E-2</v>
      </c>
      <c r="Q7789">
        <v>45</v>
      </c>
    </row>
    <row r="7790" spans="1:17" x14ac:dyDescent="0.35">
      <c r="A7790" t="s">
        <v>227</v>
      </c>
      <c r="B7790" t="s">
        <v>253</v>
      </c>
      <c r="C7790" s="26">
        <v>0.73529999999999995</v>
      </c>
      <c r="D7790" s="26">
        <v>0.14710000000000001</v>
      </c>
      <c r="E7790" s="26">
        <v>0.1176</v>
      </c>
      <c r="F7790" s="26">
        <v>8.8200000000000001E-2</v>
      </c>
      <c r="G7790" s="26">
        <v>0.1176</v>
      </c>
      <c r="I7790" s="26">
        <v>5.8799999999999998E-2</v>
      </c>
      <c r="J7790" s="26">
        <v>8.8200000000000001E-2</v>
      </c>
      <c r="K7790" s="26">
        <v>2.9399999999999999E-2</v>
      </c>
      <c r="L7790" s="26">
        <v>2.9399999999999999E-2</v>
      </c>
      <c r="Q7790">
        <v>34</v>
      </c>
    </row>
    <row r="7791" spans="1:17" x14ac:dyDescent="0.35">
      <c r="A7791" t="s">
        <v>227</v>
      </c>
      <c r="B7791" t="s">
        <v>251</v>
      </c>
      <c r="C7791" s="26">
        <v>0.74390000000000001</v>
      </c>
      <c r="D7791" s="26">
        <v>0.122</v>
      </c>
      <c r="E7791" s="26">
        <v>9.7600000000000006E-2</v>
      </c>
      <c r="F7791" s="26">
        <v>6.0999999999999999E-2</v>
      </c>
      <c r="G7791" s="26">
        <v>7.3200000000000001E-2</v>
      </c>
      <c r="H7791" s="26">
        <v>6.0999999999999999E-2</v>
      </c>
      <c r="I7791" s="26">
        <v>4.8800000000000003E-2</v>
      </c>
      <c r="K7791" s="26">
        <v>4.8800000000000003E-2</v>
      </c>
      <c r="Q7791">
        <v>82</v>
      </c>
    </row>
    <row r="7792" spans="1:17" x14ac:dyDescent="0.35">
      <c r="A7792" t="s">
        <v>228</v>
      </c>
      <c r="B7792" t="s">
        <v>252</v>
      </c>
      <c r="C7792" s="26">
        <v>0.63570000000000004</v>
      </c>
      <c r="D7792" s="26">
        <v>0.13689999999999999</v>
      </c>
      <c r="E7792" s="26">
        <v>0.125</v>
      </c>
      <c r="F7792" s="26">
        <v>0.1416</v>
      </c>
      <c r="G7792" s="26">
        <v>7.1199999999999999E-2</v>
      </c>
      <c r="H7792" s="26">
        <v>7.2499999999999995E-2</v>
      </c>
      <c r="I7792" s="26">
        <v>7.5899999999999995E-2</v>
      </c>
      <c r="J7792" s="26">
        <v>4.0099999999999997E-2</v>
      </c>
      <c r="K7792" s="26">
        <v>6.5799999999999997E-2</v>
      </c>
      <c r="L7792" s="26">
        <v>4.4299999999999999E-2</v>
      </c>
      <c r="M7792" s="26">
        <v>1.6199999999999999E-2</v>
      </c>
      <c r="P7792" s="26">
        <v>1.6999999999999999E-3</v>
      </c>
      <c r="Q7792">
        <v>341</v>
      </c>
    </row>
    <row r="7793" spans="1:17" x14ac:dyDescent="0.35">
      <c r="A7793" t="s">
        <v>228</v>
      </c>
      <c r="B7793" t="s">
        <v>253</v>
      </c>
      <c r="C7793" s="26">
        <v>0.61029999999999995</v>
      </c>
      <c r="D7793" s="26">
        <v>0.1323</v>
      </c>
      <c r="E7793" s="26">
        <v>0.13</v>
      </c>
      <c r="F7793" s="26">
        <v>0.156</v>
      </c>
      <c r="G7793" s="26">
        <v>9.4899999999999998E-2</v>
      </c>
      <c r="H7793" s="26">
        <v>9.2100000000000001E-2</v>
      </c>
      <c r="I7793" s="26">
        <v>5.6399999999999999E-2</v>
      </c>
      <c r="J7793" s="26">
        <v>2.92E-2</v>
      </c>
      <c r="K7793" s="26">
        <v>5.04E-2</v>
      </c>
      <c r="L7793" s="26">
        <v>0.1007</v>
      </c>
      <c r="M7793" s="26">
        <v>2.01E-2</v>
      </c>
      <c r="N7793" s="26">
        <v>3.4599999999999999E-2</v>
      </c>
      <c r="Q7793">
        <v>222</v>
      </c>
    </row>
    <row r="7794" spans="1:17" x14ac:dyDescent="0.35">
      <c r="A7794" t="s">
        <v>228</v>
      </c>
      <c r="B7794" t="s">
        <v>251</v>
      </c>
      <c r="C7794" s="26">
        <v>0.69550000000000001</v>
      </c>
      <c r="D7794" s="26">
        <v>0.15329999999999999</v>
      </c>
      <c r="E7794" s="26">
        <v>0.11119999999999999</v>
      </c>
      <c r="F7794" s="26">
        <v>0.1047</v>
      </c>
      <c r="G7794" s="26">
        <v>3.2399999999999998E-2</v>
      </c>
      <c r="H7794" s="26">
        <v>8.4599999999999995E-2</v>
      </c>
      <c r="I7794" s="26">
        <v>7.0900000000000005E-2</v>
      </c>
      <c r="J7794" s="26">
        <v>4.9099999999999998E-2</v>
      </c>
      <c r="K7794" s="26">
        <v>7.2599999999999998E-2</v>
      </c>
      <c r="L7794" s="26">
        <v>3.0800000000000001E-2</v>
      </c>
      <c r="M7794" s="26">
        <v>1.3299999999999999E-2</v>
      </c>
      <c r="N7794" s="26">
        <v>7.9000000000000008E-3</v>
      </c>
      <c r="O7794" s="26">
        <v>7.0000000000000001E-3</v>
      </c>
      <c r="P7794" s="26">
        <v>7.7999999999999996E-3</v>
      </c>
      <c r="Q7794">
        <v>464</v>
      </c>
    </row>
    <row r="7795" spans="1:17" x14ac:dyDescent="0.35">
      <c r="A7795" t="s">
        <v>229</v>
      </c>
      <c r="B7795" t="s">
        <v>252</v>
      </c>
      <c r="C7795" s="26">
        <v>0.6482</v>
      </c>
      <c r="D7795" s="26">
        <v>0.10249999999999999</v>
      </c>
      <c r="E7795" s="26">
        <v>0.1075</v>
      </c>
      <c r="F7795" s="26">
        <v>0.13320000000000001</v>
      </c>
      <c r="G7795" s="26">
        <v>9.7900000000000001E-2</v>
      </c>
      <c r="H7795" s="26">
        <v>5.3900000000000003E-2</v>
      </c>
      <c r="I7795" s="26">
        <v>2.5000000000000001E-2</v>
      </c>
      <c r="J7795" s="26">
        <v>7.9000000000000001E-2</v>
      </c>
      <c r="K7795" s="26">
        <v>4.1500000000000002E-2</v>
      </c>
      <c r="L7795" s="26">
        <v>7.4200000000000002E-2</v>
      </c>
      <c r="M7795" s="26">
        <v>2.3800000000000002E-2</v>
      </c>
      <c r="N7795" s="26">
        <v>1.5E-3</v>
      </c>
      <c r="Q7795">
        <v>198</v>
      </c>
    </row>
    <row r="7796" spans="1:17" x14ac:dyDescent="0.35">
      <c r="A7796" t="s">
        <v>229</v>
      </c>
      <c r="B7796" t="s">
        <v>253</v>
      </c>
      <c r="C7796" s="26">
        <v>0.55659999999999998</v>
      </c>
      <c r="D7796" s="26">
        <v>0.19409999999999999</v>
      </c>
      <c r="E7796" s="26">
        <v>0.19850000000000001</v>
      </c>
      <c r="F7796" s="26">
        <v>0.1671</v>
      </c>
      <c r="G7796" s="26">
        <v>0.1061</v>
      </c>
      <c r="H7796" s="26">
        <v>9.5500000000000002E-2</v>
      </c>
      <c r="I7796" s="26">
        <v>0.1193</v>
      </c>
      <c r="J7796" s="26">
        <v>6.59E-2</v>
      </c>
      <c r="K7796" s="26">
        <v>0.1017</v>
      </c>
      <c r="L7796" s="26">
        <v>7.3400000000000007E-2</v>
      </c>
      <c r="M7796" s="26">
        <v>1.5900000000000001E-2</v>
      </c>
      <c r="Q7796">
        <v>144</v>
      </c>
    </row>
    <row r="7797" spans="1:17" x14ac:dyDescent="0.35">
      <c r="A7797" t="s">
        <v>229</v>
      </c>
      <c r="B7797" t="s">
        <v>251</v>
      </c>
      <c r="C7797" s="26">
        <v>0.79469999999999996</v>
      </c>
      <c r="D7797" s="26">
        <v>0.1157</v>
      </c>
      <c r="E7797" s="26">
        <v>7.2499999999999995E-2</v>
      </c>
      <c r="F7797" s="26">
        <v>4.2799999999999998E-2</v>
      </c>
      <c r="G7797" s="26">
        <v>2.0299999999999999E-2</v>
      </c>
      <c r="H7797" s="26">
        <v>4.53E-2</v>
      </c>
      <c r="I7797" s="26">
        <v>3.8800000000000001E-2</v>
      </c>
      <c r="J7797" s="26">
        <v>3.3000000000000002E-2</v>
      </c>
      <c r="K7797" s="26">
        <v>1.0699999999999999E-2</v>
      </c>
      <c r="L7797" s="26">
        <v>3.0300000000000001E-2</v>
      </c>
      <c r="M7797" s="26">
        <v>6.0000000000000001E-3</v>
      </c>
      <c r="N7797" s="26">
        <v>2E-3</v>
      </c>
      <c r="O7797" s="26">
        <v>4.3E-3</v>
      </c>
      <c r="P7797" s="26">
        <v>5.7000000000000002E-3</v>
      </c>
      <c r="Q7797">
        <v>551</v>
      </c>
    </row>
    <row r="7798" spans="1:17" x14ac:dyDescent="0.35">
      <c r="A7798" t="s">
        <v>230</v>
      </c>
      <c r="B7798" t="s">
        <v>252</v>
      </c>
      <c r="C7798" s="26">
        <v>0.60099999999999998</v>
      </c>
      <c r="D7798" s="26">
        <v>0.11310000000000001</v>
      </c>
      <c r="E7798" s="26">
        <v>0.13120000000000001</v>
      </c>
      <c r="F7798" s="26">
        <v>0.12920000000000001</v>
      </c>
      <c r="G7798" s="26">
        <v>7.22E-2</v>
      </c>
      <c r="H7798" s="26">
        <v>8.6599999999999996E-2</v>
      </c>
      <c r="I7798" s="26">
        <v>9.5299999999999996E-2</v>
      </c>
      <c r="J7798" s="26">
        <v>0.1104</v>
      </c>
      <c r="K7798" s="26">
        <v>2.7199999999999998E-2</v>
      </c>
      <c r="L7798" s="26">
        <v>4.48E-2</v>
      </c>
      <c r="M7798" s="26">
        <v>7.1999999999999998E-3</v>
      </c>
      <c r="O7798" s="26">
        <v>3.5000000000000001E-3</v>
      </c>
      <c r="Q7798">
        <v>157</v>
      </c>
    </row>
    <row r="7799" spans="1:17" x14ac:dyDescent="0.35">
      <c r="A7799" t="s">
        <v>230</v>
      </c>
      <c r="B7799" t="s">
        <v>253</v>
      </c>
      <c r="C7799" s="26">
        <v>0.76359999999999995</v>
      </c>
      <c r="D7799" s="26">
        <v>9.9099999999999994E-2</v>
      </c>
      <c r="E7799" s="26">
        <v>5.3400000000000003E-2</v>
      </c>
      <c r="F7799" s="26">
        <v>4.87E-2</v>
      </c>
      <c r="G7799" s="26">
        <v>9.64E-2</v>
      </c>
      <c r="H7799" s="26">
        <v>5.67E-2</v>
      </c>
      <c r="I7799" s="26">
        <v>4.58E-2</v>
      </c>
      <c r="J7799" s="26">
        <v>0.1045</v>
      </c>
      <c r="K7799" s="26">
        <v>1.9E-2</v>
      </c>
      <c r="L7799" s="26">
        <v>7.4399999999999994E-2</v>
      </c>
      <c r="M7799" s="26">
        <v>4.7000000000000002E-3</v>
      </c>
      <c r="N7799" s="26">
        <v>1.5E-3</v>
      </c>
      <c r="O7799" s="26">
        <v>2.86E-2</v>
      </c>
      <c r="Q7799">
        <v>109</v>
      </c>
    </row>
    <row r="7800" spans="1:17" x14ac:dyDescent="0.35">
      <c r="A7800" t="s">
        <v>230</v>
      </c>
      <c r="B7800" t="s">
        <v>251</v>
      </c>
      <c r="C7800" s="26">
        <v>0.69</v>
      </c>
      <c r="D7800" s="26">
        <v>0.156</v>
      </c>
      <c r="E7800" s="26">
        <v>8.9399999999999993E-2</v>
      </c>
      <c r="F7800" s="26">
        <v>0.12130000000000001</v>
      </c>
      <c r="G7800" s="26">
        <v>9.5100000000000004E-2</v>
      </c>
      <c r="H7800" s="26">
        <v>6.2300000000000001E-2</v>
      </c>
      <c r="I7800" s="26">
        <v>4.9200000000000001E-2</v>
      </c>
      <c r="J7800" s="26">
        <v>5.4800000000000001E-2</v>
      </c>
      <c r="K7800" s="26">
        <v>4.3700000000000003E-2</v>
      </c>
      <c r="L7800" s="26">
        <v>7.51E-2</v>
      </c>
      <c r="M7800" s="26">
        <v>1.01E-2</v>
      </c>
      <c r="N7800" s="26">
        <v>4.2500000000000003E-2</v>
      </c>
      <c r="Q7800">
        <v>287</v>
      </c>
    </row>
    <row r="7801" spans="1:17" x14ac:dyDescent="0.35">
      <c r="A7801" t="s">
        <v>231</v>
      </c>
      <c r="B7801" t="s">
        <v>252</v>
      </c>
      <c r="C7801" s="26">
        <v>0.65310000000000001</v>
      </c>
      <c r="D7801" s="26">
        <v>0.12239999999999999</v>
      </c>
      <c r="E7801" s="26">
        <v>6.1199999999999997E-2</v>
      </c>
      <c r="F7801" s="26">
        <v>8.1600000000000006E-2</v>
      </c>
      <c r="G7801" s="26">
        <v>6.1199999999999997E-2</v>
      </c>
      <c r="H7801" s="26">
        <v>4.0800000000000003E-2</v>
      </c>
      <c r="I7801" s="26">
        <v>6.1199999999999997E-2</v>
      </c>
      <c r="J7801" s="26">
        <v>8.1600000000000006E-2</v>
      </c>
      <c r="K7801" s="26">
        <v>2.0400000000000001E-2</v>
      </c>
      <c r="M7801" s="26">
        <v>4.0800000000000003E-2</v>
      </c>
      <c r="Q7801">
        <v>49</v>
      </c>
    </row>
    <row r="7802" spans="1:17" x14ac:dyDescent="0.35">
      <c r="A7802" s="27" t="s">
        <v>231</v>
      </c>
      <c r="B7802" s="27" t="s">
        <v>253</v>
      </c>
      <c r="C7802" s="28">
        <v>0.78569999999999995</v>
      </c>
      <c r="D7802" s="28">
        <v>3.5700000000000003E-2</v>
      </c>
      <c r="E7802" s="28">
        <v>3.5700000000000003E-2</v>
      </c>
      <c r="F7802" s="28">
        <v>3.5700000000000003E-2</v>
      </c>
      <c r="G7802" s="28">
        <v>3.5700000000000003E-2</v>
      </c>
      <c r="H7802" s="28">
        <v>7.1400000000000005E-2</v>
      </c>
      <c r="I7802" s="29"/>
      <c r="J7802" s="28">
        <v>3.5700000000000003E-2</v>
      </c>
      <c r="K7802" s="28">
        <v>7.1400000000000005E-2</v>
      </c>
      <c r="L7802" s="28">
        <v>3.5700000000000003E-2</v>
      </c>
      <c r="M7802" s="29"/>
      <c r="N7802" s="29"/>
      <c r="O7802" s="29"/>
      <c r="P7802" s="29"/>
      <c r="Q7802" s="29" t="s">
        <v>336</v>
      </c>
    </row>
    <row r="7803" spans="1:17" x14ac:dyDescent="0.35">
      <c r="A7803" t="s">
        <v>231</v>
      </c>
      <c r="B7803" t="s">
        <v>251</v>
      </c>
      <c r="C7803" s="26">
        <v>0.70240000000000002</v>
      </c>
      <c r="D7803" s="26">
        <v>0.15479999999999999</v>
      </c>
      <c r="E7803" s="26">
        <v>0.1429</v>
      </c>
      <c r="F7803" s="26">
        <v>0.15479999999999999</v>
      </c>
      <c r="G7803" s="26">
        <v>0.11899999999999999</v>
      </c>
      <c r="H7803" s="26">
        <v>8.3299999999999999E-2</v>
      </c>
      <c r="I7803" s="26">
        <v>4.7600000000000003E-2</v>
      </c>
      <c r="J7803" s="26">
        <v>7.1400000000000005E-2</v>
      </c>
      <c r="K7803" s="26">
        <v>8.3299999999999999E-2</v>
      </c>
      <c r="L7803" s="26">
        <v>4.7600000000000003E-2</v>
      </c>
      <c r="M7803" s="26">
        <v>1.1900000000000001E-2</v>
      </c>
      <c r="N7803" s="26">
        <v>1.1900000000000001E-2</v>
      </c>
      <c r="Q7803">
        <v>84</v>
      </c>
    </row>
    <row r="7804" spans="1:17" x14ac:dyDescent="0.35">
      <c r="A7804" t="s">
        <v>232</v>
      </c>
      <c r="B7804" t="s">
        <v>232</v>
      </c>
      <c r="C7804" s="26">
        <v>0.7006</v>
      </c>
      <c r="D7804" s="26">
        <v>0.128</v>
      </c>
      <c r="E7804" s="26">
        <v>0.1031</v>
      </c>
      <c r="F7804" s="26">
        <v>0.10249999999999999</v>
      </c>
      <c r="G7804" s="26">
        <v>7.0099999999999996E-2</v>
      </c>
      <c r="H7804" s="26">
        <v>6.1899999999999997E-2</v>
      </c>
      <c r="I7804" s="26">
        <v>5.4199999999999998E-2</v>
      </c>
      <c r="J7804" s="26">
        <v>5.4100000000000002E-2</v>
      </c>
      <c r="K7804" s="26">
        <v>4.9599999999999998E-2</v>
      </c>
      <c r="L7804" s="26">
        <v>4.0099999999999997E-2</v>
      </c>
      <c r="M7804" s="26">
        <v>1.23E-2</v>
      </c>
      <c r="N7804" s="26">
        <v>6.4000000000000003E-3</v>
      </c>
      <c r="O7804" s="26">
        <v>2E-3</v>
      </c>
      <c r="P7804" s="26">
        <v>1.8E-3</v>
      </c>
      <c r="Q7804">
        <v>2795</v>
      </c>
    </row>
    <row r="7806" spans="1:17" x14ac:dyDescent="0.35">
      <c r="A7806" s="1" t="s">
        <v>1074</v>
      </c>
    </row>
    <row r="7807" spans="1:17" x14ac:dyDescent="0.35">
      <c r="A7807" t="s">
        <v>219</v>
      </c>
      <c r="B7807" t="s">
        <v>305</v>
      </c>
      <c r="C7807" t="s">
        <v>550</v>
      </c>
      <c r="D7807" t="s">
        <v>1058</v>
      </c>
      <c r="E7807" t="s">
        <v>1059</v>
      </c>
      <c r="F7807" t="s">
        <v>1060</v>
      </c>
      <c r="G7807" t="s">
        <v>1061</v>
      </c>
      <c r="H7807" t="s">
        <v>1062</v>
      </c>
      <c r="I7807" t="s">
        <v>1063</v>
      </c>
      <c r="J7807" t="s">
        <v>1064</v>
      </c>
      <c r="K7807" t="s">
        <v>1065</v>
      </c>
      <c r="L7807" t="s">
        <v>1066</v>
      </c>
      <c r="M7807" t="s">
        <v>281</v>
      </c>
      <c r="N7807" t="s">
        <v>1067</v>
      </c>
      <c r="O7807" t="s">
        <v>326</v>
      </c>
      <c r="P7807" t="s">
        <v>286</v>
      </c>
      <c r="Q7807" t="s">
        <v>226</v>
      </c>
    </row>
    <row r="7808" spans="1:17" x14ac:dyDescent="0.35">
      <c r="A7808" t="s">
        <v>227</v>
      </c>
      <c r="B7808" t="s">
        <v>249</v>
      </c>
      <c r="C7808" s="26">
        <v>0.70450000000000002</v>
      </c>
      <c r="D7808" s="26">
        <v>0.13639999999999999</v>
      </c>
      <c r="E7808" s="26">
        <v>0.11360000000000001</v>
      </c>
      <c r="F7808" s="26">
        <v>6.8199999999999997E-2</v>
      </c>
      <c r="G7808" s="26">
        <v>0.13639999999999999</v>
      </c>
      <c r="H7808" s="26">
        <v>9.0899999999999995E-2</v>
      </c>
      <c r="I7808" s="26">
        <v>6.8199999999999997E-2</v>
      </c>
      <c r="K7808" s="26">
        <v>6.8199999999999997E-2</v>
      </c>
      <c r="Q7808">
        <v>44</v>
      </c>
    </row>
    <row r="7809" spans="1:17" x14ac:dyDescent="0.35">
      <c r="A7809" t="s">
        <v>227</v>
      </c>
      <c r="B7809" t="s">
        <v>248</v>
      </c>
      <c r="C7809" s="26">
        <v>0.74360000000000004</v>
      </c>
      <c r="D7809" s="26">
        <v>0.1026</v>
      </c>
      <c r="E7809" s="26">
        <v>8.5500000000000007E-2</v>
      </c>
      <c r="F7809" s="26">
        <v>8.5500000000000007E-2</v>
      </c>
      <c r="G7809" s="26">
        <v>5.1299999999999998E-2</v>
      </c>
      <c r="H7809" s="26">
        <v>8.5000000000000006E-3</v>
      </c>
      <c r="I7809" s="26">
        <v>5.1299999999999998E-2</v>
      </c>
      <c r="J7809" s="26">
        <v>5.1299999999999998E-2</v>
      </c>
      <c r="K7809" s="26">
        <v>3.4200000000000001E-2</v>
      </c>
      <c r="L7809" s="26">
        <v>1.7100000000000001E-2</v>
      </c>
      <c r="Q7809">
        <v>117</v>
      </c>
    </row>
    <row r="7810" spans="1:17" x14ac:dyDescent="0.35">
      <c r="A7810" t="s">
        <v>228</v>
      </c>
      <c r="B7810" t="s">
        <v>249</v>
      </c>
      <c r="C7810" s="26">
        <v>0.6532</v>
      </c>
      <c r="D7810" s="26">
        <v>0.17829999999999999</v>
      </c>
      <c r="E7810" s="26">
        <v>0.13009999999999999</v>
      </c>
      <c r="F7810" s="26">
        <v>0.13519999999999999</v>
      </c>
      <c r="G7810" s="26">
        <v>6.3200000000000006E-2</v>
      </c>
      <c r="H7810" s="26">
        <v>0.1082</v>
      </c>
      <c r="I7810" s="26">
        <v>9.7299999999999998E-2</v>
      </c>
      <c r="J7810" s="26">
        <v>4.2900000000000001E-2</v>
      </c>
      <c r="K7810" s="26">
        <v>9.3899999999999997E-2</v>
      </c>
      <c r="L7810" s="26">
        <v>5.9400000000000001E-2</v>
      </c>
      <c r="M7810" s="26">
        <v>1.89E-2</v>
      </c>
      <c r="N7810" s="26">
        <v>3.4799999999999998E-2</v>
      </c>
      <c r="P7810" s="26">
        <v>1.23E-2</v>
      </c>
      <c r="Q7810">
        <v>274</v>
      </c>
    </row>
    <row r="7811" spans="1:17" x14ac:dyDescent="0.35">
      <c r="A7811" t="s">
        <v>228</v>
      </c>
      <c r="B7811" t="s">
        <v>248</v>
      </c>
      <c r="C7811" s="26">
        <v>0.6613</v>
      </c>
      <c r="D7811" s="26">
        <v>0.12889999999999999</v>
      </c>
      <c r="E7811" s="26">
        <v>0.1149</v>
      </c>
      <c r="F7811" s="26">
        <v>0.1235</v>
      </c>
      <c r="G7811" s="26">
        <v>5.5300000000000002E-2</v>
      </c>
      <c r="H7811" s="26">
        <v>7.1099999999999997E-2</v>
      </c>
      <c r="I7811" s="26">
        <v>5.7599999999999998E-2</v>
      </c>
      <c r="J7811" s="26">
        <v>4.19E-2</v>
      </c>
      <c r="K7811" s="26">
        <v>5.3800000000000001E-2</v>
      </c>
      <c r="L7811" s="26">
        <v>4.5199999999999997E-2</v>
      </c>
      <c r="M7811" s="26">
        <v>1.4200000000000001E-2</v>
      </c>
      <c r="N7811" s="26">
        <v>5.9999999999999995E-4</v>
      </c>
      <c r="O7811" s="26">
        <v>4.7999999999999996E-3</v>
      </c>
      <c r="P7811" s="26">
        <v>8.0000000000000004E-4</v>
      </c>
      <c r="Q7811">
        <v>753</v>
      </c>
    </row>
    <row r="7812" spans="1:17" x14ac:dyDescent="0.35">
      <c r="A7812" t="s">
        <v>229</v>
      </c>
      <c r="B7812" t="s">
        <v>249</v>
      </c>
      <c r="C7812" s="26">
        <v>0.74070000000000003</v>
      </c>
      <c r="D7812" s="26">
        <v>0.1447</v>
      </c>
      <c r="E7812" s="26">
        <v>0.1019</v>
      </c>
      <c r="F7812" s="26">
        <v>9.3299999999999994E-2</v>
      </c>
      <c r="G7812" s="26">
        <v>3.9199999999999999E-2</v>
      </c>
      <c r="H7812" s="26">
        <v>6.4000000000000001E-2</v>
      </c>
      <c r="I7812" s="26">
        <v>3.9E-2</v>
      </c>
      <c r="J7812" s="26">
        <v>3.9300000000000002E-2</v>
      </c>
      <c r="K7812" s="26">
        <v>3.09E-2</v>
      </c>
      <c r="L7812" s="26">
        <v>4.0599999999999997E-2</v>
      </c>
      <c r="M7812" s="26">
        <v>1E-3</v>
      </c>
      <c r="N7812" s="26">
        <v>3.5000000000000001E-3</v>
      </c>
      <c r="P7812" s="26">
        <v>9.1000000000000004E-3</v>
      </c>
      <c r="Q7812">
        <v>259</v>
      </c>
    </row>
    <row r="7813" spans="1:17" x14ac:dyDescent="0.35">
      <c r="A7813" t="s">
        <v>229</v>
      </c>
      <c r="B7813" t="s">
        <v>248</v>
      </c>
      <c r="C7813" s="26">
        <v>0.70530000000000004</v>
      </c>
      <c r="D7813" s="26">
        <v>0.1191</v>
      </c>
      <c r="E7813" s="26">
        <v>0.1052</v>
      </c>
      <c r="F7813" s="26">
        <v>8.3099999999999993E-2</v>
      </c>
      <c r="G7813" s="26">
        <v>6.1100000000000002E-2</v>
      </c>
      <c r="H7813" s="26">
        <v>5.3100000000000001E-2</v>
      </c>
      <c r="I7813" s="26">
        <v>5.67E-2</v>
      </c>
      <c r="J7813" s="26">
        <v>5.45E-2</v>
      </c>
      <c r="K7813" s="26">
        <v>3.6600000000000001E-2</v>
      </c>
      <c r="L7813" s="26">
        <v>5.1999999999999998E-2</v>
      </c>
      <c r="M7813" s="26">
        <v>1.7100000000000001E-2</v>
      </c>
      <c r="N7813" s="26">
        <v>5.0000000000000001E-4</v>
      </c>
      <c r="O7813" s="26">
        <v>3.7000000000000002E-3</v>
      </c>
      <c r="P7813" s="26">
        <v>5.0000000000000001E-4</v>
      </c>
      <c r="Q7813">
        <v>634</v>
      </c>
    </row>
    <row r="7814" spans="1:17" x14ac:dyDescent="0.35">
      <c r="A7814" t="s">
        <v>230</v>
      </c>
      <c r="B7814" t="s">
        <v>249</v>
      </c>
      <c r="C7814" s="26">
        <v>0.60819999999999996</v>
      </c>
      <c r="D7814" s="26">
        <v>0.22570000000000001</v>
      </c>
      <c r="E7814" s="26">
        <v>0.1275</v>
      </c>
      <c r="F7814" s="26">
        <v>0.18340000000000001</v>
      </c>
      <c r="G7814" s="26">
        <v>0.1143</v>
      </c>
      <c r="H7814" s="26">
        <v>9.1899999999999996E-2</v>
      </c>
      <c r="I7814" s="26">
        <v>7.5499999999999998E-2</v>
      </c>
      <c r="J7814" s="26">
        <v>7.2099999999999997E-2</v>
      </c>
      <c r="K7814" s="26">
        <v>4.8599999999999997E-2</v>
      </c>
      <c r="L7814" s="26">
        <v>9.8299999999999998E-2</v>
      </c>
      <c r="M7814" s="26">
        <v>1.6199999999999999E-2</v>
      </c>
      <c r="N7814" s="26">
        <v>6.9199999999999998E-2</v>
      </c>
      <c r="Q7814">
        <v>170</v>
      </c>
    </row>
    <row r="7815" spans="1:17" x14ac:dyDescent="0.35">
      <c r="A7815" t="s">
        <v>230</v>
      </c>
      <c r="B7815" t="s">
        <v>248</v>
      </c>
      <c r="C7815" s="26">
        <v>0.71919999999999995</v>
      </c>
      <c r="D7815" s="26">
        <v>8.6400000000000005E-2</v>
      </c>
      <c r="E7815" s="26">
        <v>7.5399999999999995E-2</v>
      </c>
      <c r="F7815" s="26">
        <v>7.0900000000000005E-2</v>
      </c>
      <c r="G7815" s="26">
        <v>7.6600000000000001E-2</v>
      </c>
      <c r="H7815" s="26">
        <v>5.4699999999999999E-2</v>
      </c>
      <c r="I7815" s="26">
        <v>5.2499999999999998E-2</v>
      </c>
      <c r="J7815" s="26">
        <v>8.2100000000000006E-2</v>
      </c>
      <c r="K7815" s="26">
        <v>2.7400000000000001E-2</v>
      </c>
      <c r="L7815" s="26">
        <v>5.0999999999999997E-2</v>
      </c>
      <c r="M7815" s="26">
        <v>4.1999999999999997E-3</v>
      </c>
      <c r="O7815" s="26">
        <v>9.7999999999999997E-3</v>
      </c>
      <c r="Q7815">
        <v>383</v>
      </c>
    </row>
    <row r="7816" spans="1:17" x14ac:dyDescent="0.35">
      <c r="A7816" t="s">
        <v>231</v>
      </c>
      <c r="B7816" t="s">
        <v>249</v>
      </c>
      <c r="C7816" s="26">
        <v>0.64710000000000001</v>
      </c>
      <c r="D7816" s="26">
        <v>0.17649999999999999</v>
      </c>
      <c r="E7816" s="26">
        <v>0.17649999999999999</v>
      </c>
      <c r="F7816" s="26">
        <v>0.1176</v>
      </c>
      <c r="G7816" s="26">
        <v>0.17649999999999999</v>
      </c>
      <c r="H7816" s="26">
        <v>2.9399999999999999E-2</v>
      </c>
      <c r="I7816" s="26">
        <v>2.9399999999999999E-2</v>
      </c>
      <c r="J7816" s="26">
        <v>8.8200000000000001E-2</v>
      </c>
      <c r="K7816" s="26">
        <v>5.8799999999999998E-2</v>
      </c>
      <c r="L7816" s="26">
        <v>2.9399999999999999E-2</v>
      </c>
      <c r="N7816" s="26">
        <v>2.9399999999999999E-2</v>
      </c>
      <c r="Q7816">
        <v>34</v>
      </c>
    </row>
    <row r="7817" spans="1:17" x14ac:dyDescent="0.35">
      <c r="A7817" t="s">
        <v>231</v>
      </c>
      <c r="B7817" t="s">
        <v>248</v>
      </c>
      <c r="C7817" s="26">
        <v>0.71650000000000003</v>
      </c>
      <c r="D7817" s="26">
        <v>0.11020000000000001</v>
      </c>
      <c r="E7817" s="26">
        <v>7.8700000000000006E-2</v>
      </c>
      <c r="F7817" s="26">
        <v>0.11020000000000001</v>
      </c>
      <c r="G7817" s="26">
        <v>6.3E-2</v>
      </c>
      <c r="H7817" s="26">
        <v>7.8700000000000006E-2</v>
      </c>
      <c r="I7817" s="26">
        <v>4.7199999999999999E-2</v>
      </c>
      <c r="J7817" s="26">
        <v>6.3E-2</v>
      </c>
      <c r="K7817" s="26">
        <v>6.3E-2</v>
      </c>
      <c r="L7817" s="26">
        <v>3.15E-2</v>
      </c>
      <c r="M7817" s="26">
        <v>2.3599999999999999E-2</v>
      </c>
      <c r="Q7817">
        <v>127</v>
      </c>
    </row>
    <row r="7818" spans="1:17" x14ac:dyDescent="0.35">
      <c r="A7818" t="s">
        <v>232</v>
      </c>
      <c r="B7818" t="s">
        <v>232</v>
      </c>
      <c r="C7818" s="26">
        <v>0.7006</v>
      </c>
      <c r="D7818" s="26">
        <v>0.128</v>
      </c>
      <c r="E7818" s="26">
        <v>0.1031</v>
      </c>
      <c r="F7818" s="26">
        <v>0.10249999999999999</v>
      </c>
      <c r="G7818" s="26">
        <v>7.0099999999999996E-2</v>
      </c>
      <c r="H7818" s="26">
        <v>6.1899999999999997E-2</v>
      </c>
      <c r="I7818" s="26">
        <v>5.4199999999999998E-2</v>
      </c>
      <c r="J7818" s="26">
        <v>5.4100000000000002E-2</v>
      </c>
      <c r="K7818" s="26">
        <v>4.9599999999999998E-2</v>
      </c>
      <c r="L7818" s="26">
        <v>4.0099999999999997E-2</v>
      </c>
      <c r="M7818" s="26">
        <v>1.23E-2</v>
      </c>
      <c r="N7818" s="26">
        <v>6.4000000000000003E-3</v>
      </c>
      <c r="O7818" s="26">
        <v>2E-3</v>
      </c>
      <c r="P7818" s="26">
        <v>1.8E-3</v>
      </c>
      <c r="Q7818">
        <v>2795</v>
      </c>
    </row>
    <row r="7820" spans="1:17" x14ac:dyDescent="0.35">
      <c r="A7820" s="1" t="s">
        <v>1075</v>
      </c>
    </row>
    <row r="7821" spans="1:17" x14ac:dyDescent="0.35">
      <c r="A7821" t="s">
        <v>219</v>
      </c>
      <c r="B7821" t="s">
        <v>305</v>
      </c>
      <c r="C7821" t="s">
        <v>550</v>
      </c>
      <c r="D7821" t="s">
        <v>1058</v>
      </c>
      <c r="E7821" t="s">
        <v>1059</v>
      </c>
      <c r="F7821" t="s">
        <v>1060</v>
      </c>
      <c r="G7821" t="s">
        <v>1061</v>
      </c>
      <c r="H7821" t="s">
        <v>1062</v>
      </c>
      <c r="I7821" t="s">
        <v>1063</v>
      </c>
      <c r="J7821" t="s">
        <v>1064</v>
      </c>
      <c r="K7821" t="s">
        <v>1065</v>
      </c>
      <c r="L7821" t="s">
        <v>1066</v>
      </c>
      <c r="M7821" t="s">
        <v>281</v>
      </c>
      <c r="N7821" t="s">
        <v>1067</v>
      </c>
      <c r="O7821" t="s">
        <v>326</v>
      </c>
      <c r="P7821" t="s">
        <v>286</v>
      </c>
      <c r="Q7821" t="s">
        <v>226</v>
      </c>
    </row>
    <row r="7822" spans="1:17" x14ac:dyDescent="0.35">
      <c r="A7822" s="27" t="s">
        <v>227</v>
      </c>
      <c r="B7822" s="27" t="s">
        <v>263</v>
      </c>
      <c r="C7822" s="28">
        <v>0.66669999999999996</v>
      </c>
      <c r="D7822" s="29"/>
      <c r="E7822" s="28">
        <v>0.33329999999999999</v>
      </c>
      <c r="F7822" s="28">
        <v>0.33329999999999999</v>
      </c>
      <c r="G7822" s="29"/>
      <c r="H7822" s="29"/>
      <c r="I7822" s="29"/>
      <c r="J7822" s="29"/>
      <c r="K7822" s="29"/>
      <c r="L7822" s="29"/>
      <c r="M7822" s="29"/>
      <c r="N7822" s="29"/>
      <c r="O7822" s="29"/>
      <c r="P7822" s="29"/>
      <c r="Q7822" s="29" t="s">
        <v>315</v>
      </c>
    </row>
    <row r="7823" spans="1:17" x14ac:dyDescent="0.35">
      <c r="A7823" t="s">
        <v>227</v>
      </c>
      <c r="B7823" t="s">
        <v>261</v>
      </c>
      <c r="C7823" s="26">
        <v>0.78790000000000004</v>
      </c>
      <c r="D7823" s="26">
        <v>9.0899999999999995E-2</v>
      </c>
      <c r="E7823" s="26">
        <v>6.0600000000000001E-2</v>
      </c>
      <c r="F7823" s="26">
        <v>3.0300000000000001E-2</v>
      </c>
      <c r="G7823" s="26">
        <v>3.0300000000000001E-2</v>
      </c>
      <c r="J7823" s="26">
        <v>9.0899999999999995E-2</v>
      </c>
      <c r="K7823" s="26">
        <v>3.0300000000000001E-2</v>
      </c>
      <c r="Q7823">
        <v>33</v>
      </c>
    </row>
    <row r="7824" spans="1:17" x14ac:dyDescent="0.35">
      <c r="A7824" s="27" t="s">
        <v>227</v>
      </c>
      <c r="B7824" s="27" t="s">
        <v>262</v>
      </c>
      <c r="C7824" s="28">
        <v>0.66669999999999996</v>
      </c>
      <c r="D7824" s="29"/>
      <c r="E7824" s="28">
        <v>0.33329999999999999</v>
      </c>
      <c r="F7824" s="29"/>
      <c r="G7824" s="29"/>
      <c r="H7824" s="29"/>
      <c r="I7824" s="29"/>
      <c r="J7824" s="29"/>
      <c r="K7824" s="29"/>
      <c r="L7824" s="29"/>
      <c r="M7824" s="29"/>
      <c r="N7824" s="29"/>
      <c r="O7824" s="29"/>
      <c r="P7824" s="29"/>
      <c r="Q7824" s="29" t="s">
        <v>315</v>
      </c>
    </row>
    <row r="7825" spans="1:17" x14ac:dyDescent="0.35">
      <c r="A7825" t="s">
        <v>227</v>
      </c>
      <c r="B7825" t="s">
        <v>260</v>
      </c>
      <c r="C7825" s="26">
        <v>0.72130000000000005</v>
      </c>
      <c r="D7825" s="26">
        <v>0.123</v>
      </c>
      <c r="E7825" s="26">
        <v>9.0200000000000002E-2</v>
      </c>
      <c r="F7825" s="26">
        <v>9.0200000000000002E-2</v>
      </c>
      <c r="G7825" s="26">
        <v>9.0200000000000002E-2</v>
      </c>
      <c r="H7825" s="26">
        <v>4.1000000000000002E-2</v>
      </c>
      <c r="I7825" s="26">
        <v>7.3800000000000004E-2</v>
      </c>
      <c r="J7825" s="26">
        <v>2.46E-2</v>
      </c>
      <c r="K7825" s="26">
        <v>4.9200000000000001E-2</v>
      </c>
      <c r="L7825" s="26">
        <v>1.6400000000000001E-2</v>
      </c>
      <c r="Q7825">
        <v>122</v>
      </c>
    </row>
    <row r="7826" spans="1:17" x14ac:dyDescent="0.35">
      <c r="A7826" t="s">
        <v>228</v>
      </c>
      <c r="B7826" t="s">
        <v>261</v>
      </c>
      <c r="C7826" s="26">
        <v>0.51029999999999998</v>
      </c>
      <c r="D7826" s="26">
        <v>0.18390000000000001</v>
      </c>
      <c r="E7826" s="26">
        <v>0.18970000000000001</v>
      </c>
      <c r="F7826" s="26">
        <v>0.20250000000000001</v>
      </c>
      <c r="G7826" s="26">
        <v>9.8500000000000004E-2</v>
      </c>
      <c r="H7826" s="26">
        <v>0.2011</v>
      </c>
      <c r="I7826" s="26">
        <v>0.10920000000000001</v>
      </c>
      <c r="J7826" s="26">
        <v>7.0900000000000005E-2</v>
      </c>
      <c r="K7826" s="26">
        <v>0.17230000000000001</v>
      </c>
      <c r="L7826" s="26">
        <v>7.9600000000000004E-2</v>
      </c>
      <c r="M7826" s="26">
        <v>8.8000000000000005E-3</v>
      </c>
      <c r="N7826" s="26">
        <v>2.7099999999999999E-2</v>
      </c>
      <c r="P7826" s="26">
        <v>1.7100000000000001E-2</v>
      </c>
      <c r="Q7826">
        <v>192</v>
      </c>
    </row>
    <row r="7827" spans="1:17" x14ac:dyDescent="0.35">
      <c r="A7827" s="27" t="s">
        <v>228</v>
      </c>
      <c r="B7827" s="27" t="s">
        <v>263</v>
      </c>
      <c r="C7827" s="28">
        <v>0.90249999999999997</v>
      </c>
      <c r="D7827" s="28">
        <v>5.5300000000000002E-2</v>
      </c>
      <c r="E7827" s="29"/>
      <c r="F7827" s="28">
        <v>1.2999999999999999E-2</v>
      </c>
      <c r="G7827" s="28">
        <v>2.93E-2</v>
      </c>
      <c r="H7827" s="29"/>
      <c r="I7827" s="29"/>
      <c r="J7827" s="28">
        <v>1.2999999999999999E-2</v>
      </c>
      <c r="K7827" s="29"/>
      <c r="L7827" s="29"/>
      <c r="M7827" s="29"/>
      <c r="N7827" s="29"/>
      <c r="O7827" s="29"/>
      <c r="P7827" s="29"/>
      <c r="Q7827" s="29" t="s">
        <v>312</v>
      </c>
    </row>
    <row r="7828" spans="1:17" x14ac:dyDescent="0.35">
      <c r="A7828" s="27" t="s">
        <v>228</v>
      </c>
      <c r="B7828" s="27" t="s">
        <v>236</v>
      </c>
      <c r="C7828" s="28">
        <v>6.6500000000000004E-2</v>
      </c>
      <c r="D7828" s="28">
        <v>0.36049999999999999</v>
      </c>
      <c r="E7828" s="28">
        <v>0.18790000000000001</v>
      </c>
      <c r="F7828" s="28">
        <v>0.72189999999999999</v>
      </c>
      <c r="G7828" s="29"/>
      <c r="H7828" s="28">
        <v>3.9E-2</v>
      </c>
      <c r="I7828" s="29"/>
      <c r="J7828" s="28">
        <v>3.9E-2</v>
      </c>
      <c r="K7828" s="29"/>
      <c r="L7828" s="29"/>
      <c r="M7828" s="29"/>
      <c r="N7828" s="29"/>
      <c r="O7828" s="29"/>
      <c r="P7828" s="29"/>
      <c r="Q7828" s="29" t="s">
        <v>335</v>
      </c>
    </row>
    <row r="7829" spans="1:17" x14ac:dyDescent="0.35">
      <c r="A7829" t="s">
        <v>228</v>
      </c>
      <c r="B7829" t="s">
        <v>262</v>
      </c>
      <c r="C7829" s="26">
        <v>0.68240000000000001</v>
      </c>
      <c r="D7829" s="26">
        <v>0.1638</v>
      </c>
      <c r="E7829" s="26">
        <v>0.1149</v>
      </c>
      <c r="F7829" s="26">
        <v>8.1699999999999995E-2</v>
      </c>
      <c r="G7829" s="26">
        <v>4.8099999999999997E-2</v>
      </c>
      <c r="H7829" s="26">
        <v>3.4700000000000002E-2</v>
      </c>
      <c r="I7829" s="26">
        <v>9.3399999999999997E-2</v>
      </c>
      <c r="J7829" s="26">
        <v>3.1199999999999999E-2</v>
      </c>
      <c r="K7829" s="26">
        <v>5.3999999999999999E-2</v>
      </c>
      <c r="L7829" s="26">
        <v>4.6600000000000003E-2</v>
      </c>
      <c r="M7829" s="26">
        <v>6.4999999999999997E-3</v>
      </c>
      <c r="N7829" s="26">
        <v>1.0500000000000001E-2</v>
      </c>
      <c r="P7829" s="26">
        <v>2.2000000000000001E-3</v>
      </c>
      <c r="Q7829">
        <v>198</v>
      </c>
    </row>
    <row r="7830" spans="1:17" x14ac:dyDescent="0.35">
      <c r="A7830" t="s">
        <v>228</v>
      </c>
      <c r="B7830" t="s">
        <v>260</v>
      </c>
      <c r="C7830" s="26">
        <v>0.69850000000000001</v>
      </c>
      <c r="D7830" s="26">
        <v>0.12609999999999999</v>
      </c>
      <c r="E7830" s="26">
        <v>0.1013</v>
      </c>
      <c r="F7830" s="26">
        <v>0.11260000000000001</v>
      </c>
      <c r="G7830" s="26">
        <v>4.87E-2</v>
      </c>
      <c r="H7830" s="26">
        <v>6.0100000000000001E-2</v>
      </c>
      <c r="I7830" s="26">
        <v>5.33E-2</v>
      </c>
      <c r="J7830" s="26">
        <v>3.6900000000000002E-2</v>
      </c>
      <c r="K7830" s="26">
        <v>3.78E-2</v>
      </c>
      <c r="L7830" s="26">
        <v>4.2700000000000002E-2</v>
      </c>
      <c r="M7830" s="26">
        <v>2.0799999999999999E-2</v>
      </c>
      <c r="N7830" s="26">
        <v>6.1999999999999998E-3</v>
      </c>
      <c r="O7830" s="26">
        <v>5.4000000000000003E-3</v>
      </c>
      <c r="P7830" s="26">
        <v>8.9999999999999998E-4</v>
      </c>
      <c r="Q7830">
        <v>606</v>
      </c>
    </row>
    <row r="7831" spans="1:17" x14ac:dyDescent="0.35">
      <c r="A7831" s="27" t="s">
        <v>229</v>
      </c>
      <c r="B7831" s="27" t="s">
        <v>263</v>
      </c>
      <c r="C7831" s="28">
        <v>0.65390000000000004</v>
      </c>
      <c r="D7831" s="28">
        <v>0.19040000000000001</v>
      </c>
      <c r="E7831" s="29"/>
      <c r="F7831" s="28">
        <v>0.15570000000000001</v>
      </c>
      <c r="G7831" s="29"/>
      <c r="H7831" s="28">
        <v>0.19040000000000001</v>
      </c>
      <c r="I7831" s="29"/>
      <c r="J7831" s="29"/>
      <c r="K7831" s="29"/>
      <c r="L7831" s="29"/>
      <c r="M7831" s="29"/>
      <c r="N7831" s="29"/>
      <c r="O7831" s="29"/>
      <c r="P7831" s="29"/>
      <c r="Q7831" s="29" t="s">
        <v>379</v>
      </c>
    </row>
    <row r="7832" spans="1:17" x14ac:dyDescent="0.35">
      <c r="A7832" t="s">
        <v>229</v>
      </c>
      <c r="B7832" t="s">
        <v>262</v>
      </c>
      <c r="C7832" s="26">
        <v>0.74419999999999997</v>
      </c>
      <c r="D7832" s="26">
        <v>0.12540000000000001</v>
      </c>
      <c r="E7832" s="26">
        <v>0.1235</v>
      </c>
      <c r="F7832" s="26">
        <v>6.08E-2</v>
      </c>
      <c r="G7832" s="26">
        <v>3.32E-2</v>
      </c>
      <c r="H7832" s="26">
        <v>3.6700000000000003E-2</v>
      </c>
      <c r="I7832" s="26">
        <v>5.2499999999999998E-2</v>
      </c>
      <c r="J7832" s="26">
        <v>5.7599999999999998E-2</v>
      </c>
      <c r="K7832" s="26">
        <v>4.7000000000000002E-3</v>
      </c>
      <c r="L7832" s="26">
        <v>3.5499999999999997E-2</v>
      </c>
      <c r="N7832" s="26">
        <v>2.3999999999999998E-3</v>
      </c>
      <c r="P7832" s="26">
        <v>1.1999999999999999E-3</v>
      </c>
      <c r="Q7832">
        <v>188</v>
      </c>
    </row>
    <row r="7833" spans="1:17" x14ac:dyDescent="0.35">
      <c r="A7833" t="s">
        <v>229</v>
      </c>
      <c r="B7833" t="s">
        <v>261</v>
      </c>
      <c r="C7833" s="26">
        <v>0.53920000000000001</v>
      </c>
      <c r="D7833" s="26">
        <v>0.27960000000000002</v>
      </c>
      <c r="E7833" s="26">
        <v>0.1757</v>
      </c>
      <c r="F7833" s="26">
        <v>0.18920000000000001</v>
      </c>
      <c r="G7833" s="26">
        <v>9.0499999999999997E-2</v>
      </c>
      <c r="H7833" s="26">
        <v>0.1502</v>
      </c>
      <c r="I7833" s="26">
        <v>7.85E-2</v>
      </c>
      <c r="J7833" s="26">
        <v>0.10100000000000001</v>
      </c>
      <c r="K7833" s="26">
        <v>8.2100000000000006E-2</v>
      </c>
      <c r="L7833" s="26">
        <v>9.5500000000000002E-2</v>
      </c>
      <c r="M7833" s="26">
        <v>2.0199999999999999E-2</v>
      </c>
      <c r="P7833" s="26">
        <v>2.0199999999999999E-2</v>
      </c>
      <c r="Q7833">
        <v>96</v>
      </c>
    </row>
    <row r="7834" spans="1:17" x14ac:dyDescent="0.35">
      <c r="A7834" s="27" t="s">
        <v>229</v>
      </c>
      <c r="B7834" s="27" t="s">
        <v>236</v>
      </c>
      <c r="C7834" s="28">
        <v>1</v>
      </c>
      <c r="D7834" s="29"/>
      <c r="E7834" s="29"/>
      <c r="F7834" s="29"/>
      <c r="G7834" s="29"/>
      <c r="H7834" s="29"/>
      <c r="I7834" s="29"/>
      <c r="J7834" s="29"/>
      <c r="K7834" s="29"/>
      <c r="L7834" s="29"/>
      <c r="M7834" s="29"/>
      <c r="N7834" s="29"/>
      <c r="O7834" s="29"/>
      <c r="P7834" s="29"/>
      <c r="Q7834" s="29" t="s">
        <v>331</v>
      </c>
    </row>
    <row r="7835" spans="1:17" x14ac:dyDescent="0.35">
      <c r="A7835" t="s">
        <v>229</v>
      </c>
      <c r="B7835" t="s">
        <v>260</v>
      </c>
      <c r="C7835" s="26">
        <v>0.75309999999999999</v>
      </c>
      <c r="D7835" s="26">
        <v>8.5500000000000007E-2</v>
      </c>
      <c r="E7835" s="26">
        <v>7.8700000000000006E-2</v>
      </c>
      <c r="F7835" s="26">
        <v>6.9500000000000006E-2</v>
      </c>
      <c r="G7835" s="26">
        <v>5.6399999999999999E-2</v>
      </c>
      <c r="H7835" s="26">
        <v>3.6999999999999998E-2</v>
      </c>
      <c r="I7835" s="26">
        <v>4.4499999999999998E-2</v>
      </c>
      <c r="J7835" s="26">
        <v>3.3300000000000003E-2</v>
      </c>
      <c r="K7835" s="26">
        <v>3.8399999999999997E-2</v>
      </c>
      <c r="L7835" s="26">
        <v>4.3700000000000003E-2</v>
      </c>
      <c r="M7835" s="26">
        <v>1.6E-2</v>
      </c>
      <c r="N7835" s="26">
        <v>1.5E-3</v>
      </c>
      <c r="O7835" s="26">
        <v>4.4999999999999997E-3</v>
      </c>
      <c r="Q7835">
        <v>594</v>
      </c>
    </row>
    <row r="7836" spans="1:17" x14ac:dyDescent="0.35">
      <c r="A7836" s="27" t="s">
        <v>230</v>
      </c>
      <c r="B7836" s="27" t="s">
        <v>236</v>
      </c>
      <c r="C7836" s="28">
        <v>0.11899999999999999</v>
      </c>
      <c r="D7836" s="29"/>
      <c r="E7836" s="29"/>
      <c r="F7836" s="29"/>
      <c r="G7836" s="28">
        <v>3.6600000000000001E-2</v>
      </c>
      <c r="H7836" s="28">
        <v>0.12189999999999999</v>
      </c>
      <c r="I7836" s="28">
        <v>0.72240000000000004</v>
      </c>
      <c r="J7836" s="29"/>
      <c r="K7836" s="29"/>
      <c r="L7836" s="29"/>
      <c r="M7836" s="29"/>
      <c r="N7836" s="29"/>
      <c r="O7836" s="29"/>
      <c r="P7836" s="29"/>
      <c r="Q7836" s="29" t="s">
        <v>337</v>
      </c>
    </row>
    <row r="7837" spans="1:17" x14ac:dyDescent="0.35">
      <c r="A7837" t="s">
        <v>230</v>
      </c>
      <c r="B7837" t="s">
        <v>262</v>
      </c>
      <c r="C7837" s="26">
        <v>0.66449999999999998</v>
      </c>
      <c r="D7837" s="26">
        <v>0.11070000000000001</v>
      </c>
      <c r="E7837" s="26">
        <v>0.1159</v>
      </c>
      <c r="F7837" s="26">
        <v>9.9699999999999997E-2</v>
      </c>
      <c r="G7837" s="26">
        <v>0.1207</v>
      </c>
      <c r="H7837" s="26">
        <v>6.1600000000000002E-2</v>
      </c>
      <c r="I7837" s="26">
        <v>8.5199999999999998E-2</v>
      </c>
      <c r="J7837" s="26">
        <v>0.11269999999999999</v>
      </c>
      <c r="K7837" s="26">
        <v>6.7299999999999999E-2</v>
      </c>
      <c r="L7837" s="26">
        <v>8.1199999999999994E-2</v>
      </c>
      <c r="M7837" s="26">
        <v>5.8999999999999999E-3</v>
      </c>
      <c r="N7837" s="26">
        <v>3.5799999999999998E-2</v>
      </c>
      <c r="Q7837">
        <v>122</v>
      </c>
    </row>
    <row r="7838" spans="1:17" x14ac:dyDescent="0.35">
      <c r="A7838" t="s">
        <v>230</v>
      </c>
      <c r="B7838" t="s">
        <v>261</v>
      </c>
      <c r="C7838" s="26">
        <v>0.54179999999999995</v>
      </c>
      <c r="D7838" s="26">
        <v>0.23910000000000001</v>
      </c>
      <c r="E7838" s="26">
        <v>8.2500000000000004E-2</v>
      </c>
      <c r="F7838" s="26">
        <v>0.15640000000000001</v>
      </c>
      <c r="G7838" s="26">
        <v>1.9E-2</v>
      </c>
      <c r="H7838" s="26">
        <v>0.1193</v>
      </c>
      <c r="I7838" s="26">
        <v>1.7100000000000001E-2</v>
      </c>
      <c r="J7838" s="26">
        <v>8.0399999999999999E-2</v>
      </c>
      <c r="K7838" s="26">
        <v>2.92E-2</v>
      </c>
      <c r="L7838" s="26">
        <v>0.1172</v>
      </c>
      <c r="M7838" s="26">
        <v>4.3999999999999997E-2</v>
      </c>
      <c r="N7838" s="26">
        <v>4.6199999999999998E-2</v>
      </c>
      <c r="Q7838">
        <v>54</v>
      </c>
    </row>
    <row r="7839" spans="1:17" x14ac:dyDescent="0.35">
      <c r="A7839" s="27" t="s">
        <v>230</v>
      </c>
      <c r="B7839" s="27" t="s">
        <v>263</v>
      </c>
      <c r="C7839" s="28">
        <v>0.35299999999999998</v>
      </c>
      <c r="D7839" s="28">
        <v>0.43630000000000002</v>
      </c>
      <c r="E7839" s="28">
        <v>0.15620000000000001</v>
      </c>
      <c r="F7839" s="28">
        <v>0.43630000000000002</v>
      </c>
      <c r="G7839" s="28">
        <v>0.40279999999999999</v>
      </c>
      <c r="H7839" s="28">
        <v>0.34710000000000002</v>
      </c>
      <c r="I7839" s="28">
        <v>0.36380000000000001</v>
      </c>
      <c r="J7839" s="28">
        <v>0.13950000000000001</v>
      </c>
      <c r="K7839" s="28">
        <v>7.1199999999999999E-2</v>
      </c>
      <c r="L7839" s="28">
        <v>0.49199999999999999</v>
      </c>
      <c r="M7839" s="29"/>
      <c r="N7839" s="29"/>
      <c r="O7839" s="29"/>
      <c r="P7839" s="29"/>
      <c r="Q7839" s="29" t="s">
        <v>312</v>
      </c>
    </row>
    <row r="7840" spans="1:17" x14ac:dyDescent="0.35">
      <c r="A7840" t="s">
        <v>230</v>
      </c>
      <c r="B7840" t="s">
        <v>260</v>
      </c>
      <c r="C7840" s="26">
        <v>0.72440000000000004</v>
      </c>
      <c r="D7840" s="26">
        <v>0.1143</v>
      </c>
      <c r="E7840" s="26">
        <v>8.9599999999999999E-2</v>
      </c>
      <c r="F7840" s="26">
        <v>9.6199999999999994E-2</v>
      </c>
      <c r="G7840" s="26">
        <v>8.8300000000000003E-2</v>
      </c>
      <c r="H7840" s="26">
        <v>5.1999999999999998E-2</v>
      </c>
      <c r="I7840" s="26">
        <v>4.8099999999999997E-2</v>
      </c>
      <c r="J7840" s="26">
        <v>7.0199999999999999E-2</v>
      </c>
      <c r="K7840" s="26">
        <v>2.7900000000000001E-2</v>
      </c>
      <c r="L7840" s="26">
        <v>4.5499999999999999E-2</v>
      </c>
      <c r="M7840" s="26">
        <v>2.7000000000000001E-3</v>
      </c>
      <c r="N7840" s="26">
        <v>1.7600000000000001E-2</v>
      </c>
      <c r="O7840" s="26">
        <v>9.2999999999999992E-3</v>
      </c>
      <c r="Q7840">
        <v>348</v>
      </c>
    </row>
    <row r="7841" spans="1:17" x14ac:dyDescent="0.35">
      <c r="A7841" s="27" t="s">
        <v>231</v>
      </c>
      <c r="B7841" s="27" t="s">
        <v>263</v>
      </c>
      <c r="C7841" s="29"/>
      <c r="D7841" s="28">
        <v>0.5</v>
      </c>
      <c r="E7841" s="28">
        <v>1</v>
      </c>
      <c r="F7841" s="28">
        <v>1</v>
      </c>
      <c r="G7841" s="29"/>
      <c r="H7841" s="29"/>
      <c r="I7841" s="28">
        <v>0.5</v>
      </c>
      <c r="J7841" s="28">
        <v>0.5</v>
      </c>
      <c r="K7841" s="29"/>
      <c r="L7841" s="29"/>
      <c r="M7841" s="29"/>
      <c r="N7841" s="29"/>
      <c r="O7841" s="29"/>
      <c r="P7841" s="29"/>
      <c r="Q7841" s="29" t="s">
        <v>314</v>
      </c>
    </row>
    <row r="7842" spans="1:17" x14ac:dyDescent="0.35">
      <c r="A7842" t="s">
        <v>231</v>
      </c>
      <c r="B7842" t="s">
        <v>260</v>
      </c>
      <c r="C7842" s="26">
        <v>0.69669999999999999</v>
      </c>
      <c r="D7842" s="26">
        <v>0.123</v>
      </c>
      <c r="E7842" s="26">
        <v>7.3800000000000004E-2</v>
      </c>
      <c r="F7842" s="26">
        <v>9.8400000000000001E-2</v>
      </c>
      <c r="G7842" s="26">
        <v>0.1148</v>
      </c>
      <c r="H7842" s="26">
        <v>5.74E-2</v>
      </c>
      <c r="I7842" s="26">
        <v>4.1000000000000002E-2</v>
      </c>
      <c r="J7842" s="26">
        <v>5.74E-2</v>
      </c>
      <c r="K7842" s="26">
        <v>5.74E-2</v>
      </c>
      <c r="L7842" s="26">
        <v>4.1000000000000002E-2</v>
      </c>
      <c r="M7842" s="26">
        <v>2.46E-2</v>
      </c>
      <c r="N7842" s="26">
        <v>8.2000000000000007E-3</v>
      </c>
      <c r="Q7842">
        <v>122</v>
      </c>
    </row>
    <row r="7843" spans="1:17" x14ac:dyDescent="0.35">
      <c r="A7843" s="27" t="s">
        <v>231</v>
      </c>
      <c r="B7843" s="27" t="s">
        <v>261</v>
      </c>
      <c r="C7843" s="28">
        <v>0.65380000000000005</v>
      </c>
      <c r="D7843" s="28">
        <v>0.15379999999999999</v>
      </c>
      <c r="E7843" s="28">
        <v>0.1923</v>
      </c>
      <c r="F7843" s="28">
        <v>0.15379999999999999</v>
      </c>
      <c r="G7843" s="29"/>
      <c r="H7843" s="28">
        <v>0.15379999999999999</v>
      </c>
      <c r="I7843" s="28">
        <v>3.85E-2</v>
      </c>
      <c r="J7843" s="28">
        <v>0.1154</v>
      </c>
      <c r="K7843" s="28">
        <v>0.1154</v>
      </c>
      <c r="L7843" s="29"/>
      <c r="M7843" s="29"/>
      <c r="N7843" s="29"/>
      <c r="O7843" s="29"/>
      <c r="P7843" s="29"/>
      <c r="Q7843" s="29" t="s">
        <v>357</v>
      </c>
    </row>
    <row r="7844" spans="1:17" x14ac:dyDescent="0.35">
      <c r="A7844" s="27" t="s">
        <v>231</v>
      </c>
      <c r="B7844" s="27" t="s">
        <v>262</v>
      </c>
      <c r="C7844" s="28">
        <v>1</v>
      </c>
      <c r="D7844" s="29"/>
      <c r="E7844" s="29"/>
      <c r="F7844" s="29"/>
      <c r="G7844" s="29"/>
      <c r="H7844" s="29"/>
      <c r="I7844" s="29"/>
      <c r="J7844" s="29"/>
      <c r="K7844" s="29"/>
      <c r="L7844" s="29"/>
      <c r="M7844" s="29"/>
      <c r="N7844" s="29"/>
      <c r="O7844" s="29"/>
      <c r="P7844" s="29"/>
      <c r="Q7844" s="29" t="s">
        <v>352</v>
      </c>
    </row>
    <row r="7845" spans="1:17" x14ac:dyDescent="0.35">
      <c r="A7845" t="s">
        <v>232</v>
      </c>
      <c r="B7845" t="s">
        <v>232</v>
      </c>
      <c r="C7845" s="26">
        <v>0.7006</v>
      </c>
      <c r="D7845" s="26">
        <v>0.128</v>
      </c>
      <c r="E7845" s="26">
        <v>0.1031</v>
      </c>
      <c r="F7845" s="26">
        <v>0.10249999999999999</v>
      </c>
      <c r="G7845" s="26">
        <v>7.0099999999999996E-2</v>
      </c>
      <c r="H7845" s="26">
        <v>6.1899999999999997E-2</v>
      </c>
      <c r="I7845" s="26">
        <v>5.4199999999999998E-2</v>
      </c>
      <c r="J7845" s="26">
        <v>5.4100000000000002E-2</v>
      </c>
      <c r="K7845" s="26">
        <v>4.9599999999999998E-2</v>
      </c>
      <c r="L7845" s="26">
        <v>4.0099999999999997E-2</v>
      </c>
      <c r="M7845" s="26">
        <v>1.23E-2</v>
      </c>
      <c r="N7845" s="26">
        <v>6.4000000000000003E-3</v>
      </c>
      <c r="O7845" s="26">
        <v>2E-3</v>
      </c>
      <c r="P7845" s="26">
        <v>1.8E-3</v>
      </c>
      <c r="Q7845">
        <v>2795</v>
      </c>
    </row>
    <row r="7847" spans="1:17" x14ac:dyDescent="0.35">
      <c r="A7847" s="1" t="s">
        <v>1076</v>
      </c>
    </row>
    <row r="7848" spans="1:17" x14ac:dyDescent="0.35">
      <c r="A7848" t="s">
        <v>219</v>
      </c>
      <c r="B7848" t="s">
        <v>305</v>
      </c>
      <c r="C7848" t="s">
        <v>550</v>
      </c>
      <c r="D7848" t="s">
        <v>1058</v>
      </c>
      <c r="E7848" t="s">
        <v>1059</v>
      </c>
      <c r="F7848" t="s">
        <v>1060</v>
      </c>
      <c r="G7848" t="s">
        <v>1061</v>
      </c>
      <c r="H7848" t="s">
        <v>1062</v>
      </c>
      <c r="I7848" t="s">
        <v>1063</v>
      </c>
      <c r="J7848" t="s">
        <v>1064</v>
      </c>
      <c r="K7848" t="s">
        <v>1065</v>
      </c>
      <c r="L7848" t="s">
        <v>1066</v>
      </c>
      <c r="M7848" t="s">
        <v>281</v>
      </c>
      <c r="N7848" t="s">
        <v>1067</v>
      </c>
      <c r="O7848" t="s">
        <v>326</v>
      </c>
      <c r="P7848" t="s">
        <v>286</v>
      </c>
      <c r="Q7848" t="s">
        <v>226</v>
      </c>
    </row>
    <row r="7849" spans="1:17" x14ac:dyDescent="0.35">
      <c r="A7849" t="s">
        <v>227</v>
      </c>
      <c r="B7849" t="s">
        <v>368</v>
      </c>
      <c r="C7849" s="26">
        <v>0.78790000000000004</v>
      </c>
      <c r="D7849" s="26">
        <v>9.0899999999999995E-2</v>
      </c>
      <c r="E7849" s="26">
        <v>6.0600000000000001E-2</v>
      </c>
      <c r="F7849" s="26">
        <v>3.0300000000000001E-2</v>
      </c>
      <c r="G7849" s="26">
        <v>3.0300000000000001E-2</v>
      </c>
      <c r="J7849" s="26">
        <v>9.0899999999999995E-2</v>
      </c>
      <c r="K7849" s="26">
        <v>3.0300000000000001E-2</v>
      </c>
      <c r="Q7849">
        <v>33</v>
      </c>
    </row>
    <row r="7850" spans="1:17" x14ac:dyDescent="0.35">
      <c r="A7850" t="s">
        <v>227</v>
      </c>
      <c r="B7850" t="s">
        <v>369</v>
      </c>
      <c r="C7850" s="26">
        <v>0.71879999999999999</v>
      </c>
      <c r="D7850" s="26">
        <v>0.1172</v>
      </c>
      <c r="E7850" s="26">
        <v>0.1016</v>
      </c>
      <c r="F7850" s="26">
        <v>9.3799999999999994E-2</v>
      </c>
      <c r="G7850" s="26">
        <v>8.5900000000000004E-2</v>
      </c>
      <c r="H7850" s="26">
        <v>3.9100000000000003E-2</v>
      </c>
      <c r="I7850" s="26">
        <v>7.0300000000000001E-2</v>
      </c>
      <c r="J7850" s="26">
        <v>2.3400000000000001E-2</v>
      </c>
      <c r="K7850" s="26">
        <v>4.6899999999999997E-2</v>
      </c>
      <c r="L7850" s="26">
        <v>1.5599999999999999E-2</v>
      </c>
      <c r="Q7850">
        <v>128</v>
      </c>
    </row>
    <row r="7851" spans="1:17" x14ac:dyDescent="0.35">
      <c r="A7851" t="s">
        <v>228</v>
      </c>
      <c r="B7851" t="s">
        <v>368</v>
      </c>
      <c r="C7851" s="26">
        <v>0.51029999999999998</v>
      </c>
      <c r="D7851" s="26">
        <v>0.18390000000000001</v>
      </c>
      <c r="E7851" s="26">
        <v>0.18970000000000001</v>
      </c>
      <c r="F7851" s="26">
        <v>0.20250000000000001</v>
      </c>
      <c r="G7851" s="26">
        <v>9.8500000000000004E-2</v>
      </c>
      <c r="H7851" s="26">
        <v>0.2011</v>
      </c>
      <c r="I7851" s="26">
        <v>0.10920000000000001</v>
      </c>
      <c r="J7851" s="26">
        <v>7.0900000000000005E-2</v>
      </c>
      <c r="K7851" s="26">
        <v>0.17230000000000001</v>
      </c>
      <c r="L7851" s="26">
        <v>7.9600000000000004E-2</v>
      </c>
      <c r="M7851" s="26">
        <v>8.8000000000000005E-3</v>
      </c>
      <c r="N7851" s="26">
        <v>2.7099999999999999E-2</v>
      </c>
      <c r="P7851" s="26">
        <v>1.7100000000000001E-2</v>
      </c>
      <c r="Q7851">
        <v>192</v>
      </c>
    </row>
    <row r="7852" spans="1:17" x14ac:dyDescent="0.35">
      <c r="A7852" t="s">
        <v>228</v>
      </c>
      <c r="B7852" t="s">
        <v>369</v>
      </c>
      <c r="C7852" s="26">
        <v>0.69499999999999995</v>
      </c>
      <c r="D7852" s="26">
        <v>0.13400000000000001</v>
      </c>
      <c r="E7852" s="26">
        <v>0.1024</v>
      </c>
      <c r="F7852" s="26">
        <v>0.1087</v>
      </c>
      <c r="G7852" s="26">
        <v>4.7699999999999999E-2</v>
      </c>
      <c r="H7852" s="26">
        <v>5.3400000000000003E-2</v>
      </c>
      <c r="I7852" s="26">
        <v>5.9900000000000002E-2</v>
      </c>
      <c r="J7852" s="26">
        <v>3.5200000000000002E-2</v>
      </c>
      <c r="K7852" s="26">
        <v>0.04</v>
      </c>
      <c r="L7852" s="26">
        <v>4.2200000000000001E-2</v>
      </c>
      <c r="M7852" s="26">
        <v>1.7299999999999999E-2</v>
      </c>
      <c r="N7852" s="26">
        <v>6.8999999999999999E-3</v>
      </c>
      <c r="O7852" s="26">
        <v>4.1000000000000003E-3</v>
      </c>
      <c r="P7852" s="26">
        <v>1.1000000000000001E-3</v>
      </c>
      <c r="Q7852">
        <v>835</v>
      </c>
    </row>
    <row r="7853" spans="1:17" x14ac:dyDescent="0.35">
      <c r="A7853" t="s">
        <v>229</v>
      </c>
      <c r="B7853" t="s">
        <v>368</v>
      </c>
      <c r="C7853" s="26">
        <v>0.53920000000000001</v>
      </c>
      <c r="D7853" s="26">
        <v>0.27960000000000002</v>
      </c>
      <c r="E7853" s="26">
        <v>0.1757</v>
      </c>
      <c r="F7853" s="26">
        <v>0.18920000000000001</v>
      </c>
      <c r="G7853" s="26">
        <v>9.0499999999999997E-2</v>
      </c>
      <c r="H7853" s="26">
        <v>0.1502</v>
      </c>
      <c r="I7853" s="26">
        <v>7.85E-2</v>
      </c>
      <c r="J7853" s="26">
        <v>0.10100000000000001</v>
      </c>
      <c r="K7853" s="26">
        <v>8.2100000000000006E-2</v>
      </c>
      <c r="L7853" s="26">
        <v>9.5500000000000002E-2</v>
      </c>
      <c r="M7853" s="26">
        <v>2.0199999999999999E-2</v>
      </c>
      <c r="P7853" s="26">
        <v>2.0199999999999999E-2</v>
      </c>
      <c r="Q7853">
        <v>96</v>
      </c>
    </row>
    <row r="7854" spans="1:17" x14ac:dyDescent="0.35">
      <c r="A7854" t="s">
        <v>229</v>
      </c>
      <c r="B7854" t="s">
        <v>369</v>
      </c>
      <c r="C7854" s="26">
        <v>0.748</v>
      </c>
      <c r="D7854" s="26">
        <v>0.10100000000000001</v>
      </c>
      <c r="E7854" s="26">
        <v>9.1600000000000001E-2</v>
      </c>
      <c r="F7854" s="26">
        <v>6.8599999999999994E-2</v>
      </c>
      <c r="G7854" s="26">
        <v>4.7500000000000001E-2</v>
      </c>
      <c r="H7854" s="26">
        <v>4.0399999999999998E-2</v>
      </c>
      <c r="I7854" s="26">
        <v>4.6100000000000002E-2</v>
      </c>
      <c r="J7854" s="26">
        <v>4.0500000000000001E-2</v>
      </c>
      <c r="K7854" s="26">
        <v>2.6499999999999999E-2</v>
      </c>
      <c r="L7854" s="26">
        <v>0.04</v>
      </c>
      <c r="M7854" s="26">
        <v>1.04E-2</v>
      </c>
      <c r="N7854" s="26">
        <v>1.6999999999999999E-3</v>
      </c>
      <c r="O7854" s="26">
        <v>2.8999999999999998E-3</v>
      </c>
      <c r="P7854" s="26">
        <v>4.0000000000000002E-4</v>
      </c>
      <c r="Q7854">
        <v>797</v>
      </c>
    </row>
    <row r="7855" spans="1:17" x14ac:dyDescent="0.35">
      <c r="A7855" t="s">
        <v>230</v>
      </c>
      <c r="B7855" t="s">
        <v>368</v>
      </c>
      <c r="C7855" s="26">
        <v>0.54179999999999995</v>
      </c>
      <c r="D7855" s="26">
        <v>0.23910000000000001</v>
      </c>
      <c r="E7855" s="26">
        <v>8.2500000000000004E-2</v>
      </c>
      <c r="F7855" s="26">
        <v>0.15640000000000001</v>
      </c>
      <c r="G7855" s="26">
        <v>1.9E-2</v>
      </c>
      <c r="H7855" s="26">
        <v>0.1193</v>
      </c>
      <c r="I7855" s="26">
        <v>1.7100000000000001E-2</v>
      </c>
      <c r="J7855" s="26">
        <v>8.0399999999999999E-2</v>
      </c>
      <c r="K7855" s="26">
        <v>2.92E-2</v>
      </c>
      <c r="L7855" s="26">
        <v>0.1172</v>
      </c>
      <c r="M7855" s="26">
        <v>4.3999999999999997E-2</v>
      </c>
      <c r="N7855" s="26">
        <v>4.6199999999999998E-2</v>
      </c>
      <c r="Q7855">
        <v>54</v>
      </c>
    </row>
    <row r="7856" spans="1:17" x14ac:dyDescent="0.35">
      <c r="A7856" t="s">
        <v>230</v>
      </c>
      <c r="B7856" t="s">
        <v>369</v>
      </c>
      <c r="C7856" s="26">
        <v>0.70140000000000002</v>
      </c>
      <c r="D7856" s="26">
        <v>0.1188</v>
      </c>
      <c r="E7856" s="26">
        <v>9.4700000000000006E-2</v>
      </c>
      <c r="F7856" s="26">
        <v>0.10249999999999999</v>
      </c>
      <c r="G7856" s="26">
        <v>9.9599999999999994E-2</v>
      </c>
      <c r="H7856" s="26">
        <v>0.06</v>
      </c>
      <c r="I7856" s="26">
        <v>6.6600000000000006E-2</v>
      </c>
      <c r="J7856" s="26">
        <v>7.8399999999999997E-2</v>
      </c>
      <c r="K7856" s="26">
        <v>3.5400000000000001E-2</v>
      </c>
      <c r="L7856" s="26">
        <v>0.06</v>
      </c>
      <c r="M7856" s="26">
        <v>3.2000000000000002E-3</v>
      </c>
      <c r="N7856" s="26">
        <v>2.0400000000000001E-2</v>
      </c>
      <c r="O7856" s="26">
        <v>7.4000000000000003E-3</v>
      </c>
      <c r="Q7856">
        <v>499</v>
      </c>
    </row>
    <row r="7857" spans="1:17" x14ac:dyDescent="0.35">
      <c r="A7857" s="27" t="s">
        <v>231</v>
      </c>
      <c r="B7857" s="27" t="s">
        <v>368</v>
      </c>
      <c r="C7857" s="28">
        <v>0.65380000000000005</v>
      </c>
      <c r="D7857" s="28">
        <v>0.15379999999999999</v>
      </c>
      <c r="E7857" s="28">
        <v>0.1923</v>
      </c>
      <c r="F7857" s="28">
        <v>0.15379999999999999</v>
      </c>
      <c r="G7857" s="29"/>
      <c r="H7857" s="28">
        <v>0.15379999999999999</v>
      </c>
      <c r="I7857" s="28">
        <v>3.85E-2</v>
      </c>
      <c r="J7857" s="28">
        <v>0.1154</v>
      </c>
      <c r="K7857" s="28">
        <v>0.1154</v>
      </c>
      <c r="L7857" s="29"/>
      <c r="M7857" s="29"/>
      <c r="N7857" s="29"/>
      <c r="O7857" s="29"/>
      <c r="P7857" s="29"/>
      <c r="Q7857" s="29" t="s">
        <v>357</v>
      </c>
    </row>
    <row r="7858" spans="1:17" x14ac:dyDescent="0.35">
      <c r="A7858" t="s">
        <v>231</v>
      </c>
      <c r="B7858" t="s">
        <v>369</v>
      </c>
      <c r="C7858" s="26">
        <v>0.71109999999999995</v>
      </c>
      <c r="D7858" s="26">
        <v>0.11849999999999999</v>
      </c>
      <c r="E7858" s="26">
        <v>8.1500000000000003E-2</v>
      </c>
      <c r="F7858" s="26">
        <v>0.1037</v>
      </c>
      <c r="G7858" s="26">
        <v>0.1037</v>
      </c>
      <c r="H7858" s="26">
        <v>5.1900000000000002E-2</v>
      </c>
      <c r="I7858" s="26">
        <v>4.4400000000000002E-2</v>
      </c>
      <c r="J7858" s="26">
        <v>5.9299999999999999E-2</v>
      </c>
      <c r="K7858" s="26">
        <v>5.1900000000000002E-2</v>
      </c>
      <c r="L7858" s="26">
        <v>3.6999999999999998E-2</v>
      </c>
      <c r="M7858" s="26">
        <v>2.2200000000000001E-2</v>
      </c>
      <c r="N7858" s="26">
        <v>7.4000000000000003E-3</v>
      </c>
      <c r="Q7858">
        <v>135</v>
      </c>
    </row>
    <row r="7859" spans="1:17" x14ac:dyDescent="0.35">
      <c r="A7859" t="s">
        <v>232</v>
      </c>
      <c r="B7859" t="s">
        <v>232</v>
      </c>
      <c r="C7859" s="26">
        <v>0.7006</v>
      </c>
      <c r="D7859" s="26">
        <v>0.128</v>
      </c>
      <c r="E7859" s="26">
        <v>0.1031</v>
      </c>
      <c r="F7859" s="26">
        <v>0.10249999999999999</v>
      </c>
      <c r="G7859" s="26">
        <v>7.0099999999999996E-2</v>
      </c>
      <c r="H7859" s="26">
        <v>6.1899999999999997E-2</v>
      </c>
      <c r="I7859" s="26">
        <v>5.4199999999999998E-2</v>
      </c>
      <c r="J7859" s="26">
        <v>5.4100000000000002E-2</v>
      </c>
      <c r="K7859" s="26">
        <v>4.9599999999999998E-2</v>
      </c>
      <c r="L7859" s="26">
        <v>4.0099999999999997E-2</v>
      </c>
      <c r="M7859" s="26">
        <v>1.23E-2</v>
      </c>
      <c r="N7859" s="26">
        <v>6.4000000000000003E-3</v>
      </c>
      <c r="O7859" s="26">
        <v>2E-3</v>
      </c>
      <c r="P7859" s="26">
        <v>1.8E-3</v>
      </c>
      <c r="Q7859">
        <v>2795</v>
      </c>
    </row>
    <row r="7861" spans="1:17" x14ac:dyDescent="0.35">
      <c r="A7861" s="1" t="s">
        <v>1077</v>
      </c>
    </row>
    <row r="7862" spans="1:17" x14ac:dyDescent="0.35">
      <c r="A7862" t="s">
        <v>219</v>
      </c>
      <c r="B7862" t="s">
        <v>305</v>
      </c>
      <c r="C7862" t="s">
        <v>550</v>
      </c>
      <c r="D7862" t="s">
        <v>1058</v>
      </c>
      <c r="E7862" t="s">
        <v>1059</v>
      </c>
      <c r="F7862" t="s">
        <v>1060</v>
      </c>
      <c r="G7862" t="s">
        <v>1061</v>
      </c>
      <c r="H7862" t="s">
        <v>1062</v>
      </c>
      <c r="I7862" t="s">
        <v>1063</v>
      </c>
      <c r="J7862" t="s">
        <v>1064</v>
      </c>
      <c r="K7862" t="s">
        <v>1065</v>
      </c>
      <c r="L7862" t="s">
        <v>1066</v>
      </c>
      <c r="M7862" t="s">
        <v>281</v>
      </c>
      <c r="N7862" t="s">
        <v>1067</v>
      </c>
      <c r="O7862" t="s">
        <v>326</v>
      </c>
      <c r="P7862" t="s">
        <v>286</v>
      </c>
      <c r="Q7862" t="s">
        <v>226</v>
      </c>
    </row>
    <row r="7863" spans="1:17" x14ac:dyDescent="0.35">
      <c r="A7863" t="s">
        <v>227</v>
      </c>
      <c r="B7863" t="s">
        <v>371</v>
      </c>
      <c r="C7863" s="26">
        <v>0.7329</v>
      </c>
      <c r="D7863" s="26">
        <v>0.1118</v>
      </c>
      <c r="E7863" s="26">
        <v>9.3200000000000005E-2</v>
      </c>
      <c r="F7863" s="26">
        <v>8.0699999999999994E-2</v>
      </c>
      <c r="G7863" s="26">
        <v>7.4499999999999997E-2</v>
      </c>
      <c r="H7863" s="26">
        <v>3.1099999999999999E-2</v>
      </c>
      <c r="I7863" s="26">
        <v>5.5899999999999998E-2</v>
      </c>
      <c r="J7863" s="26">
        <v>3.73E-2</v>
      </c>
      <c r="K7863" s="26">
        <v>4.3499999999999997E-2</v>
      </c>
      <c r="L7863" s="26">
        <v>1.24E-2</v>
      </c>
      <c r="Q7863">
        <v>161</v>
      </c>
    </row>
    <row r="7864" spans="1:17" x14ac:dyDescent="0.35">
      <c r="A7864" t="s">
        <v>228</v>
      </c>
      <c r="B7864" t="s">
        <v>371</v>
      </c>
      <c r="C7864" s="26">
        <v>0.63649999999999995</v>
      </c>
      <c r="D7864" s="26">
        <v>0.14319999999999999</v>
      </c>
      <c r="E7864" s="26">
        <v>0.1167</v>
      </c>
      <c r="F7864" s="26">
        <v>0.13850000000000001</v>
      </c>
      <c r="G7864" s="26">
        <v>4.9099999999999998E-2</v>
      </c>
      <c r="H7864" s="26">
        <v>9.4399999999999998E-2</v>
      </c>
      <c r="I7864" s="26">
        <v>8.1299999999999997E-2</v>
      </c>
      <c r="J7864" s="26">
        <v>4.6699999999999998E-2</v>
      </c>
      <c r="K7864" s="26">
        <v>8.9300000000000004E-2</v>
      </c>
      <c r="L7864" s="26">
        <v>5.6599999999999998E-2</v>
      </c>
      <c r="M7864" s="26">
        <v>1.9099999999999999E-2</v>
      </c>
      <c r="N7864" s="26">
        <v>7.1000000000000004E-3</v>
      </c>
      <c r="O7864" s="26">
        <v>6.4000000000000003E-3</v>
      </c>
      <c r="P7864" s="26">
        <v>7.0000000000000001E-3</v>
      </c>
      <c r="Q7864">
        <v>292</v>
      </c>
    </row>
    <row r="7865" spans="1:17" x14ac:dyDescent="0.35">
      <c r="A7865" t="s">
        <v>228</v>
      </c>
      <c r="B7865" t="s">
        <v>372</v>
      </c>
      <c r="C7865" s="26">
        <v>0.59109999999999996</v>
      </c>
      <c r="D7865" s="26">
        <v>0.1759</v>
      </c>
      <c r="E7865" s="26">
        <v>0.15970000000000001</v>
      </c>
      <c r="F7865" s="26">
        <v>0.16250000000000001</v>
      </c>
      <c r="G7865" s="26">
        <v>0.1275</v>
      </c>
      <c r="H7865" s="26">
        <v>9.3899999999999997E-2</v>
      </c>
      <c r="I7865" s="26">
        <v>7.9100000000000004E-2</v>
      </c>
      <c r="J7865" s="26">
        <v>5.3400000000000003E-2</v>
      </c>
      <c r="K7865" s="26">
        <v>5.0599999999999999E-2</v>
      </c>
      <c r="L7865" s="26">
        <v>5.7799999999999997E-2</v>
      </c>
      <c r="M7865" s="26">
        <v>1.7100000000000001E-2</v>
      </c>
      <c r="N7865" s="26">
        <v>9.7999999999999997E-3</v>
      </c>
      <c r="Q7865">
        <v>217</v>
      </c>
    </row>
    <row r="7866" spans="1:17" x14ac:dyDescent="0.35">
      <c r="A7866" t="s">
        <v>228</v>
      </c>
      <c r="B7866" t="s">
        <v>373</v>
      </c>
      <c r="C7866" s="26">
        <v>0.70379999999999998</v>
      </c>
      <c r="D7866" s="26">
        <v>0.13739999999999999</v>
      </c>
      <c r="E7866" s="26">
        <v>0.1145</v>
      </c>
      <c r="F7866" s="26">
        <v>0.10390000000000001</v>
      </c>
      <c r="G7866" s="26">
        <v>5.3999999999999999E-2</v>
      </c>
      <c r="H7866" s="26">
        <v>6.3399999999999998E-2</v>
      </c>
      <c r="I7866" s="26">
        <v>5.1499999999999997E-2</v>
      </c>
      <c r="J7866" s="26">
        <v>3.3599999999999998E-2</v>
      </c>
      <c r="K7866" s="26">
        <v>3.7600000000000001E-2</v>
      </c>
      <c r="L7866" s="26">
        <v>3.8100000000000002E-2</v>
      </c>
      <c r="M7866" s="26">
        <v>1.06E-2</v>
      </c>
      <c r="N7866" s="26">
        <v>1.61E-2</v>
      </c>
      <c r="P7866" s="26">
        <v>1.4E-3</v>
      </c>
      <c r="Q7866">
        <v>518</v>
      </c>
    </row>
    <row r="7867" spans="1:17" x14ac:dyDescent="0.35">
      <c r="A7867" t="s">
        <v>229</v>
      </c>
      <c r="B7867" t="s">
        <v>371</v>
      </c>
      <c r="C7867" s="26">
        <v>0.71650000000000003</v>
      </c>
      <c r="D7867" s="26">
        <v>0.13039999999999999</v>
      </c>
      <c r="E7867" s="26">
        <v>0.1055</v>
      </c>
      <c r="F7867" s="26">
        <v>8.6199999999999999E-2</v>
      </c>
      <c r="G7867" s="26">
        <v>5.16E-2</v>
      </c>
      <c r="H7867" s="26">
        <v>5.7299999999999997E-2</v>
      </c>
      <c r="I7867" s="26">
        <v>0.05</v>
      </c>
      <c r="J7867" s="26">
        <v>4.99E-2</v>
      </c>
      <c r="K7867" s="26">
        <v>3.3599999999999998E-2</v>
      </c>
      <c r="L7867" s="26">
        <v>4.9399999999999999E-2</v>
      </c>
      <c r="M7867" s="26">
        <v>1.21E-2</v>
      </c>
      <c r="N7867" s="26">
        <v>2.0000000000000001E-4</v>
      </c>
      <c r="O7867" s="26">
        <v>2.7000000000000001E-3</v>
      </c>
      <c r="P7867" s="26">
        <v>3.2000000000000002E-3</v>
      </c>
      <c r="Q7867">
        <v>583</v>
      </c>
    </row>
    <row r="7868" spans="1:17" x14ac:dyDescent="0.35">
      <c r="A7868" t="s">
        <v>229</v>
      </c>
      <c r="B7868" t="s">
        <v>372</v>
      </c>
      <c r="C7868" s="26">
        <v>0.70320000000000005</v>
      </c>
      <c r="D7868" s="26">
        <v>0.1157</v>
      </c>
      <c r="E7868" s="26">
        <v>9.3899999999999997E-2</v>
      </c>
      <c r="F7868" s="26">
        <v>0.1052</v>
      </c>
      <c r="G7868" s="26">
        <v>7.5899999999999995E-2</v>
      </c>
      <c r="H7868" s="26">
        <v>5.6099999999999997E-2</v>
      </c>
      <c r="I7868" s="26">
        <v>7.3899999999999993E-2</v>
      </c>
      <c r="J7868" s="26">
        <v>6.25E-2</v>
      </c>
      <c r="K7868" s="26">
        <v>6.1699999999999998E-2</v>
      </c>
      <c r="L7868" s="26">
        <v>4.0800000000000003E-2</v>
      </c>
      <c r="M7868" s="26">
        <v>6.6E-3</v>
      </c>
      <c r="N7868" s="26">
        <v>2.6499999999999999E-2</v>
      </c>
      <c r="P7868" s="26">
        <v>6.6E-3</v>
      </c>
      <c r="Q7868">
        <v>220</v>
      </c>
    </row>
    <row r="7869" spans="1:17" x14ac:dyDescent="0.35">
      <c r="A7869" t="s">
        <v>229</v>
      </c>
      <c r="B7869" t="s">
        <v>373</v>
      </c>
      <c r="C7869" s="26">
        <v>0.75919999999999999</v>
      </c>
      <c r="D7869" s="26">
        <v>4.9299999999999997E-2</v>
      </c>
      <c r="E7869" s="26">
        <v>7.3999999999999996E-2</v>
      </c>
      <c r="F7869" s="26">
        <v>6.1600000000000002E-2</v>
      </c>
      <c r="G7869" s="26">
        <v>9.2600000000000002E-2</v>
      </c>
      <c r="H7869" s="26">
        <v>3.6999999999999998E-2</v>
      </c>
      <c r="I7869" s="26">
        <v>3.73E-2</v>
      </c>
      <c r="J7869" s="26">
        <v>1.23E-2</v>
      </c>
      <c r="K7869" s="26">
        <v>2.47E-2</v>
      </c>
      <c r="L7869" s="26">
        <v>2.47E-2</v>
      </c>
      <c r="M7869" s="26">
        <v>1.23E-2</v>
      </c>
      <c r="Q7869">
        <v>90</v>
      </c>
    </row>
    <row r="7870" spans="1:17" x14ac:dyDescent="0.35">
      <c r="A7870" t="s">
        <v>230</v>
      </c>
      <c r="B7870" t="s">
        <v>371</v>
      </c>
      <c r="C7870" s="26">
        <v>0.68410000000000004</v>
      </c>
      <c r="D7870" s="26">
        <v>0.14249999999999999</v>
      </c>
      <c r="E7870" s="26">
        <v>8.4400000000000003E-2</v>
      </c>
      <c r="F7870" s="26">
        <v>0.1106</v>
      </c>
      <c r="G7870" s="26">
        <v>9.0200000000000002E-2</v>
      </c>
      <c r="H7870" s="26">
        <v>6.8400000000000002E-2</v>
      </c>
      <c r="I7870" s="26">
        <v>6.2700000000000006E-2</v>
      </c>
      <c r="J7870" s="26">
        <v>8.1000000000000003E-2</v>
      </c>
      <c r="K7870" s="26">
        <v>3.1899999999999998E-2</v>
      </c>
      <c r="L7870" s="26">
        <v>7.2999999999999995E-2</v>
      </c>
      <c r="M7870" s="26">
        <v>8.0000000000000002E-3</v>
      </c>
      <c r="N7870" s="26">
        <v>2.7300000000000001E-2</v>
      </c>
      <c r="O7870" s="26">
        <v>6.7999999999999996E-3</v>
      </c>
      <c r="Q7870">
        <v>257</v>
      </c>
    </row>
    <row r="7871" spans="1:17" x14ac:dyDescent="0.35">
      <c r="A7871" t="s">
        <v>230</v>
      </c>
      <c r="B7871" t="s">
        <v>372</v>
      </c>
      <c r="C7871" s="26">
        <v>0.58340000000000003</v>
      </c>
      <c r="D7871" s="26">
        <v>0.12659999999999999</v>
      </c>
      <c r="E7871" s="26">
        <v>0.15029999999999999</v>
      </c>
      <c r="F7871" s="26">
        <v>9.5899999999999999E-2</v>
      </c>
      <c r="G7871" s="26">
        <v>0.15859999999999999</v>
      </c>
      <c r="H7871" s="26">
        <v>9.4700000000000006E-2</v>
      </c>
      <c r="I7871" s="26">
        <v>3.7900000000000003E-2</v>
      </c>
      <c r="J7871" s="26">
        <v>9.7000000000000003E-2</v>
      </c>
      <c r="K7871" s="26">
        <v>9.4999999999999998E-3</v>
      </c>
      <c r="L7871" s="26">
        <v>0.1041</v>
      </c>
      <c r="N7871" s="26">
        <v>9.4999999999999998E-3</v>
      </c>
      <c r="Q7871">
        <v>146</v>
      </c>
    </row>
    <row r="7872" spans="1:17" x14ac:dyDescent="0.35">
      <c r="A7872" t="s">
        <v>230</v>
      </c>
      <c r="B7872" t="s">
        <v>373</v>
      </c>
      <c r="C7872" s="26">
        <v>0.70820000000000005</v>
      </c>
      <c r="D7872" s="26">
        <v>8.3699999999999997E-2</v>
      </c>
      <c r="E7872" s="26">
        <v>0.1217</v>
      </c>
      <c r="F7872" s="26">
        <v>0.1075</v>
      </c>
      <c r="G7872" s="26">
        <v>5.3499999999999999E-2</v>
      </c>
      <c r="H7872" s="26">
        <v>4.9099999999999998E-2</v>
      </c>
      <c r="I7872" s="26">
        <v>5.62E-2</v>
      </c>
      <c r="J7872" s="26">
        <v>5.62E-2</v>
      </c>
      <c r="K7872" s="26">
        <v>6.3200000000000006E-2</v>
      </c>
      <c r="L7872" s="26">
        <v>1.4E-2</v>
      </c>
      <c r="M7872" s="26">
        <v>1.4E-2</v>
      </c>
      <c r="N7872" s="26">
        <v>7.0000000000000001E-3</v>
      </c>
      <c r="O7872" s="26">
        <v>7.0000000000000001E-3</v>
      </c>
      <c r="Q7872">
        <v>150</v>
      </c>
    </row>
    <row r="7873" spans="1:17" x14ac:dyDescent="0.35">
      <c r="A7873" t="s">
        <v>231</v>
      </c>
      <c r="B7873" t="s">
        <v>371</v>
      </c>
      <c r="C7873" s="26">
        <v>0.70189999999999997</v>
      </c>
      <c r="D7873" s="26">
        <v>0.1242</v>
      </c>
      <c r="E7873" s="26">
        <v>9.9400000000000002E-2</v>
      </c>
      <c r="F7873" s="26">
        <v>0.1118</v>
      </c>
      <c r="G7873" s="26">
        <v>8.6999999999999994E-2</v>
      </c>
      <c r="H7873" s="26">
        <v>6.83E-2</v>
      </c>
      <c r="I7873" s="26">
        <v>4.3499999999999997E-2</v>
      </c>
      <c r="J7873" s="26">
        <v>6.83E-2</v>
      </c>
      <c r="K7873" s="26">
        <v>6.2100000000000002E-2</v>
      </c>
      <c r="L7873" s="26">
        <v>3.1099999999999999E-2</v>
      </c>
      <c r="M7873" s="26">
        <v>1.8599999999999998E-2</v>
      </c>
      <c r="N7873" s="26">
        <v>6.1999999999999998E-3</v>
      </c>
      <c r="Q7873">
        <v>161</v>
      </c>
    </row>
    <row r="7874" spans="1:17" x14ac:dyDescent="0.35">
      <c r="A7874" t="s">
        <v>232</v>
      </c>
      <c r="B7874" t="s">
        <v>232</v>
      </c>
      <c r="C7874" s="26">
        <v>0.7006</v>
      </c>
      <c r="D7874" s="26">
        <v>0.128</v>
      </c>
      <c r="E7874" s="26">
        <v>0.1031</v>
      </c>
      <c r="F7874" s="26">
        <v>0.10249999999999999</v>
      </c>
      <c r="G7874" s="26">
        <v>7.0099999999999996E-2</v>
      </c>
      <c r="H7874" s="26">
        <v>6.1899999999999997E-2</v>
      </c>
      <c r="I7874" s="26">
        <v>5.4199999999999998E-2</v>
      </c>
      <c r="J7874" s="26">
        <v>5.4100000000000002E-2</v>
      </c>
      <c r="K7874" s="26">
        <v>4.9599999999999998E-2</v>
      </c>
      <c r="L7874" s="26">
        <v>4.0099999999999997E-2</v>
      </c>
      <c r="M7874" s="26">
        <v>1.23E-2</v>
      </c>
      <c r="N7874" s="26">
        <v>6.4000000000000003E-3</v>
      </c>
      <c r="O7874" s="26">
        <v>2E-3</v>
      </c>
      <c r="P7874" s="26">
        <v>1.8E-3</v>
      </c>
      <c r="Q7874">
        <v>2795</v>
      </c>
    </row>
    <row r="7876" spans="1:17" x14ac:dyDescent="0.35">
      <c r="A7876" s="1" t="s">
        <v>1078</v>
      </c>
    </row>
    <row r="7877" spans="1:17" x14ac:dyDescent="0.35">
      <c r="A7877" t="s">
        <v>219</v>
      </c>
      <c r="B7877" t="s">
        <v>305</v>
      </c>
      <c r="C7877" t="s">
        <v>550</v>
      </c>
      <c r="D7877" t="s">
        <v>1058</v>
      </c>
      <c r="E7877" t="s">
        <v>1059</v>
      </c>
      <c r="F7877" t="s">
        <v>1060</v>
      </c>
      <c r="G7877" t="s">
        <v>1061</v>
      </c>
      <c r="H7877" t="s">
        <v>1062</v>
      </c>
      <c r="I7877" t="s">
        <v>1063</v>
      </c>
      <c r="J7877" t="s">
        <v>1064</v>
      </c>
      <c r="K7877" t="s">
        <v>1065</v>
      </c>
      <c r="L7877" t="s">
        <v>1066</v>
      </c>
      <c r="M7877" t="s">
        <v>281</v>
      </c>
      <c r="N7877" t="s">
        <v>1067</v>
      </c>
      <c r="O7877" t="s">
        <v>326</v>
      </c>
      <c r="P7877" t="s">
        <v>286</v>
      </c>
      <c r="Q7877" t="s">
        <v>226</v>
      </c>
    </row>
    <row r="7878" spans="1:17" x14ac:dyDescent="0.35">
      <c r="A7878" t="s">
        <v>227</v>
      </c>
      <c r="B7878" t="s">
        <v>255</v>
      </c>
      <c r="C7878" s="26">
        <v>0.74360000000000004</v>
      </c>
      <c r="D7878" s="26">
        <v>0.1026</v>
      </c>
      <c r="E7878" s="26">
        <v>8.5500000000000007E-2</v>
      </c>
      <c r="F7878" s="26">
        <v>8.5500000000000007E-2</v>
      </c>
      <c r="G7878" s="26">
        <v>5.1299999999999998E-2</v>
      </c>
      <c r="H7878" s="26">
        <v>8.5000000000000006E-3</v>
      </c>
      <c r="I7878" s="26">
        <v>5.1299999999999998E-2</v>
      </c>
      <c r="J7878" s="26">
        <v>5.1299999999999998E-2</v>
      </c>
      <c r="K7878" s="26">
        <v>3.4200000000000001E-2</v>
      </c>
      <c r="L7878" s="26">
        <v>1.7100000000000001E-2</v>
      </c>
      <c r="Q7878">
        <v>117</v>
      </c>
    </row>
    <row r="7879" spans="1:17" x14ac:dyDescent="0.35">
      <c r="A7879" s="27" t="s">
        <v>227</v>
      </c>
      <c r="B7879" s="27" t="s">
        <v>257</v>
      </c>
      <c r="C7879" s="28">
        <v>0.66669999999999996</v>
      </c>
      <c r="D7879" s="29"/>
      <c r="E7879" s="28">
        <v>0.22220000000000001</v>
      </c>
      <c r="F7879" s="28">
        <v>0.1111</v>
      </c>
      <c r="G7879" s="28">
        <v>0.1111</v>
      </c>
      <c r="H7879" s="28">
        <v>0.1111</v>
      </c>
      <c r="I7879" s="28">
        <v>0.1111</v>
      </c>
      <c r="J7879" s="29"/>
      <c r="K7879" s="29"/>
      <c r="L7879" s="29"/>
      <c r="M7879" s="29"/>
      <c r="N7879" s="29"/>
      <c r="O7879" s="29"/>
      <c r="P7879" s="29"/>
      <c r="Q7879" s="29" t="s">
        <v>334</v>
      </c>
    </row>
    <row r="7880" spans="1:17" x14ac:dyDescent="0.35">
      <c r="A7880" t="s">
        <v>227</v>
      </c>
      <c r="B7880" t="s">
        <v>256</v>
      </c>
      <c r="C7880" s="26">
        <v>0.71430000000000005</v>
      </c>
      <c r="D7880" s="26">
        <v>0.1714</v>
      </c>
      <c r="E7880" s="26">
        <v>8.5699999999999998E-2</v>
      </c>
      <c r="F7880" s="26">
        <v>5.7099999999999998E-2</v>
      </c>
      <c r="G7880" s="26">
        <v>0.1429</v>
      </c>
      <c r="H7880" s="26">
        <v>8.5699999999999998E-2</v>
      </c>
      <c r="I7880" s="26">
        <v>5.7099999999999998E-2</v>
      </c>
      <c r="K7880" s="26">
        <v>8.5699999999999998E-2</v>
      </c>
      <c r="Q7880">
        <v>35</v>
      </c>
    </row>
    <row r="7881" spans="1:17" x14ac:dyDescent="0.35">
      <c r="A7881" t="s">
        <v>228</v>
      </c>
      <c r="B7881" t="s">
        <v>257</v>
      </c>
      <c r="C7881" s="26">
        <v>0.59099999999999997</v>
      </c>
      <c r="D7881" s="26">
        <v>0.3029</v>
      </c>
      <c r="E7881" s="26">
        <v>0.14099999999999999</v>
      </c>
      <c r="F7881" s="26">
        <v>0.20419999999999999</v>
      </c>
      <c r="G7881" s="26">
        <v>1.52E-2</v>
      </c>
      <c r="H7881" s="26">
        <v>0.18129999999999999</v>
      </c>
      <c r="I7881" s="26">
        <v>0.14940000000000001</v>
      </c>
      <c r="J7881" s="26">
        <v>9.0800000000000006E-2</v>
      </c>
      <c r="K7881" s="26">
        <v>0.1744</v>
      </c>
      <c r="L7881" s="26">
        <v>9.5500000000000002E-2</v>
      </c>
      <c r="Q7881">
        <v>49</v>
      </c>
    </row>
    <row r="7882" spans="1:17" x14ac:dyDescent="0.35">
      <c r="A7882" s="27" t="s">
        <v>228</v>
      </c>
      <c r="B7882" s="27" t="s">
        <v>258</v>
      </c>
      <c r="C7882" s="28">
        <v>1</v>
      </c>
      <c r="D7882" s="29"/>
      <c r="E7882" s="29"/>
      <c r="F7882" s="29"/>
      <c r="G7882" s="29"/>
      <c r="H7882" s="29"/>
      <c r="I7882" s="29"/>
      <c r="J7882" s="29"/>
      <c r="K7882" s="29"/>
      <c r="L7882" s="29"/>
      <c r="M7882" s="29"/>
      <c r="N7882" s="29"/>
      <c r="O7882" s="29"/>
      <c r="P7882" s="29"/>
      <c r="Q7882" s="29" t="s">
        <v>337</v>
      </c>
    </row>
    <row r="7883" spans="1:17" x14ac:dyDescent="0.35">
      <c r="A7883" t="s">
        <v>228</v>
      </c>
      <c r="B7883" t="s">
        <v>256</v>
      </c>
      <c r="C7883" s="26">
        <v>0.65869999999999995</v>
      </c>
      <c r="D7883" s="26">
        <v>0.15559999999999999</v>
      </c>
      <c r="E7883" s="26">
        <v>0.13070000000000001</v>
      </c>
      <c r="F7883" s="26">
        <v>0.1235</v>
      </c>
      <c r="G7883" s="26">
        <v>7.4999999999999997E-2</v>
      </c>
      <c r="H7883" s="26">
        <v>9.4899999999999998E-2</v>
      </c>
      <c r="I7883" s="26">
        <v>8.8300000000000003E-2</v>
      </c>
      <c r="J7883" s="26">
        <v>3.3500000000000002E-2</v>
      </c>
      <c r="K7883" s="26">
        <v>7.8700000000000006E-2</v>
      </c>
      <c r="L7883" s="26">
        <v>5.2999999999999999E-2</v>
      </c>
      <c r="M7883" s="26">
        <v>2.35E-2</v>
      </c>
      <c r="N7883" s="26">
        <v>4.3099999999999999E-2</v>
      </c>
      <c r="P7883" s="26">
        <v>1.52E-2</v>
      </c>
      <c r="Q7883">
        <v>221</v>
      </c>
    </row>
    <row r="7884" spans="1:17" x14ac:dyDescent="0.35">
      <c r="A7884" t="s">
        <v>228</v>
      </c>
      <c r="B7884" t="s">
        <v>255</v>
      </c>
      <c r="C7884" s="26">
        <v>0.6613</v>
      </c>
      <c r="D7884" s="26">
        <v>0.12889999999999999</v>
      </c>
      <c r="E7884" s="26">
        <v>0.1149</v>
      </c>
      <c r="F7884" s="26">
        <v>0.1235</v>
      </c>
      <c r="G7884" s="26">
        <v>5.5300000000000002E-2</v>
      </c>
      <c r="H7884" s="26">
        <v>7.1099999999999997E-2</v>
      </c>
      <c r="I7884" s="26">
        <v>5.7599999999999998E-2</v>
      </c>
      <c r="J7884" s="26">
        <v>4.19E-2</v>
      </c>
      <c r="K7884" s="26">
        <v>5.3800000000000001E-2</v>
      </c>
      <c r="L7884" s="26">
        <v>4.5199999999999997E-2</v>
      </c>
      <c r="M7884" s="26">
        <v>1.4200000000000001E-2</v>
      </c>
      <c r="N7884" s="26">
        <v>5.9999999999999995E-4</v>
      </c>
      <c r="O7884" s="26">
        <v>4.7999999999999996E-3</v>
      </c>
      <c r="P7884" s="26">
        <v>8.0000000000000004E-4</v>
      </c>
      <c r="Q7884">
        <v>753</v>
      </c>
    </row>
    <row r="7885" spans="1:17" x14ac:dyDescent="0.35">
      <c r="A7885" t="s">
        <v>229</v>
      </c>
      <c r="B7885" t="s">
        <v>256</v>
      </c>
      <c r="C7885" s="26">
        <v>0.77310000000000001</v>
      </c>
      <c r="D7885" s="26">
        <v>0.1089</v>
      </c>
      <c r="E7885" s="26">
        <v>7.4200000000000002E-2</v>
      </c>
      <c r="F7885" s="26">
        <v>7.4099999999999999E-2</v>
      </c>
      <c r="G7885" s="26">
        <v>4.1500000000000002E-2</v>
      </c>
      <c r="H7885" s="26">
        <v>4.5400000000000003E-2</v>
      </c>
      <c r="I7885" s="26">
        <v>2.24E-2</v>
      </c>
      <c r="J7885" s="26">
        <v>2.7699999999999999E-2</v>
      </c>
      <c r="K7885" s="26">
        <v>2.3699999999999999E-2</v>
      </c>
      <c r="L7885" s="26">
        <v>2.6100000000000002E-2</v>
      </c>
      <c r="M7885" s="26">
        <v>1.1999999999999999E-3</v>
      </c>
      <c r="N7885" s="26">
        <v>4.1999999999999997E-3</v>
      </c>
      <c r="P7885" s="26">
        <v>1.09E-2</v>
      </c>
      <c r="Q7885">
        <v>207</v>
      </c>
    </row>
    <row r="7886" spans="1:17" x14ac:dyDescent="0.35">
      <c r="A7886" t="s">
        <v>229</v>
      </c>
      <c r="B7886" t="s">
        <v>255</v>
      </c>
      <c r="C7886" s="26">
        <v>0.70530000000000004</v>
      </c>
      <c r="D7886" s="26">
        <v>0.1191</v>
      </c>
      <c r="E7886" s="26">
        <v>0.1052</v>
      </c>
      <c r="F7886" s="26">
        <v>8.3099999999999993E-2</v>
      </c>
      <c r="G7886" s="26">
        <v>6.1100000000000002E-2</v>
      </c>
      <c r="H7886" s="26">
        <v>5.3100000000000001E-2</v>
      </c>
      <c r="I7886" s="26">
        <v>5.67E-2</v>
      </c>
      <c r="J7886" s="26">
        <v>5.45E-2</v>
      </c>
      <c r="K7886" s="26">
        <v>3.6600000000000001E-2</v>
      </c>
      <c r="L7886" s="26">
        <v>5.1999999999999998E-2</v>
      </c>
      <c r="M7886" s="26">
        <v>1.7100000000000001E-2</v>
      </c>
      <c r="N7886" s="26">
        <v>5.0000000000000001E-4</v>
      </c>
      <c r="O7886" s="26">
        <v>3.7000000000000002E-3</v>
      </c>
      <c r="P7886" s="26">
        <v>5.0000000000000001E-4</v>
      </c>
      <c r="Q7886">
        <v>634</v>
      </c>
    </row>
    <row r="7887" spans="1:17" x14ac:dyDescent="0.35">
      <c r="A7887" t="s">
        <v>229</v>
      </c>
      <c r="B7887" t="s">
        <v>257</v>
      </c>
      <c r="C7887" s="26">
        <v>0.58040000000000003</v>
      </c>
      <c r="D7887" s="26">
        <v>0.32719999999999999</v>
      </c>
      <c r="E7887" s="26">
        <v>0.23730000000000001</v>
      </c>
      <c r="F7887" s="26">
        <v>0.191</v>
      </c>
      <c r="G7887" s="26">
        <v>2.1499999999999998E-2</v>
      </c>
      <c r="H7887" s="26">
        <v>0.153</v>
      </c>
      <c r="I7887" s="26">
        <v>0.1232</v>
      </c>
      <c r="J7887" s="26">
        <v>9.8699999999999996E-2</v>
      </c>
      <c r="K7887" s="26">
        <v>6.1699999999999998E-2</v>
      </c>
      <c r="L7887" s="26">
        <v>0.11409999999999999</v>
      </c>
      <c r="Q7887">
        <v>50</v>
      </c>
    </row>
    <row r="7888" spans="1:17" x14ac:dyDescent="0.35">
      <c r="A7888" s="27" t="s">
        <v>229</v>
      </c>
      <c r="B7888" s="27" t="s">
        <v>258</v>
      </c>
      <c r="C7888" s="28">
        <v>0.22409999999999999</v>
      </c>
      <c r="D7888" s="29"/>
      <c r="E7888" s="28">
        <v>0.77590000000000003</v>
      </c>
      <c r="F7888" s="29"/>
      <c r="G7888" s="28">
        <v>0.77590000000000003</v>
      </c>
      <c r="H7888" s="28">
        <v>0.77590000000000003</v>
      </c>
      <c r="I7888" s="29"/>
      <c r="J7888" s="29"/>
      <c r="K7888" s="28">
        <v>0.77590000000000003</v>
      </c>
      <c r="L7888" s="29"/>
      <c r="M7888" s="29"/>
      <c r="N7888" s="29"/>
      <c r="O7888" s="29"/>
      <c r="P7888" s="29"/>
      <c r="Q7888" s="29" t="s">
        <v>314</v>
      </c>
    </row>
    <row r="7889" spans="1:19" x14ac:dyDescent="0.35">
      <c r="A7889" t="s">
        <v>230</v>
      </c>
      <c r="B7889" t="s">
        <v>256</v>
      </c>
      <c r="C7889" s="26">
        <v>0.64529999999999998</v>
      </c>
      <c r="D7889" s="26">
        <v>0.1968</v>
      </c>
      <c r="E7889" s="26">
        <v>0.11459999999999999</v>
      </c>
      <c r="F7889" s="26">
        <v>0.14630000000000001</v>
      </c>
      <c r="G7889" s="26">
        <v>9.1399999999999995E-2</v>
      </c>
      <c r="H7889" s="26">
        <v>7.7600000000000002E-2</v>
      </c>
      <c r="I7889" s="26">
        <v>8.5599999999999996E-2</v>
      </c>
      <c r="J7889" s="26">
        <v>9.0399999999999994E-2</v>
      </c>
      <c r="K7889" s="26">
        <v>3.8699999999999998E-2</v>
      </c>
      <c r="L7889" s="26">
        <v>9.9900000000000003E-2</v>
      </c>
      <c r="M7889" s="26">
        <v>2.1100000000000001E-2</v>
      </c>
      <c r="N7889" s="26">
        <v>6.9099999999999995E-2</v>
      </c>
      <c r="Q7889">
        <v>129</v>
      </c>
    </row>
    <row r="7890" spans="1:19" x14ac:dyDescent="0.35">
      <c r="A7890" t="s">
        <v>230</v>
      </c>
      <c r="B7890" t="s">
        <v>255</v>
      </c>
      <c r="C7890" s="26">
        <v>0.71919999999999995</v>
      </c>
      <c r="D7890" s="26">
        <v>8.6400000000000005E-2</v>
      </c>
      <c r="E7890" s="26">
        <v>7.5399999999999995E-2</v>
      </c>
      <c r="F7890" s="26">
        <v>7.0900000000000005E-2</v>
      </c>
      <c r="G7890" s="26">
        <v>7.6600000000000001E-2</v>
      </c>
      <c r="H7890" s="26">
        <v>5.4699999999999999E-2</v>
      </c>
      <c r="I7890" s="26">
        <v>5.2499999999999998E-2</v>
      </c>
      <c r="J7890" s="26">
        <v>8.2100000000000006E-2</v>
      </c>
      <c r="K7890" s="26">
        <v>2.7400000000000001E-2</v>
      </c>
      <c r="L7890" s="26">
        <v>5.0999999999999997E-2</v>
      </c>
      <c r="M7890" s="26">
        <v>4.1999999999999997E-3</v>
      </c>
      <c r="O7890" s="26">
        <v>9.7999999999999997E-3</v>
      </c>
      <c r="Q7890">
        <v>383</v>
      </c>
    </row>
    <row r="7891" spans="1:19" x14ac:dyDescent="0.35">
      <c r="A7891" t="s">
        <v>230</v>
      </c>
      <c r="B7891" t="s">
        <v>257</v>
      </c>
      <c r="C7891" s="26">
        <v>0.51439999999999997</v>
      </c>
      <c r="D7891" s="26">
        <v>0.27460000000000001</v>
      </c>
      <c r="E7891" s="26">
        <v>0.18559999999999999</v>
      </c>
      <c r="F7891" s="26">
        <v>0.33400000000000002</v>
      </c>
      <c r="G7891" s="26">
        <v>0.13100000000000001</v>
      </c>
      <c r="H7891" s="26">
        <v>0.1522</v>
      </c>
      <c r="I7891" s="26">
        <v>4.6199999999999998E-2</v>
      </c>
      <c r="J7891" s="26">
        <v>1.2800000000000001E-2</v>
      </c>
      <c r="K7891" s="26">
        <v>8.8999999999999996E-2</v>
      </c>
      <c r="L7891" s="26">
        <v>0.1018</v>
      </c>
      <c r="N7891" s="26">
        <v>7.6100000000000001E-2</v>
      </c>
      <c r="Q7891">
        <v>38</v>
      </c>
    </row>
    <row r="7892" spans="1:19" x14ac:dyDescent="0.35">
      <c r="A7892" s="27" t="s">
        <v>230</v>
      </c>
      <c r="B7892" s="27" t="s">
        <v>258</v>
      </c>
      <c r="C7892" s="28">
        <v>0.17730000000000001</v>
      </c>
      <c r="D7892" s="28">
        <v>0.82269999999999999</v>
      </c>
      <c r="E7892" s="29"/>
      <c r="F7892" s="29"/>
      <c r="G7892" s="28">
        <v>0.82269999999999999</v>
      </c>
      <c r="H7892" s="29"/>
      <c r="I7892" s="29"/>
      <c r="J7892" s="29"/>
      <c r="K7892" s="29"/>
      <c r="L7892" s="29"/>
      <c r="M7892" s="29"/>
      <c r="N7892" s="29"/>
      <c r="O7892" s="29"/>
      <c r="P7892" s="29"/>
      <c r="Q7892" s="29" t="s">
        <v>315</v>
      </c>
    </row>
    <row r="7893" spans="1:19" x14ac:dyDescent="0.35">
      <c r="A7893" s="27" t="s">
        <v>231</v>
      </c>
      <c r="B7893" s="27" t="s">
        <v>257</v>
      </c>
      <c r="C7893" s="28">
        <v>0.71430000000000005</v>
      </c>
      <c r="D7893" s="28">
        <v>0.28570000000000001</v>
      </c>
      <c r="E7893" s="29"/>
      <c r="F7893" s="29"/>
      <c r="G7893" s="29"/>
      <c r="H7893" s="29"/>
      <c r="I7893" s="29"/>
      <c r="J7893" s="28">
        <v>0.1429</v>
      </c>
      <c r="K7893" s="29"/>
      <c r="L7893" s="29"/>
      <c r="M7893" s="29"/>
      <c r="N7893" s="29"/>
      <c r="O7893" s="29"/>
      <c r="P7893" s="29"/>
      <c r="Q7893" s="29" t="s">
        <v>339</v>
      </c>
    </row>
    <row r="7894" spans="1:19" x14ac:dyDescent="0.35">
      <c r="A7894" t="s">
        <v>231</v>
      </c>
      <c r="B7894" t="s">
        <v>255</v>
      </c>
      <c r="C7894" s="26">
        <v>0.71650000000000003</v>
      </c>
      <c r="D7894" s="26">
        <v>0.11020000000000001</v>
      </c>
      <c r="E7894" s="26">
        <v>7.8700000000000006E-2</v>
      </c>
      <c r="F7894" s="26">
        <v>0.11020000000000001</v>
      </c>
      <c r="G7894" s="26">
        <v>6.3E-2</v>
      </c>
      <c r="H7894" s="26">
        <v>7.8700000000000006E-2</v>
      </c>
      <c r="I7894" s="26">
        <v>4.7199999999999999E-2</v>
      </c>
      <c r="J7894" s="26">
        <v>6.3E-2</v>
      </c>
      <c r="K7894" s="26">
        <v>6.3E-2</v>
      </c>
      <c r="L7894" s="26">
        <v>3.15E-2</v>
      </c>
      <c r="M7894" s="26">
        <v>2.3599999999999999E-2</v>
      </c>
      <c r="Q7894">
        <v>127</v>
      </c>
    </row>
    <row r="7895" spans="1:19" x14ac:dyDescent="0.35">
      <c r="A7895" s="27" t="s">
        <v>231</v>
      </c>
      <c r="B7895" s="27" t="s">
        <v>256</v>
      </c>
      <c r="C7895" s="28">
        <v>0.62960000000000005</v>
      </c>
      <c r="D7895" s="28">
        <v>0.14810000000000001</v>
      </c>
      <c r="E7895" s="28">
        <v>0.22220000000000001</v>
      </c>
      <c r="F7895" s="28">
        <v>0.14810000000000001</v>
      </c>
      <c r="G7895" s="28">
        <v>0.22220000000000001</v>
      </c>
      <c r="H7895" s="28">
        <v>3.6999999999999998E-2</v>
      </c>
      <c r="I7895" s="28">
        <v>3.6999999999999998E-2</v>
      </c>
      <c r="J7895" s="28">
        <v>7.4099999999999999E-2</v>
      </c>
      <c r="K7895" s="28">
        <v>7.4099999999999999E-2</v>
      </c>
      <c r="L7895" s="28">
        <v>3.6999999999999998E-2</v>
      </c>
      <c r="M7895" s="29"/>
      <c r="N7895" s="28">
        <v>3.6999999999999998E-2</v>
      </c>
      <c r="O7895" s="29"/>
      <c r="P7895" s="29"/>
      <c r="Q7895" s="29" t="s">
        <v>338</v>
      </c>
    </row>
    <row r="7896" spans="1:19" x14ac:dyDescent="0.35">
      <c r="A7896" t="s">
        <v>232</v>
      </c>
      <c r="B7896" t="s">
        <v>232</v>
      </c>
      <c r="C7896" s="26">
        <v>0.7006</v>
      </c>
      <c r="D7896" s="26">
        <v>0.128</v>
      </c>
      <c r="E7896" s="26">
        <v>0.1031</v>
      </c>
      <c r="F7896" s="26">
        <v>0.10249999999999999</v>
      </c>
      <c r="G7896" s="26">
        <v>7.0099999999999996E-2</v>
      </c>
      <c r="H7896" s="26">
        <v>6.1899999999999997E-2</v>
      </c>
      <c r="I7896" s="26">
        <v>5.4199999999999998E-2</v>
      </c>
      <c r="J7896" s="26">
        <v>5.4100000000000002E-2</v>
      </c>
      <c r="K7896" s="26">
        <v>4.9599999999999998E-2</v>
      </c>
      <c r="L7896" s="26">
        <v>4.0099999999999997E-2</v>
      </c>
      <c r="M7896" s="26">
        <v>1.23E-2</v>
      </c>
      <c r="N7896" s="26">
        <v>6.4000000000000003E-3</v>
      </c>
      <c r="O7896" s="26">
        <v>2E-3</v>
      </c>
      <c r="P7896" s="26">
        <v>1.8E-3</v>
      </c>
      <c r="Q7896">
        <v>2795</v>
      </c>
    </row>
    <row r="7898" spans="1:19" x14ac:dyDescent="0.35">
      <c r="A7898" s="1" t="s">
        <v>1079</v>
      </c>
    </row>
    <row r="7899" spans="1:19" x14ac:dyDescent="0.35">
      <c r="A7899" t="s">
        <v>219</v>
      </c>
      <c r="B7899" t="s">
        <v>1080</v>
      </c>
      <c r="C7899" t="s">
        <v>1081</v>
      </c>
      <c r="D7899" t="s">
        <v>1082</v>
      </c>
      <c r="E7899" t="s">
        <v>1083</v>
      </c>
      <c r="F7899" t="s">
        <v>1084</v>
      </c>
      <c r="G7899" t="s">
        <v>1085</v>
      </c>
      <c r="H7899" t="s">
        <v>1086</v>
      </c>
      <c r="I7899" t="s">
        <v>1087</v>
      </c>
      <c r="J7899" t="s">
        <v>1088</v>
      </c>
      <c r="K7899" t="s">
        <v>1089</v>
      </c>
      <c r="L7899" t="s">
        <v>326</v>
      </c>
      <c r="M7899" t="s">
        <v>1090</v>
      </c>
      <c r="N7899" t="s">
        <v>1091</v>
      </c>
      <c r="O7899" t="s">
        <v>1092</v>
      </c>
      <c r="P7899" t="s">
        <v>1093</v>
      </c>
      <c r="Q7899" t="s">
        <v>286</v>
      </c>
      <c r="R7899" t="s">
        <v>281</v>
      </c>
      <c r="S7899" t="s">
        <v>226</v>
      </c>
    </row>
    <row r="7900" spans="1:19" x14ac:dyDescent="0.35">
      <c r="A7900" t="s">
        <v>227</v>
      </c>
      <c r="B7900" s="26">
        <v>0.59630000000000005</v>
      </c>
      <c r="C7900" s="26">
        <v>0.45960000000000001</v>
      </c>
      <c r="D7900" s="26">
        <v>0.18629999999999999</v>
      </c>
      <c r="E7900" s="26">
        <v>0.1056</v>
      </c>
      <c r="F7900" s="26">
        <v>0.1242</v>
      </c>
      <c r="G7900" s="26">
        <v>0.1242</v>
      </c>
      <c r="H7900" s="26">
        <v>4.3499999999999997E-2</v>
      </c>
      <c r="I7900" s="26">
        <v>2.4799999999999999E-2</v>
      </c>
      <c r="J7900" s="26">
        <v>3.73E-2</v>
      </c>
      <c r="K7900" s="26">
        <v>1.24E-2</v>
      </c>
      <c r="L7900" s="26">
        <v>6.1999999999999998E-3</v>
      </c>
      <c r="M7900" s="26">
        <v>6.1999999999999998E-3</v>
      </c>
      <c r="O7900" s="26">
        <v>1.24E-2</v>
      </c>
      <c r="P7900" s="26">
        <v>6.1999999999999998E-3</v>
      </c>
      <c r="S7900">
        <v>161</v>
      </c>
    </row>
    <row r="7901" spans="1:19" x14ac:dyDescent="0.35">
      <c r="A7901" t="s">
        <v>228</v>
      </c>
      <c r="B7901" s="26">
        <v>0.56289999999999996</v>
      </c>
      <c r="C7901" s="26">
        <v>0.53049999999999997</v>
      </c>
      <c r="D7901" s="26">
        <v>0.15920000000000001</v>
      </c>
      <c r="E7901" s="26">
        <v>0.1077</v>
      </c>
      <c r="F7901" s="26">
        <v>7.2300000000000003E-2</v>
      </c>
      <c r="G7901" s="26">
        <v>0.1227</v>
      </c>
      <c r="H7901" s="26">
        <v>6.0900000000000003E-2</v>
      </c>
      <c r="I7901" s="26">
        <v>6.3799999999999996E-2</v>
      </c>
      <c r="J7901" s="26">
        <v>1.7600000000000001E-2</v>
      </c>
      <c r="K7901" s="26">
        <v>2.07E-2</v>
      </c>
      <c r="L7901" s="26">
        <v>5.7999999999999996E-3</v>
      </c>
      <c r="M7901" s="26">
        <v>2.5700000000000001E-2</v>
      </c>
      <c r="N7901" s="26">
        <v>8.0999999999999996E-3</v>
      </c>
      <c r="O7901" s="26">
        <v>6.7999999999999996E-3</v>
      </c>
      <c r="P7901" s="26">
        <v>2E-3</v>
      </c>
      <c r="Q7901" s="26">
        <v>1.8E-3</v>
      </c>
      <c r="R7901" s="26">
        <v>1E-3</v>
      </c>
      <c r="S7901">
        <v>1030</v>
      </c>
    </row>
    <row r="7902" spans="1:19" x14ac:dyDescent="0.35">
      <c r="A7902" t="s">
        <v>229</v>
      </c>
      <c r="B7902" s="26">
        <v>0.66510000000000002</v>
      </c>
      <c r="C7902" s="26">
        <v>0.41649999999999998</v>
      </c>
      <c r="D7902" s="26">
        <v>0.15279999999999999</v>
      </c>
      <c r="E7902" s="26">
        <v>0.104</v>
      </c>
      <c r="F7902" s="26">
        <v>0.10150000000000001</v>
      </c>
      <c r="G7902" s="26">
        <v>7.5399999999999995E-2</v>
      </c>
      <c r="H7902" s="26">
        <v>9.6000000000000002E-2</v>
      </c>
      <c r="I7902" s="26">
        <v>4.4299999999999999E-2</v>
      </c>
      <c r="J7902" s="26">
        <v>2.87E-2</v>
      </c>
      <c r="K7902" s="26">
        <v>1.66E-2</v>
      </c>
      <c r="L7902" s="26">
        <v>1.67E-2</v>
      </c>
      <c r="M7902" s="26">
        <v>4.4000000000000003E-3</v>
      </c>
      <c r="N7902" s="26">
        <v>6.1999999999999998E-3</v>
      </c>
      <c r="O7902" s="26">
        <v>3.7000000000000002E-3</v>
      </c>
      <c r="P7902" s="26">
        <v>5.4999999999999997E-3</v>
      </c>
      <c r="Q7902" s="26">
        <v>8.9999999999999998E-4</v>
      </c>
      <c r="S7902">
        <v>893</v>
      </c>
    </row>
    <row r="7903" spans="1:19" x14ac:dyDescent="0.35">
      <c r="A7903" t="s">
        <v>230</v>
      </c>
      <c r="B7903" s="26">
        <v>0.55459999999999998</v>
      </c>
      <c r="C7903" s="26">
        <v>0.41820000000000002</v>
      </c>
      <c r="D7903" s="26">
        <v>0.2011</v>
      </c>
      <c r="E7903" s="26">
        <v>0.11609999999999999</v>
      </c>
      <c r="F7903" s="26">
        <v>0.1091</v>
      </c>
      <c r="G7903" s="26">
        <v>0.105</v>
      </c>
      <c r="H7903" s="26">
        <v>8.4400000000000003E-2</v>
      </c>
      <c r="I7903" s="26">
        <v>7.51E-2</v>
      </c>
      <c r="J7903" s="26">
        <v>4.4400000000000002E-2</v>
      </c>
      <c r="K7903" s="26">
        <v>1.8800000000000001E-2</v>
      </c>
      <c r="L7903" s="26">
        <v>1.72E-2</v>
      </c>
      <c r="M7903" s="26">
        <v>3.8100000000000002E-2</v>
      </c>
      <c r="N7903" s="26">
        <v>8.3999999999999995E-3</v>
      </c>
      <c r="O7903" s="26">
        <v>6.4999999999999997E-3</v>
      </c>
      <c r="P7903" s="26">
        <v>2.9999999999999997E-4</v>
      </c>
      <c r="Q7903" s="26">
        <v>7.4000000000000003E-3</v>
      </c>
      <c r="S7903">
        <v>560</v>
      </c>
    </row>
    <row r="7904" spans="1:19" x14ac:dyDescent="0.35">
      <c r="A7904" t="s">
        <v>231</v>
      </c>
      <c r="B7904" s="26">
        <v>0.54269999999999996</v>
      </c>
      <c r="C7904" s="26">
        <v>0.52439999999999998</v>
      </c>
      <c r="D7904" s="26">
        <v>0.17069999999999999</v>
      </c>
      <c r="E7904" s="26">
        <v>8.5400000000000004E-2</v>
      </c>
      <c r="F7904" s="26">
        <v>0.1037</v>
      </c>
      <c r="G7904" s="26">
        <v>7.3200000000000001E-2</v>
      </c>
      <c r="H7904" s="26">
        <v>7.9299999999999995E-2</v>
      </c>
      <c r="I7904" s="26">
        <v>2.4400000000000002E-2</v>
      </c>
      <c r="J7904" s="26">
        <v>4.2700000000000002E-2</v>
      </c>
      <c r="K7904" s="26">
        <v>1.2200000000000001E-2</v>
      </c>
      <c r="L7904" s="26">
        <v>1.83E-2</v>
      </c>
      <c r="N7904" s="26">
        <v>1.2200000000000001E-2</v>
      </c>
      <c r="S7904">
        <v>164</v>
      </c>
    </row>
    <row r="7905" spans="1:20" x14ac:dyDescent="0.35">
      <c r="A7905" t="s">
        <v>232</v>
      </c>
      <c r="B7905" s="26">
        <v>0.59060000000000001</v>
      </c>
      <c r="C7905" s="26">
        <v>0.47499999999999998</v>
      </c>
      <c r="D7905" s="26">
        <v>0.16869999999999999</v>
      </c>
      <c r="E7905" s="26">
        <v>0.10100000000000001</v>
      </c>
      <c r="F7905" s="26">
        <v>0.10059999999999999</v>
      </c>
      <c r="G7905" s="26">
        <v>9.4200000000000006E-2</v>
      </c>
      <c r="H7905" s="26">
        <v>7.5499999999999998E-2</v>
      </c>
      <c r="I7905" s="26">
        <v>4.2599999999999999E-2</v>
      </c>
      <c r="J7905" s="26">
        <v>3.32E-2</v>
      </c>
      <c r="K7905" s="26">
        <v>1.5800000000000002E-2</v>
      </c>
      <c r="L7905" s="26">
        <v>1.35E-2</v>
      </c>
      <c r="M7905" s="26">
        <v>1.0800000000000001E-2</v>
      </c>
      <c r="N7905" s="26">
        <v>7.4999999999999997E-3</v>
      </c>
      <c r="O7905" s="26">
        <v>4.8999999999999998E-3</v>
      </c>
      <c r="P7905" s="26">
        <v>2.8999999999999998E-3</v>
      </c>
      <c r="Q7905" s="26">
        <v>1.2999999999999999E-3</v>
      </c>
      <c r="R7905" s="26">
        <v>2.0000000000000001E-4</v>
      </c>
      <c r="S7905">
        <v>2808</v>
      </c>
    </row>
    <row r="7907" spans="1:20" x14ac:dyDescent="0.35">
      <c r="A7907" s="1" t="s">
        <v>1094</v>
      </c>
    </row>
    <row r="7908" spans="1:20" x14ac:dyDescent="0.35">
      <c r="A7908" t="s">
        <v>219</v>
      </c>
      <c r="B7908" t="s">
        <v>305</v>
      </c>
      <c r="C7908" t="s">
        <v>1080</v>
      </c>
      <c r="D7908" t="s">
        <v>1081</v>
      </c>
      <c r="E7908" t="s">
        <v>1082</v>
      </c>
      <c r="F7908" t="s">
        <v>1083</v>
      </c>
      <c r="G7908" t="s">
        <v>1084</v>
      </c>
      <c r="H7908" t="s">
        <v>1085</v>
      </c>
      <c r="I7908" t="s">
        <v>1086</v>
      </c>
      <c r="J7908" t="s">
        <v>1087</v>
      </c>
      <c r="K7908" t="s">
        <v>1088</v>
      </c>
      <c r="L7908" t="s">
        <v>1089</v>
      </c>
      <c r="M7908" t="s">
        <v>326</v>
      </c>
      <c r="N7908" t="s">
        <v>1090</v>
      </c>
      <c r="O7908" t="s">
        <v>1091</v>
      </c>
      <c r="P7908" t="s">
        <v>1092</v>
      </c>
      <c r="Q7908" t="s">
        <v>1093</v>
      </c>
      <c r="R7908" t="s">
        <v>286</v>
      </c>
      <c r="S7908" t="s">
        <v>281</v>
      </c>
      <c r="T7908" t="s">
        <v>226</v>
      </c>
    </row>
    <row r="7909" spans="1:20" x14ac:dyDescent="0.35">
      <c r="A7909" t="s">
        <v>227</v>
      </c>
      <c r="B7909" t="s">
        <v>242</v>
      </c>
      <c r="C7909" s="26">
        <v>0.52939999999999998</v>
      </c>
      <c r="D7909" s="26">
        <v>0.63239999999999996</v>
      </c>
      <c r="E7909" s="26">
        <v>0.3382</v>
      </c>
      <c r="F7909" s="26">
        <v>0.10290000000000001</v>
      </c>
      <c r="G7909" s="26">
        <v>0.1176</v>
      </c>
      <c r="H7909" s="26">
        <v>0.2059</v>
      </c>
      <c r="I7909" s="26">
        <v>2.9399999999999999E-2</v>
      </c>
      <c r="J7909" s="26">
        <v>2.9399999999999999E-2</v>
      </c>
      <c r="K7909" s="26">
        <v>4.41E-2</v>
      </c>
      <c r="N7909" s="26">
        <v>1.47E-2</v>
      </c>
      <c r="T7909">
        <v>68</v>
      </c>
    </row>
    <row r="7910" spans="1:20" x14ac:dyDescent="0.35">
      <c r="A7910" t="s">
        <v>227</v>
      </c>
      <c r="B7910" t="s">
        <v>241</v>
      </c>
      <c r="C7910" s="26">
        <v>0.6452</v>
      </c>
      <c r="D7910" s="26">
        <v>0.33329999999999999</v>
      </c>
      <c r="E7910" s="26">
        <v>7.5300000000000006E-2</v>
      </c>
      <c r="F7910" s="26">
        <v>0.1075</v>
      </c>
      <c r="G7910" s="26">
        <v>0.129</v>
      </c>
      <c r="H7910" s="26">
        <v>6.4500000000000002E-2</v>
      </c>
      <c r="I7910" s="26">
        <v>5.3800000000000001E-2</v>
      </c>
      <c r="J7910" s="26">
        <v>2.1499999999999998E-2</v>
      </c>
      <c r="K7910" s="26">
        <v>3.2300000000000002E-2</v>
      </c>
      <c r="L7910" s="26">
        <v>2.1499999999999998E-2</v>
      </c>
      <c r="M7910" s="26">
        <v>1.0800000000000001E-2</v>
      </c>
      <c r="P7910" s="26">
        <v>2.1499999999999998E-2</v>
      </c>
      <c r="Q7910" s="26">
        <v>1.0800000000000001E-2</v>
      </c>
      <c r="T7910">
        <v>93</v>
      </c>
    </row>
    <row r="7911" spans="1:20" x14ac:dyDescent="0.35">
      <c r="A7911" t="s">
        <v>228</v>
      </c>
      <c r="B7911" t="s">
        <v>242</v>
      </c>
      <c r="C7911" s="26">
        <v>0.3876</v>
      </c>
      <c r="D7911" s="26">
        <v>0.73180000000000001</v>
      </c>
      <c r="E7911" s="26">
        <v>0.28289999999999998</v>
      </c>
      <c r="F7911" s="26">
        <v>7.4700000000000003E-2</v>
      </c>
      <c r="G7911" s="26">
        <v>6.1699999999999998E-2</v>
      </c>
      <c r="H7911" s="26">
        <v>0.1883</v>
      </c>
      <c r="I7911" s="26">
        <v>6.88E-2</v>
      </c>
      <c r="J7911" s="26">
        <v>8.5300000000000001E-2</v>
      </c>
      <c r="K7911" s="26">
        <v>2.6100000000000002E-2</v>
      </c>
      <c r="L7911" s="26">
        <v>2.3E-2</v>
      </c>
      <c r="M7911" s="26">
        <v>1.2999999999999999E-3</v>
      </c>
      <c r="N7911" s="26">
        <v>2.9499999999999998E-2</v>
      </c>
      <c r="O7911" s="26">
        <v>1.0500000000000001E-2</v>
      </c>
      <c r="P7911" s="26">
        <v>1.3899999999999999E-2</v>
      </c>
      <c r="Q7911" s="26">
        <v>3.2000000000000002E-3</v>
      </c>
      <c r="R7911" s="26">
        <v>2.0999999999999999E-3</v>
      </c>
      <c r="S7911" s="26">
        <v>1.5E-3</v>
      </c>
      <c r="T7911">
        <v>402</v>
      </c>
    </row>
    <row r="7912" spans="1:20" x14ac:dyDescent="0.35">
      <c r="A7912" t="s">
        <v>228</v>
      </c>
      <c r="B7912" t="s">
        <v>241</v>
      </c>
      <c r="C7912" s="26">
        <v>0.6633</v>
      </c>
      <c r="D7912" s="26">
        <v>0.41520000000000001</v>
      </c>
      <c r="E7912" s="26">
        <v>8.8400000000000006E-2</v>
      </c>
      <c r="F7912" s="26">
        <v>0.1265</v>
      </c>
      <c r="G7912" s="26">
        <v>7.8399999999999997E-2</v>
      </c>
      <c r="H7912" s="26">
        <v>8.5099999999999995E-2</v>
      </c>
      <c r="I7912" s="26">
        <v>5.6300000000000003E-2</v>
      </c>
      <c r="J7912" s="26">
        <v>5.16E-2</v>
      </c>
      <c r="K7912" s="26">
        <v>1.26E-2</v>
      </c>
      <c r="L7912" s="26">
        <v>1.95E-2</v>
      </c>
      <c r="M7912" s="26">
        <v>8.3000000000000001E-3</v>
      </c>
      <c r="N7912" s="26">
        <v>2.35E-2</v>
      </c>
      <c r="O7912" s="26">
        <v>6.7000000000000002E-3</v>
      </c>
      <c r="P7912" s="26">
        <v>2.7000000000000001E-3</v>
      </c>
      <c r="Q7912" s="26">
        <v>1.1999999999999999E-3</v>
      </c>
      <c r="R7912" s="26">
        <v>1.6000000000000001E-3</v>
      </c>
      <c r="S7912" s="26">
        <v>6.9999999999999999E-4</v>
      </c>
      <c r="T7912">
        <v>628</v>
      </c>
    </row>
    <row r="7913" spans="1:20" x14ac:dyDescent="0.35">
      <c r="A7913" t="s">
        <v>229</v>
      </c>
      <c r="B7913" t="s">
        <v>242</v>
      </c>
      <c r="C7913" s="26">
        <v>0.55220000000000002</v>
      </c>
      <c r="D7913" s="26">
        <v>0.62029999999999996</v>
      </c>
      <c r="E7913" s="26">
        <v>0.3246</v>
      </c>
      <c r="F7913" s="26">
        <v>0.09</v>
      </c>
      <c r="G7913" s="26">
        <v>0.1053</v>
      </c>
      <c r="H7913" s="26">
        <v>0.14180000000000001</v>
      </c>
      <c r="I7913" s="26">
        <v>9.69E-2</v>
      </c>
      <c r="J7913" s="26">
        <v>3.6600000000000001E-2</v>
      </c>
      <c r="K7913" s="26">
        <v>3.9600000000000003E-2</v>
      </c>
      <c r="L7913" s="26">
        <v>1.37E-2</v>
      </c>
      <c r="M7913" s="26">
        <v>2.46E-2</v>
      </c>
      <c r="N7913" s="26">
        <v>6.4000000000000003E-3</v>
      </c>
      <c r="R7913" s="26">
        <v>2.0000000000000001E-4</v>
      </c>
      <c r="T7913">
        <v>292</v>
      </c>
    </row>
    <row r="7914" spans="1:20" x14ac:dyDescent="0.35">
      <c r="A7914" t="s">
        <v>229</v>
      </c>
      <c r="B7914" t="s">
        <v>241</v>
      </c>
      <c r="C7914" s="26">
        <v>0.73799999999999999</v>
      </c>
      <c r="D7914" s="26">
        <v>0.2848</v>
      </c>
      <c r="E7914" s="26">
        <v>4.1700000000000001E-2</v>
      </c>
      <c r="F7914" s="26">
        <v>0.113</v>
      </c>
      <c r="G7914" s="26">
        <v>9.9000000000000005E-2</v>
      </c>
      <c r="H7914" s="26">
        <v>3.2399999999999998E-2</v>
      </c>
      <c r="I7914" s="26">
        <v>9.5500000000000002E-2</v>
      </c>
      <c r="J7914" s="26">
        <v>4.9299999999999997E-2</v>
      </c>
      <c r="K7914" s="26">
        <v>2.1700000000000001E-2</v>
      </c>
      <c r="L7914" s="26">
        <v>1.8499999999999999E-2</v>
      </c>
      <c r="M7914" s="26">
        <v>1.1599999999999999E-2</v>
      </c>
      <c r="N7914" s="26">
        <v>3.0999999999999999E-3</v>
      </c>
      <c r="O7914" s="26">
        <v>1.0200000000000001E-2</v>
      </c>
      <c r="P7914" s="26">
        <v>6.1000000000000004E-3</v>
      </c>
      <c r="Q7914" s="26">
        <v>9.1000000000000004E-3</v>
      </c>
      <c r="R7914" s="26">
        <v>1.4E-3</v>
      </c>
      <c r="T7914">
        <v>601</v>
      </c>
    </row>
    <row r="7915" spans="1:20" x14ac:dyDescent="0.35">
      <c r="A7915" t="s">
        <v>230</v>
      </c>
      <c r="B7915" t="s">
        <v>242</v>
      </c>
      <c r="C7915" s="26">
        <v>0.44879999999999998</v>
      </c>
      <c r="D7915" s="26">
        <v>0.52659999999999996</v>
      </c>
      <c r="E7915" s="26">
        <v>0.42749999999999999</v>
      </c>
      <c r="F7915" s="26">
        <v>0.1171</v>
      </c>
      <c r="G7915" s="26">
        <v>8.0299999999999996E-2</v>
      </c>
      <c r="H7915" s="26">
        <v>0.18140000000000001</v>
      </c>
      <c r="I7915" s="26">
        <v>6.5199999999999994E-2</v>
      </c>
      <c r="J7915" s="26">
        <v>8.3799999999999999E-2</v>
      </c>
      <c r="K7915" s="26">
        <v>3.7999999999999999E-2</v>
      </c>
      <c r="L7915" s="26">
        <v>2.6599999999999999E-2</v>
      </c>
      <c r="M7915" s="26">
        <v>8.0000000000000004E-4</v>
      </c>
      <c r="N7915" s="26">
        <v>4.6699999999999998E-2</v>
      </c>
      <c r="O7915" s="26">
        <v>1.5900000000000001E-2</v>
      </c>
      <c r="P7915" s="26">
        <v>1.9300000000000001E-2</v>
      </c>
      <c r="Q7915" s="26">
        <v>8.0000000000000004E-4</v>
      </c>
      <c r="T7915">
        <v>189</v>
      </c>
    </row>
    <row r="7916" spans="1:20" x14ac:dyDescent="0.35">
      <c r="A7916" t="s">
        <v>230</v>
      </c>
      <c r="B7916" t="s">
        <v>241</v>
      </c>
      <c r="C7916" s="26">
        <v>0.60860000000000003</v>
      </c>
      <c r="D7916" s="26">
        <v>0.36280000000000001</v>
      </c>
      <c r="E7916" s="26">
        <v>8.5500000000000007E-2</v>
      </c>
      <c r="F7916" s="26">
        <v>0.11550000000000001</v>
      </c>
      <c r="G7916" s="26">
        <v>0.1239</v>
      </c>
      <c r="H7916" s="26">
        <v>6.6000000000000003E-2</v>
      </c>
      <c r="I7916" s="26">
        <v>9.4299999999999995E-2</v>
      </c>
      <c r="J7916" s="26">
        <v>7.0699999999999999E-2</v>
      </c>
      <c r="K7916" s="26">
        <v>4.7699999999999999E-2</v>
      </c>
      <c r="L7916" s="26">
        <v>1.49E-2</v>
      </c>
      <c r="M7916" s="26">
        <v>2.5600000000000001E-2</v>
      </c>
      <c r="N7916" s="26">
        <v>3.3700000000000001E-2</v>
      </c>
      <c r="O7916" s="26">
        <v>4.4999999999999997E-3</v>
      </c>
      <c r="R7916" s="26">
        <v>1.1299999999999999E-2</v>
      </c>
      <c r="T7916">
        <v>371</v>
      </c>
    </row>
    <row r="7917" spans="1:20" x14ac:dyDescent="0.35">
      <c r="A7917" t="s">
        <v>231</v>
      </c>
      <c r="B7917" t="s">
        <v>242</v>
      </c>
      <c r="C7917" s="26">
        <v>0.46300000000000002</v>
      </c>
      <c r="D7917" s="26">
        <v>0.68520000000000003</v>
      </c>
      <c r="E7917" s="26">
        <v>0.31480000000000002</v>
      </c>
      <c r="F7917" s="26">
        <v>7.4099999999999999E-2</v>
      </c>
      <c r="G7917" s="26">
        <v>0.12959999999999999</v>
      </c>
      <c r="H7917" s="26">
        <v>7.4099999999999999E-2</v>
      </c>
      <c r="I7917" s="26">
        <v>5.5599999999999997E-2</v>
      </c>
      <c r="J7917" s="26">
        <v>1.8499999999999999E-2</v>
      </c>
      <c r="K7917" s="26">
        <v>3.6999999999999998E-2</v>
      </c>
      <c r="L7917" s="26">
        <v>1.8499999999999999E-2</v>
      </c>
      <c r="O7917" s="26">
        <v>1.8499999999999999E-2</v>
      </c>
      <c r="T7917">
        <v>54</v>
      </c>
    </row>
    <row r="7918" spans="1:20" x14ac:dyDescent="0.35">
      <c r="A7918" t="s">
        <v>231</v>
      </c>
      <c r="B7918" t="s">
        <v>241</v>
      </c>
      <c r="C7918" s="26">
        <v>0.58179999999999998</v>
      </c>
      <c r="D7918" s="26">
        <v>0.44550000000000001</v>
      </c>
      <c r="E7918" s="26">
        <v>0.1</v>
      </c>
      <c r="F7918" s="26">
        <v>9.0899999999999995E-2</v>
      </c>
      <c r="G7918" s="26">
        <v>9.0899999999999995E-2</v>
      </c>
      <c r="H7918" s="26">
        <v>7.2700000000000001E-2</v>
      </c>
      <c r="I7918" s="26">
        <v>9.0899999999999995E-2</v>
      </c>
      <c r="J7918" s="26">
        <v>2.7300000000000001E-2</v>
      </c>
      <c r="K7918" s="26">
        <v>4.5499999999999999E-2</v>
      </c>
      <c r="L7918" s="26">
        <v>9.1000000000000004E-3</v>
      </c>
      <c r="M7918" s="26">
        <v>2.7300000000000001E-2</v>
      </c>
      <c r="O7918" s="26">
        <v>9.1000000000000004E-3</v>
      </c>
      <c r="T7918">
        <v>110</v>
      </c>
    </row>
    <row r="7919" spans="1:20" x14ac:dyDescent="0.35">
      <c r="A7919" t="s">
        <v>232</v>
      </c>
      <c r="B7919" t="s">
        <v>232</v>
      </c>
      <c r="C7919" s="26">
        <v>0.59060000000000001</v>
      </c>
      <c r="D7919" s="26">
        <v>0.47499999999999998</v>
      </c>
      <c r="E7919" s="26">
        <v>0.16869999999999999</v>
      </c>
      <c r="F7919" s="26">
        <v>0.10100000000000001</v>
      </c>
      <c r="G7919" s="26">
        <v>0.10059999999999999</v>
      </c>
      <c r="H7919" s="26">
        <v>9.4200000000000006E-2</v>
      </c>
      <c r="I7919" s="26">
        <v>7.5499999999999998E-2</v>
      </c>
      <c r="J7919" s="26">
        <v>4.2599999999999999E-2</v>
      </c>
      <c r="K7919" s="26">
        <v>3.32E-2</v>
      </c>
      <c r="L7919" s="26">
        <v>1.5800000000000002E-2</v>
      </c>
      <c r="M7919" s="26">
        <v>1.35E-2</v>
      </c>
      <c r="N7919" s="26">
        <v>1.0800000000000001E-2</v>
      </c>
      <c r="O7919" s="26">
        <v>7.4999999999999997E-3</v>
      </c>
      <c r="P7919" s="26">
        <v>4.8999999999999998E-3</v>
      </c>
      <c r="Q7919" s="26">
        <v>2.8999999999999998E-3</v>
      </c>
      <c r="R7919" s="26">
        <v>1.2999999999999999E-3</v>
      </c>
      <c r="S7919" s="26">
        <v>2.0000000000000001E-4</v>
      </c>
      <c r="T7919">
        <v>2808</v>
      </c>
    </row>
    <row r="7921" spans="1:20" x14ac:dyDescent="0.35">
      <c r="A7921" s="1" t="s">
        <v>1095</v>
      </c>
    </row>
    <row r="7922" spans="1:20" x14ac:dyDescent="0.35">
      <c r="A7922" t="s">
        <v>219</v>
      </c>
      <c r="B7922" t="s">
        <v>305</v>
      </c>
      <c r="C7922" t="s">
        <v>1080</v>
      </c>
      <c r="D7922" t="s">
        <v>1081</v>
      </c>
      <c r="E7922" t="s">
        <v>1082</v>
      </c>
      <c r="F7922" t="s">
        <v>1083</v>
      </c>
      <c r="G7922" t="s">
        <v>1084</v>
      </c>
      <c r="H7922" t="s">
        <v>1085</v>
      </c>
      <c r="I7922" t="s">
        <v>1086</v>
      </c>
      <c r="J7922" t="s">
        <v>1087</v>
      </c>
      <c r="K7922" t="s">
        <v>1088</v>
      </c>
      <c r="L7922" t="s">
        <v>1089</v>
      </c>
      <c r="M7922" t="s">
        <v>326</v>
      </c>
      <c r="N7922" t="s">
        <v>1090</v>
      </c>
      <c r="O7922" t="s">
        <v>1091</v>
      </c>
      <c r="P7922" t="s">
        <v>1092</v>
      </c>
      <c r="Q7922" t="s">
        <v>1093</v>
      </c>
      <c r="R7922" t="s">
        <v>286</v>
      </c>
      <c r="S7922" t="s">
        <v>281</v>
      </c>
      <c r="T7922" t="s">
        <v>226</v>
      </c>
    </row>
    <row r="7923" spans="1:20" x14ac:dyDescent="0.35">
      <c r="A7923" t="s">
        <v>227</v>
      </c>
      <c r="B7923" t="s">
        <v>239</v>
      </c>
      <c r="C7923" s="26">
        <v>0.5484</v>
      </c>
      <c r="D7923" s="26">
        <v>0.4516</v>
      </c>
      <c r="E7923" s="26">
        <v>0.2419</v>
      </c>
      <c r="F7923" s="26">
        <v>6.4500000000000002E-2</v>
      </c>
      <c r="G7923" s="26">
        <v>0.1452</v>
      </c>
      <c r="H7923" s="26">
        <v>0.1774</v>
      </c>
      <c r="J7923" s="26">
        <v>1.61E-2</v>
      </c>
      <c r="K7923" s="26">
        <v>4.8399999999999999E-2</v>
      </c>
      <c r="M7923" s="26">
        <v>1.61E-2</v>
      </c>
      <c r="N7923" s="26">
        <v>1.61E-2</v>
      </c>
      <c r="P7923" s="26">
        <v>1.61E-2</v>
      </c>
      <c r="T7923">
        <v>62</v>
      </c>
    </row>
    <row r="7924" spans="1:20" x14ac:dyDescent="0.35">
      <c r="A7924" t="s">
        <v>227</v>
      </c>
      <c r="B7924" t="s">
        <v>238</v>
      </c>
      <c r="C7924" s="26">
        <v>0.62629999999999997</v>
      </c>
      <c r="D7924" s="26">
        <v>0.46460000000000001</v>
      </c>
      <c r="E7924" s="26">
        <v>0.1515</v>
      </c>
      <c r="F7924" s="26">
        <v>0.1313</v>
      </c>
      <c r="G7924" s="26">
        <v>0.1111</v>
      </c>
      <c r="H7924" s="26">
        <v>9.0899999999999995E-2</v>
      </c>
      <c r="I7924" s="26">
        <v>7.0699999999999999E-2</v>
      </c>
      <c r="J7924" s="26">
        <v>3.0300000000000001E-2</v>
      </c>
      <c r="K7924" s="26">
        <v>3.0300000000000001E-2</v>
      </c>
      <c r="L7924" s="26">
        <v>2.0199999999999999E-2</v>
      </c>
      <c r="P7924" s="26">
        <v>1.01E-2</v>
      </c>
      <c r="Q7924" s="26">
        <v>1.01E-2</v>
      </c>
      <c r="T7924">
        <v>99</v>
      </c>
    </row>
    <row r="7925" spans="1:20" x14ac:dyDescent="0.35">
      <c r="A7925" t="s">
        <v>228</v>
      </c>
      <c r="B7925" t="s">
        <v>239</v>
      </c>
      <c r="C7925" s="26">
        <v>0.49980000000000002</v>
      </c>
      <c r="D7925" s="26">
        <v>0.56530000000000002</v>
      </c>
      <c r="E7925" s="26">
        <v>0.19989999999999999</v>
      </c>
      <c r="F7925" s="26">
        <v>0.10150000000000001</v>
      </c>
      <c r="G7925" s="26">
        <v>5.3100000000000001E-2</v>
      </c>
      <c r="H7925" s="26">
        <v>0.1794</v>
      </c>
      <c r="I7925" s="26">
        <v>2.1299999999999999E-2</v>
      </c>
      <c r="J7925" s="26">
        <v>6.1100000000000002E-2</v>
      </c>
      <c r="K7925" s="26">
        <v>5.0500000000000003E-2</v>
      </c>
      <c r="L7925" s="26">
        <v>5.3E-3</v>
      </c>
      <c r="M7925" s="26">
        <v>1.6999999999999999E-3</v>
      </c>
      <c r="N7925" s="26">
        <v>3.8100000000000002E-2</v>
      </c>
      <c r="O7925" s="26">
        <v>1.1999999999999999E-3</v>
      </c>
      <c r="P7925" s="26">
        <v>6.1000000000000004E-3</v>
      </c>
      <c r="Q7925" s="26">
        <v>2.7000000000000001E-3</v>
      </c>
      <c r="R7925" s="26">
        <v>6.8999999999999999E-3</v>
      </c>
      <c r="S7925" s="26">
        <v>2E-3</v>
      </c>
      <c r="T7925">
        <v>329</v>
      </c>
    </row>
    <row r="7926" spans="1:20" x14ac:dyDescent="0.35">
      <c r="A7926" t="s">
        <v>228</v>
      </c>
      <c r="B7926" t="s">
        <v>238</v>
      </c>
      <c r="C7926" s="26">
        <v>0.57930000000000004</v>
      </c>
      <c r="D7926" s="26">
        <v>0.52149999999999996</v>
      </c>
      <c r="E7926" s="26">
        <v>0.1487</v>
      </c>
      <c r="F7926" s="26">
        <v>0.10929999999999999</v>
      </c>
      <c r="G7926" s="26">
        <v>7.7299999999999994E-2</v>
      </c>
      <c r="H7926" s="26">
        <v>0.1079</v>
      </c>
      <c r="I7926" s="26">
        <v>7.1099999999999997E-2</v>
      </c>
      <c r="J7926" s="26">
        <v>6.4600000000000005E-2</v>
      </c>
      <c r="K7926" s="26">
        <v>8.9999999999999993E-3</v>
      </c>
      <c r="L7926" s="26">
        <v>2.4799999999999999E-2</v>
      </c>
      <c r="M7926" s="26">
        <v>6.7999999999999996E-3</v>
      </c>
      <c r="N7926" s="26">
        <v>2.2499999999999999E-2</v>
      </c>
      <c r="O7926" s="26">
        <v>9.9000000000000008E-3</v>
      </c>
      <c r="P7926" s="26">
        <v>6.8999999999999999E-3</v>
      </c>
      <c r="Q7926" s="26">
        <v>1.8E-3</v>
      </c>
      <c r="R7926" s="26">
        <v>5.0000000000000001E-4</v>
      </c>
      <c r="S7926" s="26">
        <v>6.9999999999999999E-4</v>
      </c>
      <c r="T7926">
        <v>701</v>
      </c>
    </row>
    <row r="7927" spans="1:20" x14ac:dyDescent="0.35">
      <c r="A7927" t="s">
        <v>229</v>
      </c>
      <c r="B7927" t="s">
        <v>239</v>
      </c>
      <c r="C7927" s="26">
        <v>0.59930000000000005</v>
      </c>
      <c r="D7927" s="26">
        <v>0.49070000000000003</v>
      </c>
      <c r="E7927" s="26">
        <v>0.17369999999999999</v>
      </c>
      <c r="F7927" s="26">
        <v>0.15040000000000001</v>
      </c>
      <c r="G7927" s="26">
        <v>7.51E-2</v>
      </c>
      <c r="H7927" s="26">
        <v>7.0400000000000004E-2</v>
      </c>
      <c r="I7927" s="26">
        <v>3.9800000000000002E-2</v>
      </c>
      <c r="J7927" s="26">
        <v>1.84E-2</v>
      </c>
      <c r="K7927" s="26">
        <v>5.0099999999999999E-2</v>
      </c>
      <c r="L7927" s="26">
        <v>2.0400000000000001E-2</v>
      </c>
      <c r="M7927" s="26">
        <v>1.2999999999999999E-3</v>
      </c>
      <c r="N7927" s="26">
        <v>1.6999999999999999E-3</v>
      </c>
      <c r="O7927" s="26">
        <v>1.24E-2</v>
      </c>
      <c r="P7927" s="26">
        <v>1.06E-2</v>
      </c>
      <c r="R7927" s="26">
        <v>1E-3</v>
      </c>
      <c r="T7927">
        <v>332</v>
      </c>
    </row>
    <row r="7928" spans="1:20" x14ac:dyDescent="0.35">
      <c r="A7928" t="s">
        <v>229</v>
      </c>
      <c r="B7928" t="s">
        <v>238</v>
      </c>
      <c r="C7928" s="26">
        <v>0.68769999999999998</v>
      </c>
      <c r="D7928" s="26">
        <v>0.39100000000000001</v>
      </c>
      <c r="E7928" s="26">
        <v>0.14560000000000001</v>
      </c>
      <c r="F7928" s="26">
        <v>8.7999999999999995E-2</v>
      </c>
      <c r="G7928" s="26">
        <v>0.1106</v>
      </c>
      <c r="H7928" s="26">
        <v>7.7100000000000002E-2</v>
      </c>
      <c r="I7928" s="26">
        <v>0.1154</v>
      </c>
      <c r="J7928" s="26">
        <v>5.3199999999999997E-2</v>
      </c>
      <c r="K7928" s="26">
        <v>2.1299999999999999E-2</v>
      </c>
      <c r="L7928" s="26">
        <v>1.5299999999999999E-2</v>
      </c>
      <c r="M7928" s="26">
        <v>2.1999999999999999E-2</v>
      </c>
      <c r="N7928" s="26">
        <v>5.3E-3</v>
      </c>
      <c r="O7928" s="26">
        <v>4.1000000000000003E-3</v>
      </c>
      <c r="P7928" s="26">
        <v>1.2999999999999999E-3</v>
      </c>
      <c r="Q7928" s="26">
        <v>7.4000000000000003E-3</v>
      </c>
      <c r="R7928" s="26">
        <v>8.9999999999999998E-4</v>
      </c>
      <c r="T7928">
        <v>561</v>
      </c>
    </row>
    <row r="7929" spans="1:20" x14ac:dyDescent="0.35">
      <c r="A7929" t="s">
        <v>230</v>
      </c>
      <c r="B7929" t="s">
        <v>239</v>
      </c>
      <c r="C7929" s="26">
        <v>0.52170000000000005</v>
      </c>
      <c r="D7929" s="26">
        <v>0.43769999999999998</v>
      </c>
      <c r="E7929" s="26">
        <v>0.2286</v>
      </c>
      <c r="F7929" s="26">
        <v>0.1333</v>
      </c>
      <c r="G7929" s="26">
        <v>0.14990000000000001</v>
      </c>
      <c r="H7929" s="26">
        <v>6.2E-2</v>
      </c>
      <c r="I7929" s="26">
        <v>8.8300000000000003E-2</v>
      </c>
      <c r="J7929" s="26">
        <v>4.7399999999999998E-2</v>
      </c>
      <c r="K7929" s="26">
        <v>0.1079</v>
      </c>
      <c r="L7929" s="26">
        <v>8.9999999999999993E-3</v>
      </c>
      <c r="M7929" s="26">
        <v>1.8E-3</v>
      </c>
      <c r="N7929" s="26">
        <v>5.9200000000000003E-2</v>
      </c>
      <c r="O7929" s="26">
        <v>6.8999999999999999E-3</v>
      </c>
      <c r="P7929" s="26">
        <v>1.8800000000000001E-2</v>
      </c>
      <c r="Q7929" s="26">
        <v>8.9999999999999998E-4</v>
      </c>
      <c r="T7929">
        <v>211</v>
      </c>
    </row>
    <row r="7930" spans="1:20" x14ac:dyDescent="0.35">
      <c r="A7930" t="s">
        <v>230</v>
      </c>
      <c r="B7930" t="s">
        <v>238</v>
      </c>
      <c r="C7930" s="26">
        <v>0.56879999999999997</v>
      </c>
      <c r="D7930" s="26">
        <v>0.4098</v>
      </c>
      <c r="E7930" s="26">
        <v>0.1893</v>
      </c>
      <c r="F7930" s="26">
        <v>0.1086</v>
      </c>
      <c r="G7930" s="26">
        <v>9.1600000000000001E-2</v>
      </c>
      <c r="H7930" s="26">
        <v>0.1235</v>
      </c>
      <c r="I7930" s="26">
        <v>8.2799999999999999E-2</v>
      </c>
      <c r="J7930" s="26">
        <v>8.7099999999999997E-2</v>
      </c>
      <c r="K7930" s="26">
        <v>1.7100000000000001E-2</v>
      </c>
      <c r="L7930" s="26">
        <v>2.3E-2</v>
      </c>
      <c r="M7930" s="26">
        <v>2.3900000000000001E-2</v>
      </c>
      <c r="N7930" s="26">
        <v>2.9000000000000001E-2</v>
      </c>
      <c r="O7930" s="26">
        <v>8.9999999999999993E-3</v>
      </c>
      <c r="P7930" s="26">
        <v>1.2999999999999999E-3</v>
      </c>
      <c r="R7930" s="26">
        <v>1.0699999999999999E-2</v>
      </c>
      <c r="T7930">
        <v>349</v>
      </c>
    </row>
    <row r="7931" spans="1:20" x14ac:dyDescent="0.35">
      <c r="A7931" t="s">
        <v>231</v>
      </c>
      <c r="B7931" t="s">
        <v>239</v>
      </c>
      <c r="C7931" s="26">
        <v>0.52629999999999999</v>
      </c>
      <c r="D7931" s="26">
        <v>0.57889999999999997</v>
      </c>
      <c r="E7931" s="26">
        <v>0.28070000000000001</v>
      </c>
      <c r="F7931" s="26">
        <v>0.1053</v>
      </c>
      <c r="G7931" s="26">
        <v>5.2600000000000001E-2</v>
      </c>
      <c r="H7931" s="26">
        <v>3.5099999999999999E-2</v>
      </c>
      <c r="I7931" s="26">
        <v>5.2600000000000001E-2</v>
      </c>
      <c r="J7931" s="26">
        <v>1.7500000000000002E-2</v>
      </c>
      <c r="K7931" s="26">
        <v>7.0199999999999999E-2</v>
      </c>
      <c r="L7931" s="26">
        <v>3.5099999999999999E-2</v>
      </c>
      <c r="T7931">
        <v>57</v>
      </c>
    </row>
    <row r="7932" spans="1:20" x14ac:dyDescent="0.35">
      <c r="A7932" t="s">
        <v>231</v>
      </c>
      <c r="B7932" t="s">
        <v>238</v>
      </c>
      <c r="C7932" s="26">
        <v>0.5514</v>
      </c>
      <c r="D7932" s="26">
        <v>0.49530000000000002</v>
      </c>
      <c r="E7932" s="26">
        <v>0.11210000000000001</v>
      </c>
      <c r="F7932" s="26">
        <v>7.4800000000000005E-2</v>
      </c>
      <c r="G7932" s="26">
        <v>0.1308</v>
      </c>
      <c r="H7932" s="26">
        <v>9.35E-2</v>
      </c>
      <c r="I7932" s="26">
        <v>9.35E-2</v>
      </c>
      <c r="J7932" s="26">
        <v>2.8000000000000001E-2</v>
      </c>
      <c r="K7932" s="26">
        <v>2.8000000000000001E-2</v>
      </c>
      <c r="M7932" s="26">
        <v>2.8000000000000001E-2</v>
      </c>
      <c r="O7932" s="26">
        <v>1.8700000000000001E-2</v>
      </c>
      <c r="T7932">
        <v>107</v>
      </c>
    </row>
    <row r="7933" spans="1:20" x14ac:dyDescent="0.35">
      <c r="A7933" t="s">
        <v>232</v>
      </c>
      <c r="B7933" t="s">
        <v>232</v>
      </c>
      <c r="C7933" s="26">
        <v>0.59060000000000001</v>
      </c>
      <c r="D7933" s="26">
        <v>0.47499999999999998</v>
      </c>
      <c r="E7933" s="26">
        <v>0.16869999999999999</v>
      </c>
      <c r="F7933" s="26">
        <v>0.10100000000000001</v>
      </c>
      <c r="G7933" s="26">
        <v>0.10059999999999999</v>
      </c>
      <c r="H7933" s="26">
        <v>9.4200000000000006E-2</v>
      </c>
      <c r="I7933" s="26">
        <v>7.5499999999999998E-2</v>
      </c>
      <c r="J7933" s="26">
        <v>4.2599999999999999E-2</v>
      </c>
      <c r="K7933" s="26">
        <v>3.32E-2</v>
      </c>
      <c r="L7933" s="26">
        <v>1.5800000000000002E-2</v>
      </c>
      <c r="M7933" s="26">
        <v>1.35E-2</v>
      </c>
      <c r="N7933" s="26">
        <v>1.0800000000000001E-2</v>
      </c>
      <c r="O7933" s="26">
        <v>7.4999999999999997E-3</v>
      </c>
      <c r="P7933" s="26">
        <v>4.8999999999999998E-3</v>
      </c>
      <c r="Q7933" s="26">
        <v>2.8999999999999998E-3</v>
      </c>
      <c r="R7933" s="26">
        <v>1.2999999999999999E-3</v>
      </c>
      <c r="S7933" s="26">
        <v>2.0000000000000001E-4</v>
      </c>
      <c r="T7933">
        <v>2808</v>
      </c>
    </row>
    <row r="7935" spans="1:20" x14ac:dyDescent="0.35">
      <c r="A7935" s="1" t="s">
        <v>1096</v>
      </c>
    </row>
    <row r="7936" spans="1:20" x14ac:dyDescent="0.35">
      <c r="A7936" t="s">
        <v>219</v>
      </c>
      <c r="B7936" t="s">
        <v>305</v>
      </c>
      <c r="C7936" t="s">
        <v>1080</v>
      </c>
      <c r="D7936" t="s">
        <v>1081</v>
      </c>
      <c r="E7936" t="s">
        <v>1082</v>
      </c>
      <c r="F7936" t="s">
        <v>1083</v>
      </c>
      <c r="G7936" t="s">
        <v>1084</v>
      </c>
      <c r="H7936" t="s">
        <v>1085</v>
      </c>
      <c r="I7936" t="s">
        <v>1086</v>
      </c>
      <c r="J7936" t="s">
        <v>1087</v>
      </c>
      <c r="K7936" t="s">
        <v>1088</v>
      </c>
      <c r="L7936" t="s">
        <v>1089</v>
      </c>
      <c r="M7936" t="s">
        <v>326</v>
      </c>
      <c r="N7936" t="s">
        <v>1090</v>
      </c>
      <c r="O7936" t="s">
        <v>1091</v>
      </c>
      <c r="P7936" t="s">
        <v>1092</v>
      </c>
      <c r="Q7936" t="s">
        <v>1093</v>
      </c>
      <c r="R7936" t="s">
        <v>286</v>
      </c>
      <c r="S7936" t="s">
        <v>281</v>
      </c>
      <c r="T7936" t="s">
        <v>226</v>
      </c>
    </row>
    <row r="7937" spans="1:20" x14ac:dyDescent="0.35">
      <c r="A7937" t="s">
        <v>227</v>
      </c>
      <c r="B7937" t="s">
        <v>244</v>
      </c>
      <c r="C7937" s="26">
        <v>0.6875</v>
      </c>
      <c r="D7937" s="26">
        <v>0.47920000000000001</v>
      </c>
      <c r="E7937" s="26">
        <v>0.19789999999999999</v>
      </c>
      <c r="F7937" s="26">
        <v>0.125</v>
      </c>
      <c r="G7937" s="26">
        <v>0.13539999999999999</v>
      </c>
      <c r="H7937" s="26">
        <v>0.13539999999999999</v>
      </c>
      <c r="I7937" s="26">
        <v>6.25E-2</v>
      </c>
      <c r="J7937" s="26">
        <v>3.1199999999999999E-2</v>
      </c>
      <c r="K7937" s="26">
        <v>4.1700000000000001E-2</v>
      </c>
      <c r="L7937" s="26">
        <v>1.04E-2</v>
      </c>
      <c r="M7937" s="26">
        <v>1.04E-2</v>
      </c>
      <c r="N7937" s="26">
        <v>1.04E-2</v>
      </c>
      <c r="P7937" s="26">
        <v>1.04E-2</v>
      </c>
      <c r="Q7937" s="26">
        <v>1.04E-2</v>
      </c>
      <c r="T7937">
        <v>96</v>
      </c>
    </row>
    <row r="7938" spans="1:20" x14ac:dyDescent="0.35">
      <c r="A7938" t="s">
        <v>227</v>
      </c>
      <c r="B7938" t="s">
        <v>245</v>
      </c>
      <c r="C7938" s="26">
        <v>0.3962</v>
      </c>
      <c r="D7938" s="26">
        <v>0.45279999999999998</v>
      </c>
      <c r="E7938" s="26">
        <v>0.1132</v>
      </c>
      <c r="F7938" s="26">
        <v>7.5499999999999998E-2</v>
      </c>
      <c r="G7938" s="26">
        <v>0.1321</v>
      </c>
      <c r="H7938" s="26">
        <v>9.4299999999999995E-2</v>
      </c>
      <c r="I7938" s="26">
        <v>1.89E-2</v>
      </c>
      <c r="J7938" s="26">
        <v>1.89E-2</v>
      </c>
      <c r="K7938" s="26">
        <v>3.7699999999999997E-2</v>
      </c>
      <c r="L7938" s="26">
        <v>1.89E-2</v>
      </c>
      <c r="P7938" s="26">
        <v>1.89E-2</v>
      </c>
      <c r="T7938">
        <v>53</v>
      </c>
    </row>
    <row r="7939" spans="1:20" x14ac:dyDescent="0.35">
      <c r="A7939" s="27" t="s">
        <v>227</v>
      </c>
      <c r="B7939" s="27" t="s">
        <v>246</v>
      </c>
      <c r="C7939" s="28">
        <v>0.75</v>
      </c>
      <c r="D7939" s="28">
        <v>0.33329999999999999</v>
      </c>
      <c r="E7939" s="28">
        <v>0.41670000000000001</v>
      </c>
      <c r="F7939" s="28">
        <v>8.3299999999999999E-2</v>
      </c>
      <c r="G7939" s="29"/>
      <c r="H7939" s="28">
        <v>0.16669999999999999</v>
      </c>
      <c r="I7939" s="29"/>
      <c r="J7939" s="29"/>
      <c r="K7939" s="29"/>
      <c r="L7939" s="29"/>
      <c r="M7939" s="29"/>
      <c r="N7939" s="29"/>
      <c r="O7939" s="29"/>
      <c r="P7939" s="29"/>
      <c r="Q7939" s="29"/>
      <c r="R7939" s="29"/>
      <c r="S7939" s="29"/>
      <c r="T7939" s="29" t="s">
        <v>342</v>
      </c>
    </row>
    <row r="7940" spans="1:20" x14ac:dyDescent="0.35">
      <c r="A7940" t="s">
        <v>228</v>
      </c>
      <c r="B7940" t="s">
        <v>244</v>
      </c>
      <c r="C7940" s="26">
        <v>0.64439999999999997</v>
      </c>
      <c r="D7940" s="26">
        <v>0.51839999999999997</v>
      </c>
      <c r="E7940" s="26">
        <v>0.17510000000000001</v>
      </c>
      <c r="F7940" s="26">
        <v>8.8400000000000006E-2</v>
      </c>
      <c r="G7940" s="26">
        <v>6.59E-2</v>
      </c>
      <c r="H7940" s="26">
        <v>0.1124</v>
      </c>
      <c r="I7940" s="26">
        <v>5.9499999999999997E-2</v>
      </c>
      <c r="J7940" s="26">
        <v>5.91E-2</v>
      </c>
      <c r="K7940" s="26">
        <v>1.49E-2</v>
      </c>
      <c r="L7940" s="26">
        <v>2.07E-2</v>
      </c>
      <c r="M7940" s="26">
        <v>8.0999999999999996E-3</v>
      </c>
      <c r="N7940" s="26">
        <v>2.3800000000000002E-2</v>
      </c>
      <c r="O7940" s="26">
        <v>1.0500000000000001E-2</v>
      </c>
      <c r="Q7940" s="26">
        <v>3.0000000000000001E-3</v>
      </c>
      <c r="R7940" s="26">
        <v>1.8E-3</v>
      </c>
      <c r="S7940" s="26">
        <v>1.5E-3</v>
      </c>
      <c r="T7940">
        <v>638</v>
      </c>
    </row>
    <row r="7941" spans="1:20" x14ac:dyDescent="0.35">
      <c r="A7941" t="s">
        <v>228</v>
      </c>
      <c r="B7941" t="s">
        <v>245</v>
      </c>
      <c r="C7941" s="26">
        <v>0.35160000000000002</v>
      </c>
      <c r="D7941" s="26">
        <v>0.53669999999999995</v>
      </c>
      <c r="E7941" s="26">
        <v>4.9000000000000002E-2</v>
      </c>
      <c r="F7941" s="26">
        <v>0.112</v>
      </c>
      <c r="G7941" s="26">
        <v>9.5899999999999999E-2</v>
      </c>
      <c r="H7941" s="26">
        <v>9.9299999999999999E-2</v>
      </c>
      <c r="I7941" s="26">
        <v>4.65E-2</v>
      </c>
      <c r="J7941" s="26">
        <v>6.3700000000000007E-2</v>
      </c>
      <c r="K7941" s="26">
        <v>2.3800000000000002E-2</v>
      </c>
      <c r="L7941" s="26">
        <v>2.5999999999999999E-2</v>
      </c>
      <c r="M7941" s="26">
        <v>8.9999999999999998E-4</v>
      </c>
      <c r="N7941" s="26">
        <v>3.5200000000000002E-2</v>
      </c>
      <c r="O7941" s="26">
        <v>4.3E-3</v>
      </c>
      <c r="P7941" s="26">
        <v>2.4500000000000001E-2</v>
      </c>
      <c r="R7941" s="26">
        <v>8.9999999999999998E-4</v>
      </c>
      <c r="T7941">
        <v>325</v>
      </c>
    </row>
    <row r="7942" spans="1:20" x14ac:dyDescent="0.35">
      <c r="A7942" t="s">
        <v>228</v>
      </c>
      <c r="B7942" t="s">
        <v>246</v>
      </c>
      <c r="C7942" s="26">
        <v>0.63990000000000002</v>
      </c>
      <c r="D7942" s="26">
        <v>0.62139999999999995</v>
      </c>
      <c r="E7942" s="26">
        <v>0.45379999999999998</v>
      </c>
      <c r="F7942" s="26">
        <v>0.27400000000000002</v>
      </c>
      <c r="G7942" s="26">
        <v>3.7999999999999999E-2</v>
      </c>
      <c r="H7942" s="26">
        <v>0.31519999999999998</v>
      </c>
      <c r="I7942" s="26">
        <v>0.13150000000000001</v>
      </c>
      <c r="J7942" s="26">
        <v>0.11020000000000001</v>
      </c>
      <c r="K7942" s="26">
        <v>1.7299999999999999E-2</v>
      </c>
      <c r="M7942" s="26">
        <v>3.5000000000000001E-3</v>
      </c>
      <c r="N7942" s="26">
        <v>5.1999999999999998E-3</v>
      </c>
      <c r="R7942" s="26">
        <v>5.1999999999999998E-3</v>
      </c>
      <c r="T7942">
        <v>67</v>
      </c>
    </row>
    <row r="7943" spans="1:20" x14ac:dyDescent="0.35">
      <c r="A7943" t="s">
        <v>229</v>
      </c>
      <c r="B7943" t="s">
        <v>244</v>
      </c>
      <c r="C7943" s="26">
        <v>0.71240000000000003</v>
      </c>
      <c r="D7943" s="26">
        <v>0.40379999999999999</v>
      </c>
      <c r="E7943" s="26">
        <v>0.17419999999999999</v>
      </c>
      <c r="F7943" s="26">
        <v>0.1114</v>
      </c>
      <c r="G7943" s="26">
        <v>8.2500000000000004E-2</v>
      </c>
      <c r="H7943" s="26">
        <v>7.6300000000000007E-2</v>
      </c>
      <c r="I7943" s="26">
        <v>0.11600000000000001</v>
      </c>
      <c r="J7943" s="26">
        <v>2.9399999999999999E-2</v>
      </c>
      <c r="K7943" s="26">
        <v>3.4099999999999998E-2</v>
      </c>
      <c r="L7943" s="26">
        <v>1.55E-2</v>
      </c>
      <c r="M7943" s="26">
        <v>1.8499999999999999E-2</v>
      </c>
      <c r="N7943" s="26">
        <v>4.1999999999999997E-3</v>
      </c>
      <c r="O7943" s="26">
        <v>4.7999999999999996E-3</v>
      </c>
      <c r="P7943" s="26">
        <v>5.0000000000000001E-4</v>
      </c>
      <c r="Q7943" s="26">
        <v>4.3E-3</v>
      </c>
      <c r="R7943" s="26">
        <v>1E-4</v>
      </c>
      <c r="T7943">
        <v>556</v>
      </c>
    </row>
    <row r="7944" spans="1:20" x14ac:dyDescent="0.35">
      <c r="A7944" t="s">
        <v>229</v>
      </c>
      <c r="B7944" t="s">
        <v>245</v>
      </c>
      <c r="C7944" s="26">
        <v>0.49969999999999998</v>
      </c>
      <c r="D7944" s="26">
        <v>0.3997</v>
      </c>
      <c r="E7944" s="26">
        <v>6.0299999999999999E-2</v>
      </c>
      <c r="F7944" s="26">
        <v>7.8200000000000006E-2</v>
      </c>
      <c r="G7944" s="26">
        <v>0.1615</v>
      </c>
      <c r="H7944" s="26">
        <v>6.7400000000000002E-2</v>
      </c>
      <c r="I7944" s="26">
        <v>1.44E-2</v>
      </c>
      <c r="J7944" s="26">
        <v>6.9900000000000004E-2</v>
      </c>
      <c r="K7944" s="26">
        <v>9.1999999999999998E-3</v>
      </c>
      <c r="L7944" s="26">
        <v>2.3300000000000001E-2</v>
      </c>
      <c r="M7944" s="26">
        <v>1.5299999999999999E-2</v>
      </c>
      <c r="N7944" s="26">
        <v>1.6999999999999999E-3</v>
      </c>
      <c r="O7944" s="26">
        <v>1.1299999999999999E-2</v>
      </c>
      <c r="P7944" s="26">
        <v>1.34E-2</v>
      </c>
      <c r="R7944" s="26">
        <v>3.3E-3</v>
      </c>
      <c r="T7944">
        <v>292</v>
      </c>
    </row>
    <row r="7945" spans="1:20" x14ac:dyDescent="0.35">
      <c r="A7945" t="s">
        <v>229</v>
      </c>
      <c r="B7945" t="s">
        <v>246</v>
      </c>
      <c r="C7945" s="26">
        <v>0.83020000000000005</v>
      </c>
      <c r="D7945" s="26">
        <v>0.66080000000000005</v>
      </c>
      <c r="E7945" s="26">
        <v>0.31109999999999999</v>
      </c>
      <c r="F7945" s="26">
        <v>0.12859999999999999</v>
      </c>
      <c r="G7945" s="26">
        <v>6.4600000000000005E-2</v>
      </c>
      <c r="H7945" s="26">
        <v>0.10100000000000001</v>
      </c>
      <c r="I7945" s="26">
        <v>0.22239999999999999</v>
      </c>
      <c r="J7945" s="26">
        <v>0.1177</v>
      </c>
      <c r="K7945" s="26">
        <v>5.0700000000000002E-2</v>
      </c>
      <c r="N7945" s="26">
        <v>1.8700000000000001E-2</v>
      </c>
      <c r="Q7945" s="26">
        <v>4.7100000000000003E-2</v>
      </c>
      <c r="T7945">
        <v>45</v>
      </c>
    </row>
    <row r="7946" spans="1:20" x14ac:dyDescent="0.35">
      <c r="A7946" t="s">
        <v>230</v>
      </c>
      <c r="B7946" t="s">
        <v>244</v>
      </c>
      <c r="C7946" s="26">
        <v>0.62460000000000004</v>
      </c>
      <c r="D7946" s="26">
        <v>0.37690000000000001</v>
      </c>
      <c r="E7946" s="26">
        <v>0.2198</v>
      </c>
      <c r="F7946" s="26">
        <v>0.1069</v>
      </c>
      <c r="G7946" s="26">
        <v>0.1055</v>
      </c>
      <c r="H7946" s="26">
        <v>0.1114</v>
      </c>
      <c r="I7946" s="26">
        <v>0.113</v>
      </c>
      <c r="J7946" s="26">
        <v>7.8899999999999998E-2</v>
      </c>
      <c r="K7946" s="26">
        <v>4.1399999999999999E-2</v>
      </c>
      <c r="L7946" s="26">
        <v>1.55E-2</v>
      </c>
      <c r="M7946" s="26">
        <v>1.6299999999999999E-2</v>
      </c>
      <c r="N7946" s="26">
        <v>2.9700000000000001E-2</v>
      </c>
      <c r="O7946" s="26">
        <v>1.04E-2</v>
      </c>
      <c r="P7946" s="26">
        <v>9.1000000000000004E-3</v>
      </c>
      <c r="R7946" s="26">
        <v>2.5999999999999999E-3</v>
      </c>
      <c r="T7946">
        <v>370</v>
      </c>
    </row>
    <row r="7947" spans="1:20" x14ac:dyDescent="0.35">
      <c r="A7947" t="s">
        <v>230</v>
      </c>
      <c r="B7947" t="s">
        <v>245</v>
      </c>
      <c r="C7947" s="26">
        <v>0.30859999999999999</v>
      </c>
      <c r="D7947" s="26">
        <v>0.54559999999999997</v>
      </c>
      <c r="E7947" s="26">
        <v>4.6699999999999998E-2</v>
      </c>
      <c r="F7947" s="26">
        <v>0.14399999999999999</v>
      </c>
      <c r="G7947" s="26">
        <v>0.13930000000000001</v>
      </c>
      <c r="H7947" s="26">
        <v>4.9099999999999998E-2</v>
      </c>
      <c r="I7947" s="26">
        <v>3.5000000000000001E-3</v>
      </c>
      <c r="J7947" s="26">
        <v>7.5600000000000001E-2</v>
      </c>
      <c r="K7947" s="26">
        <v>2.98E-2</v>
      </c>
      <c r="L7947" s="26">
        <v>3.1099999999999999E-2</v>
      </c>
      <c r="M7947" s="26">
        <v>2.18E-2</v>
      </c>
      <c r="N7947" s="26">
        <v>5.8500000000000003E-2</v>
      </c>
      <c r="O7947" s="26">
        <v>4.4999999999999997E-3</v>
      </c>
      <c r="P7947" s="26">
        <v>1.1000000000000001E-3</v>
      </c>
      <c r="Q7947" s="26">
        <v>1.1000000000000001E-3</v>
      </c>
      <c r="R7947" s="26">
        <v>2.18E-2</v>
      </c>
      <c r="T7947">
        <v>161</v>
      </c>
    </row>
    <row r="7948" spans="1:20" x14ac:dyDescent="0.35">
      <c r="A7948" s="27" t="s">
        <v>230</v>
      </c>
      <c r="B7948" s="27" t="s">
        <v>246</v>
      </c>
      <c r="C7948" s="28">
        <v>0.87190000000000001</v>
      </c>
      <c r="D7948" s="28">
        <v>0.32540000000000002</v>
      </c>
      <c r="E7948" s="28">
        <v>0.76149999999999995</v>
      </c>
      <c r="F7948" s="28">
        <v>9.6799999999999997E-2</v>
      </c>
      <c r="G7948" s="29"/>
      <c r="H7948" s="28">
        <v>0.31230000000000002</v>
      </c>
      <c r="I7948" s="28">
        <v>0.1108</v>
      </c>
      <c r="J7948" s="28">
        <v>1.8700000000000001E-2</v>
      </c>
      <c r="K7948" s="28">
        <v>0.16600000000000001</v>
      </c>
      <c r="L7948" s="29"/>
      <c r="M7948" s="28">
        <v>5.5999999999999999E-3</v>
      </c>
      <c r="N7948" s="28">
        <v>4.82E-2</v>
      </c>
      <c r="O7948" s="29"/>
      <c r="P7948" s="29"/>
      <c r="Q7948" s="29"/>
      <c r="R7948" s="29"/>
      <c r="S7948" s="29"/>
      <c r="T7948" s="29" t="s">
        <v>329</v>
      </c>
    </row>
    <row r="7949" spans="1:20" x14ac:dyDescent="0.35">
      <c r="A7949" t="s">
        <v>231</v>
      </c>
      <c r="B7949" t="s">
        <v>244</v>
      </c>
      <c r="C7949" s="26">
        <v>0.62109999999999999</v>
      </c>
      <c r="D7949" s="26">
        <v>0.53680000000000005</v>
      </c>
      <c r="E7949" s="26">
        <v>0.1895</v>
      </c>
      <c r="F7949" s="26">
        <v>8.4199999999999997E-2</v>
      </c>
      <c r="G7949" s="26">
        <v>9.4700000000000006E-2</v>
      </c>
      <c r="H7949" s="26">
        <v>6.3200000000000006E-2</v>
      </c>
      <c r="I7949" s="26">
        <v>0.1158</v>
      </c>
      <c r="J7949" s="26">
        <v>1.0500000000000001E-2</v>
      </c>
      <c r="K7949" s="26">
        <v>6.3200000000000006E-2</v>
      </c>
      <c r="M7949" s="26">
        <v>1.0500000000000001E-2</v>
      </c>
      <c r="O7949" s="26">
        <v>2.1100000000000001E-2</v>
      </c>
      <c r="T7949">
        <v>95</v>
      </c>
    </row>
    <row r="7950" spans="1:20" x14ac:dyDescent="0.35">
      <c r="A7950" t="s">
        <v>231</v>
      </c>
      <c r="B7950" t="s">
        <v>245</v>
      </c>
      <c r="C7950" s="26">
        <v>0.35709999999999997</v>
      </c>
      <c r="D7950" s="26">
        <v>0.51790000000000003</v>
      </c>
      <c r="E7950" s="26">
        <v>0.1071</v>
      </c>
      <c r="F7950" s="26">
        <v>7.1400000000000005E-2</v>
      </c>
      <c r="G7950" s="26">
        <v>0.1071</v>
      </c>
      <c r="H7950" s="26">
        <v>8.9300000000000004E-2</v>
      </c>
      <c r="I7950" s="26">
        <v>3.5700000000000003E-2</v>
      </c>
      <c r="J7950" s="26">
        <v>1.7899999999999999E-2</v>
      </c>
      <c r="K7950" s="26">
        <v>1.7899999999999999E-2</v>
      </c>
      <c r="L7950" s="26">
        <v>1.7899999999999999E-2</v>
      </c>
      <c r="M7950" s="26">
        <v>3.5700000000000003E-2</v>
      </c>
      <c r="T7950">
        <v>56</v>
      </c>
    </row>
    <row r="7951" spans="1:20" x14ac:dyDescent="0.35">
      <c r="A7951" s="27" t="s">
        <v>231</v>
      </c>
      <c r="B7951" s="27" t="s">
        <v>246</v>
      </c>
      <c r="C7951" s="28">
        <v>0.76919999999999999</v>
      </c>
      <c r="D7951" s="28">
        <v>0.46150000000000002</v>
      </c>
      <c r="E7951" s="28">
        <v>0.30769999999999997</v>
      </c>
      <c r="F7951" s="28">
        <v>0.15379999999999999</v>
      </c>
      <c r="G7951" s="28">
        <v>0.15379999999999999</v>
      </c>
      <c r="H7951" s="28">
        <v>7.6899999999999996E-2</v>
      </c>
      <c r="I7951" s="29"/>
      <c r="J7951" s="28">
        <v>0.15379999999999999</v>
      </c>
      <c r="K7951" s="29"/>
      <c r="L7951" s="28">
        <v>7.6899999999999996E-2</v>
      </c>
      <c r="M7951" s="29"/>
      <c r="N7951" s="29"/>
      <c r="O7951" s="29"/>
      <c r="P7951" s="29"/>
      <c r="Q7951" s="29"/>
      <c r="R7951" s="29"/>
      <c r="S7951" s="29"/>
      <c r="T7951" s="29" t="s">
        <v>341</v>
      </c>
    </row>
    <row r="7952" spans="1:20" x14ac:dyDescent="0.35">
      <c r="A7952" t="s">
        <v>232</v>
      </c>
      <c r="B7952" t="s">
        <v>232</v>
      </c>
      <c r="C7952" s="26">
        <v>0.59060000000000001</v>
      </c>
      <c r="D7952" s="26">
        <v>0.47499999999999998</v>
      </c>
      <c r="E7952" s="26">
        <v>0.16869999999999999</v>
      </c>
      <c r="F7952" s="26">
        <v>0.10100000000000001</v>
      </c>
      <c r="G7952" s="26">
        <v>0.10059999999999999</v>
      </c>
      <c r="H7952" s="26">
        <v>9.4200000000000006E-2</v>
      </c>
      <c r="I7952" s="26">
        <v>7.5499999999999998E-2</v>
      </c>
      <c r="J7952" s="26">
        <v>4.2599999999999999E-2</v>
      </c>
      <c r="K7952" s="26">
        <v>3.32E-2</v>
      </c>
      <c r="L7952" s="26">
        <v>1.5800000000000002E-2</v>
      </c>
      <c r="M7952" s="26">
        <v>1.35E-2</v>
      </c>
      <c r="N7952" s="26">
        <v>1.0800000000000001E-2</v>
      </c>
      <c r="O7952" s="26">
        <v>7.4999999999999997E-3</v>
      </c>
      <c r="P7952" s="26">
        <v>4.8999999999999998E-3</v>
      </c>
      <c r="Q7952" s="26">
        <v>2.8999999999999998E-3</v>
      </c>
      <c r="R7952" s="26">
        <v>1.2999999999999999E-3</v>
      </c>
      <c r="S7952" s="26">
        <v>2.0000000000000001E-4</v>
      </c>
      <c r="T7952">
        <v>2808</v>
      </c>
    </row>
    <row r="7954" spans="1:20" x14ac:dyDescent="0.35">
      <c r="A7954" s="1" t="s">
        <v>1097</v>
      </c>
    </row>
    <row r="7955" spans="1:20" x14ac:dyDescent="0.35">
      <c r="A7955" t="s">
        <v>219</v>
      </c>
      <c r="B7955" t="s">
        <v>305</v>
      </c>
      <c r="C7955" t="s">
        <v>1080</v>
      </c>
      <c r="D7955" t="s">
        <v>1081</v>
      </c>
      <c r="E7955" t="s">
        <v>1082</v>
      </c>
      <c r="F7955" t="s">
        <v>1083</v>
      </c>
      <c r="G7955" t="s">
        <v>1084</v>
      </c>
      <c r="H7955" t="s">
        <v>1085</v>
      </c>
      <c r="I7955" t="s">
        <v>1086</v>
      </c>
      <c r="J7955" t="s">
        <v>1087</v>
      </c>
      <c r="K7955" t="s">
        <v>1088</v>
      </c>
      <c r="L7955" t="s">
        <v>1089</v>
      </c>
      <c r="M7955" t="s">
        <v>326</v>
      </c>
      <c r="N7955" t="s">
        <v>1090</v>
      </c>
      <c r="O7955" t="s">
        <v>1091</v>
      </c>
      <c r="P7955" t="s">
        <v>1092</v>
      </c>
      <c r="Q7955" t="s">
        <v>1093</v>
      </c>
      <c r="R7955" t="s">
        <v>286</v>
      </c>
      <c r="S7955" t="s">
        <v>281</v>
      </c>
      <c r="T7955" t="s">
        <v>226</v>
      </c>
    </row>
    <row r="7956" spans="1:20" x14ac:dyDescent="0.35">
      <c r="A7956" t="s">
        <v>227</v>
      </c>
      <c r="B7956" t="s">
        <v>360</v>
      </c>
      <c r="C7956" s="26">
        <v>0.28210000000000002</v>
      </c>
      <c r="D7956" s="26">
        <v>0.53849999999999998</v>
      </c>
      <c r="E7956" s="26">
        <v>0.33329999999999999</v>
      </c>
      <c r="F7956" s="26">
        <v>0.12820000000000001</v>
      </c>
      <c r="G7956" s="26">
        <v>5.1299999999999998E-2</v>
      </c>
      <c r="H7956" s="26">
        <v>0.12820000000000001</v>
      </c>
      <c r="K7956" s="26">
        <v>2.5600000000000001E-2</v>
      </c>
      <c r="L7956" s="26">
        <v>2.5600000000000001E-2</v>
      </c>
      <c r="N7956" s="26">
        <v>2.5600000000000001E-2</v>
      </c>
      <c r="P7956" s="26">
        <v>5.1299999999999998E-2</v>
      </c>
      <c r="T7956">
        <v>39</v>
      </c>
    </row>
    <row r="7957" spans="1:20" x14ac:dyDescent="0.35">
      <c r="A7957" t="s">
        <v>227</v>
      </c>
      <c r="B7957" t="s">
        <v>361</v>
      </c>
      <c r="C7957" s="26">
        <v>0.8125</v>
      </c>
      <c r="D7957" s="26">
        <v>0.25</v>
      </c>
      <c r="E7957" s="26">
        <v>0.125</v>
      </c>
      <c r="F7957" s="26">
        <v>9.3799999999999994E-2</v>
      </c>
      <c r="G7957" s="26">
        <v>0.1875</v>
      </c>
      <c r="H7957" s="26">
        <v>3.1199999999999999E-2</v>
      </c>
      <c r="I7957" s="26">
        <v>0.125</v>
      </c>
      <c r="K7957" s="26">
        <v>3.1199999999999999E-2</v>
      </c>
      <c r="L7957" s="26">
        <v>3.1199999999999999E-2</v>
      </c>
      <c r="M7957" s="26">
        <v>3.1199999999999999E-2</v>
      </c>
      <c r="Q7957" s="26">
        <v>3.1199999999999999E-2</v>
      </c>
      <c r="T7957">
        <v>32</v>
      </c>
    </row>
    <row r="7958" spans="1:20" x14ac:dyDescent="0.35">
      <c r="A7958" t="s">
        <v>227</v>
      </c>
      <c r="B7958" t="s">
        <v>362</v>
      </c>
      <c r="C7958" s="26">
        <v>0.54049999999999998</v>
      </c>
      <c r="D7958" s="26">
        <v>0.62160000000000004</v>
      </c>
      <c r="E7958" s="26">
        <v>0.16220000000000001</v>
      </c>
      <c r="F7958" s="26">
        <v>2.7E-2</v>
      </c>
      <c r="G7958" s="26">
        <v>5.4100000000000002E-2</v>
      </c>
      <c r="H7958" s="26">
        <v>0.2432</v>
      </c>
      <c r="J7958" s="26">
        <v>2.7E-2</v>
      </c>
      <c r="K7958" s="26">
        <v>2.7E-2</v>
      </c>
      <c r="T7958">
        <v>37</v>
      </c>
    </row>
    <row r="7959" spans="1:20" x14ac:dyDescent="0.35">
      <c r="A7959" t="s">
        <v>227</v>
      </c>
      <c r="B7959" t="s">
        <v>363</v>
      </c>
      <c r="C7959" s="26">
        <v>0.73329999999999995</v>
      </c>
      <c r="D7959" s="26">
        <v>0.42220000000000002</v>
      </c>
      <c r="E7959" s="26">
        <v>0.15559999999999999</v>
      </c>
      <c r="F7959" s="26">
        <v>0.17780000000000001</v>
      </c>
      <c r="G7959" s="26">
        <v>0.22220000000000001</v>
      </c>
      <c r="H7959" s="26">
        <v>0.1111</v>
      </c>
      <c r="I7959" s="26">
        <v>2.2200000000000001E-2</v>
      </c>
      <c r="J7959" s="26">
        <v>6.6699999999999995E-2</v>
      </c>
      <c r="K7959" s="26">
        <v>6.6699999999999995E-2</v>
      </c>
      <c r="T7959">
        <v>45</v>
      </c>
    </row>
    <row r="7960" spans="1:20" x14ac:dyDescent="0.35">
      <c r="A7960" t="s">
        <v>228</v>
      </c>
      <c r="B7960" t="s">
        <v>360</v>
      </c>
      <c r="C7960" s="26">
        <v>0.26840000000000003</v>
      </c>
      <c r="D7960" s="26">
        <v>0.67659999999999998</v>
      </c>
      <c r="E7960" s="26">
        <v>0.20830000000000001</v>
      </c>
      <c r="F7960" s="26">
        <v>9.8900000000000002E-2</v>
      </c>
      <c r="G7960" s="26">
        <v>5.9799999999999999E-2</v>
      </c>
      <c r="H7960" s="26">
        <v>0.20910000000000001</v>
      </c>
      <c r="I7960" s="26">
        <v>0.04</v>
      </c>
      <c r="J7960" s="26">
        <v>2.92E-2</v>
      </c>
      <c r="K7960" s="26">
        <v>2.76E-2</v>
      </c>
      <c r="M7960" s="26">
        <v>1.8E-3</v>
      </c>
      <c r="N7960" s="26">
        <v>1.9699999999999999E-2</v>
      </c>
      <c r="O7960" s="26">
        <v>1.1999999999999999E-3</v>
      </c>
      <c r="P7960" s="26">
        <v>3.4299999999999997E-2</v>
      </c>
      <c r="Q7960" s="26">
        <v>1.1999999999999999E-3</v>
      </c>
      <c r="T7960">
        <v>258</v>
      </c>
    </row>
    <row r="7961" spans="1:20" x14ac:dyDescent="0.35">
      <c r="A7961" t="s">
        <v>228</v>
      </c>
      <c r="B7961" t="s">
        <v>361</v>
      </c>
      <c r="C7961" s="26">
        <v>0.82569999999999999</v>
      </c>
      <c r="D7961" s="26">
        <v>0.30270000000000002</v>
      </c>
      <c r="E7961" s="26">
        <v>7.7399999999999997E-2</v>
      </c>
      <c r="F7961" s="26">
        <v>0.10630000000000001</v>
      </c>
      <c r="G7961" s="26">
        <v>0.1235</v>
      </c>
      <c r="H7961" s="26">
        <v>3.5499999999999997E-2</v>
      </c>
      <c r="I7961" s="26">
        <v>0.1169</v>
      </c>
      <c r="J7961" s="26">
        <v>9.3799999999999994E-2</v>
      </c>
      <c r="K7961" s="26">
        <v>2.5899999999999999E-2</v>
      </c>
      <c r="L7961" s="26">
        <v>4.9200000000000001E-2</v>
      </c>
      <c r="M7961" s="26">
        <v>1.6999999999999999E-3</v>
      </c>
      <c r="N7961" s="26">
        <v>1.9E-2</v>
      </c>
      <c r="O7961" s="26">
        <v>1.4800000000000001E-2</v>
      </c>
      <c r="T7961">
        <v>193</v>
      </c>
    </row>
    <row r="7962" spans="1:20" x14ac:dyDescent="0.35">
      <c r="A7962" t="s">
        <v>228</v>
      </c>
      <c r="B7962" t="s">
        <v>363</v>
      </c>
      <c r="C7962" s="26">
        <v>0.61580000000000001</v>
      </c>
      <c r="D7962" s="26">
        <v>0.53720000000000001</v>
      </c>
      <c r="E7962" s="26">
        <v>0.2006</v>
      </c>
      <c r="F7962" s="26">
        <v>0.1162</v>
      </c>
      <c r="G7962" s="26">
        <v>4.6399999999999997E-2</v>
      </c>
      <c r="H7962" s="26">
        <v>0.11890000000000001</v>
      </c>
      <c r="I7962" s="26">
        <v>6.0999999999999999E-2</v>
      </c>
      <c r="J7962" s="26">
        <v>6.8000000000000005E-2</v>
      </c>
      <c r="K7962" s="26">
        <v>3.2000000000000002E-3</v>
      </c>
      <c r="L7962" s="26">
        <v>3.5099999999999999E-2</v>
      </c>
      <c r="M7962" s="26">
        <v>6.8999999999999999E-3</v>
      </c>
      <c r="N7962" s="26">
        <v>2.7199999999999998E-2</v>
      </c>
      <c r="Q7962" s="26">
        <v>2.3E-3</v>
      </c>
      <c r="T7962">
        <v>212</v>
      </c>
    </row>
    <row r="7963" spans="1:20" x14ac:dyDescent="0.35">
      <c r="A7963" t="s">
        <v>228</v>
      </c>
      <c r="B7963" t="s">
        <v>362</v>
      </c>
      <c r="C7963" s="26">
        <v>0.43430000000000002</v>
      </c>
      <c r="D7963" s="26">
        <v>0.67449999999999999</v>
      </c>
      <c r="E7963" s="26">
        <v>0.2077</v>
      </c>
      <c r="F7963" s="26">
        <v>9.5399999999999999E-2</v>
      </c>
      <c r="G7963" s="26">
        <v>7.9899999999999999E-2</v>
      </c>
      <c r="H7963" s="26">
        <v>0.1719</v>
      </c>
      <c r="I7963" s="26">
        <v>3.2000000000000001E-2</v>
      </c>
      <c r="J7963" s="26">
        <v>8.0299999999999996E-2</v>
      </c>
      <c r="K7963" s="26">
        <v>1.83E-2</v>
      </c>
      <c r="L7963" s="26">
        <v>2.3999999999999998E-3</v>
      </c>
      <c r="M7963" s="26">
        <v>1.43E-2</v>
      </c>
      <c r="N7963" s="26">
        <v>4.2500000000000003E-2</v>
      </c>
      <c r="O7963" s="26">
        <v>1.66E-2</v>
      </c>
      <c r="Q7963" s="26">
        <v>5.0000000000000001E-3</v>
      </c>
      <c r="T7963">
        <v>236</v>
      </c>
    </row>
    <row r="7964" spans="1:20" x14ac:dyDescent="0.35">
      <c r="A7964" t="s">
        <v>229</v>
      </c>
      <c r="B7964" t="s">
        <v>363</v>
      </c>
      <c r="C7964" s="26">
        <v>0.60350000000000004</v>
      </c>
      <c r="D7964" s="26">
        <v>0.52569999999999995</v>
      </c>
      <c r="E7964" s="26">
        <v>0.18920000000000001</v>
      </c>
      <c r="F7964" s="26">
        <v>8.9099999999999999E-2</v>
      </c>
      <c r="G7964" s="26">
        <v>0.11890000000000001</v>
      </c>
      <c r="H7964" s="26">
        <v>0.12130000000000001</v>
      </c>
      <c r="I7964" s="26">
        <v>6.9800000000000001E-2</v>
      </c>
      <c r="J7964" s="26">
        <v>8.4500000000000006E-2</v>
      </c>
      <c r="K7964" s="26">
        <v>6.1400000000000003E-2</v>
      </c>
      <c r="L7964" s="26">
        <v>1.37E-2</v>
      </c>
      <c r="M7964" s="26">
        <v>2.7000000000000001E-3</v>
      </c>
      <c r="N7964" s="26">
        <v>2.3E-3</v>
      </c>
      <c r="T7964">
        <v>191</v>
      </c>
    </row>
    <row r="7965" spans="1:20" x14ac:dyDescent="0.35">
      <c r="A7965" t="s">
        <v>229</v>
      </c>
      <c r="B7965" t="s">
        <v>360</v>
      </c>
      <c r="C7965" s="26">
        <v>0.46439999999999998</v>
      </c>
      <c r="D7965" s="26">
        <v>0.71930000000000005</v>
      </c>
      <c r="E7965" s="26">
        <v>0.2858</v>
      </c>
      <c r="F7965" s="26">
        <v>0.1019</v>
      </c>
      <c r="G7965" s="26">
        <v>0.1404</v>
      </c>
      <c r="H7965" s="26">
        <v>7.7700000000000005E-2</v>
      </c>
      <c r="I7965" s="26">
        <v>7.4999999999999997E-3</v>
      </c>
      <c r="J7965" s="26">
        <v>5.79E-2</v>
      </c>
      <c r="K7965" s="26">
        <v>4.5400000000000003E-2</v>
      </c>
      <c r="M7965" s="26">
        <v>2.0500000000000001E-2</v>
      </c>
      <c r="N7965" s="26">
        <v>2.0999999999999999E-3</v>
      </c>
      <c r="P7965" s="26">
        <v>2.3900000000000001E-2</v>
      </c>
      <c r="Q7965" s="26">
        <v>1.6199999999999999E-2</v>
      </c>
      <c r="T7965">
        <v>164</v>
      </c>
    </row>
    <row r="7966" spans="1:20" x14ac:dyDescent="0.35">
      <c r="A7966" t="s">
        <v>229</v>
      </c>
      <c r="B7966" t="s">
        <v>361</v>
      </c>
      <c r="C7966" s="26">
        <v>0.88490000000000002</v>
      </c>
      <c r="D7966" s="26">
        <v>0.23710000000000001</v>
      </c>
      <c r="E7966" s="26">
        <v>7.6999999999999999E-2</v>
      </c>
      <c r="F7966" s="26">
        <v>0.13619999999999999</v>
      </c>
      <c r="G7966" s="26">
        <v>9.1700000000000004E-2</v>
      </c>
      <c r="H7966" s="26">
        <v>2.47E-2</v>
      </c>
      <c r="I7966" s="26">
        <v>0.1454</v>
      </c>
      <c r="J7966" s="26">
        <v>3.3000000000000002E-2</v>
      </c>
      <c r="K7966" s="26">
        <v>8.6999999999999994E-3</v>
      </c>
      <c r="L7966" s="26">
        <v>3.5700000000000003E-2</v>
      </c>
      <c r="M7966" s="26">
        <v>2.3199999999999998E-2</v>
      </c>
      <c r="N7966" s="26">
        <v>2.5999999999999999E-3</v>
      </c>
      <c r="O7966" s="26">
        <v>1.54E-2</v>
      </c>
      <c r="T7966">
        <v>242</v>
      </c>
    </row>
    <row r="7967" spans="1:20" x14ac:dyDescent="0.35">
      <c r="A7967" t="s">
        <v>229</v>
      </c>
      <c r="B7967" t="s">
        <v>362</v>
      </c>
      <c r="C7967" s="26">
        <v>0.42859999999999998</v>
      </c>
      <c r="D7967" s="26">
        <v>0.55689999999999995</v>
      </c>
      <c r="E7967" s="26">
        <v>0.24729999999999999</v>
      </c>
      <c r="F7967" s="26">
        <v>5.3800000000000001E-2</v>
      </c>
      <c r="G7967" s="26">
        <v>0.1047</v>
      </c>
      <c r="H7967" s="26">
        <v>0.1759</v>
      </c>
      <c r="I7967" s="26">
        <v>3.5299999999999998E-2</v>
      </c>
      <c r="J7967" s="26">
        <v>2.2200000000000001E-2</v>
      </c>
      <c r="K7967" s="26">
        <v>2.1600000000000001E-2</v>
      </c>
      <c r="L7967" s="26">
        <v>2.0999999999999999E-3</v>
      </c>
      <c r="M7967" s="26">
        <v>2.52E-2</v>
      </c>
      <c r="N7967" s="26">
        <v>1.6400000000000001E-2</v>
      </c>
      <c r="O7967" s="26">
        <v>2.0999999999999999E-3</v>
      </c>
      <c r="Q7967" s="26">
        <v>1.89E-2</v>
      </c>
      <c r="T7967">
        <v>170</v>
      </c>
    </row>
    <row r="7968" spans="1:20" x14ac:dyDescent="0.35">
      <c r="A7968" t="s">
        <v>230</v>
      </c>
      <c r="B7968" t="s">
        <v>360</v>
      </c>
      <c r="C7968" s="26">
        <v>0.32540000000000002</v>
      </c>
      <c r="D7968" s="26">
        <v>0.56240000000000001</v>
      </c>
      <c r="E7968" s="26">
        <v>0.29949999999999999</v>
      </c>
      <c r="F7968" s="26">
        <v>5.9799999999999999E-2</v>
      </c>
      <c r="G7968" s="26">
        <v>9.01E-2</v>
      </c>
      <c r="H7968" s="26">
        <v>0.15590000000000001</v>
      </c>
      <c r="I7968" s="26">
        <v>0.10539999999999999</v>
      </c>
      <c r="J7968" s="26">
        <v>3.6600000000000001E-2</v>
      </c>
      <c r="K7968" s="26">
        <v>7.0099999999999996E-2</v>
      </c>
      <c r="L7968" s="26">
        <v>4.8999999999999998E-3</v>
      </c>
      <c r="M7968" s="26">
        <v>1.5E-3</v>
      </c>
      <c r="N7968" s="26">
        <v>4.2900000000000001E-2</v>
      </c>
      <c r="P7968" s="26">
        <v>3.5000000000000003E-2</v>
      </c>
      <c r="Q7968" s="26">
        <v>1.5E-3</v>
      </c>
      <c r="T7968">
        <v>120</v>
      </c>
    </row>
    <row r="7969" spans="1:20" x14ac:dyDescent="0.35">
      <c r="A7969" t="s">
        <v>230</v>
      </c>
      <c r="B7969" t="s">
        <v>363</v>
      </c>
      <c r="C7969" s="26">
        <v>0.57979999999999998</v>
      </c>
      <c r="D7969" s="26">
        <v>0.46350000000000002</v>
      </c>
      <c r="E7969" s="26">
        <v>0.15440000000000001</v>
      </c>
      <c r="F7969" s="26">
        <v>0.17649999999999999</v>
      </c>
      <c r="G7969" s="26">
        <v>0.12139999999999999</v>
      </c>
      <c r="H7969" s="26">
        <v>0.13519999999999999</v>
      </c>
      <c r="I7969" s="26">
        <v>6.1000000000000004E-3</v>
      </c>
      <c r="J7969" s="26">
        <v>0.10489999999999999</v>
      </c>
      <c r="K7969" s="26">
        <v>1.12E-2</v>
      </c>
      <c r="L7969" s="26">
        <v>3.8E-3</v>
      </c>
      <c r="M7969" s="26">
        <v>4.6100000000000002E-2</v>
      </c>
      <c r="N7969" s="26">
        <v>6.6600000000000006E-2</v>
      </c>
      <c r="O7969" s="26">
        <v>2.69E-2</v>
      </c>
      <c r="T7969">
        <v>127</v>
      </c>
    </row>
    <row r="7970" spans="1:20" x14ac:dyDescent="0.35">
      <c r="A7970" t="s">
        <v>230</v>
      </c>
      <c r="B7970" t="s">
        <v>361</v>
      </c>
      <c r="C7970" s="26">
        <v>0.76700000000000002</v>
      </c>
      <c r="D7970" s="26">
        <v>0.2102</v>
      </c>
      <c r="E7970" s="26">
        <v>0.18840000000000001</v>
      </c>
      <c r="F7970" s="26">
        <v>0.1565</v>
      </c>
      <c r="G7970" s="26">
        <v>4.7E-2</v>
      </c>
      <c r="H7970" s="26">
        <v>3.6400000000000002E-2</v>
      </c>
      <c r="I7970" s="26">
        <v>0.16839999999999999</v>
      </c>
      <c r="J7970" s="26">
        <v>0.1132</v>
      </c>
      <c r="K7970" s="26">
        <v>3.1899999999999998E-2</v>
      </c>
      <c r="L7970" s="26">
        <v>5.6500000000000002E-2</v>
      </c>
      <c r="M7970" s="26">
        <v>1.1000000000000001E-3</v>
      </c>
      <c r="N7970" s="26">
        <v>2.2000000000000001E-3</v>
      </c>
      <c r="O7970" s="26">
        <v>3.5000000000000001E-3</v>
      </c>
      <c r="T7970">
        <v>109</v>
      </c>
    </row>
    <row r="7971" spans="1:20" x14ac:dyDescent="0.35">
      <c r="A7971" t="s">
        <v>230</v>
      </c>
      <c r="B7971" t="s">
        <v>362</v>
      </c>
      <c r="C7971" s="26">
        <v>0.4556</v>
      </c>
      <c r="D7971" s="26">
        <v>0.52239999999999998</v>
      </c>
      <c r="E7971" s="26">
        <v>0.2339</v>
      </c>
      <c r="F7971" s="26">
        <v>7.8100000000000003E-2</v>
      </c>
      <c r="G7971" s="26">
        <v>0.20749999999999999</v>
      </c>
      <c r="H7971" s="26">
        <v>0.1353</v>
      </c>
      <c r="I7971" s="26">
        <v>5.0099999999999999E-2</v>
      </c>
      <c r="J7971" s="26">
        <v>5.6800000000000003E-2</v>
      </c>
      <c r="K7971" s="26">
        <v>7.8700000000000006E-2</v>
      </c>
      <c r="L7971" s="26">
        <v>1.09E-2</v>
      </c>
      <c r="M7971" s="26">
        <v>2.3599999999999999E-2</v>
      </c>
      <c r="N7971" s="26">
        <v>5.5599999999999997E-2</v>
      </c>
      <c r="O7971" s="26">
        <v>4.7000000000000002E-3</v>
      </c>
      <c r="T7971">
        <v>148</v>
      </c>
    </row>
    <row r="7972" spans="1:20" x14ac:dyDescent="0.35">
      <c r="A7972" s="27" t="s">
        <v>231</v>
      </c>
      <c r="B7972" s="27" t="s">
        <v>362</v>
      </c>
      <c r="C7972" s="28">
        <v>0.37930000000000003</v>
      </c>
      <c r="D7972" s="28">
        <v>0.55169999999999997</v>
      </c>
      <c r="E7972" s="28">
        <v>0.31030000000000002</v>
      </c>
      <c r="F7972" s="28">
        <v>0.10340000000000001</v>
      </c>
      <c r="G7972" s="28">
        <v>0.10340000000000001</v>
      </c>
      <c r="H7972" s="28">
        <v>0.10340000000000001</v>
      </c>
      <c r="I7972" s="28">
        <v>3.4500000000000003E-2</v>
      </c>
      <c r="J7972" s="29"/>
      <c r="K7972" s="28">
        <v>3.4500000000000003E-2</v>
      </c>
      <c r="L7972" s="29"/>
      <c r="M7972" s="29"/>
      <c r="N7972" s="29"/>
      <c r="O7972" s="29"/>
      <c r="P7972" s="29"/>
      <c r="Q7972" s="29"/>
      <c r="R7972" s="29"/>
      <c r="S7972" s="29"/>
      <c r="T7972" s="29" t="s">
        <v>329</v>
      </c>
    </row>
    <row r="7973" spans="1:20" x14ac:dyDescent="0.35">
      <c r="A7973" t="s">
        <v>231</v>
      </c>
      <c r="B7973" t="s">
        <v>361</v>
      </c>
      <c r="C7973" s="26">
        <v>0.82</v>
      </c>
      <c r="D7973" s="26">
        <v>0.34</v>
      </c>
      <c r="E7973" s="26">
        <v>0.08</v>
      </c>
      <c r="F7973" s="26">
        <v>0.06</v>
      </c>
      <c r="G7973" s="26">
        <v>0.14000000000000001</v>
      </c>
      <c r="H7973" s="26">
        <v>0.02</v>
      </c>
      <c r="I7973" s="26">
        <v>0.12</v>
      </c>
      <c r="J7973" s="26">
        <v>0.06</v>
      </c>
      <c r="K7973" s="26">
        <v>0.02</v>
      </c>
      <c r="L7973" s="26">
        <v>0.02</v>
      </c>
      <c r="M7973" s="26">
        <v>0.04</v>
      </c>
      <c r="O7973" s="26">
        <v>0.02</v>
      </c>
      <c r="T7973">
        <v>50</v>
      </c>
    </row>
    <row r="7974" spans="1:20" x14ac:dyDescent="0.35">
      <c r="A7974" t="s">
        <v>231</v>
      </c>
      <c r="B7974" t="s">
        <v>360</v>
      </c>
      <c r="C7974" s="26">
        <v>0.2727</v>
      </c>
      <c r="D7974" s="26">
        <v>0.70450000000000002</v>
      </c>
      <c r="E7974" s="26">
        <v>0.2273</v>
      </c>
      <c r="F7974" s="26">
        <v>9.0899999999999995E-2</v>
      </c>
      <c r="G7974" s="26">
        <v>6.8199999999999997E-2</v>
      </c>
      <c r="H7974" s="26">
        <v>0.13639999999999999</v>
      </c>
      <c r="I7974" s="26">
        <v>2.2700000000000001E-2</v>
      </c>
      <c r="J7974" s="26">
        <v>2.2700000000000001E-2</v>
      </c>
      <c r="K7974" s="26">
        <v>6.8199999999999997E-2</v>
      </c>
      <c r="M7974" s="26">
        <v>2.2700000000000001E-2</v>
      </c>
      <c r="T7974">
        <v>44</v>
      </c>
    </row>
    <row r="7975" spans="1:20" x14ac:dyDescent="0.35">
      <c r="A7975" s="27" t="s">
        <v>231</v>
      </c>
      <c r="B7975" s="27" t="s">
        <v>363</v>
      </c>
      <c r="C7975" s="28">
        <v>0.66669999999999996</v>
      </c>
      <c r="D7975" s="28">
        <v>0.66669999999999996</v>
      </c>
      <c r="E7975" s="28">
        <v>0.1852</v>
      </c>
      <c r="F7975" s="28">
        <v>3.6999999999999998E-2</v>
      </c>
      <c r="G7975" s="28">
        <v>0.14810000000000001</v>
      </c>
      <c r="H7975" s="28">
        <v>7.4099999999999999E-2</v>
      </c>
      <c r="I7975" s="28">
        <v>0.14810000000000001</v>
      </c>
      <c r="J7975" s="29"/>
      <c r="K7975" s="28">
        <v>3.6999999999999998E-2</v>
      </c>
      <c r="L7975" s="28">
        <v>3.6999999999999998E-2</v>
      </c>
      <c r="M7975" s="29"/>
      <c r="N7975" s="29"/>
      <c r="O7975" s="28">
        <v>3.6999999999999998E-2</v>
      </c>
      <c r="P7975" s="29"/>
      <c r="Q7975" s="29"/>
      <c r="R7975" s="29"/>
      <c r="S7975" s="29"/>
      <c r="T7975" s="29" t="s">
        <v>338</v>
      </c>
    </row>
    <row r="7976" spans="1:20" x14ac:dyDescent="0.35">
      <c r="A7976" t="s">
        <v>232</v>
      </c>
      <c r="B7976" t="s">
        <v>232</v>
      </c>
      <c r="C7976" s="26">
        <v>0.59060000000000001</v>
      </c>
      <c r="D7976" s="26">
        <v>0.47499999999999998</v>
      </c>
      <c r="E7976" s="26">
        <v>0.16869999999999999</v>
      </c>
      <c r="F7976" s="26">
        <v>0.10100000000000001</v>
      </c>
      <c r="G7976" s="26">
        <v>0.10059999999999999</v>
      </c>
      <c r="H7976" s="26">
        <v>9.4200000000000006E-2</v>
      </c>
      <c r="I7976" s="26">
        <v>7.5499999999999998E-2</v>
      </c>
      <c r="J7976" s="26">
        <v>4.2599999999999999E-2</v>
      </c>
      <c r="K7976" s="26">
        <v>3.32E-2</v>
      </c>
      <c r="L7976" s="26">
        <v>1.5800000000000002E-2</v>
      </c>
      <c r="M7976" s="26">
        <v>1.35E-2</v>
      </c>
      <c r="N7976" s="26">
        <v>1.0800000000000001E-2</v>
      </c>
      <c r="O7976" s="26">
        <v>7.4999999999999997E-3</v>
      </c>
      <c r="P7976" s="26">
        <v>4.8999999999999998E-3</v>
      </c>
      <c r="Q7976" s="26">
        <v>2.8999999999999998E-3</v>
      </c>
      <c r="R7976" s="26">
        <v>1.2999999999999999E-3</v>
      </c>
      <c r="S7976" s="26">
        <v>2.0000000000000001E-4</v>
      </c>
      <c r="T7976">
        <v>2473</v>
      </c>
    </row>
    <row r="7978" spans="1:20" x14ac:dyDescent="0.35">
      <c r="A7978" s="1" t="s">
        <v>1098</v>
      </c>
    </row>
    <row r="7979" spans="1:20" x14ac:dyDescent="0.35">
      <c r="A7979" t="s">
        <v>219</v>
      </c>
      <c r="B7979" t="s">
        <v>305</v>
      </c>
      <c r="C7979" t="s">
        <v>1080</v>
      </c>
      <c r="D7979" t="s">
        <v>1081</v>
      </c>
      <c r="E7979" t="s">
        <v>1082</v>
      </c>
      <c r="F7979" t="s">
        <v>1083</v>
      </c>
      <c r="G7979" t="s">
        <v>1084</v>
      </c>
      <c r="H7979" t="s">
        <v>1085</v>
      </c>
      <c r="I7979" t="s">
        <v>1086</v>
      </c>
      <c r="J7979" t="s">
        <v>1087</v>
      </c>
      <c r="K7979" t="s">
        <v>1088</v>
      </c>
      <c r="L7979" t="s">
        <v>1089</v>
      </c>
      <c r="M7979" t="s">
        <v>326</v>
      </c>
      <c r="N7979" t="s">
        <v>1090</v>
      </c>
      <c r="O7979" t="s">
        <v>1091</v>
      </c>
      <c r="P7979" t="s">
        <v>1092</v>
      </c>
      <c r="Q7979" t="s">
        <v>1093</v>
      </c>
      <c r="R7979" t="s">
        <v>286</v>
      </c>
      <c r="S7979" t="s">
        <v>281</v>
      </c>
      <c r="T7979" t="s">
        <v>226</v>
      </c>
    </row>
    <row r="7980" spans="1:20" x14ac:dyDescent="0.35">
      <c r="A7980" t="s">
        <v>227</v>
      </c>
      <c r="B7980" t="s">
        <v>267</v>
      </c>
      <c r="C7980" s="26">
        <v>0.47220000000000001</v>
      </c>
      <c r="D7980" s="26">
        <v>0.44440000000000002</v>
      </c>
      <c r="E7980" s="26">
        <v>0.1111</v>
      </c>
      <c r="F7980" s="26">
        <v>0.16669999999999999</v>
      </c>
      <c r="G7980" s="26">
        <v>2.7799999999999998E-2</v>
      </c>
      <c r="H7980" s="26">
        <v>8.3299999999999999E-2</v>
      </c>
      <c r="J7980" s="26">
        <v>2.7799999999999998E-2</v>
      </c>
      <c r="K7980" s="26">
        <v>2.7799999999999998E-2</v>
      </c>
      <c r="M7980" s="26">
        <v>2.7799999999999998E-2</v>
      </c>
      <c r="P7980" s="26">
        <v>2.7799999999999998E-2</v>
      </c>
      <c r="T7980">
        <v>36</v>
      </c>
    </row>
    <row r="7981" spans="1:20" x14ac:dyDescent="0.35">
      <c r="A7981" t="s">
        <v>227</v>
      </c>
      <c r="B7981" t="s">
        <v>266</v>
      </c>
      <c r="C7981" s="26">
        <v>0.55930000000000002</v>
      </c>
      <c r="D7981" s="26">
        <v>0.49149999999999999</v>
      </c>
      <c r="E7981" s="26">
        <v>0.16950000000000001</v>
      </c>
      <c r="F7981" s="26">
        <v>6.7799999999999999E-2</v>
      </c>
      <c r="G7981" s="26">
        <v>0.16950000000000001</v>
      </c>
      <c r="H7981" s="26">
        <v>0.1525</v>
      </c>
      <c r="I7981" s="26">
        <v>5.0799999999999998E-2</v>
      </c>
      <c r="J7981" s="26">
        <v>3.39E-2</v>
      </c>
      <c r="K7981" s="26">
        <v>5.0799999999999998E-2</v>
      </c>
      <c r="L7981" s="26">
        <v>3.39E-2</v>
      </c>
      <c r="Q7981" s="26">
        <v>1.6899999999999998E-2</v>
      </c>
      <c r="T7981">
        <v>59</v>
      </c>
    </row>
    <row r="7982" spans="1:20" x14ac:dyDescent="0.35">
      <c r="A7982" t="s">
        <v>227</v>
      </c>
      <c r="B7982" t="s">
        <v>265</v>
      </c>
      <c r="C7982" s="26">
        <v>0.69699999999999995</v>
      </c>
      <c r="D7982" s="26">
        <v>0.43940000000000001</v>
      </c>
      <c r="E7982" s="26">
        <v>0.2424</v>
      </c>
      <c r="F7982" s="26">
        <v>0.1061</v>
      </c>
      <c r="G7982" s="26">
        <v>0.13639999999999999</v>
      </c>
      <c r="H7982" s="26">
        <v>0.1212</v>
      </c>
      <c r="I7982" s="26">
        <v>6.0600000000000001E-2</v>
      </c>
      <c r="J7982" s="26">
        <v>1.52E-2</v>
      </c>
      <c r="K7982" s="26">
        <v>3.0300000000000001E-2</v>
      </c>
      <c r="N7982" s="26">
        <v>1.52E-2</v>
      </c>
      <c r="P7982" s="26">
        <v>1.52E-2</v>
      </c>
      <c r="T7982">
        <v>66</v>
      </c>
    </row>
    <row r="7983" spans="1:20" x14ac:dyDescent="0.35">
      <c r="A7983" t="s">
        <v>228</v>
      </c>
      <c r="B7983" t="s">
        <v>267</v>
      </c>
      <c r="C7983" s="26">
        <v>0.59419999999999995</v>
      </c>
      <c r="D7983" s="26">
        <v>0.52790000000000004</v>
      </c>
      <c r="E7983" s="26">
        <v>0.16309999999999999</v>
      </c>
      <c r="F7983" s="26">
        <v>9.5399999999999999E-2</v>
      </c>
      <c r="G7983" s="26">
        <v>4.0399999999999998E-2</v>
      </c>
      <c r="H7983" s="26">
        <v>0.1406</v>
      </c>
      <c r="I7983" s="26">
        <v>0.1196</v>
      </c>
      <c r="J7983" s="26">
        <v>6.2600000000000003E-2</v>
      </c>
      <c r="K7983" s="26">
        <v>1.7899999999999999E-2</v>
      </c>
      <c r="L7983" s="26">
        <v>2.46E-2</v>
      </c>
      <c r="N7983" s="26">
        <v>2.1299999999999999E-2</v>
      </c>
      <c r="O7983" s="26">
        <v>2.1100000000000001E-2</v>
      </c>
      <c r="P7983" s="26">
        <v>4.3E-3</v>
      </c>
      <c r="R7983" s="26">
        <v>1.4E-3</v>
      </c>
      <c r="S7983" s="26">
        <v>2.5000000000000001E-3</v>
      </c>
      <c r="T7983">
        <v>198</v>
      </c>
    </row>
    <row r="7984" spans="1:20" x14ac:dyDescent="0.35">
      <c r="A7984" t="s">
        <v>228</v>
      </c>
      <c r="B7984" t="s">
        <v>265</v>
      </c>
      <c r="C7984" s="26">
        <v>0.66979999999999995</v>
      </c>
      <c r="D7984" s="26">
        <v>0.50670000000000004</v>
      </c>
      <c r="E7984" s="26">
        <v>0.17760000000000001</v>
      </c>
      <c r="F7984" s="26">
        <v>0.12429999999999999</v>
      </c>
      <c r="G7984" s="26">
        <v>5.1299999999999998E-2</v>
      </c>
      <c r="H7984" s="26">
        <v>0.1119</v>
      </c>
      <c r="I7984" s="26">
        <v>7.4200000000000002E-2</v>
      </c>
      <c r="J7984" s="26">
        <v>7.3099999999999998E-2</v>
      </c>
      <c r="K7984" s="26">
        <v>1.7399999999999999E-2</v>
      </c>
      <c r="L7984" s="26">
        <v>2.7900000000000001E-2</v>
      </c>
      <c r="M7984" s="26">
        <v>4.7000000000000002E-3</v>
      </c>
      <c r="N7984" s="26">
        <v>2.2499999999999999E-2</v>
      </c>
      <c r="Q7984" s="26">
        <v>1.9E-3</v>
      </c>
      <c r="R7984" s="26">
        <v>2E-3</v>
      </c>
      <c r="T7984">
        <v>384</v>
      </c>
    </row>
    <row r="7985" spans="1:20" x14ac:dyDescent="0.35">
      <c r="A7985" s="27" t="s">
        <v>228</v>
      </c>
      <c r="B7985" s="27" t="s">
        <v>236</v>
      </c>
      <c r="C7985" s="28">
        <v>1</v>
      </c>
      <c r="D7985" s="28">
        <v>1</v>
      </c>
      <c r="E7985" s="29"/>
      <c r="F7985" s="29"/>
      <c r="G7985" s="29"/>
      <c r="H7985" s="29"/>
      <c r="I7985" s="29"/>
      <c r="J7985" s="29"/>
      <c r="K7985" s="29"/>
      <c r="L7985" s="29"/>
      <c r="M7985" s="29"/>
      <c r="N7985" s="29"/>
      <c r="O7985" s="29"/>
      <c r="P7985" s="29"/>
      <c r="Q7985" s="29"/>
      <c r="R7985" s="29"/>
      <c r="S7985" s="29"/>
      <c r="T7985" s="29" t="s">
        <v>314</v>
      </c>
    </row>
    <row r="7986" spans="1:20" x14ac:dyDescent="0.35">
      <c r="A7986" t="s">
        <v>228</v>
      </c>
      <c r="B7986" t="s">
        <v>266</v>
      </c>
      <c r="C7986" s="26">
        <v>0.435</v>
      </c>
      <c r="D7986" s="26">
        <v>0.54800000000000004</v>
      </c>
      <c r="E7986" s="26">
        <v>0.14169999999999999</v>
      </c>
      <c r="F7986" s="26">
        <v>9.7600000000000006E-2</v>
      </c>
      <c r="G7986" s="26">
        <v>0.1079</v>
      </c>
      <c r="H7986" s="26">
        <v>0.12809999999999999</v>
      </c>
      <c r="I7986" s="26">
        <v>2.41E-2</v>
      </c>
      <c r="J7986" s="26">
        <v>5.6000000000000001E-2</v>
      </c>
      <c r="K7986" s="26">
        <v>1.78E-2</v>
      </c>
      <c r="L7986" s="26">
        <v>1.23E-2</v>
      </c>
      <c r="M7986" s="26">
        <v>9.2999999999999992E-3</v>
      </c>
      <c r="N7986" s="26">
        <v>3.1099999999999999E-2</v>
      </c>
      <c r="O7986" s="26">
        <v>1.11E-2</v>
      </c>
      <c r="P7986" s="26">
        <v>1.4800000000000001E-2</v>
      </c>
      <c r="Q7986" s="26">
        <v>2.8999999999999998E-3</v>
      </c>
      <c r="R7986" s="26">
        <v>1.8E-3</v>
      </c>
      <c r="S7986" s="26">
        <v>1.2999999999999999E-3</v>
      </c>
      <c r="T7986">
        <v>446</v>
      </c>
    </row>
    <row r="7987" spans="1:20" x14ac:dyDescent="0.35">
      <c r="A7987" t="s">
        <v>229</v>
      </c>
      <c r="B7987" t="s">
        <v>266</v>
      </c>
      <c r="C7987" s="26">
        <v>0.55810000000000004</v>
      </c>
      <c r="D7987" s="26">
        <v>0.46039999999999998</v>
      </c>
      <c r="E7987" s="26">
        <v>0.13020000000000001</v>
      </c>
      <c r="F7987" s="26">
        <v>8.3599999999999994E-2</v>
      </c>
      <c r="G7987" s="26">
        <v>0.15279999999999999</v>
      </c>
      <c r="H7987" s="26">
        <v>0.1275</v>
      </c>
      <c r="I7987" s="26">
        <v>2.23E-2</v>
      </c>
      <c r="J7987" s="26">
        <v>6.8599999999999994E-2</v>
      </c>
      <c r="K7987" s="26">
        <v>9.7999999999999997E-3</v>
      </c>
      <c r="L7987" s="26">
        <v>8.6999999999999994E-3</v>
      </c>
      <c r="M7987" s="26">
        <v>3.1199999999999999E-2</v>
      </c>
      <c r="N7987" s="26">
        <v>7.7000000000000002E-3</v>
      </c>
      <c r="O7987" s="26">
        <v>8.6999999999999994E-3</v>
      </c>
      <c r="P7987" s="26">
        <v>5.9999999999999995E-4</v>
      </c>
      <c r="Q7987" s="26">
        <v>9.1999999999999998E-3</v>
      </c>
      <c r="R7987" s="26">
        <v>5.0000000000000001E-4</v>
      </c>
      <c r="T7987">
        <v>358</v>
      </c>
    </row>
    <row r="7988" spans="1:20" x14ac:dyDescent="0.35">
      <c r="A7988" t="s">
        <v>229</v>
      </c>
      <c r="B7988" t="s">
        <v>267</v>
      </c>
      <c r="C7988" s="26">
        <v>0.64449999999999996</v>
      </c>
      <c r="D7988" s="26">
        <v>0.28289999999999998</v>
      </c>
      <c r="E7988" s="26">
        <v>7.6200000000000004E-2</v>
      </c>
      <c r="F7988" s="26">
        <v>0.14779999999999999</v>
      </c>
      <c r="G7988" s="26">
        <v>7.5300000000000006E-2</v>
      </c>
      <c r="H7988" s="26">
        <v>3.2000000000000001E-2</v>
      </c>
      <c r="I7988" s="26">
        <v>0.1593</v>
      </c>
      <c r="J7988" s="26">
        <v>5.57E-2</v>
      </c>
      <c r="K7988" s="26">
        <v>3.5999999999999997E-2</v>
      </c>
      <c r="L7988" s="26">
        <v>1.4500000000000001E-2</v>
      </c>
      <c r="N7988" s="26">
        <v>1.9E-3</v>
      </c>
      <c r="O7988" s="26">
        <v>1.5E-3</v>
      </c>
      <c r="P7988" s="26">
        <v>1.6E-2</v>
      </c>
      <c r="R7988" s="26">
        <v>3.0000000000000001E-3</v>
      </c>
      <c r="T7988">
        <v>200</v>
      </c>
    </row>
    <row r="7989" spans="1:20" x14ac:dyDescent="0.35">
      <c r="A7989" t="s">
        <v>229</v>
      </c>
      <c r="B7989" t="s">
        <v>265</v>
      </c>
      <c r="C7989" s="26">
        <v>0.75249999999999995</v>
      </c>
      <c r="D7989" s="26">
        <v>0.44990000000000002</v>
      </c>
      <c r="E7989" s="26">
        <v>0.2064</v>
      </c>
      <c r="F7989" s="26">
        <v>9.74E-2</v>
      </c>
      <c r="G7989" s="26">
        <v>7.7200000000000005E-2</v>
      </c>
      <c r="H7989" s="26">
        <v>5.8799999999999998E-2</v>
      </c>
      <c r="I7989" s="26">
        <v>0.1187</v>
      </c>
      <c r="J7989" s="26">
        <v>2.12E-2</v>
      </c>
      <c r="K7989" s="26">
        <v>3.8800000000000001E-2</v>
      </c>
      <c r="L7989" s="26">
        <v>2.3400000000000001E-2</v>
      </c>
      <c r="M7989" s="26">
        <v>1.43E-2</v>
      </c>
      <c r="N7989" s="26">
        <v>3.2000000000000002E-3</v>
      </c>
      <c r="O7989" s="26">
        <v>6.7000000000000002E-3</v>
      </c>
      <c r="Q7989" s="26">
        <v>5.5999999999999999E-3</v>
      </c>
      <c r="R7989" s="26">
        <v>2.0000000000000001E-4</v>
      </c>
      <c r="T7989">
        <v>335</v>
      </c>
    </row>
    <row r="7990" spans="1:20" x14ac:dyDescent="0.35">
      <c r="A7990" t="s">
        <v>230</v>
      </c>
      <c r="B7990" t="s">
        <v>267</v>
      </c>
      <c r="C7990" s="26">
        <v>0.58309999999999995</v>
      </c>
      <c r="D7990" s="26">
        <v>0.36969999999999997</v>
      </c>
      <c r="E7990" s="26">
        <v>0.23069999999999999</v>
      </c>
      <c r="F7990" s="26">
        <v>0.11</v>
      </c>
      <c r="G7990" s="26">
        <v>7.3499999999999996E-2</v>
      </c>
      <c r="H7990" s="26">
        <v>9.5899999999999999E-2</v>
      </c>
      <c r="I7990" s="26">
        <v>0.1424</v>
      </c>
      <c r="J7990" s="26">
        <v>2.8199999999999999E-2</v>
      </c>
      <c r="K7990" s="26">
        <v>4.3499999999999997E-2</v>
      </c>
      <c r="L7990" s="26">
        <v>6.1199999999999997E-2</v>
      </c>
      <c r="M7990" s="26">
        <v>1.1999999999999999E-3</v>
      </c>
      <c r="N7990" s="26">
        <v>3.5200000000000002E-2</v>
      </c>
      <c r="O7990" s="26">
        <v>1.1999999999999999E-3</v>
      </c>
      <c r="Q7990" s="26">
        <v>1.1999999999999999E-3</v>
      </c>
      <c r="R7990" s="26">
        <v>2.4500000000000001E-2</v>
      </c>
      <c r="T7990">
        <v>119</v>
      </c>
    </row>
    <row r="7991" spans="1:20" x14ac:dyDescent="0.35">
      <c r="A7991" t="s">
        <v>230</v>
      </c>
      <c r="B7991" t="s">
        <v>266</v>
      </c>
      <c r="C7991" s="26">
        <v>0.39410000000000001</v>
      </c>
      <c r="D7991" s="26">
        <v>0.48049999999999998</v>
      </c>
      <c r="E7991" s="26">
        <v>0.13239999999999999</v>
      </c>
      <c r="F7991" s="26">
        <v>0.1096</v>
      </c>
      <c r="G7991" s="26">
        <v>0.1328</v>
      </c>
      <c r="H7991" s="26">
        <v>0.1517</v>
      </c>
      <c r="I7991" s="26">
        <v>2.5000000000000001E-3</v>
      </c>
      <c r="J7991" s="26">
        <v>0.10639999999999999</v>
      </c>
      <c r="K7991" s="26">
        <v>3.7199999999999997E-2</v>
      </c>
      <c r="L7991" s="26">
        <v>7.4999999999999997E-3</v>
      </c>
      <c r="M7991" s="26">
        <v>3.0499999999999999E-2</v>
      </c>
      <c r="N7991" s="26">
        <v>6.2700000000000006E-2</v>
      </c>
      <c r="O7991" s="26">
        <v>2.24E-2</v>
      </c>
      <c r="P7991" s="26">
        <v>1.8100000000000002E-2</v>
      </c>
      <c r="R7991" s="26">
        <v>8.0000000000000004E-4</v>
      </c>
      <c r="T7991">
        <v>232</v>
      </c>
    </row>
    <row r="7992" spans="1:20" x14ac:dyDescent="0.35">
      <c r="A7992" t="s">
        <v>230</v>
      </c>
      <c r="B7992" t="s">
        <v>265</v>
      </c>
      <c r="C7992" s="26">
        <v>0.67810000000000004</v>
      </c>
      <c r="D7992" s="26">
        <v>0.38990000000000002</v>
      </c>
      <c r="E7992" s="26">
        <v>0.24490000000000001</v>
      </c>
      <c r="F7992" s="26">
        <v>0.12479999999999999</v>
      </c>
      <c r="G7992" s="26">
        <v>0.1075</v>
      </c>
      <c r="H7992" s="26">
        <v>6.9500000000000006E-2</v>
      </c>
      <c r="I7992" s="26">
        <v>0.12470000000000001</v>
      </c>
      <c r="J7992" s="26">
        <v>7.2800000000000004E-2</v>
      </c>
      <c r="K7992" s="26">
        <v>5.1200000000000002E-2</v>
      </c>
      <c r="L7992" s="26">
        <v>6.4000000000000003E-3</v>
      </c>
      <c r="M7992" s="26">
        <v>1.4200000000000001E-2</v>
      </c>
      <c r="N7992" s="26">
        <v>1.83E-2</v>
      </c>
      <c r="R7992" s="26">
        <v>4.3E-3</v>
      </c>
      <c r="T7992">
        <v>209</v>
      </c>
    </row>
    <row r="7993" spans="1:20" x14ac:dyDescent="0.35">
      <c r="A7993" t="s">
        <v>231</v>
      </c>
      <c r="B7993" t="s">
        <v>267</v>
      </c>
      <c r="C7993" s="26">
        <v>0.64710000000000001</v>
      </c>
      <c r="D7993" s="26">
        <v>0.47060000000000002</v>
      </c>
      <c r="E7993" s="26">
        <v>0.26469999999999999</v>
      </c>
      <c r="F7993" s="26">
        <v>8.8200000000000001E-2</v>
      </c>
      <c r="G7993" s="26">
        <v>8.8200000000000001E-2</v>
      </c>
      <c r="H7993" s="26">
        <v>2.9399999999999999E-2</v>
      </c>
      <c r="I7993" s="26">
        <v>5.8799999999999998E-2</v>
      </c>
      <c r="L7993" s="26">
        <v>5.8799999999999998E-2</v>
      </c>
      <c r="T7993">
        <v>34</v>
      </c>
    </row>
    <row r="7994" spans="1:20" x14ac:dyDescent="0.35">
      <c r="A7994" t="s">
        <v>231</v>
      </c>
      <c r="B7994" t="s">
        <v>266</v>
      </c>
      <c r="C7994" s="26">
        <v>0.3387</v>
      </c>
      <c r="D7994" s="26">
        <v>0.5484</v>
      </c>
      <c r="E7994" s="26">
        <v>0.129</v>
      </c>
      <c r="F7994" s="26">
        <v>6.4500000000000002E-2</v>
      </c>
      <c r="G7994" s="26">
        <v>0.1129</v>
      </c>
      <c r="H7994" s="26">
        <v>0.1129</v>
      </c>
      <c r="I7994" s="26">
        <v>4.8399999999999999E-2</v>
      </c>
      <c r="J7994" s="26">
        <v>1.61E-2</v>
      </c>
      <c r="K7994" s="26">
        <v>6.4500000000000002E-2</v>
      </c>
      <c r="M7994" s="26">
        <v>4.8399999999999999E-2</v>
      </c>
      <c r="O7994" s="26">
        <v>1.61E-2</v>
      </c>
      <c r="T7994">
        <v>62</v>
      </c>
    </row>
    <row r="7995" spans="1:20" x14ac:dyDescent="0.35">
      <c r="A7995" t="s">
        <v>231</v>
      </c>
      <c r="B7995" t="s">
        <v>265</v>
      </c>
      <c r="C7995" s="26">
        <v>0.67649999999999999</v>
      </c>
      <c r="D7995" s="26">
        <v>0.52939999999999998</v>
      </c>
      <c r="E7995" s="26">
        <v>0.1618</v>
      </c>
      <c r="F7995" s="26">
        <v>0.10290000000000001</v>
      </c>
      <c r="G7995" s="26">
        <v>0.10290000000000001</v>
      </c>
      <c r="H7995" s="26">
        <v>5.8799999999999998E-2</v>
      </c>
      <c r="I7995" s="26">
        <v>0.1176</v>
      </c>
      <c r="J7995" s="26">
        <v>4.41E-2</v>
      </c>
      <c r="K7995" s="26">
        <v>4.41E-2</v>
      </c>
      <c r="O7995" s="26">
        <v>1.47E-2</v>
      </c>
      <c r="T7995">
        <v>68</v>
      </c>
    </row>
    <row r="7996" spans="1:20" x14ac:dyDescent="0.35">
      <c r="A7996" t="s">
        <v>232</v>
      </c>
      <c r="B7996" t="s">
        <v>232</v>
      </c>
      <c r="C7996" s="26">
        <v>0.59060000000000001</v>
      </c>
      <c r="D7996" s="26">
        <v>0.47499999999999998</v>
      </c>
      <c r="E7996" s="26">
        <v>0.16869999999999999</v>
      </c>
      <c r="F7996" s="26">
        <v>0.10100000000000001</v>
      </c>
      <c r="G7996" s="26">
        <v>0.10059999999999999</v>
      </c>
      <c r="H7996" s="26">
        <v>9.4200000000000006E-2</v>
      </c>
      <c r="I7996" s="26">
        <v>7.5499999999999998E-2</v>
      </c>
      <c r="J7996" s="26">
        <v>4.2599999999999999E-2</v>
      </c>
      <c r="K7996" s="26">
        <v>3.32E-2</v>
      </c>
      <c r="L7996" s="26">
        <v>1.5800000000000002E-2</v>
      </c>
      <c r="M7996" s="26">
        <v>1.35E-2</v>
      </c>
      <c r="N7996" s="26">
        <v>1.0800000000000001E-2</v>
      </c>
      <c r="O7996" s="26">
        <v>7.4999999999999997E-3</v>
      </c>
      <c r="P7996" s="26">
        <v>4.8999999999999998E-3</v>
      </c>
      <c r="Q7996" s="26">
        <v>2.8999999999999998E-3</v>
      </c>
      <c r="R7996" s="26">
        <v>1.2999999999999999E-3</v>
      </c>
      <c r="S7996" s="26">
        <v>2.0000000000000001E-4</v>
      </c>
      <c r="T7996">
        <v>2808</v>
      </c>
    </row>
    <row r="7998" spans="1:20" x14ac:dyDescent="0.35">
      <c r="A7998" s="1" t="s">
        <v>1099</v>
      </c>
    </row>
    <row r="7999" spans="1:20" x14ac:dyDescent="0.35">
      <c r="A7999" t="s">
        <v>219</v>
      </c>
      <c r="B7999" t="s">
        <v>305</v>
      </c>
      <c r="C7999" t="s">
        <v>1080</v>
      </c>
      <c r="D7999" t="s">
        <v>1081</v>
      </c>
      <c r="E7999" t="s">
        <v>1082</v>
      </c>
      <c r="F7999" t="s">
        <v>1083</v>
      </c>
      <c r="G7999" t="s">
        <v>1084</v>
      </c>
      <c r="H7999" t="s">
        <v>1085</v>
      </c>
      <c r="I7999" t="s">
        <v>1086</v>
      </c>
      <c r="J7999" t="s">
        <v>1087</v>
      </c>
      <c r="K7999" t="s">
        <v>1088</v>
      </c>
      <c r="L7999" t="s">
        <v>1089</v>
      </c>
      <c r="M7999" t="s">
        <v>326</v>
      </c>
      <c r="N7999" t="s">
        <v>1090</v>
      </c>
      <c r="O7999" t="s">
        <v>1091</v>
      </c>
      <c r="P7999" t="s">
        <v>1092</v>
      </c>
      <c r="Q7999" t="s">
        <v>1093</v>
      </c>
      <c r="R7999" t="s">
        <v>286</v>
      </c>
      <c r="S7999" t="s">
        <v>281</v>
      </c>
      <c r="T7999" t="s">
        <v>226</v>
      </c>
    </row>
    <row r="8000" spans="1:20" x14ac:dyDescent="0.35">
      <c r="A8000" t="s">
        <v>227</v>
      </c>
      <c r="B8000" t="s">
        <v>252</v>
      </c>
      <c r="C8000" s="26">
        <v>0.17780000000000001</v>
      </c>
      <c r="D8000" s="26">
        <v>0.9778</v>
      </c>
      <c r="E8000" s="26">
        <v>0.1111</v>
      </c>
      <c r="F8000" s="26">
        <v>2.2200000000000001E-2</v>
      </c>
      <c r="G8000" s="26">
        <v>0.15559999999999999</v>
      </c>
      <c r="H8000" s="26">
        <v>0.17780000000000001</v>
      </c>
      <c r="L8000" s="26">
        <v>2.2200000000000001E-2</v>
      </c>
      <c r="T8000">
        <v>45</v>
      </c>
    </row>
    <row r="8001" spans="1:20" x14ac:dyDescent="0.35">
      <c r="A8001" t="s">
        <v>227</v>
      </c>
      <c r="B8001" t="s">
        <v>253</v>
      </c>
      <c r="C8001" s="26">
        <v>0.79410000000000003</v>
      </c>
      <c r="D8001" s="26">
        <v>0.76470000000000005</v>
      </c>
      <c r="E8001" s="26">
        <v>0.23530000000000001</v>
      </c>
      <c r="F8001" s="26">
        <v>0.1176</v>
      </c>
      <c r="G8001" s="26">
        <v>8.8200000000000001E-2</v>
      </c>
      <c r="H8001" s="26">
        <v>0.17649999999999999</v>
      </c>
      <c r="I8001" s="26">
        <v>5.8799999999999998E-2</v>
      </c>
      <c r="J8001" s="26">
        <v>5.8799999999999998E-2</v>
      </c>
      <c r="K8001" s="26">
        <v>8.8200000000000001E-2</v>
      </c>
      <c r="P8001" s="26">
        <v>2.9399999999999999E-2</v>
      </c>
      <c r="T8001">
        <v>34</v>
      </c>
    </row>
    <row r="8002" spans="1:20" x14ac:dyDescent="0.35">
      <c r="A8002" t="s">
        <v>227</v>
      </c>
      <c r="B8002" t="s">
        <v>251</v>
      </c>
      <c r="C8002" s="26">
        <v>0.74390000000000001</v>
      </c>
      <c r="D8002" s="26">
        <v>4.8800000000000003E-2</v>
      </c>
      <c r="E8002" s="26">
        <v>0.20730000000000001</v>
      </c>
      <c r="F8002" s="26">
        <v>0.14630000000000001</v>
      </c>
      <c r="G8002" s="26">
        <v>0.122</v>
      </c>
      <c r="H8002" s="26">
        <v>7.3200000000000001E-2</v>
      </c>
      <c r="I8002" s="26">
        <v>6.0999999999999999E-2</v>
      </c>
      <c r="J8002" s="26">
        <v>2.4400000000000002E-2</v>
      </c>
      <c r="K8002" s="26">
        <v>3.6600000000000001E-2</v>
      </c>
      <c r="L8002" s="26">
        <v>1.2200000000000001E-2</v>
      </c>
      <c r="M8002" s="26">
        <v>1.2200000000000001E-2</v>
      </c>
      <c r="N8002" s="26">
        <v>1.2200000000000001E-2</v>
      </c>
      <c r="P8002" s="26">
        <v>1.2200000000000001E-2</v>
      </c>
      <c r="Q8002" s="26">
        <v>1.2200000000000001E-2</v>
      </c>
      <c r="T8002">
        <v>82</v>
      </c>
    </row>
    <row r="8003" spans="1:20" x14ac:dyDescent="0.35">
      <c r="A8003" t="s">
        <v>228</v>
      </c>
      <c r="B8003" t="s">
        <v>252</v>
      </c>
      <c r="C8003" s="26">
        <v>0.1774</v>
      </c>
      <c r="D8003" s="26">
        <v>0.94130000000000003</v>
      </c>
      <c r="E8003" s="26">
        <v>8.9099999999999999E-2</v>
      </c>
      <c r="F8003" s="26">
        <v>2.3199999999999998E-2</v>
      </c>
      <c r="G8003" s="26">
        <v>6.5799999999999997E-2</v>
      </c>
      <c r="H8003" s="26">
        <v>0.15129999999999999</v>
      </c>
      <c r="I8003" s="26">
        <v>1.6400000000000001E-2</v>
      </c>
      <c r="J8003" s="26">
        <v>5.9700000000000003E-2</v>
      </c>
      <c r="K8003" s="26">
        <v>3.2000000000000002E-3</v>
      </c>
      <c r="L8003" s="26">
        <v>3.3999999999999998E-3</v>
      </c>
      <c r="N8003" s="26">
        <v>4.4400000000000002E-2</v>
      </c>
      <c r="O8003" s="26">
        <v>1.24E-2</v>
      </c>
      <c r="P8003" s="26">
        <v>1.15E-2</v>
      </c>
      <c r="Q8003" s="26">
        <v>4.4000000000000003E-3</v>
      </c>
      <c r="T8003">
        <v>344</v>
      </c>
    </row>
    <row r="8004" spans="1:20" x14ac:dyDescent="0.35">
      <c r="A8004" t="s">
        <v>228</v>
      </c>
      <c r="B8004" t="s">
        <v>253</v>
      </c>
      <c r="C8004" s="26">
        <v>0.64580000000000004</v>
      </c>
      <c r="D8004" s="26">
        <v>0.94010000000000005</v>
      </c>
      <c r="E8004" s="26">
        <v>0.2339</v>
      </c>
      <c r="F8004" s="26">
        <v>0.1363</v>
      </c>
      <c r="G8004" s="26">
        <v>4.2200000000000001E-2</v>
      </c>
      <c r="H8004" s="26">
        <v>0.19270000000000001</v>
      </c>
      <c r="I8004" s="26">
        <v>0.13170000000000001</v>
      </c>
      <c r="J8004" s="26">
        <v>8.2900000000000001E-2</v>
      </c>
      <c r="K8004" s="26">
        <v>2.4199999999999999E-2</v>
      </c>
      <c r="L8004" s="26">
        <v>4.7899999999999998E-2</v>
      </c>
      <c r="M8004" s="26">
        <v>1.1999999999999999E-3</v>
      </c>
      <c r="N8004" s="26">
        <v>2.1399999999999999E-2</v>
      </c>
      <c r="O8004" s="26">
        <v>1.1999999999999999E-3</v>
      </c>
      <c r="Q8004" s="26">
        <v>2.7000000000000001E-3</v>
      </c>
      <c r="S8004" s="26">
        <v>2E-3</v>
      </c>
      <c r="T8004">
        <v>222</v>
      </c>
    </row>
    <row r="8005" spans="1:20" x14ac:dyDescent="0.35">
      <c r="A8005" t="s">
        <v>228</v>
      </c>
      <c r="B8005" t="s">
        <v>251</v>
      </c>
      <c r="C8005" s="26">
        <v>0.78769999999999996</v>
      </c>
      <c r="D8005" s="26">
        <v>7.5899999999999995E-2</v>
      </c>
      <c r="E8005" s="26">
        <v>0.1744</v>
      </c>
      <c r="F8005" s="26">
        <v>0.15240000000000001</v>
      </c>
      <c r="G8005" s="26">
        <v>8.9700000000000002E-2</v>
      </c>
      <c r="H8005" s="26">
        <v>7.3099999999999998E-2</v>
      </c>
      <c r="I8005" s="26">
        <v>6.0299999999999999E-2</v>
      </c>
      <c r="J8005" s="26">
        <v>5.8400000000000001E-2</v>
      </c>
      <c r="K8005" s="26">
        <v>2.4400000000000002E-2</v>
      </c>
      <c r="L8005" s="26">
        <v>2.07E-2</v>
      </c>
      <c r="M8005" s="26">
        <v>1.1599999999999999E-2</v>
      </c>
      <c r="N8005" s="26">
        <v>1.49E-2</v>
      </c>
      <c r="O8005" s="26">
        <v>8.2000000000000007E-3</v>
      </c>
      <c r="P8005" s="26">
        <v>6.4999999999999997E-3</v>
      </c>
      <c r="R8005" s="26">
        <v>3.8E-3</v>
      </c>
      <c r="S8005" s="26">
        <v>1.1999999999999999E-3</v>
      </c>
      <c r="T8005">
        <v>464</v>
      </c>
    </row>
    <row r="8006" spans="1:20" x14ac:dyDescent="0.35">
      <c r="A8006" t="s">
        <v>229</v>
      </c>
      <c r="B8006" t="s">
        <v>252</v>
      </c>
      <c r="C8006" s="26">
        <v>0.19789999999999999</v>
      </c>
      <c r="D8006" s="26">
        <v>0.95909999999999995</v>
      </c>
      <c r="E8006" s="26">
        <v>3.5700000000000003E-2</v>
      </c>
      <c r="F8006" s="26">
        <v>3.5000000000000003E-2</v>
      </c>
      <c r="G8006" s="26">
        <v>0.13189999999999999</v>
      </c>
      <c r="H8006" s="26">
        <v>0.1469</v>
      </c>
      <c r="I8006" s="26">
        <v>2.75E-2</v>
      </c>
      <c r="J8006" s="26">
        <v>4.9200000000000001E-2</v>
      </c>
      <c r="K8006" s="26">
        <v>5.3999999999999999E-2</v>
      </c>
      <c r="L8006" s="26">
        <v>1.34E-2</v>
      </c>
      <c r="M8006" s="26">
        <v>3.0000000000000001E-3</v>
      </c>
      <c r="N8006" s="26">
        <v>1.3100000000000001E-2</v>
      </c>
      <c r="O8006" s="26">
        <v>1.26E-2</v>
      </c>
      <c r="T8006">
        <v>199</v>
      </c>
    </row>
    <row r="8007" spans="1:20" x14ac:dyDescent="0.35">
      <c r="A8007" t="s">
        <v>229</v>
      </c>
      <c r="B8007" t="s">
        <v>253</v>
      </c>
      <c r="C8007" s="26">
        <v>0.75</v>
      </c>
      <c r="D8007" s="26">
        <v>0.89629999999999999</v>
      </c>
      <c r="E8007" s="26">
        <v>0.30520000000000003</v>
      </c>
      <c r="F8007" s="26">
        <v>8.6499999999999994E-2</v>
      </c>
      <c r="G8007" s="26">
        <v>9.3100000000000002E-2</v>
      </c>
      <c r="H8007" s="26">
        <v>0.1195</v>
      </c>
      <c r="I8007" s="26">
        <v>6.5299999999999997E-2</v>
      </c>
      <c r="J8007" s="26">
        <v>5.1400000000000001E-2</v>
      </c>
      <c r="K8007" s="26">
        <v>3.4000000000000002E-2</v>
      </c>
      <c r="M8007" s="26">
        <v>1.67E-2</v>
      </c>
      <c r="O8007" s="26">
        <v>1.7600000000000001E-2</v>
      </c>
      <c r="Q8007" s="26">
        <v>1.3299999999999999E-2</v>
      </c>
      <c r="T8007">
        <v>145</v>
      </c>
    </row>
    <row r="8008" spans="1:20" x14ac:dyDescent="0.35">
      <c r="A8008" t="s">
        <v>229</v>
      </c>
      <c r="B8008" t="s">
        <v>251</v>
      </c>
      <c r="C8008" s="26">
        <v>0.81769999999999998</v>
      </c>
      <c r="D8008" s="26">
        <v>5.11E-2</v>
      </c>
      <c r="E8008" s="26">
        <v>0.1484</v>
      </c>
      <c r="F8008" s="26">
        <v>0.1363</v>
      </c>
      <c r="G8008" s="26">
        <v>9.2499999999999999E-2</v>
      </c>
      <c r="H8008" s="26">
        <v>3.3399999999999999E-2</v>
      </c>
      <c r="I8008" s="26">
        <v>0.13250000000000001</v>
      </c>
      <c r="J8008" s="26">
        <v>4.0099999999999997E-2</v>
      </c>
      <c r="K8008" s="26">
        <v>1.72E-2</v>
      </c>
      <c r="L8008" s="26">
        <v>2.3300000000000001E-2</v>
      </c>
      <c r="M8008" s="26">
        <v>2.1999999999999999E-2</v>
      </c>
      <c r="N8008" s="26">
        <v>2.3999999999999998E-3</v>
      </c>
      <c r="P8008" s="26">
        <v>6.4000000000000003E-3</v>
      </c>
      <c r="Q8008" s="26">
        <v>5.1999999999999998E-3</v>
      </c>
      <c r="R8008" s="26">
        <v>1.6000000000000001E-3</v>
      </c>
      <c r="T8008">
        <v>549</v>
      </c>
    </row>
    <row r="8009" spans="1:20" x14ac:dyDescent="0.35">
      <c r="A8009" t="s">
        <v>230</v>
      </c>
      <c r="B8009" t="s">
        <v>252</v>
      </c>
      <c r="C8009" s="26">
        <v>0.1363</v>
      </c>
      <c r="D8009" s="26">
        <v>0.92530000000000001</v>
      </c>
      <c r="E8009" s="26">
        <v>0.10730000000000001</v>
      </c>
      <c r="F8009" s="26">
        <v>7.7100000000000002E-2</v>
      </c>
      <c r="G8009" s="26">
        <v>0.1762</v>
      </c>
      <c r="H8009" s="26">
        <v>0.151</v>
      </c>
      <c r="I8009" s="26">
        <v>8.2000000000000007E-3</v>
      </c>
      <c r="J8009" s="26">
        <v>6.1600000000000002E-2</v>
      </c>
      <c r="K8009" s="26">
        <v>3.5099999999999999E-2</v>
      </c>
      <c r="L8009" s="26">
        <v>3.5099999999999999E-2</v>
      </c>
      <c r="M8009" s="26">
        <v>2.0999999999999999E-3</v>
      </c>
      <c r="N8009" s="26">
        <v>6.2600000000000003E-2</v>
      </c>
      <c r="O8009" s="26">
        <v>4.5999999999999999E-3</v>
      </c>
      <c r="Q8009" s="26">
        <v>1.1000000000000001E-3</v>
      </c>
      <c r="T8009">
        <v>159</v>
      </c>
    </row>
    <row r="8010" spans="1:20" x14ac:dyDescent="0.35">
      <c r="A8010" t="s">
        <v>230</v>
      </c>
      <c r="B8010" t="s">
        <v>253</v>
      </c>
      <c r="C8010" s="26">
        <v>0.6996</v>
      </c>
      <c r="D8010" s="26">
        <v>0.84809999999999997</v>
      </c>
      <c r="E8010" s="26">
        <v>0.1711</v>
      </c>
      <c r="F8010" s="26">
        <v>9.2600000000000002E-2</v>
      </c>
      <c r="G8010" s="26">
        <v>9.9199999999999997E-2</v>
      </c>
      <c r="H8010" s="26">
        <v>0.10680000000000001</v>
      </c>
      <c r="I8010" s="26">
        <v>0.17380000000000001</v>
      </c>
      <c r="J8010" s="26">
        <v>6.7900000000000002E-2</v>
      </c>
      <c r="K8010" s="26">
        <v>1.24E-2</v>
      </c>
      <c r="L8010" s="26">
        <v>4.7999999999999996E-3</v>
      </c>
      <c r="M8010" s="26">
        <v>5.8400000000000001E-2</v>
      </c>
      <c r="N8010" s="26">
        <v>2.5399999999999999E-2</v>
      </c>
      <c r="O8010" s="26">
        <v>3.32E-2</v>
      </c>
      <c r="T8010">
        <v>110</v>
      </c>
    </row>
    <row r="8011" spans="1:20" x14ac:dyDescent="0.35">
      <c r="A8011" t="s">
        <v>230</v>
      </c>
      <c r="B8011" t="s">
        <v>251</v>
      </c>
      <c r="C8011" s="26">
        <v>0.69810000000000005</v>
      </c>
      <c r="D8011" s="26">
        <v>3.8100000000000002E-2</v>
      </c>
      <c r="E8011" s="26">
        <v>0.25459999999999999</v>
      </c>
      <c r="F8011" s="26">
        <v>0.14199999999999999</v>
      </c>
      <c r="G8011" s="26">
        <v>8.1699999999999995E-2</v>
      </c>
      <c r="H8011" s="26">
        <v>8.3199999999999996E-2</v>
      </c>
      <c r="I8011" s="26">
        <v>8.9200000000000002E-2</v>
      </c>
      <c r="J8011" s="26">
        <v>8.3900000000000002E-2</v>
      </c>
      <c r="K8011" s="26">
        <v>5.96E-2</v>
      </c>
      <c r="L8011" s="26">
        <v>1.61E-2</v>
      </c>
      <c r="M8011" s="26">
        <v>1.0200000000000001E-2</v>
      </c>
      <c r="N8011" s="26">
        <v>3.1099999999999999E-2</v>
      </c>
      <c r="O8011" s="26">
        <v>1.6000000000000001E-3</v>
      </c>
      <c r="P8011" s="26">
        <v>1.18E-2</v>
      </c>
      <c r="R8011" s="26">
        <v>1.34E-2</v>
      </c>
      <c r="T8011">
        <v>291</v>
      </c>
    </row>
    <row r="8012" spans="1:20" x14ac:dyDescent="0.35">
      <c r="A8012" t="s">
        <v>231</v>
      </c>
      <c r="B8012" t="s">
        <v>252</v>
      </c>
      <c r="C8012" s="26">
        <v>0.10199999999999999</v>
      </c>
      <c r="D8012" s="26">
        <v>0.93879999999999997</v>
      </c>
      <c r="E8012" s="26">
        <v>0.12239999999999999</v>
      </c>
      <c r="F8012" s="26">
        <v>4.0800000000000003E-2</v>
      </c>
      <c r="G8012" s="26">
        <v>8.1600000000000006E-2</v>
      </c>
      <c r="H8012" s="26">
        <v>0.12239999999999999</v>
      </c>
      <c r="I8012" s="26">
        <v>8.1600000000000006E-2</v>
      </c>
      <c r="K8012" s="26">
        <v>2.0400000000000001E-2</v>
      </c>
      <c r="O8012" s="26">
        <v>2.0400000000000001E-2</v>
      </c>
      <c r="T8012">
        <v>49</v>
      </c>
    </row>
    <row r="8013" spans="1:20" x14ac:dyDescent="0.35">
      <c r="A8013" t="s">
        <v>231</v>
      </c>
      <c r="B8013" t="s">
        <v>253</v>
      </c>
      <c r="C8013" s="26">
        <v>0.56669999999999998</v>
      </c>
      <c r="D8013" s="26">
        <v>1</v>
      </c>
      <c r="E8013" s="26">
        <v>0.1333</v>
      </c>
      <c r="F8013" s="26">
        <v>6.6699999999999995E-2</v>
      </c>
      <c r="G8013" s="26">
        <v>6.6699999999999995E-2</v>
      </c>
      <c r="H8013" s="26">
        <v>6.6699999999999995E-2</v>
      </c>
      <c r="I8013" s="26">
        <v>0.1</v>
      </c>
      <c r="K8013" s="26">
        <v>0.1</v>
      </c>
      <c r="O8013" s="26">
        <v>3.3300000000000003E-2</v>
      </c>
      <c r="T8013">
        <v>30</v>
      </c>
    </row>
    <row r="8014" spans="1:20" x14ac:dyDescent="0.35">
      <c r="A8014" t="s">
        <v>231</v>
      </c>
      <c r="B8014" t="s">
        <v>251</v>
      </c>
      <c r="C8014" s="26">
        <v>0.78820000000000001</v>
      </c>
      <c r="D8014" s="26">
        <v>0.1176</v>
      </c>
      <c r="E8014" s="26">
        <v>0.21179999999999999</v>
      </c>
      <c r="F8014" s="26">
        <v>0.1176</v>
      </c>
      <c r="G8014" s="26">
        <v>0.12939999999999999</v>
      </c>
      <c r="H8014" s="26">
        <v>4.7100000000000003E-2</v>
      </c>
      <c r="I8014" s="26">
        <v>7.0599999999999996E-2</v>
      </c>
      <c r="J8014" s="26">
        <v>4.7100000000000003E-2</v>
      </c>
      <c r="K8014" s="26">
        <v>3.5299999999999998E-2</v>
      </c>
      <c r="L8014" s="26">
        <v>2.35E-2</v>
      </c>
      <c r="M8014" s="26">
        <v>3.5299999999999998E-2</v>
      </c>
      <c r="T8014">
        <v>85</v>
      </c>
    </row>
    <row r="8015" spans="1:20" x14ac:dyDescent="0.35">
      <c r="A8015" t="s">
        <v>232</v>
      </c>
      <c r="B8015" t="s">
        <v>232</v>
      </c>
      <c r="C8015" s="26">
        <v>0.59060000000000001</v>
      </c>
      <c r="D8015" s="26">
        <v>0.47499999999999998</v>
      </c>
      <c r="E8015" s="26">
        <v>0.16869999999999999</v>
      </c>
      <c r="F8015" s="26">
        <v>0.10100000000000001</v>
      </c>
      <c r="G8015" s="26">
        <v>0.10059999999999999</v>
      </c>
      <c r="H8015" s="26">
        <v>9.4200000000000006E-2</v>
      </c>
      <c r="I8015" s="26">
        <v>7.5499999999999998E-2</v>
      </c>
      <c r="J8015" s="26">
        <v>4.2599999999999999E-2</v>
      </c>
      <c r="K8015" s="26">
        <v>3.32E-2</v>
      </c>
      <c r="L8015" s="26">
        <v>1.5800000000000002E-2</v>
      </c>
      <c r="M8015" s="26">
        <v>1.35E-2</v>
      </c>
      <c r="N8015" s="26">
        <v>1.0800000000000001E-2</v>
      </c>
      <c r="O8015" s="26">
        <v>7.4999999999999997E-3</v>
      </c>
      <c r="P8015" s="26">
        <v>4.8999999999999998E-3</v>
      </c>
      <c r="Q8015" s="26">
        <v>2.8999999999999998E-3</v>
      </c>
      <c r="R8015" s="26">
        <v>1.2999999999999999E-3</v>
      </c>
      <c r="S8015" s="26">
        <v>2.0000000000000001E-4</v>
      </c>
      <c r="T8015">
        <v>2808</v>
      </c>
    </row>
    <row r="8017" spans="1:20" x14ac:dyDescent="0.35">
      <c r="A8017" s="1" t="s">
        <v>1100</v>
      </c>
    </row>
    <row r="8018" spans="1:20" x14ac:dyDescent="0.35">
      <c r="A8018" t="s">
        <v>219</v>
      </c>
      <c r="B8018" t="s">
        <v>305</v>
      </c>
      <c r="C8018" t="s">
        <v>1080</v>
      </c>
      <c r="D8018" t="s">
        <v>1081</v>
      </c>
      <c r="E8018" t="s">
        <v>1082</v>
      </c>
      <c r="F8018" t="s">
        <v>1083</v>
      </c>
      <c r="G8018" t="s">
        <v>1084</v>
      </c>
      <c r="H8018" t="s">
        <v>1085</v>
      </c>
      <c r="I8018" t="s">
        <v>1086</v>
      </c>
      <c r="J8018" t="s">
        <v>1087</v>
      </c>
      <c r="K8018" t="s">
        <v>1088</v>
      </c>
      <c r="L8018" t="s">
        <v>1089</v>
      </c>
      <c r="M8018" t="s">
        <v>326</v>
      </c>
      <c r="N8018" t="s">
        <v>1090</v>
      </c>
      <c r="O8018" t="s">
        <v>1091</v>
      </c>
      <c r="P8018" t="s">
        <v>1092</v>
      </c>
      <c r="Q8018" t="s">
        <v>1093</v>
      </c>
      <c r="R8018" t="s">
        <v>286</v>
      </c>
      <c r="S8018" t="s">
        <v>281</v>
      </c>
      <c r="T8018" t="s">
        <v>226</v>
      </c>
    </row>
    <row r="8019" spans="1:20" x14ac:dyDescent="0.35">
      <c r="A8019" t="s">
        <v>227</v>
      </c>
      <c r="B8019" t="s">
        <v>249</v>
      </c>
      <c r="C8019" s="26">
        <v>0.86360000000000003</v>
      </c>
      <c r="D8019" s="26">
        <v>0.25</v>
      </c>
      <c r="E8019" s="26">
        <v>0.2727</v>
      </c>
      <c r="F8019" s="26">
        <v>0.15909999999999999</v>
      </c>
      <c r="G8019" s="26">
        <v>0.15909999999999999</v>
      </c>
      <c r="H8019" s="26">
        <v>0.11360000000000001</v>
      </c>
      <c r="I8019" s="26">
        <v>2.2700000000000001E-2</v>
      </c>
      <c r="J8019" s="26">
        <v>2.2700000000000001E-2</v>
      </c>
      <c r="M8019" s="26">
        <v>2.2700000000000001E-2</v>
      </c>
      <c r="T8019">
        <v>44</v>
      </c>
    </row>
    <row r="8020" spans="1:20" x14ac:dyDescent="0.35">
      <c r="A8020" t="s">
        <v>227</v>
      </c>
      <c r="B8020" t="s">
        <v>248</v>
      </c>
      <c r="C8020" s="26">
        <v>0.49569999999999997</v>
      </c>
      <c r="D8020" s="26">
        <v>0.53849999999999998</v>
      </c>
      <c r="E8020" s="26">
        <v>0.15379999999999999</v>
      </c>
      <c r="F8020" s="26">
        <v>8.5500000000000007E-2</v>
      </c>
      <c r="G8020" s="26">
        <v>0.1111</v>
      </c>
      <c r="H8020" s="26">
        <v>0.12820000000000001</v>
      </c>
      <c r="I8020" s="26">
        <v>5.1299999999999998E-2</v>
      </c>
      <c r="J8020" s="26">
        <v>2.5600000000000001E-2</v>
      </c>
      <c r="K8020" s="26">
        <v>5.1299999999999998E-2</v>
      </c>
      <c r="L8020" s="26">
        <v>1.7100000000000001E-2</v>
      </c>
      <c r="N8020" s="26">
        <v>8.5000000000000006E-3</v>
      </c>
      <c r="P8020" s="26">
        <v>1.7100000000000001E-2</v>
      </c>
      <c r="Q8020" s="26">
        <v>8.5000000000000006E-3</v>
      </c>
      <c r="T8020">
        <v>117</v>
      </c>
    </row>
    <row r="8021" spans="1:20" x14ac:dyDescent="0.35">
      <c r="A8021" t="s">
        <v>228</v>
      </c>
      <c r="B8021" t="s">
        <v>249</v>
      </c>
      <c r="C8021" s="26">
        <v>0.80220000000000002</v>
      </c>
      <c r="D8021" s="26">
        <v>0.28910000000000002</v>
      </c>
      <c r="E8021" s="26">
        <v>0.28239999999999998</v>
      </c>
      <c r="F8021" s="26">
        <v>0.1394</v>
      </c>
      <c r="G8021" s="26">
        <v>6.7400000000000002E-2</v>
      </c>
      <c r="H8021" s="26">
        <v>0.15509999999999999</v>
      </c>
      <c r="I8021" s="26">
        <v>6.2399999999999997E-2</v>
      </c>
      <c r="J8021" s="26">
        <v>4.4699999999999997E-2</v>
      </c>
      <c r="K8021" s="26">
        <v>1.34E-2</v>
      </c>
      <c r="L8021" s="26">
        <v>1.11E-2</v>
      </c>
      <c r="M8021" s="26">
        <v>1.72E-2</v>
      </c>
      <c r="N8021" s="26">
        <v>9.4000000000000004E-3</v>
      </c>
      <c r="O8021" s="26">
        <v>1.1900000000000001E-2</v>
      </c>
      <c r="R8021" s="26">
        <v>2.3999999999999998E-3</v>
      </c>
      <c r="T8021">
        <v>274</v>
      </c>
    </row>
    <row r="8022" spans="1:20" x14ac:dyDescent="0.35">
      <c r="A8022" t="s">
        <v>228</v>
      </c>
      <c r="B8022" t="s">
        <v>248</v>
      </c>
      <c r="C8022" s="26">
        <v>0.46060000000000001</v>
      </c>
      <c r="D8022" s="26">
        <v>0.63370000000000004</v>
      </c>
      <c r="E8022" s="26">
        <v>0.1066</v>
      </c>
      <c r="F8022" s="26">
        <v>9.4100000000000003E-2</v>
      </c>
      <c r="G8022" s="26">
        <v>7.4399999999999994E-2</v>
      </c>
      <c r="H8022" s="26">
        <v>0.10879999999999999</v>
      </c>
      <c r="I8022" s="26">
        <v>6.0199999999999997E-2</v>
      </c>
      <c r="J8022" s="26">
        <v>7.1999999999999995E-2</v>
      </c>
      <c r="K8022" s="26">
        <v>1.9300000000000001E-2</v>
      </c>
      <c r="L8022" s="26">
        <v>2.4899999999999999E-2</v>
      </c>
      <c r="M8022" s="26">
        <v>8.9999999999999998E-4</v>
      </c>
      <c r="N8022" s="26">
        <v>3.27E-2</v>
      </c>
      <c r="O8022" s="26">
        <v>6.4999999999999997E-3</v>
      </c>
      <c r="P8022" s="26">
        <v>9.7000000000000003E-3</v>
      </c>
      <c r="Q8022" s="26">
        <v>2.8E-3</v>
      </c>
      <c r="R8022" s="26">
        <v>1.5E-3</v>
      </c>
      <c r="S8022" s="26">
        <v>1.4E-3</v>
      </c>
      <c r="T8022">
        <v>756</v>
      </c>
    </row>
    <row r="8023" spans="1:20" x14ac:dyDescent="0.35">
      <c r="A8023" t="s">
        <v>229</v>
      </c>
      <c r="B8023" t="s">
        <v>249</v>
      </c>
      <c r="C8023" s="26">
        <v>0.83330000000000004</v>
      </c>
      <c r="D8023" s="26">
        <v>0.18809999999999999</v>
      </c>
      <c r="E8023" s="26">
        <v>0.21190000000000001</v>
      </c>
      <c r="F8023" s="26">
        <v>0.1477</v>
      </c>
      <c r="G8023" s="26">
        <v>0.11600000000000001</v>
      </c>
      <c r="H8023" s="26">
        <v>5.9900000000000002E-2</v>
      </c>
      <c r="I8023" s="26">
        <v>0.1318</v>
      </c>
      <c r="J8023" s="26">
        <v>5.9400000000000001E-2</v>
      </c>
      <c r="K8023" s="26">
        <v>1.8800000000000001E-2</v>
      </c>
      <c r="L8023" s="26">
        <v>2.46E-2</v>
      </c>
      <c r="M8023" s="26">
        <v>3.6900000000000002E-2</v>
      </c>
      <c r="N8023" s="26">
        <v>3.0999999999999999E-3</v>
      </c>
      <c r="P8023" s="26">
        <v>1E-3</v>
      </c>
      <c r="Q8023" s="26">
        <v>1.6899999999999998E-2</v>
      </c>
      <c r="T8023">
        <v>258</v>
      </c>
    </row>
    <row r="8024" spans="1:20" x14ac:dyDescent="0.35">
      <c r="A8024" t="s">
        <v>229</v>
      </c>
      <c r="B8024" t="s">
        <v>248</v>
      </c>
      <c r="C8024" s="26">
        <v>0.58309999999999995</v>
      </c>
      <c r="D8024" s="26">
        <v>0.52780000000000005</v>
      </c>
      <c r="E8024" s="26">
        <v>0.124</v>
      </c>
      <c r="F8024" s="26">
        <v>8.2699999999999996E-2</v>
      </c>
      <c r="G8024" s="26">
        <v>9.4399999999999998E-2</v>
      </c>
      <c r="H8024" s="26">
        <v>8.2900000000000001E-2</v>
      </c>
      <c r="I8024" s="26">
        <v>7.8600000000000003E-2</v>
      </c>
      <c r="J8024" s="26">
        <v>3.6999999999999998E-2</v>
      </c>
      <c r="K8024" s="26">
        <v>3.3500000000000002E-2</v>
      </c>
      <c r="L8024" s="26">
        <v>1.2699999999999999E-2</v>
      </c>
      <c r="M8024" s="26">
        <v>6.8999999999999999E-3</v>
      </c>
      <c r="N8024" s="26">
        <v>5.0000000000000001E-3</v>
      </c>
      <c r="O8024" s="26">
        <v>9.1999999999999998E-3</v>
      </c>
      <c r="P8024" s="26">
        <v>5.0000000000000001E-3</v>
      </c>
      <c r="R8024" s="26">
        <v>1.4E-3</v>
      </c>
      <c r="T8024">
        <v>635</v>
      </c>
    </row>
    <row r="8025" spans="1:20" x14ac:dyDescent="0.35">
      <c r="A8025" t="s">
        <v>230</v>
      </c>
      <c r="B8025" t="s">
        <v>249</v>
      </c>
      <c r="C8025" s="26">
        <v>0.66249999999999998</v>
      </c>
      <c r="D8025" s="26">
        <v>0.14680000000000001</v>
      </c>
      <c r="E8025" s="26">
        <v>0.37090000000000001</v>
      </c>
      <c r="F8025" s="26">
        <v>0.14369999999999999</v>
      </c>
      <c r="G8025" s="26">
        <v>0.1158</v>
      </c>
      <c r="H8025" s="26">
        <v>0.14050000000000001</v>
      </c>
      <c r="I8025" s="26">
        <v>0.10440000000000001</v>
      </c>
      <c r="J8025" s="26">
        <v>8.2500000000000004E-2</v>
      </c>
      <c r="K8025" s="26">
        <v>9.3100000000000002E-2</v>
      </c>
      <c r="L8025" s="26">
        <v>2.5999999999999999E-3</v>
      </c>
      <c r="M8025" s="26">
        <v>1.6000000000000001E-3</v>
      </c>
      <c r="N8025" s="26">
        <v>3.1E-2</v>
      </c>
      <c r="O8025" s="26">
        <v>2.7000000000000001E-3</v>
      </c>
      <c r="P8025" s="26">
        <v>1.8599999999999998E-2</v>
      </c>
      <c r="R8025" s="26">
        <v>2.5999999999999999E-3</v>
      </c>
      <c r="T8025">
        <v>171</v>
      </c>
    </row>
    <row r="8026" spans="1:20" x14ac:dyDescent="0.35">
      <c r="A8026" t="s">
        <v>230</v>
      </c>
      <c r="B8026" t="s">
        <v>248</v>
      </c>
      <c r="C8026" s="26">
        <v>0.49969999999999998</v>
      </c>
      <c r="D8026" s="26">
        <v>0.55620000000000003</v>
      </c>
      <c r="E8026" s="26">
        <v>0.1148</v>
      </c>
      <c r="F8026" s="26">
        <v>0.10199999999999999</v>
      </c>
      <c r="G8026" s="26">
        <v>0.10580000000000001</v>
      </c>
      <c r="H8026" s="26">
        <v>8.6999999999999994E-2</v>
      </c>
      <c r="I8026" s="26">
        <v>7.4300000000000005E-2</v>
      </c>
      <c r="J8026" s="26">
        <v>7.1400000000000005E-2</v>
      </c>
      <c r="K8026" s="26">
        <v>1.9699999999999999E-2</v>
      </c>
      <c r="L8026" s="26">
        <v>2.7099999999999999E-2</v>
      </c>
      <c r="M8026" s="26">
        <v>2.52E-2</v>
      </c>
      <c r="N8026" s="26">
        <v>4.1700000000000001E-2</v>
      </c>
      <c r="O8026" s="26">
        <v>1.12E-2</v>
      </c>
      <c r="P8026" s="26">
        <v>4.0000000000000002E-4</v>
      </c>
      <c r="Q8026" s="26">
        <v>4.0000000000000002E-4</v>
      </c>
      <c r="R8026" s="26">
        <v>9.9000000000000008E-3</v>
      </c>
      <c r="T8026">
        <v>389</v>
      </c>
    </row>
    <row r="8027" spans="1:20" x14ac:dyDescent="0.35">
      <c r="A8027" t="s">
        <v>231</v>
      </c>
      <c r="B8027" t="s">
        <v>249</v>
      </c>
      <c r="C8027" s="26">
        <v>0.71430000000000005</v>
      </c>
      <c r="D8027" s="26">
        <v>0.28570000000000001</v>
      </c>
      <c r="E8027" s="26">
        <v>0.2571</v>
      </c>
      <c r="F8027" s="26">
        <v>0.1429</v>
      </c>
      <c r="G8027" s="26">
        <v>0.1429</v>
      </c>
      <c r="H8027" s="26">
        <v>0.1143</v>
      </c>
      <c r="I8027" s="26">
        <v>5.7099999999999998E-2</v>
      </c>
      <c r="J8027" s="26">
        <v>5.7099999999999998E-2</v>
      </c>
      <c r="K8027" s="26">
        <v>2.86E-2</v>
      </c>
      <c r="M8027" s="26">
        <v>2.86E-2</v>
      </c>
      <c r="T8027">
        <v>35</v>
      </c>
    </row>
    <row r="8028" spans="1:20" x14ac:dyDescent="0.35">
      <c r="A8028" t="s">
        <v>231</v>
      </c>
      <c r="B8028" t="s">
        <v>248</v>
      </c>
      <c r="C8028" s="26">
        <v>0.49609999999999999</v>
      </c>
      <c r="D8028" s="26">
        <v>0.58909999999999996</v>
      </c>
      <c r="E8028" s="26">
        <v>0.14729999999999999</v>
      </c>
      <c r="F8028" s="26">
        <v>6.9800000000000001E-2</v>
      </c>
      <c r="G8028" s="26">
        <v>9.2999999999999999E-2</v>
      </c>
      <c r="H8028" s="26">
        <v>6.2E-2</v>
      </c>
      <c r="I8028" s="26">
        <v>8.5300000000000001E-2</v>
      </c>
      <c r="J8028" s="26">
        <v>1.55E-2</v>
      </c>
      <c r="K8028" s="26">
        <v>4.65E-2</v>
      </c>
      <c r="L8028" s="26">
        <v>1.55E-2</v>
      </c>
      <c r="M8028" s="26">
        <v>1.55E-2</v>
      </c>
      <c r="O8028" s="26">
        <v>1.55E-2</v>
      </c>
      <c r="T8028">
        <v>129</v>
      </c>
    </row>
    <row r="8029" spans="1:20" x14ac:dyDescent="0.35">
      <c r="A8029" t="s">
        <v>232</v>
      </c>
      <c r="B8029" t="s">
        <v>232</v>
      </c>
      <c r="C8029" s="26">
        <v>0.59060000000000001</v>
      </c>
      <c r="D8029" s="26">
        <v>0.47499999999999998</v>
      </c>
      <c r="E8029" s="26">
        <v>0.16869999999999999</v>
      </c>
      <c r="F8029" s="26">
        <v>0.10100000000000001</v>
      </c>
      <c r="G8029" s="26">
        <v>0.10059999999999999</v>
      </c>
      <c r="H8029" s="26">
        <v>9.4200000000000006E-2</v>
      </c>
      <c r="I8029" s="26">
        <v>7.5499999999999998E-2</v>
      </c>
      <c r="J8029" s="26">
        <v>4.2599999999999999E-2</v>
      </c>
      <c r="K8029" s="26">
        <v>3.32E-2</v>
      </c>
      <c r="L8029" s="26">
        <v>1.5800000000000002E-2</v>
      </c>
      <c r="M8029" s="26">
        <v>1.35E-2</v>
      </c>
      <c r="N8029" s="26">
        <v>1.0800000000000001E-2</v>
      </c>
      <c r="O8029" s="26">
        <v>7.4999999999999997E-3</v>
      </c>
      <c r="P8029" s="26">
        <v>4.8999999999999998E-3</v>
      </c>
      <c r="Q8029" s="26">
        <v>2.8999999999999998E-3</v>
      </c>
      <c r="R8029" s="26">
        <v>1.2999999999999999E-3</v>
      </c>
      <c r="S8029" s="26">
        <v>2.0000000000000001E-4</v>
      </c>
      <c r="T8029">
        <v>2808</v>
      </c>
    </row>
    <row r="8031" spans="1:20" x14ac:dyDescent="0.35">
      <c r="A8031" s="1" t="s">
        <v>1101</v>
      </c>
    </row>
    <row r="8032" spans="1:20" x14ac:dyDescent="0.35">
      <c r="A8032" t="s">
        <v>219</v>
      </c>
      <c r="B8032" t="s">
        <v>305</v>
      </c>
      <c r="C8032" t="s">
        <v>1080</v>
      </c>
      <c r="D8032" t="s">
        <v>1081</v>
      </c>
      <c r="E8032" t="s">
        <v>1082</v>
      </c>
      <c r="F8032" t="s">
        <v>1083</v>
      </c>
      <c r="G8032" t="s">
        <v>1084</v>
      </c>
      <c r="H8032" t="s">
        <v>1085</v>
      </c>
      <c r="I8032" t="s">
        <v>1086</v>
      </c>
      <c r="J8032" t="s">
        <v>1087</v>
      </c>
      <c r="K8032" t="s">
        <v>1088</v>
      </c>
      <c r="L8032" t="s">
        <v>1089</v>
      </c>
      <c r="M8032" t="s">
        <v>326</v>
      </c>
      <c r="N8032" t="s">
        <v>1090</v>
      </c>
      <c r="O8032" t="s">
        <v>1091</v>
      </c>
      <c r="P8032" t="s">
        <v>1092</v>
      </c>
      <c r="Q8032" t="s">
        <v>1093</v>
      </c>
      <c r="R8032" t="s">
        <v>286</v>
      </c>
      <c r="S8032" t="s">
        <v>281</v>
      </c>
      <c r="T8032" t="s">
        <v>226</v>
      </c>
    </row>
    <row r="8033" spans="1:20" x14ac:dyDescent="0.35">
      <c r="A8033" s="27" t="s">
        <v>227</v>
      </c>
      <c r="B8033" s="27" t="s">
        <v>263</v>
      </c>
      <c r="C8033" s="28">
        <v>1</v>
      </c>
      <c r="D8033" s="28">
        <v>0.33329999999999999</v>
      </c>
      <c r="E8033" s="29"/>
      <c r="F8033" s="29"/>
      <c r="G8033" s="28">
        <v>0.66669999999999996</v>
      </c>
      <c r="H8033" s="29"/>
      <c r="I8033" s="28">
        <v>0.33329999999999999</v>
      </c>
      <c r="J8033" s="29"/>
      <c r="K8033" s="29"/>
      <c r="L8033" s="28">
        <v>0.33329999999999999</v>
      </c>
      <c r="M8033" s="29"/>
      <c r="N8033" s="29"/>
      <c r="O8033" s="29"/>
      <c r="P8033" s="29"/>
      <c r="Q8033" s="28">
        <v>0.33329999999999999</v>
      </c>
      <c r="R8033" s="29"/>
      <c r="S8033" s="29"/>
      <c r="T8033" s="29" t="s">
        <v>315</v>
      </c>
    </row>
    <row r="8034" spans="1:20" x14ac:dyDescent="0.35">
      <c r="A8034" t="s">
        <v>227</v>
      </c>
      <c r="B8034" t="s">
        <v>261</v>
      </c>
      <c r="C8034" s="26">
        <v>0.42420000000000002</v>
      </c>
      <c r="D8034" s="26">
        <v>0.63639999999999997</v>
      </c>
      <c r="E8034" s="26">
        <v>0.2727</v>
      </c>
      <c r="F8034" s="26">
        <v>6.0600000000000001E-2</v>
      </c>
      <c r="G8034" s="26">
        <v>0.1515</v>
      </c>
      <c r="H8034" s="26">
        <v>0.57579999999999998</v>
      </c>
      <c r="I8034" s="26">
        <v>3.0300000000000001E-2</v>
      </c>
      <c r="J8034" s="26">
        <v>3.0300000000000001E-2</v>
      </c>
      <c r="K8034" s="26">
        <v>3.0300000000000001E-2</v>
      </c>
      <c r="N8034" s="26">
        <v>3.0300000000000001E-2</v>
      </c>
      <c r="T8034">
        <v>33</v>
      </c>
    </row>
    <row r="8035" spans="1:20" x14ac:dyDescent="0.35">
      <c r="A8035" s="27" t="s">
        <v>227</v>
      </c>
      <c r="B8035" s="27" t="s">
        <v>262</v>
      </c>
      <c r="C8035" s="28">
        <v>1</v>
      </c>
      <c r="D8035" s="28">
        <v>0.33329999999999999</v>
      </c>
      <c r="E8035" s="29"/>
      <c r="F8035" s="29"/>
      <c r="G8035" s="29"/>
      <c r="H8035" s="29"/>
      <c r="I8035" s="29"/>
      <c r="J8035" s="29"/>
      <c r="K8035" s="29"/>
      <c r="L8035" s="29"/>
      <c r="M8035" s="29"/>
      <c r="N8035" s="29"/>
      <c r="O8035" s="29"/>
      <c r="P8035" s="29"/>
      <c r="Q8035" s="29"/>
      <c r="R8035" s="29"/>
      <c r="S8035" s="29"/>
      <c r="T8035" s="29" t="s">
        <v>315</v>
      </c>
    </row>
    <row r="8036" spans="1:20" x14ac:dyDescent="0.35">
      <c r="A8036" t="s">
        <v>227</v>
      </c>
      <c r="B8036" t="s">
        <v>260</v>
      </c>
      <c r="C8036" s="26">
        <v>0.623</v>
      </c>
      <c r="D8036" s="26">
        <v>0.41799999999999998</v>
      </c>
      <c r="E8036" s="26">
        <v>0.1721</v>
      </c>
      <c r="F8036" s="26">
        <v>0.123</v>
      </c>
      <c r="G8036" s="26">
        <v>0.1066</v>
      </c>
      <c r="H8036" s="26">
        <v>8.2000000000000007E-3</v>
      </c>
      <c r="I8036" s="26">
        <v>4.1000000000000002E-2</v>
      </c>
      <c r="J8036" s="26">
        <v>2.46E-2</v>
      </c>
      <c r="K8036" s="26">
        <v>4.1000000000000002E-2</v>
      </c>
      <c r="L8036" s="26">
        <v>8.2000000000000007E-3</v>
      </c>
      <c r="M8036" s="26">
        <v>8.2000000000000007E-3</v>
      </c>
      <c r="P8036" s="26">
        <v>1.6400000000000001E-2</v>
      </c>
      <c r="T8036">
        <v>122</v>
      </c>
    </row>
    <row r="8037" spans="1:20" x14ac:dyDescent="0.35">
      <c r="A8037" t="s">
        <v>228</v>
      </c>
      <c r="B8037" t="s">
        <v>261</v>
      </c>
      <c r="C8037" s="26">
        <v>0.50600000000000001</v>
      </c>
      <c r="D8037" s="26">
        <v>0.57920000000000005</v>
      </c>
      <c r="E8037" s="26">
        <v>0.1779</v>
      </c>
      <c r="F8037" s="26">
        <v>9.5100000000000004E-2</v>
      </c>
      <c r="G8037" s="26">
        <v>5.3600000000000002E-2</v>
      </c>
      <c r="H8037" s="26">
        <v>0.46829999999999999</v>
      </c>
      <c r="I8037" s="26">
        <v>2.1299999999999999E-2</v>
      </c>
      <c r="J8037" s="26">
        <v>7.7499999999999999E-2</v>
      </c>
      <c r="K8037" s="26">
        <v>4.0000000000000001E-3</v>
      </c>
      <c r="M8037" s="26">
        <v>7.1999999999999998E-3</v>
      </c>
      <c r="N8037" s="26">
        <v>4.3400000000000001E-2</v>
      </c>
      <c r="O8037" s="26">
        <v>2.8E-3</v>
      </c>
      <c r="P8037" s="26">
        <v>1.8E-3</v>
      </c>
      <c r="Q8037" s="26">
        <v>7.1999999999999998E-3</v>
      </c>
      <c r="T8037">
        <v>192</v>
      </c>
    </row>
    <row r="8038" spans="1:20" x14ac:dyDescent="0.35">
      <c r="A8038" s="27" t="s">
        <v>228</v>
      </c>
      <c r="B8038" s="27" t="s">
        <v>263</v>
      </c>
      <c r="C8038" s="28">
        <v>0.61990000000000001</v>
      </c>
      <c r="D8038" s="28">
        <v>0.68130000000000002</v>
      </c>
      <c r="E8038" s="28">
        <v>0.14219999999999999</v>
      </c>
      <c r="F8038" s="28">
        <v>9.4700000000000006E-2</v>
      </c>
      <c r="G8038" s="29"/>
      <c r="H8038" s="28">
        <v>0.25330000000000003</v>
      </c>
      <c r="I8038" s="28">
        <v>0.1961</v>
      </c>
      <c r="J8038" s="28">
        <v>0.114</v>
      </c>
      <c r="K8038" s="29"/>
      <c r="L8038" s="28">
        <v>0.1071</v>
      </c>
      <c r="M8038" s="29"/>
      <c r="N8038" s="28">
        <v>0.14050000000000001</v>
      </c>
      <c r="O8038" s="29"/>
      <c r="P8038" s="29"/>
      <c r="Q8038" s="29"/>
      <c r="R8038" s="29"/>
      <c r="S8038" s="29"/>
      <c r="T8038" s="29" t="s">
        <v>312</v>
      </c>
    </row>
    <row r="8039" spans="1:20" x14ac:dyDescent="0.35">
      <c r="A8039" s="27" t="s">
        <v>228</v>
      </c>
      <c r="B8039" s="27" t="s">
        <v>236</v>
      </c>
      <c r="C8039" s="28">
        <v>0.2268</v>
      </c>
      <c r="D8039" s="28">
        <v>0.60050000000000003</v>
      </c>
      <c r="E8039" s="28">
        <v>0.17269999999999999</v>
      </c>
      <c r="F8039" s="29"/>
      <c r="G8039" s="28">
        <v>0.85560000000000003</v>
      </c>
      <c r="H8039" s="28">
        <v>6.6500000000000004E-2</v>
      </c>
      <c r="I8039" s="29"/>
      <c r="J8039" s="29"/>
      <c r="K8039" s="29"/>
      <c r="L8039" s="29"/>
      <c r="M8039" s="29"/>
      <c r="N8039" s="29"/>
      <c r="O8039" s="29"/>
      <c r="P8039" s="29"/>
      <c r="Q8039" s="29"/>
      <c r="R8039" s="29"/>
      <c r="S8039" s="29"/>
      <c r="T8039" s="29" t="s">
        <v>335</v>
      </c>
    </row>
    <row r="8040" spans="1:20" x14ac:dyDescent="0.35">
      <c r="A8040" t="s">
        <v>228</v>
      </c>
      <c r="B8040" t="s">
        <v>262</v>
      </c>
      <c r="C8040" s="26">
        <v>0.61409999999999998</v>
      </c>
      <c r="D8040" s="26">
        <v>0.40060000000000001</v>
      </c>
      <c r="E8040" s="26">
        <v>0.21729999999999999</v>
      </c>
      <c r="F8040" s="26">
        <v>0.12230000000000001</v>
      </c>
      <c r="G8040" s="26">
        <v>6.5000000000000002E-2</v>
      </c>
      <c r="H8040" s="26">
        <v>8.7800000000000003E-2</v>
      </c>
      <c r="I8040" s="26">
        <v>0.11020000000000001</v>
      </c>
      <c r="J8040" s="26">
        <v>5.9799999999999999E-2</v>
      </c>
      <c r="K8040" s="26">
        <v>1.4200000000000001E-2</v>
      </c>
      <c r="L8040" s="26">
        <v>1.9199999999999998E-2</v>
      </c>
      <c r="M8040" s="26">
        <v>6.1000000000000004E-3</v>
      </c>
      <c r="N8040" s="26">
        <v>2.41E-2</v>
      </c>
      <c r="O8040" s="26">
        <v>2.01E-2</v>
      </c>
      <c r="P8040" s="26">
        <v>8.5000000000000006E-3</v>
      </c>
      <c r="R8040" s="26">
        <v>4.3E-3</v>
      </c>
      <c r="T8040">
        <v>199</v>
      </c>
    </row>
    <row r="8041" spans="1:20" x14ac:dyDescent="0.35">
      <c r="A8041" t="s">
        <v>228</v>
      </c>
      <c r="B8041" t="s">
        <v>260</v>
      </c>
      <c r="C8041" s="26">
        <v>0.56889999999999996</v>
      </c>
      <c r="D8041" s="26">
        <v>0.54479999999999995</v>
      </c>
      <c r="E8041" s="26">
        <v>0.1381</v>
      </c>
      <c r="F8041" s="26">
        <v>0.10920000000000001</v>
      </c>
      <c r="G8041" s="26">
        <v>7.4499999999999997E-2</v>
      </c>
      <c r="H8041" s="26">
        <v>1.9E-2</v>
      </c>
      <c r="I8041" s="26">
        <v>5.6599999999999998E-2</v>
      </c>
      <c r="J8041" s="26">
        <v>5.9700000000000003E-2</v>
      </c>
      <c r="K8041" s="26">
        <v>2.35E-2</v>
      </c>
      <c r="L8041" s="26">
        <v>2.53E-2</v>
      </c>
      <c r="M8041" s="26">
        <v>5.4000000000000003E-3</v>
      </c>
      <c r="N8041" s="26">
        <v>1.7299999999999999E-2</v>
      </c>
      <c r="O8041" s="26">
        <v>6.8999999999999999E-3</v>
      </c>
      <c r="P8041" s="26">
        <v>8.2000000000000007E-3</v>
      </c>
      <c r="Q8041" s="26">
        <v>8.9999999999999998E-4</v>
      </c>
      <c r="R8041" s="26">
        <v>1.6999999999999999E-3</v>
      </c>
      <c r="S8041" s="26">
        <v>1.6000000000000001E-3</v>
      </c>
      <c r="T8041">
        <v>608</v>
      </c>
    </row>
    <row r="8042" spans="1:20" x14ac:dyDescent="0.35">
      <c r="A8042" s="27" t="s">
        <v>229</v>
      </c>
      <c r="B8042" s="27" t="s">
        <v>263</v>
      </c>
      <c r="C8042" s="28">
        <v>0.53639999999999999</v>
      </c>
      <c r="D8042" s="28">
        <v>0.49819999999999998</v>
      </c>
      <c r="E8042" s="28">
        <v>0.1777</v>
      </c>
      <c r="F8042" s="29"/>
      <c r="G8042" s="29"/>
      <c r="H8042" s="28">
        <v>0.19040000000000001</v>
      </c>
      <c r="I8042" s="28">
        <v>0.15570000000000001</v>
      </c>
      <c r="J8042" s="28">
        <v>4.8999999999999998E-3</v>
      </c>
      <c r="K8042" s="28">
        <v>0.15570000000000001</v>
      </c>
      <c r="L8042" s="29"/>
      <c r="M8042" s="29"/>
      <c r="N8042" s="29"/>
      <c r="O8042" s="29"/>
      <c r="P8042" s="29"/>
      <c r="Q8042" s="29"/>
      <c r="R8042" s="29"/>
      <c r="S8042" s="29"/>
      <c r="T8042" s="29" t="s">
        <v>379</v>
      </c>
    </row>
    <row r="8043" spans="1:20" x14ac:dyDescent="0.35">
      <c r="A8043" t="s">
        <v>229</v>
      </c>
      <c r="B8043" t="s">
        <v>262</v>
      </c>
      <c r="C8043" s="26">
        <v>0.75639999999999996</v>
      </c>
      <c r="D8043" s="26">
        <v>0.2722</v>
      </c>
      <c r="E8043" s="26">
        <v>0.12640000000000001</v>
      </c>
      <c r="F8043" s="26">
        <v>0.15840000000000001</v>
      </c>
      <c r="G8043" s="26">
        <v>9.2799999999999994E-2</v>
      </c>
      <c r="H8043" s="26">
        <v>1.1999999999999999E-3</v>
      </c>
      <c r="I8043" s="26">
        <v>0.19670000000000001</v>
      </c>
      <c r="J8043" s="26">
        <v>6.1199999999999997E-2</v>
      </c>
      <c r="K8043" s="26">
        <v>4.5999999999999999E-3</v>
      </c>
      <c r="L8043" s="26">
        <v>2.9000000000000001E-2</v>
      </c>
      <c r="M8043" s="26">
        <v>2.1100000000000001E-2</v>
      </c>
      <c r="N8043" s="26">
        <v>1.2699999999999999E-2</v>
      </c>
      <c r="O8043" s="26">
        <v>1.2E-2</v>
      </c>
      <c r="P8043" s="26">
        <v>1.5E-3</v>
      </c>
      <c r="Q8043" s="26">
        <v>1.09E-2</v>
      </c>
      <c r="R8043" s="26">
        <v>5.9999999999999995E-4</v>
      </c>
      <c r="T8043">
        <v>187</v>
      </c>
    </row>
    <row r="8044" spans="1:20" x14ac:dyDescent="0.35">
      <c r="A8044" t="s">
        <v>229</v>
      </c>
      <c r="B8044" t="s">
        <v>261</v>
      </c>
      <c r="C8044" s="26">
        <v>0.60199999999999998</v>
      </c>
      <c r="D8044" s="26">
        <v>0.47589999999999999</v>
      </c>
      <c r="E8044" s="26">
        <v>0.1706</v>
      </c>
      <c r="F8044" s="26">
        <v>7.46E-2</v>
      </c>
      <c r="G8044" s="26">
        <v>0.1216</v>
      </c>
      <c r="H8044" s="26">
        <v>0.46729999999999999</v>
      </c>
      <c r="I8044" s="26">
        <v>6.5199999999999994E-2</v>
      </c>
      <c r="J8044" s="26">
        <v>4.0099999999999997E-2</v>
      </c>
      <c r="K8044" s="26">
        <v>2.3E-3</v>
      </c>
      <c r="L8044" s="26">
        <v>3.44E-2</v>
      </c>
      <c r="M8044" s="26">
        <v>1.1999999999999999E-3</v>
      </c>
      <c r="N8044" s="26">
        <v>6.9999999999999999E-4</v>
      </c>
      <c r="T8044">
        <v>95</v>
      </c>
    </row>
    <row r="8045" spans="1:20" x14ac:dyDescent="0.35">
      <c r="A8045" s="27" t="s">
        <v>229</v>
      </c>
      <c r="B8045" s="27" t="s">
        <v>236</v>
      </c>
      <c r="C8045" s="28">
        <v>1</v>
      </c>
      <c r="D8045" s="29"/>
      <c r="E8045" s="29"/>
      <c r="F8045" s="29"/>
      <c r="G8045" s="29"/>
      <c r="H8045" s="29"/>
      <c r="I8045" s="29"/>
      <c r="J8045" s="29"/>
      <c r="K8045" s="29"/>
      <c r="L8045" s="29"/>
      <c r="M8045" s="29"/>
      <c r="N8045" s="29"/>
      <c r="O8045" s="29"/>
      <c r="P8045" s="29"/>
      <c r="Q8045" s="29"/>
      <c r="R8045" s="29"/>
      <c r="S8045" s="29"/>
      <c r="T8045" s="29" t="s">
        <v>331</v>
      </c>
    </row>
    <row r="8046" spans="1:20" x14ac:dyDescent="0.35">
      <c r="A8046" t="s">
        <v>229</v>
      </c>
      <c r="B8046" t="s">
        <v>260</v>
      </c>
      <c r="C8046" s="26">
        <v>0.64039999999999997</v>
      </c>
      <c r="D8046" s="26">
        <v>0.4703</v>
      </c>
      <c r="E8046" s="26">
        <v>0.1605</v>
      </c>
      <c r="F8046" s="26">
        <v>8.8200000000000001E-2</v>
      </c>
      <c r="G8046" s="26">
        <v>0.1041</v>
      </c>
      <c r="H8046" s="26">
        <v>5.3E-3</v>
      </c>
      <c r="I8046" s="26">
        <v>5.1799999999999999E-2</v>
      </c>
      <c r="J8046" s="26">
        <v>3.8399999999999997E-2</v>
      </c>
      <c r="K8046" s="26">
        <v>4.3299999999999998E-2</v>
      </c>
      <c r="L8046" s="26">
        <v>6.3E-3</v>
      </c>
      <c r="M8046" s="26">
        <v>1.9199999999999998E-2</v>
      </c>
      <c r="N8046" s="26">
        <v>1.4E-3</v>
      </c>
      <c r="O8046" s="26">
        <v>5.1000000000000004E-3</v>
      </c>
      <c r="P8046" s="26">
        <v>5.8999999999999999E-3</v>
      </c>
      <c r="Q8046" s="26">
        <v>4.4999999999999997E-3</v>
      </c>
      <c r="R8046" s="26">
        <v>1.4E-3</v>
      </c>
      <c r="T8046">
        <v>596</v>
      </c>
    </row>
    <row r="8047" spans="1:20" x14ac:dyDescent="0.35">
      <c r="A8047" s="27" t="s">
        <v>230</v>
      </c>
      <c r="B8047" s="27" t="s">
        <v>236</v>
      </c>
      <c r="C8047" s="28">
        <v>0.27760000000000001</v>
      </c>
      <c r="D8047" s="28">
        <v>0.72240000000000004</v>
      </c>
      <c r="E8047" s="29"/>
      <c r="F8047" s="29"/>
      <c r="G8047" s="29"/>
      <c r="H8047" s="29"/>
      <c r="I8047" s="29"/>
      <c r="J8047" s="29"/>
      <c r="K8047" s="28">
        <v>3.6600000000000001E-2</v>
      </c>
      <c r="L8047" s="29"/>
      <c r="M8047" s="29"/>
      <c r="N8047" s="29"/>
      <c r="O8047" s="29"/>
      <c r="P8047" s="29"/>
      <c r="Q8047" s="29"/>
      <c r="R8047" s="29"/>
      <c r="S8047" s="29"/>
      <c r="T8047" s="29" t="s">
        <v>337</v>
      </c>
    </row>
    <row r="8048" spans="1:20" x14ac:dyDescent="0.35">
      <c r="A8048" t="s">
        <v>230</v>
      </c>
      <c r="B8048" t="s">
        <v>262</v>
      </c>
      <c r="C8048" s="26">
        <v>0.57689999999999997</v>
      </c>
      <c r="D8048" s="26">
        <v>0.26729999999999998</v>
      </c>
      <c r="E8048" s="26">
        <v>0.15709999999999999</v>
      </c>
      <c r="F8048" s="26">
        <v>0.1638</v>
      </c>
      <c r="G8048" s="26">
        <v>0.1366</v>
      </c>
      <c r="H8048" s="26">
        <v>4.8300000000000003E-2</v>
      </c>
      <c r="I8048" s="26">
        <v>0.10290000000000001</v>
      </c>
      <c r="J8048" s="26">
        <v>2.5399999999999999E-2</v>
      </c>
      <c r="K8048" s="26">
        <v>5.9799999999999999E-2</v>
      </c>
      <c r="L8048" s="26">
        <v>4.7699999999999999E-2</v>
      </c>
      <c r="M8048" s="26">
        <v>3.5999999999999999E-3</v>
      </c>
      <c r="N8048" s="26">
        <v>5.8799999999999998E-2</v>
      </c>
      <c r="O8048" s="26">
        <v>7.7000000000000002E-3</v>
      </c>
      <c r="P8048" s="26">
        <v>7.7000000000000002E-3</v>
      </c>
      <c r="Q8048" s="26">
        <v>1.8E-3</v>
      </c>
      <c r="T8048">
        <v>122</v>
      </c>
    </row>
    <row r="8049" spans="1:20" x14ac:dyDescent="0.35">
      <c r="A8049" t="s">
        <v>230</v>
      </c>
      <c r="B8049" t="s">
        <v>261</v>
      </c>
      <c r="C8049" s="26">
        <v>0.63580000000000003</v>
      </c>
      <c r="D8049" s="26">
        <v>0.42930000000000001</v>
      </c>
      <c r="E8049" s="26">
        <v>0.27339999999999998</v>
      </c>
      <c r="F8049" s="26">
        <v>5.79E-2</v>
      </c>
      <c r="G8049" s="26">
        <v>9.4399999999999998E-2</v>
      </c>
      <c r="H8049" s="26">
        <v>0.56179999999999997</v>
      </c>
      <c r="J8049" s="26">
        <v>4.7E-2</v>
      </c>
      <c r="K8049" s="26">
        <v>8.8999999999999999E-3</v>
      </c>
      <c r="L8049" s="26">
        <v>6.7999999999999996E-3</v>
      </c>
      <c r="N8049" s="26">
        <v>9.4200000000000006E-2</v>
      </c>
      <c r="T8049">
        <v>57</v>
      </c>
    </row>
    <row r="8050" spans="1:20" x14ac:dyDescent="0.35">
      <c r="A8050" s="27" t="s">
        <v>230</v>
      </c>
      <c r="B8050" s="27" t="s">
        <v>263</v>
      </c>
      <c r="C8050" s="28">
        <v>0.72360000000000002</v>
      </c>
      <c r="D8050" s="28">
        <v>0.49120000000000003</v>
      </c>
      <c r="E8050" s="28">
        <v>0.47399999999999998</v>
      </c>
      <c r="F8050" s="28">
        <v>3.3500000000000002E-2</v>
      </c>
      <c r="G8050" s="28">
        <v>1.6799999999999999E-2</v>
      </c>
      <c r="H8050" s="28">
        <v>0.4894</v>
      </c>
      <c r="I8050" s="28">
        <v>1.6799999999999999E-2</v>
      </c>
      <c r="J8050" s="28">
        <v>1.6799999999999999E-2</v>
      </c>
      <c r="K8050" s="28">
        <v>0.33029999999999998</v>
      </c>
      <c r="L8050" s="29"/>
      <c r="M8050" s="29"/>
      <c r="N8050" s="28">
        <v>7.1199999999999999E-2</v>
      </c>
      <c r="O8050" s="29"/>
      <c r="P8050" s="29"/>
      <c r="Q8050" s="29"/>
      <c r="R8050" s="29"/>
      <c r="S8050" s="29"/>
      <c r="T8050" s="29" t="s">
        <v>312</v>
      </c>
    </row>
    <row r="8051" spans="1:20" x14ac:dyDescent="0.35">
      <c r="A8051" t="s">
        <v>230</v>
      </c>
      <c r="B8051" t="s">
        <v>260</v>
      </c>
      <c r="C8051" s="26">
        <v>0.53320000000000001</v>
      </c>
      <c r="D8051" s="26">
        <v>0.44379999999999997</v>
      </c>
      <c r="E8051" s="26">
        <v>0.1925</v>
      </c>
      <c r="F8051" s="26">
        <v>0.1201</v>
      </c>
      <c r="G8051" s="26">
        <v>0.1094</v>
      </c>
      <c r="H8051" s="26">
        <v>2.1499999999999998E-2</v>
      </c>
      <c r="I8051" s="26">
        <v>9.9199999999999997E-2</v>
      </c>
      <c r="J8051" s="26">
        <v>9.35E-2</v>
      </c>
      <c r="K8051" s="26">
        <v>4.1300000000000003E-2</v>
      </c>
      <c r="L8051" s="26">
        <v>1.55E-2</v>
      </c>
      <c r="M8051" s="26">
        <v>2.41E-2</v>
      </c>
      <c r="N8051" s="26">
        <v>2.24E-2</v>
      </c>
      <c r="O8051" s="26">
        <v>1.04E-2</v>
      </c>
      <c r="P8051" s="26">
        <v>7.7999999999999996E-3</v>
      </c>
      <c r="R8051" s="26">
        <v>1.0800000000000001E-2</v>
      </c>
      <c r="T8051">
        <v>352</v>
      </c>
    </row>
    <row r="8052" spans="1:20" x14ac:dyDescent="0.35">
      <c r="A8052" s="27" t="s">
        <v>231</v>
      </c>
      <c r="B8052" s="27" t="s">
        <v>263</v>
      </c>
      <c r="C8052" s="29"/>
      <c r="D8052" s="28">
        <v>1</v>
      </c>
      <c r="E8052" s="29"/>
      <c r="F8052" s="29"/>
      <c r="G8052" s="28">
        <v>0.5</v>
      </c>
      <c r="H8052" s="28">
        <v>0.5</v>
      </c>
      <c r="I8052" s="29"/>
      <c r="J8052" s="29"/>
      <c r="K8052" s="29"/>
      <c r="L8052" s="29"/>
      <c r="M8052" s="29"/>
      <c r="N8052" s="29"/>
      <c r="O8052" s="29"/>
      <c r="P8052" s="29"/>
      <c r="Q8052" s="29"/>
      <c r="R8052" s="29"/>
      <c r="S8052" s="29"/>
      <c r="T8052" s="29" t="s">
        <v>314</v>
      </c>
    </row>
    <row r="8053" spans="1:20" x14ac:dyDescent="0.35">
      <c r="A8053" t="s">
        <v>231</v>
      </c>
      <c r="B8053" t="s">
        <v>260</v>
      </c>
      <c r="C8053" s="26">
        <v>0.5645</v>
      </c>
      <c r="D8053" s="26">
        <v>0.5403</v>
      </c>
      <c r="E8053" s="26">
        <v>0.2016</v>
      </c>
      <c r="F8053" s="26">
        <v>8.0600000000000005E-2</v>
      </c>
      <c r="G8053" s="26">
        <v>0.1129</v>
      </c>
      <c r="I8053" s="26">
        <v>7.2599999999999998E-2</v>
      </c>
      <c r="J8053" s="26">
        <v>3.2300000000000002E-2</v>
      </c>
      <c r="K8053" s="26">
        <v>5.6500000000000002E-2</v>
      </c>
      <c r="M8053" s="26">
        <v>2.4199999999999999E-2</v>
      </c>
      <c r="O8053" s="26">
        <v>1.61E-2</v>
      </c>
      <c r="T8053">
        <v>124</v>
      </c>
    </row>
    <row r="8054" spans="1:20" x14ac:dyDescent="0.35">
      <c r="A8054" s="27" t="s">
        <v>231</v>
      </c>
      <c r="B8054" s="27" t="s">
        <v>261</v>
      </c>
      <c r="C8054" s="28">
        <v>0.44440000000000002</v>
      </c>
      <c r="D8054" s="28">
        <v>0.51849999999999996</v>
      </c>
      <c r="E8054" s="28">
        <v>7.4099999999999999E-2</v>
      </c>
      <c r="F8054" s="28">
        <v>0.1111</v>
      </c>
      <c r="G8054" s="28">
        <v>3.6999999999999998E-2</v>
      </c>
      <c r="H8054" s="28">
        <v>0.40739999999999998</v>
      </c>
      <c r="I8054" s="28">
        <v>0.1111</v>
      </c>
      <c r="J8054" s="29"/>
      <c r="K8054" s="29"/>
      <c r="L8054" s="28">
        <v>3.6999999999999998E-2</v>
      </c>
      <c r="M8054" s="29"/>
      <c r="N8054" s="29"/>
      <c r="O8054" s="29"/>
      <c r="P8054" s="29"/>
      <c r="Q8054" s="29"/>
      <c r="R8054" s="29"/>
      <c r="S8054" s="29"/>
      <c r="T8054" s="29" t="s">
        <v>338</v>
      </c>
    </row>
    <row r="8055" spans="1:20" x14ac:dyDescent="0.35">
      <c r="A8055" s="27" t="s">
        <v>231</v>
      </c>
      <c r="B8055" s="27" t="s">
        <v>262</v>
      </c>
      <c r="C8055" s="28">
        <v>0.63639999999999997</v>
      </c>
      <c r="D8055" s="28">
        <v>0.2727</v>
      </c>
      <c r="E8055" s="28">
        <v>9.0899999999999995E-2</v>
      </c>
      <c r="F8055" s="28">
        <v>9.0899999999999995E-2</v>
      </c>
      <c r="G8055" s="28">
        <v>9.0899999999999995E-2</v>
      </c>
      <c r="H8055" s="29"/>
      <c r="I8055" s="28">
        <v>9.0899999999999995E-2</v>
      </c>
      <c r="J8055" s="29"/>
      <c r="K8055" s="29"/>
      <c r="L8055" s="28">
        <v>9.0899999999999995E-2</v>
      </c>
      <c r="M8055" s="29"/>
      <c r="N8055" s="29"/>
      <c r="O8055" s="29"/>
      <c r="P8055" s="29"/>
      <c r="Q8055" s="29"/>
      <c r="R8055" s="29"/>
      <c r="S8055" s="29"/>
      <c r="T8055" s="29" t="s">
        <v>352</v>
      </c>
    </row>
    <row r="8056" spans="1:20" x14ac:dyDescent="0.35">
      <c r="A8056" t="s">
        <v>232</v>
      </c>
      <c r="B8056" t="s">
        <v>232</v>
      </c>
      <c r="C8056" s="26">
        <v>0.59060000000000001</v>
      </c>
      <c r="D8056" s="26">
        <v>0.47499999999999998</v>
      </c>
      <c r="E8056" s="26">
        <v>0.16869999999999999</v>
      </c>
      <c r="F8056" s="26">
        <v>0.10100000000000001</v>
      </c>
      <c r="G8056" s="26">
        <v>0.10059999999999999</v>
      </c>
      <c r="H8056" s="26">
        <v>9.4200000000000006E-2</v>
      </c>
      <c r="I8056" s="26">
        <v>7.5499999999999998E-2</v>
      </c>
      <c r="J8056" s="26">
        <v>4.2599999999999999E-2</v>
      </c>
      <c r="K8056" s="26">
        <v>3.32E-2</v>
      </c>
      <c r="L8056" s="26">
        <v>1.5800000000000002E-2</v>
      </c>
      <c r="M8056" s="26">
        <v>1.35E-2</v>
      </c>
      <c r="N8056" s="26">
        <v>1.0800000000000001E-2</v>
      </c>
      <c r="O8056" s="26">
        <v>7.4999999999999997E-3</v>
      </c>
      <c r="P8056" s="26">
        <v>4.8999999999999998E-3</v>
      </c>
      <c r="Q8056" s="26">
        <v>2.8999999999999998E-3</v>
      </c>
      <c r="R8056" s="26">
        <v>1.2999999999999999E-3</v>
      </c>
      <c r="S8056" s="26">
        <v>2.0000000000000001E-4</v>
      </c>
      <c r="T8056">
        <v>2808</v>
      </c>
    </row>
    <row r="8058" spans="1:20" x14ac:dyDescent="0.35">
      <c r="A8058" s="1" t="s">
        <v>1102</v>
      </c>
    </row>
    <row r="8059" spans="1:20" x14ac:dyDescent="0.35">
      <c r="A8059" t="s">
        <v>219</v>
      </c>
      <c r="B8059" t="s">
        <v>305</v>
      </c>
      <c r="C8059" t="s">
        <v>1080</v>
      </c>
      <c r="D8059" t="s">
        <v>1081</v>
      </c>
      <c r="E8059" t="s">
        <v>1082</v>
      </c>
      <c r="F8059" t="s">
        <v>1083</v>
      </c>
      <c r="G8059" t="s">
        <v>1084</v>
      </c>
      <c r="H8059" t="s">
        <v>1085</v>
      </c>
      <c r="I8059" t="s">
        <v>1086</v>
      </c>
      <c r="J8059" t="s">
        <v>1087</v>
      </c>
      <c r="K8059" t="s">
        <v>1088</v>
      </c>
      <c r="L8059" t="s">
        <v>1089</v>
      </c>
      <c r="M8059" t="s">
        <v>326</v>
      </c>
      <c r="N8059" t="s">
        <v>1090</v>
      </c>
      <c r="O8059" t="s">
        <v>1091</v>
      </c>
      <c r="P8059" t="s">
        <v>1092</v>
      </c>
      <c r="Q8059" t="s">
        <v>1093</v>
      </c>
      <c r="R8059" t="s">
        <v>286</v>
      </c>
      <c r="S8059" t="s">
        <v>281</v>
      </c>
      <c r="T8059" t="s">
        <v>226</v>
      </c>
    </row>
    <row r="8060" spans="1:20" x14ac:dyDescent="0.35">
      <c r="A8060" t="s">
        <v>227</v>
      </c>
      <c r="B8060" t="s">
        <v>368</v>
      </c>
      <c r="C8060" s="26">
        <v>0.42420000000000002</v>
      </c>
      <c r="D8060" s="26">
        <v>0.63639999999999997</v>
      </c>
      <c r="E8060" s="26">
        <v>0.2727</v>
      </c>
      <c r="F8060" s="26">
        <v>6.0600000000000001E-2</v>
      </c>
      <c r="G8060" s="26">
        <v>0.1515</v>
      </c>
      <c r="H8060" s="26">
        <v>0.57579999999999998</v>
      </c>
      <c r="I8060" s="26">
        <v>3.0300000000000001E-2</v>
      </c>
      <c r="J8060" s="26">
        <v>3.0300000000000001E-2</v>
      </c>
      <c r="K8060" s="26">
        <v>3.0300000000000001E-2</v>
      </c>
      <c r="N8060" s="26">
        <v>3.0300000000000001E-2</v>
      </c>
      <c r="T8060">
        <v>33</v>
      </c>
    </row>
    <row r="8061" spans="1:20" x14ac:dyDescent="0.35">
      <c r="A8061" t="s">
        <v>227</v>
      </c>
      <c r="B8061" t="s">
        <v>369</v>
      </c>
      <c r="C8061" s="26">
        <v>0.64059999999999995</v>
      </c>
      <c r="D8061" s="26">
        <v>0.41410000000000002</v>
      </c>
      <c r="E8061" s="26">
        <v>0.1641</v>
      </c>
      <c r="F8061" s="26">
        <v>0.1172</v>
      </c>
      <c r="G8061" s="26">
        <v>0.1172</v>
      </c>
      <c r="H8061" s="26">
        <v>7.7999999999999996E-3</v>
      </c>
      <c r="I8061" s="26">
        <v>4.6899999999999997E-2</v>
      </c>
      <c r="J8061" s="26">
        <v>2.3400000000000001E-2</v>
      </c>
      <c r="K8061" s="26">
        <v>3.9100000000000003E-2</v>
      </c>
      <c r="L8061" s="26">
        <v>1.5599999999999999E-2</v>
      </c>
      <c r="M8061" s="26">
        <v>7.7999999999999996E-3</v>
      </c>
      <c r="P8061" s="26">
        <v>1.5599999999999999E-2</v>
      </c>
      <c r="Q8061" s="26">
        <v>7.7999999999999996E-3</v>
      </c>
      <c r="T8061">
        <v>128</v>
      </c>
    </row>
    <row r="8062" spans="1:20" x14ac:dyDescent="0.35">
      <c r="A8062" t="s">
        <v>228</v>
      </c>
      <c r="B8062" t="s">
        <v>368</v>
      </c>
      <c r="C8062" s="26">
        <v>0.50600000000000001</v>
      </c>
      <c r="D8062" s="26">
        <v>0.57920000000000005</v>
      </c>
      <c r="E8062" s="26">
        <v>0.1779</v>
      </c>
      <c r="F8062" s="26">
        <v>9.5100000000000004E-2</v>
      </c>
      <c r="G8062" s="26">
        <v>5.3600000000000002E-2</v>
      </c>
      <c r="H8062" s="26">
        <v>0.46829999999999999</v>
      </c>
      <c r="I8062" s="26">
        <v>2.1299999999999999E-2</v>
      </c>
      <c r="J8062" s="26">
        <v>7.7499999999999999E-2</v>
      </c>
      <c r="K8062" s="26">
        <v>4.0000000000000001E-3</v>
      </c>
      <c r="M8062" s="26">
        <v>7.1999999999999998E-3</v>
      </c>
      <c r="N8062" s="26">
        <v>4.3400000000000001E-2</v>
      </c>
      <c r="O8062" s="26">
        <v>2.8E-3</v>
      </c>
      <c r="P8062" s="26">
        <v>1.8E-3</v>
      </c>
      <c r="Q8062" s="26">
        <v>7.1999999999999998E-3</v>
      </c>
      <c r="T8062">
        <v>192</v>
      </c>
    </row>
    <row r="8063" spans="1:20" x14ac:dyDescent="0.35">
      <c r="A8063" t="s">
        <v>228</v>
      </c>
      <c r="B8063" t="s">
        <v>369</v>
      </c>
      <c r="C8063" s="26">
        <v>0.57669999999999999</v>
      </c>
      <c r="D8063" s="26">
        <v>0.51870000000000005</v>
      </c>
      <c r="E8063" s="26">
        <v>0.1547</v>
      </c>
      <c r="F8063" s="26">
        <v>0.11070000000000001</v>
      </c>
      <c r="G8063" s="26">
        <v>7.6799999999999993E-2</v>
      </c>
      <c r="H8063" s="26">
        <v>3.9E-2</v>
      </c>
      <c r="I8063" s="26">
        <v>7.0400000000000004E-2</v>
      </c>
      <c r="J8063" s="26">
        <v>6.0499999999999998E-2</v>
      </c>
      <c r="K8063" s="26">
        <v>2.0799999999999999E-2</v>
      </c>
      <c r="L8063" s="26">
        <v>2.58E-2</v>
      </c>
      <c r="M8063" s="26">
        <v>5.4000000000000003E-3</v>
      </c>
      <c r="N8063" s="26">
        <v>2.1399999999999999E-2</v>
      </c>
      <c r="O8063" s="26">
        <v>9.4000000000000004E-3</v>
      </c>
      <c r="P8063" s="26">
        <v>8.0000000000000002E-3</v>
      </c>
      <c r="Q8063" s="26">
        <v>6.9999999999999999E-4</v>
      </c>
      <c r="R8063" s="26">
        <v>2.2000000000000001E-3</v>
      </c>
      <c r="S8063" s="26">
        <v>1.1999999999999999E-3</v>
      </c>
      <c r="T8063">
        <v>838</v>
      </c>
    </row>
    <row r="8064" spans="1:20" x14ac:dyDescent="0.35">
      <c r="A8064" t="s">
        <v>229</v>
      </c>
      <c r="B8064" t="s">
        <v>368</v>
      </c>
      <c r="C8064" s="26">
        <v>0.60199999999999998</v>
      </c>
      <c r="D8064" s="26">
        <v>0.47589999999999999</v>
      </c>
      <c r="E8064" s="26">
        <v>0.1706</v>
      </c>
      <c r="F8064" s="26">
        <v>7.46E-2</v>
      </c>
      <c r="G8064" s="26">
        <v>0.1216</v>
      </c>
      <c r="H8064" s="26">
        <v>0.46729999999999999</v>
      </c>
      <c r="I8064" s="26">
        <v>6.5199999999999994E-2</v>
      </c>
      <c r="J8064" s="26">
        <v>4.0099999999999997E-2</v>
      </c>
      <c r="K8064" s="26">
        <v>2.3E-3</v>
      </c>
      <c r="L8064" s="26">
        <v>3.44E-2</v>
      </c>
      <c r="M8064" s="26">
        <v>1.1999999999999999E-3</v>
      </c>
      <c r="N8064" s="26">
        <v>6.9999999999999999E-4</v>
      </c>
      <c r="T8064">
        <v>95</v>
      </c>
    </row>
    <row r="8065" spans="1:20" x14ac:dyDescent="0.35">
      <c r="A8065" t="s">
        <v>229</v>
      </c>
      <c r="B8065" t="s">
        <v>369</v>
      </c>
      <c r="C8065" s="26">
        <v>0.67589999999999995</v>
      </c>
      <c r="D8065" s="26">
        <v>0.40639999999999998</v>
      </c>
      <c r="E8065" s="26">
        <v>0.1497</v>
      </c>
      <c r="F8065" s="26">
        <v>0.109</v>
      </c>
      <c r="G8065" s="26">
        <v>9.8100000000000007E-2</v>
      </c>
      <c r="H8065" s="26">
        <v>8.0999999999999996E-3</v>
      </c>
      <c r="I8065" s="26">
        <v>0.1013</v>
      </c>
      <c r="J8065" s="26">
        <v>4.4999999999999998E-2</v>
      </c>
      <c r="K8065" s="26">
        <v>3.32E-2</v>
      </c>
      <c r="L8065" s="26">
        <v>1.3599999999999999E-2</v>
      </c>
      <c r="M8065" s="26">
        <v>1.9400000000000001E-2</v>
      </c>
      <c r="N8065" s="26">
        <v>5.0000000000000001E-3</v>
      </c>
      <c r="O8065" s="26">
        <v>7.3000000000000001E-3</v>
      </c>
      <c r="P8065" s="26">
        <v>4.4000000000000003E-3</v>
      </c>
      <c r="Q8065" s="26">
        <v>6.4999999999999997E-3</v>
      </c>
      <c r="R8065" s="26">
        <v>1.1000000000000001E-3</v>
      </c>
      <c r="T8065">
        <v>798</v>
      </c>
    </row>
    <row r="8066" spans="1:20" x14ac:dyDescent="0.35">
      <c r="A8066" t="s">
        <v>230</v>
      </c>
      <c r="B8066" t="s">
        <v>368</v>
      </c>
      <c r="C8066" s="26">
        <v>0.63580000000000003</v>
      </c>
      <c r="D8066" s="26">
        <v>0.42930000000000001</v>
      </c>
      <c r="E8066" s="26">
        <v>0.27339999999999998</v>
      </c>
      <c r="F8066" s="26">
        <v>5.79E-2</v>
      </c>
      <c r="G8066" s="26">
        <v>9.4399999999999998E-2</v>
      </c>
      <c r="H8066" s="26">
        <v>0.56179999999999997</v>
      </c>
      <c r="J8066" s="26">
        <v>4.7E-2</v>
      </c>
      <c r="K8066" s="26">
        <v>8.8999999999999999E-3</v>
      </c>
      <c r="L8066" s="26">
        <v>6.7999999999999996E-3</v>
      </c>
      <c r="N8066" s="26">
        <v>9.4200000000000006E-2</v>
      </c>
      <c r="T8066">
        <v>57</v>
      </c>
    </row>
    <row r="8067" spans="1:20" x14ac:dyDescent="0.35">
      <c r="A8067" t="s">
        <v>230</v>
      </c>
      <c r="B8067" t="s">
        <v>369</v>
      </c>
      <c r="C8067" s="26">
        <v>0.54210000000000003</v>
      </c>
      <c r="D8067" s="26">
        <v>0.41649999999999998</v>
      </c>
      <c r="E8067" s="26">
        <v>0.19</v>
      </c>
      <c r="F8067" s="26">
        <v>0.125</v>
      </c>
      <c r="G8067" s="26">
        <v>0.1114</v>
      </c>
      <c r="H8067" s="26">
        <v>3.4799999999999998E-2</v>
      </c>
      <c r="I8067" s="26">
        <v>9.74E-2</v>
      </c>
      <c r="J8067" s="26">
        <v>7.9500000000000001E-2</v>
      </c>
      <c r="K8067" s="26">
        <v>4.99E-2</v>
      </c>
      <c r="L8067" s="26">
        <v>2.07E-2</v>
      </c>
      <c r="M8067" s="26">
        <v>1.9900000000000001E-2</v>
      </c>
      <c r="N8067" s="26">
        <v>2.9399999999999999E-2</v>
      </c>
      <c r="O8067" s="26">
        <v>9.5999999999999992E-3</v>
      </c>
      <c r="P8067" s="26">
        <v>7.4999999999999997E-3</v>
      </c>
      <c r="Q8067" s="26">
        <v>2.9999999999999997E-4</v>
      </c>
      <c r="R8067" s="26">
        <v>8.6E-3</v>
      </c>
      <c r="T8067">
        <v>503</v>
      </c>
    </row>
    <row r="8068" spans="1:20" x14ac:dyDescent="0.35">
      <c r="A8068" s="27" t="s">
        <v>231</v>
      </c>
      <c r="B8068" s="27" t="s">
        <v>368</v>
      </c>
      <c r="C8068" s="28">
        <v>0.44440000000000002</v>
      </c>
      <c r="D8068" s="28">
        <v>0.51849999999999996</v>
      </c>
      <c r="E8068" s="28">
        <v>7.4099999999999999E-2</v>
      </c>
      <c r="F8068" s="28">
        <v>0.1111</v>
      </c>
      <c r="G8068" s="28">
        <v>3.6999999999999998E-2</v>
      </c>
      <c r="H8068" s="28">
        <v>0.40739999999999998</v>
      </c>
      <c r="I8068" s="28">
        <v>0.1111</v>
      </c>
      <c r="J8068" s="29"/>
      <c r="K8068" s="29"/>
      <c r="L8068" s="28">
        <v>3.6999999999999998E-2</v>
      </c>
      <c r="M8068" s="29"/>
      <c r="N8068" s="29"/>
      <c r="O8068" s="29"/>
      <c r="P8068" s="29"/>
      <c r="Q8068" s="29"/>
      <c r="R8068" s="29"/>
      <c r="S8068" s="29"/>
      <c r="T8068" s="29" t="s">
        <v>338</v>
      </c>
    </row>
    <row r="8069" spans="1:20" x14ac:dyDescent="0.35">
      <c r="A8069" t="s">
        <v>231</v>
      </c>
      <c r="B8069" t="s">
        <v>369</v>
      </c>
      <c r="C8069" s="26">
        <v>0.56200000000000006</v>
      </c>
      <c r="D8069" s="26">
        <v>0.52549999999999997</v>
      </c>
      <c r="E8069" s="26">
        <v>0.1898</v>
      </c>
      <c r="F8069" s="26">
        <v>8.0299999999999996E-2</v>
      </c>
      <c r="G8069" s="26">
        <v>0.1168</v>
      </c>
      <c r="H8069" s="26">
        <v>7.3000000000000001E-3</v>
      </c>
      <c r="I8069" s="26">
        <v>7.2999999999999995E-2</v>
      </c>
      <c r="J8069" s="26">
        <v>2.92E-2</v>
      </c>
      <c r="K8069" s="26">
        <v>5.11E-2</v>
      </c>
      <c r="L8069" s="26">
        <v>7.3000000000000001E-3</v>
      </c>
      <c r="M8069" s="26">
        <v>2.1899999999999999E-2</v>
      </c>
      <c r="O8069" s="26">
        <v>1.46E-2</v>
      </c>
      <c r="T8069">
        <v>137</v>
      </c>
    </row>
    <row r="8070" spans="1:20" x14ac:dyDescent="0.35">
      <c r="A8070" t="s">
        <v>232</v>
      </c>
      <c r="B8070" t="s">
        <v>232</v>
      </c>
      <c r="C8070" s="26">
        <v>0.59060000000000001</v>
      </c>
      <c r="D8070" s="26">
        <v>0.47499999999999998</v>
      </c>
      <c r="E8070" s="26">
        <v>0.16869999999999999</v>
      </c>
      <c r="F8070" s="26">
        <v>0.10100000000000001</v>
      </c>
      <c r="G8070" s="26">
        <v>0.10059999999999999</v>
      </c>
      <c r="H8070" s="26">
        <v>9.4200000000000006E-2</v>
      </c>
      <c r="I8070" s="26">
        <v>7.5499999999999998E-2</v>
      </c>
      <c r="J8070" s="26">
        <v>4.2599999999999999E-2</v>
      </c>
      <c r="K8070" s="26">
        <v>3.32E-2</v>
      </c>
      <c r="L8070" s="26">
        <v>1.5800000000000002E-2</v>
      </c>
      <c r="M8070" s="26">
        <v>1.35E-2</v>
      </c>
      <c r="N8070" s="26">
        <v>1.0800000000000001E-2</v>
      </c>
      <c r="O8070" s="26">
        <v>7.4999999999999997E-3</v>
      </c>
      <c r="P8070" s="26">
        <v>4.8999999999999998E-3</v>
      </c>
      <c r="Q8070" s="26">
        <v>2.8999999999999998E-3</v>
      </c>
      <c r="R8070" s="26">
        <v>1.2999999999999999E-3</v>
      </c>
      <c r="S8070" s="26">
        <v>2.0000000000000001E-4</v>
      </c>
      <c r="T8070">
        <v>2808</v>
      </c>
    </row>
    <row r="8072" spans="1:20" x14ac:dyDescent="0.35">
      <c r="A8072" s="1" t="s">
        <v>1103</v>
      </c>
    </row>
    <row r="8073" spans="1:20" x14ac:dyDescent="0.35">
      <c r="A8073" t="s">
        <v>219</v>
      </c>
      <c r="B8073" t="s">
        <v>305</v>
      </c>
      <c r="C8073" t="s">
        <v>1080</v>
      </c>
      <c r="D8073" t="s">
        <v>1081</v>
      </c>
      <c r="E8073" t="s">
        <v>1082</v>
      </c>
      <c r="F8073" t="s">
        <v>1083</v>
      </c>
      <c r="G8073" t="s">
        <v>1084</v>
      </c>
      <c r="H8073" t="s">
        <v>1085</v>
      </c>
      <c r="I8073" t="s">
        <v>1086</v>
      </c>
      <c r="J8073" t="s">
        <v>1087</v>
      </c>
      <c r="K8073" t="s">
        <v>1088</v>
      </c>
      <c r="L8073" t="s">
        <v>1089</v>
      </c>
      <c r="M8073" t="s">
        <v>326</v>
      </c>
      <c r="N8073" t="s">
        <v>1090</v>
      </c>
      <c r="O8073" t="s">
        <v>1091</v>
      </c>
      <c r="P8073" t="s">
        <v>1092</v>
      </c>
      <c r="Q8073" t="s">
        <v>1093</v>
      </c>
      <c r="R8073" t="s">
        <v>286</v>
      </c>
      <c r="S8073" t="s">
        <v>281</v>
      </c>
      <c r="T8073" t="s">
        <v>226</v>
      </c>
    </row>
    <row r="8074" spans="1:20" x14ac:dyDescent="0.35">
      <c r="A8074" t="s">
        <v>227</v>
      </c>
      <c r="B8074" t="s">
        <v>371</v>
      </c>
      <c r="C8074" s="26">
        <v>0.59630000000000005</v>
      </c>
      <c r="D8074" s="26">
        <v>0.45960000000000001</v>
      </c>
      <c r="E8074" s="26">
        <v>0.18629999999999999</v>
      </c>
      <c r="F8074" s="26">
        <v>0.1056</v>
      </c>
      <c r="G8074" s="26">
        <v>0.1242</v>
      </c>
      <c r="H8074" s="26">
        <v>0.1242</v>
      </c>
      <c r="I8074" s="26">
        <v>4.3499999999999997E-2</v>
      </c>
      <c r="J8074" s="26">
        <v>2.4799999999999999E-2</v>
      </c>
      <c r="K8074" s="26">
        <v>3.73E-2</v>
      </c>
      <c r="L8074" s="26">
        <v>1.24E-2</v>
      </c>
      <c r="M8074" s="26">
        <v>6.1999999999999998E-3</v>
      </c>
      <c r="N8074" s="26">
        <v>6.1999999999999998E-3</v>
      </c>
      <c r="P8074" s="26">
        <v>1.24E-2</v>
      </c>
      <c r="Q8074" s="26">
        <v>6.1999999999999998E-3</v>
      </c>
      <c r="T8074">
        <v>161</v>
      </c>
    </row>
    <row r="8075" spans="1:20" x14ac:dyDescent="0.35">
      <c r="A8075" t="s">
        <v>228</v>
      </c>
      <c r="B8075" t="s">
        <v>371</v>
      </c>
      <c r="C8075" s="26">
        <v>0.56069999999999998</v>
      </c>
      <c r="D8075" s="26">
        <v>0.55179999999999996</v>
      </c>
      <c r="E8075" s="26">
        <v>0.1681</v>
      </c>
      <c r="F8075" s="26">
        <v>0.1082</v>
      </c>
      <c r="G8075" s="26">
        <v>6.4199999999999993E-2</v>
      </c>
      <c r="H8075" s="26">
        <v>0.111</v>
      </c>
      <c r="I8075" s="26">
        <v>5.2999999999999999E-2</v>
      </c>
      <c r="J8075" s="26">
        <v>8.1199999999999994E-2</v>
      </c>
      <c r="K8075" s="26">
        <v>1.1299999999999999E-2</v>
      </c>
      <c r="L8075" s="26">
        <v>2.5399999999999999E-2</v>
      </c>
      <c r="M8075" s="26">
        <v>7.0000000000000001E-3</v>
      </c>
      <c r="N8075" s="26">
        <v>2.46E-2</v>
      </c>
      <c r="O8075" s="26">
        <v>1.2699999999999999E-2</v>
      </c>
      <c r="P8075" s="26">
        <v>8.8000000000000005E-3</v>
      </c>
      <c r="R8075" s="26">
        <v>2.2000000000000001E-3</v>
      </c>
      <c r="T8075">
        <v>292</v>
      </c>
    </row>
    <row r="8076" spans="1:20" x14ac:dyDescent="0.35">
      <c r="A8076" t="s">
        <v>228</v>
      </c>
      <c r="B8076" t="s">
        <v>372</v>
      </c>
      <c r="C8076" s="26">
        <v>0.43020000000000003</v>
      </c>
      <c r="D8076" s="26">
        <v>0.57809999999999995</v>
      </c>
      <c r="E8076" s="26">
        <v>0.15459999999999999</v>
      </c>
      <c r="F8076" s="26">
        <v>9.5799999999999996E-2</v>
      </c>
      <c r="G8076" s="26">
        <v>9.3700000000000006E-2</v>
      </c>
      <c r="H8076" s="26">
        <v>0.1583</v>
      </c>
      <c r="I8076" s="26">
        <v>1.9300000000000001E-2</v>
      </c>
      <c r="J8076" s="26">
        <v>4.8599999999999997E-2</v>
      </c>
      <c r="K8076" s="26">
        <v>6.8000000000000005E-2</v>
      </c>
      <c r="M8076" s="26">
        <v>2.8999999999999998E-3</v>
      </c>
      <c r="N8076" s="26">
        <v>7.3400000000000007E-2</v>
      </c>
      <c r="O8076" s="26">
        <v>1.0699999999999999E-2</v>
      </c>
      <c r="P8076" s="26">
        <v>7.7999999999999996E-3</v>
      </c>
      <c r="R8076" s="26">
        <v>7.7999999999999996E-3</v>
      </c>
      <c r="T8076">
        <v>215</v>
      </c>
    </row>
    <row r="8077" spans="1:20" x14ac:dyDescent="0.35">
      <c r="A8077" t="s">
        <v>228</v>
      </c>
      <c r="B8077" t="s">
        <v>373</v>
      </c>
      <c r="C8077" s="26">
        <v>0.59419999999999995</v>
      </c>
      <c r="D8077" s="26">
        <v>0.49199999999999999</v>
      </c>
      <c r="E8077" s="26">
        <v>0.14849999999999999</v>
      </c>
      <c r="F8077" s="26">
        <v>0.1095</v>
      </c>
      <c r="G8077" s="26">
        <v>7.85E-2</v>
      </c>
      <c r="H8077" s="26">
        <v>0.13059999999999999</v>
      </c>
      <c r="I8077" s="26">
        <v>8.0100000000000005E-2</v>
      </c>
      <c r="J8077" s="26">
        <v>4.3999999999999997E-2</v>
      </c>
      <c r="K8077" s="26">
        <v>1.52E-2</v>
      </c>
      <c r="L8077" s="26">
        <v>1.89E-2</v>
      </c>
      <c r="M8077" s="26">
        <v>4.5999999999999999E-3</v>
      </c>
      <c r="N8077" s="26">
        <v>1.7000000000000001E-2</v>
      </c>
      <c r="O8077" s="26">
        <v>1.4E-3</v>
      </c>
      <c r="P8077" s="26">
        <v>3.8999999999999998E-3</v>
      </c>
      <c r="Q8077" s="26">
        <v>5.0000000000000001E-3</v>
      </c>
      <c r="S8077" s="26">
        <v>2.3999999999999998E-3</v>
      </c>
      <c r="T8077">
        <v>523</v>
      </c>
    </row>
    <row r="8078" spans="1:20" x14ac:dyDescent="0.35">
      <c r="A8078" t="s">
        <v>229</v>
      </c>
      <c r="B8078" t="s">
        <v>371</v>
      </c>
      <c r="C8078" s="26">
        <v>0.67269999999999996</v>
      </c>
      <c r="D8078" s="26">
        <v>0.41649999999999998</v>
      </c>
      <c r="E8078" s="26">
        <v>0.15029999999999999</v>
      </c>
      <c r="F8078" s="26">
        <v>0.1041</v>
      </c>
      <c r="G8078" s="26">
        <v>0.1046</v>
      </c>
      <c r="H8078" s="26">
        <v>7.3599999999999999E-2</v>
      </c>
      <c r="I8078" s="26">
        <v>0.1018</v>
      </c>
      <c r="J8078" s="26">
        <v>4.4699999999999997E-2</v>
      </c>
      <c r="K8078" s="26">
        <v>2.53E-2</v>
      </c>
      <c r="L8078" s="26">
        <v>1.7600000000000001E-2</v>
      </c>
      <c r="M8078" s="26">
        <v>1.66E-2</v>
      </c>
      <c r="N8078" s="26">
        <v>3.5000000000000001E-3</v>
      </c>
      <c r="O8078" s="26">
        <v>6.0000000000000001E-3</v>
      </c>
      <c r="P8078" s="26">
        <v>3.5999999999999999E-3</v>
      </c>
      <c r="Q8078" s="26">
        <v>6.0000000000000001E-3</v>
      </c>
      <c r="R8078" s="26">
        <v>8.9999999999999998E-4</v>
      </c>
      <c r="T8078">
        <v>582</v>
      </c>
    </row>
    <row r="8079" spans="1:20" x14ac:dyDescent="0.35">
      <c r="A8079" t="s">
        <v>229</v>
      </c>
      <c r="B8079" t="s">
        <v>372</v>
      </c>
      <c r="C8079" s="26">
        <v>0.56130000000000002</v>
      </c>
      <c r="D8079" s="26">
        <v>0.3926</v>
      </c>
      <c r="E8079" s="26">
        <v>0.20799999999999999</v>
      </c>
      <c r="F8079" s="26">
        <v>9.7900000000000001E-2</v>
      </c>
      <c r="G8079" s="26">
        <v>8.3799999999999999E-2</v>
      </c>
      <c r="H8079" s="26">
        <v>0.1016</v>
      </c>
      <c r="I8079" s="26">
        <v>2.63E-2</v>
      </c>
      <c r="J8079" s="26">
        <v>4.3299999999999998E-2</v>
      </c>
      <c r="K8079" s="26">
        <v>5.0900000000000001E-2</v>
      </c>
      <c r="L8079" s="26">
        <v>6.6E-3</v>
      </c>
      <c r="M8079" s="26">
        <v>1.5100000000000001E-2</v>
      </c>
      <c r="N8079" s="26">
        <v>1.7000000000000001E-2</v>
      </c>
      <c r="O8079" s="26">
        <v>6.6E-3</v>
      </c>
      <c r="P8079" s="26">
        <v>8.5000000000000006E-3</v>
      </c>
      <c r="R8079" s="26">
        <v>1.9E-3</v>
      </c>
      <c r="T8079">
        <v>221</v>
      </c>
    </row>
    <row r="8080" spans="1:20" x14ac:dyDescent="0.35">
      <c r="A8080" t="s">
        <v>229</v>
      </c>
      <c r="B8080" t="s">
        <v>373</v>
      </c>
      <c r="C8080" s="26">
        <v>0.5978</v>
      </c>
      <c r="D8080" s="26">
        <v>0.46379999999999999</v>
      </c>
      <c r="E8080" s="26">
        <v>0.1356</v>
      </c>
      <c r="F8080" s="26">
        <v>0.1109</v>
      </c>
      <c r="G8080" s="26">
        <v>2.8199999999999999E-2</v>
      </c>
      <c r="H8080" s="26">
        <v>8.6300000000000002E-2</v>
      </c>
      <c r="I8080" s="26">
        <v>2.8199999999999999E-2</v>
      </c>
      <c r="J8080" s="26">
        <v>3.4500000000000003E-2</v>
      </c>
      <c r="K8080" s="26">
        <v>0.1057</v>
      </c>
      <c r="M8080" s="26">
        <v>2.47E-2</v>
      </c>
      <c r="N8080" s="26">
        <v>1.23E-2</v>
      </c>
      <c r="O8080" s="26">
        <v>1.23E-2</v>
      </c>
      <c r="T8080">
        <v>90</v>
      </c>
    </row>
    <row r="8081" spans="1:20" x14ac:dyDescent="0.35">
      <c r="A8081" t="s">
        <v>230</v>
      </c>
      <c r="B8081" t="s">
        <v>371</v>
      </c>
      <c r="C8081" s="26">
        <v>0.56230000000000002</v>
      </c>
      <c r="D8081" s="26">
        <v>0.4047</v>
      </c>
      <c r="E8081" s="26">
        <v>0.21709999999999999</v>
      </c>
      <c r="F8081" s="26">
        <v>0.11700000000000001</v>
      </c>
      <c r="G8081" s="26">
        <v>0.10920000000000001</v>
      </c>
      <c r="H8081" s="26">
        <v>0.1069</v>
      </c>
      <c r="I8081" s="26">
        <v>9.0300000000000005E-2</v>
      </c>
      <c r="J8081" s="26">
        <v>8.2600000000000007E-2</v>
      </c>
      <c r="K8081" s="26">
        <v>4.7399999999999998E-2</v>
      </c>
      <c r="L8081" s="26">
        <v>1.77E-2</v>
      </c>
      <c r="M8081" s="26">
        <v>1.9800000000000002E-2</v>
      </c>
      <c r="N8081" s="26">
        <v>3.6499999999999998E-2</v>
      </c>
      <c r="O8081" s="26">
        <v>8.8000000000000005E-3</v>
      </c>
      <c r="P8081" s="26">
        <v>6.6E-3</v>
      </c>
      <c r="R8081" s="26">
        <v>7.7000000000000002E-3</v>
      </c>
      <c r="T8081">
        <v>262</v>
      </c>
    </row>
    <row r="8082" spans="1:20" x14ac:dyDescent="0.35">
      <c r="A8082" t="s">
        <v>230</v>
      </c>
      <c r="B8082" t="s">
        <v>372</v>
      </c>
      <c r="C8082" s="26">
        <v>0.42249999999999999</v>
      </c>
      <c r="D8082" s="26">
        <v>0.5302</v>
      </c>
      <c r="E8082" s="26">
        <v>0.16450000000000001</v>
      </c>
      <c r="F8082" s="26">
        <v>0.13969999999999999</v>
      </c>
      <c r="G8082" s="26">
        <v>8.8800000000000004E-2</v>
      </c>
      <c r="H8082" s="26">
        <v>0.16800000000000001</v>
      </c>
      <c r="I8082" s="26">
        <v>2.9600000000000001E-2</v>
      </c>
      <c r="J8082" s="26">
        <v>2.8400000000000002E-2</v>
      </c>
      <c r="K8082" s="26">
        <v>3.4299999999999997E-2</v>
      </c>
      <c r="M8082" s="26">
        <v>1.4200000000000001E-2</v>
      </c>
      <c r="N8082" s="26">
        <v>9.9400000000000002E-2</v>
      </c>
      <c r="O8082" s="26">
        <v>2.01E-2</v>
      </c>
      <c r="P8082" s="26">
        <v>4.7000000000000002E-3</v>
      </c>
      <c r="Q8082" s="26">
        <v>4.7000000000000002E-3</v>
      </c>
      <c r="R8082" s="26">
        <v>4.7000000000000002E-3</v>
      </c>
      <c r="T8082">
        <v>146</v>
      </c>
    </row>
    <row r="8083" spans="1:20" x14ac:dyDescent="0.35">
      <c r="A8083" t="s">
        <v>230</v>
      </c>
      <c r="B8083" t="s">
        <v>373</v>
      </c>
      <c r="C8083" s="26">
        <v>0.56530000000000002</v>
      </c>
      <c r="D8083" s="26">
        <v>0.4536</v>
      </c>
      <c r="E8083" s="26">
        <v>0.11559999999999999</v>
      </c>
      <c r="F8083" s="26">
        <v>9.9500000000000005E-2</v>
      </c>
      <c r="G8083" s="26">
        <v>0.1183</v>
      </c>
      <c r="H8083" s="26">
        <v>6.4799999999999996E-2</v>
      </c>
      <c r="I8083" s="26">
        <v>7.17E-2</v>
      </c>
      <c r="J8083" s="26">
        <v>4.87E-2</v>
      </c>
      <c r="K8083" s="26">
        <v>0.03</v>
      </c>
      <c r="L8083" s="26">
        <v>3.4799999999999998E-2</v>
      </c>
      <c r="M8083" s="26">
        <v>2.0999999999999999E-3</v>
      </c>
      <c r="N8083" s="26">
        <v>2.0299999999999999E-2</v>
      </c>
      <c r="P8083" s="26">
        <v>7.0000000000000001E-3</v>
      </c>
      <c r="R8083" s="26">
        <v>7.0000000000000001E-3</v>
      </c>
      <c r="T8083">
        <v>152</v>
      </c>
    </row>
    <row r="8084" spans="1:20" x14ac:dyDescent="0.35">
      <c r="A8084" t="s">
        <v>231</v>
      </c>
      <c r="B8084" t="s">
        <v>371</v>
      </c>
      <c r="C8084" s="26">
        <v>0.54269999999999996</v>
      </c>
      <c r="D8084" s="26">
        <v>0.52439999999999998</v>
      </c>
      <c r="E8084" s="26">
        <v>0.17069999999999999</v>
      </c>
      <c r="F8084" s="26">
        <v>8.5400000000000004E-2</v>
      </c>
      <c r="G8084" s="26">
        <v>0.1037</v>
      </c>
      <c r="H8084" s="26">
        <v>7.3200000000000001E-2</v>
      </c>
      <c r="I8084" s="26">
        <v>7.9299999999999995E-2</v>
      </c>
      <c r="J8084" s="26">
        <v>2.4400000000000002E-2</v>
      </c>
      <c r="K8084" s="26">
        <v>4.2700000000000002E-2</v>
      </c>
      <c r="L8084" s="26">
        <v>1.2200000000000001E-2</v>
      </c>
      <c r="M8084" s="26">
        <v>1.83E-2</v>
      </c>
      <c r="O8084" s="26">
        <v>1.2200000000000001E-2</v>
      </c>
      <c r="T8084">
        <v>164</v>
      </c>
    </row>
    <row r="8085" spans="1:20" x14ac:dyDescent="0.35">
      <c r="A8085" t="s">
        <v>232</v>
      </c>
      <c r="B8085" t="s">
        <v>232</v>
      </c>
      <c r="C8085" s="26">
        <v>0.59060000000000001</v>
      </c>
      <c r="D8085" s="26">
        <v>0.47499999999999998</v>
      </c>
      <c r="E8085" s="26">
        <v>0.16869999999999999</v>
      </c>
      <c r="F8085" s="26">
        <v>0.10100000000000001</v>
      </c>
      <c r="G8085" s="26">
        <v>0.10059999999999999</v>
      </c>
      <c r="H8085" s="26">
        <v>9.4200000000000006E-2</v>
      </c>
      <c r="I8085" s="26">
        <v>7.5499999999999998E-2</v>
      </c>
      <c r="J8085" s="26">
        <v>4.2599999999999999E-2</v>
      </c>
      <c r="K8085" s="26">
        <v>3.32E-2</v>
      </c>
      <c r="L8085" s="26">
        <v>1.5800000000000002E-2</v>
      </c>
      <c r="M8085" s="26">
        <v>1.35E-2</v>
      </c>
      <c r="N8085" s="26">
        <v>1.0800000000000001E-2</v>
      </c>
      <c r="O8085" s="26">
        <v>7.4999999999999997E-3</v>
      </c>
      <c r="P8085" s="26">
        <v>4.8999999999999998E-3</v>
      </c>
      <c r="Q8085" s="26">
        <v>2.8999999999999998E-3</v>
      </c>
      <c r="R8085" s="26">
        <v>1.2999999999999999E-3</v>
      </c>
      <c r="S8085" s="26">
        <v>2.0000000000000001E-4</v>
      </c>
      <c r="T8085">
        <v>2808</v>
      </c>
    </row>
    <row r="8087" spans="1:20" x14ac:dyDescent="0.35">
      <c r="A8087" s="1" t="s">
        <v>1104</v>
      </c>
    </row>
    <row r="8088" spans="1:20" x14ac:dyDescent="0.35">
      <c r="A8088" t="s">
        <v>219</v>
      </c>
      <c r="B8088" t="s">
        <v>305</v>
      </c>
      <c r="C8088" t="s">
        <v>1080</v>
      </c>
      <c r="D8088" t="s">
        <v>1081</v>
      </c>
      <c r="E8088" t="s">
        <v>1082</v>
      </c>
      <c r="F8088" t="s">
        <v>1083</v>
      </c>
      <c r="G8088" t="s">
        <v>1084</v>
      </c>
      <c r="H8088" t="s">
        <v>1085</v>
      </c>
      <c r="I8088" t="s">
        <v>1086</v>
      </c>
      <c r="J8088" t="s">
        <v>1087</v>
      </c>
      <c r="K8088" t="s">
        <v>1088</v>
      </c>
      <c r="L8088" t="s">
        <v>1089</v>
      </c>
      <c r="M8088" t="s">
        <v>326</v>
      </c>
      <c r="N8088" t="s">
        <v>1090</v>
      </c>
      <c r="O8088" t="s">
        <v>1091</v>
      </c>
      <c r="P8088" t="s">
        <v>1092</v>
      </c>
      <c r="Q8088" t="s">
        <v>1093</v>
      </c>
      <c r="R8088" t="s">
        <v>286</v>
      </c>
      <c r="S8088" t="s">
        <v>281</v>
      </c>
      <c r="T8088" t="s">
        <v>226</v>
      </c>
    </row>
    <row r="8089" spans="1:20" x14ac:dyDescent="0.35">
      <c r="A8089" t="s">
        <v>227</v>
      </c>
      <c r="B8089" t="s">
        <v>255</v>
      </c>
      <c r="C8089" s="26">
        <v>0.49569999999999997</v>
      </c>
      <c r="D8089" s="26">
        <v>0.53849999999999998</v>
      </c>
      <c r="E8089" s="26">
        <v>0.15379999999999999</v>
      </c>
      <c r="F8089" s="26">
        <v>8.5500000000000007E-2</v>
      </c>
      <c r="G8089" s="26">
        <v>0.1111</v>
      </c>
      <c r="H8089" s="26">
        <v>0.12820000000000001</v>
      </c>
      <c r="I8089" s="26">
        <v>5.1299999999999998E-2</v>
      </c>
      <c r="J8089" s="26">
        <v>2.5600000000000001E-2</v>
      </c>
      <c r="K8089" s="26">
        <v>5.1299999999999998E-2</v>
      </c>
      <c r="L8089" s="26">
        <v>1.7100000000000001E-2</v>
      </c>
      <c r="N8089" s="26">
        <v>8.5000000000000006E-3</v>
      </c>
      <c r="P8089" s="26">
        <v>1.7100000000000001E-2</v>
      </c>
      <c r="Q8089" s="26">
        <v>8.5000000000000006E-3</v>
      </c>
      <c r="T8089">
        <v>117</v>
      </c>
    </row>
    <row r="8090" spans="1:20" x14ac:dyDescent="0.35">
      <c r="A8090" s="27" t="s">
        <v>227</v>
      </c>
      <c r="B8090" s="27" t="s">
        <v>257</v>
      </c>
      <c r="C8090" s="28">
        <v>0.77780000000000005</v>
      </c>
      <c r="D8090" s="28">
        <v>0.1111</v>
      </c>
      <c r="E8090" s="28">
        <v>0.33329999999999999</v>
      </c>
      <c r="F8090" s="28">
        <v>0.22220000000000001</v>
      </c>
      <c r="G8090" s="28">
        <v>0.22220000000000001</v>
      </c>
      <c r="H8090" s="28">
        <v>0.22220000000000001</v>
      </c>
      <c r="I8090" s="28">
        <v>0.1111</v>
      </c>
      <c r="J8090" s="29"/>
      <c r="K8090" s="29"/>
      <c r="L8090" s="29"/>
      <c r="M8090" s="29"/>
      <c r="N8090" s="29"/>
      <c r="O8090" s="29"/>
      <c r="P8090" s="29"/>
      <c r="Q8090" s="29"/>
      <c r="R8090" s="29"/>
      <c r="S8090" s="29"/>
      <c r="T8090" s="29" t="s">
        <v>334</v>
      </c>
    </row>
    <row r="8091" spans="1:20" x14ac:dyDescent="0.35">
      <c r="A8091" t="s">
        <v>227</v>
      </c>
      <c r="B8091" t="s">
        <v>256</v>
      </c>
      <c r="C8091" s="26">
        <v>0.88570000000000004</v>
      </c>
      <c r="D8091" s="26">
        <v>0.28570000000000001</v>
      </c>
      <c r="E8091" s="26">
        <v>0.2571</v>
      </c>
      <c r="F8091" s="26">
        <v>0.1429</v>
      </c>
      <c r="G8091" s="26">
        <v>0.1429</v>
      </c>
      <c r="H8091" s="26">
        <v>8.5699999999999998E-2</v>
      </c>
      <c r="J8091" s="26">
        <v>2.86E-2</v>
      </c>
      <c r="M8091" s="26">
        <v>2.86E-2</v>
      </c>
      <c r="T8091">
        <v>35</v>
      </c>
    </row>
    <row r="8092" spans="1:20" x14ac:dyDescent="0.35">
      <c r="A8092" t="s">
        <v>228</v>
      </c>
      <c r="B8092" t="s">
        <v>257</v>
      </c>
      <c r="C8092" s="26">
        <v>0.62529999999999997</v>
      </c>
      <c r="D8092" s="26">
        <v>7.9699999999999993E-2</v>
      </c>
      <c r="E8092" s="26">
        <v>0.41970000000000002</v>
      </c>
      <c r="F8092" s="26">
        <v>4.9599999999999998E-2</v>
      </c>
      <c r="G8092" s="26">
        <v>0.1749</v>
      </c>
      <c r="H8092" s="26">
        <v>0.1724</v>
      </c>
      <c r="J8092" s="26">
        <v>7.9000000000000008E-3</v>
      </c>
      <c r="K8092" s="26">
        <v>1.84E-2</v>
      </c>
      <c r="M8092" s="26">
        <v>6.3799999999999996E-2</v>
      </c>
      <c r="N8092" s="26">
        <v>1.15E-2</v>
      </c>
      <c r="T8092">
        <v>49</v>
      </c>
    </row>
    <row r="8093" spans="1:20" x14ac:dyDescent="0.35">
      <c r="A8093" s="27" t="s">
        <v>228</v>
      </c>
      <c r="B8093" s="27" t="s">
        <v>258</v>
      </c>
      <c r="C8093" s="28">
        <v>1</v>
      </c>
      <c r="D8093" s="28">
        <v>0.59470000000000001</v>
      </c>
      <c r="E8093" s="28">
        <v>9.8100000000000007E-2</v>
      </c>
      <c r="F8093" s="28">
        <v>9.8100000000000007E-2</v>
      </c>
      <c r="G8093" s="28">
        <v>0.2092</v>
      </c>
      <c r="H8093" s="28">
        <v>0.59470000000000001</v>
      </c>
      <c r="I8093" s="29"/>
      <c r="J8093" s="29"/>
      <c r="K8093" s="29"/>
      <c r="L8093" s="29"/>
      <c r="M8093" s="29"/>
      <c r="N8093" s="29"/>
      <c r="O8093" s="29"/>
      <c r="P8093" s="29"/>
      <c r="Q8093" s="29"/>
      <c r="R8093" s="29"/>
      <c r="S8093" s="29"/>
      <c r="T8093" s="29" t="s">
        <v>337</v>
      </c>
    </row>
    <row r="8094" spans="1:20" x14ac:dyDescent="0.35">
      <c r="A8094" t="s">
        <v>228</v>
      </c>
      <c r="B8094" t="s">
        <v>256</v>
      </c>
      <c r="C8094" s="26">
        <v>0.83579999999999999</v>
      </c>
      <c r="D8094" s="26">
        <v>0.32729999999999998</v>
      </c>
      <c r="E8094" s="26">
        <v>0.2571</v>
      </c>
      <c r="F8094" s="26">
        <v>0.1598</v>
      </c>
      <c r="G8094" s="26">
        <v>4.1000000000000002E-2</v>
      </c>
      <c r="H8094" s="26">
        <v>0.14119999999999999</v>
      </c>
      <c r="I8094" s="26">
        <v>7.7299999999999994E-2</v>
      </c>
      <c r="J8094" s="26">
        <v>5.3600000000000002E-2</v>
      </c>
      <c r="K8094" s="26">
        <v>1.26E-2</v>
      </c>
      <c r="L8094" s="26">
        <v>1.38E-2</v>
      </c>
      <c r="M8094" s="26">
        <v>7.6E-3</v>
      </c>
      <c r="N8094" s="26">
        <v>9.1000000000000004E-3</v>
      </c>
      <c r="O8094" s="26">
        <v>1.4800000000000001E-2</v>
      </c>
      <c r="R8094" s="26">
        <v>3.0000000000000001E-3</v>
      </c>
      <c r="T8094">
        <v>221</v>
      </c>
    </row>
    <row r="8095" spans="1:20" x14ac:dyDescent="0.35">
      <c r="A8095" t="s">
        <v>228</v>
      </c>
      <c r="B8095" t="s">
        <v>255</v>
      </c>
      <c r="C8095" s="26">
        <v>0.46060000000000001</v>
      </c>
      <c r="D8095" s="26">
        <v>0.63370000000000004</v>
      </c>
      <c r="E8095" s="26">
        <v>0.1066</v>
      </c>
      <c r="F8095" s="26">
        <v>9.4100000000000003E-2</v>
      </c>
      <c r="G8095" s="26">
        <v>7.4399999999999994E-2</v>
      </c>
      <c r="H8095" s="26">
        <v>0.10879999999999999</v>
      </c>
      <c r="I8095" s="26">
        <v>6.0199999999999997E-2</v>
      </c>
      <c r="J8095" s="26">
        <v>7.1999999999999995E-2</v>
      </c>
      <c r="K8095" s="26">
        <v>1.9300000000000001E-2</v>
      </c>
      <c r="L8095" s="26">
        <v>2.4899999999999999E-2</v>
      </c>
      <c r="M8095" s="26">
        <v>8.9999999999999998E-4</v>
      </c>
      <c r="N8095" s="26">
        <v>3.27E-2</v>
      </c>
      <c r="O8095" s="26">
        <v>6.4999999999999997E-3</v>
      </c>
      <c r="P8095" s="26">
        <v>9.7000000000000003E-3</v>
      </c>
      <c r="Q8095" s="26">
        <v>2.8E-3</v>
      </c>
      <c r="R8095" s="26">
        <v>1.5E-3</v>
      </c>
      <c r="S8095" s="26">
        <v>1.4E-3</v>
      </c>
      <c r="T8095">
        <v>756</v>
      </c>
    </row>
    <row r="8096" spans="1:20" x14ac:dyDescent="0.35">
      <c r="A8096" t="s">
        <v>229</v>
      </c>
      <c r="B8096" t="s">
        <v>256</v>
      </c>
      <c r="C8096" s="26">
        <v>0.85150000000000003</v>
      </c>
      <c r="D8096" s="26">
        <v>0.2235</v>
      </c>
      <c r="E8096" s="26">
        <v>0.22439999999999999</v>
      </c>
      <c r="F8096" s="26">
        <v>0.1447</v>
      </c>
      <c r="G8096" s="26">
        <v>9.2499999999999999E-2</v>
      </c>
      <c r="H8096" s="26">
        <v>6.0199999999999997E-2</v>
      </c>
      <c r="I8096" s="26">
        <v>0.15659999999999999</v>
      </c>
      <c r="J8096" s="26">
        <v>4.6300000000000001E-2</v>
      </c>
      <c r="K8096" s="26">
        <v>2.1999999999999999E-2</v>
      </c>
      <c r="L8096" s="26">
        <v>2.92E-2</v>
      </c>
      <c r="M8096" s="26">
        <v>3.4099999999999998E-2</v>
      </c>
      <c r="N8096" s="26">
        <v>3.5999999999999999E-3</v>
      </c>
      <c r="P8096" s="26">
        <v>1.1999999999999999E-3</v>
      </c>
      <c r="Q8096" s="26">
        <v>9.1000000000000004E-3</v>
      </c>
      <c r="T8096">
        <v>207</v>
      </c>
    </row>
    <row r="8097" spans="1:72" x14ac:dyDescent="0.35">
      <c r="A8097" t="s">
        <v>229</v>
      </c>
      <c r="B8097" t="s">
        <v>255</v>
      </c>
      <c r="C8097" s="26">
        <v>0.58309999999999995</v>
      </c>
      <c r="D8097" s="26">
        <v>0.52780000000000005</v>
      </c>
      <c r="E8097" s="26">
        <v>0.124</v>
      </c>
      <c r="F8097" s="26">
        <v>8.2699999999999996E-2</v>
      </c>
      <c r="G8097" s="26">
        <v>9.4399999999999998E-2</v>
      </c>
      <c r="H8097" s="26">
        <v>8.2900000000000001E-2</v>
      </c>
      <c r="I8097" s="26">
        <v>7.8600000000000003E-2</v>
      </c>
      <c r="J8097" s="26">
        <v>3.6999999999999998E-2</v>
      </c>
      <c r="K8097" s="26">
        <v>3.3500000000000002E-2</v>
      </c>
      <c r="L8097" s="26">
        <v>1.2699999999999999E-2</v>
      </c>
      <c r="M8097" s="26">
        <v>6.8999999999999999E-3</v>
      </c>
      <c r="N8097" s="26">
        <v>5.0000000000000001E-3</v>
      </c>
      <c r="O8097" s="26">
        <v>9.1999999999999998E-3</v>
      </c>
      <c r="P8097" s="26">
        <v>5.0000000000000001E-3</v>
      </c>
      <c r="R8097" s="26">
        <v>1.4E-3</v>
      </c>
      <c r="T8097">
        <v>635</v>
      </c>
    </row>
    <row r="8098" spans="1:72" x14ac:dyDescent="0.35">
      <c r="A8098" t="s">
        <v>229</v>
      </c>
      <c r="B8098" t="s">
        <v>257</v>
      </c>
      <c r="C8098" s="26">
        <v>0.74050000000000005</v>
      </c>
      <c r="E8098" s="26">
        <v>0.14019999999999999</v>
      </c>
      <c r="F8098" s="26">
        <v>0.15859999999999999</v>
      </c>
      <c r="G8098" s="26">
        <v>0.23680000000000001</v>
      </c>
      <c r="H8098" s="26">
        <v>5.8700000000000002E-2</v>
      </c>
      <c r="J8098" s="26">
        <v>0.13009999999999999</v>
      </c>
      <c r="K8098" s="26">
        <v>1.9E-3</v>
      </c>
      <c r="M8098" s="26">
        <v>5.2299999999999999E-2</v>
      </c>
      <c r="Q8098" s="26">
        <v>5.8599999999999999E-2</v>
      </c>
      <c r="T8098">
        <v>49</v>
      </c>
    </row>
    <row r="8099" spans="1:72" x14ac:dyDescent="0.35">
      <c r="A8099" s="27" t="s">
        <v>229</v>
      </c>
      <c r="B8099" s="27" t="s">
        <v>258</v>
      </c>
      <c r="C8099" s="28">
        <v>0.22409999999999999</v>
      </c>
      <c r="D8099" s="29"/>
      <c r="E8099" s="28">
        <v>0.77590000000000003</v>
      </c>
      <c r="F8099" s="28">
        <v>0.77590000000000003</v>
      </c>
      <c r="G8099" s="28">
        <v>0.77590000000000003</v>
      </c>
      <c r="H8099" s="29"/>
      <c r="I8099" s="29"/>
      <c r="J8099" s="29"/>
      <c r="K8099" s="29"/>
      <c r="L8099" s="29"/>
      <c r="M8099" s="29"/>
      <c r="N8099" s="29"/>
      <c r="O8099" s="29"/>
      <c r="P8099" s="29"/>
      <c r="Q8099" s="29"/>
      <c r="R8099" s="29"/>
      <c r="S8099" s="29"/>
      <c r="T8099" s="29" t="s">
        <v>314</v>
      </c>
    </row>
    <row r="8100" spans="1:72" x14ac:dyDescent="0.35">
      <c r="A8100" t="s">
        <v>230</v>
      </c>
      <c r="B8100" t="s">
        <v>256</v>
      </c>
      <c r="C8100" s="26">
        <v>0.69610000000000005</v>
      </c>
      <c r="D8100" s="26">
        <v>0.18940000000000001</v>
      </c>
      <c r="E8100" s="26">
        <v>0.40439999999999998</v>
      </c>
      <c r="F8100" s="26">
        <v>0.14530000000000001</v>
      </c>
      <c r="G8100" s="26">
        <v>0.1067</v>
      </c>
      <c r="H8100" s="26">
        <v>0.11219999999999999</v>
      </c>
      <c r="I8100" s="26">
        <v>0.13200000000000001</v>
      </c>
      <c r="J8100" s="26">
        <v>8.6300000000000002E-2</v>
      </c>
      <c r="K8100" s="26">
        <v>0.1174</v>
      </c>
      <c r="L8100" s="26">
        <v>3.3999999999999998E-3</v>
      </c>
      <c r="M8100" s="26">
        <v>1.1000000000000001E-3</v>
      </c>
      <c r="N8100" s="26">
        <v>1.6E-2</v>
      </c>
      <c r="R8100" s="26">
        <v>3.3999999999999998E-3</v>
      </c>
      <c r="T8100">
        <v>130</v>
      </c>
    </row>
    <row r="8101" spans="1:72" x14ac:dyDescent="0.35">
      <c r="A8101" t="s">
        <v>230</v>
      </c>
      <c r="B8101" t="s">
        <v>255</v>
      </c>
      <c r="C8101" s="26">
        <v>0.49969999999999998</v>
      </c>
      <c r="D8101" s="26">
        <v>0.55620000000000003</v>
      </c>
      <c r="E8101" s="26">
        <v>0.1148</v>
      </c>
      <c r="F8101" s="26">
        <v>0.10199999999999999</v>
      </c>
      <c r="G8101" s="26">
        <v>0.10580000000000001</v>
      </c>
      <c r="H8101" s="26">
        <v>8.6999999999999994E-2</v>
      </c>
      <c r="I8101" s="26">
        <v>7.4300000000000005E-2</v>
      </c>
      <c r="J8101" s="26">
        <v>7.1400000000000005E-2</v>
      </c>
      <c r="K8101" s="26">
        <v>1.9699999999999999E-2</v>
      </c>
      <c r="L8101" s="26">
        <v>2.7099999999999999E-2</v>
      </c>
      <c r="M8101" s="26">
        <v>2.52E-2</v>
      </c>
      <c r="N8101" s="26">
        <v>4.1700000000000001E-2</v>
      </c>
      <c r="O8101" s="26">
        <v>1.12E-2</v>
      </c>
      <c r="P8101" s="26">
        <v>4.0000000000000002E-4</v>
      </c>
      <c r="Q8101" s="26">
        <v>4.0000000000000002E-4</v>
      </c>
      <c r="R8101" s="26">
        <v>9.9000000000000008E-3</v>
      </c>
      <c r="T8101">
        <v>389</v>
      </c>
    </row>
    <row r="8102" spans="1:72" x14ac:dyDescent="0.35">
      <c r="A8102" t="s">
        <v>230</v>
      </c>
      <c r="B8102" t="s">
        <v>257</v>
      </c>
      <c r="C8102" s="26">
        <v>0.51170000000000004</v>
      </c>
      <c r="D8102" s="26">
        <v>3.8999999999999998E-3</v>
      </c>
      <c r="E8102" s="26">
        <v>0.20230000000000001</v>
      </c>
      <c r="F8102" s="26">
        <v>0.1474</v>
      </c>
      <c r="G8102" s="26">
        <v>0.16</v>
      </c>
      <c r="H8102" s="26">
        <v>0.2576</v>
      </c>
      <c r="I8102" s="26">
        <v>1.2500000000000001E-2</v>
      </c>
      <c r="J8102" s="26">
        <v>7.6100000000000001E-2</v>
      </c>
      <c r="K8102" s="26">
        <v>1.2500000000000001E-2</v>
      </c>
      <c r="N8102" s="26">
        <v>8.8999999999999996E-2</v>
      </c>
      <c r="O8102" s="26">
        <v>1.2800000000000001E-2</v>
      </c>
      <c r="P8102" s="26">
        <v>8.8700000000000001E-2</v>
      </c>
      <c r="T8102">
        <v>38</v>
      </c>
    </row>
    <row r="8103" spans="1:72" x14ac:dyDescent="0.35">
      <c r="A8103" s="27" t="s">
        <v>230</v>
      </c>
      <c r="B8103" s="27" t="s">
        <v>258</v>
      </c>
      <c r="C8103" s="28">
        <v>0.95830000000000004</v>
      </c>
      <c r="D8103" s="29"/>
      <c r="E8103" s="28">
        <v>0.86439999999999995</v>
      </c>
      <c r="F8103" s="28">
        <v>4.1700000000000001E-2</v>
      </c>
      <c r="G8103" s="29"/>
      <c r="H8103" s="29"/>
      <c r="I8103" s="29"/>
      <c r="J8103" s="29"/>
      <c r="K8103" s="29"/>
      <c r="L8103" s="29"/>
      <c r="M8103" s="28">
        <v>4.1700000000000001E-2</v>
      </c>
      <c r="N8103" s="29"/>
      <c r="O8103" s="29"/>
      <c r="P8103" s="29"/>
      <c r="Q8103" s="29"/>
      <c r="R8103" s="29"/>
      <c r="S8103" s="29"/>
      <c r="T8103" s="29" t="s">
        <v>315</v>
      </c>
    </row>
    <row r="8104" spans="1:72" x14ac:dyDescent="0.35">
      <c r="A8104" s="27" t="s">
        <v>231</v>
      </c>
      <c r="B8104" s="27" t="s">
        <v>257</v>
      </c>
      <c r="C8104" s="28">
        <v>0.42859999999999998</v>
      </c>
      <c r="D8104" s="28">
        <v>0.28570000000000001</v>
      </c>
      <c r="E8104" s="28">
        <v>0.1429</v>
      </c>
      <c r="F8104" s="28">
        <v>0.1429</v>
      </c>
      <c r="G8104" s="29"/>
      <c r="H8104" s="28">
        <v>0.28570000000000001</v>
      </c>
      <c r="I8104" s="28">
        <v>0.1429</v>
      </c>
      <c r="J8104" s="29"/>
      <c r="K8104" s="29"/>
      <c r="L8104" s="29"/>
      <c r="M8104" s="28">
        <v>0.1429</v>
      </c>
      <c r="N8104" s="29"/>
      <c r="O8104" s="29"/>
      <c r="P8104" s="29"/>
      <c r="Q8104" s="29"/>
      <c r="R8104" s="29"/>
      <c r="S8104" s="29"/>
      <c r="T8104" s="29" t="s">
        <v>339</v>
      </c>
    </row>
    <row r="8105" spans="1:72" x14ac:dyDescent="0.35">
      <c r="A8105" t="s">
        <v>231</v>
      </c>
      <c r="B8105" t="s">
        <v>255</v>
      </c>
      <c r="C8105" s="26">
        <v>0.49609999999999999</v>
      </c>
      <c r="D8105" s="26">
        <v>0.58909999999999996</v>
      </c>
      <c r="E8105" s="26">
        <v>0.14729999999999999</v>
      </c>
      <c r="F8105" s="26">
        <v>6.9800000000000001E-2</v>
      </c>
      <c r="G8105" s="26">
        <v>9.2999999999999999E-2</v>
      </c>
      <c r="H8105" s="26">
        <v>6.2E-2</v>
      </c>
      <c r="I8105" s="26">
        <v>8.5300000000000001E-2</v>
      </c>
      <c r="J8105" s="26">
        <v>1.55E-2</v>
      </c>
      <c r="K8105" s="26">
        <v>4.65E-2</v>
      </c>
      <c r="L8105" s="26">
        <v>1.55E-2</v>
      </c>
      <c r="M8105" s="26">
        <v>1.55E-2</v>
      </c>
      <c r="O8105" s="26">
        <v>1.55E-2</v>
      </c>
      <c r="T8105">
        <v>129</v>
      </c>
    </row>
    <row r="8106" spans="1:72" x14ac:dyDescent="0.35">
      <c r="A8106" s="27" t="s">
        <v>231</v>
      </c>
      <c r="B8106" s="27" t="s">
        <v>256</v>
      </c>
      <c r="C8106" s="28">
        <v>0.78569999999999995</v>
      </c>
      <c r="D8106" s="28">
        <v>0.28570000000000001</v>
      </c>
      <c r="E8106" s="28">
        <v>0.28570000000000001</v>
      </c>
      <c r="F8106" s="28">
        <v>0.1429</v>
      </c>
      <c r="G8106" s="28">
        <v>0.17860000000000001</v>
      </c>
      <c r="H8106" s="28">
        <v>7.1400000000000005E-2</v>
      </c>
      <c r="I8106" s="28">
        <v>3.5700000000000003E-2</v>
      </c>
      <c r="J8106" s="28">
        <v>7.1400000000000005E-2</v>
      </c>
      <c r="K8106" s="28">
        <v>3.5700000000000003E-2</v>
      </c>
      <c r="L8106" s="29"/>
      <c r="M8106" s="29"/>
      <c r="N8106" s="29"/>
      <c r="O8106" s="29"/>
      <c r="P8106" s="29"/>
      <c r="Q8106" s="29"/>
      <c r="R8106" s="29"/>
      <c r="S8106" s="29"/>
      <c r="T8106" s="29" t="s">
        <v>336</v>
      </c>
    </row>
    <row r="8107" spans="1:72" x14ac:dyDescent="0.35">
      <c r="A8107" t="s">
        <v>232</v>
      </c>
      <c r="B8107" t="s">
        <v>232</v>
      </c>
      <c r="C8107" s="26">
        <v>0.59060000000000001</v>
      </c>
      <c r="D8107" s="26">
        <v>0.47499999999999998</v>
      </c>
      <c r="E8107" s="26">
        <v>0.16869999999999999</v>
      </c>
      <c r="F8107" s="26">
        <v>0.10100000000000001</v>
      </c>
      <c r="G8107" s="26">
        <v>0.10059999999999999</v>
      </c>
      <c r="H8107" s="26">
        <v>9.4200000000000006E-2</v>
      </c>
      <c r="I8107" s="26">
        <v>7.5499999999999998E-2</v>
      </c>
      <c r="J8107" s="26">
        <v>4.2599999999999999E-2</v>
      </c>
      <c r="K8107" s="26">
        <v>3.32E-2</v>
      </c>
      <c r="L8107" s="26">
        <v>1.5800000000000002E-2</v>
      </c>
      <c r="M8107" s="26">
        <v>1.35E-2</v>
      </c>
      <c r="N8107" s="26">
        <v>1.0800000000000001E-2</v>
      </c>
      <c r="O8107" s="26">
        <v>7.4999999999999997E-3</v>
      </c>
      <c r="P8107" s="26">
        <v>4.8999999999999998E-3</v>
      </c>
      <c r="Q8107" s="26">
        <v>2.8999999999999998E-3</v>
      </c>
      <c r="R8107" s="26">
        <v>1.2999999999999999E-3</v>
      </c>
      <c r="S8107" s="26">
        <v>2.0000000000000001E-4</v>
      </c>
      <c r="T8107">
        <v>2808</v>
      </c>
    </row>
    <row r="8109" spans="1:72" x14ac:dyDescent="0.35">
      <c r="A8109" s="1" t="s">
        <v>120</v>
      </c>
    </row>
    <row r="8110" spans="1:72" x14ac:dyDescent="0.35">
      <c r="A8110" t="s">
        <v>219</v>
      </c>
      <c r="B8110" t="s">
        <v>1105</v>
      </c>
      <c r="C8110" t="s">
        <v>1106</v>
      </c>
      <c r="D8110" t="s">
        <v>1107</v>
      </c>
      <c r="E8110" t="s">
        <v>1108</v>
      </c>
      <c r="F8110" t="s">
        <v>1109</v>
      </c>
      <c r="G8110" t="s">
        <v>1110</v>
      </c>
      <c r="H8110" t="s">
        <v>1111</v>
      </c>
      <c r="I8110" t="s">
        <v>1112</v>
      </c>
      <c r="J8110" t="s">
        <v>1113</v>
      </c>
      <c r="K8110" t="s">
        <v>1114</v>
      </c>
      <c r="L8110" t="s">
        <v>1115</v>
      </c>
      <c r="M8110" t="s">
        <v>1116</v>
      </c>
      <c r="N8110" t="s">
        <v>1117</v>
      </c>
      <c r="O8110" t="s">
        <v>1118</v>
      </c>
      <c r="P8110" t="s">
        <v>1119</v>
      </c>
      <c r="Q8110" t="s">
        <v>1120</v>
      </c>
      <c r="R8110" t="s">
        <v>1121</v>
      </c>
      <c r="S8110" t="s">
        <v>1122</v>
      </c>
      <c r="T8110" t="s">
        <v>1123</v>
      </c>
      <c r="U8110" t="s">
        <v>1124</v>
      </c>
      <c r="V8110" t="s">
        <v>1125</v>
      </c>
      <c r="W8110" t="s">
        <v>1126</v>
      </c>
      <c r="X8110" t="s">
        <v>1127</v>
      </c>
      <c r="Y8110" t="s">
        <v>1128</v>
      </c>
      <c r="Z8110" t="s">
        <v>1129</v>
      </c>
      <c r="AA8110" t="s">
        <v>1130</v>
      </c>
      <c r="AB8110" t="s">
        <v>1131</v>
      </c>
      <c r="AC8110" t="s">
        <v>1132</v>
      </c>
      <c r="AD8110" t="s">
        <v>1133</v>
      </c>
      <c r="AE8110" t="s">
        <v>1134</v>
      </c>
      <c r="AF8110" t="s">
        <v>1135</v>
      </c>
      <c r="AG8110" t="s">
        <v>1136</v>
      </c>
      <c r="AH8110" t="s">
        <v>1137</v>
      </c>
      <c r="AI8110" t="s">
        <v>1138</v>
      </c>
      <c r="AJ8110" t="s">
        <v>1139</v>
      </c>
      <c r="AK8110" t="s">
        <v>1140</v>
      </c>
      <c r="AL8110" t="s">
        <v>1141</v>
      </c>
      <c r="AM8110" t="s">
        <v>1142</v>
      </c>
      <c r="AN8110" t="s">
        <v>1143</v>
      </c>
      <c r="AO8110" t="s">
        <v>1144</v>
      </c>
      <c r="AP8110" t="s">
        <v>1145</v>
      </c>
      <c r="AQ8110" t="s">
        <v>1146</v>
      </c>
      <c r="AR8110" t="s">
        <v>1147</v>
      </c>
      <c r="AS8110" t="s">
        <v>1148</v>
      </c>
      <c r="AT8110" t="s">
        <v>1149</v>
      </c>
      <c r="AU8110" t="s">
        <v>1150</v>
      </c>
      <c r="AV8110" t="s">
        <v>1151</v>
      </c>
      <c r="AW8110" t="s">
        <v>1152</v>
      </c>
      <c r="AX8110" t="s">
        <v>1153</v>
      </c>
      <c r="AY8110" t="s">
        <v>1154</v>
      </c>
      <c r="AZ8110" t="s">
        <v>1155</v>
      </c>
      <c r="BA8110" t="s">
        <v>1156</v>
      </c>
      <c r="BB8110" t="s">
        <v>1157</v>
      </c>
      <c r="BC8110" t="s">
        <v>1158</v>
      </c>
      <c r="BD8110" t="s">
        <v>1159</v>
      </c>
      <c r="BE8110" t="s">
        <v>1160</v>
      </c>
      <c r="BF8110" t="s">
        <v>1161</v>
      </c>
      <c r="BG8110" t="s">
        <v>1162</v>
      </c>
      <c r="BH8110" t="s">
        <v>1163</v>
      </c>
      <c r="BI8110" t="s">
        <v>1164</v>
      </c>
      <c r="BJ8110" t="s">
        <v>1165</v>
      </c>
      <c r="BK8110" t="s">
        <v>1166</v>
      </c>
      <c r="BL8110" t="s">
        <v>1167</v>
      </c>
      <c r="BM8110" t="s">
        <v>1168</v>
      </c>
      <c r="BN8110" t="s">
        <v>1169</v>
      </c>
      <c r="BO8110" t="s">
        <v>1170</v>
      </c>
      <c r="BP8110" t="s">
        <v>1171</v>
      </c>
      <c r="BQ8110" t="s">
        <v>1172</v>
      </c>
      <c r="BR8110" t="s">
        <v>1173</v>
      </c>
      <c r="BS8110" t="s">
        <v>1174</v>
      </c>
      <c r="BT8110" t="s">
        <v>964</v>
      </c>
    </row>
    <row r="8111" spans="1:72" x14ac:dyDescent="0.35">
      <c r="A8111" t="s">
        <v>227</v>
      </c>
      <c r="B8111">
        <v>10270.700000000001</v>
      </c>
      <c r="C8111">
        <v>7500</v>
      </c>
      <c r="D8111">
        <v>500</v>
      </c>
      <c r="E8111">
        <v>60000</v>
      </c>
      <c r="F8111" s="30">
        <v>84</v>
      </c>
      <c r="G8111">
        <v>4992.16</v>
      </c>
      <c r="H8111">
        <v>4000</v>
      </c>
      <c r="I8111">
        <v>500</v>
      </c>
      <c r="J8111">
        <v>20000</v>
      </c>
      <c r="K8111" s="30">
        <v>17</v>
      </c>
      <c r="L8111">
        <v>16666.669999999998</v>
      </c>
      <c r="M8111">
        <v>13333.3</v>
      </c>
      <c r="N8111">
        <v>10000</v>
      </c>
      <c r="O8111">
        <v>30000</v>
      </c>
      <c r="P8111" s="30">
        <v>4</v>
      </c>
      <c r="Q8111">
        <v>3383.33</v>
      </c>
      <c r="R8111">
        <v>6666.7</v>
      </c>
      <c r="S8111">
        <v>300</v>
      </c>
      <c r="T8111">
        <v>9000</v>
      </c>
      <c r="U8111" s="30">
        <v>6</v>
      </c>
      <c r="V8111">
        <v>2001.75</v>
      </c>
      <c r="W8111">
        <v>2000</v>
      </c>
      <c r="X8111">
        <v>1000</v>
      </c>
      <c r="Y8111">
        <v>3000</v>
      </c>
      <c r="Z8111" s="30">
        <v>19</v>
      </c>
      <c r="AA8111">
        <v>4134.55</v>
      </c>
      <c r="AB8111">
        <v>4300</v>
      </c>
      <c r="AC8111">
        <v>625</v>
      </c>
      <c r="AD8111">
        <v>10000</v>
      </c>
      <c r="AE8111" s="30">
        <v>68</v>
      </c>
      <c r="AF8111">
        <v>2660.79</v>
      </c>
      <c r="AG8111">
        <v>2033.3</v>
      </c>
      <c r="AH8111">
        <v>215</v>
      </c>
      <c r="AI8111">
        <v>13900</v>
      </c>
      <c r="AJ8111" s="30">
        <v>27</v>
      </c>
      <c r="AK8111">
        <v>550</v>
      </c>
      <c r="AL8111">
        <v>100</v>
      </c>
      <c r="AM8111">
        <v>100</v>
      </c>
      <c r="AN8111">
        <v>1000</v>
      </c>
      <c r="AO8111" s="30">
        <v>2</v>
      </c>
      <c r="AP8111">
        <v>3208.33</v>
      </c>
      <c r="AQ8111">
        <v>2500</v>
      </c>
      <c r="AR8111">
        <v>2500</v>
      </c>
      <c r="AS8111">
        <v>4500</v>
      </c>
      <c r="AT8111" s="30">
        <v>4</v>
      </c>
      <c r="AZ8111">
        <v>3455.88</v>
      </c>
      <c r="BA8111">
        <v>3000</v>
      </c>
      <c r="BB8111">
        <v>1000</v>
      </c>
      <c r="BC8111">
        <v>7500</v>
      </c>
      <c r="BD8111" s="30">
        <v>17</v>
      </c>
      <c r="BO8111">
        <v>4448.1000000000004</v>
      </c>
      <c r="BP8111">
        <v>1666.7</v>
      </c>
      <c r="BQ8111">
        <v>200</v>
      </c>
      <c r="BR8111">
        <v>20000</v>
      </c>
      <c r="BS8111" s="30">
        <v>7</v>
      </c>
      <c r="BT8111">
        <v>84</v>
      </c>
    </row>
    <row r="8112" spans="1:72" x14ac:dyDescent="0.35">
      <c r="A8112" t="s">
        <v>228</v>
      </c>
      <c r="B8112">
        <v>12399.24</v>
      </c>
      <c r="C8112">
        <v>8750</v>
      </c>
      <c r="D8112">
        <v>666.7</v>
      </c>
      <c r="E8112">
        <v>80000</v>
      </c>
      <c r="F8112" s="30">
        <v>415</v>
      </c>
      <c r="G8112">
        <v>5115.07</v>
      </c>
      <c r="H8112">
        <v>4000</v>
      </c>
      <c r="I8112">
        <v>500</v>
      </c>
      <c r="J8112">
        <v>39000</v>
      </c>
      <c r="K8112" s="30">
        <v>85</v>
      </c>
      <c r="L8112">
        <v>15519.1</v>
      </c>
      <c r="M8112">
        <v>6750</v>
      </c>
      <c r="N8112">
        <v>1250</v>
      </c>
      <c r="O8112">
        <v>70000</v>
      </c>
      <c r="P8112" s="30">
        <v>36</v>
      </c>
      <c r="Q8112">
        <v>3154.44</v>
      </c>
      <c r="R8112">
        <v>3100</v>
      </c>
      <c r="S8112">
        <v>450</v>
      </c>
      <c r="T8112">
        <v>30000</v>
      </c>
      <c r="U8112" s="30">
        <v>23</v>
      </c>
      <c r="V8112">
        <v>1846.42</v>
      </c>
      <c r="W8112">
        <v>2000</v>
      </c>
      <c r="X8112">
        <v>400</v>
      </c>
      <c r="Y8112">
        <v>5000</v>
      </c>
      <c r="Z8112" s="30">
        <v>133</v>
      </c>
      <c r="AA8112">
        <v>4509.92</v>
      </c>
      <c r="AB8112">
        <v>4000</v>
      </c>
      <c r="AC8112">
        <v>428.6</v>
      </c>
      <c r="AD8112">
        <v>27000</v>
      </c>
      <c r="AE8112" s="30">
        <v>493</v>
      </c>
      <c r="AF8112">
        <v>1698.38</v>
      </c>
      <c r="AG8112">
        <v>1500</v>
      </c>
      <c r="AH8112">
        <v>160</v>
      </c>
      <c r="AI8112">
        <v>9850</v>
      </c>
      <c r="AJ8112" s="30">
        <v>141</v>
      </c>
      <c r="AK8112">
        <v>4816.13</v>
      </c>
      <c r="AL8112">
        <v>1900</v>
      </c>
      <c r="AM8112">
        <v>333.3</v>
      </c>
      <c r="AN8112">
        <v>18000</v>
      </c>
      <c r="AO8112" s="30">
        <v>11</v>
      </c>
      <c r="AP8112">
        <v>6060.56</v>
      </c>
      <c r="AQ8112">
        <v>2000</v>
      </c>
      <c r="AR8112">
        <v>233.3</v>
      </c>
      <c r="AS8112">
        <v>30000</v>
      </c>
      <c r="AT8112" s="30">
        <v>36</v>
      </c>
      <c r="AU8112">
        <v>1010.39</v>
      </c>
      <c r="AV8112">
        <v>1200</v>
      </c>
      <c r="AW8112">
        <v>400</v>
      </c>
      <c r="AX8112">
        <v>1600</v>
      </c>
      <c r="AY8112" s="30">
        <v>24</v>
      </c>
      <c r="AZ8112">
        <v>4236.67</v>
      </c>
      <c r="BA8112">
        <v>2500</v>
      </c>
      <c r="BB8112">
        <v>100</v>
      </c>
      <c r="BC8112">
        <v>26000</v>
      </c>
      <c r="BD8112" s="30">
        <v>64</v>
      </c>
      <c r="BE8112">
        <v>1000</v>
      </c>
      <c r="BF8112">
        <v>1000</v>
      </c>
      <c r="BG8112">
        <v>1000</v>
      </c>
      <c r="BH8112">
        <v>1000</v>
      </c>
      <c r="BI8112" s="30">
        <v>1</v>
      </c>
      <c r="BJ8112">
        <v>1332.47</v>
      </c>
      <c r="BK8112">
        <v>1450</v>
      </c>
      <c r="BL8112">
        <v>500</v>
      </c>
      <c r="BM8112">
        <v>21750</v>
      </c>
      <c r="BN8112" s="30">
        <v>4</v>
      </c>
      <c r="BO8112">
        <v>5419.17</v>
      </c>
      <c r="BP8112">
        <v>4200</v>
      </c>
      <c r="BQ8112">
        <v>100</v>
      </c>
      <c r="BR8112">
        <v>25300</v>
      </c>
      <c r="BS8112" s="30">
        <v>24</v>
      </c>
      <c r="BT8112">
        <v>493</v>
      </c>
    </row>
    <row r="8113" spans="1:73" x14ac:dyDescent="0.35">
      <c r="A8113" t="s">
        <v>229</v>
      </c>
      <c r="B8113">
        <v>15475.35</v>
      </c>
      <c r="C8113">
        <v>13000</v>
      </c>
      <c r="D8113">
        <v>500</v>
      </c>
      <c r="E8113">
        <v>150000</v>
      </c>
      <c r="F8113" s="30">
        <v>452</v>
      </c>
      <c r="G8113">
        <v>9028.57</v>
      </c>
      <c r="H8113">
        <v>5000</v>
      </c>
      <c r="I8113">
        <v>16.7</v>
      </c>
      <c r="J8113">
        <v>66666.7</v>
      </c>
      <c r="K8113" s="30">
        <v>70</v>
      </c>
      <c r="L8113">
        <v>11284.04</v>
      </c>
      <c r="M8113">
        <v>10000</v>
      </c>
      <c r="N8113">
        <v>750</v>
      </c>
      <c r="O8113">
        <v>33333.300000000003</v>
      </c>
      <c r="P8113" s="30">
        <v>37</v>
      </c>
      <c r="Q8113">
        <v>2780.97</v>
      </c>
      <c r="R8113">
        <v>1000</v>
      </c>
      <c r="S8113">
        <v>100</v>
      </c>
      <c r="T8113">
        <v>35000</v>
      </c>
      <c r="U8113" s="30">
        <v>37</v>
      </c>
      <c r="V8113">
        <v>1889.19</v>
      </c>
      <c r="W8113">
        <v>2000</v>
      </c>
      <c r="X8113">
        <v>500</v>
      </c>
      <c r="Y8113">
        <v>3150</v>
      </c>
      <c r="Z8113" s="30">
        <v>53</v>
      </c>
      <c r="AA8113">
        <v>4638.62</v>
      </c>
      <c r="AB8113">
        <v>4000</v>
      </c>
      <c r="AC8113">
        <v>460</v>
      </c>
      <c r="AD8113">
        <v>30000</v>
      </c>
      <c r="AE8113" s="30">
        <v>313</v>
      </c>
      <c r="AF8113">
        <v>2391.5700000000002</v>
      </c>
      <c r="AG8113">
        <v>1445.3</v>
      </c>
      <c r="AH8113">
        <v>150</v>
      </c>
      <c r="AI8113">
        <v>20000</v>
      </c>
      <c r="AJ8113" s="30">
        <v>122</v>
      </c>
      <c r="AK8113">
        <v>7752.74</v>
      </c>
      <c r="AL8113">
        <v>10000</v>
      </c>
      <c r="AM8113">
        <v>608</v>
      </c>
      <c r="AN8113">
        <v>15000</v>
      </c>
      <c r="AO8113" s="30">
        <v>7</v>
      </c>
      <c r="AP8113">
        <v>5177.08</v>
      </c>
      <c r="AQ8113">
        <v>3333.3</v>
      </c>
      <c r="AR8113">
        <v>833.3</v>
      </c>
      <c r="AS8113">
        <v>20000</v>
      </c>
      <c r="AT8113" s="30">
        <v>25</v>
      </c>
      <c r="AU8113">
        <v>500</v>
      </c>
      <c r="AV8113">
        <v>500</v>
      </c>
      <c r="AW8113">
        <v>500</v>
      </c>
      <c r="AX8113">
        <v>500</v>
      </c>
      <c r="AY8113" s="30">
        <v>2</v>
      </c>
      <c r="AZ8113">
        <v>3203.7</v>
      </c>
      <c r="BA8113">
        <v>2733.3</v>
      </c>
      <c r="BB8113">
        <v>75</v>
      </c>
      <c r="BC8113">
        <v>20000</v>
      </c>
      <c r="BD8113" s="30">
        <v>57</v>
      </c>
      <c r="BE8113">
        <v>2184.35</v>
      </c>
      <c r="BF8113">
        <v>666.7</v>
      </c>
      <c r="BG8113">
        <v>666.7</v>
      </c>
      <c r="BH8113">
        <v>4000</v>
      </c>
      <c r="BI8113" s="30">
        <v>2</v>
      </c>
      <c r="BJ8113">
        <v>38165.269999999997</v>
      </c>
      <c r="BK8113">
        <v>75000</v>
      </c>
      <c r="BL8113">
        <v>3333.3</v>
      </c>
      <c r="BM8113">
        <v>75000</v>
      </c>
      <c r="BN8113" s="30">
        <v>3</v>
      </c>
      <c r="BO8113">
        <v>6528.06</v>
      </c>
      <c r="BP8113">
        <v>6666.7</v>
      </c>
      <c r="BQ8113">
        <v>125</v>
      </c>
      <c r="BR8113">
        <v>40000</v>
      </c>
      <c r="BS8113" s="30">
        <v>34</v>
      </c>
      <c r="BT8113">
        <v>452</v>
      </c>
    </row>
    <row r="8114" spans="1:73" x14ac:dyDescent="0.35">
      <c r="A8114" t="s">
        <v>230</v>
      </c>
      <c r="B8114">
        <v>11696.34</v>
      </c>
      <c r="C8114">
        <v>10000</v>
      </c>
      <c r="D8114">
        <v>333.3</v>
      </c>
      <c r="E8114">
        <v>75000</v>
      </c>
      <c r="F8114" s="30">
        <v>243</v>
      </c>
      <c r="G8114">
        <v>4982.91</v>
      </c>
      <c r="H8114">
        <v>3333.3</v>
      </c>
      <c r="I8114">
        <v>200</v>
      </c>
      <c r="J8114">
        <v>21000</v>
      </c>
      <c r="K8114" s="30">
        <v>59</v>
      </c>
      <c r="L8114">
        <v>30202.17</v>
      </c>
      <c r="M8114">
        <v>15000</v>
      </c>
      <c r="N8114">
        <v>666.7</v>
      </c>
      <c r="O8114">
        <v>150000</v>
      </c>
      <c r="P8114" s="30">
        <v>22</v>
      </c>
      <c r="Q8114">
        <v>3322.22</v>
      </c>
      <c r="R8114">
        <v>2833.3</v>
      </c>
      <c r="S8114">
        <v>600</v>
      </c>
      <c r="T8114">
        <v>8000</v>
      </c>
      <c r="U8114" s="30">
        <v>21</v>
      </c>
      <c r="V8114">
        <v>1918.24</v>
      </c>
      <c r="W8114">
        <v>2000</v>
      </c>
      <c r="X8114">
        <v>666.7</v>
      </c>
      <c r="Y8114">
        <v>3000</v>
      </c>
      <c r="Z8114" s="30">
        <v>47</v>
      </c>
      <c r="AA8114">
        <v>4032.34</v>
      </c>
      <c r="AB8114">
        <v>3300</v>
      </c>
      <c r="AC8114">
        <v>575</v>
      </c>
      <c r="AD8114">
        <v>18000</v>
      </c>
      <c r="AE8114" s="30">
        <v>241</v>
      </c>
      <c r="AF8114">
        <v>1939.18</v>
      </c>
      <c r="AG8114">
        <v>1200</v>
      </c>
      <c r="AH8114">
        <v>172</v>
      </c>
      <c r="AI8114">
        <v>10000</v>
      </c>
      <c r="AJ8114" s="30">
        <v>86</v>
      </c>
      <c r="AK8114">
        <v>11481.14</v>
      </c>
      <c r="AL8114">
        <v>15000</v>
      </c>
      <c r="AM8114">
        <v>500</v>
      </c>
      <c r="AN8114">
        <v>25000</v>
      </c>
      <c r="AO8114" s="30">
        <v>10</v>
      </c>
      <c r="AP8114">
        <v>5980.01</v>
      </c>
      <c r="AQ8114">
        <v>4000</v>
      </c>
      <c r="AR8114">
        <v>250</v>
      </c>
      <c r="AS8114">
        <v>20000</v>
      </c>
      <c r="AT8114" s="30">
        <v>23</v>
      </c>
      <c r="AU8114">
        <v>1634.68</v>
      </c>
      <c r="AV8114">
        <v>1200</v>
      </c>
      <c r="AW8114">
        <v>241.7</v>
      </c>
      <c r="AX8114">
        <v>3300</v>
      </c>
      <c r="AY8114" s="30">
        <v>26</v>
      </c>
      <c r="AZ8114">
        <v>3181.99</v>
      </c>
      <c r="BA8114">
        <v>3000</v>
      </c>
      <c r="BB8114">
        <v>333.3</v>
      </c>
      <c r="BC8114">
        <v>20000</v>
      </c>
      <c r="BD8114" s="30">
        <v>53</v>
      </c>
      <c r="BJ8114">
        <v>5971.11</v>
      </c>
      <c r="BK8114">
        <v>10000</v>
      </c>
      <c r="BL8114">
        <v>1000</v>
      </c>
      <c r="BM8114">
        <v>10000</v>
      </c>
      <c r="BN8114" s="30">
        <v>5</v>
      </c>
      <c r="BO8114">
        <v>2203.9699999999998</v>
      </c>
      <c r="BP8114">
        <v>1200</v>
      </c>
      <c r="BQ8114">
        <v>400</v>
      </c>
      <c r="BR8114">
        <v>6000</v>
      </c>
      <c r="BS8114" s="30">
        <v>16</v>
      </c>
      <c r="BT8114">
        <v>243</v>
      </c>
    </row>
    <row r="8115" spans="1:73" x14ac:dyDescent="0.35">
      <c r="A8115" t="s">
        <v>231</v>
      </c>
      <c r="B8115">
        <v>12082.58</v>
      </c>
      <c r="C8115">
        <v>9000</v>
      </c>
      <c r="D8115">
        <v>1250</v>
      </c>
      <c r="E8115">
        <v>40000</v>
      </c>
      <c r="F8115" s="30">
        <v>77</v>
      </c>
      <c r="G8115">
        <v>5738.33</v>
      </c>
      <c r="H8115">
        <v>1600</v>
      </c>
      <c r="I8115">
        <v>300</v>
      </c>
      <c r="J8115">
        <v>40000</v>
      </c>
      <c r="K8115" s="30">
        <v>10</v>
      </c>
      <c r="L8115">
        <v>21966.67</v>
      </c>
      <c r="M8115">
        <v>10000</v>
      </c>
      <c r="N8115">
        <v>250</v>
      </c>
      <c r="O8115">
        <v>93000</v>
      </c>
      <c r="P8115" s="30">
        <v>10</v>
      </c>
      <c r="Q8115">
        <v>1716.67</v>
      </c>
      <c r="R8115">
        <v>3000</v>
      </c>
      <c r="S8115">
        <v>500</v>
      </c>
      <c r="T8115">
        <v>3000</v>
      </c>
      <c r="U8115" s="30">
        <v>5</v>
      </c>
      <c r="V8115">
        <v>1947.22</v>
      </c>
      <c r="W8115">
        <v>2000</v>
      </c>
      <c r="X8115">
        <v>666.7</v>
      </c>
      <c r="Y8115">
        <v>3000</v>
      </c>
      <c r="Z8115" s="30">
        <v>12</v>
      </c>
      <c r="AA8115">
        <v>4025.74</v>
      </c>
      <c r="AB8115">
        <v>3500</v>
      </c>
      <c r="AC8115">
        <v>500</v>
      </c>
      <c r="AD8115">
        <v>13200</v>
      </c>
      <c r="AE8115" s="30">
        <v>79</v>
      </c>
      <c r="AF8115">
        <v>1892.75</v>
      </c>
      <c r="AG8115">
        <v>1400</v>
      </c>
      <c r="AH8115">
        <v>106.7</v>
      </c>
      <c r="AI8115">
        <v>10000</v>
      </c>
      <c r="AJ8115" s="30">
        <v>28</v>
      </c>
      <c r="AK8115">
        <v>4500</v>
      </c>
      <c r="AL8115">
        <v>1000</v>
      </c>
      <c r="AM8115">
        <v>1000</v>
      </c>
      <c r="AN8115">
        <v>8000</v>
      </c>
      <c r="AO8115" s="30">
        <v>2</v>
      </c>
      <c r="AP8115">
        <v>4666.67</v>
      </c>
      <c r="AQ8115">
        <v>4000</v>
      </c>
      <c r="AR8115">
        <v>666.7</v>
      </c>
      <c r="AS8115">
        <v>10000</v>
      </c>
      <c r="AT8115" s="30">
        <v>4</v>
      </c>
      <c r="AZ8115">
        <v>5641.11</v>
      </c>
      <c r="BA8115">
        <v>5000</v>
      </c>
      <c r="BB8115">
        <v>200</v>
      </c>
      <c r="BC8115">
        <v>22750</v>
      </c>
      <c r="BD8115" s="30">
        <v>15</v>
      </c>
      <c r="BJ8115">
        <v>500</v>
      </c>
      <c r="BK8115">
        <v>500</v>
      </c>
      <c r="BL8115">
        <v>500</v>
      </c>
      <c r="BM8115">
        <v>500</v>
      </c>
      <c r="BN8115" s="30">
        <v>2</v>
      </c>
      <c r="BO8115">
        <v>5072.22</v>
      </c>
      <c r="BP8115">
        <v>3000</v>
      </c>
      <c r="BQ8115">
        <v>133.30000000000001</v>
      </c>
      <c r="BR8115">
        <v>17500</v>
      </c>
      <c r="BS8115" s="30">
        <v>6</v>
      </c>
      <c r="BT8115">
        <v>79</v>
      </c>
    </row>
    <row r="8116" spans="1:73" x14ac:dyDescent="0.35">
      <c r="A8116" t="s">
        <v>232</v>
      </c>
      <c r="B8116">
        <v>12841.11</v>
      </c>
      <c r="C8116">
        <v>10000</v>
      </c>
      <c r="D8116">
        <v>333.3</v>
      </c>
      <c r="E8116">
        <v>150000</v>
      </c>
      <c r="F8116" s="30">
        <v>1271</v>
      </c>
      <c r="G8116">
        <v>6272.64</v>
      </c>
      <c r="H8116">
        <v>3333.3</v>
      </c>
      <c r="I8116">
        <v>16.7</v>
      </c>
      <c r="J8116">
        <v>66666.7</v>
      </c>
      <c r="K8116" s="30">
        <v>241</v>
      </c>
      <c r="L8116">
        <v>17578.79</v>
      </c>
      <c r="M8116">
        <v>10000</v>
      </c>
      <c r="N8116">
        <v>250</v>
      </c>
      <c r="O8116">
        <v>150000</v>
      </c>
      <c r="P8116" s="30">
        <v>109</v>
      </c>
      <c r="Q8116">
        <v>2698.25</v>
      </c>
      <c r="R8116">
        <v>1750</v>
      </c>
      <c r="S8116">
        <v>100</v>
      </c>
      <c r="T8116">
        <v>35000</v>
      </c>
      <c r="U8116" s="30">
        <v>92</v>
      </c>
      <c r="V8116">
        <v>1917.18</v>
      </c>
      <c r="W8116">
        <v>2000</v>
      </c>
      <c r="X8116">
        <v>400</v>
      </c>
      <c r="Y8116">
        <v>5000</v>
      </c>
      <c r="Z8116" s="30">
        <v>264</v>
      </c>
      <c r="AA8116">
        <v>4296.82</v>
      </c>
      <c r="AB8116">
        <v>4000</v>
      </c>
      <c r="AC8116">
        <v>428.6</v>
      </c>
      <c r="AD8116">
        <v>30000</v>
      </c>
      <c r="AE8116" s="30">
        <v>1194</v>
      </c>
      <c r="AF8116">
        <v>2115.1799999999998</v>
      </c>
      <c r="AG8116">
        <v>1400</v>
      </c>
      <c r="AH8116">
        <v>106.7</v>
      </c>
      <c r="AI8116">
        <v>20000</v>
      </c>
      <c r="AJ8116" s="30">
        <v>404</v>
      </c>
      <c r="AK8116">
        <v>5888.89</v>
      </c>
      <c r="AL8116">
        <v>4000</v>
      </c>
      <c r="AM8116">
        <v>100</v>
      </c>
      <c r="AN8116">
        <v>25000</v>
      </c>
      <c r="AO8116" s="30">
        <v>32</v>
      </c>
      <c r="AP8116">
        <v>5244.2</v>
      </c>
      <c r="AQ8116">
        <v>3333.3</v>
      </c>
      <c r="AR8116">
        <v>233.3</v>
      </c>
      <c r="AS8116">
        <v>30000</v>
      </c>
      <c r="AT8116" s="30">
        <v>92</v>
      </c>
      <c r="AU8116">
        <v>1217.7</v>
      </c>
      <c r="AV8116">
        <v>1200</v>
      </c>
      <c r="AW8116">
        <v>241.7</v>
      </c>
      <c r="AX8116">
        <v>3300</v>
      </c>
      <c r="AY8116" s="30">
        <v>52</v>
      </c>
      <c r="AZ8116">
        <v>4143.3599999999997</v>
      </c>
      <c r="BA8116">
        <v>2500</v>
      </c>
      <c r="BB8116">
        <v>75</v>
      </c>
      <c r="BC8116">
        <v>26000</v>
      </c>
      <c r="BD8116" s="30">
        <v>206</v>
      </c>
      <c r="BE8116">
        <v>2109.21</v>
      </c>
      <c r="BF8116">
        <v>1000</v>
      </c>
      <c r="BG8116">
        <v>666.7</v>
      </c>
      <c r="BH8116">
        <v>4000</v>
      </c>
      <c r="BI8116" s="30">
        <v>3</v>
      </c>
      <c r="BJ8116">
        <v>9971.93</v>
      </c>
      <c r="BK8116">
        <v>666.7</v>
      </c>
      <c r="BL8116">
        <v>500</v>
      </c>
      <c r="BM8116">
        <v>75000</v>
      </c>
      <c r="BN8116" s="30">
        <v>14</v>
      </c>
      <c r="BO8116">
        <v>5190.95</v>
      </c>
      <c r="BP8116">
        <v>3000</v>
      </c>
      <c r="BQ8116">
        <v>100</v>
      </c>
      <c r="BR8116">
        <v>40000</v>
      </c>
      <c r="BS8116" s="30">
        <v>87</v>
      </c>
      <c r="BT8116">
        <v>1271</v>
      </c>
    </row>
    <row r="8118" spans="1:73" x14ac:dyDescent="0.35">
      <c r="A8118" s="1" t="s">
        <v>1175</v>
      </c>
    </row>
    <row r="8119" spans="1:73" x14ac:dyDescent="0.35">
      <c r="A8119" t="s">
        <v>219</v>
      </c>
      <c r="B8119" t="s">
        <v>305</v>
      </c>
      <c r="C8119" t="s">
        <v>1105</v>
      </c>
      <c r="D8119" t="s">
        <v>1106</v>
      </c>
      <c r="E8119" t="s">
        <v>1107</v>
      </c>
      <c r="F8119" t="s">
        <v>1108</v>
      </c>
      <c r="G8119" t="s">
        <v>1109</v>
      </c>
      <c r="H8119" t="s">
        <v>1110</v>
      </c>
      <c r="I8119" t="s">
        <v>1111</v>
      </c>
      <c r="J8119" t="s">
        <v>1112</v>
      </c>
      <c r="K8119" t="s">
        <v>1113</v>
      </c>
      <c r="L8119" t="s">
        <v>1114</v>
      </c>
      <c r="M8119" t="s">
        <v>1115</v>
      </c>
      <c r="N8119" t="s">
        <v>1116</v>
      </c>
      <c r="O8119" t="s">
        <v>1117</v>
      </c>
      <c r="P8119" t="s">
        <v>1118</v>
      </c>
      <c r="Q8119" t="s">
        <v>1119</v>
      </c>
      <c r="R8119" t="s">
        <v>1120</v>
      </c>
      <c r="S8119" t="s">
        <v>1121</v>
      </c>
      <c r="T8119" t="s">
        <v>1122</v>
      </c>
      <c r="U8119" t="s">
        <v>1123</v>
      </c>
      <c r="V8119" t="s">
        <v>1124</v>
      </c>
      <c r="W8119" t="s">
        <v>1125</v>
      </c>
      <c r="X8119" t="s">
        <v>1126</v>
      </c>
      <c r="Y8119" t="s">
        <v>1127</v>
      </c>
      <c r="Z8119" t="s">
        <v>1128</v>
      </c>
      <c r="AA8119" t="s">
        <v>1129</v>
      </c>
      <c r="AB8119" t="s">
        <v>1130</v>
      </c>
      <c r="AC8119" t="s">
        <v>1131</v>
      </c>
      <c r="AD8119" t="s">
        <v>1132</v>
      </c>
      <c r="AE8119" t="s">
        <v>1133</v>
      </c>
      <c r="AF8119" t="s">
        <v>1134</v>
      </c>
      <c r="AG8119" t="s">
        <v>1135</v>
      </c>
      <c r="AH8119" t="s">
        <v>1136</v>
      </c>
      <c r="AI8119" t="s">
        <v>1137</v>
      </c>
      <c r="AJ8119" t="s">
        <v>1138</v>
      </c>
      <c r="AK8119" t="s">
        <v>1139</v>
      </c>
      <c r="AL8119" t="s">
        <v>1140</v>
      </c>
      <c r="AM8119" t="s">
        <v>1141</v>
      </c>
      <c r="AN8119" t="s">
        <v>1142</v>
      </c>
      <c r="AO8119" t="s">
        <v>1143</v>
      </c>
      <c r="AP8119" t="s">
        <v>1144</v>
      </c>
      <c r="AQ8119" t="s">
        <v>1145</v>
      </c>
      <c r="AR8119" t="s">
        <v>1146</v>
      </c>
      <c r="AS8119" t="s">
        <v>1147</v>
      </c>
      <c r="AT8119" t="s">
        <v>1148</v>
      </c>
      <c r="AU8119" t="s">
        <v>1149</v>
      </c>
      <c r="AV8119" t="s">
        <v>1150</v>
      </c>
      <c r="AW8119" t="s">
        <v>1151</v>
      </c>
      <c r="AX8119" t="s">
        <v>1152</v>
      </c>
      <c r="AY8119" t="s">
        <v>1153</v>
      </c>
      <c r="AZ8119" t="s">
        <v>1154</v>
      </c>
      <c r="BA8119" t="s">
        <v>1155</v>
      </c>
      <c r="BB8119" t="s">
        <v>1156</v>
      </c>
      <c r="BC8119" t="s">
        <v>1157</v>
      </c>
      <c r="BD8119" t="s">
        <v>1158</v>
      </c>
      <c r="BE8119" t="s">
        <v>1159</v>
      </c>
      <c r="BF8119" t="s">
        <v>1160</v>
      </c>
      <c r="BG8119" t="s">
        <v>1161</v>
      </c>
      <c r="BH8119" t="s">
        <v>1162</v>
      </c>
      <c r="BI8119" t="s">
        <v>1163</v>
      </c>
      <c r="BJ8119" t="s">
        <v>1164</v>
      </c>
      <c r="BK8119" t="s">
        <v>1165</v>
      </c>
      <c r="BL8119" t="s">
        <v>1166</v>
      </c>
      <c r="BM8119" t="s">
        <v>1167</v>
      </c>
      <c r="BN8119" t="s">
        <v>1168</v>
      </c>
      <c r="BO8119" t="s">
        <v>1169</v>
      </c>
      <c r="BP8119" t="s">
        <v>1170</v>
      </c>
      <c r="BQ8119" t="s">
        <v>1171</v>
      </c>
      <c r="BR8119" t="s">
        <v>1172</v>
      </c>
      <c r="BS8119" t="s">
        <v>1173</v>
      </c>
      <c r="BT8119" t="s">
        <v>1174</v>
      </c>
      <c r="BU8119" t="s">
        <v>964</v>
      </c>
    </row>
    <row r="8120" spans="1:73" x14ac:dyDescent="0.35">
      <c r="A8120" t="s">
        <v>227</v>
      </c>
      <c r="B8120" t="s">
        <v>242</v>
      </c>
      <c r="C8120">
        <v>8667.09</v>
      </c>
      <c r="D8120">
        <v>6250</v>
      </c>
      <c r="E8120">
        <v>500</v>
      </c>
      <c r="F8120">
        <v>37896</v>
      </c>
      <c r="G8120" s="30">
        <v>30</v>
      </c>
      <c r="H8120">
        <v>2897.62</v>
      </c>
      <c r="I8120">
        <v>2500</v>
      </c>
      <c r="J8120">
        <v>500</v>
      </c>
      <c r="K8120">
        <v>8333.2999999999993</v>
      </c>
      <c r="L8120" s="30">
        <v>7</v>
      </c>
      <c r="M8120">
        <v>10000</v>
      </c>
      <c r="N8120">
        <v>10000</v>
      </c>
      <c r="O8120">
        <v>10000</v>
      </c>
      <c r="P8120">
        <v>10000</v>
      </c>
      <c r="Q8120" s="30">
        <v>1</v>
      </c>
      <c r="R8120">
        <v>1100</v>
      </c>
      <c r="S8120">
        <v>2000</v>
      </c>
      <c r="T8120">
        <v>300</v>
      </c>
      <c r="U8120">
        <v>2000</v>
      </c>
      <c r="V8120" s="30">
        <v>3</v>
      </c>
      <c r="W8120">
        <v>1906.41</v>
      </c>
      <c r="X8120">
        <v>2200</v>
      </c>
      <c r="Y8120">
        <v>1000</v>
      </c>
      <c r="Z8120">
        <v>3000</v>
      </c>
      <c r="AA8120" s="30">
        <v>13</v>
      </c>
      <c r="AB8120">
        <v>4034.52</v>
      </c>
      <c r="AC8120">
        <v>4300</v>
      </c>
      <c r="AD8120">
        <v>750</v>
      </c>
      <c r="AE8120">
        <v>8333.2999999999993</v>
      </c>
      <c r="AF8120" s="30">
        <v>38</v>
      </c>
      <c r="AG8120">
        <v>3033.2</v>
      </c>
      <c r="AH8120">
        <v>2700</v>
      </c>
      <c r="AI8120">
        <v>700</v>
      </c>
      <c r="AJ8120">
        <v>13900</v>
      </c>
      <c r="AK8120" s="30">
        <v>22</v>
      </c>
      <c r="AQ8120">
        <v>2916.67</v>
      </c>
      <c r="AR8120">
        <v>2500</v>
      </c>
      <c r="AS8120">
        <v>2500</v>
      </c>
      <c r="AT8120">
        <v>3333.3</v>
      </c>
      <c r="AU8120" s="30">
        <v>2</v>
      </c>
      <c r="BA8120">
        <v>3800</v>
      </c>
      <c r="BB8120">
        <v>6500</v>
      </c>
      <c r="BC8120">
        <v>1000</v>
      </c>
      <c r="BD8120">
        <v>7500</v>
      </c>
      <c r="BE8120" s="30">
        <v>5</v>
      </c>
      <c r="BP8120">
        <v>3111.11</v>
      </c>
      <c r="BQ8120">
        <v>6000</v>
      </c>
      <c r="BR8120">
        <v>1666.7</v>
      </c>
      <c r="BS8120">
        <v>6000</v>
      </c>
      <c r="BT8120" s="30">
        <v>3</v>
      </c>
      <c r="BU8120">
        <v>38</v>
      </c>
    </row>
    <row r="8121" spans="1:73" x14ac:dyDescent="0.35">
      <c r="A8121" t="s">
        <v>227</v>
      </c>
      <c r="B8121" t="s">
        <v>241</v>
      </c>
      <c r="C8121">
        <v>11161.59</v>
      </c>
      <c r="D8121">
        <v>9000</v>
      </c>
      <c r="E8121">
        <v>1500</v>
      </c>
      <c r="F8121">
        <v>60000</v>
      </c>
      <c r="G8121" s="30">
        <v>54</v>
      </c>
      <c r="H8121">
        <v>6458.33</v>
      </c>
      <c r="I8121">
        <v>4000</v>
      </c>
      <c r="J8121">
        <v>750</v>
      </c>
      <c r="K8121">
        <v>20000</v>
      </c>
      <c r="L8121" s="30">
        <v>10</v>
      </c>
      <c r="M8121">
        <v>18888.89</v>
      </c>
      <c r="N8121">
        <v>30000</v>
      </c>
      <c r="O8121">
        <v>13333.3</v>
      </c>
      <c r="P8121">
        <v>30000</v>
      </c>
      <c r="Q8121" s="30">
        <v>3</v>
      </c>
      <c r="R8121">
        <v>5666.67</v>
      </c>
      <c r="S8121">
        <v>9000</v>
      </c>
      <c r="T8121">
        <v>1333.3</v>
      </c>
      <c r="U8121">
        <v>9000</v>
      </c>
      <c r="V8121" s="30">
        <v>3</v>
      </c>
      <c r="W8121">
        <v>2208.33</v>
      </c>
      <c r="X8121">
        <v>2500</v>
      </c>
      <c r="Y8121">
        <v>1750</v>
      </c>
      <c r="Z8121">
        <v>3000</v>
      </c>
      <c r="AA8121" s="30">
        <v>6</v>
      </c>
      <c r="AB8121">
        <v>4261.2700000000004</v>
      </c>
      <c r="AC8121">
        <v>4350</v>
      </c>
      <c r="AD8121">
        <v>625</v>
      </c>
      <c r="AE8121">
        <v>10000</v>
      </c>
      <c r="AF8121" s="30">
        <v>30</v>
      </c>
      <c r="AG8121">
        <v>1022.2</v>
      </c>
      <c r="AH8121">
        <v>1500</v>
      </c>
      <c r="AI8121">
        <v>215</v>
      </c>
      <c r="AJ8121">
        <v>2500</v>
      </c>
      <c r="AK8121" s="30">
        <v>5</v>
      </c>
      <c r="AL8121">
        <v>550</v>
      </c>
      <c r="AM8121">
        <v>100</v>
      </c>
      <c r="AN8121">
        <v>100</v>
      </c>
      <c r="AO8121">
        <v>1000</v>
      </c>
      <c r="AP8121" s="30">
        <v>2</v>
      </c>
      <c r="AQ8121">
        <v>3500</v>
      </c>
      <c r="AR8121">
        <v>2500</v>
      </c>
      <c r="AS8121">
        <v>2500</v>
      </c>
      <c r="AT8121">
        <v>4500</v>
      </c>
      <c r="AU8121" s="30">
        <v>2</v>
      </c>
      <c r="BA8121">
        <v>3312.5</v>
      </c>
      <c r="BB8121">
        <v>2000</v>
      </c>
      <c r="BC8121">
        <v>1000</v>
      </c>
      <c r="BD8121">
        <v>7500</v>
      </c>
      <c r="BE8121" s="30">
        <v>12</v>
      </c>
      <c r="BP8121">
        <v>5450.83</v>
      </c>
      <c r="BQ8121">
        <v>270</v>
      </c>
      <c r="BR8121">
        <v>200</v>
      </c>
      <c r="BS8121">
        <v>20000</v>
      </c>
      <c r="BT8121" s="30">
        <v>4</v>
      </c>
      <c r="BU8121">
        <v>54</v>
      </c>
    </row>
    <row r="8122" spans="1:73" x14ac:dyDescent="0.35">
      <c r="A8122" t="s">
        <v>228</v>
      </c>
      <c r="B8122" t="s">
        <v>242</v>
      </c>
      <c r="C8122">
        <v>8246.02</v>
      </c>
      <c r="D8122">
        <v>6666.7</v>
      </c>
      <c r="E8122">
        <v>714.3</v>
      </c>
      <c r="F8122">
        <v>27500</v>
      </c>
      <c r="G8122" s="30">
        <v>109</v>
      </c>
      <c r="H8122">
        <v>3322.87</v>
      </c>
      <c r="I8122">
        <v>2833.3</v>
      </c>
      <c r="J8122">
        <v>500</v>
      </c>
      <c r="K8122">
        <v>8333.2999999999993</v>
      </c>
      <c r="L8122" s="30">
        <v>23</v>
      </c>
      <c r="M8122">
        <v>9182.34</v>
      </c>
      <c r="N8122">
        <v>5500</v>
      </c>
      <c r="O8122">
        <v>2000</v>
      </c>
      <c r="P8122">
        <v>30000</v>
      </c>
      <c r="Q8122" s="30">
        <v>10</v>
      </c>
      <c r="R8122">
        <v>2853.09</v>
      </c>
      <c r="S8122">
        <v>3750</v>
      </c>
      <c r="T8122">
        <v>500</v>
      </c>
      <c r="U8122">
        <v>8333.2999999999993</v>
      </c>
      <c r="V8122" s="30">
        <v>12</v>
      </c>
      <c r="W8122">
        <v>1866.92</v>
      </c>
      <c r="X8122">
        <v>2000</v>
      </c>
      <c r="Y8122">
        <v>400</v>
      </c>
      <c r="Z8122">
        <v>3000</v>
      </c>
      <c r="AA8122" s="30">
        <v>73</v>
      </c>
      <c r="AB8122">
        <v>4567.6000000000004</v>
      </c>
      <c r="AC8122">
        <v>4000</v>
      </c>
      <c r="AD8122">
        <v>428.6</v>
      </c>
      <c r="AE8122">
        <v>27000</v>
      </c>
      <c r="AF8122" s="30">
        <v>271</v>
      </c>
      <c r="AG8122">
        <v>2008.9</v>
      </c>
      <c r="AH8122">
        <v>1600</v>
      </c>
      <c r="AI8122">
        <v>172</v>
      </c>
      <c r="AJ8122">
        <v>9850</v>
      </c>
      <c r="AK8122" s="30">
        <v>98</v>
      </c>
      <c r="AL8122">
        <v>8319.0499999999993</v>
      </c>
      <c r="AM8122">
        <v>4500</v>
      </c>
      <c r="AN8122">
        <v>1500</v>
      </c>
      <c r="AO8122">
        <v>18000</v>
      </c>
      <c r="AP8122" s="30">
        <v>4</v>
      </c>
      <c r="AQ8122">
        <v>6472.18</v>
      </c>
      <c r="AR8122">
        <v>2666.7</v>
      </c>
      <c r="AS8122">
        <v>233.3</v>
      </c>
      <c r="AT8122">
        <v>30000</v>
      </c>
      <c r="AU8122" s="30">
        <v>17</v>
      </c>
      <c r="AV8122">
        <v>1037.6300000000001</v>
      </c>
      <c r="AW8122">
        <v>1200</v>
      </c>
      <c r="AX8122">
        <v>480</v>
      </c>
      <c r="AY8122">
        <v>1600</v>
      </c>
      <c r="AZ8122" s="30">
        <v>16</v>
      </c>
      <c r="BA8122">
        <v>6396.65</v>
      </c>
      <c r="BB8122">
        <v>2500</v>
      </c>
      <c r="BC8122">
        <v>200</v>
      </c>
      <c r="BD8122">
        <v>26000</v>
      </c>
      <c r="BE8122" s="30">
        <v>19</v>
      </c>
      <c r="BK8122">
        <v>1913.48</v>
      </c>
      <c r="BL8122">
        <v>1450</v>
      </c>
      <c r="BM8122">
        <v>500</v>
      </c>
      <c r="BN8122">
        <v>21750</v>
      </c>
      <c r="BO8122" s="30">
        <v>3</v>
      </c>
      <c r="BP8122">
        <v>6063.31</v>
      </c>
      <c r="BQ8122">
        <v>7500</v>
      </c>
      <c r="BR8122">
        <v>100</v>
      </c>
      <c r="BS8122">
        <v>22000</v>
      </c>
      <c r="BT8122" s="30">
        <v>12</v>
      </c>
      <c r="BU8122">
        <v>271</v>
      </c>
    </row>
    <row r="8123" spans="1:73" x14ac:dyDescent="0.35">
      <c r="A8123" t="s">
        <v>228</v>
      </c>
      <c r="B8123" t="s">
        <v>241</v>
      </c>
      <c r="C8123">
        <v>13825.07</v>
      </c>
      <c r="D8123">
        <v>10000</v>
      </c>
      <c r="E8123">
        <v>666.7</v>
      </c>
      <c r="F8123">
        <v>80000</v>
      </c>
      <c r="G8123" s="30">
        <v>306</v>
      </c>
      <c r="H8123">
        <v>5777.42</v>
      </c>
      <c r="I8123">
        <v>4000</v>
      </c>
      <c r="J8123">
        <v>500</v>
      </c>
      <c r="K8123">
        <v>39000</v>
      </c>
      <c r="L8123" s="30">
        <v>62</v>
      </c>
      <c r="M8123">
        <v>19768.47</v>
      </c>
      <c r="N8123">
        <v>10000</v>
      </c>
      <c r="O8123">
        <v>1250</v>
      </c>
      <c r="P8123">
        <v>70000</v>
      </c>
      <c r="Q8123" s="30">
        <v>26</v>
      </c>
      <c r="R8123">
        <v>3568.32</v>
      </c>
      <c r="S8123">
        <v>3100</v>
      </c>
      <c r="T8123">
        <v>450</v>
      </c>
      <c r="U8123">
        <v>30000</v>
      </c>
      <c r="V8123" s="30">
        <v>11</v>
      </c>
      <c r="W8123">
        <v>1820.12</v>
      </c>
      <c r="X8123">
        <v>2000</v>
      </c>
      <c r="Y8123">
        <v>500</v>
      </c>
      <c r="Z8123">
        <v>5000</v>
      </c>
      <c r="AA8123" s="30">
        <v>60</v>
      </c>
      <c r="AB8123">
        <v>4447.7700000000004</v>
      </c>
      <c r="AC8123">
        <v>4000</v>
      </c>
      <c r="AD8123">
        <v>500</v>
      </c>
      <c r="AE8123">
        <v>15000</v>
      </c>
      <c r="AF8123" s="30">
        <v>222</v>
      </c>
      <c r="AG8123">
        <v>1094.4000000000001</v>
      </c>
      <c r="AH8123">
        <v>666.7</v>
      </c>
      <c r="AI8123">
        <v>160</v>
      </c>
      <c r="AJ8123">
        <v>8000</v>
      </c>
      <c r="AK8123" s="30">
        <v>43</v>
      </c>
      <c r="AL8123">
        <v>1576.17</v>
      </c>
      <c r="AM8123">
        <v>1900</v>
      </c>
      <c r="AN8123">
        <v>333.3</v>
      </c>
      <c r="AO8123">
        <v>3500</v>
      </c>
      <c r="AP8123" s="30">
        <v>7</v>
      </c>
      <c r="AQ8123">
        <v>5576.07</v>
      </c>
      <c r="AR8123">
        <v>2000</v>
      </c>
      <c r="AS8123">
        <v>666.7</v>
      </c>
      <c r="AT8123">
        <v>25000</v>
      </c>
      <c r="AU8123" s="30">
        <v>19</v>
      </c>
      <c r="AV8123">
        <v>972.47</v>
      </c>
      <c r="AW8123">
        <v>1200</v>
      </c>
      <c r="AX8123">
        <v>400</v>
      </c>
      <c r="AY8123">
        <v>1300</v>
      </c>
      <c r="AZ8123" s="30">
        <v>8</v>
      </c>
      <c r="BA8123">
        <v>3449.13</v>
      </c>
      <c r="BB8123">
        <v>2500</v>
      </c>
      <c r="BC8123">
        <v>100</v>
      </c>
      <c r="BD8123">
        <v>17500</v>
      </c>
      <c r="BE8123" s="30">
        <v>45</v>
      </c>
      <c r="BF8123">
        <v>1000</v>
      </c>
      <c r="BG8123">
        <v>1000</v>
      </c>
      <c r="BH8123">
        <v>1000</v>
      </c>
      <c r="BI8123">
        <v>1000</v>
      </c>
      <c r="BJ8123" s="30">
        <v>1</v>
      </c>
      <c r="BK8123">
        <v>666.67</v>
      </c>
      <c r="BL8123">
        <v>666.7</v>
      </c>
      <c r="BM8123">
        <v>666.7</v>
      </c>
      <c r="BN8123">
        <v>666.7</v>
      </c>
      <c r="BO8123" s="30">
        <v>1</v>
      </c>
      <c r="BP8123">
        <v>4803.7</v>
      </c>
      <c r="BQ8123">
        <v>4200</v>
      </c>
      <c r="BR8123">
        <v>566.70000000000005</v>
      </c>
      <c r="BS8123">
        <v>25300</v>
      </c>
      <c r="BT8123" s="30">
        <v>12</v>
      </c>
      <c r="BU8123">
        <v>306</v>
      </c>
    </row>
    <row r="8124" spans="1:73" x14ac:dyDescent="0.35">
      <c r="A8124" t="s">
        <v>229</v>
      </c>
      <c r="B8124" t="s">
        <v>242</v>
      </c>
      <c r="C8124">
        <v>11767.03</v>
      </c>
      <c r="D8124">
        <v>8333.2999999999993</v>
      </c>
      <c r="E8124">
        <v>607.70000000000005</v>
      </c>
      <c r="F8124">
        <v>60000</v>
      </c>
      <c r="G8124" s="30">
        <v>119</v>
      </c>
      <c r="H8124">
        <v>3503.21</v>
      </c>
      <c r="I8124">
        <v>4500</v>
      </c>
      <c r="J8124">
        <v>16.7</v>
      </c>
      <c r="K8124">
        <v>15000</v>
      </c>
      <c r="L8124" s="30">
        <v>19</v>
      </c>
      <c r="M8124">
        <v>10042.11</v>
      </c>
      <c r="N8124">
        <v>6666.7</v>
      </c>
      <c r="O8124">
        <v>750</v>
      </c>
      <c r="P8124">
        <v>33333.300000000003</v>
      </c>
      <c r="Q8124" s="30">
        <v>12</v>
      </c>
      <c r="R8124">
        <v>1794.34</v>
      </c>
      <c r="S8124">
        <v>1333.3</v>
      </c>
      <c r="T8124">
        <v>200</v>
      </c>
      <c r="U8124">
        <v>10000</v>
      </c>
      <c r="V8124" s="30">
        <v>12</v>
      </c>
      <c r="W8124">
        <v>1871.35</v>
      </c>
      <c r="X8124">
        <v>2000</v>
      </c>
      <c r="Y8124">
        <v>666.7</v>
      </c>
      <c r="Z8124">
        <v>3150</v>
      </c>
      <c r="AA8124" s="30">
        <v>35</v>
      </c>
      <c r="AB8124">
        <v>4009.07</v>
      </c>
      <c r="AC8124">
        <v>3400</v>
      </c>
      <c r="AD8124">
        <v>460</v>
      </c>
      <c r="AE8124">
        <v>14000</v>
      </c>
      <c r="AF8124" s="30">
        <v>166</v>
      </c>
      <c r="AG8124">
        <v>2206.5100000000002</v>
      </c>
      <c r="AH8124">
        <v>1445.3</v>
      </c>
      <c r="AI8124">
        <v>150</v>
      </c>
      <c r="AJ8124">
        <v>18000</v>
      </c>
      <c r="AK8124" s="30">
        <v>92</v>
      </c>
      <c r="AL8124">
        <v>7075.46</v>
      </c>
      <c r="AM8124">
        <v>10000</v>
      </c>
      <c r="AN8124">
        <v>608</v>
      </c>
      <c r="AO8124">
        <v>10000</v>
      </c>
      <c r="AP8124" s="30">
        <v>3</v>
      </c>
      <c r="AQ8124">
        <v>7907.06</v>
      </c>
      <c r="AR8124">
        <v>3333.3</v>
      </c>
      <c r="AS8124">
        <v>1250</v>
      </c>
      <c r="AT8124">
        <v>20000</v>
      </c>
      <c r="AU8124" s="30">
        <v>7</v>
      </c>
      <c r="AV8124">
        <v>500</v>
      </c>
      <c r="AW8124">
        <v>500</v>
      </c>
      <c r="AX8124">
        <v>500</v>
      </c>
      <c r="AY8124">
        <v>500</v>
      </c>
      <c r="AZ8124" s="30">
        <v>1</v>
      </c>
      <c r="BA8124">
        <v>2134.89</v>
      </c>
      <c r="BB8124">
        <v>1500</v>
      </c>
      <c r="BC8124">
        <v>75</v>
      </c>
      <c r="BD8124">
        <v>7500</v>
      </c>
      <c r="BE8124" s="30">
        <v>19</v>
      </c>
      <c r="BP8124">
        <v>3498.95</v>
      </c>
      <c r="BQ8124">
        <v>3500</v>
      </c>
      <c r="BR8124">
        <v>400</v>
      </c>
      <c r="BS8124">
        <v>10000</v>
      </c>
      <c r="BT8124" s="30">
        <v>10</v>
      </c>
      <c r="BU8124">
        <v>166</v>
      </c>
    </row>
    <row r="8125" spans="1:73" x14ac:dyDescent="0.35">
      <c r="A8125" t="s">
        <v>229</v>
      </c>
      <c r="B8125" t="s">
        <v>241</v>
      </c>
      <c r="C8125">
        <v>17239.95</v>
      </c>
      <c r="D8125">
        <v>15000</v>
      </c>
      <c r="E8125">
        <v>500</v>
      </c>
      <c r="F8125">
        <v>150000</v>
      </c>
      <c r="G8125" s="30">
        <v>333</v>
      </c>
      <c r="H8125">
        <v>11637.02</v>
      </c>
      <c r="I8125">
        <v>6000</v>
      </c>
      <c r="J8125">
        <v>100</v>
      </c>
      <c r="K8125">
        <v>66666.7</v>
      </c>
      <c r="L8125" s="30">
        <v>51</v>
      </c>
      <c r="M8125">
        <v>12029.59</v>
      </c>
      <c r="N8125">
        <v>13333.3</v>
      </c>
      <c r="O8125">
        <v>750</v>
      </c>
      <c r="P8125">
        <v>30000</v>
      </c>
      <c r="Q8125" s="30">
        <v>25</v>
      </c>
      <c r="R8125">
        <v>4246.75</v>
      </c>
      <c r="S8125">
        <v>800</v>
      </c>
      <c r="T8125">
        <v>100</v>
      </c>
      <c r="U8125">
        <v>35000</v>
      </c>
      <c r="V8125" s="30">
        <v>25</v>
      </c>
      <c r="W8125">
        <v>1954.61</v>
      </c>
      <c r="X8125">
        <v>2000</v>
      </c>
      <c r="Y8125">
        <v>500</v>
      </c>
      <c r="Z8125">
        <v>2666.7</v>
      </c>
      <c r="AA8125" s="30">
        <v>18</v>
      </c>
      <c r="AB8125">
        <v>5548.1</v>
      </c>
      <c r="AC8125">
        <v>5000</v>
      </c>
      <c r="AD8125">
        <v>740</v>
      </c>
      <c r="AE8125">
        <v>30000</v>
      </c>
      <c r="AF8125" s="30">
        <v>147</v>
      </c>
      <c r="AG8125">
        <v>3459.77</v>
      </c>
      <c r="AH8125">
        <v>1250</v>
      </c>
      <c r="AI8125">
        <v>286.7</v>
      </c>
      <c r="AJ8125">
        <v>20000</v>
      </c>
      <c r="AK8125" s="30">
        <v>30</v>
      </c>
      <c r="AL8125">
        <v>8081.35</v>
      </c>
      <c r="AM8125">
        <v>4000</v>
      </c>
      <c r="AN8125">
        <v>3750</v>
      </c>
      <c r="AO8125">
        <v>15000</v>
      </c>
      <c r="AP8125" s="30">
        <v>4</v>
      </c>
      <c r="AQ8125">
        <v>4127.84</v>
      </c>
      <c r="AR8125">
        <v>3333.3</v>
      </c>
      <c r="AS8125">
        <v>833.3</v>
      </c>
      <c r="AT8125">
        <v>20000</v>
      </c>
      <c r="AU8125" s="30">
        <v>18</v>
      </c>
      <c r="AV8125">
        <v>500</v>
      </c>
      <c r="AW8125">
        <v>500</v>
      </c>
      <c r="AX8125">
        <v>500</v>
      </c>
      <c r="AY8125">
        <v>500</v>
      </c>
      <c r="AZ8125" s="30">
        <v>1</v>
      </c>
      <c r="BA8125">
        <v>3744.03</v>
      </c>
      <c r="BB8125">
        <v>3000</v>
      </c>
      <c r="BC8125">
        <v>100</v>
      </c>
      <c r="BD8125">
        <v>20000</v>
      </c>
      <c r="BE8125" s="30">
        <v>38</v>
      </c>
      <c r="BF8125">
        <v>2184.35</v>
      </c>
      <c r="BG8125">
        <v>666.7</v>
      </c>
      <c r="BH8125">
        <v>666.7</v>
      </c>
      <c r="BI8125">
        <v>4000</v>
      </c>
      <c r="BJ8125" s="30">
        <v>2</v>
      </c>
      <c r="BK8125">
        <v>38165.269999999997</v>
      </c>
      <c r="BL8125">
        <v>75000</v>
      </c>
      <c r="BM8125">
        <v>3333.3</v>
      </c>
      <c r="BN8125">
        <v>75000</v>
      </c>
      <c r="BO8125" s="30">
        <v>3</v>
      </c>
      <c r="BP8125">
        <v>8134.43</v>
      </c>
      <c r="BQ8125">
        <v>6666.7</v>
      </c>
      <c r="BR8125">
        <v>125</v>
      </c>
      <c r="BS8125">
        <v>40000</v>
      </c>
      <c r="BT8125" s="30">
        <v>24</v>
      </c>
      <c r="BU8125">
        <v>333</v>
      </c>
    </row>
    <row r="8126" spans="1:73" x14ac:dyDescent="0.35">
      <c r="A8126" t="s">
        <v>230</v>
      </c>
      <c r="B8126" t="s">
        <v>242</v>
      </c>
      <c r="C8126">
        <v>11767.73</v>
      </c>
      <c r="D8126">
        <v>6000</v>
      </c>
      <c r="E8126">
        <v>333.3</v>
      </c>
      <c r="F8126">
        <v>75000</v>
      </c>
      <c r="G8126" s="30">
        <v>66</v>
      </c>
      <c r="H8126">
        <v>4301.63</v>
      </c>
      <c r="I8126">
        <v>2666.7</v>
      </c>
      <c r="J8126">
        <v>200</v>
      </c>
      <c r="K8126">
        <v>14000</v>
      </c>
      <c r="L8126" s="30">
        <v>14</v>
      </c>
      <c r="M8126">
        <v>30389.22</v>
      </c>
      <c r="N8126">
        <v>58333.3</v>
      </c>
      <c r="O8126">
        <v>2000</v>
      </c>
      <c r="P8126">
        <v>125000</v>
      </c>
      <c r="Q8126" s="30">
        <v>9</v>
      </c>
      <c r="R8126">
        <v>4062.89</v>
      </c>
      <c r="S8126">
        <v>6250</v>
      </c>
      <c r="T8126">
        <v>600</v>
      </c>
      <c r="U8126">
        <v>8000</v>
      </c>
      <c r="V8126" s="30">
        <v>5</v>
      </c>
      <c r="W8126">
        <v>2016.78</v>
      </c>
      <c r="X8126">
        <v>2333.3000000000002</v>
      </c>
      <c r="Y8126">
        <v>666.7</v>
      </c>
      <c r="Z8126">
        <v>3000</v>
      </c>
      <c r="AA8126" s="30">
        <v>24</v>
      </c>
      <c r="AB8126">
        <v>3456.55</v>
      </c>
      <c r="AC8126">
        <v>3000</v>
      </c>
      <c r="AD8126">
        <v>575</v>
      </c>
      <c r="AE8126">
        <v>16000</v>
      </c>
      <c r="AF8126" s="30">
        <v>104</v>
      </c>
      <c r="AG8126">
        <v>2431.71</v>
      </c>
      <c r="AH8126">
        <v>1533.3</v>
      </c>
      <c r="AI8126">
        <v>300</v>
      </c>
      <c r="AJ8126">
        <v>10000</v>
      </c>
      <c r="AK8126" s="30">
        <v>59</v>
      </c>
      <c r="AL8126">
        <v>6434.85</v>
      </c>
      <c r="AM8126">
        <v>9000</v>
      </c>
      <c r="AN8126">
        <v>1000</v>
      </c>
      <c r="AO8126">
        <v>9000</v>
      </c>
      <c r="AP8126" s="30">
        <v>4</v>
      </c>
      <c r="AQ8126">
        <v>4455.24</v>
      </c>
      <c r="AR8126">
        <v>6266.7</v>
      </c>
      <c r="AS8126">
        <v>750</v>
      </c>
      <c r="AT8126">
        <v>10000</v>
      </c>
      <c r="AU8126" s="30">
        <v>6</v>
      </c>
      <c r="AV8126">
        <v>954.61</v>
      </c>
      <c r="AW8126">
        <v>1200</v>
      </c>
      <c r="AX8126">
        <v>241.7</v>
      </c>
      <c r="AY8126">
        <v>1200</v>
      </c>
      <c r="AZ8126" s="30">
        <v>17</v>
      </c>
      <c r="BA8126">
        <v>3066.13</v>
      </c>
      <c r="BB8126">
        <v>3000</v>
      </c>
      <c r="BC8126">
        <v>333.3</v>
      </c>
      <c r="BD8126">
        <v>10000</v>
      </c>
      <c r="BE8126" s="30">
        <v>16</v>
      </c>
      <c r="BK8126">
        <v>6500</v>
      </c>
      <c r="BL8126">
        <v>6500</v>
      </c>
      <c r="BM8126">
        <v>6500</v>
      </c>
      <c r="BN8126">
        <v>6500</v>
      </c>
      <c r="BO8126" s="30">
        <v>1</v>
      </c>
      <c r="BP8126">
        <v>4029.86</v>
      </c>
      <c r="BQ8126">
        <v>6000</v>
      </c>
      <c r="BR8126">
        <v>500</v>
      </c>
      <c r="BS8126">
        <v>6000</v>
      </c>
      <c r="BT8126" s="30">
        <v>6</v>
      </c>
      <c r="BU8126">
        <v>104</v>
      </c>
    </row>
    <row r="8127" spans="1:73" x14ac:dyDescent="0.35">
      <c r="A8127" t="s">
        <v>230</v>
      </c>
      <c r="B8127" t="s">
        <v>241</v>
      </c>
      <c r="C8127">
        <v>11670.09</v>
      </c>
      <c r="D8127">
        <v>10000</v>
      </c>
      <c r="E8127">
        <v>1000</v>
      </c>
      <c r="F8127">
        <v>75000</v>
      </c>
      <c r="G8127" s="30">
        <v>177</v>
      </c>
      <c r="H8127">
        <v>5307.06</v>
      </c>
      <c r="I8127">
        <v>5000</v>
      </c>
      <c r="J8127">
        <v>333.3</v>
      </c>
      <c r="K8127">
        <v>21000</v>
      </c>
      <c r="L8127" s="30">
        <v>45</v>
      </c>
      <c r="M8127">
        <v>30100.54</v>
      </c>
      <c r="N8127">
        <v>14333.3</v>
      </c>
      <c r="O8127">
        <v>666.7</v>
      </c>
      <c r="P8127">
        <v>150000</v>
      </c>
      <c r="Q8127" s="30">
        <v>13</v>
      </c>
      <c r="R8127">
        <v>3002.75</v>
      </c>
      <c r="S8127">
        <v>2666.7</v>
      </c>
      <c r="T8127">
        <v>600</v>
      </c>
      <c r="U8127">
        <v>8000</v>
      </c>
      <c r="V8127" s="30">
        <v>16</v>
      </c>
      <c r="W8127">
        <v>1778.67</v>
      </c>
      <c r="X8127">
        <v>2000</v>
      </c>
      <c r="Y8127">
        <v>1000</v>
      </c>
      <c r="Z8127">
        <v>2666.7</v>
      </c>
      <c r="AA8127" s="30">
        <v>23</v>
      </c>
      <c r="AB8127">
        <v>4458.57</v>
      </c>
      <c r="AC8127">
        <v>3700</v>
      </c>
      <c r="AD8127">
        <v>640</v>
      </c>
      <c r="AE8127">
        <v>18000</v>
      </c>
      <c r="AF8127" s="30">
        <v>137</v>
      </c>
      <c r="AG8127">
        <v>757.6</v>
      </c>
      <c r="AH8127">
        <v>588.79999999999995</v>
      </c>
      <c r="AI8127">
        <v>172</v>
      </c>
      <c r="AJ8127">
        <v>2666.7</v>
      </c>
      <c r="AK8127" s="30">
        <v>27</v>
      </c>
      <c r="AL8127">
        <v>15639.39</v>
      </c>
      <c r="AM8127">
        <v>25000</v>
      </c>
      <c r="AN8127">
        <v>500</v>
      </c>
      <c r="AO8127">
        <v>25000</v>
      </c>
      <c r="AP8127" s="30">
        <v>6</v>
      </c>
      <c r="AQ8127">
        <v>6964.5</v>
      </c>
      <c r="AR8127">
        <v>4000</v>
      </c>
      <c r="AS8127">
        <v>250</v>
      </c>
      <c r="AT8127">
        <v>20000</v>
      </c>
      <c r="AU8127" s="30">
        <v>17</v>
      </c>
      <c r="AV8127">
        <v>2263.77</v>
      </c>
      <c r="AW8127">
        <v>3300</v>
      </c>
      <c r="AX8127">
        <v>600</v>
      </c>
      <c r="AY8127">
        <v>3300</v>
      </c>
      <c r="AZ8127" s="30">
        <v>9</v>
      </c>
      <c r="BA8127">
        <v>3222.2</v>
      </c>
      <c r="BB8127">
        <v>2500</v>
      </c>
      <c r="BC8127">
        <v>500</v>
      </c>
      <c r="BD8127">
        <v>20000</v>
      </c>
      <c r="BE8127" s="30">
        <v>37</v>
      </c>
      <c r="BK8127">
        <v>5014.5200000000004</v>
      </c>
      <c r="BL8127">
        <v>10000</v>
      </c>
      <c r="BM8127">
        <v>1000</v>
      </c>
      <c r="BN8127">
        <v>10000</v>
      </c>
      <c r="BO8127" s="30">
        <v>4</v>
      </c>
      <c r="BP8127">
        <v>1530.12</v>
      </c>
      <c r="BQ8127">
        <v>1200</v>
      </c>
      <c r="BR8127">
        <v>400</v>
      </c>
      <c r="BS8127">
        <v>5000</v>
      </c>
      <c r="BT8127" s="30">
        <v>10</v>
      </c>
      <c r="BU8127">
        <v>177</v>
      </c>
    </row>
    <row r="8128" spans="1:73" x14ac:dyDescent="0.35">
      <c r="A8128" t="s">
        <v>231</v>
      </c>
      <c r="B8128" t="s">
        <v>242</v>
      </c>
      <c r="C8128">
        <v>11396.01</v>
      </c>
      <c r="D8128">
        <v>8000</v>
      </c>
      <c r="E8128">
        <v>1575</v>
      </c>
      <c r="F8128">
        <v>40000</v>
      </c>
      <c r="G8128" s="30">
        <v>23</v>
      </c>
      <c r="H8128">
        <v>2611.11</v>
      </c>
      <c r="I8128">
        <v>3333.3</v>
      </c>
      <c r="J8128">
        <v>1500</v>
      </c>
      <c r="K8128">
        <v>3333.3</v>
      </c>
      <c r="L8128" s="30">
        <v>3</v>
      </c>
      <c r="M8128">
        <v>10083.33</v>
      </c>
      <c r="N8128">
        <v>7500</v>
      </c>
      <c r="O8128">
        <v>7500</v>
      </c>
      <c r="P8128">
        <v>12666.7</v>
      </c>
      <c r="Q8128" s="30">
        <v>2</v>
      </c>
      <c r="R8128">
        <v>500</v>
      </c>
      <c r="S8128">
        <v>500</v>
      </c>
      <c r="T8128">
        <v>500</v>
      </c>
      <c r="U8128">
        <v>500</v>
      </c>
      <c r="V8128" s="30">
        <v>1</v>
      </c>
      <c r="W8128">
        <v>1875</v>
      </c>
      <c r="X8128">
        <v>1500</v>
      </c>
      <c r="Y8128">
        <v>1000</v>
      </c>
      <c r="Z8128">
        <v>3000</v>
      </c>
      <c r="AA8128" s="30">
        <v>4</v>
      </c>
      <c r="AB8128">
        <v>4764.3900000000003</v>
      </c>
      <c r="AC8128">
        <v>4500</v>
      </c>
      <c r="AD8128">
        <v>500</v>
      </c>
      <c r="AE8128">
        <v>13200</v>
      </c>
      <c r="AF8128" s="30">
        <v>34</v>
      </c>
      <c r="AG8128">
        <v>2634.27</v>
      </c>
      <c r="AH8128">
        <v>1666.7</v>
      </c>
      <c r="AI8128">
        <v>750</v>
      </c>
      <c r="AJ8128">
        <v>10000</v>
      </c>
      <c r="AK8128" s="30">
        <v>17</v>
      </c>
      <c r="AL8128">
        <v>1000</v>
      </c>
      <c r="AM8128">
        <v>1000</v>
      </c>
      <c r="AN8128">
        <v>1000</v>
      </c>
      <c r="AO8128">
        <v>1000</v>
      </c>
      <c r="AP8128" s="30">
        <v>1</v>
      </c>
      <c r="AQ8128">
        <v>10000</v>
      </c>
      <c r="AR8128">
        <v>10000</v>
      </c>
      <c r="AS8128">
        <v>10000</v>
      </c>
      <c r="AT8128">
        <v>10000</v>
      </c>
      <c r="AU8128" s="30">
        <v>1</v>
      </c>
      <c r="BA8128">
        <v>2977.78</v>
      </c>
      <c r="BB8128">
        <v>2500</v>
      </c>
      <c r="BC8128">
        <v>200</v>
      </c>
      <c r="BD8128">
        <v>10000</v>
      </c>
      <c r="BE8128" s="30">
        <v>6</v>
      </c>
      <c r="BK8128">
        <v>500</v>
      </c>
      <c r="BL8128">
        <v>500</v>
      </c>
      <c r="BM8128">
        <v>500</v>
      </c>
      <c r="BN8128">
        <v>500</v>
      </c>
      <c r="BO8128" s="30">
        <v>1</v>
      </c>
      <c r="BP8128">
        <v>2650</v>
      </c>
      <c r="BQ8128">
        <v>2300</v>
      </c>
      <c r="BR8128">
        <v>2300</v>
      </c>
      <c r="BS8128">
        <v>3000</v>
      </c>
      <c r="BT8128" s="30">
        <v>2</v>
      </c>
      <c r="BU8128">
        <v>34</v>
      </c>
    </row>
    <row r="8129" spans="1:73" x14ac:dyDescent="0.35">
      <c r="A8129" t="s">
        <v>231</v>
      </c>
      <c r="B8129" t="s">
        <v>241</v>
      </c>
      <c r="C8129">
        <v>12375</v>
      </c>
      <c r="D8129">
        <v>9000</v>
      </c>
      <c r="E8129">
        <v>1250</v>
      </c>
      <c r="F8129">
        <v>40000</v>
      </c>
      <c r="G8129" s="30">
        <v>54</v>
      </c>
      <c r="H8129">
        <v>7078.57</v>
      </c>
      <c r="I8129">
        <v>3000</v>
      </c>
      <c r="J8129">
        <v>300</v>
      </c>
      <c r="K8129">
        <v>40000</v>
      </c>
      <c r="L8129" s="30">
        <v>7</v>
      </c>
      <c r="M8129">
        <v>24937.5</v>
      </c>
      <c r="N8129">
        <v>10000</v>
      </c>
      <c r="O8129">
        <v>250</v>
      </c>
      <c r="P8129">
        <v>93000</v>
      </c>
      <c r="Q8129" s="30">
        <v>8</v>
      </c>
      <c r="R8129">
        <v>2020.83</v>
      </c>
      <c r="S8129">
        <v>1333.3</v>
      </c>
      <c r="T8129">
        <v>750</v>
      </c>
      <c r="U8129">
        <v>3000</v>
      </c>
      <c r="V8129" s="30">
        <v>4</v>
      </c>
      <c r="W8129">
        <v>1983.33</v>
      </c>
      <c r="X8129">
        <v>2000</v>
      </c>
      <c r="Y8129">
        <v>666.7</v>
      </c>
      <c r="Z8129">
        <v>2500</v>
      </c>
      <c r="AA8129" s="30">
        <v>8</v>
      </c>
      <c r="AB8129">
        <v>3467.64</v>
      </c>
      <c r="AC8129">
        <v>3200</v>
      </c>
      <c r="AD8129">
        <v>750</v>
      </c>
      <c r="AE8129">
        <v>11000</v>
      </c>
      <c r="AF8129" s="30">
        <v>45</v>
      </c>
      <c r="AG8129">
        <v>746.76</v>
      </c>
      <c r="AH8129">
        <v>420</v>
      </c>
      <c r="AI8129">
        <v>106.7</v>
      </c>
      <c r="AJ8129">
        <v>2361</v>
      </c>
      <c r="AK8129" s="30">
        <v>11</v>
      </c>
      <c r="AL8129">
        <v>8000</v>
      </c>
      <c r="AM8129">
        <v>8000</v>
      </c>
      <c r="AN8129">
        <v>8000</v>
      </c>
      <c r="AO8129">
        <v>8000</v>
      </c>
      <c r="AP8129" s="30">
        <v>1</v>
      </c>
      <c r="AQ8129">
        <v>2888.89</v>
      </c>
      <c r="AR8129">
        <v>4000</v>
      </c>
      <c r="AS8129">
        <v>666.7</v>
      </c>
      <c r="AT8129">
        <v>4000</v>
      </c>
      <c r="AU8129" s="30">
        <v>3</v>
      </c>
      <c r="BA8129">
        <v>7416.67</v>
      </c>
      <c r="BB8129">
        <v>5000</v>
      </c>
      <c r="BC8129">
        <v>1666.7</v>
      </c>
      <c r="BD8129">
        <v>22750</v>
      </c>
      <c r="BE8129" s="30">
        <v>9</v>
      </c>
      <c r="BK8129">
        <v>500</v>
      </c>
      <c r="BL8129">
        <v>500</v>
      </c>
      <c r="BM8129">
        <v>500</v>
      </c>
      <c r="BN8129">
        <v>500</v>
      </c>
      <c r="BO8129" s="30">
        <v>1</v>
      </c>
      <c r="BP8129">
        <v>6283.33</v>
      </c>
      <c r="BQ8129">
        <v>2500</v>
      </c>
      <c r="BR8129">
        <v>133.30000000000001</v>
      </c>
      <c r="BS8129">
        <v>17500</v>
      </c>
      <c r="BT8129" s="30">
        <v>4</v>
      </c>
      <c r="BU8129">
        <v>54</v>
      </c>
    </row>
    <row r="8130" spans="1:73" x14ac:dyDescent="0.35">
      <c r="A8130" t="s">
        <v>232</v>
      </c>
      <c r="B8130" t="s">
        <v>232</v>
      </c>
      <c r="C8130">
        <v>12841.11</v>
      </c>
      <c r="D8130">
        <v>10000</v>
      </c>
      <c r="E8130">
        <v>333.3</v>
      </c>
      <c r="F8130">
        <v>150000</v>
      </c>
      <c r="G8130" s="30">
        <v>1271</v>
      </c>
      <c r="H8130">
        <v>6272.64</v>
      </c>
      <c r="I8130">
        <v>3333.3</v>
      </c>
      <c r="J8130">
        <v>16.7</v>
      </c>
      <c r="K8130">
        <v>66666.7</v>
      </c>
      <c r="L8130" s="30">
        <v>241</v>
      </c>
      <c r="M8130">
        <v>17578.79</v>
      </c>
      <c r="N8130">
        <v>10000</v>
      </c>
      <c r="O8130">
        <v>250</v>
      </c>
      <c r="P8130">
        <v>150000</v>
      </c>
      <c r="Q8130" s="30">
        <v>109</v>
      </c>
      <c r="R8130">
        <v>2698.25</v>
      </c>
      <c r="S8130">
        <v>1750</v>
      </c>
      <c r="T8130">
        <v>100</v>
      </c>
      <c r="U8130">
        <v>35000</v>
      </c>
      <c r="V8130" s="30">
        <v>92</v>
      </c>
      <c r="W8130">
        <v>1917.18</v>
      </c>
      <c r="X8130">
        <v>2000</v>
      </c>
      <c r="Y8130">
        <v>400</v>
      </c>
      <c r="Z8130">
        <v>5000</v>
      </c>
      <c r="AA8130" s="30">
        <v>264</v>
      </c>
      <c r="AB8130">
        <v>4296.82</v>
      </c>
      <c r="AC8130">
        <v>4000</v>
      </c>
      <c r="AD8130">
        <v>428.6</v>
      </c>
      <c r="AE8130">
        <v>30000</v>
      </c>
      <c r="AF8130" s="30">
        <v>1194</v>
      </c>
      <c r="AG8130">
        <v>2115.1799999999998</v>
      </c>
      <c r="AH8130">
        <v>1400</v>
      </c>
      <c r="AI8130">
        <v>106.7</v>
      </c>
      <c r="AJ8130">
        <v>20000</v>
      </c>
      <c r="AK8130" s="30">
        <v>404</v>
      </c>
      <c r="AL8130">
        <v>5888.89</v>
      </c>
      <c r="AM8130">
        <v>4000</v>
      </c>
      <c r="AN8130">
        <v>100</v>
      </c>
      <c r="AO8130">
        <v>25000</v>
      </c>
      <c r="AP8130" s="30">
        <v>32</v>
      </c>
      <c r="AQ8130">
        <v>5244.2</v>
      </c>
      <c r="AR8130">
        <v>3333.3</v>
      </c>
      <c r="AS8130">
        <v>233.3</v>
      </c>
      <c r="AT8130">
        <v>30000</v>
      </c>
      <c r="AU8130" s="30">
        <v>92</v>
      </c>
      <c r="AV8130">
        <v>1217.7</v>
      </c>
      <c r="AW8130">
        <v>1200</v>
      </c>
      <c r="AX8130">
        <v>241.7</v>
      </c>
      <c r="AY8130">
        <v>3300</v>
      </c>
      <c r="AZ8130" s="30">
        <v>52</v>
      </c>
      <c r="BA8130">
        <v>4143.3599999999997</v>
      </c>
      <c r="BB8130">
        <v>2500</v>
      </c>
      <c r="BC8130">
        <v>75</v>
      </c>
      <c r="BD8130">
        <v>26000</v>
      </c>
      <c r="BE8130" s="30">
        <v>206</v>
      </c>
      <c r="BF8130">
        <v>2109.21</v>
      </c>
      <c r="BG8130">
        <v>1000</v>
      </c>
      <c r="BH8130">
        <v>666.7</v>
      </c>
      <c r="BI8130">
        <v>4000</v>
      </c>
      <c r="BJ8130" s="30">
        <v>3</v>
      </c>
      <c r="BK8130">
        <v>9971.93</v>
      </c>
      <c r="BL8130">
        <v>666.7</v>
      </c>
      <c r="BM8130">
        <v>500</v>
      </c>
      <c r="BN8130">
        <v>75000</v>
      </c>
      <c r="BO8130" s="30">
        <v>14</v>
      </c>
      <c r="BP8130">
        <v>5190.95</v>
      </c>
      <c r="BQ8130">
        <v>3000</v>
      </c>
      <c r="BR8130">
        <v>100</v>
      </c>
      <c r="BS8130">
        <v>40000</v>
      </c>
      <c r="BT8130" s="30">
        <v>87</v>
      </c>
      <c r="BU8130">
        <v>1271</v>
      </c>
    </row>
    <row r="8132" spans="1:73" x14ac:dyDescent="0.35">
      <c r="A8132" s="1" t="s">
        <v>1176</v>
      </c>
    </row>
    <row r="8133" spans="1:73" x14ac:dyDescent="0.35">
      <c r="A8133" t="s">
        <v>219</v>
      </c>
      <c r="B8133" t="s">
        <v>305</v>
      </c>
      <c r="C8133" t="s">
        <v>1105</v>
      </c>
      <c r="D8133" t="s">
        <v>1106</v>
      </c>
      <c r="E8133" t="s">
        <v>1107</v>
      </c>
      <c r="F8133" t="s">
        <v>1108</v>
      </c>
      <c r="G8133" t="s">
        <v>1109</v>
      </c>
      <c r="H8133" t="s">
        <v>1110</v>
      </c>
      <c r="I8133" t="s">
        <v>1111</v>
      </c>
      <c r="J8133" t="s">
        <v>1112</v>
      </c>
      <c r="K8133" t="s">
        <v>1113</v>
      </c>
      <c r="L8133" t="s">
        <v>1114</v>
      </c>
      <c r="M8133" t="s">
        <v>1115</v>
      </c>
      <c r="N8133" t="s">
        <v>1116</v>
      </c>
      <c r="O8133" t="s">
        <v>1117</v>
      </c>
      <c r="P8133" t="s">
        <v>1118</v>
      </c>
      <c r="Q8133" t="s">
        <v>1119</v>
      </c>
      <c r="R8133" t="s">
        <v>1120</v>
      </c>
      <c r="S8133" t="s">
        <v>1121</v>
      </c>
      <c r="T8133" t="s">
        <v>1122</v>
      </c>
      <c r="U8133" t="s">
        <v>1123</v>
      </c>
      <c r="V8133" t="s">
        <v>1124</v>
      </c>
      <c r="W8133" t="s">
        <v>1125</v>
      </c>
      <c r="X8133" t="s">
        <v>1126</v>
      </c>
      <c r="Y8133" t="s">
        <v>1127</v>
      </c>
      <c r="Z8133" t="s">
        <v>1128</v>
      </c>
      <c r="AA8133" t="s">
        <v>1129</v>
      </c>
      <c r="AB8133" t="s">
        <v>1130</v>
      </c>
      <c r="AC8133" t="s">
        <v>1131</v>
      </c>
      <c r="AD8133" t="s">
        <v>1132</v>
      </c>
      <c r="AE8133" t="s">
        <v>1133</v>
      </c>
      <c r="AF8133" t="s">
        <v>1134</v>
      </c>
      <c r="AG8133" t="s">
        <v>1135</v>
      </c>
      <c r="AH8133" t="s">
        <v>1136</v>
      </c>
      <c r="AI8133" t="s">
        <v>1137</v>
      </c>
      <c r="AJ8133" t="s">
        <v>1138</v>
      </c>
      <c r="AK8133" t="s">
        <v>1139</v>
      </c>
      <c r="AL8133" t="s">
        <v>1140</v>
      </c>
      <c r="AM8133" t="s">
        <v>1141</v>
      </c>
      <c r="AN8133" t="s">
        <v>1142</v>
      </c>
      <c r="AO8133" t="s">
        <v>1143</v>
      </c>
      <c r="AP8133" t="s">
        <v>1144</v>
      </c>
      <c r="AQ8133" t="s">
        <v>1145</v>
      </c>
      <c r="AR8133" t="s">
        <v>1146</v>
      </c>
      <c r="AS8133" t="s">
        <v>1147</v>
      </c>
      <c r="AT8133" t="s">
        <v>1148</v>
      </c>
      <c r="AU8133" t="s">
        <v>1149</v>
      </c>
      <c r="AV8133" t="s">
        <v>1150</v>
      </c>
      <c r="AW8133" t="s">
        <v>1151</v>
      </c>
      <c r="AX8133" t="s">
        <v>1152</v>
      </c>
      <c r="AY8133" t="s">
        <v>1153</v>
      </c>
      <c r="AZ8133" t="s">
        <v>1154</v>
      </c>
      <c r="BA8133" t="s">
        <v>1155</v>
      </c>
      <c r="BB8133" t="s">
        <v>1156</v>
      </c>
      <c r="BC8133" t="s">
        <v>1157</v>
      </c>
      <c r="BD8133" t="s">
        <v>1158</v>
      </c>
      <c r="BE8133" t="s">
        <v>1159</v>
      </c>
      <c r="BF8133" t="s">
        <v>1160</v>
      </c>
      <c r="BG8133" t="s">
        <v>1161</v>
      </c>
      <c r="BH8133" t="s">
        <v>1162</v>
      </c>
      <c r="BI8133" t="s">
        <v>1163</v>
      </c>
      <c r="BJ8133" t="s">
        <v>1164</v>
      </c>
      <c r="BK8133" t="s">
        <v>1165</v>
      </c>
      <c r="BL8133" t="s">
        <v>1166</v>
      </c>
      <c r="BM8133" t="s">
        <v>1167</v>
      </c>
      <c r="BN8133" t="s">
        <v>1168</v>
      </c>
      <c r="BO8133" t="s">
        <v>1169</v>
      </c>
      <c r="BP8133" t="s">
        <v>1170</v>
      </c>
      <c r="BQ8133" t="s">
        <v>1171</v>
      </c>
      <c r="BR8133" t="s">
        <v>1172</v>
      </c>
      <c r="BS8133" t="s">
        <v>1173</v>
      </c>
      <c r="BT8133" t="s">
        <v>1174</v>
      </c>
      <c r="BU8133" t="s">
        <v>964</v>
      </c>
    </row>
    <row r="8134" spans="1:73" x14ac:dyDescent="0.35">
      <c r="A8134" t="s">
        <v>227</v>
      </c>
      <c r="B8134" t="s">
        <v>239</v>
      </c>
      <c r="C8134">
        <v>9189.66</v>
      </c>
      <c r="D8134">
        <v>6666.7</v>
      </c>
      <c r="E8134">
        <v>1500</v>
      </c>
      <c r="F8134">
        <v>37896</v>
      </c>
      <c r="G8134" s="30">
        <v>31</v>
      </c>
      <c r="H8134">
        <v>3395.83</v>
      </c>
      <c r="I8134">
        <v>750</v>
      </c>
      <c r="J8134">
        <v>500</v>
      </c>
      <c r="K8134">
        <v>8333.2999999999993</v>
      </c>
      <c r="L8134" s="30">
        <v>4</v>
      </c>
      <c r="R8134">
        <v>4000</v>
      </c>
      <c r="S8134">
        <v>9000</v>
      </c>
      <c r="T8134">
        <v>1000</v>
      </c>
      <c r="U8134">
        <v>9000</v>
      </c>
      <c r="V8134" s="30">
        <v>3</v>
      </c>
      <c r="W8134">
        <v>1958.33</v>
      </c>
      <c r="X8134">
        <v>2000</v>
      </c>
      <c r="Y8134">
        <v>1000</v>
      </c>
      <c r="Z8134">
        <v>3000</v>
      </c>
      <c r="AA8134" s="30">
        <v>10</v>
      </c>
      <c r="AB8134">
        <v>4354.6899999999996</v>
      </c>
      <c r="AC8134">
        <v>4500</v>
      </c>
      <c r="AD8134">
        <v>625</v>
      </c>
      <c r="AE8134">
        <v>8000</v>
      </c>
      <c r="AF8134" s="30">
        <v>27</v>
      </c>
      <c r="AG8134">
        <v>2013.67</v>
      </c>
      <c r="AH8134">
        <v>1060</v>
      </c>
      <c r="AI8134">
        <v>215</v>
      </c>
      <c r="AJ8134">
        <v>5666.7</v>
      </c>
      <c r="AK8134" s="30">
        <v>14</v>
      </c>
      <c r="AQ8134">
        <v>3333.33</v>
      </c>
      <c r="AR8134">
        <v>3333.3</v>
      </c>
      <c r="AS8134">
        <v>3333.3</v>
      </c>
      <c r="AT8134">
        <v>3333.3</v>
      </c>
      <c r="AU8134" s="30">
        <v>1</v>
      </c>
      <c r="BA8134">
        <v>3531.25</v>
      </c>
      <c r="BB8134">
        <v>2500</v>
      </c>
      <c r="BC8134">
        <v>1250</v>
      </c>
      <c r="BD8134">
        <v>7500</v>
      </c>
      <c r="BE8134" s="30">
        <v>8</v>
      </c>
      <c r="BP8134">
        <v>3000</v>
      </c>
      <c r="BQ8134">
        <v>6000</v>
      </c>
      <c r="BR8134">
        <v>1333.3</v>
      </c>
      <c r="BS8134">
        <v>6000</v>
      </c>
      <c r="BT8134" s="30">
        <v>3</v>
      </c>
      <c r="BU8134">
        <v>31</v>
      </c>
    </row>
    <row r="8135" spans="1:73" x14ac:dyDescent="0.35">
      <c r="A8135" t="s">
        <v>227</v>
      </c>
      <c r="B8135" t="s">
        <v>238</v>
      </c>
      <c r="C8135">
        <v>10903.01</v>
      </c>
      <c r="D8135">
        <v>8750</v>
      </c>
      <c r="E8135">
        <v>500</v>
      </c>
      <c r="F8135">
        <v>60000</v>
      </c>
      <c r="G8135" s="30">
        <v>53</v>
      </c>
      <c r="H8135">
        <v>5483.33</v>
      </c>
      <c r="I8135">
        <v>5000</v>
      </c>
      <c r="J8135">
        <v>750</v>
      </c>
      <c r="K8135">
        <v>20000</v>
      </c>
      <c r="L8135" s="30">
        <v>13</v>
      </c>
      <c r="M8135">
        <v>16666.669999999998</v>
      </c>
      <c r="N8135">
        <v>13333.3</v>
      </c>
      <c r="O8135">
        <v>10000</v>
      </c>
      <c r="P8135">
        <v>30000</v>
      </c>
      <c r="Q8135" s="30">
        <v>4</v>
      </c>
      <c r="R8135">
        <v>2766.67</v>
      </c>
      <c r="S8135">
        <v>6666.7</v>
      </c>
      <c r="T8135">
        <v>300</v>
      </c>
      <c r="U8135">
        <v>6666.7</v>
      </c>
      <c r="V8135" s="30">
        <v>3</v>
      </c>
      <c r="W8135">
        <v>2050</v>
      </c>
      <c r="X8135">
        <v>2000</v>
      </c>
      <c r="Y8135">
        <v>1000</v>
      </c>
      <c r="Z8135">
        <v>3000</v>
      </c>
      <c r="AA8135" s="30">
        <v>9</v>
      </c>
      <c r="AB8135">
        <v>3989.59</v>
      </c>
      <c r="AC8135">
        <v>4000</v>
      </c>
      <c r="AD8135">
        <v>750</v>
      </c>
      <c r="AE8135">
        <v>10000</v>
      </c>
      <c r="AF8135" s="30">
        <v>41</v>
      </c>
      <c r="AG8135">
        <v>3357.69</v>
      </c>
      <c r="AH8135">
        <v>2700</v>
      </c>
      <c r="AI8135">
        <v>300</v>
      </c>
      <c r="AJ8135">
        <v>13900</v>
      </c>
      <c r="AK8135" s="30">
        <v>13</v>
      </c>
      <c r="AL8135">
        <v>550</v>
      </c>
      <c r="AM8135">
        <v>100</v>
      </c>
      <c r="AN8135">
        <v>100</v>
      </c>
      <c r="AO8135">
        <v>1000</v>
      </c>
      <c r="AP8135" s="30">
        <v>2</v>
      </c>
      <c r="AQ8135">
        <v>3166.67</v>
      </c>
      <c r="AR8135">
        <v>4500</v>
      </c>
      <c r="AS8135">
        <v>2500</v>
      </c>
      <c r="AT8135">
        <v>4500</v>
      </c>
      <c r="AU8135" s="30">
        <v>3</v>
      </c>
      <c r="BA8135">
        <v>3388.89</v>
      </c>
      <c r="BB8135">
        <v>4000</v>
      </c>
      <c r="BC8135">
        <v>1000</v>
      </c>
      <c r="BD8135">
        <v>7500</v>
      </c>
      <c r="BE8135" s="30">
        <v>9</v>
      </c>
      <c r="BP8135">
        <v>5534.17</v>
      </c>
      <c r="BQ8135">
        <v>270</v>
      </c>
      <c r="BR8135">
        <v>200</v>
      </c>
      <c r="BS8135">
        <v>20000</v>
      </c>
      <c r="BT8135" s="30">
        <v>4</v>
      </c>
      <c r="BU8135">
        <v>53</v>
      </c>
    </row>
    <row r="8136" spans="1:73" x14ac:dyDescent="0.35">
      <c r="A8136" t="s">
        <v>228</v>
      </c>
      <c r="B8136" t="s">
        <v>239</v>
      </c>
      <c r="C8136">
        <v>8518.57</v>
      </c>
      <c r="D8136">
        <v>6666.7</v>
      </c>
      <c r="E8136">
        <v>700</v>
      </c>
      <c r="F8136">
        <v>80000</v>
      </c>
      <c r="G8136" s="30">
        <v>111</v>
      </c>
      <c r="H8136">
        <v>3604.75</v>
      </c>
      <c r="I8136">
        <v>2000</v>
      </c>
      <c r="J8136">
        <v>500</v>
      </c>
      <c r="K8136">
        <v>20000</v>
      </c>
      <c r="L8136" s="30">
        <v>30</v>
      </c>
      <c r="M8136">
        <v>8952.16</v>
      </c>
      <c r="N8136">
        <v>10000</v>
      </c>
      <c r="O8136">
        <v>3750</v>
      </c>
      <c r="P8136">
        <v>30000</v>
      </c>
      <c r="Q8136" s="30">
        <v>6</v>
      </c>
      <c r="R8136">
        <v>3627.29</v>
      </c>
      <c r="S8136">
        <v>2500</v>
      </c>
      <c r="T8136">
        <v>500</v>
      </c>
      <c r="U8136">
        <v>30000</v>
      </c>
      <c r="V8136" s="30">
        <v>17</v>
      </c>
      <c r="W8136">
        <v>1910.63</v>
      </c>
      <c r="X8136">
        <v>2000</v>
      </c>
      <c r="Y8136">
        <v>500</v>
      </c>
      <c r="Z8136">
        <v>5000</v>
      </c>
      <c r="AA8136" s="30">
        <v>51</v>
      </c>
      <c r="AB8136">
        <v>3790.28</v>
      </c>
      <c r="AC8136">
        <v>3500</v>
      </c>
      <c r="AD8136">
        <v>428.6</v>
      </c>
      <c r="AE8136">
        <v>10000</v>
      </c>
      <c r="AF8136" s="30">
        <v>162</v>
      </c>
      <c r="AG8136">
        <v>1332.21</v>
      </c>
      <c r="AH8136">
        <v>1500</v>
      </c>
      <c r="AI8136">
        <v>215</v>
      </c>
      <c r="AJ8136">
        <v>3666.7</v>
      </c>
      <c r="AK8136" s="30">
        <v>47</v>
      </c>
      <c r="AL8136">
        <v>3200</v>
      </c>
      <c r="AM8136">
        <v>1900</v>
      </c>
      <c r="AN8136">
        <v>1900</v>
      </c>
      <c r="AO8136">
        <v>4500</v>
      </c>
      <c r="AP8136" s="30">
        <v>2</v>
      </c>
      <c r="AQ8136">
        <v>3073.75</v>
      </c>
      <c r="AR8136">
        <v>1800</v>
      </c>
      <c r="AS8136">
        <v>1000</v>
      </c>
      <c r="AT8136">
        <v>30000</v>
      </c>
      <c r="AU8136" s="30">
        <v>10</v>
      </c>
      <c r="AV8136">
        <v>878.29</v>
      </c>
      <c r="AW8136">
        <v>1000</v>
      </c>
      <c r="AX8136">
        <v>600</v>
      </c>
      <c r="AY8136">
        <v>1200</v>
      </c>
      <c r="AZ8136" s="30">
        <v>9</v>
      </c>
      <c r="BA8136">
        <v>2801.03</v>
      </c>
      <c r="BB8136">
        <v>2000</v>
      </c>
      <c r="BC8136">
        <v>166.7</v>
      </c>
      <c r="BD8136">
        <v>26000</v>
      </c>
      <c r="BE8136" s="30">
        <v>21</v>
      </c>
      <c r="BF8136">
        <v>1000</v>
      </c>
      <c r="BG8136">
        <v>1000</v>
      </c>
      <c r="BH8136">
        <v>1000</v>
      </c>
      <c r="BI8136">
        <v>1000</v>
      </c>
      <c r="BJ8136" s="30">
        <v>1</v>
      </c>
      <c r="BK8136">
        <v>1450</v>
      </c>
      <c r="BL8136">
        <v>1450</v>
      </c>
      <c r="BM8136">
        <v>1450</v>
      </c>
      <c r="BN8136">
        <v>1450</v>
      </c>
      <c r="BO8136" s="30">
        <v>1</v>
      </c>
      <c r="BP8136">
        <v>5660.48</v>
      </c>
      <c r="BQ8136">
        <v>8000</v>
      </c>
      <c r="BR8136">
        <v>566.70000000000005</v>
      </c>
      <c r="BS8136">
        <v>8000</v>
      </c>
      <c r="BT8136" s="30">
        <v>7</v>
      </c>
      <c r="BU8136">
        <v>162</v>
      </c>
    </row>
    <row r="8137" spans="1:73" x14ac:dyDescent="0.35">
      <c r="A8137" t="s">
        <v>228</v>
      </c>
      <c r="B8137" t="s">
        <v>238</v>
      </c>
      <c r="C8137">
        <v>13266.45</v>
      </c>
      <c r="D8137">
        <v>10000</v>
      </c>
      <c r="E8137">
        <v>666.7</v>
      </c>
      <c r="F8137">
        <v>66666.7</v>
      </c>
      <c r="G8137" s="30">
        <v>304</v>
      </c>
      <c r="H8137">
        <v>5461.02</v>
      </c>
      <c r="I8137">
        <v>4000</v>
      </c>
      <c r="J8137">
        <v>500</v>
      </c>
      <c r="K8137">
        <v>39000</v>
      </c>
      <c r="L8137" s="30">
        <v>55</v>
      </c>
      <c r="M8137">
        <v>15919.07</v>
      </c>
      <c r="N8137">
        <v>6750</v>
      </c>
      <c r="O8137">
        <v>1250</v>
      </c>
      <c r="P8137">
        <v>70000</v>
      </c>
      <c r="Q8137" s="30">
        <v>30</v>
      </c>
      <c r="R8137">
        <v>2563.9899999999998</v>
      </c>
      <c r="S8137">
        <v>5000</v>
      </c>
      <c r="T8137">
        <v>450</v>
      </c>
      <c r="U8137">
        <v>6250</v>
      </c>
      <c r="V8137" s="30">
        <v>6</v>
      </c>
      <c r="W8137">
        <v>1820.9</v>
      </c>
      <c r="X8137">
        <v>2000</v>
      </c>
      <c r="Y8137">
        <v>400</v>
      </c>
      <c r="Z8137">
        <v>4666.7</v>
      </c>
      <c r="AA8137" s="30">
        <v>82</v>
      </c>
      <c r="AB8137">
        <v>4717.25</v>
      </c>
      <c r="AC8137">
        <v>4230</v>
      </c>
      <c r="AD8137">
        <v>500</v>
      </c>
      <c r="AE8137">
        <v>27000</v>
      </c>
      <c r="AF8137" s="30">
        <v>331</v>
      </c>
      <c r="AG8137">
        <v>1830.79</v>
      </c>
      <c r="AH8137">
        <v>1500</v>
      </c>
      <c r="AI8137">
        <v>160</v>
      </c>
      <c r="AJ8137">
        <v>9850</v>
      </c>
      <c r="AK8137" s="30">
        <v>94</v>
      </c>
      <c r="AL8137">
        <v>4924.72</v>
      </c>
      <c r="AM8137">
        <v>2000</v>
      </c>
      <c r="AN8137">
        <v>333.3</v>
      </c>
      <c r="AO8137">
        <v>18000</v>
      </c>
      <c r="AP8137" s="30">
        <v>9</v>
      </c>
      <c r="AQ8137">
        <v>6809.22</v>
      </c>
      <c r="AR8137">
        <v>2666.7</v>
      </c>
      <c r="AS8137">
        <v>233.3</v>
      </c>
      <c r="AT8137">
        <v>25000</v>
      </c>
      <c r="AU8137" s="30">
        <v>26</v>
      </c>
      <c r="AV8137">
        <v>1071.27</v>
      </c>
      <c r="AW8137">
        <v>1200</v>
      </c>
      <c r="AX8137">
        <v>400</v>
      </c>
      <c r="AY8137">
        <v>1600</v>
      </c>
      <c r="AZ8137" s="30">
        <v>15</v>
      </c>
      <c r="BA8137">
        <v>4489.97</v>
      </c>
      <c r="BB8137">
        <v>2500</v>
      </c>
      <c r="BC8137">
        <v>100</v>
      </c>
      <c r="BD8137">
        <v>26000</v>
      </c>
      <c r="BE8137" s="30">
        <v>43</v>
      </c>
      <c r="BK8137">
        <v>1328.33</v>
      </c>
      <c r="BL8137">
        <v>21750</v>
      </c>
      <c r="BM8137">
        <v>500</v>
      </c>
      <c r="BN8137">
        <v>21750</v>
      </c>
      <c r="BO8137" s="30">
        <v>3</v>
      </c>
      <c r="BP8137">
        <v>5350.95</v>
      </c>
      <c r="BQ8137">
        <v>4200</v>
      </c>
      <c r="BR8137">
        <v>100</v>
      </c>
      <c r="BS8137">
        <v>25300</v>
      </c>
      <c r="BT8137" s="30">
        <v>17</v>
      </c>
      <c r="BU8137">
        <v>331</v>
      </c>
    </row>
    <row r="8138" spans="1:73" x14ac:dyDescent="0.35">
      <c r="A8138" t="s">
        <v>229</v>
      </c>
      <c r="B8138" t="s">
        <v>239</v>
      </c>
      <c r="C8138">
        <v>12367.65</v>
      </c>
      <c r="D8138">
        <v>9500</v>
      </c>
      <c r="E8138">
        <v>500</v>
      </c>
      <c r="F8138">
        <v>150000</v>
      </c>
      <c r="G8138" s="30">
        <v>157</v>
      </c>
      <c r="H8138">
        <v>8070.95</v>
      </c>
      <c r="I8138">
        <v>5500</v>
      </c>
      <c r="J8138">
        <v>100</v>
      </c>
      <c r="K8138">
        <v>20000</v>
      </c>
      <c r="L8138" s="30">
        <v>39</v>
      </c>
      <c r="M8138">
        <v>7247.98</v>
      </c>
      <c r="N8138">
        <v>7000</v>
      </c>
      <c r="O8138">
        <v>750</v>
      </c>
      <c r="P8138">
        <v>15000</v>
      </c>
      <c r="Q8138" s="30">
        <v>9</v>
      </c>
      <c r="R8138">
        <v>3297.86</v>
      </c>
      <c r="S8138">
        <v>666.7</v>
      </c>
      <c r="T8138">
        <v>100</v>
      </c>
      <c r="U8138">
        <v>35000</v>
      </c>
      <c r="V8138" s="30">
        <v>30</v>
      </c>
      <c r="W8138">
        <v>1541.94</v>
      </c>
      <c r="X8138">
        <v>2000</v>
      </c>
      <c r="Y8138">
        <v>666.7</v>
      </c>
      <c r="Z8138">
        <v>3150</v>
      </c>
      <c r="AA8138" s="30">
        <v>19</v>
      </c>
      <c r="AB8138">
        <v>3946.69</v>
      </c>
      <c r="AC8138">
        <v>3200</v>
      </c>
      <c r="AD8138">
        <v>460</v>
      </c>
      <c r="AE8138">
        <v>15000</v>
      </c>
      <c r="AF8138" s="30">
        <v>112</v>
      </c>
      <c r="AG8138">
        <v>2180.38</v>
      </c>
      <c r="AH8138">
        <v>1000</v>
      </c>
      <c r="AI8138">
        <v>286.7</v>
      </c>
      <c r="AJ8138">
        <v>18000</v>
      </c>
      <c r="AK8138" s="30">
        <v>44</v>
      </c>
      <c r="AL8138">
        <v>9375</v>
      </c>
      <c r="AM8138">
        <v>3750</v>
      </c>
      <c r="AN8138">
        <v>3750</v>
      </c>
      <c r="AO8138">
        <v>15000</v>
      </c>
      <c r="AP8138" s="30">
        <v>2</v>
      </c>
      <c r="AQ8138">
        <v>4457.6499999999996</v>
      </c>
      <c r="AR8138">
        <v>5000</v>
      </c>
      <c r="AS8138">
        <v>833.3</v>
      </c>
      <c r="AT8138">
        <v>10000</v>
      </c>
      <c r="AU8138" s="30">
        <v>6</v>
      </c>
      <c r="AV8138">
        <v>500</v>
      </c>
      <c r="AW8138">
        <v>500</v>
      </c>
      <c r="AX8138">
        <v>500</v>
      </c>
      <c r="AY8138">
        <v>500</v>
      </c>
      <c r="AZ8138" s="30">
        <v>1</v>
      </c>
      <c r="BA8138">
        <v>1805.95</v>
      </c>
      <c r="BB8138">
        <v>1000</v>
      </c>
      <c r="BC8138">
        <v>75</v>
      </c>
      <c r="BD8138">
        <v>20000</v>
      </c>
      <c r="BE8138" s="30">
        <v>17</v>
      </c>
      <c r="BK8138">
        <v>75000</v>
      </c>
      <c r="BL8138">
        <v>75000</v>
      </c>
      <c r="BM8138">
        <v>75000</v>
      </c>
      <c r="BN8138">
        <v>75000</v>
      </c>
      <c r="BO8138" s="30">
        <v>2</v>
      </c>
      <c r="BP8138">
        <v>12136.7</v>
      </c>
      <c r="BQ8138">
        <v>20000</v>
      </c>
      <c r="BR8138">
        <v>1500</v>
      </c>
      <c r="BS8138">
        <v>20000</v>
      </c>
      <c r="BT8138" s="30">
        <v>6</v>
      </c>
      <c r="BU8138">
        <v>157</v>
      </c>
    </row>
    <row r="8139" spans="1:73" x14ac:dyDescent="0.35">
      <c r="A8139" t="s">
        <v>229</v>
      </c>
      <c r="B8139" t="s">
        <v>238</v>
      </c>
      <c r="C8139">
        <v>16512.75</v>
      </c>
      <c r="D8139">
        <v>13333.3</v>
      </c>
      <c r="E8139">
        <v>607.70000000000005</v>
      </c>
      <c r="F8139">
        <v>100000</v>
      </c>
      <c r="G8139" s="30">
        <v>295</v>
      </c>
      <c r="H8139">
        <v>9819.25</v>
      </c>
      <c r="I8139">
        <v>3333.3</v>
      </c>
      <c r="J8139">
        <v>16.7</v>
      </c>
      <c r="K8139">
        <v>66666.7</v>
      </c>
      <c r="L8139" s="30">
        <v>31</v>
      </c>
      <c r="M8139">
        <v>11934.6</v>
      </c>
      <c r="N8139">
        <v>10000</v>
      </c>
      <c r="O8139">
        <v>750</v>
      </c>
      <c r="P8139">
        <v>33333.300000000003</v>
      </c>
      <c r="Q8139" s="30">
        <v>28</v>
      </c>
      <c r="R8139">
        <v>2161.61</v>
      </c>
      <c r="S8139">
        <v>2000</v>
      </c>
      <c r="T8139">
        <v>250</v>
      </c>
      <c r="U8139">
        <v>20000</v>
      </c>
      <c r="V8139" s="30">
        <v>7</v>
      </c>
      <c r="W8139">
        <v>2006.21</v>
      </c>
      <c r="X8139">
        <v>2000</v>
      </c>
      <c r="Y8139">
        <v>500</v>
      </c>
      <c r="Z8139">
        <v>3000</v>
      </c>
      <c r="AA8139" s="30">
        <v>34</v>
      </c>
      <c r="AB8139">
        <v>4957.66</v>
      </c>
      <c r="AC8139">
        <v>4300</v>
      </c>
      <c r="AD8139">
        <v>660</v>
      </c>
      <c r="AE8139">
        <v>30000</v>
      </c>
      <c r="AF8139" s="30">
        <v>201</v>
      </c>
      <c r="AG8139">
        <v>2476.06</v>
      </c>
      <c r="AH8139">
        <v>1666.7</v>
      </c>
      <c r="AI8139">
        <v>150</v>
      </c>
      <c r="AJ8139">
        <v>20000</v>
      </c>
      <c r="AK8139" s="30">
        <v>78</v>
      </c>
      <c r="AL8139">
        <v>7035.55</v>
      </c>
      <c r="AM8139">
        <v>10000</v>
      </c>
      <c r="AN8139">
        <v>608</v>
      </c>
      <c r="AO8139">
        <v>10000</v>
      </c>
      <c r="AP8139" s="30">
        <v>5</v>
      </c>
      <c r="AQ8139">
        <v>5264.41</v>
      </c>
      <c r="AR8139">
        <v>3333.3</v>
      </c>
      <c r="AS8139">
        <v>1000</v>
      </c>
      <c r="AT8139">
        <v>20000</v>
      </c>
      <c r="AU8139" s="30">
        <v>19</v>
      </c>
      <c r="AV8139">
        <v>500</v>
      </c>
      <c r="AW8139">
        <v>500</v>
      </c>
      <c r="AX8139">
        <v>500</v>
      </c>
      <c r="AY8139">
        <v>500</v>
      </c>
      <c r="AZ8139" s="30">
        <v>1</v>
      </c>
      <c r="BA8139">
        <v>3546.98</v>
      </c>
      <c r="BB8139">
        <v>3000</v>
      </c>
      <c r="BC8139">
        <v>100</v>
      </c>
      <c r="BD8139">
        <v>10000</v>
      </c>
      <c r="BE8139" s="30">
        <v>40</v>
      </c>
      <c r="BF8139">
        <v>2184.35</v>
      </c>
      <c r="BG8139">
        <v>666.7</v>
      </c>
      <c r="BH8139">
        <v>666.7</v>
      </c>
      <c r="BI8139">
        <v>4000</v>
      </c>
      <c r="BJ8139" s="30">
        <v>2</v>
      </c>
      <c r="BK8139">
        <v>3333.33</v>
      </c>
      <c r="BL8139">
        <v>3333.3</v>
      </c>
      <c r="BM8139">
        <v>3333.3</v>
      </c>
      <c r="BN8139">
        <v>3333.3</v>
      </c>
      <c r="BO8139" s="30">
        <v>1</v>
      </c>
      <c r="BP8139">
        <v>6008.75</v>
      </c>
      <c r="BQ8139">
        <v>5000</v>
      </c>
      <c r="BR8139">
        <v>125</v>
      </c>
      <c r="BS8139">
        <v>40000</v>
      </c>
      <c r="BT8139" s="30">
        <v>28</v>
      </c>
      <c r="BU8139">
        <v>295</v>
      </c>
    </row>
    <row r="8140" spans="1:73" x14ac:dyDescent="0.35">
      <c r="A8140" t="s">
        <v>230</v>
      </c>
      <c r="B8140" t="s">
        <v>239</v>
      </c>
      <c r="C8140">
        <v>8106.21</v>
      </c>
      <c r="D8140">
        <v>6666.7</v>
      </c>
      <c r="E8140">
        <v>333.3</v>
      </c>
      <c r="F8140">
        <v>75000</v>
      </c>
      <c r="G8140" s="30">
        <v>80</v>
      </c>
      <c r="H8140">
        <v>2400.66</v>
      </c>
      <c r="I8140">
        <v>2000</v>
      </c>
      <c r="J8140">
        <v>333.3</v>
      </c>
      <c r="K8140">
        <v>10000</v>
      </c>
      <c r="L8140" s="30">
        <v>25</v>
      </c>
      <c r="M8140">
        <v>8733.33</v>
      </c>
      <c r="N8140">
        <v>7500</v>
      </c>
      <c r="O8140">
        <v>666.7</v>
      </c>
      <c r="P8140">
        <v>17500</v>
      </c>
      <c r="Q8140" s="30">
        <v>9</v>
      </c>
      <c r="R8140">
        <v>2965.95</v>
      </c>
      <c r="S8140">
        <v>2833.3</v>
      </c>
      <c r="T8140">
        <v>600</v>
      </c>
      <c r="U8140">
        <v>8000</v>
      </c>
      <c r="V8140" s="30">
        <v>18</v>
      </c>
      <c r="W8140">
        <v>1732.62</v>
      </c>
      <c r="X8140">
        <v>2000</v>
      </c>
      <c r="Y8140">
        <v>666.7</v>
      </c>
      <c r="Z8140">
        <v>3000</v>
      </c>
      <c r="AA8140" s="30">
        <v>12</v>
      </c>
      <c r="AB8140">
        <v>3085.3</v>
      </c>
      <c r="AC8140">
        <v>3050</v>
      </c>
      <c r="AD8140">
        <v>640</v>
      </c>
      <c r="AE8140">
        <v>18000</v>
      </c>
      <c r="AF8140" s="30">
        <v>97</v>
      </c>
      <c r="AG8140">
        <v>1571.78</v>
      </c>
      <c r="AH8140">
        <v>1100</v>
      </c>
      <c r="AI8140">
        <v>172</v>
      </c>
      <c r="AJ8140">
        <v>5500</v>
      </c>
      <c r="AK8140" s="30">
        <v>36</v>
      </c>
      <c r="AL8140">
        <v>1866.67</v>
      </c>
      <c r="AM8140">
        <v>2500</v>
      </c>
      <c r="AN8140">
        <v>1000</v>
      </c>
      <c r="AO8140">
        <v>2500</v>
      </c>
      <c r="AP8140" s="30">
        <v>3</v>
      </c>
      <c r="AQ8140">
        <v>4578.34</v>
      </c>
      <c r="AR8140">
        <v>2000</v>
      </c>
      <c r="AS8140">
        <v>250</v>
      </c>
      <c r="AT8140">
        <v>10000</v>
      </c>
      <c r="AU8140" s="30">
        <v>8</v>
      </c>
      <c r="AV8140">
        <v>982.58</v>
      </c>
      <c r="AW8140">
        <v>1200</v>
      </c>
      <c r="AX8140">
        <v>300</v>
      </c>
      <c r="AY8140">
        <v>1200</v>
      </c>
      <c r="AZ8140" s="30">
        <v>17</v>
      </c>
      <c r="BA8140">
        <v>3567.86</v>
      </c>
      <c r="BB8140">
        <v>3000</v>
      </c>
      <c r="BC8140">
        <v>1000</v>
      </c>
      <c r="BD8140">
        <v>20000</v>
      </c>
      <c r="BE8140" s="30">
        <v>19</v>
      </c>
      <c r="BK8140">
        <v>6689.62</v>
      </c>
      <c r="BL8140">
        <v>10000</v>
      </c>
      <c r="BM8140">
        <v>1000</v>
      </c>
      <c r="BN8140">
        <v>10000</v>
      </c>
      <c r="BO8140" s="30">
        <v>3</v>
      </c>
      <c r="BP8140">
        <v>2175.1999999999998</v>
      </c>
      <c r="BQ8140">
        <v>1300</v>
      </c>
      <c r="BR8140">
        <v>600</v>
      </c>
      <c r="BS8140">
        <v>6000</v>
      </c>
      <c r="BT8140" s="30">
        <v>6</v>
      </c>
      <c r="BU8140">
        <v>97</v>
      </c>
    </row>
    <row r="8141" spans="1:73" x14ac:dyDescent="0.35">
      <c r="A8141" t="s">
        <v>230</v>
      </c>
      <c r="B8141" t="s">
        <v>238</v>
      </c>
      <c r="C8141">
        <v>13015.4</v>
      </c>
      <c r="D8141">
        <v>10000</v>
      </c>
      <c r="E8141">
        <v>1050</v>
      </c>
      <c r="F8141">
        <v>75000</v>
      </c>
      <c r="G8141" s="30">
        <v>163</v>
      </c>
      <c r="H8141">
        <v>6606.54</v>
      </c>
      <c r="I8141">
        <v>6000</v>
      </c>
      <c r="J8141">
        <v>200</v>
      </c>
      <c r="K8141">
        <v>21000</v>
      </c>
      <c r="L8141" s="30">
        <v>34</v>
      </c>
      <c r="M8141">
        <v>46431.02</v>
      </c>
      <c r="N8141">
        <v>15000</v>
      </c>
      <c r="O8141">
        <v>2000</v>
      </c>
      <c r="P8141">
        <v>150000</v>
      </c>
      <c r="Q8141" s="30">
        <v>13</v>
      </c>
      <c r="R8141">
        <v>4342.7299999999996</v>
      </c>
      <c r="S8141">
        <v>8000</v>
      </c>
      <c r="T8141">
        <v>2500</v>
      </c>
      <c r="U8141">
        <v>8000</v>
      </c>
      <c r="V8141" s="30">
        <v>3</v>
      </c>
      <c r="W8141">
        <v>1945.29</v>
      </c>
      <c r="X8141">
        <v>2333.3000000000002</v>
      </c>
      <c r="Y8141">
        <v>666.7</v>
      </c>
      <c r="Z8141">
        <v>3000</v>
      </c>
      <c r="AA8141" s="30">
        <v>35</v>
      </c>
      <c r="AB8141">
        <v>4497.68</v>
      </c>
      <c r="AC8141">
        <v>3700</v>
      </c>
      <c r="AD8141">
        <v>575</v>
      </c>
      <c r="AE8141">
        <v>17500</v>
      </c>
      <c r="AF8141" s="30">
        <v>144</v>
      </c>
      <c r="AG8141">
        <v>2124.29</v>
      </c>
      <c r="AH8141">
        <v>1500</v>
      </c>
      <c r="AI8141">
        <v>253.3</v>
      </c>
      <c r="AJ8141">
        <v>10000</v>
      </c>
      <c r="AK8141" s="30">
        <v>50</v>
      </c>
      <c r="AL8141">
        <v>13201.98</v>
      </c>
      <c r="AM8141">
        <v>15000</v>
      </c>
      <c r="AN8141">
        <v>500</v>
      </c>
      <c r="AO8141">
        <v>25000</v>
      </c>
      <c r="AP8141" s="30">
        <v>7</v>
      </c>
      <c r="AQ8141">
        <v>6439.89</v>
      </c>
      <c r="AR8141">
        <v>4000</v>
      </c>
      <c r="AS8141">
        <v>1000</v>
      </c>
      <c r="AT8141">
        <v>20000</v>
      </c>
      <c r="AU8141" s="30">
        <v>15</v>
      </c>
      <c r="AV8141">
        <v>2236.0700000000002</v>
      </c>
      <c r="AW8141">
        <v>3300</v>
      </c>
      <c r="AX8141">
        <v>241.7</v>
      </c>
      <c r="AY8141">
        <v>3300</v>
      </c>
      <c r="AZ8141" s="30">
        <v>9</v>
      </c>
      <c r="BA8141">
        <v>2883.44</v>
      </c>
      <c r="BB8141">
        <v>2500</v>
      </c>
      <c r="BC8141">
        <v>333.3</v>
      </c>
      <c r="BD8141">
        <v>10000</v>
      </c>
      <c r="BE8141" s="30">
        <v>34</v>
      </c>
      <c r="BK8141">
        <v>5734.92</v>
      </c>
      <c r="BL8141">
        <v>6500</v>
      </c>
      <c r="BM8141">
        <v>1200</v>
      </c>
      <c r="BN8141">
        <v>6500</v>
      </c>
      <c r="BO8141" s="30">
        <v>2</v>
      </c>
      <c r="BP8141">
        <v>2207.9299999999998</v>
      </c>
      <c r="BQ8141">
        <v>3000</v>
      </c>
      <c r="BR8141">
        <v>400</v>
      </c>
      <c r="BS8141">
        <v>5500</v>
      </c>
      <c r="BT8141" s="30">
        <v>10</v>
      </c>
      <c r="BU8141">
        <v>163</v>
      </c>
    </row>
    <row r="8142" spans="1:73" x14ac:dyDescent="0.35">
      <c r="A8142" t="s">
        <v>231</v>
      </c>
      <c r="B8142" t="s">
        <v>239</v>
      </c>
      <c r="C8142">
        <v>8482.1</v>
      </c>
      <c r="D8142">
        <v>8000</v>
      </c>
      <c r="E8142">
        <v>1250</v>
      </c>
      <c r="F8142">
        <v>40000</v>
      </c>
      <c r="G8142" s="30">
        <v>27</v>
      </c>
      <c r="H8142">
        <v>2297.2199999999998</v>
      </c>
      <c r="I8142">
        <v>3000</v>
      </c>
      <c r="J8142">
        <v>600</v>
      </c>
      <c r="K8142">
        <v>3750</v>
      </c>
      <c r="L8142" s="30">
        <v>6</v>
      </c>
      <c r="M8142">
        <v>6805.56</v>
      </c>
      <c r="N8142">
        <v>12666.7</v>
      </c>
      <c r="O8142">
        <v>250</v>
      </c>
      <c r="P8142">
        <v>12666.7</v>
      </c>
      <c r="Q8142" s="30">
        <v>3</v>
      </c>
      <c r="R8142">
        <v>2166.67</v>
      </c>
      <c r="S8142">
        <v>3000</v>
      </c>
      <c r="T8142">
        <v>500</v>
      </c>
      <c r="U8142">
        <v>3000</v>
      </c>
      <c r="V8142" s="30">
        <v>3</v>
      </c>
      <c r="W8142">
        <v>2100</v>
      </c>
      <c r="X8142">
        <v>2000</v>
      </c>
      <c r="Y8142">
        <v>2000</v>
      </c>
      <c r="Z8142">
        <v>2200</v>
      </c>
      <c r="AA8142" s="30">
        <v>2</v>
      </c>
      <c r="AB8142">
        <v>3271.68</v>
      </c>
      <c r="AC8142">
        <v>2500</v>
      </c>
      <c r="AD8142">
        <v>500</v>
      </c>
      <c r="AE8142">
        <v>8000</v>
      </c>
      <c r="AF8142" s="30">
        <v>31</v>
      </c>
      <c r="AG8142">
        <v>1816.9</v>
      </c>
      <c r="AH8142">
        <v>1400</v>
      </c>
      <c r="AI8142">
        <v>106.7</v>
      </c>
      <c r="AJ8142">
        <v>10000</v>
      </c>
      <c r="AK8142" s="30">
        <v>16</v>
      </c>
      <c r="AL8142">
        <v>4500</v>
      </c>
      <c r="AM8142">
        <v>1000</v>
      </c>
      <c r="AN8142">
        <v>1000</v>
      </c>
      <c r="AO8142">
        <v>8000</v>
      </c>
      <c r="AP8142" s="30">
        <v>2</v>
      </c>
      <c r="AQ8142">
        <v>666.67</v>
      </c>
      <c r="AR8142">
        <v>666.7</v>
      </c>
      <c r="AS8142">
        <v>666.7</v>
      </c>
      <c r="AT8142">
        <v>666.7</v>
      </c>
      <c r="AU8142" s="30">
        <v>1</v>
      </c>
      <c r="BA8142">
        <v>8483.33</v>
      </c>
      <c r="BB8142">
        <v>22750</v>
      </c>
      <c r="BC8142">
        <v>200</v>
      </c>
      <c r="BD8142">
        <v>22750</v>
      </c>
      <c r="BE8142" s="30">
        <v>3</v>
      </c>
      <c r="BP8142">
        <v>2300</v>
      </c>
      <c r="BQ8142">
        <v>2300</v>
      </c>
      <c r="BR8142">
        <v>2300</v>
      </c>
      <c r="BS8142">
        <v>2300</v>
      </c>
      <c r="BT8142" s="30">
        <v>1</v>
      </c>
      <c r="BU8142">
        <v>31</v>
      </c>
    </row>
    <row r="8143" spans="1:73" x14ac:dyDescent="0.35">
      <c r="A8143" t="s">
        <v>231</v>
      </c>
      <c r="B8143" t="s">
        <v>238</v>
      </c>
      <c r="C8143">
        <v>14026.83</v>
      </c>
      <c r="D8143">
        <v>10000</v>
      </c>
      <c r="E8143">
        <v>1466.7</v>
      </c>
      <c r="F8143">
        <v>40000</v>
      </c>
      <c r="G8143" s="30">
        <v>50</v>
      </c>
      <c r="H8143">
        <v>10900</v>
      </c>
      <c r="I8143">
        <v>300</v>
      </c>
      <c r="J8143">
        <v>300</v>
      </c>
      <c r="K8143">
        <v>40000</v>
      </c>
      <c r="L8143" s="30">
        <v>4</v>
      </c>
      <c r="M8143">
        <v>28464.29</v>
      </c>
      <c r="N8143">
        <v>20000</v>
      </c>
      <c r="O8143">
        <v>2500</v>
      </c>
      <c r="P8143">
        <v>93000</v>
      </c>
      <c r="Q8143" s="30">
        <v>7</v>
      </c>
      <c r="R8143">
        <v>1041.67</v>
      </c>
      <c r="S8143">
        <v>750</v>
      </c>
      <c r="T8143">
        <v>750</v>
      </c>
      <c r="U8143">
        <v>1333.3</v>
      </c>
      <c r="V8143" s="30">
        <v>2</v>
      </c>
      <c r="W8143">
        <v>1916.67</v>
      </c>
      <c r="X8143">
        <v>2000</v>
      </c>
      <c r="Y8143">
        <v>666.7</v>
      </c>
      <c r="Z8143">
        <v>3000</v>
      </c>
      <c r="AA8143" s="30">
        <v>10</v>
      </c>
      <c r="AB8143">
        <v>4512.74</v>
      </c>
      <c r="AC8143">
        <v>4144</v>
      </c>
      <c r="AD8143">
        <v>750</v>
      </c>
      <c r="AE8143">
        <v>13200</v>
      </c>
      <c r="AF8143" s="30">
        <v>48</v>
      </c>
      <c r="AG8143">
        <v>1993.89</v>
      </c>
      <c r="AH8143">
        <v>1000</v>
      </c>
      <c r="AI8143">
        <v>215</v>
      </c>
      <c r="AJ8143">
        <v>5500</v>
      </c>
      <c r="AK8143" s="30">
        <v>12</v>
      </c>
      <c r="AQ8143">
        <v>6000</v>
      </c>
      <c r="AR8143">
        <v>10000</v>
      </c>
      <c r="AS8143">
        <v>4000</v>
      </c>
      <c r="AT8143">
        <v>10000</v>
      </c>
      <c r="AU8143" s="30">
        <v>3</v>
      </c>
      <c r="BA8143">
        <v>4930.5600000000004</v>
      </c>
      <c r="BB8143">
        <v>4000</v>
      </c>
      <c r="BC8143">
        <v>1000</v>
      </c>
      <c r="BD8143">
        <v>10000</v>
      </c>
      <c r="BE8143" s="30">
        <v>12</v>
      </c>
      <c r="BK8143">
        <v>500</v>
      </c>
      <c r="BL8143">
        <v>500</v>
      </c>
      <c r="BM8143">
        <v>500</v>
      </c>
      <c r="BN8143">
        <v>500</v>
      </c>
      <c r="BO8143" s="30">
        <v>2</v>
      </c>
      <c r="BP8143">
        <v>5626.67</v>
      </c>
      <c r="BQ8143">
        <v>5000</v>
      </c>
      <c r="BR8143">
        <v>133.30000000000001</v>
      </c>
      <c r="BS8143">
        <v>17500</v>
      </c>
      <c r="BT8143" s="30">
        <v>5</v>
      </c>
      <c r="BU8143">
        <v>50</v>
      </c>
    </row>
    <row r="8144" spans="1:73" x14ac:dyDescent="0.35">
      <c r="A8144" t="s">
        <v>232</v>
      </c>
      <c r="B8144" t="s">
        <v>232</v>
      </c>
      <c r="C8144">
        <v>12841.11</v>
      </c>
      <c r="D8144">
        <v>10000</v>
      </c>
      <c r="E8144">
        <v>333.3</v>
      </c>
      <c r="F8144">
        <v>150000</v>
      </c>
      <c r="G8144" s="30">
        <v>1271</v>
      </c>
      <c r="H8144">
        <v>6272.64</v>
      </c>
      <c r="I8144">
        <v>3333.3</v>
      </c>
      <c r="J8144">
        <v>16.7</v>
      </c>
      <c r="K8144">
        <v>66666.7</v>
      </c>
      <c r="L8144" s="30">
        <v>241</v>
      </c>
      <c r="M8144">
        <v>17578.79</v>
      </c>
      <c r="N8144">
        <v>10000</v>
      </c>
      <c r="O8144">
        <v>250</v>
      </c>
      <c r="P8144">
        <v>150000</v>
      </c>
      <c r="Q8144" s="30">
        <v>109</v>
      </c>
      <c r="R8144">
        <v>2698.25</v>
      </c>
      <c r="S8144">
        <v>1750</v>
      </c>
      <c r="T8144">
        <v>100</v>
      </c>
      <c r="U8144">
        <v>35000</v>
      </c>
      <c r="V8144" s="30">
        <v>92</v>
      </c>
      <c r="W8144">
        <v>1917.18</v>
      </c>
      <c r="X8144">
        <v>2000</v>
      </c>
      <c r="Y8144">
        <v>400</v>
      </c>
      <c r="Z8144">
        <v>5000</v>
      </c>
      <c r="AA8144" s="30">
        <v>264</v>
      </c>
      <c r="AB8144">
        <v>4296.82</v>
      </c>
      <c r="AC8144">
        <v>4000</v>
      </c>
      <c r="AD8144">
        <v>428.6</v>
      </c>
      <c r="AE8144">
        <v>30000</v>
      </c>
      <c r="AF8144" s="30">
        <v>1194</v>
      </c>
      <c r="AG8144">
        <v>2115.1799999999998</v>
      </c>
      <c r="AH8144">
        <v>1400</v>
      </c>
      <c r="AI8144">
        <v>106.7</v>
      </c>
      <c r="AJ8144">
        <v>20000</v>
      </c>
      <c r="AK8144" s="30">
        <v>404</v>
      </c>
      <c r="AL8144">
        <v>5888.89</v>
      </c>
      <c r="AM8144">
        <v>4000</v>
      </c>
      <c r="AN8144">
        <v>100</v>
      </c>
      <c r="AO8144">
        <v>25000</v>
      </c>
      <c r="AP8144" s="30">
        <v>32</v>
      </c>
      <c r="AQ8144">
        <v>5244.2</v>
      </c>
      <c r="AR8144">
        <v>3333.3</v>
      </c>
      <c r="AS8144">
        <v>233.3</v>
      </c>
      <c r="AT8144">
        <v>30000</v>
      </c>
      <c r="AU8144" s="30">
        <v>92</v>
      </c>
      <c r="AV8144">
        <v>1217.7</v>
      </c>
      <c r="AW8144">
        <v>1200</v>
      </c>
      <c r="AX8144">
        <v>241.7</v>
      </c>
      <c r="AY8144">
        <v>3300</v>
      </c>
      <c r="AZ8144" s="30">
        <v>52</v>
      </c>
      <c r="BA8144">
        <v>4143.3599999999997</v>
      </c>
      <c r="BB8144">
        <v>2500</v>
      </c>
      <c r="BC8144">
        <v>75</v>
      </c>
      <c r="BD8144">
        <v>26000</v>
      </c>
      <c r="BE8144" s="30">
        <v>206</v>
      </c>
      <c r="BF8144">
        <v>2109.21</v>
      </c>
      <c r="BG8144">
        <v>1000</v>
      </c>
      <c r="BH8144">
        <v>666.7</v>
      </c>
      <c r="BI8144">
        <v>4000</v>
      </c>
      <c r="BJ8144" s="30">
        <v>3</v>
      </c>
      <c r="BK8144">
        <v>9971.93</v>
      </c>
      <c r="BL8144">
        <v>666.7</v>
      </c>
      <c r="BM8144">
        <v>500</v>
      </c>
      <c r="BN8144">
        <v>75000</v>
      </c>
      <c r="BO8144" s="30">
        <v>14</v>
      </c>
      <c r="BP8144">
        <v>5190.95</v>
      </c>
      <c r="BQ8144">
        <v>3000</v>
      </c>
      <c r="BR8144">
        <v>100</v>
      </c>
      <c r="BS8144">
        <v>40000</v>
      </c>
      <c r="BT8144" s="30">
        <v>87</v>
      </c>
      <c r="BU8144">
        <v>1271</v>
      </c>
    </row>
    <row r="8146" spans="1:73" x14ac:dyDescent="0.35">
      <c r="A8146" s="1" t="s">
        <v>1177</v>
      </c>
    </row>
    <row r="8147" spans="1:73" x14ac:dyDescent="0.35">
      <c r="A8147" t="s">
        <v>219</v>
      </c>
      <c r="B8147" t="s">
        <v>305</v>
      </c>
      <c r="C8147" t="s">
        <v>1105</v>
      </c>
      <c r="D8147" t="s">
        <v>1106</v>
      </c>
      <c r="E8147" t="s">
        <v>1107</v>
      </c>
      <c r="F8147" t="s">
        <v>1108</v>
      </c>
      <c r="G8147" t="s">
        <v>1109</v>
      </c>
      <c r="H8147" t="s">
        <v>1110</v>
      </c>
      <c r="I8147" t="s">
        <v>1111</v>
      </c>
      <c r="J8147" t="s">
        <v>1112</v>
      </c>
      <c r="K8147" t="s">
        <v>1113</v>
      </c>
      <c r="L8147" t="s">
        <v>1114</v>
      </c>
      <c r="M8147" t="s">
        <v>1115</v>
      </c>
      <c r="N8147" t="s">
        <v>1116</v>
      </c>
      <c r="O8147" t="s">
        <v>1117</v>
      </c>
      <c r="P8147" t="s">
        <v>1118</v>
      </c>
      <c r="Q8147" t="s">
        <v>1119</v>
      </c>
      <c r="R8147" t="s">
        <v>1120</v>
      </c>
      <c r="S8147" t="s">
        <v>1121</v>
      </c>
      <c r="T8147" t="s">
        <v>1122</v>
      </c>
      <c r="U8147" t="s">
        <v>1123</v>
      </c>
      <c r="V8147" t="s">
        <v>1124</v>
      </c>
      <c r="W8147" t="s">
        <v>1125</v>
      </c>
      <c r="X8147" t="s">
        <v>1126</v>
      </c>
      <c r="Y8147" t="s">
        <v>1127</v>
      </c>
      <c r="Z8147" t="s">
        <v>1128</v>
      </c>
      <c r="AA8147" t="s">
        <v>1129</v>
      </c>
      <c r="AB8147" t="s">
        <v>1130</v>
      </c>
      <c r="AC8147" t="s">
        <v>1131</v>
      </c>
      <c r="AD8147" t="s">
        <v>1132</v>
      </c>
      <c r="AE8147" t="s">
        <v>1133</v>
      </c>
      <c r="AF8147" t="s">
        <v>1134</v>
      </c>
      <c r="AG8147" t="s">
        <v>1135</v>
      </c>
      <c r="AH8147" t="s">
        <v>1136</v>
      </c>
      <c r="AI8147" t="s">
        <v>1137</v>
      </c>
      <c r="AJ8147" t="s">
        <v>1138</v>
      </c>
      <c r="AK8147" t="s">
        <v>1139</v>
      </c>
      <c r="AL8147" t="s">
        <v>1140</v>
      </c>
      <c r="AM8147" t="s">
        <v>1141</v>
      </c>
      <c r="AN8147" t="s">
        <v>1142</v>
      </c>
      <c r="AO8147" t="s">
        <v>1143</v>
      </c>
      <c r="AP8147" t="s">
        <v>1144</v>
      </c>
      <c r="AQ8147" t="s">
        <v>1145</v>
      </c>
      <c r="AR8147" t="s">
        <v>1146</v>
      </c>
      <c r="AS8147" t="s">
        <v>1147</v>
      </c>
      <c r="AT8147" t="s">
        <v>1148</v>
      </c>
      <c r="AU8147" t="s">
        <v>1149</v>
      </c>
      <c r="AV8147" t="s">
        <v>1150</v>
      </c>
      <c r="AW8147" t="s">
        <v>1151</v>
      </c>
      <c r="AX8147" t="s">
        <v>1152</v>
      </c>
      <c r="AY8147" t="s">
        <v>1153</v>
      </c>
      <c r="AZ8147" t="s">
        <v>1154</v>
      </c>
      <c r="BA8147" t="s">
        <v>1155</v>
      </c>
      <c r="BB8147" t="s">
        <v>1156</v>
      </c>
      <c r="BC8147" t="s">
        <v>1157</v>
      </c>
      <c r="BD8147" t="s">
        <v>1158</v>
      </c>
      <c r="BE8147" t="s">
        <v>1159</v>
      </c>
      <c r="BF8147" t="s">
        <v>1160</v>
      </c>
      <c r="BG8147" t="s">
        <v>1161</v>
      </c>
      <c r="BH8147" t="s">
        <v>1162</v>
      </c>
      <c r="BI8147" t="s">
        <v>1163</v>
      </c>
      <c r="BJ8147" t="s">
        <v>1164</v>
      </c>
      <c r="BK8147" t="s">
        <v>1165</v>
      </c>
      <c r="BL8147" t="s">
        <v>1166</v>
      </c>
      <c r="BM8147" t="s">
        <v>1167</v>
      </c>
      <c r="BN8147" t="s">
        <v>1168</v>
      </c>
      <c r="BO8147" t="s">
        <v>1169</v>
      </c>
      <c r="BP8147" t="s">
        <v>1170</v>
      </c>
      <c r="BQ8147" t="s">
        <v>1171</v>
      </c>
      <c r="BR8147" t="s">
        <v>1172</v>
      </c>
      <c r="BS8147" t="s">
        <v>1173</v>
      </c>
      <c r="BT8147" t="s">
        <v>1174</v>
      </c>
      <c r="BU8147" t="s">
        <v>964</v>
      </c>
    </row>
    <row r="8148" spans="1:73" x14ac:dyDescent="0.35">
      <c r="A8148" t="s">
        <v>227</v>
      </c>
      <c r="B8148" t="s">
        <v>244</v>
      </c>
      <c r="C8148">
        <v>9106.32</v>
      </c>
      <c r="D8148">
        <v>6666.7</v>
      </c>
      <c r="E8148">
        <v>1500</v>
      </c>
      <c r="F8148">
        <v>60000</v>
      </c>
      <c r="G8148" s="30">
        <v>58</v>
      </c>
      <c r="H8148">
        <v>3738.89</v>
      </c>
      <c r="I8148">
        <v>3000</v>
      </c>
      <c r="J8148">
        <v>750</v>
      </c>
      <c r="K8148">
        <v>10000</v>
      </c>
      <c r="L8148" s="30">
        <v>12</v>
      </c>
      <c r="M8148">
        <v>16666.669999999998</v>
      </c>
      <c r="N8148">
        <v>13333.3</v>
      </c>
      <c r="O8148">
        <v>10000</v>
      </c>
      <c r="P8148">
        <v>30000</v>
      </c>
      <c r="Q8148" s="30">
        <v>4</v>
      </c>
      <c r="R8148">
        <v>2325</v>
      </c>
      <c r="S8148">
        <v>1000</v>
      </c>
      <c r="T8148">
        <v>300</v>
      </c>
      <c r="U8148">
        <v>6666.7</v>
      </c>
      <c r="V8148" s="30">
        <v>4</v>
      </c>
      <c r="W8148">
        <v>1736.11</v>
      </c>
      <c r="X8148">
        <v>1750</v>
      </c>
      <c r="Y8148">
        <v>1000</v>
      </c>
      <c r="Z8148">
        <v>2500</v>
      </c>
      <c r="AA8148" s="30">
        <v>12</v>
      </c>
      <c r="AB8148">
        <v>3868.54</v>
      </c>
      <c r="AC8148">
        <v>3250</v>
      </c>
      <c r="AD8148">
        <v>625</v>
      </c>
      <c r="AE8148">
        <v>10000</v>
      </c>
      <c r="AF8148" s="30">
        <v>40</v>
      </c>
      <c r="AG8148">
        <v>2426.96</v>
      </c>
      <c r="AH8148">
        <v>2033.3</v>
      </c>
      <c r="AI8148">
        <v>215</v>
      </c>
      <c r="AJ8148">
        <v>6666.7</v>
      </c>
      <c r="AK8148" s="30">
        <v>18</v>
      </c>
      <c r="AL8148">
        <v>1000</v>
      </c>
      <c r="AM8148">
        <v>1000</v>
      </c>
      <c r="AN8148">
        <v>1000</v>
      </c>
      <c r="AO8148">
        <v>1000</v>
      </c>
      <c r="AP8148" s="30">
        <v>1</v>
      </c>
      <c r="AQ8148">
        <v>2777.78</v>
      </c>
      <c r="AR8148">
        <v>3333.3</v>
      </c>
      <c r="AS8148">
        <v>2500</v>
      </c>
      <c r="AT8148">
        <v>3333.3</v>
      </c>
      <c r="AU8148" s="30">
        <v>3</v>
      </c>
      <c r="BA8148">
        <v>3875</v>
      </c>
      <c r="BB8148">
        <v>2500</v>
      </c>
      <c r="BC8148">
        <v>1250</v>
      </c>
      <c r="BD8148">
        <v>7500</v>
      </c>
      <c r="BE8148" s="30">
        <v>10</v>
      </c>
      <c r="BP8148">
        <v>6166.67</v>
      </c>
      <c r="BQ8148">
        <v>1666.7</v>
      </c>
      <c r="BR8148">
        <v>1333.3</v>
      </c>
      <c r="BS8148">
        <v>20000</v>
      </c>
      <c r="BT8148" s="30">
        <v>4</v>
      </c>
      <c r="BU8148">
        <v>58</v>
      </c>
    </row>
    <row r="8149" spans="1:73" x14ac:dyDescent="0.35">
      <c r="A8149" s="27" t="s">
        <v>227</v>
      </c>
      <c r="B8149" s="27" t="s">
        <v>245</v>
      </c>
      <c r="C8149" s="29">
        <v>15841.68</v>
      </c>
      <c r="D8149" s="29">
        <v>16000</v>
      </c>
      <c r="E8149" s="29">
        <v>6146</v>
      </c>
      <c r="F8149" s="29">
        <v>37896</v>
      </c>
      <c r="G8149" s="29">
        <v>19</v>
      </c>
      <c r="H8149" s="29">
        <v>9875</v>
      </c>
      <c r="I8149" s="29">
        <v>8000</v>
      </c>
      <c r="J8149" s="29">
        <v>2500</v>
      </c>
      <c r="K8149" s="29">
        <v>20000</v>
      </c>
      <c r="L8149" s="29">
        <v>4</v>
      </c>
      <c r="M8149" s="29"/>
      <c r="N8149" s="29"/>
      <c r="O8149" s="29"/>
      <c r="P8149" s="29"/>
      <c r="Q8149" s="29"/>
      <c r="R8149" s="29">
        <v>5500</v>
      </c>
      <c r="S8149" s="29">
        <v>2000</v>
      </c>
      <c r="T8149" s="29">
        <v>2000</v>
      </c>
      <c r="U8149" s="29">
        <v>9000</v>
      </c>
      <c r="V8149" s="29">
        <v>2</v>
      </c>
      <c r="W8149" s="29">
        <v>2600</v>
      </c>
      <c r="X8149" s="29">
        <v>3000</v>
      </c>
      <c r="Y8149" s="29">
        <v>2000</v>
      </c>
      <c r="Z8149" s="29">
        <v>3000</v>
      </c>
      <c r="AA8149" s="29">
        <v>5</v>
      </c>
      <c r="AB8149" s="29">
        <v>5005.75</v>
      </c>
      <c r="AC8149" s="29">
        <v>4500</v>
      </c>
      <c r="AD8149" s="29">
        <v>3028</v>
      </c>
      <c r="AE8149" s="29">
        <v>8000</v>
      </c>
      <c r="AF8149" s="29">
        <v>24</v>
      </c>
      <c r="AG8149" s="29">
        <v>5200</v>
      </c>
      <c r="AH8149" s="29">
        <v>3300</v>
      </c>
      <c r="AI8149" s="29">
        <v>300</v>
      </c>
      <c r="AJ8149" s="29">
        <v>13900</v>
      </c>
      <c r="AK8149" s="29">
        <v>4</v>
      </c>
      <c r="AL8149" s="29">
        <v>100</v>
      </c>
      <c r="AM8149" s="29">
        <v>100</v>
      </c>
      <c r="AN8149" s="29">
        <v>100</v>
      </c>
      <c r="AO8149" s="29">
        <v>100</v>
      </c>
      <c r="AP8149" s="29">
        <v>1</v>
      </c>
      <c r="AQ8149" s="29">
        <v>4500</v>
      </c>
      <c r="AR8149" s="29">
        <v>4500</v>
      </c>
      <c r="AS8149" s="29">
        <v>4500</v>
      </c>
      <c r="AT8149" s="29">
        <v>4500</v>
      </c>
      <c r="AU8149" s="29">
        <v>1</v>
      </c>
      <c r="AV8149" s="29"/>
      <c r="AW8149" s="29"/>
      <c r="AX8149" s="29"/>
      <c r="AY8149" s="29"/>
      <c r="AZ8149" s="29"/>
      <c r="BA8149" s="29">
        <v>2857.14</v>
      </c>
      <c r="BB8149" s="29">
        <v>3000</v>
      </c>
      <c r="BC8149" s="29">
        <v>1000</v>
      </c>
      <c r="BD8149" s="29">
        <v>6500</v>
      </c>
      <c r="BE8149" s="29">
        <v>7</v>
      </c>
      <c r="BF8149" s="29"/>
      <c r="BG8149" s="29"/>
      <c r="BH8149" s="29"/>
      <c r="BI8149" s="29"/>
      <c r="BJ8149" s="29"/>
      <c r="BK8149" s="29"/>
      <c r="BL8149" s="29"/>
      <c r="BM8149" s="29"/>
      <c r="BN8149" s="29"/>
      <c r="BO8149" s="29"/>
      <c r="BP8149" s="29">
        <v>2156.67</v>
      </c>
      <c r="BQ8149" s="29">
        <v>6000</v>
      </c>
      <c r="BR8149" s="29">
        <v>200</v>
      </c>
      <c r="BS8149" s="29">
        <v>6000</v>
      </c>
      <c r="BT8149" s="29">
        <v>3</v>
      </c>
      <c r="BU8149" s="29">
        <v>24</v>
      </c>
    </row>
    <row r="8150" spans="1:73" x14ac:dyDescent="0.35">
      <c r="A8150" s="27" t="s">
        <v>227</v>
      </c>
      <c r="B8150" s="27" t="s">
        <v>246</v>
      </c>
      <c r="C8150" s="29">
        <v>4797.1400000000003</v>
      </c>
      <c r="D8150" s="29">
        <v>7000</v>
      </c>
      <c r="E8150" s="29">
        <v>500</v>
      </c>
      <c r="F8150" s="29">
        <v>8080</v>
      </c>
      <c r="G8150" s="29">
        <v>7</v>
      </c>
      <c r="H8150" s="29">
        <v>500</v>
      </c>
      <c r="I8150" s="29">
        <v>500</v>
      </c>
      <c r="J8150" s="29">
        <v>500</v>
      </c>
      <c r="K8150" s="29">
        <v>500</v>
      </c>
      <c r="L8150" s="29">
        <v>1</v>
      </c>
      <c r="M8150" s="29"/>
      <c r="N8150" s="29"/>
      <c r="O8150" s="29"/>
      <c r="P8150" s="29"/>
      <c r="Q8150" s="29"/>
      <c r="R8150" s="29"/>
      <c r="S8150" s="29"/>
      <c r="T8150" s="29"/>
      <c r="U8150" s="29"/>
      <c r="V8150" s="29"/>
      <c r="W8150" s="29">
        <v>2100</v>
      </c>
      <c r="X8150" s="29">
        <v>2000</v>
      </c>
      <c r="Y8150" s="29">
        <v>2000</v>
      </c>
      <c r="Z8150" s="29">
        <v>2200</v>
      </c>
      <c r="AA8150" s="29">
        <v>2</v>
      </c>
      <c r="AB8150" s="29">
        <v>1567.5</v>
      </c>
      <c r="AC8150" s="29">
        <v>920</v>
      </c>
      <c r="AD8150" s="29">
        <v>750</v>
      </c>
      <c r="AE8150" s="29">
        <v>3000</v>
      </c>
      <c r="AF8150" s="29">
        <v>4</v>
      </c>
      <c r="AG8150" s="29">
        <v>1471.2</v>
      </c>
      <c r="AH8150" s="29">
        <v>1200</v>
      </c>
      <c r="AI8150" s="29">
        <v>596</v>
      </c>
      <c r="AJ8150" s="29">
        <v>3800</v>
      </c>
      <c r="AK8150" s="29">
        <v>5</v>
      </c>
      <c r="AL8150" s="29"/>
      <c r="AM8150" s="29"/>
      <c r="AN8150" s="29"/>
      <c r="AO8150" s="29"/>
      <c r="AP8150" s="29"/>
      <c r="AQ8150" s="29"/>
      <c r="AR8150" s="29"/>
      <c r="AS8150" s="29"/>
      <c r="AT8150" s="29"/>
      <c r="AU8150" s="29"/>
      <c r="AV8150" s="29"/>
      <c r="AW8150" s="29"/>
      <c r="AX8150" s="29"/>
      <c r="AY8150" s="29"/>
      <c r="AZ8150" s="29"/>
      <c r="BA8150" s="29"/>
      <c r="BB8150" s="29"/>
      <c r="BC8150" s="29"/>
      <c r="BD8150" s="29"/>
      <c r="BE8150" s="29"/>
      <c r="BF8150" s="29"/>
      <c r="BG8150" s="29"/>
      <c r="BH8150" s="29"/>
      <c r="BI8150" s="29"/>
      <c r="BJ8150" s="29"/>
      <c r="BK8150" s="29"/>
      <c r="BL8150" s="29"/>
      <c r="BM8150" s="29"/>
      <c r="BN8150" s="29"/>
      <c r="BO8150" s="29"/>
      <c r="BP8150" s="29"/>
      <c r="BQ8150" s="29"/>
      <c r="BR8150" s="29"/>
      <c r="BS8150" s="29"/>
      <c r="BT8150" s="29"/>
      <c r="BU8150" s="29">
        <v>7</v>
      </c>
    </row>
    <row r="8151" spans="1:73" x14ac:dyDescent="0.35">
      <c r="A8151" t="s">
        <v>228</v>
      </c>
      <c r="B8151" t="s">
        <v>244</v>
      </c>
      <c r="C8151">
        <v>11050.94</v>
      </c>
      <c r="D8151">
        <v>8333.2999999999993</v>
      </c>
      <c r="E8151">
        <v>666.7</v>
      </c>
      <c r="F8151">
        <v>66666.7</v>
      </c>
      <c r="G8151" s="30">
        <v>312</v>
      </c>
      <c r="H8151">
        <v>4435.25</v>
      </c>
      <c r="I8151">
        <v>3500</v>
      </c>
      <c r="J8151">
        <v>500</v>
      </c>
      <c r="K8151">
        <v>20000</v>
      </c>
      <c r="L8151" s="30">
        <v>49</v>
      </c>
      <c r="M8151">
        <v>11739.97</v>
      </c>
      <c r="N8151">
        <v>7000</v>
      </c>
      <c r="O8151">
        <v>1250</v>
      </c>
      <c r="P8151">
        <v>35000</v>
      </c>
      <c r="Q8151" s="30">
        <v>23</v>
      </c>
      <c r="R8151">
        <v>2900.22</v>
      </c>
      <c r="S8151">
        <v>2500</v>
      </c>
      <c r="T8151">
        <v>800</v>
      </c>
      <c r="U8151">
        <v>7500</v>
      </c>
      <c r="V8151" s="30">
        <v>16</v>
      </c>
      <c r="W8151">
        <v>1804.15</v>
      </c>
      <c r="X8151">
        <v>2000</v>
      </c>
      <c r="Y8151">
        <v>500</v>
      </c>
      <c r="Z8151">
        <v>5000</v>
      </c>
      <c r="AA8151" s="30">
        <v>76</v>
      </c>
      <c r="AB8151">
        <v>4142.54</v>
      </c>
      <c r="AC8151">
        <v>4000</v>
      </c>
      <c r="AD8151">
        <v>575</v>
      </c>
      <c r="AE8151">
        <v>14000</v>
      </c>
      <c r="AF8151" s="30">
        <v>288</v>
      </c>
      <c r="AG8151">
        <v>1692.94</v>
      </c>
      <c r="AH8151">
        <v>1500</v>
      </c>
      <c r="AI8151">
        <v>215</v>
      </c>
      <c r="AJ8151">
        <v>9850</v>
      </c>
      <c r="AK8151" s="30">
        <v>108</v>
      </c>
      <c r="AL8151">
        <v>1842.56</v>
      </c>
      <c r="AM8151">
        <v>2000</v>
      </c>
      <c r="AN8151">
        <v>333.3</v>
      </c>
      <c r="AO8151">
        <v>4500</v>
      </c>
      <c r="AP8151" s="30">
        <v>8</v>
      </c>
      <c r="AQ8151">
        <v>6829.09</v>
      </c>
      <c r="AR8151">
        <v>2500</v>
      </c>
      <c r="AS8151">
        <v>666.7</v>
      </c>
      <c r="AT8151">
        <v>25000</v>
      </c>
      <c r="AU8151" s="30">
        <v>22</v>
      </c>
      <c r="AV8151">
        <v>936.29</v>
      </c>
      <c r="AW8151">
        <v>1200</v>
      </c>
      <c r="AX8151">
        <v>400</v>
      </c>
      <c r="AY8151">
        <v>1600</v>
      </c>
      <c r="AZ8151" s="30">
        <v>14</v>
      </c>
      <c r="BA8151">
        <v>2183.54</v>
      </c>
      <c r="BB8151">
        <v>1666.7</v>
      </c>
      <c r="BC8151">
        <v>100</v>
      </c>
      <c r="BD8151">
        <v>17500</v>
      </c>
      <c r="BE8151" s="30">
        <v>38</v>
      </c>
      <c r="BF8151">
        <v>1000</v>
      </c>
      <c r="BG8151">
        <v>1000</v>
      </c>
      <c r="BH8151">
        <v>1000</v>
      </c>
      <c r="BI8151">
        <v>1000</v>
      </c>
      <c r="BJ8151" s="30">
        <v>1</v>
      </c>
      <c r="BK8151">
        <v>1328.33</v>
      </c>
      <c r="BL8151">
        <v>21750</v>
      </c>
      <c r="BM8151">
        <v>500</v>
      </c>
      <c r="BN8151">
        <v>21750</v>
      </c>
      <c r="BO8151" s="30">
        <v>3</v>
      </c>
      <c r="BP8151">
        <v>4844.6000000000004</v>
      </c>
      <c r="BQ8151">
        <v>5000</v>
      </c>
      <c r="BR8151">
        <v>256</v>
      </c>
      <c r="BS8151">
        <v>20000</v>
      </c>
      <c r="BT8151" s="30">
        <v>14</v>
      </c>
      <c r="BU8151">
        <v>312</v>
      </c>
    </row>
    <row r="8152" spans="1:73" x14ac:dyDescent="0.35">
      <c r="A8152" t="s">
        <v>228</v>
      </c>
      <c r="B8152" t="s">
        <v>245</v>
      </c>
      <c r="C8152">
        <v>21584.54</v>
      </c>
      <c r="D8152">
        <v>20000</v>
      </c>
      <c r="E8152">
        <v>5000</v>
      </c>
      <c r="F8152">
        <v>80000</v>
      </c>
      <c r="G8152" s="30">
        <v>75</v>
      </c>
      <c r="H8152">
        <v>8016.6</v>
      </c>
      <c r="I8152">
        <v>7640</v>
      </c>
      <c r="J8152">
        <v>2000</v>
      </c>
      <c r="K8152">
        <v>39000</v>
      </c>
      <c r="L8152" s="30">
        <v>22</v>
      </c>
      <c r="M8152">
        <v>31472.58</v>
      </c>
      <c r="N8152">
        <v>40000</v>
      </c>
      <c r="O8152">
        <v>2000</v>
      </c>
      <c r="P8152">
        <v>70000</v>
      </c>
      <c r="Q8152" s="30">
        <v>8</v>
      </c>
      <c r="R8152">
        <v>3101.9</v>
      </c>
      <c r="S8152">
        <v>30000</v>
      </c>
      <c r="T8152">
        <v>450</v>
      </c>
      <c r="U8152">
        <v>30000</v>
      </c>
      <c r="V8152" s="30">
        <v>5</v>
      </c>
      <c r="W8152">
        <v>2323.83</v>
      </c>
      <c r="X8152">
        <v>2000</v>
      </c>
      <c r="Y8152">
        <v>2000</v>
      </c>
      <c r="Z8152">
        <v>5000</v>
      </c>
      <c r="AA8152" s="30">
        <v>42</v>
      </c>
      <c r="AB8152">
        <v>6163.69</v>
      </c>
      <c r="AC8152">
        <v>4800</v>
      </c>
      <c r="AD8152">
        <v>2300</v>
      </c>
      <c r="AE8152">
        <v>27000</v>
      </c>
      <c r="AF8152" s="30">
        <v>174</v>
      </c>
      <c r="AG8152">
        <v>3244.77</v>
      </c>
      <c r="AH8152">
        <v>4000</v>
      </c>
      <c r="AI8152">
        <v>402</v>
      </c>
      <c r="AJ8152">
        <v>8000</v>
      </c>
      <c r="AK8152" s="30">
        <v>14</v>
      </c>
      <c r="AL8152">
        <v>9036.66</v>
      </c>
      <c r="AM8152">
        <v>18000</v>
      </c>
      <c r="AN8152">
        <v>1250</v>
      </c>
      <c r="AO8152">
        <v>18000</v>
      </c>
      <c r="AP8152" s="30">
        <v>3</v>
      </c>
      <c r="AQ8152">
        <v>5446.46</v>
      </c>
      <c r="AR8152">
        <v>2000</v>
      </c>
      <c r="AS8152">
        <v>1800</v>
      </c>
      <c r="AT8152">
        <v>30000</v>
      </c>
      <c r="AU8152" s="30">
        <v>12</v>
      </c>
      <c r="AV8152">
        <v>1209.02</v>
      </c>
      <c r="AW8152">
        <v>1200</v>
      </c>
      <c r="AX8152">
        <v>1200</v>
      </c>
      <c r="AY8152">
        <v>1300</v>
      </c>
      <c r="AZ8152" s="30">
        <v>9</v>
      </c>
      <c r="BA8152">
        <v>8612.89</v>
      </c>
      <c r="BB8152">
        <v>10000</v>
      </c>
      <c r="BC8152">
        <v>1000</v>
      </c>
      <c r="BD8152">
        <v>26000</v>
      </c>
      <c r="BE8152" s="30">
        <v>22</v>
      </c>
      <c r="BK8152">
        <v>1450</v>
      </c>
      <c r="BL8152">
        <v>1450</v>
      </c>
      <c r="BM8152">
        <v>1450</v>
      </c>
      <c r="BN8152">
        <v>1450</v>
      </c>
      <c r="BO8152" s="30">
        <v>1</v>
      </c>
      <c r="BP8152">
        <v>6873.83</v>
      </c>
      <c r="BQ8152">
        <v>8000</v>
      </c>
      <c r="BR8152">
        <v>100</v>
      </c>
      <c r="BS8152">
        <v>25300</v>
      </c>
      <c r="BT8152" s="30">
        <v>9</v>
      </c>
      <c r="BU8152">
        <v>174</v>
      </c>
    </row>
    <row r="8153" spans="1:73" x14ac:dyDescent="0.35">
      <c r="A8153" t="s">
        <v>228</v>
      </c>
      <c r="B8153" t="s">
        <v>246</v>
      </c>
      <c r="C8153">
        <v>5853.11</v>
      </c>
      <c r="D8153">
        <v>6666.7</v>
      </c>
      <c r="E8153">
        <v>700</v>
      </c>
      <c r="F8153">
        <v>11000</v>
      </c>
      <c r="G8153" s="30">
        <v>28</v>
      </c>
      <c r="H8153">
        <v>2364.64</v>
      </c>
      <c r="I8153">
        <v>2000</v>
      </c>
      <c r="J8153">
        <v>600</v>
      </c>
      <c r="K8153">
        <v>6000</v>
      </c>
      <c r="L8153" s="30">
        <v>14</v>
      </c>
      <c r="M8153">
        <v>3767.84</v>
      </c>
      <c r="N8153">
        <v>4000</v>
      </c>
      <c r="O8153">
        <v>2222.1999999999998</v>
      </c>
      <c r="P8153">
        <v>4600</v>
      </c>
      <c r="Q8153" s="30">
        <v>5</v>
      </c>
      <c r="R8153">
        <v>5966.67</v>
      </c>
      <c r="S8153">
        <v>3600</v>
      </c>
      <c r="T8153">
        <v>3600</v>
      </c>
      <c r="U8153">
        <v>8333.2999999999993</v>
      </c>
      <c r="V8153" s="30">
        <v>2</v>
      </c>
      <c r="W8153">
        <v>1338.74</v>
      </c>
      <c r="X8153">
        <v>1500</v>
      </c>
      <c r="Y8153">
        <v>400</v>
      </c>
      <c r="Z8153">
        <v>3000</v>
      </c>
      <c r="AA8153" s="30">
        <v>15</v>
      </c>
      <c r="AB8153">
        <v>1314.88</v>
      </c>
      <c r="AC8153">
        <v>1000</v>
      </c>
      <c r="AD8153">
        <v>428.6</v>
      </c>
      <c r="AE8153">
        <v>3800</v>
      </c>
      <c r="AF8153" s="30">
        <v>31</v>
      </c>
      <c r="AG8153">
        <v>1134.83</v>
      </c>
      <c r="AH8153">
        <v>940</v>
      </c>
      <c r="AI8153">
        <v>160</v>
      </c>
      <c r="AJ8153">
        <v>3166.7</v>
      </c>
      <c r="AK8153" s="30">
        <v>19</v>
      </c>
      <c r="AQ8153">
        <v>308.16000000000003</v>
      </c>
      <c r="AR8153">
        <v>233.3</v>
      </c>
      <c r="AS8153">
        <v>233.3</v>
      </c>
      <c r="AT8153">
        <v>1000</v>
      </c>
      <c r="AU8153" s="30">
        <v>2</v>
      </c>
      <c r="AV8153">
        <v>480</v>
      </c>
      <c r="AW8153">
        <v>480</v>
      </c>
      <c r="AX8153">
        <v>480</v>
      </c>
      <c r="AY8153">
        <v>480</v>
      </c>
      <c r="AZ8153" s="30">
        <v>1</v>
      </c>
      <c r="BA8153">
        <v>1662.74</v>
      </c>
      <c r="BB8153">
        <v>2600</v>
      </c>
      <c r="BC8153">
        <v>400</v>
      </c>
      <c r="BD8153">
        <v>2600</v>
      </c>
      <c r="BE8153" s="30">
        <v>4</v>
      </c>
      <c r="BP8153">
        <v>1800</v>
      </c>
      <c r="BQ8153">
        <v>1800</v>
      </c>
      <c r="BR8153">
        <v>1800</v>
      </c>
      <c r="BS8153">
        <v>1800</v>
      </c>
      <c r="BT8153" s="30">
        <v>1</v>
      </c>
      <c r="BU8153">
        <v>31</v>
      </c>
    </row>
    <row r="8154" spans="1:73" x14ac:dyDescent="0.35">
      <c r="A8154" t="s">
        <v>229</v>
      </c>
      <c r="B8154" t="s">
        <v>244</v>
      </c>
      <c r="C8154">
        <v>14647.5</v>
      </c>
      <c r="D8154">
        <v>13000</v>
      </c>
      <c r="E8154">
        <v>607.70000000000005</v>
      </c>
      <c r="F8154">
        <v>150000</v>
      </c>
      <c r="G8154" s="30">
        <v>307</v>
      </c>
      <c r="H8154">
        <v>7739.18</v>
      </c>
      <c r="I8154">
        <v>5000</v>
      </c>
      <c r="J8154">
        <v>666.7</v>
      </c>
      <c r="K8154">
        <v>66666.7</v>
      </c>
      <c r="L8154" s="30">
        <v>49</v>
      </c>
      <c r="M8154">
        <v>10885.19</v>
      </c>
      <c r="N8154">
        <v>10000</v>
      </c>
      <c r="O8154">
        <v>750</v>
      </c>
      <c r="P8154">
        <v>30000</v>
      </c>
      <c r="Q8154" s="30">
        <v>31</v>
      </c>
      <c r="R8154">
        <v>2139.1999999999998</v>
      </c>
      <c r="S8154">
        <v>1000</v>
      </c>
      <c r="T8154">
        <v>100</v>
      </c>
      <c r="U8154">
        <v>16666.7</v>
      </c>
      <c r="V8154" s="30">
        <v>24</v>
      </c>
      <c r="W8154">
        <v>1807.89</v>
      </c>
      <c r="X8154">
        <v>2000</v>
      </c>
      <c r="Y8154">
        <v>500</v>
      </c>
      <c r="Z8154">
        <v>3150</v>
      </c>
      <c r="AA8154" s="30">
        <v>36</v>
      </c>
      <c r="AB8154">
        <v>4433.57</v>
      </c>
      <c r="AC8154">
        <v>3750</v>
      </c>
      <c r="AD8154">
        <v>766.7</v>
      </c>
      <c r="AE8154">
        <v>16000</v>
      </c>
      <c r="AF8154" s="30">
        <v>190</v>
      </c>
      <c r="AG8154">
        <v>2491.2199999999998</v>
      </c>
      <c r="AH8154">
        <v>1333.3</v>
      </c>
      <c r="AI8154">
        <v>150</v>
      </c>
      <c r="AJ8154">
        <v>20000</v>
      </c>
      <c r="AK8154" s="30">
        <v>87</v>
      </c>
      <c r="AL8154">
        <v>7991.58</v>
      </c>
      <c r="AM8154">
        <v>10000</v>
      </c>
      <c r="AN8154">
        <v>3750</v>
      </c>
      <c r="AO8154">
        <v>15000</v>
      </c>
      <c r="AP8154" s="30">
        <v>4</v>
      </c>
      <c r="AQ8154">
        <v>2803.26</v>
      </c>
      <c r="AR8154">
        <v>3333.3</v>
      </c>
      <c r="AS8154">
        <v>1000</v>
      </c>
      <c r="AT8154">
        <v>8500</v>
      </c>
      <c r="AU8154" s="30">
        <v>14</v>
      </c>
      <c r="AV8154">
        <v>500</v>
      </c>
      <c r="AW8154">
        <v>500</v>
      </c>
      <c r="AX8154">
        <v>500</v>
      </c>
      <c r="AY8154">
        <v>500</v>
      </c>
      <c r="AZ8154" s="30">
        <v>1</v>
      </c>
      <c r="BA8154">
        <v>3044.3</v>
      </c>
      <c r="BB8154">
        <v>3333.3</v>
      </c>
      <c r="BC8154">
        <v>75</v>
      </c>
      <c r="BD8154">
        <v>20000</v>
      </c>
      <c r="BE8154" s="30">
        <v>29</v>
      </c>
      <c r="BF8154">
        <v>666.67</v>
      </c>
      <c r="BG8154">
        <v>666.7</v>
      </c>
      <c r="BH8154">
        <v>666.7</v>
      </c>
      <c r="BI8154">
        <v>666.7</v>
      </c>
      <c r="BJ8154" s="30">
        <v>1</v>
      </c>
      <c r="BK8154">
        <v>3333.33</v>
      </c>
      <c r="BL8154">
        <v>3333.3</v>
      </c>
      <c r="BM8154">
        <v>3333.3</v>
      </c>
      <c r="BN8154">
        <v>3333.3</v>
      </c>
      <c r="BO8154" s="30">
        <v>1</v>
      </c>
      <c r="BP8154">
        <v>5039.04</v>
      </c>
      <c r="BQ8154">
        <v>5000</v>
      </c>
      <c r="BR8154">
        <v>125</v>
      </c>
      <c r="BS8154">
        <v>20000</v>
      </c>
      <c r="BT8154" s="30">
        <v>24</v>
      </c>
      <c r="BU8154">
        <v>307</v>
      </c>
    </row>
    <row r="8155" spans="1:73" x14ac:dyDescent="0.35">
      <c r="A8155" t="s">
        <v>229</v>
      </c>
      <c r="B8155" t="s">
        <v>245</v>
      </c>
      <c r="C8155">
        <v>20949.990000000002</v>
      </c>
      <c r="D8155">
        <v>20000</v>
      </c>
      <c r="E8155">
        <v>1800</v>
      </c>
      <c r="F8155">
        <v>100000</v>
      </c>
      <c r="G8155" s="30">
        <v>120</v>
      </c>
      <c r="H8155">
        <v>17501.2</v>
      </c>
      <c r="I8155">
        <v>20000</v>
      </c>
      <c r="J8155">
        <v>1000</v>
      </c>
      <c r="K8155">
        <v>30000</v>
      </c>
      <c r="L8155" s="30">
        <v>17</v>
      </c>
      <c r="M8155">
        <v>8276.09</v>
      </c>
      <c r="N8155">
        <v>7000</v>
      </c>
      <c r="O8155">
        <v>2000</v>
      </c>
      <c r="P8155">
        <v>30000</v>
      </c>
      <c r="Q8155" s="30">
        <v>4</v>
      </c>
      <c r="R8155">
        <v>10533.79</v>
      </c>
      <c r="S8155">
        <v>4000</v>
      </c>
      <c r="T8155">
        <v>100</v>
      </c>
      <c r="U8155">
        <v>35000</v>
      </c>
      <c r="V8155" s="30">
        <v>10</v>
      </c>
      <c r="W8155">
        <v>2255.7399999999998</v>
      </c>
      <c r="X8155">
        <v>2000</v>
      </c>
      <c r="Y8155">
        <v>2000</v>
      </c>
      <c r="Z8155">
        <v>3000</v>
      </c>
      <c r="AA8155" s="30">
        <v>12</v>
      </c>
      <c r="AB8155">
        <v>6140.48</v>
      </c>
      <c r="AC8155">
        <v>5000</v>
      </c>
      <c r="AD8155">
        <v>2500</v>
      </c>
      <c r="AE8155">
        <v>30000</v>
      </c>
      <c r="AF8155" s="30">
        <v>104</v>
      </c>
      <c r="AG8155">
        <v>2768.06</v>
      </c>
      <c r="AH8155">
        <v>3200</v>
      </c>
      <c r="AI8155">
        <v>300</v>
      </c>
      <c r="AJ8155">
        <v>7200</v>
      </c>
      <c r="AK8155" s="30">
        <v>18</v>
      </c>
      <c r="AL8155">
        <v>7322.14</v>
      </c>
      <c r="AM8155">
        <v>10000</v>
      </c>
      <c r="AN8155">
        <v>608</v>
      </c>
      <c r="AO8155">
        <v>10000</v>
      </c>
      <c r="AP8155" s="30">
        <v>3</v>
      </c>
      <c r="AQ8155">
        <v>9029.75</v>
      </c>
      <c r="AR8155">
        <v>10000</v>
      </c>
      <c r="AS8155">
        <v>1500</v>
      </c>
      <c r="AT8155">
        <v>20000</v>
      </c>
      <c r="AU8155" s="30">
        <v>9</v>
      </c>
      <c r="AV8155">
        <v>500</v>
      </c>
      <c r="AW8155">
        <v>500</v>
      </c>
      <c r="AX8155">
        <v>500</v>
      </c>
      <c r="AY8155">
        <v>500</v>
      </c>
      <c r="AZ8155" s="30">
        <v>1</v>
      </c>
      <c r="BA8155">
        <v>3907.48</v>
      </c>
      <c r="BB8155">
        <v>2500</v>
      </c>
      <c r="BC8155">
        <v>100</v>
      </c>
      <c r="BD8155">
        <v>10000</v>
      </c>
      <c r="BE8155" s="30">
        <v>24</v>
      </c>
      <c r="BK8155">
        <v>75000</v>
      </c>
      <c r="BL8155">
        <v>75000</v>
      </c>
      <c r="BM8155">
        <v>75000</v>
      </c>
      <c r="BN8155">
        <v>75000</v>
      </c>
      <c r="BO8155" s="30">
        <v>2</v>
      </c>
      <c r="BP8155">
        <v>10417.15</v>
      </c>
      <c r="BQ8155">
        <v>10000</v>
      </c>
      <c r="BR8155">
        <v>1500</v>
      </c>
      <c r="BS8155">
        <v>40000</v>
      </c>
      <c r="BT8155" s="30">
        <v>9</v>
      </c>
      <c r="BU8155">
        <v>120</v>
      </c>
    </row>
    <row r="8156" spans="1:73" x14ac:dyDescent="0.35">
      <c r="A8156" s="27" t="s">
        <v>229</v>
      </c>
      <c r="B8156" s="27" t="s">
        <v>246</v>
      </c>
      <c r="C8156" s="29">
        <v>6798.91</v>
      </c>
      <c r="D8156" s="29">
        <v>6500</v>
      </c>
      <c r="E8156" s="29">
        <v>500</v>
      </c>
      <c r="F8156" s="29">
        <v>16000</v>
      </c>
      <c r="G8156" s="29">
        <v>25</v>
      </c>
      <c r="H8156" s="29">
        <v>142.88</v>
      </c>
      <c r="I8156" s="29">
        <v>100</v>
      </c>
      <c r="J8156" s="29">
        <v>16.7</v>
      </c>
      <c r="K8156" s="29">
        <v>1200</v>
      </c>
      <c r="L8156" s="29">
        <v>4</v>
      </c>
      <c r="M8156" s="29">
        <v>17446.37</v>
      </c>
      <c r="N8156" s="29">
        <v>4166.7</v>
      </c>
      <c r="O8156" s="29">
        <v>4166.7</v>
      </c>
      <c r="P8156" s="29">
        <v>33333.300000000003</v>
      </c>
      <c r="Q8156" s="29">
        <v>2</v>
      </c>
      <c r="R8156" s="29">
        <v>319.86</v>
      </c>
      <c r="S8156" s="29">
        <v>800</v>
      </c>
      <c r="T8156" s="29">
        <v>200</v>
      </c>
      <c r="U8156" s="29">
        <v>3000</v>
      </c>
      <c r="V8156" s="29">
        <v>3</v>
      </c>
      <c r="W8156" s="29">
        <v>1464.58</v>
      </c>
      <c r="X8156" s="29">
        <v>2200</v>
      </c>
      <c r="Y8156" s="29">
        <v>800</v>
      </c>
      <c r="Z8156" s="29">
        <v>2666.7</v>
      </c>
      <c r="AA8156" s="29">
        <v>5</v>
      </c>
      <c r="AB8156" s="29">
        <v>1471.93</v>
      </c>
      <c r="AC8156" s="29">
        <v>1400</v>
      </c>
      <c r="AD8156" s="29">
        <v>460</v>
      </c>
      <c r="AE8156" s="29">
        <v>3333.3</v>
      </c>
      <c r="AF8156" s="29">
        <v>19</v>
      </c>
      <c r="AG8156" s="29">
        <v>1336.22</v>
      </c>
      <c r="AH8156" s="29">
        <v>1040</v>
      </c>
      <c r="AI8156" s="29">
        <v>172</v>
      </c>
      <c r="AJ8156" s="29">
        <v>2500</v>
      </c>
      <c r="AK8156" s="29">
        <v>17</v>
      </c>
      <c r="AL8156" s="29"/>
      <c r="AM8156" s="29"/>
      <c r="AN8156" s="29"/>
      <c r="AO8156" s="29"/>
      <c r="AP8156" s="29"/>
      <c r="AQ8156" s="29">
        <v>2448.79</v>
      </c>
      <c r="AR8156" s="29">
        <v>2500</v>
      </c>
      <c r="AS8156" s="29">
        <v>833.3</v>
      </c>
      <c r="AT8156" s="29">
        <v>2500</v>
      </c>
      <c r="AU8156" s="29">
        <v>2</v>
      </c>
      <c r="AV8156" s="29"/>
      <c r="AW8156" s="29"/>
      <c r="AX8156" s="29"/>
      <c r="AY8156" s="29"/>
      <c r="AZ8156" s="29"/>
      <c r="BA8156" s="29">
        <v>953.95</v>
      </c>
      <c r="BB8156" s="29">
        <v>1000</v>
      </c>
      <c r="BC8156" s="29">
        <v>400</v>
      </c>
      <c r="BD8156" s="29">
        <v>1000</v>
      </c>
      <c r="BE8156" s="29">
        <v>4</v>
      </c>
      <c r="BF8156" s="29">
        <v>4000</v>
      </c>
      <c r="BG8156" s="29">
        <v>4000</v>
      </c>
      <c r="BH8156" s="29">
        <v>4000</v>
      </c>
      <c r="BI8156" s="29">
        <v>4000</v>
      </c>
      <c r="BJ8156" s="29">
        <v>1</v>
      </c>
      <c r="BK8156" s="29"/>
      <c r="BL8156" s="29"/>
      <c r="BM8156" s="29"/>
      <c r="BN8156" s="29"/>
      <c r="BO8156" s="29"/>
      <c r="BP8156" s="29">
        <v>600</v>
      </c>
      <c r="BQ8156" s="29">
        <v>600</v>
      </c>
      <c r="BR8156" s="29">
        <v>600</v>
      </c>
      <c r="BS8156" s="29">
        <v>600</v>
      </c>
      <c r="BT8156" s="29">
        <v>1</v>
      </c>
      <c r="BU8156" s="29">
        <v>25</v>
      </c>
    </row>
    <row r="8157" spans="1:73" x14ac:dyDescent="0.35">
      <c r="A8157" t="s">
        <v>230</v>
      </c>
      <c r="B8157" t="s">
        <v>244</v>
      </c>
      <c r="C8157">
        <v>11601.39</v>
      </c>
      <c r="D8157">
        <v>10000</v>
      </c>
      <c r="E8157">
        <v>1050</v>
      </c>
      <c r="F8157">
        <v>75000</v>
      </c>
      <c r="G8157" s="30">
        <v>186</v>
      </c>
      <c r="H8157">
        <v>2917.17</v>
      </c>
      <c r="I8157">
        <v>2000</v>
      </c>
      <c r="J8157">
        <v>200</v>
      </c>
      <c r="K8157">
        <v>15000</v>
      </c>
      <c r="L8157" s="30">
        <v>37</v>
      </c>
      <c r="M8157">
        <v>33292.339999999997</v>
      </c>
      <c r="N8157">
        <v>15000</v>
      </c>
      <c r="O8157">
        <v>666.7</v>
      </c>
      <c r="P8157">
        <v>150000</v>
      </c>
      <c r="Q8157" s="30">
        <v>20</v>
      </c>
      <c r="R8157">
        <v>3941.01</v>
      </c>
      <c r="S8157">
        <v>3000</v>
      </c>
      <c r="T8157">
        <v>666.7</v>
      </c>
      <c r="U8157">
        <v>6250</v>
      </c>
      <c r="V8157" s="30">
        <v>12</v>
      </c>
      <c r="W8157">
        <v>1879.87</v>
      </c>
      <c r="X8157">
        <v>2000</v>
      </c>
      <c r="Y8157">
        <v>666.7</v>
      </c>
      <c r="Z8157">
        <v>3000</v>
      </c>
      <c r="AA8157" s="30">
        <v>33</v>
      </c>
      <c r="AB8157">
        <v>3594.97</v>
      </c>
      <c r="AC8157">
        <v>2900</v>
      </c>
      <c r="AD8157">
        <v>575</v>
      </c>
      <c r="AE8157">
        <v>17500</v>
      </c>
      <c r="AF8157" s="30">
        <v>145</v>
      </c>
      <c r="AG8157">
        <v>1949.7</v>
      </c>
      <c r="AH8157">
        <v>1233.3</v>
      </c>
      <c r="AI8157">
        <v>253.3</v>
      </c>
      <c r="AJ8157">
        <v>10000</v>
      </c>
      <c r="AK8157" s="30">
        <v>58</v>
      </c>
      <c r="AL8157">
        <v>15451.73</v>
      </c>
      <c r="AM8157">
        <v>25000</v>
      </c>
      <c r="AN8157">
        <v>500</v>
      </c>
      <c r="AO8157">
        <v>25000</v>
      </c>
      <c r="AP8157" s="30">
        <v>6</v>
      </c>
      <c r="AQ8157">
        <v>5127.78</v>
      </c>
      <c r="AR8157">
        <v>2750</v>
      </c>
      <c r="AS8157">
        <v>750</v>
      </c>
      <c r="AT8157">
        <v>13000</v>
      </c>
      <c r="AU8157" s="30">
        <v>13</v>
      </c>
      <c r="AV8157">
        <v>1303.78</v>
      </c>
      <c r="AW8157">
        <v>1200</v>
      </c>
      <c r="AX8157">
        <v>241.7</v>
      </c>
      <c r="AY8157">
        <v>2000</v>
      </c>
      <c r="AZ8157" s="30">
        <v>14</v>
      </c>
      <c r="BA8157">
        <v>2925.88</v>
      </c>
      <c r="BB8157">
        <v>2500</v>
      </c>
      <c r="BC8157">
        <v>333.3</v>
      </c>
      <c r="BD8157">
        <v>20000</v>
      </c>
      <c r="BE8157" s="30">
        <v>34</v>
      </c>
      <c r="BK8157">
        <v>6763.78</v>
      </c>
      <c r="BL8157">
        <v>10000</v>
      </c>
      <c r="BM8157">
        <v>5166.7</v>
      </c>
      <c r="BN8157">
        <v>10000</v>
      </c>
      <c r="BO8157" s="30">
        <v>3</v>
      </c>
      <c r="BP8157">
        <v>2295.4499999999998</v>
      </c>
      <c r="BQ8157">
        <v>1000</v>
      </c>
      <c r="BR8157">
        <v>500</v>
      </c>
      <c r="BS8157">
        <v>6000</v>
      </c>
      <c r="BT8157" s="30">
        <v>9</v>
      </c>
      <c r="BU8157">
        <v>186</v>
      </c>
    </row>
    <row r="8158" spans="1:73" x14ac:dyDescent="0.35">
      <c r="A8158" t="s">
        <v>230</v>
      </c>
      <c r="B8158" t="s">
        <v>245</v>
      </c>
      <c r="C8158">
        <v>17200.41</v>
      </c>
      <c r="D8158">
        <v>16000</v>
      </c>
      <c r="E8158">
        <v>5000</v>
      </c>
      <c r="F8158">
        <v>50000</v>
      </c>
      <c r="G8158" s="30">
        <v>42</v>
      </c>
      <c r="H8158">
        <v>8512.98</v>
      </c>
      <c r="I8158">
        <v>8000</v>
      </c>
      <c r="J8158">
        <v>1500</v>
      </c>
      <c r="K8158">
        <v>21000</v>
      </c>
      <c r="L8158" s="30">
        <v>16</v>
      </c>
      <c r="M8158">
        <v>15000</v>
      </c>
      <c r="N8158">
        <v>15000</v>
      </c>
      <c r="O8158">
        <v>15000</v>
      </c>
      <c r="P8158">
        <v>15000</v>
      </c>
      <c r="Q8158" s="30">
        <v>1</v>
      </c>
      <c r="R8158">
        <v>2184.73</v>
      </c>
      <c r="S8158">
        <v>2000</v>
      </c>
      <c r="T8158">
        <v>1000</v>
      </c>
      <c r="U8158">
        <v>8000</v>
      </c>
      <c r="V8158" s="30">
        <v>5</v>
      </c>
      <c r="W8158">
        <v>2443.79</v>
      </c>
      <c r="X8158">
        <v>2000</v>
      </c>
      <c r="Y8158">
        <v>2000</v>
      </c>
      <c r="Z8158">
        <v>3000</v>
      </c>
      <c r="AA8158" s="30">
        <v>7</v>
      </c>
      <c r="AB8158">
        <v>5112.22</v>
      </c>
      <c r="AC8158">
        <v>4638</v>
      </c>
      <c r="AD8158">
        <v>2300</v>
      </c>
      <c r="AE8158">
        <v>18000</v>
      </c>
      <c r="AF8158" s="30">
        <v>88</v>
      </c>
      <c r="AG8158">
        <v>3927.29</v>
      </c>
      <c r="AH8158">
        <v>6000</v>
      </c>
      <c r="AI8158">
        <v>700</v>
      </c>
      <c r="AJ8158">
        <v>6000</v>
      </c>
      <c r="AK8158" s="30">
        <v>11</v>
      </c>
      <c r="AL8158">
        <v>6639.52</v>
      </c>
      <c r="AM8158">
        <v>9000</v>
      </c>
      <c r="AN8158">
        <v>1200</v>
      </c>
      <c r="AO8158">
        <v>9000</v>
      </c>
      <c r="AP8158" s="30">
        <v>4</v>
      </c>
      <c r="AQ8158">
        <v>7864.58</v>
      </c>
      <c r="AR8158">
        <v>4000</v>
      </c>
      <c r="AS8158">
        <v>1500</v>
      </c>
      <c r="AT8158">
        <v>20000</v>
      </c>
      <c r="AU8158" s="30">
        <v>9</v>
      </c>
      <c r="AV8158">
        <v>2067.15</v>
      </c>
      <c r="AW8158">
        <v>1200</v>
      </c>
      <c r="AX8158">
        <v>1200</v>
      </c>
      <c r="AY8158">
        <v>3300</v>
      </c>
      <c r="AZ8158" s="30">
        <v>11</v>
      </c>
      <c r="BA8158">
        <v>3663.81</v>
      </c>
      <c r="BB8158">
        <v>4500</v>
      </c>
      <c r="BC8158">
        <v>500</v>
      </c>
      <c r="BD8158">
        <v>10000</v>
      </c>
      <c r="BE8158" s="30">
        <v>19</v>
      </c>
      <c r="BK8158">
        <v>1153.78</v>
      </c>
      <c r="BL8158">
        <v>1200</v>
      </c>
      <c r="BM8158">
        <v>1000</v>
      </c>
      <c r="BN8158">
        <v>1200</v>
      </c>
      <c r="BO8158" s="30">
        <v>2</v>
      </c>
      <c r="BP8158">
        <v>2095.5100000000002</v>
      </c>
      <c r="BQ8158">
        <v>3000</v>
      </c>
      <c r="BR8158">
        <v>500</v>
      </c>
      <c r="BS8158">
        <v>5000</v>
      </c>
      <c r="BT8158" s="30">
        <v>6</v>
      </c>
      <c r="BU8158">
        <v>88</v>
      </c>
    </row>
    <row r="8159" spans="1:73" x14ac:dyDescent="0.35">
      <c r="A8159" s="27" t="s">
        <v>230</v>
      </c>
      <c r="B8159" s="27" t="s">
        <v>246</v>
      </c>
      <c r="C8159" s="29">
        <v>2836.57</v>
      </c>
      <c r="D8159" s="29">
        <v>2666.7</v>
      </c>
      <c r="E8159" s="29">
        <v>333.3</v>
      </c>
      <c r="F8159" s="29">
        <v>37000</v>
      </c>
      <c r="G8159" s="29">
        <v>15</v>
      </c>
      <c r="H8159" s="29">
        <v>2074.73</v>
      </c>
      <c r="I8159" s="29">
        <v>3125</v>
      </c>
      <c r="J8159" s="29">
        <v>333.3</v>
      </c>
      <c r="K8159" s="29">
        <v>3333.3</v>
      </c>
      <c r="L8159" s="29">
        <v>6</v>
      </c>
      <c r="M8159" s="29">
        <v>3333.33</v>
      </c>
      <c r="N8159" s="29">
        <v>3333.3</v>
      </c>
      <c r="O8159" s="29">
        <v>3333.3</v>
      </c>
      <c r="P8159" s="29">
        <v>3333.3</v>
      </c>
      <c r="Q8159" s="29">
        <v>1</v>
      </c>
      <c r="R8159" s="29">
        <v>2354.5700000000002</v>
      </c>
      <c r="S8159" s="29">
        <v>3000</v>
      </c>
      <c r="T8159" s="29">
        <v>600</v>
      </c>
      <c r="U8159" s="29">
        <v>3000</v>
      </c>
      <c r="V8159" s="29">
        <v>4</v>
      </c>
      <c r="W8159" s="29">
        <v>1461.41</v>
      </c>
      <c r="X8159" s="29">
        <v>2333.3000000000002</v>
      </c>
      <c r="Y8159" s="29">
        <v>833.3</v>
      </c>
      <c r="Z8159" s="29">
        <v>2400</v>
      </c>
      <c r="AA8159" s="29">
        <v>7</v>
      </c>
      <c r="AB8159" s="29">
        <v>771.36</v>
      </c>
      <c r="AC8159" s="29">
        <v>1000</v>
      </c>
      <c r="AD8159" s="29">
        <v>640</v>
      </c>
      <c r="AE8159" s="29">
        <v>1500</v>
      </c>
      <c r="AF8159" s="29">
        <v>8</v>
      </c>
      <c r="AG8159" s="29">
        <v>1169.3599999999999</v>
      </c>
      <c r="AH8159" s="29">
        <v>1000</v>
      </c>
      <c r="AI8159" s="29">
        <v>172</v>
      </c>
      <c r="AJ8159" s="29">
        <v>2833.3</v>
      </c>
      <c r="AK8159" s="29">
        <v>17</v>
      </c>
      <c r="AL8159" s="29"/>
      <c r="AM8159" s="29"/>
      <c r="AN8159" s="29"/>
      <c r="AO8159" s="29"/>
      <c r="AP8159" s="29"/>
      <c r="AQ8159" s="29">
        <v>250</v>
      </c>
      <c r="AR8159" s="29">
        <v>250</v>
      </c>
      <c r="AS8159" s="29">
        <v>250</v>
      </c>
      <c r="AT8159" s="29">
        <v>250</v>
      </c>
      <c r="AU8159" s="29">
        <v>1</v>
      </c>
      <c r="AV8159" s="29">
        <v>480</v>
      </c>
      <c r="AW8159" s="29">
        <v>480</v>
      </c>
      <c r="AX8159" s="29">
        <v>480</v>
      </c>
      <c r="AY8159" s="29">
        <v>480</v>
      </c>
      <c r="AZ8159" s="29">
        <v>1</v>
      </c>
      <c r="BA8159" s="29"/>
      <c r="BB8159" s="29"/>
      <c r="BC8159" s="29"/>
      <c r="BD8159" s="29"/>
      <c r="BE8159" s="29"/>
      <c r="BF8159" s="29"/>
      <c r="BG8159" s="29"/>
      <c r="BH8159" s="29"/>
      <c r="BI8159" s="29"/>
      <c r="BJ8159" s="29"/>
      <c r="BK8159" s="29"/>
      <c r="BL8159" s="29"/>
      <c r="BM8159" s="29"/>
      <c r="BN8159" s="29"/>
      <c r="BO8159" s="29"/>
      <c r="BP8159" s="29">
        <v>400</v>
      </c>
      <c r="BQ8159" s="29">
        <v>400</v>
      </c>
      <c r="BR8159" s="29">
        <v>400</v>
      </c>
      <c r="BS8159" s="29">
        <v>400</v>
      </c>
      <c r="BT8159" s="29">
        <v>1</v>
      </c>
      <c r="BU8159" s="29">
        <v>17</v>
      </c>
    </row>
    <row r="8160" spans="1:73" x14ac:dyDescent="0.35">
      <c r="A8160" t="s">
        <v>231</v>
      </c>
      <c r="B8160" t="s">
        <v>244</v>
      </c>
      <c r="C8160">
        <v>10599.17</v>
      </c>
      <c r="D8160">
        <v>7666.7</v>
      </c>
      <c r="E8160">
        <v>1250</v>
      </c>
      <c r="F8160">
        <v>40000</v>
      </c>
      <c r="G8160" s="30">
        <v>50</v>
      </c>
      <c r="H8160">
        <v>2376.67</v>
      </c>
      <c r="I8160">
        <v>3333.3</v>
      </c>
      <c r="J8160">
        <v>300</v>
      </c>
      <c r="K8160">
        <v>3750</v>
      </c>
      <c r="L8160" s="30">
        <v>5</v>
      </c>
      <c r="M8160">
        <v>13333.33</v>
      </c>
      <c r="N8160">
        <v>7500</v>
      </c>
      <c r="O8160">
        <v>250</v>
      </c>
      <c r="P8160">
        <v>50000</v>
      </c>
      <c r="Q8160" s="30">
        <v>8</v>
      </c>
      <c r="R8160">
        <v>1716.67</v>
      </c>
      <c r="S8160">
        <v>3000</v>
      </c>
      <c r="T8160">
        <v>500</v>
      </c>
      <c r="U8160">
        <v>3000</v>
      </c>
      <c r="V8160" s="30">
        <v>5</v>
      </c>
      <c r="W8160">
        <v>1694.44</v>
      </c>
      <c r="X8160">
        <v>2000</v>
      </c>
      <c r="Y8160">
        <v>666.7</v>
      </c>
      <c r="Z8160">
        <v>2500</v>
      </c>
      <c r="AA8160" s="30">
        <v>6</v>
      </c>
      <c r="AB8160">
        <v>3414.26</v>
      </c>
      <c r="AC8160">
        <v>2500</v>
      </c>
      <c r="AD8160">
        <v>750</v>
      </c>
      <c r="AE8160">
        <v>10500</v>
      </c>
      <c r="AF8160" s="30">
        <v>45</v>
      </c>
      <c r="AG8160">
        <v>1479.63</v>
      </c>
      <c r="AH8160">
        <v>1400</v>
      </c>
      <c r="AI8160">
        <v>215</v>
      </c>
      <c r="AJ8160">
        <v>5250</v>
      </c>
      <c r="AK8160" s="30">
        <v>18</v>
      </c>
      <c r="AQ8160">
        <v>10000</v>
      </c>
      <c r="AR8160">
        <v>10000</v>
      </c>
      <c r="AS8160">
        <v>10000</v>
      </c>
      <c r="AT8160">
        <v>10000</v>
      </c>
      <c r="AU8160" s="30">
        <v>1</v>
      </c>
      <c r="BA8160">
        <v>6157.41</v>
      </c>
      <c r="BB8160">
        <v>3333.3</v>
      </c>
      <c r="BC8160">
        <v>1000</v>
      </c>
      <c r="BD8160">
        <v>22750</v>
      </c>
      <c r="BE8160" s="30">
        <v>9</v>
      </c>
      <c r="BK8160">
        <v>500</v>
      </c>
      <c r="BL8160">
        <v>500</v>
      </c>
      <c r="BM8160">
        <v>500</v>
      </c>
      <c r="BN8160">
        <v>500</v>
      </c>
      <c r="BO8160" s="30">
        <v>2</v>
      </c>
      <c r="BP8160">
        <v>8816.67</v>
      </c>
      <c r="BQ8160">
        <v>133.30000000000001</v>
      </c>
      <c r="BR8160">
        <v>133.30000000000001</v>
      </c>
      <c r="BS8160">
        <v>17500</v>
      </c>
      <c r="BT8160" s="30">
        <v>2</v>
      </c>
      <c r="BU8160">
        <v>50</v>
      </c>
    </row>
    <row r="8161" spans="1:73" x14ac:dyDescent="0.35">
      <c r="A8161" s="27" t="s">
        <v>231</v>
      </c>
      <c r="B8161" s="27" t="s">
        <v>245</v>
      </c>
      <c r="C8161" s="29">
        <v>18944.439999999999</v>
      </c>
      <c r="D8161" s="29">
        <v>20000</v>
      </c>
      <c r="E8161" s="29">
        <v>3000</v>
      </c>
      <c r="F8161" s="29">
        <v>40000</v>
      </c>
      <c r="G8161" s="29">
        <v>18</v>
      </c>
      <c r="H8161" s="29">
        <v>14433.33</v>
      </c>
      <c r="I8161" s="29">
        <v>40000</v>
      </c>
      <c r="J8161" s="29">
        <v>300</v>
      </c>
      <c r="K8161" s="29">
        <v>40000</v>
      </c>
      <c r="L8161" s="29">
        <v>3</v>
      </c>
      <c r="M8161" s="29">
        <v>56500</v>
      </c>
      <c r="N8161" s="29">
        <v>20000</v>
      </c>
      <c r="O8161" s="29">
        <v>20000</v>
      </c>
      <c r="P8161" s="29">
        <v>93000</v>
      </c>
      <c r="Q8161" s="29">
        <v>2</v>
      </c>
      <c r="R8161" s="29"/>
      <c r="S8161" s="29"/>
      <c r="T8161" s="29"/>
      <c r="U8161" s="29"/>
      <c r="V8161" s="29"/>
      <c r="W8161" s="29">
        <v>2200</v>
      </c>
      <c r="X8161" s="29">
        <v>2000</v>
      </c>
      <c r="Y8161" s="29">
        <v>2000</v>
      </c>
      <c r="Z8161" s="29">
        <v>3000</v>
      </c>
      <c r="AA8161" s="29">
        <v>5</v>
      </c>
      <c r="AB8161" s="29">
        <v>5579.46</v>
      </c>
      <c r="AC8161" s="29">
        <v>5000</v>
      </c>
      <c r="AD8161" s="29">
        <v>3084</v>
      </c>
      <c r="AE8161" s="29">
        <v>13200</v>
      </c>
      <c r="AF8161" s="29">
        <v>28</v>
      </c>
      <c r="AG8161" s="29">
        <v>4099.5</v>
      </c>
      <c r="AH8161" s="29">
        <v>3336</v>
      </c>
      <c r="AI8161" s="29">
        <v>300</v>
      </c>
      <c r="AJ8161" s="29">
        <v>10000</v>
      </c>
      <c r="AK8161" s="29">
        <v>6</v>
      </c>
      <c r="AL8161" s="29">
        <v>8000</v>
      </c>
      <c r="AM8161" s="29">
        <v>8000</v>
      </c>
      <c r="AN8161" s="29">
        <v>8000</v>
      </c>
      <c r="AO8161" s="29">
        <v>8000</v>
      </c>
      <c r="AP8161" s="29">
        <v>1</v>
      </c>
      <c r="AQ8161" s="29">
        <v>4000</v>
      </c>
      <c r="AR8161" s="29">
        <v>4000</v>
      </c>
      <c r="AS8161" s="29">
        <v>4000</v>
      </c>
      <c r="AT8161" s="29">
        <v>4000</v>
      </c>
      <c r="AU8161" s="29">
        <v>1</v>
      </c>
      <c r="AV8161" s="29"/>
      <c r="AW8161" s="29"/>
      <c r="AX8161" s="29"/>
      <c r="AY8161" s="29"/>
      <c r="AZ8161" s="29"/>
      <c r="BA8161" s="29">
        <v>6250</v>
      </c>
      <c r="BB8161" s="29">
        <v>5000</v>
      </c>
      <c r="BC8161" s="29">
        <v>5000</v>
      </c>
      <c r="BD8161" s="29">
        <v>10000</v>
      </c>
      <c r="BE8161" s="29">
        <v>4</v>
      </c>
      <c r="BF8161" s="29"/>
      <c r="BG8161" s="29"/>
      <c r="BH8161" s="29"/>
      <c r="BI8161" s="29"/>
      <c r="BJ8161" s="29"/>
      <c r="BK8161" s="29"/>
      <c r="BL8161" s="29"/>
      <c r="BM8161" s="29"/>
      <c r="BN8161" s="29"/>
      <c r="BO8161" s="29"/>
      <c r="BP8161" s="29">
        <v>3200</v>
      </c>
      <c r="BQ8161" s="29">
        <v>2500</v>
      </c>
      <c r="BR8161" s="29">
        <v>2300</v>
      </c>
      <c r="BS8161" s="29">
        <v>5000</v>
      </c>
      <c r="BT8161" s="29">
        <v>4</v>
      </c>
      <c r="BU8161" s="29">
        <v>28</v>
      </c>
    </row>
    <row r="8162" spans="1:73" x14ac:dyDescent="0.35">
      <c r="A8162" s="27" t="s">
        <v>231</v>
      </c>
      <c r="B8162" s="27" t="s">
        <v>246</v>
      </c>
      <c r="C8162" s="29">
        <v>6600</v>
      </c>
      <c r="D8162" s="29">
        <v>8000</v>
      </c>
      <c r="E8162" s="29">
        <v>1600</v>
      </c>
      <c r="F8162" s="29">
        <v>10000</v>
      </c>
      <c r="G8162" s="29">
        <v>9</v>
      </c>
      <c r="H8162" s="29">
        <v>1100</v>
      </c>
      <c r="I8162" s="29">
        <v>600</v>
      </c>
      <c r="J8162" s="29">
        <v>600</v>
      </c>
      <c r="K8162" s="29">
        <v>1600</v>
      </c>
      <c r="L8162" s="29">
        <v>2</v>
      </c>
      <c r="M8162" s="29"/>
      <c r="N8162" s="29"/>
      <c r="O8162" s="29"/>
      <c r="P8162" s="29"/>
      <c r="Q8162" s="29"/>
      <c r="R8162" s="29"/>
      <c r="S8162" s="29"/>
      <c r="T8162" s="29"/>
      <c r="U8162" s="29"/>
      <c r="V8162" s="29"/>
      <c r="W8162" s="29">
        <v>2200</v>
      </c>
      <c r="X8162" s="29">
        <v>2200</v>
      </c>
      <c r="Y8162" s="29">
        <v>2200</v>
      </c>
      <c r="Z8162" s="29">
        <v>2200</v>
      </c>
      <c r="AA8162" s="29">
        <v>1</v>
      </c>
      <c r="AB8162" s="29">
        <v>1361.11</v>
      </c>
      <c r="AC8162" s="29">
        <v>1600</v>
      </c>
      <c r="AD8162" s="29">
        <v>500</v>
      </c>
      <c r="AE8162" s="29">
        <v>2600</v>
      </c>
      <c r="AF8162" s="29">
        <v>6</v>
      </c>
      <c r="AG8162" s="29">
        <v>441.67</v>
      </c>
      <c r="AH8162" s="29">
        <v>160</v>
      </c>
      <c r="AI8162" s="29">
        <v>106.7</v>
      </c>
      <c r="AJ8162" s="29">
        <v>1080</v>
      </c>
      <c r="AK8162" s="29">
        <v>4</v>
      </c>
      <c r="AL8162" s="29">
        <v>1000</v>
      </c>
      <c r="AM8162" s="29">
        <v>1000</v>
      </c>
      <c r="AN8162" s="29">
        <v>1000</v>
      </c>
      <c r="AO8162" s="29">
        <v>1000</v>
      </c>
      <c r="AP8162" s="29">
        <v>1</v>
      </c>
      <c r="AQ8162" s="29">
        <v>2333.33</v>
      </c>
      <c r="AR8162" s="29">
        <v>666.7</v>
      </c>
      <c r="AS8162" s="29">
        <v>666.7</v>
      </c>
      <c r="AT8162" s="29">
        <v>4000</v>
      </c>
      <c r="AU8162" s="29">
        <v>2</v>
      </c>
      <c r="AV8162" s="29"/>
      <c r="AW8162" s="29"/>
      <c r="AX8162" s="29"/>
      <c r="AY8162" s="29"/>
      <c r="AZ8162" s="29"/>
      <c r="BA8162" s="29">
        <v>2100</v>
      </c>
      <c r="BB8162" s="29">
        <v>200</v>
      </c>
      <c r="BC8162" s="29">
        <v>200</v>
      </c>
      <c r="BD8162" s="29">
        <v>4000</v>
      </c>
      <c r="BE8162" s="29">
        <v>2</v>
      </c>
      <c r="BF8162" s="29"/>
      <c r="BG8162" s="29"/>
      <c r="BH8162" s="29"/>
      <c r="BI8162" s="29"/>
      <c r="BJ8162" s="29"/>
      <c r="BK8162" s="29"/>
      <c r="BL8162" s="29"/>
      <c r="BM8162" s="29"/>
      <c r="BN8162" s="29"/>
      <c r="BO8162" s="29"/>
      <c r="BP8162" s="29"/>
      <c r="BQ8162" s="29"/>
      <c r="BR8162" s="29"/>
      <c r="BS8162" s="29"/>
      <c r="BT8162" s="29"/>
      <c r="BU8162" s="29">
        <v>9</v>
      </c>
    </row>
    <row r="8163" spans="1:73" x14ac:dyDescent="0.35">
      <c r="A8163" t="s">
        <v>232</v>
      </c>
      <c r="B8163" t="s">
        <v>232</v>
      </c>
      <c r="C8163">
        <v>12841.11</v>
      </c>
      <c r="D8163">
        <v>10000</v>
      </c>
      <c r="E8163">
        <v>333.3</v>
      </c>
      <c r="F8163">
        <v>150000</v>
      </c>
      <c r="G8163" s="30">
        <v>1271</v>
      </c>
      <c r="H8163">
        <v>6272.64</v>
      </c>
      <c r="I8163">
        <v>3333.3</v>
      </c>
      <c r="J8163">
        <v>16.7</v>
      </c>
      <c r="K8163">
        <v>66666.7</v>
      </c>
      <c r="L8163" s="30">
        <v>241</v>
      </c>
      <c r="M8163">
        <v>17578.79</v>
      </c>
      <c r="N8163">
        <v>10000</v>
      </c>
      <c r="O8163">
        <v>250</v>
      </c>
      <c r="P8163">
        <v>150000</v>
      </c>
      <c r="Q8163" s="30">
        <v>109</v>
      </c>
      <c r="R8163">
        <v>2698.25</v>
      </c>
      <c r="S8163">
        <v>1750</v>
      </c>
      <c r="T8163">
        <v>100</v>
      </c>
      <c r="U8163">
        <v>35000</v>
      </c>
      <c r="V8163" s="30">
        <v>92</v>
      </c>
      <c r="W8163">
        <v>1917.18</v>
      </c>
      <c r="X8163">
        <v>2000</v>
      </c>
      <c r="Y8163">
        <v>400</v>
      </c>
      <c r="Z8163">
        <v>5000</v>
      </c>
      <c r="AA8163" s="30">
        <v>264</v>
      </c>
      <c r="AB8163">
        <v>4296.82</v>
      </c>
      <c r="AC8163">
        <v>4000</v>
      </c>
      <c r="AD8163">
        <v>428.6</v>
      </c>
      <c r="AE8163">
        <v>30000</v>
      </c>
      <c r="AF8163" s="30">
        <v>1194</v>
      </c>
      <c r="AG8163">
        <v>2115.1799999999998</v>
      </c>
      <c r="AH8163">
        <v>1400</v>
      </c>
      <c r="AI8163">
        <v>106.7</v>
      </c>
      <c r="AJ8163">
        <v>20000</v>
      </c>
      <c r="AK8163" s="30">
        <v>404</v>
      </c>
      <c r="AL8163">
        <v>5888.89</v>
      </c>
      <c r="AM8163">
        <v>4000</v>
      </c>
      <c r="AN8163">
        <v>100</v>
      </c>
      <c r="AO8163">
        <v>25000</v>
      </c>
      <c r="AP8163" s="30">
        <v>32</v>
      </c>
      <c r="AQ8163">
        <v>5244.2</v>
      </c>
      <c r="AR8163">
        <v>3333.3</v>
      </c>
      <c r="AS8163">
        <v>233.3</v>
      </c>
      <c r="AT8163">
        <v>30000</v>
      </c>
      <c r="AU8163" s="30">
        <v>92</v>
      </c>
      <c r="AV8163">
        <v>1217.7</v>
      </c>
      <c r="AW8163">
        <v>1200</v>
      </c>
      <c r="AX8163">
        <v>241.7</v>
      </c>
      <c r="AY8163">
        <v>3300</v>
      </c>
      <c r="AZ8163" s="30">
        <v>52</v>
      </c>
      <c r="BA8163">
        <v>4143.3599999999997</v>
      </c>
      <c r="BB8163">
        <v>2500</v>
      </c>
      <c r="BC8163">
        <v>75</v>
      </c>
      <c r="BD8163">
        <v>26000</v>
      </c>
      <c r="BE8163" s="30">
        <v>206</v>
      </c>
      <c r="BF8163">
        <v>2109.21</v>
      </c>
      <c r="BG8163">
        <v>1000</v>
      </c>
      <c r="BH8163">
        <v>666.7</v>
      </c>
      <c r="BI8163">
        <v>4000</v>
      </c>
      <c r="BJ8163" s="30">
        <v>3</v>
      </c>
      <c r="BK8163">
        <v>9971.93</v>
      </c>
      <c r="BL8163">
        <v>666.7</v>
      </c>
      <c r="BM8163">
        <v>500</v>
      </c>
      <c r="BN8163">
        <v>75000</v>
      </c>
      <c r="BO8163" s="30">
        <v>14</v>
      </c>
      <c r="BP8163">
        <v>5190.95</v>
      </c>
      <c r="BQ8163">
        <v>3000</v>
      </c>
      <c r="BR8163">
        <v>100</v>
      </c>
      <c r="BS8163">
        <v>40000</v>
      </c>
      <c r="BT8163" s="30">
        <v>87</v>
      </c>
      <c r="BU8163">
        <v>1271</v>
      </c>
    </row>
    <row r="8165" spans="1:73" x14ac:dyDescent="0.35">
      <c r="A8165" s="1" t="s">
        <v>1178</v>
      </c>
    </row>
    <row r="8166" spans="1:73" x14ac:dyDescent="0.35">
      <c r="A8166" t="s">
        <v>219</v>
      </c>
      <c r="B8166" t="s">
        <v>305</v>
      </c>
      <c r="C8166" t="s">
        <v>1105</v>
      </c>
      <c r="D8166" t="s">
        <v>1106</v>
      </c>
      <c r="E8166" t="s">
        <v>1107</v>
      </c>
      <c r="F8166" t="s">
        <v>1108</v>
      </c>
      <c r="G8166" t="s">
        <v>1109</v>
      </c>
      <c r="H8166" t="s">
        <v>1110</v>
      </c>
      <c r="I8166" t="s">
        <v>1111</v>
      </c>
      <c r="J8166" t="s">
        <v>1112</v>
      </c>
      <c r="K8166" t="s">
        <v>1113</v>
      </c>
      <c r="L8166" t="s">
        <v>1114</v>
      </c>
      <c r="M8166" t="s">
        <v>1115</v>
      </c>
      <c r="N8166" t="s">
        <v>1116</v>
      </c>
      <c r="O8166" t="s">
        <v>1117</v>
      </c>
      <c r="P8166" t="s">
        <v>1118</v>
      </c>
      <c r="Q8166" t="s">
        <v>1119</v>
      </c>
      <c r="R8166" t="s">
        <v>1120</v>
      </c>
      <c r="S8166" t="s">
        <v>1121</v>
      </c>
      <c r="T8166" t="s">
        <v>1122</v>
      </c>
      <c r="U8166" t="s">
        <v>1123</v>
      </c>
      <c r="V8166" t="s">
        <v>1124</v>
      </c>
      <c r="W8166" t="s">
        <v>1125</v>
      </c>
      <c r="X8166" t="s">
        <v>1126</v>
      </c>
      <c r="Y8166" t="s">
        <v>1127</v>
      </c>
      <c r="Z8166" t="s">
        <v>1128</v>
      </c>
      <c r="AA8166" t="s">
        <v>1129</v>
      </c>
      <c r="AB8166" t="s">
        <v>1130</v>
      </c>
      <c r="AC8166" t="s">
        <v>1131</v>
      </c>
      <c r="AD8166" t="s">
        <v>1132</v>
      </c>
      <c r="AE8166" t="s">
        <v>1133</v>
      </c>
      <c r="AF8166" t="s">
        <v>1134</v>
      </c>
      <c r="AG8166" t="s">
        <v>1135</v>
      </c>
      <c r="AH8166" t="s">
        <v>1136</v>
      </c>
      <c r="AI8166" t="s">
        <v>1137</v>
      </c>
      <c r="AJ8166" t="s">
        <v>1138</v>
      </c>
      <c r="AK8166" t="s">
        <v>1139</v>
      </c>
      <c r="AL8166" t="s">
        <v>1140</v>
      </c>
      <c r="AM8166" t="s">
        <v>1141</v>
      </c>
      <c r="AN8166" t="s">
        <v>1142</v>
      </c>
      <c r="AO8166" t="s">
        <v>1143</v>
      </c>
      <c r="AP8166" t="s">
        <v>1144</v>
      </c>
      <c r="AQ8166" t="s">
        <v>1145</v>
      </c>
      <c r="AR8166" t="s">
        <v>1146</v>
      </c>
      <c r="AS8166" t="s">
        <v>1147</v>
      </c>
      <c r="AT8166" t="s">
        <v>1148</v>
      </c>
      <c r="AU8166" t="s">
        <v>1149</v>
      </c>
      <c r="AV8166" t="s">
        <v>1150</v>
      </c>
      <c r="AW8166" t="s">
        <v>1151</v>
      </c>
      <c r="AX8166" t="s">
        <v>1152</v>
      </c>
      <c r="AY8166" t="s">
        <v>1153</v>
      </c>
      <c r="AZ8166" t="s">
        <v>1154</v>
      </c>
      <c r="BA8166" t="s">
        <v>1155</v>
      </c>
      <c r="BB8166" t="s">
        <v>1156</v>
      </c>
      <c r="BC8166" t="s">
        <v>1157</v>
      </c>
      <c r="BD8166" t="s">
        <v>1158</v>
      </c>
      <c r="BE8166" t="s">
        <v>1159</v>
      </c>
      <c r="BF8166" t="s">
        <v>1160</v>
      </c>
      <c r="BG8166" t="s">
        <v>1161</v>
      </c>
      <c r="BH8166" t="s">
        <v>1162</v>
      </c>
      <c r="BI8166" t="s">
        <v>1163</v>
      </c>
      <c r="BJ8166" t="s">
        <v>1164</v>
      </c>
      <c r="BK8166" t="s">
        <v>1165</v>
      </c>
      <c r="BL8166" t="s">
        <v>1166</v>
      </c>
      <c r="BM8166" t="s">
        <v>1167</v>
      </c>
      <c r="BN8166" t="s">
        <v>1168</v>
      </c>
      <c r="BO8166" t="s">
        <v>1169</v>
      </c>
      <c r="BP8166" t="s">
        <v>1170</v>
      </c>
      <c r="BQ8166" t="s">
        <v>1171</v>
      </c>
      <c r="BR8166" t="s">
        <v>1172</v>
      </c>
      <c r="BS8166" t="s">
        <v>1173</v>
      </c>
      <c r="BT8166" t="s">
        <v>1174</v>
      </c>
      <c r="BU8166" t="s">
        <v>964</v>
      </c>
    </row>
    <row r="8167" spans="1:73" x14ac:dyDescent="0.35">
      <c r="A8167" s="27" t="s">
        <v>227</v>
      </c>
      <c r="B8167" s="27" t="s">
        <v>267</v>
      </c>
      <c r="C8167" s="29">
        <v>13666.43</v>
      </c>
      <c r="D8167" s="29">
        <v>12000</v>
      </c>
      <c r="E8167" s="29">
        <v>4000</v>
      </c>
      <c r="F8167" s="29">
        <v>37896</v>
      </c>
      <c r="G8167" s="29">
        <v>17</v>
      </c>
      <c r="H8167" s="29">
        <v>6500</v>
      </c>
      <c r="I8167" s="29">
        <v>9000</v>
      </c>
      <c r="J8167" s="29">
        <v>1000</v>
      </c>
      <c r="K8167" s="29">
        <v>20000</v>
      </c>
      <c r="L8167" s="29">
        <v>6</v>
      </c>
      <c r="M8167" s="29"/>
      <c r="N8167" s="29"/>
      <c r="O8167" s="29"/>
      <c r="P8167" s="29"/>
      <c r="Q8167" s="29"/>
      <c r="R8167" s="29">
        <v>9000</v>
      </c>
      <c r="S8167" s="29">
        <v>9000</v>
      </c>
      <c r="T8167" s="29">
        <v>9000</v>
      </c>
      <c r="U8167" s="29">
        <v>9000</v>
      </c>
      <c r="V8167" s="29">
        <v>1</v>
      </c>
      <c r="W8167" s="29">
        <v>2166.67</v>
      </c>
      <c r="X8167" s="29">
        <v>2500</v>
      </c>
      <c r="Y8167" s="29">
        <v>2000</v>
      </c>
      <c r="Z8167" s="29">
        <v>2500</v>
      </c>
      <c r="AA8167" s="29">
        <v>3</v>
      </c>
      <c r="AB8167" s="29">
        <v>3913.98</v>
      </c>
      <c r="AC8167" s="29">
        <v>4350</v>
      </c>
      <c r="AD8167" s="29">
        <v>875</v>
      </c>
      <c r="AE8167" s="29">
        <v>6800</v>
      </c>
      <c r="AF8167" s="29">
        <v>15</v>
      </c>
      <c r="AG8167" s="29">
        <v>6955.56</v>
      </c>
      <c r="AH8167" s="29">
        <v>13900</v>
      </c>
      <c r="AI8167" s="29">
        <v>300</v>
      </c>
      <c r="AJ8167" s="29">
        <v>13900</v>
      </c>
      <c r="AK8167" s="29">
        <v>3</v>
      </c>
      <c r="AL8167" s="29"/>
      <c r="AM8167" s="29"/>
      <c r="AN8167" s="29"/>
      <c r="AO8167" s="29"/>
      <c r="AP8167" s="29"/>
      <c r="AQ8167" s="29">
        <v>2500</v>
      </c>
      <c r="AR8167" s="29">
        <v>2500</v>
      </c>
      <c r="AS8167" s="29">
        <v>2500</v>
      </c>
      <c r="AT8167" s="29">
        <v>2500</v>
      </c>
      <c r="AU8167" s="29">
        <v>1</v>
      </c>
      <c r="AV8167" s="29"/>
      <c r="AW8167" s="29"/>
      <c r="AX8167" s="29"/>
      <c r="AY8167" s="29"/>
      <c r="AZ8167" s="29"/>
      <c r="BA8167" s="29">
        <v>2000</v>
      </c>
      <c r="BB8167" s="29">
        <v>2000</v>
      </c>
      <c r="BC8167" s="29">
        <v>2000</v>
      </c>
      <c r="BD8167" s="29">
        <v>2000</v>
      </c>
      <c r="BE8167" s="29">
        <v>1</v>
      </c>
      <c r="BF8167" s="29"/>
      <c r="BG8167" s="29"/>
      <c r="BH8167" s="29"/>
      <c r="BI8167" s="29"/>
      <c r="BJ8167" s="29"/>
      <c r="BK8167" s="29"/>
      <c r="BL8167" s="29"/>
      <c r="BM8167" s="29"/>
      <c r="BN8167" s="29"/>
      <c r="BO8167" s="29"/>
      <c r="BP8167" s="29">
        <v>801.67</v>
      </c>
      <c r="BQ8167" s="29">
        <v>270</v>
      </c>
      <c r="BR8167" s="29">
        <v>270</v>
      </c>
      <c r="BS8167" s="29">
        <v>1333.3</v>
      </c>
      <c r="BT8167" s="29">
        <v>2</v>
      </c>
      <c r="BU8167" s="29">
        <v>17</v>
      </c>
    </row>
    <row r="8168" spans="1:73" x14ac:dyDescent="0.35">
      <c r="A8168" s="27" t="s">
        <v>227</v>
      </c>
      <c r="B8168" s="27" t="s">
        <v>266</v>
      </c>
      <c r="C8168" s="29">
        <v>10583.18</v>
      </c>
      <c r="D8168" s="29">
        <v>9000</v>
      </c>
      <c r="E8168" s="29">
        <v>3000</v>
      </c>
      <c r="F8168" s="29">
        <v>25000</v>
      </c>
      <c r="G8168" s="29">
        <v>26</v>
      </c>
      <c r="H8168" s="29">
        <v>4925</v>
      </c>
      <c r="I8168" s="29">
        <v>1200</v>
      </c>
      <c r="J8168" s="29">
        <v>500</v>
      </c>
      <c r="K8168" s="29">
        <v>10000</v>
      </c>
      <c r="L8168" s="29">
        <v>4</v>
      </c>
      <c r="M8168" s="29"/>
      <c r="N8168" s="29"/>
      <c r="O8168" s="29"/>
      <c r="P8168" s="29"/>
      <c r="Q8168" s="29"/>
      <c r="R8168" s="29">
        <v>1211.1099999999999</v>
      </c>
      <c r="S8168" s="29">
        <v>2000</v>
      </c>
      <c r="T8168" s="29">
        <v>300</v>
      </c>
      <c r="U8168" s="29">
        <v>2000</v>
      </c>
      <c r="V8168" s="29">
        <v>3</v>
      </c>
      <c r="W8168" s="29">
        <v>2203.6999999999998</v>
      </c>
      <c r="X8168" s="29">
        <v>2500</v>
      </c>
      <c r="Y8168" s="29">
        <v>1000</v>
      </c>
      <c r="Z8168" s="29">
        <v>3000</v>
      </c>
      <c r="AA8168" s="29">
        <v>9</v>
      </c>
      <c r="AB8168" s="29">
        <v>4590.1899999999996</v>
      </c>
      <c r="AC8168" s="29">
        <v>4490</v>
      </c>
      <c r="AD8168" s="29">
        <v>1575</v>
      </c>
      <c r="AE8168" s="29">
        <v>8000</v>
      </c>
      <c r="AF8168" s="29">
        <v>26</v>
      </c>
      <c r="AG8168" s="29">
        <v>1676.33</v>
      </c>
      <c r="AH8168" s="29">
        <v>1500</v>
      </c>
      <c r="AI8168" s="29">
        <v>700</v>
      </c>
      <c r="AJ8168" s="29">
        <v>3300</v>
      </c>
      <c r="AK8168" s="29">
        <v>9</v>
      </c>
      <c r="AL8168" s="29">
        <v>550</v>
      </c>
      <c r="AM8168" s="29">
        <v>100</v>
      </c>
      <c r="AN8168" s="29">
        <v>100</v>
      </c>
      <c r="AO8168" s="29">
        <v>1000</v>
      </c>
      <c r="AP8168" s="29">
        <v>2</v>
      </c>
      <c r="AQ8168" s="29">
        <v>3500</v>
      </c>
      <c r="AR8168" s="29">
        <v>2500</v>
      </c>
      <c r="AS8168" s="29">
        <v>2500</v>
      </c>
      <c r="AT8168" s="29">
        <v>4500</v>
      </c>
      <c r="AU8168" s="29">
        <v>2</v>
      </c>
      <c r="AV8168" s="29"/>
      <c r="AW8168" s="29"/>
      <c r="AX8168" s="29"/>
      <c r="AY8168" s="29"/>
      <c r="AZ8168" s="29"/>
      <c r="BA8168" s="29">
        <v>2888.89</v>
      </c>
      <c r="BB8168" s="29">
        <v>3000</v>
      </c>
      <c r="BC8168" s="29">
        <v>1000</v>
      </c>
      <c r="BD8168" s="29">
        <v>6500</v>
      </c>
      <c r="BE8168" s="29">
        <v>9</v>
      </c>
      <c r="BF8168" s="29"/>
      <c r="BG8168" s="29"/>
      <c r="BH8168" s="29"/>
      <c r="BI8168" s="29"/>
      <c r="BJ8168" s="29"/>
      <c r="BK8168" s="29"/>
      <c r="BL8168" s="29"/>
      <c r="BM8168" s="29"/>
      <c r="BN8168" s="29"/>
      <c r="BO8168" s="29"/>
      <c r="BP8168" s="29">
        <v>8733.33</v>
      </c>
      <c r="BQ8168" s="29">
        <v>20000</v>
      </c>
      <c r="BR8168" s="29">
        <v>200</v>
      </c>
      <c r="BS8168" s="29">
        <v>20000</v>
      </c>
      <c r="BT8168" s="29">
        <v>3</v>
      </c>
      <c r="BU8168" s="29">
        <v>26</v>
      </c>
    </row>
    <row r="8169" spans="1:73" x14ac:dyDescent="0.35">
      <c r="A8169" t="s">
        <v>227</v>
      </c>
      <c r="B8169" t="s">
        <v>265</v>
      </c>
      <c r="C8169">
        <v>8664.5499999999993</v>
      </c>
      <c r="D8169">
        <v>7000</v>
      </c>
      <c r="E8169">
        <v>500</v>
      </c>
      <c r="F8169">
        <v>60000</v>
      </c>
      <c r="G8169" s="30">
        <v>41</v>
      </c>
      <c r="H8169">
        <v>3738.1</v>
      </c>
      <c r="I8169">
        <v>4000</v>
      </c>
      <c r="J8169">
        <v>750</v>
      </c>
      <c r="K8169">
        <v>8333.2999999999993</v>
      </c>
      <c r="L8169" s="30">
        <v>7</v>
      </c>
      <c r="M8169">
        <v>16666.669999999998</v>
      </c>
      <c r="N8169">
        <v>13333.3</v>
      </c>
      <c r="O8169">
        <v>10000</v>
      </c>
      <c r="P8169">
        <v>30000</v>
      </c>
      <c r="Q8169" s="30">
        <v>4</v>
      </c>
      <c r="R8169">
        <v>3833.33</v>
      </c>
      <c r="S8169">
        <v>1000</v>
      </c>
      <c r="T8169">
        <v>1000</v>
      </c>
      <c r="U8169">
        <v>6666.7</v>
      </c>
      <c r="V8169" s="30">
        <v>2</v>
      </c>
      <c r="W8169">
        <v>1671.43</v>
      </c>
      <c r="X8169">
        <v>2000</v>
      </c>
      <c r="Y8169">
        <v>1000</v>
      </c>
      <c r="Z8169">
        <v>2500</v>
      </c>
      <c r="AA8169" s="30">
        <v>7</v>
      </c>
      <c r="AB8169">
        <v>3818.33</v>
      </c>
      <c r="AC8169">
        <v>3133.3</v>
      </c>
      <c r="AD8169">
        <v>625</v>
      </c>
      <c r="AE8169">
        <v>10000</v>
      </c>
      <c r="AF8169" s="30">
        <v>27</v>
      </c>
      <c r="AG8169">
        <v>2392.5100000000002</v>
      </c>
      <c r="AH8169">
        <v>2700</v>
      </c>
      <c r="AI8169">
        <v>215</v>
      </c>
      <c r="AJ8169">
        <v>5666.7</v>
      </c>
      <c r="AK8169" s="30">
        <v>15</v>
      </c>
      <c r="AQ8169">
        <v>3333.33</v>
      </c>
      <c r="AR8169">
        <v>3333.3</v>
      </c>
      <c r="AS8169">
        <v>3333.3</v>
      </c>
      <c r="AT8169">
        <v>3333.3</v>
      </c>
      <c r="AU8169" s="30">
        <v>1</v>
      </c>
      <c r="BA8169">
        <v>4392.8599999999997</v>
      </c>
      <c r="BB8169">
        <v>7500</v>
      </c>
      <c r="BC8169">
        <v>1250</v>
      </c>
      <c r="BD8169">
        <v>7500</v>
      </c>
      <c r="BE8169" s="30">
        <v>7</v>
      </c>
      <c r="BP8169">
        <v>1666.67</v>
      </c>
      <c r="BQ8169">
        <v>1666.7</v>
      </c>
      <c r="BR8169">
        <v>1666.7</v>
      </c>
      <c r="BS8169">
        <v>1666.7</v>
      </c>
      <c r="BT8169" s="30">
        <v>2</v>
      </c>
      <c r="BU8169">
        <v>41</v>
      </c>
    </row>
    <row r="8170" spans="1:73" x14ac:dyDescent="0.35">
      <c r="A8170" t="s">
        <v>228</v>
      </c>
      <c r="B8170" t="s">
        <v>267</v>
      </c>
      <c r="C8170">
        <v>13384.89</v>
      </c>
      <c r="D8170">
        <v>8000</v>
      </c>
      <c r="E8170">
        <v>666.7</v>
      </c>
      <c r="F8170">
        <v>80000</v>
      </c>
      <c r="G8170" s="30">
        <v>85</v>
      </c>
      <c r="H8170">
        <v>5468.68</v>
      </c>
      <c r="I8170">
        <v>3333.3</v>
      </c>
      <c r="J8170">
        <v>500</v>
      </c>
      <c r="K8170">
        <v>15000</v>
      </c>
      <c r="L8170" s="30">
        <v>17</v>
      </c>
      <c r="M8170">
        <v>23968.080000000002</v>
      </c>
      <c r="N8170">
        <v>15000</v>
      </c>
      <c r="O8170">
        <v>1500</v>
      </c>
      <c r="P8170">
        <v>70000</v>
      </c>
      <c r="Q8170" s="30">
        <v>10</v>
      </c>
      <c r="R8170">
        <v>4279.45</v>
      </c>
      <c r="S8170">
        <v>2000</v>
      </c>
      <c r="T8170">
        <v>450</v>
      </c>
      <c r="U8170">
        <v>30000</v>
      </c>
      <c r="V8170" s="30">
        <v>5</v>
      </c>
      <c r="W8170">
        <v>1583.68</v>
      </c>
      <c r="X8170">
        <v>1500</v>
      </c>
      <c r="Y8170">
        <v>500</v>
      </c>
      <c r="Z8170">
        <v>3000</v>
      </c>
      <c r="AA8170" s="30">
        <v>23</v>
      </c>
      <c r="AB8170">
        <v>3921.11</v>
      </c>
      <c r="AC8170">
        <v>3650</v>
      </c>
      <c r="AD8170">
        <v>560</v>
      </c>
      <c r="AE8170">
        <v>15000</v>
      </c>
      <c r="AF8170" s="30">
        <v>81</v>
      </c>
      <c r="AG8170">
        <v>1748.87</v>
      </c>
      <c r="AH8170">
        <v>1650</v>
      </c>
      <c r="AI8170">
        <v>160</v>
      </c>
      <c r="AJ8170">
        <v>5500</v>
      </c>
      <c r="AK8170" s="30">
        <v>24</v>
      </c>
      <c r="AL8170">
        <v>1400.16</v>
      </c>
      <c r="AM8170">
        <v>1250</v>
      </c>
      <c r="AN8170">
        <v>1250</v>
      </c>
      <c r="AO8170">
        <v>2000</v>
      </c>
      <c r="AP8170" s="30">
        <v>2</v>
      </c>
      <c r="AQ8170">
        <v>3361.16</v>
      </c>
      <c r="AR8170">
        <v>1500</v>
      </c>
      <c r="AS8170">
        <v>1200</v>
      </c>
      <c r="AT8170">
        <v>10000</v>
      </c>
      <c r="AU8170" s="30">
        <v>7</v>
      </c>
      <c r="AV8170">
        <v>813.61</v>
      </c>
      <c r="AW8170">
        <v>1200</v>
      </c>
      <c r="AX8170">
        <v>600</v>
      </c>
      <c r="AY8170">
        <v>1200</v>
      </c>
      <c r="AZ8170" s="30">
        <v>5</v>
      </c>
      <c r="BA8170">
        <v>2370.12</v>
      </c>
      <c r="BB8170">
        <v>3000</v>
      </c>
      <c r="BC8170">
        <v>1000</v>
      </c>
      <c r="BD8170">
        <v>4000</v>
      </c>
      <c r="BE8170" s="30">
        <v>8</v>
      </c>
      <c r="BK8170">
        <v>1945</v>
      </c>
      <c r="BL8170">
        <v>500</v>
      </c>
      <c r="BM8170">
        <v>500</v>
      </c>
      <c r="BN8170">
        <v>21750</v>
      </c>
      <c r="BO8170" s="30">
        <v>2</v>
      </c>
      <c r="BP8170">
        <v>10631.63</v>
      </c>
      <c r="BQ8170">
        <v>22000</v>
      </c>
      <c r="BR8170">
        <v>1000</v>
      </c>
      <c r="BS8170">
        <v>22000</v>
      </c>
      <c r="BT8170" s="30">
        <v>4</v>
      </c>
      <c r="BU8170">
        <v>85</v>
      </c>
    </row>
    <row r="8171" spans="1:73" x14ac:dyDescent="0.35">
      <c r="A8171" t="s">
        <v>228</v>
      </c>
      <c r="B8171" t="s">
        <v>266</v>
      </c>
      <c r="C8171">
        <v>14108.22</v>
      </c>
      <c r="D8171">
        <v>10000</v>
      </c>
      <c r="E8171">
        <v>1666.7</v>
      </c>
      <c r="F8171">
        <v>55500</v>
      </c>
      <c r="G8171" s="30">
        <v>135</v>
      </c>
      <c r="H8171">
        <v>6346.51</v>
      </c>
      <c r="I8171">
        <v>5000</v>
      </c>
      <c r="J8171">
        <v>666.7</v>
      </c>
      <c r="K8171">
        <v>39000</v>
      </c>
      <c r="L8171" s="30">
        <v>28</v>
      </c>
      <c r="M8171">
        <v>13237.3</v>
      </c>
      <c r="N8171">
        <v>7500</v>
      </c>
      <c r="O8171">
        <v>2222.1999999999998</v>
      </c>
      <c r="P8171">
        <v>30000</v>
      </c>
      <c r="Q8171" s="30">
        <v>5</v>
      </c>
      <c r="R8171">
        <v>2362.23</v>
      </c>
      <c r="S8171">
        <v>4333.3</v>
      </c>
      <c r="T8171">
        <v>500</v>
      </c>
      <c r="U8171">
        <v>4500</v>
      </c>
      <c r="V8171" s="30">
        <v>6</v>
      </c>
      <c r="W8171">
        <v>2156.86</v>
      </c>
      <c r="X8171">
        <v>2000</v>
      </c>
      <c r="Y8171">
        <v>400</v>
      </c>
      <c r="Z8171">
        <v>5000</v>
      </c>
      <c r="AA8171" s="30">
        <v>60</v>
      </c>
      <c r="AB8171">
        <v>5136.79</v>
      </c>
      <c r="AC8171">
        <v>4250</v>
      </c>
      <c r="AD8171">
        <v>571.4</v>
      </c>
      <c r="AE8171">
        <v>27000</v>
      </c>
      <c r="AF8171" s="30">
        <v>235</v>
      </c>
      <c r="AG8171">
        <v>1858.83</v>
      </c>
      <c r="AH8171">
        <v>1500</v>
      </c>
      <c r="AI8171">
        <v>215</v>
      </c>
      <c r="AJ8171">
        <v>8000</v>
      </c>
      <c r="AK8171" s="30">
        <v>57</v>
      </c>
      <c r="AL8171">
        <v>12422.58</v>
      </c>
      <c r="AM8171">
        <v>18000</v>
      </c>
      <c r="AN8171">
        <v>1500</v>
      </c>
      <c r="AO8171">
        <v>18000</v>
      </c>
      <c r="AP8171" s="30">
        <v>3</v>
      </c>
      <c r="AQ8171">
        <v>4336.91</v>
      </c>
      <c r="AR8171">
        <v>2500</v>
      </c>
      <c r="AS8171">
        <v>1250</v>
      </c>
      <c r="AT8171">
        <v>30000</v>
      </c>
      <c r="AU8171" s="30">
        <v>16</v>
      </c>
      <c r="AV8171">
        <v>1138.1400000000001</v>
      </c>
      <c r="AW8171">
        <v>1200</v>
      </c>
      <c r="AX8171">
        <v>480</v>
      </c>
      <c r="AY8171">
        <v>1300</v>
      </c>
      <c r="AZ8171" s="30">
        <v>12</v>
      </c>
      <c r="BA8171">
        <v>5624.7</v>
      </c>
      <c r="BB8171">
        <v>2600</v>
      </c>
      <c r="BC8171">
        <v>100</v>
      </c>
      <c r="BD8171">
        <v>26000</v>
      </c>
      <c r="BE8171" s="30">
        <v>34</v>
      </c>
      <c r="BK8171">
        <v>719.93</v>
      </c>
      <c r="BL8171">
        <v>666.7</v>
      </c>
      <c r="BM8171">
        <v>666.7</v>
      </c>
      <c r="BN8171">
        <v>1450</v>
      </c>
      <c r="BO8171" s="30">
        <v>2</v>
      </c>
      <c r="BP8171">
        <v>3760.9</v>
      </c>
      <c r="BQ8171">
        <v>1800</v>
      </c>
      <c r="BR8171">
        <v>100</v>
      </c>
      <c r="BS8171">
        <v>25300</v>
      </c>
      <c r="BT8171" s="30">
        <v>14</v>
      </c>
      <c r="BU8171">
        <v>235</v>
      </c>
    </row>
    <row r="8172" spans="1:73" x14ac:dyDescent="0.35">
      <c r="A8172" s="27" t="s">
        <v>228</v>
      </c>
      <c r="B8172" s="27" t="s">
        <v>236</v>
      </c>
      <c r="C8172" s="29">
        <v>15100</v>
      </c>
      <c r="D8172" s="29">
        <v>5200</v>
      </c>
      <c r="E8172" s="29">
        <v>5200</v>
      </c>
      <c r="F8172" s="29">
        <v>25000</v>
      </c>
      <c r="G8172" s="29">
        <v>2</v>
      </c>
      <c r="H8172" s="29"/>
      <c r="I8172" s="29"/>
      <c r="J8172" s="29"/>
      <c r="K8172" s="29"/>
      <c r="L8172" s="29"/>
      <c r="M8172" s="29"/>
      <c r="N8172" s="29"/>
      <c r="O8172" s="29"/>
      <c r="P8172" s="29"/>
      <c r="Q8172" s="29"/>
      <c r="R8172" s="29"/>
      <c r="S8172" s="29"/>
      <c r="T8172" s="29"/>
      <c r="U8172" s="29"/>
      <c r="V8172" s="29"/>
      <c r="W8172" s="29"/>
      <c r="X8172" s="29"/>
      <c r="Y8172" s="29"/>
      <c r="Z8172" s="29"/>
      <c r="AA8172" s="29"/>
      <c r="AB8172" s="29">
        <v>7275</v>
      </c>
      <c r="AC8172" s="29">
        <v>1550</v>
      </c>
      <c r="AD8172" s="29">
        <v>1550</v>
      </c>
      <c r="AE8172" s="29">
        <v>13000</v>
      </c>
      <c r="AF8172" s="29">
        <v>2</v>
      </c>
      <c r="AG8172" s="29"/>
      <c r="AH8172" s="29"/>
      <c r="AI8172" s="29"/>
      <c r="AJ8172" s="29"/>
      <c r="AK8172" s="29"/>
      <c r="AL8172" s="29"/>
      <c r="AM8172" s="29"/>
      <c r="AN8172" s="29"/>
      <c r="AO8172" s="29"/>
      <c r="AP8172" s="29"/>
      <c r="AQ8172" s="29"/>
      <c r="AR8172" s="29"/>
      <c r="AS8172" s="29"/>
      <c r="AT8172" s="29"/>
      <c r="AU8172" s="29"/>
      <c r="AV8172" s="29"/>
      <c r="AW8172" s="29"/>
      <c r="AX8172" s="29"/>
      <c r="AY8172" s="29"/>
      <c r="AZ8172" s="29"/>
      <c r="BA8172" s="29"/>
      <c r="BB8172" s="29"/>
      <c r="BC8172" s="29"/>
      <c r="BD8172" s="29"/>
      <c r="BE8172" s="29"/>
      <c r="BF8172" s="29"/>
      <c r="BG8172" s="29"/>
      <c r="BH8172" s="29"/>
      <c r="BI8172" s="29"/>
      <c r="BJ8172" s="29"/>
      <c r="BK8172" s="29"/>
      <c r="BL8172" s="29"/>
      <c r="BM8172" s="29"/>
      <c r="BN8172" s="29"/>
      <c r="BO8172" s="29"/>
      <c r="BP8172" s="29"/>
      <c r="BQ8172" s="29"/>
      <c r="BR8172" s="29"/>
      <c r="BS8172" s="29"/>
      <c r="BT8172" s="29"/>
      <c r="BU8172" s="29">
        <v>2</v>
      </c>
    </row>
    <row r="8173" spans="1:73" x14ac:dyDescent="0.35">
      <c r="A8173" t="s">
        <v>228</v>
      </c>
      <c r="B8173" t="s">
        <v>265</v>
      </c>
      <c r="C8173">
        <v>10911.98</v>
      </c>
      <c r="D8173">
        <v>8333.2999999999993</v>
      </c>
      <c r="E8173">
        <v>700</v>
      </c>
      <c r="F8173">
        <v>66666.7</v>
      </c>
      <c r="G8173" s="30">
        <v>193</v>
      </c>
      <c r="H8173">
        <v>4013.38</v>
      </c>
      <c r="I8173">
        <v>3000</v>
      </c>
      <c r="J8173">
        <v>500</v>
      </c>
      <c r="K8173">
        <v>10000</v>
      </c>
      <c r="L8173" s="30">
        <v>40</v>
      </c>
      <c r="M8173">
        <v>10177.61</v>
      </c>
      <c r="N8173">
        <v>6750</v>
      </c>
      <c r="O8173">
        <v>1250</v>
      </c>
      <c r="P8173">
        <v>35000</v>
      </c>
      <c r="Q8173" s="30">
        <v>21</v>
      </c>
      <c r="R8173">
        <v>3608.02</v>
      </c>
      <c r="S8173">
        <v>3600</v>
      </c>
      <c r="T8173">
        <v>800</v>
      </c>
      <c r="U8173">
        <v>8333.2999999999993</v>
      </c>
      <c r="V8173" s="30">
        <v>12</v>
      </c>
      <c r="W8173">
        <v>1644.78</v>
      </c>
      <c r="X8173">
        <v>1666.7</v>
      </c>
      <c r="Y8173">
        <v>400</v>
      </c>
      <c r="Z8173">
        <v>2600</v>
      </c>
      <c r="AA8173" s="30">
        <v>50</v>
      </c>
      <c r="AB8173">
        <v>3991.31</v>
      </c>
      <c r="AC8173">
        <v>4000</v>
      </c>
      <c r="AD8173">
        <v>428.6</v>
      </c>
      <c r="AE8173">
        <v>14000</v>
      </c>
      <c r="AF8173" s="30">
        <v>175</v>
      </c>
      <c r="AG8173">
        <v>1545.59</v>
      </c>
      <c r="AH8173">
        <v>1500</v>
      </c>
      <c r="AI8173">
        <v>172</v>
      </c>
      <c r="AJ8173">
        <v>9850</v>
      </c>
      <c r="AK8173" s="30">
        <v>60</v>
      </c>
      <c r="AL8173">
        <v>1875.39</v>
      </c>
      <c r="AM8173">
        <v>2000</v>
      </c>
      <c r="AN8173">
        <v>333.3</v>
      </c>
      <c r="AO8173">
        <v>4500</v>
      </c>
      <c r="AP8173" s="30">
        <v>6</v>
      </c>
      <c r="AQ8173">
        <v>8204.02</v>
      </c>
      <c r="AR8173">
        <v>2500</v>
      </c>
      <c r="AS8173">
        <v>233.3</v>
      </c>
      <c r="AT8173">
        <v>25000</v>
      </c>
      <c r="AU8173" s="30">
        <v>13</v>
      </c>
      <c r="AV8173">
        <v>965.47</v>
      </c>
      <c r="AW8173">
        <v>1200</v>
      </c>
      <c r="AX8173">
        <v>400</v>
      </c>
      <c r="AY8173">
        <v>1600</v>
      </c>
      <c r="AZ8173" s="30">
        <v>7</v>
      </c>
      <c r="BA8173">
        <v>2307.91</v>
      </c>
      <c r="BB8173">
        <v>1750</v>
      </c>
      <c r="BC8173">
        <v>200</v>
      </c>
      <c r="BD8173">
        <v>15000</v>
      </c>
      <c r="BE8173" s="30">
        <v>22</v>
      </c>
      <c r="BF8173">
        <v>1000</v>
      </c>
      <c r="BG8173">
        <v>1000</v>
      </c>
      <c r="BH8173">
        <v>1000</v>
      </c>
      <c r="BI8173">
        <v>1000</v>
      </c>
      <c r="BJ8173" s="30">
        <v>1</v>
      </c>
      <c r="BP8173">
        <v>5857.51</v>
      </c>
      <c r="BQ8173">
        <v>5000</v>
      </c>
      <c r="BR8173">
        <v>1000</v>
      </c>
      <c r="BS8173">
        <v>20000</v>
      </c>
      <c r="BT8173" s="30">
        <v>6</v>
      </c>
      <c r="BU8173">
        <v>193</v>
      </c>
    </row>
    <row r="8174" spans="1:73" x14ac:dyDescent="0.35">
      <c r="A8174" t="s">
        <v>229</v>
      </c>
      <c r="B8174" t="s">
        <v>267</v>
      </c>
      <c r="C8174">
        <v>17956.740000000002</v>
      </c>
      <c r="D8174">
        <v>16666.7</v>
      </c>
      <c r="E8174">
        <v>2000</v>
      </c>
      <c r="F8174">
        <v>150000</v>
      </c>
      <c r="G8174" s="30">
        <v>100</v>
      </c>
      <c r="H8174">
        <v>11177.13</v>
      </c>
      <c r="I8174">
        <v>5000</v>
      </c>
      <c r="J8174">
        <v>1000</v>
      </c>
      <c r="K8174">
        <v>30000</v>
      </c>
      <c r="L8174" s="30">
        <v>20</v>
      </c>
      <c r="M8174">
        <v>13573.65</v>
      </c>
      <c r="N8174">
        <v>15000</v>
      </c>
      <c r="O8174">
        <v>3000</v>
      </c>
      <c r="P8174">
        <v>33333.300000000003</v>
      </c>
      <c r="Q8174" s="30">
        <v>11</v>
      </c>
      <c r="R8174">
        <v>7791.91</v>
      </c>
      <c r="S8174">
        <v>5000</v>
      </c>
      <c r="T8174">
        <v>100</v>
      </c>
      <c r="U8174">
        <v>35000</v>
      </c>
      <c r="V8174" s="30">
        <v>11</v>
      </c>
      <c r="W8174">
        <v>1635.25</v>
      </c>
      <c r="X8174">
        <v>2000</v>
      </c>
      <c r="Y8174">
        <v>666.7</v>
      </c>
      <c r="Z8174">
        <v>3000</v>
      </c>
      <c r="AA8174" s="30">
        <v>7</v>
      </c>
      <c r="AB8174">
        <v>5027.3500000000004</v>
      </c>
      <c r="AC8174">
        <v>5000</v>
      </c>
      <c r="AD8174">
        <v>833.3</v>
      </c>
      <c r="AE8174">
        <v>30000</v>
      </c>
      <c r="AF8174" s="30">
        <v>52</v>
      </c>
      <c r="AG8174">
        <v>2033.51</v>
      </c>
      <c r="AH8174">
        <v>1625</v>
      </c>
      <c r="AI8174">
        <v>286.7</v>
      </c>
      <c r="AJ8174">
        <v>10000</v>
      </c>
      <c r="AK8174" s="30">
        <v>19</v>
      </c>
      <c r="AL8174">
        <v>10000</v>
      </c>
      <c r="AM8174">
        <v>10000</v>
      </c>
      <c r="AN8174">
        <v>10000</v>
      </c>
      <c r="AO8174">
        <v>10000</v>
      </c>
      <c r="AP8174" s="30">
        <v>1</v>
      </c>
      <c r="AQ8174">
        <v>7821.38</v>
      </c>
      <c r="AR8174">
        <v>4666.7</v>
      </c>
      <c r="AS8174">
        <v>1000</v>
      </c>
      <c r="AT8174">
        <v>20000</v>
      </c>
      <c r="AU8174" s="30">
        <v>6</v>
      </c>
      <c r="AV8174">
        <v>500</v>
      </c>
      <c r="AW8174">
        <v>500</v>
      </c>
      <c r="AX8174">
        <v>500</v>
      </c>
      <c r="AY8174">
        <v>500</v>
      </c>
      <c r="AZ8174" s="30">
        <v>1</v>
      </c>
      <c r="BA8174">
        <v>4933.43</v>
      </c>
      <c r="BB8174">
        <v>5000</v>
      </c>
      <c r="BC8174">
        <v>100</v>
      </c>
      <c r="BD8174">
        <v>10000</v>
      </c>
      <c r="BE8174" s="30">
        <v>10</v>
      </c>
      <c r="BK8174">
        <v>75000</v>
      </c>
      <c r="BL8174">
        <v>75000</v>
      </c>
      <c r="BM8174">
        <v>75000</v>
      </c>
      <c r="BN8174">
        <v>75000</v>
      </c>
      <c r="BO8174" s="30">
        <v>1</v>
      </c>
      <c r="BP8174">
        <v>8221.9699999999993</v>
      </c>
      <c r="BQ8174">
        <v>13000</v>
      </c>
      <c r="BR8174">
        <v>5000</v>
      </c>
      <c r="BS8174">
        <v>20000</v>
      </c>
      <c r="BT8174" s="30">
        <v>5</v>
      </c>
      <c r="BU8174">
        <v>100</v>
      </c>
    </row>
    <row r="8175" spans="1:73" x14ac:dyDescent="0.35">
      <c r="A8175" t="s">
        <v>229</v>
      </c>
      <c r="B8175" t="s">
        <v>265</v>
      </c>
      <c r="C8175">
        <v>13944.28</v>
      </c>
      <c r="D8175">
        <v>12500</v>
      </c>
      <c r="E8175">
        <v>1000</v>
      </c>
      <c r="F8175">
        <v>50000</v>
      </c>
      <c r="G8175" s="30">
        <v>181</v>
      </c>
      <c r="H8175">
        <v>10539.76</v>
      </c>
      <c r="I8175">
        <v>5500</v>
      </c>
      <c r="J8175">
        <v>100</v>
      </c>
      <c r="K8175">
        <v>66666.7</v>
      </c>
      <c r="L8175" s="30">
        <v>27</v>
      </c>
      <c r="M8175">
        <v>9657.82</v>
      </c>
      <c r="N8175">
        <v>8333.2999999999993</v>
      </c>
      <c r="O8175">
        <v>750</v>
      </c>
      <c r="P8175">
        <v>30000</v>
      </c>
      <c r="Q8175" s="30">
        <v>21</v>
      </c>
      <c r="R8175">
        <v>1321.51</v>
      </c>
      <c r="S8175">
        <v>800</v>
      </c>
      <c r="T8175">
        <v>200</v>
      </c>
      <c r="U8175">
        <v>16666.7</v>
      </c>
      <c r="V8175" s="30">
        <v>18</v>
      </c>
      <c r="W8175">
        <v>1438.49</v>
      </c>
      <c r="X8175">
        <v>1666.7</v>
      </c>
      <c r="Y8175">
        <v>500</v>
      </c>
      <c r="Z8175">
        <v>3150</v>
      </c>
      <c r="AA8175" s="30">
        <v>21</v>
      </c>
      <c r="AB8175">
        <v>3972.52</v>
      </c>
      <c r="AC8175">
        <v>3333.3</v>
      </c>
      <c r="AD8175">
        <v>460</v>
      </c>
      <c r="AE8175">
        <v>16000</v>
      </c>
      <c r="AF8175" s="30">
        <v>129</v>
      </c>
      <c r="AG8175">
        <v>2838.77</v>
      </c>
      <c r="AH8175">
        <v>1450</v>
      </c>
      <c r="AI8175">
        <v>150</v>
      </c>
      <c r="AJ8175">
        <v>20000</v>
      </c>
      <c r="AK8175" s="30">
        <v>62</v>
      </c>
      <c r="AL8175">
        <v>7991.58</v>
      </c>
      <c r="AM8175">
        <v>10000</v>
      </c>
      <c r="AN8175">
        <v>3750</v>
      </c>
      <c r="AO8175">
        <v>15000</v>
      </c>
      <c r="AP8175" s="30">
        <v>4</v>
      </c>
      <c r="AQ8175">
        <v>3005.22</v>
      </c>
      <c r="AR8175">
        <v>3333.3</v>
      </c>
      <c r="AS8175">
        <v>833.3</v>
      </c>
      <c r="AT8175">
        <v>3333.3</v>
      </c>
      <c r="AU8175" s="30">
        <v>6</v>
      </c>
      <c r="BA8175">
        <v>1867.63</v>
      </c>
      <c r="BB8175">
        <v>1000</v>
      </c>
      <c r="BC8175">
        <v>166.7</v>
      </c>
      <c r="BD8175">
        <v>20000</v>
      </c>
      <c r="BE8175" s="30">
        <v>18</v>
      </c>
      <c r="BF8175">
        <v>4000</v>
      </c>
      <c r="BG8175">
        <v>4000</v>
      </c>
      <c r="BH8175">
        <v>4000</v>
      </c>
      <c r="BI8175">
        <v>4000</v>
      </c>
      <c r="BJ8175" s="30">
        <v>1</v>
      </c>
      <c r="BK8175">
        <v>3333.33</v>
      </c>
      <c r="BL8175">
        <v>3333.3</v>
      </c>
      <c r="BM8175">
        <v>3333.3</v>
      </c>
      <c r="BN8175">
        <v>3333.3</v>
      </c>
      <c r="BO8175" s="30">
        <v>1</v>
      </c>
      <c r="BP8175">
        <v>4958.04</v>
      </c>
      <c r="BQ8175">
        <v>3000</v>
      </c>
      <c r="BR8175">
        <v>185</v>
      </c>
      <c r="BS8175">
        <v>17500</v>
      </c>
      <c r="BT8175" s="30">
        <v>15</v>
      </c>
      <c r="BU8175">
        <v>181</v>
      </c>
    </row>
    <row r="8176" spans="1:73" x14ac:dyDescent="0.35">
      <c r="A8176" t="s">
        <v>229</v>
      </c>
      <c r="B8176" t="s">
        <v>266</v>
      </c>
      <c r="C8176">
        <v>16042.83</v>
      </c>
      <c r="D8176">
        <v>10000</v>
      </c>
      <c r="E8176">
        <v>500</v>
      </c>
      <c r="F8176">
        <v>100000</v>
      </c>
      <c r="G8176" s="30">
        <v>171</v>
      </c>
      <c r="H8176">
        <v>4600.1899999999996</v>
      </c>
      <c r="I8176">
        <v>5000</v>
      </c>
      <c r="J8176">
        <v>16.7</v>
      </c>
      <c r="K8176">
        <v>20000</v>
      </c>
      <c r="L8176" s="30">
        <v>23</v>
      </c>
      <c r="M8176">
        <v>11406.3</v>
      </c>
      <c r="N8176">
        <v>20000</v>
      </c>
      <c r="O8176">
        <v>1000</v>
      </c>
      <c r="P8176">
        <v>25000</v>
      </c>
      <c r="Q8176" s="30">
        <v>5</v>
      </c>
      <c r="R8176">
        <v>3186.37</v>
      </c>
      <c r="S8176">
        <v>3000</v>
      </c>
      <c r="T8176">
        <v>100</v>
      </c>
      <c r="U8176">
        <v>6666.7</v>
      </c>
      <c r="V8176" s="30">
        <v>8</v>
      </c>
      <c r="W8176">
        <v>2197.59</v>
      </c>
      <c r="X8176">
        <v>2000</v>
      </c>
      <c r="Y8176">
        <v>666.7</v>
      </c>
      <c r="Z8176">
        <v>3000</v>
      </c>
      <c r="AA8176" s="30">
        <v>25</v>
      </c>
      <c r="AB8176">
        <v>5347.65</v>
      </c>
      <c r="AC8176">
        <v>4500</v>
      </c>
      <c r="AD8176">
        <v>660</v>
      </c>
      <c r="AE8176">
        <v>16500</v>
      </c>
      <c r="AF8176" s="30">
        <v>132</v>
      </c>
      <c r="AG8176">
        <v>1580.48</v>
      </c>
      <c r="AH8176">
        <v>1350</v>
      </c>
      <c r="AI8176">
        <v>286.7</v>
      </c>
      <c r="AJ8176">
        <v>4000</v>
      </c>
      <c r="AK8176" s="30">
        <v>41</v>
      </c>
      <c r="AL8176">
        <v>4490.3100000000004</v>
      </c>
      <c r="AM8176">
        <v>5000</v>
      </c>
      <c r="AN8176">
        <v>608</v>
      </c>
      <c r="AO8176">
        <v>5000</v>
      </c>
      <c r="AP8176" s="30">
        <v>2</v>
      </c>
      <c r="AQ8176">
        <v>4337.7700000000004</v>
      </c>
      <c r="AR8176">
        <v>3333.3</v>
      </c>
      <c r="AS8176">
        <v>1000</v>
      </c>
      <c r="AT8176">
        <v>20000</v>
      </c>
      <c r="AU8176" s="30">
        <v>13</v>
      </c>
      <c r="AV8176">
        <v>500</v>
      </c>
      <c r="AW8176">
        <v>500</v>
      </c>
      <c r="AX8176">
        <v>500</v>
      </c>
      <c r="AY8176">
        <v>500</v>
      </c>
      <c r="AZ8176" s="30">
        <v>1</v>
      </c>
      <c r="BA8176">
        <v>3952.14</v>
      </c>
      <c r="BB8176">
        <v>3500</v>
      </c>
      <c r="BC8176">
        <v>75</v>
      </c>
      <c r="BD8176">
        <v>10000</v>
      </c>
      <c r="BE8176" s="30">
        <v>29</v>
      </c>
      <c r="BF8176">
        <v>666.67</v>
      </c>
      <c r="BG8176">
        <v>666.7</v>
      </c>
      <c r="BH8176">
        <v>666.7</v>
      </c>
      <c r="BI8176">
        <v>666.7</v>
      </c>
      <c r="BJ8176" s="30">
        <v>1</v>
      </c>
      <c r="BK8176">
        <v>75000</v>
      </c>
      <c r="BL8176">
        <v>75000</v>
      </c>
      <c r="BM8176">
        <v>75000</v>
      </c>
      <c r="BN8176">
        <v>75000</v>
      </c>
      <c r="BO8176" s="30">
        <v>1</v>
      </c>
      <c r="BP8176">
        <v>6947.33</v>
      </c>
      <c r="BQ8176">
        <v>7000</v>
      </c>
      <c r="BR8176">
        <v>125</v>
      </c>
      <c r="BS8176">
        <v>40000</v>
      </c>
      <c r="BT8176" s="30">
        <v>14</v>
      </c>
      <c r="BU8176">
        <v>171</v>
      </c>
    </row>
    <row r="8177" spans="1:73" x14ac:dyDescent="0.35">
      <c r="A8177" t="s">
        <v>230</v>
      </c>
      <c r="B8177" t="s">
        <v>265</v>
      </c>
      <c r="C8177">
        <v>9085.17</v>
      </c>
      <c r="D8177">
        <v>7000</v>
      </c>
      <c r="E8177">
        <v>333.3</v>
      </c>
      <c r="F8177">
        <v>37000</v>
      </c>
      <c r="G8177" s="30">
        <v>110</v>
      </c>
      <c r="H8177">
        <v>2983.52</v>
      </c>
      <c r="I8177">
        <v>2400</v>
      </c>
      <c r="J8177">
        <v>333.3</v>
      </c>
      <c r="K8177">
        <v>15000</v>
      </c>
      <c r="L8177" s="30">
        <v>22</v>
      </c>
      <c r="M8177">
        <v>20010.419999999998</v>
      </c>
      <c r="N8177">
        <v>15000</v>
      </c>
      <c r="O8177">
        <v>1666.7</v>
      </c>
      <c r="P8177">
        <v>125000</v>
      </c>
      <c r="Q8177" s="30">
        <v>11</v>
      </c>
      <c r="R8177">
        <v>4490.8999999999996</v>
      </c>
      <c r="S8177">
        <v>6250</v>
      </c>
      <c r="T8177">
        <v>600</v>
      </c>
      <c r="U8177">
        <v>6250</v>
      </c>
      <c r="V8177" s="30">
        <v>10</v>
      </c>
      <c r="W8177">
        <v>1475.7</v>
      </c>
      <c r="X8177">
        <v>1666.7</v>
      </c>
      <c r="Y8177">
        <v>666.7</v>
      </c>
      <c r="Z8177">
        <v>2500</v>
      </c>
      <c r="AA8177" s="30">
        <v>15</v>
      </c>
      <c r="AB8177">
        <v>3749.29</v>
      </c>
      <c r="AC8177">
        <v>2666.7</v>
      </c>
      <c r="AD8177">
        <v>575</v>
      </c>
      <c r="AE8177">
        <v>17500</v>
      </c>
      <c r="AF8177" s="30">
        <v>82</v>
      </c>
      <c r="AG8177">
        <v>1881.84</v>
      </c>
      <c r="AH8177">
        <v>1166.7</v>
      </c>
      <c r="AI8177">
        <v>172</v>
      </c>
      <c r="AJ8177">
        <v>7000</v>
      </c>
      <c r="AK8177" s="30">
        <v>40</v>
      </c>
      <c r="AL8177">
        <v>8750</v>
      </c>
      <c r="AM8177">
        <v>2500</v>
      </c>
      <c r="AN8177">
        <v>2500</v>
      </c>
      <c r="AO8177">
        <v>15000</v>
      </c>
      <c r="AP8177" s="30">
        <v>2</v>
      </c>
      <c r="AQ8177">
        <v>4718.29</v>
      </c>
      <c r="AR8177">
        <v>1500</v>
      </c>
      <c r="AS8177">
        <v>250</v>
      </c>
      <c r="AT8177">
        <v>10000</v>
      </c>
      <c r="AU8177" s="30">
        <v>5</v>
      </c>
      <c r="AV8177">
        <v>840.01</v>
      </c>
      <c r="AW8177">
        <v>1200</v>
      </c>
      <c r="AX8177">
        <v>300</v>
      </c>
      <c r="AY8177">
        <v>1500</v>
      </c>
      <c r="AZ8177" s="30">
        <v>9</v>
      </c>
      <c r="BA8177">
        <v>2879.51</v>
      </c>
      <c r="BB8177">
        <v>3000</v>
      </c>
      <c r="BC8177">
        <v>500</v>
      </c>
      <c r="BD8177">
        <v>5000</v>
      </c>
      <c r="BE8177" s="30">
        <v>18</v>
      </c>
      <c r="BP8177">
        <v>1436.38</v>
      </c>
      <c r="BQ8177">
        <v>1300</v>
      </c>
      <c r="BR8177">
        <v>400</v>
      </c>
      <c r="BS8177">
        <v>6000</v>
      </c>
      <c r="BT8177" s="30">
        <v>5</v>
      </c>
      <c r="BU8177">
        <v>110</v>
      </c>
    </row>
    <row r="8178" spans="1:73" x14ac:dyDescent="0.35">
      <c r="A8178" t="s">
        <v>230</v>
      </c>
      <c r="B8178" t="s">
        <v>266</v>
      </c>
      <c r="C8178">
        <v>12102.47</v>
      </c>
      <c r="D8178">
        <v>10000</v>
      </c>
      <c r="E8178">
        <v>1500</v>
      </c>
      <c r="F8178">
        <v>40000</v>
      </c>
      <c r="G8178" s="30">
        <v>83</v>
      </c>
      <c r="H8178">
        <v>4265.5</v>
      </c>
      <c r="I8178">
        <v>3500</v>
      </c>
      <c r="J8178">
        <v>200</v>
      </c>
      <c r="K8178">
        <v>10000</v>
      </c>
      <c r="L8178" s="30">
        <v>27</v>
      </c>
      <c r="M8178">
        <v>666.67</v>
      </c>
      <c r="N8178">
        <v>666.7</v>
      </c>
      <c r="O8178">
        <v>666.7</v>
      </c>
      <c r="P8178">
        <v>666.7</v>
      </c>
      <c r="Q8178" s="30">
        <v>1</v>
      </c>
      <c r="R8178">
        <v>1618.72</v>
      </c>
      <c r="S8178">
        <v>1000</v>
      </c>
      <c r="T8178">
        <v>666.7</v>
      </c>
      <c r="U8178">
        <v>2500</v>
      </c>
      <c r="V8178" s="30">
        <v>4</v>
      </c>
      <c r="W8178">
        <v>2136.1</v>
      </c>
      <c r="X8178">
        <v>2666.7</v>
      </c>
      <c r="Y8178">
        <v>666.7</v>
      </c>
      <c r="Z8178">
        <v>3000</v>
      </c>
      <c r="AA8178" s="30">
        <v>22</v>
      </c>
      <c r="AB8178">
        <v>4128.3500000000004</v>
      </c>
      <c r="AC8178">
        <v>4000</v>
      </c>
      <c r="AD8178">
        <v>640</v>
      </c>
      <c r="AE8178">
        <v>16000</v>
      </c>
      <c r="AF8178" s="30">
        <v>119</v>
      </c>
      <c r="AG8178">
        <v>2677.24</v>
      </c>
      <c r="AH8178">
        <v>1666.7</v>
      </c>
      <c r="AI8178">
        <v>253.3</v>
      </c>
      <c r="AJ8178">
        <v>10000</v>
      </c>
      <c r="AK8178" s="30">
        <v>28</v>
      </c>
      <c r="AL8178">
        <v>1569.55</v>
      </c>
      <c r="AM8178">
        <v>2500</v>
      </c>
      <c r="AN8178">
        <v>1000</v>
      </c>
      <c r="AO8178">
        <v>2500</v>
      </c>
      <c r="AP8178" s="30">
        <v>3</v>
      </c>
      <c r="AQ8178">
        <v>5446.87</v>
      </c>
      <c r="AR8178">
        <v>3000</v>
      </c>
      <c r="AS8178">
        <v>750</v>
      </c>
      <c r="AT8178">
        <v>20000</v>
      </c>
      <c r="AU8178" s="30">
        <v>15</v>
      </c>
      <c r="AV8178">
        <v>1986.55</v>
      </c>
      <c r="AW8178">
        <v>1200</v>
      </c>
      <c r="AX8178">
        <v>383.3</v>
      </c>
      <c r="AY8178">
        <v>3300</v>
      </c>
      <c r="AZ8178" s="30">
        <v>12</v>
      </c>
      <c r="BA8178">
        <v>3556.27</v>
      </c>
      <c r="BB8178">
        <v>3000</v>
      </c>
      <c r="BC8178">
        <v>333.3</v>
      </c>
      <c r="BD8178">
        <v>20000</v>
      </c>
      <c r="BE8178" s="30">
        <v>28</v>
      </c>
      <c r="BK8178">
        <v>6138.91</v>
      </c>
      <c r="BL8178">
        <v>10000</v>
      </c>
      <c r="BM8178">
        <v>1200</v>
      </c>
      <c r="BN8178">
        <v>10000</v>
      </c>
      <c r="BO8178" s="30">
        <v>4</v>
      </c>
      <c r="BP8178">
        <v>1713.25</v>
      </c>
      <c r="BQ8178">
        <v>1000</v>
      </c>
      <c r="BR8178">
        <v>500</v>
      </c>
      <c r="BS8178">
        <v>5000</v>
      </c>
      <c r="BT8178" s="30">
        <v>8</v>
      </c>
      <c r="BU8178">
        <v>119</v>
      </c>
    </row>
    <row r="8179" spans="1:73" x14ac:dyDescent="0.35">
      <c r="A8179" t="s">
        <v>230</v>
      </c>
      <c r="B8179" t="s">
        <v>267</v>
      </c>
      <c r="C8179">
        <v>18078.02</v>
      </c>
      <c r="D8179">
        <v>12500</v>
      </c>
      <c r="E8179">
        <v>2666.7</v>
      </c>
      <c r="F8179">
        <v>75000</v>
      </c>
      <c r="G8179" s="30">
        <v>50</v>
      </c>
      <c r="H8179">
        <v>11430.87</v>
      </c>
      <c r="I8179">
        <v>15000</v>
      </c>
      <c r="J8179">
        <v>1666.7</v>
      </c>
      <c r="K8179">
        <v>21000</v>
      </c>
      <c r="L8179" s="30">
        <v>10</v>
      </c>
      <c r="M8179">
        <v>49382.41</v>
      </c>
      <c r="N8179">
        <v>15000</v>
      </c>
      <c r="O8179">
        <v>3333.3</v>
      </c>
      <c r="P8179">
        <v>150000</v>
      </c>
      <c r="Q8179" s="30">
        <v>10</v>
      </c>
      <c r="R8179">
        <v>3049.95</v>
      </c>
      <c r="S8179">
        <v>3000</v>
      </c>
      <c r="T8179">
        <v>600</v>
      </c>
      <c r="U8179">
        <v>8000</v>
      </c>
      <c r="V8179" s="30">
        <v>7</v>
      </c>
      <c r="W8179">
        <v>1864.88</v>
      </c>
      <c r="X8179">
        <v>2000</v>
      </c>
      <c r="Y8179">
        <v>833.3</v>
      </c>
      <c r="Z8179">
        <v>2000</v>
      </c>
      <c r="AA8179" s="30">
        <v>10</v>
      </c>
      <c r="AB8179">
        <v>4399.08</v>
      </c>
      <c r="AC8179">
        <v>3950</v>
      </c>
      <c r="AD8179">
        <v>666.7</v>
      </c>
      <c r="AE8179">
        <v>18000</v>
      </c>
      <c r="AF8179" s="30">
        <v>40</v>
      </c>
      <c r="AG8179">
        <v>1148.79</v>
      </c>
      <c r="AH8179">
        <v>1108.3</v>
      </c>
      <c r="AI8179">
        <v>300</v>
      </c>
      <c r="AJ8179">
        <v>3300</v>
      </c>
      <c r="AK8179" s="30">
        <v>18</v>
      </c>
      <c r="AL8179">
        <v>13830.07</v>
      </c>
      <c r="AM8179">
        <v>25000</v>
      </c>
      <c r="AN8179">
        <v>500</v>
      </c>
      <c r="AO8179">
        <v>25000</v>
      </c>
      <c r="AP8179" s="30">
        <v>5</v>
      </c>
      <c r="AQ8179">
        <v>12300.22</v>
      </c>
      <c r="AR8179">
        <v>13000</v>
      </c>
      <c r="AS8179">
        <v>4000</v>
      </c>
      <c r="AT8179">
        <v>13000</v>
      </c>
      <c r="AU8179" s="30">
        <v>3</v>
      </c>
      <c r="AV8179">
        <v>1637.81</v>
      </c>
      <c r="AW8179">
        <v>2000</v>
      </c>
      <c r="AX8179">
        <v>241.7</v>
      </c>
      <c r="AY8179">
        <v>2000</v>
      </c>
      <c r="AZ8179" s="30">
        <v>5</v>
      </c>
      <c r="BA8179">
        <v>2881.5</v>
      </c>
      <c r="BB8179">
        <v>3333.3</v>
      </c>
      <c r="BC8179">
        <v>1000</v>
      </c>
      <c r="BD8179">
        <v>8000</v>
      </c>
      <c r="BE8179" s="30">
        <v>7</v>
      </c>
      <c r="BK8179">
        <v>1000</v>
      </c>
      <c r="BL8179">
        <v>1000</v>
      </c>
      <c r="BM8179">
        <v>1000</v>
      </c>
      <c r="BN8179">
        <v>1000</v>
      </c>
      <c r="BO8179" s="30">
        <v>1</v>
      </c>
      <c r="BP8179">
        <v>4640.3900000000003</v>
      </c>
      <c r="BQ8179">
        <v>5500</v>
      </c>
      <c r="BR8179">
        <v>600</v>
      </c>
      <c r="BS8179">
        <v>5500</v>
      </c>
      <c r="BT8179" s="30">
        <v>3</v>
      </c>
      <c r="BU8179">
        <v>50</v>
      </c>
    </row>
    <row r="8180" spans="1:73" x14ac:dyDescent="0.35">
      <c r="A8180" s="27" t="s">
        <v>231</v>
      </c>
      <c r="B8180" s="27" t="s">
        <v>267</v>
      </c>
      <c r="C8180" s="29">
        <v>12845.45</v>
      </c>
      <c r="D8180" s="29">
        <v>10000</v>
      </c>
      <c r="E8180" s="29">
        <v>2666.7</v>
      </c>
      <c r="F8180" s="29">
        <v>40000</v>
      </c>
      <c r="G8180" s="29">
        <v>22</v>
      </c>
      <c r="H8180" s="29">
        <v>13966.67</v>
      </c>
      <c r="I8180" s="29">
        <v>40000</v>
      </c>
      <c r="J8180" s="29">
        <v>300</v>
      </c>
      <c r="K8180" s="29">
        <v>40000</v>
      </c>
      <c r="L8180" s="29">
        <v>3</v>
      </c>
      <c r="M8180" s="29"/>
      <c r="N8180" s="29"/>
      <c r="O8180" s="29"/>
      <c r="P8180" s="29"/>
      <c r="Q8180" s="29"/>
      <c r="R8180" s="29"/>
      <c r="S8180" s="29"/>
      <c r="T8180" s="29"/>
      <c r="U8180" s="29"/>
      <c r="V8180" s="29"/>
      <c r="W8180" s="29">
        <v>1500</v>
      </c>
      <c r="X8180" s="29">
        <v>1500</v>
      </c>
      <c r="Y8180" s="29">
        <v>1500</v>
      </c>
      <c r="Z8180" s="29">
        <v>1500</v>
      </c>
      <c r="AA8180" s="29">
        <v>1</v>
      </c>
      <c r="AB8180" s="29">
        <v>4766.67</v>
      </c>
      <c r="AC8180" s="29">
        <v>5000</v>
      </c>
      <c r="AD8180" s="29">
        <v>500</v>
      </c>
      <c r="AE8180" s="29">
        <v>10500</v>
      </c>
      <c r="AF8180" s="29">
        <v>15</v>
      </c>
      <c r="AG8180" s="29">
        <v>1969.19</v>
      </c>
      <c r="AH8180" s="29">
        <v>1750</v>
      </c>
      <c r="AI8180" s="29">
        <v>160</v>
      </c>
      <c r="AJ8180" s="29">
        <v>5500</v>
      </c>
      <c r="AK8180" s="29">
        <v>9</v>
      </c>
      <c r="AL8180" s="29">
        <v>4500</v>
      </c>
      <c r="AM8180" s="29">
        <v>1000</v>
      </c>
      <c r="AN8180" s="29">
        <v>1000</v>
      </c>
      <c r="AO8180" s="29">
        <v>8000</v>
      </c>
      <c r="AP8180" s="29">
        <v>2</v>
      </c>
      <c r="AQ8180" s="29"/>
      <c r="AR8180" s="29"/>
      <c r="AS8180" s="29"/>
      <c r="AT8180" s="29"/>
      <c r="AU8180" s="29"/>
      <c r="AV8180" s="29"/>
      <c r="AW8180" s="29"/>
      <c r="AX8180" s="29"/>
      <c r="AY8180" s="29"/>
      <c r="AZ8180" s="29"/>
      <c r="BA8180" s="29">
        <v>4222.22</v>
      </c>
      <c r="BB8180" s="29">
        <v>10000</v>
      </c>
      <c r="BC8180" s="29">
        <v>1000</v>
      </c>
      <c r="BD8180" s="29">
        <v>10000</v>
      </c>
      <c r="BE8180" s="29">
        <v>3</v>
      </c>
      <c r="BF8180" s="29"/>
      <c r="BG8180" s="29"/>
      <c r="BH8180" s="29"/>
      <c r="BI8180" s="29"/>
      <c r="BJ8180" s="29"/>
      <c r="BK8180" s="29"/>
      <c r="BL8180" s="29"/>
      <c r="BM8180" s="29"/>
      <c r="BN8180" s="29"/>
      <c r="BO8180" s="29"/>
      <c r="BP8180" s="29"/>
      <c r="BQ8180" s="29"/>
      <c r="BR8180" s="29"/>
      <c r="BS8180" s="29"/>
      <c r="BT8180" s="29"/>
      <c r="BU8180" s="29">
        <v>22</v>
      </c>
    </row>
    <row r="8181" spans="1:73" x14ac:dyDescent="0.35">
      <c r="A8181" t="s">
        <v>231</v>
      </c>
      <c r="B8181" t="s">
        <v>265</v>
      </c>
      <c r="C8181">
        <v>11082.24</v>
      </c>
      <c r="D8181">
        <v>9000</v>
      </c>
      <c r="E8181">
        <v>1250</v>
      </c>
      <c r="F8181">
        <v>40000</v>
      </c>
      <c r="G8181" s="30">
        <v>38</v>
      </c>
      <c r="H8181">
        <v>2436.67</v>
      </c>
      <c r="I8181">
        <v>3333.3</v>
      </c>
      <c r="J8181">
        <v>600</v>
      </c>
      <c r="K8181">
        <v>3750</v>
      </c>
      <c r="L8181" s="30">
        <v>5</v>
      </c>
      <c r="M8181">
        <v>12380.95</v>
      </c>
      <c r="N8181">
        <v>10000</v>
      </c>
      <c r="O8181">
        <v>250</v>
      </c>
      <c r="P8181">
        <v>50000</v>
      </c>
      <c r="Q8181" s="30">
        <v>7</v>
      </c>
      <c r="R8181">
        <v>861.11</v>
      </c>
      <c r="S8181">
        <v>1333.3</v>
      </c>
      <c r="T8181">
        <v>500</v>
      </c>
      <c r="U8181">
        <v>1333.3</v>
      </c>
      <c r="V8181" s="30">
        <v>3</v>
      </c>
      <c r="W8181">
        <v>1925</v>
      </c>
      <c r="X8181">
        <v>2000</v>
      </c>
      <c r="Y8181">
        <v>1000</v>
      </c>
      <c r="Z8181">
        <v>2500</v>
      </c>
      <c r="AA8181" s="30">
        <v>4</v>
      </c>
      <c r="AB8181">
        <v>3334.14</v>
      </c>
      <c r="AC8181">
        <v>2500</v>
      </c>
      <c r="AD8181">
        <v>750</v>
      </c>
      <c r="AE8181">
        <v>9000</v>
      </c>
      <c r="AF8181" s="30">
        <v>31</v>
      </c>
      <c r="AG8181">
        <v>1268.6400000000001</v>
      </c>
      <c r="AH8181">
        <v>1080</v>
      </c>
      <c r="AI8181">
        <v>106.7</v>
      </c>
      <c r="AJ8181">
        <v>5250</v>
      </c>
      <c r="AK8181" s="30">
        <v>11</v>
      </c>
      <c r="AQ8181">
        <v>4888.8900000000003</v>
      </c>
      <c r="AR8181">
        <v>10000</v>
      </c>
      <c r="AS8181">
        <v>666.7</v>
      </c>
      <c r="AT8181">
        <v>10000</v>
      </c>
      <c r="AU8181" s="30">
        <v>3</v>
      </c>
      <c r="BA8181">
        <v>6135.71</v>
      </c>
      <c r="BB8181">
        <v>3333.3</v>
      </c>
      <c r="BC8181">
        <v>200</v>
      </c>
      <c r="BD8181">
        <v>22750</v>
      </c>
      <c r="BE8181" s="30">
        <v>7</v>
      </c>
      <c r="BK8181">
        <v>500</v>
      </c>
      <c r="BL8181">
        <v>500</v>
      </c>
      <c r="BM8181">
        <v>500</v>
      </c>
      <c r="BN8181">
        <v>500</v>
      </c>
      <c r="BO8181" s="30">
        <v>1</v>
      </c>
      <c r="BU8181">
        <v>38</v>
      </c>
    </row>
    <row r="8182" spans="1:73" x14ac:dyDescent="0.35">
      <c r="A8182" t="s">
        <v>231</v>
      </c>
      <c r="B8182" t="s">
        <v>266</v>
      </c>
      <c r="C8182">
        <v>13331.37</v>
      </c>
      <c r="D8182">
        <v>8000</v>
      </c>
      <c r="E8182">
        <v>1466.7</v>
      </c>
      <c r="F8182">
        <v>38000</v>
      </c>
      <c r="G8182" s="30">
        <v>17</v>
      </c>
      <c r="H8182">
        <v>1650</v>
      </c>
      <c r="I8182">
        <v>300</v>
      </c>
      <c r="J8182">
        <v>300</v>
      </c>
      <c r="K8182">
        <v>3000</v>
      </c>
      <c r="L8182" s="30">
        <v>2</v>
      </c>
      <c r="M8182">
        <v>44333.33</v>
      </c>
      <c r="N8182">
        <v>93000</v>
      </c>
      <c r="O8182">
        <v>20000</v>
      </c>
      <c r="P8182">
        <v>93000</v>
      </c>
      <c r="Q8182" s="30">
        <v>3</v>
      </c>
      <c r="R8182">
        <v>3000</v>
      </c>
      <c r="S8182">
        <v>3000</v>
      </c>
      <c r="T8182">
        <v>3000</v>
      </c>
      <c r="U8182">
        <v>3000</v>
      </c>
      <c r="V8182" s="30">
        <v>2</v>
      </c>
      <c r="W8182">
        <v>2023.81</v>
      </c>
      <c r="X8182">
        <v>2000</v>
      </c>
      <c r="Y8182">
        <v>666.7</v>
      </c>
      <c r="Z8182">
        <v>3000</v>
      </c>
      <c r="AA8182" s="30">
        <v>7</v>
      </c>
      <c r="AB8182">
        <v>4338.6400000000003</v>
      </c>
      <c r="AC8182">
        <v>4450</v>
      </c>
      <c r="AD8182">
        <v>1000</v>
      </c>
      <c r="AE8182">
        <v>13200</v>
      </c>
      <c r="AF8182" s="30">
        <v>33</v>
      </c>
      <c r="AG8182">
        <v>2664.92</v>
      </c>
      <c r="AH8182">
        <v>1250</v>
      </c>
      <c r="AI8182">
        <v>300</v>
      </c>
      <c r="AJ8182">
        <v>10000</v>
      </c>
      <c r="AK8182" s="30">
        <v>8</v>
      </c>
      <c r="AQ8182">
        <v>4000</v>
      </c>
      <c r="AR8182">
        <v>4000</v>
      </c>
      <c r="AS8182">
        <v>4000</v>
      </c>
      <c r="AT8182">
        <v>4000</v>
      </c>
      <c r="AU8182" s="30">
        <v>1</v>
      </c>
      <c r="BA8182">
        <v>5800</v>
      </c>
      <c r="BB8182">
        <v>5000</v>
      </c>
      <c r="BC8182">
        <v>4000</v>
      </c>
      <c r="BD8182">
        <v>10000</v>
      </c>
      <c r="BE8182" s="30">
        <v>5</v>
      </c>
      <c r="BK8182">
        <v>500</v>
      </c>
      <c r="BL8182">
        <v>500</v>
      </c>
      <c r="BM8182">
        <v>500</v>
      </c>
      <c r="BN8182">
        <v>500</v>
      </c>
      <c r="BO8182" s="30">
        <v>1</v>
      </c>
      <c r="BP8182">
        <v>5072.22</v>
      </c>
      <c r="BQ8182">
        <v>3000</v>
      </c>
      <c r="BR8182">
        <v>133.30000000000001</v>
      </c>
      <c r="BS8182">
        <v>17500</v>
      </c>
      <c r="BT8182" s="30">
        <v>6</v>
      </c>
      <c r="BU8182">
        <v>33</v>
      </c>
    </row>
    <row r="8183" spans="1:73" x14ac:dyDescent="0.35">
      <c r="A8183" t="s">
        <v>232</v>
      </c>
      <c r="B8183" t="s">
        <v>232</v>
      </c>
      <c r="C8183">
        <v>12841.11</v>
      </c>
      <c r="D8183">
        <v>10000</v>
      </c>
      <c r="E8183">
        <v>333.3</v>
      </c>
      <c r="F8183">
        <v>150000</v>
      </c>
      <c r="G8183" s="30">
        <v>1271</v>
      </c>
      <c r="H8183">
        <v>6272.64</v>
      </c>
      <c r="I8183">
        <v>3333.3</v>
      </c>
      <c r="J8183">
        <v>16.7</v>
      </c>
      <c r="K8183">
        <v>66666.7</v>
      </c>
      <c r="L8183" s="30">
        <v>241</v>
      </c>
      <c r="M8183">
        <v>17578.79</v>
      </c>
      <c r="N8183">
        <v>10000</v>
      </c>
      <c r="O8183">
        <v>250</v>
      </c>
      <c r="P8183">
        <v>150000</v>
      </c>
      <c r="Q8183" s="30">
        <v>109</v>
      </c>
      <c r="R8183">
        <v>2698.25</v>
      </c>
      <c r="S8183">
        <v>1750</v>
      </c>
      <c r="T8183">
        <v>100</v>
      </c>
      <c r="U8183">
        <v>35000</v>
      </c>
      <c r="V8183" s="30">
        <v>92</v>
      </c>
      <c r="W8183">
        <v>1917.18</v>
      </c>
      <c r="X8183">
        <v>2000</v>
      </c>
      <c r="Y8183">
        <v>400</v>
      </c>
      <c r="Z8183">
        <v>5000</v>
      </c>
      <c r="AA8183" s="30">
        <v>264</v>
      </c>
      <c r="AB8183">
        <v>4296.82</v>
      </c>
      <c r="AC8183">
        <v>4000</v>
      </c>
      <c r="AD8183">
        <v>428.6</v>
      </c>
      <c r="AE8183">
        <v>30000</v>
      </c>
      <c r="AF8183" s="30">
        <v>1194</v>
      </c>
      <c r="AG8183">
        <v>2115.1799999999998</v>
      </c>
      <c r="AH8183">
        <v>1400</v>
      </c>
      <c r="AI8183">
        <v>106.7</v>
      </c>
      <c r="AJ8183">
        <v>20000</v>
      </c>
      <c r="AK8183" s="30">
        <v>404</v>
      </c>
      <c r="AL8183">
        <v>5888.89</v>
      </c>
      <c r="AM8183">
        <v>4000</v>
      </c>
      <c r="AN8183">
        <v>100</v>
      </c>
      <c r="AO8183">
        <v>25000</v>
      </c>
      <c r="AP8183" s="30">
        <v>32</v>
      </c>
      <c r="AQ8183">
        <v>5244.2</v>
      </c>
      <c r="AR8183">
        <v>3333.3</v>
      </c>
      <c r="AS8183">
        <v>233.3</v>
      </c>
      <c r="AT8183">
        <v>30000</v>
      </c>
      <c r="AU8183" s="30">
        <v>92</v>
      </c>
      <c r="AV8183">
        <v>1217.7</v>
      </c>
      <c r="AW8183">
        <v>1200</v>
      </c>
      <c r="AX8183">
        <v>241.7</v>
      </c>
      <c r="AY8183">
        <v>3300</v>
      </c>
      <c r="AZ8183" s="30">
        <v>52</v>
      </c>
      <c r="BA8183">
        <v>4143.3599999999997</v>
      </c>
      <c r="BB8183">
        <v>2500</v>
      </c>
      <c r="BC8183">
        <v>75</v>
      </c>
      <c r="BD8183">
        <v>26000</v>
      </c>
      <c r="BE8183" s="30">
        <v>206</v>
      </c>
      <c r="BF8183">
        <v>2109.21</v>
      </c>
      <c r="BG8183">
        <v>1000</v>
      </c>
      <c r="BH8183">
        <v>666.7</v>
      </c>
      <c r="BI8183">
        <v>4000</v>
      </c>
      <c r="BJ8183" s="30">
        <v>3</v>
      </c>
      <c r="BK8183">
        <v>9971.93</v>
      </c>
      <c r="BL8183">
        <v>666.7</v>
      </c>
      <c r="BM8183">
        <v>500</v>
      </c>
      <c r="BN8183">
        <v>75000</v>
      </c>
      <c r="BO8183" s="30">
        <v>14</v>
      </c>
      <c r="BP8183">
        <v>5190.95</v>
      </c>
      <c r="BQ8183">
        <v>3000</v>
      </c>
      <c r="BR8183">
        <v>100</v>
      </c>
      <c r="BS8183">
        <v>40000</v>
      </c>
      <c r="BT8183" s="30">
        <v>87</v>
      </c>
      <c r="BU8183">
        <v>1271</v>
      </c>
    </row>
    <row r="8185" spans="1:73" x14ac:dyDescent="0.35">
      <c r="A8185" s="1" t="s">
        <v>1179</v>
      </c>
    </row>
    <row r="8186" spans="1:73" x14ac:dyDescent="0.35">
      <c r="A8186" t="s">
        <v>219</v>
      </c>
      <c r="B8186" t="s">
        <v>305</v>
      </c>
      <c r="C8186" t="s">
        <v>1105</v>
      </c>
      <c r="D8186" t="s">
        <v>1106</v>
      </c>
      <c r="E8186" t="s">
        <v>1107</v>
      </c>
      <c r="F8186" t="s">
        <v>1108</v>
      </c>
      <c r="G8186" t="s">
        <v>1109</v>
      </c>
      <c r="H8186" t="s">
        <v>1110</v>
      </c>
      <c r="I8186" t="s">
        <v>1111</v>
      </c>
      <c r="J8186" t="s">
        <v>1112</v>
      </c>
      <c r="K8186" t="s">
        <v>1113</v>
      </c>
      <c r="L8186" t="s">
        <v>1114</v>
      </c>
      <c r="M8186" t="s">
        <v>1115</v>
      </c>
      <c r="N8186" t="s">
        <v>1116</v>
      </c>
      <c r="O8186" t="s">
        <v>1117</v>
      </c>
      <c r="P8186" t="s">
        <v>1118</v>
      </c>
      <c r="Q8186" t="s">
        <v>1119</v>
      </c>
      <c r="R8186" t="s">
        <v>1120</v>
      </c>
      <c r="S8186" t="s">
        <v>1121</v>
      </c>
      <c r="T8186" t="s">
        <v>1122</v>
      </c>
      <c r="U8186" t="s">
        <v>1123</v>
      </c>
      <c r="V8186" t="s">
        <v>1124</v>
      </c>
      <c r="W8186" t="s">
        <v>1125</v>
      </c>
      <c r="X8186" t="s">
        <v>1126</v>
      </c>
      <c r="Y8186" t="s">
        <v>1127</v>
      </c>
      <c r="Z8186" t="s">
        <v>1128</v>
      </c>
      <c r="AA8186" t="s">
        <v>1129</v>
      </c>
      <c r="AB8186" t="s">
        <v>1130</v>
      </c>
      <c r="AC8186" t="s">
        <v>1131</v>
      </c>
      <c r="AD8186" t="s">
        <v>1132</v>
      </c>
      <c r="AE8186" t="s">
        <v>1133</v>
      </c>
      <c r="AF8186" t="s">
        <v>1134</v>
      </c>
      <c r="AG8186" t="s">
        <v>1135</v>
      </c>
      <c r="AH8186" t="s">
        <v>1136</v>
      </c>
      <c r="AI8186" t="s">
        <v>1137</v>
      </c>
      <c r="AJ8186" t="s">
        <v>1138</v>
      </c>
      <c r="AK8186" t="s">
        <v>1139</v>
      </c>
      <c r="AL8186" t="s">
        <v>1140</v>
      </c>
      <c r="AM8186" t="s">
        <v>1141</v>
      </c>
      <c r="AN8186" t="s">
        <v>1142</v>
      </c>
      <c r="AO8186" t="s">
        <v>1143</v>
      </c>
      <c r="AP8186" t="s">
        <v>1144</v>
      </c>
      <c r="AQ8186" t="s">
        <v>1145</v>
      </c>
      <c r="AR8186" t="s">
        <v>1146</v>
      </c>
      <c r="AS8186" t="s">
        <v>1147</v>
      </c>
      <c r="AT8186" t="s">
        <v>1148</v>
      </c>
      <c r="AU8186" t="s">
        <v>1149</v>
      </c>
      <c r="AV8186" t="s">
        <v>1150</v>
      </c>
      <c r="AW8186" t="s">
        <v>1151</v>
      </c>
      <c r="AX8186" t="s">
        <v>1152</v>
      </c>
      <c r="AY8186" t="s">
        <v>1153</v>
      </c>
      <c r="AZ8186" t="s">
        <v>1154</v>
      </c>
      <c r="BA8186" t="s">
        <v>1155</v>
      </c>
      <c r="BB8186" t="s">
        <v>1156</v>
      </c>
      <c r="BC8186" t="s">
        <v>1157</v>
      </c>
      <c r="BD8186" t="s">
        <v>1158</v>
      </c>
      <c r="BE8186" t="s">
        <v>1159</v>
      </c>
      <c r="BF8186" t="s">
        <v>1160</v>
      </c>
      <c r="BG8186" t="s">
        <v>1161</v>
      </c>
      <c r="BH8186" t="s">
        <v>1162</v>
      </c>
      <c r="BI8186" t="s">
        <v>1163</v>
      </c>
      <c r="BJ8186" t="s">
        <v>1164</v>
      </c>
      <c r="BK8186" t="s">
        <v>1165</v>
      </c>
      <c r="BL8186" t="s">
        <v>1166</v>
      </c>
      <c r="BM8186" t="s">
        <v>1167</v>
      </c>
      <c r="BN8186" t="s">
        <v>1168</v>
      </c>
      <c r="BO8186" t="s">
        <v>1169</v>
      </c>
      <c r="BP8186" t="s">
        <v>1170</v>
      </c>
      <c r="BQ8186" t="s">
        <v>1171</v>
      </c>
      <c r="BR8186" t="s">
        <v>1172</v>
      </c>
      <c r="BS8186" t="s">
        <v>1173</v>
      </c>
      <c r="BT8186" t="s">
        <v>1174</v>
      </c>
      <c r="BU8186" t="s">
        <v>964</v>
      </c>
    </row>
    <row r="8187" spans="1:73" x14ac:dyDescent="0.35">
      <c r="A8187" t="s">
        <v>227</v>
      </c>
      <c r="B8187" t="s">
        <v>252</v>
      </c>
      <c r="C8187">
        <v>6778.57</v>
      </c>
      <c r="D8187">
        <v>6000</v>
      </c>
      <c r="E8187">
        <v>3250</v>
      </c>
      <c r="F8187">
        <v>16000</v>
      </c>
      <c r="G8187" s="30">
        <v>7</v>
      </c>
      <c r="H8187">
        <v>1000</v>
      </c>
      <c r="I8187">
        <v>1000</v>
      </c>
      <c r="J8187">
        <v>1000</v>
      </c>
      <c r="K8187">
        <v>1000</v>
      </c>
      <c r="L8187" s="30">
        <v>1</v>
      </c>
      <c r="W8187">
        <v>2250</v>
      </c>
      <c r="X8187">
        <v>2000</v>
      </c>
      <c r="Y8187">
        <v>1000</v>
      </c>
      <c r="Z8187">
        <v>3000</v>
      </c>
      <c r="AA8187" s="30">
        <v>8</v>
      </c>
      <c r="AB8187">
        <v>5052.3500000000004</v>
      </c>
      <c r="AC8187">
        <v>4750</v>
      </c>
      <c r="AD8187">
        <v>1566.7</v>
      </c>
      <c r="AE8187">
        <v>10000</v>
      </c>
      <c r="AF8187" s="30">
        <v>41</v>
      </c>
      <c r="AG8187">
        <v>3129.17</v>
      </c>
      <c r="AH8187">
        <v>1050</v>
      </c>
      <c r="AI8187">
        <v>300</v>
      </c>
      <c r="AJ8187">
        <v>6666.7</v>
      </c>
      <c r="AK8187" s="30">
        <v>4</v>
      </c>
      <c r="AL8187">
        <v>100</v>
      </c>
      <c r="AM8187">
        <v>100</v>
      </c>
      <c r="AN8187">
        <v>100</v>
      </c>
      <c r="AO8187">
        <v>100</v>
      </c>
      <c r="AP8187" s="30">
        <v>1</v>
      </c>
      <c r="BA8187">
        <v>3857.14</v>
      </c>
      <c r="BB8187">
        <v>6000</v>
      </c>
      <c r="BC8187">
        <v>1000</v>
      </c>
      <c r="BD8187">
        <v>7500</v>
      </c>
      <c r="BE8187" s="30">
        <v>7</v>
      </c>
      <c r="BP8187">
        <v>270</v>
      </c>
      <c r="BQ8187">
        <v>270</v>
      </c>
      <c r="BR8187">
        <v>270</v>
      </c>
      <c r="BS8187">
        <v>270</v>
      </c>
      <c r="BT8187" s="30">
        <v>1</v>
      </c>
      <c r="BU8187">
        <v>41</v>
      </c>
    </row>
    <row r="8188" spans="1:73" x14ac:dyDescent="0.35">
      <c r="A8188" s="27" t="s">
        <v>227</v>
      </c>
      <c r="B8188" s="27" t="s">
        <v>253</v>
      </c>
      <c r="C8188" s="29">
        <v>6176.94</v>
      </c>
      <c r="D8188" s="29">
        <v>6250</v>
      </c>
      <c r="E8188" s="29">
        <v>500</v>
      </c>
      <c r="F8188" s="29">
        <v>11666.7</v>
      </c>
      <c r="G8188" s="29">
        <v>24</v>
      </c>
      <c r="H8188" s="29">
        <v>2487.5</v>
      </c>
      <c r="I8188" s="29">
        <v>1200</v>
      </c>
      <c r="J8188" s="29">
        <v>750</v>
      </c>
      <c r="K8188" s="29">
        <v>5000</v>
      </c>
      <c r="L8188" s="29">
        <v>4</v>
      </c>
      <c r="M8188" s="29">
        <v>13333.33</v>
      </c>
      <c r="N8188" s="29">
        <v>13333.3</v>
      </c>
      <c r="O8188" s="29">
        <v>13333.3</v>
      </c>
      <c r="P8188" s="29">
        <v>13333.3</v>
      </c>
      <c r="Q8188" s="29">
        <v>1</v>
      </c>
      <c r="R8188" s="29">
        <v>3000</v>
      </c>
      <c r="S8188" s="29">
        <v>6666.7</v>
      </c>
      <c r="T8188" s="29">
        <v>1000</v>
      </c>
      <c r="U8188" s="29">
        <v>6666.7</v>
      </c>
      <c r="V8188" s="29">
        <v>3</v>
      </c>
      <c r="W8188" s="29">
        <v>1466.67</v>
      </c>
      <c r="X8188" s="29">
        <v>1750</v>
      </c>
      <c r="Y8188" s="29">
        <v>1000</v>
      </c>
      <c r="Z8188" s="29">
        <v>2333.3000000000002</v>
      </c>
      <c r="AA8188" s="29">
        <v>5</v>
      </c>
      <c r="AB8188" s="29">
        <v>2651.23</v>
      </c>
      <c r="AC8188" s="29">
        <v>2166.6999999999998</v>
      </c>
      <c r="AD8188" s="29">
        <v>625</v>
      </c>
      <c r="AE8188" s="29">
        <v>8333.2999999999993</v>
      </c>
      <c r="AF8188" s="29">
        <v>23</v>
      </c>
      <c r="AG8188" s="29">
        <v>1991</v>
      </c>
      <c r="AH8188" s="29">
        <v>1650</v>
      </c>
      <c r="AI8188" s="29">
        <v>787</v>
      </c>
      <c r="AJ8188" s="29">
        <v>5666.7</v>
      </c>
      <c r="AK8188" s="29">
        <v>7</v>
      </c>
      <c r="AL8188" s="29"/>
      <c r="AM8188" s="29"/>
      <c r="AN8188" s="29"/>
      <c r="AO8188" s="29"/>
      <c r="AP8188" s="29"/>
      <c r="AQ8188" s="29">
        <v>2916.67</v>
      </c>
      <c r="AR8188" s="29">
        <v>2500</v>
      </c>
      <c r="AS8188" s="29">
        <v>2500</v>
      </c>
      <c r="AT8188" s="29">
        <v>3333.3</v>
      </c>
      <c r="AU8188" s="29">
        <v>2</v>
      </c>
      <c r="AV8188" s="29"/>
      <c r="AW8188" s="29"/>
      <c r="AX8188" s="29"/>
      <c r="AY8188" s="29"/>
      <c r="AZ8188" s="29"/>
      <c r="BA8188" s="29">
        <v>7500</v>
      </c>
      <c r="BB8188" s="29">
        <v>7500</v>
      </c>
      <c r="BC8188" s="29">
        <v>7500</v>
      </c>
      <c r="BD8188" s="29">
        <v>7500</v>
      </c>
      <c r="BE8188" s="29">
        <v>1</v>
      </c>
      <c r="BF8188" s="29"/>
      <c r="BG8188" s="29"/>
      <c r="BH8188" s="29"/>
      <c r="BI8188" s="29"/>
      <c r="BJ8188" s="29"/>
      <c r="BK8188" s="29"/>
      <c r="BL8188" s="29"/>
      <c r="BM8188" s="29"/>
      <c r="BN8188" s="29"/>
      <c r="BO8188" s="29"/>
      <c r="BP8188" s="29">
        <v>1666.67</v>
      </c>
      <c r="BQ8188" s="29">
        <v>1666.7</v>
      </c>
      <c r="BR8188" s="29">
        <v>1666.7</v>
      </c>
      <c r="BS8188" s="29">
        <v>1666.7</v>
      </c>
      <c r="BT8188" s="29">
        <v>1</v>
      </c>
      <c r="BU8188" s="29">
        <v>24</v>
      </c>
    </row>
    <row r="8189" spans="1:73" x14ac:dyDescent="0.35">
      <c r="A8189" t="s">
        <v>227</v>
      </c>
      <c r="B8189" t="s">
        <v>251</v>
      </c>
      <c r="C8189">
        <v>12585.7</v>
      </c>
      <c r="D8189">
        <v>10000</v>
      </c>
      <c r="E8189">
        <v>1500</v>
      </c>
      <c r="F8189">
        <v>60000</v>
      </c>
      <c r="G8189" s="30">
        <v>53</v>
      </c>
      <c r="H8189">
        <v>6159.72</v>
      </c>
      <c r="I8189">
        <v>4000</v>
      </c>
      <c r="J8189">
        <v>500</v>
      </c>
      <c r="K8189">
        <v>20000</v>
      </c>
      <c r="L8189" s="30">
        <v>12</v>
      </c>
      <c r="M8189">
        <v>17777.78</v>
      </c>
      <c r="N8189">
        <v>30000</v>
      </c>
      <c r="O8189">
        <v>10000</v>
      </c>
      <c r="P8189">
        <v>30000</v>
      </c>
      <c r="Q8189" s="30">
        <v>3</v>
      </c>
      <c r="R8189">
        <v>3766.67</v>
      </c>
      <c r="S8189">
        <v>9000</v>
      </c>
      <c r="T8189">
        <v>300</v>
      </c>
      <c r="U8189">
        <v>9000</v>
      </c>
      <c r="V8189" s="30">
        <v>3</v>
      </c>
      <c r="W8189">
        <v>2116.67</v>
      </c>
      <c r="X8189">
        <v>2500</v>
      </c>
      <c r="Y8189">
        <v>1000</v>
      </c>
      <c r="Z8189">
        <v>3000</v>
      </c>
      <c r="AA8189" s="30">
        <v>6</v>
      </c>
      <c r="AB8189">
        <v>3256.25</v>
      </c>
      <c r="AC8189">
        <v>3000</v>
      </c>
      <c r="AD8189">
        <v>1600</v>
      </c>
      <c r="AE8189">
        <v>5000</v>
      </c>
      <c r="AF8189" s="30">
        <v>4</v>
      </c>
      <c r="AG8189">
        <v>2836.73</v>
      </c>
      <c r="AH8189">
        <v>2700</v>
      </c>
      <c r="AI8189">
        <v>215</v>
      </c>
      <c r="AJ8189">
        <v>13900</v>
      </c>
      <c r="AK8189" s="30">
        <v>16</v>
      </c>
      <c r="AL8189">
        <v>1000</v>
      </c>
      <c r="AM8189">
        <v>1000</v>
      </c>
      <c r="AN8189">
        <v>1000</v>
      </c>
      <c r="AO8189">
        <v>1000</v>
      </c>
      <c r="AP8189" s="30">
        <v>1</v>
      </c>
      <c r="AQ8189">
        <v>3500</v>
      </c>
      <c r="AR8189">
        <v>2500</v>
      </c>
      <c r="AS8189">
        <v>2500</v>
      </c>
      <c r="AT8189">
        <v>4500</v>
      </c>
      <c r="AU8189" s="30">
        <v>2</v>
      </c>
      <c r="BA8189">
        <v>2694.44</v>
      </c>
      <c r="BB8189">
        <v>2500</v>
      </c>
      <c r="BC8189">
        <v>1000</v>
      </c>
      <c r="BD8189">
        <v>7500</v>
      </c>
      <c r="BE8189" s="30">
        <v>9</v>
      </c>
      <c r="BP8189">
        <v>5840</v>
      </c>
      <c r="BQ8189">
        <v>6000</v>
      </c>
      <c r="BR8189">
        <v>200</v>
      </c>
      <c r="BS8189">
        <v>20000</v>
      </c>
      <c r="BT8189" s="30">
        <v>5</v>
      </c>
      <c r="BU8189">
        <v>53</v>
      </c>
    </row>
    <row r="8190" spans="1:73" x14ac:dyDescent="0.35">
      <c r="A8190" t="s">
        <v>228</v>
      </c>
      <c r="B8190" t="s">
        <v>252</v>
      </c>
      <c r="C8190">
        <v>8853.94</v>
      </c>
      <c r="D8190">
        <v>6700</v>
      </c>
      <c r="E8190">
        <v>1500</v>
      </c>
      <c r="F8190">
        <v>25000</v>
      </c>
      <c r="G8190" s="30">
        <v>35</v>
      </c>
      <c r="H8190">
        <v>11057.78</v>
      </c>
      <c r="I8190">
        <v>7640</v>
      </c>
      <c r="J8190">
        <v>1500</v>
      </c>
      <c r="K8190">
        <v>39000</v>
      </c>
      <c r="L8190" s="30">
        <v>7</v>
      </c>
      <c r="M8190">
        <v>5944.09</v>
      </c>
      <c r="N8190">
        <v>6750</v>
      </c>
      <c r="O8190">
        <v>5500</v>
      </c>
      <c r="P8190">
        <v>6750</v>
      </c>
      <c r="Q8190" s="30">
        <v>3</v>
      </c>
      <c r="W8190">
        <v>2116.2800000000002</v>
      </c>
      <c r="X8190">
        <v>2000</v>
      </c>
      <c r="Y8190">
        <v>1000</v>
      </c>
      <c r="Z8190">
        <v>5000</v>
      </c>
      <c r="AA8190" s="30">
        <v>65</v>
      </c>
      <c r="AB8190">
        <v>5670.48</v>
      </c>
      <c r="AC8190">
        <v>4800</v>
      </c>
      <c r="AD8190">
        <v>1333.3</v>
      </c>
      <c r="AE8190">
        <v>27000</v>
      </c>
      <c r="AF8190" s="30">
        <v>296</v>
      </c>
      <c r="AG8190">
        <v>3068.25</v>
      </c>
      <c r="AH8190">
        <v>2360</v>
      </c>
      <c r="AI8190">
        <v>402</v>
      </c>
      <c r="AJ8190">
        <v>9850</v>
      </c>
      <c r="AK8190" s="30">
        <v>22</v>
      </c>
      <c r="AL8190">
        <v>3200</v>
      </c>
      <c r="AM8190">
        <v>1900</v>
      </c>
      <c r="AN8190">
        <v>1900</v>
      </c>
      <c r="AO8190">
        <v>4500</v>
      </c>
      <c r="AP8190" s="30">
        <v>2</v>
      </c>
      <c r="AQ8190">
        <v>2503.08</v>
      </c>
      <c r="AR8190">
        <v>2000</v>
      </c>
      <c r="AS8190">
        <v>1000</v>
      </c>
      <c r="AT8190">
        <v>5000</v>
      </c>
      <c r="AU8190" s="30">
        <v>10</v>
      </c>
      <c r="AV8190">
        <v>1064.5</v>
      </c>
      <c r="AW8190">
        <v>1200</v>
      </c>
      <c r="AX8190">
        <v>600</v>
      </c>
      <c r="AY8190">
        <v>1300</v>
      </c>
      <c r="AZ8190" s="30">
        <v>13</v>
      </c>
      <c r="BA8190">
        <v>3693.08</v>
      </c>
      <c r="BB8190">
        <v>2000</v>
      </c>
      <c r="BC8190">
        <v>500</v>
      </c>
      <c r="BD8190">
        <v>26000</v>
      </c>
      <c r="BE8190" s="30">
        <v>13</v>
      </c>
      <c r="BK8190">
        <v>564.6</v>
      </c>
      <c r="BL8190">
        <v>500</v>
      </c>
      <c r="BM8190">
        <v>500</v>
      </c>
      <c r="BN8190">
        <v>1450</v>
      </c>
      <c r="BO8190" s="30">
        <v>2</v>
      </c>
      <c r="BP8190">
        <v>5323.01</v>
      </c>
      <c r="BQ8190">
        <v>16666.7</v>
      </c>
      <c r="BR8190">
        <v>100</v>
      </c>
      <c r="BS8190">
        <v>16666.7</v>
      </c>
      <c r="BT8190" s="30">
        <v>5</v>
      </c>
      <c r="BU8190">
        <v>296</v>
      </c>
    </row>
    <row r="8191" spans="1:73" x14ac:dyDescent="0.35">
      <c r="A8191" t="s">
        <v>228</v>
      </c>
      <c r="B8191" t="s">
        <v>253</v>
      </c>
      <c r="C8191">
        <v>7122.47</v>
      </c>
      <c r="D8191">
        <v>5000</v>
      </c>
      <c r="E8191">
        <v>666.7</v>
      </c>
      <c r="F8191">
        <v>33333.300000000003</v>
      </c>
      <c r="G8191" s="30">
        <v>108</v>
      </c>
      <c r="H8191">
        <v>3520.81</v>
      </c>
      <c r="I8191">
        <v>3333.3</v>
      </c>
      <c r="J8191">
        <v>500</v>
      </c>
      <c r="K8191">
        <v>8333.2999999999993</v>
      </c>
      <c r="L8191" s="30">
        <v>22</v>
      </c>
      <c r="M8191">
        <v>8792.91</v>
      </c>
      <c r="N8191">
        <v>6666.7</v>
      </c>
      <c r="O8191">
        <v>1500</v>
      </c>
      <c r="P8191">
        <v>30000</v>
      </c>
      <c r="Q8191" s="30">
        <v>13</v>
      </c>
      <c r="R8191">
        <v>2293.5700000000002</v>
      </c>
      <c r="S8191">
        <v>1750</v>
      </c>
      <c r="T8191">
        <v>800</v>
      </c>
      <c r="U8191">
        <v>8333.2999999999993</v>
      </c>
      <c r="V8191" s="30">
        <v>9</v>
      </c>
      <c r="W8191">
        <v>1282.44</v>
      </c>
      <c r="X8191">
        <v>1000</v>
      </c>
      <c r="Y8191">
        <v>400</v>
      </c>
      <c r="Z8191">
        <v>2571.4</v>
      </c>
      <c r="AA8191" s="30">
        <v>39</v>
      </c>
      <c r="AB8191">
        <v>2665.48</v>
      </c>
      <c r="AC8191">
        <v>2125</v>
      </c>
      <c r="AD8191">
        <v>428.6</v>
      </c>
      <c r="AE8191">
        <v>10000</v>
      </c>
      <c r="AF8191" s="30">
        <v>172</v>
      </c>
      <c r="AG8191">
        <v>1521.53</v>
      </c>
      <c r="AH8191">
        <v>1500</v>
      </c>
      <c r="AI8191">
        <v>172</v>
      </c>
      <c r="AJ8191">
        <v>5666.7</v>
      </c>
      <c r="AK8191" s="30">
        <v>44</v>
      </c>
      <c r="AL8191">
        <v>1721.5</v>
      </c>
      <c r="AM8191">
        <v>2000</v>
      </c>
      <c r="AN8191">
        <v>333.3</v>
      </c>
      <c r="AO8191">
        <v>3500</v>
      </c>
      <c r="AP8191" s="30">
        <v>4</v>
      </c>
      <c r="AQ8191">
        <v>6911.1</v>
      </c>
      <c r="AR8191">
        <v>2666.7</v>
      </c>
      <c r="AS8191">
        <v>233.3</v>
      </c>
      <c r="AT8191">
        <v>16666.7</v>
      </c>
      <c r="AU8191" s="30">
        <v>8</v>
      </c>
      <c r="AV8191">
        <v>736.38</v>
      </c>
      <c r="AW8191">
        <v>800</v>
      </c>
      <c r="AX8191">
        <v>480</v>
      </c>
      <c r="AY8191">
        <v>1200</v>
      </c>
      <c r="AZ8191" s="30">
        <v>5</v>
      </c>
      <c r="BA8191">
        <v>1804.97</v>
      </c>
      <c r="BB8191">
        <v>2500</v>
      </c>
      <c r="BC8191">
        <v>400</v>
      </c>
      <c r="BD8191">
        <v>3333.3</v>
      </c>
      <c r="BE8191" s="30">
        <v>10</v>
      </c>
      <c r="BF8191">
        <v>1000</v>
      </c>
      <c r="BG8191">
        <v>1000</v>
      </c>
      <c r="BH8191">
        <v>1000</v>
      </c>
      <c r="BI8191">
        <v>1000</v>
      </c>
      <c r="BJ8191" s="30">
        <v>1</v>
      </c>
      <c r="BK8191">
        <v>21750</v>
      </c>
      <c r="BL8191">
        <v>21750</v>
      </c>
      <c r="BM8191">
        <v>21750</v>
      </c>
      <c r="BN8191">
        <v>21750</v>
      </c>
      <c r="BO8191" s="30">
        <v>1</v>
      </c>
      <c r="BP8191">
        <v>3739.23</v>
      </c>
      <c r="BQ8191">
        <v>5000</v>
      </c>
      <c r="BR8191">
        <v>1800</v>
      </c>
      <c r="BS8191">
        <v>5000</v>
      </c>
      <c r="BT8191" s="30">
        <v>5</v>
      </c>
      <c r="BU8191">
        <v>172</v>
      </c>
    </row>
    <row r="8192" spans="1:73" x14ac:dyDescent="0.35">
      <c r="A8192" t="s">
        <v>228</v>
      </c>
      <c r="B8192" t="s">
        <v>251</v>
      </c>
      <c r="C8192">
        <v>14532.99</v>
      </c>
      <c r="D8192">
        <v>10000</v>
      </c>
      <c r="E8192">
        <v>1200</v>
      </c>
      <c r="F8192">
        <v>80000</v>
      </c>
      <c r="G8192" s="30">
        <v>272</v>
      </c>
      <c r="H8192">
        <v>5268.48</v>
      </c>
      <c r="I8192">
        <v>4000</v>
      </c>
      <c r="J8192">
        <v>500</v>
      </c>
      <c r="K8192">
        <v>20000</v>
      </c>
      <c r="L8192" s="30">
        <v>56</v>
      </c>
      <c r="M8192">
        <v>25189.5</v>
      </c>
      <c r="N8192">
        <v>23333.3</v>
      </c>
      <c r="O8192">
        <v>1250</v>
      </c>
      <c r="P8192">
        <v>70000</v>
      </c>
      <c r="Q8192" s="30">
        <v>20</v>
      </c>
      <c r="R8192">
        <v>3540.89</v>
      </c>
      <c r="S8192">
        <v>3100</v>
      </c>
      <c r="T8192">
        <v>450</v>
      </c>
      <c r="U8192">
        <v>30000</v>
      </c>
      <c r="V8192" s="30">
        <v>14</v>
      </c>
      <c r="W8192">
        <v>2051.84</v>
      </c>
      <c r="X8192">
        <v>2000</v>
      </c>
      <c r="Y8192">
        <v>666.7</v>
      </c>
      <c r="Z8192">
        <v>5000</v>
      </c>
      <c r="AA8192" s="30">
        <v>29</v>
      </c>
      <c r="AB8192">
        <v>4341.17</v>
      </c>
      <c r="AC8192">
        <v>3650</v>
      </c>
      <c r="AD8192">
        <v>750</v>
      </c>
      <c r="AE8192">
        <v>15000</v>
      </c>
      <c r="AF8192" s="30">
        <v>25</v>
      </c>
      <c r="AG8192">
        <v>1307.8900000000001</v>
      </c>
      <c r="AH8192">
        <v>1066.7</v>
      </c>
      <c r="AI8192">
        <v>160</v>
      </c>
      <c r="AJ8192">
        <v>8000</v>
      </c>
      <c r="AK8192" s="30">
        <v>75</v>
      </c>
      <c r="AL8192">
        <v>7043.54</v>
      </c>
      <c r="AM8192">
        <v>2000</v>
      </c>
      <c r="AN8192">
        <v>1250</v>
      </c>
      <c r="AO8192">
        <v>18000</v>
      </c>
      <c r="AP8192" s="30">
        <v>5</v>
      </c>
      <c r="AQ8192">
        <v>7833.69</v>
      </c>
      <c r="AR8192">
        <v>4666.7</v>
      </c>
      <c r="AS8192">
        <v>666.7</v>
      </c>
      <c r="AT8192">
        <v>30000</v>
      </c>
      <c r="AU8192" s="30">
        <v>18</v>
      </c>
      <c r="AV8192">
        <v>1098.6099999999999</v>
      </c>
      <c r="AW8192">
        <v>1200</v>
      </c>
      <c r="AX8192">
        <v>400</v>
      </c>
      <c r="AY8192">
        <v>1600</v>
      </c>
      <c r="AZ8192" s="30">
        <v>6</v>
      </c>
      <c r="BA8192">
        <v>4939.2700000000004</v>
      </c>
      <c r="BB8192">
        <v>2600</v>
      </c>
      <c r="BC8192">
        <v>100</v>
      </c>
      <c r="BD8192">
        <v>26000</v>
      </c>
      <c r="BE8192" s="30">
        <v>41</v>
      </c>
      <c r="BK8192">
        <v>666.67</v>
      </c>
      <c r="BL8192">
        <v>666.7</v>
      </c>
      <c r="BM8192">
        <v>666.7</v>
      </c>
      <c r="BN8192">
        <v>666.7</v>
      </c>
      <c r="BO8192" s="30">
        <v>1</v>
      </c>
      <c r="BP8192">
        <v>6220.9</v>
      </c>
      <c r="BQ8192">
        <v>5000</v>
      </c>
      <c r="BR8192">
        <v>566.70000000000005</v>
      </c>
      <c r="BS8192">
        <v>25300</v>
      </c>
      <c r="BT8192" s="30">
        <v>14</v>
      </c>
      <c r="BU8192">
        <v>272</v>
      </c>
    </row>
    <row r="8193" spans="1:73" x14ac:dyDescent="0.35">
      <c r="A8193" t="s">
        <v>229</v>
      </c>
      <c r="B8193" t="s">
        <v>252</v>
      </c>
      <c r="C8193">
        <v>8156.69</v>
      </c>
      <c r="D8193">
        <v>9000</v>
      </c>
      <c r="E8193">
        <v>1750</v>
      </c>
      <c r="F8193">
        <v>20000</v>
      </c>
      <c r="G8193" s="30">
        <v>29</v>
      </c>
      <c r="H8193">
        <v>15000</v>
      </c>
      <c r="I8193">
        <v>10000</v>
      </c>
      <c r="J8193">
        <v>10000</v>
      </c>
      <c r="K8193">
        <v>20000</v>
      </c>
      <c r="L8193" s="30">
        <v>2</v>
      </c>
      <c r="M8193">
        <v>25142.03</v>
      </c>
      <c r="N8193">
        <v>30000</v>
      </c>
      <c r="O8193">
        <v>20000</v>
      </c>
      <c r="P8193">
        <v>30000</v>
      </c>
      <c r="Q8193" s="30">
        <v>3</v>
      </c>
      <c r="R8193">
        <v>1764</v>
      </c>
      <c r="S8193">
        <v>1000</v>
      </c>
      <c r="T8193">
        <v>500</v>
      </c>
      <c r="U8193">
        <v>4000</v>
      </c>
      <c r="V8193" s="30">
        <v>8</v>
      </c>
      <c r="W8193">
        <v>2128.4699999999998</v>
      </c>
      <c r="X8193">
        <v>2000</v>
      </c>
      <c r="Y8193">
        <v>1000</v>
      </c>
      <c r="Z8193">
        <v>3000</v>
      </c>
      <c r="AA8193" s="30">
        <v>21</v>
      </c>
      <c r="AB8193">
        <v>6422.72</v>
      </c>
      <c r="AC8193">
        <v>5700</v>
      </c>
      <c r="AD8193">
        <v>1600</v>
      </c>
      <c r="AE8193">
        <v>30000</v>
      </c>
      <c r="AF8193" s="30">
        <v>181</v>
      </c>
      <c r="AG8193">
        <v>1415.22</v>
      </c>
      <c r="AH8193">
        <v>1450</v>
      </c>
      <c r="AI8193">
        <v>150</v>
      </c>
      <c r="AJ8193">
        <v>2386</v>
      </c>
      <c r="AK8193" s="30">
        <v>10</v>
      </c>
      <c r="AL8193">
        <v>4490.3100000000004</v>
      </c>
      <c r="AM8193">
        <v>5000</v>
      </c>
      <c r="AN8193">
        <v>608</v>
      </c>
      <c r="AO8193">
        <v>5000</v>
      </c>
      <c r="AP8193" s="30">
        <v>2</v>
      </c>
      <c r="AQ8193">
        <v>3070.5</v>
      </c>
      <c r="AR8193">
        <v>4000</v>
      </c>
      <c r="AS8193">
        <v>1500</v>
      </c>
      <c r="AT8193">
        <v>8500</v>
      </c>
      <c r="AU8193" s="30">
        <v>6</v>
      </c>
      <c r="AV8193">
        <v>500</v>
      </c>
      <c r="AW8193">
        <v>500</v>
      </c>
      <c r="AX8193">
        <v>500</v>
      </c>
      <c r="AY8193">
        <v>500</v>
      </c>
      <c r="AZ8193" s="30">
        <v>2</v>
      </c>
      <c r="BA8193">
        <v>1182.3800000000001</v>
      </c>
      <c r="BB8193">
        <v>1000</v>
      </c>
      <c r="BC8193">
        <v>100</v>
      </c>
      <c r="BD8193">
        <v>5000</v>
      </c>
      <c r="BE8193" s="30">
        <v>14</v>
      </c>
      <c r="BK8193">
        <v>75000</v>
      </c>
      <c r="BL8193">
        <v>75000</v>
      </c>
      <c r="BM8193">
        <v>75000</v>
      </c>
      <c r="BN8193">
        <v>75000</v>
      </c>
      <c r="BO8193" s="30">
        <v>2</v>
      </c>
      <c r="BP8193">
        <v>3445.5</v>
      </c>
      <c r="BQ8193">
        <v>10000</v>
      </c>
      <c r="BR8193">
        <v>185</v>
      </c>
      <c r="BS8193">
        <v>10000</v>
      </c>
      <c r="BT8193" s="30">
        <v>4</v>
      </c>
      <c r="BU8193">
        <v>181</v>
      </c>
    </row>
    <row r="8194" spans="1:73" x14ac:dyDescent="0.35">
      <c r="A8194" t="s">
        <v>229</v>
      </c>
      <c r="B8194" t="s">
        <v>253</v>
      </c>
      <c r="C8194">
        <v>10428.15</v>
      </c>
      <c r="D8194">
        <v>7500</v>
      </c>
      <c r="E8194">
        <v>750</v>
      </c>
      <c r="F8194">
        <v>40000</v>
      </c>
      <c r="G8194" s="30">
        <v>72</v>
      </c>
      <c r="H8194">
        <v>3297.74</v>
      </c>
      <c r="I8194">
        <v>3750</v>
      </c>
      <c r="J8194">
        <v>16.7</v>
      </c>
      <c r="K8194">
        <v>5000</v>
      </c>
      <c r="L8194" s="30">
        <v>10</v>
      </c>
      <c r="M8194">
        <v>12432.14</v>
      </c>
      <c r="N8194">
        <v>6666.7</v>
      </c>
      <c r="O8194">
        <v>4166.7</v>
      </c>
      <c r="P8194">
        <v>33333.300000000003</v>
      </c>
      <c r="Q8194" s="30">
        <v>5</v>
      </c>
      <c r="R8194">
        <v>975.78</v>
      </c>
      <c r="S8194">
        <v>1666.7</v>
      </c>
      <c r="T8194">
        <v>200</v>
      </c>
      <c r="U8194">
        <v>3000</v>
      </c>
      <c r="V8194" s="30">
        <v>8</v>
      </c>
      <c r="W8194">
        <v>1298.9000000000001</v>
      </c>
      <c r="X8194">
        <v>1333.3</v>
      </c>
      <c r="Y8194">
        <v>500</v>
      </c>
      <c r="Z8194">
        <v>2500</v>
      </c>
      <c r="AA8194" s="30">
        <v>13</v>
      </c>
      <c r="AB8194">
        <v>2401.89</v>
      </c>
      <c r="AC8194">
        <v>2000</v>
      </c>
      <c r="AD8194">
        <v>460</v>
      </c>
      <c r="AE8194">
        <v>8000</v>
      </c>
      <c r="AF8194" s="30">
        <v>110</v>
      </c>
      <c r="AG8194">
        <v>1658.29</v>
      </c>
      <c r="AH8194">
        <v>1400</v>
      </c>
      <c r="AI8194">
        <v>172</v>
      </c>
      <c r="AJ8194">
        <v>5250</v>
      </c>
      <c r="AK8194" s="30">
        <v>36</v>
      </c>
      <c r="AQ8194">
        <v>3009.1</v>
      </c>
      <c r="AR8194">
        <v>3333.3</v>
      </c>
      <c r="AS8194">
        <v>833.3</v>
      </c>
      <c r="AT8194">
        <v>5000</v>
      </c>
      <c r="AU8194" s="30">
        <v>8</v>
      </c>
      <c r="BA8194">
        <v>439.95</v>
      </c>
      <c r="BB8194">
        <v>666.7</v>
      </c>
      <c r="BC8194">
        <v>166.7</v>
      </c>
      <c r="BD8194">
        <v>1666.7</v>
      </c>
      <c r="BE8194" s="30">
        <v>6</v>
      </c>
      <c r="BF8194">
        <v>4000</v>
      </c>
      <c r="BG8194">
        <v>4000</v>
      </c>
      <c r="BH8194">
        <v>4000</v>
      </c>
      <c r="BI8194">
        <v>4000</v>
      </c>
      <c r="BJ8194" s="30">
        <v>1</v>
      </c>
      <c r="BK8194">
        <v>3333.33</v>
      </c>
      <c r="BL8194">
        <v>3333.3</v>
      </c>
      <c r="BM8194">
        <v>3333.3</v>
      </c>
      <c r="BN8194">
        <v>3333.3</v>
      </c>
      <c r="BO8194" s="30">
        <v>1</v>
      </c>
      <c r="BP8194">
        <v>799.91</v>
      </c>
      <c r="BQ8194">
        <v>3500</v>
      </c>
      <c r="BR8194">
        <v>533.29999999999995</v>
      </c>
      <c r="BS8194">
        <v>3500</v>
      </c>
      <c r="BT8194" s="30">
        <v>4</v>
      </c>
      <c r="BU8194">
        <v>110</v>
      </c>
    </row>
    <row r="8195" spans="1:73" x14ac:dyDescent="0.35">
      <c r="A8195" t="s">
        <v>229</v>
      </c>
      <c r="B8195" t="s">
        <v>251</v>
      </c>
      <c r="C8195">
        <v>17361.7</v>
      </c>
      <c r="D8195">
        <v>15000</v>
      </c>
      <c r="E8195">
        <v>500</v>
      </c>
      <c r="F8195">
        <v>150000</v>
      </c>
      <c r="G8195" s="30">
        <v>351</v>
      </c>
      <c r="H8195">
        <v>9786.9699999999993</v>
      </c>
      <c r="I8195">
        <v>5000</v>
      </c>
      <c r="J8195">
        <v>100</v>
      </c>
      <c r="K8195">
        <v>66666.7</v>
      </c>
      <c r="L8195" s="30">
        <v>58</v>
      </c>
      <c r="M8195">
        <v>9315.92</v>
      </c>
      <c r="N8195">
        <v>8333.2999999999993</v>
      </c>
      <c r="O8195">
        <v>750</v>
      </c>
      <c r="P8195">
        <v>25000</v>
      </c>
      <c r="Q8195" s="30">
        <v>29</v>
      </c>
      <c r="R8195">
        <v>6979.05</v>
      </c>
      <c r="S8195">
        <v>4000</v>
      </c>
      <c r="T8195">
        <v>100</v>
      </c>
      <c r="U8195">
        <v>35000</v>
      </c>
      <c r="V8195" s="30">
        <v>21</v>
      </c>
      <c r="W8195">
        <v>2080.2399999999998</v>
      </c>
      <c r="X8195">
        <v>2000</v>
      </c>
      <c r="Y8195">
        <v>666.7</v>
      </c>
      <c r="Z8195">
        <v>3150</v>
      </c>
      <c r="AA8195" s="30">
        <v>19</v>
      </c>
      <c r="AB8195">
        <v>3817.27</v>
      </c>
      <c r="AC8195">
        <v>3000</v>
      </c>
      <c r="AD8195">
        <v>766.7</v>
      </c>
      <c r="AE8195">
        <v>16500</v>
      </c>
      <c r="AF8195" s="30">
        <v>22</v>
      </c>
      <c r="AG8195">
        <v>2945.51</v>
      </c>
      <c r="AH8195">
        <v>1566.7</v>
      </c>
      <c r="AI8195">
        <v>215</v>
      </c>
      <c r="AJ8195">
        <v>20000</v>
      </c>
      <c r="AK8195" s="30">
        <v>76</v>
      </c>
      <c r="AL8195">
        <v>8437.14</v>
      </c>
      <c r="AM8195">
        <v>10000</v>
      </c>
      <c r="AN8195">
        <v>3750</v>
      </c>
      <c r="AO8195">
        <v>15000</v>
      </c>
      <c r="AP8195" s="30">
        <v>5</v>
      </c>
      <c r="AQ8195">
        <v>7185.93</v>
      </c>
      <c r="AR8195">
        <v>5000</v>
      </c>
      <c r="AS8195">
        <v>1000</v>
      </c>
      <c r="AT8195">
        <v>20000</v>
      </c>
      <c r="AU8195" s="30">
        <v>11</v>
      </c>
      <c r="BA8195">
        <v>4476.05</v>
      </c>
      <c r="BB8195">
        <v>3500</v>
      </c>
      <c r="BC8195">
        <v>75</v>
      </c>
      <c r="BD8195">
        <v>20000</v>
      </c>
      <c r="BE8195" s="30">
        <v>37</v>
      </c>
      <c r="BF8195">
        <v>666.67</v>
      </c>
      <c r="BG8195">
        <v>666.7</v>
      </c>
      <c r="BH8195">
        <v>666.7</v>
      </c>
      <c r="BI8195">
        <v>666.7</v>
      </c>
      <c r="BJ8195" s="30">
        <v>1</v>
      </c>
      <c r="BP8195">
        <v>7597.66</v>
      </c>
      <c r="BQ8195">
        <v>6666.7</v>
      </c>
      <c r="BR8195">
        <v>125</v>
      </c>
      <c r="BS8195">
        <v>40000</v>
      </c>
      <c r="BT8195" s="30">
        <v>26</v>
      </c>
      <c r="BU8195">
        <v>351</v>
      </c>
    </row>
    <row r="8196" spans="1:73" x14ac:dyDescent="0.35">
      <c r="A8196" t="s">
        <v>230</v>
      </c>
      <c r="B8196" t="s">
        <v>252</v>
      </c>
      <c r="C8196">
        <v>7525.76</v>
      </c>
      <c r="D8196">
        <v>10000</v>
      </c>
      <c r="E8196">
        <v>3200</v>
      </c>
      <c r="F8196">
        <v>20000</v>
      </c>
      <c r="G8196" s="30">
        <v>14</v>
      </c>
      <c r="H8196">
        <v>10566.76</v>
      </c>
      <c r="I8196">
        <v>15000</v>
      </c>
      <c r="J8196">
        <v>4000</v>
      </c>
      <c r="K8196">
        <v>15000</v>
      </c>
      <c r="L8196" s="30">
        <v>6</v>
      </c>
      <c r="M8196">
        <v>13266.74</v>
      </c>
      <c r="N8196">
        <v>15000</v>
      </c>
      <c r="O8196">
        <v>7500</v>
      </c>
      <c r="P8196">
        <v>15000</v>
      </c>
      <c r="Q8196" s="30">
        <v>2</v>
      </c>
      <c r="R8196">
        <v>2404.13</v>
      </c>
      <c r="S8196">
        <v>2000</v>
      </c>
      <c r="T8196">
        <v>1000</v>
      </c>
      <c r="U8196">
        <v>8000</v>
      </c>
      <c r="V8196" s="30">
        <v>5</v>
      </c>
      <c r="W8196">
        <v>2052.9</v>
      </c>
      <c r="X8196">
        <v>2000</v>
      </c>
      <c r="Y8196">
        <v>1000</v>
      </c>
      <c r="Z8196">
        <v>3000</v>
      </c>
      <c r="AA8196" s="30">
        <v>16</v>
      </c>
      <c r="AB8196">
        <v>4743.04</v>
      </c>
      <c r="AC8196">
        <v>4100</v>
      </c>
      <c r="AD8196">
        <v>2000</v>
      </c>
      <c r="AE8196">
        <v>18000</v>
      </c>
      <c r="AF8196" s="30">
        <v>144</v>
      </c>
      <c r="AG8196">
        <v>2168.0100000000002</v>
      </c>
      <c r="AH8196">
        <v>1000</v>
      </c>
      <c r="AI8196">
        <v>300</v>
      </c>
      <c r="AJ8196">
        <v>6000</v>
      </c>
      <c r="AK8196" s="30">
        <v>11</v>
      </c>
      <c r="AL8196">
        <v>6471.05</v>
      </c>
      <c r="AM8196">
        <v>9000</v>
      </c>
      <c r="AN8196">
        <v>1000</v>
      </c>
      <c r="AO8196">
        <v>9000</v>
      </c>
      <c r="AP8196" s="30">
        <v>4</v>
      </c>
      <c r="AQ8196">
        <v>2605</v>
      </c>
      <c r="AR8196">
        <v>3000</v>
      </c>
      <c r="AS8196">
        <v>1500</v>
      </c>
      <c r="AT8196">
        <v>4000</v>
      </c>
      <c r="AU8196" s="30">
        <v>7</v>
      </c>
      <c r="AV8196">
        <v>1501.7</v>
      </c>
      <c r="AW8196">
        <v>1200</v>
      </c>
      <c r="AX8196">
        <v>241.7</v>
      </c>
      <c r="AY8196">
        <v>2000</v>
      </c>
      <c r="AZ8196" s="30">
        <v>14</v>
      </c>
      <c r="BA8196">
        <v>2806.07</v>
      </c>
      <c r="BB8196">
        <v>3000</v>
      </c>
      <c r="BC8196">
        <v>500</v>
      </c>
      <c r="BD8196">
        <v>10000</v>
      </c>
      <c r="BE8196" s="30">
        <v>17</v>
      </c>
      <c r="BK8196">
        <v>1153.78</v>
      </c>
      <c r="BL8196">
        <v>1200</v>
      </c>
      <c r="BM8196">
        <v>1000</v>
      </c>
      <c r="BN8196">
        <v>1200</v>
      </c>
      <c r="BO8196" s="30">
        <v>2</v>
      </c>
      <c r="BP8196">
        <v>2859</v>
      </c>
      <c r="BQ8196">
        <v>5000</v>
      </c>
      <c r="BR8196">
        <v>500</v>
      </c>
      <c r="BS8196">
        <v>5000</v>
      </c>
      <c r="BT8196" s="30">
        <v>5</v>
      </c>
      <c r="BU8196">
        <v>144</v>
      </c>
    </row>
    <row r="8197" spans="1:73" x14ac:dyDescent="0.35">
      <c r="A8197" t="s">
        <v>230</v>
      </c>
      <c r="B8197" t="s">
        <v>253</v>
      </c>
      <c r="C8197">
        <v>6220.65</v>
      </c>
      <c r="D8197">
        <v>5000</v>
      </c>
      <c r="E8197">
        <v>1050</v>
      </c>
      <c r="F8197">
        <v>75000</v>
      </c>
      <c r="G8197" s="30">
        <v>61</v>
      </c>
      <c r="H8197">
        <v>2117.5700000000002</v>
      </c>
      <c r="I8197">
        <v>2000</v>
      </c>
      <c r="J8197">
        <v>200</v>
      </c>
      <c r="K8197">
        <v>9500</v>
      </c>
      <c r="L8197" s="30">
        <v>11</v>
      </c>
      <c r="M8197">
        <v>5677.09</v>
      </c>
      <c r="N8197">
        <v>3750</v>
      </c>
      <c r="O8197">
        <v>1666.7</v>
      </c>
      <c r="P8197">
        <v>15000</v>
      </c>
      <c r="Q8197" s="30">
        <v>6</v>
      </c>
      <c r="R8197">
        <v>729.24</v>
      </c>
      <c r="S8197">
        <v>1000</v>
      </c>
      <c r="T8197">
        <v>666.7</v>
      </c>
      <c r="U8197">
        <v>1000</v>
      </c>
      <c r="V8197" s="30">
        <v>3</v>
      </c>
      <c r="W8197">
        <v>993.43</v>
      </c>
      <c r="X8197">
        <v>1000</v>
      </c>
      <c r="Y8197">
        <v>666.7</v>
      </c>
      <c r="Z8197">
        <v>2400</v>
      </c>
      <c r="AA8197" s="30">
        <v>14</v>
      </c>
      <c r="AB8197">
        <v>2948.17</v>
      </c>
      <c r="AC8197">
        <v>1900</v>
      </c>
      <c r="AD8197">
        <v>640</v>
      </c>
      <c r="AE8197">
        <v>17500</v>
      </c>
      <c r="AF8197" s="30">
        <v>84</v>
      </c>
      <c r="AG8197">
        <v>2012.87</v>
      </c>
      <c r="AH8197">
        <v>833.3</v>
      </c>
      <c r="AI8197">
        <v>460</v>
      </c>
      <c r="AJ8197">
        <v>10000</v>
      </c>
      <c r="AK8197" s="30">
        <v>20</v>
      </c>
      <c r="AL8197">
        <v>1000</v>
      </c>
      <c r="AM8197">
        <v>1000</v>
      </c>
      <c r="AN8197">
        <v>1000</v>
      </c>
      <c r="AO8197">
        <v>1000</v>
      </c>
      <c r="AP8197" s="30">
        <v>1</v>
      </c>
      <c r="AQ8197">
        <v>8228.1</v>
      </c>
      <c r="AR8197">
        <v>10000</v>
      </c>
      <c r="AS8197">
        <v>2000</v>
      </c>
      <c r="AT8197">
        <v>10000</v>
      </c>
      <c r="AU8197" s="30">
        <v>4</v>
      </c>
      <c r="AV8197">
        <v>739.26</v>
      </c>
      <c r="AW8197">
        <v>1200</v>
      </c>
      <c r="AX8197">
        <v>300</v>
      </c>
      <c r="AY8197">
        <v>1200</v>
      </c>
      <c r="AZ8197" s="30">
        <v>6</v>
      </c>
      <c r="BA8197">
        <v>3884.94</v>
      </c>
      <c r="BB8197">
        <v>5000</v>
      </c>
      <c r="BC8197">
        <v>333.3</v>
      </c>
      <c r="BD8197">
        <v>20000</v>
      </c>
      <c r="BE8197" s="30">
        <v>8</v>
      </c>
      <c r="BK8197">
        <v>6995.11</v>
      </c>
      <c r="BL8197">
        <v>6500</v>
      </c>
      <c r="BM8197">
        <v>6500</v>
      </c>
      <c r="BN8197">
        <v>10000</v>
      </c>
      <c r="BO8197" s="30">
        <v>2</v>
      </c>
      <c r="BP8197">
        <v>1259.99</v>
      </c>
      <c r="BQ8197">
        <v>1000</v>
      </c>
      <c r="BR8197">
        <v>400</v>
      </c>
      <c r="BS8197">
        <v>6000</v>
      </c>
      <c r="BT8197" s="30">
        <v>6</v>
      </c>
      <c r="BU8197">
        <v>84</v>
      </c>
    </row>
    <row r="8198" spans="1:73" x14ac:dyDescent="0.35">
      <c r="A8198" t="s">
        <v>230</v>
      </c>
      <c r="B8198" t="s">
        <v>251</v>
      </c>
      <c r="C8198">
        <v>13805.03</v>
      </c>
      <c r="D8198">
        <v>11666.7</v>
      </c>
      <c r="E8198">
        <v>333.3</v>
      </c>
      <c r="F8198">
        <v>75000</v>
      </c>
      <c r="G8198" s="30">
        <v>168</v>
      </c>
      <c r="H8198">
        <v>3988.23</v>
      </c>
      <c r="I8198">
        <v>2400</v>
      </c>
      <c r="J8198">
        <v>333.3</v>
      </c>
      <c r="K8198">
        <v>21000</v>
      </c>
      <c r="L8198" s="30">
        <v>42</v>
      </c>
      <c r="M8198">
        <v>46569.18</v>
      </c>
      <c r="N8198">
        <v>50000</v>
      </c>
      <c r="O8198">
        <v>666.7</v>
      </c>
      <c r="P8198">
        <v>150000</v>
      </c>
      <c r="Q8198" s="30">
        <v>14</v>
      </c>
      <c r="R8198">
        <v>3695.63</v>
      </c>
      <c r="S8198">
        <v>3000</v>
      </c>
      <c r="T8198">
        <v>600</v>
      </c>
      <c r="U8198">
        <v>8000</v>
      </c>
      <c r="V8198" s="30">
        <v>13</v>
      </c>
      <c r="W8198">
        <v>2256.61</v>
      </c>
      <c r="X8198">
        <v>2666.7</v>
      </c>
      <c r="Y8198">
        <v>1000</v>
      </c>
      <c r="Z8198">
        <v>3000</v>
      </c>
      <c r="AA8198" s="30">
        <v>17</v>
      </c>
      <c r="AB8198">
        <v>3910.6</v>
      </c>
      <c r="AC8198">
        <v>5000</v>
      </c>
      <c r="AD8198">
        <v>575</v>
      </c>
      <c r="AE8198">
        <v>11000</v>
      </c>
      <c r="AF8198" s="30">
        <v>13</v>
      </c>
      <c r="AG8198">
        <v>1882.02</v>
      </c>
      <c r="AH8198">
        <v>1200</v>
      </c>
      <c r="AI8198">
        <v>172</v>
      </c>
      <c r="AJ8198">
        <v>7000</v>
      </c>
      <c r="AK8198" s="30">
        <v>55</v>
      </c>
      <c r="AL8198">
        <v>17070</v>
      </c>
      <c r="AM8198">
        <v>25000</v>
      </c>
      <c r="AN8198">
        <v>500</v>
      </c>
      <c r="AO8198">
        <v>25000</v>
      </c>
      <c r="AP8198" s="30">
        <v>5</v>
      </c>
      <c r="AQ8198">
        <v>6887.29</v>
      </c>
      <c r="AR8198">
        <v>4000</v>
      </c>
      <c r="AS8198">
        <v>250</v>
      </c>
      <c r="AT8198">
        <v>20000</v>
      </c>
      <c r="AU8198" s="30">
        <v>12</v>
      </c>
      <c r="AV8198">
        <v>2296.39</v>
      </c>
      <c r="AW8198">
        <v>3300</v>
      </c>
      <c r="AX8198">
        <v>480</v>
      </c>
      <c r="AY8198">
        <v>3300</v>
      </c>
      <c r="AZ8198" s="30">
        <v>6</v>
      </c>
      <c r="BA8198">
        <v>3204.13</v>
      </c>
      <c r="BB8198">
        <v>3333.3</v>
      </c>
      <c r="BC8198">
        <v>500</v>
      </c>
      <c r="BD8198">
        <v>10000</v>
      </c>
      <c r="BE8198" s="30">
        <v>28</v>
      </c>
      <c r="BK8198">
        <v>5166.67</v>
      </c>
      <c r="BL8198">
        <v>5166.7</v>
      </c>
      <c r="BM8198">
        <v>5166.7</v>
      </c>
      <c r="BN8198">
        <v>5166.7</v>
      </c>
      <c r="BO8198" s="30">
        <v>1</v>
      </c>
      <c r="BP8198">
        <v>2820.51</v>
      </c>
      <c r="BQ8198">
        <v>5500</v>
      </c>
      <c r="BR8198">
        <v>500</v>
      </c>
      <c r="BS8198">
        <v>5500</v>
      </c>
      <c r="BT8198" s="30">
        <v>5</v>
      </c>
      <c r="BU8198">
        <v>168</v>
      </c>
    </row>
    <row r="8199" spans="1:73" x14ac:dyDescent="0.35">
      <c r="A8199" t="s">
        <v>231</v>
      </c>
      <c r="B8199" t="s">
        <v>252</v>
      </c>
      <c r="C8199">
        <v>7200</v>
      </c>
      <c r="D8199">
        <v>8000</v>
      </c>
      <c r="E8199">
        <v>3000</v>
      </c>
      <c r="F8199">
        <v>14000</v>
      </c>
      <c r="G8199" s="30">
        <v>5</v>
      </c>
      <c r="H8199">
        <v>300</v>
      </c>
      <c r="I8199">
        <v>300</v>
      </c>
      <c r="J8199">
        <v>300</v>
      </c>
      <c r="K8199">
        <v>300</v>
      </c>
      <c r="L8199" s="30">
        <v>1</v>
      </c>
      <c r="M8199">
        <v>10833.33</v>
      </c>
      <c r="N8199">
        <v>20000</v>
      </c>
      <c r="O8199">
        <v>2500</v>
      </c>
      <c r="P8199">
        <v>20000</v>
      </c>
      <c r="Q8199" s="30">
        <v>3</v>
      </c>
      <c r="R8199">
        <v>500</v>
      </c>
      <c r="S8199">
        <v>500</v>
      </c>
      <c r="T8199">
        <v>500</v>
      </c>
      <c r="U8199">
        <v>500</v>
      </c>
      <c r="V8199" s="30">
        <v>1</v>
      </c>
      <c r="W8199">
        <v>2027.78</v>
      </c>
      <c r="X8199">
        <v>2000</v>
      </c>
      <c r="Y8199">
        <v>666.7</v>
      </c>
      <c r="Z8199">
        <v>3000</v>
      </c>
      <c r="AA8199" s="30">
        <v>6</v>
      </c>
      <c r="AB8199">
        <v>5343.99</v>
      </c>
      <c r="AC8199">
        <v>5000</v>
      </c>
      <c r="AD8199">
        <v>1000</v>
      </c>
      <c r="AE8199">
        <v>13200</v>
      </c>
      <c r="AF8199" s="30">
        <v>43</v>
      </c>
      <c r="AG8199">
        <v>2249.5</v>
      </c>
      <c r="AH8199">
        <v>2361</v>
      </c>
      <c r="AI8199">
        <v>300</v>
      </c>
      <c r="AJ8199">
        <v>5250</v>
      </c>
      <c r="AK8199" s="30">
        <v>6</v>
      </c>
      <c r="BA8199">
        <v>3000</v>
      </c>
      <c r="BB8199">
        <v>1000</v>
      </c>
      <c r="BC8199">
        <v>1000</v>
      </c>
      <c r="BD8199">
        <v>5000</v>
      </c>
      <c r="BE8199" s="30">
        <v>2</v>
      </c>
      <c r="BK8199">
        <v>500</v>
      </c>
      <c r="BL8199">
        <v>500</v>
      </c>
      <c r="BM8199">
        <v>500</v>
      </c>
      <c r="BN8199">
        <v>500</v>
      </c>
      <c r="BO8199" s="30">
        <v>1</v>
      </c>
      <c r="BP8199">
        <v>3000</v>
      </c>
      <c r="BQ8199">
        <v>3000</v>
      </c>
      <c r="BR8199">
        <v>3000</v>
      </c>
      <c r="BS8199">
        <v>3000</v>
      </c>
      <c r="BT8199" s="30">
        <v>1</v>
      </c>
      <c r="BU8199">
        <v>43</v>
      </c>
    </row>
    <row r="8200" spans="1:73" x14ac:dyDescent="0.35">
      <c r="A8200" s="27" t="s">
        <v>231</v>
      </c>
      <c r="B8200" s="27" t="s">
        <v>253</v>
      </c>
      <c r="C8200" s="29">
        <v>9458.93</v>
      </c>
      <c r="D8200" s="29">
        <v>6666.7</v>
      </c>
      <c r="E8200" s="29">
        <v>1466.7</v>
      </c>
      <c r="F8200" s="29">
        <v>40000</v>
      </c>
      <c r="G8200" s="29">
        <v>14</v>
      </c>
      <c r="H8200" s="29"/>
      <c r="I8200" s="29"/>
      <c r="J8200" s="29"/>
      <c r="K8200" s="29"/>
      <c r="L8200" s="29"/>
      <c r="M8200" s="29">
        <v>6805.56</v>
      </c>
      <c r="N8200" s="29">
        <v>12666.7</v>
      </c>
      <c r="O8200" s="29">
        <v>250</v>
      </c>
      <c r="P8200" s="29">
        <v>12666.7</v>
      </c>
      <c r="Q8200" s="29">
        <v>3</v>
      </c>
      <c r="R8200" s="29">
        <v>2166.67</v>
      </c>
      <c r="S8200" s="29">
        <v>1333.3</v>
      </c>
      <c r="T8200" s="29">
        <v>1333.3</v>
      </c>
      <c r="U8200" s="29">
        <v>3000</v>
      </c>
      <c r="V8200" s="29">
        <v>2</v>
      </c>
      <c r="W8200" s="29">
        <v>1600</v>
      </c>
      <c r="X8200" s="29">
        <v>1000</v>
      </c>
      <c r="Y8200" s="29">
        <v>1000</v>
      </c>
      <c r="Z8200" s="29">
        <v>2200</v>
      </c>
      <c r="AA8200" s="29">
        <v>2</v>
      </c>
      <c r="AB8200" s="29">
        <v>2300.64</v>
      </c>
      <c r="AC8200" s="29">
        <v>2250</v>
      </c>
      <c r="AD8200" s="29">
        <v>800</v>
      </c>
      <c r="AE8200" s="29">
        <v>6000</v>
      </c>
      <c r="AF8200" s="29">
        <v>26</v>
      </c>
      <c r="AG8200" s="29">
        <v>1239.58</v>
      </c>
      <c r="AH8200" s="29">
        <v>933.3</v>
      </c>
      <c r="AI8200" s="29">
        <v>875</v>
      </c>
      <c r="AJ8200" s="29">
        <v>1750</v>
      </c>
      <c r="AK8200" s="29">
        <v>4</v>
      </c>
      <c r="AL8200" s="29"/>
      <c r="AM8200" s="29"/>
      <c r="AN8200" s="29"/>
      <c r="AO8200" s="29"/>
      <c r="AP8200" s="29"/>
      <c r="AQ8200" s="29"/>
      <c r="AR8200" s="29"/>
      <c r="AS8200" s="29"/>
      <c r="AT8200" s="29"/>
      <c r="AU8200" s="29"/>
      <c r="AV8200" s="29"/>
      <c r="AW8200" s="29"/>
      <c r="AX8200" s="29"/>
      <c r="AY8200" s="29"/>
      <c r="AZ8200" s="29"/>
      <c r="BA8200" s="29">
        <v>5833.33</v>
      </c>
      <c r="BB8200" s="29">
        <v>1666.7</v>
      </c>
      <c r="BC8200" s="29">
        <v>1666.7</v>
      </c>
      <c r="BD8200" s="29">
        <v>10000</v>
      </c>
      <c r="BE8200" s="29">
        <v>2</v>
      </c>
      <c r="BF8200" s="29"/>
      <c r="BG8200" s="29"/>
      <c r="BH8200" s="29"/>
      <c r="BI8200" s="29"/>
      <c r="BJ8200" s="29"/>
      <c r="BK8200" s="29">
        <v>500</v>
      </c>
      <c r="BL8200" s="29">
        <v>500</v>
      </c>
      <c r="BM8200" s="29">
        <v>500</v>
      </c>
      <c r="BN8200" s="29">
        <v>500</v>
      </c>
      <c r="BO8200" s="29">
        <v>1</v>
      </c>
      <c r="BP8200" s="29"/>
      <c r="BQ8200" s="29"/>
      <c r="BR8200" s="29"/>
      <c r="BS8200" s="29"/>
      <c r="BT8200" s="29"/>
      <c r="BU8200" s="29">
        <v>26</v>
      </c>
    </row>
    <row r="8201" spans="1:73" x14ac:dyDescent="0.35">
      <c r="A8201" t="s">
        <v>231</v>
      </c>
      <c r="B8201" t="s">
        <v>251</v>
      </c>
      <c r="C8201">
        <v>13136.78</v>
      </c>
      <c r="D8201">
        <v>10000</v>
      </c>
      <c r="E8201">
        <v>1250</v>
      </c>
      <c r="F8201">
        <v>40000</v>
      </c>
      <c r="G8201" s="30">
        <v>58</v>
      </c>
      <c r="H8201">
        <v>6342.59</v>
      </c>
      <c r="I8201">
        <v>3000</v>
      </c>
      <c r="J8201">
        <v>300</v>
      </c>
      <c r="K8201">
        <v>40000</v>
      </c>
      <c r="L8201" s="30">
        <v>9</v>
      </c>
      <c r="M8201">
        <v>41687.5</v>
      </c>
      <c r="N8201">
        <v>20000</v>
      </c>
      <c r="O8201">
        <v>3750</v>
      </c>
      <c r="P8201">
        <v>93000</v>
      </c>
      <c r="Q8201" s="30">
        <v>4</v>
      </c>
      <c r="R8201">
        <v>1875</v>
      </c>
      <c r="S8201">
        <v>750</v>
      </c>
      <c r="T8201">
        <v>750</v>
      </c>
      <c r="U8201">
        <v>3000</v>
      </c>
      <c r="V8201" s="30">
        <v>2</v>
      </c>
      <c r="W8201">
        <v>2000</v>
      </c>
      <c r="X8201">
        <v>2000</v>
      </c>
      <c r="Y8201">
        <v>1500</v>
      </c>
      <c r="Z8201">
        <v>2500</v>
      </c>
      <c r="AA8201" s="30">
        <v>4</v>
      </c>
      <c r="AB8201">
        <v>2842.5</v>
      </c>
      <c r="AC8201">
        <v>2000</v>
      </c>
      <c r="AD8201">
        <v>500</v>
      </c>
      <c r="AE8201">
        <v>7500</v>
      </c>
      <c r="AF8201" s="30">
        <v>10</v>
      </c>
      <c r="AG8201">
        <v>1918.98</v>
      </c>
      <c r="AH8201">
        <v>1250</v>
      </c>
      <c r="AI8201">
        <v>106.7</v>
      </c>
      <c r="AJ8201">
        <v>10000</v>
      </c>
      <c r="AK8201" s="30">
        <v>18</v>
      </c>
      <c r="AL8201">
        <v>4500</v>
      </c>
      <c r="AM8201">
        <v>1000</v>
      </c>
      <c r="AN8201">
        <v>1000</v>
      </c>
      <c r="AO8201">
        <v>8000</v>
      </c>
      <c r="AP8201" s="30">
        <v>2</v>
      </c>
      <c r="AQ8201">
        <v>4666.67</v>
      </c>
      <c r="AR8201">
        <v>4000</v>
      </c>
      <c r="AS8201">
        <v>666.7</v>
      </c>
      <c r="AT8201">
        <v>10000</v>
      </c>
      <c r="AU8201" s="30">
        <v>4</v>
      </c>
      <c r="BA8201">
        <v>6086.36</v>
      </c>
      <c r="BB8201">
        <v>5000</v>
      </c>
      <c r="BC8201">
        <v>200</v>
      </c>
      <c r="BD8201">
        <v>22750</v>
      </c>
      <c r="BE8201" s="30">
        <v>11</v>
      </c>
      <c r="BP8201">
        <v>5486.67</v>
      </c>
      <c r="BQ8201">
        <v>5000</v>
      </c>
      <c r="BR8201">
        <v>133.30000000000001</v>
      </c>
      <c r="BS8201">
        <v>17500</v>
      </c>
      <c r="BT8201" s="30">
        <v>5</v>
      </c>
      <c r="BU8201">
        <v>58</v>
      </c>
    </row>
    <row r="8202" spans="1:73" x14ac:dyDescent="0.35">
      <c r="A8202" t="s">
        <v>232</v>
      </c>
      <c r="B8202" t="s">
        <v>232</v>
      </c>
      <c r="C8202">
        <v>12841.11</v>
      </c>
      <c r="D8202">
        <v>10000</v>
      </c>
      <c r="E8202">
        <v>333.3</v>
      </c>
      <c r="F8202">
        <v>150000</v>
      </c>
      <c r="G8202" s="30">
        <v>1271</v>
      </c>
      <c r="H8202">
        <v>6272.64</v>
      </c>
      <c r="I8202">
        <v>3333.3</v>
      </c>
      <c r="J8202">
        <v>16.7</v>
      </c>
      <c r="K8202">
        <v>66666.7</v>
      </c>
      <c r="L8202" s="30">
        <v>241</v>
      </c>
      <c r="M8202">
        <v>17578.79</v>
      </c>
      <c r="N8202">
        <v>10000</v>
      </c>
      <c r="O8202">
        <v>250</v>
      </c>
      <c r="P8202">
        <v>150000</v>
      </c>
      <c r="Q8202" s="30">
        <v>109</v>
      </c>
      <c r="R8202">
        <v>2698.25</v>
      </c>
      <c r="S8202">
        <v>1750</v>
      </c>
      <c r="T8202">
        <v>100</v>
      </c>
      <c r="U8202">
        <v>35000</v>
      </c>
      <c r="V8202" s="30">
        <v>92</v>
      </c>
      <c r="W8202">
        <v>1917.18</v>
      </c>
      <c r="X8202">
        <v>2000</v>
      </c>
      <c r="Y8202">
        <v>400</v>
      </c>
      <c r="Z8202">
        <v>5000</v>
      </c>
      <c r="AA8202" s="30">
        <v>264</v>
      </c>
      <c r="AB8202">
        <v>4296.82</v>
      </c>
      <c r="AC8202">
        <v>4000</v>
      </c>
      <c r="AD8202">
        <v>428.6</v>
      </c>
      <c r="AE8202">
        <v>30000</v>
      </c>
      <c r="AF8202" s="30">
        <v>1194</v>
      </c>
      <c r="AG8202">
        <v>2115.1799999999998</v>
      </c>
      <c r="AH8202">
        <v>1400</v>
      </c>
      <c r="AI8202">
        <v>106.7</v>
      </c>
      <c r="AJ8202">
        <v>20000</v>
      </c>
      <c r="AK8202" s="30">
        <v>404</v>
      </c>
      <c r="AL8202">
        <v>5888.89</v>
      </c>
      <c r="AM8202">
        <v>4000</v>
      </c>
      <c r="AN8202">
        <v>100</v>
      </c>
      <c r="AO8202">
        <v>25000</v>
      </c>
      <c r="AP8202" s="30">
        <v>32</v>
      </c>
      <c r="AQ8202">
        <v>5244.2</v>
      </c>
      <c r="AR8202">
        <v>3333.3</v>
      </c>
      <c r="AS8202">
        <v>233.3</v>
      </c>
      <c r="AT8202">
        <v>30000</v>
      </c>
      <c r="AU8202" s="30">
        <v>92</v>
      </c>
      <c r="AV8202">
        <v>1217.7</v>
      </c>
      <c r="AW8202">
        <v>1200</v>
      </c>
      <c r="AX8202">
        <v>241.7</v>
      </c>
      <c r="AY8202">
        <v>3300</v>
      </c>
      <c r="AZ8202" s="30">
        <v>52</v>
      </c>
      <c r="BA8202">
        <v>4143.3599999999997</v>
      </c>
      <c r="BB8202">
        <v>2500</v>
      </c>
      <c r="BC8202">
        <v>75</v>
      </c>
      <c r="BD8202">
        <v>26000</v>
      </c>
      <c r="BE8202" s="30">
        <v>206</v>
      </c>
      <c r="BF8202">
        <v>2109.21</v>
      </c>
      <c r="BG8202">
        <v>1000</v>
      </c>
      <c r="BH8202">
        <v>666.7</v>
      </c>
      <c r="BI8202">
        <v>4000</v>
      </c>
      <c r="BJ8202" s="30">
        <v>3</v>
      </c>
      <c r="BK8202">
        <v>9971.93</v>
      </c>
      <c r="BL8202">
        <v>666.7</v>
      </c>
      <c r="BM8202">
        <v>500</v>
      </c>
      <c r="BN8202">
        <v>75000</v>
      </c>
      <c r="BO8202" s="30">
        <v>14</v>
      </c>
      <c r="BP8202">
        <v>5190.95</v>
      </c>
      <c r="BQ8202">
        <v>3000</v>
      </c>
      <c r="BR8202">
        <v>100</v>
      </c>
      <c r="BS8202">
        <v>40000</v>
      </c>
      <c r="BT8202" s="30">
        <v>87</v>
      </c>
      <c r="BU8202">
        <v>1271</v>
      </c>
    </row>
    <row r="8204" spans="1:73" x14ac:dyDescent="0.35">
      <c r="A8204" s="1" t="s">
        <v>1180</v>
      </c>
    </row>
    <row r="8205" spans="1:73" x14ac:dyDescent="0.35">
      <c r="A8205" t="s">
        <v>219</v>
      </c>
      <c r="B8205" t="s">
        <v>305</v>
      </c>
      <c r="C8205" t="s">
        <v>1105</v>
      </c>
      <c r="D8205" t="s">
        <v>1106</v>
      </c>
      <c r="E8205" t="s">
        <v>1107</v>
      </c>
      <c r="F8205" t="s">
        <v>1108</v>
      </c>
      <c r="G8205" t="s">
        <v>1109</v>
      </c>
      <c r="H8205" t="s">
        <v>1110</v>
      </c>
      <c r="I8205" t="s">
        <v>1111</v>
      </c>
      <c r="J8205" t="s">
        <v>1112</v>
      </c>
      <c r="K8205" t="s">
        <v>1113</v>
      </c>
      <c r="L8205" t="s">
        <v>1114</v>
      </c>
      <c r="M8205" t="s">
        <v>1115</v>
      </c>
      <c r="N8205" t="s">
        <v>1116</v>
      </c>
      <c r="O8205" t="s">
        <v>1117</v>
      </c>
      <c r="P8205" t="s">
        <v>1118</v>
      </c>
      <c r="Q8205" t="s">
        <v>1119</v>
      </c>
      <c r="R8205" t="s">
        <v>1120</v>
      </c>
      <c r="S8205" t="s">
        <v>1121</v>
      </c>
      <c r="T8205" t="s">
        <v>1122</v>
      </c>
      <c r="U8205" t="s">
        <v>1123</v>
      </c>
      <c r="V8205" t="s">
        <v>1124</v>
      </c>
      <c r="W8205" t="s">
        <v>1125</v>
      </c>
      <c r="X8205" t="s">
        <v>1126</v>
      </c>
      <c r="Y8205" t="s">
        <v>1127</v>
      </c>
      <c r="Z8205" t="s">
        <v>1128</v>
      </c>
      <c r="AA8205" t="s">
        <v>1129</v>
      </c>
      <c r="AB8205" t="s">
        <v>1130</v>
      </c>
      <c r="AC8205" t="s">
        <v>1131</v>
      </c>
      <c r="AD8205" t="s">
        <v>1132</v>
      </c>
      <c r="AE8205" t="s">
        <v>1133</v>
      </c>
      <c r="AF8205" t="s">
        <v>1134</v>
      </c>
      <c r="AG8205" t="s">
        <v>1135</v>
      </c>
      <c r="AH8205" t="s">
        <v>1136</v>
      </c>
      <c r="AI8205" t="s">
        <v>1137</v>
      </c>
      <c r="AJ8205" t="s">
        <v>1138</v>
      </c>
      <c r="AK8205" t="s">
        <v>1139</v>
      </c>
      <c r="AL8205" t="s">
        <v>1140</v>
      </c>
      <c r="AM8205" t="s">
        <v>1141</v>
      </c>
      <c r="AN8205" t="s">
        <v>1142</v>
      </c>
      <c r="AO8205" t="s">
        <v>1143</v>
      </c>
      <c r="AP8205" t="s">
        <v>1144</v>
      </c>
      <c r="AQ8205" t="s">
        <v>1145</v>
      </c>
      <c r="AR8205" t="s">
        <v>1146</v>
      </c>
      <c r="AS8205" t="s">
        <v>1147</v>
      </c>
      <c r="AT8205" t="s">
        <v>1148</v>
      </c>
      <c r="AU8205" t="s">
        <v>1149</v>
      </c>
      <c r="AV8205" t="s">
        <v>1150</v>
      </c>
      <c r="AW8205" t="s">
        <v>1151</v>
      </c>
      <c r="AX8205" t="s">
        <v>1152</v>
      </c>
      <c r="AY8205" t="s">
        <v>1153</v>
      </c>
      <c r="AZ8205" t="s">
        <v>1154</v>
      </c>
      <c r="BA8205" t="s">
        <v>1155</v>
      </c>
      <c r="BB8205" t="s">
        <v>1156</v>
      </c>
      <c r="BC8205" t="s">
        <v>1157</v>
      </c>
      <c r="BD8205" t="s">
        <v>1158</v>
      </c>
      <c r="BE8205" t="s">
        <v>1159</v>
      </c>
      <c r="BF8205" t="s">
        <v>1160</v>
      </c>
      <c r="BG8205" t="s">
        <v>1161</v>
      </c>
      <c r="BH8205" t="s">
        <v>1162</v>
      </c>
      <c r="BI8205" t="s">
        <v>1163</v>
      </c>
      <c r="BJ8205" t="s">
        <v>1164</v>
      </c>
      <c r="BK8205" t="s">
        <v>1165</v>
      </c>
      <c r="BL8205" t="s">
        <v>1166</v>
      </c>
      <c r="BM8205" t="s">
        <v>1167</v>
      </c>
      <c r="BN8205" t="s">
        <v>1168</v>
      </c>
      <c r="BO8205" t="s">
        <v>1169</v>
      </c>
      <c r="BP8205" t="s">
        <v>1170</v>
      </c>
      <c r="BQ8205" t="s">
        <v>1171</v>
      </c>
      <c r="BR8205" t="s">
        <v>1172</v>
      </c>
      <c r="BS8205" t="s">
        <v>1173</v>
      </c>
      <c r="BT8205" t="s">
        <v>1174</v>
      </c>
      <c r="BU8205" t="s">
        <v>964</v>
      </c>
    </row>
    <row r="8206" spans="1:73" x14ac:dyDescent="0.35">
      <c r="A8206" t="s">
        <v>227</v>
      </c>
      <c r="B8206" t="s">
        <v>249</v>
      </c>
      <c r="C8206">
        <v>7426.37</v>
      </c>
      <c r="D8206">
        <v>7000</v>
      </c>
      <c r="E8206">
        <v>500</v>
      </c>
      <c r="F8206">
        <v>20000</v>
      </c>
      <c r="G8206" s="30">
        <v>34</v>
      </c>
      <c r="H8206">
        <v>4559.5200000000004</v>
      </c>
      <c r="I8206">
        <v>5000</v>
      </c>
      <c r="J8206">
        <v>500</v>
      </c>
      <c r="K8206">
        <v>10000</v>
      </c>
      <c r="L8206" s="30">
        <v>7</v>
      </c>
      <c r="W8206">
        <v>1890</v>
      </c>
      <c r="X8206">
        <v>2200</v>
      </c>
      <c r="Y8206">
        <v>1000</v>
      </c>
      <c r="Z8206">
        <v>2500</v>
      </c>
      <c r="AA8206" s="30">
        <v>5</v>
      </c>
      <c r="AB8206">
        <v>2185.33</v>
      </c>
      <c r="AC8206">
        <v>920</v>
      </c>
      <c r="AD8206">
        <v>625</v>
      </c>
      <c r="AE8206">
        <v>6333.3</v>
      </c>
      <c r="AF8206" s="30">
        <v>10</v>
      </c>
      <c r="AG8206">
        <v>1568.42</v>
      </c>
      <c r="AH8206">
        <v>1060</v>
      </c>
      <c r="AI8206">
        <v>215</v>
      </c>
      <c r="AJ8206">
        <v>3800</v>
      </c>
      <c r="AK8206" s="30">
        <v>12</v>
      </c>
      <c r="AQ8206">
        <v>2500</v>
      </c>
      <c r="AR8206">
        <v>2500</v>
      </c>
      <c r="AS8206">
        <v>2500</v>
      </c>
      <c r="AT8206">
        <v>2500</v>
      </c>
      <c r="AU8206" s="30">
        <v>1</v>
      </c>
      <c r="BA8206">
        <v>2350</v>
      </c>
      <c r="BB8206">
        <v>2500</v>
      </c>
      <c r="BC8206">
        <v>1250</v>
      </c>
      <c r="BD8206">
        <v>4000</v>
      </c>
      <c r="BE8206" s="30">
        <v>5</v>
      </c>
      <c r="BP8206">
        <v>1555.56</v>
      </c>
      <c r="BQ8206">
        <v>1666.7</v>
      </c>
      <c r="BR8206">
        <v>1333.3</v>
      </c>
      <c r="BS8206">
        <v>1666.7</v>
      </c>
      <c r="BT8206" s="30">
        <v>3</v>
      </c>
      <c r="BU8206">
        <v>34</v>
      </c>
    </row>
    <row r="8207" spans="1:73" x14ac:dyDescent="0.35">
      <c r="A8207" t="s">
        <v>227</v>
      </c>
      <c r="B8207" t="s">
        <v>248</v>
      </c>
      <c r="C8207">
        <v>12204.84</v>
      </c>
      <c r="D8207">
        <v>10000</v>
      </c>
      <c r="E8207">
        <v>2000</v>
      </c>
      <c r="F8207">
        <v>60000</v>
      </c>
      <c r="G8207" s="30">
        <v>50</v>
      </c>
      <c r="H8207">
        <v>5295</v>
      </c>
      <c r="I8207">
        <v>2500</v>
      </c>
      <c r="J8207">
        <v>750</v>
      </c>
      <c r="K8207">
        <v>20000</v>
      </c>
      <c r="L8207" s="30">
        <v>10</v>
      </c>
      <c r="M8207">
        <v>16666.669999999998</v>
      </c>
      <c r="N8207">
        <v>13333.3</v>
      </c>
      <c r="O8207">
        <v>10000</v>
      </c>
      <c r="P8207">
        <v>30000</v>
      </c>
      <c r="Q8207" s="30">
        <v>4</v>
      </c>
      <c r="R8207">
        <v>3383.33</v>
      </c>
      <c r="S8207">
        <v>6666.7</v>
      </c>
      <c r="T8207">
        <v>300</v>
      </c>
      <c r="U8207">
        <v>9000</v>
      </c>
      <c r="V8207" s="30">
        <v>6</v>
      </c>
      <c r="W8207">
        <v>2041.67</v>
      </c>
      <c r="X8207">
        <v>2000</v>
      </c>
      <c r="Y8207">
        <v>1000</v>
      </c>
      <c r="Z8207">
        <v>3000</v>
      </c>
      <c r="AA8207" s="30">
        <v>14</v>
      </c>
      <c r="AB8207">
        <v>4470.63</v>
      </c>
      <c r="AC8207">
        <v>4350</v>
      </c>
      <c r="AD8207">
        <v>1566.7</v>
      </c>
      <c r="AE8207">
        <v>10000</v>
      </c>
      <c r="AF8207" s="30">
        <v>58</v>
      </c>
      <c r="AG8207">
        <v>3534.69</v>
      </c>
      <c r="AH8207">
        <v>3250</v>
      </c>
      <c r="AI8207">
        <v>300</v>
      </c>
      <c r="AJ8207">
        <v>13900</v>
      </c>
      <c r="AK8207" s="30">
        <v>15</v>
      </c>
      <c r="AL8207">
        <v>550</v>
      </c>
      <c r="AM8207">
        <v>100</v>
      </c>
      <c r="AN8207">
        <v>100</v>
      </c>
      <c r="AO8207">
        <v>1000</v>
      </c>
      <c r="AP8207" s="30">
        <v>2</v>
      </c>
      <c r="AQ8207">
        <v>3444.44</v>
      </c>
      <c r="AR8207">
        <v>4500</v>
      </c>
      <c r="AS8207">
        <v>2500</v>
      </c>
      <c r="AT8207">
        <v>4500</v>
      </c>
      <c r="AU8207" s="30">
        <v>3</v>
      </c>
      <c r="BA8207">
        <v>3916.67</v>
      </c>
      <c r="BB8207">
        <v>3000</v>
      </c>
      <c r="BC8207">
        <v>1000</v>
      </c>
      <c r="BD8207">
        <v>7500</v>
      </c>
      <c r="BE8207" s="30">
        <v>12</v>
      </c>
      <c r="BP8207">
        <v>6617.5</v>
      </c>
      <c r="BQ8207">
        <v>270</v>
      </c>
      <c r="BR8207">
        <v>200</v>
      </c>
      <c r="BS8207">
        <v>20000</v>
      </c>
      <c r="BT8207" s="30">
        <v>4</v>
      </c>
      <c r="BU8207">
        <v>58</v>
      </c>
    </row>
    <row r="8208" spans="1:73" x14ac:dyDescent="0.35">
      <c r="A8208" t="s">
        <v>228</v>
      </c>
      <c r="B8208" t="s">
        <v>249</v>
      </c>
      <c r="C8208">
        <v>9933.4699999999993</v>
      </c>
      <c r="D8208">
        <v>7500</v>
      </c>
      <c r="E8208">
        <v>700</v>
      </c>
      <c r="F8208">
        <v>66666.7</v>
      </c>
      <c r="G8208" s="30">
        <v>166</v>
      </c>
      <c r="H8208">
        <v>4058.45</v>
      </c>
      <c r="I8208">
        <v>3750</v>
      </c>
      <c r="J8208">
        <v>500</v>
      </c>
      <c r="K8208">
        <v>20000</v>
      </c>
      <c r="L8208" s="30">
        <v>35</v>
      </c>
      <c r="M8208">
        <v>8224.64</v>
      </c>
      <c r="N8208">
        <v>6250</v>
      </c>
      <c r="O8208">
        <v>1250</v>
      </c>
      <c r="P8208">
        <v>23333.3</v>
      </c>
      <c r="Q8208" s="30">
        <v>14</v>
      </c>
      <c r="R8208">
        <v>4370.75</v>
      </c>
      <c r="S8208">
        <v>4500</v>
      </c>
      <c r="T8208">
        <v>2000</v>
      </c>
      <c r="U8208">
        <v>8333.2999999999993</v>
      </c>
      <c r="V8208" s="30">
        <v>8</v>
      </c>
      <c r="W8208">
        <v>1882.99</v>
      </c>
      <c r="X8208">
        <v>2000</v>
      </c>
      <c r="Y8208">
        <v>400</v>
      </c>
      <c r="Z8208">
        <v>4666.7</v>
      </c>
      <c r="AA8208" s="30">
        <v>38</v>
      </c>
      <c r="AB8208">
        <v>2340.96</v>
      </c>
      <c r="AC8208">
        <v>1666.7</v>
      </c>
      <c r="AD8208">
        <v>428.6</v>
      </c>
      <c r="AE8208">
        <v>13333.3</v>
      </c>
      <c r="AF8208" s="30">
        <v>69</v>
      </c>
      <c r="AG8208">
        <v>1116.5</v>
      </c>
      <c r="AH8208">
        <v>1000</v>
      </c>
      <c r="AI8208">
        <v>160</v>
      </c>
      <c r="AJ8208">
        <v>3500</v>
      </c>
      <c r="AK8208" s="30">
        <v>72</v>
      </c>
      <c r="AQ8208">
        <v>1175.8699999999999</v>
      </c>
      <c r="AR8208">
        <v>2333.3000000000002</v>
      </c>
      <c r="AS8208">
        <v>233.3</v>
      </c>
      <c r="AT8208">
        <v>5000</v>
      </c>
      <c r="AU8208" s="30">
        <v>7</v>
      </c>
      <c r="AV8208">
        <v>1141.8399999999999</v>
      </c>
      <c r="AW8208">
        <v>1600</v>
      </c>
      <c r="AX8208">
        <v>480</v>
      </c>
      <c r="AY8208">
        <v>1600</v>
      </c>
      <c r="AZ8208" s="30">
        <v>3</v>
      </c>
      <c r="BA8208">
        <v>2084</v>
      </c>
      <c r="BB8208">
        <v>1000</v>
      </c>
      <c r="BC8208">
        <v>100</v>
      </c>
      <c r="BD8208">
        <v>15000</v>
      </c>
      <c r="BE8208" s="30">
        <v>23</v>
      </c>
      <c r="BK8208">
        <v>2100.33</v>
      </c>
      <c r="BL8208">
        <v>666.7</v>
      </c>
      <c r="BM8208">
        <v>666.7</v>
      </c>
      <c r="BN8208">
        <v>21750</v>
      </c>
      <c r="BO8208" s="30">
        <v>2</v>
      </c>
      <c r="BP8208">
        <v>3009.2</v>
      </c>
      <c r="BQ8208">
        <v>1800</v>
      </c>
      <c r="BR8208">
        <v>566.70000000000005</v>
      </c>
      <c r="BS8208">
        <v>20000</v>
      </c>
      <c r="BT8208" s="30">
        <v>5</v>
      </c>
      <c r="BU8208">
        <v>166</v>
      </c>
    </row>
    <row r="8209" spans="1:73" x14ac:dyDescent="0.35">
      <c r="A8209" t="s">
        <v>228</v>
      </c>
      <c r="B8209" t="s">
        <v>248</v>
      </c>
      <c r="C8209">
        <v>14417.64</v>
      </c>
      <c r="D8209">
        <v>10000</v>
      </c>
      <c r="E8209">
        <v>666.7</v>
      </c>
      <c r="F8209">
        <v>80000</v>
      </c>
      <c r="G8209" s="30">
        <v>249</v>
      </c>
      <c r="H8209">
        <v>5851.46</v>
      </c>
      <c r="I8209">
        <v>4000</v>
      </c>
      <c r="J8209">
        <v>750</v>
      </c>
      <c r="K8209">
        <v>39000</v>
      </c>
      <c r="L8209" s="30">
        <v>50</v>
      </c>
      <c r="M8209">
        <v>17670.599999999999</v>
      </c>
      <c r="N8209">
        <v>6750</v>
      </c>
      <c r="O8209">
        <v>2000</v>
      </c>
      <c r="P8209">
        <v>70000</v>
      </c>
      <c r="Q8209" s="30">
        <v>22</v>
      </c>
      <c r="R8209">
        <v>2786.91</v>
      </c>
      <c r="S8209">
        <v>2500</v>
      </c>
      <c r="T8209">
        <v>450</v>
      </c>
      <c r="U8209">
        <v>30000</v>
      </c>
      <c r="V8209" s="30">
        <v>15</v>
      </c>
      <c r="W8209">
        <v>1826.07</v>
      </c>
      <c r="X8209">
        <v>2000</v>
      </c>
      <c r="Y8209">
        <v>400</v>
      </c>
      <c r="Z8209">
        <v>5000</v>
      </c>
      <c r="AA8209" s="30">
        <v>95</v>
      </c>
      <c r="AB8209">
        <v>4953.04</v>
      </c>
      <c r="AC8209">
        <v>4250</v>
      </c>
      <c r="AD8209">
        <v>600</v>
      </c>
      <c r="AE8209">
        <v>27000</v>
      </c>
      <c r="AF8209" s="30">
        <v>424</v>
      </c>
      <c r="AG8209">
        <v>2465.19</v>
      </c>
      <c r="AH8209">
        <v>1650</v>
      </c>
      <c r="AI8209">
        <v>400</v>
      </c>
      <c r="AJ8209">
        <v>9850</v>
      </c>
      <c r="AK8209" s="30">
        <v>69</v>
      </c>
      <c r="AL8209">
        <v>4816.13</v>
      </c>
      <c r="AM8209">
        <v>1900</v>
      </c>
      <c r="AN8209">
        <v>333.3</v>
      </c>
      <c r="AO8209">
        <v>18000</v>
      </c>
      <c r="AP8209" s="30">
        <v>11</v>
      </c>
      <c r="AQ8209">
        <v>7184.66</v>
      </c>
      <c r="AR8209">
        <v>2500</v>
      </c>
      <c r="AS8209">
        <v>1000</v>
      </c>
      <c r="AT8209">
        <v>30000</v>
      </c>
      <c r="AU8209" s="30">
        <v>29</v>
      </c>
      <c r="AV8209">
        <v>994.23</v>
      </c>
      <c r="AW8209">
        <v>1000</v>
      </c>
      <c r="AX8209">
        <v>400</v>
      </c>
      <c r="AY8209">
        <v>1300</v>
      </c>
      <c r="AZ8209" s="30">
        <v>21</v>
      </c>
      <c r="BA8209">
        <v>5176.1000000000004</v>
      </c>
      <c r="BB8209">
        <v>2500</v>
      </c>
      <c r="BC8209">
        <v>200</v>
      </c>
      <c r="BD8209">
        <v>26000</v>
      </c>
      <c r="BE8209" s="30">
        <v>41</v>
      </c>
      <c r="BF8209">
        <v>1000</v>
      </c>
      <c r="BG8209">
        <v>1000</v>
      </c>
      <c r="BH8209">
        <v>1000</v>
      </c>
      <c r="BI8209">
        <v>1000</v>
      </c>
      <c r="BJ8209" s="30">
        <v>1</v>
      </c>
      <c r="BK8209">
        <v>564.6</v>
      </c>
      <c r="BL8209">
        <v>500</v>
      </c>
      <c r="BM8209">
        <v>500</v>
      </c>
      <c r="BN8209">
        <v>1450</v>
      </c>
      <c r="BO8209" s="30">
        <v>2</v>
      </c>
      <c r="BP8209">
        <v>6087.86</v>
      </c>
      <c r="BQ8209">
        <v>5000</v>
      </c>
      <c r="BR8209">
        <v>100</v>
      </c>
      <c r="BS8209">
        <v>25300</v>
      </c>
      <c r="BT8209" s="30">
        <v>19</v>
      </c>
      <c r="BU8209">
        <v>424</v>
      </c>
    </row>
    <row r="8210" spans="1:73" x14ac:dyDescent="0.35">
      <c r="A8210" t="s">
        <v>229</v>
      </c>
      <c r="B8210" t="s">
        <v>249</v>
      </c>
      <c r="C8210">
        <v>12459.9</v>
      </c>
      <c r="D8210">
        <v>10000</v>
      </c>
      <c r="E8210">
        <v>500</v>
      </c>
      <c r="F8210">
        <v>150000</v>
      </c>
      <c r="G8210" s="30">
        <v>156</v>
      </c>
      <c r="H8210">
        <v>8340.6200000000008</v>
      </c>
      <c r="I8210">
        <v>3666.7</v>
      </c>
      <c r="J8210">
        <v>16.7</v>
      </c>
      <c r="K8210">
        <v>66666.7</v>
      </c>
      <c r="L8210" s="30">
        <v>27</v>
      </c>
      <c r="M8210">
        <v>11584.5</v>
      </c>
      <c r="N8210">
        <v>10000</v>
      </c>
      <c r="O8210">
        <v>750</v>
      </c>
      <c r="P8210">
        <v>33333.300000000003</v>
      </c>
      <c r="Q8210" s="30">
        <v>15</v>
      </c>
      <c r="R8210">
        <v>2190.66</v>
      </c>
      <c r="S8210">
        <v>500</v>
      </c>
      <c r="T8210">
        <v>100</v>
      </c>
      <c r="U8210">
        <v>16666.7</v>
      </c>
      <c r="V8210" s="30">
        <v>11</v>
      </c>
      <c r="W8210">
        <v>1878.24</v>
      </c>
      <c r="X8210">
        <v>2333.3000000000002</v>
      </c>
      <c r="Y8210">
        <v>500</v>
      </c>
      <c r="Z8210">
        <v>2666.7</v>
      </c>
      <c r="AA8210" s="30">
        <v>13</v>
      </c>
      <c r="AB8210">
        <v>1893.81</v>
      </c>
      <c r="AC8210">
        <v>1333.3</v>
      </c>
      <c r="AD8210">
        <v>460</v>
      </c>
      <c r="AE8210">
        <v>7870</v>
      </c>
      <c r="AF8210" s="30">
        <v>38</v>
      </c>
      <c r="AG8210">
        <v>1866.97</v>
      </c>
      <c r="AH8210">
        <v>1016.7</v>
      </c>
      <c r="AI8210">
        <v>172</v>
      </c>
      <c r="AJ8210">
        <v>20000</v>
      </c>
      <c r="AK8210" s="30">
        <v>54</v>
      </c>
      <c r="AL8210">
        <v>5798.94</v>
      </c>
      <c r="AM8210">
        <v>10000</v>
      </c>
      <c r="AN8210">
        <v>3750</v>
      </c>
      <c r="AO8210">
        <v>10000</v>
      </c>
      <c r="AP8210" s="30">
        <v>3</v>
      </c>
      <c r="AQ8210">
        <v>2520.77</v>
      </c>
      <c r="AR8210">
        <v>3333.3</v>
      </c>
      <c r="AS8210">
        <v>833.3</v>
      </c>
      <c r="AT8210">
        <v>5000</v>
      </c>
      <c r="AU8210" s="30">
        <v>8</v>
      </c>
      <c r="BA8210">
        <v>3771.54</v>
      </c>
      <c r="BB8210">
        <v>3500</v>
      </c>
      <c r="BC8210">
        <v>75</v>
      </c>
      <c r="BD8210">
        <v>7500</v>
      </c>
      <c r="BE8210" s="30">
        <v>21</v>
      </c>
      <c r="BF8210">
        <v>2184.35</v>
      </c>
      <c r="BG8210">
        <v>666.7</v>
      </c>
      <c r="BH8210">
        <v>666.7</v>
      </c>
      <c r="BI8210">
        <v>4000</v>
      </c>
      <c r="BJ8210" s="30">
        <v>2</v>
      </c>
      <c r="BP8210">
        <v>4500.7299999999996</v>
      </c>
      <c r="BQ8210">
        <v>5000</v>
      </c>
      <c r="BR8210">
        <v>125</v>
      </c>
      <c r="BS8210">
        <v>17500</v>
      </c>
      <c r="BT8210" s="30">
        <v>15</v>
      </c>
      <c r="BU8210">
        <v>156</v>
      </c>
    </row>
    <row r="8211" spans="1:73" x14ac:dyDescent="0.35">
      <c r="A8211" t="s">
        <v>229</v>
      </c>
      <c r="B8211" t="s">
        <v>248</v>
      </c>
      <c r="C8211">
        <v>17487.46</v>
      </c>
      <c r="D8211">
        <v>15000</v>
      </c>
      <c r="E8211">
        <v>1000</v>
      </c>
      <c r="F8211">
        <v>100000</v>
      </c>
      <c r="G8211" s="30">
        <v>296</v>
      </c>
      <c r="H8211">
        <v>9732.77</v>
      </c>
      <c r="I8211">
        <v>7500</v>
      </c>
      <c r="J8211">
        <v>1000</v>
      </c>
      <c r="K8211">
        <v>30000</v>
      </c>
      <c r="L8211" s="30">
        <v>43</v>
      </c>
      <c r="M8211">
        <v>11078.74</v>
      </c>
      <c r="N8211">
        <v>8333.2999999999993</v>
      </c>
      <c r="O8211">
        <v>750</v>
      </c>
      <c r="P8211">
        <v>30000</v>
      </c>
      <c r="Q8211" s="30">
        <v>22</v>
      </c>
      <c r="R8211">
        <v>2970.95</v>
      </c>
      <c r="S8211">
        <v>1333.3</v>
      </c>
      <c r="T8211">
        <v>100</v>
      </c>
      <c r="U8211">
        <v>35000</v>
      </c>
      <c r="V8211" s="30">
        <v>26</v>
      </c>
      <c r="W8211">
        <v>1893.28</v>
      </c>
      <c r="X8211">
        <v>2000</v>
      </c>
      <c r="Y8211">
        <v>666.7</v>
      </c>
      <c r="Z8211">
        <v>3150</v>
      </c>
      <c r="AA8211" s="30">
        <v>40</v>
      </c>
      <c r="AB8211">
        <v>5105.78</v>
      </c>
      <c r="AC8211">
        <v>4300</v>
      </c>
      <c r="AD8211">
        <v>766.7</v>
      </c>
      <c r="AE8211">
        <v>30000</v>
      </c>
      <c r="AF8211" s="30">
        <v>275</v>
      </c>
      <c r="AG8211">
        <v>2821.75</v>
      </c>
      <c r="AH8211">
        <v>1950</v>
      </c>
      <c r="AI8211">
        <v>150</v>
      </c>
      <c r="AJ8211">
        <v>18000</v>
      </c>
      <c r="AK8211" s="30">
        <v>68</v>
      </c>
      <c r="AL8211">
        <v>9629.4500000000007</v>
      </c>
      <c r="AM8211">
        <v>15000</v>
      </c>
      <c r="AN8211">
        <v>608</v>
      </c>
      <c r="AO8211">
        <v>15000</v>
      </c>
      <c r="AP8211" s="30">
        <v>4</v>
      </c>
      <c r="AQ8211">
        <v>6929.72</v>
      </c>
      <c r="AR8211">
        <v>4666.7</v>
      </c>
      <c r="AS8211">
        <v>1250</v>
      </c>
      <c r="AT8211">
        <v>20000</v>
      </c>
      <c r="AU8211" s="30">
        <v>17</v>
      </c>
      <c r="AV8211">
        <v>500</v>
      </c>
      <c r="AW8211">
        <v>500</v>
      </c>
      <c r="AX8211">
        <v>500</v>
      </c>
      <c r="AY8211">
        <v>500</v>
      </c>
      <c r="AZ8211" s="30">
        <v>2</v>
      </c>
      <c r="BA8211">
        <v>2721.58</v>
      </c>
      <c r="BB8211">
        <v>1000</v>
      </c>
      <c r="BC8211">
        <v>100</v>
      </c>
      <c r="BD8211">
        <v>20000</v>
      </c>
      <c r="BE8211" s="30">
        <v>36</v>
      </c>
      <c r="BK8211">
        <v>38165.269999999997</v>
      </c>
      <c r="BL8211">
        <v>75000</v>
      </c>
      <c r="BM8211">
        <v>3333.3</v>
      </c>
      <c r="BN8211">
        <v>75000</v>
      </c>
      <c r="BO8211" s="30">
        <v>3</v>
      </c>
      <c r="BP8211">
        <v>8688.24</v>
      </c>
      <c r="BQ8211">
        <v>10000</v>
      </c>
      <c r="BR8211">
        <v>185</v>
      </c>
      <c r="BS8211">
        <v>40000</v>
      </c>
      <c r="BT8211" s="30">
        <v>19</v>
      </c>
      <c r="BU8211">
        <v>296</v>
      </c>
    </row>
    <row r="8212" spans="1:73" x14ac:dyDescent="0.35">
      <c r="A8212" t="s">
        <v>230</v>
      </c>
      <c r="B8212" t="s">
        <v>249</v>
      </c>
      <c r="C8212">
        <v>7911.18</v>
      </c>
      <c r="D8212">
        <v>6666.7</v>
      </c>
      <c r="E8212">
        <v>333.3</v>
      </c>
      <c r="F8212">
        <v>67500</v>
      </c>
      <c r="G8212" s="30">
        <v>93</v>
      </c>
      <c r="H8212">
        <v>2635.75</v>
      </c>
      <c r="I8212">
        <v>2250</v>
      </c>
      <c r="J8212">
        <v>333.3</v>
      </c>
      <c r="K8212">
        <v>7500</v>
      </c>
      <c r="L8212" s="30">
        <v>25</v>
      </c>
      <c r="M8212">
        <v>25091.11</v>
      </c>
      <c r="N8212">
        <v>17500</v>
      </c>
      <c r="O8212">
        <v>666.7</v>
      </c>
      <c r="P8212">
        <v>125000</v>
      </c>
      <c r="Q8212" s="30">
        <v>11</v>
      </c>
      <c r="R8212">
        <v>3727.55</v>
      </c>
      <c r="S8212">
        <v>3000</v>
      </c>
      <c r="T8212">
        <v>600</v>
      </c>
      <c r="U8212">
        <v>6250</v>
      </c>
      <c r="V8212" s="30">
        <v>9</v>
      </c>
      <c r="W8212">
        <v>2261.96</v>
      </c>
      <c r="X8212">
        <v>2666.7</v>
      </c>
      <c r="Y8212">
        <v>833.3</v>
      </c>
      <c r="Z8212">
        <v>3000</v>
      </c>
      <c r="AA8212" s="30">
        <v>19</v>
      </c>
      <c r="AB8212">
        <v>1515.43</v>
      </c>
      <c r="AC8212">
        <v>1100</v>
      </c>
      <c r="AD8212">
        <v>575</v>
      </c>
      <c r="AE8212">
        <v>5000</v>
      </c>
      <c r="AF8212" s="30">
        <v>28</v>
      </c>
      <c r="AG8212">
        <v>1673.52</v>
      </c>
      <c r="AH8212">
        <v>1166.7</v>
      </c>
      <c r="AI8212">
        <v>172</v>
      </c>
      <c r="AJ8212">
        <v>7000</v>
      </c>
      <c r="AK8212" s="30">
        <v>46</v>
      </c>
      <c r="AL8212">
        <v>500</v>
      </c>
      <c r="AM8212">
        <v>500</v>
      </c>
      <c r="AN8212">
        <v>500</v>
      </c>
      <c r="AO8212">
        <v>500</v>
      </c>
      <c r="AP8212" s="30">
        <v>1</v>
      </c>
      <c r="AQ8212">
        <v>4525.7299999999996</v>
      </c>
      <c r="AR8212">
        <v>6266.7</v>
      </c>
      <c r="AS8212">
        <v>250</v>
      </c>
      <c r="AT8212">
        <v>13000</v>
      </c>
      <c r="AU8212" s="30">
        <v>6</v>
      </c>
      <c r="AV8212">
        <v>761.67</v>
      </c>
      <c r="AW8212">
        <v>480</v>
      </c>
      <c r="AX8212">
        <v>300</v>
      </c>
      <c r="AY8212">
        <v>1200</v>
      </c>
      <c r="AZ8212" s="30">
        <v>4</v>
      </c>
      <c r="BA8212">
        <v>2507.14</v>
      </c>
      <c r="BB8212">
        <v>2500</v>
      </c>
      <c r="BC8212">
        <v>333.3</v>
      </c>
      <c r="BD8212">
        <v>10000</v>
      </c>
      <c r="BE8212" s="30">
        <v>21</v>
      </c>
      <c r="BK8212">
        <v>5166.67</v>
      </c>
      <c r="BL8212">
        <v>5166.7</v>
      </c>
      <c r="BM8212">
        <v>5166.7</v>
      </c>
      <c r="BN8212">
        <v>5166.7</v>
      </c>
      <c r="BO8212" s="30">
        <v>1</v>
      </c>
      <c r="BP8212">
        <v>3935.09</v>
      </c>
      <c r="BQ8212">
        <v>6000</v>
      </c>
      <c r="BR8212">
        <v>400</v>
      </c>
      <c r="BS8212">
        <v>6000</v>
      </c>
      <c r="BT8212" s="30">
        <v>3</v>
      </c>
      <c r="BU8212">
        <v>93</v>
      </c>
    </row>
    <row r="8213" spans="1:73" x14ac:dyDescent="0.35">
      <c r="A8213" t="s">
        <v>230</v>
      </c>
      <c r="B8213" t="s">
        <v>248</v>
      </c>
      <c r="C8213">
        <v>14292.86</v>
      </c>
      <c r="D8213">
        <v>11666.7</v>
      </c>
      <c r="E8213">
        <v>1050</v>
      </c>
      <c r="F8213">
        <v>75000</v>
      </c>
      <c r="G8213" s="30">
        <v>150</v>
      </c>
      <c r="H8213">
        <v>6637.97</v>
      </c>
      <c r="I8213">
        <v>6500</v>
      </c>
      <c r="J8213">
        <v>200</v>
      </c>
      <c r="K8213">
        <v>21000</v>
      </c>
      <c r="L8213" s="30">
        <v>34</v>
      </c>
      <c r="M8213">
        <v>34764.050000000003</v>
      </c>
      <c r="N8213">
        <v>15000</v>
      </c>
      <c r="O8213">
        <v>1666.7</v>
      </c>
      <c r="P8213">
        <v>150000</v>
      </c>
      <c r="Q8213" s="30">
        <v>11</v>
      </c>
      <c r="R8213">
        <v>2307.38</v>
      </c>
      <c r="S8213">
        <v>2000</v>
      </c>
      <c r="T8213">
        <v>666.7</v>
      </c>
      <c r="U8213">
        <v>8000</v>
      </c>
      <c r="V8213" s="30">
        <v>12</v>
      </c>
      <c r="W8213">
        <v>1642.99</v>
      </c>
      <c r="X8213">
        <v>2000</v>
      </c>
      <c r="Y8213">
        <v>666.7</v>
      </c>
      <c r="Z8213">
        <v>3000</v>
      </c>
      <c r="AA8213" s="30">
        <v>28</v>
      </c>
      <c r="AB8213">
        <v>4380.95</v>
      </c>
      <c r="AC8213">
        <v>3800</v>
      </c>
      <c r="AD8213">
        <v>900</v>
      </c>
      <c r="AE8213">
        <v>18000</v>
      </c>
      <c r="AF8213" s="30">
        <v>213</v>
      </c>
      <c r="AG8213">
        <v>2452.5100000000002</v>
      </c>
      <c r="AH8213">
        <v>2100</v>
      </c>
      <c r="AI8213">
        <v>300</v>
      </c>
      <c r="AJ8213">
        <v>10000</v>
      </c>
      <c r="AK8213" s="30">
        <v>40</v>
      </c>
      <c r="AL8213">
        <v>12052.06</v>
      </c>
      <c r="AM8213">
        <v>15000</v>
      </c>
      <c r="AN8213">
        <v>1000</v>
      </c>
      <c r="AO8213">
        <v>25000</v>
      </c>
      <c r="AP8213" s="30">
        <v>9</v>
      </c>
      <c r="AQ8213">
        <v>7328.15</v>
      </c>
      <c r="AR8213">
        <v>4000</v>
      </c>
      <c r="AS8213">
        <v>1000</v>
      </c>
      <c r="AT8213">
        <v>20000</v>
      </c>
      <c r="AU8213" s="30">
        <v>17</v>
      </c>
      <c r="AV8213">
        <v>1764.67</v>
      </c>
      <c r="AW8213">
        <v>1500</v>
      </c>
      <c r="AX8213">
        <v>241.7</v>
      </c>
      <c r="AY8213">
        <v>3300</v>
      </c>
      <c r="AZ8213" s="30">
        <v>22</v>
      </c>
      <c r="BA8213">
        <v>3592.75</v>
      </c>
      <c r="BB8213">
        <v>3000</v>
      </c>
      <c r="BC8213">
        <v>500</v>
      </c>
      <c r="BD8213">
        <v>20000</v>
      </c>
      <c r="BE8213" s="30">
        <v>32</v>
      </c>
      <c r="BK8213">
        <v>6069.16</v>
      </c>
      <c r="BL8213">
        <v>10000</v>
      </c>
      <c r="BM8213">
        <v>1000</v>
      </c>
      <c r="BN8213">
        <v>10000</v>
      </c>
      <c r="BO8213" s="30">
        <v>4</v>
      </c>
      <c r="BP8213">
        <v>2127.33</v>
      </c>
      <c r="BQ8213">
        <v>1200</v>
      </c>
      <c r="BR8213">
        <v>500</v>
      </c>
      <c r="BS8213">
        <v>5500</v>
      </c>
      <c r="BT8213" s="30">
        <v>13</v>
      </c>
      <c r="BU8213">
        <v>213</v>
      </c>
    </row>
    <row r="8214" spans="1:73" x14ac:dyDescent="0.35">
      <c r="A8214" s="27" t="s">
        <v>231</v>
      </c>
      <c r="B8214" s="27" t="s">
        <v>249</v>
      </c>
      <c r="C8214" s="29">
        <v>8245.08</v>
      </c>
      <c r="D8214" s="29">
        <v>7500</v>
      </c>
      <c r="E8214" s="29">
        <v>1250</v>
      </c>
      <c r="F8214" s="29">
        <v>35000</v>
      </c>
      <c r="G8214" s="29">
        <v>22</v>
      </c>
      <c r="H8214" s="29">
        <v>1550</v>
      </c>
      <c r="I8214" s="29">
        <v>1600</v>
      </c>
      <c r="J8214" s="29">
        <v>300</v>
      </c>
      <c r="K8214" s="29">
        <v>3750</v>
      </c>
      <c r="L8214" s="29">
        <v>5</v>
      </c>
      <c r="M8214" s="29">
        <v>20000</v>
      </c>
      <c r="N8214" s="29">
        <v>20000</v>
      </c>
      <c r="O8214" s="29">
        <v>20000</v>
      </c>
      <c r="P8214" s="29">
        <v>20000</v>
      </c>
      <c r="Q8214" s="29">
        <v>1</v>
      </c>
      <c r="R8214" s="29"/>
      <c r="S8214" s="29"/>
      <c r="T8214" s="29"/>
      <c r="U8214" s="29"/>
      <c r="V8214" s="29"/>
      <c r="W8214" s="29">
        <v>1966.67</v>
      </c>
      <c r="X8214" s="29">
        <v>2200</v>
      </c>
      <c r="Y8214" s="29">
        <v>666.7</v>
      </c>
      <c r="Z8214" s="29">
        <v>2500</v>
      </c>
      <c r="AA8214" s="29">
        <v>4</v>
      </c>
      <c r="AB8214" s="29">
        <v>1531.67</v>
      </c>
      <c r="AC8214" s="29">
        <v>1333.3</v>
      </c>
      <c r="AD8214" s="29">
        <v>750</v>
      </c>
      <c r="AE8214" s="29">
        <v>3250</v>
      </c>
      <c r="AF8214" s="29">
        <v>10</v>
      </c>
      <c r="AG8214" s="29">
        <v>523.15</v>
      </c>
      <c r="AH8214" s="29">
        <v>420</v>
      </c>
      <c r="AI8214" s="29">
        <v>106.7</v>
      </c>
      <c r="AJ8214" s="29">
        <v>1400</v>
      </c>
      <c r="AK8214" s="29">
        <v>9</v>
      </c>
      <c r="AL8214" s="29"/>
      <c r="AM8214" s="29"/>
      <c r="AN8214" s="29"/>
      <c r="AO8214" s="29"/>
      <c r="AP8214" s="29"/>
      <c r="AQ8214" s="29">
        <v>2333.33</v>
      </c>
      <c r="AR8214" s="29">
        <v>666.7</v>
      </c>
      <c r="AS8214" s="29">
        <v>666.7</v>
      </c>
      <c r="AT8214" s="29">
        <v>4000</v>
      </c>
      <c r="AU8214" s="29">
        <v>2</v>
      </c>
      <c r="AV8214" s="29"/>
      <c r="AW8214" s="29"/>
      <c r="AX8214" s="29"/>
      <c r="AY8214" s="29"/>
      <c r="AZ8214" s="29"/>
      <c r="BA8214" s="29">
        <v>2173.33</v>
      </c>
      <c r="BB8214" s="29">
        <v>2500</v>
      </c>
      <c r="BC8214" s="29">
        <v>200</v>
      </c>
      <c r="BD8214" s="29">
        <v>4000</v>
      </c>
      <c r="BE8214" s="29">
        <v>5</v>
      </c>
      <c r="BF8214" s="29"/>
      <c r="BG8214" s="29"/>
      <c r="BH8214" s="29"/>
      <c r="BI8214" s="29"/>
      <c r="BJ8214" s="29"/>
      <c r="BK8214" s="29"/>
      <c r="BL8214" s="29"/>
      <c r="BM8214" s="29"/>
      <c r="BN8214" s="29"/>
      <c r="BO8214" s="29"/>
      <c r="BP8214" s="29">
        <v>8816.67</v>
      </c>
      <c r="BQ8214" s="29">
        <v>133.30000000000001</v>
      </c>
      <c r="BR8214" s="29">
        <v>133.30000000000001</v>
      </c>
      <c r="BS8214" s="29">
        <v>17500</v>
      </c>
      <c r="BT8214" s="29">
        <v>2</v>
      </c>
      <c r="BU8214" s="29">
        <v>22</v>
      </c>
    </row>
    <row r="8215" spans="1:73" x14ac:dyDescent="0.35">
      <c r="A8215" t="s">
        <v>231</v>
      </c>
      <c r="B8215" t="s">
        <v>248</v>
      </c>
      <c r="C8215">
        <v>13617.58</v>
      </c>
      <c r="D8215">
        <v>10000</v>
      </c>
      <c r="E8215">
        <v>1466.7</v>
      </c>
      <c r="F8215">
        <v>40000</v>
      </c>
      <c r="G8215" s="30">
        <v>55</v>
      </c>
      <c r="H8215">
        <v>9926.67</v>
      </c>
      <c r="I8215">
        <v>3333.3</v>
      </c>
      <c r="J8215">
        <v>300</v>
      </c>
      <c r="K8215">
        <v>40000</v>
      </c>
      <c r="L8215" s="30">
        <v>5</v>
      </c>
      <c r="M8215">
        <v>22185.19</v>
      </c>
      <c r="N8215">
        <v>12666.7</v>
      </c>
      <c r="O8215">
        <v>250</v>
      </c>
      <c r="P8215">
        <v>93000</v>
      </c>
      <c r="Q8215" s="30">
        <v>9</v>
      </c>
      <c r="R8215">
        <v>1716.67</v>
      </c>
      <c r="S8215">
        <v>3000</v>
      </c>
      <c r="T8215">
        <v>500</v>
      </c>
      <c r="U8215">
        <v>3000</v>
      </c>
      <c r="V8215" s="30">
        <v>5</v>
      </c>
      <c r="W8215">
        <v>1937.5</v>
      </c>
      <c r="X8215">
        <v>2000</v>
      </c>
      <c r="Y8215">
        <v>1000</v>
      </c>
      <c r="Z8215">
        <v>3000</v>
      </c>
      <c r="AA8215" s="30">
        <v>8</v>
      </c>
      <c r="AB8215">
        <v>4387.2</v>
      </c>
      <c r="AC8215">
        <v>4200</v>
      </c>
      <c r="AD8215">
        <v>500</v>
      </c>
      <c r="AE8215">
        <v>13200</v>
      </c>
      <c r="AF8215" s="30">
        <v>69</v>
      </c>
      <c r="AG8215">
        <v>2541.5100000000002</v>
      </c>
      <c r="AH8215">
        <v>1666.7</v>
      </c>
      <c r="AI8215">
        <v>300</v>
      </c>
      <c r="AJ8215">
        <v>10000</v>
      </c>
      <c r="AK8215" s="30">
        <v>19</v>
      </c>
      <c r="AL8215">
        <v>4500</v>
      </c>
      <c r="AM8215">
        <v>1000</v>
      </c>
      <c r="AN8215">
        <v>1000</v>
      </c>
      <c r="AO8215">
        <v>8000</v>
      </c>
      <c r="AP8215" s="30">
        <v>2</v>
      </c>
      <c r="AQ8215">
        <v>7000</v>
      </c>
      <c r="AR8215">
        <v>4000</v>
      </c>
      <c r="AS8215">
        <v>4000</v>
      </c>
      <c r="AT8215">
        <v>10000</v>
      </c>
      <c r="AU8215" s="30">
        <v>2</v>
      </c>
      <c r="BA8215">
        <v>7375</v>
      </c>
      <c r="BB8215">
        <v>5000</v>
      </c>
      <c r="BC8215">
        <v>1000</v>
      </c>
      <c r="BD8215">
        <v>22750</v>
      </c>
      <c r="BE8215" s="30">
        <v>10</v>
      </c>
      <c r="BK8215">
        <v>500</v>
      </c>
      <c r="BL8215">
        <v>500</v>
      </c>
      <c r="BM8215">
        <v>500</v>
      </c>
      <c r="BN8215">
        <v>500</v>
      </c>
      <c r="BO8215" s="30">
        <v>2</v>
      </c>
      <c r="BP8215">
        <v>3200</v>
      </c>
      <c r="BQ8215">
        <v>2500</v>
      </c>
      <c r="BR8215">
        <v>2300</v>
      </c>
      <c r="BS8215">
        <v>5000</v>
      </c>
      <c r="BT8215" s="30">
        <v>4</v>
      </c>
      <c r="BU8215">
        <v>69</v>
      </c>
    </row>
    <row r="8216" spans="1:73" x14ac:dyDescent="0.35">
      <c r="A8216" t="s">
        <v>232</v>
      </c>
      <c r="B8216" t="s">
        <v>232</v>
      </c>
      <c r="C8216">
        <v>12841.11</v>
      </c>
      <c r="D8216">
        <v>10000</v>
      </c>
      <c r="E8216">
        <v>333.3</v>
      </c>
      <c r="F8216">
        <v>150000</v>
      </c>
      <c r="G8216" s="30">
        <v>1271</v>
      </c>
      <c r="H8216">
        <v>6272.64</v>
      </c>
      <c r="I8216">
        <v>3333.3</v>
      </c>
      <c r="J8216">
        <v>16.7</v>
      </c>
      <c r="K8216">
        <v>66666.7</v>
      </c>
      <c r="L8216" s="30">
        <v>241</v>
      </c>
      <c r="M8216">
        <v>17578.79</v>
      </c>
      <c r="N8216">
        <v>10000</v>
      </c>
      <c r="O8216">
        <v>250</v>
      </c>
      <c r="P8216">
        <v>150000</v>
      </c>
      <c r="Q8216" s="30">
        <v>109</v>
      </c>
      <c r="R8216">
        <v>2698.25</v>
      </c>
      <c r="S8216">
        <v>1750</v>
      </c>
      <c r="T8216">
        <v>100</v>
      </c>
      <c r="U8216">
        <v>35000</v>
      </c>
      <c r="V8216" s="30">
        <v>92</v>
      </c>
      <c r="W8216">
        <v>1917.18</v>
      </c>
      <c r="X8216">
        <v>2000</v>
      </c>
      <c r="Y8216">
        <v>400</v>
      </c>
      <c r="Z8216">
        <v>5000</v>
      </c>
      <c r="AA8216" s="30">
        <v>264</v>
      </c>
      <c r="AB8216">
        <v>4296.82</v>
      </c>
      <c r="AC8216">
        <v>4000</v>
      </c>
      <c r="AD8216">
        <v>428.6</v>
      </c>
      <c r="AE8216">
        <v>30000</v>
      </c>
      <c r="AF8216" s="30">
        <v>1194</v>
      </c>
      <c r="AG8216">
        <v>2115.1799999999998</v>
      </c>
      <c r="AH8216">
        <v>1400</v>
      </c>
      <c r="AI8216">
        <v>106.7</v>
      </c>
      <c r="AJ8216">
        <v>20000</v>
      </c>
      <c r="AK8216" s="30">
        <v>404</v>
      </c>
      <c r="AL8216">
        <v>5888.89</v>
      </c>
      <c r="AM8216">
        <v>4000</v>
      </c>
      <c r="AN8216">
        <v>100</v>
      </c>
      <c r="AO8216">
        <v>25000</v>
      </c>
      <c r="AP8216" s="30">
        <v>32</v>
      </c>
      <c r="AQ8216">
        <v>5244.2</v>
      </c>
      <c r="AR8216">
        <v>3333.3</v>
      </c>
      <c r="AS8216">
        <v>233.3</v>
      </c>
      <c r="AT8216">
        <v>30000</v>
      </c>
      <c r="AU8216" s="30">
        <v>92</v>
      </c>
      <c r="AV8216">
        <v>1217.7</v>
      </c>
      <c r="AW8216">
        <v>1200</v>
      </c>
      <c r="AX8216">
        <v>241.7</v>
      </c>
      <c r="AY8216">
        <v>3300</v>
      </c>
      <c r="AZ8216" s="30">
        <v>52</v>
      </c>
      <c r="BA8216">
        <v>4143.3599999999997</v>
      </c>
      <c r="BB8216">
        <v>2500</v>
      </c>
      <c r="BC8216">
        <v>75</v>
      </c>
      <c r="BD8216">
        <v>26000</v>
      </c>
      <c r="BE8216" s="30">
        <v>206</v>
      </c>
      <c r="BF8216">
        <v>2109.21</v>
      </c>
      <c r="BG8216">
        <v>1000</v>
      </c>
      <c r="BH8216">
        <v>666.7</v>
      </c>
      <c r="BI8216">
        <v>4000</v>
      </c>
      <c r="BJ8216" s="30">
        <v>3</v>
      </c>
      <c r="BK8216">
        <v>9971.93</v>
      </c>
      <c r="BL8216">
        <v>666.7</v>
      </c>
      <c r="BM8216">
        <v>500</v>
      </c>
      <c r="BN8216">
        <v>75000</v>
      </c>
      <c r="BO8216" s="30">
        <v>14</v>
      </c>
      <c r="BP8216">
        <v>5190.95</v>
      </c>
      <c r="BQ8216">
        <v>3000</v>
      </c>
      <c r="BR8216">
        <v>100</v>
      </c>
      <c r="BS8216">
        <v>40000</v>
      </c>
      <c r="BT8216" s="30">
        <v>87</v>
      </c>
      <c r="BU8216">
        <v>1271</v>
      </c>
    </row>
    <row r="8218" spans="1:73" x14ac:dyDescent="0.35">
      <c r="A8218" s="1" t="s">
        <v>1181</v>
      </c>
    </row>
    <row r="8219" spans="1:73" x14ac:dyDescent="0.35">
      <c r="A8219" t="s">
        <v>219</v>
      </c>
      <c r="B8219" t="s">
        <v>305</v>
      </c>
      <c r="C8219" t="s">
        <v>1105</v>
      </c>
      <c r="D8219" t="s">
        <v>1106</v>
      </c>
      <c r="E8219" t="s">
        <v>1107</v>
      </c>
      <c r="F8219" t="s">
        <v>1108</v>
      </c>
      <c r="G8219" t="s">
        <v>1109</v>
      </c>
      <c r="H8219" t="s">
        <v>1110</v>
      </c>
      <c r="I8219" t="s">
        <v>1111</v>
      </c>
      <c r="J8219" t="s">
        <v>1112</v>
      </c>
      <c r="K8219" t="s">
        <v>1113</v>
      </c>
      <c r="L8219" t="s">
        <v>1114</v>
      </c>
      <c r="M8219" t="s">
        <v>1115</v>
      </c>
      <c r="N8219" t="s">
        <v>1116</v>
      </c>
      <c r="O8219" t="s">
        <v>1117</v>
      </c>
      <c r="P8219" t="s">
        <v>1118</v>
      </c>
      <c r="Q8219" t="s">
        <v>1119</v>
      </c>
      <c r="R8219" t="s">
        <v>1120</v>
      </c>
      <c r="S8219" t="s">
        <v>1121</v>
      </c>
      <c r="T8219" t="s">
        <v>1122</v>
      </c>
      <c r="U8219" t="s">
        <v>1123</v>
      </c>
      <c r="V8219" t="s">
        <v>1124</v>
      </c>
      <c r="W8219" t="s">
        <v>1125</v>
      </c>
      <c r="X8219" t="s">
        <v>1126</v>
      </c>
      <c r="Y8219" t="s">
        <v>1127</v>
      </c>
      <c r="Z8219" t="s">
        <v>1128</v>
      </c>
      <c r="AA8219" t="s">
        <v>1129</v>
      </c>
      <c r="AB8219" t="s">
        <v>1130</v>
      </c>
      <c r="AC8219" t="s">
        <v>1131</v>
      </c>
      <c r="AD8219" t="s">
        <v>1132</v>
      </c>
      <c r="AE8219" t="s">
        <v>1133</v>
      </c>
      <c r="AF8219" t="s">
        <v>1134</v>
      </c>
      <c r="AG8219" t="s">
        <v>1135</v>
      </c>
      <c r="AH8219" t="s">
        <v>1136</v>
      </c>
      <c r="AI8219" t="s">
        <v>1137</v>
      </c>
      <c r="AJ8219" t="s">
        <v>1138</v>
      </c>
      <c r="AK8219" t="s">
        <v>1139</v>
      </c>
      <c r="AL8219" t="s">
        <v>1140</v>
      </c>
      <c r="AM8219" t="s">
        <v>1141</v>
      </c>
      <c r="AN8219" t="s">
        <v>1142</v>
      </c>
      <c r="AO8219" t="s">
        <v>1143</v>
      </c>
      <c r="AP8219" t="s">
        <v>1144</v>
      </c>
      <c r="AQ8219" t="s">
        <v>1145</v>
      </c>
      <c r="AR8219" t="s">
        <v>1146</v>
      </c>
      <c r="AS8219" t="s">
        <v>1147</v>
      </c>
      <c r="AT8219" t="s">
        <v>1148</v>
      </c>
      <c r="AU8219" t="s">
        <v>1149</v>
      </c>
      <c r="AV8219" t="s">
        <v>1150</v>
      </c>
      <c r="AW8219" t="s">
        <v>1151</v>
      </c>
      <c r="AX8219" t="s">
        <v>1152</v>
      </c>
      <c r="AY8219" t="s">
        <v>1153</v>
      </c>
      <c r="AZ8219" t="s">
        <v>1154</v>
      </c>
      <c r="BA8219" t="s">
        <v>1155</v>
      </c>
      <c r="BB8219" t="s">
        <v>1156</v>
      </c>
      <c r="BC8219" t="s">
        <v>1157</v>
      </c>
      <c r="BD8219" t="s">
        <v>1158</v>
      </c>
      <c r="BE8219" t="s">
        <v>1159</v>
      </c>
      <c r="BF8219" t="s">
        <v>1160</v>
      </c>
      <c r="BG8219" t="s">
        <v>1161</v>
      </c>
      <c r="BH8219" t="s">
        <v>1162</v>
      </c>
      <c r="BI8219" t="s">
        <v>1163</v>
      </c>
      <c r="BJ8219" t="s">
        <v>1164</v>
      </c>
      <c r="BK8219" t="s">
        <v>1165</v>
      </c>
      <c r="BL8219" t="s">
        <v>1166</v>
      </c>
      <c r="BM8219" t="s">
        <v>1167</v>
      </c>
      <c r="BN8219" t="s">
        <v>1168</v>
      </c>
      <c r="BO8219" t="s">
        <v>1169</v>
      </c>
      <c r="BP8219" t="s">
        <v>1170</v>
      </c>
      <c r="BQ8219" t="s">
        <v>1171</v>
      </c>
      <c r="BR8219" t="s">
        <v>1172</v>
      </c>
      <c r="BS8219" t="s">
        <v>1173</v>
      </c>
      <c r="BT8219" t="s">
        <v>1174</v>
      </c>
      <c r="BU8219" t="s">
        <v>964</v>
      </c>
    </row>
    <row r="8220" spans="1:73" x14ac:dyDescent="0.35">
      <c r="A8220" s="27" t="s">
        <v>227</v>
      </c>
      <c r="B8220" s="27" t="s">
        <v>263</v>
      </c>
      <c r="C8220" s="29">
        <v>12500</v>
      </c>
      <c r="D8220" s="29">
        <v>10000</v>
      </c>
      <c r="E8220" s="29">
        <v>10000</v>
      </c>
      <c r="F8220" s="29">
        <v>15000</v>
      </c>
      <c r="G8220" s="29">
        <v>2</v>
      </c>
      <c r="H8220" s="29"/>
      <c r="I8220" s="29"/>
      <c r="J8220" s="29"/>
      <c r="K8220" s="29"/>
      <c r="L8220" s="29"/>
      <c r="M8220" s="29"/>
      <c r="N8220" s="29"/>
      <c r="O8220" s="29"/>
      <c r="P8220" s="29"/>
      <c r="Q8220" s="29"/>
      <c r="R8220" s="29"/>
      <c r="S8220" s="29"/>
      <c r="T8220" s="29"/>
      <c r="U8220" s="29"/>
      <c r="V8220" s="29"/>
      <c r="W8220" s="29"/>
      <c r="X8220" s="29"/>
      <c r="Y8220" s="29"/>
      <c r="Z8220" s="29"/>
      <c r="AA8220" s="29"/>
      <c r="AB8220" s="29">
        <v>8000</v>
      </c>
      <c r="AC8220" s="29">
        <v>8000</v>
      </c>
      <c r="AD8220" s="29">
        <v>8000</v>
      </c>
      <c r="AE8220" s="29">
        <v>8000</v>
      </c>
      <c r="AF8220" s="29">
        <v>1</v>
      </c>
      <c r="AG8220" s="29"/>
      <c r="AH8220" s="29"/>
      <c r="AI8220" s="29"/>
      <c r="AJ8220" s="29"/>
      <c r="AK8220" s="29"/>
      <c r="AL8220" s="29">
        <v>1000</v>
      </c>
      <c r="AM8220" s="29">
        <v>1000</v>
      </c>
      <c r="AN8220" s="29">
        <v>1000</v>
      </c>
      <c r="AO8220" s="29">
        <v>1000</v>
      </c>
      <c r="AP8220" s="29">
        <v>1</v>
      </c>
      <c r="AQ8220" s="29"/>
      <c r="AR8220" s="29"/>
      <c r="AS8220" s="29"/>
      <c r="AT8220" s="29"/>
      <c r="AU8220" s="29"/>
      <c r="AV8220" s="29"/>
      <c r="AW8220" s="29"/>
      <c r="AX8220" s="29"/>
      <c r="AY8220" s="29"/>
      <c r="AZ8220" s="29"/>
      <c r="BA8220" s="29">
        <v>1000</v>
      </c>
      <c r="BB8220" s="29">
        <v>1000</v>
      </c>
      <c r="BC8220" s="29">
        <v>1000</v>
      </c>
      <c r="BD8220" s="29">
        <v>1000</v>
      </c>
      <c r="BE8220" s="29">
        <v>1</v>
      </c>
      <c r="BF8220" s="29"/>
      <c r="BG8220" s="29"/>
      <c r="BH8220" s="29"/>
      <c r="BI8220" s="29"/>
      <c r="BJ8220" s="29"/>
      <c r="BK8220" s="29"/>
      <c r="BL8220" s="29"/>
      <c r="BM8220" s="29"/>
      <c r="BN8220" s="29"/>
      <c r="BO8220" s="29"/>
      <c r="BP8220" s="29">
        <v>20000</v>
      </c>
      <c r="BQ8220" s="29">
        <v>20000</v>
      </c>
      <c r="BR8220" s="29">
        <v>20000</v>
      </c>
      <c r="BS8220" s="29">
        <v>20000</v>
      </c>
      <c r="BT8220" s="29">
        <v>1</v>
      </c>
      <c r="BU8220" s="29">
        <v>2</v>
      </c>
    </row>
    <row r="8221" spans="1:73" x14ac:dyDescent="0.35">
      <c r="A8221" s="27" t="s">
        <v>227</v>
      </c>
      <c r="B8221" s="27" t="s">
        <v>262</v>
      </c>
      <c r="C8221" s="29">
        <v>9693.33</v>
      </c>
      <c r="D8221" s="29">
        <v>17000</v>
      </c>
      <c r="E8221" s="29">
        <v>4000</v>
      </c>
      <c r="F8221" s="29">
        <v>17000</v>
      </c>
      <c r="G8221" s="29">
        <v>3</v>
      </c>
      <c r="H8221" s="29"/>
      <c r="I8221" s="29"/>
      <c r="J8221" s="29"/>
      <c r="K8221" s="29"/>
      <c r="L8221" s="29"/>
      <c r="M8221" s="29"/>
      <c r="N8221" s="29"/>
      <c r="O8221" s="29"/>
      <c r="P8221" s="29"/>
      <c r="Q8221" s="29"/>
      <c r="R8221" s="29"/>
      <c r="S8221" s="29"/>
      <c r="T8221" s="29"/>
      <c r="U8221" s="29"/>
      <c r="V8221" s="29"/>
      <c r="W8221" s="29"/>
      <c r="X8221" s="29"/>
      <c r="Y8221" s="29"/>
      <c r="Z8221" s="29"/>
      <c r="AA8221" s="29"/>
      <c r="AB8221" s="29">
        <v>920</v>
      </c>
      <c r="AC8221" s="29">
        <v>920</v>
      </c>
      <c r="AD8221" s="29">
        <v>920</v>
      </c>
      <c r="AE8221" s="29">
        <v>920</v>
      </c>
      <c r="AF8221" s="29">
        <v>1</v>
      </c>
      <c r="AG8221" s="29"/>
      <c r="AH8221" s="29"/>
      <c r="AI8221" s="29"/>
      <c r="AJ8221" s="29"/>
      <c r="AK8221" s="29"/>
      <c r="AL8221" s="29"/>
      <c r="AM8221" s="29"/>
      <c r="AN8221" s="29"/>
      <c r="AO8221" s="29"/>
      <c r="AP8221" s="29"/>
      <c r="AQ8221" s="29"/>
      <c r="AR8221" s="29"/>
      <c r="AS8221" s="29"/>
      <c r="AT8221" s="29"/>
      <c r="AU8221" s="29"/>
      <c r="AV8221" s="29"/>
      <c r="AW8221" s="29"/>
      <c r="AX8221" s="29"/>
      <c r="AY8221" s="29"/>
      <c r="AZ8221" s="29"/>
      <c r="BA8221" s="29"/>
      <c r="BB8221" s="29"/>
      <c r="BC8221" s="29"/>
      <c r="BD8221" s="29"/>
      <c r="BE8221" s="29"/>
      <c r="BF8221" s="29"/>
      <c r="BG8221" s="29"/>
      <c r="BH8221" s="29"/>
      <c r="BI8221" s="29"/>
      <c r="BJ8221" s="29"/>
      <c r="BK8221" s="29"/>
      <c r="BL8221" s="29"/>
      <c r="BM8221" s="29"/>
      <c r="BN8221" s="29"/>
      <c r="BO8221" s="29"/>
      <c r="BP8221" s="29"/>
      <c r="BQ8221" s="29"/>
      <c r="BR8221" s="29"/>
      <c r="BS8221" s="29"/>
      <c r="BT8221" s="29"/>
      <c r="BU8221" s="29">
        <v>3</v>
      </c>
    </row>
    <row r="8222" spans="1:73" x14ac:dyDescent="0.35">
      <c r="A8222" s="27" t="s">
        <v>227</v>
      </c>
      <c r="B8222" s="27" t="s">
        <v>261</v>
      </c>
      <c r="C8222" s="29">
        <v>11081.61</v>
      </c>
      <c r="D8222" s="29">
        <v>7500</v>
      </c>
      <c r="E8222" s="29">
        <v>2000</v>
      </c>
      <c r="F8222" s="29">
        <v>37896</v>
      </c>
      <c r="G8222" s="29">
        <v>12</v>
      </c>
      <c r="H8222" s="29">
        <v>875</v>
      </c>
      <c r="I8222" s="29">
        <v>750</v>
      </c>
      <c r="J8222" s="29">
        <v>750</v>
      </c>
      <c r="K8222" s="29">
        <v>1000</v>
      </c>
      <c r="L8222" s="29">
        <v>2</v>
      </c>
      <c r="M8222" s="29">
        <v>30000</v>
      </c>
      <c r="N8222" s="29">
        <v>30000</v>
      </c>
      <c r="O8222" s="29">
        <v>30000</v>
      </c>
      <c r="P8222" s="29">
        <v>30000</v>
      </c>
      <c r="Q8222" s="29">
        <v>1</v>
      </c>
      <c r="R8222" s="29">
        <v>300</v>
      </c>
      <c r="S8222" s="29">
        <v>300</v>
      </c>
      <c r="T8222" s="29">
        <v>300</v>
      </c>
      <c r="U8222" s="29">
        <v>300</v>
      </c>
      <c r="V8222" s="29">
        <v>1</v>
      </c>
      <c r="W8222" s="29">
        <v>2001.75</v>
      </c>
      <c r="X8222" s="29">
        <v>2000</v>
      </c>
      <c r="Y8222" s="29">
        <v>1000</v>
      </c>
      <c r="Z8222" s="29">
        <v>3000</v>
      </c>
      <c r="AA8222" s="29">
        <v>19</v>
      </c>
      <c r="AB8222" s="29">
        <v>5119.3</v>
      </c>
      <c r="AC8222" s="29">
        <v>5000</v>
      </c>
      <c r="AD8222" s="29">
        <v>1600</v>
      </c>
      <c r="AE8222" s="29">
        <v>10000</v>
      </c>
      <c r="AF8222" s="29">
        <v>19</v>
      </c>
      <c r="AG8222" s="29">
        <v>2108.79</v>
      </c>
      <c r="AH8222" s="29">
        <v>1500</v>
      </c>
      <c r="AI8222" s="29">
        <v>787</v>
      </c>
      <c r="AJ8222" s="29">
        <v>3333.3</v>
      </c>
      <c r="AK8222" s="29">
        <v>8</v>
      </c>
      <c r="AL8222" s="29"/>
      <c r="AM8222" s="29"/>
      <c r="AN8222" s="29"/>
      <c r="AO8222" s="29"/>
      <c r="AP8222" s="29"/>
      <c r="AQ8222" s="29">
        <v>2500</v>
      </c>
      <c r="AR8222" s="29">
        <v>2500</v>
      </c>
      <c r="AS8222" s="29">
        <v>2500</v>
      </c>
      <c r="AT8222" s="29">
        <v>2500</v>
      </c>
      <c r="AU8222" s="29">
        <v>1</v>
      </c>
      <c r="AV8222" s="29"/>
      <c r="AW8222" s="29"/>
      <c r="AX8222" s="29"/>
      <c r="AY8222" s="29"/>
      <c r="AZ8222" s="29"/>
      <c r="BA8222" s="29">
        <v>3800</v>
      </c>
      <c r="BB8222" s="29">
        <v>4000</v>
      </c>
      <c r="BC8222" s="29">
        <v>1500</v>
      </c>
      <c r="BD8222" s="29">
        <v>7500</v>
      </c>
      <c r="BE8222" s="29">
        <v>5</v>
      </c>
      <c r="BF8222" s="29"/>
      <c r="BG8222" s="29"/>
      <c r="BH8222" s="29"/>
      <c r="BI8222" s="29"/>
      <c r="BJ8222" s="29"/>
      <c r="BK8222" s="29"/>
      <c r="BL8222" s="29"/>
      <c r="BM8222" s="29"/>
      <c r="BN8222" s="29"/>
      <c r="BO8222" s="29"/>
      <c r="BP8222" s="29"/>
      <c r="BQ8222" s="29"/>
      <c r="BR8222" s="29"/>
      <c r="BS8222" s="29"/>
      <c r="BT8222" s="29"/>
      <c r="BU8222" s="29">
        <v>19</v>
      </c>
    </row>
    <row r="8223" spans="1:73" x14ac:dyDescent="0.35">
      <c r="A8223" t="s">
        <v>227</v>
      </c>
      <c r="B8223" t="s">
        <v>260</v>
      </c>
      <c r="C8223">
        <v>10084.77</v>
      </c>
      <c r="D8223">
        <v>7500</v>
      </c>
      <c r="E8223">
        <v>500</v>
      </c>
      <c r="F8223">
        <v>60000</v>
      </c>
      <c r="G8223" s="30">
        <v>67</v>
      </c>
      <c r="H8223">
        <v>5541.11</v>
      </c>
      <c r="I8223">
        <v>5000</v>
      </c>
      <c r="J8223">
        <v>500</v>
      </c>
      <c r="K8223">
        <v>20000</v>
      </c>
      <c r="L8223" s="30">
        <v>15</v>
      </c>
      <c r="M8223">
        <v>12222.22</v>
      </c>
      <c r="N8223">
        <v>13333.3</v>
      </c>
      <c r="O8223">
        <v>10000</v>
      </c>
      <c r="P8223">
        <v>13333.3</v>
      </c>
      <c r="Q8223" s="30">
        <v>3</v>
      </c>
      <c r="R8223">
        <v>4000</v>
      </c>
      <c r="S8223">
        <v>6666.7</v>
      </c>
      <c r="T8223">
        <v>1000</v>
      </c>
      <c r="U8223">
        <v>9000</v>
      </c>
      <c r="V8223" s="30">
        <v>5</v>
      </c>
      <c r="AB8223">
        <v>3722.62</v>
      </c>
      <c r="AC8223">
        <v>4000</v>
      </c>
      <c r="AD8223">
        <v>625</v>
      </c>
      <c r="AE8223">
        <v>8000</v>
      </c>
      <c r="AF8223" s="30">
        <v>47</v>
      </c>
      <c r="AG8223">
        <v>2893.21</v>
      </c>
      <c r="AH8223">
        <v>2033.3</v>
      </c>
      <c r="AI8223">
        <v>215</v>
      </c>
      <c r="AJ8223">
        <v>13900</v>
      </c>
      <c r="AK8223" s="30">
        <v>19</v>
      </c>
      <c r="AL8223">
        <v>100</v>
      </c>
      <c r="AM8223">
        <v>100</v>
      </c>
      <c r="AN8223">
        <v>100</v>
      </c>
      <c r="AO8223">
        <v>100</v>
      </c>
      <c r="AP8223" s="30">
        <v>1</v>
      </c>
      <c r="AQ8223">
        <v>3444.44</v>
      </c>
      <c r="AR8223">
        <v>4500</v>
      </c>
      <c r="AS8223">
        <v>2500</v>
      </c>
      <c r="AT8223">
        <v>4500</v>
      </c>
      <c r="AU8223" s="30">
        <v>3</v>
      </c>
      <c r="BA8223">
        <v>3522.73</v>
      </c>
      <c r="BB8223">
        <v>2500</v>
      </c>
      <c r="BC8223">
        <v>1000</v>
      </c>
      <c r="BD8223">
        <v>7500</v>
      </c>
      <c r="BE8223" s="30">
        <v>11</v>
      </c>
      <c r="BP8223">
        <v>1856.11</v>
      </c>
      <c r="BQ8223">
        <v>1666.7</v>
      </c>
      <c r="BR8223">
        <v>200</v>
      </c>
      <c r="BS8223">
        <v>6000</v>
      </c>
      <c r="BT8223" s="30">
        <v>6</v>
      </c>
      <c r="BU8223">
        <v>67</v>
      </c>
    </row>
    <row r="8224" spans="1:73" x14ac:dyDescent="0.35">
      <c r="A8224" t="s">
        <v>228</v>
      </c>
      <c r="B8224" t="s">
        <v>262</v>
      </c>
      <c r="C8224">
        <v>14405.3</v>
      </c>
      <c r="D8224">
        <v>10000</v>
      </c>
      <c r="E8224">
        <v>1750</v>
      </c>
      <c r="F8224">
        <v>80000</v>
      </c>
      <c r="G8224" s="30">
        <v>97</v>
      </c>
      <c r="H8224">
        <v>4733.78</v>
      </c>
      <c r="I8224">
        <v>5000</v>
      </c>
      <c r="J8224">
        <v>833.3</v>
      </c>
      <c r="K8224">
        <v>10000</v>
      </c>
      <c r="L8224" s="30">
        <v>18</v>
      </c>
      <c r="M8224">
        <v>23398.5</v>
      </c>
      <c r="N8224">
        <v>30000</v>
      </c>
      <c r="O8224">
        <v>1250</v>
      </c>
      <c r="P8224">
        <v>70000</v>
      </c>
      <c r="Q8224" s="30">
        <v>12</v>
      </c>
      <c r="R8224">
        <v>3053.15</v>
      </c>
      <c r="S8224">
        <v>5000</v>
      </c>
      <c r="T8224">
        <v>875</v>
      </c>
      <c r="U8224">
        <v>6250</v>
      </c>
      <c r="V8224" s="30">
        <v>4</v>
      </c>
      <c r="W8224">
        <v>1968.28</v>
      </c>
      <c r="X8224">
        <v>2000</v>
      </c>
      <c r="Y8224">
        <v>400</v>
      </c>
      <c r="Z8224">
        <v>5000</v>
      </c>
      <c r="AA8224" s="30">
        <v>26</v>
      </c>
      <c r="AB8224">
        <v>4358.3999999999996</v>
      </c>
      <c r="AC8224">
        <v>4250</v>
      </c>
      <c r="AD8224">
        <v>640</v>
      </c>
      <c r="AE8224">
        <v>10750</v>
      </c>
      <c r="AF8224" s="30">
        <v>71</v>
      </c>
      <c r="AG8224">
        <v>1610.17</v>
      </c>
      <c r="AH8224">
        <v>1250</v>
      </c>
      <c r="AI8224">
        <v>215</v>
      </c>
      <c r="AJ8224">
        <v>7000</v>
      </c>
      <c r="AK8224" s="30">
        <v>35</v>
      </c>
      <c r="AL8224">
        <v>1815.61</v>
      </c>
      <c r="AM8224">
        <v>2000</v>
      </c>
      <c r="AN8224">
        <v>1500</v>
      </c>
      <c r="AO8224">
        <v>2000</v>
      </c>
      <c r="AP8224" s="30">
        <v>3</v>
      </c>
      <c r="AQ8224">
        <v>3582.89</v>
      </c>
      <c r="AR8224">
        <v>2000</v>
      </c>
      <c r="AS8224">
        <v>1000</v>
      </c>
      <c r="AT8224">
        <v>10000</v>
      </c>
      <c r="AU8224" s="30">
        <v>7</v>
      </c>
      <c r="AV8224">
        <v>929.87</v>
      </c>
      <c r="AW8224">
        <v>1200</v>
      </c>
      <c r="AX8224">
        <v>400</v>
      </c>
      <c r="AY8224">
        <v>1200</v>
      </c>
      <c r="AZ8224" s="30">
        <v>7</v>
      </c>
      <c r="BA8224">
        <v>4051.66</v>
      </c>
      <c r="BB8224">
        <v>3000</v>
      </c>
      <c r="BC8224">
        <v>400</v>
      </c>
      <c r="BD8224">
        <v>17500</v>
      </c>
      <c r="BE8224" s="30">
        <v>13</v>
      </c>
      <c r="BK8224">
        <v>666.67</v>
      </c>
      <c r="BL8224">
        <v>666.7</v>
      </c>
      <c r="BM8224">
        <v>666.7</v>
      </c>
      <c r="BN8224">
        <v>666.7</v>
      </c>
      <c r="BO8224" s="30">
        <v>1</v>
      </c>
      <c r="BP8224">
        <v>7221.23</v>
      </c>
      <c r="BQ8224">
        <v>1800</v>
      </c>
      <c r="BR8224">
        <v>100</v>
      </c>
      <c r="BS8224">
        <v>22000</v>
      </c>
      <c r="BT8224" s="30">
        <v>6</v>
      </c>
      <c r="BU8224">
        <v>97</v>
      </c>
    </row>
    <row r="8225" spans="1:73" x14ac:dyDescent="0.35">
      <c r="A8225" s="27" t="s">
        <v>228</v>
      </c>
      <c r="B8225" s="27" t="s">
        <v>236</v>
      </c>
      <c r="C8225" s="29">
        <v>11000</v>
      </c>
      <c r="D8225" s="29">
        <v>11000</v>
      </c>
      <c r="E8225" s="29">
        <v>11000</v>
      </c>
      <c r="F8225" s="29">
        <v>11000</v>
      </c>
      <c r="G8225" s="29">
        <v>1</v>
      </c>
      <c r="H8225" s="29"/>
      <c r="I8225" s="29"/>
      <c r="J8225" s="29"/>
      <c r="K8225" s="29"/>
      <c r="L8225" s="29"/>
      <c r="M8225" s="29"/>
      <c r="N8225" s="29"/>
      <c r="O8225" s="29"/>
      <c r="P8225" s="29"/>
      <c r="Q8225" s="29"/>
      <c r="R8225" s="29"/>
      <c r="S8225" s="29"/>
      <c r="T8225" s="29"/>
      <c r="U8225" s="29"/>
      <c r="V8225" s="29"/>
      <c r="W8225" s="29">
        <v>2000</v>
      </c>
      <c r="X8225" s="29">
        <v>2000</v>
      </c>
      <c r="Y8225" s="29">
        <v>2000</v>
      </c>
      <c r="Z8225" s="29">
        <v>2000</v>
      </c>
      <c r="AA8225" s="29">
        <v>1</v>
      </c>
      <c r="AB8225" s="29">
        <v>3387.42</v>
      </c>
      <c r="AC8225" s="29">
        <v>3000</v>
      </c>
      <c r="AD8225" s="29">
        <v>3000</v>
      </c>
      <c r="AE8225" s="29">
        <v>6500</v>
      </c>
      <c r="AF8225" s="29">
        <v>2</v>
      </c>
      <c r="AG8225" s="29">
        <v>1536.45</v>
      </c>
      <c r="AH8225" s="29">
        <v>1500</v>
      </c>
      <c r="AI8225" s="29">
        <v>1500</v>
      </c>
      <c r="AJ8225" s="29">
        <v>1661.5</v>
      </c>
      <c r="AK8225" s="29">
        <v>2</v>
      </c>
      <c r="AL8225" s="29"/>
      <c r="AM8225" s="29"/>
      <c r="AN8225" s="29"/>
      <c r="AO8225" s="29"/>
      <c r="AP8225" s="29"/>
      <c r="AQ8225" s="29"/>
      <c r="AR8225" s="29"/>
      <c r="AS8225" s="29"/>
      <c r="AT8225" s="29"/>
      <c r="AU8225" s="29"/>
      <c r="AV8225" s="29"/>
      <c r="AW8225" s="29"/>
      <c r="AX8225" s="29"/>
      <c r="AY8225" s="29"/>
      <c r="AZ8225" s="29"/>
      <c r="BA8225" s="29">
        <v>6000</v>
      </c>
      <c r="BB8225" s="29">
        <v>6000</v>
      </c>
      <c r="BC8225" s="29">
        <v>6000</v>
      </c>
      <c r="BD8225" s="29">
        <v>6000</v>
      </c>
      <c r="BE8225" s="29">
        <v>1</v>
      </c>
      <c r="BF8225" s="29"/>
      <c r="BG8225" s="29"/>
      <c r="BH8225" s="29"/>
      <c r="BI8225" s="29"/>
      <c r="BJ8225" s="29"/>
      <c r="BK8225" s="29"/>
      <c r="BL8225" s="29"/>
      <c r="BM8225" s="29"/>
      <c r="BN8225" s="29"/>
      <c r="BO8225" s="29"/>
      <c r="BP8225" s="29">
        <v>3840.98</v>
      </c>
      <c r="BQ8225" s="29">
        <v>4000</v>
      </c>
      <c r="BR8225" s="29">
        <v>1661.5</v>
      </c>
      <c r="BS8225" s="29">
        <v>4000</v>
      </c>
      <c r="BT8225" s="29">
        <v>2</v>
      </c>
      <c r="BU8225" s="29">
        <v>2</v>
      </c>
    </row>
    <row r="8226" spans="1:73" x14ac:dyDescent="0.35">
      <c r="A8226" t="s">
        <v>228</v>
      </c>
      <c r="B8226" t="s">
        <v>260</v>
      </c>
      <c r="C8226">
        <v>11614.49</v>
      </c>
      <c r="D8226">
        <v>8333.2999999999993</v>
      </c>
      <c r="E8226">
        <v>666.7</v>
      </c>
      <c r="F8226">
        <v>66666.7</v>
      </c>
      <c r="G8226" s="30">
        <v>244</v>
      </c>
      <c r="H8226">
        <v>5221.22</v>
      </c>
      <c r="I8226">
        <v>4000</v>
      </c>
      <c r="J8226">
        <v>500</v>
      </c>
      <c r="K8226">
        <v>39000</v>
      </c>
      <c r="L8226" s="30">
        <v>52</v>
      </c>
      <c r="M8226">
        <v>13064.24</v>
      </c>
      <c r="N8226">
        <v>6666.7</v>
      </c>
      <c r="O8226">
        <v>1500</v>
      </c>
      <c r="P8226">
        <v>50000</v>
      </c>
      <c r="Q8226" s="30">
        <v>20</v>
      </c>
      <c r="R8226">
        <v>3236.14</v>
      </c>
      <c r="S8226">
        <v>3100</v>
      </c>
      <c r="T8226">
        <v>450</v>
      </c>
      <c r="U8226">
        <v>30000</v>
      </c>
      <c r="V8226" s="30">
        <v>17</v>
      </c>
      <c r="W8226">
        <v>1847.3</v>
      </c>
      <c r="X8226">
        <v>2000</v>
      </c>
      <c r="Y8226">
        <v>500</v>
      </c>
      <c r="Z8226">
        <v>3000</v>
      </c>
      <c r="AA8226" s="30">
        <v>12</v>
      </c>
      <c r="AB8226">
        <v>4485.05</v>
      </c>
      <c r="AC8226">
        <v>4000</v>
      </c>
      <c r="AD8226">
        <v>428.6</v>
      </c>
      <c r="AE8226">
        <v>15000</v>
      </c>
      <c r="AF8226" s="30">
        <v>308</v>
      </c>
      <c r="AG8226">
        <v>1913.5</v>
      </c>
      <c r="AH8226">
        <v>1500</v>
      </c>
      <c r="AI8226">
        <v>172</v>
      </c>
      <c r="AJ8226">
        <v>9850</v>
      </c>
      <c r="AK8226" s="30">
        <v>73</v>
      </c>
      <c r="AL8226">
        <v>5999.96</v>
      </c>
      <c r="AM8226">
        <v>1900</v>
      </c>
      <c r="AN8226">
        <v>333.3</v>
      </c>
      <c r="AO8226">
        <v>18000</v>
      </c>
      <c r="AP8226" s="30">
        <v>6</v>
      </c>
      <c r="AQ8226">
        <v>6552.94</v>
      </c>
      <c r="AR8226">
        <v>1800</v>
      </c>
      <c r="AS8226">
        <v>233.3</v>
      </c>
      <c r="AT8226">
        <v>30000</v>
      </c>
      <c r="AU8226" s="30">
        <v>18</v>
      </c>
      <c r="AV8226">
        <v>929.13</v>
      </c>
      <c r="AW8226">
        <v>1200</v>
      </c>
      <c r="AX8226">
        <v>600</v>
      </c>
      <c r="AY8226">
        <v>1200</v>
      </c>
      <c r="AZ8226" s="30">
        <v>11</v>
      </c>
      <c r="BA8226">
        <v>4704.01</v>
      </c>
      <c r="BB8226">
        <v>2500</v>
      </c>
      <c r="BC8226">
        <v>166.7</v>
      </c>
      <c r="BD8226">
        <v>26000</v>
      </c>
      <c r="BE8226" s="30">
        <v>38</v>
      </c>
      <c r="BF8226">
        <v>1000</v>
      </c>
      <c r="BG8226">
        <v>1000</v>
      </c>
      <c r="BH8226">
        <v>1000</v>
      </c>
      <c r="BI8226">
        <v>1000</v>
      </c>
      <c r="BJ8226" s="30">
        <v>1</v>
      </c>
      <c r="BK8226">
        <v>1913.48</v>
      </c>
      <c r="BL8226">
        <v>1450</v>
      </c>
      <c r="BM8226">
        <v>500</v>
      </c>
      <c r="BN8226">
        <v>21750</v>
      </c>
      <c r="BO8226" s="30">
        <v>3</v>
      </c>
      <c r="BP8226">
        <v>6183.95</v>
      </c>
      <c r="BQ8226">
        <v>5000</v>
      </c>
      <c r="BR8226">
        <v>566.70000000000005</v>
      </c>
      <c r="BS8226">
        <v>25300</v>
      </c>
      <c r="BT8226" s="30">
        <v>9</v>
      </c>
      <c r="BU8226">
        <v>308</v>
      </c>
    </row>
    <row r="8227" spans="1:73" x14ac:dyDescent="0.35">
      <c r="A8227" t="s">
        <v>228</v>
      </c>
      <c r="B8227" t="s">
        <v>261</v>
      </c>
      <c r="C8227">
        <v>13383.05</v>
      </c>
      <c r="D8227">
        <v>10000</v>
      </c>
      <c r="E8227">
        <v>1333.3</v>
      </c>
      <c r="F8227">
        <v>55500</v>
      </c>
      <c r="G8227" s="30">
        <v>65</v>
      </c>
      <c r="H8227">
        <v>5484.36</v>
      </c>
      <c r="I8227">
        <v>6250</v>
      </c>
      <c r="J8227">
        <v>666.7</v>
      </c>
      <c r="K8227">
        <v>8333.2999999999993</v>
      </c>
      <c r="L8227" s="30">
        <v>12</v>
      </c>
      <c r="M8227">
        <v>4387.42</v>
      </c>
      <c r="N8227">
        <v>4000</v>
      </c>
      <c r="O8227">
        <v>4000</v>
      </c>
      <c r="P8227">
        <v>7500</v>
      </c>
      <c r="Q8227" s="30">
        <v>2</v>
      </c>
      <c r="R8227">
        <v>2238.9299999999998</v>
      </c>
      <c r="S8227">
        <v>3750</v>
      </c>
      <c r="T8227">
        <v>500</v>
      </c>
      <c r="U8227">
        <v>3750</v>
      </c>
      <c r="V8227" s="30">
        <v>2</v>
      </c>
      <c r="W8227">
        <v>1859.58</v>
      </c>
      <c r="X8227">
        <v>2000</v>
      </c>
      <c r="Y8227">
        <v>400</v>
      </c>
      <c r="Z8227">
        <v>5000</v>
      </c>
      <c r="AA8227" s="30">
        <v>91</v>
      </c>
      <c r="AB8227">
        <v>4840.3100000000004</v>
      </c>
      <c r="AC8227">
        <v>4000</v>
      </c>
      <c r="AD8227">
        <v>571.4</v>
      </c>
      <c r="AE8227">
        <v>27000</v>
      </c>
      <c r="AF8227" s="30">
        <v>95</v>
      </c>
      <c r="AG8227">
        <v>1293.51</v>
      </c>
      <c r="AH8227">
        <v>1500</v>
      </c>
      <c r="AI8227">
        <v>160</v>
      </c>
      <c r="AJ8227">
        <v>8000</v>
      </c>
      <c r="AK8227" s="30">
        <v>27</v>
      </c>
      <c r="AQ8227">
        <v>6160.77</v>
      </c>
      <c r="AR8227">
        <v>2500</v>
      </c>
      <c r="AS8227">
        <v>666.7</v>
      </c>
      <c r="AT8227">
        <v>16666.7</v>
      </c>
      <c r="AU8227" s="30">
        <v>9</v>
      </c>
      <c r="AV8227">
        <v>1054.54</v>
      </c>
      <c r="AW8227">
        <v>1200</v>
      </c>
      <c r="AX8227">
        <v>1000</v>
      </c>
      <c r="AY8227">
        <v>1300</v>
      </c>
      <c r="AZ8227" s="30">
        <v>3</v>
      </c>
      <c r="BA8227">
        <v>1927.69</v>
      </c>
      <c r="BB8227">
        <v>1750</v>
      </c>
      <c r="BC8227">
        <v>100</v>
      </c>
      <c r="BD8227">
        <v>10000</v>
      </c>
      <c r="BE8227" s="30">
        <v>12</v>
      </c>
      <c r="BP8227">
        <v>4399.67</v>
      </c>
      <c r="BQ8227">
        <v>7500</v>
      </c>
      <c r="BR8227">
        <v>256</v>
      </c>
      <c r="BS8227">
        <v>7500</v>
      </c>
      <c r="BT8227" s="30">
        <v>6</v>
      </c>
      <c r="BU8227">
        <v>95</v>
      </c>
    </row>
    <row r="8228" spans="1:73" x14ac:dyDescent="0.35">
      <c r="A8228" s="27" t="s">
        <v>228</v>
      </c>
      <c r="B8228" s="27" t="s">
        <v>263</v>
      </c>
      <c r="C8228" s="29">
        <v>10930.95</v>
      </c>
      <c r="D8228" s="29">
        <v>10000</v>
      </c>
      <c r="E8228" s="29">
        <v>2066.6999999999998</v>
      </c>
      <c r="F8228" s="29">
        <v>33333.300000000003</v>
      </c>
      <c r="G8228" s="29">
        <v>8</v>
      </c>
      <c r="H8228" s="29">
        <v>2850.6</v>
      </c>
      <c r="I8228" s="29">
        <v>7500</v>
      </c>
      <c r="J8228" s="29">
        <v>1666.7</v>
      </c>
      <c r="K8228" s="29">
        <v>7500</v>
      </c>
      <c r="L8228" s="29">
        <v>3</v>
      </c>
      <c r="M8228" s="29">
        <v>20000</v>
      </c>
      <c r="N8228" s="29">
        <v>10000</v>
      </c>
      <c r="O8228" s="29">
        <v>10000</v>
      </c>
      <c r="P8228" s="29">
        <v>30000</v>
      </c>
      <c r="Q8228" s="29">
        <v>2</v>
      </c>
      <c r="R8228" s="29"/>
      <c r="S8228" s="29"/>
      <c r="T8228" s="29"/>
      <c r="U8228" s="29"/>
      <c r="V8228" s="29"/>
      <c r="W8228" s="29">
        <v>1280.75</v>
      </c>
      <c r="X8228" s="29">
        <v>1400</v>
      </c>
      <c r="Y8228" s="29">
        <v>1000</v>
      </c>
      <c r="Z8228" s="29">
        <v>1400</v>
      </c>
      <c r="AA8228" s="29">
        <v>3</v>
      </c>
      <c r="AB8228" s="29">
        <v>3521.01</v>
      </c>
      <c r="AC8228" s="29">
        <v>4000</v>
      </c>
      <c r="AD8228" s="29">
        <v>831.2</v>
      </c>
      <c r="AE8228" s="29">
        <v>11750</v>
      </c>
      <c r="AF8228" s="29">
        <v>17</v>
      </c>
      <c r="AG8228" s="29">
        <v>1140.8399999999999</v>
      </c>
      <c r="AH8228" s="29">
        <v>766.7</v>
      </c>
      <c r="AI8228" s="29">
        <v>286.7</v>
      </c>
      <c r="AJ8228" s="29">
        <v>2875</v>
      </c>
      <c r="AK8228" s="29">
        <v>4</v>
      </c>
      <c r="AL8228" s="29">
        <v>2331.4899999999998</v>
      </c>
      <c r="AM8228" s="29">
        <v>1500</v>
      </c>
      <c r="AN8228" s="29">
        <v>1500</v>
      </c>
      <c r="AO8228" s="29">
        <v>3500</v>
      </c>
      <c r="AP8228" s="29">
        <v>2</v>
      </c>
      <c r="AQ8228" s="29">
        <v>7996.34</v>
      </c>
      <c r="AR8228" s="29">
        <v>10000</v>
      </c>
      <c r="AS8228" s="29">
        <v>2333.3000000000002</v>
      </c>
      <c r="AT8228" s="29">
        <v>10000</v>
      </c>
      <c r="AU8228" s="29">
        <v>2</v>
      </c>
      <c r="AV8228" s="29">
        <v>1292.26</v>
      </c>
      <c r="AW8228" s="29">
        <v>1600</v>
      </c>
      <c r="AX8228" s="29">
        <v>1200</v>
      </c>
      <c r="AY8228" s="29">
        <v>1600</v>
      </c>
      <c r="AZ8228" s="29">
        <v>3</v>
      </c>
      <c r="BA8228" s="29"/>
      <c r="BB8228" s="29"/>
      <c r="BC8228" s="29"/>
      <c r="BD8228" s="29"/>
      <c r="BE8228" s="29"/>
      <c r="BF8228" s="29"/>
      <c r="BG8228" s="29"/>
      <c r="BH8228" s="29"/>
      <c r="BI8228" s="29"/>
      <c r="BJ8228" s="29"/>
      <c r="BK8228" s="29"/>
      <c r="BL8228" s="29"/>
      <c r="BM8228" s="29"/>
      <c r="BN8228" s="29"/>
      <c r="BO8228" s="29"/>
      <c r="BP8228" s="29">
        <v>5000</v>
      </c>
      <c r="BQ8228" s="29">
        <v>5000</v>
      </c>
      <c r="BR8228" s="29">
        <v>5000</v>
      </c>
      <c r="BS8228" s="29">
        <v>5000</v>
      </c>
      <c r="BT8228" s="29">
        <v>1</v>
      </c>
      <c r="BU8228" s="29">
        <v>17</v>
      </c>
    </row>
    <row r="8229" spans="1:73" x14ac:dyDescent="0.35">
      <c r="A8229" t="s">
        <v>229</v>
      </c>
      <c r="B8229" t="s">
        <v>260</v>
      </c>
      <c r="C8229">
        <v>13437.4</v>
      </c>
      <c r="D8229">
        <v>12000</v>
      </c>
      <c r="E8229">
        <v>500</v>
      </c>
      <c r="F8229">
        <v>150000</v>
      </c>
      <c r="G8229" s="30">
        <v>299</v>
      </c>
      <c r="H8229">
        <v>9557.7999999999993</v>
      </c>
      <c r="I8229">
        <v>5500</v>
      </c>
      <c r="J8229">
        <v>100</v>
      </c>
      <c r="K8229">
        <v>30000</v>
      </c>
      <c r="L8229" s="30">
        <v>41</v>
      </c>
      <c r="M8229">
        <v>13383.99</v>
      </c>
      <c r="N8229">
        <v>10000</v>
      </c>
      <c r="O8229">
        <v>1000</v>
      </c>
      <c r="P8229">
        <v>33333.300000000003</v>
      </c>
      <c r="Q8229" s="30">
        <v>19</v>
      </c>
      <c r="R8229">
        <v>2721.83</v>
      </c>
      <c r="S8229">
        <v>1000</v>
      </c>
      <c r="T8229">
        <v>100</v>
      </c>
      <c r="U8229">
        <v>35000</v>
      </c>
      <c r="V8229" s="30">
        <v>33</v>
      </c>
      <c r="W8229">
        <v>1270.31</v>
      </c>
      <c r="X8229">
        <v>1333.3</v>
      </c>
      <c r="Y8229">
        <v>666.7</v>
      </c>
      <c r="Z8229">
        <v>2000</v>
      </c>
      <c r="AA8229" s="30">
        <v>6</v>
      </c>
      <c r="AB8229">
        <v>4503.0600000000004</v>
      </c>
      <c r="AC8229">
        <v>3800</v>
      </c>
      <c r="AD8229">
        <v>460</v>
      </c>
      <c r="AE8229">
        <v>30000</v>
      </c>
      <c r="AF8229" s="30">
        <v>231</v>
      </c>
      <c r="AG8229">
        <v>2886.71</v>
      </c>
      <c r="AH8229">
        <v>1500</v>
      </c>
      <c r="AI8229">
        <v>150</v>
      </c>
      <c r="AJ8229">
        <v>20000</v>
      </c>
      <c r="AK8229" s="30">
        <v>75</v>
      </c>
      <c r="AL8229">
        <v>3664.57</v>
      </c>
      <c r="AM8229">
        <v>4000</v>
      </c>
      <c r="AN8229">
        <v>608</v>
      </c>
      <c r="AO8229">
        <v>4000</v>
      </c>
      <c r="AP8229" s="30">
        <v>2</v>
      </c>
      <c r="AQ8229">
        <v>5463.6</v>
      </c>
      <c r="AR8229">
        <v>5000</v>
      </c>
      <c r="AS8229">
        <v>833.3</v>
      </c>
      <c r="AT8229">
        <v>20000</v>
      </c>
      <c r="AU8229" s="30">
        <v>11</v>
      </c>
      <c r="AV8229">
        <v>500</v>
      </c>
      <c r="AW8229">
        <v>500</v>
      </c>
      <c r="AX8229">
        <v>500</v>
      </c>
      <c r="AY8229">
        <v>500</v>
      </c>
      <c r="AZ8229" s="30">
        <v>1</v>
      </c>
      <c r="BA8229">
        <v>1584.72</v>
      </c>
      <c r="BB8229">
        <v>1000</v>
      </c>
      <c r="BC8229">
        <v>75</v>
      </c>
      <c r="BD8229">
        <v>20000</v>
      </c>
      <c r="BE8229" s="30">
        <v>30</v>
      </c>
      <c r="BF8229">
        <v>4000</v>
      </c>
      <c r="BG8229">
        <v>4000</v>
      </c>
      <c r="BH8229">
        <v>4000</v>
      </c>
      <c r="BI8229">
        <v>4000</v>
      </c>
      <c r="BJ8229" s="30">
        <v>1</v>
      </c>
      <c r="BK8229">
        <v>75000</v>
      </c>
      <c r="BL8229">
        <v>75000</v>
      </c>
      <c r="BM8229">
        <v>75000</v>
      </c>
      <c r="BN8229">
        <v>75000</v>
      </c>
      <c r="BO8229" s="30">
        <v>2</v>
      </c>
      <c r="BP8229">
        <v>5009.42</v>
      </c>
      <c r="BQ8229">
        <v>5000</v>
      </c>
      <c r="BR8229">
        <v>125</v>
      </c>
      <c r="BS8229">
        <v>40000</v>
      </c>
      <c r="BT8229" s="30">
        <v>20</v>
      </c>
      <c r="BU8229">
        <v>299</v>
      </c>
    </row>
    <row r="8230" spans="1:73" x14ac:dyDescent="0.35">
      <c r="A8230" s="27" t="s">
        <v>229</v>
      </c>
      <c r="B8230" s="27" t="s">
        <v>263</v>
      </c>
      <c r="C8230" s="29">
        <v>11702</v>
      </c>
      <c r="D8230" s="29">
        <v>9000</v>
      </c>
      <c r="E8230" s="29">
        <v>3666.7</v>
      </c>
      <c r="F8230" s="29">
        <v>25000</v>
      </c>
      <c r="G8230" s="29">
        <v>7</v>
      </c>
      <c r="H8230" s="29"/>
      <c r="I8230" s="29"/>
      <c r="J8230" s="29"/>
      <c r="K8230" s="29"/>
      <c r="L8230" s="29"/>
      <c r="M8230" s="29"/>
      <c r="N8230" s="29"/>
      <c r="O8230" s="29"/>
      <c r="P8230" s="29"/>
      <c r="Q8230" s="29"/>
      <c r="R8230" s="29"/>
      <c r="S8230" s="29"/>
      <c r="T8230" s="29"/>
      <c r="U8230" s="29"/>
      <c r="V8230" s="29"/>
      <c r="W8230" s="29">
        <v>2544.85</v>
      </c>
      <c r="X8230" s="29">
        <v>3000</v>
      </c>
      <c r="Y8230" s="29">
        <v>500</v>
      </c>
      <c r="Z8230" s="29">
        <v>3000</v>
      </c>
      <c r="AA8230" s="29">
        <v>2</v>
      </c>
      <c r="AB8230" s="29">
        <v>3434.97</v>
      </c>
      <c r="AC8230" s="29">
        <v>4432</v>
      </c>
      <c r="AD8230" s="29">
        <v>1500</v>
      </c>
      <c r="AE8230" s="29">
        <v>10000</v>
      </c>
      <c r="AF8230" s="29">
        <v>6</v>
      </c>
      <c r="AG8230" s="29">
        <v>2376.08</v>
      </c>
      <c r="AH8230" s="29">
        <v>2500</v>
      </c>
      <c r="AI8230" s="29">
        <v>1500</v>
      </c>
      <c r="AJ8230" s="29">
        <v>2500</v>
      </c>
      <c r="AK8230" s="29">
        <v>3</v>
      </c>
      <c r="AL8230" s="29"/>
      <c r="AM8230" s="29"/>
      <c r="AN8230" s="29"/>
      <c r="AO8230" s="29"/>
      <c r="AP8230" s="29"/>
      <c r="AQ8230" s="29">
        <v>1500</v>
      </c>
      <c r="AR8230" s="29">
        <v>1500</v>
      </c>
      <c r="AS8230" s="29">
        <v>1500</v>
      </c>
      <c r="AT8230" s="29">
        <v>1500</v>
      </c>
      <c r="AU8230" s="29">
        <v>1</v>
      </c>
      <c r="AV8230" s="29"/>
      <c r="AW8230" s="29"/>
      <c r="AX8230" s="29"/>
      <c r="AY8230" s="29"/>
      <c r="AZ8230" s="29"/>
      <c r="BA8230" s="29"/>
      <c r="BB8230" s="29"/>
      <c r="BC8230" s="29"/>
      <c r="BD8230" s="29"/>
      <c r="BE8230" s="29"/>
      <c r="BF8230" s="29"/>
      <c r="BG8230" s="29"/>
      <c r="BH8230" s="29"/>
      <c r="BI8230" s="29"/>
      <c r="BJ8230" s="29"/>
      <c r="BK8230" s="29"/>
      <c r="BL8230" s="29"/>
      <c r="BM8230" s="29"/>
      <c r="BN8230" s="29"/>
      <c r="BO8230" s="29"/>
      <c r="BP8230" s="29">
        <v>17500</v>
      </c>
      <c r="BQ8230" s="29">
        <v>17500</v>
      </c>
      <c r="BR8230" s="29">
        <v>17500</v>
      </c>
      <c r="BS8230" s="29">
        <v>17500</v>
      </c>
      <c r="BT8230" s="29">
        <v>1</v>
      </c>
      <c r="BU8230" s="29">
        <v>7</v>
      </c>
    </row>
    <row r="8231" spans="1:73" x14ac:dyDescent="0.35">
      <c r="A8231" t="s">
        <v>229</v>
      </c>
      <c r="B8231" t="s">
        <v>262</v>
      </c>
      <c r="C8231">
        <v>18683.060000000001</v>
      </c>
      <c r="D8231">
        <v>16000</v>
      </c>
      <c r="E8231">
        <v>1200</v>
      </c>
      <c r="F8231">
        <v>100000</v>
      </c>
      <c r="G8231" s="30">
        <v>102</v>
      </c>
      <c r="H8231">
        <v>9765.7199999999993</v>
      </c>
      <c r="I8231">
        <v>3666.7</v>
      </c>
      <c r="J8231">
        <v>16.7</v>
      </c>
      <c r="K8231">
        <v>66666.7</v>
      </c>
      <c r="L8231" s="30">
        <v>20</v>
      </c>
      <c r="M8231">
        <v>10537.17</v>
      </c>
      <c r="N8231">
        <v>10000</v>
      </c>
      <c r="O8231">
        <v>750</v>
      </c>
      <c r="P8231">
        <v>30000</v>
      </c>
      <c r="Q8231" s="30">
        <v>15</v>
      </c>
      <c r="R8231">
        <v>4755.8500000000004</v>
      </c>
      <c r="S8231">
        <v>4000</v>
      </c>
      <c r="T8231">
        <v>500</v>
      </c>
      <c r="U8231">
        <v>20000</v>
      </c>
      <c r="V8231" s="30">
        <v>4</v>
      </c>
      <c r="W8231">
        <v>2000</v>
      </c>
      <c r="X8231">
        <v>2000</v>
      </c>
      <c r="Y8231">
        <v>2000</v>
      </c>
      <c r="Z8231">
        <v>2000</v>
      </c>
      <c r="AA8231" s="30">
        <v>1</v>
      </c>
      <c r="AB8231">
        <v>5257.02</v>
      </c>
      <c r="AC8231">
        <v>3500</v>
      </c>
      <c r="AD8231">
        <v>660</v>
      </c>
      <c r="AE8231">
        <v>16000</v>
      </c>
      <c r="AF8231" s="30">
        <v>45</v>
      </c>
      <c r="AG8231">
        <v>1422.4</v>
      </c>
      <c r="AH8231">
        <v>1250</v>
      </c>
      <c r="AI8231">
        <v>172</v>
      </c>
      <c r="AJ8231">
        <v>5000</v>
      </c>
      <c r="AK8231" s="30">
        <v>23</v>
      </c>
      <c r="AL8231">
        <v>11564.29</v>
      </c>
      <c r="AM8231">
        <v>15000</v>
      </c>
      <c r="AN8231">
        <v>10000</v>
      </c>
      <c r="AO8231">
        <v>15000</v>
      </c>
      <c r="AP8231" s="30">
        <v>3</v>
      </c>
      <c r="AQ8231">
        <v>2566.06</v>
      </c>
      <c r="AR8231">
        <v>2500</v>
      </c>
      <c r="AS8231">
        <v>1000</v>
      </c>
      <c r="AT8231">
        <v>5000</v>
      </c>
      <c r="AU8231" s="30">
        <v>8</v>
      </c>
      <c r="AV8231">
        <v>500</v>
      </c>
      <c r="AW8231">
        <v>500</v>
      </c>
      <c r="AX8231">
        <v>500</v>
      </c>
      <c r="AY8231">
        <v>500</v>
      </c>
      <c r="AZ8231" s="30">
        <v>1</v>
      </c>
      <c r="BA8231">
        <v>5050.76</v>
      </c>
      <c r="BB8231">
        <v>5000</v>
      </c>
      <c r="BC8231">
        <v>500</v>
      </c>
      <c r="BD8231">
        <v>10000</v>
      </c>
      <c r="BE8231" s="30">
        <v>19</v>
      </c>
      <c r="BF8231">
        <v>666.67</v>
      </c>
      <c r="BG8231">
        <v>666.7</v>
      </c>
      <c r="BH8231">
        <v>666.7</v>
      </c>
      <c r="BI8231">
        <v>666.7</v>
      </c>
      <c r="BJ8231" s="30">
        <v>1</v>
      </c>
      <c r="BK8231">
        <v>3333.33</v>
      </c>
      <c r="BL8231">
        <v>3333.3</v>
      </c>
      <c r="BM8231">
        <v>3333.3</v>
      </c>
      <c r="BN8231">
        <v>3333.3</v>
      </c>
      <c r="BO8231" s="30">
        <v>1</v>
      </c>
      <c r="BP8231">
        <v>8128.09</v>
      </c>
      <c r="BQ8231">
        <v>12500</v>
      </c>
      <c r="BR8231">
        <v>500</v>
      </c>
      <c r="BS8231">
        <v>13000</v>
      </c>
      <c r="BT8231" s="30">
        <v>10</v>
      </c>
      <c r="BU8231">
        <v>102</v>
      </c>
    </row>
    <row r="8232" spans="1:73" x14ac:dyDescent="0.35">
      <c r="A8232" t="s">
        <v>229</v>
      </c>
      <c r="B8232" t="s">
        <v>261</v>
      </c>
      <c r="C8232">
        <v>16454.09</v>
      </c>
      <c r="D8232">
        <v>12500</v>
      </c>
      <c r="E8232">
        <v>607.70000000000005</v>
      </c>
      <c r="F8232">
        <v>65000</v>
      </c>
      <c r="G8232" s="30">
        <v>44</v>
      </c>
      <c r="H8232">
        <v>4847.91</v>
      </c>
      <c r="I8232">
        <v>7500</v>
      </c>
      <c r="J8232">
        <v>1000</v>
      </c>
      <c r="K8232">
        <v>7500</v>
      </c>
      <c r="L8232" s="30">
        <v>9</v>
      </c>
      <c r="M8232">
        <v>4451.16</v>
      </c>
      <c r="N8232">
        <v>4250</v>
      </c>
      <c r="O8232">
        <v>3000</v>
      </c>
      <c r="P8232">
        <v>10000</v>
      </c>
      <c r="Q8232" s="30">
        <v>3</v>
      </c>
      <c r="W8232">
        <v>1868.13</v>
      </c>
      <c r="X8232">
        <v>2000</v>
      </c>
      <c r="Y8232">
        <v>666.7</v>
      </c>
      <c r="Z8232">
        <v>3150</v>
      </c>
      <c r="AA8232" s="30">
        <v>44</v>
      </c>
      <c r="AB8232">
        <v>4704.95</v>
      </c>
      <c r="AC8232">
        <v>4500</v>
      </c>
      <c r="AD8232">
        <v>1000</v>
      </c>
      <c r="AE8232">
        <v>8500</v>
      </c>
      <c r="AF8232" s="30">
        <v>31</v>
      </c>
      <c r="AG8232">
        <v>1873.61</v>
      </c>
      <c r="AH8232">
        <v>2000</v>
      </c>
      <c r="AI8232">
        <v>286.7</v>
      </c>
      <c r="AJ8232">
        <v>4000</v>
      </c>
      <c r="AK8232" s="30">
        <v>21</v>
      </c>
      <c r="AL8232">
        <v>4375</v>
      </c>
      <c r="AM8232">
        <v>3750</v>
      </c>
      <c r="AN8232">
        <v>3750</v>
      </c>
      <c r="AO8232">
        <v>5000</v>
      </c>
      <c r="AP8232" s="30">
        <v>2</v>
      </c>
      <c r="AQ8232">
        <v>10415.61</v>
      </c>
      <c r="AR8232">
        <v>10000</v>
      </c>
      <c r="AS8232">
        <v>2500</v>
      </c>
      <c r="AT8232">
        <v>20000</v>
      </c>
      <c r="AU8232" s="30">
        <v>5</v>
      </c>
      <c r="BA8232">
        <v>3442.17</v>
      </c>
      <c r="BB8232">
        <v>2500</v>
      </c>
      <c r="BC8232">
        <v>250</v>
      </c>
      <c r="BD8232">
        <v>10000</v>
      </c>
      <c r="BE8232" s="30">
        <v>8</v>
      </c>
      <c r="BP8232">
        <v>5846.25</v>
      </c>
      <c r="BQ8232">
        <v>6666.7</v>
      </c>
      <c r="BR8232">
        <v>600</v>
      </c>
      <c r="BS8232">
        <v>6666.7</v>
      </c>
      <c r="BT8232" s="30">
        <v>3</v>
      </c>
      <c r="BU8232">
        <v>44</v>
      </c>
    </row>
    <row r="8233" spans="1:73" x14ac:dyDescent="0.35">
      <c r="A8233" t="s">
        <v>230</v>
      </c>
      <c r="B8233" t="s">
        <v>261</v>
      </c>
      <c r="C8233">
        <v>13823.35</v>
      </c>
      <c r="D8233">
        <v>6500</v>
      </c>
      <c r="E8233">
        <v>1083.3</v>
      </c>
      <c r="F8233">
        <v>75000</v>
      </c>
      <c r="G8233" s="30">
        <v>30</v>
      </c>
      <c r="H8233">
        <v>4012.35</v>
      </c>
      <c r="I8233">
        <v>6500</v>
      </c>
      <c r="J8233">
        <v>500</v>
      </c>
      <c r="K8233">
        <v>7500</v>
      </c>
      <c r="L8233" s="30">
        <v>7</v>
      </c>
      <c r="R8233">
        <v>2310.15</v>
      </c>
      <c r="S8233">
        <v>600</v>
      </c>
      <c r="T8233">
        <v>600</v>
      </c>
      <c r="U8233">
        <v>8000</v>
      </c>
      <c r="V8233" s="30">
        <v>2</v>
      </c>
      <c r="W8233">
        <v>1865.56</v>
      </c>
      <c r="X8233">
        <v>2000</v>
      </c>
      <c r="Y8233">
        <v>666.7</v>
      </c>
      <c r="Z8233">
        <v>3000</v>
      </c>
      <c r="AA8233" s="30">
        <v>23</v>
      </c>
      <c r="AB8233">
        <v>4246.09</v>
      </c>
      <c r="AC8233">
        <v>3700</v>
      </c>
      <c r="AD8233">
        <v>1000</v>
      </c>
      <c r="AE8233">
        <v>9666.7000000000007</v>
      </c>
      <c r="AF8233" s="30">
        <v>20</v>
      </c>
      <c r="AG8233">
        <v>3079.31</v>
      </c>
      <c r="AH8233">
        <v>2300</v>
      </c>
      <c r="AI8233">
        <v>1100</v>
      </c>
      <c r="AJ8233">
        <v>7000</v>
      </c>
      <c r="AK8233" s="30">
        <v>9</v>
      </c>
      <c r="AL8233">
        <v>2500</v>
      </c>
      <c r="AM8233">
        <v>2500</v>
      </c>
      <c r="AN8233">
        <v>2500</v>
      </c>
      <c r="AO8233">
        <v>2500</v>
      </c>
      <c r="AP8233" s="30">
        <v>1</v>
      </c>
      <c r="AQ8233">
        <v>5000</v>
      </c>
      <c r="AR8233">
        <v>5000</v>
      </c>
      <c r="AS8233">
        <v>5000</v>
      </c>
      <c r="AT8233">
        <v>5000</v>
      </c>
      <c r="AU8233" s="30">
        <v>1</v>
      </c>
      <c r="AV8233">
        <v>1780.58</v>
      </c>
      <c r="AW8233">
        <v>2000</v>
      </c>
      <c r="AX8233">
        <v>480</v>
      </c>
      <c r="AY8233">
        <v>2000</v>
      </c>
      <c r="AZ8233" s="30">
        <v>2</v>
      </c>
      <c r="BA8233">
        <v>1000</v>
      </c>
      <c r="BB8233">
        <v>1000</v>
      </c>
      <c r="BC8233">
        <v>1000</v>
      </c>
      <c r="BD8233">
        <v>1000</v>
      </c>
      <c r="BE8233" s="30">
        <v>3</v>
      </c>
      <c r="BU8233">
        <v>30</v>
      </c>
    </row>
    <row r="8234" spans="1:73" x14ac:dyDescent="0.35">
      <c r="A8234" t="s">
        <v>230</v>
      </c>
      <c r="B8234" t="s">
        <v>260</v>
      </c>
      <c r="C8234">
        <v>11183.5</v>
      </c>
      <c r="D8234">
        <v>10000</v>
      </c>
      <c r="E8234">
        <v>1050</v>
      </c>
      <c r="F8234">
        <v>75000</v>
      </c>
      <c r="G8234" s="30">
        <v>149</v>
      </c>
      <c r="H8234">
        <v>4227.6000000000004</v>
      </c>
      <c r="I8234">
        <v>2500</v>
      </c>
      <c r="J8234">
        <v>200</v>
      </c>
      <c r="K8234">
        <v>21000</v>
      </c>
      <c r="L8234" s="30">
        <v>35</v>
      </c>
      <c r="M8234">
        <v>30435.15</v>
      </c>
      <c r="N8234">
        <v>15000</v>
      </c>
      <c r="O8234">
        <v>1666.7</v>
      </c>
      <c r="P8234">
        <v>150000</v>
      </c>
      <c r="Q8234" s="30">
        <v>13</v>
      </c>
      <c r="R8234">
        <v>3043.87</v>
      </c>
      <c r="S8234">
        <v>2500</v>
      </c>
      <c r="T8234">
        <v>600</v>
      </c>
      <c r="U8234">
        <v>8000</v>
      </c>
      <c r="V8234" s="30">
        <v>13</v>
      </c>
      <c r="W8234">
        <v>2614.12</v>
      </c>
      <c r="X8234">
        <v>3000</v>
      </c>
      <c r="Y8234">
        <v>666.7</v>
      </c>
      <c r="Z8234">
        <v>3000</v>
      </c>
      <c r="AA8234" s="30">
        <v>7</v>
      </c>
      <c r="AB8234">
        <v>4078.57</v>
      </c>
      <c r="AC8234">
        <v>3400</v>
      </c>
      <c r="AD8234">
        <v>575</v>
      </c>
      <c r="AE8234">
        <v>18000</v>
      </c>
      <c r="AF8234" s="30">
        <v>160</v>
      </c>
      <c r="AG8234">
        <v>1777.63</v>
      </c>
      <c r="AH8234">
        <v>1108.3</v>
      </c>
      <c r="AI8234">
        <v>280</v>
      </c>
      <c r="AJ8234">
        <v>10000</v>
      </c>
      <c r="AK8234" s="30">
        <v>50</v>
      </c>
      <c r="AL8234">
        <v>14383.35</v>
      </c>
      <c r="AM8234">
        <v>25000</v>
      </c>
      <c r="AN8234">
        <v>1000</v>
      </c>
      <c r="AO8234">
        <v>25000</v>
      </c>
      <c r="AP8234" s="30">
        <v>7</v>
      </c>
      <c r="AQ8234">
        <v>6276.81</v>
      </c>
      <c r="AR8234">
        <v>4000</v>
      </c>
      <c r="AS8234">
        <v>250</v>
      </c>
      <c r="AT8234">
        <v>20000</v>
      </c>
      <c r="AU8234" s="30">
        <v>17</v>
      </c>
      <c r="AV8234">
        <v>1101.03</v>
      </c>
      <c r="AW8234">
        <v>1200</v>
      </c>
      <c r="AX8234">
        <v>383.3</v>
      </c>
      <c r="AY8234">
        <v>1500</v>
      </c>
      <c r="AZ8234" s="30">
        <v>16</v>
      </c>
      <c r="BA8234">
        <v>3019.29</v>
      </c>
      <c r="BB8234">
        <v>3000</v>
      </c>
      <c r="BC8234">
        <v>333.3</v>
      </c>
      <c r="BD8234">
        <v>10000</v>
      </c>
      <c r="BE8234" s="30">
        <v>34</v>
      </c>
      <c r="BK8234">
        <v>5663.24</v>
      </c>
      <c r="BL8234">
        <v>6500</v>
      </c>
      <c r="BM8234">
        <v>1200</v>
      </c>
      <c r="BN8234">
        <v>6500</v>
      </c>
      <c r="BO8234" s="30">
        <v>3</v>
      </c>
      <c r="BP8234">
        <v>2154.59</v>
      </c>
      <c r="BQ8234">
        <v>1200</v>
      </c>
      <c r="BR8234">
        <v>500</v>
      </c>
      <c r="BS8234">
        <v>5500</v>
      </c>
      <c r="BT8234" s="30">
        <v>13</v>
      </c>
      <c r="BU8234">
        <v>160</v>
      </c>
    </row>
    <row r="8235" spans="1:73" x14ac:dyDescent="0.35">
      <c r="A8235" s="27" t="s">
        <v>230</v>
      </c>
      <c r="B8235" s="27" t="s">
        <v>263</v>
      </c>
      <c r="C8235" s="29">
        <v>4994.63</v>
      </c>
      <c r="D8235" s="29">
        <v>3750</v>
      </c>
      <c r="E8235" s="29">
        <v>333.3</v>
      </c>
      <c r="F8235" s="29">
        <v>20000</v>
      </c>
      <c r="G8235" s="29">
        <v>10</v>
      </c>
      <c r="H8235" s="29">
        <v>3416.67</v>
      </c>
      <c r="I8235" s="29">
        <v>833.3</v>
      </c>
      <c r="J8235" s="29">
        <v>833.3</v>
      </c>
      <c r="K8235" s="29">
        <v>6000</v>
      </c>
      <c r="L8235" s="29">
        <v>2</v>
      </c>
      <c r="M8235" s="29">
        <v>15000</v>
      </c>
      <c r="N8235" s="29">
        <v>15000</v>
      </c>
      <c r="O8235" s="29">
        <v>15000</v>
      </c>
      <c r="P8235" s="29">
        <v>15000</v>
      </c>
      <c r="Q8235" s="29">
        <v>1</v>
      </c>
      <c r="R8235" s="29">
        <v>2833.33</v>
      </c>
      <c r="S8235" s="29">
        <v>2833.3</v>
      </c>
      <c r="T8235" s="29">
        <v>2833.3</v>
      </c>
      <c r="U8235" s="29">
        <v>2833.3</v>
      </c>
      <c r="V8235" s="29">
        <v>1</v>
      </c>
      <c r="W8235" s="29">
        <v>1014.72</v>
      </c>
      <c r="X8235" s="29">
        <v>1333.3</v>
      </c>
      <c r="Y8235" s="29">
        <v>833.3</v>
      </c>
      <c r="Z8235" s="29">
        <v>1333.3</v>
      </c>
      <c r="AA8235" s="29">
        <v>4</v>
      </c>
      <c r="AB8235" s="29">
        <v>3470.81</v>
      </c>
      <c r="AC8235" s="29">
        <v>3300</v>
      </c>
      <c r="AD8235" s="29">
        <v>1000</v>
      </c>
      <c r="AE8235" s="29">
        <v>8300</v>
      </c>
      <c r="AF8235" s="29">
        <v>15</v>
      </c>
      <c r="AG8235" s="29">
        <v>2098.08</v>
      </c>
      <c r="AH8235" s="29">
        <v>2833.3</v>
      </c>
      <c r="AI8235" s="29">
        <v>253.3</v>
      </c>
      <c r="AJ8235" s="29">
        <v>2833.3</v>
      </c>
      <c r="AK8235" s="29">
        <v>5</v>
      </c>
      <c r="AL8235" s="29"/>
      <c r="AM8235" s="29"/>
      <c r="AN8235" s="29"/>
      <c r="AO8235" s="29"/>
      <c r="AP8235" s="29"/>
      <c r="AQ8235" s="29"/>
      <c r="AR8235" s="29"/>
      <c r="AS8235" s="29"/>
      <c r="AT8235" s="29"/>
      <c r="AU8235" s="29"/>
      <c r="AV8235" s="29">
        <v>515.66999999999996</v>
      </c>
      <c r="AW8235" s="29">
        <v>600</v>
      </c>
      <c r="AX8235" s="29">
        <v>241.7</v>
      </c>
      <c r="AY8235" s="29">
        <v>600</v>
      </c>
      <c r="AZ8235" s="29">
        <v>2</v>
      </c>
      <c r="BA8235" s="29">
        <v>2666.67</v>
      </c>
      <c r="BB8235" s="29">
        <v>2666.7</v>
      </c>
      <c r="BC8235" s="29">
        <v>2666.7</v>
      </c>
      <c r="BD8235" s="29">
        <v>2666.7</v>
      </c>
      <c r="BE8235" s="29">
        <v>1</v>
      </c>
      <c r="BF8235" s="29"/>
      <c r="BG8235" s="29"/>
      <c r="BH8235" s="29"/>
      <c r="BI8235" s="29"/>
      <c r="BJ8235" s="29"/>
      <c r="BK8235" s="29"/>
      <c r="BL8235" s="29"/>
      <c r="BM8235" s="29"/>
      <c r="BN8235" s="29"/>
      <c r="BO8235" s="29"/>
      <c r="BP8235" s="29"/>
      <c r="BQ8235" s="29"/>
      <c r="BR8235" s="29"/>
      <c r="BS8235" s="29"/>
      <c r="BT8235" s="29"/>
      <c r="BU8235" s="29">
        <v>15</v>
      </c>
    </row>
    <row r="8236" spans="1:73" x14ac:dyDescent="0.35">
      <c r="A8236" s="27" t="s">
        <v>230</v>
      </c>
      <c r="B8236" s="27" t="s">
        <v>236</v>
      </c>
      <c r="C8236" s="29">
        <v>5240.93</v>
      </c>
      <c r="D8236" s="29">
        <v>6200</v>
      </c>
      <c r="E8236" s="29">
        <v>2050</v>
      </c>
      <c r="F8236" s="29">
        <v>6200</v>
      </c>
      <c r="G8236" s="29">
        <v>2</v>
      </c>
      <c r="H8236" s="29"/>
      <c r="I8236" s="29"/>
      <c r="J8236" s="29"/>
      <c r="K8236" s="29"/>
      <c r="L8236" s="29"/>
      <c r="M8236" s="29"/>
      <c r="N8236" s="29"/>
      <c r="O8236" s="29"/>
      <c r="P8236" s="29"/>
      <c r="Q8236" s="29"/>
      <c r="R8236" s="29">
        <v>1000</v>
      </c>
      <c r="S8236" s="29">
        <v>1000</v>
      </c>
      <c r="T8236" s="29">
        <v>1000</v>
      </c>
      <c r="U8236" s="29">
        <v>1000</v>
      </c>
      <c r="V8236" s="29">
        <v>1</v>
      </c>
      <c r="W8236" s="29"/>
      <c r="X8236" s="29"/>
      <c r="Y8236" s="29"/>
      <c r="Z8236" s="29"/>
      <c r="AA8236" s="29"/>
      <c r="AB8236" s="29">
        <v>3000</v>
      </c>
      <c r="AC8236" s="29">
        <v>3000</v>
      </c>
      <c r="AD8236" s="29">
        <v>3000</v>
      </c>
      <c r="AE8236" s="29">
        <v>3000</v>
      </c>
      <c r="AF8236" s="29">
        <v>1</v>
      </c>
      <c r="AG8236" s="29"/>
      <c r="AH8236" s="29"/>
      <c r="AI8236" s="29"/>
      <c r="AJ8236" s="29"/>
      <c r="AK8236" s="29"/>
      <c r="AL8236" s="29"/>
      <c r="AM8236" s="29"/>
      <c r="AN8236" s="29"/>
      <c r="AO8236" s="29"/>
      <c r="AP8236" s="29"/>
      <c r="AQ8236" s="29"/>
      <c r="AR8236" s="29"/>
      <c r="AS8236" s="29"/>
      <c r="AT8236" s="29"/>
      <c r="AU8236" s="29"/>
      <c r="AV8236" s="29"/>
      <c r="AW8236" s="29"/>
      <c r="AX8236" s="29"/>
      <c r="AY8236" s="29"/>
      <c r="AZ8236" s="29"/>
      <c r="BA8236" s="29"/>
      <c r="BB8236" s="29"/>
      <c r="BC8236" s="29"/>
      <c r="BD8236" s="29"/>
      <c r="BE8236" s="29"/>
      <c r="BF8236" s="29"/>
      <c r="BG8236" s="29"/>
      <c r="BH8236" s="29"/>
      <c r="BI8236" s="29"/>
      <c r="BJ8236" s="29"/>
      <c r="BK8236" s="29"/>
      <c r="BL8236" s="29"/>
      <c r="BM8236" s="29"/>
      <c r="BN8236" s="29"/>
      <c r="BO8236" s="29"/>
      <c r="BP8236" s="29"/>
      <c r="BQ8236" s="29"/>
      <c r="BR8236" s="29"/>
      <c r="BS8236" s="29"/>
      <c r="BT8236" s="29"/>
      <c r="BU8236" s="29">
        <v>2</v>
      </c>
    </row>
    <row r="8237" spans="1:73" x14ac:dyDescent="0.35">
      <c r="A8237" t="s">
        <v>230</v>
      </c>
      <c r="B8237" t="s">
        <v>262</v>
      </c>
      <c r="C8237">
        <v>12554.56</v>
      </c>
      <c r="D8237">
        <v>10500</v>
      </c>
      <c r="E8237">
        <v>1000</v>
      </c>
      <c r="F8237">
        <v>37000</v>
      </c>
      <c r="G8237" s="30">
        <v>52</v>
      </c>
      <c r="H8237">
        <v>8283.67</v>
      </c>
      <c r="I8237">
        <v>8000</v>
      </c>
      <c r="J8237">
        <v>333.3</v>
      </c>
      <c r="K8237">
        <v>14000</v>
      </c>
      <c r="L8237" s="30">
        <v>15</v>
      </c>
      <c r="M8237">
        <v>29020.6</v>
      </c>
      <c r="N8237">
        <v>10000</v>
      </c>
      <c r="O8237">
        <v>666.7</v>
      </c>
      <c r="P8237">
        <v>125000</v>
      </c>
      <c r="Q8237" s="30">
        <v>8</v>
      </c>
      <c r="R8237">
        <v>4828.63</v>
      </c>
      <c r="S8237">
        <v>6000</v>
      </c>
      <c r="T8237">
        <v>2000</v>
      </c>
      <c r="U8237">
        <v>6000</v>
      </c>
      <c r="V8237" s="30">
        <v>4</v>
      </c>
      <c r="W8237">
        <v>1348.06</v>
      </c>
      <c r="X8237">
        <v>1000</v>
      </c>
      <c r="Y8237">
        <v>1000</v>
      </c>
      <c r="Z8237">
        <v>3000</v>
      </c>
      <c r="AA8237" s="30">
        <v>13</v>
      </c>
      <c r="AB8237">
        <v>3640.17</v>
      </c>
      <c r="AC8237">
        <v>3200</v>
      </c>
      <c r="AD8237">
        <v>640</v>
      </c>
      <c r="AE8237">
        <v>11000</v>
      </c>
      <c r="AF8237" s="30">
        <v>45</v>
      </c>
      <c r="AG8237">
        <v>1162.6500000000001</v>
      </c>
      <c r="AH8237">
        <v>1100</v>
      </c>
      <c r="AI8237">
        <v>172</v>
      </c>
      <c r="AJ8237">
        <v>3300</v>
      </c>
      <c r="AK8237" s="30">
        <v>22</v>
      </c>
      <c r="AL8237">
        <v>7797.6</v>
      </c>
      <c r="AM8237">
        <v>9000</v>
      </c>
      <c r="AN8237">
        <v>500</v>
      </c>
      <c r="AO8237">
        <v>9000</v>
      </c>
      <c r="AP8237" s="30">
        <v>2</v>
      </c>
      <c r="AQ8237">
        <v>2080.35</v>
      </c>
      <c r="AR8237">
        <v>2000</v>
      </c>
      <c r="AS8237">
        <v>1000</v>
      </c>
      <c r="AT8237">
        <v>4000</v>
      </c>
      <c r="AU8237" s="30">
        <v>5</v>
      </c>
      <c r="AV8237">
        <v>2518.11</v>
      </c>
      <c r="AW8237">
        <v>3300</v>
      </c>
      <c r="AX8237">
        <v>300</v>
      </c>
      <c r="AY8237">
        <v>3300</v>
      </c>
      <c r="AZ8237" s="30">
        <v>6</v>
      </c>
      <c r="BA8237">
        <v>4532.32</v>
      </c>
      <c r="BB8237">
        <v>3333.3</v>
      </c>
      <c r="BC8237">
        <v>666.7</v>
      </c>
      <c r="BD8237">
        <v>20000</v>
      </c>
      <c r="BE8237" s="30">
        <v>15</v>
      </c>
      <c r="BK8237">
        <v>7882.04</v>
      </c>
      <c r="BL8237">
        <v>10000</v>
      </c>
      <c r="BM8237">
        <v>1000</v>
      </c>
      <c r="BN8237">
        <v>10000</v>
      </c>
      <c r="BO8237" s="30">
        <v>2</v>
      </c>
      <c r="BP8237">
        <v>2973.54</v>
      </c>
      <c r="BQ8237">
        <v>6000</v>
      </c>
      <c r="BR8237">
        <v>400</v>
      </c>
      <c r="BS8237">
        <v>6000</v>
      </c>
      <c r="BT8237" s="30">
        <v>3</v>
      </c>
      <c r="BU8237">
        <v>52</v>
      </c>
    </row>
    <row r="8238" spans="1:73" x14ac:dyDescent="0.35">
      <c r="A8238" s="27" t="s">
        <v>231</v>
      </c>
      <c r="B8238" s="27" t="s">
        <v>261</v>
      </c>
      <c r="C8238" s="29">
        <v>15611.11</v>
      </c>
      <c r="D8238" s="29">
        <v>14000</v>
      </c>
      <c r="E8238" s="29">
        <v>5000</v>
      </c>
      <c r="F8238" s="29">
        <v>40000</v>
      </c>
      <c r="G8238" s="29">
        <v>9</v>
      </c>
      <c r="H8238" s="29">
        <v>3000</v>
      </c>
      <c r="I8238" s="29">
        <v>3000</v>
      </c>
      <c r="J8238" s="29">
        <v>3000</v>
      </c>
      <c r="K8238" s="29">
        <v>3000</v>
      </c>
      <c r="L8238" s="29">
        <v>1</v>
      </c>
      <c r="M8238" s="29">
        <v>12666.67</v>
      </c>
      <c r="N8238" s="29">
        <v>12666.7</v>
      </c>
      <c r="O8238" s="29">
        <v>12666.7</v>
      </c>
      <c r="P8238" s="29">
        <v>12666.7</v>
      </c>
      <c r="Q8238" s="29">
        <v>1</v>
      </c>
      <c r="R8238" s="29"/>
      <c r="S8238" s="29"/>
      <c r="T8238" s="29"/>
      <c r="U8238" s="29"/>
      <c r="V8238" s="29"/>
      <c r="W8238" s="29">
        <v>1942.42</v>
      </c>
      <c r="X8238" s="29">
        <v>2000</v>
      </c>
      <c r="Y8238" s="29">
        <v>666.7</v>
      </c>
      <c r="Z8238" s="29">
        <v>3000</v>
      </c>
      <c r="AA8238" s="29">
        <v>11</v>
      </c>
      <c r="AB8238" s="29">
        <v>4236.67</v>
      </c>
      <c r="AC8238" s="29">
        <v>2600</v>
      </c>
      <c r="AD8238" s="29">
        <v>1000</v>
      </c>
      <c r="AE8238" s="29">
        <v>11000</v>
      </c>
      <c r="AF8238" s="29">
        <v>10</v>
      </c>
      <c r="AG8238" s="29">
        <v>1575</v>
      </c>
      <c r="AH8238" s="29">
        <v>1500</v>
      </c>
      <c r="AI8238" s="29">
        <v>1500</v>
      </c>
      <c r="AJ8238" s="29">
        <v>1650</v>
      </c>
      <c r="AK8238" s="29">
        <v>2</v>
      </c>
      <c r="AL8238" s="29">
        <v>8000</v>
      </c>
      <c r="AM8238" s="29">
        <v>8000</v>
      </c>
      <c r="AN8238" s="29">
        <v>8000</v>
      </c>
      <c r="AO8238" s="29">
        <v>8000</v>
      </c>
      <c r="AP8238" s="29">
        <v>1</v>
      </c>
      <c r="AQ8238" s="29"/>
      <c r="AR8238" s="29"/>
      <c r="AS8238" s="29"/>
      <c r="AT8238" s="29"/>
      <c r="AU8238" s="29"/>
      <c r="AV8238" s="29"/>
      <c r="AW8238" s="29"/>
      <c r="AX8238" s="29"/>
      <c r="AY8238" s="29"/>
      <c r="AZ8238" s="29"/>
      <c r="BA8238" s="29">
        <v>1666.67</v>
      </c>
      <c r="BB8238" s="29">
        <v>1666.7</v>
      </c>
      <c r="BC8238" s="29">
        <v>1666.7</v>
      </c>
      <c r="BD8238" s="29">
        <v>1666.7</v>
      </c>
      <c r="BE8238" s="29">
        <v>1</v>
      </c>
      <c r="BF8238" s="29"/>
      <c r="BG8238" s="29"/>
      <c r="BH8238" s="29"/>
      <c r="BI8238" s="29"/>
      <c r="BJ8238" s="29"/>
      <c r="BK8238" s="29"/>
      <c r="BL8238" s="29"/>
      <c r="BM8238" s="29"/>
      <c r="BN8238" s="29"/>
      <c r="BO8238" s="29"/>
      <c r="BP8238" s="29"/>
      <c r="BQ8238" s="29"/>
      <c r="BR8238" s="29"/>
      <c r="BS8238" s="29"/>
      <c r="BT8238" s="29"/>
      <c r="BU8238" s="29">
        <v>11</v>
      </c>
    </row>
    <row r="8239" spans="1:73" x14ac:dyDescent="0.35">
      <c r="A8239" s="27" t="s">
        <v>231</v>
      </c>
      <c r="B8239" s="27" t="s">
        <v>262</v>
      </c>
      <c r="C8239" s="29">
        <v>7527.78</v>
      </c>
      <c r="D8239" s="29">
        <v>7666.7</v>
      </c>
      <c r="E8239" s="29">
        <v>3500</v>
      </c>
      <c r="F8239" s="29">
        <v>15000</v>
      </c>
      <c r="G8239" s="29">
        <v>6</v>
      </c>
      <c r="H8239" s="29">
        <v>40000</v>
      </c>
      <c r="I8239" s="29">
        <v>40000</v>
      </c>
      <c r="J8239" s="29">
        <v>40000</v>
      </c>
      <c r="K8239" s="29">
        <v>40000</v>
      </c>
      <c r="L8239" s="29">
        <v>1</v>
      </c>
      <c r="M8239" s="29">
        <v>20000</v>
      </c>
      <c r="N8239" s="29">
        <v>20000</v>
      </c>
      <c r="O8239" s="29">
        <v>20000</v>
      </c>
      <c r="P8239" s="29">
        <v>20000</v>
      </c>
      <c r="Q8239" s="29">
        <v>1</v>
      </c>
      <c r="R8239" s="29"/>
      <c r="S8239" s="29"/>
      <c r="T8239" s="29"/>
      <c r="U8239" s="29"/>
      <c r="V8239" s="29"/>
      <c r="W8239" s="29"/>
      <c r="X8239" s="29"/>
      <c r="Y8239" s="29"/>
      <c r="Z8239" s="29"/>
      <c r="AA8239" s="29"/>
      <c r="AB8239" s="29">
        <v>1361.11</v>
      </c>
      <c r="AC8239" s="29">
        <v>2250</v>
      </c>
      <c r="AD8239" s="29">
        <v>500</v>
      </c>
      <c r="AE8239" s="29">
        <v>2250</v>
      </c>
      <c r="AF8239" s="29">
        <v>3</v>
      </c>
      <c r="AG8239" s="29">
        <v>3100</v>
      </c>
      <c r="AH8239" s="29">
        <v>3100</v>
      </c>
      <c r="AI8239" s="29">
        <v>3100</v>
      </c>
      <c r="AJ8239" s="29">
        <v>3100</v>
      </c>
      <c r="AK8239" s="29">
        <v>1</v>
      </c>
      <c r="AL8239" s="29">
        <v>1000</v>
      </c>
      <c r="AM8239" s="29">
        <v>1000</v>
      </c>
      <c r="AN8239" s="29">
        <v>1000</v>
      </c>
      <c r="AO8239" s="29">
        <v>1000</v>
      </c>
      <c r="AP8239" s="29">
        <v>1</v>
      </c>
      <c r="AQ8239" s="29"/>
      <c r="AR8239" s="29"/>
      <c r="AS8239" s="29"/>
      <c r="AT8239" s="29"/>
      <c r="AU8239" s="29"/>
      <c r="AV8239" s="29"/>
      <c r="AW8239" s="29"/>
      <c r="AX8239" s="29"/>
      <c r="AY8239" s="29"/>
      <c r="AZ8239" s="29"/>
      <c r="BA8239" s="29">
        <v>4000</v>
      </c>
      <c r="BB8239" s="29">
        <v>4000</v>
      </c>
      <c r="BC8239" s="29">
        <v>4000</v>
      </c>
      <c r="BD8239" s="29">
        <v>4000</v>
      </c>
      <c r="BE8239" s="29">
        <v>1</v>
      </c>
      <c r="BF8239" s="29"/>
      <c r="BG8239" s="29"/>
      <c r="BH8239" s="29"/>
      <c r="BI8239" s="29"/>
      <c r="BJ8239" s="29"/>
      <c r="BK8239" s="29"/>
      <c r="BL8239" s="29"/>
      <c r="BM8239" s="29"/>
      <c r="BN8239" s="29"/>
      <c r="BO8239" s="29"/>
      <c r="BP8239" s="29">
        <v>9900</v>
      </c>
      <c r="BQ8239" s="29">
        <v>2300</v>
      </c>
      <c r="BR8239" s="29">
        <v>2300</v>
      </c>
      <c r="BS8239" s="29">
        <v>17500</v>
      </c>
      <c r="BT8239" s="29">
        <v>2</v>
      </c>
      <c r="BU8239" s="29">
        <v>6</v>
      </c>
    </row>
    <row r="8240" spans="1:73" x14ac:dyDescent="0.35">
      <c r="A8240" t="s">
        <v>231</v>
      </c>
      <c r="B8240" t="s">
        <v>260</v>
      </c>
      <c r="C8240">
        <v>12011.16</v>
      </c>
      <c r="D8240">
        <v>8000</v>
      </c>
      <c r="E8240">
        <v>1250</v>
      </c>
      <c r="F8240">
        <v>40000</v>
      </c>
      <c r="G8240" s="30">
        <v>62</v>
      </c>
      <c r="H8240">
        <v>1797.92</v>
      </c>
      <c r="I8240">
        <v>1500</v>
      </c>
      <c r="J8240">
        <v>300</v>
      </c>
      <c r="K8240">
        <v>3750</v>
      </c>
      <c r="L8240" s="30">
        <v>8</v>
      </c>
      <c r="M8240">
        <v>23375</v>
      </c>
      <c r="N8240">
        <v>7500</v>
      </c>
      <c r="O8240">
        <v>250</v>
      </c>
      <c r="P8240">
        <v>93000</v>
      </c>
      <c r="Q8240" s="30">
        <v>8</v>
      </c>
      <c r="R8240">
        <v>1716.67</v>
      </c>
      <c r="S8240">
        <v>3000</v>
      </c>
      <c r="T8240">
        <v>500</v>
      </c>
      <c r="U8240">
        <v>3000</v>
      </c>
      <c r="V8240" s="30">
        <v>5</v>
      </c>
      <c r="AB8240">
        <v>4128.21</v>
      </c>
      <c r="AC8240">
        <v>4000</v>
      </c>
      <c r="AD8240">
        <v>750</v>
      </c>
      <c r="AE8240">
        <v>13200</v>
      </c>
      <c r="AF8240" s="30">
        <v>65</v>
      </c>
      <c r="AG8240">
        <v>1869.88</v>
      </c>
      <c r="AH8240">
        <v>1080</v>
      </c>
      <c r="AI8240">
        <v>106.7</v>
      </c>
      <c r="AJ8240">
        <v>10000</v>
      </c>
      <c r="AK8240" s="30">
        <v>25</v>
      </c>
      <c r="AQ8240">
        <v>4666.67</v>
      </c>
      <c r="AR8240">
        <v>4000</v>
      </c>
      <c r="AS8240">
        <v>666.7</v>
      </c>
      <c r="AT8240">
        <v>10000</v>
      </c>
      <c r="AU8240" s="30">
        <v>4</v>
      </c>
      <c r="BA8240">
        <v>6370.83</v>
      </c>
      <c r="BB8240">
        <v>5000</v>
      </c>
      <c r="BC8240">
        <v>200</v>
      </c>
      <c r="BD8240">
        <v>22750</v>
      </c>
      <c r="BE8240" s="30">
        <v>12</v>
      </c>
      <c r="BK8240">
        <v>500</v>
      </c>
      <c r="BL8240">
        <v>500</v>
      </c>
      <c r="BM8240">
        <v>500</v>
      </c>
      <c r="BN8240">
        <v>500</v>
      </c>
      <c r="BO8240" s="30">
        <v>2</v>
      </c>
      <c r="BP8240">
        <v>2658.33</v>
      </c>
      <c r="BQ8240">
        <v>2500</v>
      </c>
      <c r="BR8240">
        <v>133.30000000000001</v>
      </c>
      <c r="BS8240">
        <v>5000</v>
      </c>
      <c r="BT8240" s="30">
        <v>4</v>
      </c>
      <c r="BU8240">
        <v>65</v>
      </c>
    </row>
    <row r="8241" spans="1:73" x14ac:dyDescent="0.35">
      <c r="A8241" t="s">
        <v>232</v>
      </c>
      <c r="B8241" t="s">
        <v>232</v>
      </c>
      <c r="C8241">
        <v>12841.11</v>
      </c>
      <c r="D8241">
        <v>10000</v>
      </c>
      <c r="E8241">
        <v>333.3</v>
      </c>
      <c r="F8241">
        <v>150000</v>
      </c>
      <c r="G8241" s="30">
        <v>1271</v>
      </c>
      <c r="H8241">
        <v>6272.64</v>
      </c>
      <c r="I8241">
        <v>3333.3</v>
      </c>
      <c r="J8241">
        <v>16.7</v>
      </c>
      <c r="K8241">
        <v>66666.7</v>
      </c>
      <c r="L8241" s="30">
        <v>241</v>
      </c>
      <c r="M8241">
        <v>17578.79</v>
      </c>
      <c r="N8241">
        <v>10000</v>
      </c>
      <c r="O8241">
        <v>250</v>
      </c>
      <c r="P8241">
        <v>150000</v>
      </c>
      <c r="Q8241" s="30">
        <v>109</v>
      </c>
      <c r="R8241">
        <v>2698.25</v>
      </c>
      <c r="S8241">
        <v>1750</v>
      </c>
      <c r="T8241">
        <v>100</v>
      </c>
      <c r="U8241">
        <v>35000</v>
      </c>
      <c r="V8241" s="30">
        <v>92</v>
      </c>
      <c r="W8241">
        <v>1917.18</v>
      </c>
      <c r="X8241">
        <v>2000</v>
      </c>
      <c r="Y8241">
        <v>400</v>
      </c>
      <c r="Z8241">
        <v>5000</v>
      </c>
      <c r="AA8241" s="30">
        <v>264</v>
      </c>
      <c r="AB8241">
        <v>4296.82</v>
      </c>
      <c r="AC8241">
        <v>4000</v>
      </c>
      <c r="AD8241">
        <v>428.6</v>
      </c>
      <c r="AE8241">
        <v>30000</v>
      </c>
      <c r="AF8241" s="30">
        <v>1194</v>
      </c>
      <c r="AG8241">
        <v>2115.1799999999998</v>
      </c>
      <c r="AH8241">
        <v>1400</v>
      </c>
      <c r="AI8241">
        <v>106.7</v>
      </c>
      <c r="AJ8241">
        <v>20000</v>
      </c>
      <c r="AK8241" s="30">
        <v>404</v>
      </c>
      <c r="AL8241">
        <v>5888.89</v>
      </c>
      <c r="AM8241">
        <v>4000</v>
      </c>
      <c r="AN8241">
        <v>100</v>
      </c>
      <c r="AO8241">
        <v>25000</v>
      </c>
      <c r="AP8241" s="30">
        <v>32</v>
      </c>
      <c r="AQ8241">
        <v>5244.2</v>
      </c>
      <c r="AR8241">
        <v>3333.3</v>
      </c>
      <c r="AS8241">
        <v>233.3</v>
      </c>
      <c r="AT8241">
        <v>30000</v>
      </c>
      <c r="AU8241" s="30">
        <v>92</v>
      </c>
      <c r="AV8241">
        <v>1217.7</v>
      </c>
      <c r="AW8241">
        <v>1200</v>
      </c>
      <c r="AX8241">
        <v>241.7</v>
      </c>
      <c r="AY8241">
        <v>3300</v>
      </c>
      <c r="AZ8241" s="30">
        <v>52</v>
      </c>
      <c r="BA8241">
        <v>4143.3599999999997</v>
      </c>
      <c r="BB8241">
        <v>2500</v>
      </c>
      <c r="BC8241">
        <v>75</v>
      </c>
      <c r="BD8241">
        <v>26000</v>
      </c>
      <c r="BE8241" s="30">
        <v>206</v>
      </c>
      <c r="BF8241">
        <v>2109.21</v>
      </c>
      <c r="BG8241">
        <v>1000</v>
      </c>
      <c r="BH8241">
        <v>666.7</v>
      </c>
      <c r="BI8241">
        <v>4000</v>
      </c>
      <c r="BJ8241" s="30">
        <v>3</v>
      </c>
      <c r="BK8241">
        <v>9971.93</v>
      </c>
      <c r="BL8241">
        <v>666.7</v>
      </c>
      <c r="BM8241">
        <v>500</v>
      </c>
      <c r="BN8241">
        <v>75000</v>
      </c>
      <c r="BO8241" s="30">
        <v>14</v>
      </c>
      <c r="BP8241">
        <v>5190.95</v>
      </c>
      <c r="BQ8241">
        <v>3000</v>
      </c>
      <c r="BR8241">
        <v>100</v>
      </c>
      <c r="BS8241">
        <v>40000</v>
      </c>
      <c r="BT8241" s="30">
        <v>87</v>
      </c>
      <c r="BU8241">
        <v>1271</v>
      </c>
    </row>
    <row r="8243" spans="1:73" x14ac:dyDescent="0.35">
      <c r="A8243" s="1" t="s">
        <v>1182</v>
      </c>
    </row>
    <row r="8244" spans="1:73" x14ac:dyDescent="0.35">
      <c r="A8244" t="s">
        <v>219</v>
      </c>
      <c r="B8244" t="s">
        <v>305</v>
      </c>
      <c r="C8244" t="s">
        <v>1105</v>
      </c>
      <c r="D8244" t="s">
        <v>1106</v>
      </c>
      <c r="E8244" t="s">
        <v>1107</v>
      </c>
      <c r="F8244" t="s">
        <v>1108</v>
      </c>
      <c r="G8244" t="s">
        <v>1109</v>
      </c>
      <c r="H8244" t="s">
        <v>1110</v>
      </c>
      <c r="I8244" t="s">
        <v>1111</v>
      </c>
      <c r="J8244" t="s">
        <v>1112</v>
      </c>
      <c r="K8244" t="s">
        <v>1113</v>
      </c>
      <c r="L8244" t="s">
        <v>1114</v>
      </c>
      <c r="M8244" t="s">
        <v>1115</v>
      </c>
      <c r="N8244" t="s">
        <v>1116</v>
      </c>
      <c r="O8244" t="s">
        <v>1117</v>
      </c>
      <c r="P8244" t="s">
        <v>1118</v>
      </c>
      <c r="Q8244" t="s">
        <v>1119</v>
      </c>
      <c r="R8244" t="s">
        <v>1120</v>
      </c>
      <c r="S8244" t="s">
        <v>1121</v>
      </c>
      <c r="T8244" t="s">
        <v>1122</v>
      </c>
      <c r="U8244" t="s">
        <v>1123</v>
      </c>
      <c r="V8244" t="s">
        <v>1124</v>
      </c>
      <c r="W8244" t="s">
        <v>1125</v>
      </c>
      <c r="X8244" t="s">
        <v>1126</v>
      </c>
      <c r="Y8244" t="s">
        <v>1127</v>
      </c>
      <c r="Z8244" t="s">
        <v>1128</v>
      </c>
      <c r="AA8244" t="s">
        <v>1129</v>
      </c>
      <c r="AB8244" t="s">
        <v>1130</v>
      </c>
      <c r="AC8244" t="s">
        <v>1131</v>
      </c>
      <c r="AD8244" t="s">
        <v>1132</v>
      </c>
      <c r="AE8244" t="s">
        <v>1133</v>
      </c>
      <c r="AF8244" t="s">
        <v>1134</v>
      </c>
      <c r="AG8244" t="s">
        <v>1135</v>
      </c>
      <c r="AH8244" t="s">
        <v>1136</v>
      </c>
      <c r="AI8244" t="s">
        <v>1137</v>
      </c>
      <c r="AJ8244" t="s">
        <v>1138</v>
      </c>
      <c r="AK8244" t="s">
        <v>1139</v>
      </c>
      <c r="AL8244" t="s">
        <v>1140</v>
      </c>
      <c r="AM8244" t="s">
        <v>1141</v>
      </c>
      <c r="AN8244" t="s">
        <v>1142</v>
      </c>
      <c r="AO8244" t="s">
        <v>1143</v>
      </c>
      <c r="AP8244" t="s">
        <v>1144</v>
      </c>
      <c r="AQ8244" t="s">
        <v>1145</v>
      </c>
      <c r="AR8244" t="s">
        <v>1146</v>
      </c>
      <c r="AS8244" t="s">
        <v>1147</v>
      </c>
      <c r="AT8244" t="s">
        <v>1148</v>
      </c>
      <c r="AU8244" t="s">
        <v>1149</v>
      </c>
      <c r="AV8244" t="s">
        <v>1150</v>
      </c>
      <c r="AW8244" t="s">
        <v>1151</v>
      </c>
      <c r="AX8244" t="s">
        <v>1152</v>
      </c>
      <c r="AY8244" t="s">
        <v>1153</v>
      </c>
      <c r="AZ8244" t="s">
        <v>1154</v>
      </c>
      <c r="BA8244" t="s">
        <v>1155</v>
      </c>
      <c r="BB8244" t="s">
        <v>1156</v>
      </c>
      <c r="BC8244" t="s">
        <v>1157</v>
      </c>
      <c r="BD8244" t="s">
        <v>1158</v>
      </c>
      <c r="BE8244" t="s">
        <v>1159</v>
      </c>
      <c r="BF8244" t="s">
        <v>1160</v>
      </c>
      <c r="BG8244" t="s">
        <v>1161</v>
      </c>
      <c r="BH8244" t="s">
        <v>1162</v>
      </c>
      <c r="BI8244" t="s">
        <v>1163</v>
      </c>
      <c r="BJ8244" t="s">
        <v>1164</v>
      </c>
      <c r="BK8244" t="s">
        <v>1165</v>
      </c>
      <c r="BL8244" t="s">
        <v>1166</v>
      </c>
      <c r="BM8244" t="s">
        <v>1167</v>
      </c>
      <c r="BN8244" t="s">
        <v>1168</v>
      </c>
      <c r="BO8244" t="s">
        <v>1169</v>
      </c>
      <c r="BP8244" t="s">
        <v>1170</v>
      </c>
      <c r="BQ8244" t="s">
        <v>1171</v>
      </c>
      <c r="BR8244" t="s">
        <v>1172</v>
      </c>
      <c r="BS8244" t="s">
        <v>1173</v>
      </c>
      <c r="BT8244" t="s">
        <v>1174</v>
      </c>
      <c r="BU8244" t="s">
        <v>964</v>
      </c>
    </row>
    <row r="8245" spans="1:73" x14ac:dyDescent="0.35">
      <c r="A8245" s="27" t="s">
        <v>227</v>
      </c>
      <c r="B8245" s="27" t="s">
        <v>368</v>
      </c>
      <c r="C8245" s="29">
        <v>11081.61</v>
      </c>
      <c r="D8245" s="29">
        <v>7500</v>
      </c>
      <c r="E8245" s="29">
        <v>2000</v>
      </c>
      <c r="F8245" s="29">
        <v>37896</v>
      </c>
      <c r="G8245" s="29">
        <v>12</v>
      </c>
      <c r="H8245" s="29">
        <v>875</v>
      </c>
      <c r="I8245" s="29">
        <v>750</v>
      </c>
      <c r="J8245" s="29">
        <v>750</v>
      </c>
      <c r="K8245" s="29">
        <v>1000</v>
      </c>
      <c r="L8245" s="29">
        <v>2</v>
      </c>
      <c r="M8245" s="29">
        <v>30000</v>
      </c>
      <c r="N8245" s="29">
        <v>30000</v>
      </c>
      <c r="O8245" s="29">
        <v>30000</v>
      </c>
      <c r="P8245" s="29">
        <v>30000</v>
      </c>
      <c r="Q8245" s="29">
        <v>1</v>
      </c>
      <c r="R8245" s="29">
        <v>300</v>
      </c>
      <c r="S8245" s="29">
        <v>300</v>
      </c>
      <c r="T8245" s="29">
        <v>300</v>
      </c>
      <c r="U8245" s="29">
        <v>300</v>
      </c>
      <c r="V8245" s="29">
        <v>1</v>
      </c>
      <c r="W8245" s="29">
        <v>2001.75</v>
      </c>
      <c r="X8245" s="29">
        <v>2000</v>
      </c>
      <c r="Y8245" s="29">
        <v>1000</v>
      </c>
      <c r="Z8245" s="29">
        <v>3000</v>
      </c>
      <c r="AA8245" s="29">
        <v>19</v>
      </c>
      <c r="AB8245" s="29">
        <v>5119.3</v>
      </c>
      <c r="AC8245" s="29">
        <v>5000</v>
      </c>
      <c r="AD8245" s="29">
        <v>1600</v>
      </c>
      <c r="AE8245" s="29">
        <v>10000</v>
      </c>
      <c r="AF8245" s="29">
        <v>19</v>
      </c>
      <c r="AG8245" s="29">
        <v>2108.79</v>
      </c>
      <c r="AH8245" s="29">
        <v>1500</v>
      </c>
      <c r="AI8245" s="29">
        <v>787</v>
      </c>
      <c r="AJ8245" s="29">
        <v>3333.3</v>
      </c>
      <c r="AK8245" s="29">
        <v>8</v>
      </c>
      <c r="AL8245" s="29"/>
      <c r="AM8245" s="29"/>
      <c r="AN8245" s="29"/>
      <c r="AO8245" s="29"/>
      <c r="AP8245" s="29"/>
      <c r="AQ8245" s="29">
        <v>2500</v>
      </c>
      <c r="AR8245" s="29">
        <v>2500</v>
      </c>
      <c r="AS8245" s="29">
        <v>2500</v>
      </c>
      <c r="AT8245" s="29">
        <v>2500</v>
      </c>
      <c r="AU8245" s="29">
        <v>1</v>
      </c>
      <c r="AV8245" s="29"/>
      <c r="AW8245" s="29"/>
      <c r="AX8245" s="29"/>
      <c r="AY8245" s="29"/>
      <c r="AZ8245" s="29"/>
      <c r="BA8245" s="29">
        <v>3800</v>
      </c>
      <c r="BB8245" s="29">
        <v>4000</v>
      </c>
      <c r="BC8245" s="29">
        <v>1500</v>
      </c>
      <c r="BD8245" s="29">
        <v>7500</v>
      </c>
      <c r="BE8245" s="29">
        <v>5</v>
      </c>
      <c r="BF8245" s="29"/>
      <c r="BG8245" s="29"/>
      <c r="BH8245" s="29"/>
      <c r="BI8245" s="29"/>
      <c r="BJ8245" s="29"/>
      <c r="BK8245" s="29"/>
      <c r="BL8245" s="29"/>
      <c r="BM8245" s="29"/>
      <c r="BN8245" s="29"/>
      <c r="BO8245" s="29"/>
      <c r="BP8245" s="29"/>
      <c r="BQ8245" s="29"/>
      <c r="BR8245" s="29"/>
      <c r="BS8245" s="29"/>
      <c r="BT8245" s="29"/>
      <c r="BU8245" s="29">
        <v>19</v>
      </c>
    </row>
    <row r="8246" spans="1:73" x14ac:dyDescent="0.35">
      <c r="A8246" t="s">
        <v>227</v>
      </c>
      <c r="B8246" t="s">
        <v>369</v>
      </c>
      <c r="C8246">
        <v>10135.549999999999</v>
      </c>
      <c r="D8246">
        <v>7500</v>
      </c>
      <c r="E8246">
        <v>500</v>
      </c>
      <c r="F8246">
        <v>60000</v>
      </c>
      <c r="G8246" s="30">
        <v>72</v>
      </c>
      <c r="H8246">
        <v>5541.11</v>
      </c>
      <c r="I8246">
        <v>5000</v>
      </c>
      <c r="J8246">
        <v>500</v>
      </c>
      <c r="K8246">
        <v>20000</v>
      </c>
      <c r="L8246" s="30">
        <v>15</v>
      </c>
      <c r="M8246">
        <v>12222.22</v>
      </c>
      <c r="N8246">
        <v>13333.3</v>
      </c>
      <c r="O8246">
        <v>10000</v>
      </c>
      <c r="P8246">
        <v>13333.3</v>
      </c>
      <c r="Q8246" s="30">
        <v>3</v>
      </c>
      <c r="R8246">
        <v>4000</v>
      </c>
      <c r="S8246">
        <v>6666.7</v>
      </c>
      <c r="T8246">
        <v>1000</v>
      </c>
      <c r="U8246">
        <v>9000</v>
      </c>
      <c r="V8246" s="30">
        <v>5</v>
      </c>
      <c r="AB8246">
        <v>3752.71</v>
      </c>
      <c r="AC8246">
        <v>4000</v>
      </c>
      <c r="AD8246">
        <v>625</v>
      </c>
      <c r="AE8246">
        <v>8000</v>
      </c>
      <c r="AF8246" s="30">
        <v>49</v>
      </c>
      <c r="AG8246">
        <v>2893.21</v>
      </c>
      <c r="AH8246">
        <v>2033.3</v>
      </c>
      <c r="AI8246">
        <v>215</v>
      </c>
      <c r="AJ8246">
        <v>13900</v>
      </c>
      <c r="AK8246" s="30">
        <v>19</v>
      </c>
      <c r="AL8246">
        <v>550</v>
      </c>
      <c r="AM8246">
        <v>100</v>
      </c>
      <c r="AN8246">
        <v>100</v>
      </c>
      <c r="AO8246">
        <v>1000</v>
      </c>
      <c r="AP8246" s="30">
        <v>2</v>
      </c>
      <c r="AQ8246">
        <v>3444.44</v>
      </c>
      <c r="AR8246">
        <v>4500</v>
      </c>
      <c r="AS8246">
        <v>2500</v>
      </c>
      <c r="AT8246">
        <v>4500</v>
      </c>
      <c r="AU8246" s="30">
        <v>3</v>
      </c>
      <c r="BA8246">
        <v>3312.5</v>
      </c>
      <c r="BB8246">
        <v>2000</v>
      </c>
      <c r="BC8246">
        <v>1000</v>
      </c>
      <c r="BD8246">
        <v>7500</v>
      </c>
      <c r="BE8246" s="30">
        <v>12</v>
      </c>
      <c r="BP8246">
        <v>4448.1000000000004</v>
      </c>
      <c r="BQ8246">
        <v>1666.7</v>
      </c>
      <c r="BR8246">
        <v>200</v>
      </c>
      <c r="BS8246">
        <v>20000</v>
      </c>
      <c r="BT8246" s="30">
        <v>7</v>
      </c>
      <c r="BU8246">
        <v>72</v>
      </c>
    </row>
    <row r="8247" spans="1:73" x14ac:dyDescent="0.35">
      <c r="A8247" t="s">
        <v>228</v>
      </c>
      <c r="B8247" t="s">
        <v>368</v>
      </c>
      <c r="C8247">
        <v>13383.05</v>
      </c>
      <c r="D8247">
        <v>10000</v>
      </c>
      <c r="E8247">
        <v>1333.3</v>
      </c>
      <c r="F8247">
        <v>55500</v>
      </c>
      <c r="G8247" s="30">
        <v>65</v>
      </c>
      <c r="H8247">
        <v>5484.36</v>
      </c>
      <c r="I8247">
        <v>6250</v>
      </c>
      <c r="J8247">
        <v>666.7</v>
      </c>
      <c r="K8247">
        <v>8333.2999999999993</v>
      </c>
      <c r="L8247" s="30">
        <v>12</v>
      </c>
      <c r="M8247">
        <v>4387.42</v>
      </c>
      <c r="N8247">
        <v>4000</v>
      </c>
      <c r="O8247">
        <v>4000</v>
      </c>
      <c r="P8247">
        <v>7500</v>
      </c>
      <c r="Q8247" s="30">
        <v>2</v>
      </c>
      <c r="R8247">
        <v>2238.9299999999998</v>
      </c>
      <c r="S8247">
        <v>3750</v>
      </c>
      <c r="T8247">
        <v>500</v>
      </c>
      <c r="U8247">
        <v>3750</v>
      </c>
      <c r="V8247" s="30">
        <v>2</v>
      </c>
      <c r="W8247">
        <v>1859.58</v>
      </c>
      <c r="X8247">
        <v>2000</v>
      </c>
      <c r="Y8247">
        <v>400</v>
      </c>
      <c r="Z8247">
        <v>5000</v>
      </c>
      <c r="AA8247" s="30">
        <v>91</v>
      </c>
      <c r="AB8247">
        <v>4840.3100000000004</v>
      </c>
      <c r="AC8247">
        <v>4000</v>
      </c>
      <c r="AD8247">
        <v>571.4</v>
      </c>
      <c r="AE8247">
        <v>27000</v>
      </c>
      <c r="AF8247" s="30">
        <v>95</v>
      </c>
      <c r="AG8247">
        <v>1293.51</v>
      </c>
      <c r="AH8247">
        <v>1500</v>
      </c>
      <c r="AI8247">
        <v>160</v>
      </c>
      <c r="AJ8247">
        <v>8000</v>
      </c>
      <c r="AK8247" s="30">
        <v>27</v>
      </c>
      <c r="AQ8247">
        <v>6160.77</v>
      </c>
      <c r="AR8247">
        <v>2500</v>
      </c>
      <c r="AS8247">
        <v>666.7</v>
      </c>
      <c r="AT8247">
        <v>16666.7</v>
      </c>
      <c r="AU8247" s="30">
        <v>9</v>
      </c>
      <c r="AV8247">
        <v>1054.54</v>
      </c>
      <c r="AW8247">
        <v>1200</v>
      </c>
      <c r="AX8247">
        <v>1000</v>
      </c>
      <c r="AY8247">
        <v>1300</v>
      </c>
      <c r="AZ8247" s="30">
        <v>3</v>
      </c>
      <c r="BA8247">
        <v>1927.69</v>
      </c>
      <c r="BB8247">
        <v>1750</v>
      </c>
      <c r="BC8247">
        <v>100</v>
      </c>
      <c r="BD8247">
        <v>10000</v>
      </c>
      <c r="BE8247" s="30">
        <v>12</v>
      </c>
      <c r="BP8247">
        <v>4399.67</v>
      </c>
      <c r="BQ8247">
        <v>7500</v>
      </c>
      <c r="BR8247">
        <v>256</v>
      </c>
      <c r="BS8247">
        <v>7500</v>
      </c>
      <c r="BT8247" s="30">
        <v>6</v>
      </c>
      <c r="BU8247">
        <v>95</v>
      </c>
    </row>
    <row r="8248" spans="1:73" x14ac:dyDescent="0.35">
      <c r="A8248" t="s">
        <v>228</v>
      </c>
      <c r="B8248" t="s">
        <v>369</v>
      </c>
      <c r="C8248">
        <v>12204.06</v>
      </c>
      <c r="D8248">
        <v>8750</v>
      </c>
      <c r="E8248">
        <v>666.7</v>
      </c>
      <c r="F8248">
        <v>80000</v>
      </c>
      <c r="G8248" s="30">
        <v>350</v>
      </c>
      <c r="H8248">
        <v>5046.3500000000004</v>
      </c>
      <c r="I8248">
        <v>4000</v>
      </c>
      <c r="J8248">
        <v>500</v>
      </c>
      <c r="K8248">
        <v>39000</v>
      </c>
      <c r="L8248" s="30">
        <v>73</v>
      </c>
      <c r="M8248">
        <v>16495.93</v>
      </c>
      <c r="N8248">
        <v>6750</v>
      </c>
      <c r="O8248">
        <v>1250</v>
      </c>
      <c r="P8248">
        <v>70000</v>
      </c>
      <c r="Q8248" s="30">
        <v>34</v>
      </c>
      <c r="R8248">
        <v>3205.33</v>
      </c>
      <c r="S8248">
        <v>3100</v>
      </c>
      <c r="T8248">
        <v>450</v>
      </c>
      <c r="U8248">
        <v>30000</v>
      </c>
      <c r="V8248" s="30">
        <v>21</v>
      </c>
      <c r="W8248">
        <v>1803.3</v>
      </c>
      <c r="X8248">
        <v>2000</v>
      </c>
      <c r="Y8248">
        <v>400</v>
      </c>
      <c r="Z8248">
        <v>5000</v>
      </c>
      <c r="AA8248" s="30">
        <v>42</v>
      </c>
      <c r="AB8248">
        <v>4422.8599999999997</v>
      </c>
      <c r="AC8248">
        <v>4000</v>
      </c>
      <c r="AD8248">
        <v>428.6</v>
      </c>
      <c r="AE8248">
        <v>15000</v>
      </c>
      <c r="AF8248" s="30">
        <v>398</v>
      </c>
      <c r="AG8248">
        <v>1805.62</v>
      </c>
      <c r="AH8248">
        <v>1500</v>
      </c>
      <c r="AI8248">
        <v>172</v>
      </c>
      <c r="AJ8248">
        <v>9850</v>
      </c>
      <c r="AK8248" s="30">
        <v>114</v>
      </c>
      <c r="AL8248">
        <v>4816.13</v>
      </c>
      <c r="AM8248">
        <v>1900</v>
      </c>
      <c r="AN8248">
        <v>333.3</v>
      </c>
      <c r="AO8248">
        <v>18000</v>
      </c>
      <c r="AP8248" s="30">
        <v>11</v>
      </c>
      <c r="AQ8248">
        <v>6022.58</v>
      </c>
      <c r="AR8248">
        <v>2000</v>
      </c>
      <c r="AS8248">
        <v>233.3</v>
      </c>
      <c r="AT8248">
        <v>30000</v>
      </c>
      <c r="AU8248" s="30">
        <v>27</v>
      </c>
      <c r="AV8248">
        <v>992.16</v>
      </c>
      <c r="AW8248">
        <v>1200</v>
      </c>
      <c r="AX8248">
        <v>400</v>
      </c>
      <c r="AY8248">
        <v>1600</v>
      </c>
      <c r="AZ8248" s="30">
        <v>21</v>
      </c>
      <c r="BA8248">
        <v>4620.42</v>
      </c>
      <c r="BB8248">
        <v>2500</v>
      </c>
      <c r="BC8248">
        <v>166.7</v>
      </c>
      <c r="BD8248">
        <v>26000</v>
      </c>
      <c r="BE8248" s="30">
        <v>52</v>
      </c>
      <c r="BF8248">
        <v>1000</v>
      </c>
      <c r="BG8248">
        <v>1000</v>
      </c>
      <c r="BH8248">
        <v>1000</v>
      </c>
      <c r="BI8248">
        <v>1000</v>
      </c>
      <c r="BJ8248" s="30">
        <v>1</v>
      </c>
      <c r="BK8248">
        <v>1332.47</v>
      </c>
      <c r="BL8248">
        <v>1450</v>
      </c>
      <c r="BM8248">
        <v>500</v>
      </c>
      <c r="BN8248">
        <v>21750</v>
      </c>
      <c r="BO8248" s="30">
        <v>4</v>
      </c>
      <c r="BP8248">
        <v>5841.87</v>
      </c>
      <c r="BQ8248">
        <v>4200</v>
      </c>
      <c r="BR8248">
        <v>100</v>
      </c>
      <c r="BS8248">
        <v>25300</v>
      </c>
      <c r="BT8248" s="30">
        <v>18</v>
      </c>
      <c r="BU8248">
        <v>398</v>
      </c>
    </row>
    <row r="8249" spans="1:73" x14ac:dyDescent="0.35">
      <c r="A8249" t="s">
        <v>229</v>
      </c>
      <c r="B8249" t="s">
        <v>368</v>
      </c>
      <c r="C8249">
        <v>16454.09</v>
      </c>
      <c r="D8249">
        <v>12500</v>
      </c>
      <c r="E8249">
        <v>607.70000000000005</v>
      </c>
      <c r="F8249">
        <v>65000</v>
      </c>
      <c r="G8249" s="30">
        <v>44</v>
      </c>
      <c r="H8249">
        <v>4847.91</v>
      </c>
      <c r="I8249">
        <v>7500</v>
      </c>
      <c r="J8249">
        <v>1000</v>
      </c>
      <c r="K8249">
        <v>7500</v>
      </c>
      <c r="L8249" s="30">
        <v>9</v>
      </c>
      <c r="M8249">
        <v>4451.16</v>
      </c>
      <c r="N8249">
        <v>4250</v>
      </c>
      <c r="O8249">
        <v>3000</v>
      </c>
      <c r="P8249">
        <v>10000</v>
      </c>
      <c r="Q8249" s="30">
        <v>3</v>
      </c>
      <c r="W8249">
        <v>1868.13</v>
      </c>
      <c r="X8249">
        <v>2000</v>
      </c>
      <c r="Y8249">
        <v>666.7</v>
      </c>
      <c r="Z8249">
        <v>3150</v>
      </c>
      <c r="AA8249" s="30">
        <v>44</v>
      </c>
      <c r="AB8249">
        <v>4704.95</v>
      </c>
      <c r="AC8249">
        <v>4500</v>
      </c>
      <c r="AD8249">
        <v>1000</v>
      </c>
      <c r="AE8249">
        <v>8500</v>
      </c>
      <c r="AF8249" s="30">
        <v>31</v>
      </c>
      <c r="AG8249">
        <v>1873.61</v>
      </c>
      <c r="AH8249">
        <v>2000</v>
      </c>
      <c r="AI8249">
        <v>286.7</v>
      </c>
      <c r="AJ8249">
        <v>4000</v>
      </c>
      <c r="AK8249" s="30">
        <v>21</v>
      </c>
      <c r="AL8249">
        <v>4375</v>
      </c>
      <c r="AM8249">
        <v>3750</v>
      </c>
      <c r="AN8249">
        <v>3750</v>
      </c>
      <c r="AO8249">
        <v>5000</v>
      </c>
      <c r="AP8249" s="30">
        <v>2</v>
      </c>
      <c r="AQ8249">
        <v>10415.61</v>
      </c>
      <c r="AR8249">
        <v>10000</v>
      </c>
      <c r="AS8249">
        <v>2500</v>
      </c>
      <c r="AT8249">
        <v>20000</v>
      </c>
      <c r="AU8249" s="30">
        <v>5</v>
      </c>
      <c r="BA8249">
        <v>3442.17</v>
      </c>
      <c r="BB8249">
        <v>2500</v>
      </c>
      <c r="BC8249">
        <v>250</v>
      </c>
      <c r="BD8249">
        <v>10000</v>
      </c>
      <c r="BE8249" s="30">
        <v>8</v>
      </c>
      <c r="BP8249">
        <v>5846.25</v>
      </c>
      <c r="BQ8249">
        <v>6666.7</v>
      </c>
      <c r="BR8249">
        <v>600</v>
      </c>
      <c r="BS8249">
        <v>6666.7</v>
      </c>
      <c r="BT8249" s="30">
        <v>3</v>
      </c>
      <c r="BU8249">
        <v>44</v>
      </c>
    </row>
    <row r="8250" spans="1:73" x14ac:dyDescent="0.35">
      <c r="A8250" t="s">
        <v>229</v>
      </c>
      <c r="B8250" t="s">
        <v>369</v>
      </c>
      <c r="C8250">
        <v>15354.66</v>
      </c>
      <c r="D8250">
        <v>13333.3</v>
      </c>
      <c r="E8250">
        <v>500</v>
      </c>
      <c r="F8250">
        <v>150000</v>
      </c>
      <c r="G8250" s="30">
        <v>408</v>
      </c>
      <c r="H8250">
        <v>9658.9</v>
      </c>
      <c r="I8250">
        <v>5000</v>
      </c>
      <c r="J8250">
        <v>16.7</v>
      </c>
      <c r="K8250">
        <v>66666.7</v>
      </c>
      <c r="L8250" s="30">
        <v>61</v>
      </c>
      <c r="M8250">
        <v>11657.54</v>
      </c>
      <c r="N8250">
        <v>10000</v>
      </c>
      <c r="O8250">
        <v>750</v>
      </c>
      <c r="P8250">
        <v>33333.300000000003</v>
      </c>
      <c r="Q8250" s="30">
        <v>34</v>
      </c>
      <c r="R8250">
        <v>2780.97</v>
      </c>
      <c r="S8250">
        <v>1000</v>
      </c>
      <c r="T8250">
        <v>100</v>
      </c>
      <c r="U8250">
        <v>35000</v>
      </c>
      <c r="V8250" s="30">
        <v>37</v>
      </c>
      <c r="W8250">
        <v>2126.84</v>
      </c>
      <c r="X8250">
        <v>3000</v>
      </c>
      <c r="Y8250">
        <v>500</v>
      </c>
      <c r="Z8250">
        <v>3000</v>
      </c>
      <c r="AA8250" s="30">
        <v>9</v>
      </c>
      <c r="AB8250">
        <v>4627.1099999999997</v>
      </c>
      <c r="AC8250">
        <v>3700</v>
      </c>
      <c r="AD8250">
        <v>460</v>
      </c>
      <c r="AE8250">
        <v>30000</v>
      </c>
      <c r="AF8250" s="30">
        <v>282</v>
      </c>
      <c r="AG8250">
        <v>2497.6999999999998</v>
      </c>
      <c r="AH8250">
        <v>1350</v>
      </c>
      <c r="AI8250">
        <v>150</v>
      </c>
      <c r="AJ8250">
        <v>20000</v>
      </c>
      <c r="AK8250" s="30">
        <v>101</v>
      </c>
      <c r="AL8250">
        <v>9246</v>
      </c>
      <c r="AM8250">
        <v>10000</v>
      </c>
      <c r="AN8250">
        <v>608</v>
      </c>
      <c r="AO8250">
        <v>15000</v>
      </c>
      <c r="AP8250" s="30">
        <v>5</v>
      </c>
      <c r="AQ8250">
        <v>3964.49</v>
      </c>
      <c r="AR8250">
        <v>3333.3</v>
      </c>
      <c r="AS8250">
        <v>833.3</v>
      </c>
      <c r="AT8250">
        <v>20000</v>
      </c>
      <c r="AU8250" s="30">
        <v>20</v>
      </c>
      <c r="AV8250">
        <v>500</v>
      </c>
      <c r="AW8250">
        <v>500</v>
      </c>
      <c r="AX8250">
        <v>500</v>
      </c>
      <c r="AY8250">
        <v>500</v>
      </c>
      <c r="AZ8250" s="30">
        <v>2</v>
      </c>
      <c r="BA8250">
        <v>3152.39</v>
      </c>
      <c r="BB8250">
        <v>3000</v>
      </c>
      <c r="BC8250">
        <v>75</v>
      </c>
      <c r="BD8250">
        <v>20000</v>
      </c>
      <c r="BE8250" s="30">
        <v>49</v>
      </c>
      <c r="BF8250">
        <v>2184.35</v>
      </c>
      <c r="BG8250">
        <v>666.7</v>
      </c>
      <c r="BH8250">
        <v>666.7</v>
      </c>
      <c r="BI8250">
        <v>4000</v>
      </c>
      <c r="BJ8250" s="30">
        <v>2</v>
      </c>
      <c r="BK8250">
        <v>38165.269999999997</v>
      </c>
      <c r="BL8250">
        <v>75000</v>
      </c>
      <c r="BM8250">
        <v>3333.3</v>
      </c>
      <c r="BN8250">
        <v>75000</v>
      </c>
      <c r="BO8250" s="30">
        <v>3</v>
      </c>
      <c r="BP8250">
        <v>6595.56</v>
      </c>
      <c r="BQ8250">
        <v>5000</v>
      </c>
      <c r="BR8250">
        <v>125</v>
      </c>
      <c r="BS8250">
        <v>40000</v>
      </c>
      <c r="BT8250" s="30">
        <v>31</v>
      </c>
      <c r="BU8250">
        <v>408</v>
      </c>
    </row>
    <row r="8251" spans="1:73" x14ac:dyDescent="0.35">
      <c r="A8251" t="s">
        <v>230</v>
      </c>
      <c r="B8251" t="s">
        <v>368</v>
      </c>
      <c r="C8251">
        <v>13823.35</v>
      </c>
      <c r="D8251">
        <v>6500</v>
      </c>
      <c r="E8251">
        <v>1083.3</v>
      </c>
      <c r="F8251">
        <v>75000</v>
      </c>
      <c r="G8251" s="30">
        <v>30</v>
      </c>
      <c r="H8251">
        <v>4012.35</v>
      </c>
      <c r="I8251">
        <v>6500</v>
      </c>
      <c r="J8251">
        <v>500</v>
      </c>
      <c r="K8251">
        <v>7500</v>
      </c>
      <c r="L8251" s="30">
        <v>7</v>
      </c>
      <c r="R8251">
        <v>2310.15</v>
      </c>
      <c r="S8251">
        <v>600</v>
      </c>
      <c r="T8251">
        <v>600</v>
      </c>
      <c r="U8251">
        <v>8000</v>
      </c>
      <c r="V8251" s="30">
        <v>2</v>
      </c>
      <c r="W8251">
        <v>1865.56</v>
      </c>
      <c r="X8251">
        <v>2000</v>
      </c>
      <c r="Y8251">
        <v>666.7</v>
      </c>
      <c r="Z8251">
        <v>3000</v>
      </c>
      <c r="AA8251" s="30">
        <v>23</v>
      </c>
      <c r="AB8251">
        <v>4246.09</v>
      </c>
      <c r="AC8251">
        <v>3700</v>
      </c>
      <c r="AD8251">
        <v>1000</v>
      </c>
      <c r="AE8251">
        <v>9666.7000000000007</v>
      </c>
      <c r="AF8251" s="30">
        <v>20</v>
      </c>
      <c r="AG8251">
        <v>3079.31</v>
      </c>
      <c r="AH8251">
        <v>2300</v>
      </c>
      <c r="AI8251">
        <v>1100</v>
      </c>
      <c r="AJ8251">
        <v>7000</v>
      </c>
      <c r="AK8251" s="30">
        <v>9</v>
      </c>
      <c r="AL8251">
        <v>2500</v>
      </c>
      <c r="AM8251">
        <v>2500</v>
      </c>
      <c r="AN8251">
        <v>2500</v>
      </c>
      <c r="AO8251">
        <v>2500</v>
      </c>
      <c r="AP8251" s="30">
        <v>1</v>
      </c>
      <c r="AQ8251">
        <v>5000</v>
      </c>
      <c r="AR8251">
        <v>5000</v>
      </c>
      <c r="AS8251">
        <v>5000</v>
      </c>
      <c r="AT8251">
        <v>5000</v>
      </c>
      <c r="AU8251" s="30">
        <v>1</v>
      </c>
      <c r="AV8251">
        <v>1780.58</v>
      </c>
      <c r="AW8251">
        <v>2000</v>
      </c>
      <c r="AX8251">
        <v>480</v>
      </c>
      <c r="AY8251">
        <v>2000</v>
      </c>
      <c r="AZ8251" s="30">
        <v>2</v>
      </c>
      <c r="BA8251">
        <v>1000</v>
      </c>
      <c r="BB8251">
        <v>1000</v>
      </c>
      <c r="BC8251">
        <v>1000</v>
      </c>
      <c r="BD8251">
        <v>1000</v>
      </c>
      <c r="BE8251" s="30">
        <v>3</v>
      </c>
      <c r="BU8251">
        <v>30</v>
      </c>
    </row>
    <row r="8252" spans="1:73" x14ac:dyDescent="0.35">
      <c r="A8252" t="s">
        <v>230</v>
      </c>
      <c r="B8252" t="s">
        <v>369</v>
      </c>
      <c r="C8252">
        <v>11292.05</v>
      </c>
      <c r="D8252">
        <v>10000</v>
      </c>
      <c r="E8252">
        <v>333.3</v>
      </c>
      <c r="F8252">
        <v>75000</v>
      </c>
      <c r="G8252" s="30">
        <v>213</v>
      </c>
      <c r="H8252">
        <v>5037.1099999999997</v>
      </c>
      <c r="I8252">
        <v>3333.3</v>
      </c>
      <c r="J8252">
        <v>200</v>
      </c>
      <c r="K8252">
        <v>21000</v>
      </c>
      <c r="L8252" s="30">
        <v>52</v>
      </c>
      <c r="M8252">
        <v>30202.17</v>
      </c>
      <c r="N8252">
        <v>15000</v>
      </c>
      <c r="O8252">
        <v>666.7</v>
      </c>
      <c r="P8252">
        <v>150000</v>
      </c>
      <c r="Q8252" s="30">
        <v>22</v>
      </c>
      <c r="R8252">
        <v>3351.04</v>
      </c>
      <c r="S8252">
        <v>2833.3</v>
      </c>
      <c r="T8252">
        <v>600</v>
      </c>
      <c r="U8252">
        <v>8000</v>
      </c>
      <c r="V8252" s="30">
        <v>19</v>
      </c>
      <c r="W8252">
        <v>2067.5100000000002</v>
      </c>
      <c r="X8252">
        <v>3000</v>
      </c>
      <c r="Y8252">
        <v>666.7</v>
      </c>
      <c r="Z8252">
        <v>3000</v>
      </c>
      <c r="AA8252" s="30">
        <v>24</v>
      </c>
      <c r="AB8252">
        <v>4000.6</v>
      </c>
      <c r="AC8252">
        <v>3200</v>
      </c>
      <c r="AD8252">
        <v>575</v>
      </c>
      <c r="AE8252">
        <v>18000</v>
      </c>
      <c r="AF8252" s="30">
        <v>221</v>
      </c>
      <c r="AG8252">
        <v>1698.78</v>
      </c>
      <c r="AH8252">
        <v>1100</v>
      </c>
      <c r="AI8252">
        <v>172</v>
      </c>
      <c r="AJ8252">
        <v>10000</v>
      </c>
      <c r="AK8252" s="30">
        <v>77</v>
      </c>
      <c r="AL8252">
        <v>11959.84</v>
      </c>
      <c r="AM8252">
        <v>15000</v>
      </c>
      <c r="AN8252">
        <v>500</v>
      </c>
      <c r="AO8252">
        <v>25000</v>
      </c>
      <c r="AP8252" s="30">
        <v>9</v>
      </c>
      <c r="AQ8252">
        <v>5995.27</v>
      </c>
      <c r="AR8252">
        <v>4000</v>
      </c>
      <c r="AS8252">
        <v>250</v>
      </c>
      <c r="AT8252">
        <v>20000</v>
      </c>
      <c r="AU8252" s="30">
        <v>22</v>
      </c>
      <c r="AV8252">
        <v>1592.46</v>
      </c>
      <c r="AW8252">
        <v>1200</v>
      </c>
      <c r="AX8252">
        <v>241.7</v>
      </c>
      <c r="AY8252">
        <v>3300</v>
      </c>
      <c r="AZ8252" s="30">
        <v>24</v>
      </c>
      <c r="BA8252">
        <v>3349.71</v>
      </c>
      <c r="BB8252">
        <v>3000</v>
      </c>
      <c r="BC8252">
        <v>333.3</v>
      </c>
      <c r="BD8252">
        <v>20000</v>
      </c>
      <c r="BE8252" s="30">
        <v>50</v>
      </c>
      <c r="BK8252">
        <v>5971.11</v>
      </c>
      <c r="BL8252">
        <v>10000</v>
      </c>
      <c r="BM8252">
        <v>1000</v>
      </c>
      <c r="BN8252">
        <v>10000</v>
      </c>
      <c r="BO8252" s="30">
        <v>5</v>
      </c>
      <c r="BP8252">
        <v>2203.9699999999998</v>
      </c>
      <c r="BQ8252">
        <v>1200</v>
      </c>
      <c r="BR8252">
        <v>400</v>
      </c>
      <c r="BS8252">
        <v>6000</v>
      </c>
      <c r="BT8252" s="30">
        <v>16</v>
      </c>
      <c r="BU8252">
        <v>221</v>
      </c>
    </row>
    <row r="8253" spans="1:73" x14ac:dyDescent="0.35">
      <c r="A8253" s="27" t="s">
        <v>231</v>
      </c>
      <c r="B8253" s="27" t="s">
        <v>368</v>
      </c>
      <c r="C8253" s="29">
        <v>15611.11</v>
      </c>
      <c r="D8253" s="29">
        <v>14000</v>
      </c>
      <c r="E8253" s="29">
        <v>5000</v>
      </c>
      <c r="F8253" s="29">
        <v>40000</v>
      </c>
      <c r="G8253" s="29">
        <v>9</v>
      </c>
      <c r="H8253" s="29">
        <v>3000</v>
      </c>
      <c r="I8253" s="29">
        <v>3000</v>
      </c>
      <c r="J8253" s="29">
        <v>3000</v>
      </c>
      <c r="K8253" s="29">
        <v>3000</v>
      </c>
      <c r="L8253" s="29">
        <v>1</v>
      </c>
      <c r="M8253" s="29">
        <v>12666.67</v>
      </c>
      <c r="N8253" s="29">
        <v>12666.7</v>
      </c>
      <c r="O8253" s="29">
        <v>12666.7</v>
      </c>
      <c r="P8253" s="29">
        <v>12666.7</v>
      </c>
      <c r="Q8253" s="29">
        <v>1</v>
      </c>
      <c r="R8253" s="29"/>
      <c r="S8253" s="29"/>
      <c r="T8253" s="29"/>
      <c r="U8253" s="29"/>
      <c r="V8253" s="29"/>
      <c r="W8253" s="29">
        <v>1942.42</v>
      </c>
      <c r="X8253" s="29">
        <v>2000</v>
      </c>
      <c r="Y8253" s="29">
        <v>666.7</v>
      </c>
      <c r="Z8253" s="29">
        <v>3000</v>
      </c>
      <c r="AA8253" s="29">
        <v>11</v>
      </c>
      <c r="AB8253" s="29">
        <v>4236.67</v>
      </c>
      <c r="AC8253" s="29">
        <v>2600</v>
      </c>
      <c r="AD8253" s="29">
        <v>1000</v>
      </c>
      <c r="AE8253" s="29">
        <v>11000</v>
      </c>
      <c r="AF8253" s="29">
        <v>10</v>
      </c>
      <c r="AG8253" s="29">
        <v>1575</v>
      </c>
      <c r="AH8253" s="29">
        <v>1500</v>
      </c>
      <c r="AI8253" s="29">
        <v>1500</v>
      </c>
      <c r="AJ8253" s="29">
        <v>1650</v>
      </c>
      <c r="AK8253" s="29">
        <v>2</v>
      </c>
      <c r="AL8253" s="29">
        <v>8000</v>
      </c>
      <c r="AM8253" s="29">
        <v>8000</v>
      </c>
      <c r="AN8253" s="29">
        <v>8000</v>
      </c>
      <c r="AO8253" s="29">
        <v>8000</v>
      </c>
      <c r="AP8253" s="29">
        <v>1</v>
      </c>
      <c r="AQ8253" s="29"/>
      <c r="AR8253" s="29"/>
      <c r="AS8253" s="29"/>
      <c r="AT8253" s="29"/>
      <c r="AU8253" s="29"/>
      <c r="AV8253" s="29"/>
      <c r="AW8253" s="29"/>
      <c r="AX8253" s="29"/>
      <c r="AY8253" s="29"/>
      <c r="AZ8253" s="29"/>
      <c r="BA8253" s="29">
        <v>1666.67</v>
      </c>
      <c r="BB8253" s="29">
        <v>1666.7</v>
      </c>
      <c r="BC8253" s="29">
        <v>1666.7</v>
      </c>
      <c r="BD8253" s="29">
        <v>1666.7</v>
      </c>
      <c r="BE8253" s="29">
        <v>1</v>
      </c>
      <c r="BF8253" s="29"/>
      <c r="BG8253" s="29"/>
      <c r="BH8253" s="29"/>
      <c r="BI8253" s="29"/>
      <c r="BJ8253" s="29"/>
      <c r="BK8253" s="29"/>
      <c r="BL8253" s="29"/>
      <c r="BM8253" s="29"/>
      <c r="BN8253" s="29"/>
      <c r="BO8253" s="29"/>
      <c r="BP8253" s="29"/>
      <c r="BQ8253" s="29"/>
      <c r="BR8253" s="29"/>
      <c r="BS8253" s="29"/>
      <c r="BT8253" s="29"/>
      <c r="BU8253" s="29">
        <v>11</v>
      </c>
    </row>
    <row r="8254" spans="1:73" x14ac:dyDescent="0.35">
      <c r="A8254" t="s">
        <v>231</v>
      </c>
      <c r="B8254" t="s">
        <v>369</v>
      </c>
      <c r="C8254">
        <v>11615.56</v>
      </c>
      <c r="D8254">
        <v>8000</v>
      </c>
      <c r="E8254">
        <v>1250</v>
      </c>
      <c r="F8254">
        <v>40000</v>
      </c>
      <c r="G8254" s="30">
        <v>68</v>
      </c>
      <c r="H8254">
        <v>6042.59</v>
      </c>
      <c r="I8254">
        <v>3000</v>
      </c>
      <c r="J8254">
        <v>300</v>
      </c>
      <c r="K8254">
        <v>40000</v>
      </c>
      <c r="L8254" s="30">
        <v>9</v>
      </c>
      <c r="M8254">
        <v>23000</v>
      </c>
      <c r="N8254">
        <v>20000</v>
      </c>
      <c r="O8254">
        <v>250</v>
      </c>
      <c r="P8254">
        <v>93000</v>
      </c>
      <c r="Q8254" s="30">
        <v>9</v>
      </c>
      <c r="R8254">
        <v>1716.67</v>
      </c>
      <c r="S8254">
        <v>3000</v>
      </c>
      <c r="T8254">
        <v>500</v>
      </c>
      <c r="U8254">
        <v>3000</v>
      </c>
      <c r="V8254" s="30">
        <v>5</v>
      </c>
      <c r="W8254">
        <v>2000</v>
      </c>
      <c r="X8254">
        <v>2000</v>
      </c>
      <c r="Y8254">
        <v>2000</v>
      </c>
      <c r="Z8254">
        <v>2000</v>
      </c>
      <c r="AA8254" s="30">
        <v>1</v>
      </c>
      <c r="AB8254">
        <v>3995.17</v>
      </c>
      <c r="AC8254">
        <v>3500</v>
      </c>
      <c r="AD8254">
        <v>500</v>
      </c>
      <c r="AE8254">
        <v>13200</v>
      </c>
      <c r="AF8254" s="30">
        <v>69</v>
      </c>
      <c r="AG8254">
        <v>1917.19</v>
      </c>
      <c r="AH8254">
        <v>1250</v>
      </c>
      <c r="AI8254">
        <v>106.7</v>
      </c>
      <c r="AJ8254">
        <v>10000</v>
      </c>
      <c r="AK8254" s="30">
        <v>26</v>
      </c>
      <c r="AL8254">
        <v>1000</v>
      </c>
      <c r="AM8254">
        <v>1000</v>
      </c>
      <c r="AN8254">
        <v>1000</v>
      </c>
      <c r="AO8254">
        <v>1000</v>
      </c>
      <c r="AP8254" s="30">
        <v>1</v>
      </c>
      <c r="AQ8254">
        <v>4666.67</v>
      </c>
      <c r="AR8254">
        <v>4000</v>
      </c>
      <c r="AS8254">
        <v>666.7</v>
      </c>
      <c r="AT8254">
        <v>10000</v>
      </c>
      <c r="AU8254" s="30">
        <v>4</v>
      </c>
      <c r="BA8254">
        <v>5925</v>
      </c>
      <c r="BB8254">
        <v>4000</v>
      </c>
      <c r="BC8254">
        <v>200</v>
      </c>
      <c r="BD8254">
        <v>22750</v>
      </c>
      <c r="BE8254" s="30">
        <v>14</v>
      </c>
      <c r="BK8254">
        <v>500</v>
      </c>
      <c r="BL8254">
        <v>500</v>
      </c>
      <c r="BM8254">
        <v>500</v>
      </c>
      <c r="BN8254">
        <v>500</v>
      </c>
      <c r="BO8254" s="30">
        <v>2</v>
      </c>
      <c r="BP8254">
        <v>5072.22</v>
      </c>
      <c r="BQ8254">
        <v>3000</v>
      </c>
      <c r="BR8254">
        <v>133.30000000000001</v>
      </c>
      <c r="BS8254">
        <v>17500</v>
      </c>
      <c r="BT8254" s="30">
        <v>6</v>
      </c>
      <c r="BU8254">
        <v>69</v>
      </c>
    </row>
    <row r="8255" spans="1:73" x14ac:dyDescent="0.35">
      <c r="A8255" t="s">
        <v>232</v>
      </c>
      <c r="B8255" t="s">
        <v>232</v>
      </c>
      <c r="C8255">
        <v>12841.11</v>
      </c>
      <c r="D8255">
        <v>10000</v>
      </c>
      <c r="E8255">
        <v>333.3</v>
      </c>
      <c r="F8255">
        <v>150000</v>
      </c>
      <c r="G8255" s="30">
        <v>1271</v>
      </c>
      <c r="H8255">
        <v>6272.64</v>
      </c>
      <c r="I8255">
        <v>3333.3</v>
      </c>
      <c r="J8255">
        <v>16.7</v>
      </c>
      <c r="K8255">
        <v>66666.7</v>
      </c>
      <c r="L8255" s="30">
        <v>241</v>
      </c>
      <c r="M8255">
        <v>17578.79</v>
      </c>
      <c r="N8255">
        <v>10000</v>
      </c>
      <c r="O8255">
        <v>250</v>
      </c>
      <c r="P8255">
        <v>150000</v>
      </c>
      <c r="Q8255" s="30">
        <v>109</v>
      </c>
      <c r="R8255">
        <v>2698.25</v>
      </c>
      <c r="S8255">
        <v>1750</v>
      </c>
      <c r="T8255">
        <v>100</v>
      </c>
      <c r="U8255">
        <v>35000</v>
      </c>
      <c r="V8255" s="30">
        <v>92</v>
      </c>
      <c r="W8255">
        <v>1917.18</v>
      </c>
      <c r="X8255">
        <v>2000</v>
      </c>
      <c r="Y8255">
        <v>400</v>
      </c>
      <c r="Z8255">
        <v>5000</v>
      </c>
      <c r="AA8255" s="30">
        <v>264</v>
      </c>
      <c r="AB8255">
        <v>4296.82</v>
      </c>
      <c r="AC8255">
        <v>4000</v>
      </c>
      <c r="AD8255">
        <v>428.6</v>
      </c>
      <c r="AE8255">
        <v>30000</v>
      </c>
      <c r="AF8255" s="30">
        <v>1194</v>
      </c>
      <c r="AG8255">
        <v>2115.1799999999998</v>
      </c>
      <c r="AH8255">
        <v>1400</v>
      </c>
      <c r="AI8255">
        <v>106.7</v>
      </c>
      <c r="AJ8255">
        <v>20000</v>
      </c>
      <c r="AK8255" s="30">
        <v>404</v>
      </c>
      <c r="AL8255">
        <v>5888.89</v>
      </c>
      <c r="AM8255">
        <v>4000</v>
      </c>
      <c r="AN8255">
        <v>100</v>
      </c>
      <c r="AO8255">
        <v>25000</v>
      </c>
      <c r="AP8255" s="30">
        <v>32</v>
      </c>
      <c r="AQ8255">
        <v>5244.2</v>
      </c>
      <c r="AR8255">
        <v>3333.3</v>
      </c>
      <c r="AS8255">
        <v>233.3</v>
      </c>
      <c r="AT8255">
        <v>30000</v>
      </c>
      <c r="AU8255" s="30">
        <v>92</v>
      </c>
      <c r="AV8255">
        <v>1217.7</v>
      </c>
      <c r="AW8255">
        <v>1200</v>
      </c>
      <c r="AX8255">
        <v>241.7</v>
      </c>
      <c r="AY8255">
        <v>3300</v>
      </c>
      <c r="AZ8255" s="30">
        <v>52</v>
      </c>
      <c r="BA8255">
        <v>4143.3599999999997</v>
      </c>
      <c r="BB8255">
        <v>2500</v>
      </c>
      <c r="BC8255">
        <v>75</v>
      </c>
      <c r="BD8255">
        <v>26000</v>
      </c>
      <c r="BE8255" s="30">
        <v>206</v>
      </c>
      <c r="BF8255">
        <v>2109.21</v>
      </c>
      <c r="BG8255">
        <v>1000</v>
      </c>
      <c r="BH8255">
        <v>666.7</v>
      </c>
      <c r="BI8255">
        <v>4000</v>
      </c>
      <c r="BJ8255" s="30">
        <v>3</v>
      </c>
      <c r="BK8255">
        <v>9971.93</v>
      </c>
      <c r="BL8255">
        <v>666.7</v>
      </c>
      <c r="BM8255">
        <v>500</v>
      </c>
      <c r="BN8255">
        <v>75000</v>
      </c>
      <c r="BO8255" s="30">
        <v>14</v>
      </c>
      <c r="BP8255">
        <v>5190.95</v>
      </c>
      <c r="BQ8255">
        <v>3000</v>
      </c>
      <c r="BR8255">
        <v>100</v>
      </c>
      <c r="BS8255">
        <v>40000</v>
      </c>
      <c r="BT8255" s="30">
        <v>87</v>
      </c>
      <c r="BU8255">
        <v>1271</v>
      </c>
    </row>
    <row r="8257" spans="1:73" x14ac:dyDescent="0.35">
      <c r="A8257" s="1" t="s">
        <v>1183</v>
      </c>
    </row>
    <row r="8258" spans="1:73" x14ac:dyDescent="0.35">
      <c r="A8258" t="s">
        <v>219</v>
      </c>
      <c r="B8258" t="s">
        <v>305</v>
      </c>
      <c r="C8258" t="s">
        <v>1105</v>
      </c>
      <c r="D8258" t="s">
        <v>1106</v>
      </c>
      <c r="E8258" t="s">
        <v>1107</v>
      </c>
      <c r="F8258" t="s">
        <v>1108</v>
      </c>
      <c r="G8258" t="s">
        <v>1109</v>
      </c>
      <c r="H8258" t="s">
        <v>1110</v>
      </c>
      <c r="I8258" t="s">
        <v>1111</v>
      </c>
      <c r="J8258" t="s">
        <v>1112</v>
      </c>
      <c r="K8258" t="s">
        <v>1113</v>
      </c>
      <c r="L8258" t="s">
        <v>1114</v>
      </c>
      <c r="M8258" t="s">
        <v>1115</v>
      </c>
      <c r="N8258" t="s">
        <v>1116</v>
      </c>
      <c r="O8258" t="s">
        <v>1117</v>
      </c>
      <c r="P8258" t="s">
        <v>1118</v>
      </c>
      <c r="Q8258" t="s">
        <v>1119</v>
      </c>
      <c r="R8258" t="s">
        <v>1120</v>
      </c>
      <c r="S8258" t="s">
        <v>1121</v>
      </c>
      <c r="T8258" t="s">
        <v>1122</v>
      </c>
      <c r="U8258" t="s">
        <v>1123</v>
      </c>
      <c r="V8258" t="s">
        <v>1124</v>
      </c>
      <c r="W8258" t="s">
        <v>1125</v>
      </c>
      <c r="X8258" t="s">
        <v>1126</v>
      </c>
      <c r="Y8258" t="s">
        <v>1127</v>
      </c>
      <c r="Z8258" t="s">
        <v>1128</v>
      </c>
      <c r="AA8258" t="s">
        <v>1129</v>
      </c>
      <c r="AB8258" t="s">
        <v>1130</v>
      </c>
      <c r="AC8258" t="s">
        <v>1131</v>
      </c>
      <c r="AD8258" t="s">
        <v>1132</v>
      </c>
      <c r="AE8258" t="s">
        <v>1133</v>
      </c>
      <c r="AF8258" t="s">
        <v>1134</v>
      </c>
      <c r="AG8258" t="s">
        <v>1135</v>
      </c>
      <c r="AH8258" t="s">
        <v>1136</v>
      </c>
      <c r="AI8258" t="s">
        <v>1137</v>
      </c>
      <c r="AJ8258" t="s">
        <v>1138</v>
      </c>
      <c r="AK8258" t="s">
        <v>1139</v>
      </c>
      <c r="AL8258" t="s">
        <v>1140</v>
      </c>
      <c r="AM8258" t="s">
        <v>1141</v>
      </c>
      <c r="AN8258" t="s">
        <v>1142</v>
      </c>
      <c r="AO8258" t="s">
        <v>1143</v>
      </c>
      <c r="AP8258" t="s">
        <v>1144</v>
      </c>
      <c r="AQ8258" t="s">
        <v>1145</v>
      </c>
      <c r="AR8258" t="s">
        <v>1146</v>
      </c>
      <c r="AS8258" t="s">
        <v>1147</v>
      </c>
      <c r="AT8258" t="s">
        <v>1148</v>
      </c>
      <c r="AU8258" t="s">
        <v>1149</v>
      </c>
      <c r="AV8258" t="s">
        <v>1150</v>
      </c>
      <c r="AW8258" t="s">
        <v>1151</v>
      </c>
      <c r="AX8258" t="s">
        <v>1152</v>
      </c>
      <c r="AY8258" t="s">
        <v>1153</v>
      </c>
      <c r="AZ8258" t="s">
        <v>1154</v>
      </c>
      <c r="BA8258" t="s">
        <v>1155</v>
      </c>
      <c r="BB8258" t="s">
        <v>1156</v>
      </c>
      <c r="BC8258" t="s">
        <v>1157</v>
      </c>
      <c r="BD8258" t="s">
        <v>1158</v>
      </c>
      <c r="BE8258" t="s">
        <v>1159</v>
      </c>
      <c r="BF8258" t="s">
        <v>1160</v>
      </c>
      <c r="BG8258" t="s">
        <v>1161</v>
      </c>
      <c r="BH8258" t="s">
        <v>1162</v>
      </c>
      <c r="BI8258" t="s">
        <v>1163</v>
      </c>
      <c r="BJ8258" t="s">
        <v>1164</v>
      </c>
      <c r="BK8258" t="s">
        <v>1165</v>
      </c>
      <c r="BL8258" t="s">
        <v>1166</v>
      </c>
      <c r="BM8258" t="s">
        <v>1167</v>
      </c>
      <c r="BN8258" t="s">
        <v>1168</v>
      </c>
      <c r="BO8258" t="s">
        <v>1169</v>
      </c>
      <c r="BP8258" t="s">
        <v>1170</v>
      </c>
      <c r="BQ8258" t="s">
        <v>1171</v>
      </c>
      <c r="BR8258" t="s">
        <v>1172</v>
      </c>
      <c r="BS8258" t="s">
        <v>1173</v>
      </c>
      <c r="BT8258" t="s">
        <v>1174</v>
      </c>
      <c r="BU8258" t="s">
        <v>964</v>
      </c>
    </row>
    <row r="8259" spans="1:73" x14ac:dyDescent="0.35">
      <c r="A8259" t="s">
        <v>227</v>
      </c>
      <c r="B8259" t="s">
        <v>371</v>
      </c>
      <c r="C8259">
        <v>10270.700000000001</v>
      </c>
      <c r="D8259">
        <v>7500</v>
      </c>
      <c r="E8259">
        <v>500</v>
      </c>
      <c r="F8259">
        <v>60000</v>
      </c>
      <c r="G8259" s="30">
        <v>84</v>
      </c>
      <c r="H8259">
        <v>4992.16</v>
      </c>
      <c r="I8259">
        <v>4000</v>
      </c>
      <c r="J8259">
        <v>500</v>
      </c>
      <c r="K8259">
        <v>20000</v>
      </c>
      <c r="L8259" s="30">
        <v>17</v>
      </c>
      <c r="M8259">
        <v>16666.669999999998</v>
      </c>
      <c r="N8259">
        <v>13333.3</v>
      </c>
      <c r="O8259">
        <v>10000</v>
      </c>
      <c r="P8259">
        <v>30000</v>
      </c>
      <c r="Q8259" s="30">
        <v>4</v>
      </c>
      <c r="R8259">
        <v>3383.33</v>
      </c>
      <c r="S8259">
        <v>6666.7</v>
      </c>
      <c r="T8259">
        <v>300</v>
      </c>
      <c r="U8259">
        <v>9000</v>
      </c>
      <c r="V8259" s="30">
        <v>6</v>
      </c>
      <c r="W8259">
        <v>2001.75</v>
      </c>
      <c r="X8259">
        <v>2000</v>
      </c>
      <c r="Y8259">
        <v>1000</v>
      </c>
      <c r="Z8259">
        <v>3000</v>
      </c>
      <c r="AA8259" s="30">
        <v>19</v>
      </c>
      <c r="AB8259">
        <v>4134.55</v>
      </c>
      <c r="AC8259">
        <v>4300</v>
      </c>
      <c r="AD8259">
        <v>625</v>
      </c>
      <c r="AE8259">
        <v>10000</v>
      </c>
      <c r="AF8259" s="30">
        <v>68</v>
      </c>
      <c r="AG8259">
        <v>2660.79</v>
      </c>
      <c r="AH8259">
        <v>2033.3</v>
      </c>
      <c r="AI8259">
        <v>215</v>
      </c>
      <c r="AJ8259">
        <v>13900</v>
      </c>
      <c r="AK8259" s="30">
        <v>27</v>
      </c>
      <c r="AL8259">
        <v>550</v>
      </c>
      <c r="AM8259">
        <v>100</v>
      </c>
      <c r="AN8259">
        <v>100</v>
      </c>
      <c r="AO8259">
        <v>1000</v>
      </c>
      <c r="AP8259" s="30">
        <v>2</v>
      </c>
      <c r="AQ8259">
        <v>3208.33</v>
      </c>
      <c r="AR8259">
        <v>2500</v>
      </c>
      <c r="AS8259">
        <v>2500</v>
      </c>
      <c r="AT8259">
        <v>4500</v>
      </c>
      <c r="AU8259" s="30">
        <v>4</v>
      </c>
      <c r="BA8259">
        <v>3455.88</v>
      </c>
      <c r="BB8259">
        <v>3000</v>
      </c>
      <c r="BC8259">
        <v>1000</v>
      </c>
      <c r="BD8259">
        <v>7500</v>
      </c>
      <c r="BE8259" s="30">
        <v>17</v>
      </c>
      <c r="BP8259">
        <v>4448.1000000000004</v>
      </c>
      <c r="BQ8259">
        <v>1666.7</v>
      </c>
      <c r="BR8259">
        <v>200</v>
      </c>
      <c r="BS8259">
        <v>20000</v>
      </c>
      <c r="BT8259" s="30">
        <v>7</v>
      </c>
      <c r="BU8259">
        <v>84</v>
      </c>
    </row>
    <row r="8260" spans="1:73" x14ac:dyDescent="0.35">
      <c r="A8260" t="s">
        <v>228</v>
      </c>
      <c r="B8260" t="s">
        <v>371</v>
      </c>
      <c r="C8260">
        <v>12054.01</v>
      </c>
      <c r="D8260">
        <v>9333.2999999999993</v>
      </c>
      <c r="E8260">
        <v>1200</v>
      </c>
      <c r="F8260">
        <v>55500</v>
      </c>
      <c r="G8260" s="30">
        <v>124</v>
      </c>
      <c r="H8260">
        <v>4437.9399999999996</v>
      </c>
      <c r="I8260">
        <v>4000</v>
      </c>
      <c r="J8260">
        <v>500</v>
      </c>
      <c r="K8260">
        <v>15000</v>
      </c>
      <c r="L8260" s="30">
        <v>27</v>
      </c>
      <c r="M8260">
        <v>14434.02</v>
      </c>
      <c r="N8260">
        <v>6666.7</v>
      </c>
      <c r="O8260">
        <v>2500</v>
      </c>
      <c r="P8260">
        <v>50000</v>
      </c>
      <c r="Q8260" s="30">
        <v>8</v>
      </c>
      <c r="R8260">
        <v>2890.53</v>
      </c>
      <c r="S8260">
        <v>7500</v>
      </c>
      <c r="T8260">
        <v>500</v>
      </c>
      <c r="U8260">
        <v>7500</v>
      </c>
      <c r="V8260" s="30">
        <v>5</v>
      </c>
      <c r="W8260">
        <v>1760</v>
      </c>
      <c r="X8260">
        <v>2000</v>
      </c>
      <c r="Y8260">
        <v>400</v>
      </c>
      <c r="Z8260">
        <v>5000</v>
      </c>
      <c r="AA8260" s="30">
        <v>35</v>
      </c>
      <c r="AB8260">
        <v>4841.95</v>
      </c>
      <c r="AC8260">
        <v>4250</v>
      </c>
      <c r="AD8260">
        <v>571.4</v>
      </c>
      <c r="AE8260">
        <v>27000</v>
      </c>
      <c r="AF8260" s="30">
        <v>141</v>
      </c>
      <c r="AG8260">
        <v>1663.82</v>
      </c>
      <c r="AH8260">
        <v>1600</v>
      </c>
      <c r="AI8260">
        <v>215</v>
      </c>
      <c r="AJ8260">
        <v>6500</v>
      </c>
      <c r="AK8260" s="30">
        <v>39</v>
      </c>
      <c r="AL8260">
        <v>6972.22</v>
      </c>
      <c r="AM8260">
        <v>18000</v>
      </c>
      <c r="AN8260">
        <v>1250</v>
      </c>
      <c r="AO8260">
        <v>18000</v>
      </c>
      <c r="AP8260" s="30">
        <v>3</v>
      </c>
      <c r="AQ8260">
        <v>6474.5</v>
      </c>
      <c r="AR8260">
        <v>2000</v>
      </c>
      <c r="AS8260">
        <v>233.3</v>
      </c>
      <c r="AT8260">
        <v>25000</v>
      </c>
      <c r="AU8260" s="30">
        <v>15</v>
      </c>
      <c r="AV8260">
        <v>977.54</v>
      </c>
      <c r="AW8260">
        <v>1200</v>
      </c>
      <c r="AX8260">
        <v>480</v>
      </c>
      <c r="AY8260">
        <v>1200</v>
      </c>
      <c r="AZ8260" s="30">
        <v>6</v>
      </c>
      <c r="BA8260">
        <v>4800.92</v>
      </c>
      <c r="BB8260">
        <v>2000</v>
      </c>
      <c r="BC8260">
        <v>100</v>
      </c>
      <c r="BD8260">
        <v>26000</v>
      </c>
      <c r="BE8260" s="30">
        <v>15</v>
      </c>
      <c r="BK8260">
        <v>583.33000000000004</v>
      </c>
      <c r="BL8260">
        <v>500</v>
      </c>
      <c r="BM8260">
        <v>500</v>
      </c>
      <c r="BN8260">
        <v>666.7</v>
      </c>
      <c r="BO8260" s="30">
        <v>2</v>
      </c>
      <c r="BP8260">
        <v>3986.58</v>
      </c>
      <c r="BQ8260">
        <v>4200</v>
      </c>
      <c r="BR8260">
        <v>100</v>
      </c>
      <c r="BS8260">
        <v>7500</v>
      </c>
      <c r="BT8260" s="30">
        <v>8</v>
      </c>
      <c r="BU8260">
        <v>141</v>
      </c>
    </row>
    <row r="8261" spans="1:73" x14ac:dyDescent="0.35">
      <c r="A8261" t="s">
        <v>228</v>
      </c>
      <c r="B8261" t="s">
        <v>372</v>
      </c>
      <c r="C8261">
        <v>11192.55</v>
      </c>
      <c r="D8261">
        <v>7500</v>
      </c>
      <c r="E8261">
        <v>666.7</v>
      </c>
      <c r="F8261">
        <v>50000</v>
      </c>
      <c r="G8261" s="30">
        <v>63</v>
      </c>
      <c r="H8261">
        <v>2969.93</v>
      </c>
      <c r="I8261">
        <v>2500</v>
      </c>
      <c r="J8261">
        <v>833.3</v>
      </c>
      <c r="K8261">
        <v>6500</v>
      </c>
      <c r="L8261" s="30">
        <v>11</v>
      </c>
      <c r="M8261">
        <v>17834.11</v>
      </c>
      <c r="N8261">
        <v>23333.3</v>
      </c>
      <c r="O8261">
        <v>6750</v>
      </c>
      <c r="P8261">
        <v>30000</v>
      </c>
      <c r="Q8261" s="30">
        <v>4</v>
      </c>
      <c r="R8261">
        <v>4430.07</v>
      </c>
      <c r="S8261">
        <v>3600</v>
      </c>
      <c r="T8261">
        <v>1500</v>
      </c>
      <c r="U8261">
        <v>30000</v>
      </c>
      <c r="V8261" s="30">
        <v>9</v>
      </c>
      <c r="W8261">
        <v>1902.58</v>
      </c>
      <c r="X8261">
        <v>2000</v>
      </c>
      <c r="Y8261">
        <v>500</v>
      </c>
      <c r="Z8261">
        <v>5000</v>
      </c>
      <c r="AA8261" s="30">
        <v>32</v>
      </c>
      <c r="AB8261">
        <v>3759.28</v>
      </c>
      <c r="AC8261">
        <v>3500</v>
      </c>
      <c r="AD8261">
        <v>428.6</v>
      </c>
      <c r="AE8261">
        <v>15000</v>
      </c>
      <c r="AF8261" s="30">
        <v>110</v>
      </c>
      <c r="AG8261">
        <v>1819.99</v>
      </c>
      <c r="AH8261">
        <v>1650</v>
      </c>
      <c r="AI8261">
        <v>215</v>
      </c>
      <c r="AJ8261">
        <v>5333.3</v>
      </c>
      <c r="AK8261" s="30">
        <v>28</v>
      </c>
      <c r="AQ8261">
        <v>2352.5300000000002</v>
      </c>
      <c r="AR8261">
        <v>2500</v>
      </c>
      <c r="AS8261">
        <v>2000</v>
      </c>
      <c r="AT8261">
        <v>2500</v>
      </c>
      <c r="AU8261" s="30">
        <v>6</v>
      </c>
      <c r="AV8261">
        <v>932.95</v>
      </c>
      <c r="AW8261">
        <v>1200</v>
      </c>
      <c r="AX8261">
        <v>400</v>
      </c>
      <c r="AY8261">
        <v>1600</v>
      </c>
      <c r="AZ8261" s="30">
        <v>11</v>
      </c>
      <c r="BA8261">
        <v>3975.53</v>
      </c>
      <c r="BB8261">
        <v>3000</v>
      </c>
      <c r="BC8261">
        <v>166.7</v>
      </c>
      <c r="BD8261">
        <v>17500</v>
      </c>
      <c r="BE8261" s="30">
        <v>13</v>
      </c>
      <c r="BK8261">
        <v>11600</v>
      </c>
      <c r="BL8261">
        <v>1450</v>
      </c>
      <c r="BM8261">
        <v>1450</v>
      </c>
      <c r="BN8261">
        <v>21750</v>
      </c>
      <c r="BO8261" s="30">
        <v>2</v>
      </c>
      <c r="BP8261">
        <v>11800.88</v>
      </c>
      <c r="BQ8261">
        <v>25300</v>
      </c>
      <c r="BR8261">
        <v>860</v>
      </c>
      <c r="BS8261">
        <v>25300</v>
      </c>
      <c r="BT8261" s="30">
        <v>5</v>
      </c>
      <c r="BU8261">
        <v>110</v>
      </c>
    </row>
    <row r="8262" spans="1:73" x14ac:dyDescent="0.35">
      <c r="A8262" t="s">
        <v>228</v>
      </c>
      <c r="B8262" t="s">
        <v>373</v>
      </c>
      <c r="C8262">
        <v>13017.81</v>
      </c>
      <c r="D8262">
        <v>9000</v>
      </c>
      <c r="E8262">
        <v>1333.3</v>
      </c>
      <c r="F8262">
        <v>80000</v>
      </c>
      <c r="G8262" s="30">
        <v>228</v>
      </c>
      <c r="H8262">
        <v>6214.37</v>
      </c>
      <c r="I8262">
        <v>5000</v>
      </c>
      <c r="J8262">
        <v>500</v>
      </c>
      <c r="K8262">
        <v>39000</v>
      </c>
      <c r="L8262" s="30">
        <v>47</v>
      </c>
      <c r="M8262">
        <v>16557.310000000001</v>
      </c>
      <c r="N8262">
        <v>7500</v>
      </c>
      <c r="O8262">
        <v>1250</v>
      </c>
      <c r="P8262">
        <v>70000</v>
      </c>
      <c r="Q8262" s="30">
        <v>24</v>
      </c>
      <c r="R8262">
        <v>2436.81</v>
      </c>
      <c r="S8262">
        <v>2000</v>
      </c>
      <c r="T8262">
        <v>450</v>
      </c>
      <c r="U8262">
        <v>8333.2999999999993</v>
      </c>
      <c r="V8262" s="30">
        <v>9</v>
      </c>
      <c r="W8262">
        <v>1942.43</v>
      </c>
      <c r="X8262">
        <v>2000</v>
      </c>
      <c r="Y8262">
        <v>400</v>
      </c>
      <c r="Z8262">
        <v>4666.7</v>
      </c>
      <c r="AA8262" s="30">
        <v>66</v>
      </c>
      <c r="AB8262">
        <v>4188.9799999999996</v>
      </c>
      <c r="AC8262">
        <v>4000</v>
      </c>
      <c r="AD8262">
        <v>500</v>
      </c>
      <c r="AE8262">
        <v>14000</v>
      </c>
      <c r="AF8262" s="30">
        <v>242</v>
      </c>
      <c r="AG8262">
        <v>1724.72</v>
      </c>
      <c r="AH8262">
        <v>1250</v>
      </c>
      <c r="AI8262">
        <v>160</v>
      </c>
      <c r="AJ8262">
        <v>9850</v>
      </c>
      <c r="AK8262" s="30">
        <v>74</v>
      </c>
      <c r="AL8262">
        <v>1925.4</v>
      </c>
      <c r="AM8262">
        <v>2000</v>
      </c>
      <c r="AN8262">
        <v>333.3</v>
      </c>
      <c r="AO8262">
        <v>4500</v>
      </c>
      <c r="AP8262" s="30">
        <v>8</v>
      </c>
      <c r="AQ8262">
        <v>5714.21</v>
      </c>
      <c r="AR8262">
        <v>5000</v>
      </c>
      <c r="AS8262">
        <v>666.7</v>
      </c>
      <c r="AT8262">
        <v>30000</v>
      </c>
      <c r="AU8262" s="30">
        <v>15</v>
      </c>
      <c r="AV8262">
        <v>1135.74</v>
      </c>
      <c r="AW8262">
        <v>1200</v>
      </c>
      <c r="AX8262">
        <v>600</v>
      </c>
      <c r="AY8262">
        <v>1300</v>
      </c>
      <c r="AZ8262" s="30">
        <v>7</v>
      </c>
      <c r="BA8262">
        <v>3689.48</v>
      </c>
      <c r="BB8262">
        <v>2600</v>
      </c>
      <c r="BC8262">
        <v>200</v>
      </c>
      <c r="BD8262">
        <v>26000</v>
      </c>
      <c r="BE8262" s="30">
        <v>36</v>
      </c>
      <c r="BF8262">
        <v>1000</v>
      </c>
      <c r="BG8262">
        <v>1000</v>
      </c>
      <c r="BH8262">
        <v>1000</v>
      </c>
      <c r="BI8262">
        <v>1000</v>
      </c>
      <c r="BJ8262" s="30">
        <v>1</v>
      </c>
      <c r="BP8262">
        <v>6293.79</v>
      </c>
      <c r="BQ8262">
        <v>3000</v>
      </c>
      <c r="BR8262">
        <v>256</v>
      </c>
      <c r="BS8262">
        <v>22000</v>
      </c>
      <c r="BT8262" s="30">
        <v>11</v>
      </c>
      <c r="BU8262">
        <v>242</v>
      </c>
    </row>
    <row r="8263" spans="1:73" x14ac:dyDescent="0.35">
      <c r="A8263" t="s">
        <v>229</v>
      </c>
      <c r="B8263" t="s">
        <v>371</v>
      </c>
      <c r="C8263">
        <v>15770.34</v>
      </c>
      <c r="D8263">
        <v>13333.3</v>
      </c>
      <c r="E8263">
        <v>500</v>
      </c>
      <c r="F8263">
        <v>100000</v>
      </c>
      <c r="G8263" s="30">
        <v>306</v>
      </c>
      <c r="H8263">
        <v>9231.18</v>
      </c>
      <c r="I8263">
        <v>5000</v>
      </c>
      <c r="J8263">
        <v>16.7</v>
      </c>
      <c r="K8263">
        <v>66666.7</v>
      </c>
      <c r="L8263" s="30">
        <v>48</v>
      </c>
      <c r="M8263">
        <v>11316.45</v>
      </c>
      <c r="N8263">
        <v>8333.2999999999993</v>
      </c>
      <c r="O8263">
        <v>750</v>
      </c>
      <c r="P8263">
        <v>33333.300000000003</v>
      </c>
      <c r="Q8263" s="30">
        <v>31</v>
      </c>
      <c r="R8263">
        <v>2027.25</v>
      </c>
      <c r="S8263">
        <v>1666.7</v>
      </c>
      <c r="T8263">
        <v>100</v>
      </c>
      <c r="U8263">
        <v>30000</v>
      </c>
      <c r="V8263" s="30">
        <v>20</v>
      </c>
      <c r="W8263">
        <v>1899.7</v>
      </c>
      <c r="X8263">
        <v>2000</v>
      </c>
      <c r="Y8263">
        <v>500</v>
      </c>
      <c r="Z8263">
        <v>3150</v>
      </c>
      <c r="AA8263" s="30">
        <v>29</v>
      </c>
      <c r="AB8263">
        <v>4611.99</v>
      </c>
      <c r="AC8263">
        <v>4000</v>
      </c>
      <c r="AD8263">
        <v>460</v>
      </c>
      <c r="AE8263">
        <v>16500</v>
      </c>
      <c r="AF8263" s="30">
        <v>194</v>
      </c>
      <c r="AG8263">
        <v>2476.11</v>
      </c>
      <c r="AH8263">
        <v>1500</v>
      </c>
      <c r="AI8263">
        <v>215</v>
      </c>
      <c r="AJ8263">
        <v>20000</v>
      </c>
      <c r="AK8263" s="30">
        <v>74</v>
      </c>
      <c r="AL8263">
        <v>7899.47</v>
      </c>
      <c r="AM8263">
        <v>10000</v>
      </c>
      <c r="AN8263">
        <v>3750</v>
      </c>
      <c r="AO8263">
        <v>15000</v>
      </c>
      <c r="AP8263" s="30">
        <v>6</v>
      </c>
      <c r="AQ8263">
        <v>5072.45</v>
      </c>
      <c r="AR8263">
        <v>4000</v>
      </c>
      <c r="AS8263">
        <v>1000</v>
      </c>
      <c r="AT8263">
        <v>20000</v>
      </c>
      <c r="AU8263" s="30">
        <v>17</v>
      </c>
      <c r="AV8263">
        <v>500</v>
      </c>
      <c r="AW8263">
        <v>500</v>
      </c>
      <c r="AX8263">
        <v>500</v>
      </c>
      <c r="AY8263">
        <v>500</v>
      </c>
      <c r="AZ8263" s="30">
        <v>1</v>
      </c>
      <c r="BA8263">
        <v>3227.57</v>
      </c>
      <c r="BB8263">
        <v>2733.3</v>
      </c>
      <c r="BC8263">
        <v>75</v>
      </c>
      <c r="BD8263">
        <v>20000</v>
      </c>
      <c r="BE8263" s="30">
        <v>38</v>
      </c>
      <c r="BF8263">
        <v>2184.35</v>
      </c>
      <c r="BG8263">
        <v>666.7</v>
      </c>
      <c r="BH8263">
        <v>666.7</v>
      </c>
      <c r="BI8263">
        <v>4000</v>
      </c>
      <c r="BJ8263" s="30">
        <v>2</v>
      </c>
      <c r="BK8263">
        <v>35963.47</v>
      </c>
      <c r="BL8263">
        <v>3333.3</v>
      </c>
      <c r="BM8263">
        <v>3333.3</v>
      </c>
      <c r="BN8263">
        <v>75000</v>
      </c>
      <c r="BO8263" s="30">
        <v>2</v>
      </c>
      <c r="BP8263">
        <v>6471.25</v>
      </c>
      <c r="BQ8263">
        <v>6666.7</v>
      </c>
      <c r="BR8263">
        <v>500</v>
      </c>
      <c r="BS8263">
        <v>25000</v>
      </c>
      <c r="BT8263" s="30">
        <v>20</v>
      </c>
      <c r="BU8263">
        <v>306</v>
      </c>
    </row>
    <row r="8264" spans="1:73" x14ac:dyDescent="0.35">
      <c r="A8264" t="s">
        <v>229</v>
      </c>
      <c r="B8264" t="s">
        <v>372</v>
      </c>
      <c r="C8264">
        <v>12377.45</v>
      </c>
      <c r="D8264">
        <v>8000</v>
      </c>
      <c r="E8264">
        <v>1666.7</v>
      </c>
      <c r="F8264">
        <v>150000</v>
      </c>
      <c r="G8264" s="30">
        <v>101</v>
      </c>
      <c r="H8264">
        <v>6262.05</v>
      </c>
      <c r="I8264">
        <v>6000</v>
      </c>
      <c r="J8264">
        <v>100</v>
      </c>
      <c r="K8264">
        <v>20000</v>
      </c>
      <c r="L8264" s="30">
        <v>18</v>
      </c>
      <c r="M8264">
        <v>12312.5</v>
      </c>
      <c r="N8264">
        <v>10000</v>
      </c>
      <c r="O8264">
        <v>4250</v>
      </c>
      <c r="P8264">
        <v>25000</v>
      </c>
      <c r="Q8264" s="30">
        <v>4</v>
      </c>
      <c r="R8264">
        <v>4896.12</v>
      </c>
      <c r="S8264">
        <v>2500</v>
      </c>
      <c r="T8264">
        <v>100</v>
      </c>
      <c r="U8264">
        <v>20000</v>
      </c>
      <c r="V8264" s="30">
        <v>10</v>
      </c>
      <c r="W8264">
        <v>1989.97</v>
      </c>
      <c r="X8264">
        <v>2000</v>
      </c>
      <c r="Y8264">
        <v>666.7</v>
      </c>
      <c r="Z8264">
        <v>3000</v>
      </c>
      <c r="AA8264" s="30">
        <v>17</v>
      </c>
      <c r="AB8264">
        <v>4734.54</v>
      </c>
      <c r="AC8264">
        <v>4200</v>
      </c>
      <c r="AD8264">
        <v>740</v>
      </c>
      <c r="AE8264">
        <v>11000</v>
      </c>
      <c r="AF8264" s="30">
        <v>81</v>
      </c>
      <c r="AG8264">
        <v>1591.53</v>
      </c>
      <c r="AH8264">
        <v>1200</v>
      </c>
      <c r="AI8264">
        <v>150</v>
      </c>
      <c r="AJ8264">
        <v>10000</v>
      </c>
      <c r="AK8264" s="30">
        <v>39</v>
      </c>
      <c r="AL8264">
        <v>608</v>
      </c>
      <c r="AM8264">
        <v>608</v>
      </c>
      <c r="AN8264">
        <v>608</v>
      </c>
      <c r="AO8264">
        <v>608</v>
      </c>
      <c r="AP8264" s="30">
        <v>1</v>
      </c>
      <c r="AQ8264">
        <v>7513.78</v>
      </c>
      <c r="AR8264">
        <v>5000</v>
      </c>
      <c r="AS8264">
        <v>1500</v>
      </c>
      <c r="AT8264">
        <v>20000</v>
      </c>
      <c r="AU8264" s="30">
        <v>6</v>
      </c>
      <c r="AV8264">
        <v>500</v>
      </c>
      <c r="AW8264">
        <v>500</v>
      </c>
      <c r="AX8264">
        <v>500</v>
      </c>
      <c r="AY8264">
        <v>500</v>
      </c>
      <c r="AZ8264" s="30">
        <v>1</v>
      </c>
      <c r="BA8264">
        <v>3353.31</v>
      </c>
      <c r="BB8264">
        <v>2000</v>
      </c>
      <c r="BC8264">
        <v>100</v>
      </c>
      <c r="BD8264">
        <v>10000</v>
      </c>
      <c r="BE8264" s="30">
        <v>16</v>
      </c>
      <c r="BP8264">
        <v>9356.0499999999993</v>
      </c>
      <c r="BQ8264">
        <v>1107.7</v>
      </c>
      <c r="BR8264">
        <v>125</v>
      </c>
      <c r="BS8264">
        <v>40000</v>
      </c>
      <c r="BT8264" s="30">
        <v>9</v>
      </c>
      <c r="BU8264">
        <v>101</v>
      </c>
    </row>
    <row r="8265" spans="1:73" x14ac:dyDescent="0.35">
      <c r="A8265" t="s">
        <v>229</v>
      </c>
      <c r="B8265" t="s">
        <v>373</v>
      </c>
      <c r="C8265">
        <v>9656.0499999999993</v>
      </c>
      <c r="D8265">
        <v>8000</v>
      </c>
      <c r="E8265">
        <v>1666.7</v>
      </c>
      <c r="F8265">
        <v>30000</v>
      </c>
      <c r="G8265" s="30">
        <v>45</v>
      </c>
      <c r="H8265">
        <v>5250</v>
      </c>
      <c r="I8265">
        <v>1250</v>
      </c>
      <c r="J8265">
        <v>1000</v>
      </c>
      <c r="K8265">
        <v>13750</v>
      </c>
      <c r="L8265" s="30">
        <v>4</v>
      </c>
      <c r="M8265">
        <v>3060.32</v>
      </c>
      <c r="N8265">
        <v>2500</v>
      </c>
      <c r="O8265">
        <v>2500</v>
      </c>
      <c r="P8265">
        <v>5000</v>
      </c>
      <c r="Q8265" s="30">
        <v>2</v>
      </c>
      <c r="R8265">
        <v>7753.64</v>
      </c>
      <c r="S8265">
        <v>1333.3</v>
      </c>
      <c r="T8265">
        <v>233.3</v>
      </c>
      <c r="U8265">
        <v>35000</v>
      </c>
      <c r="V8265" s="30">
        <v>7</v>
      </c>
      <c r="W8265">
        <v>1404.76</v>
      </c>
      <c r="X8265">
        <v>2000</v>
      </c>
      <c r="Y8265">
        <v>666.7</v>
      </c>
      <c r="Z8265">
        <v>2500</v>
      </c>
      <c r="AA8265" s="30">
        <v>7</v>
      </c>
      <c r="AB8265">
        <v>5276.43</v>
      </c>
      <c r="AC8265">
        <v>4500</v>
      </c>
      <c r="AD8265">
        <v>1233.3</v>
      </c>
      <c r="AE8265">
        <v>30000</v>
      </c>
      <c r="AF8265" s="30">
        <v>38</v>
      </c>
      <c r="AG8265">
        <v>1270.78</v>
      </c>
      <c r="AH8265">
        <v>1500</v>
      </c>
      <c r="AI8265">
        <v>500</v>
      </c>
      <c r="AJ8265">
        <v>2000</v>
      </c>
      <c r="AK8265" s="30">
        <v>9</v>
      </c>
      <c r="AQ8265">
        <v>4066.13</v>
      </c>
      <c r="AR8265">
        <v>5000</v>
      </c>
      <c r="AS8265">
        <v>833.3</v>
      </c>
      <c r="AT8265">
        <v>5000</v>
      </c>
      <c r="AU8265" s="30">
        <v>2</v>
      </c>
      <c r="BA8265">
        <v>400</v>
      </c>
      <c r="BB8265">
        <v>500</v>
      </c>
      <c r="BC8265">
        <v>300</v>
      </c>
      <c r="BD8265">
        <v>500</v>
      </c>
      <c r="BE8265" s="30">
        <v>3</v>
      </c>
      <c r="BK8265">
        <v>75000</v>
      </c>
      <c r="BL8265">
        <v>75000</v>
      </c>
      <c r="BM8265">
        <v>75000</v>
      </c>
      <c r="BN8265">
        <v>75000</v>
      </c>
      <c r="BO8265" s="30">
        <v>1</v>
      </c>
      <c r="BP8265">
        <v>4670.33</v>
      </c>
      <c r="BQ8265">
        <v>1500</v>
      </c>
      <c r="BR8265">
        <v>185</v>
      </c>
      <c r="BS8265">
        <v>20000</v>
      </c>
      <c r="BT8265" s="30">
        <v>5</v>
      </c>
      <c r="BU8265">
        <v>45</v>
      </c>
    </row>
    <row r="8266" spans="1:73" x14ac:dyDescent="0.35">
      <c r="A8266" t="s">
        <v>230</v>
      </c>
      <c r="B8266" t="s">
        <v>371</v>
      </c>
      <c r="C8266">
        <v>11498.1</v>
      </c>
      <c r="D8266">
        <v>10000</v>
      </c>
      <c r="E8266">
        <v>333.3</v>
      </c>
      <c r="F8266">
        <v>75000</v>
      </c>
      <c r="G8266" s="30">
        <v>122</v>
      </c>
      <c r="H8266">
        <v>5148.8</v>
      </c>
      <c r="I8266">
        <v>4000</v>
      </c>
      <c r="J8266">
        <v>333.3</v>
      </c>
      <c r="K8266">
        <v>15000</v>
      </c>
      <c r="L8266" s="30">
        <v>29</v>
      </c>
      <c r="M8266">
        <v>30080.5</v>
      </c>
      <c r="N8266">
        <v>15000</v>
      </c>
      <c r="O8266">
        <v>1666.7</v>
      </c>
      <c r="P8266">
        <v>150000</v>
      </c>
      <c r="Q8266" s="30">
        <v>11</v>
      </c>
      <c r="R8266">
        <v>3433.8</v>
      </c>
      <c r="S8266">
        <v>2833.3</v>
      </c>
      <c r="T8266">
        <v>600</v>
      </c>
      <c r="U8266">
        <v>8000</v>
      </c>
      <c r="V8266" s="30">
        <v>12</v>
      </c>
      <c r="W8266">
        <v>2019.72</v>
      </c>
      <c r="X8266">
        <v>2333.3000000000002</v>
      </c>
      <c r="Y8266">
        <v>666.7</v>
      </c>
      <c r="Z8266">
        <v>3000</v>
      </c>
      <c r="AA8266" s="30">
        <v>18</v>
      </c>
      <c r="AB8266">
        <v>3923.74</v>
      </c>
      <c r="AC8266">
        <v>3100</v>
      </c>
      <c r="AD8266">
        <v>640</v>
      </c>
      <c r="AE8266">
        <v>18000</v>
      </c>
      <c r="AF8266" s="30">
        <v>105</v>
      </c>
      <c r="AG8266">
        <v>1953.5</v>
      </c>
      <c r="AH8266">
        <v>1186.7</v>
      </c>
      <c r="AI8266">
        <v>280</v>
      </c>
      <c r="AJ8266">
        <v>7000</v>
      </c>
      <c r="AK8266" s="30">
        <v>44</v>
      </c>
      <c r="AL8266">
        <v>13127.34</v>
      </c>
      <c r="AM8266">
        <v>25000</v>
      </c>
      <c r="AN8266">
        <v>1000</v>
      </c>
      <c r="AO8266">
        <v>25000</v>
      </c>
      <c r="AP8266" s="30">
        <v>6</v>
      </c>
      <c r="AQ8266">
        <v>6356.8</v>
      </c>
      <c r="AR8266">
        <v>6266.7</v>
      </c>
      <c r="AS8266">
        <v>250</v>
      </c>
      <c r="AT8266">
        <v>20000</v>
      </c>
      <c r="AU8266" s="30">
        <v>11</v>
      </c>
      <c r="AV8266">
        <v>1784.84</v>
      </c>
      <c r="AW8266">
        <v>2000</v>
      </c>
      <c r="AX8266">
        <v>300</v>
      </c>
      <c r="AY8266">
        <v>3300</v>
      </c>
      <c r="AZ8266" s="30">
        <v>15</v>
      </c>
      <c r="BA8266">
        <v>2919.32</v>
      </c>
      <c r="BB8266">
        <v>3000</v>
      </c>
      <c r="BC8266">
        <v>500</v>
      </c>
      <c r="BD8266">
        <v>10000</v>
      </c>
      <c r="BE8266" s="30">
        <v>28</v>
      </c>
      <c r="BK8266">
        <v>5663.24</v>
      </c>
      <c r="BL8266">
        <v>6500</v>
      </c>
      <c r="BM8266">
        <v>1200</v>
      </c>
      <c r="BN8266">
        <v>6500</v>
      </c>
      <c r="BO8266" s="30">
        <v>3</v>
      </c>
      <c r="BP8266">
        <v>2258.81</v>
      </c>
      <c r="BQ8266">
        <v>1200</v>
      </c>
      <c r="BR8266">
        <v>500</v>
      </c>
      <c r="BS8266">
        <v>6000</v>
      </c>
      <c r="BT8266" s="30">
        <v>9</v>
      </c>
      <c r="BU8266">
        <v>122</v>
      </c>
    </row>
    <row r="8267" spans="1:73" x14ac:dyDescent="0.35">
      <c r="A8267" t="s">
        <v>230</v>
      </c>
      <c r="B8267" t="s">
        <v>372</v>
      </c>
      <c r="C8267">
        <v>9786.93</v>
      </c>
      <c r="D8267">
        <v>8000</v>
      </c>
      <c r="E8267">
        <v>2050</v>
      </c>
      <c r="F8267">
        <v>75000</v>
      </c>
      <c r="G8267" s="30">
        <v>51</v>
      </c>
      <c r="H8267">
        <v>4792.0600000000004</v>
      </c>
      <c r="I8267">
        <v>3333.3</v>
      </c>
      <c r="J8267">
        <v>200</v>
      </c>
      <c r="K8267">
        <v>21000</v>
      </c>
      <c r="L8267" s="30">
        <v>20</v>
      </c>
      <c r="M8267">
        <v>5240.33</v>
      </c>
      <c r="N8267">
        <v>3750</v>
      </c>
      <c r="O8267">
        <v>2000</v>
      </c>
      <c r="P8267">
        <v>15000</v>
      </c>
      <c r="Q8267" s="30">
        <v>4</v>
      </c>
      <c r="R8267">
        <v>3125</v>
      </c>
      <c r="S8267">
        <v>1000</v>
      </c>
      <c r="T8267">
        <v>1000</v>
      </c>
      <c r="U8267">
        <v>8000</v>
      </c>
      <c r="V8267" s="30">
        <v>4</v>
      </c>
      <c r="W8267">
        <v>1484.31</v>
      </c>
      <c r="X8267">
        <v>1125</v>
      </c>
      <c r="Y8267">
        <v>1000</v>
      </c>
      <c r="Z8267">
        <v>3000</v>
      </c>
      <c r="AA8267" s="30">
        <v>21</v>
      </c>
      <c r="AB8267">
        <v>3955.13</v>
      </c>
      <c r="AC8267">
        <v>3323</v>
      </c>
      <c r="AD8267">
        <v>750</v>
      </c>
      <c r="AE8267">
        <v>16000</v>
      </c>
      <c r="AF8267" s="30">
        <v>71</v>
      </c>
      <c r="AG8267">
        <v>1851.63</v>
      </c>
      <c r="AH8267">
        <v>1600</v>
      </c>
      <c r="AI8267">
        <v>253.3</v>
      </c>
      <c r="AJ8267">
        <v>4000</v>
      </c>
      <c r="AK8267" s="30">
        <v>27</v>
      </c>
      <c r="AQ8267">
        <v>3060</v>
      </c>
      <c r="AR8267">
        <v>4000</v>
      </c>
      <c r="AS8267">
        <v>1000</v>
      </c>
      <c r="AT8267">
        <v>6800</v>
      </c>
      <c r="AU8267" s="30">
        <v>5</v>
      </c>
      <c r="AV8267">
        <v>947.45</v>
      </c>
      <c r="AW8267">
        <v>1200</v>
      </c>
      <c r="AX8267">
        <v>241.7</v>
      </c>
      <c r="AY8267">
        <v>1500</v>
      </c>
      <c r="AZ8267" s="30">
        <v>8</v>
      </c>
      <c r="BA8267">
        <v>7372.83</v>
      </c>
      <c r="BB8267">
        <v>5000</v>
      </c>
      <c r="BC8267">
        <v>333.3</v>
      </c>
      <c r="BD8267">
        <v>20000</v>
      </c>
      <c r="BE8267" s="30">
        <v>11</v>
      </c>
      <c r="BK8267">
        <v>7882.04</v>
      </c>
      <c r="BL8267">
        <v>10000</v>
      </c>
      <c r="BM8267">
        <v>1000</v>
      </c>
      <c r="BN8267">
        <v>10000</v>
      </c>
      <c r="BO8267" s="30">
        <v>2</v>
      </c>
      <c r="BP8267">
        <v>625</v>
      </c>
      <c r="BQ8267">
        <v>500</v>
      </c>
      <c r="BR8267">
        <v>400</v>
      </c>
      <c r="BS8267">
        <v>1000</v>
      </c>
      <c r="BT8267" s="30">
        <v>4</v>
      </c>
      <c r="BU8267">
        <v>71</v>
      </c>
    </row>
    <row r="8268" spans="1:73" x14ac:dyDescent="0.35">
      <c r="A8268" t="s">
        <v>230</v>
      </c>
      <c r="B8268" t="s">
        <v>373</v>
      </c>
      <c r="C8268">
        <v>13648.46</v>
      </c>
      <c r="D8268">
        <v>12500</v>
      </c>
      <c r="E8268">
        <v>1000</v>
      </c>
      <c r="F8268">
        <v>67500</v>
      </c>
      <c r="G8268" s="30">
        <v>70</v>
      </c>
      <c r="H8268">
        <v>3616.67</v>
      </c>
      <c r="I8268">
        <v>2400</v>
      </c>
      <c r="J8268">
        <v>1166.7</v>
      </c>
      <c r="K8268">
        <v>8500</v>
      </c>
      <c r="L8268" s="30">
        <v>10</v>
      </c>
      <c r="M8268">
        <v>38906.230000000003</v>
      </c>
      <c r="N8268">
        <v>50000</v>
      </c>
      <c r="O8268">
        <v>666.7</v>
      </c>
      <c r="P8268">
        <v>125000</v>
      </c>
      <c r="Q8268" s="30">
        <v>7</v>
      </c>
      <c r="R8268">
        <v>2276.17</v>
      </c>
      <c r="S8268">
        <v>3000</v>
      </c>
      <c r="T8268">
        <v>600</v>
      </c>
      <c r="U8268">
        <v>5000</v>
      </c>
      <c r="V8268" s="30">
        <v>5</v>
      </c>
      <c r="W8268">
        <v>1381.93</v>
      </c>
      <c r="X8268">
        <v>1250</v>
      </c>
      <c r="Y8268">
        <v>833.3</v>
      </c>
      <c r="Z8268">
        <v>2400</v>
      </c>
      <c r="AA8268" s="30">
        <v>8</v>
      </c>
      <c r="AB8268">
        <v>4704.47</v>
      </c>
      <c r="AC8268">
        <v>4450</v>
      </c>
      <c r="AD8268">
        <v>575</v>
      </c>
      <c r="AE8268">
        <v>15000</v>
      </c>
      <c r="AF8268" s="30">
        <v>65</v>
      </c>
      <c r="AG8268">
        <v>1826.78</v>
      </c>
      <c r="AH8268">
        <v>1250</v>
      </c>
      <c r="AI8268">
        <v>172</v>
      </c>
      <c r="AJ8268">
        <v>10000</v>
      </c>
      <c r="AK8268" s="30">
        <v>15</v>
      </c>
      <c r="AL8268">
        <v>4800</v>
      </c>
      <c r="AM8268">
        <v>1200</v>
      </c>
      <c r="AN8268">
        <v>500</v>
      </c>
      <c r="AO8268">
        <v>15000</v>
      </c>
      <c r="AP8268" s="30">
        <v>4</v>
      </c>
      <c r="AQ8268">
        <v>3571.43</v>
      </c>
      <c r="AR8268">
        <v>4000</v>
      </c>
      <c r="AS8268">
        <v>1000</v>
      </c>
      <c r="AT8268">
        <v>10000</v>
      </c>
      <c r="AU8268" s="30">
        <v>7</v>
      </c>
      <c r="AV8268">
        <v>1200</v>
      </c>
      <c r="AW8268">
        <v>1200</v>
      </c>
      <c r="AX8268">
        <v>1200</v>
      </c>
      <c r="AY8268">
        <v>1200</v>
      </c>
      <c r="AZ8268" s="30">
        <v>3</v>
      </c>
      <c r="BA8268">
        <v>3315.48</v>
      </c>
      <c r="BB8268">
        <v>3000</v>
      </c>
      <c r="BC8268">
        <v>666.7</v>
      </c>
      <c r="BD8268">
        <v>10000</v>
      </c>
      <c r="BE8268" s="30">
        <v>14</v>
      </c>
      <c r="BP8268">
        <v>2222.2199999999998</v>
      </c>
      <c r="BQ8268">
        <v>5000</v>
      </c>
      <c r="BR8268">
        <v>666.7</v>
      </c>
      <c r="BS8268">
        <v>5000</v>
      </c>
      <c r="BT8268" s="30">
        <v>3</v>
      </c>
      <c r="BU8268">
        <v>70</v>
      </c>
    </row>
    <row r="8269" spans="1:73" x14ac:dyDescent="0.35">
      <c r="A8269" t="s">
        <v>231</v>
      </c>
      <c r="B8269" t="s">
        <v>371</v>
      </c>
      <c r="C8269">
        <v>12082.58</v>
      </c>
      <c r="D8269">
        <v>9000</v>
      </c>
      <c r="E8269">
        <v>1250</v>
      </c>
      <c r="F8269">
        <v>40000</v>
      </c>
      <c r="G8269" s="30">
        <v>77</v>
      </c>
      <c r="H8269">
        <v>5738.33</v>
      </c>
      <c r="I8269">
        <v>1600</v>
      </c>
      <c r="J8269">
        <v>300</v>
      </c>
      <c r="K8269">
        <v>40000</v>
      </c>
      <c r="L8269" s="30">
        <v>10</v>
      </c>
      <c r="M8269">
        <v>21966.67</v>
      </c>
      <c r="N8269">
        <v>10000</v>
      </c>
      <c r="O8269">
        <v>250</v>
      </c>
      <c r="P8269">
        <v>93000</v>
      </c>
      <c r="Q8269" s="30">
        <v>10</v>
      </c>
      <c r="R8269">
        <v>1716.67</v>
      </c>
      <c r="S8269">
        <v>3000</v>
      </c>
      <c r="T8269">
        <v>500</v>
      </c>
      <c r="U8269">
        <v>3000</v>
      </c>
      <c r="V8269" s="30">
        <v>5</v>
      </c>
      <c r="W8269">
        <v>1947.22</v>
      </c>
      <c r="X8269">
        <v>2000</v>
      </c>
      <c r="Y8269">
        <v>666.7</v>
      </c>
      <c r="Z8269">
        <v>3000</v>
      </c>
      <c r="AA8269" s="30">
        <v>12</v>
      </c>
      <c r="AB8269">
        <v>4025.74</v>
      </c>
      <c r="AC8269">
        <v>3500</v>
      </c>
      <c r="AD8269">
        <v>500</v>
      </c>
      <c r="AE8269">
        <v>13200</v>
      </c>
      <c r="AF8269" s="30">
        <v>79</v>
      </c>
      <c r="AG8269">
        <v>1892.75</v>
      </c>
      <c r="AH8269">
        <v>1400</v>
      </c>
      <c r="AI8269">
        <v>106.7</v>
      </c>
      <c r="AJ8269">
        <v>10000</v>
      </c>
      <c r="AK8269" s="30">
        <v>28</v>
      </c>
      <c r="AL8269">
        <v>4500</v>
      </c>
      <c r="AM8269">
        <v>1000</v>
      </c>
      <c r="AN8269">
        <v>1000</v>
      </c>
      <c r="AO8269">
        <v>8000</v>
      </c>
      <c r="AP8269" s="30">
        <v>2</v>
      </c>
      <c r="AQ8269">
        <v>4666.67</v>
      </c>
      <c r="AR8269">
        <v>4000</v>
      </c>
      <c r="AS8269">
        <v>666.7</v>
      </c>
      <c r="AT8269">
        <v>10000</v>
      </c>
      <c r="AU8269" s="30">
        <v>4</v>
      </c>
      <c r="BA8269">
        <v>5641.11</v>
      </c>
      <c r="BB8269">
        <v>5000</v>
      </c>
      <c r="BC8269">
        <v>200</v>
      </c>
      <c r="BD8269">
        <v>22750</v>
      </c>
      <c r="BE8269" s="30">
        <v>15</v>
      </c>
      <c r="BK8269">
        <v>500</v>
      </c>
      <c r="BL8269">
        <v>500</v>
      </c>
      <c r="BM8269">
        <v>500</v>
      </c>
      <c r="BN8269">
        <v>500</v>
      </c>
      <c r="BO8269" s="30">
        <v>2</v>
      </c>
      <c r="BP8269">
        <v>5072.22</v>
      </c>
      <c r="BQ8269">
        <v>3000</v>
      </c>
      <c r="BR8269">
        <v>133.30000000000001</v>
      </c>
      <c r="BS8269">
        <v>17500</v>
      </c>
      <c r="BT8269" s="30">
        <v>6</v>
      </c>
      <c r="BU8269">
        <v>79</v>
      </c>
    </row>
    <row r="8270" spans="1:73" x14ac:dyDescent="0.35">
      <c r="A8270" t="s">
        <v>232</v>
      </c>
      <c r="B8270" t="s">
        <v>232</v>
      </c>
      <c r="C8270">
        <v>12841.11</v>
      </c>
      <c r="D8270">
        <v>10000</v>
      </c>
      <c r="E8270">
        <v>333.3</v>
      </c>
      <c r="F8270">
        <v>150000</v>
      </c>
      <c r="G8270" s="30">
        <v>1271</v>
      </c>
      <c r="H8270">
        <v>6272.64</v>
      </c>
      <c r="I8270">
        <v>3333.3</v>
      </c>
      <c r="J8270">
        <v>16.7</v>
      </c>
      <c r="K8270">
        <v>66666.7</v>
      </c>
      <c r="L8270" s="30">
        <v>241</v>
      </c>
      <c r="M8270">
        <v>17578.79</v>
      </c>
      <c r="N8270">
        <v>10000</v>
      </c>
      <c r="O8270">
        <v>250</v>
      </c>
      <c r="P8270">
        <v>150000</v>
      </c>
      <c r="Q8270" s="30">
        <v>109</v>
      </c>
      <c r="R8270">
        <v>2698.25</v>
      </c>
      <c r="S8270">
        <v>1750</v>
      </c>
      <c r="T8270">
        <v>100</v>
      </c>
      <c r="U8270">
        <v>35000</v>
      </c>
      <c r="V8270" s="30">
        <v>92</v>
      </c>
      <c r="W8270">
        <v>1917.18</v>
      </c>
      <c r="X8270">
        <v>2000</v>
      </c>
      <c r="Y8270">
        <v>400</v>
      </c>
      <c r="Z8270">
        <v>5000</v>
      </c>
      <c r="AA8270" s="30">
        <v>264</v>
      </c>
      <c r="AB8270">
        <v>4296.82</v>
      </c>
      <c r="AC8270">
        <v>4000</v>
      </c>
      <c r="AD8270">
        <v>428.6</v>
      </c>
      <c r="AE8270">
        <v>30000</v>
      </c>
      <c r="AF8270" s="30">
        <v>1194</v>
      </c>
      <c r="AG8270">
        <v>2115.1799999999998</v>
      </c>
      <c r="AH8270">
        <v>1400</v>
      </c>
      <c r="AI8270">
        <v>106.7</v>
      </c>
      <c r="AJ8270">
        <v>20000</v>
      </c>
      <c r="AK8270" s="30">
        <v>404</v>
      </c>
      <c r="AL8270">
        <v>5888.89</v>
      </c>
      <c r="AM8270">
        <v>4000</v>
      </c>
      <c r="AN8270">
        <v>100</v>
      </c>
      <c r="AO8270">
        <v>25000</v>
      </c>
      <c r="AP8270" s="30">
        <v>32</v>
      </c>
      <c r="AQ8270">
        <v>5244.2</v>
      </c>
      <c r="AR8270">
        <v>3333.3</v>
      </c>
      <c r="AS8270">
        <v>233.3</v>
      </c>
      <c r="AT8270">
        <v>30000</v>
      </c>
      <c r="AU8270" s="30">
        <v>92</v>
      </c>
      <c r="AV8270">
        <v>1217.7</v>
      </c>
      <c r="AW8270">
        <v>1200</v>
      </c>
      <c r="AX8270">
        <v>241.7</v>
      </c>
      <c r="AY8270">
        <v>3300</v>
      </c>
      <c r="AZ8270" s="30">
        <v>52</v>
      </c>
      <c r="BA8270">
        <v>4143.3599999999997</v>
      </c>
      <c r="BB8270">
        <v>2500</v>
      </c>
      <c r="BC8270">
        <v>75</v>
      </c>
      <c r="BD8270">
        <v>26000</v>
      </c>
      <c r="BE8270" s="30">
        <v>206</v>
      </c>
      <c r="BF8270">
        <v>2109.21</v>
      </c>
      <c r="BG8270">
        <v>1000</v>
      </c>
      <c r="BH8270">
        <v>666.7</v>
      </c>
      <c r="BI8270">
        <v>4000</v>
      </c>
      <c r="BJ8270" s="30">
        <v>3</v>
      </c>
      <c r="BK8270">
        <v>9971.93</v>
      </c>
      <c r="BL8270">
        <v>666.7</v>
      </c>
      <c r="BM8270">
        <v>500</v>
      </c>
      <c r="BN8270">
        <v>75000</v>
      </c>
      <c r="BO8270" s="30">
        <v>14</v>
      </c>
      <c r="BP8270">
        <v>5190.95</v>
      </c>
      <c r="BQ8270">
        <v>3000</v>
      </c>
      <c r="BR8270">
        <v>100</v>
      </c>
      <c r="BS8270">
        <v>40000</v>
      </c>
      <c r="BT8270" s="30">
        <v>87</v>
      </c>
      <c r="BU8270">
        <v>1271</v>
      </c>
    </row>
    <row r="8272" spans="1:73" x14ac:dyDescent="0.35">
      <c r="A8272" s="1" t="s">
        <v>1184</v>
      </c>
    </row>
    <row r="8273" spans="1:73" x14ac:dyDescent="0.35">
      <c r="A8273" t="s">
        <v>219</v>
      </c>
      <c r="B8273" t="s">
        <v>305</v>
      </c>
      <c r="C8273" t="s">
        <v>1105</v>
      </c>
      <c r="D8273" t="s">
        <v>1106</v>
      </c>
      <c r="E8273" t="s">
        <v>1107</v>
      </c>
      <c r="F8273" t="s">
        <v>1108</v>
      </c>
      <c r="G8273" t="s">
        <v>1109</v>
      </c>
      <c r="H8273" t="s">
        <v>1110</v>
      </c>
      <c r="I8273" t="s">
        <v>1111</v>
      </c>
      <c r="J8273" t="s">
        <v>1112</v>
      </c>
      <c r="K8273" t="s">
        <v>1113</v>
      </c>
      <c r="L8273" t="s">
        <v>1114</v>
      </c>
      <c r="M8273" t="s">
        <v>1115</v>
      </c>
      <c r="N8273" t="s">
        <v>1116</v>
      </c>
      <c r="O8273" t="s">
        <v>1117</v>
      </c>
      <c r="P8273" t="s">
        <v>1118</v>
      </c>
      <c r="Q8273" t="s">
        <v>1119</v>
      </c>
      <c r="R8273" t="s">
        <v>1120</v>
      </c>
      <c r="S8273" t="s">
        <v>1121</v>
      </c>
      <c r="T8273" t="s">
        <v>1122</v>
      </c>
      <c r="U8273" t="s">
        <v>1123</v>
      </c>
      <c r="V8273" t="s">
        <v>1124</v>
      </c>
      <c r="W8273" t="s">
        <v>1125</v>
      </c>
      <c r="X8273" t="s">
        <v>1126</v>
      </c>
      <c r="Y8273" t="s">
        <v>1127</v>
      </c>
      <c r="Z8273" t="s">
        <v>1128</v>
      </c>
      <c r="AA8273" t="s">
        <v>1129</v>
      </c>
      <c r="AB8273" t="s">
        <v>1130</v>
      </c>
      <c r="AC8273" t="s">
        <v>1131</v>
      </c>
      <c r="AD8273" t="s">
        <v>1132</v>
      </c>
      <c r="AE8273" t="s">
        <v>1133</v>
      </c>
      <c r="AF8273" t="s">
        <v>1134</v>
      </c>
      <c r="AG8273" t="s">
        <v>1135</v>
      </c>
      <c r="AH8273" t="s">
        <v>1136</v>
      </c>
      <c r="AI8273" t="s">
        <v>1137</v>
      </c>
      <c r="AJ8273" t="s">
        <v>1138</v>
      </c>
      <c r="AK8273" t="s">
        <v>1139</v>
      </c>
      <c r="AL8273" t="s">
        <v>1140</v>
      </c>
      <c r="AM8273" t="s">
        <v>1141</v>
      </c>
      <c r="AN8273" t="s">
        <v>1142</v>
      </c>
      <c r="AO8273" t="s">
        <v>1143</v>
      </c>
      <c r="AP8273" t="s">
        <v>1144</v>
      </c>
      <c r="AQ8273" t="s">
        <v>1145</v>
      </c>
      <c r="AR8273" t="s">
        <v>1146</v>
      </c>
      <c r="AS8273" t="s">
        <v>1147</v>
      </c>
      <c r="AT8273" t="s">
        <v>1148</v>
      </c>
      <c r="AU8273" t="s">
        <v>1149</v>
      </c>
      <c r="AV8273" t="s">
        <v>1150</v>
      </c>
      <c r="AW8273" t="s">
        <v>1151</v>
      </c>
      <c r="AX8273" t="s">
        <v>1152</v>
      </c>
      <c r="AY8273" t="s">
        <v>1153</v>
      </c>
      <c r="AZ8273" t="s">
        <v>1154</v>
      </c>
      <c r="BA8273" t="s">
        <v>1155</v>
      </c>
      <c r="BB8273" t="s">
        <v>1156</v>
      </c>
      <c r="BC8273" t="s">
        <v>1157</v>
      </c>
      <c r="BD8273" t="s">
        <v>1158</v>
      </c>
      <c r="BE8273" t="s">
        <v>1159</v>
      </c>
      <c r="BF8273" t="s">
        <v>1160</v>
      </c>
      <c r="BG8273" t="s">
        <v>1161</v>
      </c>
      <c r="BH8273" t="s">
        <v>1162</v>
      </c>
      <c r="BI8273" t="s">
        <v>1163</v>
      </c>
      <c r="BJ8273" t="s">
        <v>1164</v>
      </c>
      <c r="BK8273" t="s">
        <v>1165</v>
      </c>
      <c r="BL8273" t="s">
        <v>1166</v>
      </c>
      <c r="BM8273" t="s">
        <v>1167</v>
      </c>
      <c r="BN8273" t="s">
        <v>1168</v>
      </c>
      <c r="BO8273" t="s">
        <v>1169</v>
      </c>
      <c r="BP8273" t="s">
        <v>1170</v>
      </c>
      <c r="BQ8273" t="s">
        <v>1171</v>
      </c>
      <c r="BR8273" t="s">
        <v>1172</v>
      </c>
      <c r="BS8273" t="s">
        <v>1173</v>
      </c>
      <c r="BT8273" t="s">
        <v>1174</v>
      </c>
      <c r="BU8273" t="s">
        <v>964</v>
      </c>
    </row>
    <row r="8274" spans="1:73" x14ac:dyDescent="0.35">
      <c r="A8274" t="s">
        <v>227</v>
      </c>
      <c r="B8274" t="s">
        <v>255</v>
      </c>
      <c r="C8274">
        <v>12204.84</v>
      </c>
      <c r="D8274">
        <v>10000</v>
      </c>
      <c r="E8274">
        <v>2000</v>
      </c>
      <c r="F8274">
        <v>60000</v>
      </c>
      <c r="G8274" s="30">
        <v>50</v>
      </c>
      <c r="H8274">
        <v>5295</v>
      </c>
      <c r="I8274">
        <v>2500</v>
      </c>
      <c r="J8274">
        <v>750</v>
      </c>
      <c r="K8274">
        <v>20000</v>
      </c>
      <c r="L8274" s="30">
        <v>10</v>
      </c>
      <c r="M8274">
        <v>16666.669999999998</v>
      </c>
      <c r="N8274">
        <v>13333.3</v>
      </c>
      <c r="O8274">
        <v>10000</v>
      </c>
      <c r="P8274">
        <v>30000</v>
      </c>
      <c r="Q8274" s="30">
        <v>4</v>
      </c>
      <c r="R8274">
        <v>3383.33</v>
      </c>
      <c r="S8274">
        <v>6666.7</v>
      </c>
      <c r="T8274">
        <v>300</v>
      </c>
      <c r="U8274">
        <v>9000</v>
      </c>
      <c r="V8274" s="30">
        <v>6</v>
      </c>
      <c r="W8274">
        <v>2041.67</v>
      </c>
      <c r="X8274">
        <v>2000</v>
      </c>
      <c r="Y8274">
        <v>1000</v>
      </c>
      <c r="Z8274">
        <v>3000</v>
      </c>
      <c r="AA8274" s="30">
        <v>14</v>
      </c>
      <c r="AB8274">
        <v>4470.63</v>
      </c>
      <c r="AC8274">
        <v>4350</v>
      </c>
      <c r="AD8274">
        <v>1566.7</v>
      </c>
      <c r="AE8274">
        <v>10000</v>
      </c>
      <c r="AF8274" s="30">
        <v>58</v>
      </c>
      <c r="AG8274">
        <v>3534.69</v>
      </c>
      <c r="AH8274">
        <v>3250</v>
      </c>
      <c r="AI8274">
        <v>300</v>
      </c>
      <c r="AJ8274">
        <v>13900</v>
      </c>
      <c r="AK8274" s="30">
        <v>15</v>
      </c>
      <c r="AL8274">
        <v>550</v>
      </c>
      <c r="AM8274">
        <v>100</v>
      </c>
      <c r="AN8274">
        <v>100</v>
      </c>
      <c r="AO8274">
        <v>1000</v>
      </c>
      <c r="AP8274" s="30">
        <v>2</v>
      </c>
      <c r="AQ8274">
        <v>3444.44</v>
      </c>
      <c r="AR8274">
        <v>4500</v>
      </c>
      <c r="AS8274">
        <v>2500</v>
      </c>
      <c r="AT8274">
        <v>4500</v>
      </c>
      <c r="AU8274" s="30">
        <v>3</v>
      </c>
      <c r="BA8274">
        <v>3916.67</v>
      </c>
      <c r="BB8274">
        <v>3000</v>
      </c>
      <c r="BC8274">
        <v>1000</v>
      </c>
      <c r="BD8274">
        <v>7500</v>
      </c>
      <c r="BE8274" s="30">
        <v>12</v>
      </c>
      <c r="BP8274">
        <v>6617.5</v>
      </c>
      <c r="BQ8274">
        <v>270</v>
      </c>
      <c r="BR8274">
        <v>200</v>
      </c>
      <c r="BS8274">
        <v>20000</v>
      </c>
      <c r="BT8274" s="30">
        <v>4</v>
      </c>
      <c r="BU8274">
        <v>58</v>
      </c>
    </row>
    <row r="8275" spans="1:73" x14ac:dyDescent="0.35">
      <c r="A8275" s="27" t="s">
        <v>227</v>
      </c>
      <c r="B8275" s="27" t="s">
        <v>256</v>
      </c>
      <c r="C8275" s="29">
        <v>7252.86</v>
      </c>
      <c r="D8275" s="29">
        <v>7000</v>
      </c>
      <c r="E8275" s="29">
        <v>500</v>
      </c>
      <c r="F8275" s="29">
        <v>20000</v>
      </c>
      <c r="G8275" s="29">
        <v>28</v>
      </c>
      <c r="H8275" s="29">
        <v>4283.33</v>
      </c>
      <c r="I8275" s="29">
        <v>5000</v>
      </c>
      <c r="J8275" s="29">
        <v>750</v>
      </c>
      <c r="K8275" s="29">
        <v>8333.2999999999993</v>
      </c>
      <c r="L8275" s="29">
        <v>5</v>
      </c>
      <c r="M8275" s="29"/>
      <c r="N8275" s="29"/>
      <c r="O8275" s="29"/>
      <c r="P8275" s="29"/>
      <c r="Q8275" s="29"/>
      <c r="R8275" s="29"/>
      <c r="S8275" s="29"/>
      <c r="T8275" s="29"/>
      <c r="U8275" s="29"/>
      <c r="V8275" s="29"/>
      <c r="W8275" s="29">
        <v>1983.33</v>
      </c>
      <c r="X8275" s="29">
        <v>2200</v>
      </c>
      <c r="Y8275" s="29">
        <v>1750</v>
      </c>
      <c r="Z8275" s="29">
        <v>2200</v>
      </c>
      <c r="AA8275" s="29">
        <v>3</v>
      </c>
      <c r="AB8275" s="29">
        <v>2205.9299999999998</v>
      </c>
      <c r="AC8275" s="29">
        <v>1600</v>
      </c>
      <c r="AD8275" s="29">
        <v>625</v>
      </c>
      <c r="AE8275" s="29">
        <v>6333.3</v>
      </c>
      <c r="AF8275" s="29">
        <v>9</v>
      </c>
      <c r="AG8275" s="29">
        <v>1730.11</v>
      </c>
      <c r="AH8275" s="29">
        <v>2033.3</v>
      </c>
      <c r="AI8275" s="29">
        <v>215</v>
      </c>
      <c r="AJ8275" s="29">
        <v>3800</v>
      </c>
      <c r="AK8275" s="29">
        <v>9</v>
      </c>
      <c r="AL8275" s="29"/>
      <c r="AM8275" s="29"/>
      <c r="AN8275" s="29"/>
      <c r="AO8275" s="29"/>
      <c r="AP8275" s="29"/>
      <c r="AQ8275" s="29">
        <v>2500</v>
      </c>
      <c r="AR8275" s="29">
        <v>2500</v>
      </c>
      <c r="AS8275" s="29">
        <v>2500</v>
      </c>
      <c r="AT8275" s="29">
        <v>2500</v>
      </c>
      <c r="AU8275" s="29">
        <v>1</v>
      </c>
      <c r="AV8275" s="29"/>
      <c r="AW8275" s="29"/>
      <c r="AX8275" s="29"/>
      <c r="AY8275" s="29"/>
      <c r="AZ8275" s="29"/>
      <c r="BA8275" s="29">
        <v>1916.67</v>
      </c>
      <c r="BB8275" s="29">
        <v>2500</v>
      </c>
      <c r="BC8275" s="29">
        <v>1250</v>
      </c>
      <c r="BD8275" s="29">
        <v>2500</v>
      </c>
      <c r="BE8275" s="29">
        <v>3</v>
      </c>
      <c r="BF8275" s="29"/>
      <c r="BG8275" s="29"/>
      <c r="BH8275" s="29"/>
      <c r="BI8275" s="29"/>
      <c r="BJ8275" s="29"/>
      <c r="BK8275" s="29"/>
      <c r="BL8275" s="29"/>
      <c r="BM8275" s="29"/>
      <c r="BN8275" s="29"/>
      <c r="BO8275" s="29"/>
      <c r="BP8275" s="29">
        <v>1555.56</v>
      </c>
      <c r="BQ8275" s="29">
        <v>1666.7</v>
      </c>
      <c r="BR8275" s="29">
        <v>1333.3</v>
      </c>
      <c r="BS8275" s="29">
        <v>1666.7</v>
      </c>
      <c r="BT8275" s="29">
        <v>3</v>
      </c>
      <c r="BU8275" s="29">
        <v>28</v>
      </c>
    </row>
    <row r="8276" spans="1:73" x14ac:dyDescent="0.35">
      <c r="A8276" s="27" t="s">
        <v>227</v>
      </c>
      <c r="B8276" s="27" t="s">
        <v>257</v>
      </c>
      <c r="C8276" s="29">
        <v>8236.11</v>
      </c>
      <c r="D8276" s="29">
        <v>10000</v>
      </c>
      <c r="E8276" s="29">
        <v>3250</v>
      </c>
      <c r="F8276" s="29">
        <v>16500</v>
      </c>
      <c r="G8276" s="29">
        <v>6</v>
      </c>
      <c r="H8276" s="29">
        <v>5250</v>
      </c>
      <c r="I8276" s="29">
        <v>500</v>
      </c>
      <c r="J8276" s="29">
        <v>500</v>
      </c>
      <c r="K8276" s="29">
        <v>10000</v>
      </c>
      <c r="L8276" s="29">
        <v>2</v>
      </c>
      <c r="M8276" s="29"/>
      <c r="N8276" s="29"/>
      <c r="O8276" s="29"/>
      <c r="P8276" s="29"/>
      <c r="Q8276" s="29"/>
      <c r="R8276" s="29"/>
      <c r="S8276" s="29"/>
      <c r="T8276" s="29"/>
      <c r="U8276" s="29"/>
      <c r="V8276" s="29"/>
      <c r="W8276" s="29">
        <v>1750</v>
      </c>
      <c r="X8276" s="29">
        <v>1000</v>
      </c>
      <c r="Y8276" s="29">
        <v>1000</v>
      </c>
      <c r="Z8276" s="29">
        <v>2500</v>
      </c>
      <c r="AA8276" s="29">
        <v>2</v>
      </c>
      <c r="AB8276" s="29">
        <v>2000</v>
      </c>
      <c r="AC8276" s="29">
        <v>2000</v>
      </c>
      <c r="AD8276" s="29">
        <v>2000</v>
      </c>
      <c r="AE8276" s="29">
        <v>2000</v>
      </c>
      <c r="AF8276" s="29">
        <v>1</v>
      </c>
      <c r="AG8276" s="29">
        <v>1083.33</v>
      </c>
      <c r="AH8276" s="29">
        <v>1500</v>
      </c>
      <c r="AI8276" s="29">
        <v>700</v>
      </c>
      <c r="AJ8276" s="29">
        <v>1500</v>
      </c>
      <c r="AK8276" s="29">
        <v>3</v>
      </c>
      <c r="AL8276" s="29"/>
      <c r="AM8276" s="29"/>
      <c r="AN8276" s="29"/>
      <c r="AO8276" s="29"/>
      <c r="AP8276" s="29"/>
      <c r="AQ8276" s="29"/>
      <c r="AR8276" s="29"/>
      <c r="AS8276" s="29"/>
      <c r="AT8276" s="29"/>
      <c r="AU8276" s="29"/>
      <c r="AV8276" s="29"/>
      <c r="AW8276" s="29"/>
      <c r="AX8276" s="29"/>
      <c r="AY8276" s="29"/>
      <c r="AZ8276" s="29"/>
      <c r="BA8276" s="29">
        <v>3000</v>
      </c>
      <c r="BB8276" s="29">
        <v>2000</v>
      </c>
      <c r="BC8276" s="29">
        <v>2000</v>
      </c>
      <c r="BD8276" s="29">
        <v>4000</v>
      </c>
      <c r="BE8276" s="29">
        <v>2</v>
      </c>
      <c r="BF8276" s="29"/>
      <c r="BG8276" s="29"/>
      <c r="BH8276" s="29"/>
      <c r="BI8276" s="29"/>
      <c r="BJ8276" s="29"/>
      <c r="BK8276" s="29"/>
      <c r="BL8276" s="29"/>
      <c r="BM8276" s="29"/>
      <c r="BN8276" s="29"/>
      <c r="BO8276" s="29"/>
      <c r="BP8276" s="29"/>
      <c r="BQ8276" s="29"/>
      <c r="BR8276" s="29"/>
      <c r="BS8276" s="29"/>
      <c r="BT8276" s="29"/>
      <c r="BU8276" s="29">
        <v>6</v>
      </c>
    </row>
    <row r="8277" spans="1:73" x14ac:dyDescent="0.35">
      <c r="A8277" t="s">
        <v>228</v>
      </c>
      <c r="B8277" t="s">
        <v>255</v>
      </c>
      <c r="C8277">
        <v>14417.64</v>
      </c>
      <c r="D8277">
        <v>10000</v>
      </c>
      <c r="E8277">
        <v>666.7</v>
      </c>
      <c r="F8277">
        <v>80000</v>
      </c>
      <c r="G8277" s="30">
        <v>249</v>
      </c>
      <c r="H8277">
        <v>5851.46</v>
      </c>
      <c r="I8277">
        <v>4000</v>
      </c>
      <c r="J8277">
        <v>750</v>
      </c>
      <c r="K8277">
        <v>39000</v>
      </c>
      <c r="L8277" s="30">
        <v>50</v>
      </c>
      <c r="M8277">
        <v>17670.599999999999</v>
      </c>
      <c r="N8277">
        <v>6750</v>
      </c>
      <c r="O8277">
        <v>2000</v>
      </c>
      <c r="P8277">
        <v>70000</v>
      </c>
      <c r="Q8277" s="30">
        <v>22</v>
      </c>
      <c r="R8277">
        <v>2786.91</v>
      </c>
      <c r="S8277">
        <v>2500</v>
      </c>
      <c r="T8277">
        <v>450</v>
      </c>
      <c r="U8277">
        <v>30000</v>
      </c>
      <c r="V8277" s="30">
        <v>15</v>
      </c>
      <c r="W8277">
        <v>1826.07</v>
      </c>
      <c r="X8277">
        <v>2000</v>
      </c>
      <c r="Y8277">
        <v>400</v>
      </c>
      <c r="Z8277">
        <v>5000</v>
      </c>
      <c r="AA8277" s="30">
        <v>95</v>
      </c>
      <c r="AB8277">
        <v>4953.04</v>
      </c>
      <c r="AC8277">
        <v>4250</v>
      </c>
      <c r="AD8277">
        <v>600</v>
      </c>
      <c r="AE8277">
        <v>27000</v>
      </c>
      <c r="AF8277" s="30">
        <v>424</v>
      </c>
      <c r="AG8277">
        <v>2465.19</v>
      </c>
      <c r="AH8277">
        <v>1650</v>
      </c>
      <c r="AI8277">
        <v>400</v>
      </c>
      <c r="AJ8277">
        <v>9850</v>
      </c>
      <c r="AK8277" s="30">
        <v>69</v>
      </c>
      <c r="AL8277">
        <v>4816.13</v>
      </c>
      <c r="AM8277">
        <v>1900</v>
      </c>
      <c r="AN8277">
        <v>333.3</v>
      </c>
      <c r="AO8277">
        <v>18000</v>
      </c>
      <c r="AP8277" s="30">
        <v>11</v>
      </c>
      <c r="AQ8277">
        <v>7184.66</v>
      </c>
      <c r="AR8277">
        <v>2500</v>
      </c>
      <c r="AS8277">
        <v>1000</v>
      </c>
      <c r="AT8277">
        <v>30000</v>
      </c>
      <c r="AU8277" s="30">
        <v>29</v>
      </c>
      <c r="AV8277">
        <v>994.23</v>
      </c>
      <c r="AW8277">
        <v>1000</v>
      </c>
      <c r="AX8277">
        <v>400</v>
      </c>
      <c r="AY8277">
        <v>1300</v>
      </c>
      <c r="AZ8277" s="30">
        <v>21</v>
      </c>
      <c r="BA8277">
        <v>5176.1000000000004</v>
      </c>
      <c r="BB8277">
        <v>2500</v>
      </c>
      <c r="BC8277">
        <v>200</v>
      </c>
      <c r="BD8277">
        <v>26000</v>
      </c>
      <c r="BE8277" s="30">
        <v>41</v>
      </c>
      <c r="BF8277">
        <v>1000</v>
      </c>
      <c r="BG8277">
        <v>1000</v>
      </c>
      <c r="BH8277">
        <v>1000</v>
      </c>
      <c r="BI8277">
        <v>1000</v>
      </c>
      <c r="BJ8277" s="30">
        <v>1</v>
      </c>
      <c r="BK8277">
        <v>564.6</v>
      </c>
      <c r="BL8277">
        <v>500</v>
      </c>
      <c r="BM8277">
        <v>500</v>
      </c>
      <c r="BN8277">
        <v>1450</v>
      </c>
      <c r="BO8277" s="30">
        <v>2</v>
      </c>
      <c r="BP8277">
        <v>6087.86</v>
      </c>
      <c r="BQ8277">
        <v>5000</v>
      </c>
      <c r="BR8277">
        <v>100</v>
      </c>
      <c r="BS8277">
        <v>25300</v>
      </c>
      <c r="BT8277" s="30">
        <v>19</v>
      </c>
      <c r="BU8277">
        <v>424</v>
      </c>
    </row>
    <row r="8278" spans="1:73" x14ac:dyDescent="0.35">
      <c r="A8278" t="s">
        <v>228</v>
      </c>
      <c r="B8278" t="s">
        <v>256</v>
      </c>
      <c r="C8278">
        <v>9967.1</v>
      </c>
      <c r="D8278">
        <v>7500</v>
      </c>
      <c r="E8278">
        <v>700</v>
      </c>
      <c r="F8278">
        <v>66666.7</v>
      </c>
      <c r="G8278" s="30">
        <v>136</v>
      </c>
      <c r="H8278">
        <v>3860.75</v>
      </c>
      <c r="I8278">
        <v>3750</v>
      </c>
      <c r="J8278">
        <v>500</v>
      </c>
      <c r="K8278">
        <v>10000</v>
      </c>
      <c r="L8278" s="30">
        <v>30</v>
      </c>
      <c r="M8278">
        <v>8224.64</v>
      </c>
      <c r="N8278">
        <v>6250</v>
      </c>
      <c r="O8278">
        <v>1250</v>
      </c>
      <c r="P8278">
        <v>23333.3</v>
      </c>
      <c r="Q8278" s="30">
        <v>14</v>
      </c>
      <c r="R8278">
        <v>4357.2700000000004</v>
      </c>
      <c r="S8278">
        <v>6250</v>
      </c>
      <c r="T8278">
        <v>2000</v>
      </c>
      <c r="U8278">
        <v>8333.2999999999993</v>
      </c>
      <c r="V8278" s="30">
        <v>6</v>
      </c>
      <c r="W8278">
        <v>1778.6</v>
      </c>
      <c r="X8278">
        <v>2000</v>
      </c>
      <c r="Y8278">
        <v>400</v>
      </c>
      <c r="Z8278">
        <v>4666.7</v>
      </c>
      <c r="AA8278" s="30">
        <v>32</v>
      </c>
      <c r="AB8278">
        <v>2089.2399999999998</v>
      </c>
      <c r="AC8278">
        <v>1250</v>
      </c>
      <c r="AD8278">
        <v>428.6</v>
      </c>
      <c r="AE8278">
        <v>7500</v>
      </c>
      <c r="AF8278" s="30">
        <v>66</v>
      </c>
      <c r="AG8278">
        <v>1047.26</v>
      </c>
      <c r="AH8278">
        <v>800</v>
      </c>
      <c r="AI8278">
        <v>160</v>
      </c>
      <c r="AJ8278">
        <v>3166.7</v>
      </c>
      <c r="AK8278" s="30">
        <v>53</v>
      </c>
      <c r="AQ8278">
        <v>1001.72</v>
      </c>
      <c r="AR8278">
        <v>2333.3000000000002</v>
      </c>
      <c r="AS8278">
        <v>233.3</v>
      </c>
      <c r="AT8278">
        <v>2666.7</v>
      </c>
      <c r="AU8278" s="30">
        <v>6</v>
      </c>
      <c r="AV8278">
        <v>1141.8399999999999</v>
      </c>
      <c r="AW8278">
        <v>1600</v>
      </c>
      <c r="AX8278">
        <v>480</v>
      </c>
      <c r="AY8278">
        <v>1600</v>
      </c>
      <c r="AZ8278" s="30">
        <v>3</v>
      </c>
      <c r="BA8278">
        <v>2516.09</v>
      </c>
      <c r="BB8278">
        <v>1000</v>
      </c>
      <c r="BC8278">
        <v>400</v>
      </c>
      <c r="BD8278">
        <v>15000</v>
      </c>
      <c r="BE8278" s="30">
        <v>13</v>
      </c>
      <c r="BK8278">
        <v>2100.33</v>
      </c>
      <c r="BL8278">
        <v>666.7</v>
      </c>
      <c r="BM8278">
        <v>666.7</v>
      </c>
      <c r="BN8278">
        <v>21750</v>
      </c>
      <c r="BO8278" s="30">
        <v>2</v>
      </c>
      <c r="BP8278">
        <v>6693.28</v>
      </c>
      <c r="BQ8278">
        <v>20000</v>
      </c>
      <c r="BR8278">
        <v>1800</v>
      </c>
      <c r="BS8278">
        <v>20000</v>
      </c>
      <c r="BT8278" s="30">
        <v>3</v>
      </c>
      <c r="BU8278">
        <v>136</v>
      </c>
    </row>
    <row r="8279" spans="1:73" x14ac:dyDescent="0.35">
      <c r="A8279" s="27" t="s">
        <v>228</v>
      </c>
      <c r="B8279" s="27" t="s">
        <v>257</v>
      </c>
      <c r="C8279" s="29">
        <v>9901.67</v>
      </c>
      <c r="D8279" s="29">
        <v>7500</v>
      </c>
      <c r="E8279" s="29">
        <v>2333.3000000000002</v>
      </c>
      <c r="F8279" s="29">
        <v>43333.3</v>
      </c>
      <c r="G8279" s="29">
        <v>27</v>
      </c>
      <c r="H8279" s="29">
        <v>6713.56</v>
      </c>
      <c r="I8279" s="29">
        <v>6500</v>
      </c>
      <c r="J8279" s="29">
        <v>1000</v>
      </c>
      <c r="K8279" s="29">
        <v>20000</v>
      </c>
      <c r="L8279" s="29">
        <v>5</v>
      </c>
      <c r="M8279" s="29"/>
      <c r="N8279" s="29"/>
      <c r="O8279" s="29"/>
      <c r="P8279" s="29"/>
      <c r="Q8279" s="29"/>
      <c r="R8279" s="29">
        <v>4405.03</v>
      </c>
      <c r="S8279" s="29">
        <v>4333.3</v>
      </c>
      <c r="T8279" s="29">
        <v>4333.3</v>
      </c>
      <c r="U8279" s="29">
        <v>4500</v>
      </c>
      <c r="V8279" s="29">
        <v>2</v>
      </c>
      <c r="W8279" s="29">
        <v>2464.7399999999998</v>
      </c>
      <c r="X8279" s="29">
        <v>2666.7</v>
      </c>
      <c r="Y8279" s="29">
        <v>2200</v>
      </c>
      <c r="Z8279" s="29">
        <v>2666.7</v>
      </c>
      <c r="AA8279" s="29">
        <v>5</v>
      </c>
      <c r="AB8279" s="29">
        <v>5668.71</v>
      </c>
      <c r="AC8279" s="29">
        <v>3750</v>
      </c>
      <c r="AD8279" s="29">
        <v>3750</v>
      </c>
      <c r="AE8279" s="29">
        <v>13333.3</v>
      </c>
      <c r="AF8279" s="29">
        <v>2</v>
      </c>
      <c r="AG8279" s="29">
        <v>1336.07</v>
      </c>
      <c r="AH8279" s="29">
        <v>1500</v>
      </c>
      <c r="AI8279" s="29">
        <v>430</v>
      </c>
      <c r="AJ8279" s="29">
        <v>3500</v>
      </c>
      <c r="AK8279" s="29">
        <v>18</v>
      </c>
      <c r="AL8279" s="29"/>
      <c r="AM8279" s="29"/>
      <c r="AN8279" s="29"/>
      <c r="AO8279" s="29"/>
      <c r="AP8279" s="29"/>
      <c r="AQ8279" s="29">
        <v>5000</v>
      </c>
      <c r="AR8279" s="29">
        <v>5000</v>
      </c>
      <c r="AS8279" s="29">
        <v>5000</v>
      </c>
      <c r="AT8279" s="29">
        <v>5000</v>
      </c>
      <c r="AU8279" s="29">
        <v>1</v>
      </c>
      <c r="AV8279" s="29"/>
      <c r="AW8279" s="29"/>
      <c r="AX8279" s="29"/>
      <c r="AY8279" s="29"/>
      <c r="AZ8279" s="29"/>
      <c r="BA8279" s="29">
        <v>1478.96</v>
      </c>
      <c r="BB8279" s="29">
        <v>2000</v>
      </c>
      <c r="BC8279" s="29">
        <v>100</v>
      </c>
      <c r="BD8279" s="29">
        <v>7500</v>
      </c>
      <c r="BE8279" s="29">
        <v>9</v>
      </c>
      <c r="BF8279" s="29"/>
      <c r="BG8279" s="29"/>
      <c r="BH8279" s="29"/>
      <c r="BI8279" s="29"/>
      <c r="BJ8279" s="29"/>
      <c r="BK8279" s="29"/>
      <c r="BL8279" s="29"/>
      <c r="BM8279" s="29"/>
      <c r="BN8279" s="29"/>
      <c r="BO8279" s="29"/>
      <c r="BP8279" s="29">
        <v>1183.3</v>
      </c>
      <c r="BQ8279" s="29">
        <v>1250</v>
      </c>
      <c r="BR8279" s="29">
        <v>566.70000000000005</v>
      </c>
      <c r="BS8279" s="29">
        <v>1250</v>
      </c>
      <c r="BT8279" s="29">
        <v>2</v>
      </c>
      <c r="BU8279" s="29">
        <v>27</v>
      </c>
    </row>
    <row r="8280" spans="1:73" x14ac:dyDescent="0.35">
      <c r="A8280" s="27" t="s">
        <v>228</v>
      </c>
      <c r="B8280" s="27" t="s">
        <v>258</v>
      </c>
      <c r="C8280" s="29">
        <v>8965.3700000000008</v>
      </c>
      <c r="D8280" s="29">
        <v>10000</v>
      </c>
      <c r="E8280" s="29">
        <v>4750</v>
      </c>
      <c r="F8280" s="29">
        <v>10000</v>
      </c>
      <c r="G8280" s="29">
        <v>3</v>
      </c>
      <c r="H8280" s="29"/>
      <c r="I8280" s="29"/>
      <c r="J8280" s="29"/>
      <c r="K8280" s="29"/>
      <c r="L8280" s="29"/>
      <c r="M8280" s="29"/>
      <c r="N8280" s="29"/>
      <c r="O8280" s="29"/>
      <c r="P8280" s="29"/>
      <c r="Q8280" s="29"/>
      <c r="R8280" s="29"/>
      <c r="S8280" s="29"/>
      <c r="T8280" s="29"/>
      <c r="U8280" s="29"/>
      <c r="V8280" s="29"/>
      <c r="W8280" s="29">
        <v>1400</v>
      </c>
      <c r="X8280" s="29">
        <v>1400</v>
      </c>
      <c r="Y8280" s="29">
        <v>1400</v>
      </c>
      <c r="Z8280" s="29">
        <v>1400</v>
      </c>
      <c r="AA8280" s="29">
        <v>1</v>
      </c>
      <c r="AB8280" s="29">
        <v>3750</v>
      </c>
      <c r="AC8280" s="29">
        <v>3750</v>
      </c>
      <c r="AD8280" s="29">
        <v>3750</v>
      </c>
      <c r="AE8280" s="29">
        <v>3750</v>
      </c>
      <c r="AF8280" s="29">
        <v>1</v>
      </c>
      <c r="AG8280" s="29">
        <v>215</v>
      </c>
      <c r="AH8280" s="29">
        <v>215</v>
      </c>
      <c r="AI8280" s="29">
        <v>215</v>
      </c>
      <c r="AJ8280" s="29">
        <v>215</v>
      </c>
      <c r="AK8280" s="29">
        <v>1</v>
      </c>
      <c r="AL8280" s="29"/>
      <c r="AM8280" s="29"/>
      <c r="AN8280" s="29"/>
      <c r="AO8280" s="29"/>
      <c r="AP8280" s="29"/>
      <c r="AQ8280" s="29"/>
      <c r="AR8280" s="29"/>
      <c r="AS8280" s="29"/>
      <c r="AT8280" s="29"/>
      <c r="AU8280" s="29"/>
      <c r="AV8280" s="29"/>
      <c r="AW8280" s="29"/>
      <c r="AX8280" s="29"/>
      <c r="AY8280" s="29"/>
      <c r="AZ8280" s="29"/>
      <c r="BA8280" s="29">
        <v>2500</v>
      </c>
      <c r="BB8280" s="29">
        <v>2500</v>
      </c>
      <c r="BC8280" s="29">
        <v>2500</v>
      </c>
      <c r="BD8280" s="29">
        <v>2500</v>
      </c>
      <c r="BE8280" s="29">
        <v>1</v>
      </c>
      <c r="BF8280" s="29"/>
      <c r="BG8280" s="29"/>
      <c r="BH8280" s="29"/>
      <c r="BI8280" s="29"/>
      <c r="BJ8280" s="29"/>
      <c r="BK8280" s="29"/>
      <c r="BL8280" s="29"/>
      <c r="BM8280" s="29"/>
      <c r="BN8280" s="29"/>
      <c r="BO8280" s="29"/>
      <c r="BP8280" s="29"/>
      <c r="BQ8280" s="29"/>
      <c r="BR8280" s="29"/>
      <c r="BS8280" s="29"/>
      <c r="BT8280" s="29"/>
      <c r="BU8280" s="29">
        <v>3</v>
      </c>
    </row>
    <row r="8281" spans="1:73" x14ac:dyDescent="0.35">
      <c r="A8281" t="s">
        <v>229</v>
      </c>
      <c r="B8281" t="s">
        <v>255</v>
      </c>
      <c r="C8281">
        <v>17487.46</v>
      </c>
      <c r="D8281">
        <v>15000</v>
      </c>
      <c r="E8281">
        <v>1000</v>
      </c>
      <c r="F8281">
        <v>100000</v>
      </c>
      <c r="G8281" s="30">
        <v>296</v>
      </c>
      <c r="H8281">
        <v>9732.77</v>
      </c>
      <c r="I8281">
        <v>7500</v>
      </c>
      <c r="J8281">
        <v>1000</v>
      </c>
      <c r="K8281">
        <v>30000</v>
      </c>
      <c r="L8281" s="30">
        <v>43</v>
      </c>
      <c r="M8281">
        <v>11078.74</v>
      </c>
      <c r="N8281">
        <v>8333.2999999999993</v>
      </c>
      <c r="O8281">
        <v>750</v>
      </c>
      <c r="P8281">
        <v>30000</v>
      </c>
      <c r="Q8281" s="30">
        <v>22</v>
      </c>
      <c r="R8281">
        <v>2970.95</v>
      </c>
      <c r="S8281">
        <v>1333.3</v>
      </c>
      <c r="T8281">
        <v>100</v>
      </c>
      <c r="U8281">
        <v>35000</v>
      </c>
      <c r="V8281" s="30">
        <v>26</v>
      </c>
      <c r="W8281">
        <v>1893.28</v>
      </c>
      <c r="X8281">
        <v>2000</v>
      </c>
      <c r="Y8281">
        <v>666.7</v>
      </c>
      <c r="Z8281">
        <v>3150</v>
      </c>
      <c r="AA8281" s="30">
        <v>40</v>
      </c>
      <c r="AB8281">
        <v>5105.78</v>
      </c>
      <c r="AC8281">
        <v>4300</v>
      </c>
      <c r="AD8281">
        <v>766.7</v>
      </c>
      <c r="AE8281">
        <v>30000</v>
      </c>
      <c r="AF8281" s="30">
        <v>275</v>
      </c>
      <c r="AG8281">
        <v>2821.75</v>
      </c>
      <c r="AH8281">
        <v>1950</v>
      </c>
      <c r="AI8281">
        <v>150</v>
      </c>
      <c r="AJ8281">
        <v>18000</v>
      </c>
      <c r="AK8281" s="30">
        <v>68</v>
      </c>
      <c r="AL8281">
        <v>9629.4500000000007</v>
      </c>
      <c r="AM8281">
        <v>15000</v>
      </c>
      <c r="AN8281">
        <v>608</v>
      </c>
      <c r="AO8281">
        <v>15000</v>
      </c>
      <c r="AP8281" s="30">
        <v>4</v>
      </c>
      <c r="AQ8281">
        <v>6929.72</v>
      </c>
      <c r="AR8281">
        <v>4666.7</v>
      </c>
      <c r="AS8281">
        <v>1250</v>
      </c>
      <c r="AT8281">
        <v>20000</v>
      </c>
      <c r="AU8281" s="30">
        <v>17</v>
      </c>
      <c r="AV8281">
        <v>500</v>
      </c>
      <c r="AW8281">
        <v>500</v>
      </c>
      <c r="AX8281">
        <v>500</v>
      </c>
      <c r="AY8281">
        <v>500</v>
      </c>
      <c r="AZ8281" s="30">
        <v>2</v>
      </c>
      <c r="BA8281">
        <v>2721.58</v>
      </c>
      <c r="BB8281">
        <v>1000</v>
      </c>
      <c r="BC8281">
        <v>100</v>
      </c>
      <c r="BD8281">
        <v>20000</v>
      </c>
      <c r="BE8281" s="30">
        <v>36</v>
      </c>
      <c r="BK8281">
        <v>38165.269999999997</v>
      </c>
      <c r="BL8281">
        <v>75000</v>
      </c>
      <c r="BM8281">
        <v>3333.3</v>
      </c>
      <c r="BN8281">
        <v>75000</v>
      </c>
      <c r="BO8281" s="30">
        <v>3</v>
      </c>
      <c r="BP8281">
        <v>8688.24</v>
      </c>
      <c r="BQ8281">
        <v>10000</v>
      </c>
      <c r="BR8281">
        <v>185</v>
      </c>
      <c r="BS8281">
        <v>40000</v>
      </c>
      <c r="BT8281" s="30">
        <v>19</v>
      </c>
      <c r="BU8281">
        <v>296</v>
      </c>
    </row>
    <row r="8282" spans="1:73" x14ac:dyDescent="0.35">
      <c r="A8282" s="27" t="s">
        <v>229</v>
      </c>
      <c r="B8282" s="27" t="s">
        <v>258</v>
      </c>
      <c r="C8282" s="29">
        <v>7000</v>
      </c>
      <c r="D8282" s="29">
        <v>7000</v>
      </c>
      <c r="E8282" s="29">
        <v>7000</v>
      </c>
      <c r="F8282" s="29">
        <v>7000</v>
      </c>
      <c r="G8282" s="29">
        <v>1</v>
      </c>
      <c r="H8282" s="29">
        <v>1250</v>
      </c>
      <c r="I8282" s="29">
        <v>1250</v>
      </c>
      <c r="J8282" s="29">
        <v>1250</v>
      </c>
      <c r="K8282" s="29">
        <v>1250</v>
      </c>
      <c r="L8282" s="29">
        <v>1</v>
      </c>
      <c r="M8282" s="29"/>
      <c r="N8282" s="29"/>
      <c r="O8282" s="29"/>
      <c r="P8282" s="29"/>
      <c r="Q8282" s="29"/>
      <c r="R8282" s="29"/>
      <c r="S8282" s="29"/>
      <c r="T8282" s="29"/>
      <c r="U8282" s="29"/>
      <c r="V8282" s="29"/>
      <c r="W8282" s="29"/>
      <c r="X8282" s="29"/>
      <c r="Y8282" s="29"/>
      <c r="Z8282" s="29"/>
      <c r="AA8282" s="29"/>
      <c r="AB8282" s="29"/>
      <c r="AC8282" s="29"/>
      <c r="AD8282" s="29"/>
      <c r="AE8282" s="29"/>
      <c r="AF8282" s="29"/>
      <c r="AG8282" s="29">
        <v>1625</v>
      </c>
      <c r="AH8282" s="29">
        <v>1625</v>
      </c>
      <c r="AI8282" s="29">
        <v>1625</v>
      </c>
      <c r="AJ8282" s="29">
        <v>1625</v>
      </c>
      <c r="AK8282" s="29">
        <v>1</v>
      </c>
      <c r="AL8282" s="29"/>
      <c r="AM8282" s="29"/>
      <c r="AN8282" s="29"/>
      <c r="AO8282" s="29"/>
      <c r="AP8282" s="29"/>
      <c r="AQ8282" s="29"/>
      <c r="AR8282" s="29"/>
      <c r="AS8282" s="29"/>
      <c r="AT8282" s="29"/>
      <c r="AU8282" s="29"/>
      <c r="AV8282" s="29"/>
      <c r="AW8282" s="29"/>
      <c r="AX8282" s="29"/>
      <c r="AY8282" s="29"/>
      <c r="AZ8282" s="29"/>
      <c r="BA8282" s="29">
        <v>300</v>
      </c>
      <c r="BB8282" s="29">
        <v>300</v>
      </c>
      <c r="BC8282" s="29">
        <v>300</v>
      </c>
      <c r="BD8282" s="29">
        <v>300</v>
      </c>
      <c r="BE8282" s="29">
        <v>1</v>
      </c>
      <c r="BF8282" s="29"/>
      <c r="BG8282" s="29"/>
      <c r="BH8282" s="29"/>
      <c r="BI8282" s="29"/>
      <c r="BJ8282" s="29"/>
      <c r="BK8282" s="29"/>
      <c r="BL8282" s="29"/>
      <c r="BM8282" s="29"/>
      <c r="BN8282" s="29"/>
      <c r="BO8282" s="29"/>
      <c r="BP8282" s="29"/>
      <c r="BQ8282" s="29"/>
      <c r="BR8282" s="29"/>
      <c r="BS8282" s="29"/>
      <c r="BT8282" s="29"/>
      <c r="BU8282" s="29">
        <v>1</v>
      </c>
    </row>
    <row r="8283" spans="1:73" x14ac:dyDescent="0.35">
      <c r="A8283" t="s">
        <v>229</v>
      </c>
      <c r="B8283" t="s">
        <v>256</v>
      </c>
      <c r="C8283">
        <v>12654.72</v>
      </c>
      <c r="D8283">
        <v>12000</v>
      </c>
      <c r="E8283">
        <v>500</v>
      </c>
      <c r="F8283">
        <v>150000</v>
      </c>
      <c r="G8283" s="30">
        <v>123</v>
      </c>
      <c r="H8283">
        <v>9507.44</v>
      </c>
      <c r="I8283">
        <v>3333.3</v>
      </c>
      <c r="J8283">
        <v>16.7</v>
      </c>
      <c r="K8283">
        <v>66666.7</v>
      </c>
      <c r="L8283" s="30">
        <v>21</v>
      </c>
      <c r="M8283">
        <v>11584.5</v>
      </c>
      <c r="N8283">
        <v>10000</v>
      </c>
      <c r="O8283">
        <v>750</v>
      </c>
      <c r="P8283">
        <v>33333.300000000003</v>
      </c>
      <c r="Q8283" s="30">
        <v>15</v>
      </c>
      <c r="R8283">
        <v>2230.02</v>
      </c>
      <c r="S8283">
        <v>666.7</v>
      </c>
      <c r="T8283">
        <v>200</v>
      </c>
      <c r="U8283">
        <v>16666.7</v>
      </c>
      <c r="V8283" s="30">
        <v>10</v>
      </c>
      <c r="W8283">
        <v>1759.33</v>
      </c>
      <c r="X8283">
        <v>2000</v>
      </c>
      <c r="Y8283">
        <v>500</v>
      </c>
      <c r="Z8283">
        <v>2666.7</v>
      </c>
      <c r="AA8283" s="30">
        <v>10</v>
      </c>
      <c r="AB8283">
        <v>1893.81</v>
      </c>
      <c r="AC8283">
        <v>1333.3</v>
      </c>
      <c r="AD8283">
        <v>460</v>
      </c>
      <c r="AE8283">
        <v>7870</v>
      </c>
      <c r="AF8283" s="30">
        <v>38</v>
      </c>
      <c r="AG8283">
        <v>1903.77</v>
      </c>
      <c r="AH8283">
        <v>1000</v>
      </c>
      <c r="AI8283">
        <v>172</v>
      </c>
      <c r="AJ8283">
        <v>20000</v>
      </c>
      <c r="AK8283" s="30">
        <v>44</v>
      </c>
      <c r="AL8283">
        <v>5798.94</v>
      </c>
      <c r="AM8283">
        <v>10000</v>
      </c>
      <c r="AN8283">
        <v>3750</v>
      </c>
      <c r="AO8283">
        <v>10000</v>
      </c>
      <c r="AP8283" s="30">
        <v>3</v>
      </c>
      <c r="AQ8283">
        <v>1999.31</v>
      </c>
      <c r="AR8283">
        <v>3333.3</v>
      </c>
      <c r="AS8283">
        <v>833.3</v>
      </c>
      <c r="AT8283">
        <v>5000</v>
      </c>
      <c r="AU8283" s="30">
        <v>5</v>
      </c>
      <c r="BA8283">
        <v>2889.7</v>
      </c>
      <c r="BB8283">
        <v>3333.3</v>
      </c>
      <c r="BC8283">
        <v>250</v>
      </c>
      <c r="BD8283">
        <v>7500</v>
      </c>
      <c r="BE8283" s="30">
        <v>13</v>
      </c>
      <c r="BF8283">
        <v>4000</v>
      </c>
      <c r="BG8283">
        <v>4000</v>
      </c>
      <c r="BH8283">
        <v>4000</v>
      </c>
      <c r="BI8283">
        <v>4000</v>
      </c>
      <c r="BJ8283" s="30">
        <v>1</v>
      </c>
      <c r="BP8283">
        <v>3751.9</v>
      </c>
      <c r="BQ8283">
        <v>3000</v>
      </c>
      <c r="BR8283">
        <v>125</v>
      </c>
      <c r="BS8283">
        <v>17500</v>
      </c>
      <c r="BT8283" s="30">
        <v>11</v>
      </c>
      <c r="BU8283">
        <v>123</v>
      </c>
    </row>
    <row r="8284" spans="1:73" x14ac:dyDescent="0.35">
      <c r="A8284" t="s">
        <v>229</v>
      </c>
      <c r="B8284" t="s">
        <v>257</v>
      </c>
      <c r="C8284">
        <v>11460</v>
      </c>
      <c r="D8284">
        <v>7500</v>
      </c>
      <c r="E8284">
        <v>1666.7</v>
      </c>
      <c r="F8284">
        <v>43333.3</v>
      </c>
      <c r="G8284" s="30">
        <v>32</v>
      </c>
      <c r="H8284">
        <v>3913.36</v>
      </c>
      <c r="I8284">
        <v>5000</v>
      </c>
      <c r="J8284">
        <v>850</v>
      </c>
      <c r="K8284">
        <v>5000</v>
      </c>
      <c r="L8284" s="30">
        <v>5</v>
      </c>
      <c r="R8284">
        <v>100</v>
      </c>
      <c r="S8284">
        <v>100</v>
      </c>
      <c r="T8284">
        <v>100</v>
      </c>
      <c r="U8284">
        <v>100</v>
      </c>
      <c r="V8284" s="30">
        <v>1</v>
      </c>
      <c r="W8284">
        <v>2518.25</v>
      </c>
      <c r="X8284">
        <v>2666.7</v>
      </c>
      <c r="Y8284">
        <v>2500</v>
      </c>
      <c r="Z8284">
        <v>2666.7</v>
      </c>
      <c r="AA8284" s="30">
        <v>3</v>
      </c>
      <c r="AG8284">
        <v>1515.19</v>
      </c>
      <c r="AH8284">
        <v>1666.7</v>
      </c>
      <c r="AI8284">
        <v>286.7</v>
      </c>
      <c r="AJ8284">
        <v>3500</v>
      </c>
      <c r="AK8284" s="30">
        <v>9</v>
      </c>
      <c r="AQ8284">
        <v>3017.34</v>
      </c>
      <c r="AR8284">
        <v>5000</v>
      </c>
      <c r="AS8284">
        <v>1000</v>
      </c>
      <c r="AT8284">
        <v>5000</v>
      </c>
      <c r="AU8284" s="30">
        <v>3</v>
      </c>
      <c r="BA8284">
        <v>5296.84</v>
      </c>
      <c r="BB8284">
        <v>6000</v>
      </c>
      <c r="BC8284">
        <v>75</v>
      </c>
      <c r="BD8284">
        <v>7500</v>
      </c>
      <c r="BE8284" s="30">
        <v>7</v>
      </c>
      <c r="BF8284">
        <v>666.67</v>
      </c>
      <c r="BG8284">
        <v>666.7</v>
      </c>
      <c r="BH8284">
        <v>666.7</v>
      </c>
      <c r="BI8284">
        <v>666.7</v>
      </c>
      <c r="BJ8284" s="30">
        <v>1</v>
      </c>
      <c r="BP8284">
        <v>6144.27</v>
      </c>
      <c r="BQ8284">
        <v>6666.7</v>
      </c>
      <c r="BR8284">
        <v>1500</v>
      </c>
      <c r="BS8284">
        <v>8500</v>
      </c>
      <c r="BT8284" s="30">
        <v>4</v>
      </c>
      <c r="BU8284">
        <v>32</v>
      </c>
    </row>
    <row r="8285" spans="1:73" x14ac:dyDescent="0.35">
      <c r="A8285" t="s">
        <v>230</v>
      </c>
      <c r="B8285" t="s">
        <v>255</v>
      </c>
      <c r="C8285">
        <v>14292.86</v>
      </c>
      <c r="D8285">
        <v>11666.7</v>
      </c>
      <c r="E8285">
        <v>1050</v>
      </c>
      <c r="F8285">
        <v>75000</v>
      </c>
      <c r="G8285" s="30">
        <v>150</v>
      </c>
      <c r="H8285">
        <v>6637.97</v>
      </c>
      <c r="I8285">
        <v>6500</v>
      </c>
      <c r="J8285">
        <v>200</v>
      </c>
      <c r="K8285">
        <v>21000</v>
      </c>
      <c r="L8285" s="30">
        <v>34</v>
      </c>
      <c r="M8285">
        <v>34764.050000000003</v>
      </c>
      <c r="N8285">
        <v>15000</v>
      </c>
      <c r="O8285">
        <v>1666.7</v>
      </c>
      <c r="P8285">
        <v>150000</v>
      </c>
      <c r="Q8285" s="30">
        <v>11</v>
      </c>
      <c r="R8285">
        <v>2307.38</v>
      </c>
      <c r="S8285">
        <v>2000</v>
      </c>
      <c r="T8285">
        <v>666.7</v>
      </c>
      <c r="U8285">
        <v>8000</v>
      </c>
      <c r="V8285" s="30">
        <v>12</v>
      </c>
      <c r="W8285">
        <v>1642.99</v>
      </c>
      <c r="X8285">
        <v>2000</v>
      </c>
      <c r="Y8285">
        <v>666.7</v>
      </c>
      <c r="Z8285">
        <v>3000</v>
      </c>
      <c r="AA8285" s="30">
        <v>28</v>
      </c>
      <c r="AB8285">
        <v>4380.95</v>
      </c>
      <c r="AC8285">
        <v>3800</v>
      </c>
      <c r="AD8285">
        <v>900</v>
      </c>
      <c r="AE8285">
        <v>18000</v>
      </c>
      <c r="AF8285" s="30">
        <v>213</v>
      </c>
      <c r="AG8285">
        <v>2452.5100000000002</v>
      </c>
      <c r="AH8285">
        <v>2100</v>
      </c>
      <c r="AI8285">
        <v>300</v>
      </c>
      <c r="AJ8285">
        <v>10000</v>
      </c>
      <c r="AK8285" s="30">
        <v>40</v>
      </c>
      <c r="AL8285">
        <v>12052.06</v>
      </c>
      <c r="AM8285">
        <v>15000</v>
      </c>
      <c r="AN8285">
        <v>1000</v>
      </c>
      <c r="AO8285">
        <v>25000</v>
      </c>
      <c r="AP8285" s="30">
        <v>9</v>
      </c>
      <c r="AQ8285">
        <v>7328.15</v>
      </c>
      <c r="AR8285">
        <v>4000</v>
      </c>
      <c r="AS8285">
        <v>1000</v>
      </c>
      <c r="AT8285">
        <v>20000</v>
      </c>
      <c r="AU8285" s="30">
        <v>17</v>
      </c>
      <c r="AV8285">
        <v>1764.67</v>
      </c>
      <c r="AW8285">
        <v>1500</v>
      </c>
      <c r="AX8285">
        <v>241.7</v>
      </c>
      <c r="AY8285">
        <v>3300</v>
      </c>
      <c r="AZ8285" s="30">
        <v>22</v>
      </c>
      <c r="BA8285">
        <v>3592.75</v>
      </c>
      <c r="BB8285">
        <v>3000</v>
      </c>
      <c r="BC8285">
        <v>500</v>
      </c>
      <c r="BD8285">
        <v>20000</v>
      </c>
      <c r="BE8285" s="30">
        <v>32</v>
      </c>
      <c r="BK8285">
        <v>6069.16</v>
      </c>
      <c r="BL8285">
        <v>10000</v>
      </c>
      <c r="BM8285">
        <v>1000</v>
      </c>
      <c r="BN8285">
        <v>10000</v>
      </c>
      <c r="BO8285" s="30">
        <v>4</v>
      </c>
      <c r="BP8285">
        <v>2127.33</v>
      </c>
      <c r="BQ8285">
        <v>1200</v>
      </c>
      <c r="BR8285">
        <v>500</v>
      </c>
      <c r="BS8285">
        <v>5500</v>
      </c>
      <c r="BT8285" s="30">
        <v>13</v>
      </c>
      <c r="BU8285">
        <v>213</v>
      </c>
    </row>
    <row r="8286" spans="1:73" x14ac:dyDescent="0.35">
      <c r="A8286" t="s">
        <v>230</v>
      </c>
      <c r="B8286" t="s">
        <v>256</v>
      </c>
      <c r="C8286">
        <v>7787.63</v>
      </c>
      <c r="D8286">
        <v>6666.7</v>
      </c>
      <c r="E8286">
        <v>333.3</v>
      </c>
      <c r="F8286">
        <v>67500</v>
      </c>
      <c r="G8286" s="30">
        <v>74</v>
      </c>
      <c r="H8286">
        <v>2946.9</v>
      </c>
      <c r="I8286">
        <v>2400</v>
      </c>
      <c r="J8286">
        <v>333.3</v>
      </c>
      <c r="K8286">
        <v>7500</v>
      </c>
      <c r="L8286" s="30">
        <v>17</v>
      </c>
      <c r="M8286">
        <v>25916.03</v>
      </c>
      <c r="N8286">
        <v>17500</v>
      </c>
      <c r="O8286">
        <v>3333.3</v>
      </c>
      <c r="P8286">
        <v>125000</v>
      </c>
      <c r="Q8286" s="30">
        <v>10</v>
      </c>
      <c r="R8286">
        <v>3809.29</v>
      </c>
      <c r="S8286">
        <v>3000</v>
      </c>
      <c r="T8286">
        <v>600</v>
      </c>
      <c r="U8286">
        <v>6250</v>
      </c>
      <c r="V8286" s="30">
        <v>8</v>
      </c>
      <c r="W8286">
        <v>1982.35</v>
      </c>
      <c r="X8286">
        <v>2333.3000000000002</v>
      </c>
      <c r="Y8286">
        <v>833.3</v>
      </c>
      <c r="Z8286">
        <v>3000</v>
      </c>
      <c r="AA8286" s="30">
        <v>14</v>
      </c>
      <c r="AB8286">
        <v>1514.08</v>
      </c>
      <c r="AC8286">
        <v>1100</v>
      </c>
      <c r="AD8286">
        <v>575</v>
      </c>
      <c r="AE8286">
        <v>5000</v>
      </c>
      <c r="AF8286" s="30">
        <v>27</v>
      </c>
      <c r="AG8286">
        <v>1486.01</v>
      </c>
      <c r="AH8286">
        <v>1000</v>
      </c>
      <c r="AI8286">
        <v>172</v>
      </c>
      <c r="AJ8286">
        <v>7000</v>
      </c>
      <c r="AK8286" s="30">
        <v>36</v>
      </c>
      <c r="AL8286">
        <v>500</v>
      </c>
      <c r="AM8286">
        <v>500</v>
      </c>
      <c r="AN8286">
        <v>500</v>
      </c>
      <c r="AO8286">
        <v>500</v>
      </c>
      <c r="AP8286" s="30">
        <v>1</v>
      </c>
      <c r="AQ8286">
        <v>5431.46</v>
      </c>
      <c r="AR8286">
        <v>6266.7</v>
      </c>
      <c r="AS8286">
        <v>250</v>
      </c>
      <c r="AT8286">
        <v>13000</v>
      </c>
      <c r="AU8286" s="30">
        <v>5</v>
      </c>
      <c r="AV8286">
        <v>660</v>
      </c>
      <c r="AW8286">
        <v>1200</v>
      </c>
      <c r="AX8286">
        <v>300</v>
      </c>
      <c r="AY8286">
        <v>1200</v>
      </c>
      <c r="AZ8286" s="30">
        <v>3</v>
      </c>
      <c r="BA8286">
        <v>2662.17</v>
      </c>
      <c r="BB8286">
        <v>3000</v>
      </c>
      <c r="BC8286">
        <v>333.3</v>
      </c>
      <c r="BD8286">
        <v>5000</v>
      </c>
      <c r="BE8286" s="30">
        <v>13</v>
      </c>
      <c r="BP8286">
        <v>4705.84</v>
      </c>
      <c r="BQ8286">
        <v>6000</v>
      </c>
      <c r="BR8286">
        <v>400</v>
      </c>
      <c r="BS8286">
        <v>6000</v>
      </c>
      <c r="BT8286" s="30">
        <v>2</v>
      </c>
      <c r="BU8286">
        <v>74</v>
      </c>
    </row>
    <row r="8287" spans="1:73" x14ac:dyDescent="0.35">
      <c r="A8287" s="27" t="s">
        <v>230</v>
      </c>
      <c r="B8287" s="27" t="s">
        <v>258</v>
      </c>
      <c r="C8287" s="29">
        <v>5000</v>
      </c>
      <c r="D8287" s="29">
        <v>5000</v>
      </c>
      <c r="E8287" s="29">
        <v>5000</v>
      </c>
      <c r="F8287" s="29">
        <v>5000</v>
      </c>
      <c r="G8287" s="29">
        <v>1</v>
      </c>
      <c r="H8287" s="29"/>
      <c r="I8287" s="29"/>
      <c r="J8287" s="29"/>
      <c r="K8287" s="29"/>
      <c r="L8287" s="29"/>
      <c r="M8287" s="29"/>
      <c r="N8287" s="29"/>
      <c r="O8287" s="29"/>
      <c r="P8287" s="29"/>
      <c r="Q8287" s="29"/>
      <c r="R8287" s="29"/>
      <c r="S8287" s="29"/>
      <c r="T8287" s="29"/>
      <c r="U8287" s="29"/>
      <c r="V8287" s="29"/>
      <c r="W8287" s="29"/>
      <c r="X8287" s="29"/>
      <c r="Y8287" s="29"/>
      <c r="Z8287" s="29"/>
      <c r="AA8287" s="29"/>
      <c r="AB8287" s="29"/>
      <c r="AC8287" s="29"/>
      <c r="AD8287" s="29"/>
      <c r="AE8287" s="29"/>
      <c r="AF8287" s="29"/>
      <c r="AG8287" s="29">
        <v>1500</v>
      </c>
      <c r="AH8287" s="29">
        <v>1500</v>
      </c>
      <c r="AI8287" s="29">
        <v>1500</v>
      </c>
      <c r="AJ8287" s="29">
        <v>1500</v>
      </c>
      <c r="AK8287" s="29">
        <v>2</v>
      </c>
      <c r="AL8287" s="29"/>
      <c r="AM8287" s="29"/>
      <c r="AN8287" s="29"/>
      <c r="AO8287" s="29"/>
      <c r="AP8287" s="29"/>
      <c r="AQ8287" s="29"/>
      <c r="AR8287" s="29"/>
      <c r="AS8287" s="29"/>
      <c r="AT8287" s="29"/>
      <c r="AU8287" s="29"/>
      <c r="AV8287" s="29"/>
      <c r="AW8287" s="29"/>
      <c r="AX8287" s="29"/>
      <c r="AY8287" s="29"/>
      <c r="AZ8287" s="29"/>
      <c r="BA8287" s="29"/>
      <c r="BB8287" s="29"/>
      <c r="BC8287" s="29"/>
      <c r="BD8287" s="29"/>
      <c r="BE8287" s="29"/>
      <c r="BF8287" s="29"/>
      <c r="BG8287" s="29"/>
      <c r="BH8287" s="29"/>
      <c r="BI8287" s="29"/>
      <c r="BJ8287" s="29"/>
      <c r="BK8287" s="29"/>
      <c r="BL8287" s="29"/>
      <c r="BM8287" s="29"/>
      <c r="BN8287" s="29"/>
      <c r="BO8287" s="29"/>
      <c r="BP8287" s="29">
        <v>600</v>
      </c>
      <c r="BQ8287" s="29">
        <v>600</v>
      </c>
      <c r="BR8287" s="29">
        <v>600</v>
      </c>
      <c r="BS8287" s="29">
        <v>600</v>
      </c>
      <c r="BT8287" s="29">
        <v>1</v>
      </c>
      <c r="BU8287" s="29">
        <v>2</v>
      </c>
    </row>
    <row r="8288" spans="1:73" x14ac:dyDescent="0.35">
      <c r="A8288" s="27" t="s">
        <v>230</v>
      </c>
      <c r="B8288" s="27" t="s">
        <v>257</v>
      </c>
      <c r="C8288" s="29">
        <v>8964.42</v>
      </c>
      <c r="D8288" s="29">
        <v>8000</v>
      </c>
      <c r="E8288" s="29">
        <v>1500</v>
      </c>
      <c r="F8288" s="29">
        <v>20000</v>
      </c>
      <c r="G8288" s="29">
        <v>18</v>
      </c>
      <c r="H8288" s="29">
        <v>1774.91</v>
      </c>
      <c r="I8288" s="29">
        <v>3333.3</v>
      </c>
      <c r="J8288" s="29">
        <v>333.3</v>
      </c>
      <c r="K8288" s="29">
        <v>5000</v>
      </c>
      <c r="L8288" s="29">
        <v>8</v>
      </c>
      <c r="M8288" s="29">
        <v>666.67</v>
      </c>
      <c r="N8288" s="29">
        <v>666.7</v>
      </c>
      <c r="O8288" s="29">
        <v>666.7</v>
      </c>
      <c r="P8288" s="29">
        <v>666.7</v>
      </c>
      <c r="Q8288" s="29">
        <v>1</v>
      </c>
      <c r="R8288" s="29">
        <v>1000</v>
      </c>
      <c r="S8288" s="29">
        <v>1000</v>
      </c>
      <c r="T8288" s="29">
        <v>1000</v>
      </c>
      <c r="U8288" s="29">
        <v>1000</v>
      </c>
      <c r="V8288" s="29">
        <v>1</v>
      </c>
      <c r="W8288" s="29">
        <v>2631.1</v>
      </c>
      <c r="X8288" s="29">
        <v>2666.7</v>
      </c>
      <c r="Y8288" s="29">
        <v>1000</v>
      </c>
      <c r="Z8288" s="29">
        <v>3000</v>
      </c>
      <c r="AA8288" s="29">
        <v>5</v>
      </c>
      <c r="AB8288" s="29">
        <v>1750</v>
      </c>
      <c r="AC8288" s="29">
        <v>1750</v>
      </c>
      <c r="AD8288" s="29">
        <v>1750</v>
      </c>
      <c r="AE8288" s="29">
        <v>1750</v>
      </c>
      <c r="AF8288" s="29">
        <v>1</v>
      </c>
      <c r="AG8288" s="29">
        <v>2931.29</v>
      </c>
      <c r="AH8288" s="29">
        <v>1666.7</v>
      </c>
      <c r="AI8288" s="29">
        <v>253.3</v>
      </c>
      <c r="AJ8288" s="29">
        <v>5500</v>
      </c>
      <c r="AK8288" s="29">
        <v>8</v>
      </c>
      <c r="AL8288" s="29"/>
      <c r="AM8288" s="29"/>
      <c r="AN8288" s="29"/>
      <c r="AO8288" s="29"/>
      <c r="AP8288" s="29"/>
      <c r="AQ8288" s="29">
        <v>750</v>
      </c>
      <c r="AR8288" s="29">
        <v>750</v>
      </c>
      <c r="AS8288" s="29">
        <v>750</v>
      </c>
      <c r="AT8288" s="29">
        <v>750</v>
      </c>
      <c r="AU8288" s="29">
        <v>1</v>
      </c>
      <c r="AV8288" s="29">
        <v>1066.67</v>
      </c>
      <c r="AW8288" s="29">
        <v>1066.7</v>
      </c>
      <c r="AX8288" s="29">
        <v>1066.7</v>
      </c>
      <c r="AY8288" s="29">
        <v>1066.7</v>
      </c>
      <c r="AZ8288" s="29">
        <v>1</v>
      </c>
      <c r="BA8288" s="29">
        <v>2094.7600000000002</v>
      </c>
      <c r="BB8288" s="29">
        <v>1000</v>
      </c>
      <c r="BC8288" s="29">
        <v>500</v>
      </c>
      <c r="BD8288" s="29">
        <v>10000</v>
      </c>
      <c r="BE8288" s="29">
        <v>8</v>
      </c>
      <c r="BF8288" s="29"/>
      <c r="BG8288" s="29"/>
      <c r="BH8288" s="29"/>
      <c r="BI8288" s="29"/>
      <c r="BJ8288" s="29"/>
      <c r="BK8288" s="29">
        <v>5166.67</v>
      </c>
      <c r="BL8288" s="29">
        <v>5166.7</v>
      </c>
      <c r="BM8288" s="29">
        <v>5166.7</v>
      </c>
      <c r="BN8288" s="29">
        <v>5166.7</v>
      </c>
      <c r="BO8288" s="29">
        <v>1</v>
      </c>
      <c r="BP8288" s="29"/>
      <c r="BQ8288" s="29"/>
      <c r="BR8288" s="29"/>
      <c r="BS8288" s="29"/>
      <c r="BT8288" s="29"/>
      <c r="BU8288" s="29">
        <v>18</v>
      </c>
    </row>
    <row r="8289" spans="1:73" x14ac:dyDescent="0.35">
      <c r="A8289" s="27" t="s">
        <v>231</v>
      </c>
      <c r="B8289" s="27" t="s">
        <v>256</v>
      </c>
      <c r="C8289" s="29">
        <v>8644.58</v>
      </c>
      <c r="D8289" s="29">
        <v>7600</v>
      </c>
      <c r="E8289" s="29">
        <v>1250</v>
      </c>
      <c r="F8289" s="29">
        <v>35000</v>
      </c>
      <c r="G8289" s="29">
        <v>20</v>
      </c>
      <c r="H8289" s="29">
        <v>1862.5</v>
      </c>
      <c r="I8289" s="29">
        <v>1500</v>
      </c>
      <c r="J8289" s="29">
        <v>600</v>
      </c>
      <c r="K8289" s="29">
        <v>3750</v>
      </c>
      <c r="L8289" s="29">
        <v>4</v>
      </c>
      <c r="M8289" s="29"/>
      <c r="N8289" s="29"/>
      <c r="O8289" s="29"/>
      <c r="P8289" s="29"/>
      <c r="Q8289" s="29"/>
      <c r="R8289" s="29"/>
      <c r="S8289" s="29"/>
      <c r="T8289" s="29"/>
      <c r="U8289" s="29"/>
      <c r="V8289" s="29"/>
      <c r="W8289" s="29">
        <v>2350</v>
      </c>
      <c r="X8289" s="29">
        <v>2200</v>
      </c>
      <c r="Y8289" s="29">
        <v>2200</v>
      </c>
      <c r="Z8289" s="29">
        <v>2500</v>
      </c>
      <c r="AA8289" s="29">
        <v>2</v>
      </c>
      <c r="AB8289" s="29">
        <v>1602.08</v>
      </c>
      <c r="AC8289" s="29">
        <v>1333.3</v>
      </c>
      <c r="AD8289" s="29">
        <v>750</v>
      </c>
      <c r="AE8289" s="29">
        <v>3250</v>
      </c>
      <c r="AF8289" s="29">
        <v>8</v>
      </c>
      <c r="AG8289" s="29">
        <v>413.54</v>
      </c>
      <c r="AH8289" s="29">
        <v>215</v>
      </c>
      <c r="AI8289" s="29">
        <v>106.7</v>
      </c>
      <c r="AJ8289" s="29">
        <v>1080</v>
      </c>
      <c r="AK8289" s="29">
        <v>8</v>
      </c>
      <c r="AL8289" s="29"/>
      <c r="AM8289" s="29"/>
      <c r="AN8289" s="29"/>
      <c r="AO8289" s="29"/>
      <c r="AP8289" s="29"/>
      <c r="AQ8289" s="29">
        <v>2333.33</v>
      </c>
      <c r="AR8289" s="29">
        <v>666.7</v>
      </c>
      <c r="AS8289" s="29">
        <v>666.7</v>
      </c>
      <c r="AT8289" s="29">
        <v>4000</v>
      </c>
      <c r="AU8289" s="29">
        <v>2</v>
      </c>
      <c r="AV8289" s="29"/>
      <c r="AW8289" s="29"/>
      <c r="AX8289" s="29"/>
      <c r="AY8289" s="29"/>
      <c r="AZ8289" s="29"/>
      <c r="BA8289" s="29">
        <v>2173.33</v>
      </c>
      <c r="BB8289" s="29">
        <v>2500</v>
      </c>
      <c r="BC8289" s="29">
        <v>200</v>
      </c>
      <c r="BD8289" s="29">
        <v>4000</v>
      </c>
      <c r="BE8289" s="29">
        <v>5</v>
      </c>
      <c r="BF8289" s="29"/>
      <c r="BG8289" s="29"/>
      <c r="BH8289" s="29"/>
      <c r="BI8289" s="29"/>
      <c r="BJ8289" s="29"/>
      <c r="BK8289" s="29"/>
      <c r="BL8289" s="29"/>
      <c r="BM8289" s="29"/>
      <c r="BN8289" s="29"/>
      <c r="BO8289" s="29"/>
      <c r="BP8289" s="29"/>
      <c r="BQ8289" s="29"/>
      <c r="BR8289" s="29"/>
      <c r="BS8289" s="29"/>
      <c r="BT8289" s="29"/>
      <c r="BU8289" s="29">
        <v>20</v>
      </c>
    </row>
    <row r="8290" spans="1:73" x14ac:dyDescent="0.35">
      <c r="A8290" t="s">
        <v>231</v>
      </c>
      <c r="B8290" t="s">
        <v>255</v>
      </c>
      <c r="C8290">
        <v>13617.58</v>
      </c>
      <c r="D8290">
        <v>10000</v>
      </c>
      <c r="E8290">
        <v>1466.7</v>
      </c>
      <c r="F8290">
        <v>40000</v>
      </c>
      <c r="G8290" s="30">
        <v>55</v>
      </c>
      <c r="H8290">
        <v>9926.67</v>
      </c>
      <c r="I8290">
        <v>3333.3</v>
      </c>
      <c r="J8290">
        <v>300</v>
      </c>
      <c r="K8290">
        <v>40000</v>
      </c>
      <c r="L8290" s="30">
        <v>5</v>
      </c>
      <c r="M8290">
        <v>22185.19</v>
      </c>
      <c r="N8290">
        <v>12666.7</v>
      </c>
      <c r="O8290">
        <v>250</v>
      </c>
      <c r="P8290">
        <v>93000</v>
      </c>
      <c r="Q8290" s="30">
        <v>9</v>
      </c>
      <c r="R8290">
        <v>1716.67</v>
      </c>
      <c r="S8290">
        <v>3000</v>
      </c>
      <c r="T8290">
        <v>500</v>
      </c>
      <c r="U8290">
        <v>3000</v>
      </c>
      <c r="V8290" s="30">
        <v>5</v>
      </c>
      <c r="W8290">
        <v>1937.5</v>
      </c>
      <c r="X8290">
        <v>2000</v>
      </c>
      <c r="Y8290">
        <v>1000</v>
      </c>
      <c r="Z8290">
        <v>3000</v>
      </c>
      <c r="AA8290" s="30">
        <v>8</v>
      </c>
      <c r="AB8290">
        <v>4387.2</v>
      </c>
      <c r="AC8290">
        <v>4200</v>
      </c>
      <c r="AD8290">
        <v>500</v>
      </c>
      <c r="AE8290">
        <v>13200</v>
      </c>
      <c r="AF8290" s="30">
        <v>69</v>
      </c>
      <c r="AG8290">
        <v>2541.5100000000002</v>
      </c>
      <c r="AH8290">
        <v>1666.7</v>
      </c>
      <c r="AI8290">
        <v>300</v>
      </c>
      <c r="AJ8290">
        <v>10000</v>
      </c>
      <c r="AK8290" s="30">
        <v>19</v>
      </c>
      <c r="AL8290">
        <v>4500</v>
      </c>
      <c r="AM8290">
        <v>1000</v>
      </c>
      <c r="AN8290">
        <v>1000</v>
      </c>
      <c r="AO8290">
        <v>8000</v>
      </c>
      <c r="AP8290" s="30">
        <v>2</v>
      </c>
      <c r="AQ8290">
        <v>7000</v>
      </c>
      <c r="AR8290">
        <v>4000</v>
      </c>
      <c r="AS8290">
        <v>4000</v>
      </c>
      <c r="AT8290">
        <v>10000</v>
      </c>
      <c r="AU8290" s="30">
        <v>2</v>
      </c>
      <c r="BA8290">
        <v>7375</v>
      </c>
      <c r="BB8290">
        <v>5000</v>
      </c>
      <c r="BC8290">
        <v>1000</v>
      </c>
      <c r="BD8290">
        <v>22750</v>
      </c>
      <c r="BE8290" s="30">
        <v>10</v>
      </c>
      <c r="BK8290">
        <v>500</v>
      </c>
      <c r="BL8290">
        <v>500</v>
      </c>
      <c r="BM8290">
        <v>500</v>
      </c>
      <c r="BN8290">
        <v>500</v>
      </c>
      <c r="BO8290" s="30">
        <v>2</v>
      </c>
      <c r="BP8290">
        <v>3200</v>
      </c>
      <c r="BQ8290">
        <v>2500</v>
      </c>
      <c r="BR8290">
        <v>2300</v>
      </c>
      <c r="BS8290">
        <v>5000</v>
      </c>
      <c r="BT8290" s="30">
        <v>4</v>
      </c>
      <c r="BU8290">
        <v>69</v>
      </c>
    </row>
    <row r="8291" spans="1:73" x14ac:dyDescent="0.35">
      <c r="A8291" s="27" t="s">
        <v>231</v>
      </c>
      <c r="B8291" s="27" t="s">
        <v>257</v>
      </c>
      <c r="C8291" s="29">
        <v>4250</v>
      </c>
      <c r="D8291" s="29">
        <v>3500</v>
      </c>
      <c r="E8291" s="29">
        <v>3500</v>
      </c>
      <c r="F8291" s="29">
        <v>5000</v>
      </c>
      <c r="G8291" s="29">
        <v>2</v>
      </c>
      <c r="H8291" s="29">
        <v>300</v>
      </c>
      <c r="I8291" s="29">
        <v>300</v>
      </c>
      <c r="J8291" s="29">
        <v>300</v>
      </c>
      <c r="K8291" s="29">
        <v>300</v>
      </c>
      <c r="L8291" s="29">
        <v>1</v>
      </c>
      <c r="M8291" s="29">
        <v>20000</v>
      </c>
      <c r="N8291" s="29">
        <v>20000</v>
      </c>
      <c r="O8291" s="29">
        <v>20000</v>
      </c>
      <c r="P8291" s="29">
        <v>20000</v>
      </c>
      <c r="Q8291" s="29">
        <v>1</v>
      </c>
      <c r="R8291" s="29"/>
      <c r="S8291" s="29"/>
      <c r="T8291" s="29"/>
      <c r="U8291" s="29"/>
      <c r="V8291" s="29"/>
      <c r="W8291" s="29">
        <v>1583.33</v>
      </c>
      <c r="X8291" s="29">
        <v>666.7</v>
      </c>
      <c r="Y8291" s="29">
        <v>666.7</v>
      </c>
      <c r="Z8291" s="29">
        <v>2500</v>
      </c>
      <c r="AA8291" s="29">
        <v>2</v>
      </c>
      <c r="AB8291" s="29">
        <v>1250</v>
      </c>
      <c r="AC8291" s="29">
        <v>1000</v>
      </c>
      <c r="AD8291" s="29">
        <v>1000</v>
      </c>
      <c r="AE8291" s="29">
        <v>1500</v>
      </c>
      <c r="AF8291" s="29">
        <v>2</v>
      </c>
      <c r="AG8291" s="29">
        <v>1400</v>
      </c>
      <c r="AH8291" s="29">
        <v>1400</v>
      </c>
      <c r="AI8291" s="29">
        <v>1400</v>
      </c>
      <c r="AJ8291" s="29">
        <v>1400</v>
      </c>
      <c r="AK8291" s="29">
        <v>1</v>
      </c>
      <c r="AL8291" s="29"/>
      <c r="AM8291" s="29"/>
      <c r="AN8291" s="29"/>
      <c r="AO8291" s="29"/>
      <c r="AP8291" s="29"/>
      <c r="AQ8291" s="29"/>
      <c r="AR8291" s="29"/>
      <c r="AS8291" s="29"/>
      <c r="AT8291" s="29"/>
      <c r="AU8291" s="29"/>
      <c r="AV8291" s="29"/>
      <c r="AW8291" s="29"/>
      <c r="AX8291" s="29"/>
      <c r="AY8291" s="29"/>
      <c r="AZ8291" s="29"/>
      <c r="BA8291" s="29"/>
      <c r="BB8291" s="29"/>
      <c r="BC8291" s="29"/>
      <c r="BD8291" s="29"/>
      <c r="BE8291" s="29"/>
      <c r="BF8291" s="29"/>
      <c r="BG8291" s="29"/>
      <c r="BH8291" s="29"/>
      <c r="BI8291" s="29"/>
      <c r="BJ8291" s="29"/>
      <c r="BK8291" s="29"/>
      <c r="BL8291" s="29"/>
      <c r="BM8291" s="29"/>
      <c r="BN8291" s="29"/>
      <c r="BO8291" s="29"/>
      <c r="BP8291" s="29">
        <v>8816.67</v>
      </c>
      <c r="BQ8291" s="29">
        <v>133.30000000000001</v>
      </c>
      <c r="BR8291" s="29">
        <v>133.30000000000001</v>
      </c>
      <c r="BS8291" s="29">
        <v>17500</v>
      </c>
      <c r="BT8291" s="29">
        <v>2</v>
      </c>
      <c r="BU8291" s="29">
        <v>2</v>
      </c>
    </row>
    <row r="8292" spans="1:73" x14ac:dyDescent="0.35">
      <c r="A8292" t="s">
        <v>232</v>
      </c>
      <c r="B8292" t="s">
        <v>232</v>
      </c>
      <c r="C8292">
        <v>12841.11</v>
      </c>
      <c r="D8292">
        <v>10000</v>
      </c>
      <c r="E8292">
        <v>333.3</v>
      </c>
      <c r="F8292">
        <v>150000</v>
      </c>
      <c r="G8292" s="30">
        <v>1271</v>
      </c>
      <c r="H8292">
        <v>6272.64</v>
      </c>
      <c r="I8292">
        <v>3333.3</v>
      </c>
      <c r="J8292">
        <v>16.7</v>
      </c>
      <c r="K8292">
        <v>66666.7</v>
      </c>
      <c r="L8292" s="30">
        <v>241</v>
      </c>
      <c r="M8292">
        <v>17578.79</v>
      </c>
      <c r="N8292">
        <v>10000</v>
      </c>
      <c r="O8292">
        <v>250</v>
      </c>
      <c r="P8292">
        <v>150000</v>
      </c>
      <c r="Q8292" s="30">
        <v>109</v>
      </c>
      <c r="R8292">
        <v>2698.25</v>
      </c>
      <c r="S8292">
        <v>1750</v>
      </c>
      <c r="T8292">
        <v>100</v>
      </c>
      <c r="U8292">
        <v>35000</v>
      </c>
      <c r="V8292" s="30">
        <v>92</v>
      </c>
      <c r="W8292">
        <v>1917.18</v>
      </c>
      <c r="X8292">
        <v>2000</v>
      </c>
      <c r="Y8292">
        <v>400</v>
      </c>
      <c r="Z8292">
        <v>5000</v>
      </c>
      <c r="AA8292" s="30">
        <v>264</v>
      </c>
      <c r="AB8292">
        <v>4296.82</v>
      </c>
      <c r="AC8292">
        <v>4000</v>
      </c>
      <c r="AD8292">
        <v>428.6</v>
      </c>
      <c r="AE8292">
        <v>30000</v>
      </c>
      <c r="AF8292" s="30">
        <v>1194</v>
      </c>
      <c r="AG8292">
        <v>2115.1799999999998</v>
      </c>
      <c r="AH8292">
        <v>1400</v>
      </c>
      <c r="AI8292">
        <v>106.7</v>
      </c>
      <c r="AJ8292">
        <v>20000</v>
      </c>
      <c r="AK8292" s="30">
        <v>404</v>
      </c>
      <c r="AL8292">
        <v>5888.89</v>
      </c>
      <c r="AM8292">
        <v>4000</v>
      </c>
      <c r="AN8292">
        <v>100</v>
      </c>
      <c r="AO8292">
        <v>25000</v>
      </c>
      <c r="AP8292" s="30">
        <v>32</v>
      </c>
      <c r="AQ8292">
        <v>5244.2</v>
      </c>
      <c r="AR8292">
        <v>3333.3</v>
      </c>
      <c r="AS8292">
        <v>233.3</v>
      </c>
      <c r="AT8292">
        <v>30000</v>
      </c>
      <c r="AU8292" s="30">
        <v>92</v>
      </c>
      <c r="AV8292">
        <v>1217.7</v>
      </c>
      <c r="AW8292">
        <v>1200</v>
      </c>
      <c r="AX8292">
        <v>241.7</v>
      </c>
      <c r="AY8292">
        <v>3300</v>
      </c>
      <c r="AZ8292" s="30">
        <v>52</v>
      </c>
      <c r="BA8292">
        <v>4143.3599999999997</v>
      </c>
      <c r="BB8292">
        <v>2500</v>
      </c>
      <c r="BC8292">
        <v>75</v>
      </c>
      <c r="BD8292">
        <v>26000</v>
      </c>
      <c r="BE8292" s="30">
        <v>206</v>
      </c>
      <c r="BF8292">
        <v>2109.21</v>
      </c>
      <c r="BG8292">
        <v>1000</v>
      </c>
      <c r="BH8292">
        <v>666.7</v>
      </c>
      <c r="BI8292">
        <v>4000</v>
      </c>
      <c r="BJ8292" s="30">
        <v>3</v>
      </c>
      <c r="BK8292">
        <v>9971.93</v>
      </c>
      <c r="BL8292">
        <v>666.7</v>
      </c>
      <c r="BM8292">
        <v>500</v>
      </c>
      <c r="BN8292">
        <v>75000</v>
      </c>
      <c r="BO8292" s="30">
        <v>14</v>
      </c>
      <c r="BP8292">
        <v>5190.95</v>
      </c>
      <c r="BQ8292">
        <v>3000</v>
      </c>
      <c r="BR8292">
        <v>100</v>
      </c>
      <c r="BS8292">
        <v>40000</v>
      </c>
      <c r="BT8292" s="30">
        <v>87</v>
      </c>
      <c r="BU8292">
        <v>1271</v>
      </c>
    </row>
    <row r="8294" spans="1:73" x14ac:dyDescent="0.35">
      <c r="A8294" s="1" t="s">
        <v>1185</v>
      </c>
    </row>
    <row r="8295" spans="1:73" x14ac:dyDescent="0.35">
      <c r="A8295" t="s">
        <v>219</v>
      </c>
      <c r="B8295" t="s">
        <v>534</v>
      </c>
      <c r="C8295" t="s">
        <v>535</v>
      </c>
      <c r="D8295" t="s">
        <v>536</v>
      </c>
      <c r="E8295" t="s">
        <v>537</v>
      </c>
      <c r="F8295" t="s">
        <v>226</v>
      </c>
    </row>
    <row r="8296" spans="1:73" x14ac:dyDescent="0.35">
      <c r="A8296" t="s">
        <v>227</v>
      </c>
      <c r="B8296">
        <v>9996.19</v>
      </c>
      <c r="C8296">
        <v>8000</v>
      </c>
      <c r="D8296">
        <v>0</v>
      </c>
      <c r="E8296">
        <v>60000</v>
      </c>
      <c r="F8296">
        <v>153</v>
      </c>
    </row>
    <row r="8297" spans="1:73" x14ac:dyDescent="0.35">
      <c r="A8297" t="s">
        <v>228</v>
      </c>
      <c r="B8297">
        <v>11612.53</v>
      </c>
      <c r="C8297">
        <v>8000</v>
      </c>
      <c r="D8297">
        <v>0</v>
      </c>
      <c r="E8297">
        <v>85000</v>
      </c>
      <c r="F8297">
        <v>900</v>
      </c>
    </row>
    <row r="8298" spans="1:73" x14ac:dyDescent="0.35">
      <c r="A8298" t="s">
        <v>229</v>
      </c>
      <c r="B8298">
        <v>14637.6</v>
      </c>
      <c r="C8298">
        <v>10500</v>
      </c>
      <c r="D8298">
        <v>0</v>
      </c>
      <c r="E8298">
        <v>150000</v>
      </c>
      <c r="F8298">
        <v>769</v>
      </c>
    </row>
    <row r="8299" spans="1:73" x14ac:dyDescent="0.35">
      <c r="A8299" t="s">
        <v>230</v>
      </c>
      <c r="B8299">
        <v>12143.85</v>
      </c>
      <c r="C8299">
        <v>8200</v>
      </c>
      <c r="D8299">
        <v>0</v>
      </c>
      <c r="E8299">
        <v>175000</v>
      </c>
      <c r="F8299">
        <v>504</v>
      </c>
    </row>
    <row r="8300" spans="1:73" x14ac:dyDescent="0.35">
      <c r="A8300" t="s">
        <v>231</v>
      </c>
      <c r="B8300">
        <v>11694.04</v>
      </c>
      <c r="C8300">
        <v>8000</v>
      </c>
      <c r="D8300">
        <v>433.3</v>
      </c>
      <c r="E8300">
        <v>100500</v>
      </c>
      <c r="F8300">
        <v>150</v>
      </c>
    </row>
    <row r="8301" spans="1:73" x14ac:dyDescent="0.35">
      <c r="A8301" t="s">
        <v>232</v>
      </c>
      <c r="B8301">
        <v>12264.58</v>
      </c>
      <c r="C8301">
        <v>8500</v>
      </c>
      <c r="D8301">
        <v>0</v>
      </c>
      <c r="E8301">
        <v>175000</v>
      </c>
      <c r="F8301">
        <v>2476</v>
      </c>
    </row>
    <row r="8303" spans="1:73" x14ac:dyDescent="0.35">
      <c r="A8303" s="1" t="s">
        <v>1186</v>
      </c>
    </row>
    <row r="8304" spans="1:73" x14ac:dyDescent="0.35">
      <c r="A8304" t="s">
        <v>219</v>
      </c>
      <c r="B8304" t="s">
        <v>305</v>
      </c>
      <c r="C8304" t="s">
        <v>534</v>
      </c>
      <c r="D8304" t="s">
        <v>535</v>
      </c>
      <c r="E8304" t="s">
        <v>536</v>
      </c>
      <c r="F8304" t="s">
        <v>537</v>
      </c>
      <c r="G8304" t="s">
        <v>226</v>
      </c>
    </row>
    <row r="8305" spans="1:7" x14ac:dyDescent="0.35">
      <c r="A8305" t="s">
        <v>227</v>
      </c>
      <c r="B8305" t="s">
        <v>242</v>
      </c>
      <c r="C8305">
        <v>8809.0499999999993</v>
      </c>
      <c r="D8305">
        <v>7300</v>
      </c>
      <c r="E8305">
        <v>1200</v>
      </c>
      <c r="F8305">
        <v>39896</v>
      </c>
      <c r="G8305">
        <v>65</v>
      </c>
    </row>
    <row r="8306" spans="1:7" x14ac:dyDescent="0.35">
      <c r="A8306" t="s">
        <v>227</v>
      </c>
      <c r="B8306" t="s">
        <v>241</v>
      </c>
      <c r="C8306">
        <v>10873.05</v>
      </c>
      <c r="D8306">
        <v>8375</v>
      </c>
      <c r="E8306">
        <v>0</v>
      </c>
      <c r="F8306">
        <v>60000</v>
      </c>
      <c r="G8306">
        <v>88</v>
      </c>
    </row>
    <row r="8307" spans="1:7" x14ac:dyDescent="0.35">
      <c r="A8307" t="s">
        <v>228</v>
      </c>
      <c r="B8307" t="s">
        <v>242</v>
      </c>
      <c r="C8307">
        <v>9068.93</v>
      </c>
      <c r="D8307">
        <v>6666.7</v>
      </c>
      <c r="E8307">
        <v>0</v>
      </c>
      <c r="F8307">
        <v>41000</v>
      </c>
      <c r="G8307">
        <v>368</v>
      </c>
    </row>
    <row r="8308" spans="1:7" x14ac:dyDescent="0.35">
      <c r="A8308" t="s">
        <v>228</v>
      </c>
      <c r="B8308" t="s">
        <v>241</v>
      </c>
      <c r="C8308">
        <v>13193.35</v>
      </c>
      <c r="D8308">
        <v>9500</v>
      </c>
      <c r="E8308">
        <v>0</v>
      </c>
      <c r="F8308">
        <v>85000</v>
      </c>
      <c r="G8308">
        <v>532</v>
      </c>
    </row>
    <row r="8309" spans="1:7" x14ac:dyDescent="0.35">
      <c r="A8309" t="s">
        <v>229</v>
      </c>
      <c r="B8309" t="s">
        <v>242</v>
      </c>
      <c r="C8309">
        <v>10587.33</v>
      </c>
      <c r="D8309">
        <v>7750</v>
      </c>
      <c r="E8309">
        <v>266.7</v>
      </c>
      <c r="F8309">
        <v>63300</v>
      </c>
      <c r="G8309">
        <v>268</v>
      </c>
    </row>
    <row r="8310" spans="1:7" x14ac:dyDescent="0.35">
      <c r="A8310" t="s">
        <v>229</v>
      </c>
      <c r="B8310" t="s">
        <v>241</v>
      </c>
      <c r="C8310">
        <v>17451.09</v>
      </c>
      <c r="D8310">
        <v>13500</v>
      </c>
      <c r="E8310">
        <v>0</v>
      </c>
      <c r="F8310">
        <v>150000</v>
      </c>
      <c r="G8310">
        <v>501</v>
      </c>
    </row>
    <row r="8311" spans="1:7" x14ac:dyDescent="0.35">
      <c r="A8311" t="s">
        <v>230</v>
      </c>
      <c r="B8311" t="s">
        <v>242</v>
      </c>
      <c r="C8311">
        <v>11186.6</v>
      </c>
      <c r="D8311">
        <v>6900</v>
      </c>
      <c r="E8311">
        <v>0</v>
      </c>
      <c r="F8311">
        <v>125000</v>
      </c>
      <c r="G8311">
        <v>178</v>
      </c>
    </row>
    <row r="8312" spans="1:7" x14ac:dyDescent="0.35">
      <c r="A8312" t="s">
        <v>230</v>
      </c>
      <c r="B8312" t="s">
        <v>241</v>
      </c>
      <c r="C8312">
        <v>12662.8</v>
      </c>
      <c r="D8312">
        <v>10000</v>
      </c>
      <c r="E8312">
        <v>588.79999999999995</v>
      </c>
      <c r="F8312">
        <v>175000</v>
      </c>
      <c r="G8312">
        <v>326</v>
      </c>
    </row>
    <row r="8313" spans="1:7" x14ac:dyDescent="0.35">
      <c r="A8313" t="s">
        <v>231</v>
      </c>
      <c r="B8313" t="s">
        <v>242</v>
      </c>
      <c r="C8313">
        <v>10375.9</v>
      </c>
      <c r="D8313">
        <v>8000</v>
      </c>
      <c r="E8313">
        <v>1000</v>
      </c>
      <c r="F8313">
        <v>45375</v>
      </c>
      <c r="G8313">
        <v>52</v>
      </c>
    </row>
    <row r="8314" spans="1:7" x14ac:dyDescent="0.35">
      <c r="A8314" t="s">
        <v>231</v>
      </c>
      <c r="B8314" t="s">
        <v>241</v>
      </c>
      <c r="C8314">
        <v>12393.45</v>
      </c>
      <c r="D8314">
        <v>8000</v>
      </c>
      <c r="E8314">
        <v>433.3</v>
      </c>
      <c r="F8314">
        <v>100500</v>
      </c>
      <c r="G8314">
        <v>98</v>
      </c>
    </row>
    <row r="8315" spans="1:7" x14ac:dyDescent="0.35">
      <c r="A8315" t="s">
        <v>232</v>
      </c>
      <c r="B8315" t="s">
        <v>232</v>
      </c>
      <c r="C8315">
        <v>12264.58</v>
      </c>
      <c r="D8315">
        <v>8500</v>
      </c>
      <c r="E8315">
        <v>0</v>
      </c>
      <c r="F8315">
        <v>175000</v>
      </c>
      <c r="G8315">
        <v>2476</v>
      </c>
    </row>
    <row r="8317" spans="1:7" x14ac:dyDescent="0.35">
      <c r="A8317" s="1" t="s">
        <v>1187</v>
      </c>
    </row>
    <row r="8318" spans="1:7" x14ac:dyDescent="0.35">
      <c r="A8318" t="s">
        <v>219</v>
      </c>
      <c r="B8318" t="s">
        <v>305</v>
      </c>
      <c r="C8318" t="s">
        <v>534</v>
      </c>
      <c r="D8318" t="s">
        <v>535</v>
      </c>
      <c r="E8318" t="s">
        <v>536</v>
      </c>
      <c r="F8318" t="s">
        <v>537</v>
      </c>
      <c r="G8318" t="s">
        <v>226</v>
      </c>
    </row>
    <row r="8319" spans="1:7" x14ac:dyDescent="0.35">
      <c r="A8319" t="s">
        <v>227</v>
      </c>
      <c r="B8319" t="s">
        <v>239</v>
      </c>
      <c r="C8319">
        <v>8606.6200000000008</v>
      </c>
      <c r="D8319">
        <v>6666.7</v>
      </c>
      <c r="E8319">
        <v>0</v>
      </c>
      <c r="F8319">
        <v>39896</v>
      </c>
      <c r="G8319">
        <v>60</v>
      </c>
    </row>
    <row r="8320" spans="1:7" x14ac:dyDescent="0.35">
      <c r="A8320" t="s">
        <v>227</v>
      </c>
      <c r="B8320" t="s">
        <v>238</v>
      </c>
      <c r="C8320">
        <v>10892.68</v>
      </c>
      <c r="D8320">
        <v>9000</v>
      </c>
      <c r="E8320">
        <v>0</v>
      </c>
      <c r="F8320">
        <v>60000</v>
      </c>
      <c r="G8320">
        <v>93</v>
      </c>
    </row>
    <row r="8321" spans="1:7" x14ac:dyDescent="0.35">
      <c r="A8321" t="s">
        <v>228</v>
      </c>
      <c r="B8321" t="s">
        <v>239</v>
      </c>
      <c r="C8321">
        <v>7912.94</v>
      </c>
      <c r="D8321">
        <v>6500</v>
      </c>
      <c r="E8321">
        <v>0</v>
      </c>
      <c r="F8321">
        <v>80000</v>
      </c>
      <c r="G8321">
        <v>280</v>
      </c>
    </row>
    <row r="8322" spans="1:7" x14ac:dyDescent="0.35">
      <c r="A8322" t="s">
        <v>228</v>
      </c>
      <c r="B8322" t="s">
        <v>238</v>
      </c>
      <c r="C8322">
        <v>12564.19</v>
      </c>
      <c r="D8322">
        <v>9000</v>
      </c>
      <c r="E8322">
        <v>0</v>
      </c>
      <c r="F8322">
        <v>85000</v>
      </c>
      <c r="G8322">
        <v>620</v>
      </c>
    </row>
    <row r="8323" spans="1:7" x14ac:dyDescent="0.35">
      <c r="A8323" t="s">
        <v>229</v>
      </c>
      <c r="B8323" t="s">
        <v>239</v>
      </c>
      <c r="C8323">
        <v>12030.66</v>
      </c>
      <c r="D8323">
        <v>7500</v>
      </c>
      <c r="E8323">
        <v>0</v>
      </c>
      <c r="F8323">
        <v>150000</v>
      </c>
      <c r="G8323">
        <v>285</v>
      </c>
    </row>
    <row r="8324" spans="1:7" x14ac:dyDescent="0.35">
      <c r="A8324" t="s">
        <v>229</v>
      </c>
      <c r="B8324" t="s">
        <v>238</v>
      </c>
      <c r="C8324">
        <v>15639.36</v>
      </c>
      <c r="D8324">
        <v>12100</v>
      </c>
      <c r="E8324">
        <v>0</v>
      </c>
      <c r="F8324">
        <v>100000</v>
      </c>
      <c r="G8324">
        <v>484</v>
      </c>
    </row>
    <row r="8325" spans="1:7" x14ac:dyDescent="0.35">
      <c r="A8325" t="s">
        <v>230</v>
      </c>
      <c r="B8325" t="s">
        <v>239</v>
      </c>
      <c r="C8325">
        <v>7965.95</v>
      </c>
      <c r="D8325">
        <v>6600</v>
      </c>
      <c r="E8325">
        <v>0</v>
      </c>
      <c r="F8325">
        <v>77000</v>
      </c>
      <c r="G8325">
        <v>192</v>
      </c>
    </row>
    <row r="8326" spans="1:7" x14ac:dyDescent="0.35">
      <c r="A8326" t="s">
        <v>230</v>
      </c>
      <c r="B8326" t="s">
        <v>238</v>
      </c>
      <c r="C8326">
        <v>13972.59</v>
      </c>
      <c r="D8326">
        <v>10000</v>
      </c>
      <c r="E8326">
        <v>0</v>
      </c>
      <c r="F8326">
        <v>175000</v>
      </c>
      <c r="G8326">
        <v>312</v>
      </c>
    </row>
    <row r="8327" spans="1:7" x14ac:dyDescent="0.35">
      <c r="A8327" t="s">
        <v>231</v>
      </c>
      <c r="B8327" t="s">
        <v>239</v>
      </c>
      <c r="C8327">
        <v>8336.33</v>
      </c>
      <c r="D8327">
        <v>6397</v>
      </c>
      <c r="E8327">
        <v>773.3</v>
      </c>
      <c r="F8327">
        <v>48000</v>
      </c>
      <c r="G8327">
        <v>53</v>
      </c>
    </row>
    <row r="8328" spans="1:7" x14ac:dyDescent="0.35">
      <c r="A8328" t="s">
        <v>231</v>
      </c>
      <c r="B8328" t="s">
        <v>238</v>
      </c>
      <c r="C8328">
        <v>13528.66</v>
      </c>
      <c r="D8328">
        <v>9615</v>
      </c>
      <c r="E8328">
        <v>433.3</v>
      </c>
      <c r="F8328">
        <v>100500</v>
      </c>
      <c r="G8328">
        <v>97</v>
      </c>
    </row>
    <row r="8329" spans="1:7" x14ac:dyDescent="0.35">
      <c r="A8329" t="s">
        <v>232</v>
      </c>
      <c r="B8329" t="s">
        <v>232</v>
      </c>
      <c r="C8329">
        <v>12264.58</v>
      </c>
      <c r="D8329">
        <v>8500</v>
      </c>
      <c r="E8329">
        <v>0</v>
      </c>
      <c r="F8329">
        <v>175000</v>
      </c>
      <c r="G8329">
        <v>2476</v>
      </c>
    </row>
    <row r="8331" spans="1:7" x14ac:dyDescent="0.35">
      <c r="A8331" s="1" t="s">
        <v>1188</v>
      </c>
    </row>
    <row r="8332" spans="1:7" x14ac:dyDescent="0.35">
      <c r="A8332" t="s">
        <v>219</v>
      </c>
      <c r="B8332" t="s">
        <v>305</v>
      </c>
      <c r="C8332" t="s">
        <v>534</v>
      </c>
      <c r="D8332" t="s">
        <v>535</v>
      </c>
      <c r="E8332" t="s">
        <v>536</v>
      </c>
      <c r="F8332" t="s">
        <v>537</v>
      </c>
      <c r="G8332" t="s">
        <v>226</v>
      </c>
    </row>
    <row r="8333" spans="1:7" x14ac:dyDescent="0.35">
      <c r="A8333" t="s">
        <v>227</v>
      </c>
      <c r="B8333" t="s">
        <v>244</v>
      </c>
      <c r="C8333">
        <v>10455.67</v>
      </c>
      <c r="D8333">
        <v>8000</v>
      </c>
      <c r="E8333">
        <v>0</v>
      </c>
      <c r="F8333">
        <v>60000</v>
      </c>
      <c r="G8333">
        <v>90</v>
      </c>
    </row>
    <row r="8334" spans="1:7" x14ac:dyDescent="0.35">
      <c r="A8334" t="s">
        <v>227</v>
      </c>
      <c r="B8334" t="s">
        <v>245</v>
      </c>
      <c r="C8334">
        <v>10519.61</v>
      </c>
      <c r="D8334">
        <v>8000</v>
      </c>
      <c r="E8334">
        <v>0</v>
      </c>
      <c r="F8334">
        <v>39896</v>
      </c>
      <c r="G8334">
        <v>51</v>
      </c>
    </row>
    <row r="8335" spans="1:7" x14ac:dyDescent="0.35">
      <c r="A8335" s="27" t="s">
        <v>227</v>
      </c>
      <c r="B8335" s="27" t="s">
        <v>246</v>
      </c>
      <c r="C8335" s="29">
        <v>4325.5</v>
      </c>
      <c r="D8335" s="29">
        <v>3800</v>
      </c>
      <c r="E8335" s="29">
        <v>1200</v>
      </c>
      <c r="F8335" s="29">
        <v>9000</v>
      </c>
      <c r="G8335" s="29">
        <v>12</v>
      </c>
    </row>
    <row r="8336" spans="1:7" x14ac:dyDescent="0.35">
      <c r="A8336" t="s">
        <v>228</v>
      </c>
      <c r="B8336" t="s">
        <v>244</v>
      </c>
      <c r="C8336">
        <v>11055.57</v>
      </c>
      <c r="D8336">
        <v>8400</v>
      </c>
      <c r="E8336">
        <v>286.7</v>
      </c>
      <c r="F8336">
        <v>85000</v>
      </c>
      <c r="G8336">
        <v>557</v>
      </c>
    </row>
    <row r="8337" spans="1:7" x14ac:dyDescent="0.35">
      <c r="A8337" t="s">
        <v>228</v>
      </c>
      <c r="B8337" t="s">
        <v>245</v>
      </c>
      <c r="C8337">
        <v>14327.62</v>
      </c>
      <c r="D8337">
        <v>8500</v>
      </c>
      <c r="E8337">
        <v>0</v>
      </c>
      <c r="F8337">
        <v>80000</v>
      </c>
      <c r="G8337">
        <v>291</v>
      </c>
    </row>
    <row r="8338" spans="1:7" x14ac:dyDescent="0.35">
      <c r="A8338" t="s">
        <v>228</v>
      </c>
      <c r="B8338" t="s">
        <v>246</v>
      </c>
      <c r="C8338">
        <v>5982.82</v>
      </c>
      <c r="D8338">
        <v>5666.7</v>
      </c>
      <c r="E8338">
        <v>1000</v>
      </c>
      <c r="F8338">
        <v>11875</v>
      </c>
      <c r="G8338">
        <v>52</v>
      </c>
    </row>
    <row r="8339" spans="1:7" x14ac:dyDescent="0.35">
      <c r="A8339" t="s">
        <v>229</v>
      </c>
      <c r="B8339" t="s">
        <v>244</v>
      </c>
      <c r="C8339">
        <v>14401.4</v>
      </c>
      <c r="D8339">
        <v>11000</v>
      </c>
      <c r="E8339">
        <v>0</v>
      </c>
      <c r="F8339">
        <v>150000</v>
      </c>
      <c r="G8339">
        <v>475</v>
      </c>
    </row>
    <row r="8340" spans="1:7" x14ac:dyDescent="0.35">
      <c r="A8340" t="s">
        <v>229</v>
      </c>
      <c r="B8340" t="s">
        <v>245</v>
      </c>
      <c r="C8340">
        <v>16537.490000000002</v>
      </c>
      <c r="D8340">
        <v>10800</v>
      </c>
      <c r="E8340">
        <v>0</v>
      </c>
      <c r="F8340">
        <v>100000</v>
      </c>
      <c r="G8340">
        <v>254</v>
      </c>
    </row>
    <row r="8341" spans="1:7" x14ac:dyDescent="0.35">
      <c r="A8341" t="s">
        <v>229</v>
      </c>
      <c r="B8341" t="s">
        <v>246</v>
      </c>
      <c r="C8341">
        <v>8524.59</v>
      </c>
      <c r="D8341">
        <v>6600</v>
      </c>
      <c r="E8341">
        <v>600</v>
      </c>
      <c r="F8341">
        <v>36666.699999999997</v>
      </c>
      <c r="G8341">
        <v>40</v>
      </c>
    </row>
    <row r="8342" spans="1:7" x14ac:dyDescent="0.35">
      <c r="A8342" t="s">
        <v>230</v>
      </c>
      <c r="B8342" t="s">
        <v>244</v>
      </c>
      <c r="C8342">
        <v>13005.87</v>
      </c>
      <c r="D8342">
        <v>8750</v>
      </c>
      <c r="E8342">
        <v>0</v>
      </c>
      <c r="F8342">
        <v>175000</v>
      </c>
      <c r="G8342">
        <v>330</v>
      </c>
    </row>
    <row r="8343" spans="1:7" x14ac:dyDescent="0.35">
      <c r="A8343" t="s">
        <v>230</v>
      </c>
      <c r="B8343" t="s">
        <v>245</v>
      </c>
      <c r="C8343">
        <v>11272.24</v>
      </c>
      <c r="D8343">
        <v>9300</v>
      </c>
      <c r="E8343">
        <v>0</v>
      </c>
      <c r="F8343">
        <v>50000</v>
      </c>
      <c r="G8343">
        <v>148</v>
      </c>
    </row>
    <row r="8344" spans="1:7" x14ac:dyDescent="0.35">
      <c r="A8344" s="27" t="s">
        <v>230</v>
      </c>
      <c r="B8344" s="27" t="s">
        <v>246</v>
      </c>
      <c r="C8344" s="29">
        <v>4795.08</v>
      </c>
      <c r="D8344" s="29">
        <v>4600</v>
      </c>
      <c r="E8344" s="29">
        <v>800</v>
      </c>
      <c r="F8344" s="29">
        <v>38400</v>
      </c>
      <c r="G8344" s="29">
        <v>26</v>
      </c>
    </row>
    <row r="8345" spans="1:7" x14ac:dyDescent="0.35">
      <c r="A8345" t="s">
        <v>231</v>
      </c>
      <c r="B8345" t="s">
        <v>244</v>
      </c>
      <c r="C8345">
        <v>10959.8</v>
      </c>
      <c r="D8345">
        <v>8750</v>
      </c>
      <c r="E8345">
        <v>433.3</v>
      </c>
      <c r="F8345">
        <v>50000</v>
      </c>
      <c r="G8345">
        <v>85</v>
      </c>
    </row>
    <row r="8346" spans="1:7" x14ac:dyDescent="0.35">
      <c r="A8346" t="s">
        <v>231</v>
      </c>
      <c r="B8346" t="s">
        <v>245</v>
      </c>
      <c r="C8346">
        <v>14210.04</v>
      </c>
      <c r="D8346">
        <v>8000</v>
      </c>
      <c r="E8346">
        <v>2000</v>
      </c>
      <c r="F8346">
        <v>100500</v>
      </c>
      <c r="G8346">
        <v>52</v>
      </c>
    </row>
    <row r="8347" spans="1:7" x14ac:dyDescent="0.35">
      <c r="A8347" s="27" t="s">
        <v>231</v>
      </c>
      <c r="B8347" s="27" t="s">
        <v>246</v>
      </c>
      <c r="C8347" s="29">
        <v>6430.77</v>
      </c>
      <c r="D8347" s="29">
        <v>8160</v>
      </c>
      <c r="E8347" s="29">
        <v>773.3</v>
      </c>
      <c r="F8347" s="29">
        <v>14800</v>
      </c>
      <c r="G8347" s="29">
        <v>13</v>
      </c>
    </row>
    <row r="8348" spans="1:7" x14ac:dyDescent="0.35">
      <c r="A8348" t="s">
        <v>232</v>
      </c>
      <c r="B8348" t="s">
        <v>232</v>
      </c>
      <c r="C8348">
        <v>12264.58</v>
      </c>
      <c r="D8348">
        <v>8500</v>
      </c>
      <c r="E8348">
        <v>0</v>
      </c>
      <c r="F8348">
        <v>175000</v>
      </c>
      <c r="G8348">
        <v>2476</v>
      </c>
    </row>
    <row r="8350" spans="1:7" x14ac:dyDescent="0.35">
      <c r="A8350" s="1" t="s">
        <v>1189</v>
      </c>
    </row>
    <row r="8351" spans="1:7" x14ac:dyDescent="0.35">
      <c r="A8351" t="s">
        <v>219</v>
      </c>
      <c r="B8351" t="s">
        <v>305</v>
      </c>
      <c r="C8351" t="s">
        <v>534</v>
      </c>
      <c r="D8351" t="s">
        <v>535</v>
      </c>
      <c r="E8351" t="s">
        <v>536</v>
      </c>
      <c r="F8351" t="s">
        <v>537</v>
      </c>
      <c r="G8351" t="s">
        <v>226</v>
      </c>
    </row>
    <row r="8352" spans="1:7" x14ac:dyDescent="0.35">
      <c r="A8352" t="s">
        <v>227</v>
      </c>
      <c r="B8352" t="s">
        <v>267</v>
      </c>
      <c r="C8352">
        <v>10643.11</v>
      </c>
      <c r="D8352">
        <v>8350</v>
      </c>
      <c r="E8352">
        <v>0</v>
      </c>
      <c r="F8352">
        <v>39896</v>
      </c>
      <c r="G8352">
        <v>35</v>
      </c>
    </row>
    <row r="8353" spans="1:7" x14ac:dyDescent="0.35">
      <c r="A8353" t="s">
        <v>227</v>
      </c>
      <c r="B8353" t="s">
        <v>266</v>
      </c>
      <c r="C8353">
        <v>9680.4</v>
      </c>
      <c r="D8353">
        <v>8000</v>
      </c>
      <c r="E8353">
        <v>1200</v>
      </c>
      <c r="F8353">
        <v>31000</v>
      </c>
      <c r="G8353">
        <v>53</v>
      </c>
    </row>
    <row r="8354" spans="1:7" x14ac:dyDescent="0.35">
      <c r="A8354" t="s">
        <v>227</v>
      </c>
      <c r="B8354" t="s">
        <v>265</v>
      </c>
      <c r="C8354">
        <v>9905.32</v>
      </c>
      <c r="D8354">
        <v>7750</v>
      </c>
      <c r="E8354">
        <v>0</v>
      </c>
      <c r="F8354">
        <v>60000</v>
      </c>
      <c r="G8354">
        <v>65</v>
      </c>
    </row>
    <row r="8355" spans="1:7" x14ac:dyDescent="0.35">
      <c r="A8355" t="s">
        <v>228</v>
      </c>
      <c r="B8355" t="s">
        <v>267</v>
      </c>
      <c r="C8355">
        <v>13648.54</v>
      </c>
      <c r="D8355">
        <v>9000</v>
      </c>
      <c r="E8355">
        <v>0</v>
      </c>
      <c r="F8355">
        <v>80000</v>
      </c>
      <c r="G8355">
        <v>164</v>
      </c>
    </row>
    <row r="8356" spans="1:7" x14ac:dyDescent="0.35">
      <c r="A8356" t="s">
        <v>228</v>
      </c>
      <c r="B8356" t="s">
        <v>266</v>
      </c>
      <c r="C8356">
        <v>11090.03</v>
      </c>
      <c r="D8356">
        <v>7500</v>
      </c>
      <c r="E8356">
        <v>0</v>
      </c>
      <c r="F8356">
        <v>55500</v>
      </c>
      <c r="G8356">
        <v>395</v>
      </c>
    </row>
    <row r="8357" spans="1:7" x14ac:dyDescent="0.35">
      <c r="A8357" s="27" t="s">
        <v>228</v>
      </c>
      <c r="B8357" s="27" t="s">
        <v>236</v>
      </c>
      <c r="C8357" s="29">
        <v>22375</v>
      </c>
      <c r="D8357" s="29">
        <v>6750</v>
      </c>
      <c r="E8357" s="29">
        <v>6750</v>
      </c>
      <c r="F8357" s="29">
        <v>38000</v>
      </c>
      <c r="G8357" s="29">
        <v>2</v>
      </c>
    </row>
    <row r="8358" spans="1:7" x14ac:dyDescent="0.35">
      <c r="A8358" t="s">
        <v>228</v>
      </c>
      <c r="B8358" t="s">
        <v>265</v>
      </c>
      <c r="C8358">
        <v>11119.3</v>
      </c>
      <c r="D8358">
        <v>8500</v>
      </c>
      <c r="E8358">
        <v>750</v>
      </c>
      <c r="F8358">
        <v>85000</v>
      </c>
      <c r="G8358">
        <v>339</v>
      </c>
    </row>
    <row r="8359" spans="1:7" x14ac:dyDescent="0.35">
      <c r="A8359" t="s">
        <v>229</v>
      </c>
      <c r="B8359" t="s">
        <v>267</v>
      </c>
      <c r="C8359">
        <v>17342.91</v>
      </c>
      <c r="D8359">
        <v>15166.7</v>
      </c>
      <c r="E8359">
        <v>0</v>
      </c>
      <c r="F8359">
        <v>150000</v>
      </c>
      <c r="G8359">
        <v>171</v>
      </c>
    </row>
    <row r="8360" spans="1:7" x14ac:dyDescent="0.35">
      <c r="A8360" t="s">
        <v>229</v>
      </c>
      <c r="B8360" t="s">
        <v>265</v>
      </c>
      <c r="C8360">
        <v>13948.35</v>
      </c>
      <c r="D8360">
        <v>10650</v>
      </c>
      <c r="E8360">
        <v>266.7</v>
      </c>
      <c r="F8360">
        <v>80000</v>
      </c>
      <c r="G8360">
        <v>287</v>
      </c>
    </row>
    <row r="8361" spans="1:7" x14ac:dyDescent="0.35">
      <c r="A8361" t="s">
        <v>229</v>
      </c>
      <c r="B8361" t="s">
        <v>266</v>
      </c>
      <c r="C8361">
        <v>13815.83</v>
      </c>
      <c r="D8361">
        <v>8200</v>
      </c>
      <c r="E8361">
        <v>0</v>
      </c>
      <c r="F8361">
        <v>100000</v>
      </c>
      <c r="G8361">
        <v>311</v>
      </c>
    </row>
    <row r="8362" spans="1:7" x14ac:dyDescent="0.35">
      <c r="A8362" t="s">
        <v>230</v>
      </c>
      <c r="B8362" t="s">
        <v>265</v>
      </c>
      <c r="C8362">
        <v>11100.49</v>
      </c>
      <c r="D8362">
        <v>8066.7</v>
      </c>
      <c r="E8362">
        <v>588.79999999999995</v>
      </c>
      <c r="F8362">
        <v>125000</v>
      </c>
      <c r="G8362">
        <v>184</v>
      </c>
    </row>
    <row r="8363" spans="1:7" x14ac:dyDescent="0.35">
      <c r="A8363" t="s">
        <v>230</v>
      </c>
      <c r="B8363" t="s">
        <v>266</v>
      </c>
      <c r="C8363">
        <v>9257.0400000000009</v>
      </c>
      <c r="D8363">
        <v>7750</v>
      </c>
      <c r="E8363">
        <v>0</v>
      </c>
      <c r="F8363">
        <v>40000</v>
      </c>
      <c r="G8363">
        <v>216</v>
      </c>
    </row>
    <row r="8364" spans="1:7" x14ac:dyDescent="0.35">
      <c r="A8364" t="s">
        <v>230</v>
      </c>
      <c r="B8364" t="s">
        <v>267</v>
      </c>
      <c r="C8364">
        <v>19600.36</v>
      </c>
      <c r="D8364">
        <v>10300</v>
      </c>
      <c r="E8364">
        <v>800</v>
      </c>
      <c r="F8364">
        <v>175000</v>
      </c>
      <c r="G8364">
        <v>104</v>
      </c>
    </row>
    <row r="8365" spans="1:7" x14ac:dyDescent="0.35">
      <c r="A8365" t="s">
        <v>231</v>
      </c>
      <c r="B8365" t="s">
        <v>267</v>
      </c>
      <c r="C8365">
        <v>13239.07</v>
      </c>
      <c r="D8365">
        <v>10800</v>
      </c>
      <c r="E8365">
        <v>3500</v>
      </c>
      <c r="F8365">
        <v>48000</v>
      </c>
      <c r="G8365">
        <v>33</v>
      </c>
    </row>
    <row r="8366" spans="1:7" x14ac:dyDescent="0.35">
      <c r="A8366" t="s">
        <v>231</v>
      </c>
      <c r="B8366" t="s">
        <v>265</v>
      </c>
      <c r="C8366">
        <v>11761.47</v>
      </c>
      <c r="D8366">
        <v>9000</v>
      </c>
      <c r="E8366">
        <v>773.3</v>
      </c>
      <c r="F8366">
        <v>50000</v>
      </c>
      <c r="G8366">
        <v>60</v>
      </c>
    </row>
    <row r="8367" spans="1:7" x14ac:dyDescent="0.35">
      <c r="A8367" t="s">
        <v>231</v>
      </c>
      <c r="B8367" t="s">
        <v>266</v>
      </c>
      <c r="C8367">
        <v>10728.56</v>
      </c>
      <c r="D8367">
        <v>6333.3</v>
      </c>
      <c r="E8367">
        <v>433.3</v>
      </c>
      <c r="F8367">
        <v>100500</v>
      </c>
      <c r="G8367">
        <v>57</v>
      </c>
    </row>
    <row r="8368" spans="1:7" x14ac:dyDescent="0.35">
      <c r="A8368" t="s">
        <v>232</v>
      </c>
      <c r="B8368" t="s">
        <v>232</v>
      </c>
      <c r="C8368">
        <v>12264.58</v>
      </c>
      <c r="D8368">
        <v>8500</v>
      </c>
      <c r="E8368">
        <v>0</v>
      </c>
      <c r="F8368">
        <v>175000</v>
      </c>
      <c r="G8368">
        <v>2476</v>
      </c>
    </row>
    <row r="8370" spans="1:7" x14ac:dyDescent="0.35">
      <c r="A8370" s="1" t="s">
        <v>1190</v>
      </c>
    </row>
    <row r="8371" spans="1:7" x14ac:dyDescent="0.35">
      <c r="A8371" t="s">
        <v>219</v>
      </c>
      <c r="B8371" t="s">
        <v>305</v>
      </c>
      <c r="C8371" t="s">
        <v>534</v>
      </c>
      <c r="D8371" t="s">
        <v>535</v>
      </c>
      <c r="E8371" t="s">
        <v>536</v>
      </c>
      <c r="F8371" t="s">
        <v>537</v>
      </c>
      <c r="G8371" t="s">
        <v>226</v>
      </c>
    </row>
    <row r="8372" spans="1:7" x14ac:dyDescent="0.35">
      <c r="A8372" t="s">
        <v>227</v>
      </c>
      <c r="B8372" t="s">
        <v>252</v>
      </c>
      <c r="C8372">
        <v>7290.3</v>
      </c>
      <c r="D8372">
        <v>6400</v>
      </c>
      <c r="E8372">
        <v>3250</v>
      </c>
      <c r="F8372">
        <v>27000</v>
      </c>
      <c r="G8372">
        <v>43</v>
      </c>
    </row>
    <row r="8373" spans="1:7" x14ac:dyDescent="0.35">
      <c r="A8373" t="s">
        <v>227</v>
      </c>
      <c r="B8373" t="s">
        <v>253</v>
      </c>
      <c r="C8373">
        <v>8417.5400000000009</v>
      </c>
      <c r="D8373">
        <v>8350</v>
      </c>
      <c r="E8373">
        <v>0</v>
      </c>
      <c r="F8373">
        <v>23133.3</v>
      </c>
      <c r="G8373">
        <v>33</v>
      </c>
    </row>
    <row r="8374" spans="1:7" x14ac:dyDescent="0.35">
      <c r="A8374" t="s">
        <v>227</v>
      </c>
      <c r="B8374" t="s">
        <v>251</v>
      </c>
      <c r="C8374">
        <v>12183.83</v>
      </c>
      <c r="D8374">
        <v>10000</v>
      </c>
      <c r="E8374">
        <v>0</v>
      </c>
      <c r="F8374">
        <v>60000</v>
      </c>
      <c r="G8374">
        <v>77</v>
      </c>
    </row>
    <row r="8375" spans="1:7" x14ac:dyDescent="0.35">
      <c r="A8375" t="s">
        <v>228</v>
      </c>
      <c r="B8375" t="s">
        <v>252</v>
      </c>
      <c r="C8375">
        <v>7838.02</v>
      </c>
      <c r="D8375">
        <v>6000</v>
      </c>
      <c r="E8375">
        <v>0</v>
      </c>
      <c r="F8375">
        <v>39000</v>
      </c>
      <c r="G8375">
        <v>321</v>
      </c>
    </row>
    <row r="8376" spans="1:7" x14ac:dyDescent="0.35">
      <c r="A8376" t="s">
        <v>228</v>
      </c>
      <c r="B8376" t="s">
        <v>253</v>
      </c>
      <c r="C8376">
        <v>9299.9599999999991</v>
      </c>
      <c r="D8376">
        <v>6800</v>
      </c>
      <c r="E8376">
        <v>600</v>
      </c>
      <c r="F8376">
        <v>34833.300000000003</v>
      </c>
      <c r="G8376">
        <v>194</v>
      </c>
    </row>
    <row r="8377" spans="1:7" x14ac:dyDescent="0.35">
      <c r="A8377" t="s">
        <v>228</v>
      </c>
      <c r="B8377" t="s">
        <v>251</v>
      </c>
      <c r="C8377">
        <v>15350.67</v>
      </c>
      <c r="D8377">
        <v>11000</v>
      </c>
      <c r="E8377">
        <v>0</v>
      </c>
      <c r="F8377">
        <v>85000</v>
      </c>
      <c r="G8377">
        <v>385</v>
      </c>
    </row>
    <row r="8378" spans="1:7" x14ac:dyDescent="0.35">
      <c r="A8378" t="s">
        <v>229</v>
      </c>
      <c r="B8378" t="s">
        <v>252</v>
      </c>
      <c r="C8378">
        <v>10672.79</v>
      </c>
      <c r="D8378">
        <v>7700</v>
      </c>
      <c r="E8378">
        <v>1000</v>
      </c>
      <c r="F8378">
        <v>89000</v>
      </c>
      <c r="G8378">
        <v>187</v>
      </c>
    </row>
    <row r="8379" spans="1:7" x14ac:dyDescent="0.35">
      <c r="A8379" t="s">
        <v>229</v>
      </c>
      <c r="B8379" t="s">
        <v>253</v>
      </c>
      <c r="C8379">
        <v>9631.91</v>
      </c>
      <c r="D8379">
        <v>6333.3</v>
      </c>
      <c r="E8379">
        <v>833.3</v>
      </c>
      <c r="F8379">
        <v>43000</v>
      </c>
      <c r="G8379">
        <v>129</v>
      </c>
    </row>
    <row r="8380" spans="1:7" x14ac:dyDescent="0.35">
      <c r="A8380" t="s">
        <v>229</v>
      </c>
      <c r="B8380" t="s">
        <v>251</v>
      </c>
      <c r="C8380">
        <v>17978.68</v>
      </c>
      <c r="D8380">
        <v>15166.7</v>
      </c>
      <c r="E8380">
        <v>0</v>
      </c>
      <c r="F8380">
        <v>150000</v>
      </c>
      <c r="G8380">
        <v>453</v>
      </c>
    </row>
    <row r="8381" spans="1:7" x14ac:dyDescent="0.35">
      <c r="A8381" t="s">
        <v>230</v>
      </c>
      <c r="B8381" t="s">
        <v>252</v>
      </c>
      <c r="C8381">
        <v>7680.22</v>
      </c>
      <c r="D8381">
        <v>6700</v>
      </c>
      <c r="E8381">
        <v>2000</v>
      </c>
      <c r="F8381">
        <v>32000</v>
      </c>
      <c r="G8381">
        <v>152</v>
      </c>
    </row>
    <row r="8382" spans="1:7" x14ac:dyDescent="0.35">
      <c r="A8382" t="s">
        <v>230</v>
      </c>
      <c r="B8382" t="s">
        <v>253</v>
      </c>
      <c r="C8382">
        <v>8935.0300000000007</v>
      </c>
      <c r="D8382">
        <v>7450</v>
      </c>
      <c r="E8382">
        <v>666.7</v>
      </c>
      <c r="F8382">
        <v>77000</v>
      </c>
      <c r="G8382">
        <v>101</v>
      </c>
    </row>
    <row r="8383" spans="1:7" x14ac:dyDescent="0.35">
      <c r="A8383" t="s">
        <v>230</v>
      </c>
      <c r="B8383" t="s">
        <v>251</v>
      </c>
      <c r="C8383">
        <v>15419.78</v>
      </c>
      <c r="D8383">
        <v>11000</v>
      </c>
      <c r="E8383">
        <v>0</v>
      </c>
      <c r="F8383">
        <v>175000</v>
      </c>
      <c r="G8383">
        <v>251</v>
      </c>
    </row>
    <row r="8384" spans="1:7" x14ac:dyDescent="0.35">
      <c r="A8384" t="s">
        <v>231</v>
      </c>
      <c r="B8384" t="s">
        <v>252</v>
      </c>
      <c r="C8384">
        <v>7111.82</v>
      </c>
      <c r="D8384">
        <v>5361</v>
      </c>
      <c r="E8384">
        <v>1666.7</v>
      </c>
      <c r="F8384">
        <v>23300</v>
      </c>
      <c r="G8384">
        <v>47</v>
      </c>
    </row>
    <row r="8385" spans="1:7" x14ac:dyDescent="0.35">
      <c r="A8385" s="27" t="s">
        <v>231</v>
      </c>
      <c r="B8385" s="27" t="s">
        <v>253</v>
      </c>
      <c r="C8385" s="29">
        <v>8475.6</v>
      </c>
      <c r="D8385" s="29">
        <v>9000</v>
      </c>
      <c r="E8385" s="29">
        <v>1000</v>
      </c>
      <c r="F8385" s="29">
        <v>45375</v>
      </c>
      <c r="G8385" s="29">
        <v>28</v>
      </c>
    </row>
    <row r="8386" spans="1:7" x14ac:dyDescent="0.35">
      <c r="A8386" t="s">
        <v>231</v>
      </c>
      <c r="B8386" t="s">
        <v>251</v>
      </c>
      <c r="C8386">
        <v>15767.11</v>
      </c>
      <c r="D8386">
        <v>13000</v>
      </c>
      <c r="E8386">
        <v>433.3</v>
      </c>
      <c r="F8386">
        <v>100500</v>
      </c>
      <c r="G8386">
        <v>75</v>
      </c>
    </row>
    <row r="8387" spans="1:7" x14ac:dyDescent="0.35">
      <c r="A8387" t="s">
        <v>232</v>
      </c>
      <c r="B8387" t="s">
        <v>232</v>
      </c>
      <c r="C8387">
        <v>12264.58</v>
      </c>
      <c r="D8387">
        <v>8500</v>
      </c>
      <c r="E8387">
        <v>0</v>
      </c>
      <c r="F8387">
        <v>175000</v>
      </c>
      <c r="G8387">
        <v>2476</v>
      </c>
    </row>
    <row r="8389" spans="1:7" x14ac:dyDescent="0.35">
      <c r="A8389" s="1" t="s">
        <v>1191</v>
      </c>
    </row>
    <row r="8390" spans="1:7" x14ac:dyDescent="0.35">
      <c r="A8390" t="s">
        <v>219</v>
      </c>
      <c r="B8390" t="s">
        <v>305</v>
      </c>
      <c r="C8390" t="s">
        <v>534</v>
      </c>
      <c r="D8390" t="s">
        <v>535</v>
      </c>
      <c r="E8390" t="s">
        <v>536</v>
      </c>
      <c r="F8390" t="s">
        <v>537</v>
      </c>
      <c r="G8390" t="s">
        <v>226</v>
      </c>
    </row>
    <row r="8391" spans="1:7" x14ac:dyDescent="0.35">
      <c r="A8391" t="s">
        <v>227</v>
      </c>
      <c r="B8391" t="s">
        <v>249</v>
      </c>
      <c r="C8391">
        <v>8219.8700000000008</v>
      </c>
      <c r="D8391">
        <v>7333.3</v>
      </c>
      <c r="E8391">
        <v>1200</v>
      </c>
      <c r="F8391">
        <v>26500</v>
      </c>
      <c r="G8391">
        <v>43</v>
      </c>
    </row>
    <row r="8392" spans="1:7" x14ac:dyDescent="0.35">
      <c r="A8392" t="s">
        <v>227</v>
      </c>
      <c r="B8392" t="s">
        <v>248</v>
      </c>
      <c r="C8392">
        <v>10690.56</v>
      </c>
      <c r="D8392">
        <v>8000</v>
      </c>
      <c r="E8392">
        <v>0</v>
      </c>
      <c r="F8392">
        <v>60000</v>
      </c>
      <c r="G8392">
        <v>110</v>
      </c>
    </row>
    <row r="8393" spans="1:7" x14ac:dyDescent="0.35">
      <c r="A8393" t="s">
        <v>228</v>
      </c>
      <c r="B8393" t="s">
        <v>249</v>
      </c>
      <c r="C8393">
        <v>10084.81</v>
      </c>
      <c r="D8393">
        <v>7916.7</v>
      </c>
      <c r="E8393">
        <v>286.7</v>
      </c>
      <c r="F8393">
        <v>66666.7</v>
      </c>
      <c r="G8393">
        <v>237</v>
      </c>
    </row>
    <row r="8394" spans="1:7" x14ac:dyDescent="0.35">
      <c r="A8394" t="s">
        <v>228</v>
      </c>
      <c r="B8394" t="s">
        <v>248</v>
      </c>
      <c r="C8394">
        <v>12284.72</v>
      </c>
      <c r="D8394">
        <v>8333.2999999999993</v>
      </c>
      <c r="E8394">
        <v>0</v>
      </c>
      <c r="F8394">
        <v>85000</v>
      </c>
      <c r="G8394">
        <v>663</v>
      </c>
    </row>
    <row r="8395" spans="1:7" x14ac:dyDescent="0.35">
      <c r="A8395" t="s">
        <v>229</v>
      </c>
      <c r="B8395" t="s">
        <v>249</v>
      </c>
      <c r="C8395">
        <v>13539.56</v>
      </c>
      <c r="D8395">
        <v>11666.7</v>
      </c>
      <c r="E8395">
        <v>0</v>
      </c>
      <c r="F8395">
        <v>150000</v>
      </c>
      <c r="G8395">
        <v>219</v>
      </c>
    </row>
    <row r="8396" spans="1:7" x14ac:dyDescent="0.35">
      <c r="A8396" t="s">
        <v>229</v>
      </c>
      <c r="B8396" t="s">
        <v>248</v>
      </c>
      <c r="C8396">
        <v>15160.57</v>
      </c>
      <c r="D8396">
        <v>10500</v>
      </c>
      <c r="E8396">
        <v>0</v>
      </c>
      <c r="F8396">
        <v>100000</v>
      </c>
      <c r="G8396">
        <v>550</v>
      </c>
    </row>
    <row r="8397" spans="1:7" x14ac:dyDescent="0.35">
      <c r="A8397" t="s">
        <v>230</v>
      </c>
      <c r="B8397" t="s">
        <v>249</v>
      </c>
      <c r="C8397">
        <v>9996.02</v>
      </c>
      <c r="D8397">
        <v>7333.3</v>
      </c>
      <c r="E8397">
        <v>0</v>
      </c>
      <c r="F8397">
        <v>125000</v>
      </c>
      <c r="G8397">
        <v>149</v>
      </c>
    </row>
    <row r="8398" spans="1:7" x14ac:dyDescent="0.35">
      <c r="A8398" t="s">
        <v>230</v>
      </c>
      <c r="B8398" t="s">
        <v>248</v>
      </c>
      <c r="C8398">
        <v>13231.61</v>
      </c>
      <c r="D8398">
        <v>9250</v>
      </c>
      <c r="E8398">
        <v>0</v>
      </c>
      <c r="F8398">
        <v>175000</v>
      </c>
      <c r="G8398">
        <v>355</v>
      </c>
    </row>
    <row r="8399" spans="1:7" x14ac:dyDescent="0.35">
      <c r="A8399" t="s">
        <v>231</v>
      </c>
      <c r="B8399" t="s">
        <v>249</v>
      </c>
      <c r="C8399">
        <v>8187.88</v>
      </c>
      <c r="D8399">
        <v>5750</v>
      </c>
      <c r="E8399">
        <v>433.3</v>
      </c>
      <c r="F8399">
        <v>35000</v>
      </c>
      <c r="G8399">
        <v>33</v>
      </c>
    </row>
    <row r="8400" spans="1:7" x14ac:dyDescent="0.35">
      <c r="A8400" t="s">
        <v>231</v>
      </c>
      <c r="B8400" t="s">
        <v>248</v>
      </c>
      <c r="C8400">
        <v>12682.95</v>
      </c>
      <c r="D8400">
        <v>9000</v>
      </c>
      <c r="E8400">
        <v>1000</v>
      </c>
      <c r="F8400">
        <v>100500</v>
      </c>
      <c r="G8400">
        <v>117</v>
      </c>
    </row>
    <row r="8401" spans="1:7" x14ac:dyDescent="0.35">
      <c r="A8401" t="s">
        <v>232</v>
      </c>
      <c r="B8401" t="s">
        <v>232</v>
      </c>
      <c r="C8401">
        <v>12264.58</v>
      </c>
      <c r="D8401">
        <v>8500</v>
      </c>
      <c r="E8401">
        <v>0</v>
      </c>
      <c r="F8401">
        <v>175000</v>
      </c>
      <c r="G8401">
        <v>2476</v>
      </c>
    </row>
    <row r="8403" spans="1:7" x14ac:dyDescent="0.35">
      <c r="A8403" s="1" t="s">
        <v>1192</v>
      </c>
    </row>
    <row r="8404" spans="1:7" x14ac:dyDescent="0.35">
      <c r="A8404" t="s">
        <v>219</v>
      </c>
      <c r="B8404" t="s">
        <v>305</v>
      </c>
      <c r="C8404" t="s">
        <v>534</v>
      </c>
      <c r="D8404" t="s">
        <v>535</v>
      </c>
      <c r="E8404" t="s">
        <v>536</v>
      </c>
      <c r="F8404" t="s">
        <v>537</v>
      </c>
      <c r="G8404" t="s">
        <v>226</v>
      </c>
    </row>
    <row r="8405" spans="1:7" x14ac:dyDescent="0.35">
      <c r="A8405" s="27" t="s">
        <v>227</v>
      </c>
      <c r="B8405" s="27" t="s">
        <v>263</v>
      </c>
      <c r="C8405" s="29">
        <v>18333.330000000002</v>
      </c>
      <c r="D8405" s="29">
        <v>31000</v>
      </c>
      <c r="E8405" s="29">
        <v>8000</v>
      </c>
      <c r="F8405" s="29">
        <v>31000</v>
      </c>
      <c r="G8405" s="29">
        <v>3</v>
      </c>
    </row>
    <row r="8406" spans="1:7" x14ac:dyDescent="0.35">
      <c r="A8406" s="27" t="s">
        <v>227</v>
      </c>
      <c r="B8406" s="27" t="s">
        <v>262</v>
      </c>
      <c r="C8406" s="29">
        <v>10000</v>
      </c>
      <c r="D8406" s="29">
        <v>17000</v>
      </c>
      <c r="E8406" s="29">
        <v>4000</v>
      </c>
      <c r="F8406" s="29">
        <v>17000</v>
      </c>
      <c r="G8406" s="29">
        <v>3</v>
      </c>
    </row>
    <row r="8407" spans="1:7" x14ac:dyDescent="0.35">
      <c r="A8407" t="s">
        <v>227</v>
      </c>
      <c r="B8407" t="s">
        <v>260</v>
      </c>
      <c r="C8407">
        <v>9699.27</v>
      </c>
      <c r="D8407">
        <v>8000</v>
      </c>
      <c r="E8407">
        <v>0</v>
      </c>
      <c r="F8407">
        <v>60000</v>
      </c>
      <c r="G8407">
        <v>114</v>
      </c>
    </row>
    <row r="8408" spans="1:7" x14ac:dyDescent="0.35">
      <c r="A8408" t="s">
        <v>227</v>
      </c>
      <c r="B8408" t="s">
        <v>261</v>
      </c>
      <c r="C8408">
        <v>10263.629999999999</v>
      </c>
      <c r="D8408">
        <v>7453.7</v>
      </c>
      <c r="E8408">
        <v>2000</v>
      </c>
      <c r="F8408">
        <v>39896</v>
      </c>
      <c r="G8408">
        <v>33</v>
      </c>
    </row>
    <row r="8409" spans="1:7" x14ac:dyDescent="0.35">
      <c r="A8409" t="s">
        <v>228</v>
      </c>
      <c r="B8409" t="s">
        <v>262</v>
      </c>
      <c r="C8409">
        <v>14156.55</v>
      </c>
      <c r="D8409">
        <v>10000</v>
      </c>
      <c r="E8409">
        <v>0</v>
      </c>
      <c r="F8409">
        <v>85000</v>
      </c>
      <c r="G8409">
        <v>168</v>
      </c>
    </row>
    <row r="8410" spans="1:7" x14ac:dyDescent="0.35">
      <c r="A8410" s="27" t="s">
        <v>228</v>
      </c>
      <c r="B8410" s="27" t="s">
        <v>236</v>
      </c>
      <c r="C8410" s="29">
        <v>8144.47</v>
      </c>
      <c r="D8410" s="29">
        <v>8500</v>
      </c>
      <c r="E8410" s="29">
        <v>1500</v>
      </c>
      <c r="F8410" s="29">
        <v>17000</v>
      </c>
      <c r="G8410" s="29">
        <v>5</v>
      </c>
    </row>
    <row r="8411" spans="1:7" x14ac:dyDescent="0.35">
      <c r="A8411" t="s">
        <v>228</v>
      </c>
      <c r="B8411" t="s">
        <v>260</v>
      </c>
      <c r="C8411">
        <v>11073.65</v>
      </c>
      <c r="D8411">
        <v>8000</v>
      </c>
      <c r="E8411">
        <v>0</v>
      </c>
      <c r="F8411">
        <v>66666.7</v>
      </c>
      <c r="G8411">
        <v>534</v>
      </c>
    </row>
    <row r="8412" spans="1:7" x14ac:dyDescent="0.35">
      <c r="A8412" s="27" t="s">
        <v>228</v>
      </c>
      <c r="B8412" s="27" t="s">
        <v>263</v>
      </c>
      <c r="C8412" s="29">
        <v>12300.24</v>
      </c>
      <c r="D8412" s="29">
        <v>10000</v>
      </c>
      <c r="E8412" s="29">
        <v>1286.7</v>
      </c>
      <c r="F8412" s="29">
        <v>34833.300000000003</v>
      </c>
      <c r="G8412" s="29">
        <v>24</v>
      </c>
    </row>
    <row r="8413" spans="1:7" x14ac:dyDescent="0.35">
      <c r="A8413" t="s">
        <v>228</v>
      </c>
      <c r="B8413" t="s">
        <v>261</v>
      </c>
      <c r="C8413">
        <v>11282.1</v>
      </c>
      <c r="D8413">
        <v>7500</v>
      </c>
      <c r="E8413">
        <v>0</v>
      </c>
      <c r="F8413">
        <v>55500</v>
      </c>
      <c r="G8413">
        <v>169</v>
      </c>
    </row>
    <row r="8414" spans="1:7" x14ac:dyDescent="0.35">
      <c r="A8414" t="s">
        <v>229</v>
      </c>
      <c r="B8414" t="s">
        <v>261</v>
      </c>
      <c r="C8414">
        <v>12266.2</v>
      </c>
      <c r="D8414">
        <v>8500</v>
      </c>
      <c r="E8414">
        <v>1000</v>
      </c>
      <c r="F8414">
        <v>65000</v>
      </c>
      <c r="G8414">
        <v>86</v>
      </c>
    </row>
    <row r="8415" spans="1:7" x14ac:dyDescent="0.35">
      <c r="A8415" t="s">
        <v>229</v>
      </c>
      <c r="B8415" t="s">
        <v>260</v>
      </c>
      <c r="C8415">
        <v>12947.9</v>
      </c>
      <c r="D8415">
        <v>9000</v>
      </c>
      <c r="E8415">
        <v>0</v>
      </c>
      <c r="F8415">
        <v>150000</v>
      </c>
      <c r="G8415">
        <v>515</v>
      </c>
    </row>
    <row r="8416" spans="1:7" x14ac:dyDescent="0.35">
      <c r="A8416" s="27" t="s">
        <v>229</v>
      </c>
      <c r="B8416" s="27" t="s">
        <v>263</v>
      </c>
      <c r="C8416" s="29">
        <v>10743.24</v>
      </c>
      <c r="D8416" s="29">
        <v>9000</v>
      </c>
      <c r="E8416" s="29">
        <v>3000</v>
      </c>
      <c r="F8416" s="29">
        <v>25000</v>
      </c>
      <c r="G8416" s="29">
        <v>12</v>
      </c>
    </row>
    <row r="8417" spans="1:7" x14ac:dyDescent="0.35">
      <c r="A8417" t="s">
        <v>229</v>
      </c>
      <c r="B8417" t="s">
        <v>262</v>
      </c>
      <c r="C8417">
        <v>19530.2</v>
      </c>
      <c r="D8417">
        <v>16666.7</v>
      </c>
      <c r="E8417">
        <v>0</v>
      </c>
      <c r="F8417">
        <v>100000</v>
      </c>
      <c r="G8417">
        <v>156</v>
      </c>
    </row>
    <row r="8418" spans="1:7" x14ac:dyDescent="0.35">
      <c r="A8418" t="s">
        <v>230</v>
      </c>
      <c r="B8418" t="s">
        <v>261</v>
      </c>
      <c r="C8418">
        <v>12316.69</v>
      </c>
      <c r="D8418">
        <v>7875</v>
      </c>
      <c r="E8418">
        <v>1066.7</v>
      </c>
      <c r="F8418">
        <v>75000</v>
      </c>
      <c r="G8418">
        <v>54</v>
      </c>
    </row>
    <row r="8419" spans="1:7" x14ac:dyDescent="0.35">
      <c r="A8419" t="s">
        <v>230</v>
      </c>
      <c r="B8419" t="s">
        <v>260</v>
      </c>
      <c r="C8419">
        <v>12170.84</v>
      </c>
      <c r="D8419">
        <v>8200</v>
      </c>
      <c r="E8419">
        <v>0</v>
      </c>
      <c r="F8419">
        <v>175000</v>
      </c>
      <c r="G8419">
        <v>312</v>
      </c>
    </row>
    <row r="8420" spans="1:7" x14ac:dyDescent="0.35">
      <c r="A8420" s="27" t="s">
        <v>230</v>
      </c>
      <c r="B8420" s="27" t="s">
        <v>263</v>
      </c>
      <c r="C8420" s="29">
        <v>7745.77</v>
      </c>
      <c r="D8420" s="29">
        <v>6000</v>
      </c>
      <c r="E8420" s="29">
        <v>1000</v>
      </c>
      <c r="F8420" s="29">
        <v>22500</v>
      </c>
      <c r="G8420" s="29">
        <v>22</v>
      </c>
    </row>
    <row r="8421" spans="1:7" x14ac:dyDescent="0.35">
      <c r="A8421" s="27" t="s">
        <v>230</v>
      </c>
      <c r="B8421" s="27" t="s">
        <v>236</v>
      </c>
      <c r="C8421" s="29">
        <v>3444.81</v>
      </c>
      <c r="D8421" s="29">
        <v>3050</v>
      </c>
      <c r="E8421" s="29">
        <v>3000</v>
      </c>
      <c r="F8421" s="29">
        <v>6200</v>
      </c>
      <c r="G8421" s="29">
        <v>3</v>
      </c>
    </row>
    <row r="8422" spans="1:7" x14ac:dyDescent="0.35">
      <c r="A8422" t="s">
        <v>230</v>
      </c>
      <c r="B8422" t="s">
        <v>262</v>
      </c>
      <c r="C8422">
        <v>12719.65</v>
      </c>
      <c r="D8422">
        <v>10000</v>
      </c>
      <c r="E8422">
        <v>0</v>
      </c>
      <c r="F8422">
        <v>125000</v>
      </c>
      <c r="G8422">
        <v>113</v>
      </c>
    </row>
    <row r="8423" spans="1:7" x14ac:dyDescent="0.35">
      <c r="A8423" s="27" t="s">
        <v>231</v>
      </c>
      <c r="B8423" s="27" t="s">
        <v>261</v>
      </c>
      <c r="C8423" s="29">
        <v>11635.83</v>
      </c>
      <c r="D8423" s="29">
        <v>10650</v>
      </c>
      <c r="E8423" s="29">
        <v>1000</v>
      </c>
      <c r="F8423" s="29">
        <v>48000</v>
      </c>
      <c r="G8423" s="29">
        <v>20</v>
      </c>
    </row>
    <row r="8424" spans="1:7" x14ac:dyDescent="0.35">
      <c r="A8424" s="27" t="s">
        <v>231</v>
      </c>
      <c r="B8424" s="27" t="s">
        <v>263</v>
      </c>
      <c r="C8424" s="29">
        <v>3875</v>
      </c>
      <c r="D8424" s="29">
        <v>2000</v>
      </c>
      <c r="E8424" s="29">
        <v>2000</v>
      </c>
      <c r="F8424" s="29">
        <v>5750</v>
      </c>
      <c r="G8424" s="29">
        <v>2</v>
      </c>
    </row>
    <row r="8425" spans="1:7" x14ac:dyDescent="0.35">
      <c r="A8425" s="27" t="s">
        <v>231</v>
      </c>
      <c r="B8425" s="27" t="s">
        <v>262</v>
      </c>
      <c r="C8425" s="29">
        <v>12468.18</v>
      </c>
      <c r="D8425" s="29">
        <v>9500</v>
      </c>
      <c r="E8425" s="29">
        <v>2250</v>
      </c>
      <c r="F8425" s="29">
        <v>40000</v>
      </c>
      <c r="G8425" s="29">
        <v>11</v>
      </c>
    </row>
    <row r="8426" spans="1:7" x14ac:dyDescent="0.35">
      <c r="A8426" t="s">
        <v>231</v>
      </c>
      <c r="B8426" t="s">
        <v>260</v>
      </c>
      <c r="C8426">
        <v>11764.86</v>
      </c>
      <c r="D8426">
        <v>8000</v>
      </c>
      <c r="E8426">
        <v>433.3</v>
      </c>
      <c r="F8426">
        <v>100500</v>
      </c>
      <c r="G8426">
        <v>117</v>
      </c>
    </row>
    <row r="8427" spans="1:7" x14ac:dyDescent="0.35">
      <c r="A8427" t="s">
        <v>232</v>
      </c>
      <c r="B8427" t="s">
        <v>232</v>
      </c>
      <c r="C8427">
        <v>12264.58</v>
      </c>
      <c r="D8427">
        <v>8500</v>
      </c>
      <c r="E8427">
        <v>0</v>
      </c>
      <c r="F8427">
        <v>175000</v>
      </c>
      <c r="G8427">
        <v>2476</v>
      </c>
    </row>
    <row r="8429" spans="1:7" x14ac:dyDescent="0.35">
      <c r="A8429" s="1" t="s">
        <v>1193</v>
      </c>
    </row>
    <row r="8430" spans="1:7" x14ac:dyDescent="0.35">
      <c r="A8430" t="s">
        <v>219</v>
      </c>
      <c r="B8430" t="s">
        <v>305</v>
      </c>
      <c r="C8430" t="s">
        <v>534</v>
      </c>
      <c r="D8430" t="s">
        <v>535</v>
      </c>
      <c r="E8430" t="s">
        <v>536</v>
      </c>
      <c r="F8430" t="s">
        <v>537</v>
      </c>
      <c r="G8430" t="s">
        <v>226</v>
      </c>
    </row>
    <row r="8431" spans="1:7" x14ac:dyDescent="0.35">
      <c r="A8431" t="s">
        <v>227</v>
      </c>
      <c r="B8431" t="s">
        <v>368</v>
      </c>
      <c r="C8431">
        <v>10263.629999999999</v>
      </c>
      <c r="D8431">
        <v>7453.7</v>
      </c>
      <c r="E8431">
        <v>2000</v>
      </c>
      <c r="F8431">
        <v>39896</v>
      </c>
      <c r="G8431">
        <v>33</v>
      </c>
    </row>
    <row r="8432" spans="1:7" x14ac:dyDescent="0.35">
      <c r="A8432" t="s">
        <v>227</v>
      </c>
      <c r="B8432" t="s">
        <v>369</v>
      </c>
      <c r="C8432">
        <v>9922.64</v>
      </c>
      <c r="D8432">
        <v>8000</v>
      </c>
      <c r="E8432">
        <v>0</v>
      </c>
      <c r="F8432">
        <v>60000</v>
      </c>
      <c r="G8432">
        <v>120</v>
      </c>
    </row>
    <row r="8433" spans="1:7" x14ac:dyDescent="0.35">
      <c r="A8433" t="s">
        <v>228</v>
      </c>
      <c r="B8433" t="s">
        <v>368</v>
      </c>
      <c r="C8433">
        <v>11282.1</v>
      </c>
      <c r="D8433">
        <v>7500</v>
      </c>
      <c r="E8433">
        <v>0</v>
      </c>
      <c r="F8433">
        <v>55500</v>
      </c>
      <c r="G8433">
        <v>169</v>
      </c>
    </row>
    <row r="8434" spans="1:7" x14ac:dyDescent="0.35">
      <c r="A8434" t="s">
        <v>228</v>
      </c>
      <c r="B8434" t="s">
        <v>369</v>
      </c>
      <c r="C8434">
        <v>11692.64</v>
      </c>
      <c r="D8434">
        <v>8333.2999999999993</v>
      </c>
      <c r="E8434">
        <v>0</v>
      </c>
      <c r="F8434">
        <v>85000</v>
      </c>
      <c r="G8434">
        <v>731</v>
      </c>
    </row>
    <row r="8435" spans="1:7" x14ac:dyDescent="0.35">
      <c r="A8435" t="s">
        <v>229</v>
      </c>
      <c r="B8435" t="s">
        <v>368</v>
      </c>
      <c r="C8435">
        <v>12266.2</v>
      </c>
      <c r="D8435">
        <v>8500</v>
      </c>
      <c r="E8435">
        <v>1000</v>
      </c>
      <c r="F8435">
        <v>65000</v>
      </c>
      <c r="G8435">
        <v>86</v>
      </c>
    </row>
    <row r="8436" spans="1:7" x14ac:dyDescent="0.35">
      <c r="A8436" t="s">
        <v>229</v>
      </c>
      <c r="B8436" t="s">
        <v>369</v>
      </c>
      <c r="C8436">
        <v>15045.97</v>
      </c>
      <c r="D8436">
        <v>12000</v>
      </c>
      <c r="E8436">
        <v>0</v>
      </c>
      <c r="F8436">
        <v>150000</v>
      </c>
      <c r="G8436">
        <v>683</v>
      </c>
    </row>
    <row r="8437" spans="1:7" x14ac:dyDescent="0.35">
      <c r="A8437" t="s">
        <v>230</v>
      </c>
      <c r="B8437" t="s">
        <v>368</v>
      </c>
      <c r="C8437">
        <v>12316.69</v>
      </c>
      <c r="D8437">
        <v>7875</v>
      </c>
      <c r="E8437">
        <v>1066.7</v>
      </c>
      <c r="F8437">
        <v>75000</v>
      </c>
      <c r="G8437">
        <v>54</v>
      </c>
    </row>
    <row r="8438" spans="1:7" x14ac:dyDescent="0.35">
      <c r="A8438" t="s">
        <v>230</v>
      </c>
      <c r="B8438" t="s">
        <v>369</v>
      </c>
      <c r="C8438">
        <v>12115.42</v>
      </c>
      <c r="D8438">
        <v>8500</v>
      </c>
      <c r="E8438">
        <v>0</v>
      </c>
      <c r="F8438">
        <v>175000</v>
      </c>
      <c r="G8438">
        <v>450</v>
      </c>
    </row>
    <row r="8439" spans="1:7" x14ac:dyDescent="0.35">
      <c r="A8439" s="27" t="s">
        <v>231</v>
      </c>
      <c r="B8439" s="27" t="s">
        <v>368</v>
      </c>
      <c r="C8439" s="29">
        <v>11635.83</v>
      </c>
      <c r="D8439" s="29">
        <v>10650</v>
      </c>
      <c r="E8439" s="29">
        <v>1000</v>
      </c>
      <c r="F8439" s="29">
        <v>48000</v>
      </c>
      <c r="G8439" s="29">
        <v>20</v>
      </c>
    </row>
    <row r="8440" spans="1:7" x14ac:dyDescent="0.35">
      <c r="A8440" t="s">
        <v>231</v>
      </c>
      <c r="B8440" t="s">
        <v>369</v>
      </c>
      <c r="C8440">
        <v>11702.99</v>
      </c>
      <c r="D8440">
        <v>7715</v>
      </c>
      <c r="E8440">
        <v>433.3</v>
      </c>
      <c r="F8440">
        <v>100500</v>
      </c>
      <c r="G8440">
        <v>130</v>
      </c>
    </row>
    <row r="8441" spans="1:7" x14ac:dyDescent="0.35">
      <c r="A8441" t="s">
        <v>232</v>
      </c>
      <c r="B8441" t="s">
        <v>232</v>
      </c>
      <c r="C8441">
        <v>12264.58</v>
      </c>
      <c r="D8441">
        <v>8500</v>
      </c>
      <c r="E8441">
        <v>0</v>
      </c>
      <c r="F8441">
        <v>175000</v>
      </c>
      <c r="G8441">
        <v>2476</v>
      </c>
    </row>
    <row r="8443" spans="1:7" x14ac:dyDescent="0.35">
      <c r="A8443" s="1" t="s">
        <v>1194</v>
      </c>
    </row>
    <row r="8444" spans="1:7" x14ac:dyDescent="0.35">
      <c r="A8444" t="s">
        <v>219</v>
      </c>
      <c r="B8444" t="s">
        <v>305</v>
      </c>
      <c r="C8444" t="s">
        <v>534</v>
      </c>
      <c r="D8444" t="s">
        <v>535</v>
      </c>
      <c r="E8444" t="s">
        <v>536</v>
      </c>
      <c r="F8444" t="s">
        <v>537</v>
      </c>
      <c r="G8444" t="s">
        <v>226</v>
      </c>
    </row>
    <row r="8445" spans="1:7" x14ac:dyDescent="0.35">
      <c r="A8445" t="s">
        <v>227</v>
      </c>
      <c r="B8445" t="s">
        <v>371</v>
      </c>
      <c r="C8445">
        <v>9996.19</v>
      </c>
      <c r="D8445">
        <v>8000</v>
      </c>
      <c r="E8445">
        <v>0</v>
      </c>
      <c r="F8445">
        <v>60000</v>
      </c>
      <c r="G8445">
        <v>153</v>
      </c>
    </row>
    <row r="8446" spans="1:7" x14ac:dyDescent="0.35">
      <c r="A8446" t="s">
        <v>228</v>
      </c>
      <c r="B8446" t="s">
        <v>371</v>
      </c>
      <c r="C8446">
        <v>11634.68</v>
      </c>
      <c r="D8446">
        <v>8500</v>
      </c>
      <c r="E8446">
        <v>0</v>
      </c>
      <c r="F8446">
        <v>55500</v>
      </c>
      <c r="G8446">
        <v>259</v>
      </c>
    </row>
    <row r="8447" spans="1:7" x14ac:dyDescent="0.35">
      <c r="A8447" t="s">
        <v>228</v>
      </c>
      <c r="B8447" t="s">
        <v>372</v>
      </c>
      <c r="C8447">
        <v>8944.08</v>
      </c>
      <c r="D8447">
        <v>5500</v>
      </c>
      <c r="E8447">
        <v>0</v>
      </c>
      <c r="F8447">
        <v>60000</v>
      </c>
      <c r="G8447">
        <v>178</v>
      </c>
    </row>
    <row r="8448" spans="1:7" x14ac:dyDescent="0.35">
      <c r="A8448" t="s">
        <v>228</v>
      </c>
      <c r="B8448" t="s">
        <v>373</v>
      </c>
      <c r="C8448">
        <v>12108.31</v>
      </c>
      <c r="D8448">
        <v>8400</v>
      </c>
      <c r="E8448">
        <v>0</v>
      </c>
      <c r="F8448">
        <v>85000</v>
      </c>
      <c r="G8448">
        <v>463</v>
      </c>
    </row>
    <row r="8449" spans="1:7" x14ac:dyDescent="0.35">
      <c r="A8449" t="s">
        <v>229</v>
      </c>
      <c r="B8449" t="s">
        <v>371</v>
      </c>
      <c r="C8449">
        <v>14945.88</v>
      </c>
      <c r="D8449">
        <v>11666.7</v>
      </c>
      <c r="E8449">
        <v>0</v>
      </c>
      <c r="F8449">
        <v>100000</v>
      </c>
      <c r="G8449">
        <v>493</v>
      </c>
    </row>
    <row r="8450" spans="1:7" x14ac:dyDescent="0.35">
      <c r="A8450" t="s">
        <v>229</v>
      </c>
      <c r="B8450" t="s">
        <v>372</v>
      </c>
      <c r="C8450">
        <v>10802.49</v>
      </c>
      <c r="D8450">
        <v>7600</v>
      </c>
      <c r="E8450">
        <v>0</v>
      </c>
      <c r="F8450">
        <v>150000</v>
      </c>
      <c r="G8450">
        <v>196</v>
      </c>
    </row>
    <row r="8451" spans="1:7" x14ac:dyDescent="0.35">
      <c r="A8451" t="s">
        <v>229</v>
      </c>
      <c r="B8451" t="s">
        <v>373</v>
      </c>
      <c r="C8451">
        <v>11048.45</v>
      </c>
      <c r="D8451">
        <v>7500</v>
      </c>
      <c r="E8451">
        <v>500</v>
      </c>
      <c r="F8451">
        <v>84500</v>
      </c>
      <c r="G8451">
        <v>80</v>
      </c>
    </row>
    <row r="8452" spans="1:7" x14ac:dyDescent="0.35">
      <c r="A8452" t="s">
        <v>230</v>
      </c>
      <c r="B8452" t="s">
        <v>371</v>
      </c>
      <c r="C8452">
        <v>12264.91</v>
      </c>
      <c r="D8452">
        <v>8200</v>
      </c>
      <c r="E8452">
        <v>0</v>
      </c>
      <c r="F8452">
        <v>175000</v>
      </c>
      <c r="G8452">
        <v>237</v>
      </c>
    </row>
    <row r="8453" spans="1:7" x14ac:dyDescent="0.35">
      <c r="A8453" t="s">
        <v>230</v>
      </c>
      <c r="B8453" t="s">
        <v>372</v>
      </c>
      <c r="C8453">
        <v>8379.66</v>
      </c>
      <c r="D8453">
        <v>6800</v>
      </c>
      <c r="E8453">
        <v>0</v>
      </c>
      <c r="F8453">
        <v>77000</v>
      </c>
      <c r="G8453">
        <v>134</v>
      </c>
    </row>
    <row r="8454" spans="1:7" x14ac:dyDescent="0.35">
      <c r="A8454" t="s">
        <v>230</v>
      </c>
      <c r="B8454" t="s">
        <v>373</v>
      </c>
      <c r="C8454">
        <v>13093.34</v>
      </c>
      <c r="D8454">
        <v>9600</v>
      </c>
      <c r="E8454">
        <v>0</v>
      </c>
      <c r="F8454">
        <v>125000</v>
      </c>
      <c r="G8454">
        <v>133</v>
      </c>
    </row>
    <row r="8455" spans="1:7" x14ac:dyDescent="0.35">
      <c r="A8455" t="s">
        <v>231</v>
      </c>
      <c r="B8455" t="s">
        <v>371</v>
      </c>
      <c r="C8455">
        <v>11694.04</v>
      </c>
      <c r="D8455">
        <v>8000</v>
      </c>
      <c r="E8455">
        <v>433.3</v>
      </c>
      <c r="F8455">
        <v>100500</v>
      </c>
      <c r="G8455">
        <v>150</v>
      </c>
    </row>
    <row r="8456" spans="1:7" x14ac:dyDescent="0.35">
      <c r="A8456" t="s">
        <v>232</v>
      </c>
      <c r="B8456" t="s">
        <v>232</v>
      </c>
      <c r="C8456">
        <v>12264.58</v>
      </c>
      <c r="D8456">
        <v>8500</v>
      </c>
      <c r="E8456">
        <v>0</v>
      </c>
      <c r="F8456">
        <v>175000</v>
      </c>
      <c r="G8456">
        <v>2476</v>
      </c>
    </row>
    <row r="8458" spans="1:7" x14ac:dyDescent="0.35">
      <c r="A8458" s="1" t="s">
        <v>1195</v>
      </c>
    </row>
    <row r="8459" spans="1:7" x14ac:dyDescent="0.35">
      <c r="A8459" t="s">
        <v>219</v>
      </c>
      <c r="B8459" t="s">
        <v>305</v>
      </c>
      <c r="C8459" t="s">
        <v>534</v>
      </c>
      <c r="D8459" t="s">
        <v>535</v>
      </c>
      <c r="E8459" t="s">
        <v>536</v>
      </c>
      <c r="F8459" t="s">
        <v>537</v>
      </c>
      <c r="G8459" t="s">
        <v>226</v>
      </c>
    </row>
    <row r="8460" spans="1:7" x14ac:dyDescent="0.35">
      <c r="A8460" t="s">
        <v>227</v>
      </c>
      <c r="B8460" t="s">
        <v>255</v>
      </c>
      <c r="C8460">
        <v>10690.56</v>
      </c>
      <c r="D8460">
        <v>8000</v>
      </c>
      <c r="E8460">
        <v>0</v>
      </c>
      <c r="F8460">
        <v>60000</v>
      </c>
      <c r="G8460">
        <v>110</v>
      </c>
    </row>
    <row r="8461" spans="1:7" x14ac:dyDescent="0.35">
      <c r="A8461" t="s">
        <v>227</v>
      </c>
      <c r="B8461" t="s">
        <v>256</v>
      </c>
      <c r="C8461">
        <v>7965.36</v>
      </c>
      <c r="D8461">
        <v>7596</v>
      </c>
      <c r="E8461">
        <v>1250</v>
      </c>
      <c r="F8461">
        <v>20000</v>
      </c>
      <c r="G8461">
        <v>35</v>
      </c>
    </row>
    <row r="8462" spans="1:7" x14ac:dyDescent="0.35">
      <c r="A8462" s="27" t="s">
        <v>227</v>
      </c>
      <c r="B8462" s="27" t="s">
        <v>257</v>
      </c>
      <c r="C8462" s="29">
        <v>9333.33</v>
      </c>
      <c r="D8462" s="29">
        <v>6666.7</v>
      </c>
      <c r="E8462" s="29">
        <v>1200</v>
      </c>
      <c r="F8462" s="29">
        <v>26500</v>
      </c>
      <c r="G8462" s="29">
        <v>8</v>
      </c>
    </row>
    <row r="8463" spans="1:7" x14ac:dyDescent="0.35">
      <c r="A8463" t="s">
        <v>228</v>
      </c>
      <c r="B8463" t="s">
        <v>255</v>
      </c>
      <c r="C8463">
        <v>12284.72</v>
      </c>
      <c r="D8463">
        <v>8333.2999999999993</v>
      </c>
      <c r="E8463">
        <v>0</v>
      </c>
      <c r="F8463">
        <v>85000</v>
      </c>
      <c r="G8463">
        <v>663</v>
      </c>
    </row>
    <row r="8464" spans="1:7" x14ac:dyDescent="0.35">
      <c r="A8464" t="s">
        <v>228</v>
      </c>
      <c r="B8464" t="s">
        <v>256</v>
      </c>
      <c r="C8464">
        <v>10412.120000000001</v>
      </c>
      <c r="D8464">
        <v>8333.2999999999993</v>
      </c>
      <c r="E8464">
        <v>286.7</v>
      </c>
      <c r="F8464">
        <v>66666.7</v>
      </c>
      <c r="G8464">
        <v>187</v>
      </c>
    </row>
    <row r="8465" spans="1:7" x14ac:dyDescent="0.35">
      <c r="A8465" t="s">
        <v>228</v>
      </c>
      <c r="B8465" t="s">
        <v>257</v>
      </c>
      <c r="C8465">
        <v>8393.43</v>
      </c>
      <c r="D8465">
        <v>5750</v>
      </c>
      <c r="E8465">
        <v>666.7</v>
      </c>
      <c r="F8465">
        <v>43333.3</v>
      </c>
      <c r="G8465">
        <v>47</v>
      </c>
    </row>
    <row r="8466" spans="1:7" x14ac:dyDescent="0.35">
      <c r="A8466" s="27" t="s">
        <v>228</v>
      </c>
      <c r="B8466" s="27" t="s">
        <v>258</v>
      </c>
      <c r="C8466" s="29">
        <v>12964.22</v>
      </c>
      <c r="D8466" s="29">
        <v>15150</v>
      </c>
      <c r="E8466" s="29">
        <v>4965</v>
      </c>
      <c r="F8466" s="29">
        <v>15150</v>
      </c>
      <c r="G8466" s="29">
        <v>3</v>
      </c>
    </row>
    <row r="8467" spans="1:7" x14ac:dyDescent="0.35">
      <c r="A8467" t="s">
        <v>229</v>
      </c>
      <c r="B8467" t="s">
        <v>255</v>
      </c>
      <c r="C8467">
        <v>15160.57</v>
      </c>
      <c r="D8467">
        <v>10500</v>
      </c>
      <c r="E8467">
        <v>0</v>
      </c>
      <c r="F8467">
        <v>100000</v>
      </c>
      <c r="G8467">
        <v>550</v>
      </c>
    </row>
    <row r="8468" spans="1:7" x14ac:dyDescent="0.35">
      <c r="A8468" s="27" t="s">
        <v>229</v>
      </c>
      <c r="B8468" s="27" t="s">
        <v>258</v>
      </c>
      <c r="C8468" s="29">
        <v>4032.3</v>
      </c>
      <c r="D8468" s="29">
        <v>3175</v>
      </c>
      <c r="E8468" s="29">
        <v>3175</v>
      </c>
      <c r="F8468" s="29">
        <v>7000</v>
      </c>
      <c r="G8468" s="29">
        <v>2</v>
      </c>
    </row>
    <row r="8469" spans="1:7" x14ac:dyDescent="0.35">
      <c r="A8469" t="s">
        <v>229</v>
      </c>
      <c r="B8469" t="s">
        <v>256</v>
      </c>
      <c r="C8469">
        <v>14005.16</v>
      </c>
      <c r="D8469">
        <v>12666.7</v>
      </c>
      <c r="E8469">
        <v>0</v>
      </c>
      <c r="F8469">
        <v>150000</v>
      </c>
      <c r="G8469">
        <v>175</v>
      </c>
    </row>
    <row r="8470" spans="1:7" x14ac:dyDescent="0.35">
      <c r="A8470" t="s">
        <v>229</v>
      </c>
      <c r="B8470" t="s">
        <v>257</v>
      </c>
      <c r="C8470">
        <v>11390.71</v>
      </c>
      <c r="D8470">
        <v>7750</v>
      </c>
      <c r="E8470">
        <v>1666.7</v>
      </c>
      <c r="F8470">
        <v>50000</v>
      </c>
      <c r="G8470">
        <v>42</v>
      </c>
    </row>
    <row r="8471" spans="1:7" x14ac:dyDescent="0.35">
      <c r="A8471" t="s">
        <v>230</v>
      </c>
      <c r="B8471" t="s">
        <v>255</v>
      </c>
      <c r="C8471">
        <v>13231.61</v>
      </c>
      <c r="D8471">
        <v>9250</v>
      </c>
      <c r="E8471">
        <v>0</v>
      </c>
      <c r="F8471">
        <v>175000</v>
      </c>
      <c r="G8471">
        <v>355</v>
      </c>
    </row>
    <row r="8472" spans="1:7" x14ac:dyDescent="0.35">
      <c r="A8472" t="s">
        <v>230</v>
      </c>
      <c r="B8472" t="s">
        <v>256</v>
      </c>
      <c r="C8472">
        <v>10829.43</v>
      </c>
      <c r="D8472">
        <v>7400</v>
      </c>
      <c r="E8472">
        <v>588.79999999999995</v>
      </c>
      <c r="F8472">
        <v>125000</v>
      </c>
      <c r="G8472">
        <v>113</v>
      </c>
    </row>
    <row r="8473" spans="1:7" x14ac:dyDescent="0.35">
      <c r="A8473" s="27" t="s">
        <v>230</v>
      </c>
      <c r="B8473" s="27" t="s">
        <v>258</v>
      </c>
      <c r="C8473" s="29">
        <v>6287.66</v>
      </c>
      <c r="D8473" s="29">
        <v>6500</v>
      </c>
      <c r="E8473" s="29">
        <v>2100</v>
      </c>
      <c r="F8473" s="29">
        <v>6500</v>
      </c>
      <c r="G8473" s="29">
        <v>2</v>
      </c>
    </row>
    <row r="8474" spans="1:7" x14ac:dyDescent="0.35">
      <c r="A8474" t="s">
        <v>230</v>
      </c>
      <c r="B8474" t="s">
        <v>257</v>
      </c>
      <c r="C8474">
        <v>7352.75</v>
      </c>
      <c r="D8474">
        <v>7500</v>
      </c>
      <c r="E8474">
        <v>0</v>
      </c>
      <c r="F8474">
        <v>21000</v>
      </c>
      <c r="G8474">
        <v>34</v>
      </c>
    </row>
    <row r="8475" spans="1:7" x14ac:dyDescent="0.35">
      <c r="A8475" s="27" t="s">
        <v>231</v>
      </c>
      <c r="B8475" s="27" t="s">
        <v>256</v>
      </c>
      <c r="C8475" s="29">
        <v>8334.6200000000008</v>
      </c>
      <c r="D8475" s="29">
        <v>6400</v>
      </c>
      <c r="E8475" s="29">
        <v>773.3</v>
      </c>
      <c r="F8475" s="29">
        <v>35000</v>
      </c>
      <c r="G8475" s="29">
        <v>26</v>
      </c>
    </row>
    <row r="8476" spans="1:7" x14ac:dyDescent="0.35">
      <c r="A8476" t="s">
        <v>231</v>
      </c>
      <c r="B8476" t="s">
        <v>255</v>
      </c>
      <c r="C8476">
        <v>12682.95</v>
      </c>
      <c r="D8476">
        <v>9000</v>
      </c>
      <c r="E8476">
        <v>1000</v>
      </c>
      <c r="F8476">
        <v>100500</v>
      </c>
      <c r="G8476">
        <v>117</v>
      </c>
    </row>
    <row r="8477" spans="1:7" x14ac:dyDescent="0.35">
      <c r="A8477" s="27" t="s">
        <v>231</v>
      </c>
      <c r="B8477" s="27" t="s">
        <v>257</v>
      </c>
      <c r="C8477" s="29">
        <v>7642.86</v>
      </c>
      <c r="D8477" s="29">
        <v>5000</v>
      </c>
      <c r="E8477" s="29">
        <v>433.3</v>
      </c>
      <c r="F8477" s="29">
        <v>23500</v>
      </c>
      <c r="G8477" s="29">
        <v>7</v>
      </c>
    </row>
    <row r="8478" spans="1:7" x14ac:dyDescent="0.35">
      <c r="A8478" t="s">
        <v>232</v>
      </c>
      <c r="B8478" t="s">
        <v>232</v>
      </c>
      <c r="C8478">
        <v>12264.58</v>
      </c>
      <c r="D8478">
        <v>8500</v>
      </c>
      <c r="E8478">
        <v>0</v>
      </c>
      <c r="F8478">
        <v>175000</v>
      </c>
      <c r="G8478">
        <v>2476</v>
      </c>
    </row>
    <row r="8480" spans="1:7" x14ac:dyDescent="0.35">
      <c r="A8480" s="1" t="s">
        <v>1196</v>
      </c>
    </row>
    <row r="8481" spans="1:5" x14ac:dyDescent="0.35">
      <c r="A8481" t="s">
        <v>219</v>
      </c>
      <c r="B8481" t="s">
        <v>1197</v>
      </c>
      <c r="C8481" t="s">
        <v>1198</v>
      </c>
      <c r="D8481" t="s">
        <v>226</v>
      </c>
    </row>
    <row r="8482" spans="1:5" x14ac:dyDescent="0.35">
      <c r="A8482" s="27" t="s">
        <v>227</v>
      </c>
      <c r="B8482" s="28">
        <v>0.59089999999999998</v>
      </c>
      <c r="C8482" s="28">
        <v>0.40910000000000002</v>
      </c>
      <c r="D8482" s="29" t="s">
        <v>347</v>
      </c>
    </row>
    <row r="8483" spans="1:5" x14ac:dyDescent="0.35">
      <c r="A8483" t="s">
        <v>228</v>
      </c>
      <c r="B8483" s="26">
        <v>0.77749999999999997</v>
      </c>
      <c r="C8483" s="26">
        <v>0.2225</v>
      </c>
      <c r="D8483">
        <v>119</v>
      </c>
    </row>
    <row r="8484" spans="1:5" x14ac:dyDescent="0.35">
      <c r="A8484" t="s">
        <v>229</v>
      </c>
      <c r="B8484" s="26">
        <v>0.69520000000000004</v>
      </c>
      <c r="C8484" s="26">
        <v>0.30480000000000002</v>
      </c>
      <c r="D8484">
        <v>102</v>
      </c>
    </row>
    <row r="8485" spans="1:5" x14ac:dyDescent="0.35">
      <c r="A8485" t="s">
        <v>230</v>
      </c>
      <c r="B8485" s="26">
        <v>0.54049999999999998</v>
      </c>
      <c r="C8485" s="26">
        <v>0.45950000000000002</v>
      </c>
      <c r="D8485">
        <v>83</v>
      </c>
    </row>
    <row r="8486" spans="1:5" x14ac:dyDescent="0.35">
      <c r="A8486" s="27" t="s">
        <v>231</v>
      </c>
      <c r="B8486" s="28">
        <v>0.85</v>
      </c>
      <c r="C8486" s="28">
        <v>0.15</v>
      </c>
      <c r="D8486" s="29" t="s">
        <v>350</v>
      </c>
    </row>
    <row r="8487" spans="1:5" x14ac:dyDescent="0.35">
      <c r="A8487" t="s">
        <v>232</v>
      </c>
      <c r="B8487" s="26">
        <v>0.71330000000000005</v>
      </c>
      <c r="C8487" s="26">
        <v>0.28670000000000001</v>
      </c>
      <c r="D8487">
        <v>346</v>
      </c>
    </row>
    <row r="8489" spans="1:5" x14ac:dyDescent="0.35">
      <c r="A8489" s="1" t="s">
        <v>1199</v>
      </c>
    </row>
    <row r="8490" spans="1:5" x14ac:dyDescent="0.35">
      <c r="A8490" t="s">
        <v>219</v>
      </c>
      <c r="B8490" t="s">
        <v>305</v>
      </c>
      <c r="C8490" t="s">
        <v>1197</v>
      </c>
      <c r="D8490" t="s">
        <v>1198</v>
      </c>
      <c r="E8490" t="s">
        <v>226</v>
      </c>
    </row>
    <row r="8491" spans="1:5" x14ac:dyDescent="0.35">
      <c r="A8491" s="27" t="s">
        <v>227</v>
      </c>
      <c r="B8491" s="27" t="s">
        <v>242</v>
      </c>
      <c r="C8491" s="28">
        <v>0.625</v>
      </c>
      <c r="D8491" s="28">
        <v>0.375</v>
      </c>
      <c r="E8491" s="29" t="s">
        <v>333</v>
      </c>
    </row>
    <row r="8492" spans="1:5" x14ac:dyDescent="0.35">
      <c r="A8492" s="27" t="s">
        <v>227</v>
      </c>
      <c r="B8492" s="27" t="s">
        <v>241</v>
      </c>
      <c r="C8492" s="28">
        <v>0.57140000000000002</v>
      </c>
      <c r="D8492" s="28">
        <v>0.42859999999999998</v>
      </c>
      <c r="E8492" s="29" t="s">
        <v>379</v>
      </c>
    </row>
    <row r="8493" spans="1:5" x14ac:dyDescent="0.35">
      <c r="A8493" t="s">
        <v>228</v>
      </c>
      <c r="B8493" t="s">
        <v>242</v>
      </c>
      <c r="C8493" s="26">
        <v>0.80510000000000004</v>
      </c>
      <c r="D8493" s="26">
        <v>0.19489999999999999</v>
      </c>
      <c r="E8493">
        <v>45</v>
      </c>
    </row>
    <row r="8494" spans="1:5" x14ac:dyDescent="0.35">
      <c r="A8494" t="s">
        <v>228</v>
      </c>
      <c r="B8494" t="s">
        <v>241</v>
      </c>
      <c r="C8494" s="26">
        <v>0.76</v>
      </c>
      <c r="D8494" s="26">
        <v>0.24</v>
      </c>
      <c r="E8494">
        <v>74</v>
      </c>
    </row>
    <row r="8495" spans="1:5" x14ac:dyDescent="0.35">
      <c r="A8495" t="s">
        <v>229</v>
      </c>
      <c r="B8495" t="s">
        <v>242</v>
      </c>
      <c r="C8495" s="26">
        <v>0.71809999999999996</v>
      </c>
      <c r="D8495" s="26">
        <v>0.28189999999999998</v>
      </c>
      <c r="E8495">
        <v>33</v>
      </c>
    </row>
    <row r="8496" spans="1:5" x14ac:dyDescent="0.35">
      <c r="A8496" t="s">
        <v>229</v>
      </c>
      <c r="B8496" t="s">
        <v>241</v>
      </c>
      <c r="C8496" s="26">
        <v>0.68230000000000002</v>
      </c>
      <c r="D8496" s="26">
        <v>0.31769999999999998</v>
      </c>
      <c r="E8496">
        <v>69</v>
      </c>
    </row>
    <row r="8497" spans="1:5" x14ac:dyDescent="0.35">
      <c r="A8497" s="27" t="s">
        <v>230</v>
      </c>
      <c r="B8497" s="27" t="s">
        <v>242</v>
      </c>
      <c r="C8497" s="28">
        <v>0.54420000000000002</v>
      </c>
      <c r="D8497" s="28">
        <v>0.45579999999999998</v>
      </c>
      <c r="E8497" s="29" t="s">
        <v>338</v>
      </c>
    </row>
    <row r="8498" spans="1:5" x14ac:dyDescent="0.35">
      <c r="A8498" t="s">
        <v>230</v>
      </c>
      <c r="B8498" t="s">
        <v>241</v>
      </c>
      <c r="C8498" s="26">
        <v>0.53869999999999996</v>
      </c>
      <c r="D8498" s="26">
        <v>0.46129999999999999</v>
      </c>
      <c r="E8498">
        <v>56</v>
      </c>
    </row>
    <row r="8499" spans="1:5" x14ac:dyDescent="0.35">
      <c r="A8499" s="27" t="s">
        <v>231</v>
      </c>
      <c r="B8499" s="27" t="s">
        <v>242</v>
      </c>
      <c r="C8499" s="28">
        <v>0.85709999999999997</v>
      </c>
      <c r="D8499" s="28">
        <v>0.1429</v>
      </c>
      <c r="E8499" s="29" t="s">
        <v>339</v>
      </c>
    </row>
    <row r="8500" spans="1:5" x14ac:dyDescent="0.35">
      <c r="A8500" s="27" t="s">
        <v>231</v>
      </c>
      <c r="B8500" s="27" t="s">
        <v>241</v>
      </c>
      <c r="C8500" s="28">
        <v>0.84619999999999995</v>
      </c>
      <c r="D8500" s="28">
        <v>0.15379999999999999</v>
      </c>
      <c r="E8500" s="29" t="s">
        <v>341</v>
      </c>
    </row>
    <row r="8501" spans="1:5" x14ac:dyDescent="0.35">
      <c r="A8501" t="s">
        <v>232</v>
      </c>
      <c r="B8501" t="s">
        <v>232</v>
      </c>
      <c r="C8501" s="26">
        <v>0.71330000000000005</v>
      </c>
      <c r="D8501" s="26">
        <v>0.28670000000000001</v>
      </c>
      <c r="E8501">
        <v>346</v>
      </c>
    </row>
    <row r="8503" spans="1:5" x14ac:dyDescent="0.35">
      <c r="A8503" s="1" t="s">
        <v>1200</v>
      </c>
    </row>
    <row r="8504" spans="1:5" x14ac:dyDescent="0.35">
      <c r="A8504" t="s">
        <v>219</v>
      </c>
      <c r="B8504" t="s">
        <v>305</v>
      </c>
      <c r="C8504" t="s">
        <v>1197</v>
      </c>
      <c r="D8504" t="s">
        <v>1198</v>
      </c>
      <c r="E8504" t="s">
        <v>226</v>
      </c>
    </row>
    <row r="8505" spans="1:5" x14ac:dyDescent="0.35">
      <c r="A8505" s="27" t="s">
        <v>227</v>
      </c>
      <c r="B8505" s="27" t="s">
        <v>239</v>
      </c>
      <c r="C8505" s="28">
        <v>0.77780000000000005</v>
      </c>
      <c r="D8505" s="28">
        <v>0.22220000000000001</v>
      </c>
      <c r="E8505" s="29" t="s">
        <v>334</v>
      </c>
    </row>
    <row r="8506" spans="1:5" x14ac:dyDescent="0.35">
      <c r="A8506" s="27" t="s">
        <v>227</v>
      </c>
      <c r="B8506" s="27" t="s">
        <v>238</v>
      </c>
      <c r="C8506" s="28">
        <v>0.46150000000000002</v>
      </c>
      <c r="D8506" s="28">
        <v>0.53849999999999998</v>
      </c>
      <c r="E8506" s="29" t="s">
        <v>341</v>
      </c>
    </row>
    <row r="8507" spans="1:5" x14ac:dyDescent="0.35">
      <c r="A8507" t="s">
        <v>228</v>
      </c>
      <c r="B8507" t="s">
        <v>239</v>
      </c>
      <c r="C8507" s="26">
        <v>0.69750000000000001</v>
      </c>
      <c r="D8507" s="26">
        <v>0.30249999999999999</v>
      </c>
      <c r="E8507">
        <v>38</v>
      </c>
    </row>
    <row r="8508" spans="1:5" x14ac:dyDescent="0.35">
      <c r="A8508" t="s">
        <v>228</v>
      </c>
      <c r="B8508" t="s">
        <v>238</v>
      </c>
      <c r="C8508" s="26">
        <v>0.7954</v>
      </c>
      <c r="D8508" s="26">
        <v>0.2046</v>
      </c>
      <c r="E8508">
        <v>81</v>
      </c>
    </row>
    <row r="8509" spans="1:5" x14ac:dyDescent="0.35">
      <c r="A8509" t="s">
        <v>229</v>
      </c>
      <c r="B8509" t="s">
        <v>239</v>
      </c>
      <c r="C8509" s="26">
        <v>0.83840000000000003</v>
      </c>
      <c r="D8509" s="26">
        <v>0.16159999999999999</v>
      </c>
      <c r="E8509">
        <v>33</v>
      </c>
    </row>
    <row r="8510" spans="1:5" x14ac:dyDescent="0.35">
      <c r="A8510" t="s">
        <v>229</v>
      </c>
      <c r="B8510" t="s">
        <v>238</v>
      </c>
      <c r="C8510" s="26">
        <v>0.66300000000000003</v>
      </c>
      <c r="D8510" s="26">
        <v>0.33700000000000002</v>
      </c>
      <c r="E8510">
        <v>69</v>
      </c>
    </row>
    <row r="8511" spans="1:5" x14ac:dyDescent="0.35">
      <c r="A8511" t="s">
        <v>230</v>
      </c>
      <c r="B8511" t="s">
        <v>239</v>
      </c>
      <c r="C8511" s="26">
        <v>0.38529999999999998</v>
      </c>
      <c r="D8511" s="26">
        <v>0.61470000000000002</v>
      </c>
      <c r="E8511">
        <v>30</v>
      </c>
    </row>
    <row r="8512" spans="1:5" x14ac:dyDescent="0.35">
      <c r="A8512" t="s">
        <v>230</v>
      </c>
      <c r="B8512" t="s">
        <v>238</v>
      </c>
      <c r="C8512" s="26">
        <v>0.61970000000000003</v>
      </c>
      <c r="D8512" s="26">
        <v>0.38030000000000003</v>
      </c>
      <c r="E8512">
        <v>53</v>
      </c>
    </row>
    <row r="8513" spans="1:5" x14ac:dyDescent="0.35">
      <c r="A8513" s="27" t="s">
        <v>231</v>
      </c>
      <c r="B8513" s="27" t="s">
        <v>239</v>
      </c>
      <c r="C8513" s="28">
        <v>0.75</v>
      </c>
      <c r="D8513" s="28">
        <v>0.25</v>
      </c>
      <c r="E8513" s="29" t="s">
        <v>337</v>
      </c>
    </row>
    <row r="8514" spans="1:5" x14ac:dyDescent="0.35">
      <c r="A8514" s="27" t="s">
        <v>231</v>
      </c>
      <c r="B8514" s="27" t="s">
        <v>238</v>
      </c>
      <c r="C8514" s="28">
        <v>0.875</v>
      </c>
      <c r="D8514" s="28">
        <v>0.125</v>
      </c>
      <c r="E8514" s="29" t="s">
        <v>348</v>
      </c>
    </row>
    <row r="8515" spans="1:5" x14ac:dyDescent="0.35">
      <c r="A8515" t="s">
        <v>232</v>
      </c>
      <c r="B8515" t="s">
        <v>232</v>
      </c>
      <c r="C8515" s="26">
        <v>0.71330000000000005</v>
      </c>
      <c r="D8515" s="26">
        <v>0.28670000000000001</v>
      </c>
      <c r="E8515">
        <v>346</v>
      </c>
    </row>
    <row r="8517" spans="1:5" x14ac:dyDescent="0.35">
      <c r="A8517" s="1" t="s">
        <v>1201</v>
      </c>
    </row>
    <row r="8518" spans="1:5" x14ac:dyDescent="0.35">
      <c r="A8518" t="s">
        <v>219</v>
      </c>
      <c r="B8518" t="s">
        <v>305</v>
      </c>
      <c r="C8518" t="s">
        <v>1197</v>
      </c>
      <c r="D8518" t="s">
        <v>1198</v>
      </c>
      <c r="E8518" t="s">
        <v>226</v>
      </c>
    </row>
    <row r="8519" spans="1:5" x14ac:dyDescent="0.35">
      <c r="A8519" s="27" t="s">
        <v>227</v>
      </c>
      <c r="B8519" s="27" t="s">
        <v>244</v>
      </c>
      <c r="C8519" s="28">
        <v>0.64290000000000003</v>
      </c>
      <c r="D8519" s="28">
        <v>0.35709999999999997</v>
      </c>
      <c r="E8519" s="29" t="s">
        <v>379</v>
      </c>
    </row>
    <row r="8520" spans="1:5" x14ac:dyDescent="0.35">
      <c r="A8520" s="27" t="s">
        <v>227</v>
      </c>
      <c r="B8520" s="27" t="s">
        <v>245</v>
      </c>
      <c r="C8520" s="28">
        <v>0.5</v>
      </c>
      <c r="D8520" s="28">
        <v>0.5</v>
      </c>
      <c r="E8520" s="29" t="s">
        <v>333</v>
      </c>
    </row>
    <row r="8521" spans="1:5" x14ac:dyDescent="0.35">
      <c r="A8521" t="s">
        <v>228</v>
      </c>
      <c r="B8521" t="s">
        <v>244</v>
      </c>
      <c r="C8521" s="26">
        <v>0.79910000000000003</v>
      </c>
      <c r="D8521" s="26">
        <v>0.2009</v>
      </c>
      <c r="E8521">
        <v>67</v>
      </c>
    </row>
    <row r="8522" spans="1:5" x14ac:dyDescent="0.35">
      <c r="A8522" t="s">
        <v>228</v>
      </c>
      <c r="B8522" t="s">
        <v>245</v>
      </c>
      <c r="C8522" s="26">
        <v>0.67169999999999996</v>
      </c>
      <c r="D8522" s="26">
        <v>0.32829999999999998</v>
      </c>
      <c r="E8522">
        <v>44</v>
      </c>
    </row>
    <row r="8523" spans="1:5" x14ac:dyDescent="0.35">
      <c r="A8523" s="27" t="s">
        <v>228</v>
      </c>
      <c r="B8523" s="27" t="s">
        <v>246</v>
      </c>
      <c r="C8523" s="28">
        <v>1</v>
      </c>
      <c r="D8523" s="29"/>
      <c r="E8523" s="29" t="s">
        <v>333</v>
      </c>
    </row>
    <row r="8524" spans="1:5" x14ac:dyDescent="0.35">
      <c r="A8524" t="s">
        <v>229</v>
      </c>
      <c r="B8524" t="s">
        <v>244</v>
      </c>
      <c r="C8524" s="26">
        <v>0.82779999999999998</v>
      </c>
      <c r="D8524" s="26">
        <v>0.17219999999999999</v>
      </c>
      <c r="E8524">
        <v>48</v>
      </c>
    </row>
    <row r="8525" spans="1:5" x14ac:dyDescent="0.35">
      <c r="A8525" t="s">
        <v>229</v>
      </c>
      <c r="B8525" t="s">
        <v>245</v>
      </c>
      <c r="C8525" s="26">
        <v>0.46029999999999999</v>
      </c>
      <c r="D8525" s="26">
        <v>0.53969999999999996</v>
      </c>
      <c r="E8525">
        <v>45</v>
      </c>
    </row>
    <row r="8526" spans="1:5" x14ac:dyDescent="0.35">
      <c r="A8526" s="27" t="s">
        <v>229</v>
      </c>
      <c r="B8526" s="27" t="s">
        <v>246</v>
      </c>
      <c r="C8526" s="28">
        <v>1</v>
      </c>
      <c r="D8526" s="29"/>
      <c r="E8526" s="29" t="s">
        <v>334</v>
      </c>
    </row>
    <row r="8527" spans="1:5" x14ac:dyDescent="0.35">
      <c r="A8527" t="s">
        <v>230</v>
      </c>
      <c r="B8527" t="s">
        <v>244</v>
      </c>
      <c r="C8527" s="26">
        <v>0.61160000000000003</v>
      </c>
      <c r="D8527" s="26">
        <v>0.38840000000000002</v>
      </c>
      <c r="E8527">
        <v>53</v>
      </c>
    </row>
    <row r="8528" spans="1:5" x14ac:dyDescent="0.35">
      <c r="A8528" s="27" t="s">
        <v>230</v>
      </c>
      <c r="B8528" s="27" t="s">
        <v>245</v>
      </c>
      <c r="C8528" s="28">
        <v>0.39040000000000002</v>
      </c>
      <c r="D8528" s="28">
        <v>0.60960000000000003</v>
      </c>
      <c r="E8528" s="29" t="s">
        <v>329</v>
      </c>
    </row>
    <row r="8529" spans="1:5" x14ac:dyDescent="0.35">
      <c r="A8529" s="27" t="s">
        <v>230</v>
      </c>
      <c r="B8529" s="27" t="s">
        <v>246</v>
      </c>
      <c r="C8529" s="29"/>
      <c r="D8529" s="28">
        <v>1</v>
      </c>
      <c r="E8529" s="29" t="s">
        <v>331</v>
      </c>
    </row>
    <row r="8530" spans="1:5" x14ac:dyDescent="0.35">
      <c r="A8530" s="27" t="s">
        <v>231</v>
      </c>
      <c r="B8530" s="27" t="s">
        <v>244</v>
      </c>
      <c r="C8530" s="28">
        <v>0.9</v>
      </c>
      <c r="D8530" s="28">
        <v>0.1</v>
      </c>
      <c r="E8530" s="29" t="s">
        <v>307</v>
      </c>
    </row>
    <row r="8531" spans="1:5" x14ac:dyDescent="0.35">
      <c r="A8531" s="27" t="s">
        <v>231</v>
      </c>
      <c r="B8531" s="27" t="s">
        <v>245</v>
      </c>
      <c r="C8531" s="28">
        <v>0.83330000000000004</v>
      </c>
      <c r="D8531" s="28">
        <v>0.16669999999999999</v>
      </c>
      <c r="E8531" s="29" t="s">
        <v>335</v>
      </c>
    </row>
    <row r="8532" spans="1:5" x14ac:dyDescent="0.35">
      <c r="A8532" s="27" t="s">
        <v>231</v>
      </c>
      <c r="B8532" s="27" t="s">
        <v>246</v>
      </c>
      <c r="C8532" s="28">
        <v>0.75</v>
      </c>
      <c r="D8532" s="28">
        <v>0.25</v>
      </c>
      <c r="E8532" s="29" t="s">
        <v>337</v>
      </c>
    </row>
    <row r="8533" spans="1:5" x14ac:dyDescent="0.35">
      <c r="A8533" t="s">
        <v>232</v>
      </c>
      <c r="B8533" t="s">
        <v>232</v>
      </c>
      <c r="C8533" s="26">
        <v>0.71330000000000005</v>
      </c>
      <c r="D8533" s="26">
        <v>0.28670000000000001</v>
      </c>
      <c r="E8533">
        <v>346</v>
      </c>
    </row>
    <row r="8535" spans="1:5" x14ac:dyDescent="0.35">
      <c r="A8535" s="1" t="s">
        <v>1202</v>
      </c>
    </row>
    <row r="8536" spans="1:5" x14ac:dyDescent="0.35">
      <c r="A8536" t="s">
        <v>219</v>
      </c>
      <c r="B8536" t="s">
        <v>305</v>
      </c>
      <c r="C8536" t="s">
        <v>1197</v>
      </c>
      <c r="D8536" t="s">
        <v>1198</v>
      </c>
      <c r="E8536" t="s">
        <v>226</v>
      </c>
    </row>
    <row r="8537" spans="1:5" x14ac:dyDescent="0.35">
      <c r="A8537" s="27" t="s">
        <v>227</v>
      </c>
      <c r="B8537" s="27" t="s">
        <v>267</v>
      </c>
      <c r="C8537" s="28">
        <v>0.5</v>
      </c>
      <c r="D8537" s="28">
        <v>0.5</v>
      </c>
      <c r="E8537" s="29" t="s">
        <v>314</v>
      </c>
    </row>
    <row r="8538" spans="1:5" x14ac:dyDescent="0.35">
      <c r="A8538" s="27" t="s">
        <v>227</v>
      </c>
      <c r="B8538" s="27" t="s">
        <v>266</v>
      </c>
      <c r="C8538" s="28">
        <v>0.41670000000000001</v>
      </c>
      <c r="D8538" s="28">
        <v>0.58330000000000004</v>
      </c>
      <c r="E8538" s="29" t="s">
        <v>342</v>
      </c>
    </row>
    <row r="8539" spans="1:5" x14ac:dyDescent="0.35">
      <c r="A8539" s="27" t="s">
        <v>227</v>
      </c>
      <c r="B8539" s="27" t="s">
        <v>265</v>
      </c>
      <c r="C8539" s="28">
        <v>0.875</v>
      </c>
      <c r="D8539" s="28">
        <v>0.125</v>
      </c>
      <c r="E8539" s="29" t="s">
        <v>333</v>
      </c>
    </row>
    <row r="8540" spans="1:5" x14ac:dyDescent="0.35">
      <c r="A8540" s="27" t="s">
        <v>228</v>
      </c>
      <c r="B8540" s="27" t="s">
        <v>267</v>
      </c>
      <c r="C8540" s="28">
        <v>0.8145</v>
      </c>
      <c r="D8540" s="28">
        <v>0.1855</v>
      </c>
      <c r="E8540" s="29" t="s">
        <v>341</v>
      </c>
    </row>
    <row r="8541" spans="1:5" x14ac:dyDescent="0.35">
      <c r="A8541" t="s">
        <v>228</v>
      </c>
      <c r="B8541" t="s">
        <v>266</v>
      </c>
      <c r="C8541" s="26">
        <v>0.76539999999999997</v>
      </c>
      <c r="D8541" s="26">
        <v>0.2346</v>
      </c>
      <c r="E8541">
        <v>65</v>
      </c>
    </row>
    <row r="8542" spans="1:5" x14ac:dyDescent="0.35">
      <c r="A8542" t="s">
        <v>228</v>
      </c>
      <c r="B8542" t="s">
        <v>265</v>
      </c>
      <c r="C8542" s="26">
        <v>0.78120000000000001</v>
      </c>
      <c r="D8542" s="26">
        <v>0.21879999999999999</v>
      </c>
      <c r="E8542">
        <v>41</v>
      </c>
    </row>
    <row r="8543" spans="1:5" x14ac:dyDescent="0.35">
      <c r="A8543" s="27" t="s">
        <v>229</v>
      </c>
      <c r="B8543" s="27" t="s">
        <v>267</v>
      </c>
      <c r="C8543" s="28">
        <v>0.71199999999999997</v>
      </c>
      <c r="D8543" s="28">
        <v>0.28799999999999998</v>
      </c>
      <c r="E8543" s="29" t="s">
        <v>347</v>
      </c>
    </row>
    <row r="8544" spans="1:5" x14ac:dyDescent="0.35">
      <c r="A8544" t="s">
        <v>229</v>
      </c>
      <c r="B8544" t="s">
        <v>266</v>
      </c>
      <c r="C8544" s="26">
        <v>0.61639999999999995</v>
      </c>
      <c r="D8544" s="26">
        <v>0.3836</v>
      </c>
      <c r="E8544">
        <v>54</v>
      </c>
    </row>
    <row r="8545" spans="1:5" x14ac:dyDescent="0.35">
      <c r="A8545" s="27" t="s">
        <v>229</v>
      </c>
      <c r="B8545" s="27" t="s">
        <v>265</v>
      </c>
      <c r="C8545" s="28">
        <v>0.81420000000000003</v>
      </c>
      <c r="D8545" s="28">
        <v>0.18579999999999999</v>
      </c>
      <c r="E8545" s="29" t="s">
        <v>357</v>
      </c>
    </row>
    <row r="8546" spans="1:5" x14ac:dyDescent="0.35">
      <c r="A8546" s="27" t="s">
        <v>230</v>
      </c>
      <c r="B8546" s="27" t="s">
        <v>267</v>
      </c>
      <c r="C8546" s="28">
        <v>0.65990000000000004</v>
      </c>
      <c r="D8546" s="28">
        <v>0.34010000000000001</v>
      </c>
      <c r="E8546" s="29" t="s">
        <v>341</v>
      </c>
    </row>
    <row r="8547" spans="1:5" x14ac:dyDescent="0.35">
      <c r="A8547" t="s">
        <v>230</v>
      </c>
      <c r="B8547" t="s">
        <v>266</v>
      </c>
      <c r="C8547" s="26">
        <v>0.57020000000000004</v>
      </c>
      <c r="D8547" s="26">
        <v>0.42980000000000002</v>
      </c>
      <c r="E8547">
        <v>45</v>
      </c>
    </row>
    <row r="8548" spans="1:5" x14ac:dyDescent="0.35">
      <c r="A8548" s="27" t="s">
        <v>230</v>
      </c>
      <c r="B8548" s="27" t="s">
        <v>265</v>
      </c>
      <c r="C8548" s="28">
        <v>0.46510000000000001</v>
      </c>
      <c r="D8548" s="28">
        <v>0.53490000000000004</v>
      </c>
      <c r="E8548" s="29" t="s">
        <v>312</v>
      </c>
    </row>
    <row r="8549" spans="1:5" x14ac:dyDescent="0.35">
      <c r="A8549" s="27" t="s">
        <v>231</v>
      </c>
      <c r="B8549" s="27" t="s">
        <v>267</v>
      </c>
      <c r="C8549" s="28">
        <v>0.66669999999999996</v>
      </c>
      <c r="D8549" s="28">
        <v>0.33329999999999999</v>
      </c>
      <c r="E8549" s="29" t="s">
        <v>315</v>
      </c>
    </row>
    <row r="8550" spans="1:5" x14ac:dyDescent="0.35">
      <c r="A8550" s="27" t="s">
        <v>231</v>
      </c>
      <c r="B8550" s="27" t="s">
        <v>266</v>
      </c>
      <c r="C8550" s="28">
        <v>0.85709999999999997</v>
      </c>
      <c r="D8550" s="28">
        <v>0.1429</v>
      </c>
      <c r="E8550" s="29" t="s">
        <v>339</v>
      </c>
    </row>
    <row r="8551" spans="1:5" x14ac:dyDescent="0.35">
      <c r="A8551" s="27" t="s">
        <v>231</v>
      </c>
      <c r="B8551" s="27" t="s">
        <v>265</v>
      </c>
      <c r="C8551" s="28">
        <v>0.9</v>
      </c>
      <c r="D8551" s="28">
        <v>0.1</v>
      </c>
      <c r="E8551" s="29" t="s">
        <v>307</v>
      </c>
    </row>
    <row r="8552" spans="1:5" x14ac:dyDescent="0.35">
      <c r="A8552" t="s">
        <v>232</v>
      </c>
      <c r="B8552" t="s">
        <v>232</v>
      </c>
      <c r="C8552" s="26">
        <v>0.71330000000000005</v>
      </c>
      <c r="D8552" s="26">
        <v>0.28670000000000001</v>
      </c>
      <c r="E8552">
        <v>346</v>
      </c>
    </row>
    <row r="8554" spans="1:5" x14ac:dyDescent="0.35">
      <c r="A8554" s="1" t="s">
        <v>1203</v>
      </c>
    </row>
    <row r="8555" spans="1:5" x14ac:dyDescent="0.35">
      <c r="A8555" t="s">
        <v>219</v>
      </c>
      <c r="B8555" t="s">
        <v>305</v>
      </c>
      <c r="C8555" t="s">
        <v>1197</v>
      </c>
      <c r="D8555" t="s">
        <v>1198</v>
      </c>
      <c r="E8555" t="s">
        <v>226</v>
      </c>
    </row>
    <row r="8556" spans="1:5" x14ac:dyDescent="0.35">
      <c r="A8556" s="27" t="s">
        <v>227</v>
      </c>
      <c r="B8556" s="27" t="s">
        <v>252</v>
      </c>
      <c r="C8556" s="28">
        <v>0.71430000000000005</v>
      </c>
      <c r="D8556" s="28">
        <v>0.28570000000000001</v>
      </c>
      <c r="E8556" s="29" t="s">
        <v>339</v>
      </c>
    </row>
    <row r="8557" spans="1:5" x14ac:dyDescent="0.35">
      <c r="A8557" s="27" t="s">
        <v>227</v>
      </c>
      <c r="B8557" s="27" t="s">
        <v>253</v>
      </c>
      <c r="C8557" s="28">
        <v>0.75</v>
      </c>
      <c r="D8557" s="28">
        <v>0.25</v>
      </c>
      <c r="E8557" s="29" t="s">
        <v>337</v>
      </c>
    </row>
    <row r="8558" spans="1:5" x14ac:dyDescent="0.35">
      <c r="A8558" s="27" t="s">
        <v>227</v>
      </c>
      <c r="B8558" s="27" t="s">
        <v>251</v>
      </c>
      <c r="C8558" s="28">
        <v>0.45450000000000002</v>
      </c>
      <c r="D8558" s="28">
        <v>0.54549999999999998</v>
      </c>
      <c r="E8558" s="29" t="s">
        <v>352</v>
      </c>
    </row>
    <row r="8559" spans="1:5" x14ac:dyDescent="0.35">
      <c r="A8559" t="s">
        <v>228</v>
      </c>
      <c r="B8559" t="s">
        <v>252</v>
      </c>
      <c r="C8559" s="26">
        <v>0.74760000000000004</v>
      </c>
      <c r="D8559" s="26">
        <v>0.25240000000000001</v>
      </c>
      <c r="E8559">
        <v>36</v>
      </c>
    </row>
    <row r="8560" spans="1:5" x14ac:dyDescent="0.35">
      <c r="A8560" s="27" t="s">
        <v>228</v>
      </c>
      <c r="B8560" s="27" t="s">
        <v>253</v>
      </c>
      <c r="C8560" s="28">
        <v>0.76700000000000002</v>
      </c>
      <c r="D8560" s="28">
        <v>0.23300000000000001</v>
      </c>
      <c r="E8560" s="29" t="s">
        <v>347</v>
      </c>
    </row>
    <row r="8561" spans="1:5" x14ac:dyDescent="0.35">
      <c r="A8561" t="s">
        <v>228</v>
      </c>
      <c r="B8561" t="s">
        <v>251</v>
      </c>
      <c r="C8561" s="26">
        <v>0.79910000000000003</v>
      </c>
      <c r="D8561" s="26">
        <v>0.2009</v>
      </c>
      <c r="E8561">
        <v>61</v>
      </c>
    </row>
    <row r="8562" spans="1:5" x14ac:dyDescent="0.35">
      <c r="A8562" s="27" t="s">
        <v>229</v>
      </c>
      <c r="B8562" s="27" t="s">
        <v>252</v>
      </c>
      <c r="C8562" s="28">
        <v>0.496</v>
      </c>
      <c r="D8562" s="28">
        <v>0.504</v>
      </c>
      <c r="E8562" s="29" t="s">
        <v>338</v>
      </c>
    </row>
    <row r="8563" spans="1:5" x14ac:dyDescent="0.35">
      <c r="A8563" s="27" t="s">
        <v>229</v>
      </c>
      <c r="B8563" s="27" t="s">
        <v>253</v>
      </c>
      <c r="C8563" s="28">
        <v>0.74560000000000004</v>
      </c>
      <c r="D8563" s="28">
        <v>0.25440000000000002</v>
      </c>
      <c r="E8563" s="29" t="s">
        <v>353</v>
      </c>
    </row>
    <row r="8564" spans="1:5" x14ac:dyDescent="0.35">
      <c r="A8564" t="s">
        <v>229</v>
      </c>
      <c r="B8564" t="s">
        <v>251</v>
      </c>
      <c r="C8564" s="26">
        <v>0.77859999999999996</v>
      </c>
      <c r="D8564" s="26">
        <v>0.22140000000000001</v>
      </c>
      <c r="E8564">
        <v>57</v>
      </c>
    </row>
    <row r="8565" spans="1:5" x14ac:dyDescent="0.35">
      <c r="A8565" s="27" t="s">
        <v>230</v>
      </c>
      <c r="B8565" s="27" t="s">
        <v>252</v>
      </c>
      <c r="C8565" s="28">
        <v>0.5121</v>
      </c>
      <c r="D8565" s="28">
        <v>0.4879</v>
      </c>
      <c r="E8565" s="29" t="s">
        <v>329</v>
      </c>
    </row>
    <row r="8566" spans="1:5" x14ac:dyDescent="0.35">
      <c r="A8566" s="27" t="s">
        <v>230</v>
      </c>
      <c r="B8566" s="27" t="s">
        <v>253</v>
      </c>
      <c r="C8566" s="28">
        <v>0.55430000000000001</v>
      </c>
      <c r="D8566" s="28">
        <v>0.44569999999999999</v>
      </c>
      <c r="E8566" s="29" t="s">
        <v>342</v>
      </c>
    </row>
    <row r="8567" spans="1:5" x14ac:dyDescent="0.35">
      <c r="A8567" t="s">
        <v>230</v>
      </c>
      <c r="B8567" t="s">
        <v>251</v>
      </c>
      <c r="C8567" s="26">
        <v>0.55500000000000005</v>
      </c>
      <c r="D8567" s="26">
        <v>0.44500000000000001</v>
      </c>
      <c r="E8567">
        <v>42</v>
      </c>
    </row>
    <row r="8568" spans="1:5" x14ac:dyDescent="0.35">
      <c r="A8568" s="27" t="s">
        <v>231</v>
      </c>
      <c r="B8568" s="27" t="s">
        <v>252</v>
      </c>
      <c r="C8568" s="28">
        <v>1</v>
      </c>
      <c r="D8568" s="29"/>
      <c r="E8568" s="29" t="s">
        <v>315</v>
      </c>
    </row>
    <row r="8569" spans="1:5" x14ac:dyDescent="0.35">
      <c r="A8569" s="27" t="s">
        <v>231</v>
      </c>
      <c r="B8569" s="27" t="s">
        <v>253</v>
      </c>
      <c r="C8569" s="28">
        <v>0.5</v>
      </c>
      <c r="D8569" s="28">
        <v>0.5</v>
      </c>
      <c r="E8569" s="29" t="s">
        <v>314</v>
      </c>
    </row>
    <row r="8570" spans="1:5" x14ac:dyDescent="0.35">
      <c r="A8570" s="27" t="s">
        <v>231</v>
      </c>
      <c r="B8570" s="27" t="s">
        <v>251</v>
      </c>
      <c r="C8570" s="28">
        <v>0.86670000000000003</v>
      </c>
      <c r="D8570" s="28">
        <v>0.1333</v>
      </c>
      <c r="E8570" s="29" t="s">
        <v>346</v>
      </c>
    </row>
    <row r="8571" spans="1:5" x14ac:dyDescent="0.35">
      <c r="A8571" t="s">
        <v>232</v>
      </c>
      <c r="B8571" t="s">
        <v>232</v>
      </c>
      <c r="C8571" s="26">
        <v>0.71330000000000005</v>
      </c>
      <c r="D8571" s="26">
        <v>0.28670000000000001</v>
      </c>
      <c r="E8571">
        <v>346</v>
      </c>
    </row>
    <row r="8573" spans="1:5" x14ac:dyDescent="0.35">
      <c r="A8573" s="1" t="s">
        <v>1204</v>
      </c>
    </row>
    <row r="8574" spans="1:5" x14ac:dyDescent="0.35">
      <c r="A8574" t="s">
        <v>219</v>
      </c>
      <c r="B8574" t="s">
        <v>305</v>
      </c>
      <c r="C8574" t="s">
        <v>1197</v>
      </c>
      <c r="D8574" t="s">
        <v>1198</v>
      </c>
      <c r="E8574" t="s">
        <v>226</v>
      </c>
    </row>
    <row r="8575" spans="1:5" x14ac:dyDescent="0.35">
      <c r="A8575" s="27" t="s">
        <v>227</v>
      </c>
      <c r="B8575" s="27" t="s">
        <v>249</v>
      </c>
      <c r="C8575" s="28">
        <v>0.33329999999999999</v>
      </c>
      <c r="D8575" s="28">
        <v>0.66669999999999996</v>
      </c>
      <c r="E8575" s="29" t="s">
        <v>335</v>
      </c>
    </row>
    <row r="8576" spans="1:5" x14ac:dyDescent="0.35">
      <c r="A8576" s="27" t="s">
        <v>227</v>
      </c>
      <c r="B8576" s="27" t="s">
        <v>248</v>
      </c>
      <c r="C8576" s="28">
        <v>0.6875</v>
      </c>
      <c r="D8576" s="28">
        <v>0.3125</v>
      </c>
      <c r="E8576" s="29" t="s">
        <v>348</v>
      </c>
    </row>
    <row r="8577" spans="1:5" x14ac:dyDescent="0.35">
      <c r="A8577" t="s">
        <v>228</v>
      </c>
      <c r="B8577" t="s">
        <v>249</v>
      </c>
      <c r="C8577" s="26">
        <v>0.87450000000000006</v>
      </c>
      <c r="D8577" s="26">
        <v>0.1255</v>
      </c>
      <c r="E8577">
        <v>33</v>
      </c>
    </row>
    <row r="8578" spans="1:5" x14ac:dyDescent="0.35">
      <c r="A8578" t="s">
        <v>228</v>
      </c>
      <c r="B8578" t="s">
        <v>248</v>
      </c>
      <c r="C8578" s="26">
        <v>0.74660000000000004</v>
      </c>
      <c r="D8578" s="26">
        <v>0.25340000000000001</v>
      </c>
      <c r="E8578">
        <v>86</v>
      </c>
    </row>
    <row r="8579" spans="1:5" x14ac:dyDescent="0.35">
      <c r="A8579" t="s">
        <v>229</v>
      </c>
      <c r="B8579" t="s">
        <v>249</v>
      </c>
      <c r="C8579" s="26">
        <v>0.98280000000000001</v>
      </c>
      <c r="D8579" s="26">
        <v>1.72E-2</v>
      </c>
      <c r="E8579">
        <v>34</v>
      </c>
    </row>
    <row r="8580" spans="1:5" x14ac:dyDescent="0.35">
      <c r="A8580" t="s">
        <v>229</v>
      </c>
      <c r="B8580" t="s">
        <v>248</v>
      </c>
      <c r="C8580" s="26">
        <v>0.49299999999999999</v>
      </c>
      <c r="D8580" s="26">
        <v>0.50700000000000001</v>
      </c>
      <c r="E8580">
        <v>68</v>
      </c>
    </row>
    <row r="8581" spans="1:5" x14ac:dyDescent="0.35">
      <c r="A8581" s="27" t="s">
        <v>230</v>
      </c>
      <c r="B8581" s="27" t="s">
        <v>249</v>
      </c>
      <c r="C8581" s="28">
        <v>0.67049999999999998</v>
      </c>
      <c r="D8581" s="28">
        <v>0.32950000000000002</v>
      </c>
      <c r="E8581" s="29" t="s">
        <v>336</v>
      </c>
    </row>
    <row r="8582" spans="1:5" x14ac:dyDescent="0.35">
      <c r="A8582" t="s">
        <v>230</v>
      </c>
      <c r="B8582" t="s">
        <v>248</v>
      </c>
      <c r="C8582" s="26">
        <v>0.4612</v>
      </c>
      <c r="D8582" s="26">
        <v>0.53879999999999995</v>
      </c>
      <c r="E8582">
        <v>55</v>
      </c>
    </row>
    <row r="8583" spans="1:5" x14ac:dyDescent="0.35">
      <c r="A8583" s="27" t="s">
        <v>231</v>
      </c>
      <c r="B8583" s="27" t="s">
        <v>249</v>
      </c>
      <c r="C8583" s="28">
        <v>0.85709999999999997</v>
      </c>
      <c r="D8583" s="28">
        <v>0.1429</v>
      </c>
      <c r="E8583" s="29" t="s">
        <v>339</v>
      </c>
    </row>
    <row r="8584" spans="1:5" x14ac:dyDescent="0.35">
      <c r="A8584" s="27" t="s">
        <v>231</v>
      </c>
      <c r="B8584" s="27" t="s">
        <v>248</v>
      </c>
      <c r="C8584" s="28">
        <v>0.84619999999999995</v>
      </c>
      <c r="D8584" s="28">
        <v>0.15379999999999999</v>
      </c>
      <c r="E8584" s="29" t="s">
        <v>341</v>
      </c>
    </row>
    <row r="8585" spans="1:5" x14ac:dyDescent="0.35">
      <c r="A8585" t="s">
        <v>232</v>
      </c>
      <c r="B8585" t="s">
        <v>232</v>
      </c>
      <c r="C8585" s="26">
        <v>0.71330000000000005</v>
      </c>
      <c r="D8585" s="26">
        <v>0.28670000000000001</v>
      </c>
      <c r="E8585">
        <v>346</v>
      </c>
    </row>
    <row r="8587" spans="1:5" x14ac:dyDescent="0.35">
      <c r="A8587" s="1" t="s">
        <v>1205</v>
      </c>
    </row>
    <row r="8588" spans="1:5" x14ac:dyDescent="0.35">
      <c r="A8588" t="s">
        <v>219</v>
      </c>
      <c r="B8588" t="s">
        <v>305</v>
      </c>
      <c r="C8588" t="s">
        <v>1197</v>
      </c>
      <c r="D8588" t="s">
        <v>1198</v>
      </c>
      <c r="E8588" t="s">
        <v>226</v>
      </c>
    </row>
    <row r="8589" spans="1:5" x14ac:dyDescent="0.35">
      <c r="A8589" s="27" t="s">
        <v>227</v>
      </c>
      <c r="B8589" s="27" t="s">
        <v>260</v>
      </c>
      <c r="C8589" s="28">
        <v>0.5</v>
      </c>
      <c r="D8589" s="28">
        <v>0.5</v>
      </c>
      <c r="E8589" s="29" t="s">
        <v>379</v>
      </c>
    </row>
    <row r="8590" spans="1:5" x14ac:dyDescent="0.35">
      <c r="A8590" s="27" t="s">
        <v>227</v>
      </c>
      <c r="B8590" s="27" t="s">
        <v>263</v>
      </c>
      <c r="C8590" s="28">
        <v>1</v>
      </c>
      <c r="D8590" s="29"/>
      <c r="E8590" s="29" t="s">
        <v>314</v>
      </c>
    </row>
    <row r="8591" spans="1:5" x14ac:dyDescent="0.35">
      <c r="A8591" s="27" t="s">
        <v>227</v>
      </c>
      <c r="B8591" s="27" t="s">
        <v>261</v>
      </c>
      <c r="C8591" s="28">
        <v>0.66669999999999996</v>
      </c>
      <c r="D8591" s="28">
        <v>0.33329999999999999</v>
      </c>
      <c r="E8591" s="29" t="s">
        <v>335</v>
      </c>
    </row>
    <row r="8592" spans="1:5" x14ac:dyDescent="0.35">
      <c r="A8592" s="27" t="s">
        <v>228</v>
      </c>
      <c r="B8592" s="27" t="s">
        <v>262</v>
      </c>
      <c r="C8592" s="28">
        <v>0.87090000000000001</v>
      </c>
      <c r="D8592" s="28">
        <v>0.12909999999999999</v>
      </c>
      <c r="E8592" s="29" t="s">
        <v>328</v>
      </c>
    </row>
    <row r="8593" spans="1:5" x14ac:dyDescent="0.35">
      <c r="A8593" s="27" t="s">
        <v>228</v>
      </c>
      <c r="B8593" s="27" t="s">
        <v>236</v>
      </c>
      <c r="C8593" s="28">
        <v>1</v>
      </c>
      <c r="D8593" s="29"/>
      <c r="E8593" s="29" t="s">
        <v>314</v>
      </c>
    </row>
    <row r="8594" spans="1:5" x14ac:dyDescent="0.35">
      <c r="A8594" s="27" t="s">
        <v>228</v>
      </c>
      <c r="B8594" s="27" t="s">
        <v>263</v>
      </c>
      <c r="C8594" s="28">
        <v>0.19409999999999999</v>
      </c>
      <c r="D8594" s="28">
        <v>0.80589999999999995</v>
      </c>
      <c r="E8594" s="29" t="s">
        <v>315</v>
      </c>
    </row>
    <row r="8595" spans="1:5" x14ac:dyDescent="0.35">
      <c r="A8595" t="s">
        <v>228</v>
      </c>
      <c r="B8595" t="s">
        <v>260</v>
      </c>
      <c r="C8595" s="26">
        <v>0.7298</v>
      </c>
      <c r="D8595" s="26">
        <v>0.2702</v>
      </c>
      <c r="E8595">
        <v>65</v>
      </c>
    </row>
    <row r="8596" spans="1:5" x14ac:dyDescent="0.35">
      <c r="A8596" s="27" t="s">
        <v>228</v>
      </c>
      <c r="B8596" s="27" t="s">
        <v>261</v>
      </c>
      <c r="C8596" s="28">
        <v>0.89090000000000003</v>
      </c>
      <c r="D8596" s="28">
        <v>0.1091</v>
      </c>
      <c r="E8596" s="29" t="s">
        <v>357</v>
      </c>
    </row>
    <row r="8597" spans="1:5" x14ac:dyDescent="0.35">
      <c r="A8597" t="s">
        <v>229</v>
      </c>
      <c r="B8597" t="s">
        <v>260</v>
      </c>
      <c r="C8597" s="26">
        <v>0.64200000000000002</v>
      </c>
      <c r="D8597" s="26">
        <v>0.35799999999999998</v>
      </c>
      <c r="E8597">
        <v>60</v>
      </c>
    </row>
    <row r="8598" spans="1:5" x14ac:dyDescent="0.35">
      <c r="A8598" s="27" t="s">
        <v>229</v>
      </c>
      <c r="B8598" s="27" t="s">
        <v>262</v>
      </c>
      <c r="C8598" s="28">
        <v>0.90500000000000003</v>
      </c>
      <c r="D8598" s="28">
        <v>9.5000000000000001E-2</v>
      </c>
      <c r="E8598" s="29" t="s">
        <v>338</v>
      </c>
    </row>
    <row r="8599" spans="1:5" x14ac:dyDescent="0.35">
      <c r="A8599" s="27" t="s">
        <v>229</v>
      </c>
      <c r="B8599" s="27" t="s">
        <v>263</v>
      </c>
      <c r="C8599" s="28">
        <v>1</v>
      </c>
      <c r="D8599" s="29"/>
      <c r="E8599" s="29" t="s">
        <v>331</v>
      </c>
    </row>
    <row r="8600" spans="1:5" x14ac:dyDescent="0.35">
      <c r="A8600" s="27" t="s">
        <v>229</v>
      </c>
      <c r="B8600" s="27" t="s">
        <v>261</v>
      </c>
      <c r="C8600" s="28">
        <v>0.4798</v>
      </c>
      <c r="D8600" s="28">
        <v>0.5202</v>
      </c>
      <c r="E8600" s="29" t="s">
        <v>379</v>
      </c>
    </row>
    <row r="8601" spans="1:5" x14ac:dyDescent="0.35">
      <c r="A8601" t="s">
        <v>230</v>
      </c>
      <c r="B8601" t="s">
        <v>260</v>
      </c>
      <c r="C8601" s="26">
        <v>0.54669999999999996</v>
      </c>
      <c r="D8601" s="26">
        <v>0.45329999999999998</v>
      </c>
      <c r="E8601">
        <v>56</v>
      </c>
    </row>
    <row r="8602" spans="1:5" x14ac:dyDescent="0.35">
      <c r="A8602" s="27" t="s">
        <v>230</v>
      </c>
      <c r="B8602" s="27" t="s">
        <v>261</v>
      </c>
      <c r="C8602" s="28">
        <v>0.4289</v>
      </c>
      <c r="D8602" s="28">
        <v>0.57110000000000005</v>
      </c>
      <c r="E8602" s="29" t="s">
        <v>335</v>
      </c>
    </row>
    <row r="8603" spans="1:5" x14ac:dyDescent="0.35">
      <c r="A8603" s="27" t="s">
        <v>230</v>
      </c>
      <c r="B8603" s="27" t="s">
        <v>263</v>
      </c>
      <c r="C8603" s="28">
        <v>1</v>
      </c>
      <c r="D8603" s="29"/>
      <c r="E8603" s="29" t="s">
        <v>314</v>
      </c>
    </row>
    <row r="8604" spans="1:5" x14ac:dyDescent="0.35">
      <c r="A8604" s="27" t="s">
        <v>230</v>
      </c>
      <c r="B8604" s="27" t="s">
        <v>262</v>
      </c>
      <c r="C8604" s="28">
        <v>0.58499999999999996</v>
      </c>
      <c r="D8604" s="28">
        <v>0.41499999999999998</v>
      </c>
      <c r="E8604" s="29" t="s">
        <v>349</v>
      </c>
    </row>
    <row r="8605" spans="1:5" x14ac:dyDescent="0.35">
      <c r="A8605" s="27" t="s">
        <v>231</v>
      </c>
      <c r="B8605" s="27" t="s">
        <v>260</v>
      </c>
      <c r="C8605" s="28">
        <v>0.82350000000000001</v>
      </c>
      <c r="D8605" s="28">
        <v>0.17649999999999999</v>
      </c>
      <c r="E8605" s="29" t="s">
        <v>343</v>
      </c>
    </row>
    <row r="8606" spans="1:5" x14ac:dyDescent="0.35">
      <c r="A8606" s="27" t="s">
        <v>231</v>
      </c>
      <c r="B8606" s="27" t="s">
        <v>261</v>
      </c>
      <c r="C8606" s="28">
        <v>1</v>
      </c>
      <c r="D8606" s="29"/>
      <c r="E8606" s="29" t="s">
        <v>331</v>
      </c>
    </row>
    <row r="8607" spans="1:5" x14ac:dyDescent="0.35">
      <c r="A8607" s="27" t="s">
        <v>231</v>
      </c>
      <c r="B8607" s="27" t="s">
        <v>262</v>
      </c>
      <c r="C8607" s="28">
        <v>1</v>
      </c>
      <c r="D8607" s="29"/>
      <c r="E8607" s="29" t="s">
        <v>331</v>
      </c>
    </row>
    <row r="8608" spans="1:5" x14ac:dyDescent="0.35">
      <c r="A8608" s="27" t="s">
        <v>231</v>
      </c>
      <c r="B8608" s="27" t="s">
        <v>263</v>
      </c>
      <c r="C8608" s="28">
        <v>1</v>
      </c>
      <c r="D8608" s="29"/>
      <c r="E8608" s="29" t="s">
        <v>331</v>
      </c>
    </row>
    <row r="8609" spans="1:5" x14ac:dyDescent="0.35">
      <c r="A8609" t="s">
        <v>232</v>
      </c>
      <c r="B8609" t="s">
        <v>232</v>
      </c>
      <c r="C8609" s="26">
        <v>0.71330000000000005</v>
      </c>
      <c r="D8609" s="26">
        <v>0.28670000000000001</v>
      </c>
      <c r="E8609">
        <v>346</v>
      </c>
    </row>
    <row r="8611" spans="1:5" x14ac:dyDescent="0.35">
      <c r="A8611" s="1" t="s">
        <v>1206</v>
      </c>
    </row>
    <row r="8612" spans="1:5" x14ac:dyDescent="0.35">
      <c r="A8612" t="s">
        <v>219</v>
      </c>
      <c r="B8612" t="s">
        <v>305</v>
      </c>
      <c r="C8612" t="s">
        <v>1197</v>
      </c>
      <c r="D8612" t="s">
        <v>1198</v>
      </c>
      <c r="E8612" t="s">
        <v>226</v>
      </c>
    </row>
    <row r="8613" spans="1:5" x14ac:dyDescent="0.35">
      <c r="A8613" s="27" t="s">
        <v>227</v>
      </c>
      <c r="B8613" s="27" t="s">
        <v>368</v>
      </c>
      <c r="C8613" s="28">
        <v>0.66669999999999996</v>
      </c>
      <c r="D8613" s="28">
        <v>0.33329999999999999</v>
      </c>
      <c r="E8613" s="29" t="s">
        <v>335</v>
      </c>
    </row>
    <row r="8614" spans="1:5" x14ac:dyDescent="0.35">
      <c r="A8614" s="27" t="s">
        <v>227</v>
      </c>
      <c r="B8614" s="27" t="s">
        <v>369</v>
      </c>
      <c r="C8614" s="28">
        <v>0.5625</v>
      </c>
      <c r="D8614" s="28">
        <v>0.4375</v>
      </c>
      <c r="E8614" s="29" t="s">
        <v>348</v>
      </c>
    </row>
    <row r="8615" spans="1:5" x14ac:dyDescent="0.35">
      <c r="A8615" s="27" t="s">
        <v>228</v>
      </c>
      <c r="B8615" s="27" t="s">
        <v>368</v>
      </c>
      <c r="C8615" s="28">
        <v>0.89090000000000003</v>
      </c>
      <c r="D8615" s="28">
        <v>0.1091</v>
      </c>
      <c r="E8615" s="29" t="s">
        <v>357</v>
      </c>
    </row>
    <row r="8616" spans="1:5" x14ac:dyDescent="0.35">
      <c r="A8616" t="s">
        <v>228</v>
      </c>
      <c r="B8616" t="s">
        <v>369</v>
      </c>
      <c r="C8616" s="26">
        <v>0.74950000000000006</v>
      </c>
      <c r="D8616" s="26">
        <v>0.2505</v>
      </c>
      <c r="E8616">
        <v>93</v>
      </c>
    </row>
    <row r="8617" spans="1:5" x14ac:dyDescent="0.35">
      <c r="A8617" s="27" t="s">
        <v>229</v>
      </c>
      <c r="B8617" s="27" t="s">
        <v>368</v>
      </c>
      <c r="C8617" s="28">
        <v>0.4798</v>
      </c>
      <c r="D8617" s="28">
        <v>0.5202</v>
      </c>
      <c r="E8617" s="29" t="s">
        <v>379</v>
      </c>
    </row>
    <row r="8618" spans="1:5" x14ac:dyDescent="0.35">
      <c r="A8618" t="s">
        <v>229</v>
      </c>
      <c r="B8618" t="s">
        <v>369</v>
      </c>
      <c r="C8618" s="26">
        <v>0.73570000000000002</v>
      </c>
      <c r="D8618" s="26">
        <v>0.26429999999999998</v>
      </c>
      <c r="E8618">
        <v>88</v>
      </c>
    </row>
    <row r="8619" spans="1:5" x14ac:dyDescent="0.35">
      <c r="A8619" s="27" t="s">
        <v>230</v>
      </c>
      <c r="B8619" s="27" t="s">
        <v>368</v>
      </c>
      <c r="C8619" s="28">
        <v>0.4289</v>
      </c>
      <c r="D8619" s="28">
        <v>0.57110000000000005</v>
      </c>
      <c r="E8619" s="29" t="s">
        <v>335</v>
      </c>
    </row>
    <row r="8620" spans="1:5" x14ac:dyDescent="0.35">
      <c r="A8620" t="s">
        <v>230</v>
      </c>
      <c r="B8620" t="s">
        <v>369</v>
      </c>
      <c r="C8620" s="26">
        <v>0.55379999999999996</v>
      </c>
      <c r="D8620" s="26">
        <v>0.44619999999999999</v>
      </c>
      <c r="E8620">
        <v>77</v>
      </c>
    </row>
    <row r="8621" spans="1:5" x14ac:dyDescent="0.35">
      <c r="A8621" s="27" t="s">
        <v>231</v>
      </c>
      <c r="B8621" s="27" t="s">
        <v>368</v>
      </c>
      <c r="C8621" s="28">
        <v>1</v>
      </c>
      <c r="D8621" s="29"/>
      <c r="E8621" s="29" t="s">
        <v>331</v>
      </c>
    </row>
    <row r="8622" spans="1:5" x14ac:dyDescent="0.35">
      <c r="A8622" s="27" t="s">
        <v>231</v>
      </c>
      <c r="B8622" s="27" t="s">
        <v>369</v>
      </c>
      <c r="C8622" s="28">
        <v>0.84209999999999996</v>
      </c>
      <c r="D8622" s="28">
        <v>0.15790000000000001</v>
      </c>
      <c r="E8622" s="29" t="s">
        <v>349</v>
      </c>
    </row>
    <row r="8623" spans="1:5" x14ac:dyDescent="0.35">
      <c r="A8623" t="s">
        <v>232</v>
      </c>
      <c r="B8623" t="s">
        <v>232</v>
      </c>
      <c r="C8623" s="26">
        <v>0.71330000000000005</v>
      </c>
      <c r="D8623" s="26">
        <v>0.28670000000000001</v>
      </c>
      <c r="E8623">
        <v>346</v>
      </c>
    </row>
    <row r="8625" spans="1:5" x14ac:dyDescent="0.35">
      <c r="A8625" s="1" t="s">
        <v>1207</v>
      </c>
    </row>
    <row r="8626" spans="1:5" x14ac:dyDescent="0.35">
      <c r="A8626" t="s">
        <v>219</v>
      </c>
      <c r="B8626" t="s">
        <v>305</v>
      </c>
      <c r="C8626" t="s">
        <v>1197</v>
      </c>
      <c r="D8626" t="s">
        <v>1198</v>
      </c>
      <c r="E8626" t="s">
        <v>226</v>
      </c>
    </row>
    <row r="8627" spans="1:5" x14ac:dyDescent="0.35">
      <c r="A8627" s="27" t="s">
        <v>227</v>
      </c>
      <c r="B8627" s="27" t="s">
        <v>371</v>
      </c>
      <c r="C8627" s="28">
        <v>0.59089999999999998</v>
      </c>
      <c r="D8627" s="28">
        <v>0.40910000000000002</v>
      </c>
      <c r="E8627" s="29" t="s">
        <v>347</v>
      </c>
    </row>
    <row r="8628" spans="1:5" x14ac:dyDescent="0.35">
      <c r="A8628" t="s">
        <v>228</v>
      </c>
      <c r="B8628" t="s">
        <v>371</v>
      </c>
      <c r="C8628" s="26">
        <v>0.81899999999999995</v>
      </c>
      <c r="D8628" s="26">
        <v>0.18099999999999999</v>
      </c>
      <c r="E8628">
        <v>35</v>
      </c>
    </row>
    <row r="8629" spans="1:5" x14ac:dyDescent="0.35">
      <c r="A8629" s="27" t="s">
        <v>228</v>
      </c>
      <c r="B8629" s="27" t="s">
        <v>372</v>
      </c>
      <c r="C8629" s="28">
        <v>0.8276</v>
      </c>
      <c r="D8629" s="28">
        <v>0.1724</v>
      </c>
      <c r="E8629" s="29" t="s">
        <v>312</v>
      </c>
    </row>
    <row r="8630" spans="1:5" x14ac:dyDescent="0.35">
      <c r="A8630" t="s">
        <v>228</v>
      </c>
      <c r="B8630" t="s">
        <v>373</v>
      </c>
      <c r="C8630" s="26">
        <v>0.70189999999999997</v>
      </c>
      <c r="D8630" s="26">
        <v>0.29809999999999998</v>
      </c>
      <c r="E8630">
        <v>59</v>
      </c>
    </row>
    <row r="8631" spans="1:5" x14ac:dyDescent="0.35">
      <c r="A8631" t="s">
        <v>229</v>
      </c>
      <c r="B8631" t="s">
        <v>371</v>
      </c>
      <c r="C8631" s="26">
        <v>0.70389999999999997</v>
      </c>
      <c r="D8631" s="26">
        <v>0.29609999999999997</v>
      </c>
      <c r="E8631">
        <v>71</v>
      </c>
    </row>
    <row r="8632" spans="1:5" x14ac:dyDescent="0.35">
      <c r="A8632" s="27" t="s">
        <v>229</v>
      </c>
      <c r="B8632" s="27" t="s">
        <v>372</v>
      </c>
      <c r="C8632" s="28">
        <v>0.54910000000000003</v>
      </c>
      <c r="D8632" s="28">
        <v>0.45090000000000002</v>
      </c>
      <c r="E8632" s="29" t="s">
        <v>310</v>
      </c>
    </row>
    <row r="8633" spans="1:5" x14ac:dyDescent="0.35">
      <c r="A8633" s="27" t="s">
        <v>229</v>
      </c>
      <c r="B8633" s="27" t="s">
        <v>373</v>
      </c>
      <c r="C8633" s="28">
        <v>0.60709999999999997</v>
      </c>
      <c r="D8633" s="28">
        <v>0.39290000000000003</v>
      </c>
      <c r="E8633" s="29" t="s">
        <v>339</v>
      </c>
    </row>
    <row r="8634" spans="1:5" x14ac:dyDescent="0.35">
      <c r="A8634" t="s">
        <v>230</v>
      </c>
      <c r="B8634" t="s">
        <v>371</v>
      </c>
      <c r="C8634" s="26">
        <v>0.54190000000000005</v>
      </c>
      <c r="D8634" s="26">
        <v>0.45810000000000001</v>
      </c>
      <c r="E8634">
        <v>43</v>
      </c>
    </row>
    <row r="8635" spans="1:5" x14ac:dyDescent="0.35">
      <c r="A8635" s="27" t="s">
        <v>230</v>
      </c>
      <c r="B8635" s="27" t="s">
        <v>372</v>
      </c>
      <c r="C8635" s="28">
        <v>0.67959999999999998</v>
      </c>
      <c r="D8635" s="28">
        <v>0.32040000000000002</v>
      </c>
      <c r="E8635" s="29" t="s">
        <v>349</v>
      </c>
    </row>
    <row r="8636" spans="1:5" x14ac:dyDescent="0.35">
      <c r="A8636" s="27" t="s">
        <v>230</v>
      </c>
      <c r="B8636" s="27" t="s">
        <v>373</v>
      </c>
      <c r="C8636" s="28">
        <v>0.47620000000000001</v>
      </c>
      <c r="D8636" s="28">
        <v>0.52380000000000004</v>
      </c>
      <c r="E8636" s="29" t="s">
        <v>351</v>
      </c>
    </row>
    <row r="8637" spans="1:5" x14ac:dyDescent="0.35">
      <c r="A8637" s="27" t="s">
        <v>231</v>
      </c>
      <c r="B8637" s="27" t="s">
        <v>371</v>
      </c>
      <c r="C8637" s="28">
        <v>0.85</v>
      </c>
      <c r="D8637" s="28">
        <v>0.15</v>
      </c>
      <c r="E8637" s="29" t="s">
        <v>350</v>
      </c>
    </row>
    <row r="8638" spans="1:5" x14ac:dyDescent="0.35">
      <c r="A8638" t="s">
        <v>232</v>
      </c>
      <c r="B8638" t="s">
        <v>232</v>
      </c>
      <c r="C8638" s="26">
        <v>0.71330000000000005</v>
      </c>
      <c r="D8638" s="26">
        <v>0.28670000000000001</v>
      </c>
      <c r="E8638">
        <v>346</v>
      </c>
    </row>
    <row r="8640" spans="1:5" x14ac:dyDescent="0.35">
      <c r="A8640" s="1" t="s">
        <v>1208</v>
      </c>
    </row>
    <row r="8641" spans="1:5" x14ac:dyDescent="0.35">
      <c r="A8641" t="s">
        <v>219</v>
      </c>
      <c r="B8641" t="s">
        <v>305</v>
      </c>
      <c r="C8641" t="s">
        <v>1197</v>
      </c>
      <c r="D8641" t="s">
        <v>1198</v>
      </c>
      <c r="E8641" t="s">
        <v>226</v>
      </c>
    </row>
    <row r="8642" spans="1:5" x14ac:dyDescent="0.35">
      <c r="A8642" s="27" t="s">
        <v>227</v>
      </c>
      <c r="B8642" s="27" t="s">
        <v>255</v>
      </c>
      <c r="C8642" s="28">
        <v>0.6875</v>
      </c>
      <c r="D8642" s="28">
        <v>0.3125</v>
      </c>
      <c r="E8642" s="29" t="s">
        <v>348</v>
      </c>
    </row>
    <row r="8643" spans="1:5" x14ac:dyDescent="0.35">
      <c r="A8643" s="27" t="s">
        <v>227</v>
      </c>
      <c r="B8643" s="27" t="s">
        <v>256</v>
      </c>
      <c r="C8643" s="28">
        <v>0.5</v>
      </c>
      <c r="D8643" s="28">
        <v>0.5</v>
      </c>
      <c r="E8643" s="29" t="s">
        <v>337</v>
      </c>
    </row>
    <row r="8644" spans="1:5" x14ac:dyDescent="0.35">
      <c r="A8644" s="27" t="s">
        <v>227</v>
      </c>
      <c r="B8644" s="27" t="s">
        <v>257</v>
      </c>
      <c r="C8644" s="29"/>
      <c r="D8644" s="28">
        <v>1</v>
      </c>
      <c r="E8644" s="29" t="s">
        <v>314</v>
      </c>
    </row>
    <row r="8645" spans="1:5" x14ac:dyDescent="0.35">
      <c r="A8645" s="27" t="s">
        <v>228</v>
      </c>
      <c r="B8645" s="27" t="s">
        <v>256</v>
      </c>
      <c r="C8645" s="28">
        <v>0.89359999999999995</v>
      </c>
      <c r="D8645" s="28">
        <v>0.10639999999999999</v>
      </c>
      <c r="E8645" s="29" t="s">
        <v>350</v>
      </c>
    </row>
    <row r="8646" spans="1:5" x14ac:dyDescent="0.35">
      <c r="A8646" t="s">
        <v>228</v>
      </c>
      <c r="B8646" t="s">
        <v>255</v>
      </c>
      <c r="C8646" s="26">
        <v>0.74660000000000004</v>
      </c>
      <c r="D8646" s="26">
        <v>0.25340000000000001</v>
      </c>
      <c r="E8646">
        <v>86</v>
      </c>
    </row>
    <row r="8647" spans="1:5" x14ac:dyDescent="0.35">
      <c r="A8647" s="27" t="s">
        <v>228</v>
      </c>
      <c r="B8647" s="27" t="s">
        <v>258</v>
      </c>
      <c r="C8647" s="29"/>
      <c r="D8647" s="28">
        <v>1</v>
      </c>
      <c r="E8647" s="29" t="s">
        <v>331</v>
      </c>
    </row>
    <row r="8648" spans="1:5" x14ac:dyDescent="0.35">
      <c r="A8648" s="27" t="s">
        <v>228</v>
      </c>
      <c r="B8648" s="27" t="s">
        <v>257</v>
      </c>
      <c r="C8648" s="28">
        <v>0.9425</v>
      </c>
      <c r="D8648" s="28">
        <v>5.7500000000000002E-2</v>
      </c>
      <c r="E8648" s="29" t="s">
        <v>342</v>
      </c>
    </row>
    <row r="8649" spans="1:5" x14ac:dyDescent="0.35">
      <c r="A8649" t="s">
        <v>229</v>
      </c>
      <c r="B8649" t="s">
        <v>255</v>
      </c>
      <c r="C8649" s="26">
        <v>0.49299999999999999</v>
      </c>
      <c r="D8649" s="26">
        <v>0.50700000000000001</v>
      </c>
      <c r="E8649">
        <v>68</v>
      </c>
    </row>
    <row r="8650" spans="1:5" x14ac:dyDescent="0.35">
      <c r="A8650" s="27" t="s">
        <v>229</v>
      </c>
      <c r="B8650" s="27" t="s">
        <v>258</v>
      </c>
      <c r="C8650" s="29"/>
      <c r="D8650" s="28">
        <v>1</v>
      </c>
      <c r="E8650" s="29" t="s">
        <v>331</v>
      </c>
    </row>
    <row r="8651" spans="1:5" x14ac:dyDescent="0.35">
      <c r="A8651" s="27" t="s">
        <v>229</v>
      </c>
      <c r="B8651" s="27" t="s">
        <v>256</v>
      </c>
      <c r="C8651" s="28">
        <v>0.99750000000000005</v>
      </c>
      <c r="D8651" s="28">
        <v>2.5000000000000001E-3</v>
      </c>
      <c r="E8651" s="29" t="s">
        <v>347</v>
      </c>
    </row>
    <row r="8652" spans="1:5" x14ac:dyDescent="0.35">
      <c r="A8652" s="27" t="s">
        <v>229</v>
      </c>
      <c r="B8652" s="27" t="s">
        <v>257</v>
      </c>
      <c r="C8652" s="28">
        <v>0.96840000000000004</v>
      </c>
      <c r="D8652" s="28">
        <v>3.1600000000000003E-2</v>
      </c>
      <c r="E8652" s="29" t="s">
        <v>352</v>
      </c>
    </row>
    <row r="8653" spans="1:5" x14ac:dyDescent="0.35">
      <c r="A8653" t="s">
        <v>230</v>
      </c>
      <c r="B8653" t="s">
        <v>255</v>
      </c>
      <c r="C8653" s="26">
        <v>0.4612</v>
      </c>
      <c r="D8653" s="26">
        <v>0.53879999999999995</v>
      </c>
      <c r="E8653">
        <v>55</v>
      </c>
    </row>
    <row r="8654" spans="1:5" x14ac:dyDescent="0.35">
      <c r="A8654" s="27" t="s">
        <v>230</v>
      </c>
      <c r="B8654" s="27" t="s">
        <v>256</v>
      </c>
      <c r="C8654" s="28">
        <v>0.61929999999999996</v>
      </c>
      <c r="D8654" s="28">
        <v>0.38069999999999998</v>
      </c>
      <c r="E8654" s="29" t="s">
        <v>353</v>
      </c>
    </row>
    <row r="8655" spans="1:5" x14ac:dyDescent="0.35">
      <c r="A8655" s="27" t="s">
        <v>230</v>
      </c>
      <c r="B8655" s="27" t="s">
        <v>257</v>
      </c>
      <c r="C8655" s="28">
        <v>0.82430000000000003</v>
      </c>
      <c r="D8655" s="28">
        <v>0.1757</v>
      </c>
      <c r="E8655" s="29" t="s">
        <v>307</v>
      </c>
    </row>
    <row r="8656" spans="1:5" x14ac:dyDescent="0.35">
      <c r="A8656" s="27" t="s">
        <v>231</v>
      </c>
      <c r="B8656" s="27" t="s">
        <v>255</v>
      </c>
      <c r="C8656" s="28">
        <v>0.84619999999999995</v>
      </c>
      <c r="D8656" s="28">
        <v>0.15379999999999999</v>
      </c>
      <c r="E8656" s="29" t="s">
        <v>341</v>
      </c>
    </row>
    <row r="8657" spans="1:7" x14ac:dyDescent="0.35">
      <c r="A8657" s="27" t="s">
        <v>231</v>
      </c>
      <c r="B8657" s="27" t="s">
        <v>256</v>
      </c>
      <c r="C8657" s="28">
        <v>0.85709999999999997</v>
      </c>
      <c r="D8657" s="28">
        <v>0.1429</v>
      </c>
      <c r="E8657" s="29" t="s">
        <v>339</v>
      </c>
    </row>
    <row r="8658" spans="1:7" x14ac:dyDescent="0.35">
      <c r="A8658" t="s">
        <v>232</v>
      </c>
      <c r="B8658" t="s">
        <v>232</v>
      </c>
      <c r="C8658" s="26">
        <v>0.71330000000000005</v>
      </c>
      <c r="D8658" s="26">
        <v>0.28670000000000001</v>
      </c>
      <c r="E8658">
        <v>346</v>
      </c>
    </row>
    <row r="8660" spans="1:7" x14ac:dyDescent="0.35">
      <c r="A8660" s="1" t="s">
        <v>1209</v>
      </c>
    </row>
    <row r="8661" spans="1:7" x14ac:dyDescent="0.35">
      <c r="A8661" t="s">
        <v>219</v>
      </c>
      <c r="B8661" t="s">
        <v>302</v>
      </c>
      <c r="C8661" t="s">
        <v>303</v>
      </c>
      <c r="D8661" t="s">
        <v>281</v>
      </c>
      <c r="E8661" t="s">
        <v>286</v>
      </c>
      <c r="F8661" t="s">
        <v>226</v>
      </c>
    </row>
    <row r="8662" spans="1:7" x14ac:dyDescent="0.35">
      <c r="A8662" t="s">
        <v>227</v>
      </c>
      <c r="B8662" s="26">
        <v>0.83850000000000002</v>
      </c>
      <c r="C8662" s="26">
        <v>0.15529999999999999</v>
      </c>
      <c r="E8662" s="26">
        <v>6.1999999999999998E-3</v>
      </c>
      <c r="F8662">
        <v>161</v>
      </c>
    </row>
    <row r="8663" spans="1:7" x14ac:dyDescent="0.35">
      <c r="A8663" t="s">
        <v>228</v>
      </c>
      <c r="B8663" s="26">
        <v>0.8044</v>
      </c>
      <c r="C8663" s="26">
        <v>0.1908</v>
      </c>
      <c r="D8663" s="26">
        <v>4.0000000000000001E-3</v>
      </c>
      <c r="E8663" s="26">
        <v>8.0000000000000004E-4</v>
      </c>
      <c r="F8663">
        <v>1033</v>
      </c>
    </row>
    <row r="8664" spans="1:7" x14ac:dyDescent="0.35">
      <c r="A8664" t="s">
        <v>229</v>
      </c>
      <c r="B8664" s="26">
        <v>0.79390000000000005</v>
      </c>
      <c r="C8664" s="26">
        <v>0.2049</v>
      </c>
      <c r="D8664" s="26">
        <v>2.9999999999999997E-4</v>
      </c>
      <c r="E8664" s="26">
        <v>8.0000000000000004E-4</v>
      </c>
      <c r="F8664">
        <v>895</v>
      </c>
    </row>
    <row r="8665" spans="1:7" x14ac:dyDescent="0.35">
      <c r="A8665" t="s">
        <v>230</v>
      </c>
      <c r="B8665" s="26">
        <v>0.78739999999999999</v>
      </c>
      <c r="C8665" s="26">
        <v>0.21260000000000001</v>
      </c>
      <c r="F8665">
        <v>560</v>
      </c>
    </row>
    <row r="8666" spans="1:7" x14ac:dyDescent="0.35">
      <c r="A8666" t="s">
        <v>231</v>
      </c>
      <c r="B8666" s="26">
        <v>0.81100000000000005</v>
      </c>
      <c r="C8666" s="26">
        <v>0.18290000000000001</v>
      </c>
      <c r="D8666" s="26">
        <v>6.1000000000000004E-3</v>
      </c>
      <c r="F8666">
        <v>164</v>
      </c>
    </row>
    <row r="8667" spans="1:7" x14ac:dyDescent="0.35">
      <c r="A8667" t="s">
        <v>232</v>
      </c>
      <c r="B8667" s="26">
        <v>0.80669999999999997</v>
      </c>
      <c r="C8667" s="26">
        <v>0.18940000000000001</v>
      </c>
      <c r="D8667" s="26">
        <v>2.5000000000000001E-3</v>
      </c>
      <c r="E8667" s="26">
        <v>1.2999999999999999E-3</v>
      </c>
      <c r="F8667">
        <v>2813</v>
      </c>
    </row>
    <row r="8669" spans="1:7" x14ac:dyDescent="0.35">
      <c r="A8669" s="1" t="s">
        <v>1210</v>
      </c>
    </row>
    <row r="8670" spans="1:7" x14ac:dyDescent="0.35">
      <c r="A8670" t="s">
        <v>219</v>
      </c>
      <c r="B8670" t="s">
        <v>305</v>
      </c>
      <c r="C8670" t="s">
        <v>302</v>
      </c>
      <c r="D8670" t="s">
        <v>303</v>
      </c>
      <c r="E8670" t="s">
        <v>281</v>
      </c>
      <c r="F8670" t="s">
        <v>286</v>
      </c>
      <c r="G8670" t="s">
        <v>226</v>
      </c>
    </row>
    <row r="8671" spans="1:7" x14ac:dyDescent="0.35">
      <c r="A8671" t="s">
        <v>227</v>
      </c>
      <c r="B8671" t="s">
        <v>242</v>
      </c>
      <c r="C8671" s="26">
        <v>0.89710000000000001</v>
      </c>
      <c r="D8671" s="26">
        <v>0.10290000000000001</v>
      </c>
      <c r="G8671">
        <v>68</v>
      </c>
    </row>
    <row r="8672" spans="1:7" x14ac:dyDescent="0.35">
      <c r="A8672" t="s">
        <v>227</v>
      </c>
      <c r="B8672" t="s">
        <v>241</v>
      </c>
      <c r="C8672" s="26">
        <v>0.79569999999999996</v>
      </c>
      <c r="D8672" s="26">
        <v>0.19350000000000001</v>
      </c>
      <c r="F8672" s="26">
        <v>1.0800000000000001E-2</v>
      </c>
      <c r="G8672">
        <v>93</v>
      </c>
    </row>
    <row r="8673" spans="1:7" x14ac:dyDescent="0.35">
      <c r="A8673" t="s">
        <v>228</v>
      </c>
      <c r="B8673" t="s">
        <v>242</v>
      </c>
      <c r="C8673" s="26">
        <v>0.79139999999999999</v>
      </c>
      <c r="D8673" s="26">
        <v>0.20519999999999999</v>
      </c>
      <c r="E8673" s="26">
        <v>1.1000000000000001E-3</v>
      </c>
      <c r="F8673" s="26">
        <v>2.3E-3</v>
      </c>
      <c r="G8673">
        <v>402</v>
      </c>
    </row>
    <row r="8674" spans="1:7" x14ac:dyDescent="0.35">
      <c r="A8674" t="s">
        <v>228</v>
      </c>
      <c r="B8674" t="s">
        <v>241</v>
      </c>
      <c r="C8674" s="26">
        <v>0.81179999999999997</v>
      </c>
      <c r="D8674" s="26">
        <v>0.18260000000000001</v>
      </c>
      <c r="E8674" s="26">
        <v>5.5999999999999999E-3</v>
      </c>
      <c r="G8674">
        <v>631</v>
      </c>
    </row>
    <row r="8675" spans="1:7" x14ac:dyDescent="0.35">
      <c r="A8675" t="s">
        <v>229</v>
      </c>
      <c r="B8675" t="s">
        <v>242</v>
      </c>
      <c r="C8675" s="26">
        <v>0.78459999999999996</v>
      </c>
      <c r="D8675" s="26">
        <v>0.215</v>
      </c>
      <c r="E8675" s="26">
        <v>4.0000000000000002E-4</v>
      </c>
      <c r="G8675">
        <v>292</v>
      </c>
    </row>
    <row r="8676" spans="1:7" x14ac:dyDescent="0.35">
      <c r="A8676" t="s">
        <v>229</v>
      </c>
      <c r="B8676" t="s">
        <v>241</v>
      </c>
      <c r="C8676" s="26">
        <v>0.79990000000000006</v>
      </c>
      <c r="D8676" s="26">
        <v>0.19850000000000001</v>
      </c>
      <c r="E8676" s="26">
        <v>2.9999999999999997E-4</v>
      </c>
      <c r="F8676" s="26">
        <v>1.4E-3</v>
      </c>
      <c r="G8676">
        <v>603</v>
      </c>
    </row>
    <row r="8677" spans="1:7" x14ac:dyDescent="0.35">
      <c r="A8677" t="s">
        <v>230</v>
      </c>
      <c r="B8677" t="s">
        <v>242</v>
      </c>
      <c r="C8677" s="26">
        <v>0.79810000000000003</v>
      </c>
      <c r="D8677" s="26">
        <v>0.2019</v>
      </c>
      <c r="G8677">
        <v>189</v>
      </c>
    </row>
    <row r="8678" spans="1:7" x14ac:dyDescent="0.35">
      <c r="A8678" t="s">
        <v>230</v>
      </c>
      <c r="B8678" t="s">
        <v>241</v>
      </c>
      <c r="C8678" s="26">
        <v>0.78190000000000004</v>
      </c>
      <c r="D8678" s="26">
        <v>0.21809999999999999</v>
      </c>
      <c r="G8678">
        <v>371</v>
      </c>
    </row>
    <row r="8679" spans="1:7" x14ac:dyDescent="0.35">
      <c r="A8679" t="s">
        <v>231</v>
      </c>
      <c r="B8679" t="s">
        <v>242</v>
      </c>
      <c r="C8679" s="26">
        <v>0.81479999999999997</v>
      </c>
      <c r="D8679" s="26">
        <v>0.1852</v>
      </c>
      <c r="G8679">
        <v>54</v>
      </c>
    </row>
    <row r="8680" spans="1:7" x14ac:dyDescent="0.35">
      <c r="A8680" t="s">
        <v>231</v>
      </c>
      <c r="B8680" t="s">
        <v>241</v>
      </c>
      <c r="C8680" s="26">
        <v>0.80910000000000004</v>
      </c>
      <c r="D8680" s="26">
        <v>0.18179999999999999</v>
      </c>
      <c r="E8680" s="26">
        <v>9.1000000000000004E-3</v>
      </c>
      <c r="G8680">
        <v>110</v>
      </c>
    </row>
    <row r="8681" spans="1:7" x14ac:dyDescent="0.35">
      <c r="A8681" t="s">
        <v>232</v>
      </c>
      <c r="B8681" t="s">
        <v>232</v>
      </c>
      <c r="C8681" s="26">
        <v>0.80669999999999997</v>
      </c>
      <c r="D8681" s="26">
        <v>0.18940000000000001</v>
      </c>
      <c r="E8681" s="26">
        <v>2.5000000000000001E-3</v>
      </c>
      <c r="F8681" s="26">
        <v>1.2999999999999999E-3</v>
      </c>
      <c r="G8681">
        <v>2813</v>
      </c>
    </row>
    <row r="8683" spans="1:7" x14ac:dyDescent="0.35">
      <c r="A8683" s="1" t="s">
        <v>1211</v>
      </c>
    </row>
    <row r="8684" spans="1:7" x14ac:dyDescent="0.35">
      <c r="A8684" t="s">
        <v>219</v>
      </c>
      <c r="B8684" t="s">
        <v>305</v>
      </c>
      <c r="C8684" t="s">
        <v>302</v>
      </c>
      <c r="D8684" t="s">
        <v>303</v>
      </c>
      <c r="E8684" t="s">
        <v>281</v>
      </c>
      <c r="F8684" t="s">
        <v>286</v>
      </c>
      <c r="G8684" t="s">
        <v>226</v>
      </c>
    </row>
    <row r="8685" spans="1:7" x14ac:dyDescent="0.35">
      <c r="A8685" t="s">
        <v>227</v>
      </c>
      <c r="B8685" t="s">
        <v>239</v>
      </c>
      <c r="C8685" s="26">
        <v>0.7903</v>
      </c>
      <c r="D8685" s="26">
        <v>0.2097</v>
      </c>
      <c r="G8685">
        <v>62</v>
      </c>
    </row>
    <row r="8686" spans="1:7" x14ac:dyDescent="0.35">
      <c r="A8686" t="s">
        <v>227</v>
      </c>
      <c r="B8686" t="s">
        <v>238</v>
      </c>
      <c r="C8686" s="26">
        <v>0.86870000000000003</v>
      </c>
      <c r="D8686" s="26">
        <v>0.1212</v>
      </c>
      <c r="F8686" s="26">
        <v>1.01E-2</v>
      </c>
      <c r="G8686">
        <v>99</v>
      </c>
    </row>
    <row r="8687" spans="1:7" x14ac:dyDescent="0.35">
      <c r="A8687" t="s">
        <v>228</v>
      </c>
      <c r="B8687" t="s">
        <v>239</v>
      </c>
      <c r="C8687" s="26">
        <v>0.84699999999999998</v>
      </c>
      <c r="D8687" s="26">
        <v>0.153</v>
      </c>
      <c r="G8687">
        <v>330</v>
      </c>
    </row>
    <row r="8688" spans="1:7" x14ac:dyDescent="0.35">
      <c r="A8688" t="s">
        <v>228</v>
      </c>
      <c r="B8688" t="s">
        <v>238</v>
      </c>
      <c r="C8688" s="26">
        <v>0.79330000000000001</v>
      </c>
      <c r="D8688" s="26">
        <v>0.2006</v>
      </c>
      <c r="E8688" s="26">
        <v>5.0000000000000001E-3</v>
      </c>
      <c r="F8688" s="26">
        <v>1E-3</v>
      </c>
      <c r="G8688">
        <v>703</v>
      </c>
    </row>
    <row r="8689" spans="1:7" x14ac:dyDescent="0.35">
      <c r="A8689" t="s">
        <v>229</v>
      </c>
      <c r="B8689" t="s">
        <v>239</v>
      </c>
      <c r="C8689" s="26">
        <v>0.7591</v>
      </c>
      <c r="D8689" s="26">
        <v>0.2389</v>
      </c>
      <c r="E8689" s="26">
        <v>6.9999999999999999E-4</v>
      </c>
      <c r="F8689" s="26">
        <v>1.2999999999999999E-3</v>
      </c>
      <c r="G8689">
        <v>332</v>
      </c>
    </row>
    <row r="8690" spans="1:7" x14ac:dyDescent="0.35">
      <c r="A8690" t="s">
        <v>229</v>
      </c>
      <c r="B8690" t="s">
        <v>238</v>
      </c>
      <c r="C8690" s="26">
        <v>0.80579999999999996</v>
      </c>
      <c r="D8690" s="26">
        <v>0.1933</v>
      </c>
      <c r="E8690" s="26">
        <v>2.0000000000000001E-4</v>
      </c>
      <c r="F8690" s="26">
        <v>6.9999999999999999E-4</v>
      </c>
      <c r="G8690">
        <v>563</v>
      </c>
    </row>
    <row r="8691" spans="1:7" x14ac:dyDescent="0.35">
      <c r="A8691" t="s">
        <v>230</v>
      </c>
      <c r="B8691" t="s">
        <v>239</v>
      </c>
      <c r="C8691" s="26">
        <v>0.77910000000000001</v>
      </c>
      <c r="D8691" s="26">
        <v>0.22090000000000001</v>
      </c>
      <c r="G8691">
        <v>211</v>
      </c>
    </row>
    <row r="8692" spans="1:7" x14ac:dyDescent="0.35">
      <c r="A8692" t="s">
        <v>230</v>
      </c>
      <c r="B8692" t="s">
        <v>238</v>
      </c>
      <c r="C8692" s="26">
        <v>0.79090000000000005</v>
      </c>
      <c r="D8692" s="26">
        <v>0.20910000000000001</v>
      </c>
      <c r="G8692">
        <v>349</v>
      </c>
    </row>
    <row r="8693" spans="1:7" x14ac:dyDescent="0.35">
      <c r="A8693" t="s">
        <v>231</v>
      </c>
      <c r="B8693" t="s">
        <v>239</v>
      </c>
      <c r="C8693" s="26">
        <v>0.73680000000000001</v>
      </c>
      <c r="D8693" s="26">
        <v>0.26319999999999999</v>
      </c>
      <c r="G8693">
        <v>57</v>
      </c>
    </row>
    <row r="8694" spans="1:7" x14ac:dyDescent="0.35">
      <c r="A8694" t="s">
        <v>231</v>
      </c>
      <c r="B8694" t="s">
        <v>238</v>
      </c>
      <c r="C8694" s="26">
        <v>0.85050000000000003</v>
      </c>
      <c r="D8694" s="26">
        <v>0.14019999999999999</v>
      </c>
      <c r="E8694" s="26">
        <v>9.2999999999999992E-3</v>
      </c>
      <c r="G8694">
        <v>107</v>
      </c>
    </row>
    <row r="8695" spans="1:7" x14ac:dyDescent="0.35">
      <c r="A8695" t="s">
        <v>232</v>
      </c>
      <c r="B8695" t="s">
        <v>232</v>
      </c>
      <c r="C8695" s="26">
        <v>0.80669999999999997</v>
      </c>
      <c r="D8695" s="26">
        <v>0.18940000000000001</v>
      </c>
      <c r="E8695" s="26">
        <v>2.5000000000000001E-3</v>
      </c>
      <c r="F8695" s="26">
        <v>1.2999999999999999E-3</v>
      </c>
      <c r="G8695">
        <v>2813</v>
      </c>
    </row>
    <row r="8697" spans="1:7" x14ac:dyDescent="0.35">
      <c r="A8697" s="1" t="s">
        <v>1212</v>
      </c>
    </row>
    <row r="8698" spans="1:7" x14ac:dyDescent="0.35">
      <c r="A8698" t="s">
        <v>219</v>
      </c>
      <c r="B8698" t="s">
        <v>305</v>
      </c>
      <c r="C8698" t="s">
        <v>302</v>
      </c>
      <c r="D8698" t="s">
        <v>303</v>
      </c>
      <c r="E8698" t="s">
        <v>281</v>
      </c>
      <c r="F8698" t="s">
        <v>286</v>
      </c>
      <c r="G8698" t="s">
        <v>226</v>
      </c>
    </row>
    <row r="8699" spans="1:7" x14ac:dyDescent="0.35">
      <c r="A8699" t="s">
        <v>227</v>
      </c>
      <c r="B8699" t="s">
        <v>244</v>
      </c>
      <c r="C8699" s="26">
        <v>0.84379999999999999</v>
      </c>
      <c r="D8699" s="26">
        <v>0.15620000000000001</v>
      </c>
      <c r="G8699">
        <v>96</v>
      </c>
    </row>
    <row r="8700" spans="1:7" x14ac:dyDescent="0.35">
      <c r="A8700" t="s">
        <v>227</v>
      </c>
      <c r="B8700" t="s">
        <v>245</v>
      </c>
      <c r="C8700" s="26">
        <v>0.83020000000000005</v>
      </c>
      <c r="D8700" s="26">
        <v>0.15090000000000001</v>
      </c>
      <c r="F8700" s="26">
        <v>1.89E-2</v>
      </c>
      <c r="G8700">
        <v>53</v>
      </c>
    </row>
    <row r="8701" spans="1:7" x14ac:dyDescent="0.35">
      <c r="A8701" s="27" t="s">
        <v>227</v>
      </c>
      <c r="B8701" s="27" t="s">
        <v>246</v>
      </c>
      <c r="C8701" s="28">
        <v>0.83330000000000004</v>
      </c>
      <c r="D8701" s="28">
        <v>0.16669999999999999</v>
      </c>
      <c r="E8701" s="29"/>
      <c r="F8701" s="29"/>
      <c r="G8701" s="29" t="s">
        <v>342</v>
      </c>
    </row>
    <row r="8702" spans="1:7" x14ac:dyDescent="0.35">
      <c r="A8702" t="s">
        <v>228</v>
      </c>
      <c r="B8702" t="s">
        <v>244</v>
      </c>
      <c r="C8702" s="26">
        <v>0.81179999999999997</v>
      </c>
      <c r="D8702" s="26">
        <v>0.18090000000000001</v>
      </c>
      <c r="E8702" s="26">
        <v>6.1000000000000004E-3</v>
      </c>
      <c r="F8702" s="26">
        <v>1.2999999999999999E-3</v>
      </c>
      <c r="G8702">
        <v>638</v>
      </c>
    </row>
    <row r="8703" spans="1:7" x14ac:dyDescent="0.35">
      <c r="A8703" t="s">
        <v>228</v>
      </c>
      <c r="B8703" t="s">
        <v>245</v>
      </c>
      <c r="C8703" s="26">
        <v>0.81769999999999998</v>
      </c>
      <c r="D8703" s="26">
        <v>0.18229999999999999</v>
      </c>
      <c r="G8703">
        <v>328</v>
      </c>
    </row>
    <row r="8704" spans="1:7" x14ac:dyDescent="0.35">
      <c r="A8704" t="s">
        <v>228</v>
      </c>
      <c r="B8704" t="s">
        <v>246</v>
      </c>
      <c r="C8704" s="26">
        <v>0.67969999999999997</v>
      </c>
      <c r="D8704" s="26">
        <v>0.32029999999999997</v>
      </c>
      <c r="G8704">
        <v>67</v>
      </c>
    </row>
    <row r="8705" spans="1:7" x14ac:dyDescent="0.35">
      <c r="A8705" t="s">
        <v>229</v>
      </c>
      <c r="B8705" t="s">
        <v>244</v>
      </c>
      <c r="C8705" s="26">
        <v>0.79020000000000001</v>
      </c>
      <c r="D8705" s="26">
        <v>0.20810000000000001</v>
      </c>
      <c r="E8705" s="26">
        <v>5.0000000000000001E-4</v>
      </c>
      <c r="F8705" s="26">
        <v>1.1999999999999999E-3</v>
      </c>
      <c r="G8705">
        <v>557</v>
      </c>
    </row>
    <row r="8706" spans="1:7" x14ac:dyDescent="0.35">
      <c r="A8706" t="s">
        <v>229</v>
      </c>
      <c r="B8706" t="s">
        <v>245</v>
      </c>
      <c r="C8706" s="26">
        <v>0.84279999999999999</v>
      </c>
      <c r="D8706" s="26">
        <v>0.15720000000000001</v>
      </c>
      <c r="G8706">
        <v>293</v>
      </c>
    </row>
    <row r="8707" spans="1:7" x14ac:dyDescent="0.35">
      <c r="A8707" t="s">
        <v>229</v>
      </c>
      <c r="B8707" t="s">
        <v>246</v>
      </c>
      <c r="C8707" s="26">
        <v>0.60940000000000005</v>
      </c>
      <c r="D8707" s="26">
        <v>0.3906</v>
      </c>
      <c r="G8707">
        <v>45</v>
      </c>
    </row>
    <row r="8708" spans="1:7" x14ac:dyDescent="0.35">
      <c r="A8708" t="s">
        <v>230</v>
      </c>
      <c r="B8708" t="s">
        <v>244</v>
      </c>
      <c r="C8708" s="26">
        <v>0.7833</v>
      </c>
      <c r="D8708" s="26">
        <v>0.2167</v>
      </c>
      <c r="G8708">
        <v>370</v>
      </c>
    </row>
    <row r="8709" spans="1:7" x14ac:dyDescent="0.35">
      <c r="A8709" t="s">
        <v>230</v>
      </c>
      <c r="B8709" t="s">
        <v>245</v>
      </c>
      <c r="C8709" s="26">
        <v>0.84230000000000005</v>
      </c>
      <c r="D8709" s="26">
        <v>0.15770000000000001</v>
      </c>
      <c r="G8709">
        <v>161</v>
      </c>
    </row>
    <row r="8710" spans="1:7" x14ac:dyDescent="0.35">
      <c r="A8710" s="27" t="s">
        <v>230</v>
      </c>
      <c r="B8710" s="27" t="s">
        <v>246</v>
      </c>
      <c r="C8710" s="28">
        <v>0.55259999999999998</v>
      </c>
      <c r="D8710" s="28">
        <v>0.44740000000000002</v>
      </c>
      <c r="E8710" s="29"/>
      <c r="F8710" s="29"/>
      <c r="G8710" s="29" t="s">
        <v>329</v>
      </c>
    </row>
    <row r="8711" spans="1:7" x14ac:dyDescent="0.35">
      <c r="A8711" t="s">
        <v>231</v>
      </c>
      <c r="B8711" t="s">
        <v>244</v>
      </c>
      <c r="C8711" s="26">
        <v>0.82110000000000005</v>
      </c>
      <c r="D8711" s="26">
        <v>0.16839999999999999</v>
      </c>
      <c r="E8711" s="26">
        <v>1.0500000000000001E-2</v>
      </c>
      <c r="G8711">
        <v>95</v>
      </c>
    </row>
    <row r="8712" spans="1:7" x14ac:dyDescent="0.35">
      <c r="A8712" t="s">
        <v>231</v>
      </c>
      <c r="B8712" t="s">
        <v>245</v>
      </c>
      <c r="C8712" s="26">
        <v>0.85709999999999997</v>
      </c>
      <c r="D8712" s="26">
        <v>0.1429</v>
      </c>
      <c r="G8712">
        <v>56</v>
      </c>
    </row>
    <row r="8713" spans="1:7" x14ac:dyDescent="0.35">
      <c r="A8713" s="27" t="s">
        <v>231</v>
      </c>
      <c r="B8713" s="27" t="s">
        <v>246</v>
      </c>
      <c r="C8713" s="28">
        <v>0.53849999999999998</v>
      </c>
      <c r="D8713" s="28">
        <v>0.46150000000000002</v>
      </c>
      <c r="E8713" s="29"/>
      <c r="F8713" s="29"/>
      <c r="G8713" s="29" t="s">
        <v>341</v>
      </c>
    </row>
    <row r="8714" spans="1:7" x14ac:dyDescent="0.35">
      <c r="A8714" t="s">
        <v>232</v>
      </c>
      <c r="B8714" t="s">
        <v>232</v>
      </c>
      <c r="C8714" s="26">
        <v>0.80669999999999997</v>
      </c>
      <c r="D8714" s="26">
        <v>0.18940000000000001</v>
      </c>
      <c r="E8714" s="26">
        <v>2.5000000000000001E-3</v>
      </c>
      <c r="F8714" s="26">
        <v>1.2999999999999999E-3</v>
      </c>
      <c r="G8714">
        <v>2813</v>
      </c>
    </row>
    <row r="8716" spans="1:7" x14ac:dyDescent="0.35">
      <c r="A8716" s="1" t="s">
        <v>1213</v>
      </c>
    </row>
    <row r="8717" spans="1:7" x14ac:dyDescent="0.35">
      <c r="A8717" t="s">
        <v>219</v>
      </c>
      <c r="B8717" t="s">
        <v>305</v>
      </c>
      <c r="C8717" t="s">
        <v>302</v>
      </c>
      <c r="D8717" t="s">
        <v>303</v>
      </c>
      <c r="E8717" t="s">
        <v>281</v>
      </c>
      <c r="F8717" t="s">
        <v>286</v>
      </c>
      <c r="G8717" t="s">
        <v>226</v>
      </c>
    </row>
    <row r="8718" spans="1:7" x14ac:dyDescent="0.35">
      <c r="A8718" t="s">
        <v>227</v>
      </c>
      <c r="B8718" t="s">
        <v>360</v>
      </c>
      <c r="C8718" s="26">
        <v>0.87180000000000002</v>
      </c>
      <c r="D8718" s="26">
        <v>0.12820000000000001</v>
      </c>
      <c r="G8718">
        <v>39</v>
      </c>
    </row>
    <row r="8719" spans="1:7" x14ac:dyDescent="0.35">
      <c r="A8719" t="s">
        <v>227</v>
      </c>
      <c r="B8719" t="s">
        <v>361</v>
      </c>
      <c r="C8719" s="26">
        <v>0.78120000000000001</v>
      </c>
      <c r="D8719" s="26">
        <v>0.1875</v>
      </c>
      <c r="F8719" s="26">
        <v>3.1199999999999999E-2</v>
      </c>
      <c r="G8719">
        <v>32</v>
      </c>
    </row>
    <row r="8720" spans="1:7" x14ac:dyDescent="0.35">
      <c r="A8720" t="s">
        <v>227</v>
      </c>
      <c r="B8720" t="s">
        <v>362</v>
      </c>
      <c r="C8720" s="26">
        <v>0.91890000000000005</v>
      </c>
      <c r="D8720" s="26">
        <v>8.1100000000000005E-2</v>
      </c>
      <c r="G8720">
        <v>37</v>
      </c>
    </row>
    <row r="8721" spans="1:7" x14ac:dyDescent="0.35">
      <c r="A8721" t="s">
        <v>227</v>
      </c>
      <c r="B8721" t="s">
        <v>363</v>
      </c>
      <c r="C8721" s="26">
        <v>0.8</v>
      </c>
      <c r="D8721" s="26">
        <v>0.2</v>
      </c>
      <c r="G8721">
        <v>45</v>
      </c>
    </row>
    <row r="8722" spans="1:7" x14ac:dyDescent="0.35">
      <c r="A8722" t="s">
        <v>228</v>
      </c>
      <c r="B8722" t="s">
        <v>360</v>
      </c>
      <c r="C8722" s="26">
        <v>0.79949999999999999</v>
      </c>
      <c r="D8722" s="26">
        <v>0.1963</v>
      </c>
      <c r="F8722" s="26">
        <v>4.1999999999999997E-3</v>
      </c>
      <c r="G8722">
        <v>258</v>
      </c>
    </row>
    <row r="8723" spans="1:7" x14ac:dyDescent="0.35">
      <c r="A8723" t="s">
        <v>228</v>
      </c>
      <c r="B8723" t="s">
        <v>361</v>
      </c>
      <c r="C8723" s="26">
        <v>0.73509999999999998</v>
      </c>
      <c r="D8723" s="26">
        <v>0.25109999999999999</v>
      </c>
      <c r="E8723" s="26">
        <v>1.38E-2</v>
      </c>
      <c r="G8723">
        <v>194</v>
      </c>
    </row>
    <row r="8724" spans="1:7" x14ac:dyDescent="0.35">
      <c r="A8724" t="s">
        <v>228</v>
      </c>
      <c r="B8724" t="s">
        <v>363</v>
      </c>
      <c r="C8724" s="26">
        <v>0.78</v>
      </c>
      <c r="D8724" s="26">
        <v>0.22</v>
      </c>
      <c r="G8724">
        <v>212</v>
      </c>
    </row>
    <row r="8725" spans="1:7" x14ac:dyDescent="0.35">
      <c r="A8725" t="s">
        <v>228</v>
      </c>
      <c r="B8725" t="s">
        <v>362</v>
      </c>
      <c r="C8725" s="26">
        <v>0.86570000000000003</v>
      </c>
      <c r="D8725" s="26">
        <v>0.13250000000000001</v>
      </c>
      <c r="E8725" s="26">
        <v>1.8E-3</v>
      </c>
      <c r="G8725">
        <v>236</v>
      </c>
    </row>
    <row r="8726" spans="1:7" x14ac:dyDescent="0.35">
      <c r="A8726" t="s">
        <v>229</v>
      </c>
      <c r="B8726" t="s">
        <v>363</v>
      </c>
      <c r="C8726" s="26">
        <v>0.8256</v>
      </c>
      <c r="D8726" s="26">
        <v>0.17349999999999999</v>
      </c>
      <c r="F8726" s="26">
        <v>8.9999999999999998E-4</v>
      </c>
      <c r="G8726">
        <v>191</v>
      </c>
    </row>
    <row r="8727" spans="1:7" x14ac:dyDescent="0.35">
      <c r="A8727" t="s">
        <v>229</v>
      </c>
      <c r="B8727" t="s">
        <v>360</v>
      </c>
      <c r="C8727" s="26">
        <v>0.79630000000000001</v>
      </c>
      <c r="D8727" s="26">
        <v>0.20369999999999999</v>
      </c>
      <c r="G8727">
        <v>164</v>
      </c>
    </row>
    <row r="8728" spans="1:7" x14ac:dyDescent="0.35">
      <c r="A8728" t="s">
        <v>229</v>
      </c>
      <c r="B8728" t="s">
        <v>361</v>
      </c>
      <c r="C8728" s="26">
        <v>0.75339999999999996</v>
      </c>
      <c r="D8728" s="26">
        <v>0.24660000000000001</v>
      </c>
      <c r="G8728">
        <v>243</v>
      </c>
    </row>
    <row r="8729" spans="1:7" x14ac:dyDescent="0.35">
      <c r="A8729" t="s">
        <v>229</v>
      </c>
      <c r="B8729" t="s">
        <v>362</v>
      </c>
      <c r="C8729" s="26">
        <v>0.82720000000000005</v>
      </c>
      <c r="D8729" s="26">
        <v>0.16969999999999999</v>
      </c>
      <c r="E8729" s="26">
        <v>1E-3</v>
      </c>
      <c r="F8729" s="26">
        <v>2E-3</v>
      </c>
      <c r="G8729">
        <v>171</v>
      </c>
    </row>
    <row r="8730" spans="1:7" x14ac:dyDescent="0.35">
      <c r="A8730" t="s">
        <v>230</v>
      </c>
      <c r="B8730" t="s">
        <v>360</v>
      </c>
      <c r="C8730" s="26">
        <v>0.79300000000000004</v>
      </c>
      <c r="D8730" s="26">
        <v>0.20699999999999999</v>
      </c>
      <c r="G8730">
        <v>120</v>
      </c>
    </row>
    <row r="8731" spans="1:7" x14ac:dyDescent="0.35">
      <c r="A8731" t="s">
        <v>230</v>
      </c>
      <c r="B8731" t="s">
        <v>363</v>
      </c>
      <c r="C8731" s="26">
        <v>0.77980000000000005</v>
      </c>
      <c r="D8731" s="26">
        <v>0.22020000000000001</v>
      </c>
      <c r="G8731">
        <v>127</v>
      </c>
    </row>
    <row r="8732" spans="1:7" x14ac:dyDescent="0.35">
      <c r="A8732" t="s">
        <v>230</v>
      </c>
      <c r="B8732" t="s">
        <v>361</v>
      </c>
      <c r="C8732" s="26">
        <v>0.73280000000000001</v>
      </c>
      <c r="D8732" s="26">
        <v>0.26719999999999999</v>
      </c>
      <c r="G8732">
        <v>109</v>
      </c>
    </row>
    <row r="8733" spans="1:7" x14ac:dyDescent="0.35">
      <c r="A8733" t="s">
        <v>230</v>
      </c>
      <c r="B8733" t="s">
        <v>362</v>
      </c>
      <c r="C8733" s="26">
        <v>0.82509999999999994</v>
      </c>
      <c r="D8733" s="26">
        <v>0.1749</v>
      </c>
      <c r="G8733">
        <v>148</v>
      </c>
    </row>
    <row r="8734" spans="1:7" x14ac:dyDescent="0.35">
      <c r="A8734" s="27" t="s">
        <v>231</v>
      </c>
      <c r="B8734" s="27" t="s">
        <v>362</v>
      </c>
      <c r="C8734" s="28">
        <v>0.89659999999999995</v>
      </c>
      <c r="D8734" s="28">
        <v>0.10340000000000001</v>
      </c>
      <c r="E8734" s="29"/>
      <c r="F8734" s="29"/>
      <c r="G8734" s="29" t="s">
        <v>329</v>
      </c>
    </row>
    <row r="8735" spans="1:7" x14ac:dyDescent="0.35">
      <c r="A8735" t="s">
        <v>231</v>
      </c>
      <c r="B8735" t="s">
        <v>361</v>
      </c>
      <c r="C8735" s="26">
        <v>0.84</v>
      </c>
      <c r="D8735" s="26">
        <v>0.16</v>
      </c>
      <c r="G8735">
        <v>50</v>
      </c>
    </row>
    <row r="8736" spans="1:7" x14ac:dyDescent="0.35">
      <c r="A8736" t="s">
        <v>231</v>
      </c>
      <c r="B8736" t="s">
        <v>360</v>
      </c>
      <c r="C8736" s="26">
        <v>0.72729999999999995</v>
      </c>
      <c r="D8736" s="26">
        <v>0.25</v>
      </c>
      <c r="E8736" s="26">
        <v>2.2700000000000001E-2</v>
      </c>
      <c r="G8736">
        <v>44</v>
      </c>
    </row>
    <row r="8737" spans="1:7" x14ac:dyDescent="0.35">
      <c r="A8737" s="27" t="s">
        <v>231</v>
      </c>
      <c r="B8737" s="27" t="s">
        <v>363</v>
      </c>
      <c r="C8737" s="28">
        <v>0.74070000000000003</v>
      </c>
      <c r="D8737" s="28">
        <v>0.25929999999999997</v>
      </c>
      <c r="E8737" s="29"/>
      <c r="F8737" s="29"/>
      <c r="G8737" s="29" t="s">
        <v>338</v>
      </c>
    </row>
    <row r="8738" spans="1:7" x14ac:dyDescent="0.35">
      <c r="A8738" t="s">
        <v>232</v>
      </c>
      <c r="B8738" t="s">
        <v>232</v>
      </c>
      <c r="C8738" s="26">
        <v>0.80669999999999997</v>
      </c>
      <c r="D8738" s="26">
        <v>0.18940000000000001</v>
      </c>
      <c r="E8738" s="26">
        <v>2.5000000000000001E-3</v>
      </c>
      <c r="F8738" s="26">
        <v>1.2999999999999999E-3</v>
      </c>
      <c r="G8738">
        <v>2476</v>
      </c>
    </row>
    <row r="8740" spans="1:7" x14ac:dyDescent="0.35">
      <c r="A8740" s="1" t="s">
        <v>1214</v>
      </c>
    </row>
    <row r="8741" spans="1:7" x14ac:dyDescent="0.35">
      <c r="A8741" t="s">
        <v>219</v>
      </c>
      <c r="B8741" t="s">
        <v>305</v>
      </c>
      <c r="C8741" t="s">
        <v>302</v>
      </c>
      <c r="D8741" t="s">
        <v>303</v>
      </c>
      <c r="E8741" t="s">
        <v>281</v>
      </c>
      <c r="F8741" t="s">
        <v>286</v>
      </c>
      <c r="G8741" t="s">
        <v>226</v>
      </c>
    </row>
    <row r="8742" spans="1:7" x14ac:dyDescent="0.35">
      <c r="A8742" t="s">
        <v>227</v>
      </c>
      <c r="B8742" t="s">
        <v>267</v>
      </c>
      <c r="C8742" s="26">
        <v>0.77780000000000005</v>
      </c>
      <c r="D8742" s="26">
        <v>0.22220000000000001</v>
      </c>
      <c r="G8742">
        <v>36</v>
      </c>
    </row>
    <row r="8743" spans="1:7" x14ac:dyDescent="0.35">
      <c r="A8743" t="s">
        <v>227</v>
      </c>
      <c r="B8743" t="s">
        <v>266</v>
      </c>
      <c r="C8743" s="26">
        <v>0.88139999999999996</v>
      </c>
      <c r="D8743" s="26">
        <v>0.1017</v>
      </c>
      <c r="F8743" s="26">
        <v>1.6899999999999998E-2</v>
      </c>
      <c r="G8743">
        <v>59</v>
      </c>
    </row>
    <row r="8744" spans="1:7" x14ac:dyDescent="0.35">
      <c r="A8744" t="s">
        <v>227</v>
      </c>
      <c r="B8744" t="s">
        <v>265</v>
      </c>
      <c r="C8744" s="26">
        <v>0.83330000000000004</v>
      </c>
      <c r="D8744" s="26">
        <v>0.16669999999999999</v>
      </c>
      <c r="G8744">
        <v>66</v>
      </c>
    </row>
    <row r="8745" spans="1:7" x14ac:dyDescent="0.35">
      <c r="A8745" t="s">
        <v>228</v>
      </c>
      <c r="B8745" t="s">
        <v>267</v>
      </c>
      <c r="C8745" s="26">
        <v>0.85009999999999997</v>
      </c>
      <c r="D8745" s="26">
        <v>0.14990000000000001</v>
      </c>
      <c r="G8745">
        <v>199</v>
      </c>
    </row>
    <row r="8746" spans="1:7" x14ac:dyDescent="0.35">
      <c r="A8746" t="s">
        <v>228</v>
      </c>
      <c r="B8746" t="s">
        <v>265</v>
      </c>
      <c r="C8746" s="26">
        <v>0.78539999999999999</v>
      </c>
      <c r="D8746" s="26">
        <v>0.20649999999999999</v>
      </c>
      <c r="E8746" s="26">
        <v>8.0000000000000002E-3</v>
      </c>
      <c r="G8746">
        <v>384</v>
      </c>
    </row>
    <row r="8747" spans="1:7" x14ac:dyDescent="0.35">
      <c r="A8747" s="27" t="s">
        <v>228</v>
      </c>
      <c r="B8747" s="27" t="s">
        <v>236</v>
      </c>
      <c r="C8747" s="28">
        <v>0.5</v>
      </c>
      <c r="D8747" s="28">
        <v>0.5</v>
      </c>
      <c r="E8747" s="29"/>
      <c r="F8747" s="29"/>
      <c r="G8747" s="29" t="s">
        <v>314</v>
      </c>
    </row>
    <row r="8748" spans="1:7" x14ac:dyDescent="0.35">
      <c r="A8748" t="s">
        <v>228</v>
      </c>
      <c r="B8748" t="s">
        <v>266</v>
      </c>
      <c r="C8748" s="26">
        <v>0.80959999999999999</v>
      </c>
      <c r="D8748" s="26">
        <v>0.18679999999999999</v>
      </c>
      <c r="E8748" s="26">
        <v>1.6000000000000001E-3</v>
      </c>
      <c r="F8748" s="26">
        <v>2E-3</v>
      </c>
      <c r="G8748">
        <v>448</v>
      </c>
    </row>
    <row r="8749" spans="1:7" x14ac:dyDescent="0.35">
      <c r="A8749" t="s">
        <v>229</v>
      </c>
      <c r="B8749" t="s">
        <v>266</v>
      </c>
      <c r="C8749" s="26">
        <v>0.78249999999999997</v>
      </c>
      <c r="D8749" s="26">
        <v>0.217</v>
      </c>
      <c r="E8749" s="26">
        <v>5.0000000000000001E-4</v>
      </c>
      <c r="G8749">
        <v>359</v>
      </c>
    </row>
    <row r="8750" spans="1:7" x14ac:dyDescent="0.35">
      <c r="A8750" t="s">
        <v>229</v>
      </c>
      <c r="B8750" t="s">
        <v>267</v>
      </c>
      <c r="C8750" s="26">
        <v>0.79649999999999999</v>
      </c>
      <c r="D8750" s="26">
        <v>0.20130000000000001</v>
      </c>
      <c r="E8750" s="26">
        <v>8.0000000000000004E-4</v>
      </c>
      <c r="F8750" s="26">
        <v>1.5E-3</v>
      </c>
      <c r="G8750">
        <v>201</v>
      </c>
    </row>
    <row r="8751" spans="1:7" x14ac:dyDescent="0.35">
      <c r="A8751" t="s">
        <v>229</v>
      </c>
      <c r="B8751" t="s">
        <v>265</v>
      </c>
      <c r="C8751" s="26">
        <v>0.80100000000000005</v>
      </c>
      <c r="D8751" s="26">
        <v>0.19789999999999999</v>
      </c>
      <c r="F8751" s="26">
        <v>1.1000000000000001E-3</v>
      </c>
      <c r="G8751">
        <v>335</v>
      </c>
    </row>
    <row r="8752" spans="1:7" x14ac:dyDescent="0.35">
      <c r="A8752" t="s">
        <v>230</v>
      </c>
      <c r="B8752" t="s">
        <v>267</v>
      </c>
      <c r="C8752" s="26">
        <v>0.76359999999999995</v>
      </c>
      <c r="D8752" s="26">
        <v>0.2364</v>
      </c>
      <c r="G8752">
        <v>119</v>
      </c>
    </row>
    <row r="8753" spans="1:7" x14ac:dyDescent="0.35">
      <c r="A8753" t="s">
        <v>230</v>
      </c>
      <c r="B8753" t="s">
        <v>266</v>
      </c>
      <c r="C8753" s="26">
        <v>0.82650000000000001</v>
      </c>
      <c r="D8753" s="26">
        <v>0.17349999999999999</v>
      </c>
      <c r="G8753">
        <v>232</v>
      </c>
    </row>
    <row r="8754" spans="1:7" x14ac:dyDescent="0.35">
      <c r="A8754" t="s">
        <v>230</v>
      </c>
      <c r="B8754" t="s">
        <v>265</v>
      </c>
      <c r="C8754" s="26">
        <v>0.76600000000000001</v>
      </c>
      <c r="D8754" s="26">
        <v>0.23400000000000001</v>
      </c>
      <c r="G8754">
        <v>209</v>
      </c>
    </row>
    <row r="8755" spans="1:7" x14ac:dyDescent="0.35">
      <c r="A8755" t="s">
        <v>231</v>
      </c>
      <c r="B8755" t="s">
        <v>267</v>
      </c>
      <c r="C8755" s="26">
        <v>0.82350000000000001</v>
      </c>
      <c r="D8755" s="26">
        <v>0.17649999999999999</v>
      </c>
      <c r="G8755">
        <v>34</v>
      </c>
    </row>
    <row r="8756" spans="1:7" x14ac:dyDescent="0.35">
      <c r="A8756" t="s">
        <v>231</v>
      </c>
      <c r="B8756" t="s">
        <v>266</v>
      </c>
      <c r="C8756" s="26">
        <v>0.8387</v>
      </c>
      <c r="D8756" s="26">
        <v>0.1613</v>
      </c>
      <c r="G8756">
        <v>62</v>
      </c>
    </row>
    <row r="8757" spans="1:7" x14ac:dyDescent="0.35">
      <c r="A8757" t="s">
        <v>231</v>
      </c>
      <c r="B8757" t="s">
        <v>265</v>
      </c>
      <c r="C8757" s="26">
        <v>0.77939999999999998</v>
      </c>
      <c r="D8757" s="26">
        <v>0.2059</v>
      </c>
      <c r="E8757" s="26">
        <v>1.47E-2</v>
      </c>
      <c r="G8757">
        <v>68</v>
      </c>
    </row>
    <row r="8758" spans="1:7" x14ac:dyDescent="0.35">
      <c r="A8758" t="s">
        <v>232</v>
      </c>
      <c r="B8758" t="s">
        <v>232</v>
      </c>
      <c r="C8758" s="26">
        <v>0.80669999999999997</v>
      </c>
      <c r="D8758" s="26">
        <v>0.18940000000000001</v>
      </c>
      <c r="E8758" s="26">
        <v>2.5000000000000001E-3</v>
      </c>
      <c r="F8758" s="26">
        <v>1.2999999999999999E-3</v>
      </c>
      <c r="G8758">
        <v>2813</v>
      </c>
    </row>
    <row r="8760" spans="1:7" x14ac:dyDescent="0.35">
      <c r="A8760" s="1" t="s">
        <v>1215</v>
      </c>
    </row>
    <row r="8761" spans="1:7" x14ac:dyDescent="0.35">
      <c r="A8761" t="s">
        <v>219</v>
      </c>
      <c r="B8761" t="s">
        <v>305</v>
      </c>
      <c r="C8761" t="s">
        <v>302</v>
      </c>
      <c r="D8761" t="s">
        <v>303</v>
      </c>
      <c r="E8761" t="s">
        <v>281</v>
      </c>
      <c r="F8761" t="s">
        <v>286</v>
      </c>
      <c r="G8761" t="s">
        <v>226</v>
      </c>
    </row>
    <row r="8762" spans="1:7" x14ac:dyDescent="0.35">
      <c r="A8762" t="s">
        <v>227</v>
      </c>
      <c r="B8762" t="s">
        <v>252</v>
      </c>
      <c r="C8762" s="26">
        <v>0.91110000000000002</v>
      </c>
      <c r="D8762" s="26">
        <v>8.8900000000000007E-2</v>
      </c>
      <c r="G8762">
        <v>45</v>
      </c>
    </row>
    <row r="8763" spans="1:7" x14ac:dyDescent="0.35">
      <c r="A8763" t="s">
        <v>227</v>
      </c>
      <c r="B8763" t="s">
        <v>253</v>
      </c>
      <c r="C8763" s="26">
        <v>0.85289999999999999</v>
      </c>
      <c r="D8763" s="26">
        <v>0.14710000000000001</v>
      </c>
      <c r="G8763">
        <v>34</v>
      </c>
    </row>
    <row r="8764" spans="1:7" x14ac:dyDescent="0.35">
      <c r="A8764" t="s">
        <v>227</v>
      </c>
      <c r="B8764" t="s">
        <v>251</v>
      </c>
      <c r="C8764" s="26">
        <v>0.79269999999999996</v>
      </c>
      <c r="D8764" s="26">
        <v>0.1951</v>
      </c>
      <c r="F8764" s="26">
        <v>1.2200000000000001E-2</v>
      </c>
      <c r="G8764">
        <v>82</v>
      </c>
    </row>
    <row r="8765" spans="1:7" x14ac:dyDescent="0.35">
      <c r="A8765" t="s">
        <v>228</v>
      </c>
      <c r="B8765" t="s">
        <v>252</v>
      </c>
      <c r="C8765" s="26">
        <v>0.88980000000000004</v>
      </c>
      <c r="D8765" s="26">
        <v>0.11020000000000001</v>
      </c>
      <c r="G8765">
        <v>344</v>
      </c>
    </row>
    <row r="8766" spans="1:7" x14ac:dyDescent="0.35">
      <c r="A8766" t="s">
        <v>228</v>
      </c>
      <c r="B8766" t="s">
        <v>253</v>
      </c>
      <c r="C8766" s="26">
        <v>0.83230000000000004</v>
      </c>
      <c r="D8766" s="26">
        <v>0.16569999999999999</v>
      </c>
      <c r="E8766" s="26">
        <v>2E-3</v>
      </c>
      <c r="G8766">
        <v>222</v>
      </c>
    </row>
    <row r="8767" spans="1:7" x14ac:dyDescent="0.35">
      <c r="A8767" t="s">
        <v>228</v>
      </c>
      <c r="B8767" t="s">
        <v>251</v>
      </c>
      <c r="C8767" s="26">
        <v>0.7349</v>
      </c>
      <c r="D8767" s="26">
        <v>0.25590000000000002</v>
      </c>
      <c r="E8767" s="26">
        <v>7.4999999999999997E-3</v>
      </c>
      <c r="F8767" s="26">
        <v>1.6999999999999999E-3</v>
      </c>
      <c r="G8767">
        <v>467</v>
      </c>
    </row>
    <row r="8768" spans="1:7" x14ac:dyDescent="0.35">
      <c r="A8768" t="s">
        <v>229</v>
      </c>
      <c r="B8768" t="s">
        <v>252</v>
      </c>
      <c r="C8768" s="26">
        <v>0.91959999999999997</v>
      </c>
      <c r="D8768" s="26">
        <v>8.0399999999999999E-2</v>
      </c>
      <c r="G8768">
        <v>199</v>
      </c>
    </row>
    <row r="8769" spans="1:7" x14ac:dyDescent="0.35">
      <c r="A8769" t="s">
        <v>229</v>
      </c>
      <c r="B8769" t="s">
        <v>253</v>
      </c>
      <c r="C8769" s="26">
        <v>0.74229999999999996</v>
      </c>
      <c r="D8769" s="26">
        <v>0.25590000000000002</v>
      </c>
      <c r="F8769" s="26">
        <v>1.6999999999999999E-3</v>
      </c>
      <c r="G8769">
        <v>145</v>
      </c>
    </row>
    <row r="8770" spans="1:7" x14ac:dyDescent="0.35">
      <c r="A8770" t="s">
        <v>229</v>
      </c>
      <c r="B8770" t="s">
        <v>251</v>
      </c>
      <c r="C8770" s="26">
        <v>0.76249999999999996</v>
      </c>
      <c r="D8770" s="26">
        <v>0.23599999999999999</v>
      </c>
      <c r="E8770" s="26">
        <v>5.9999999999999995E-4</v>
      </c>
      <c r="F8770" s="26">
        <v>8.0000000000000004E-4</v>
      </c>
      <c r="G8770">
        <v>551</v>
      </c>
    </row>
    <row r="8771" spans="1:7" x14ac:dyDescent="0.35">
      <c r="A8771" t="s">
        <v>230</v>
      </c>
      <c r="B8771" t="s">
        <v>252</v>
      </c>
      <c r="C8771" s="26">
        <v>0.9042</v>
      </c>
      <c r="D8771" s="26">
        <v>9.5799999999999996E-2</v>
      </c>
      <c r="G8771">
        <v>159</v>
      </c>
    </row>
    <row r="8772" spans="1:7" x14ac:dyDescent="0.35">
      <c r="A8772" t="s">
        <v>230</v>
      </c>
      <c r="B8772" t="s">
        <v>253</v>
      </c>
      <c r="C8772" s="26">
        <v>0.77039999999999997</v>
      </c>
      <c r="D8772" s="26">
        <v>0.2296</v>
      </c>
      <c r="G8772">
        <v>110</v>
      </c>
    </row>
    <row r="8773" spans="1:7" x14ac:dyDescent="0.35">
      <c r="A8773" t="s">
        <v>230</v>
      </c>
      <c r="B8773" t="s">
        <v>251</v>
      </c>
      <c r="C8773" s="26">
        <v>0.73929999999999996</v>
      </c>
      <c r="D8773" s="26">
        <v>0.26069999999999999</v>
      </c>
      <c r="G8773">
        <v>291</v>
      </c>
    </row>
    <row r="8774" spans="1:7" x14ac:dyDescent="0.35">
      <c r="A8774" t="s">
        <v>231</v>
      </c>
      <c r="B8774" t="s">
        <v>252</v>
      </c>
      <c r="C8774" s="26">
        <v>0.91839999999999999</v>
      </c>
      <c r="D8774" s="26">
        <v>8.1600000000000006E-2</v>
      </c>
      <c r="G8774">
        <v>49</v>
      </c>
    </row>
    <row r="8775" spans="1:7" x14ac:dyDescent="0.35">
      <c r="A8775" t="s">
        <v>231</v>
      </c>
      <c r="B8775" t="s">
        <v>253</v>
      </c>
      <c r="C8775" s="26">
        <v>0.9</v>
      </c>
      <c r="D8775" s="26">
        <v>0.1</v>
      </c>
      <c r="G8775">
        <v>30</v>
      </c>
    </row>
    <row r="8776" spans="1:7" x14ac:dyDescent="0.35">
      <c r="A8776" t="s">
        <v>231</v>
      </c>
      <c r="B8776" t="s">
        <v>251</v>
      </c>
      <c r="C8776" s="26">
        <v>0.71760000000000002</v>
      </c>
      <c r="D8776" s="26">
        <v>0.27060000000000001</v>
      </c>
      <c r="E8776" s="26">
        <v>1.18E-2</v>
      </c>
      <c r="G8776">
        <v>85</v>
      </c>
    </row>
    <row r="8777" spans="1:7" x14ac:dyDescent="0.35">
      <c r="A8777" t="s">
        <v>232</v>
      </c>
      <c r="B8777" t="s">
        <v>232</v>
      </c>
      <c r="C8777" s="26">
        <v>0.80669999999999997</v>
      </c>
      <c r="D8777" s="26">
        <v>0.18940000000000001</v>
      </c>
      <c r="E8777" s="26">
        <v>2.5000000000000001E-3</v>
      </c>
      <c r="F8777" s="26">
        <v>1.2999999999999999E-3</v>
      </c>
      <c r="G8777">
        <v>2813</v>
      </c>
    </row>
    <row r="8779" spans="1:7" x14ac:dyDescent="0.35">
      <c r="A8779" s="1" t="s">
        <v>1216</v>
      </c>
    </row>
    <row r="8780" spans="1:7" x14ac:dyDescent="0.35">
      <c r="A8780" t="s">
        <v>219</v>
      </c>
      <c r="B8780" t="s">
        <v>305</v>
      </c>
      <c r="C8780" t="s">
        <v>302</v>
      </c>
      <c r="D8780" t="s">
        <v>303</v>
      </c>
      <c r="E8780" t="s">
        <v>281</v>
      </c>
      <c r="F8780" t="s">
        <v>286</v>
      </c>
      <c r="G8780" t="s">
        <v>226</v>
      </c>
    </row>
    <row r="8781" spans="1:7" x14ac:dyDescent="0.35">
      <c r="A8781" t="s">
        <v>227</v>
      </c>
      <c r="B8781" t="s">
        <v>249</v>
      </c>
      <c r="C8781" s="26">
        <v>0.72729999999999995</v>
      </c>
      <c r="D8781" s="26">
        <v>0.2727</v>
      </c>
      <c r="G8781">
        <v>44</v>
      </c>
    </row>
    <row r="8782" spans="1:7" x14ac:dyDescent="0.35">
      <c r="A8782" t="s">
        <v>227</v>
      </c>
      <c r="B8782" t="s">
        <v>248</v>
      </c>
      <c r="C8782" s="26">
        <v>0.88029999999999997</v>
      </c>
      <c r="D8782" s="26">
        <v>0.1111</v>
      </c>
      <c r="F8782" s="26">
        <v>8.5000000000000006E-3</v>
      </c>
      <c r="G8782">
        <v>117</v>
      </c>
    </row>
    <row r="8783" spans="1:7" x14ac:dyDescent="0.35">
      <c r="A8783" t="s">
        <v>228</v>
      </c>
      <c r="B8783" t="s">
        <v>249</v>
      </c>
      <c r="C8783" s="26">
        <v>0.70079999999999998</v>
      </c>
      <c r="D8783" s="26">
        <v>0.29570000000000002</v>
      </c>
      <c r="E8783" s="26">
        <v>8.0000000000000004E-4</v>
      </c>
      <c r="F8783" s="26">
        <v>2.8E-3</v>
      </c>
      <c r="G8783">
        <v>274</v>
      </c>
    </row>
    <row r="8784" spans="1:7" x14ac:dyDescent="0.35">
      <c r="A8784" t="s">
        <v>228</v>
      </c>
      <c r="B8784" t="s">
        <v>248</v>
      </c>
      <c r="C8784" s="26">
        <v>0.84860000000000002</v>
      </c>
      <c r="D8784" s="26">
        <v>0.14610000000000001</v>
      </c>
      <c r="E8784" s="26">
        <v>5.3E-3</v>
      </c>
      <c r="G8784">
        <v>759</v>
      </c>
    </row>
    <row r="8785" spans="1:7" x14ac:dyDescent="0.35">
      <c r="A8785" t="s">
        <v>229</v>
      </c>
      <c r="B8785" t="s">
        <v>249</v>
      </c>
      <c r="C8785" s="26">
        <v>0.70340000000000003</v>
      </c>
      <c r="D8785" s="26">
        <v>0.29609999999999997</v>
      </c>
      <c r="F8785" s="26">
        <v>5.0000000000000001E-4</v>
      </c>
      <c r="G8785">
        <v>259</v>
      </c>
    </row>
    <row r="8786" spans="1:7" x14ac:dyDescent="0.35">
      <c r="A8786" t="s">
        <v>229</v>
      </c>
      <c r="B8786" t="s">
        <v>248</v>
      </c>
      <c r="C8786" s="26">
        <v>0.83819999999999995</v>
      </c>
      <c r="D8786" s="26">
        <v>0.1603</v>
      </c>
      <c r="E8786" s="26">
        <v>5.0000000000000001E-4</v>
      </c>
      <c r="F8786" s="26">
        <v>1E-3</v>
      </c>
      <c r="G8786">
        <v>636</v>
      </c>
    </row>
    <row r="8787" spans="1:7" x14ac:dyDescent="0.35">
      <c r="A8787" t="s">
        <v>230</v>
      </c>
      <c r="B8787" t="s">
        <v>249</v>
      </c>
      <c r="C8787" s="26">
        <v>0.70099999999999996</v>
      </c>
      <c r="D8787" s="26">
        <v>0.29899999999999999</v>
      </c>
      <c r="G8787">
        <v>171</v>
      </c>
    </row>
    <row r="8788" spans="1:7" x14ac:dyDescent="0.35">
      <c r="A8788" t="s">
        <v>230</v>
      </c>
      <c r="B8788" t="s">
        <v>248</v>
      </c>
      <c r="C8788" s="26">
        <v>0.83130000000000004</v>
      </c>
      <c r="D8788" s="26">
        <v>0.16869999999999999</v>
      </c>
      <c r="G8788">
        <v>389</v>
      </c>
    </row>
    <row r="8789" spans="1:7" x14ac:dyDescent="0.35">
      <c r="A8789" t="s">
        <v>231</v>
      </c>
      <c r="B8789" t="s">
        <v>249</v>
      </c>
      <c r="C8789" s="26">
        <v>0.68569999999999998</v>
      </c>
      <c r="D8789" s="26">
        <v>0.31430000000000002</v>
      </c>
      <c r="G8789">
        <v>35</v>
      </c>
    </row>
    <row r="8790" spans="1:7" x14ac:dyDescent="0.35">
      <c r="A8790" t="s">
        <v>231</v>
      </c>
      <c r="B8790" t="s">
        <v>248</v>
      </c>
      <c r="C8790" s="26">
        <v>0.84499999999999997</v>
      </c>
      <c r="D8790" s="26">
        <v>0.14729999999999999</v>
      </c>
      <c r="E8790" s="26">
        <v>7.7999999999999996E-3</v>
      </c>
      <c r="G8790">
        <v>129</v>
      </c>
    </row>
    <row r="8791" spans="1:7" x14ac:dyDescent="0.35">
      <c r="A8791" t="s">
        <v>232</v>
      </c>
      <c r="B8791" t="s">
        <v>232</v>
      </c>
      <c r="C8791" s="26">
        <v>0.80669999999999997</v>
      </c>
      <c r="D8791" s="26">
        <v>0.18940000000000001</v>
      </c>
      <c r="E8791" s="26">
        <v>2.5000000000000001E-3</v>
      </c>
      <c r="F8791" s="26">
        <v>1.2999999999999999E-3</v>
      </c>
      <c r="G8791">
        <v>2813</v>
      </c>
    </row>
    <row r="8793" spans="1:7" x14ac:dyDescent="0.35">
      <c r="A8793" s="1" t="s">
        <v>1217</v>
      </c>
    </row>
    <row r="8794" spans="1:7" x14ac:dyDescent="0.35">
      <c r="A8794" t="s">
        <v>219</v>
      </c>
      <c r="B8794" t="s">
        <v>305</v>
      </c>
      <c r="C8794" t="s">
        <v>302</v>
      </c>
      <c r="D8794" t="s">
        <v>303</v>
      </c>
      <c r="E8794" t="s">
        <v>281</v>
      </c>
      <c r="F8794" t="s">
        <v>286</v>
      </c>
      <c r="G8794" t="s">
        <v>226</v>
      </c>
    </row>
    <row r="8795" spans="1:7" x14ac:dyDescent="0.35">
      <c r="A8795" s="27" t="s">
        <v>227</v>
      </c>
      <c r="B8795" s="27" t="s">
        <v>263</v>
      </c>
      <c r="C8795" s="28">
        <v>0.66669999999999996</v>
      </c>
      <c r="D8795" s="28">
        <v>0.33329999999999999</v>
      </c>
      <c r="E8795" s="29"/>
      <c r="F8795" s="29"/>
      <c r="G8795" s="29" t="s">
        <v>315</v>
      </c>
    </row>
    <row r="8796" spans="1:7" x14ac:dyDescent="0.35">
      <c r="A8796" t="s">
        <v>227</v>
      </c>
      <c r="B8796" t="s">
        <v>261</v>
      </c>
      <c r="C8796" s="26">
        <v>0.87880000000000003</v>
      </c>
      <c r="D8796" s="26">
        <v>0.1212</v>
      </c>
      <c r="G8796">
        <v>33</v>
      </c>
    </row>
    <row r="8797" spans="1:7" x14ac:dyDescent="0.35">
      <c r="A8797" s="27" t="s">
        <v>227</v>
      </c>
      <c r="B8797" s="27" t="s">
        <v>262</v>
      </c>
      <c r="C8797" s="28">
        <v>1</v>
      </c>
      <c r="D8797" s="29"/>
      <c r="E8797" s="29"/>
      <c r="F8797" s="29"/>
      <c r="G8797" s="29" t="s">
        <v>315</v>
      </c>
    </row>
    <row r="8798" spans="1:7" x14ac:dyDescent="0.35">
      <c r="A8798" t="s">
        <v>227</v>
      </c>
      <c r="B8798" t="s">
        <v>260</v>
      </c>
      <c r="C8798" s="26">
        <v>0.82789999999999997</v>
      </c>
      <c r="D8798" s="26">
        <v>0.16389999999999999</v>
      </c>
      <c r="F8798" s="26">
        <v>8.2000000000000007E-3</v>
      </c>
      <c r="G8798">
        <v>122</v>
      </c>
    </row>
    <row r="8799" spans="1:7" x14ac:dyDescent="0.35">
      <c r="A8799" t="s">
        <v>228</v>
      </c>
      <c r="B8799" t="s">
        <v>261</v>
      </c>
      <c r="C8799" s="26">
        <v>0.79990000000000006</v>
      </c>
      <c r="D8799" s="26">
        <v>0.2001</v>
      </c>
      <c r="G8799">
        <v>192</v>
      </c>
    </row>
    <row r="8800" spans="1:7" x14ac:dyDescent="0.35">
      <c r="A8800" s="27" t="s">
        <v>228</v>
      </c>
      <c r="B8800" s="27" t="s">
        <v>263</v>
      </c>
      <c r="C8800" s="28">
        <v>0.67600000000000005</v>
      </c>
      <c r="D8800" s="28">
        <v>0.32400000000000001</v>
      </c>
      <c r="E8800" s="29"/>
      <c r="F8800" s="29"/>
      <c r="G8800" s="29" t="s">
        <v>312</v>
      </c>
    </row>
    <row r="8801" spans="1:7" x14ac:dyDescent="0.35">
      <c r="A8801" s="27" t="s">
        <v>228</v>
      </c>
      <c r="B8801" s="27" t="s">
        <v>236</v>
      </c>
      <c r="C8801" s="28">
        <v>0.82730000000000004</v>
      </c>
      <c r="D8801" s="29"/>
      <c r="E8801" s="28">
        <v>3.9E-2</v>
      </c>
      <c r="F8801" s="28">
        <v>0.13370000000000001</v>
      </c>
      <c r="G8801" s="29" t="s">
        <v>335</v>
      </c>
    </row>
    <row r="8802" spans="1:7" x14ac:dyDescent="0.35">
      <c r="A8802" t="s">
        <v>228</v>
      </c>
      <c r="B8802" t="s">
        <v>262</v>
      </c>
      <c r="C8802" s="26">
        <v>0.75939999999999996</v>
      </c>
      <c r="D8802" s="26">
        <v>0.23810000000000001</v>
      </c>
      <c r="E8802" s="26">
        <v>2.5000000000000001E-3</v>
      </c>
      <c r="G8802">
        <v>201</v>
      </c>
    </row>
    <row r="8803" spans="1:7" x14ac:dyDescent="0.35">
      <c r="A8803" t="s">
        <v>228</v>
      </c>
      <c r="B8803" t="s">
        <v>260</v>
      </c>
      <c r="C8803" s="26">
        <v>0.8216</v>
      </c>
      <c r="D8803" s="26">
        <v>0.17299999999999999</v>
      </c>
      <c r="E8803" s="26">
        <v>5.4000000000000003E-3</v>
      </c>
      <c r="G8803">
        <v>609</v>
      </c>
    </row>
    <row r="8804" spans="1:7" x14ac:dyDescent="0.35">
      <c r="A8804" s="27" t="s">
        <v>229</v>
      </c>
      <c r="B8804" s="27" t="s">
        <v>263</v>
      </c>
      <c r="C8804" s="28">
        <v>0.79259999999999997</v>
      </c>
      <c r="D8804" s="28">
        <v>0.2074</v>
      </c>
      <c r="E8804" s="29"/>
      <c r="F8804" s="29"/>
      <c r="G8804" s="29" t="s">
        <v>379</v>
      </c>
    </row>
    <row r="8805" spans="1:7" x14ac:dyDescent="0.35">
      <c r="A8805" t="s">
        <v>229</v>
      </c>
      <c r="B8805" t="s">
        <v>262</v>
      </c>
      <c r="C8805" s="26">
        <v>0.751</v>
      </c>
      <c r="D8805" s="26">
        <v>0.24779999999999999</v>
      </c>
      <c r="F8805" s="26">
        <v>1.1999999999999999E-3</v>
      </c>
      <c r="G8805">
        <v>188</v>
      </c>
    </row>
    <row r="8806" spans="1:7" x14ac:dyDescent="0.35">
      <c r="A8806" t="s">
        <v>229</v>
      </c>
      <c r="B8806" t="s">
        <v>261</v>
      </c>
      <c r="C8806" s="26">
        <v>0.75980000000000003</v>
      </c>
      <c r="D8806" s="26">
        <v>0.2402</v>
      </c>
      <c r="G8806">
        <v>96</v>
      </c>
    </row>
    <row r="8807" spans="1:7" x14ac:dyDescent="0.35">
      <c r="A8807" s="27" t="s">
        <v>229</v>
      </c>
      <c r="B8807" s="27" t="s">
        <v>236</v>
      </c>
      <c r="C8807" s="28">
        <v>1</v>
      </c>
      <c r="D8807" s="29"/>
      <c r="E8807" s="29"/>
      <c r="F8807" s="29"/>
      <c r="G8807" s="29" t="s">
        <v>331</v>
      </c>
    </row>
    <row r="8808" spans="1:7" x14ac:dyDescent="0.35">
      <c r="A8808" t="s">
        <v>229</v>
      </c>
      <c r="B8808" t="s">
        <v>260</v>
      </c>
      <c r="C8808" s="26">
        <v>0.82469999999999999</v>
      </c>
      <c r="D8808" s="26">
        <v>0.17369999999999999</v>
      </c>
      <c r="E8808" s="26">
        <v>5.9999999999999995E-4</v>
      </c>
      <c r="F8808" s="26">
        <v>8.9999999999999998E-4</v>
      </c>
      <c r="G8808">
        <v>596</v>
      </c>
    </row>
    <row r="8809" spans="1:7" x14ac:dyDescent="0.35">
      <c r="A8809" s="27" t="s">
        <v>230</v>
      </c>
      <c r="B8809" s="27" t="s">
        <v>236</v>
      </c>
      <c r="C8809" s="28">
        <v>1</v>
      </c>
      <c r="D8809" s="29"/>
      <c r="E8809" s="29"/>
      <c r="F8809" s="29"/>
      <c r="G8809" s="29" t="s">
        <v>337</v>
      </c>
    </row>
    <row r="8810" spans="1:7" x14ac:dyDescent="0.35">
      <c r="A8810" t="s">
        <v>230</v>
      </c>
      <c r="B8810" t="s">
        <v>262</v>
      </c>
      <c r="C8810" s="26">
        <v>0.67530000000000001</v>
      </c>
      <c r="D8810" s="26">
        <v>0.32469999999999999</v>
      </c>
      <c r="G8810">
        <v>122</v>
      </c>
    </row>
    <row r="8811" spans="1:7" x14ac:dyDescent="0.35">
      <c r="A8811" t="s">
        <v>230</v>
      </c>
      <c r="B8811" t="s">
        <v>261</v>
      </c>
      <c r="C8811" s="26">
        <v>0.85660000000000003</v>
      </c>
      <c r="D8811" s="26">
        <v>0.1434</v>
      </c>
      <c r="G8811">
        <v>57</v>
      </c>
    </row>
    <row r="8812" spans="1:7" x14ac:dyDescent="0.35">
      <c r="A8812" s="27" t="s">
        <v>230</v>
      </c>
      <c r="B8812" s="27" t="s">
        <v>263</v>
      </c>
      <c r="C8812" s="28">
        <v>0.56499999999999995</v>
      </c>
      <c r="D8812" s="28">
        <v>0.435</v>
      </c>
      <c r="E8812" s="29"/>
      <c r="F8812" s="29"/>
      <c r="G8812" s="29" t="s">
        <v>312</v>
      </c>
    </row>
    <row r="8813" spans="1:7" x14ac:dyDescent="0.35">
      <c r="A8813" t="s">
        <v>230</v>
      </c>
      <c r="B8813" t="s">
        <v>260</v>
      </c>
      <c r="C8813" s="26">
        <v>0.80130000000000001</v>
      </c>
      <c r="D8813" s="26">
        <v>0.19869999999999999</v>
      </c>
      <c r="G8813">
        <v>352</v>
      </c>
    </row>
    <row r="8814" spans="1:7" x14ac:dyDescent="0.35">
      <c r="A8814" s="27" t="s">
        <v>231</v>
      </c>
      <c r="B8814" s="27" t="s">
        <v>263</v>
      </c>
      <c r="C8814" s="28">
        <v>0.5</v>
      </c>
      <c r="D8814" s="28">
        <v>0.5</v>
      </c>
      <c r="E8814" s="29"/>
      <c r="F8814" s="29"/>
      <c r="G8814" s="29" t="s">
        <v>314</v>
      </c>
    </row>
    <row r="8815" spans="1:7" x14ac:dyDescent="0.35">
      <c r="A8815" t="s">
        <v>231</v>
      </c>
      <c r="B8815" t="s">
        <v>260</v>
      </c>
      <c r="C8815" s="26">
        <v>0.8226</v>
      </c>
      <c r="D8815" s="26">
        <v>0.1694</v>
      </c>
      <c r="E8815" s="26">
        <v>8.0999999999999996E-3</v>
      </c>
      <c r="G8815">
        <v>124</v>
      </c>
    </row>
    <row r="8816" spans="1:7" x14ac:dyDescent="0.35">
      <c r="A8816" s="27" t="s">
        <v>231</v>
      </c>
      <c r="B8816" s="27" t="s">
        <v>261</v>
      </c>
      <c r="C8816" s="28">
        <v>0.81479999999999997</v>
      </c>
      <c r="D8816" s="28">
        <v>0.1852</v>
      </c>
      <c r="E8816" s="29"/>
      <c r="F8816" s="29"/>
      <c r="G8816" s="29" t="s">
        <v>338</v>
      </c>
    </row>
    <row r="8817" spans="1:7" x14ac:dyDescent="0.35">
      <c r="A8817" s="27" t="s">
        <v>231</v>
      </c>
      <c r="B8817" s="27" t="s">
        <v>262</v>
      </c>
      <c r="C8817" s="28">
        <v>0.72729999999999995</v>
      </c>
      <c r="D8817" s="28">
        <v>0.2727</v>
      </c>
      <c r="E8817" s="29"/>
      <c r="F8817" s="29"/>
      <c r="G8817" s="29" t="s">
        <v>352</v>
      </c>
    </row>
    <row r="8818" spans="1:7" x14ac:dyDescent="0.35">
      <c r="A8818" t="s">
        <v>232</v>
      </c>
      <c r="B8818" t="s">
        <v>232</v>
      </c>
      <c r="C8818" s="26">
        <v>0.80669999999999997</v>
      </c>
      <c r="D8818" s="26">
        <v>0.18940000000000001</v>
      </c>
      <c r="E8818" s="26">
        <v>2.5000000000000001E-3</v>
      </c>
      <c r="F8818" s="26">
        <v>1.2999999999999999E-3</v>
      </c>
      <c r="G8818">
        <v>2813</v>
      </c>
    </row>
    <row r="8820" spans="1:7" x14ac:dyDescent="0.35">
      <c r="A8820" s="1" t="s">
        <v>1218</v>
      </c>
    </row>
    <row r="8821" spans="1:7" x14ac:dyDescent="0.35">
      <c r="A8821" t="s">
        <v>219</v>
      </c>
      <c r="B8821" t="s">
        <v>305</v>
      </c>
      <c r="C8821" t="s">
        <v>302</v>
      </c>
      <c r="D8821" t="s">
        <v>303</v>
      </c>
      <c r="E8821" t="s">
        <v>281</v>
      </c>
      <c r="F8821" t="s">
        <v>286</v>
      </c>
      <c r="G8821" t="s">
        <v>226</v>
      </c>
    </row>
    <row r="8822" spans="1:7" x14ac:dyDescent="0.35">
      <c r="A8822" t="s">
        <v>227</v>
      </c>
      <c r="B8822" t="s">
        <v>368</v>
      </c>
      <c r="C8822" s="26">
        <v>0.87880000000000003</v>
      </c>
      <c r="D8822" s="26">
        <v>0.1212</v>
      </c>
      <c r="G8822">
        <v>33</v>
      </c>
    </row>
    <row r="8823" spans="1:7" x14ac:dyDescent="0.35">
      <c r="A8823" t="s">
        <v>227</v>
      </c>
      <c r="B8823" t="s">
        <v>369</v>
      </c>
      <c r="C8823" s="26">
        <v>0.82809999999999995</v>
      </c>
      <c r="D8823" s="26">
        <v>0.1641</v>
      </c>
      <c r="F8823" s="26">
        <v>7.7999999999999996E-3</v>
      </c>
      <c r="G8823">
        <v>128</v>
      </c>
    </row>
    <row r="8824" spans="1:7" x14ac:dyDescent="0.35">
      <c r="A8824" t="s">
        <v>228</v>
      </c>
      <c r="B8824" t="s">
        <v>368</v>
      </c>
      <c r="C8824" s="26">
        <v>0.79990000000000006</v>
      </c>
      <c r="D8824" s="26">
        <v>0.2001</v>
      </c>
      <c r="G8824">
        <v>192</v>
      </c>
    </row>
    <row r="8825" spans="1:7" x14ac:dyDescent="0.35">
      <c r="A8825" t="s">
        <v>228</v>
      </c>
      <c r="B8825" t="s">
        <v>369</v>
      </c>
      <c r="C8825" s="26">
        <v>0.80549999999999999</v>
      </c>
      <c r="D8825" s="26">
        <v>0.18859999999999999</v>
      </c>
      <c r="E8825" s="26">
        <v>4.8999999999999998E-3</v>
      </c>
      <c r="F8825" s="26">
        <v>1E-3</v>
      </c>
      <c r="G8825">
        <v>841</v>
      </c>
    </row>
    <row r="8826" spans="1:7" x14ac:dyDescent="0.35">
      <c r="A8826" t="s">
        <v>229</v>
      </c>
      <c r="B8826" t="s">
        <v>368</v>
      </c>
      <c r="C8826" s="26">
        <v>0.75980000000000003</v>
      </c>
      <c r="D8826" s="26">
        <v>0.2402</v>
      </c>
      <c r="G8826">
        <v>96</v>
      </c>
    </row>
    <row r="8827" spans="1:7" x14ac:dyDescent="0.35">
      <c r="A8827" t="s">
        <v>229</v>
      </c>
      <c r="B8827" t="s">
        <v>369</v>
      </c>
      <c r="C8827" s="26">
        <v>0.79990000000000006</v>
      </c>
      <c r="D8827" s="26">
        <v>0.1988</v>
      </c>
      <c r="E8827" s="26">
        <v>4.0000000000000002E-4</v>
      </c>
      <c r="F8827" s="26">
        <v>1E-3</v>
      </c>
      <c r="G8827">
        <v>799</v>
      </c>
    </row>
    <row r="8828" spans="1:7" x14ac:dyDescent="0.35">
      <c r="A8828" t="s">
        <v>230</v>
      </c>
      <c r="B8828" t="s">
        <v>368</v>
      </c>
      <c r="C8828" s="26">
        <v>0.85660000000000003</v>
      </c>
      <c r="D8828" s="26">
        <v>0.1434</v>
      </c>
      <c r="G8828">
        <v>57</v>
      </c>
    </row>
    <row r="8829" spans="1:7" x14ac:dyDescent="0.35">
      <c r="A8829" t="s">
        <v>230</v>
      </c>
      <c r="B8829" t="s">
        <v>369</v>
      </c>
      <c r="C8829" s="26">
        <v>0.77669999999999995</v>
      </c>
      <c r="D8829" s="26">
        <v>0.2233</v>
      </c>
      <c r="G8829">
        <v>503</v>
      </c>
    </row>
    <row r="8830" spans="1:7" x14ac:dyDescent="0.35">
      <c r="A8830" s="27" t="s">
        <v>231</v>
      </c>
      <c r="B8830" s="27" t="s">
        <v>368</v>
      </c>
      <c r="C8830" s="28">
        <v>0.81479999999999997</v>
      </c>
      <c r="D8830" s="28">
        <v>0.1852</v>
      </c>
      <c r="E8830" s="29"/>
      <c r="F8830" s="29"/>
      <c r="G8830" s="29" t="s">
        <v>338</v>
      </c>
    </row>
    <row r="8831" spans="1:7" x14ac:dyDescent="0.35">
      <c r="A8831" t="s">
        <v>231</v>
      </c>
      <c r="B8831" t="s">
        <v>369</v>
      </c>
      <c r="C8831" s="26">
        <v>0.81020000000000003</v>
      </c>
      <c r="D8831" s="26">
        <v>0.1825</v>
      </c>
      <c r="E8831" s="26">
        <v>7.3000000000000001E-3</v>
      </c>
      <c r="G8831">
        <v>137</v>
      </c>
    </row>
    <row r="8832" spans="1:7" x14ac:dyDescent="0.35">
      <c r="A8832" t="s">
        <v>232</v>
      </c>
      <c r="B8832" t="s">
        <v>232</v>
      </c>
      <c r="C8832" s="26">
        <v>0.80669999999999997</v>
      </c>
      <c r="D8832" s="26">
        <v>0.18940000000000001</v>
      </c>
      <c r="E8832" s="26">
        <v>2.5000000000000001E-3</v>
      </c>
      <c r="F8832" s="26">
        <v>1.2999999999999999E-3</v>
      </c>
      <c r="G8832">
        <v>2813</v>
      </c>
    </row>
    <row r="8834" spans="1:7" x14ac:dyDescent="0.35">
      <c r="A8834" s="1" t="s">
        <v>1219</v>
      </c>
    </row>
    <row r="8835" spans="1:7" x14ac:dyDescent="0.35">
      <c r="A8835" t="s">
        <v>219</v>
      </c>
      <c r="B8835" t="s">
        <v>305</v>
      </c>
      <c r="C8835" t="s">
        <v>302</v>
      </c>
      <c r="D8835" t="s">
        <v>303</v>
      </c>
      <c r="E8835" t="s">
        <v>281</v>
      </c>
      <c r="F8835" t="s">
        <v>286</v>
      </c>
      <c r="G8835" t="s">
        <v>226</v>
      </c>
    </row>
    <row r="8836" spans="1:7" x14ac:dyDescent="0.35">
      <c r="A8836" t="s">
        <v>227</v>
      </c>
      <c r="B8836" t="s">
        <v>371</v>
      </c>
      <c r="C8836" s="26">
        <v>0.83850000000000002</v>
      </c>
      <c r="D8836" s="26">
        <v>0.15529999999999999</v>
      </c>
      <c r="F8836" s="26">
        <v>6.1999999999999998E-3</v>
      </c>
      <c r="G8836">
        <v>161</v>
      </c>
    </row>
    <row r="8837" spans="1:7" x14ac:dyDescent="0.35">
      <c r="A8837" t="s">
        <v>228</v>
      </c>
      <c r="B8837" t="s">
        <v>371</v>
      </c>
      <c r="C8837" s="26">
        <v>0.75829999999999997</v>
      </c>
      <c r="D8837" s="26">
        <v>0.23530000000000001</v>
      </c>
      <c r="E8837" s="26">
        <v>6.4000000000000003E-3</v>
      </c>
      <c r="G8837">
        <v>292</v>
      </c>
    </row>
    <row r="8838" spans="1:7" x14ac:dyDescent="0.35">
      <c r="A8838" t="s">
        <v>228</v>
      </c>
      <c r="B8838" t="s">
        <v>372</v>
      </c>
      <c r="C8838" s="26">
        <v>0.81910000000000005</v>
      </c>
      <c r="D8838" s="26">
        <v>0.17319999999999999</v>
      </c>
      <c r="E8838" s="26">
        <v>7.7000000000000002E-3</v>
      </c>
      <c r="G8838">
        <v>218</v>
      </c>
    </row>
    <row r="8839" spans="1:7" x14ac:dyDescent="0.35">
      <c r="A8839" t="s">
        <v>228</v>
      </c>
      <c r="B8839" t="s">
        <v>373</v>
      </c>
      <c r="C8839" s="26">
        <v>0.86250000000000004</v>
      </c>
      <c r="D8839" s="26">
        <v>0.13539999999999999</v>
      </c>
      <c r="F8839" s="26">
        <v>2.0999999999999999E-3</v>
      </c>
      <c r="G8839">
        <v>523</v>
      </c>
    </row>
    <row r="8840" spans="1:7" x14ac:dyDescent="0.35">
      <c r="A8840" t="s">
        <v>229</v>
      </c>
      <c r="B8840" t="s">
        <v>371</v>
      </c>
      <c r="C8840" s="26">
        <v>0.78800000000000003</v>
      </c>
      <c r="D8840" s="26">
        <v>0.2114</v>
      </c>
      <c r="E8840" s="26">
        <v>4.0000000000000002E-4</v>
      </c>
      <c r="F8840" s="26">
        <v>2.0000000000000001E-4</v>
      </c>
      <c r="G8840">
        <v>584</v>
      </c>
    </row>
    <row r="8841" spans="1:7" x14ac:dyDescent="0.35">
      <c r="A8841" t="s">
        <v>229</v>
      </c>
      <c r="B8841" t="s">
        <v>372</v>
      </c>
      <c r="C8841" s="26">
        <v>0.84199999999999997</v>
      </c>
      <c r="D8841" s="26">
        <v>0.15140000000000001</v>
      </c>
      <c r="F8841" s="26">
        <v>6.6E-3</v>
      </c>
      <c r="G8841">
        <v>221</v>
      </c>
    </row>
    <row r="8842" spans="1:7" x14ac:dyDescent="0.35">
      <c r="A8842" t="s">
        <v>229</v>
      </c>
      <c r="B8842" t="s">
        <v>373</v>
      </c>
      <c r="C8842" s="26">
        <v>0.90739999999999998</v>
      </c>
      <c r="D8842" s="26">
        <v>8.0299999999999996E-2</v>
      </c>
      <c r="F8842" s="26">
        <v>1.23E-2</v>
      </c>
      <c r="G8842">
        <v>90</v>
      </c>
    </row>
    <row r="8843" spans="1:7" x14ac:dyDescent="0.35">
      <c r="A8843" t="s">
        <v>230</v>
      </c>
      <c r="B8843" t="s">
        <v>371</v>
      </c>
      <c r="C8843" s="26">
        <v>0.77070000000000005</v>
      </c>
      <c r="D8843" s="26">
        <v>0.2293</v>
      </c>
      <c r="G8843">
        <v>262</v>
      </c>
    </row>
    <row r="8844" spans="1:7" x14ac:dyDescent="0.35">
      <c r="A8844" t="s">
        <v>230</v>
      </c>
      <c r="B8844" t="s">
        <v>372</v>
      </c>
      <c r="C8844" s="26">
        <v>0.88990000000000002</v>
      </c>
      <c r="D8844" s="26">
        <v>0.1101</v>
      </c>
      <c r="G8844">
        <v>146</v>
      </c>
    </row>
    <row r="8845" spans="1:7" x14ac:dyDescent="0.35">
      <c r="A8845" t="s">
        <v>230</v>
      </c>
      <c r="B8845" t="s">
        <v>373</v>
      </c>
      <c r="C8845" s="26">
        <v>0.84750000000000003</v>
      </c>
      <c r="D8845" s="26">
        <v>0.1525</v>
      </c>
      <c r="G8845">
        <v>152</v>
      </c>
    </row>
    <row r="8846" spans="1:7" x14ac:dyDescent="0.35">
      <c r="A8846" t="s">
        <v>231</v>
      </c>
      <c r="B8846" t="s">
        <v>371</v>
      </c>
      <c r="C8846" s="26">
        <v>0.81100000000000005</v>
      </c>
      <c r="D8846" s="26">
        <v>0.18290000000000001</v>
      </c>
      <c r="E8846" s="26">
        <v>6.1000000000000004E-3</v>
      </c>
      <c r="G8846">
        <v>164</v>
      </c>
    </row>
    <row r="8847" spans="1:7" x14ac:dyDescent="0.35">
      <c r="A8847" t="s">
        <v>232</v>
      </c>
      <c r="B8847" t="s">
        <v>232</v>
      </c>
      <c r="C8847" s="26">
        <v>0.80669999999999997</v>
      </c>
      <c r="D8847" s="26">
        <v>0.18940000000000001</v>
      </c>
      <c r="E8847" s="26">
        <v>2.5000000000000001E-3</v>
      </c>
      <c r="F8847" s="26">
        <v>1.2999999999999999E-3</v>
      </c>
      <c r="G8847">
        <v>2813</v>
      </c>
    </row>
    <row r="8849" spans="1:7" x14ac:dyDescent="0.35">
      <c r="A8849" s="1" t="s">
        <v>1220</v>
      </c>
    </row>
    <row r="8850" spans="1:7" x14ac:dyDescent="0.35">
      <c r="A8850" t="s">
        <v>219</v>
      </c>
      <c r="B8850" t="s">
        <v>305</v>
      </c>
      <c r="C8850" t="s">
        <v>302</v>
      </c>
      <c r="D8850" t="s">
        <v>303</v>
      </c>
      <c r="E8850" t="s">
        <v>281</v>
      </c>
      <c r="F8850" t="s">
        <v>286</v>
      </c>
      <c r="G8850" t="s">
        <v>226</v>
      </c>
    </row>
    <row r="8851" spans="1:7" x14ac:dyDescent="0.35">
      <c r="A8851" t="s">
        <v>227</v>
      </c>
      <c r="B8851" t="s">
        <v>255</v>
      </c>
      <c r="C8851" s="26">
        <v>0.88029999999999997</v>
      </c>
      <c r="D8851" s="26">
        <v>0.1111</v>
      </c>
      <c r="F8851" s="26">
        <v>8.5000000000000006E-3</v>
      </c>
      <c r="G8851">
        <v>117</v>
      </c>
    </row>
    <row r="8852" spans="1:7" x14ac:dyDescent="0.35">
      <c r="A8852" s="27" t="s">
        <v>227</v>
      </c>
      <c r="B8852" s="27" t="s">
        <v>257</v>
      </c>
      <c r="C8852" s="28">
        <v>0.88890000000000002</v>
      </c>
      <c r="D8852" s="28">
        <v>0.1111</v>
      </c>
      <c r="E8852" s="29"/>
      <c r="F8852" s="29"/>
      <c r="G8852" s="29" t="s">
        <v>334</v>
      </c>
    </row>
    <row r="8853" spans="1:7" x14ac:dyDescent="0.35">
      <c r="A8853" t="s">
        <v>227</v>
      </c>
      <c r="B8853" t="s">
        <v>256</v>
      </c>
      <c r="C8853" s="26">
        <v>0.68569999999999998</v>
      </c>
      <c r="D8853" s="26">
        <v>0.31430000000000002</v>
      </c>
      <c r="G8853">
        <v>35</v>
      </c>
    </row>
    <row r="8854" spans="1:7" x14ac:dyDescent="0.35">
      <c r="A8854" t="s">
        <v>228</v>
      </c>
      <c r="B8854" t="s">
        <v>257</v>
      </c>
      <c r="C8854" s="26">
        <v>0.68530000000000002</v>
      </c>
      <c r="D8854" s="26">
        <v>0.29409999999999997</v>
      </c>
      <c r="E8854" s="26">
        <v>4.7000000000000002E-3</v>
      </c>
      <c r="F8854" s="26">
        <v>1.6E-2</v>
      </c>
      <c r="G8854">
        <v>49</v>
      </c>
    </row>
    <row r="8855" spans="1:7" x14ac:dyDescent="0.35">
      <c r="A8855" s="27" t="s">
        <v>228</v>
      </c>
      <c r="B8855" s="27" t="s">
        <v>258</v>
      </c>
      <c r="C8855" s="28">
        <v>0.30730000000000002</v>
      </c>
      <c r="D8855" s="28">
        <v>0.69269999999999998</v>
      </c>
      <c r="E8855" s="29"/>
      <c r="F8855" s="29"/>
      <c r="G8855" s="29" t="s">
        <v>337</v>
      </c>
    </row>
    <row r="8856" spans="1:7" x14ac:dyDescent="0.35">
      <c r="A8856" t="s">
        <v>228</v>
      </c>
      <c r="B8856" t="s">
        <v>256</v>
      </c>
      <c r="C8856" s="26">
        <v>0.71319999999999995</v>
      </c>
      <c r="D8856" s="26">
        <v>0.2868</v>
      </c>
      <c r="G8856">
        <v>221</v>
      </c>
    </row>
    <row r="8857" spans="1:7" x14ac:dyDescent="0.35">
      <c r="A8857" t="s">
        <v>228</v>
      </c>
      <c r="B8857" t="s">
        <v>255</v>
      </c>
      <c r="C8857" s="26">
        <v>0.84860000000000002</v>
      </c>
      <c r="D8857" s="26">
        <v>0.14610000000000001</v>
      </c>
      <c r="E8857" s="26">
        <v>5.3E-3</v>
      </c>
      <c r="G8857">
        <v>759</v>
      </c>
    </row>
    <row r="8858" spans="1:7" x14ac:dyDescent="0.35">
      <c r="A8858" t="s">
        <v>229</v>
      </c>
      <c r="B8858" t="s">
        <v>256</v>
      </c>
      <c r="C8858" s="26">
        <v>0.72960000000000003</v>
      </c>
      <c r="D8858" s="26">
        <v>0.26979999999999998</v>
      </c>
      <c r="F8858" s="26">
        <v>5.9999999999999995E-4</v>
      </c>
      <c r="G8858">
        <v>207</v>
      </c>
    </row>
    <row r="8859" spans="1:7" x14ac:dyDescent="0.35">
      <c r="A8859" t="s">
        <v>229</v>
      </c>
      <c r="B8859" t="s">
        <v>255</v>
      </c>
      <c r="C8859" s="26">
        <v>0.83819999999999995</v>
      </c>
      <c r="D8859" s="26">
        <v>0.1603</v>
      </c>
      <c r="E8859" s="26">
        <v>5.0000000000000001E-4</v>
      </c>
      <c r="F8859" s="26">
        <v>1E-3</v>
      </c>
      <c r="G8859">
        <v>636</v>
      </c>
    </row>
    <row r="8860" spans="1:7" x14ac:dyDescent="0.35">
      <c r="A8860" t="s">
        <v>229</v>
      </c>
      <c r="B8860" t="s">
        <v>257</v>
      </c>
      <c r="C8860" s="26">
        <v>0.56810000000000005</v>
      </c>
      <c r="D8860" s="26">
        <v>0.43190000000000001</v>
      </c>
      <c r="G8860">
        <v>50</v>
      </c>
    </row>
    <row r="8861" spans="1:7" x14ac:dyDescent="0.35">
      <c r="A8861" s="27" t="s">
        <v>229</v>
      </c>
      <c r="B8861" s="27" t="s">
        <v>258</v>
      </c>
      <c r="C8861" s="28">
        <v>1</v>
      </c>
      <c r="D8861" s="29"/>
      <c r="E8861" s="29"/>
      <c r="F8861" s="29"/>
      <c r="G8861" s="29" t="s">
        <v>314</v>
      </c>
    </row>
    <row r="8862" spans="1:7" x14ac:dyDescent="0.35">
      <c r="A8862" t="s">
        <v>230</v>
      </c>
      <c r="B8862" t="s">
        <v>256</v>
      </c>
      <c r="C8862" s="26">
        <v>0.70740000000000003</v>
      </c>
      <c r="D8862" s="26">
        <v>0.29260000000000003</v>
      </c>
      <c r="G8862">
        <v>130</v>
      </c>
    </row>
    <row r="8863" spans="1:7" x14ac:dyDescent="0.35">
      <c r="A8863" t="s">
        <v>230</v>
      </c>
      <c r="B8863" t="s">
        <v>255</v>
      </c>
      <c r="C8863" s="26">
        <v>0.83130000000000004</v>
      </c>
      <c r="D8863" s="26">
        <v>0.16869999999999999</v>
      </c>
      <c r="G8863">
        <v>389</v>
      </c>
    </row>
    <row r="8864" spans="1:7" x14ac:dyDescent="0.35">
      <c r="A8864" t="s">
        <v>230</v>
      </c>
      <c r="B8864" t="s">
        <v>257</v>
      </c>
      <c r="C8864" s="26">
        <v>0.72599999999999998</v>
      </c>
      <c r="D8864" s="26">
        <v>0.27400000000000002</v>
      </c>
      <c r="G8864">
        <v>38</v>
      </c>
    </row>
    <row r="8865" spans="1:18" x14ac:dyDescent="0.35">
      <c r="A8865" s="27" t="s">
        <v>230</v>
      </c>
      <c r="B8865" s="27" t="s">
        <v>258</v>
      </c>
      <c r="C8865" s="28">
        <v>0.17730000000000001</v>
      </c>
      <c r="D8865" s="28">
        <v>0.82269999999999999</v>
      </c>
      <c r="E8865" s="29"/>
      <c r="F8865" s="29"/>
      <c r="G8865" s="29" t="s">
        <v>315</v>
      </c>
    </row>
    <row r="8866" spans="1:18" x14ac:dyDescent="0.35">
      <c r="A8866" s="27" t="s">
        <v>231</v>
      </c>
      <c r="B8866" s="27" t="s">
        <v>257</v>
      </c>
      <c r="C8866" s="28">
        <v>0.85709999999999997</v>
      </c>
      <c r="D8866" s="28">
        <v>0.1429</v>
      </c>
      <c r="E8866" s="29"/>
      <c r="F8866" s="29"/>
      <c r="G8866" s="29" t="s">
        <v>339</v>
      </c>
    </row>
    <row r="8867" spans="1:18" x14ac:dyDescent="0.35">
      <c r="A8867" t="s">
        <v>231</v>
      </c>
      <c r="B8867" t="s">
        <v>255</v>
      </c>
      <c r="C8867" s="26">
        <v>0.84499999999999997</v>
      </c>
      <c r="D8867" s="26">
        <v>0.14729999999999999</v>
      </c>
      <c r="E8867" s="26">
        <v>7.7999999999999996E-3</v>
      </c>
      <c r="G8867">
        <v>129</v>
      </c>
    </row>
    <row r="8868" spans="1:18" x14ac:dyDescent="0.35">
      <c r="A8868" s="27" t="s">
        <v>231</v>
      </c>
      <c r="B8868" s="27" t="s">
        <v>256</v>
      </c>
      <c r="C8868" s="28">
        <v>0.64290000000000003</v>
      </c>
      <c r="D8868" s="28">
        <v>0.35709999999999997</v>
      </c>
      <c r="E8868" s="29"/>
      <c r="F8868" s="29"/>
      <c r="G8868" s="29" t="s">
        <v>336</v>
      </c>
    </row>
    <row r="8869" spans="1:18" x14ac:dyDescent="0.35">
      <c r="A8869" t="s">
        <v>232</v>
      </c>
      <c r="B8869" t="s">
        <v>232</v>
      </c>
      <c r="C8869" s="26">
        <v>0.80669999999999997</v>
      </c>
      <c r="D8869" s="26">
        <v>0.18940000000000001</v>
      </c>
      <c r="E8869" s="26">
        <v>2.5000000000000001E-3</v>
      </c>
      <c r="F8869" s="26">
        <v>1.2999999999999999E-3</v>
      </c>
      <c r="G8869">
        <v>2813</v>
      </c>
    </row>
    <row r="8871" spans="1:18" x14ac:dyDescent="0.35">
      <c r="A8871" s="1" t="s">
        <v>1221</v>
      </c>
    </row>
    <row r="8872" spans="1:18" x14ac:dyDescent="0.35">
      <c r="A8872" t="s">
        <v>219</v>
      </c>
      <c r="B8872" t="s">
        <v>1222</v>
      </c>
      <c r="C8872" t="s">
        <v>1223</v>
      </c>
      <c r="D8872" t="s">
        <v>1224</v>
      </c>
      <c r="E8872" t="s">
        <v>1225</v>
      </c>
      <c r="F8872" t="s">
        <v>1226</v>
      </c>
      <c r="G8872" t="s">
        <v>1227</v>
      </c>
      <c r="H8872" t="s">
        <v>1228</v>
      </c>
      <c r="I8872" t="s">
        <v>1229</v>
      </c>
      <c r="J8872" t="s">
        <v>1230</v>
      </c>
      <c r="K8872" t="s">
        <v>326</v>
      </c>
      <c r="L8872" t="s">
        <v>1231</v>
      </c>
      <c r="M8872" t="s">
        <v>1232</v>
      </c>
      <c r="N8872" t="s">
        <v>1233</v>
      </c>
      <c r="O8872" t="s">
        <v>286</v>
      </c>
      <c r="P8872" t="s">
        <v>1234</v>
      </c>
      <c r="Q8872" t="s">
        <v>281</v>
      </c>
      <c r="R8872" t="s">
        <v>226</v>
      </c>
    </row>
    <row r="8873" spans="1:18" x14ac:dyDescent="0.35">
      <c r="A8873" s="27" t="s">
        <v>227</v>
      </c>
      <c r="B8873" s="28">
        <v>0.33329999999999999</v>
      </c>
      <c r="C8873" s="28">
        <v>0.375</v>
      </c>
      <c r="D8873" s="28">
        <v>0.25</v>
      </c>
      <c r="E8873" s="28">
        <v>0.125</v>
      </c>
      <c r="F8873" s="29"/>
      <c r="G8873" s="28">
        <v>8.3299999999999999E-2</v>
      </c>
      <c r="H8873" s="28">
        <v>8.3299999999999999E-2</v>
      </c>
      <c r="I8873" s="29"/>
      <c r="J8873" s="28">
        <v>4.1700000000000001E-2</v>
      </c>
      <c r="K8873" s="29"/>
      <c r="L8873" s="29"/>
      <c r="M8873" s="29"/>
      <c r="N8873" s="29"/>
      <c r="O8873" s="29"/>
      <c r="P8873" s="29"/>
      <c r="Q8873" s="29"/>
      <c r="R8873" s="29" t="s">
        <v>310</v>
      </c>
    </row>
    <row r="8874" spans="1:18" x14ac:dyDescent="0.35">
      <c r="A8874" t="s">
        <v>228</v>
      </c>
      <c r="B8874" s="26">
        <v>0.30790000000000001</v>
      </c>
      <c r="C8874" s="26">
        <v>0.3201</v>
      </c>
      <c r="D8874" s="26">
        <v>0.3332</v>
      </c>
      <c r="E8874" s="26">
        <v>2.9399999999999999E-2</v>
      </c>
      <c r="F8874" s="26">
        <v>5.9200000000000003E-2</v>
      </c>
      <c r="G8874" s="26">
        <v>3.0499999999999999E-2</v>
      </c>
      <c r="H8874" s="26">
        <v>1.8599999999999998E-2</v>
      </c>
      <c r="I8874" s="26">
        <v>3.15E-2</v>
      </c>
      <c r="J8874" s="26">
        <v>1.5699999999999999E-2</v>
      </c>
      <c r="K8874" s="26">
        <v>3.5000000000000001E-3</v>
      </c>
      <c r="L8874" s="26">
        <v>4.2999999999999997E-2</v>
      </c>
      <c r="M8874" s="26">
        <v>5.9299999999999999E-2</v>
      </c>
      <c r="N8874" s="26">
        <v>2.98E-2</v>
      </c>
      <c r="O8874" s="26">
        <v>2.2000000000000001E-3</v>
      </c>
      <c r="P8874" s="26">
        <v>5.8999999999999999E-3</v>
      </c>
      <c r="Q8874" s="26">
        <v>1.2999999999999999E-3</v>
      </c>
      <c r="R8874">
        <v>169</v>
      </c>
    </row>
    <row r="8875" spans="1:18" x14ac:dyDescent="0.35">
      <c r="A8875" t="s">
        <v>229</v>
      </c>
      <c r="B8875" s="26">
        <v>0.2646</v>
      </c>
      <c r="C8875" s="26">
        <v>0.31319999999999998</v>
      </c>
      <c r="D8875" s="26">
        <v>0.26950000000000002</v>
      </c>
      <c r="E8875" s="26">
        <v>7.4300000000000005E-2</v>
      </c>
      <c r="F8875" s="26">
        <v>7.3499999999999996E-2</v>
      </c>
      <c r="G8875" s="26">
        <v>6.4399999999999999E-2</v>
      </c>
      <c r="H8875" s="26">
        <v>4.5900000000000003E-2</v>
      </c>
      <c r="I8875" s="26">
        <v>3.39E-2</v>
      </c>
      <c r="J8875" s="26">
        <v>2.5499999999999998E-2</v>
      </c>
      <c r="K8875" s="26">
        <v>5.91E-2</v>
      </c>
      <c r="L8875" s="26">
        <v>3.7100000000000001E-2</v>
      </c>
      <c r="M8875" s="26">
        <v>3.9600000000000003E-2</v>
      </c>
      <c r="O8875" s="26">
        <v>1.24E-2</v>
      </c>
      <c r="P8875" s="26">
        <v>3.3E-3</v>
      </c>
      <c r="Q8875" s="26">
        <v>1.6000000000000001E-3</v>
      </c>
      <c r="R8875">
        <v>130</v>
      </c>
    </row>
    <row r="8876" spans="1:18" x14ac:dyDescent="0.35">
      <c r="A8876" t="s">
        <v>230</v>
      </c>
      <c r="B8876" s="26">
        <v>0.22770000000000001</v>
      </c>
      <c r="C8876" s="26">
        <v>0.25629999999999997</v>
      </c>
      <c r="D8876" s="26">
        <v>0.2918</v>
      </c>
      <c r="E8876" s="26">
        <v>7.3400000000000007E-2</v>
      </c>
      <c r="F8876" s="26">
        <v>0.1071</v>
      </c>
      <c r="G8876" s="26">
        <v>2.5399999999999999E-2</v>
      </c>
      <c r="H8876" s="26">
        <v>3.3799999999999997E-2</v>
      </c>
      <c r="I8876" s="26">
        <v>6.3100000000000003E-2</v>
      </c>
      <c r="J8876" s="26">
        <v>2.9700000000000001E-2</v>
      </c>
      <c r="L8876" s="26">
        <v>6.0600000000000001E-2</v>
      </c>
      <c r="N8876" s="26">
        <v>3.3799999999999997E-2</v>
      </c>
      <c r="O8876" s="26">
        <v>5.4999999999999997E-3</v>
      </c>
      <c r="R8876">
        <v>102</v>
      </c>
    </row>
    <row r="8877" spans="1:18" x14ac:dyDescent="0.35">
      <c r="A8877" s="27" t="s">
        <v>231</v>
      </c>
      <c r="B8877" s="28">
        <v>0.37930000000000003</v>
      </c>
      <c r="C8877" s="28">
        <v>0.27589999999999998</v>
      </c>
      <c r="D8877" s="28">
        <v>0.27589999999999998</v>
      </c>
      <c r="E8877" s="28">
        <v>0.2069</v>
      </c>
      <c r="F8877" s="28">
        <v>0.10340000000000001</v>
      </c>
      <c r="G8877" s="28">
        <v>6.9000000000000006E-2</v>
      </c>
      <c r="H8877" s="28">
        <v>6.9000000000000006E-2</v>
      </c>
      <c r="I8877" s="28">
        <v>3.4500000000000003E-2</v>
      </c>
      <c r="J8877" s="28">
        <v>3.4500000000000003E-2</v>
      </c>
      <c r="K8877" s="28">
        <v>3.4500000000000003E-2</v>
      </c>
      <c r="L8877" s="29"/>
      <c r="M8877" s="29"/>
      <c r="N8877" s="29"/>
      <c r="O8877" s="29"/>
      <c r="P8877" s="29"/>
      <c r="Q8877" s="29"/>
      <c r="R8877" s="29" t="s">
        <v>329</v>
      </c>
    </row>
    <row r="8878" spans="1:18" x14ac:dyDescent="0.35">
      <c r="A8878" t="s">
        <v>232</v>
      </c>
      <c r="B8878" s="26">
        <v>0.30740000000000001</v>
      </c>
      <c r="C8878" s="26">
        <v>0.30609999999999998</v>
      </c>
      <c r="D8878" s="26">
        <v>0.28370000000000001</v>
      </c>
      <c r="E8878" s="26">
        <v>0.10630000000000001</v>
      </c>
      <c r="F8878" s="26">
        <v>7.3300000000000004E-2</v>
      </c>
      <c r="G8878" s="26">
        <v>5.7000000000000002E-2</v>
      </c>
      <c r="H8878" s="26">
        <v>4.9799999999999997E-2</v>
      </c>
      <c r="I8878" s="26">
        <v>3.2599999999999997E-2</v>
      </c>
      <c r="J8878" s="26">
        <v>2.8400000000000002E-2</v>
      </c>
      <c r="K8878" s="26">
        <v>2.81E-2</v>
      </c>
      <c r="L8878" s="26">
        <v>2.6599999999999999E-2</v>
      </c>
      <c r="M8878" s="26">
        <v>2.3900000000000001E-2</v>
      </c>
      <c r="N8878" s="26">
        <v>9.4999999999999998E-3</v>
      </c>
      <c r="O8878" s="26">
        <v>4.8999999999999998E-3</v>
      </c>
      <c r="P8878" s="26">
        <v>2.2000000000000001E-3</v>
      </c>
      <c r="Q8878" s="26">
        <v>8.0000000000000004E-4</v>
      </c>
      <c r="R8878">
        <v>454</v>
      </c>
    </row>
    <row r="8880" spans="1:18" x14ac:dyDescent="0.35">
      <c r="A8880" s="1" t="s">
        <v>1235</v>
      </c>
    </row>
    <row r="8881" spans="1:19" x14ac:dyDescent="0.35">
      <c r="A8881" t="s">
        <v>219</v>
      </c>
      <c r="B8881" t="s">
        <v>305</v>
      </c>
      <c r="C8881" t="s">
        <v>1222</v>
      </c>
      <c r="D8881" t="s">
        <v>1223</v>
      </c>
      <c r="E8881" t="s">
        <v>1224</v>
      </c>
      <c r="F8881" t="s">
        <v>1225</v>
      </c>
      <c r="G8881" t="s">
        <v>1226</v>
      </c>
      <c r="H8881" t="s">
        <v>1227</v>
      </c>
      <c r="I8881" t="s">
        <v>1228</v>
      </c>
      <c r="J8881" t="s">
        <v>1229</v>
      </c>
      <c r="K8881" t="s">
        <v>1230</v>
      </c>
      <c r="L8881" t="s">
        <v>326</v>
      </c>
      <c r="M8881" t="s">
        <v>1231</v>
      </c>
      <c r="N8881" t="s">
        <v>1232</v>
      </c>
      <c r="O8881" t="s">
        <v>1233</v>
      </c>
      <c r="P8881" t="s">
        <v>286</v>
      </c>
      <c r="Q8881" t="s">
        <v>1234</v>
      </c>
      <c r="R8881" t="s">
        <v>281</v>
      </c>
      <c r="S8881" t="s">
        <v>226</v>
      </c>
    </row>
    <row r="8882" spans="1:19" x14ac:dyDescent="0.35">
      <c r="A8882" s="27" t="s">
        <v>227</v>
      </c>
      <c r="B8882" s="27" t="s">
        <v>242</v>
      </c>
      <c r="C8882" s="29"/>
      <c r="D8882" s="28">
        <v>0.57140000000000002</v>
      </c>
      <c r="E8882" s="28">
        <v>0.57140000000000002</v>
      </c>
      <c r="F8882" s="29"/>
      <c r="G8882" s="29"/>
      <c r="H8882" s="29"/>
      <c r="I8882" s="28">
        <v>0.1429</v>
      </c>
      <c r="J8882" s="29"/>
      <c r="K8882" s="29"/>
      <c r="L8882" s="29"/>
      <c r="M8882" s="29"/>
      <c r="N8882" s="29"/>
      <c r="O8882" s="29"/>
      <c r="P8882" s="29"/>
      <c r="Q8882" s="29"/>
      <c r="R8882" s="29"/>
      <c r="S8882" s="29" t="s">
        <v>339</v>
      </c>
    </row>
    <row r="8883" spans="1:19" x14ac:dyDescent="0.35">
      <c r="A8883" s="27" t="s">
        <v>227</v>
      </c>
      <c r="B8883" s="27" t="s">
        <v>241</v>
      </c>
      <c r="C8883" s="28">
        <v>0.47060000000000002</v>
      </c>
      <c r="D8883" s="28">
        <v>0.29409999999999997</v>
      </c>
      <c r="E8883" s="28">
        <v>0.1176</v>
      </c>
      <c r="F8883" s="28">
        <v>0.17649999999999999</v>
      </c>
      <c r="G8883" s="29"/>
      <c r="H8883" s="28">
        <v>0.1176</v>
      </c>
      <c r="I8883" s="28">
        <v>5.8799999999999998E-2</v>
      </c>
      <c r="J8883" s="29"/>
      <c r="K8883" s="28">
        <v>5.8799999999999998E-2</v>
      </c>
      <c r="L8883" s="29"/>
      <c r="M8883" s="29"/>
      <c r="N8883" s="29"/>
      <c r="O8883" s="29"/>
      <c r="P8883" s="29"/>
      <c r="Q8883" s="29"/>
      <c r="R8883" s="29"/>
      <c r="S8883" s="29" t="s">
        <v>343</v>
      </c>
    </row>
    <row r="8884" spans="1:19" x14ac:dyDescent="0.35">
      <c r="A8884" t="s">
        <v>228</v>
      </c>
      <c r="B8884" t="s">
        <v>242</v>
      </c>
      <c r="C8884" s="26">
        <v>0.3231</v>
      </c>
      <c r="D8884" s="26">
        <v>0.42480000000000001</v>
      </c>
      <c r="E8884" s="26">
        <v>0.35020000000000001</v>
      </c>
      <c r="F8884" s="26">
        <v>2.3199999999999998E-2</v>
      </c>
      <c r="G8884" s="26">
        <v>7.7200000000000005E-2</v>
      </c>
      <c r="H8884" s="26">
        <v>6.3E-2</v>
      </c>
      <c r="I8884" s="26">
        <v>1.9800000000000002E-2</v>
      </c>
      <c r="K8884" s="26">
        <v>1.6400000000000001E-2</v>
      </c>
      <c r="L8884" s="26">
        <v>3.3999999999999998E-3</v>
      </c>
      <c r="M8884" s="26">
        <v>7.7000000000000002E-3</v>
      </c>
      <c r="N8884" s="26">
        <v>0.05</v>
      </c>
      <c r="O8884" s="26">
        <v>6.1600000000000002E-2</v>
      </c>
      <c r="S8884">
        <v>74</v>
      </c>
    </row>
    <row r="8885" spans="1:19" x14ac:dyDescent="0.35">
      <c r="A8885" t="s">
        <v>228</v>
      </c>
      <c r="B8885" t="s">
        <v>241</v>
      </c>
      <c r="C8885" s="26">
        <v>0.29849999999999999</v>
      </c>
      <c r="D8885" s="26">
        <v>0.25540000000000002</v>
      </c>
      <c r="E8885" s="26">
        <v>0.32269999999999999</v>
      </c>
      <c r="F8885" s="26">
        <v>3.32E-2</v>
      </c>
      <c r="G8885" s="26">
        <v>4.8000000000000001E-2</v>
      </c>
      <c r="H8885" s="26">
        <v>1.03E-2</v>
      </c>
      <c r="I8885" s="26">
        <v>1.7899999999999999E-2</v>
      </c>
      <c r="J8885" s="26">
        <v>5.0999999999999997E-2</v>
      </c>
      <c r="K8885" s="26">
        <v>1.52E-2</v>
      </c>
      <c r="L8885" s="26">
        <v>3.5999999999999999E-3</v>
      </c>
      <c r="M8885" s="26">
        <v>6.4899999999999999E-2</v>
      </c>
      <c r="N8885" s="26">
        <v>6.5000000000000002E-2</v>
      </c>
      <c r="O8885" s="26">
        <v>1.01E-2</v>
      </c>
      <c r="P8885" s="26">
        <v>3.5999999999999999E-3</v>
      </c>
      <c r="Q8885" s="26">
        <v>9.4999999999999998E-3</v>
      </c>
      <c r="R8885" s="26">
        <v>2.0999999999999999E-3</v>
      </c>
      <c r="S8885">
        <v>95</v>
      </c>
    </row>
    <row r="8886" spans="1:19" x14ac:dyDescent="0.35">
      <c r="A8886" t="s">
        <v>229</v>
      </c>
      <c r="B8886" t="s">
        <v>242</v>
      </c>
      <c r="C8886" s="26">
        <v>0.2102</v>
      </c>
      <c r="D8886" s="26">
        <v>0.45669999999999999</v>
      </c>
      <c r="E8886" s="26">
        <v>0.25190000000000001</v>
      </c>
      <c r="F8886" s="26">
        <v>7.5700000000000003E-2</v>
      </c>
      <c r="G8886" s="26">
        <v>7.5800000000000006E-2</v>
      </c>
      <c r="H8886" s="26">
        <v>3.0800000000000001E-2</v>
      </c>
      <c r="I8886" s="26">
        <v>1.1999999999999999E-3</v>
      </c>
      <c r="J8886" s="26">
        <v>6.1000000000000004E-3</v>
      </c>
      <c r="K8886" s="26">
        <v>4.0899999999999999E-2</v>
      </c>
      <c r="L8886" s="26">
        <v>3.6900000000000002E-2</v>
      </c>
      <c r="M8886" s="26">
        <v>8.2000000000000007E-3</v>
      </c>
      <c r="N8886" s="26">
        <v>3.0800000000000001E-2</v>
      </c>
      <c r="P8886" s="26">
        <v>3.0800000000000001E-2</v>
      </c>
      <c r="S8886">
        <v>50</v>
      </c>
    </row>
    <row r="8887" spans="1:19" x14ac:dyDescent="0.35">
      <c r="A8887" t="s">
        <v>229</v>
      </c>
      <c r="B8887" t="s">
        <v>241</v>
      </c>
      <c r="C8887" s="26">
        <v>0.30120000000000002</v>
      </c>
      <c r="D8887" s="26">
        <v>0.21640000000000001</v>
      </c>
      <c r="E8887" s="26">
        <v>0.28149999999999997</v>
      </c>
      <c r="F8887" s="26">
        <v>7.3300000000000004E-2</v>
      </c>
      <c r="G8887" s="26">
        <v>7.1900000000000006E-2</v>
      </c>
      <c r="H8887" s="26">
        <v>8.7099999999999997E-2</v>
      </c>
      <c r="I8887" s="26">
        <v>7.5999999999999998E-2</v>
      </c>
      <c r="J8887" s="26">
        <v>5.2600000000000001E-2</v>
      </c>
      <c r="K8887" s="26">
        <v>1.5100000000000001E-2</v>
      </c>
      <c r="L8887" s="26">
        <v>7.4099999999999999E-2</v>
      </c>
      <c r="M8887" s="26">
        <v>5.6599999999999998E-2</v>
      </c>
      <c r="N8887" s="26">
        <v>4.5600000000000002E-2</v>
      </c>
      <c r="Q8887" s="26">
        <v>5.4999999999999997E-3</v>
      </c>
      <c r="R8887" s="26">
        <v>2.7000000000000001E-3</v>
      </c>
      <c r="S8887">
        <v>80</v>
      </c>
    </row>
    <row r="8888" spans="1:19" x14ac:dyDescent="0.35">
      <c r="A8888" t="s">
        <v>230</v>
      </c>
      <c r="B8888" t="s">
        <v>242</v>
      </c>
      <c r="C8888" s="26">
        <v>0.2349</v>
      </c>
      <c r="D8888" s="26">
        <v>0.3629</v>
      </c>
      <c r="E8888" s="26">
        <v>0.23580000000000001</v>
      </c>
      <c r="F8888" s="26">
        <v>9.2100000000000001E-2</v>
      </c>
      <c r="G8888" s="26">
        <v>7.8799999999999995E-2</v>
      </c>
      <c r="H8888" s="26">
        <v>7.8799999999999995E-2</v>
      </c>
      <c r="I8888" s="26">
        <v>2.5999999999999999E-2</v>
      </c>
      <c r="J8888" s="26">
        <v>0.03</v>
      </c>
      <c r="M8888" s="26">
        <v>9.6100000000000005E-2</v>
      </c>
      <c r="S8888">
        <v>38</v>
      </c>
    </row>
    <row r="8889" spans="1:19" x14ac:dyDescent="0.35">
      <c r="A8889" t="s">
        <v>230</v>
      </c>
      <c r="B8889" t="s">
        <v>241</v>
      </c>
      <c r="C8889" s="26">
        <v>0.2243</v>
      </c>
      <c r="D8889" s="26">
        <v>0.2056</v>
      </c>
      <c r="E8889" s="26">
        <v>0.31840000000000002</v>
      </c>
      <c r="F8889" s="26">
        <v>6.4399999999999999E-2</v>
      </c>
      <c r="G8889" s="26">
        <v>0.1206</v>
      </c>
      <c r="I8889" s="26">
        <v>3.7499999999999999E-2</v>
      </c>
      <c r="J8889" s="26">
        <v>7.8799999999999995E-2</v>
      </c>
      <c r="K8889" s="26">
        <v>4.3799999999999999E-2</v>
      </c>
      <c r="M8889" s="26">
        <v>4.3700000000000003E-2</v>
      </c>
      <c r="O8889" s="26">
        <v>4.99E-2</v>
      </c>
      <c r="P8889" s="26">
        <v>8.0999999999999996E-3</v>
      </c>
      <c r="S8889">
        <v>64</v>
      </c>
    </row>
    <row r="8890" spans="1:19" x14ac:dyDescent="0.35">
      <c r="A8890" s="27" t="s">
        <v>231</v>
      </c>
      <c r="B8890" s="27" t="s">
        <v>242</v>
      </c>
      <c r="C8890" s="28">
        <v>0.1</v>
      </c>
      <c r="D8890" s="28">
        <v>0.4</v>
      </c>
      <c r="E8890" s="28">
        <v>0.1</v>
      </c>
      <c r="F8890" s="28">
        <v>0.3</v>
      </c>
      <c r="G8890" s="28">
        <v>0.1</v>
      </c>
      <c r="H8890" s="28">
        <v>0.1</v>
      </c>
      <c r="I8890" s="29"/>
      <c r="J8890" s="28">
        <v>0.1</v>
      </c>
      <c r="K8890" s="29"/>
      <c r="L8890" s="29"/>
      <c r="M8890" s="29"/>
      <c r="N8890" s="29"/>
      <c r="O8890" s="29"/>
      <c r="P8890" s="29"/>
      <c r="Q8890" s="29"/>
      <c r="R8890" s="29"/>
      <c r="S8890" s="29" t="s">
        <v>307</v>
      </c>
    </row>
    <row r="8891" spans="1:19" x14ac:dyDescent="0.35">
      <c r="A8891" s="27" t="s">
        <v>231</v>
      </c>
      <c r="B8891" s="27" t="s">
        <v>241</v>
      </c>
      <c r="C8891" s="28">
        <v>0.52629999999999999</v>
      </c>
      <c r="D8891" s="28">
        <v>0.21049999999999999</v>
      </c>
      <c r="E8891" s="28">
        <v>0.36840000000000001</v>
      </c>
      <c r="F8891" s="28">
        <v>0.15790000000000001</v>
      </c>
      <c r="G8891" s="28">
        <v>0.1053</v>
      </c>
      <c r="H8891" s="28">
        <v>5.2600000000000001E-2</v>
      </c>
      <c r="I8891" s="28">
        <v>0.1053</v>
      </c>
      <c r="J8891" s="29"/>
      <c r="K8891" s="28">
        <v>5.2600000000000001E-2</v>
      </c>
      <c r="L8891" s="28">
        <v>5.2600000000000001E-2</v>
      </c>
      <c r="M8891" s="29"/>
      <c r="N8891" s="29"/>
      <c r="O8891" s="29"/>
      <c r="P8891" s="29"/>
      <c r="Q8891" s="29"/>
      <c r="R8891" s="29"/>
      <c r="S8891" s="29" t="s">
        <v>349</v>
      </c>
    </row>
    <row r="8892" spans="1:19" x14ac:dyDescent="0.35">
      <c r="A8892" t="s">
        <v>232</v>
      </c>
      <c r="B8892" t="s">
        <v>232</v>
      </c>
      <c r="C8892" s="26">
        <v>0.30740000000000001</v>
      </c>
      <c r="D8892" s="26">
        <v>0.30609999999999998</v>
      </c>
      <c r="E8892" s="26">
        <v>0.28370000000000001</v>
      </c>
      <c r="F8892" s="26">
        <v>0.10630000000000001</v>
      </c>
      <c r="G8892" s="26">
        <v>7.3300000000000004E-2</v>
      </c>
      <c r="H8892" s="26">
        <v>5.7000000000000002E-2</v>
      </c>
      <c r="I8892" s="26">
        <v>4.9799999999999997E-2</v>
      </c>
      <c r="J8892" s="26">
        <v>3.2599999999999997E-2</v>
      </c>
      <c r="K8892" s="26">
        <v>2.8400000000000002E-2</v>
      </c>
      <c r="L8892" s="26">
        <v>2.81E-2</v>
      </c>
      <c r="M8892" s="26">
        <v>2.6599999999999999E-2</v>
      </c>
      <c r="N8892" s="26">
        <v>2.3900000000000001E-2</v>
      </c>
      <c r="O8892" s="26">
        <v>9.4999999999999998E-3</v>
      </c>
      <c r="P8892" s="26">
        <v>4.8999999999999998E-3</v>
      </c>
      <c r="Q8892" s="26">
        <v>2.2000000000000001E-3</v>
      </c>
      <c r="R8892" s="26">
        <v>8.0000000000000004E-4</v>
      </c>
      <c r="S8892">
        <v>454</v>
      </c>
    </row>
    <row r="8894" spans="1:19" x14ac:dyDescent="0.35">
      <c r="A8894" s="1" t="s">
        <v>1236</v>
      </c>
    </row>
    <row r="8895" spans="1:19" x14ac:dyDescent="0.35">
      <c r="A8895" t="s">
        <v>219</v>
      </c>
      <c r="B8895" t="s">
        <v>305</v>
      </c>
      <c r="C8895" t="s">
        <v>1222</v>
      </c>
      <c r="D8895" t="s">
        <v>1223</v>
      </c>
      <c r="E8895" t="s">
        <v>1224</v>
      </c>
      <c r="F8895" t="s">
        <v>1225</v>
      </c>
      <c r="G8895" t="s">
        <v>1226</v>
      </c>
      <c r="H8895" t="s">
        <v>1227</v>
      </c>
      <c r="I8895" t="s">
        <v>1228</v>
      </c>
      <c r="J8895" t="s">
        <v>1229</v>
      </c>
      <c r="K8895" t="s">
        <v>1230</v>
      </c>
      <c r="L8895" t="s">
        <v>326</v>
      </c>
      <c r="M8895" t="s">
        <v>1231</v>
      </c>
      <c r="N8895" t="s">
        <v>1232</v>
      </c>
      <c r="O8895" t="s">
        <v>1233</v>
      </c>
      <c r="P8895" t="s">
        <v>286</v>
      </c>
      <c r="Q8895" t="s">
        <v>1234</v>
      </c>
      <c r="R8895" t="s">
        <v>281</v>
      </c>
      <c r="S8895" t="s">
        <v>226</v>
      </c>
    </row>
    <row r="8896" spans="1:19" x14ac:dyDescent="0.35">
      <c r="A8896" s="27" t="s">
        <v>227</v>
      </c>
      <c r="B8896" s="27" t="s">
        <v>239</v>
      </c>
      <c r="C8896" s="28">
        <v>0.33329999999999999</v>
      </c>
      <c r="D8896" s="28">
        <v>0.41670000000000001</v>
      </c>
      <c r="E8896" s="28">
        <v>0.25</v>
      </c>
      <c r="F8896" s="28">
        <v>8.3299999999999999E-2</v>
      </c>
      <c r="G8896" s="29"/>
      <c r="H8896" s="28">
        <v>8.3299999999999999E-2</v>
      </c>
      <c r="I8896" s="28">
        <v>8.3299999999999999E-2</v>
      </c>
      <c r="J8896" s="29"/>
      <c r="K8896" s="29"/>
      <c r="L8896" s="29"/>
      <c r="M8896" s="29"/>
      <c r="N8896" s="29"/>
      <c r="O8896" s="29"/>
      <c r="P8896" s="29"/>
      <c r="Q8896" s="29"/>
      <c r="R8896" s="29"/>
      <c r="S8896" s="29" t="s">
        <v>342</v>
      </c>
    </row>
    <row r="8897" spans="1:19" x14ac:dyDescent="0.35">
      <c r="A8897" s="27" t="s">
        <v>227</v>
      </c>
      <c r="B8897" s="27" t="s">
        <v>238</v>
      </c>
      <c r="C8897" s="28">
        <v>0.33329999999999999</v>
      </c>
      <c r="D8897" s="28">
        <v>0.33329999999999999</v>
      </c>
      <c r="E8897" s="28">
        <v>0.25</v>
      </c>
      <c r="F8897" s="28">
        <v>0.16669999999999999</v>
      </c>
      <c r="G8897" s="29"/>
      <c r="H8897" s="28">
        <v>8.3299999999999999E-2</v>
      </c>
      <c r="I8897" s="28">
        <v>8.3299999999999999E-2</v>
      </c>
      <c r="J8897" s="29"/>
      <c r="K8897" s="28">
        <v>8.3299999999999999E-2</v>
      </c>
      <c r="L8897" s="29"/>
      <c r="M8897" s="29"/>
      <c r="N8897" s="29"/>
      <c r="O8897" s="29"/>
      <c r="P8897" s="29"/>
      <c r="Q8897" s="29"/>
      <c r="R8897" s="29"/>
      <c r="S8897" s="29" t="s">
        <v>342</v>
      </c>
    </row>
    <row r="8898" spans="1:19" x14ac:dyDescent="0.35">
      <c r="A8898" t="s">
        <v>228</v>
      </c>
      <c r="B8898" t="s">
        <v>239</v>
      </c>
      <c r="C8898" s="26">
        <v>0.12</v>
      </c>
      <c r="D8898" s="26">
        <v>0.47620000000000001</v>
      </c>
      <c r="E8898" s="26">
        <v>0.56859999999999999</v>
      </c>
      <c r="F8898" s="26">
        <v>3.8100000000000002E-2</v>
      </c>
      <c r="G8898" s="26">
        <v>5.4899999999999997E-2</v>
      </c>
      <c r="H8898" s="26">
        <v>0.11650000000000001</v>
      </c>
      <c r="I8898" s="26">
        <v>4.2299999999999997E-2</v>
      </c>
      <c r="J8898" s="26">
        <v>1.7299999999999999E-2</v>
      </c>
      <c r="K8898" s="26">
        <v>3.04E-2</v>
      </c>
      <c r="L8898" s="26">
        <v>1.3100000000000001E-2</v>
      </c>
      <c r="M8898" s="26">
        <v>1.7299999999999999E-2</v>
      </c>
      <c r="N8898" s="26">
        <v>7.7000000000000002E-3</v>
      </c>
      <c r="P8898" s="26">
        <v>1.3100000000000001E-2</v>
      </c>
      <c r="Q8898" s="26">
        <v>1.7299999999999999E-2</v>
      </c>
      <c r="S8898">
        <v>53</v>
      </c>
    </row>
    <row r="8899" spans="1:19" x14ac:dyDescent="0.35">
      <c r="A8899" t="s">
        <v>228</v>
      </c>
      <c r="B8899" t="s">
        <v>238</v>
      </c>
      <c r="C8899" s="26">
        <v>0.34620000000000001</v>
      </c>
      <c r="D8899" s="26">
        <v>0.2883</v>
      </c>
      <c r="E8899" s="26">
        <v>0.28520000000000001</v>
      </c>
      <c r="F8899" s="26">
        <v>2.76E-2</v>
      </c>
      <c r="G8899" s="26">
        <v>0.06</v>
      </c>
      <c r="H8899" s="26">
        <v>1.29E-2</v>
      </c>
      <c r="I8899" s="26">
        <v>1.37E-2</v>
      </c>
      <c r="J8899" s="26">
        <v>3.44E-2</v>
      </c>
      <c r="K8899" s="26">
        <v>1.26E-2</v>
      </c>
      <c r="L8899" s="26">
        <v>1.6000000000000001E-3</v>
      </c>
      <c r="M8899" s="26">
        <v>4.8300000000000003E-2</v>
      </c>
      <c r="N8899" s="26">
        <v>6.9800000000000001E-2</v>
      </c>
      <c r="O8899" s="26">
        <v>3.5900000000000001E-2</v>
      </c>
      <c r="Q8899" s="26">
        <v>3.5000000000000001E-3</v>
      </c>
      <c r="R8899" s="26">
        <v>1.6000000000000001E-3</v>
      </c>
      <c r="S8899">
        <v>116</v>
      </c>
    </row>
    <row r="8900" spans="1:19" x14ac:dyDescent="0.35">
      <c r="A8900" t="s">
        <v>229</v>
      </c>
      <c r="B8900" t="s">
        <v>239</v>
      </c>
      <c r="C8900" s="26">
        <v>0.23380000000000001</v>
      </c>
      <c r="D8900" s="26">
        <v>0.2651</v>
      </c>
      <c r="E8900" s="26">
        <v>0.15559999999999999</v>
      </c>
      <c r="F8900" s="26">
        <v>8.9300000000000004E-2</v>
      </c>
      <c r="G8900" s="26">
        <v>2.8999999999999998E-3</v>
      </c>
      <c r="H8900" s="26">
        <v>8.6400000000000005E-2</v>
      </c>
      <c r="I8900" s="26">
        <v>4.6100000000000002E-2</v>
      </c>
      <c r="J8900" s="26">
        <v>0.1065</v>
      </c>
      <c r="K8900" s="26">
        <v>5.7000000000000002E-3</v>
      </c>
      <c r="L8900" s="26">
        <v>0.17580000000000001</v>
      </c>
      <c r="M8900" s="26">
        <v>1.44E-2</v>
      </c>
      <c r="N8900" s="26">
        <v>4.3200000000000002E-2</v>
      </c>
      <c r="P8900" s="26">
        <v>4.3200000000000002E-2</v>
      </c>
      <c r="S8900">
        <v>41</v>
      </c>
    </row>
    <row r="8901" spans="1:19" x14ac:dyDescent="0.35">
      <c r="A8901" t="s">
        <v>229</v>
      </c>
      <c r="B8901" t="s">
        <v>238</v>
      </c>
      <c r="C8901" s="26">
        <v>0.27700000000000002</v>
      </c>
      <c r="D8901" s="26">
        <v>0.33260000000000001</v>
      </c>
      <c r="E8901" s="26">
        <v>0.31540000000000001</v>
      </c>
      <c r="F8901" s="26">
        <v>6.8199999999999997E-2</v>
      </c>
      <c r="G8901" s="26">
        <v>0.1019</v>
      </c>
      <c r="H8901" s="26">
        <v>5.5599999999999997E-2</v>
      </c>
      <c r="I8901" s="26">
        <v>4.58E-2</v>
      </c>
      <c r="J8901" s="26">
        <v>4.5999999999999999E-3</v>
      </c>
      <c r="K8901" s="26">
        <v>3.3500000000000002E-2</v>
      </c>
      <c r="L8901" s="26">
        <v>1.21E-2</v>
      </c>
      <c r="M8901" s="26">
        <v>4.6199999999999998E-2</v>
      </c>
      <c r="N8901" s="26">
        <v>3.8199999999999998E-2</v>
      </c>
      <c r="Q8901" s="26">
        <v>4.5999999999999999E-3</v>
      </c>
      <c r="R8901" s="26">
        <v>2.3E-3</v>
      </c>
      <c r="S8901">
        <v>89</v>
      </c>
    </row>
    <row r="8902" spans="1:19" x14ac:dyDescent="0.35">
      <c r="A8902" t="s">
        <v>230</v>
      </c>
      <c r="B8902" t="s">
        <v>239</v>
      </c>
      <c r="C8902" s="26">
        <v>0.22009999999999999</v>
      </c>
      <c r="D8902" s="26">
        <v>0.36249999999999999</v>
      </c>
      <c r="E8902" s="26">
        <v>0.3594</v>
      </c>
      <c r="F8902" s="26">
        <v>1.3599999999999999E-2</v>
      </c>
      <c r="G8902" s="26">
        <v>9.4200000000000006E-2</v>
      </c>
      <c r="J8902" s="26">
        <v>8.9099999999999999E-2</v>
      </c>
      <c r="K8902" s="26">
        <v>9.4500000000000001E-2</v>
      </c>
      <c r="M8902" s="26">
        <v>1.3599999999999999E-2</v>
      </c>
      <c r="O8902" s="26">
        <v>1.3299999999999999E-2</v>
      </c>
      <c r="S8902">
        <v>36</v>
      </c>
    </row>
    <row r="8903" spans="1:19" x14ac:dyDescent="0.35">
      <c r="A8903" t="s">
        <v>230</v>
      </c>
      <c r="B8903" t="s">
        <v>238</v>
      </c>
      <c r="C8903" s="26">
        <v>0.23119999999999999</v>
      </c>
      <c r="D8903" s="26">
        <v>0.2077</v>
      </c>
      <c r="E8903" s="26">
        <v>0.26079999999999998</v>
      </c>
      <c r="F8903" s="26">
        <v>0.1007</v>
      </c>
      <c r="G8903" s="26">
        <v>0.11310000000000001</v>
      </c>
      <c r="H8903" s="26">
        <v>3.7100000000000001E-2</v>
      </c>
      <c r="I8903" s="26">
        <v>4.9299999999999997E-2</v>
      </c>
      <c r="J8903" s="26">
        <v>5.1200000000000002E-2</v>
      </c>
      <c r="M8903" s="26">
        <v>8.2100000000000006E-2</v>
      </c>
      <c r="O8903" s="26">
        <v>4.3200000000000002E-2</v>
      </c>
      <c r="P8903" s="26">
        <v>8.0000000000000002E-3</v>
      </c>
      <c r="S8903">
        <v>66</v>
      </c>
    </row>
    <row r="8904" spans="1:19" x14ac:dyDescent="0.35">
      <c r="A8904" s="27" t="s">
        <v>231</v>
      </c>
      <c r="B8904" s="27" t="s">
        <v>239</v>
      </c>
      <c r="C8904" s="28">
        <v>0.4667</v>
      </c>
      <c r="D8904" s="28">
        <v>0.4</v>
      </c>
      <c r="E8904" s="28">
        <v>0.1333</v>
      </c>
      <c r="F8904" s="28">
        <v>0.2</v>
      </c>
      <c r="G8904" s="29"/>
      <c r="H8904" s="28">
        <v>6.6699999999999995E-2</v>
      </c>
      <c r="I8904" s="29"/>
      <c r="J8904" s="29"/>
      <c r="K8904" s="28">
        <v>6.6699999999999995E-2</v>
      </c>
      <c r="L8904" s="29"/>
      <c r="M8904" s="29"/>
      <c r="N8904" s="29"/>
      <c r="O8904" s="29"/>
      <c r="P8904" s="29"/>
      <c r="Q8904" s="29"/>
      <c r="R8904" s="29"/>
      <c r="S8904" s="29" t="s">
        <v>346</v>
      </c>
    </row>
    <row r="8905" spans="1:19" x14ac:dyDescent="0.35">
      <c r="A8905" s="27" t="s">
        <v>231</v>
      </c>
      <c r="B8905" s="27" t="s">
        <v>238</v>
      </c>
      <c r="C8905" s="28">
        <v>0.28570000000000001</v>
      </c>
      <c r="D8905" s="28">
        <v>0.1429</v>
      </c>
      <c r="E8905" s="28">
        <v>0.42859999999999998</v>
      </c>
      <c r="F8905" s="28">
        <v>0.21429999999999999</v>
      </c>
      <c r="G8905" s="28">
        <v>0.21429999999999999</v>
      </c>
      <c r="H8905" s="28">
        <v>7.1400000000000005E-2</v>
      </c>
      <c r="I8905" s="28">
        <v>0.1429</v>
      </c>
      <c r="J8905" s="28">
        <v>7.1400000000000005E-2</v>
      </c>
      <c r="K8905" s="29"/>
      <c r="L8905" s="28">
        <v>7.1400000000000005E-2</v>
      </c>
      <c r="M8905" s="29"/>
      <c r="N8905" s="29"/>
      <c r="O8905" s="29"/>
      <c r="P8905" s="29"/>
      <c r="Q8905" s="29"/>
      <c r="R8905" s="29"/>
      <c r="S8905" s="29" t="s">
        <v>379</v>
      </c>
    </row>
    <row r="8906" spans="1:19" x14ac:dyDescent="0.35">
      <c r="A8906" t="s">
        <v>232</v>
      </c>
      <c r="B8906" t="s">
        <v>232</v>
      </c>
      <c r="C8906" s="26">
        <v>0.30740000000000001</v>
      </c>
      <c r="D8906" s="26">
        <v>0.30609999999999998</v>
      </c>
      <c r="E8906" s="26">
        <v>0.28370000000000001</v>
      </c>
      <c r="F8906" s="26">
        <v>0.10630000000000001</v>
      </c>
      <c r="G8906" s="26">
        <v>7.3300000000000004E-2</v>
      </c>
      <c r="H8906" s="26">
        <v>5.7000000000000002E-2</v>
      </c>
      <c r="I8906" s="26">
        <v>4.9799999999999997E-2</v>
      </c>
      <c r="J8906" s="26">
        <v>3.2599999999999997E-2</v>
      </c>
      <c r="K8906" s="26">
        <v>2.8400000000000002E-2</v>
      </c>
      <c r="L8906" s="26">
        <v>2.81E-2</v>
      </c>
      <c r="M8906" s="26">
        <v>2.6599999999999999E-2</v>
      </c>
      <c r="N8906" s="26">
        <v>2.3900000000000001E-2</v>
      </c>
      <c r="O8906" s="26">
        <v>9.4999999999999998E-3</v>
      </c>
      <c r="P8906" s="26">
        <v>4.8999999999999998E-3</v>
      </c>
      <c r="Q8906" s="26">
        <v>2.2000000000000001E-3</v>
      </c>
      <c r="R8906" s="26">
        <v>8.0000000000000004E-4</v>
      </c>
      <c r="S8906">
        <v>454</v>
      </c>
    </row>
    <row r="8908" spans="1:19" x14ac:dyDescent="0.35">
      <c r="A8908" s="1" t="s">
        <v>1237</v>
      </c>
    </row>
    <row r="8909" spans="1:19" x14ac:dyDescent="0.35">
      <c r="A8909" t="s">
        <v>219</v>
      </c>
      <c r="B8909" t="s">
        <v>305</v>
      </c>
      <c r="C8909" t="s">
        <v>1222</v>
      </c>
      <c r="D8909" t="s">
        <v>1223</v>
      </c>
      <c r="E8909" t="s">
        <v>1224</v>
      </c>
      <c r="F8909" t="s">
        <v>1225</v>
      </c>
      <c r="G8909" t="s">
        <v>1226</v>
      </c>
      <c r="H8909" t="s">
        <v>1227</v>
      </c>
      <c r="I8909" t="s">
        <v>1228</v>
      </c>
      <c r="J8909" t="s">
        <v>1229</v>
      </c>
      <c r="K8909" t="s">
        <v>1230</v>
      </c>
      <c r="L8909" t="s">
        <v>326</v>
      </c>
      <c r="M8909" t="s">
        <v>1231</v>
      </c>
      <c r="N8909" t="s">
        <v>1232</v>
      </c>
      <c r="O8909" t="s">
        <v>1233</v>
      </c>
      <c r="P8909" t="s">
        <v>286</v>
      </c>
      <c r="Q8909" t="s">
        <v>1234</v>
      </c>
      <c r="R8909" t="s">
        <v>281</v>
      </c>
      <c r="S8909" t="s">
        <v>226</v>
      </c>
    </row>
    <row r="8910" spans="1:19" x14ac:dyDescent="0.35">
      <c r="A8910" s="27" t="s">
        <v>227</v>
      </c>
      <c r="B8910" s="27" t="s">
        <v>244</v>
      </c>
      <c r="C8910" s="28">
        <v>0.35709999999999997</v>
      </c>
      <c r="D8910" s="28">
        <v>0.35709999999999997</v>
      </c>
      <c r="E8910" s="28">
        <v>0.1429</v>
      </c>
      <c r="F8910" s="28">
        <v>0.1429</v>
      </c>
      <c r="G8910" s="29"/>
      <c r="H8910" s="28">
        <v>7.1400000000000005E-2</v>
      </c>
      <c r="I8910" s="28">
        <v>0.1429</v>
      </c>
      <c r="J8910" s="29"/>
      <c r="K8910" s="28">
        <v>7.1400000000000005E-2</v>
      </c>
      <c r="L8910" s="29"/>
      <c r="M8910" s="29"/>
      <c r="N8910" s="29"/>
      <c r="O8910" s="29"/>
      <c r="P8910" s="29"/>
      <c r="Q8910" s="29"/>
      <c r="R8910" s="29"/>
      <c r="S8910" s="29" t="s">
        <v>379</v>
      </c>
    </row>
    <row r="8911" spans="1:19" x14ac:dyDescent="0.35">
      <c r="A8911" s="27" t="s">
        <v>227</v>
      </c>
      <c r="B8911" s="27" t="s">
        <v>245</v>
      </c>
      <c r="C8911" s="28">
        <v>0.375</v>
      </c>
      <c r="D8911" s="28">
        <v>0.25</v>
      </c>
      <c r="E8911" s="28">
        <v>0.25</v>
      </c>
      <c r="F8911" s="28">
        <v>0.125</v>
      </c>
      <c r="G8911" s="29"/>
      <c r="H8911" s="28">
        <v>0.125</v>
      </c>
      <c r="I8911" s="29"/>
      <c r="J8911" s="29"/>
      <c r="K8911" s="29"/>
      <c r="L8911" s="29"/>
      <c r="M8911" s="29"/>
      <c r="N8911" s="29"/>
      <c r="O8911" s="29"/>
      <c r="P8911" s="29"/>
      <c r="Q8911" s="29"/>
      <c r="R8911" s="29"/>
      <c r="S8911" s="29" t="s">
        <v>333</v>
      </c>
    </row>
    <row r="8912" spans="1:19" x14ac:dyDescent="0.35">
      <c r="A8912" s="27" t="s">
        <v>227</v>
      </c>
      <c r="B8912" s="27" t="s">
        <v>246</v>
      </c>
      <c r="C8912" s="29"/>
      <c r="D8912" s="28">
        <v>1</v>
      </c>
      <c r="E8912" s="28">
        <v>1</v>
      </c>
      <c r="F8912" s="29"/>
      <c r="G8912" s="29"/>
      <c r="H8912" s="29"/>
      <c r="I8912" s="29"/>
      <c r="J8912" s="29"/>
      <c r="K8912" s="29"/>
      <c r="L8912" s="29"/>
      <c r="M8912" s="29"/>
      <c r="N8912" s="29"/>
      <c r="O8912" s="29"/>
      <c r="P8912" s="29"/>
      <c r="Q8912" s="29"/>
      <c r="R8912" s="29"/>
      <c r="S8912" s="29" t="s">
        <v>314</v>
      </c>
    </row>
    <row r="8913" spans="1:19" x14ac:dyDescent="0.35">
      <c r="A8913" t="s">
        <v>228</v>
      </c>
      <c r="B8913" t="s">
        <v>244</v>
      </c>
      <c r="C8913" s="26">
        <v>0.38329999999999997</v>
      </c>
      <c r="D8913" s="26">
        <v>0.31130000000000002</v>
      </c>
      <c r="E8913" s="26">
        <v>0.37340000000000001</v>
      </c>
      <c r="F8913" s="26">
        <v>1.49E-2</v>
      </c>
      <c r="G8913" s="26">
        <v>5.3499999999999999E-2</v>
      </c>
      <c r="H8913" s="26">
        <v>7.1000000000000004E-3</v>
      </c>
      <c r="I8913" s="26">
        <v>9.2999999999999992E-3</v>
      </c>
      <c r="J8913" s="26">
        <v>7.1000000000000004E-3</v>
      </c>
      <c r="K8913" s="26">
        <v>1.8100000000000002E-2</v>
      </c>
      <c r="L8913" s="26">
        <v>5.5999999999999999E-3</v>
      </c>
      <c r="M8913" s="26">
        <v>4.7000000000000002E-3</v>
      </c>
      <c r="N8913" s="26">
        <v>3.5499999999999997E-2</v>
      </c>
      <c r="O8913" s="26">
        <v>1.55E-2</v>
      </c>
      <c r="Q8913" s="26">
        <v>4.7000000000000002E-3</v>
      </c>
      <c r="S8913">
        <v>103</v>
      </c>
    </row>
    <row r="8914" spans="1:19" x14ac:dyDescent="0.35">
      <c r="A8914" t="s">
        <v>228</v>
      </c>
      <c r="B8914" t="s">
        <v>245</v>
      </c>
      <c r="C8914" s="26">
        <v>0.14199999999999999</v>
      </c>
      <c r="D8914" s="26">
        <v>0.2722</v>
      </c>
      <c r="E8914" s="26">
        <v>0.25209999999999999</v>
      </c>
      <c r="F8914" s="26">
        <v>5.0700000000000002E-2</v>
      </c>
      <c r="G8914" s="26">
        <v>7.0599999999999996E-2</v>
      </c>
      <c r="H8914" s="26">
        <v>8.8900000000000007E-2</v>
      </c>
      <c r="I8914" s="26">
        <v>2.3800000000000002E-2</v>
      </c>
      <c r="J8914" s="26">
        <v>9.98E-2</v>
      </c>
      <c r="K8914" s="26">
        <v>1.5599999999999999E-2</v>
      </c>
      <c r="M8914" s="26">
        <v>0.14810000000000001</v>
      </c>
      <c r="N8914" s="26">
        <v>7.0599999999999996E-2</v>
      </c>
      <c r="P8914" s="26">
        <v>8.2000000000000007E-3</v>
      </c>
      <c r="Q8914" s="26">
        <v>1.0800000000000001E-2</v>
      </c>
      <c r="R8914" s="26">
        <v>4.7999999999999996E-3</v>
      </c>
      <c r="S8914">
        <v>51</v>
      </c>
    </row>
    <row r="8915" spans="1:19" x14ac:dyDescent="0.35">
      <c r="A8915" s="27" t="s">
        <v>228</v>
      </c>
      <c r="B8915" s="27" t="s">
        <v>246</v>
      </c>
      <c r="C8915" s="28">
        <v>0.28260000000000002</v>
      </c>
      <c r="D8915" s="28">
        <v>0.50570000000000004</v>
      </c>
      <c r="E8915" s="28">
        <v>0.29949999999999999</v>
      </c>
      <c r="F8915" s="28">
        <v>6.2799999999999995E-2</v>
      </c>
      <c r="G8915" s="28">
        <v>6.3700000000000007E-2</v>
      </c>
      <c r="H8915" s="28">
        <v>1.9300000000000001E-2</v>
      </c>
      <c r="I8915" s="28">
        <v>6.2799999999999995E-2</v>
      </c>
      <c r="J8915" s="29"/>
      <c r="K8915" s="29"/>
      <c r="L8915" s="29"/>
      <c r="M8915" s="29"/>
      <c r="N8915" s="28">
        <v>0.1784</v>
      </c>
      <c r="O8915" s="28">
        <v>0.2006</v>
      </c>
      <c r="P8915" s="29"/>
      <c r="Q8915" s="29"/>
      <c r="R8915" s="29"/>
      <c r="S8915" s="29" t="s">
        <v>346</v>
      </c>
    </row>
    <row r="8916" spans="1:19" x14ac:dyDescent="0.35">
      <c r="A8916" t="s">
        <v>229</v>
      </c>
      <c r="B8916" t="s">
        <v>244</v>
      </c>
      <c r="C8916" s="26">
        <v>0.29770000000000002</v>
      </c>
      <c r="D8916" s="26">
        <v>0.28460000000000002</v>
      </c>
      <c r="E8916" s="26">
        <v>0.28349999999999997</v>
      </c>
      <c r="F8916" s="26">
        <v>8.6999999999999994E-2</v>
      </c>
      <c r="G8916" s="26">
        <v>4.9299999999999997E-2</v>
      </c>
      <c r="H8916" s="26">
        <v>9.1800000000000007E-2</v>
      </c>
      <c r="I8916" s="26">
        <v>1.77E-2</v>
      </c>
      <c r="J8916" s="26">
        <v>4.1200000000000001E-2</v>
      </c>
      <c r="K8916" s="26">
        <v>3.4000000000000002E-2</v>
      </c>
      <c r="L8916" s="26">
        <v>3.8300000000000001E-2</v>
      </c>
      <c r="M8916" s="26">
        <v>9.4000000000000004E-3</v>
      </c>
      <c r="N8916" s="26">
        <v>5.6500000000000002E-2</v>
      </c>
      <c r="R8916" s="26">
        <v>2.3E-3</v>
      </c>
      <c r="S8916">
        <v>87</v>
      </c>
    </row>
    <row r="8917" spans="1:19" x14ac:dyDescent="0.35">
      <c r="A8917" s="27" t="s">
        <v>229</v>
      </c>
      <c r="B8917" s="27" t="s">
        <v>245</v>
      </c>
      <c r="C8917" s="28">
        <v>0.2109</v>
      </c>
      <c r="D8917" s="28">
        <v>0.29759999999999998</v>
      </c>
      <c r="E8917" s="28">
        <v>0.2767</v>
      </c>
      <c r="F8917" s="29"/>
      <c r="G8917" s="28">
        <v>0.19439999999999999</v>
      </c>
      <c r="H8917" s="29"/>
      <c r="I8917" s="28">
        <v>7.8399999999999997E-2</v>
      </c>
      <c r="J8917" s="28">
        <v>1.6899999999999998E-2</v>
      </c>
      <c r="K8917" s="29"/>
      <c r="L8917" s="28">
        <v>0.1012</v>
      </c>
      <c r="M8917" s="28">
        <v>0.15590000000000001</v>
      </c>
      <c r="N8917" s="29"/>
      <c r="O8917" s="29"/>
      <c r="P8917" s="29"/>
      <c r="Q8917" s="29"/>
      <c r="R8917" s="29"/>
      <c r="S8917" s="29" t="s">
        <v>336</v>
      </c>
    </row>
    <row r="8918" spans="1:19" x14ac:dyDescent="0.35">
      <c r="A8918" s="27" t="s">
        <v>229</v>
      </c>
      <c r="B8918" s="27" t="s">
        <v>246</v>
      </c>
      <c r="C8918" s="28">
        <v>0.14099999999999999</v>
      </c>
      <c r="D8918" s="28">
        <v>0.53779999999999994</v>
      </c>
      <c r="E8918" s="28">
        <v>0.1605</v>
      </c>
      <c r="F8918" s="28">
        <v>0.12870000000000001</v>
      </c>
      <c r="G8918" s="28">
        <v>8.0999999999999996E-3</v>
      </c>
      <c r="H8918" s="29"/>
      <c r="I8918" s="28">
        <v>0.1764</v>
      </c>
      <c r="J8918" s="28">
        <v>1.5800000000000002E-2</v>
      </c>
      <c r="K8918" s="28">
        <v>1.5800000000000002E-2</v>
      </c>
      <c r="L8918" s="28">
        <v>0.1206</v>
      </c>
      <c r="M8918" s="29"/>
      <c r="N8918" s="29"/>
      <c r="O8918" s="29"/>
      <c r="P8918" s="28">
        <v>0.1206</v>
      </c>
      <c r="Q8918" s="28">
        <v>3.2099999999999997E-2</v>
      </c>
      <c r="R8918" s="29"/>
      <c r="S8918" s="29" t="s">
        <v>346</v>
      </c>
    </row>
    <row r="8919" spans="1:19" x14ac:dyDescent="0.35">
      <c r="A8919" t="s">
        <v>230</v>
      </c>
      <c r="B8919" t="s">
        <v>244</v>
      </c>
      <c r="C8919" s="26">
        <v>0.2661</v>
      </c>
      <c r="D8919" s="26">
        <v>0.2082</v>
      </c>
      <c r="E8919" s="26">
        <v>0.2364</v>
      </c>
      <c r="F8919" s="26">
        <v>9.7500000000000003E-2</v>
      </c>
      <c r="G8919" s="26">
        <v>0.15129999999999999</v>
      </c>
      <c r="I8919" s="26">
        <v>3.5900000000000001E-2</v>
      </c>
      <c r="J8919" s="26">
        <v>1.3599999999999999E-2</v>
      </c>
      <c r="K8919" s="26">
        <v>3.5900000000000001E-2</v>
      </c>
      <c r="M8919" s="26">
        <v>7.9699999999999993E-2</v>
      </c>
      <c r="O8919" s="26">
        <v>4.1799999999999997E-2</v>
      </c>
      <c r="P8919" s="26">
        <v>1.8E-3</v>
      </c>
      <c r="S8919">
        <v>69</v>
      </c>
    </row>
    <row r="8920" spans="1:19" x14ac:dyDescent="0.35">
      <c r="A8920" s="27" t="s">
        <v>230</v>
      </c>
      <c r="B8920" s="27" t="s">
        <v>245</v>
      </c>
      <c r="C8920" s="28">
        <v>4.4299999999999999E-2</v>
      </c>
      <c r="D8920" s="28">
        <v>0.38879999999999998</v>
      </c>
      <c r="E8920" s="28">
        <v>0.38879999999999998</v>
      </c>
      <c r="F8920" s="28">
        <v>2.2700000000000001E-2</v>
      </c>
      <c r="G8920" s="29"/>
      <c r="H8920" s="28">
        <v>0.1343</v>
      </c>
      <c r="I8920" s="29"/>
      <c r="J8920" s="28">
        <v>0.1343</v>
      </c>
      <c r="K8920" s="29"/>
      <c r="L8920" s="29"/>
      <c r="M8920" s="28">
        <v>2.2100000000000002E-2</v>
      </c>
      <c r="N8920" s="29"/>
      <c r="O8920" s="28">
        <v>2.2100000000000002E-2</v>
      </c>
      <c r="P8920" s="28">
        <v>2.2100000000000002E-2</v>
      </c>
      <c r="Q8920" s="29"/>
      <c r="R8920" s="29"/>
      <c r="S8920" s="29" t="s">
        <v>351</v>
      </c>
    </row>
    <row r="8921" spans="1:19" x14ac:dyDescent="0.35">
      <c r="A8921" s="27" t="s">
        <v>230</v>
      </c>
      <c r="B8921" s="27" t="s">
        <v>246</v>
      </c>
      <c r="C8921" s="28">
        <v>0.30099999999999999</v>
      </c>
      <c r="D8921" s="28">
        <v>0.34370000000000001</v>
      </c>
      <c r="E8921" s="28">
        <v>0.49519999999999997</v>
      </c>
      <c r="F8921" s="29"/>
      <c r="G8921" s="29"/>
      <c r="H8921" s="29"/>
      <c r="I8921" s="28">
        <v>8.1600000000000006E-2</v>
      </c>
      <c r="J8921" s="28">
        <v>0.2727</v>
      </c>
      <c r="K8921" s="28">
        <v>4.1799999999999997E-2</v>
      </c>
      <c r="L8921" s="29"/>
      <c r="M8921" s="29"/>
      <c r="N8921" s="29"/>
      <c r="O8921" s="29"/>
      <c r="P8921" s="29"/>
      <c r="Q8921" s="29"/>
      <c r="R8921" s="29"/>
      <c r="S8921" s="29" t="s">
        <v>342</v>
      </c>
    </row>
    <row r="8922" spans="1:19" x14ac:dyDescent="0.35">
      <c r="A8922" s="27" t="s">
        <v>231</v>
      </c>
      <c r="B8922" s="27" t="s">
        <v>244</v>
      </c>
      <c r="C8922" s="28">
        <v>0.3125</v>
      </c>
      <c r="D8922" s="28">
        <v>0.3125</v>
      </c>
      <c r="E8922" s="28">
        <v>0.25</v>
      </c>
      <c r="F8922" s="28">
        <v>0.25</v>
      </c>
      <c r="G8922" s="28">
        <v>0.1875</v>
      </c>
      <c r="H8922" s="28">
        <v>6.25E-2</v>
      </c>
      <c r="I8922" s="28">
        <v>6.25E-2</v>
      </c>
      <c r="J8922" s="28">
        <v>6.25E-2</v>
      </c>
      <c r="K8922" s="28">
        <v>6.25E-2</v>
      </c>
      <c r="L8922" s="29"/>
      <c r="M8922" s="29"/>
      <c r="N8922" s="29"/>
      <c r="O8922" s="29"/>
      <c r="P8922" s="29"/>
      <c r="Q8922" s="29"/>
      <c r="R8922" s="29"/>
      <c r="S8922" s="29" t="s">
        <v>348</v>
      </c>
    </row>
    <row r="8923" spans="1:19" x14ac:dyDescent="0.35">
      <c r="A8923" s="27" t="s">
        <v>231</v>
      </c>
      <c r="B8923" s="27" t="s">
        <v>245</v>
      </c>
      <c r="C8923" s="28">
        <v>0.28570000000000001</v>
      </c>
      <c r="D8923" s="28">
        <v>0.1429</v>
      </c>
      <c r="E8923" s="28">
        <v>0.57140000000000002</v>
      </c>
      <c r="F8923" s="28">
        <v>0.1429</v>
      </c>
      <c r="G8923" s="29"/>
      <c r="H8923" s="28">
        <v>0.1429</v>
      </c>
      <c r="I8923" s="29"/>
      <c r="J8923" s="29"/>
      <c r="K8923" s="29"/>
      <c r="L8923" s="28">
        <v>0.1429</v>
      </c>
      <c r="M8923" s="29"/>
      <c r="N8923" s="29"/>
      <c r="O8923" s="29"/>
      <c r="P8923" s="29"/>
      <c r="Q8923" s="29"/>
      <c r="R8923" s="29"/>
      <c r="S8923" s="29" t="s">
        <v>339</v>
      </c>
    </row>
    <row r="8924" spans="1:19" x14ac:dyDescent="0.35">
      <c r="A8924" s="27" t="s">
        <v>231</v>
      </c>
      <c r="B8924" s="27" t="s">
        <v>246</v>
      </c>
      <c r="C8924" s="28">
        <v>0.66669999999999996</v>
      </c>
      <c r="D8924" s="28">
        <v>0.33329999999999999</v>
      </c>
      <c r="E8924" s="29"/>
      <c r="F8924" s="28">
        <v>0.16669999999999999</v>
      </c>
      <c r="G8924" s="29"/>
      <c r="H8924" s="29"/>
      <c r="I8924" s="28">
        <v>0.16669999999999999</v>
      </c>
      <c r="J8924" s="29"/>
      <c r="K8924" s="29"/>
      <c r="L8924" s="29"/>
      <c r="M8924" s="29"/>
      <c r="N8924" s="29"/>
      <c r="O8924" s="29"/>
      <c r="P8924" s="29"/>
      <c r="Q8924" s="29"/>
      <c r="R8924" s="29"/>
      <c r="S8924" s="29" t="s">
        <v>335</v>
      </c>
    </row>
    <row r="8925" spans="1:19" x14ac:dyDescent="0.35">
      <c r="A8925" t="s">
        <v>232</v>
      </c>
      <c r="B8925" t="s">
        <v>232</v>
      </c>
      <c r="C8925" s="26">
        <v>0.30740000000000001</v>
      </c>
      <c r="D8925" s="26">
        <v>0.30609999999999998</v>
      </c>
      <c r="E8925" s="26">
        <v>0.28370000000000001</v>
      </c>
      <c r="F8925" s="26">
        <v>0.10630000000000001</v>
      </c>
      <c r="G8925" s="26">
        <v>7.3300000000000004E-2</v>
      </c>
      <c r="H8925" s="26">
        <v>5.7000000000000002E-2</v>
      </c>
      <c r="I8925" s="26">
        <v>4.9799999999999997E-2</v>
      </c>
      <c r="J8925" s="26">
        <v>3.2599999999999997E-2</v>
      </c>
      <c r="K8925" s="26">
        <v>2.8400000000000002E-2</v>
      </c>
      <c r="L8925" s="26">
        <v>2.81E-2</v>
      </c>
      <c r="M8925" s="26">
        <v>2.6599999999999999E-2</v>
      </c>
      <c r="N8925" s="26">
        <v>2.3900000000000001E-2</v>
      </c>
      <c r="O8925" s="26">
        <v>9.4999999999999998E-3</v>
      </c>
      <c r="P8925" s="26">
        <v>4.8999999999999998E-3</v>
      </c>
      <c r="Q8925" s="26">
        <v>2.2000000000000001E-3</v>
      </c>
      <c r="R8925" s="26">
        <v>8.0000000000000004E-4</v>
      </c>
      <c r="S8925">
        <v>454</v>
      </c>
    </row>
    <row r="8927" spans="1:19" x14ac:dyDescent="0.35">
      <c r="A8927" s="1" t="s">
        <v>1238</v>
      </c>
    </row>
    <row r="8928" spans="1:19" x14ac:dyDescent="0.35">
      <c r="A8928" t="s">
        <v>219</v>
      </c>
      <c r="B8928" t="s">
        <v>305</v>
      </c>
      <c r="C8928" t="s">
        <v>1222</v>
      </c>
      <c r="D8928" t="s">
        <v>1223</v>
      </c>
      <c r="E8928" t="s">
        <v>1224</v>
      </c>
      <c r="F8928" t="s">
        <v>1225</v>
      </c>
      <c r="G8928" t="s">
        <v>1226</v>
      </c>
      <c r="H8928" t="s">
        <v>1227</v>
      </c>
      <c r="I8928" t="s">
        <v>1228</v>
      </c>
      <c r="J8928" t="s">
        <v>1229</v>
      </c>
      <c r="K8928" t="s">
        <v>1230</v>
      </c>
      <c r="L8928" t="s">
        <v>326</v>
      </c>
      <c r="M8928" t="s">
        <v>1231</v>
      </c>
      <c r="N8928" t="s">
        <v>1232</v>
      </c>
      <c r="O8928" t="s">
        <v>1233</v>
      </c>
      <c r="P8928" t="s">
        <v>286</v>
      </c>
      <c r="Q8928" t="s">
        <v>1234</v>
      </c>
      <c r="R8928" t="s">
        <v>281</v>
      </c>
      <c r="S8928" t="s">
        <v>226</v>
      </c>
    </row>
    <row r="8929" spans="1:19" x14ac:dyDescent="0.35">
      <c r="A8929" s="27" t="s">
        <v>227</v>
      </c>
      <c r="B8929" s="27" t="s">
        <v>360</v>
      </c>
      <c r="C8929" s="28">
        <v>0.2</v>
      </c>
      <c r="D8929" s="28">
        <v>0.4</v>
      </c>
      <c r="E8929" s="28">
        <v>0.6</v>
      </c>
      <c r="F8929" s="28">
        <v>0.2</v>
      </c>
      <c r="G8929" s="29"/>
      <c r="H8929" s="29"/>
      <c r="I8929" s="29"/>
      <c r="J8929" s="29"/>
      <c r="K8929" s="29"/>
      <c r="L8929" s="29"/>
      <c r="M8929" s="29"/>
      <c r="N8929" s="29"/>
      <c r="O8929" s="29"/>
      <c r="P8929" s="29"/>
      <c r="Q8929" s="29"/>
      <c r="R8929" s="29"/>
      <c r="S8929" s="29" t="s">
        <v>332</v>
      </c>
    </row>
    <row r="8930" spans="1:19" x14ac:dyDescent="0.35">
      <c r="A8930" s="27" t="s">
        <v>227</v>
      </c>
      <c r="B8930" s="27" t="s">
        <v>363</v>
      </c>
      <c r="C8930" s="28">
        <v>0.33329999999999999</v>
      </c>
      <c r="D8930" s="28">
        <v>0.55559999999999998</v>
      </c>
      <c r="E8930" s="28">
        <v>0.1111</v>
      </c>
      <c r="F8930" s="28">
        <v>0.22220000000000001</v>
      </c>
      <c r="G8930" s="29"/>
      <c r="H8930" s="29"/>
      <c r="I8930" s="28">
        <v>0.1111</v>
      </c>
      <c r="J8930" s="29"/>
      <c r="K8930" s="29"/>
      <c r="L8930" s="29"/>
      <c r="M8930" s="29"/>
      <c r="N8930" s="29"/>
      <c r="O8930" s="29"/>
      <c r="P8930" s="29"/>
      <c r="Q8930" s="29"/>
      <c r="R8930" s="29"/>
      <c r="S8930" s="29" t="s">
        <v>334</v>
      </c>
    </row>
    <row r="8931" spans="1:19" x14ac:dyDescent="0.35">
      <c r="A8931" s="27" t="s">
        <v>227</v>
      </c>
      <c r="B8931" s="27" t="s">
        <v>361</v>
      </c>
      <c r="C8931" s="28">
        <v>0.33329999999999999</v>
      </c>
      <c r="D8931" s="28">
        <v>0.33329999999999999</v>
      </c>
      <c r="E8931" s="28">
        <v>0.16669999999999999</v>
      </c>
      <c r="F8931" s="29"/>
      <c r="G8931" s="29"/>
      <c r="H8931" s="28">
        <v>0.33329999999999999</v>
      </c>
      <c r="I8931" s="29"/>
      <c r="J8931" s="29"/>
      <c r="K8931" s="29"/>
      <c r="L8931" s="29"/>
      <c r="M8931" s="29"/>
      <c r="N8931" s="29"/>
      <c r="O8931" s="29"/>
      <c r="P8931" s="29"/>
      <c r="Q8931" s="29"/>
      <c r="R8931" s="29"/>
      <c r="S8931" s="29" t="s">
        <v>335</v>
      </c>
    </row>
    <row r="8932" spans="1:19" x14ac:dyDescent="0.35">
      <c r="A8932" s="27" t="s">
        <v>227</v>
      </c>
      <c r="B8932" s="27" t="s">
        <v>362</v>
      </c>
      <c r="C8932" s="28">
        <v>1</v>
      </c>
      <c r="D8932" s="29"/>
      <c r="E8932" s="29"/>
      <c r="F8932" s="29"/>
      <c r="G8932" s="29"/>
      <c r="H8932" s="29"/>
      <c r="I8932" s="28">
        <v>0.5</v>
      </c>
      <c r="J8932" s="29"/>
      <c r="K8932" s="29"/>
      <c r="L8932" s="29"/>
      <c r="M8932" s="29"/>
      <c r="N8932" s="29"/>
      <c r="O8932" s="29"/>
      <c r="P8932" s="29"/>
      <c r="Q8932" s="29"/>
      <c r="R8932" s="29"/>
      <c r="S8932" s="29" t="s">
        <v>314</v>
      </c>
    </row>
    <row r="8933" spans="1:19" x14ac:dyDescent="0.35">
      <c r="A8933" t="s">
        <v>228</v>
      </c>
      <c r="B8933" t="s">
        <v>360</v>
      </c>
      <c r="C8933" s="26">
        <v>3.4000000000000002E-2</v>
      </c>
      <c r="D8933" s="26">
        <v>0.36749999999999999</v>
      </c>
      <c r="E8933" s="26">
        <v>0.54390000000000005</v>
      </c>
      <c r="F8933" s="26">
        <v>3.4500000000000003E-2</v>
      </c>
      <c r="G8933" s="26">
        <v>2.3400000000000001E-2</v>
      </c>
      <c r="H8933" s="26">
        <v>8.5599999999999996E-2</v>
      </c>
      <c r="I8933" s="26">
        <v>1.41E-2</v>
      </c>
      <c r="K8933" s="26">
        <v>1.0699999999999999E-2</v>
      </c>
      <c r="L8933" s="26">
        <v>6.1999999999999998E-3</v>
      </c>
      <c r="M8933" s="26">
        <v>9.9699999999999997E-2</v>
      </c>
      <c r="N8933" s="26">
        <v>0.1011</v>
      </c>
      <c r="O8933" s="26">
        <v>0.1326</v>
      </c>
      <c r="Q8933" s="26">
        <v>1.41E-2</v>
      </c>
      <c r="S8933">
        <v>49</v>
      </c>
    </row>
    <row r="8934" spans="1:19" x14ac:dyDescent="0.35">
      <c r="A8934" t="s">
        <v>228</v>
      </c>
      <c r="B8934" t="s">
        <v>362</v>
      </c>
      <c r="C8934" s="26">
        <v>0.36399999999999999</v>
      </c>
      <c r="D8934" s="26">
        <v>0.496</v>
      </c>
      <c r="E8934" s="26">
        <v>0.25690000000000002</v>
      </c>
      <c r="F8934" s="26">
        <v>4.58E-2</v>
      </c>
      <c r="G8934" s="26">
        <v>5.9200000000000003E-2</v>
      </c>
      <c r="I8934" s="26">
        <v>3.7900000000000003E-2</v>
      </c>
      <c r="K8934" s="26">
        <v>5.57E-2</v>
      </c>
      <c r="N8934" s="26">
        <v>7.9000000000000008E-3</v>
      </c>
      <c r="O8934" s="26">
        <v>1.34E-2</v>
      </c>
      <c r="R8934" s="26">
        <v>7.9000000000000008E-3</v>
      </c>
      <c r="S8934">
        <v>35</v>
      </c>
    </row>
    <row r="8935" spans="1:19" x14ac:dyDescent="0.35">
      <c r="A8935" t="s">
        <v>228</v>
      </c>
      <c r="B8935" t="s">
        <v>363</v>
      </c>
      <c r="C8935" s="26">
        <v>0.46389999999999998</v>
      </c>
      <c r="D8935" s="26">
        <v>0.2142</v>
      </c>
      <c r="E8935" s="26">
        <v>0.44440000000000002</v>
      </c>
      <c r="F8935" s="26">
        <v>8.5000000000000006E-3</v>
      </c>
      <c r="G8935" s="26">
        <v>8.5000000000000006E-3</v>
      </c>
      <c r="H8935" s="26">
        <v>7.3000000000000001E-3</v>
      </c>
      <c r="I8935" s="26">
        <v>1.6199999999999999E-2</v>
      </c>
      <c r="K8935" s="26">
        <v>1.6199999999999999E-2</v>
      </c>
      <c r="N8935" s="26">
        <v>5.0000000000000001E-3</v>
      </c>
      <c r="Q8935" s="26">
        <v>1.12E-2</v>
      </c>
      <c r="S8935">
        <v>33</v>
      </c>
    </row>
    <row r="8936" spans="1:19" x14ac:dyDescent="0.35">
      <c r="A8936" t="s">
        <v>228</v>
      </c>
      <c r="B8936" t="s">
        <v>361</v>
      </c>
      <c r="C8936" s="26">
        <v>0.35289999999999999</v>
      </c>
      <c r="D8936" s="26">
        <v>0.3024</v>
      </c>
      <c r="E8936" s="26">
        <v>0.10589999999999999</v>
      </c>
      <c r="F8936" s="26">
        <v>3.4299999999999997E-2</v>
      </c>
      <c r="G8936" s="26">
        <v>0.1235</v>
      </c>
      <c r="H8936" s="26">
        <v>3.3000000000000002E-2</v>
      </c>
      <c r="I8936" s="26">
        <v>1.5900000000000001E-2</v>
      </c>
      <c r="J8936" s="26">
        <v>9.7000000000000003E-2</v>
      </c>
      <c r="L8936" s="26">
        <v>6.7999999999999996E-3</v>
      </c>
      <c r="M8936" s="26">
        <v>6.8599999999999994E-2</v>
      </c>
      <c r="N8936" s="26">
        <v>0.10970000000000001</v>
      </c>
      <c r="S8936">
        <v>43</v>
      </c>
    </row>
    <row r="8937" spans="1:19" x14ac:dyDescent="0.35">
      <c r="A8937" s="27" t="s">
        <v>229</v>
      </c>
      <c r="B8937" s="27" t="s">
        <v>363</v>
      </c>
      <c r="C8937" s="28">
        <v>0.29759999999999998</v>
      </c>
      <c r="D8937" s="28">
        <v>0.25569999999999998</v>
      </c>
      <c r="E8937" s="28">
        <v>0.2109</v>
      </c>
      <c r="F8937" s="28">
        <v>0.1946</v>
      </c>
      <c r="G8937" s="28">
        <v>0.18390000000000001</v>
      </c>
      <c r="H8937" s="28">
        <v>7.9000000000000001E-2</v>
      </c>
      <c r="I8937" s="28">
        <v>1.5699999999999999E-2</v>
      </c>
      <c r="J8937" s="28">
        <v>5.3E-3</v>
      </c>
      <c r="K8937" s="28">
        <v>9.4500000000000001E-2</v>
      </c>
      <c r="L8937" s="28">
        <v>0.1104</v>
      </c>
      <c r="M8937" s="28">
        <v>2.1000000000000001E-2</v>
      </c>
      <c r="N8937" s="29"/>
      <c r="O8937" s="29"/>
      <c r="P8937" s="29"/>
      <c r="Q8937" s="29"/>
      <c r="R8937" s="29"/>
      <c r="S8937" s="29" t="s">
        <v>328</v>
      </c>
    </row>
    <row r="8938" spans="1:19" x14ac:dyDescent="0.35">
      <c r="A8938" s="27" t="s">
        <v>229</v>
      </c>
      <c r="B8938" s="27" t="s">
        <v>360</v>
      </c>
      <c r="C8938" s="28">
        <v>8.7999999999999995E-2</v>
      </c>
      <c r="D8938" s="28">
        <v>0.56179999999999997</v>
      </c>
      <c r="E8938" s="28">
        <v>0.31819999999999998</v>
      </c>
      <c r="F8938" s="28">
        <v>5.4000000000000003E-3</v>
      </c>
      <c r="G8938" s="28">
        <v>5.4000000000000003E-3</v>
      </c>
      <c r="H8938" s="29"/>
      <c r="I8938" s="28">
        <v>9.5299999999999996E-2</v>
      </c>
      <c r="J8938" s="28">
        <v>2.12E-2</v>
      </c>
      <c r="K8938" s="28">
        <v>1.0500000000000001E-2</v>
      </c>
      <c r="L8938" s="28">
        <v>1.5800000000000002E-2</v>
      </c>
      <c r="M8938" s="28">
        <v>2.6599999999999999E-2</v>
      </c>
      <c r="N8938" s="29"/>
      <c r="O8938" s="29"/>
      <c r="P8938" s="28">
        <v>7.9699999999999993E-2</v>
      </c>
      <c r="Q8938" s="29"/>
      <c r="R8938" s="29"/>
      <c r="S8938" s="29" t="s">
        <v>336</v>
      </c>
    </row>
    <row r="8939" spans="1:19" x14ac:dyDescent="0.35">
      <c r="A8939" s="27" t="s">
        <v>229</v>
      </c>
      <c r="B8939" s="27" t="s">
        <v>362</v>
      </c>
      <c r="C8939" s="28">
        <v>0.12759999999999999</v>
      </c>
      <c r="D8939" s="28">
        <v>0.41339999999999999</v>
      </c>
      <c r="E8939" s="28">
        <v>0.36159999999999998</v>
      </c>
      <c r="F8939" s="29"/>
      <c r="G8939" s="28">
        <v>9.1300000000000006E-2</v>
      </c>
      <c r="H8939" s="29"/>
      <c r="I8939" s="29"/>
      <c r="J8939" s="29"/>
      <c r="K8939" s="28">
        <v>1.2E-2</v>
      </c>
      <c r="L8939" s="28">
        <v>0.1946</v>
      </c>
      <c r="M8939" s="29"/>
      <c r="N8939" s="28">
        <v>9.1300000000000006E-2</v>
      </c>
      <c r="O8939" s="29"/>
      <c r="P8939" s="29"/>
      <c r="Q8939" s="29"/>
      <c r="R8939" s="29"/>
      <c r="S8939" s="29" t="s">
        <v>350</v>
      </c>
    </row>
    <row r="8940" spans="1:19" x14ac:dyDescent="0.35">
      <c r="A8940" t="s">
        <v>229</v>
      </c>
      <c r="B8940" t="s">
        <v>361</v>
      </c>
      <c r="C8940" s="26">
        <v>0.33860000000000001</v>
      </c>
      <c r="D8940" s="26">
        <v>0.25840000000000002</v>
      </c>
      <c r="E8940" s="26">
        <v>0.20760000000000001</v>
      </c>
      <c r="F8940" s="26">
        <v>9.4700000000000006E-2</v>
      </c>
      <c r="G8940" s="26">
        <v>3.4599999999999999E-2</v>
      </c>
      <c r="H8940" s="26">
        <v>0.1148</v>
      </c>
      <c r="I8940" s="26">
        <v>6.3E-2</v>
      </c>
      <c r="J8940" s="26">
        <v>6.2E-2</v>
      </c>
      <c r="K8940" s="26">
        <v>7.3000000000000001E-3</v>
      </c>
      <c r="L8940" s="26">
        <v>2.8400000000000002E-2</v>
      </c>
      <c r="M8940" s="26">
        <v>3.27E-2</v>
      </c>
      <c r="N8940" s="26">
        <v>6.0100000000000001E-2</v>
      </c>
      <c r="Q8940" s="26">
        <v>7.3000000000000001E-3</v>
      </c>
      <c r="S8940">
        <v>42</v>
      </c>
    </row>
    <row r="8941" spans="1:19" x14ac:dyDescent="0.35">
      <c r="A8941" s="27" t="s">
        <v>230</v>
      </c>
      <c r="B8941" s="27" t="s">
        <v>361</v>
      </c>
      <c r="C8941" s="28">
        <v>0.43259999999999998</v>
      </c>
      <c r="D8941" s="28">
        <v>1.77E-2</v>
      </c>
      <c r="E8941" s="28">
        <v>0.17430000000000001</v>
      </c>
      <c r="F8941" s="28">
        <v>2.6800000000000001E-2</v>
      </c>
      <c r="G8941" s="28">
        <v>0.161</v>
      </c>
      <c r="H8941" s="28">
        <v>8.0500000000000002E-2</v>
      </c>
      <c r="I8941" s="28">
        <v>9.3799999999999994E-2</v>
      </c>
      <c r="J8941" s="28">
        <v>9.3799999999999994E-2</v>
      </c>
      <c r="K8941" s="28">
        <v>8.0500000000000002E-2</v>
      </c>
      <c r="L8941" s="29"/>
      <c r="M8941" s="28">
        <v>1.3299999999999999E-2</v>
      </c>
      <c r="N8941" s="29"/>
      <c r="O8941" s="29"/>
      <c r="P8941" s="29"/>
      <c r="Q8941" s="29"/>
      <c r="R8941" s="29"/>
      <c r="S8941" s="29" t="s">
        <v>357</v>
      </c>
    </row>
    <row r="8942" spans="1:19" x14ac:dyDescent="0.35">
      <c r="A8942" s="27" t="s">
        <v>230</v>
      </c>
      <c r="B8942" s="27" t="s">
        <v>362</v>
      </c>
      <c r="C8942" s="28">
        <v>6.7799999999999999E-2</v>
      </c>
      <c r="D8942" s="28">
        <v>0.3468</v>
      </c>
      <c r="E8942" s="28">
        <v>0.41560000000000002</v>
      </c>
      <c r="F8942" s="28">
        <v>0.1636</v>
      </c>
      <c r="G8942" s="29"/>
      <c r="H8942" s="29"/>
      <c r="I8942" s="29"/>
      <c r="J8942" s="28">
        <v>0.1351</v>
      </c>
      <c r="K8942" s="29"/>
      <c r="L8942" s="29"/>
      <c r="M8942" s="28">
        <v>2.07E-2</v>
      </c>
      <c r="N8942" s="29"/>
      <c r="O8942" s="29"/>
      <c r="P8942" s="29"/>
      <c r="Q8942" s="29"/>
      <c r="R8942" s="29"/>
      <c r="S8942" s="29" t="s">
        <v>328</v>
      </c>
    </row>
    <row r="8943" spans="1:19" x14ac:dyDescent="0.35">
      <c r="A8943" s="27" t="s">
        <v>230</v>
      </c>
      <c r="B8943" s="27" t="s">
        <v>363</v>
      </c>
      <c r="C8943" s="28">
        <v>4.02E-2</v>
      </c>
      <c r="D8943" s="28">
        <v>0.20369999999999999</v>
      </c>
      <c r="E8943" s="28">
        <v>0.25009999999999999</v>
      </c>
      <c r="F8943" s="28">
        <v>0.1047</v>
      </c>
      <c r="G8943" s="28">
        <v>0.20949999999999999</v>
      </c>
      <c r="H8943" s="29"/>
      <c r="I8943" s="29"/>
      <c r="J8943" s="28">
        <v>5.3E-3</v>
      </c>
      <c r="K8943" s="29"/>
      <c r="L8943" s="29"/>
      <c r="M8943" s="28">
        <v>0.21479999999999999</v>
      </c>
      <c r="N8943" s="29"/>
      <c r="O8943" s="29"/>
      <c r="P8943" s="29"/>
      <c r="Q8943" s="29"/>
      <c r="R8943" s="29"/>
      <c r="S8943" s="29" t="s">
        <v>350</v>
      </c>
    </row>
    <row r="8944" spans="1:19" x14ac:dyDescent="0.35">
      <c r="A8944" s="27" t="s">
        <v>230</v>
      </c>
      <c r="B8944" s="27" t="s">
        <v>360</v>
      </c>
      <c r="C8944" s="28">
        <v>0.33810000000000001</v>
      </c>
      <c r="D8944" s="28">
        <v>0.55510000000000004</v>
      </c>
      <c r="E8944" s="28">
        <v>0.42249999999999999</v>
      </c>
      <c r="F8944" s="28">
        <v>3.0499999999999999E-2</v>
      </c>
      <c r="G8944" s="28">
        <v>0.03</v>
      </c>
      <c r="H8944" s="29"/>
      <c r="I8944" s="28">
        <v>2.29E-2</v>
      </c>
      <c r="J8944" s="28">
        <v>2.29E-2</v>
      </c>
      <c r="K8944" s="28">
        <v>2.35E-2</v>
      </c>
      <c r="L8944" s="29"/>
      <c r="M8944" s="29"/>
      <c r="N8944" s="29"/>
      <c r="O8944" s="28">
        <v>0.16200000000000001</v>
      </c>
      <c r="P8944" s="29"/>
      <c r="Q8944" s="29"/>
      <c r="R8944" s="29"/>
      <c r="S8944" s="29" t="s">
        <v>328</v>
      </c>
    </row>
    <row r="8945" spans="1:19" x14ac:dyDescent="0.35">
      <c r="A8945" s="27" t="s">
        <v>231</v>
      </c>
      <c r="B8945" s="27" t="s">
        <v>362</v>
      </c>
      <c r="C8945" s="28">
        <v>0.33329999999999999</v>
      </c>
      <c r="D8945" s="29"/>
      <c r="E8945" s="28">
        <v>0.33329999999999999</v>
      </c>
      <c r="F8945" s="29"/>
      <c r="G8945" s="28">
        <v>0.33329999999999999</v>
      </c>
      <c r="H8945" s="29"/>
      <c r="I8945" s="29"/>
      <c r="J8945" s="29"/>
      <c r="K8945" s="29"/>
      <c r="L8945" s="29"/>
      <c r="M8945" s="29"/>
      <c r="N8945" s="29"/>
      <c r="O8945" s="29"/>
      <c r="P8945" s="29"/>
      <c r="Q8945" s="29"/>
      <c r="R8945" s="29"/>
      <c r="S8945" s="29" t="s">
        <v>315</v>
      </c>
    </row>
    <row r="8946" spans="1:19" x14ac:dyDescent="0.35">
      <c r="A8946" s="27" t="s">
        <v>231</v>
      </c>
      <c r="B8946" s="27" t="s">
        <v>361</v>
      </c>
      <c r="C8946" s="28">
        <v>0.42859999999999998</v>
      </c>
      <c r="D8946" s="28">
        <v>0.1429</v>
      </c>
      <c r="E8946" s="28">
        <v>0.28570000000000001</v>
      </c>
      <c r="F8946" s="28">
        <v>0.1429</v>
      </c>
      <c r="G8946" s="29"/>
      <c r="H8946" s="28">
        <v>0.28570000000000001</v>
      </c>
      <c r="I8946" s="29"/>
      <c r="J8946" s="29"/>
      <c r="K8946" s="29"/>
      <c r="L8946" s="28">
        <v>0.1429</v>
      </c>
      <c r="M8946" s="29"/>
      <c r="N8946" s="29"/>
      <c r="O8946" s="29"/>
      <c r="P8946" s="29"/>
      <c r="Q8946" s="29"/>
      <c r="R8946" s="29"/>
      <c r="S8946" s="29" t="s">
        <v>339</v>
      </c>
    </row>
    <row r="8947" spans="1:19" x14ac:dyDescent="0.35">
      <c r="A8947" s="27" t="s">
        <v>231</v>
      </c>
      <c r="B8947" s="27" t="s">
        <v>363</v>
      </c>
      <c r="C8947" s="28">
        <v>0.42859999999999998</v>
      </c>
      <c r="D8947" s="28">
        <v>0.28570000000000001</v>
      </c>
      <c r="E8947" s="28">
        <v>0.1429</v>
      </c>
      <c r="F8947" s="28">
        <v>0.28570000000000001</v>
      </c>
      <c r="G8947" s="29"/>
      <c r="H8947" s="29"/>
      <c r="I8947" s="29"/>
      <c r="J8947" s="28">
        <v>0.1429</v>
      </c>
      <c r="K8947" s="28">
        <v>0.1429</v>
      </c>
      <c r="L8947" s="29"/>
      <c r="M8947" s="29"/>
      <c r="N8947" s="29"/>
      <c r="O8947" s="29"/>
      <c r="P8947" s="29"/>
      <c r="Q8947" s="29"/>
      <c r="R8947" s="29"/>
      <c r="S8947" s="29" t="s">
        <v>339</v>
      </c>
    </row>
    <row r="8948" spans="1:19" x14ac:dyDescent="0.35">
      <c r="A8948" s="27" t="s">
        <v>231</v>
      </c>
      <c r="B8948" s="27" t="s">
        <v>360</v>
      </c>
      <c r="C8948" s="28">
        <v>0.36359999999999998</v>
      </c>
      <c r="D8948" s="28">
        <v>0.36359999999999998</v>
      </c>
      <c r="E8948" s="28">
        <v>0.36359999999999998</v>
      </c>
      <c r="F8948" s="28">
        <v>0.2727</v>
      </c>
      <c r="G8948" s="28">
        <v>0.18179999999999999</v>
      </c>
      <c r="H8948" s="29"/>
      <c r="I8948" s="28">
        <v>0.18179999999999999</v>
      </c>
      <c r="J8948" s="29"/>
      <c r="K8948" s="29"/>
      <c r="L8948" s="29"/>
      <c r="M8948" s="29"/>
      <c r="N8948" s="29"/>
      <c r="O8948" s="29"/>
      <c r="P8948" s="29"/>
      <c r="Q8948" s="29"/>
      <c r="R8948" s="29"/>
      <c r="S8948" s="29" t="s">
        <v>352</v>
      </c>
    </row>
    <row r="8949" spans="1:19" x14ac:dyDescent="0.35">
      <c r="A8949" t="s">
        <v>232</v>
      </c>
      <c r="B8949" t="s">
        <v>232</v>
      </c>
      <c r="C8949" s="26">
        <v>0.30740000000000001</v>
      </c>
      <c r="D8949" s="26">
        <v>0.30609999999999998</v>
      </c>
      <c r="E8949" s="26">
        <v>0.28370000000000001</v>
      </c>
      <c r="F8949" s="26">
        <v>0.10630000000000001</v>
      </c>
      <c r="G8949" s="26">
        <v>7.3300000000000004E-2</v>
      </c>
      <c r="H8949" s="26">
        <v>5.7000000000000002E-2</v>
      </c>
      <c r="I8949" s="26">
        <v>4.9799999999999997E-2</v>
      </c>
      <c r="J8949" s="26">
        <v>3.2599999999999997E-2</v>
      </c>
      <c r="K8949" s="26">
        <v>2.8400000000000002E-2</v>
      </c>
      <c r="L8949" s="26">
        <v>2.81E-2</v>
      </c>
      <c r="M8949" s="26">
        <v>2.6599999999999999E-2</v>
      </c>
      <c r="N8949" s="26">
        <v>2.3900000000000001E-2</v>
      </c>
      <c r="O8949" s="26">
        <v>9.4999999999999998E-3</v>
      </c>
      <c r="P8949" s="26">
        <v>4.8999999999999998E-3</v>
      </c>
      <c r="Q8949" s="26">
        <v>2.2000000000000001E-3</v>
      </c>
      <c r="R8949" s="26">
        <v>8.0000000000000004E-4</v>
      </c>
      <c r="S8949">
        <v>415</v>
      </c>
    </row>
    <row r="8951" spans="1:19" x14ac:dyDescent="0.35">
      <c r="A8951" s="1" t="s">
        <v>1239</v>
      </c>
    </row>
    <row r="8952" spans="1:19" x14ac:dyDescent="0.35">
      <c r="A8952" t="s">
        <v>219</v>
      </c>
      <c r="B8952" t="s">
        <v>305</v>
      </c>
      <c r="C8952" t="s">
        <v>1222</v>
      </c>
      <c r="D8952" t="s">
        <v>1223</v>
      </c>
      <c r="E8952" t="s">
        <v>1224</v>
      </c>
      <c r="F8952" t="s">
        <v>1225</v>
      </c>
      <c r="G8952" t="s">
        <v>1226</v>
      </c>
      <c r="H8952" t="s">
        <v>1227</v>
      </c>
      <c r="I8952" t="s">
        <v>1228</v>
      </c>
      <c r="J8952" t="s">
        <v>1229</v>
      </c>
      <c r="K8952" t="s">
        <v>1230</v>
      </c>
      <c r="L8952" t="s">
        <v>326</v>
      </c>
      <c r="M8952" t="s">
        <v>1231</v>
      </c>
      <c r="N8952" t="s">
        <v>1232</v>
      </c>
      <c r="O8952" t="s">
        <v>1233</v>
      </c>
      <c r="P8952" t="s">
        <v>286</v>
      </c>
      <c r="Q8952" t="s">
        <v>1234</v>
      </c>
      <c r="R8952" t="s">
        <v>281</v>
      </c>
      <c r="S8952" t="s">
        <v>226</v>
      </c>
    </row>
    <row r="8953" spans="1:19" x14ac:dyDescent="0.35">
      <c r="A8953" s="27" t="s">
        <v>227</v>
      </c>
      <c r="B8953" s="27" t="s">
        <v>267</v>
      </c>
      <c r="C8953" s="28">
        <v>0.5</v>
      </c>
      <c r="D8953" s="28">
        <v>0.125</v>
      </c>
      <c r="E8953" s="28">
        <v>0.25</v>
      </c>
      <c r="F8953" s="28">
        <v>0.25</v>
      </c>
      <c r="G8953" s="29"/>
      <c r="H8953" s="29"/>
      <c r="I8953" s="29"/>
      <c r="J8953" s="29"/>
      <c r="K8953" s="29"/>
      <c r="L8953" s="29"/>
      <c r="M8953" s="29"/>
      <c r="N8953" s="29"/>
      <c r="O8953" s="29"/>
      <c r="P8953" s="29"/>
      <c r="Q8953" s="29"/>
      <c r="R8953" s="29"/>
      <c r="S8953" s="29" t="s">
        <v>333</v>
      </c>
    </row>
    <row r="8954" spans="1:19" x14ac:dyDescent="0.35">
      <c r="A8954" s="27" t="s">
        <v>227</v>
      </c>
      <c r="B8954" s="27" t="s">
        <v>266</v>
      </c>
      <c r="C8954" s="28">
        <v>0.16669999999999999</v>
      </c>
      <c r="D8954" s="28">
        <v>0.33329999999999999</v>
      </c>
      <c r="E8954" s="29"/>
      <c r="F8954" s="29"/>
      <c r="G8954" s="29"/>
      <c r="H8954" s="28">
        <v>0.33329999999999999</v>
      </c>
      <c r="I8954" s="28">
        <v>0.16669999999999999</v>
      </c>
      <c r="J8954" s="29"/>
      <c r="K8954" s="28">
        <v>0.16669999999999999</v>
      </c>
      <c r="L8954" s="29"/>
      <c r="M8954" s="29"/>
      <c r="N8954" s="29"/>
      <c r="O8954" s="29"/>
      <c r="P8954" s="29"/>
      <c r="Q8954" s="29"/>
      <c r="R8954" s="29"/>
      <c r="S8954" s="29" t="s">
        <v>335</v>
      </c>
    </row>
    <row r="8955" spans="1:19" x14ac:dyDescent="0.35">
      <c r="A8955" s="27" t="s">
        <v>227</v>
      </c>
      <c r="B8955" s="27" t="s">
        <v>265</v>
      </c>
      <c r="C8955" s="28">
        <v>0.3</v>
      </c>
      <c r="D8955" s="28">
        <v>0.6</v>
      </c>
      <c r="E8955" s="28">
        <v>0.4</v>
      </c>
      <c r="F8955" s="28">
        <v>0.1</v>
      </c>
      <c r="G8955" s="29"/>
      <c r="H8955" s="29"/>
      <c r="I8955" s="28">
        <v>0.1</v>
      </c>
      <c r="J8955" s="29"/>
      <c r="K8955" s="29"/>
      <c r="L8955" s="29"/>
      <c r="M8955" s="29"/>
      <c r="N8955" s="29"/>
      <c r="O8955" s="29"/>
      <c r="P8955" s="29"/>
      <c r="Q8955" s="29"/>
      <c r="R8955" s="29"/>
      <c r="S8955" s="29" t="s">
        <v>307</v>
      </c>
    </row>
    <row r="8956" spans="1:19" x14ac:dyDescent="0.35">
      <c r="A8956" s="27" t="s">
        <v>228</v>
      </c>
      <c r="B8956" s="27" t="s">
        <v>267</v>
      </c>
      <c r="C8956" s="28">
        <v>0.21329999999999999</v>
      </c>
      <c r="D8956" s="28">
        <v>0.2722</v>
      </c>
      <c r="E8956" s="28">
        <v>0.16889999999999999</v>
      </c>
      <c r="F8956" s="28">
        <v>8.7099999999999997E-2</v>
      </c>
      <c r="G8956" s="28">
        <v>1.6299999999999999E-2</v>
      </c>
      <c r="H8956" s="29"/>
      <c r="I8956" s="28">
        <v>1.6299999999999999E-2</v>
      </c>
      <c r="J8956" s="28">
        <v>0.1986</v>
      </c>
      <c r="K8956" s="29"/>
      <c r="L8956" s="28">
        <v>9.5999999999999992E-3</v>
      </c>
      <c r="M8956" s="28">
        <v>3.2800000000000003E-2</v>
      </c>
      <c r="N8956" s="28">
        <v>0.14050000000000001</v>
      </c>
      <c r="O8956" s="28">
        <v>9.5999999999999992E-3</v>
      </c>
      <c r="P8956" s="29"/>
      <c r="Q8956" s="29"/>
      <c r="R8956" s="29"/>
      <c r="S8956" s="29" t="s">
        <v>336</v>
      </c>
    </row>
    <row r="8957" spans="1:19" x14ac:dyDescent="0.35">
      <c r="A8957" t="s">
        <v>228</v>
      </c>
      <c r="B8957" t="s">
        <v>265</v>
      </c>
      <c r="C8957" s="26">
        <v>0.43</v>
      </c>
      <c r="D8957" s="26">
        <v>0.2979</v>
      </c>
      <c r="E8957" s="26">
        <v>0.29220000000000002</v>
      </c>
      <c r="F8957" s="26">
        <v>8.0000000000000002E-3</v>
      </c>
      <c r="G8957" s="26">
        <v>6.9599999999999995E-2</v>
      </c>
      <c r="H8957" s="26">
        <v>1.46E-2</v>
      </c>
      <c r="I8957" s="26">
        <v>6.7000000000000002E-3</v>
      </c>
      <c r="J8957" s="26">
        <v>1.0200000000000001E-2</v>
      </c>
      <c r="K8957" s="26">
        <v>2.1000000000000001E-2</v>
      </c>
      <c r="L8957" s="26">
        <v>5.1000000000000004E-3</v>
      </c>
      <c r="M8957" s="26">
        <v>6.7000000000000002E-3</v>
      </c>
      <c r="N8957" s="26">
        <v>4.8099999999999997E-2</v>
      </c>
      <c r="O8957" s="26">
        <v>5.1000000000000004E-3</v>
      </c>
      <c r="S8957">
        <v>65</v>
      </c>
    </row>
    <row r="8958" spans="1:19" x14ac:dyDescent="0.35">
      <c r="A8958" s="27" t="s">
        <v>228</v>
      </c>
      <c r="B8958" s="27" t="s">
        <v>236</v>
      </c>
      <c r="C8958" s="29"/>
      <c r="D8958" s="28">
        <v>1</v>
      </c>
      <c r="E8958" s="29"/>
      <c r="F8958" s="29"/>
      <c r="G8958" s="29"/>
      <c r="H8958" s="29"/>
      <c r="I8958" s="29"/>
      <c r="J8958" s="29"/>
      <c r="K8958" s="29"/>
      <c r="L8958" s="29"/>
      <c r="M8958" s="29"/>
      <c r="N8958" s="29"/>
      <c r="O8958" s="29"/>
      <c r="P8958" s="29"/>
      <c r="Q8958" s="29"/>
      <c r="R8958" s="29"/>
      <c r="S8958" s="29" t="s">
        <v>331</v>
      </c>
    </row>
    <row r="8959" spans="1:19" x14ac:dyDescent="0.35">
      <c r="A8959" t="s">
        <v>228</v>
      </c>
      <c r="B8959" t="s">
        <v>266</v>
      </c>
      <c r="C8959" s="26">
        <v>0.22209999999999999</v>
      </c>
      <c r="D8959" s="26">
        <v>0.33019999999999999</v>
      </c>
      <c r="E8959" s="26">
        <v>0.44640000000000002</v>
      </c>
      <c r="F8959" s="26">
        <v>3.4299999999999997E-2</v>
      </c>
      <c r="G8959" s="26">
        <v>6.4799999999999996E-2</v>
      </c>
      <c r="H8959" s="26">
        <v>5.8900000000000001E-2</v>
      </c>
      <c r="I8959" s="26">
        <v>3.2899999999999999E-2</v>
      </c>
      <c r="K8959" s="26">
        <v>1.5800000000000002E-2</v>
      </c>
      <c r="M8959" s="26">
        <v>8.72E-2</v>
      </c>
      <c r="N8959" s="26">
        <v>4.6800000000000001E-2</v>
      </c>
      <c r="O8959" s="26">
        <v>6.4399999999999999E-2</v>
      </c>
      <c r="P8959" s="26">
        <v>5.4000000000000003E-3</v>
      </c>
      <c r="Q8959" s="26">
        <v>1.44E-2</v>
      </c>
      <c r="R8959" s="26">
        <v>3.2000000000000002E-3</v>
      </c>
      <c r="S8959">
        <v>75</v>
      </c>
    </row>
    <row r="8960" spans="1:19" x14ac:dyDescent="0.35">
      <c r="A8960" t="s">
        <v>229</v>
      </c>
      <c r="B8960" t="s">
        <v>266</v>
      </c>
      <c r="C8960" s="26">
        <v>0.1512</v>
      </c>
      <c r="D8960" s="26">
        <v>0.33529999999999999</v>
      </c>
      <c r="E8960" s="26">
        <v>0.39510000000000001</v>
      </c>
      <c r="F8960" s="26">
        <v>4.6300000000000001E-2</v>
      </c>
      <c r="G8960" s="26">
        <v>7.8200000000000006E-2</v>
      </c>
      <c r="H8960" s="26">
        <v>8.0399999999999999E-2</v>
      </c>
      <c r="I8960" s="26">
        <v>3.8999999999999998E-3</v>
      </c>
      <c r="J8960" s="26">
        <v>4.8999999999999998E-3</v>
      </c>
      <c r="K8960" s="26">
        <v>2.5000000000000001E-3</v>
      </c>
      <c r="L8960" s="26">
        <v>9.64E-2</v>
      </c>
      <c r="M8960" s="26">
        <v>5.6000000000000001E-2</v>
      </c>
      <c r="N8960" s="26">
        <v>8.0399999999999999E-2</v>
      </c>
      <c r="R8960" s="26">
        <v>4.7999999999999996E-3</v>
      </c>
      <c r="S8960">
        <v>51</v>
      </c>
    </row>
    <row r="8961" spans="1:19" x14ac:dyDescent="0.35">
      <c r="A8961" s="27" t="s">
        <v>229</v>
      </c>
      <c r="B8961" s="27" t="s">
        <v>267</v>
      </c>
      <c r="C8961" s="28">
        <v>0.42530000000000001</v>
      </c>
      <c r="D8961" s="28">
        <v>0.27229999999999999</v>
      </c>
      <c r="E8961" s="28">
        <v>0.20169999999999999</v>
      </c>
      <c r="F8961" s="28">
        <v>3.8E-3</v>
      </c>
      <c r="G8961" s="28">
        <v>0.12330000000000001</v>
      </c>
      <c r="H8961" s="29"/>
      <c r="I8961" s="28">
        <v>6.3500000000000001E-2</v>
      </c>
      <c r="J8961" s="28">
        <v>7.85E-2</v>
      </c>
      <c r="K8961" s="28">
        <v>7.4000000000000003E-3</v>
      </c>
      <c r="L8961" s="28">
        <v>6.3500000000000001E-2</v>
      </c>
      <c r="M8961" s="28">
        <v>6.7199999999999996E-2</v>
      </c>
      <c r="N8961" s="29"/>
      <c r="O8961" s="29"/>
      <c r="P8961" s="29"/>
      <c r="Q8961" s="29"/>
      <c r="R8961" s="29"/>
      <c r="S8961" s="29" t="s">
        <v>338</v>
      </c>
    </row>
    <row r="8962" spans="1:19" x14ac:dyDescent="0.35">
      <c r="A8962" t="s">
        <v>229</v>
      </c>
      <c r="B8962" t="s">
        <v>265</v>
      </c>
      <c r="C8962" s="26">
        <v>0.27110000000000001</v>
      </c>
      <c r="D8962" s="26">
        <v>0.31669999999999998</v>
      </c>
      <c r="E8962" s="26">
        <v>0.20699999999999999</v>
      </c>
      <c r="F8962" s="26">
        <v>0.13120000000000001</v>
      </c>
      <c r="G8962" s="26">
        <v>4.4900000000000002E-2</v>
      </c>
      <c r="H8962" s="26">
        <v>8.4500000000000006E-2</v>
      </c>
      <c r="I8962" s="26">
        <v>6.93E-2</v>
      </c>
      <c r="J8962" s="26">
        <v>3.3700000000000001E-2</v>
      </c>
      <c r="K8962" s="26">
        <v>5.2299999999999999E-2</v>
      </c>
      <c r="L8962" s="26">
        <v>2.8199999999999999E-2</v>
      </c>
      <c r="M8962" s="26">
        <v>7.4999999999999997E-3</v>
      </c>
      <c r="N8962" s="26">
        <v>2.8199999999999999E-2</v>
      </c>
      <c r="P8962" s="26">
        <v>2.8199999999999999E-2</v>
      </c>
      <c r="Q8962" s="26">
        <v>7.4999999999999997E-3</v>
      </c>
      <c r="S8962">
        <v>52</v>
      </c>
    </row>
    <row r="8963" spans="1:19" x14ac:dyDescent="0.35">
      <c r="A8963" s="27" t="s">
        <v>230</v>
      </c>
      <c r="B8963" s="27" t="s">
        <v>267</v>
      </c>
      <c r="C8963" s="28">
        <v>6.8599999999999994E-2</v>
      </c>
      <c r="D8963" s="28">
        <v>0.5242</v>
      </c>
      <c r="E8963" s="28">
        <v>7.51E-2</v>
      </c>
      <c r="F8963" s="28">
        <v>0.10349999999999999</v>
      </c>
      <c r="G8963" s="28">
        <v>0.10349999999999999</v>
      </c>
      <c r="H8963" s="29"/>
      <c r="I8963" s="28">
        <v>1.7100000000000001E-2</v>
      </c>
      <c r="J8963" s="28">
        <v>0.10879999999999999</v>
      </c>
      <c r="K8963" s="29"/>
      <c r="L8963" s="29"/>
      <c r="M8963" s="28">
        <v>1.7100000000000001E-2</v>
      </c>
      <c r="N8963" s="29"/>
      <c r="O8963" s="29"/>
      <c r="P8963" s="28">
        <v>1.7100000000000001E-2</v>
      </c>
      <c r="Q8963" s="29"/>
      <c r="R8963" s="29"/>
      <c r="S8963" s="29" t="s">
        <v>312</v>
      </c>
    </row>
    <row r="8964" spans="1:19" x14ac:dyDescent="0.35">
      <c r="A8964" s="27" t="s">
        <v>230</v>
      </c>
      <c r="B8964" s="27" t="s">
        <v>266</v>
      </c>
      <c r="C8964" s="28">
        <v>0.13930000000000001</v>
      </c>
      <c r="D8964" s="28">
        <v>0.23150000000000001</v>
      </c>
      <c r="E8964" s="28">
        <v>0.40129999999999999</v>
      </c>
      <c r="F8964" s="28">
        <v>0.1308</v>
      </c>
      <c r="G8964" s="29"/>
      <c r="H8964" s="28">
        <v>8.7099999999999997E-2</v>
      </c>
      <c r="I8964" s="29"/>
      <c r="J8964" s="28">
        <v>8.7099999999999997E-2</v>
      </c>
      <c r="K8964" s="28">
        <v>1.47E-2</v>
      </c>
      <c r="L8964" s="29"/>
      <c r="M8964" s="28">
        <v>0.1062</v>
      </c>
      <c r="N8964" s="29"/>
      <c r="O8964" s="28">
        <v>0.1014</v>
      </c>
      <c r="P8964" s="29"/>
      <c r="Q8964" s="29"/>
      <c r="R8964" s="29"/>
      <c r="S8964" s="29" t="s">
        <v>336</v>
      </c>
    </row>
    <row r="8965" spans="1:19" x14ac:dyDescent="0.35">
      <c r="A8965" t="s">
        <v>230</v>
      </c>
      <c r="B8965" t="s">
        <v>265</v>
      </c>
      <c r="C8965" s="26">
        <v>0.3679</v>
      </c>
      <c r="D8965" s="26">
        <v>0.1298</v>
      </c>
      <c r="E8965" s="26">
        <v>0.3377</v>
      </c>
      <c r="F8965" s="26">
        <v>2.1100000000000001E-2</v>
      </c>
      <c r="G8965" s="26">
        <v>0.17660000000000001</v>
      </c>
      <c r="I8965" s="26">
        <v>6.4000000000000001E-2</v>
      </c>
      <c r="J8965" s="26">
        <v>2.3699999999999999E-2</v>
      </c>
      <c r="K8965" s="26">
        <v>5.4899999999999997E-2</v>
      </c>
      <c r="M8965" s="26">
        <v>5.4899999999999997E-2</v>
      </c>
      <c r="O8965" s="26">
        <v>9.1000000000000004E-3</v>
      </c>
      <c r="P8965" s="26">
        <v>2.8E-3</v>
      </c>
      <c r="S8965">
        <v>49</v>
      </c>
    </row>
    <row r="8966" spans="1:19" x14ac:dyDescent="0.35">
      <c r="A8966" s="27" t="s">
        <v>231</v>
      </c>
      <c r="B8966" s="27" t="s">
        <v>267</v>
      </c>
      <c r="C8966" s="28">
        <v>0.33329999999999999</v>
      </c>
      <c r="D8966" s="28">
        <v>0.16669999999999999</v>
      </c>
      <c r="E8966" s="28">
        <v>0.16669999999999999</v>
      </c>
      <c r="F8966" s="28">
        <v>0.16669999999999999</v>
      </c>
      <c r="G8966" s="29"/>
      <c r="H8966" s="29"/>
      <c r="I8966" s="29"/>
      <c r="J8966" s="28">
        <v>0.16669999999999999</v>
      </c>
      <c r="K8966" s="29"/>
      <c r="L8966" s="28">
        <v>0.16669999999999999</v>
      </c>
      <c r="M8966" s="29"/>
      <c r="N8966" s="29"/>
      <c r="O8966" s="29"/>
      <c r="P8966" s="29"/>
      <c r="Q8966" s="29"/>
      <c r="R8966" s="29"/>
      <c r="S8966" s="29" t="s">
        <v>335</v>
      </c>
    </row>
    <row r="8967" spans="1:19" x14ac:dyDescent="0.35">
      <c r="A8967" s="27" t="s">
        <v>231</v>
      </c>
      <c r="B8967" s="27" t="s">
        <v>266</v>
      </c>
      <c r="C8967" s="28">
        <v>0.33329999999999999</v>
      </c>
      <c r="D8967" s="28">
        <v>0.1111</v>
      </c>
      <c r="E8967" s="28">
        <v>0.44440000000000002</v>
      </c>
      <c r="F8967" s="28">
        <v>0.22220000000000001</v>
      </c>
      <c r="G8967" s="29"/>
      <c r="H8967" s="28">
        <v>0.1111</v>
      </c>
      <c r="I8967" s="28">
        <v>0.1111</v>
      </c>
      <c r="J8967" s="29"/>
      <c r="K8967" s="29"/>
      <c r="L8967" s="29"/>
      <c r="M8967" s="29"/>
      <c r="N8967" s="29"/>
      <c r="O8967" s="29"/>
      <c r="P8967" s="29"/>
      <c r="Q8967" s="29"/>
      <c r="R8967" s="29"/>
      <c r="S8967" s="29" t="s">
        <v>334</v>
      </c>
    </row>
    <row r="8968" spans="1:19" x14ac:dyDescent="0.35">
      <c r="A8968" s="27" t="s">
        <v>231</v>
      </c>
      <c r="B8968" s="27" t="s">
        <v>265</v>
      </c>
      <c r="C8968" s="28">
        <v>0.42859999999999998</v>
      </c>
      <c r="D8968" s="28">
        <v>0.42859999999999998</v>
      </c>
      <c r="E8968" s="28">
        <v>0.21429999999999999</v>
      </c>
      <c r="F8968" s="28">
        <v>0.21429999999999999</v>
      </c>
      <c r="G8968" s="28">
        <v>0.21429999999999999</v>
      </c>
      <c r="H8968" s="28">
        <v>7.1400000000000005E-2</v>
      </c>
      <c r="I8968" s="28">
        <v>7.1400000000000005E-2</v>
      </c>
      <c r="J8968" s="29"/>
      <c r="K8968" s="28">
        <v>7.1400000000000005E-2</v>
      </c>
      <c r="L8968" s="29"/>
      <c r="M8968" s="29"/>
      <c r="N8968" s="29"/>
      <c r="O8968" s="29"/>
      <c r="P8968" s="29"/>
      <c r="Q8968" s="29"/>
      <c r="R8968" s="29"/>
      <c r="S8968" s="29" t="s">
        <v>379</v>
      </c>
    </row>
    <row r="8969" spans="1:19" x14ac:dyDescent="0.35">
      <c r="A8969" t="s">
        <v>232</v>
      </c>
      <c r="B8969" t="s">
        <v>232</v>
      </c>
      <c r="C8969" s="26">
        <v>0.30740000000000001</v>
      </c>
      <c r="D8969" s="26">
        <v>0.30609999999999998</v>
      </c>
      <c r="E8969" s="26">
        <v>0.28370000000000001</v>
      </c>
      <c r="F8969" s="26">
        <v>0.10630000000000001</v>
      </c>
      <c r="G8969" s="26">
        <v>7.3300000000000004E-2</v>
      </c>
      <c r="H8969" s="26">
        <v>5.7000000000000002E-2</v>
      </c>
      <c r="I8969" s="26">
        <v>4.9799999999999997E-2</v>
      </c>
      <c r="J8969" s="26">
        <v>3.2599999999999997E-2</v>
      </c>
      <c r="K8969" s="26">
        <v>2.8400000000000002E-2</v>
      </c>
      <c r="L8969" s="26">
        <v>2.81E-2</v>
      </c>
      <c r="M8969" s="26">
        <v>2.6599999999999999E-2</v>
      </c>
      <c r="N8969" s="26">
        <v>2.3900000000000001E-2</v>
      </c>
      <c r="O8969" s="26">
        <v>9.4999999999999998E-3</v>
      </c>
      <c r="P8969" s="26">
        <v>4.8999999999999998E-3</v>
      </c>
      <c r="Q8969" s="26">
        <v>2.2000000000000001E-3</v>
      </c>
      <c r="R8969" s="26">
        <v>8.0000000000000004E-4</v>
      </c>
      <c r="S8969">
        <v>454</v>
      </c>
    </row>
    <row r="8971" spans="1:19" x14ac:dyDescent="0.35">
      <c r="A8971" s="1" t="s">
        <v>1240</v>
      </c>
    </row>
    <row r="8972" spans="1:19" x14ac:dyDescent="0.35">
      <c r="A8972" t="s">
        <v>219</v>
      </c>
      <c r="B8972" t="s">
        <v>305</v>
      </c>
      <c r="C8972" t="s">
        <v>1222</v>
      </c>
      <c r="D8972" t="s">
        <v>1223</v>
      </c>
      <c r="E8972" t="s">
        <v>1224</v>
      </c>
      <c r="F8972" t="s">
        <v>1225</v>
      </c>
      <c r="G8972" t="s">
        <v>1226</v>
      </c>
      <c r="H8972" t="s">
        <v>1227</v>
      </c>
      <c r="I8972" t="s">
        <v>1228</v>
      </c>
      <c r="J8972" t="s">
        <v>1229</v>
      </c>
      <c r="K8972" t="s">
        <v>1230</v>
      </c>
      <c r="L8972" t="s">
        <v>326</v>
      </c>
      <c r="M8972" t="s">
        <v>1231</v>
      </c>
      <c r="N8972" t="s">
        <v>1232</v>
      </c>
      <c r="O8972" t="s">
        <v>1233</v>
      </c>
      <c r="P8972" t="s">
        <v>286</v>
      </c>
      <c r="Q8972" t="s">
        <v>1234</v>
      </c>
      <c r="R8972" t="s">
        <v>281</v>
      </c>
      <c r="S8972" t="s">
        <v>226</v>
      </c>
    </row>
    <row r="8973" spans="1:19" x14ac:dyDescent="0.35">
      <c r="A8973" s="27" t="s">
        <v>227</v>
      </c>
      <c r="B8973" s="27" t="s">
        <v>252</v>
      </c>
      <c r="C8973" s="28">
        <v>0.25</v>
      </c>
      <c r="D8973" s="28">
        <v>0.5</v>
      </c>
      <c r="E8973" s="28">
        <v>0.25</v>
      </c>
      <c r="F8973" s="29"/>
      <c r="G8973" s="29"/>
      <c r="H8973" s="28">
        <v>0.25</v>
      </c>
      <c r="I8973" s="28">
        <v>0.25</v>
      </c>
      <c r="J8973" s="29"/>
      <c r="K8973" s="29"/>
      <c r="L8973" s="29"/>
      <c r="M8973" s="29"/>
      <c r="N8973" s="29"/>
      <c r="O8973" s="29"/>
      <c r="P8973" s="29"/>
      <c r="Q8973" s="29"/>
      <c r="R8973" s="29"/>
      <c r="S8973" s="29" t="s">
        <v>337</v>
      </c>
    </row>
    <row r="8974" spans="1:19" x14ac:dyDescent="0.35">
      <c r="A8974" s="27" t="s">
        <v>227</v>
      </c>
      <c r="B8974" s="27" t="s">
        <v>253</v>
      </c>
      <c r="C8974" s="28">
        <v>0.2</v>
      </c>
      <c r="D8974" s="28">
        <v>0.6</v>
      </c>
      <c r="E8974" s="28">
        <v>0.2</v>
      </c>
      <c r="F8974" s="29"/>
      <c r="G8974" s="29"/>
      <c r="H8974" s="29"/>
      <c r="I8974" s="28">
        <v>0.2</v>
      </c>
      <c r="J8974" s="29"/>
      <c r="K8974" s="29"/>
      <c r="L8974" s="29"/>
      <c r="M8974" s="29"/>
      <c r="N8974" s="29"/>
      <c r="O8974" s="29"/>
      <c r="P8974" s="29"/>
      <c r="Q8974" s="29"/>
      <c r="R8974" s="29"/>
      <c r="S8974" s="29" t="s">
        <v>332</v>
      </c>
    </row>
    <row r="8975" spans="1:19" x14ac:dyDescent="0.35">
      <c r="A8975" s="27" t="s">
        <v>227</v>
      </c>
      <c r="B8975" s="27" t="s">
        <v>251</v>
      </c>
      <c r="C8975" s="28">
        <v>0.4</v>
      </c>
      <c r="D8975" s="28">
        <v>0.26669999999999999</v>
      </c>
      <c r="E8975" s="28">
        <v>0.26669999999999999</v>
      </c>
      <c r="F8975" s="28">
        <v>0.2</v>
      </c>
      <c r="G8975" s="29"/>
      <c r="H8975" s="28">
        <v>6.6699999999999995E-2</v>
      </c>
      <c r="I8975" s="29"/>
      <c r="J8975" s="29"/>
      <c r="K8975" s="28">
        <v>6.6699999999999995E-2</v>
      </c>
      <c r="L8975" s="29"/>
      <c r="M8975" s="29"/>
      <c r="N8975" s="29"/>
      <c r="O8975" s="29"/>
      <c r="P8975" s="29"/>
      <c r="Q8975" s="29"/>
      <c r="R8975" s="29"/>
      <c r="S8975" s="29" t="s">
        <v>346</v>
      </c>
    </row>
    <row r="8976" spans="1:19" x14ac:dyDescent="0.35">
      <c r="A8976" t="s">
        <v>228</v>
      </c>
      <c r="B8976" t="s">
        <v>252</v>
      </c>
      <c r="C8976" s="26">
        <v>0.1356</v>
      </c>
      <c r="D8976" s="26">
        <v>0.374</v>
      </c>
      <c r="E8976" s="26">
        <v>0.45850000000000002</v>
      </c>
      <c r="F8976" s="26">
        <v>3.7499999999999999E-2</v>
      </c>
      <c r="G8976" s="26">
        <v>6.8999999999999999E-3</v>
      </c>
      <c r="H8976" s="26">
        <v>0.12809999999999999</v>
      </c>
      <c r="I8976" s="26">
        <v>2.2499999999999999E-2</v>
      </c>
      <c r="K8976" s="26">
        <v>4.9000000000000002E-2</v>
      </c>
      <c r="N8976" s="26">
        <v>6.8999999999999999E-3</v>
      </c>
      <c r="Q8976" s="26">
        <v>1.5599999999999999E-2</v>
      </c>
      <c r="R8976" s="26">
        <v>6.8999999999999999E-3</v>
      </c>
      <c r="S8976">
        <v>43</v>
      </c>
    </row>
    <row r="8977" spans="1:19" x14ac:dyDescent="0.35">
      <c r="A8977" t="s">
        <v>228</v>
      </c>
      <c r="B8977" t="s">
        <v>253</v>
      </c>
      <c r="C8977" s="26">
        <v>0.34050000000000002</v>
      </c>
      <c r="D8977" s="26">
        <v>0.55649999999999999</v>
      </c>
      <c r="E8977" s="26">
        <v>0.2087</v>
      </c>
      <c r="G8977" s="26">
        <v>0.12230000000000001</v>
      </c>
      <c r="K8977" s="26">
        <v>1.61E-2</v>
      </c>
      <c r="L8977" s="26">
        <v>7.1000000000000004E-3</v>
      </c>
      <c r="N8977" s="26">
        <v>0.12280000000000001</v>
      </c>
      <c r="O8977" s="26">
        <v>0.1295</v>
      </c>
      <c r="S8977">
        <v>32</v>
      </c>
    </row>
    <row r="8978" spans="1:19" x14ac:dyDescent="0.35">
      <c r="A8978" t="s">
        <v>228</v>
      </c>
      <c r="B8978" t="s">
        <v>251</v>
      </c>
      <c r="C8978" s="26">
        <v>0.34989999999999999</v>
      </c>
      <c r="D8978" s="26">
        <v>0.23580000000000001</v>
      </c>
      <c r="E8978" s="26">
        <v>0.33179999999999998</v>
      </c>
      <c r="F8978" s="26">
        <v>3.5400000000000001E-2</v>
      </c>
      <c r="G8978" s="26">
        <v>5.6500000000000002E-2</v>
      </c>
      <c r="H8978" s="26">
        <v>1.01E-2</v>
      </c>
      <c r="I8978" s="26">
        <v>2.2800000000000001E-2</v>
      </c>
      <c r="J8978" s="26">
        <v>4.99E-2</v>
      </c>
      <c r="K8978" s="26">
        <v>5.5999999999999999E-3</v>
      </c>
      <c r="L8978" s="26">
        <v>3.5000000000000001E-3</v>
      </c>
      <c r="M8978" s="26">
        <v>6.83E-2</v>
      </c>
      <c r="N8978" s="26">
        <v>5.6500000000000002E-2</v>
      </c>
      <c r="O8978" s="26">
        <v>9.9000000000000008E-3</v>
      </c>
      <c r="P8978" s="26">
        <v>3.5000000000000001E-3</v>
      </c>
      <c r="Q8978" s="26">
        <v>4.7000000000000002E-3</v>
      </c>
      <c r="S8978">
        <v>94</v>
      </c>
    </row>
    <row r="8979" spans="1:19" x14ac:dyDescent="0.35">
      <c r="A8979" s="27" t="s">
        <v>229</v>
      </c>
      <c r="B8979" s="27" t="s">
        <v>252</v>
      </c>
      <c r="C8979" s="28">
        <v>0.30530000000000002</v>
      </c>
      <c r="D8979" s="28">
        <v>0.4723</v>
      </c>
      <c r="E8979" s="28">
        <v>0.1484</v>
      </c>
      <c r="F8979" s="29"/>
      <c r="G8979" s="28">
        <v>0.13900000000000001</v>
      </c>
      <c r="H8979" s="29"/>
      <c r="I8979" s="28">
        <v>9.4000000000000004E-3</v>
      </c>
      <c r="J8979" s="28">
        <v>4.6399999999999997E-2</v>
      </c>
      <c r="K8979" s="29"/>
      <c r="L8979" s="28">
        <v>2.76E-2</v>
      </c>
      <c r="M8979" s="29"/>
      <c r="N8979" s="28">
        <v>0.13900000000000001</v>
      </c>
      <c r="O8979" s="29"/>
      <c r="P8979" s="29"/>
      <c r="Q8979" s="29"/>
      <c r="R8979" s="29"/>
      <c r="S8979" s="29" t="s">
        <v>346</v>
      </c>
    </row>
    <row r="8980" spans="1:19" x14ac:dyDescent="0.35">
      <c r="A8980" s="27" t="s">
        <v>229</v>
      </c>
      <c r="B8980" s="27" t="s">
        <v>253</v>
      </c>
      <c r="C8980" s="28">
        <v>0.17249999999999999</v>
      </c>
      <c r="D8980" s="28">
        <v>0.52400000000000002</v>
      </c>
      <c r="E8980" s="28">
        <v>0.248</v>
      </c>
      <c r="F8980" s="28">
        <v>6.5500000000000003E-2</v>
      </c>
      <c r="G8980" s="28">
        <v>3.5000000000000001E-3</v>
      </c>
      <c r="H8980" s="29"/>
      <c r="I8980" s="28">
        <v>6.2E-2</v>
      </c>
      <c r="J8980" s="28">
        <v>1.03E-2</v>
      </c>
      <c r="K8980" s="28">
        <v>6.7999999999999996E-3</v>
      </c>
      <c r="L8980" s="28">
        <v>0.1036</v>
      </c>
      <c r="M8980" s="28">
        <v>1.38E-2</v>
      </c>
      <c r="N8980" s="29"/>
      <c r="O8980" s="29"/>
      <c r="P8980" s="28">
        <v>5.1799999999999999E-2</v>
      </c>
      <c r="Q8980" s="29"/>
      <c r="R8980" s="29"/>
      <c r="S8980" s="29" t="s">
        <v>357</v>
      </c>
    </row>
    <row r="8981" spans="1:19" x14ac:dyDescent="0.35">
      <c r="A8981" t="s">
        <v>229</v>
      </c>
      <c r="B8981" t="s">
        <v>251</v>
      </c>
      <c r="C8981" s="26">
        <v>0.29199999999999998</v>
      </c>
      <c r="D8981" s="26">
        <v>0.21690000000000001</v>
      </c>
      <c r="E8981" s="26">
        <v>0.29330000000000001</v>
      </c>
      <c r="F8981" s="26">
        <v>8.7300000000000003E-2</v>
      </c>
      <c r="G8981" s="26">
        <v>8.9700000000000002E-2</v>
      </c>
      <c r="H8981" s="26">
        <v>9.6000000000000002E-2</v>
      </c>
      <c r="I8981" s="26">
        <v>4.4999999999999998E-2</v>
      </c>
      <c r="J8981" s="26">
        <v>4.0599999999999997E-2</v>
      </c>
      <c r="K8981" s="26">
        <v>3.5499999999999997E-2</v>
      </c>
      <c r="L8981" s="26">
        <v>4.7399999999999998E-2</v>
      </c>
      <c r="M8981" s="26">
        <v>5.0299999999999997E-2</v>
      </c>
      <c r="N8981" s="26">
        <v>4.0599999999999997E-2</v>
      </c>
      <c r="Q8981" s="26">
        <v>4.8999999999999998E-3</v>
      </c>
      <c r="R8981" s="26">
        <v>2.3999999999999998E-3</v>
      </c>
      <c r="S8981">
        <v>89</v>
      </c>
    </row>
    <row r="8982" spans="1:19" x14ac:dyDescent="0.35">
      <c r="A8982" s="27" t="s">
        <v>230</v>
      </c>
      <c r="B8982" s="27" t="s">
        <v>252</v>
      </c>
      <c r="C8982" s="28">
        <v>3.6200000000000003E-2</v>
      </c>
      <c r="D8982" s="28">
        <v>0.62309999999999999</v>
      </c>
      <c r="E8982" s="28">
        <v>0.41389999999999999</v>
      </c>
      <c r="F8982" s="28">
        <v>3.6999999999999998E-2</v>
      </c>
      <c r="G8982" s="29"/>
      <c r="H8982" s="29"/>
      <c r="I8982" s="29"/>
      <c r="J8982" s="29"/>
      <c r="K8982" s="29"/>
      <c r="L8982" s="29"/>
      <c r="M8982" s="29"/>
      <c r="N8982" s="29"/>
      <c r="O8982" s="28">
        <v>3.6200000000000003E-2</v>
      </c>
      <c r="P8982" s="29"/>
      <c r="Q8982" s="29"/>
      <c r="R8982" s="29"/>
      <c r="S8982" s="29" t="s">
        <v>341</v>
      </c>
    </row>
    <row r="8983" spans="1:19" x14ac:dyDescent="0.35">
      <c r="A8983" s="27" t="s">
        <v>230</v>
      </c>
      <c r="B8983" s="27" t="s">
        <v>253</v>
      </c>
      <c r="C8983" s="28">
        <v>0.21099999999999999</v>
      </c>
      <c r="D8983" s="28">
        <v>0.189</v>
      </c>
      <c r="E8983" s="28">
        <v>2.52E-2</v>
      </c>
      <c r="F8983" s="28">
        <v>0.15129999999999999</v>
      </c>
      <c r="G8983" s="29"/>
      <c r="H8983" s="29"/>
      <c r="I8983" s="28">
        <v>4.0899999999999999E-2</v>
      </c>
      <c r="J8983" s="28">
        <v>0.13039999999999999</v>
      </c>
      <c r="K8983" s="28">
        <v>2.0899999999999998E-2</v>
      </c>
      <c r="L8983" s="29"/>
      <c r="M8983" s="28">
        <v>0.26910000000000001</v>
      </c>
      <c r="N8983" s="29"/>
      <c r="O8983" s="28">
        <v>2.0400000000000001E-2</v>
      </c>
      <c r="P8983" s="29"/>
      <c r="Q8983" s="29"/>
      <c r="R8983" s="29"/>
      <c r="S8983" s="29" t="s">
        <v>357</v>
      </c>
    </row>
    <row r="8984" spans="1:19" x14ac:dyDescent="0.35">
      <c r="A8984" t="s">
        <v>230</v>
      </c>
      <c r="B8984" t="s">
        <v>251</v>
      </c>
      <c r="C8984" s="26">
        <v>0.26540000000000002</v>
      </c>
      <c r="D8984" s="26">
        <v>0.214</v>
      </c>
      <c r="E8984" s="26">
        <v>0.35139999999999999</v>
      </c>
      <c r="F8984" s="26">
        <v>5.6099999999999997E-2</v>
      </c>
      <c r="G8984" s="26">
        <v>0.15770000000000001</v>
      </c>
      <c r="H8984" s="26">
        <v>3.7400000000000003E-2</v>
      </c>
      <c r="I8984" s="26">
        <v>3.7400000000000003E-2</v>
      </c>
      <c r="J8984" s="26">
        <v>5.3499999999999999E-2</v>
      </c>
      <c r="K8984" s="26">
        <v>3.7400000000000003E-2</v>
      </c>
      <c r="M8984" s="26">
        <v>8.0999999999999996E-3</v>
      </c>
      <c r="O8984" s="26">
        <v>3.7400000000000003E-2</v>
      </c>
      <c r="P8984" s="26">
        <v>8.0999999999999996E-3</v>
      </c>
      <c r="S8984">
        <v>63</v>
      </c>
    </row>
    <row r="8985" spans="1:19" x14ac:dyDescent="0.35">
      <c r="A8985" s="27" t="s">
        <v>231</v>
      </c>
      <c r="B8985" s="27" t="s">
        <v>252</v>
      </c>
      <c r="C8985" s="29"/>
      <c r="D8985" s="28">
        <v>0.25</v>
      </c>
      <c r="E8985" s="28">
        <v>0.5</v>
      </c>
      <c r="F8985" s="28">
        <v>0.25</v>
      </c>
      <c r="G8985" s="29"/>
      <c r="H8985" s="29"/>
      <c r="I8985" s="29"/>
      <c r="J8985" s="29"/>
      <c r="K8985" s="29"/>
      <c r="L8985" s="29"/>
      <c r="M8985" s="29"/>
      <c r="N8985" s="29"/>
      <c r="O8985" s="29"/>
      <c r="P8985" s="29"/>
      <c r="Q8985" s="29"/>
      <c r="R8985" s="29"/>
      <c r="S8985" s="29" t="s">
        <v>337</v>
      </c>
    </row>
    <row r="8986" spans="1:19" x14ac:dyDescent="0.35">
      <c r="A8986" s="27" t="s">
        <v>231</v>
      </c>
      <c r="B8986" s="27" t="s">
        <v>253</v>
      </c>
      <c r="C8986" s="28">
        <v>0.33329999999999999</v>
      </c>
      <c r="D8986" s="28">
        <v>0.33329999999999999</v>
      </c>
      <c r="E8986" s="28">
        <v>0.33329999999999999</v>
      </c>
      <c r="F8986" s="28">
        <v>0.33329999999999999</v>
      </c>
      <c r="G8986" s="29"/>
      <c r="H8986" s="29"/>
      <c r="I8986" s="29"/>
      <c r="J8986" s="29"/>
      <c r="K8986" s="29"/>
      <c r="L8986" s="29"/>
      <c r="M8986" s="29"/>
      <c r="N8986" s="29"/>
      <c r="O8986" s="29"/>
      <c r="P8986" s="29"/>
      <c r="Q8986" s="29"/>
      <c r="R8986" s="29"/>
      <c r="S8986" s="29" t="s">
        <v>315</v>
      </c>
    </row>
    <row r="8987" spans="1:19" x14ac:dyDescent="0.35">
      <c r="A8987" s="27" t="s">
        <v>231</v>
      </c>
      <c r="B8987" s="27" t="s">
        <v>251</v>
      </c>
      <c r="C8987" s="28">
        <v>0.45450000000000002</v>
      </c>
      <c r="D8987" s="28">
        <v>0.2727</v>
      </c>
      <c r="E8987" s="28">
        <v>0.2273</v>
      </c>
      <c r="F8987" s="28">
        <v>0.18179999999999999</v>
      </c>
      <c r="G8987" s="28">
        <v>0.13639999999999999</v>
      </c>
      <c r="H8987" s="28">
        <v>9.0899999999999995E-2</v>
      </c>
      <c r="I8987" s="28">
        <v>9.0899999999999995E-2</v>
      </c>
      <c r="J8987" s="28">
        <v>4.5499999999999999E-2</v>
      </c>
      <c r="K8987" s="28">
        <v>4.5499999999999999E-2</v>
      </c>
      <c r="L8987" s="28">
        <v>4.5499999999999999E-2</v>
      </c>
      <c r="M8987" s="29"/>
      <c r="N8987" s="29"/>
      <c r="O8987" s="29"/>
      <c r="P8987" s="29"/>
      <c r="Q8987" s="29"/>
      <c r="R8987" s="29"/>
      <c r="S8987" s="29" t="s">
        <v>347</v>
      </c>
    </row>
    <row r="8988" spans="1:19" x14ac:dyDescent="0.35">
      <c r="A8988" t="s">
        <v>232</v>
      </c>
      <c r="B8988" t="s">
        <v>232</v>
      </c>
      <c r="C8988" s="26">
        <v>0.30740000000000001</v>
      </c>
      <c r="D8988" s="26">
        <v>0.30609999999999998</v>
      </c>
      <c r="E8988" s="26">
        <v>0.28370000000000001</v>
      </c>
      <c r="F8988" s="26">
        <v>0.10630000000000001</v>
      </c>
      <c r="G8988" s="26">
        <v>7.3300000000000004E-2</v>
      </c>
      <c r="H8988" s="26">
        <v>5.7000000000000002E-2</v>
      </c>
      <c r="I8988" s="26">
        <v>4.9799999999999997E-2</v>
      </c>
      <c r="J8988" s="26">
        <v>3.2599999999999997E-2</v>
      </c>
      <c r="K8988" s="26">
        <v>2.8400000000000002E-2</v>
      </c>
      <c r="L8988" s="26">
        <v>2.81E-2</v>
      </c>
      <c r="M8988" s="26">
        <v>2.6599999999999999E-2</v>
      </c>
      <c r="N8988" s="26">
        <v>2.3900000000000001E-2</v>
      </c>
      <c r="O8988" s="26">
        <v>9.4999999999999998E-3</v>
      </c>
      <c r="P8988" s="26">
        <v>4.8999999999999998E-3</v>
      </c>
      <c r="Q8988" s="26">
        <v>2.2000000000000001E-3</v>
      </c>
      <c r="R8988" s="26">
        <v>8.0000000000000004E-4</v>
      </c>
      <c r="S8988">
        <v>454</v>
      </c>
    </row>
    <row r="8990" spans="1:19" x14ac:dyDescent="0.35">
      <c r="A8990" s="1" t="s">
        <v>1241</v>
      </c>
    </row>
    <row r="8991" spans="1:19" x14ac:dyDescent="0.35">
      <c r="A8991" t="s">
        <v>219</v>
      </c>
      <c r="B8991" t="s">
        <v>305</v>
      </c>
      <c r="C8991" t="s">
        <v>1222</v>
      </c>
      <c r="D8991" t="s">
        <v>1223</v>
      </c>
      <c r="E8991" t="s">
        <v>1224</v>
      </c>
      <c r="F8991" t="s">
        <v>1225</v>
      </c>
      <c r="G8991" t="s">
        <v>1226</v>
      </c>
      <c r="H8991" t="s">
        <v>1227</v>
      </c>
      <c r="I8991" t="s">
        <v>1228</v>
      </c>
      <c r="J8991" t="s">
        <v>1229</v>
      </c>
      <c r="K8991" t="s">
        <v>1230</v>
      </c>
      <c r="L8991" t="s">
        <v>326</v>
      </c>
      <c r="M8991" t="s">
        <v>1231</v>
      </c>
      <c r="N8991" t="s">
        <v>1232</v>
      </c>
      <c r="O8991" t="s">
        <v>1233</v>
      </c>
      <c r="P8991" t="s">
        <v>286</v>
      </c>
      <c r="Q8991" t="s">
        <v>1234</v>
      </c>
      <c r="R8991" t="s">
        <v>281</v>
      </c>
      <c r="S8991" t="s">
        <v>226</v>
      </c>
    </row>
    <row r="8992" spans="1:19" x14ac:dyDescent="0.35">
      <c r="A8992" s="27" t="s">
        <v>227</v>
      </c>
      <c r="B8992" s="27" t="s">
        <v>249</v>
      </c>
      <c r="C8992" s="28">
        <v>0.2727</v>
      </c>
      <c r="D8992" s="28">
        <v>0.63639999999999997</v>
      </c>
      <c r="E8992" s="28">
        <v>0.2727</v>
      </c>
      <c r="F8992" s="28">
        <v>0.18179999999999999</v>
      </c>
      <c r="G8992" s="29"/>
      <c r="H8992" s="29"/>
      <c r="I8992" s="29"/>
      <c r="J8992" s="29"/>
      <c r="K8992" s="28">
        <v>9.0899999999999995E-2</v>
      </c>
      <c r="L8992" s="29"/>
      <c r="M8992" s="29"/>
      <c r="N8992" s="29"/>
      <c r="O8992" s="29"/>
      <c r="P8992" s="29"/>
      <c r="Q8992" s="29"/>
      <c r="R8992" s="29"/>
      <c r="S8992" s="29" t="s">
        <v>352</v>
      </c>
    </row>
    <row r="8993" spans="1:19" x14ac:dyDescent="0.35">
      <c r="A8993" s="27" t="s">
        <v>227</v>
      </c>
      <c r="B8993" s="27" t="s">
        <v>248</v>
      </c>
      <c r="C8993" s="28">
        <v>0.3846</v>
      </c>
      <c r="D8993" s="28">
        <v>0.15379999999999999</v>
      </c>
      <c r="E8993" s="28">
        <v>0.23080000000000001</v>
      </c>
      <c r="F8993" s="28">
        <v>7.6899999999999996E-2</v>
      </c>
      <c r="G8993" s="29"/>
      <c r="H8993" s="28">
        <v>0.15379999999999999</v>
      </c>
      <c r="I8993" s="28">
        <v>0.15379999999999999</v>
      </c>
      <c r="J8993" s="29"/>
      <c r="K8993" s="29"/>
      <c r="L8993" s="29"/>
      <c r="M8993" s="29"/>
      <c r="N8993" s="29"/>
      <c r="O8993" s="29"/>
      <c r="P8993" s="29"/>
      <c r="Q8993" s="29"/>
      <c r="R8993" s="29"/>
      <c r="S8993" s="29" t="s">
        <v>341</v>
      </c>
    </row>
    <row r="8994" spans="1:19" x14ac:dyDescent="0.35">
      <c r="A8994" t="s">
        <v>228</v>
      </c>
      <c r="B8994" t="s">
        <v>249</v>
      </c>
      <c r="C8994" s="26">
        <v>0.44479999999999997</v>
      </c>
      <c r="D8994" s="26">
        <v>0.25230000000000002</v>
      </c>
      <c r="E8994" s="26">
        <v>0.41170000000000001</v>
      </c>
      <c r="F8994" s="26">
        <v>2.0400000000000001E-2</v>
      </c>
      <c r="G8994" s="26">
        <v>3.5299999999999998E-2</v>
      </c>
      <c r="H8994" s="26">
        <v>1.41E-2</v>
      </c>
      <c r="I8994" s="26">
        <v>2.69E-2</v>
      </c>
      <c r="K8994" s="26">
        <v>4.8999999999999998E-3</v>
      </c>
      <c r="L8994" s="26">
        <v>4.8999999999999998E-3</v>
      </c>
      <c r="M8994" s="26">
        <v>6.4999999999999997E-3</v>
      </c>
      <c r="N8994" s="26">
        <v>4.5100000000000001E-2</v>
      </c>
      <c r="O8994" s="26">
        <v>6.3100000000000003E-2</v>
      </c>
      <c r="Q8994" s="26">
        <v>6.4999999999999997E-3</v>
      </c>
      <c r="S8994">
        <v>63</v>
      </c>
    </row>
    <row r="8995" spans="1:19" x14ac:dyDescent="0.35">
      <c r="A8995" t="s">
        <v>228</v>
      </c>
      <c r="B8995" t="s">
        <v>248</v>
      </c>
      <c r="C8995" s="26">
        <v>0.19489999999999999</v>
      </c>
      <c r="D8995" s="26">
        <v>0.37609999999999999</v>
      </c>
      <c r="E8995" s="26">
        <v>0.26850000000000002</v>
      </c>
      <c r="F8995" s="26">
        <v>3.6799999999999999E-2</v>
      </c>
      <c r="G8995" s="26">
        <v>7.8799999999999995E-2</v>
      </c>
      <c r="H8995" s="26">
        <v>4.3900000000000002E-2</v>
      </c>
      <c r="I8995" s="26">
        <v>1.18E-2</v>
      </c>
      <c r="J8995" s="26">
        <v>5.74E-2</v>
      </c>
      <c r="K8995" s="26">
        <v>2.4500000000000001E-2</v>
      </c>
      <c r="L8995" s="26">
        <v>2.3999999999999998E-3</v>
      </c>
      <c r="M8995" s="26">
        <v>7.3200000000000001E-2</v>
      </c>
      <c r="N8995" s="26">
        <v>7.0900000000000005E-2</v>
      </c>
      <c r="O8995" s="26">
        <v>2.3999999999999998E-3</v>
      </c>
      <c r="P8995" s="26">
        <v>4.0000000000000001E-3</v>
      </c>
      <c r="Q8995" s="26">
        <v>5.4000000000000003E-3</v>
      </c>
      <c r="R8995" s="26">
        <v>2.3999999999999998E-3</v>
      </c>
      <c r="S8995">
        <v>106</v>
      </c>
    </row>
    <row r="8996" spans="1:19" x14ac:dyDescent="0.35">
      <c r="A8996" t="s">
        <v>229</v>
      </c>
      <c r="B8996" t="s">
        <v>249</v>
      </c>
      <c r="C8996" s="26">
        <v>0.30080000000000001</v>
      </c>
      <c r="D8996" s="26">
        <v>0.37869999999999998</v>
      </c>
      <c r="E8996" s="26">
        <v>0.25290000000000001</v>
      </c>
      <c r="F8996" s="26">
        <v>8.9099999999999999E-2</v>
      </c>
      <c r="G8996" s="26">
        <v>3.5900000000000001E-2</v>
      </c>
      <c r="H8996" s="26">
        <v>0.108</v>
      </c>
      <c r="I8996" s="26">
        <v>3.7699999999999997E-2</v>
      </c>
      <c r="J8996" s="26">
        <v>5.1000000000000004E-3</v>
      </c>
      <c r="K8996" s="26">
        <v>4.6199999999999998E-2</v>
      </c>
      <c r="L8996" s="26">
        <v>5.5899999999999998E-2</v>
      </c>
      <c r="M8996" s="26">
        <v>6.8999999999999999E-3</v>
      </c>
      <c r="N8996" s="26">
        <v>3.0800000000000001E-2</v>
      </c>
      <c r="P8996" s="26">
        <v>2.5700000000000001E-2</v>
      </c>
      <c r="Q8996" s="26">
        <v>6.8999999999999999E-3</v>
      </c>
      <c r="R8996" s="26">
        <v>3.3999999999999998E-3</v>
      </c>
      <c r="S8996">
        <v>60</v>
      </c>
    </row>
    <row r="8997" spans="1:19" x14ac:dyDescent="0.35">
      <c r="A8997" t="s">
        <v>229</v>
      </c>
      <c r="B8997" t="s">
        <v>248</v>
      </c>
      <c r="C8997" s="26">
        <v>0.23089999999999999</v>
      </c>
      <c r="D8997" s="26">
        <v>0.25240000000000001</v>
      </c>
      <c r="E8997" s="26">
        <v>0.28499999999999998</v>
      </c>
      <c r="F8997" s="26">
        <v>6.0499999999999998E-2</v>
      </c>
      <c r="G8997" s="26">
        <v>0.10829999999999999</v>
      </c>
      <c r="H8997" s="26">
        <v>2.3900000000000001E-2</v>
      </c>
      <c r="I8997" s="26">
        <v>5.3499999999999999E-2</v>
      </c>
      <c r="J8997" s="26">
        <v>6.0600000000000001E-2</v>
      </c>
      <c r="K8997" s="26">
        <v>6.3E-3</v>
      </c>
      <c r="L8997" s="26">
        <v>6.2100000000000002E-2</v>
      </c>
      <c r="M8997" s="26">
        <v>6.5199999999999994E-2</v>
      </c>
      <c r="N8997" s="26">
        <v>4.7800000000000002E-2</v>
      </c>
      <c r="S8997">
        <v>70</v>
      </c>
    </row>
    <row r="8998" spans="1:19" x14ac:dyDescent="0.35">
      <c r="A8998" t="s">
        <v>230</v>
      </c>
      <c r="B8998" t="s">
        <v>249</v>
      </c>
      <c r="C8998" s="26">
        <v>0.24199999999999999</v>
      </c>
      <c r="D8998" s="26">
        <v>0.21609999999999999</v>
      </c>
      <c r="E8998" s="26">
        <v>0.36159999999999998</v>
      </c>
      <c r="F8998" s="26">
        <v>7.3899999999999993E-2</v>
      </c>
      <c r="G8998" s="26">
        <v>0.11559999999999999</v>
      </c>
      <c r="I8998" s="26">
        <v>7.0999999999999994E-2</v>
      </c>
      <c r="J8998" s="26">
        <v>7.6399999999999996E-2</v>
      </c>
      <c r="K8998" s="26">
        <v>8.9999999999999993E-3</v>
      </c>
      <c r="M8998" s="26">
        <v>5.6099999999999997E-2</v>
      </c>
      <c r="O8998" s="26">
        <v>5.3400000000000003E-2</v>
      </c>
      <c r="P8998" s="26">
        <v>2.7000000000000001E-3</v>
      </c>
      <c r="S8998">
        <v>45</v>
      </c>
    </row>
    <row r="8999" spans="1:19" x14ac:dyDescent="0.35">
      <c r="A8999" t="s">
        <v>230</v>
      </c>
      <c r="B8999" t="s">
        <v>248</v>
      </c>
      <c r="C8999" s="26">
        <v>0.2147</v>
      </c>
      <c r="D8999" s="26">
        <v>0.2928</v>
      </c>
      <c r="E8999" s="26">
        <v>0.22839999999999999</v>
      </c>
      <c r="F8999" s="26">
        <v>7.2900000000000006E-2</v>
      </c>
      <c r="G8999" s="26">
        <v>9.9500000000000005E-2</v>
      </c>
      <c r="H8999" s="26">
        <v>4.8500000000000001E-2</v>
      </c>
      <c r="J8999" s="26">
        <v>5.0999999999999997E-2</v>
      </c>
      <c r="K8999" s="26">
        <v>4.8500000000000001E-2</v>
      </c>
      <c r="M8999" s="26">
        <v>6.4699999999999994E-2</v>
      </c>
      <c r="O8999" s="26">
        <v>1.6E-2</v>
      </c>
      <c r="P8999" s="26">
        <v>8.0000000000000002E-3</v>
      </c>
      <c r="S8999">
        <v>57</v>
      </c>
    </row>
    <row r="9000" spans="1:19" x14ac:dyDescent="0.35">
      <c r="A9000" s="27" t="s">
        <v>231</v>
      </c>
      <c r="B9000" s="27" t="s">
        <v>249</v>
      </c>
      <c r="C9000" s="28">
        <v>0.54549999999999998</v>
      </c>
      <c r="D9000" s="28">
        <v>0.2727</v>
      </c>
      <c r="E9000" s="28">
        <v>0.2727</v>
      </c>
      <c r="F9000" s="28">
        <v>0.2727</v>
      </c>
      <c r="G9000" s="28">
        <v>0.2727</v>
      </c>
      <c r="H9000" s="29"/>
      <c r="I9000" s="28">
        <v>0.18179999999999999</v>
      </c>
      <c r="J9000" s="29"/>
      <c r="K9000" s="28">
        <v>9.0899999999999995E-2</v>
      </c>
      <c r="L9000" s="29"/>
      <c r="M9000" s="29"/>
      <c r="N9000" s="29"/>
      <c r="O9000" s="29"/>
      <c r="P9000" s="29"/>
      <c r="Q9000" s="29"/>
      <c r="R9000" s="29"/>
      <c r="S9000" s="29" t="s">
        <v>352</v>
      </c>
    </row>
    <row r="9001" spans="1:19" x14ac:dyDescent="0.35">
      <c r="A9001" s="27" t="s">
        <v>231</v>
      </c>
      <c r="B9001" s="27" t="s">
        <v>248</v>
      </c>
      <c r="C9001" s="28">
        <v>0.27779999999999999</v>
      </c>
      <c r="D9001" s="28">
        <v>0.27779999999999999</v>
      </c>
      <c r="E9001" s="28">
        <v>0.27779999999999999</v>
      </c>
      <c r="F9001" s="28">
        <v>0.16669999999999999</v>
      </c>
      <c r="G9001" s="29"/>
      <c r="H9001" s="28">
        <v>0.1111</v>
      </c>
      <c r="I9001" s="29"/>
      <c r="J9001" s="28">
        <v>5.5599999999999997E-2</v>
      </c>
      <c r="K9001" s="29"/>
      <c r="L9001" s="28">
        <v>5.5599999999999997E-2</v>
      </c>
      <c r="M9001" s="29"/>
      <c r="N9001" s="29"/>
      <c r="O9001" s="29"/>
      <c r="P9001" s="29"/>
      <c r="Q9001" s="29"/>
      <c r="R9001" s="29"/>
      <c r="S9001" s="29" t="s">
        <v>353</v>
      </c>
    </row>
    <row r="9002" spans="1:19" x14ac:dyDescent="0.35">
      <c r="A9002" t="s">
        <v>232</v>
      </c>
      <c r="B9002" t="s">
        <v>232</v>
      </c>
      <c r="C9002" s="26">
        <v>0.30740000000000001</v>
      </c>
      <c r="D9002" s="26">
        <v>0.30609999999999998</v>
      </c>
      <c r="E9002" s="26">
        <v>0.28370000000000001</v>
      </c>
      <c r="F9002" s="26">
        <v>0.10630000000000001</v>
      </c>
      <c r="G9002" s="26">
        <v>7.3300000000000004E-2</v>
      </c>
      <c r="H9002" s="26">
        <v>5.7000000000000002E-2</v>
      </c>
      <c r="I9002" s="26">
        <v>4.9799999999999997E-2</v>
      </c>
      <c r="J9002" s="26">
        <v>3.2599999999999997E-2</v>
      </c>
      <c r="K9002" s="26">
        <v>2.8400000000000002E-2</v>
      </c>
      <c r="L9002" s="26">
        <v>2.81E-2</v>
      </c>
      <c r="M9002" s="26">
        <v>2.6599999999999999E-2</v>
      </c>
      <c r="N9002" s="26">
        <v>2.3900000000000001E-2</v>
      </c>
      <c r="O9002" s="26">
        <v>9.4999999999999998E-3</v>
      </c>
      <c r="P9002" s="26">
        <v>4.8999999999999998E-3</v>
      </c>
      <c r="Q9002" s="26">
        <v>2.2000000000000001E-3</v>
      </c>
      <c r="R9002" s="26">
        <v>8.0000000000000004E-4</v>
      </c>
      <c r="S9002">
        <v>454</v>
      </c>
    </row>
    <row r="9004" spans="1:19" x14ac:dyDescent="0.35">
      <c r="A9004" s="1" t="s">
        <v>1242</v>
      </c>
    </row>
    <row r="9005" spans="1:19" x14ac:dyDescent="0.35">
      <c r="A9005" t="s">
        <v>219</v>
      </c>
      <c r="B9005" t="s">
        <v>305</v>
      </c>
      <c r="C9005" t="s">
        <v>1222</v>
      </c>
      <c r="D9005" t="s">
        <v>1223</v>
      </c>
      <c r="E9005" t="s">
        <v>1224</v>
      </c>
      <c r="F9005" t="s">
        <v>1225</v>
      </c>
      <c r="G9005" t="s">
        <v>1226</v>
      </c>
      <c r="H9005" t="s">
        <v>1227</v>
      </c>
      <c r="I9005" t="s">
        <v>1228</v>
      </c>
      <c r="J9005" t="s">
        <v>1229</v>
      </c>
      <c r="K9005" t="s">
        <v>1230</v>
      </c>
      <c r="L9005" t="s">
        <v>326</v>
      </c>
      <c r="M9005" t="s">
        <v>1231</v>
      </c>
      <c r="N9005" t="s">
        <v>1232</v>
      </c>
      <c r="O9005" t="s">
        <v>1233</v>
      </c>
      <c r="P9005" t="s">
        <v>286</v>
      </c>
      <c r="Q9005" t="s">
        <v>1234</v>
      </c>
      <c r="R9005" t="s">
        <v>281</v>
      </c>
      <c r="S9005" t="s">
        <v>226</v>
      </c>
    </row>
    <row r="9006" spans="1:19" x14ac:dyDescent="0.35">
      <c r="A9006" s="27" t="s">
        <v>227</v>
      </c>
      <c r="B9006" s="27" t="s">
        <v>263</v>
      </c>
      <c r="C9006" s="29"/>
      <c r="D9006" s="29"/>
      <c r="E9006" s="29"/>
      <c r="F9006" s="29"/>
      <c r="G9006" s="29"/>
      <c r="H9006" s="29"/>
      <c r="I9006" s="28">
        <v>1</v>
      </c>
      <c r="J9006" s="29"/>
      <c r="K9006" s="29"/>
      <c r="L9006" s="29"/>
      <c r="M9006" s="29"/>
      <c r="N9006" s="29"/>
      <c r="O9006" s="29"/>
      <c r="P9006" s="29"/>
      <c r="Q9006" s="29"/>
      <c r="R9006" s="29"/>
      <c r="S9006" s="29" t="s">
        <v>331</v>
      </c>
    </row>
    <row r="9007" spans="1:19" x14ac:dyDescent="0.35">
      <c r="A9007" s="27" t="s">
        <v>227</v>
      </c>
      <c r="B9007" s="27" t="s">
        <v>260</v>
      </c>
      <c r="C9007" s="28">
        <v>0.36840000000000001</v>
      </c>
      <c r="D9007" s="28">
        <v>0.36840000000000001</v>
      </c>
      <c r="E9007" s="28">
        <v>0.26319999999999999</v>
      </c>
      <c r="F9007" s="28">
        <v>0.15790000000000001</v>
      </c>
      <c r="G9007" s="29"/>
      <c r="H9007" s="28">
        <v>5.2600000000000001E-2</v>
      </c>
      <c r="I9007" s="29"/>
      <c r="J9007" s="29"/>
      <c r="K9007" s="28">
        <v>5.2600000000000001E-2</v>
      </c>
      <c r="L9007" s="29"/>
      <c r="M9007" s="29"/>
      <c r="N9007" s="29"/>
      <c r="O9007" s="29"/>
      <c r="P9007" s="29"/>
      <c r="Q9007" s="29"/>
      <c r="R9007" s="29"/>
      <c r="S9007" s="29" t="s">
        <v>349</v>
      </c>
    </row>
    <row r="9008" spans="1:19" x14ac:dyDescent="0.35">
      <c r="A9008" s="27" t="s">
        <v>227</v>
      </c>
      <c r="B9008" s="27" t="s">
        <v>261</v>
      </c>
      <c r="C9008" s="28">
        <v>0.25</v>
      </c>
      <c r="D9008" s="28">
        <v>0.5</v>
      </c>
      <c r="E9008" s="28">
        <v>0.25</v>
      </c>
      <c r="F9008" s="29"/>
      <c r="G9008" s="29"/>
      <c r="H9008" s="28">
        <v>0.25</v>
      </c>
      <c r="I9008" s="28">
        <v>0.25</v>
      </c>
      <c r="J9008" s="29"/>
      <c r="K9008" s="29"/>
      <c r="L9008" s="29"/>
      <c r="M9008" s="29"/>
      <c r="N9008" s="29"/>
      <c r="O9008" s="29"/>
      <c r="P9008" s="29"/>
      <c r="Q9008" s="29"/>
      <c r="R9008" s="29"/>
      <c r="S9008" s="29" t="s">
        <v>337</v>
      </c>
    </row>
    <row r="9009" spans="1:19" x14ac:dyDescent="0.35">
      <c r="A9009" t="s">
        <v>228</v>
      </c>
      <c r="B9009" t="s">
        <v>260</v>
      </c>
      <c r="C9009" s="26">
        <v>0.2666</v>
      </c>
      <c r="D9009" s="26">
        <v>0.32629999999999998</v>
      </c>
      <c r="E9009" s="26">
        <v>0.31480000000000002</v>
      </c>
      <c r="F9009" s="26">
        <v>1.9800000000000002E-2</v>
      </c>
      <c r="G9009" s="26">
        <v>7.4999999999999997E-3</v>
      </c>
      <c r="H9009" s="26">
        <v>4.3700000000000003E-2</v>
      </c>
      <c r="I9009" s="26">
        <v>6.4000000000000003E-3</v>
      </c>
      <c r="J9009" s="26">
        <v>4.3700000000000003E-2</v>
      </c>
      <c r="K9009" s="26">
        <v>2.07E-2</v>
      </c>
      <c r="L9009" s="26">
        <v>2.3999999999999998E-3</v>
      </c>
      <c r="M9009" s="26">
        <v>7.8100000000000003E-2</v>
      </c>
      <c r="O9009" s="26">
        <v>2.3999999999999998E-3</v>
      </c>
      <c r="P9009" s="26">
        <v>4.0000000000000001E-3</v>
      </c>
      <c r="R9009" s="26">
        <v>2.3999999999999998E-3</v>
      </c>
      <c r="S9009">
        <v>88</v>
      </c>
    </row>
    <row r="9010" spans="1:19" x14ac:dyDescent="0.35">
      <c r="A9010" t="s">
        <v>228</v>
      </c>
      <c r="B9010" t="s">
        <v>262</v>
      </c>
      <c r="C9010" s="26">
        <v>0.501</v>
      </c>
      <c r="D9010" s="26">
        <v>0.26040000000000002</v>
      </c>
      <c r="E9010" s="26">
        <v>0.35170000000000001</v>
      </c>
      <c r="F9010" s="26">
        <v>6.7500000000000004E-2</v>
      </c>
      <c r="G9010" s="26">
        <v>4.2200000000000001E-2</v>
      </c>
      <c r="H9010" s="26">
        <v>2.1100000000000001E-2</v>
      </c>
      <c r="I9010" s="26">
        <v>4.36E-2</v>
      </c>
      <c r="J9010" s="26">
        <v>1.3899999999999999E-2</v>
      </c>
      <c r="O9010" s="26">
        <v>4.02E-2</v>
      </c>
      <c r="S9010">
        <v>43</v>
      </c>
    </row>
    <row r="9011" spans="1:19" x14ac:dyDescent="0.35">
      <c r="A9011" t="s">
        <v>228</v>
      </c>
      <c r="B9011" t="s">
        <v>261</v>
      </c>
      <c r="C9011" s="26">
        <v>0.26919999999999999</v>
      </c>
      <c r="D9011" s="26">
        <v>0.39360000000000001</v>
      </c>
      <c r="E9011" s="26">
        <v>0.3881</v>
      </c>
      <c r="F9011" s="26">
        <v>1.43E-2</v>
      </c>
      <c r="G9011" s="26">
        <v>0.224</v>
      </c>
      <c r="H9011" s="26">
        <v>9.4000000000000004E-3</v>
      </c>
      <c r="I9011" s="26">
        <v>2.8500000000000001E-2</v>
      </c>
      <c r="K9011" s="26">
        <v>2.06E-2</v>
      </c>
      <c r="L9011" s="26">
        <v>1.0800000000000001E-2</v>
      </c>
      <c r="N9011" s="26">
        <v>0.20119999999999999</v>
      </c>
      <c r="O9011" s="26">
        <v>8.6499999999999994E-2</v>
      </c>
      <c r="Q9011" s="26">
        <v>2.8500000000000001E-2</v>
      </c>
      <c r="S9011">
        <v>32</v>
      </c>
    </row>
    <row r="9012" spans="1:19" x14ac:dyDescent="0.35">
      <c r="A9012" s="27" t="s">
        <v>228</v>
      </c>
      <c r="B9012" s="27" t="s">
        <v>263</v>
      </c>
      <c r="C9012" s="29"/>
      <c r="D9012" s="28">
        <v>0.1366</v>
      </c>
      <c r="E9012" s="28">
        <v>0.1774</v>
      </c>
      <c r="F9012" s="28">
        <v>0.04</v>
      </c>
      <c r="G9012" s="29"/>
      <c r="H9012" s="29"/>
      <c r="I9012" s="29"/>
      <c r="J9012" s="28">
        <v>0.13739999999999999</v>
      </c>
      <c r="K9012" s="29"/>
      <c r="L9012" s="29"/>
      <c r="M9012" s="29"/>
      <c r="N9012" s="28">
        <v>0.54869999999999997</v>
      </c>
      <c r="O9012" s="28">
        <v>6.83E-2</v>
      </c>
      <c r="P9012" s="29"/>
      <c r="Q9012" s="29"/>
      <c r="R9012" s="29"/>
      <c r="S9012" s="29" t="s">
        <v>335</v>
      </c>
    </row>
    <row r="9013" spans="1:19" x14ac:dyDescent="0.35">
      <c r="A9013" s="27" t="s">
        <v>229</v>
      </c>
      <c r="B9013" s="27" t="s">
        <v>261</v>
      </c>
      <c r="C9013" s="28">
        <v>0.40649999999999997</v>
      </c>
      <c r="D9013" s="28">
        <v>0.24299999999999999</v>
      </c>
      <c r="E9013" s="28">
        <v>0.26629999999999998</v>
      </c>
      <c r="F9013" s="29"/>
      <c r="G9013" s="28">
        <v>0.15890000000000001</v>
      </c>
      <c r="H9013" s="28">
        <v>7.0199999999999999E-2</v>
      </c>
      <c r="I9013" s="29"/>
      <c r="J9013" s="29"/>
      <c r="K9013" s="28">
        <v>1.84E-2</v>
      </c>
      <c r="L9013" s="28">
        <v>9.1999999999999998E-3</v>
      </c>
      <c r="M9013" s="29"/>
      <c r="N9013" s="28">
        <v>0.1404</v>
      </c>
      <c r="O9013" s="29"/>
      <c r="P9013" s="29"/>
      <c r="Q9013" s="29"/>
      <c r="R9013" s="29"/>
      <c r="S9013" s="29" t="s">
        <v>310</v>
      </c>
    </row>
    <row r="9014" spans="1:19" x14ac:dyDescent="0.35">
      <c r="A9014" s="27" t="s">
        <v>229</v>
      </c>
      <c r="B9014" s="27" t="s">
        <v>263</v>
      </c>
      <c r="C9014" s="29"/>
      <c r="D9014" s="29"/>
      <c r="E9014" s="28">
        <v>0.75060000000000004</v>
      </c>
      <c r="F9014" s="29"/>
      <c r="G9014" s="28">
        <v>0.83289999999999997</v>
      </c>
      <c r="H9014" s="29"/>
      <c r="I9014" s="29"/>
      <c r="J9014" s="29"/>
      <c r="K9014" s="28">
        <v>0.1671</v>
      </c>
      <c r="L9014" s="29"/>
      <c r="M9014" s="29"/>
      <c r="N9014" s="29"/>
      <c r="O9014" s="29"/>
      <c r="P9014" s="29"/>
      <c r="Q9014" s="29"/>
      <c r="R9014" s="29"/>
      <c r="S9014" s="29" t="s">
        <v>315</v>
      </c>
    </row>
    <row r="9015" spans="1:19" x14ac:dyDescent="0.35">
      <c r="A9015" t="s">
        <v>229</v>
      </c>
      <c r="B9015" t="s">
        <v>260</v>
      </c>
      <c r="C9015" s="26">
        <v>0.20330000000000001</v>
      </c>
      <c r="D9015" s="26">
        <v>0.42409999999999998</v>
      </c>
      <c r="E9015" s="26">
        <v>0.19159999999999999</v>
      </c>
      <c r="F9015" s="26">
        <v>6.0900000000000003E-2</v>
      </c>
      <c r="G9015" s="26">
        <v>3.4000000000000002E-2</v>
      </c>
      <c r="H9015" s="26">
        <v>2.69E-2</v>
      </c>
      <c r="I9015" s="26">
        <v>6.4399999999999999E-2</v>
      </c>
      <c r="J9015" s="26">
        <v>4.2999999999999997E-2</v>
      </c>
      <c r="K9015" s="26">
        <v>1.8E-3</v>
      </c>
      <c r="L9015" s="26">
        <v>9.7699999999999995E-2</v>
      </c>
      <c r="M9015" s="26">
        <v>4.8300000000000003E-2</v>
      </c>
      <c r="P9015" s="26">
        <v>2.69E-2</v>
      </c>
      <c r="R9015" s="26">
        <v>3.5000000000000001E-3</v>
      </c>
      <c r="S9015">
        <v>66</v>
      </c>
    </row>
    <row r="9016" spans="1:19" x14ac:dyDescent="0.35">
      <c r="A9016" t="s">
        <v>229</v>
      </c>
      <c r="B9016" t="s">
        <v>262</v>
      </c>
      <c r="C9016" s="26">
        <v>0.28920000000000001</v>
      </c>
      <c r="D9016" s="26">
        <v>0.21809999999999999</v>
      </c>
      <c r="E9016" s="26">
        <v>0.34839999999999999</v>
      </c>
      <c r="F9016" s="26">
        <v>0.13489999999999999</v>
      </c>
      <c r="G9016" s="26">
        <v>3.8699999999999998E-2</v>
      </c>
      <c r="H9016" s="26">
        <v>0.1157</v>
      </c>
      <c r="I9016" s="26">
        <v>4.7199999999999999E-2</v>
      </c>
      <c r="J9016" s="26">
        <v>4.1000000000000002E-2</v>
      </c>
      <c r="K9016" s="26">
        <v>5.28E-2</v>
      </c>
      <c r="L9016" s="26">
        <v>3.6200000000000003E-2</v>
      </c>
      <c r="M9016" s="26">
        <v>4.3299999999999998E-2</v>
      </c>
      <c r="N9016" s="26">
        <v>4.3299999999999998E-2</v>
      </c>
      <c r="Q9016" s="26">
        <v>9.5999999999999992E-3</v>
      </c>
      <c r="S9016">
        <v>37</v>
      </c>
    </row>
    <row r="9017" spans="1:19" x14ac:dyDescent="0.35">
      <c r="A9017" s="27" t="s">
        <v>230</v>
      </c>
      <c r="B9017" s="27" t="s">
        <v>261</v>
      </c>
      <c r="C9017" s="28">
        <v>0.1081</v>
      </c>
      <c r="D9017" s="28">
        <v>0.61040000000000005</v>
      </c>
      <c r="E9017" s="28">
        <v>0.32890000000000003</v>
      </c>
      <c r="F9017" s="29"/>
      <c r="G9017" s="28">
        <v>0.28149999999999997</v>
      </c>
      <c r="H9017" s="29"/>
      <c r="I9017" s="28">
        <v>4.6399999999999997E-2</v>
      </c>
      <c r="J9017" s="29"/>
      <c r="K9017" s="29"/>
      <c r="L9017" s="29"/>
      <c r="M9017" s="29"/>
      <c r="N9017" s="29"/>
      <c r="O9017" s="28">
        <v>0.28149999999999997</v>
      </c>
      <c r="P9017" s="29"/>
      <c r="Q9017" s="29"/>
      <c r="R9017" s="29"/>
      <c r="S9017" s="29" t="s">
        <v>339</v>
      </c>
    </row>
    <row r="9018" spans="1:19" x14ac:dyDescent="0.35">
      <c r="A9018" s="27" t="s">
        <v>230</v>
      </c>
      <c r="B9018" s="27" t="s">
        <v>263</v>
      </c>
      <c r="C9018" s="28">
        <v>3.85E-2</v>
      </c>
      <c r="D9018" s="28">
        <v>0.83640000000000003</v>
      </c>
      <c r="E9018" s="28">
        <v>0.83640000000000003</v>
      </c>
      <c r="F9018" s="28">
        <v>3.85E-2</v>
      </c>
      <c r="G9018" s="29"/>
      <c r="H9018" s="29"/>
      <c r="I9018" s="28">
        <v>0.12509999999999999</v>
      </c>
      <c r="J9018" s="29"/>
      <c r="K9018" s="29"/>
      <c r="L9018" s="29"/>
      <c r="M9018" s="29"/>
      <c r="N9018" s="29"/>
      <c r="O9018" s="29"/>
      <c r="P9018" s="29"/>
      <c r="Q9018" s="29"/>
      <c r="R9018" s="29"/>
      <c r="S9018" s="29" t="s">
        <v>332</v>
      </c>
    </row>
    <row r="9019" spans="1:19" x14ac:dyDescent="0.35">
      <c r="A9019" t="s">
        <v>230</v>
      </c>
      <c r="B9019" t="s">
        <v>260</v>
      </c>
      <c r="C9019" s="26">
        <v>0.22020000000000001</v>
      </c>
      <c r="D9019" s="26">
        <v>0.2296</v>
      </c>
      <c r="E9019" s="26">
        <v>0.1401</v>
      </c>
      <c r="F9019" s="26">
        <v>0.1116</v>
      </c>
      <c r="G9019" s="26">
        <v>8.0699999999999994E-2</v>
      </c>
      <c r="H9019" s="26">
        <v>3.9300000000000002E-2</v>
      </c>
      <c r="I9019" s="26">
        <v>3.9300000000000002E-2</v>
      </c>
      <c r="J9019" s="26">
        <v>8.0699999999999994E-2</v>
      </c>
      <c r="K9019" s="26">
        <v>3.9300000000000002E-2</v>
      </c>
      <c r="M9019" s="26">
        <v>9.1800000000000007E-2</v>
      </c>
      <c r="O9019" s="26">
        <v>6.4999999999999997E-3</v>
      </c>
      <c r="P9019" s="26">
        <v>8.5000000000000006E-3</v>
      </c>
      <c r="S9019">
        <v>58</v>
      </c>
    </row>
    <row r="9020" spans="1:19" x14ac:dyDescent="0.35">
      <c r="A9020" t="s">
        <v>230</v>
      </c>
      <c r="B9020" t="s">
        <v>262</v>
      </c>
      <c r="C9020" s="26">
        <v>0.32340000000000002</v>
      </c>
      <c r="D9020" s="26">
        <v>0.1081</v>
      </c>
      <c r="E9020" s="26">
        <v>0.62390000000000001</v>
      </c>
      <c r="G9020" s="26">
        <v>0.12859999999999999</v>
      </c>
      <c r="J9020" s="26">
        <v>4.7600000000000003E-2</v>
      </c>
      <c r="K9020" s="26">
        <v>1.8599999999999998E-2</v>
      </c>
      <c r="M9020" s="26">
        <v>5.5999999999999999E-3</v>
      </c>
      <c r="O9020" s="26">
        <v>1.8200000000000001E-2</v>
      </c>
      <c r="S9020">
        <v>32</v>
      </c>
    </row>
    <row r="9021" spans="1:19" x14ac:dyDescent="0.35">
      <c r="A9021" s="27" t="s">
        <v>231</v>
      </c>
      <c r="B9021" s="27" t="s">
        <v>261</v>
      </c>
      <c r="C9021" s="29"/>
      <c r="D9021" s="28">
        <v>0.4</v>
      </c>
      <c r="E9021" s="28">
        <v>0.2</v>
      </c>
      <c r="F9021" s="28">
        <v>0.2</v>
      </c>
      <c r="G9021" s="29"/>
      <c r="H9021" s="29"/>
      <c r="I9021" s="29"/>
      <c r="J9021" s="28">
        <v>0.2</v>
      </c>
      <c r="K9021" s="29"/>
      <c r="L9021" s="29"/>
      <c r="M9021" s="29"/>
      <c r="N9021" s="29"/>
      <c r="O9021" s="29"/>
      <c r="P9021" s="29"/>
      <c r="Q9021" s="29"/>
      <c r="R9021" s="29"/>
      <c r="S9021" s="29" t="s">
        <v>332</v>
      </c>
    </row>
    <row r="9022" spans="1:19" x14ac:dyDescent="0.35">
      <c r="A9022" s="27" t="s">
        <v>231</v>
      </c>
      <c r="B9022" s="27" t="s">
        <v>260</v>
      </c>
      <c r="C9022" s="28">
        <v>0.55000000000000004</v>
      </c>
      <c r="D9022" s="28">
        <v>0.2</v>
      </c>
      <c r="E9022" s="28">
        <v>0.35</v>
      </c>
      <c r="F9022" s="28">
        <v>0.25</v>
      </c>
      <c r="G9022" s="28">
        <v>0.1</v>
      </c>
      <c r="H9022" s="28">
        <v>0.1</v>
      </c>
      <c r="I9022" s="28">
        <v>0.05</v>
      </c>
      <c r="J9022" s="29"/>
      <c r="K9022" s="28">
        <v>0.05</v>
      </c>
      <c r="L9022" s="28">
        <v>0.05</v>
      </c>
      <c r="M9022" s="29"/>
      <c r="N9022" s="29"/>
      <c r="O9022" s="29"/>
      <c r="P9022" s="29"/>
      <c r="Q9022" s="29"/>
      <c r="R9022" s="29"/>
      <c r="S9022" s="29" t="s">
        <v>350</v>
      </c>
    </row>
    <row r="9023" spans="1:19" x14ac:dyDescent="0.35">
      <c r="A9023" s="27" t="s">
        <v>231</v>
      </c>
      <c r="B9023" s="27" t="s">
        <v>263</v>
      </c>
      <c r="C9023" s="29"/>
      <c r="D9023" s="29"/>
      <c r="E9023" s="29"/>
      <c r="F9023" s="29"/>
      <c r="G9023" s="28">
        <v>1</v>
      </c>
      <c r="H9023" s="29"/>
      <c r="I9023" s="29"/>
      <c r="J9023" s="29"/>
      <c r="K9023" s="29"/>
      <c r="L9023" s="29"/>
      <c r="M9023" s="29"/>
      <c r="N9023" s="29"/>
      <c r="O9023" s="29"/>
      <c r="P9023" s="29"/>
      <c r="Q9023" s="29"/>
      <c r="R9023" s="29"/>
      <c r="S9023" s="29" t="s">
        <v>331</v>
      </c>
    </row>
    <row r="9024" spans="1:19" x14ac:dyDescent="0.35">
      <c r="A9024" s="27" t="s">
        <v>231</v>
      </c>
      <c r="B9024" s="27" t="s">
        <v>262</v>
      </c>
      <c r="C9024" s="29"/>
      <c r="D9024" s="28">
        <v>0.66669999999999996</v>
      </c>
      <c r="E9024" s="29"/>
      <c r="F9024" s="29"/>
      <c r="G9024" s="29"/>
      <c r="H9024" s="29"/>
      <c r="I9024" s="28">
        <v>0.33329999999999999</v>
      </c>
      <c r="J9024" s="29"/>
      <c r="K9024" s="29"/>
      <c r="L9024" s="29"/>
      <c r="M9024" s="29"/>
      <c r="N9024" s="29"/>
      <c r="O9024" s="29"/>
      <c r="P9024" s="29"/>
      <c r="Q9024" s="29"/>
      <c r="R9024" s="29"/>
      <c r="S9024" s="29" t="s">
        <v>315</v>
      </c>
    </row>
    <row r="9025" spans="1:19" x14ac:dyDescent="0.35">
      <c r="A9025" t="s">
        <v>232</v>
      </c>
      <c r="B9025" t="s">
        <v>232</v>
      </c>
      <c r="C9025" s="26">
        <v>0.30740000000000001</v>
      </c>
      <c r="D9025" s="26">
        <v>0.30609999999999998</v>
      </c>
      <c r="E9025" s="26">
        <v>0.28370000000000001</v>
      </c>
      <c r="F9025" s="26">
        <v>0.10630000000000001</v>
      </c>
      <c r="G9025" s="26">
        <v>7.3300000000000004E-2</v>
      </c>
      <c r="H9025" s="26">
        <v>5.7000000000000002E-2</v>
      </c>
      <c r="I9025" s="26">
        <v>4.9799999999999997E-2</v>
      </c>
      <c r="J9025" s="26">
        <v>3.2599999999999997E-2</v>
      </c>
      <c r="K9025" s="26">
        <v>2.8400000000000002E-2</v>
      </c>
      <c r="L9025" s="26">
        <v>2.81E-2</v>
      </c>
      <c r="M9025" s="26">
        <v>2.6599999999999999E-2</v>
      </c>
      <c r="N9025" s="26">
        <v>2.3900000000000001E-2</v>
      </c>
      <c r="O9025" s="26">
        <v>9.4999999999999998E-3</v>
      </c>
      <c r="P9025" s="26">
        <v>4.8999999999999998E-3</v>
      </c>
      <c r="Q9025" s="26">
        <v>2.2000000000000001E-3</v>
      </c>
      <c r="R9025" s="26">
        <v>8.0000000000000004E-4</v>
      </c>
      <c r="S9025">
        <v>454</v>
      </c>
    </row>
    <row r="9027" spans="1:19" x14ac:dyDescent="0.35">
      <c r="A9027" s="1" t="s">
        <v>1243</v>
      </c>
    </row>
    <row r="9028" spans="1:19" x14ac:dyDescent="0.35">
      <c r="A9028" t="s">
        <v>219</v>
      </c>
      <c r="B9028" t="s">
        <v>305</v>
      </c>
      <c r="C9028" t="s">
        <v>1222</v>
      </c>
      <c r="D9028" t="s">
        <v>1223</v>
      </c>
      <c r="E9028" t="s">
        <v>1224</v>
      </c>
      <c r="F9028" t="s">
        <v>1225</v>
      </c>
      <c r="G9028" t="s">
        <v>1226</v>
      </c>
      <c r="H9028" t="s">
        <v>1227</v>
      </c>
      <c r="I9028" t="s">
        <v>1228</v>
      </c>
      <c r="J9028" t="s">
        <v>1229</v>
      </c>
      <c r="K9028" t="s">
        <v>1230</v>
      </c>
      <c r="L9028" t="s">
        <v>326</v>
      </c>
      <c r="M9028" t="s">
        <v>1231</v>
      </c>
      <c r="N9028" t="s">
        <v>1232</v>
      </c>
      <c r="O9028" t="s">
        <v>1233</v>
      </c>
      <c r="P9028" t="s">
        <v>286</v>
      </c>
      <c r="Q9028" t="s">
        <v>1234</v>
      </c>
      <c r="R9028" t="s">
        <v>281</v>
      </c>
      <c r="S9028" t="s">
        <v>226</v>
      </c>
    </row>
    <row r="9029" spans="1:19" x14ac:dyDescent="0.35">
      <c r="A9029" s="27" t="s">
        <v>227</v>
      </c>
      <c r="B9029" s="27" t="s">
        <v>368</v>
      </c>
      <c r="C9029" s="28">
        <v>0.25</v>
      </c>
      <c r="D9029" s="28">
        <v>0.5</v>
      </c>
      <c r="E9029" s="28">
        <v>0.25</v>
      </c>
      <c r="F9029" s="29"/>
      <c r="G9029" s="29"/>
      <c r="H9029" s="28">
        <v>0.25</v>
      </c>
      <c r="I9029" s="28">
        <v>0.25</v>
      </c>
      <c r="J9029" s="29"/>
      <c r="K9029" s="29"/>
      <c r="L9029" s="29"/>
      <c r="M9029" s="29"/>
      <c r="N9029" s="29"/>
      <c r="O9029" s="29"/>
      <c r="P9029" s="29"/>
      <c r="Q9029" s="29"/>
      <c r="R9029" s="29"/>
      <c r="S9029" s="29" t="s">
        <v>337</v>
      </c>
    </row>
    <row r="9030" spans="1:19" x14ac:dyDescent="0.35">
      <c r="A9030" s="27" t="s">
        <v>227</v>
      </c>
      <c r="B9030" s="27" t="s">
        <v>369</v>
      </c>
      <c r="C9030" s="28">
        <v>0.35</v>
      </c>
      <c r="D9030" s="28">
        <v>0.35</v>
      </c>
      <c r="E9030" s="28">
        <v>0.25</v>
      </c>
      <c r="F9030" s="28">
        <v>0.15</v>
      </c>
      <c r="G9030" s="29"/>
      <c r="H9030" s="28">
        <v>0.05</v>
      </c>
      <c r="I9030" s="28">
        <v>0.05</v>
      </c>
      <c r="J9030" s="29"/>
      <c r="K9030" s="28">
        <v>0.05</v>
      </c>
      <c r="L9030" s="29"/>
      <c r="M9030" s="29"/>
      <c r="N9030" s="29"/>
      <c r="O9030" s="29"/>
      <c r="P9030" s="29"/>
      <c r="Q9030" s="29"/>
      <c r="R9030" s="29"/>
      <c r="S9030" s="29" t="s">
        <v>350</v>
      </c>
    </row>
    <row r="9031" spans="1:19" x14ac:dyDescent="0.35">
      <c r="A9031" t="s">
        <v>228</v>
      </c>
      <c r="B9031" t="s">
        <v>368</v>
      </c>
      <c r="C9031" s="26">
        <v>0.26919999999999999</v>
      </c>
      <c r="D9031" s="26">
        <v>0.39360000000000001</v>
      </c>
      <c r="E9031" s="26">
        <v>0.3881</v>
      </c>
      <c r="F9031" s="26">
        <v>1.43E-2</v>
      </c>
      <c r="G9031" s="26">
        <v>0.224</v>
      </c>
      <c r="H9031" s="26">
        <v>9.4000000000000004E-3</v>
      </c>
      <c r="I9031" s="26">
        <v>2.8500000000000001E-2</v>
      </c>
      <c r="K9031" s="26">
        <v>2.06E-2</v>
      </c>
      <c r="L9031" s="26">
        <v>1.0800000000000001E-2</v>
      </c>
      <c r="N9031" s="26">
        <v>0.20119999999999999</v>
      </c>
      <c r="O9031" s="26">
        <v>8.6499999999999994E-2</v>
      </c>
      <c r="Q9031" s="26">
        <v>2.8500000000000001E-2</v>
      </c>
      <c r="S9031">
        <v>32</v>
      </c>
    </row>
    <row r="9032" spans="1:19" x14ac:dyDescent="0.35">
      <c r="A9032" t="s">
        <v>228</v>
      </c>
      <c r="B9032" t="s">
        <v>369</v>
      </c>
      <c r="C9032" s="26">
        <v>0.31790000000000002</v>
      </c>
      <c r="D9032" s="26">
        <v>0.30109999999999998</v>
      </c>
      <c r="E9032" s="26">
        <v>0.31900000000000001</v>
      </c>
      <c r="F9032" s="26">
        <v>3.3300000000000003E-2</v>
      </c>
      <c r="G9032" s="26">
        <v>1.6400000000000001E-2</v>
      </c>
      <c r="H9032" s="26">
        <v>3.5900000000000001E-2</v>
      </c>
      <c r="I9032" s="26">
        <v>1.6E-2</v>
      </c>
      <c r="J9032" s="26">
        <v>3.9600000000000003E-2</v>
      </c>
      <c r="K9032" s="26">
        <v>1.44E-2</v>
      </c>
      <c r="L9032" s="26">
        <v>1.6000000000000001E-3</v>
      </c>
      <c r="M9032" s="26">
        <v>5.4199999999999998E-2</v>
      </c>
      <c r="N9032" s="26">
        <v>2.24E-2</v>
      </c>
      <c r="O9032" s="26">
        <v>1.5100000000000001E-2</v>
      </c>
      <c r="P9032" s="26">
        <v>2.8E-3</v>
      </c>
      <c r="R9032" s="26">
        <v>1.6000000000000001E-3</v>
      </c>
      <c r="S9032">
        <v>137</v>
      </c>
    </row>
    <row r="9033" spans="1:19" x14ac:dyDescent="0.35">
      <c r="A9033" s="27" t="s">
        <v>229</v>
      </c>
      <c r="B9033" s="27" t="s">
        <v>368</v>
      </c>
      <c r="C9033" s="28">
        <v>0.40649999999999997</v>
      </c>
      <c r="D9033" s="28">
        <v>0.24299999999999999</v>
      </c>
      <c r="E9033" s="28">
        <v>0.26629999999999998</v>
      </c>
      <c r="F9033" s="29"/>
      <c r="G9033" s="28">
        <v>0.15890000000000001</v>
      </c>
      <c r="H9033" s="28">
        <v>7.0199999999999999E-2</v>
      </c>
      <c r="I9033" s="29"/>
      <c r="J9033" s="29"/>
      <c r="K9033" s="28">
        <v>1.84E-2</v>
      </c>
      <c r="L9033" s="28">
        <v>9.1999999999999998E-3</v>
      </c>
      <c r="M9033" s="29"/>
      <c r="N9033" s="28">
        <v>0.1404</v>
      </c>
      <c r="O9033" s="29"/>
      <c r="P9033" s="29"/>
      <c r="Q9033" s="29"/>
      <c r="R9033" s="29"/>
      <c r="S9033" s="29" t="s">
        <v>310</v>
      </c>
    </row>
    <row r="9034" spans="1:19" x14ac:dyDescent="0.35">
      <c r="A9034" t="s">
        <v>229</v>
      </c>
      <c r="B9034" t="s">
        <v>369</v>
      </c>
      <c r="C9034" s="26">
        <v>0.2341</v>
      </c>
      <c r="D9034" s="26">
        <v>0.32829999999999998</v>
      </c>
      <c r="E9034" s="26">
        <v>0.2702</v>
      </c>
      <c r="F9034" s="26">
        <v>9.0200000000000002E-2</v>
      </c>
      <c r="G9034" s="26">
        <v>5.5100000000000003E-2</v>
      </c>
      <c r="H9034" s="26">
        <v>6.3200000000000006E-2</v>
      </c>
      <c r="I9034" s="26">
        <v>5.57E-2</v>
      </c>
      <c r="J9034" s="26">
        <v>4.1099999999999998E-2</v>
      </c>
      <c r="K9034" s="26">
        <v>2.7E-2</v>
      </c>
      <c r="L9034" s="26">
        <v>6.9800000000000001E-2</v>
      </c>
      <c r="M9034" s="26">
        <v>4.5100000000000001E-2</v>
      </c>
      <c r="N9034" s="26">
        <v>1.7999999999999999E-2</v>
      </c>
      <c r="P9034" s="26">
        <v>1.5100000000000001E-2</v>
      </c>
      <c r="Q9034" s="26">
        <v>4.0000000000000001E-3</v>
      </c>
      <c r="R9034" s="26">
        <v>2E-3</v>
      </c>
      <c r="S9034">
        <v>106</v>
      </c>
    </row>
    <row r="9035" spans="1:19" x14ac:dyDescent="0.35">
      <c r="A9035" s="27" t="s">
        <v>230</v>
      </c>
      <c r="B9035" s="27" t="s">
        <v>368</v>
      </c>
      <c r="C9035" s="28">
        <v>0.1081</v>
      </c>
      <c r="D9035" s="28">
        <v>0.61040000000000005</v>
      </c>
      <c r="E9035" s="28">
        <v>0.32890000000000003</v>
      </c>
      <c r="F9035" s="29"/>
      <c r="G9035" s="28">
        <v>0.28149999999999997</v>
      </c>
      <c r="H9035" s="29"/>
      <c r="I9035" s="28">
        <v>4.6399999999999997E-2</v>
      </c>
      <c r="J9035" s="29"/>
      <c r="K9035" s="29"/>
      <c r="L9035" s="29"/>
      <c r="M9035" s="29"/>
      <c r="N9035" s="29"/>
      <c r="O9035" s="28">
        <v>0.28149999999999997</v>
      </c>
      <c r="P9035" s="29"/>
      <c r="Q9035" s="29"/>
      <c r="R9035" s="29"/>
      <c r="S9035" s="29" t="s">
        <v>339</v>
      </c>
    </row>
    <row r="9036" spans="1:19" x14ac:dyDescent="0.35">
      <c r="A9036" t="s">
        <v>230</v>
      </c>
      <c r="B9036" t="s">
        <v>369</v>
      </c>
      <c r="C9036" s="26">
        <v>0.23960000000000001</v>
      </c>
      <c r="D9036" s="26">
        <v>0.22120000000000001</v>
      </c>
      <c r="E9036" s="26">
        <v>0.28810000000000002</v>
      </c>
      <c r="F9036" s="26">
        <v>8.0600000000000005E-2</v>
      </c>
      <c r="G9036" s="26">
        <v>8.9800000000000005E-2</v>
      </c>
      <c r="H9036" s="26">
        <v>2.7900000000000001E-2</v>
      </c>
      <c r="I9036" s="26">
        <v>3.2500000000000001E-2</v>
      </c>
      <c r="J9036" s="26">
        <v>6.93E-2</v>
      </c>
      <c r="K9036" s="26">
        <v>3.27E-2</v>
      </c>
      <c r="M9036" s="26">
        <v>6.6600000000000006E-2</v>
      </c>
      <c r="O9036" s="26">
        <v>9.1999999999999998E-3</v>
      </c>
      <c r="P9036" s="26">
        <v>6.0000000000000001E-3</v>
      </c>
      <c r="S9036">
        <v>95</v>
      </c>
    </row>
    <row r="9037" spans="1:19" x14ac:dyDescent="0.35">
      <c r="A9037" s="27" t="s">
        <v>231</v>
      </c>
      <c r="B9037" s="27" t="s">
        <v>368</v>
      </c>
      <c r="C9037" s="29"/>
      <c r="D9037" s="28">
        <v>0.4</v>
      </c>
      <c r="E9037" s="28">
        <v>0.2</v>
      </c>
      <c r="F9037" s="28">
        <v>0.2</v>
      </c>
      <c r="G9037" s="29"/>
      <c r="H9037" s="29"/>
      <c r="I9037" s="29"/>
      <c r="J9037" s="28">
        <v>0.2</v>
      </c>
      <c r="K9037" s="29"/>
      <c r="L9037" s="29"/>
      <c r="M9037" s="29"/>
      <c r="N9037" s="29"/>
      <c r="O9037" s="29"/>
      <c r="P9037" s="29"/>
      <c r="Q9037" s="29"/>
      <c r="R9037" s="29"/>
      <c r="S9037" s="29" t="s">
        <v>332</v>
      </c>
    </row>
    <row r="9038" spans="1:19" x14ac:dyDescent="0.35">
      <c r="A9038" s="27" t="s">
        <v>231</v>
      </c>
      <c r="B9038" s="27" t="s">
        <v>369</v>
      </c>
      <c r="C9038" s="28">
        <v>0.45829999999999999</v>
      </c>
      <c r="D9038" s="28">
        <v>0.25</v>
      </c>
      <c r="E9038" s="28">
        <v>0.29170000000000001</v>
      </c>
      <c r="F9038" s="28">
        <v>0.20830000000000001</v>
      </c>
      <c r="G9038" s="28">
        <v>0.125</v>
      </c>
      <c r="H9038" s="28">
        <v>8.3299999999999999E-2</v>
      </c>
      <c r="I9038" s="28">
        <v>8.3299999999999999E-2</v>
      </c>
      <c r="J9038" s="29"/>
      <c r="K9038" s="28">
        <v>4.1700000000000001E-2</v>
      </c>
      <c r="L9038" s="28">
        <v>4.1700000000000001E-2</v>
      </c>
      <c r="M9038" s="29"/>
      <c r="N9038" s="29"/>
      <c r="O9038" s="29"/>
      <c r="P9038" s="29"/>
      <c r="Q9038" s="29"/>
      <c r="R9038" s="29"/>
      <c r="S9038" s="29" t="s">
        <v>310</v>
      </c>
    </row>
    <row r="9039" spans="1:19" x14ac:dyDescent="0.35">
      <c r="A9039" t="s">
        <v>232</v>
      </c>
      <c r="B9039" t="s">
        <v>232</v>
      </c>
      <c r="C9039" s="26">
        <v>0.30740000000000001</v>
      </c>
      <c r="D9039" s="26">
        <v>0.30609999999999998</v>
      </c>
      <c r="E9039" s="26">
        <v>0.28370000000000001</v>
      </c>
      <c r="F9039" s="26">
        <v>0.10630000000000001</v>
      </c>
      <c r="G9039" s="26">
        <v>7.3300000000000004E-2</v>
      </c>
      <c r="H9039" s="26">
        <v>5.7000000000000002E-2</v>
      </c>
      <c r="I9039" s="26">
        <v>4.9799999999999997E-2</v>
      </c>
      <c r="J9039" s="26">
        <v>3.2599999999999997E-2</v>
      </c>
      <c r="K9039" s="26">
        <v>2.8400000000000002E-2</v>
      </c>
      <c r="L9039" s="26">
        <v>2.81E-2</v>
      </c>
      <c r="M9039" s="26">
        <v>2.6599999999999999E-2</v>
      </c>
      <c r="N9039" s="26">
        <v>2.3900000000000001E-2</v>
      </c>
      <c r="O9039" s="26">
        <v>9.4999999999999998E-3</v>
      </c>
      <c r="P9039" s="26">
        <v>4.8999999999999998E-3</v>
      </c>
      <c r="Q9039" s="26">
        <v>2.2000000000000001E-3</v>
      </c>
      <c r="R9039" s="26">
        <v>8.0000000000000004E-4</v>
      </c>
      <c r="S9039">
        <v>454</v>
      </c>
    </row>
    <row r="9041" spans="1:19" x14ac:dyDescent="0.35">
      <c r="A9041" s="1" t="s">
        <v>1244</v>
      </c>
    </row>
    <row r="9042" spans="1:19" x14ac:dyDescent="0.35">
      <c r="A9042" t="s">
        <v>219</v>
      </c>
      <c r="B9042" t="s">
        <v>305</v>
      </c>
      <c r="C9042" t="s">
        <v>1222</v>
      </c>
      <c r="D9042" t="s">
        <v>1223</v>
      </c>
      <c r="E9042" t="s">
        <v>1224</v>
      </c>
      <c r="F9042" t="s">
        <v>1225</v>
      </c>
      <c r="G9042" t="s">
        <v>1226</v>
      </c>
      <c r="H9042" t="s">
        <v>1227</v>
      </c>
      <c r="I9042" t="s">
        <v>1228</v>
      </c>
      <c r="J9042" t="s">
        <v>1229</v>
      </c>
      <c r="K9042" t="s">
        <v>1230</v>
      </c>
      <c r="L9042" t="s">
        <v>326</v>
      </c>
      <c r="M9042" t="s">
        <v>1231</v>
      </c>
      <c r="N9042" t="s">
        <v>1232</v>
      </c>
      <c r="O9042" t="s">
        <v>1233</v>
      </c>
      <c r="P9042" t="s">
        <v>286</v>
      </c>
      <c r="Q9042" t="s">
        <v>1234</v>
      </c>
      <c r="R9042" t="s">
        <v>281</v>
      </c>
      <c r="S9042" t="s">
        <v>226</v>
      </c>
    </row>
    <row r="9043" spans="1:19" x14ac:dyDescent="0.35">
      <c r="A9043" s="27" t="s">
        <v>227</v>
      </c>
      <c r="B9043" s="27" t="s">
        <v>371</v>
      </c>
      <c r="C9043" s="28">
        <v>0.33329999999999999</v>
      </c>
      <c r="D9043" s="28">
        <v>0.375</v>
      </c>
      <c r="E9043" s="28">
        <v>0.25</v>
      </c>
      <c r="F9043" s="28">
        <v>0.125</v>
      </c>
      <c r="G9043" s="29"/>
      <c r="H9043" s="28">
        <v>8.3299999999999999E-2</v>
      </c>
      <c r="I9043" s="28">
        <v>8.3299999999999999E-2</v>
      </c>
      <c r="J9043" s="29"/>
      <c r="K9043" s="28">
        <v>4.1700000000000001E-2</v>
      </c>
      <c r="L9043" s="29"/>
      <c r="M9043" s="29"/>
      <c r="N9043" s="29"/>
      <c r="O9043" s="29"/>
      <c r="P9043" s="29"/>
      <c r="Q9043" s="29"/>
      <c r="R9043" s="29"/>
      <c r="S9043" s="29" t="s">
        <v>310</v>
      </c>
    </row>
    <row r="9044" spans="1:19" x14ac:dyDescent="0.35">
      <c r="A9044" t="s">
        <v>228</v>
      </c>
      <c r="B9044" t="s">
        <v>371</v>
      </c>
      <c r="C9044" s="26">
        <v>0.34520000000000001</v>
      </c>
      <c r="D9044" s="26">
        <v>0.26840000000000003</v>
      </c>
      <c r="E9044" s="26">
        <v>0.32390000000000002</v>
      </c>
      <c r="G9044" s="26">
        <v>5.8500000000000003E-2</v>
      </c>
      <c r="H9044" s="26">
        <v>3.0800000000000001E-2</v>
      </c>
      <c r="J9044" s="26">
        <v>2.7799999999999998E-2</v>
      </c>
      <c r="L9044" s="26">
        <v>3.5000000000000001E-3</v>
      </c>
      <c r="M9044" s="26">
        <v>5.5500000000000001E-2</v>
      </c>
      <c r="N9044" s="26">
        <v>8.6300000000000002E-2</v>
      </c>
      <c r="O9044" s="26">
        <v>2.7799999999999998E-2</v>
      </c>
      <c r="P9044" s="26">
        <v>3.5000000000000001E-3</v>
      </c>
      <c r="S9044">
        <v>52</v>
      </c>
    </row>
    <row r="9045" spans="1:19" x14ac:dyDescent="0.35">
      <c r="A9045" t="s">
        <v>228</v>
      </c>
      <c r="B9045" t="s">
        <v>372</v>
      </c>
      <c r="C9045" s="26">
        <v>0.1138</v>
      </c>
      <c r="D9045" s="26">
        <v>0.58940000000000003</v>
      </c>
      <c r="E9045" s="26">
        <v>0.43209999999999998</v>
      </c>
      <c r="F9045" s="26">
        <v>7.5200000000000003E-2</v>
      </c>
      <c r="G9045" s="26">
        <v>7.5200000000000003E-2</v>
      </c>
      <c r="I9045" s="26">
        <v>2.9100000000000001E-2</v>
      </c>
      <c r="K9045" s="26">
        <v>2.9100000000000001E-2</v>
      </c>
      <c r="L9045" s="26">
        <v>1.7100000000000001E-2</v>
      </c>
      <c r="O9045" s="26">
        <v>1.7100000000000001E-2</v>
      </c>
      <c r="R9045" s="26">
        <v>1.7100000000000001E-2</v>
      </c>
      <c r="S9045">
        <v>38</v>
      </c>
    </row>
    <row r="9046" spans="1:19" x14ac:dyDescent="0.35">
      <c r="A9046" t="s">
        <v>228</v>
      </c>
      <c r="B9046" t="s">
        <v>373</v>
      </c>
      <c r="C9046" s="26">
        <v>0.27550000000000002</v>
      </c>
      <c r="D9046" s="26">
        <v>0.3649</v>
      </c>
      <c r="E9046" s="26">
        <v>0.3276</v>
      </c>
      <c r="F9046" s="26">
        <v>8.3799999999999999E-2</v>
      </c>
      <c r="G9046" s="26">
        <v>5.62E-2</v>
      </c>
      <c r="H9046" s="26">
        <v>3.7999999999999999E-2</v>
      </c>
      <c r="I9046" s="26">
        <v>5.8000000000000003E-2</v>
      </c>
      <c r="J9046" s="26">
        <v>4.8399999999999999E-2</v>
      </c>
      <c r="K9046" s="26">
        <v>4.7600000000000003E-2</v>
      </c>
      <c r="M9046" s="26">
        <v>2.6200000000000001E-2</v>
      </c>
      <c r="N9046" s="26">
        <v>1.38E-2</v>
      </c>
      <c r="O9046" s="26">
        <v>3.7900000000000003E-2</v>
      </c>
      <c r="Q9046" s="26">
        <v>2.0799999999999999E-2</v>
      </c>
      <c r="S9046">
        <v>79</v>
      </c>
    </row>
    <row r="9047" spans="1:19" x14ac:dyDescent="0.35">
      <c r="A9047" t="s">
        <v>229</v>
      </c>
      <c r="B9047" t="s">
        <v>371</v>
      </c>
      <c r="C9047" s="26">
        <v>0.26569999999999999</v>
      </c>
      <c r="D9047" s="26">
        <v>0.316</v>
      </c>
      <c r="E9047" s="26">
        <v>0.26919999999999999</v>
      </c>
      <c r="F9047" s="26">
        <v>7.7899999999999997E-2</v>
      </c>
      <c r="G9047" s="26">
        <v>7.5300000000000006E-2</v>
      </c>
      <c r="H9047" s="26">
        <v>6.7599999999999993E-2</v>
      </c>
      <c r="I9047" s="26">
        <v>4.5900000000000003E-2</v>
      </c>
      <c r="J9047" s="26">
        <v>3.3799999999999997E-2</v>
      </c>
      <c r="K9047" s="26">
        <v>1.9900000000000001E-2</v>
      </c>
      <c r="L9047" s="26">
        <v>5.5500000000000001E-2</v>
      </c>
      <c r="M9047" s="26">
        <v>3.8899999999999997E-2</v>
      </c>
      <c r="N9047" s="26">
        <v>4.1599999999999998E-2</v>
      </c>
      <c r="P9047" s="26">
        <v>1.2999999999999999E-2</v>
      </c>
      <c r="Q9047" s="26">
        <v>3.5000000000000001E-3</v>
      </c>
      <c r="S9047">
        <v>96</v>
      </c>
    </row>
    <row r="9048" spans="1:19" x14ac:dyDescent="0.35">
      <c r="A9048" s="27" t="s">
        <v>229</v>
      </c>
      <c r="B9048" s="27" t="s">
        <v>372</v>
      </c>
      <c r="C9048" s="28">
        <v>0.25480000000000003</v>
      </c>
      <c r="D9048" s="28">
        <v>0.31659999999999999</v>
      </c>
      <c r="E9048" s="28">
        <v>0.29830000000000001</v>
      </c>
      <c r="F9048" s="29"/>
      <c r="G9048" s="28">
        <v>4.3400000000000001E-2</v>
      </c>
      <c r="H9048" s="29"/>
      <c r="I9048" s="28">
        <v>5.6000000000000001E-2</v>
      </c>
      <c r="J9048" s="29"/>
      <c r="K9048" s="28">
        <v>8.6900000000000005E-2</v>
      </c>
      <c r="L9048" s="28">
        <v>0.1429</v>
      </c>
      <c r="M9048" s="29"/>
      <c r="N9048" s="29"/>
      <c r="O9048" s="29"/>
      <c r="P9048" s="29"/>
      <c r="Q9048" s="29"/>
      <c r="R9048" s="28">
        <v>4.3400000000000001E-2</v>
      </c>
      <c r="S9048" s="29" t="s">
        <v>336</v>
      </c>
    </row>
    <row r="9049" spans="1:19" x14ac:dyDescent="0.35">
      <c r="A9049" s="27" t="s">
        <v>229</v>
      </c>
      <c r="B9049" s="27" t="s">
        <v>373</v>
      </c>
      <c r="C9049" s="28">
        <v>0.18140000000000001</v>
      </c>
      <c r="D9049" s="29"/>
      <c r="E9049" s="28">
        <v>0.18140000000000001</v>
      </c>
      <c r="F9049" s="29"/>
      <c r="G9049" s="29"/>
      <c r="H9049" s="29"/>
      <c r="I9049" s="29"/>
      <c r="J9049" s="28">
        <v>0.18140000000000001</v>
      </c>
      <c r="K9049" s="28">
        <v>0.36280000000000001</v>
      </c>
      <c r="L9049" s="28">
        <v>9.3100000000000002E-2</v>
      </c>
      <c r="M9049" s="29"/>
      <c r="N9049" s="29"/>
      <c r="O9049" s="29"/>
      <c r="P9049" s="29"/>
      <c r="Q9049" s="29"/>
      <c r="R9049" s="29"/>
      <c r="S9049" s="29" t="s">
        <v>335</v>
      </c>
    </row>
    <row r="9050" spans="1:19" x14ac:dyDescent="0.35">
      <c r="A9050" t="s">
        <v>230</v>
      </c>
      <c r="B9050" t="s">
        <v>371</v>
      </c>
      <c r="C9050" s="26">
        <v>0.2019</v>
      </c>
      <c r="D9050" s="26">
        <v>0.27439999999999998</v>
      </c>
      <c r="E9050" s="26">
        <v>0.30769999999999997</v>
      </c>
      <c r="F9050" s="26">
        <v>7.22E-2</v>
      </c>
      <c r="G9050" s="26">
        <v>0.1152</v>
      </c>
      <c r="H9050" s="26">
        <v>2.8799999999999999E-2</v>
      </c>
      <c r="I9050" s="26">
        <v>2.8799999999999999E-2</v>
      </c>
      <c r="J9050" s="26">
        <v>5.7599999999999998E-2</v>
      </c>
      <c r="K9050" s="26">
        <v>3.3700000000000001E-2</v>
      </c>
      <c r="M9050" s="26">
        <v>6.25E-2</v>
      </c>
      <c r="O9050" s="26">
        <v>2.8799999999999999E-2</v>
      </c>
      <c r="S9050">
        <v>58</v>
      </c>
    </row>
    <row r="9051" spans="1:19" x14ac:dyDescent="0.35">
      <c r="A9051" s="27" t="s">
        <v>230</v>
      </c>
      <c r="B9051" s="27" t="s">
        <v>372</v>
      </c>
      <c r="C9051" s="28">
        <v>0.2581</v>
      </c>
      <c r="D9051" s="28">
        <v>0.34410000000000002</v>
      </c>
      <c r="E9051" s="28">
        <v>0.39779999999999999</v>
      </c>
      <c r="F9051" s="28">
        <v>4.2999999999999997E-2</v>
      </c>
      <c r="G9051" s="28">
        <v>0.18279999999999999</v>
      </c>
      <c r="H9051" s="29"/>
      <c r="I9051" s="29"/>
      <c r="J9051" s="28">
        <v>0.129</v>
      </c>
      <c r="K9051" s="29"/>
      <c r="L9051" s="29"/>
      <c r="M9051" s="28">
        <v>4.2999999999999997E-2</v>
      </c>
      <c r="N9051" s="29"/>
      <c r="O9051" s="29"/>
      <c r="P9051" s="28">
        <v>4.2999999999999997E-2</v>
      </c>
      <c r="Q9051" s="29"/>
      <c r="R9051" s="29"/>
      <c r="S9051" s="29" t="s">
        <v>351</v>
      </c>
    </row>
    <row r="9052" spans="1:19" x14ac:dyDescent="0.35">
      <c r="A9052" s="27" t="s">
        <v>230</v>
      </c>
      <c r="B9052" s="27" t="s">
        <v>373</v>
      </c>
      <c r="C9052" s="28">
        <v>0.47789999999999999</v>
      </c>
      <c r="D9052" s="28">
        <v>4.41E-2</v>
      </c>
      <c r="E9052" s="28">
        <v>9.5600000000000004E-2</v>
      </c>
      <c r="F9052" s="28">
        <v>9.5600000000000004E-2</v>
      </c>
      <c r="G9052" s="29"/>
      <c r="H9052" s="29"/>
      <c r="I9052" s="28">
        <v>9.5600000000000004E-2</v>
      </c>
      <c r="J9052" s="28">
        <v>9.5600000000000004E-2</v>
      </c>
      <c r="K9052" s="29"/>
      <c r="L9052" s="29"/>
      <c r="M9052" s="28">
        <v>4.7800000000000002E-2</v>
      </c>
      <c r="N9052" s="29"/>
      <c r="O9052" s="28">
        <v>9.5600000000000004E-2</v>
      </c>
      <c r="P9052" s="28">
        <v>4.7800000000000002E-2</v>
      </c>
      <c r="Q9052" s="29"/>
      <c r="R9052" s="29"/>
      <c r="S9052" s="29" t="s">
        <v>328</v>
      </c>
    </row>
    <row r="9053" spans="1:19" x14ac:dyDescent="0.35">
      <c r="A9053" s="27" t="s">
        <v>231</v>
      </c>
      <c r="B9053" s="27" t="s">
        <v>371</v>
      </c>
      <c r="C9053" s="28">
        <v>0.37930000000000003</v>
      </c>
      <c r="D9053" s="28">
        <v>0.27589999999999998</v>
      </c>
      <c r="E9053" s="28">
        <v>0.27589999999999998</v>
      </c>
      <c r="F9053" s="28">
        <v>0.2069</v>
      </c>
      <c r="G9053" s="28">
        <v>0.10340000000000001</v>
      </c>
      <c r="H9053" s="28">
        <v>6.9000000000000006E-2</v>
      </c>
      <c r="I9053" s="28">
        <v>6.9000000000000006E-2</v>
      </c>
      <c r="J9053" s="28">
        <v>3.4500000000000003E-2</v>
      </c>
      <c r="K9053" s="28">
        <v>3.4500000000000003E-2</v>
      </c>
      <c r="L9053" s="28">
        <v>3.4500000000000003E-2</v>
      </c>
      <c r="M9053" s="29"/>
      <c r="N9053" s="29"/>
      <c r="O9053" s="29"/>
      <c r="P9053" s="29"/>
      <c r="Q9053" s="29"/>
      <c r="R9053" s="29"/>
      <c r="S9053" s="29" t="s">
        <v>329</v>
      </c>
    </row>
    <row r="9054" spans="1:19" x14ac:dyDescent="0.35">
      <c r="A9054" t="s">
        <v>232</v>
      </c>
      <c r="B9054" t="s">
        <v>232</v>
      </c>
      <c r="C9054" s="26">
        <v>0.30740000000000001</v>
      </c>
      <c r="D9054" s="26">
        <v>0.30609999999999998</v>
      </c>
      <c r="E9054" s="26">
        <v>0.28370000000000001</v>
      </c>
      <c r="F9054" s="26">
        <v>0.10630000000000001</v>
      </c>
      <c r="G9054" s="26">
        <v>7.3300000000000004E-2</v>
      </c>
      <c r="H9054" s="26">
        <v>5.7000000000000002E-2</v>
      </c>
      <c r="I9054" s="26">
        <v>4.9799999999999997E-2</v>
      </c>
      <c r="J9054" s="26">
        <v>3.2599999999999997E-2</v>
      </c>
      <c r="K9054" s="26">
        <v>2.8400000000000002E-2</v>
      </c>
      <c r="L9054" s="26">
        <v>2.81E-2</v>
      </c>
      <c r="M9054" s="26">
        <v>2.6599999999999999E-2</v>
      </c>
      <c r="N9054" s="26">
        <v>2.3900000000000001E-2</v>
      </c>
      <c r="O9054" s="26">
        <v>9.4999999999999998E-3</v>
      </c>
      <c r="P9054" s="26">
        <v>4.8999999999999998E-3</v>
      </c>
      <c r="Q9054" s="26">
        <v>2.2000000000000001E-3</v>
      </c>
      <c r="R9054" s="26">
        <v>8.0000000000000004E-4</v>
      </c>
      <c r="S9054">
        <v>454</v>
      </c>
    </row>
    <row r="9056" spans="1:19" x14ac:dyDescent="0.35">
      <c r="A9056" s="1" t="s">
        <v>1245</v>
      </c>
    </row>
    <row r="9057" spans="1:19" x14ac:dyDescent="0.35">
      <c r="A9057" t="s">
        <v>219</v>
      </c>
      <c r="B9057" t="s">
        <v>305</v>
      </c>
      <c r="C9057" t="s">
        <v>1222</v>
      </c>
      <c r="D9057" t="s">
        <v>1223</v>
      </c>
      <c r="E9057" t="s">
        <v>1224</v>
      </c>
      <c r="F9057" t="s">
        <v>1225</v>
      </c>
      <c r="G9057" t="s">
        <v>1226</v>
      </c>
      <c r="H9057" t="s">
        <v>1227</v>
      </c>
      <c r="I9057" t="s">
        <v>1228</v>
      </c>
      <c r="J9057" t="s">
        <v>1229</v>
      </c>
      <c r="K9057" t="s">
        <v>1230</v>
      </c>
      <c r="L9057" t="s">
        <v>326</v>
      </c>
      <c r="M9057" t="s">
        <v>1231</v>
      </c>
      <c r="N9057" t="s">
        <v>1232</v>
      </c>
      <c r="O9057" t="s">
        <v>1233</v>
      </c>
      <c r="P9057" t="s">
        <v>286</v>
      </c>
      <c r="Q9057" t="s">
        <v>1234</v>
      </c>
      <c r="R9057" t="s">
        <v>281</v>
      </c>
      <c r="S9057" t="s">
        <v>226</v>
      </c>
    </row>
    <row r="9058" spans="1:19" x14ac:dyDescent="0.35">
      <c r="A9058" s="27" t="s">
        <v>227</v>
      </c>
      <c r="B9058" s="27" t="s">
        <v>255</v>
      </c>
      <c r="C9058" s="28">
        <v>0.3846</v>
      </c>
      <c r="D9058" s="28">
        <v>0.15379999999999999</v>
      </c>
      <c r="E9058" s="28">
        <v>0.23080000000000001</v>
      </c>
      <c r="F9058" s="28">
        <v>7.6899999999999996E-2</v>
      </c>
      <c r="G9058" s="29"/>
      <c r="H9058" s="28">
        <v>0.15379999999999999</v>
      </c>
      <c r="I9058" s="28">
        <v>0.15379999999999999</v>
      </c>
      <c r="J9058" s="29"/>
      <c r="K9058" s="29"/>
      <c r="L9058" s="29"/>
      <c r="M9058" s="29"/>
      <c r="N9058" s="29"/>
      <c r="O9058" s="29"/>
      <c r="P9058" s="29"/>
      <c r="Q9058" s="29"/>
      <c r="R9058" s="29"/>
      <c r="S9058" s="29" t="s">
        <v>341</v>
      </c>
    </row>
    <row r="9059" spans="1:19" x14ac:dyDescent="0.35">
      <c r="A9059" s="27" t="s">
        <v>227</v>
      </c>
      <c r="B9059" s="27" t="s">
        <v>257</v>
      </c>
      <c r="C9059" s="29"/>
      <c r="D9059" s="29"/>
      <c r="E9059" s="29"/>
      <c r="F9059" s="29"/>
      <c r="G9059" s="29"/>
      <c r="H9059" s="29"/>
      <c r="I9059" s="29"/>
      <c r="J9059" s="29"/>
      <c r="K9059" s="28">
        <v>1</v>
      </c>
      <c r="L9059" s="29"/>
      <c r="M9059" s="29"/>
      <c r="N9059" s="29"/>
      <c r="O9059" s="29"/>
      <c r="P9059" s="29"/>
      <c r="Q9059" s="29"/>
      <c r="R9059" s="29"/>
      <c r="S9059" s="29" t="s">
        <v>331</v>
      </c>
    </row>
    <row r="9060" spans="1:19" x14ac:dyDescent="0.35">
      <c r="A9060" s="27" t="s">
        <v>227</v>
      </c>
      <c r="B9060" s="27" t="s">
        <v>256</v>
      </c>
      <c r="C9060" s="28">
        <v>0.3</v>
      </c>
      <c r="D9060" s="28">
        <v>0.7</v>
      </c>
      <c r="E9060" s="28">
        <v>0.3</v>
      </c>
      <c r="F9060" s="28">
        <v>0.2</v>
      </c>
      <c r="G9060" s="29"/>
      <c r="H9060" s="29"/>
      <c r="I9060" s="29"/>
      <c r="J9060" s="29"/>
      <c r="K9060" s="29"/>
      <c r="L9060" s="29"/>
      <c r="M9060" s="29"/>
      <c r="N9060" s="29"/>
      <c r="O9060" s="29"/>
      <c r="P9060" s="29"/>
      <c r="Q9060" s="29"/>
      <c r="R9060" s="29"/>
      <c r="S9060" s="29" t="s">
        <v>307</v>
      </c>
    </row>
    <row r="9061" spans="1:19" x14ac:dyDescent="0.35">
      <c r="A9061" s="27" t="s">
        <v>228</v>
      </c>
      <c r="B9061" s="27" t="s">
        <v>257</v>
      </c>
      <c r="C9061" s="28">
        <v>0.52859999999999996</v>
      </c>
      <c r="D9061" s="28">
        <v>9.4899999999999998E-2</v>
      </c>
      <c r="E9061" s="28">
        <v>0.69699999999999995</v>
      </c>
      <c r="F9061" s="28">
        <v>3.5700000000000003E-2</v>
      </c>
      <c r="G9061" s="28">
        <v>3.5700000000000003E-2</v>
      </c>
      <c r="H9061" s="29"/>
      <c r="I9061" s="28">
        <v>3.5700000000000003E-2</v>
      </c>
      <c r="J9061" s="29"/>
      <c r="K9061" s="28">
        <v>2.7E-2</v>
      </c>
      <c r="L9061" s="29"/>
      <c r="M9061" s="29"/>
      <c r="N9061" s="29"/>
      <c r="O9061" s="28">
        <v>7.6300000000000007E-2</v>
      </c>
      <c r="P9061" s="29"/>
      <c r="Q9061" s="28">
        <v>3.5700000000000003E-2</v>
      </c>
      <c r="R9061" s="29"/>
      <c r="S9061" s="29" t="s">
        <v>342</v>
      </c>
    </row>
    <row r="9062" spans="1:19" x14ac:dyDescent="0.35">
      <c r="A9062" t="s">
        <v>228</v>
      </c>
      <c r="B9062" t="s">
        <v>255</v>
      </c>
      <c r="C9062" s="26">
        <v>0.19489999999999999</v>
      </c>
      <c r="D9062" s="26">
        <v>0.37609999999999999</v>
      </c>
      <c r="E9062" s="26">
        <v>0.26850000000000002</v>
      </c>
      <c r="F9062" s="26">
        <v>3.6799999999999999E-2</v>
      </c>
      <c r="G9062" s="26">
        <v>7.8799999999999995E-2</v>
      </c>
      <c r="H9062" s="26">
        <v>4.3900000000000002E-2</v>
      </c>
      <c r="I9062" s="26">
        <v>1.18E-2</v>
      </c>
      <c r="J9062" s="26">
        <v>5.74E-2</v>
      </c>
      <c r="K9062" s="26">
        <v>2.4500000000000001E-2</v>
      </c>
      <c r="L9062" s="26">
        <v>2.3999999999999998E-3</v>
      </c>
      <c r="M9062" s="26">
        <v>7.3200000000000001E-2</v>
      </c>
      <c r="N9062" s="26">
        <v>7.0900000000000005E-2</v>
      </c>
      <c r="O9062" s="26">
        <v>2.3999999999999998E-3</v>
      </c>
      <c r="P9062" s="26">
        <v>4.0000000000000001E-3</v>
      </c>
      <c r="Q9062" s="26">
        <v>5.4000000000000003E-3</v>
      </c>
      <c r="R9062" s="26">
        <v>2.3999999999999998E-3</v>
      </c>
      <c r="S9062">
        <v>106</v>
      </c>
    </row>
    <row r="9063" spans="1:19" x14ac:dyDescent="0.35">
      <c r="A9063" t="s">
        <v>228</v>
      </c>
      <c r="B9063" t="s">
        <v>256</v>
      </c>
      <c r="C9063" s="26">
        <v>0.45150000000000001</v>
      </c>
      <c r="D9063" s="26">
        <v>0.2959</v>
      </c>
      <c r="E9063" s="26">
        <v>0.36059999999999998</v>
      </c>
      <c r="F9063" s="26">
        <v>1.7899999999999999E-2</v>
      </c>
      <c r="G9063" s="26">
        <v>3.73E-2</v>
      </c>
      <c r="H9063" s="26">
        <v>1.83E-2</v>
      </c>
      <c r="I9063" s="26">
        <v>2.64E-2</v>
      </c>
      <c r="L9063" s="26">
        <v>6.3E-3</v>
      </c>
      <c r="M9063" s="26">
        <v>8.3999999999999995E-3</v>
      </c>
      <c r="N9063" s="26">
        <v>7.4000000000000003E-3</v>
      </c>
      <c r="O9063" s="26">
        <v>6.3700000000000007E-2</v>
      </c>
      <c r="S9063">
        <v>49</v>
      </c>
    </row>
    <row r="9064" spans="1:19" x14ac:dyDescent="0.35">
      <c r="A9064" s="27" t="s">
        <v>228</v>
      </c>
      <c r="B9064" s="27" t="s">
        <v>258</v>
      </c>
      <c r="C9064" s="29"/>
      <c r="D9064" s="28">
        <v>0.14149999999999999</v>
      </c>
      <c r="E9064" s="28">
        <v>0.14149999999999999</v>
      </c>
      <c r="F9064" s="29"/>
      <c r="G9064" s="29"/>
      <c r="H9064" s="29"/>
      <c r="I9064" s="29"/>
      <c r="J9064" s="29"/>
      <c r="K9064" s="29"/>
      <c r="L9064" s="29"/>
      <c r="M9064" s="29"/>
      <c r="N9064" s="28">
        <v>0.85850000000000004</v>
      </c>
      <c r="O9064" s="29"/>
      <c r="P9064" s="29"/>
      <c r="Q9064" s="29"/>
      <c r="R9064" s="29"/>
      <c r="S9064" s="29" t="s">
        <v>314</v>
      </c>
    </row>
    <row r="9065" spans="1:19" x14ac:dyDescent="0.35">
      <c r="A9065" s="27" t="s">
        <v>229</v>
      </c>
      <c r="B9065" s="27" t="s">
        <v>257</v>
      </c>
      <c r="C9065" s="28">
        <v>0.1072</v>
      </c>
      <c r="D9065" s="28">
        <v>0.34989999999999999</v>
      </c>
      <c r="E9065" s="28">
        <v>0.50370000000000004</v>
      </c>
      <c r="F9065" s="29"/>
      <c r="G9065" s="29"/>
      <c r="H9065" s="28">
        <v>0.2354</v>
      </c>
      <c r="I9065" s="29"/>
      <c r="J9065" s="28">
        <v>7.1999999999999998E-3</v>
      </c>
      <c r="K9065" s="29"/>
      <c r="L9065" s="28">
        <v>0.1113</v>
      </c>
      <c r="M9065" s="29"/>
      <c r="N9065" s="28">
        <v>0.12820000000000001</v>
      </c>
      <c r="O9065" s="29"/>
      <c r="P9065" s="29"/>
      <c r="Q9065" s="29"/>
      <c r="R9065" s="28">
        <v>1.41E-2</v>
      </c>
      <c r="S9065" s="29" t="s">
        <v>346</v>
      </c>
    </row>
    <row r="9066" spans="1:19" x14ac:dyDescent="0.35">
      <c r="A9066" t="s">
        <v>229</v>
      </c>
      <c r="B9066" t="s">
        <v>256</v>
      </c>
      <c r="C9066" s="26">
        <v>0.36199999999999999</v>
      </c>
      <c r="D9066" s="26">
        <v>0.38779999999999998</v>
      </c>
      <c r="E9066" s="26">
        <v>0.1736</v>
      </c>
      <c r="F9066" s="26">
        <v>0.1172</v>
      </c>
      <c r="G9066" s="26">
        <v>4.7300000000000002E-2</v>
      </c>
      <c r="H9066" s="26">
        <v>6.7799999999999999E-2</v>
      </c>
      <c r="I9066" s="26">
        <v>4.9599999999999998E-2</v>
      </c>
      <c r="J9066" s="26">
        <v>4.4000000000000003E-3</v>
      </c>
      <c r="K9066" s="26">
        <v>6.0699999999999997E-2</v>
      </c>
      <c r="L9066" s="26">
        <v>3.8300000000000001E-2</v>
      </c>
      <c r="M9066" s="26">
        <v>8.9999999999999993E-3</v>
      </c>
      <c r="P9066" s="26">
        <v>3.39E-2</v>
      </c>
      <c r="Q9066" s="26">
        <v>8.9999999999999993E-3</v>
      </c>
      <c r="S9066">
        <v>45</v>
      </c>
    </row>
    <row r="9067" spans="1:19" x14ac:dyDescent="0.35">
      <c r="A9067" t="s">
        <v>229</v>
      </c>
      <c r="B9067" t="s">
        <v>255</v>
      </c>
      <c r="C9067" s="26">
        <v>0.23089999999999999</v>
      </c>
      <c r="D9067" s="26">
        <v>0.25240000000000001</v>
      </c>
      <c r="E9067" s="26">
        <v>0.28499999999999998</v>
      </c>
      <c r="F9067" s="26">
        <v>6.0499999999999998E-2</v>
      </c>
      <c r="G9067" s="26">
        <v>0.10829999999999999</v>
      </c>
      <c r="H9067" s="26">
        <v>2.3900000000000001E-2</v>
      </c>
      <c r="I9067" s="26">
        <v>5.3499999999999999E-2</v>
      </c>
      <c r="J9067" s="26">
        <v>6.0600000000000001E-2</v>
      </c>
      <c r="K9067" s="26">
        <v>6.3E-3</v>
      </c>
      <c r="L9067" s="26">
        <v>6.2100000000000002E-2</v>
      </c>
      <c r="M9067" s="26">
        <v>6.5199999999999994E-2</v>
      </c>
      <c r="N9067" s="26">
        <v>4.7800000000000002E-2</v>
      </c>
      <c r="S9067">
        <v>70</v>
      </c>
    </row>
    <row r="9068" spans="1:19" x14ac:dyDescent="0.35">
      <c r="A9068" s="27" t="s">
        <v>230</v>
      </c>
      <c r="B9068" s="27" t="s">
        <v>257</v>
      </c>
      <c r="C9068" s="28">
        <v>0.38450000000000001</v>
      </c>
      <c r="D9068" s="28">
        <v>0.27779999999999999</v>
      </c>
      <c r="E9068" s="28">
        <v>0.56969999999999998</v>
      </c>
      <c r="F9068" s="28">
        <v>4.58E-2</v>
      </c>
      <c r="G9068" s="29"/>
      <c r="H9068" s="29"/>
      <c r="I9068" s="29"/>
      <c r="J9068" s="29"/>
      <c r="K9068" s="29"/>
      <c r="L9068" s="29"/>
      <c r="M9068" s="29"/>
      <c r="N9068" s="29"/>
      <c r="O9068" s="28">
        <v>0.27779999999999999</v>
      </c>
      <c r="P9068" s="29"/>
      <c r="Q9068" s="29"/>
      <c r="R9068" s="29"/>
      <c r="S9068" s="29" t="s">
        <v>333</v>
      </c>
    </row>
    <row r="9069" spans="1:19" x14ac:dyDescent="0.35">
      <c r="A9069" t="s">
        <v>230</v>
      </c>
      <c r="B9069" t="s">
        <v>255</v>
      </c>
      <c r="C9069" s="26">
        <v>0.2147</v>
      </c>
      <c r="D9069" s="26">
        <v>0.2928</v>
      </c>
      <c r="E9069" s="26">
        <v>0.22839999999999999</v>
      </c>
      <c r="F9069" s="26">
        <v>7.2900000000000006E-2</v>
      </c>
      <c r="G9069" s="26">
        <v>9.9500000000000005E-2</v>
      </c>
      <c r="H9069" s="26">
        <v>4.8500000000000001E-2</v>
      </c>
      <c r="J9069" s="26">
        <v>5.0999999999999997E-2</v>
      </c>
      <c r="K9069" s="26">
        <v>4.8500000000000001E-2</v>
      </c>
      <c r="M9069" s="26">
        <v>6.4699999999999994E-2</v>
      </c>
      <c r="O9069" s="26">
        <v>1.6E-2</v>
      </c>
      <c r="P9069" s="26">
        <v>8.0000000000000002E-3</v>
      </c>
      <c r="S9069">
        <v>57</v>
      </c>
    </row>
    <row r="9070" spans="1:19" x14ac:dyDescent="0.35">
      <c r="A9070" s="27" t="s">
        <v>230</v>
      </c>
      <c r="B9070" s="27" t="s">
        <v>258</v>
      </c>
      <c r="C9070" s="29"/>
      <c r="D9070" s="29"/>
      <c r="E9070" s="29"/>
      <c r="F9070" s="28">
        <v>1</v>
      </c>
      <c r="G9070" s="29"/>
      <c r="H9070" s="29"/>
      <c r="I9070" s="29"/>
      <c r="J9070" s="29"/>
      <c r="K9070" s="29"/>
      <c r="L9070" s="29"/>
      <c r="M9070" s="29"/>
      <c r="N9070" s="29"/>
      <c r="O9070" s="29"/>
      <c r="P9070" s="29"/>
      <c r="Q9070" s="29"/>
      <c r="R9070" s="29"/>
      <c r="S9070" s="29" t="s">
        <v>331</v>
      </c>
    </row>
    <row r="9071" spans="1:19" x14ac:dyDescent="0.35">
      <c r="A9071" t="s">
        <v>230</v>
      </c>
      <c r="B9071" t="s">
        <v>256</v>
      </c>
      <c r="C9071" s="26">
        <v>0.22289999999999999</v>
      </c>
      <c r="D9071" s="26">
        <v>0.21560000000000001</v>
      </c>
      <c r="E9071" s="26">
        <v>0.3342</v>
      </c>
      <c r="F9071" s="26">
        <v>1.55E-2</v>
      </c>
      <c r="G9071" s="26">
        <v>0.1532</v>
      </c>
      <c r="I9071" s="26">
        <v>9.4100000000000003E-2</v>
      </c>
      <c r="J9071" s="26">
        <v>0.1013</v>
      </c>
      <c r="K9071" s="26">
        <v>1.1900000000000001E-2</v>
      </c>
      <c r="M9071" s="26">
        <v>7.4399999999999994E-2</v>
      </c>
      <c r="P9071" s="26">
        <v>3.5999999999999999E-3</v>
      </c>
      <c r="S9071">
        <v>36</v>
      </c>
    </row>
    <row r="9072" spans="1:19" x14ac:dyDescent="0.35">
      <c r="A9072" s="27" t="s">
        <v>231</v>
      </c>
      <c r="B9072" s="27" t="s">
        <v>256</v>
      </c>
      <c r="C9072" s="28">
        <v>0.6</v>
      </c>
      <c r="D9072" s="28">
        <v>0.3</v>
      </c>
      <c r="E9072" s="28">
        <v>0.2</v>
      </c>
      <c r="F9072" s="28">
        <v>0.3</v>
      </c>
      <c r="G9072" s="28">
        <v>0.3</v>
      </c>
      <c r="H9072" s="29"/>
      <c r="I9072" s="28">
        <v>0.2</v>
      </c>
      <c r="J9072" s="29"/>
      <c r="K9072" s="28">
        <v>0.1</v>
      </c>
      <c r="L9072" s="29"/>
      <c r="M9072" s="29"/>
      <c r="N9072" s="29"/>
      <c r="O9072" s="29"/>
      <c r="P9072" s="29"/>
      <c r="Q9072" s="29"/>
      <c r="R9072" s="29"/>
      <c r="S9072" s="29" t="s">
        <v>307</v>
      </c>
    </row>
    <row r="9073" spans="1:19" x14ac:dyDescent="0.35">
      <c r="A9073" s="27" t="s">
        <v>231</v>
      </c>
      <c r="B9073" s="27" t="s">
        <v>257</v>
      </c>
      <c r="C9073" s="29"/>
      <c r="D9073" s="29"/>
      <c r="E9073" s="28">
        <v>1</v>
      </c>
      <c r="F9073" s="29"/>
      <c r="G9073" s="29"/>
      <c r="H9073" s="29"/>
      <c r="I9073" s="29"/>
      <c r="J9073" s="29"/>
      <c r="K9073" s="29"/>
      <c r="L9073" s="29"/>
      <c r="M9073" s="29"/>
      <c r="N9073" s="29"/>
      <c r="O9073" s="29"/>
      <c r="P9073" s="29"/>
      <c r="Q9073" s="29"/>
      <c r="R9073" s="29"/>
      <c r="S9073" s="29" t="s">
        <v>331</v>
      </c>
    </row>
    <row r="9074" spans="1:19" x14ac:dyDescent="0.35">
      <c r="A9074" s="27" t="s">
        <v>231</v>
      </c>
      <c r="B9074" s="27" t="s">
        <v>255</v>
      </c>
      <c r="C9074" s="28">
        <v>0.27779999999999999</v>
      </c>
      <c r="D9074" s="28">
        <v>0.27779999999999999</v>
      </c>
      <c r="E9074" s="28">
        <v>0.27779999999999999</v>
      </c>
      <c r="F9074" s="28">
        <v>0.16669999999999999</v>
      </c>
      <c r="G9074" s="29"/>
      <c r="H9074" s="28">
        <v>0.1111</v>
      </c>
      <c r="I9074" s="29"/>
      <c r="J9074" s="28">
        <v>5.5599999999999997E-2</v>
      </c>
      <c r="K9074" s="29"/>
      <c r="L9074" s="28">
        <v>5.5599999999999997E-2</v>
      </c>
      <c r="M9074" s="29"/>
      <c r="N9074" s="29"/>
      <c r="O9074" s="29"/>
      <c r="P9074" s="29"/>
      <c r="Q9074" s="29"/>
      <c r="R9074" s="29"/>
      <c r="S9074" s="29" t="s">
        <v>353</v>
      </c>
    </row>
    <row r="9075" spans="1:19" x14ac:dyDescent="0.35">
      <c r="A9075" t="s">
        <v>232</v>
      </c>
      <c r="B9075" t="s">
        <v>232</v>
      </c>
      <c r="C9075" s="26">
        <v>0.30740000000000001</v>
      </c>
      <c r="D9075" s="26">
        <v>0.30609999999999998</v>
      </c>
      <c r="E9075" s="26">
        <v>0.28370000000000001</v>
      </c>
      <c r="F9075" s="26">
        <v>0.10630000000000001</v>
      </c>
      <c r="G9075" s="26">
        <v>7.3300000000000004E-2</v>
      </c>
      <c r="H9075" s="26">
        <v>5.7000000000000002E-2</v>
      </c>
      <c r="I9075" s="26">
        <v>4.9799999999999997E-2</v>
      </c>
      <c r="J9075" s="26">
        <v>3.2599999999999997E-2</v>
      </c>
      <c r="K9075" s="26">
        <v>2.8400000000000002E-2</v>
      </c>
      <c r="L9075" s="26">
        <v>2.81E-2</v>
      </c>
      <c r="M9075" s="26">
        <v>2.6599999999999999E-2</v>
      </c>
      <c r="N9075" s="26">
        <v>2.3900000000000001E-2</v>
      </c>
      <c r="O9075" s="26">
        <v>9.4999999999999998E-3</v>
      </c>
      <c r="P9075" s="26">
        <v>4.8999999999999998E-3</v>
      </c>
      <c r="Q9075" s="26">
        <v>2.2000000000000001E-3</v>
      </c>
      <c r="R9075" s="26">
        <v>8.0000000000000004E-4</v>
      </c>
      <c r="S9075">
        <v>454</v>
      </c>
    </row>
    <row r="9077" spans="1:19" x14ac:dyDescent="0.35">
      <c r="A9077" s="1" t="s">
        <v>1246</v>
      </c>
    </row>
    <row r="9078" spans="1:19" x14ac:dyDescent="0.35">
      <c r="A9078" t="s">
        <v>219</v>
      </c>
      <c r="B9078" t="s">
        <v>1247</v>
      </c>
      <c r="C9078" t="s">
        <v>1248</v>
      </c>
      <c r="D9078" t="s">
        <v>1249</v>
      </c>
      <c r="E9078" t="s">
        <v>1250</v>
      </c>
      <c r="F9078" t="s">
        <v>1251</v>
      </c>
      <c r="G9078" t="s">
        <v>1252</v>
      </c>
      <c r="H9078" t="s">
        <v>1253</v>
      </c>
      <c r="I9078" t="s">
        <v>326</v>
      </c>
      <c r="J9078" t="s">
        <v>1254</v>
      </c>
      <c r="K9078" t="s">
        <v>1255</v>
      </c>
      <c r="L9078" t="s">
        <v>1256</v>
      </c>
      <c r="M9078" t="s">
        <v>1257</v>
      </c>
      <c r="N9078" t="s">
        <v>1258</v>
      </c>
      <c r="O9078" t="s">
        <v>226</v>
      </c>
    </row>
    <row r="9079" spans="1:19" x14ac:dyDescent="0.35">
      <c r="A9079" s="27" t="s">
        <v>227</v>
      </c>
      <c r="B9079" s="28">
        <v>0.83330000000000004</v>
      </c>
      <c r="C9079" s="28">
        <v>0.16669999999999999</v>
      </c>
      <c r="D9079" s="29"/>
      <c r="E9079" s="29"/>
      <c r="F9079" s="28">
        <v>0.16669999999999999</v>
      </c>
      <c r="G9079" s="28">
        <v>0.16669999999999999</v>
      </c>
      <c r="H9079" s="29"/>
      <c r="I9079" s="29"/>
      <c r="J9079" s="29"/>
      <c r="K9079" s="29"/>
      <c r="L9079" s="29"/>
      <c r="M9079" s="29"/>
      <c r="N9079" s="29"/>
      <c r="O9079" s="29" t="s">
        <v>335</v>
      </c>
    </row>
    <row r="9080" spans="1:19" x14ac:dyDescent="0.35">
      <c r="A9080" t="s">
        <v>228</v>
      </c>
      <c r="B9080" s="26">
        <v>0.5151</v>
      </c>
      <c r="C9080" s="26">
        <v>0.1633</v>
      </c>
      <c r="D9080" s="26">
        <v>0.20319999999999999</v>
      </c>
      <c r="E9080" s="26">
        <v>7.5300000000000006E-2</v>
      </c>
      <c r="F9080" s="26">
        <v>0.13170000000000001</v>
      </c>
      <c r="G9080" s="26">
        <v>0.11269999999999999</v>
      </c>
      <c r="H9080" s="26">
        <v>7.0800000000000002E-2</v>
      </c>
      <c r="I9080" s="26">
        <v>6.7699999999999996E-2</v>
      </c>
      <c r="J9080" s="26">
        <v>6.7699999999999996E-2</v>
      </c>
      <c r="K9080" s="26">
        <v>6.8699999999999997E-2</v>
      </c>
      <c r="L9080" s="26">
        <v>7.0800000000000002E-2</v>
      </c>
      <c r="M9080" s="26">
        <v>6.7699999999999996E-2</v>
      </c>
      <c r="O9080">
        <v>31</v>
      </c>
    </row>
    <row r="9081" spans="1:19" x14ac:dyDescent="0.35">
      <c r="A9081" t="s">
        <v>229</v>
      </c>
      <c r="B9081" s="26">
        <v>0.64229999999999998</v>
      </c>
      <c r="C9081" s="26">
        <v>2.4400000000000002E-2</v>
      </c>
      <c r="D9081" s="26">
        <v>0.25819999999999999</v>
      </c>
      <c r="E9081" s="26">
        <v>0.14599999999999999</v>
      </c>
      <c r="F9081" s="26">
        <v>0.13589999999999999</v>
      </c>
      <c r="G9081" s="26">
        <v>0.11559999999999999</v>
      </c>
      <c r="I9081" s="26">
        <v>3.3999999999999998E-3</v>
      </c>
      <c r="J9081" s="26">
        <v>1.01E-2</v>
      </c>
      <c r="K9081" s="26">
        <v>2.4400000000000002E-2</v>
      </c>
      <c r="L9081" s="26">
        <v>6.0000000000000001E-3</v>
      </c>
      <c r="M9081" s="26">
        <v>1.17E-2</v>
      </c>
      <c r="N9081" s="26">
        <v>1.17E-2</v>
      </c>
      <c r="O9081">
        <v>45</v>
      </c>
    </row>
    <row r="9082" spans="1:19" x14ac:dyDescent="0.35">
      <c r="A9082" s="27" t="s">
        <v>230</v>
      </c>
      <c r="B9082" s="28">
        <v>0.30959999999999999</v>
      </c>
      <c r="C9082" s="28">
        <v>0.2863</v>
      </c>
      <c r="D9082" s="28">
        <v>0.25340000000000001</v>
      </c>
      <c r="E9082" s="28">
        <v>0.1439</v>
      </c>
      <c r="F9082" s="28">
        <v>0.1444</v>
      </c>
      <c r="G9082" s="28">
        <v>0.1502</v>
      </c>
      <c r="H9082" s="28">
        <v>4.07E-2</v>
      </c>
      <c r="I9082" s="28">
        <v>2.7099999999999999E-2</v>
      </c>
      <c r="J9082" s="28">
        <v>0.15640000000000001</v>
      </c>
      <c r="K9082" s="28">
        <v>0.1236</v>
      </c>
      <c r="L9082" s="28">
        <v>0.1298</v>
      </c>
      <c r="M9082" s="29"/>
      <c r="N9082" s="29"/>
      <c r="O9082" s="29" t="s">
        <v>347</v>
      </c>
    </row>
    <row r="9083" spans="1:19" x14ac:dyDescent="0.35">
      <c r="A9083" s="27" t="s">
        <v>231</v>
      </c>
      <c r="B9083" s="28">
        <v>0.5</v>
      </c>
      <c r="C9083" s="28">
        <v>0.33329999999999999</v>
      </c>
      <c r="D9083" s="28">
        <v>0.16669999999999999</v>
      </c>
      <c r="E9083" s="28">
        <v>0.16669999999999999</v>
      </c>
      <c r="F9083" s="29"/>
      <c r="G9083" s="29"/>
      <c r="H9083" s="28">
        <v>0.16669999999999999</v>
      </c>
      <c r="I9083" s="28">
        <v>0.16669999999999999</v>
      </c>
      <c r="J9083" s="29"/>
      <c r="K9083" s="29"/>
      <c r="L9083" s="29"/>
      <c r="M9083" s="29"/>
      <c r="N9083" s="29"/>
      <c r="O9083" s="29" t="s">
        <v>335</v>
      </c>
    </row>
    <row r="9084" spans="1:19" x14ac:dyDescent="0.35">
      <c r="A9084" t="s">
        <v>232</v>
      </c>
      <c r="B9084" s="26">
        <v>0.57289999999999996</v>
      </c>
      <c r="C9084" s="26">
        <v>0.19919999999999999</v>
      </c>
      <c r="D9084" s="26">
        <v>0.1757</v>
      </c>
      <c r="E9084" s="26">
        <v>0.11840000000000001</v>
      </c>
      <c r="F9084" s="26">
        <v>9.8500000000000004E-2</v>
      </c>
      <c r="G9084" s="26">
        <v>9.1999999999999998E-2</v>
      </c>
      <c r="H9084" s="26">
        <v>6.6600000000000006E-2</v>
      </c>
      <c r="I9084" s="26">
        <v>6.5299999999999997E-2</v>
      </c>
      <c r="J9084" s="26">
        <v>3.0800000000000001E-2</v>
      </c>
      <c r="K9084" s="26">
        <v>3.0200000000000001E-2</v>
      </c>
      <c r="L9084" s="26">
        <v>2.6599999999999999E-2</v>
      </c>
      <c r="M9084" s="26">
        <v>1.03E-2</v>
      </c>
      <c r="N9084" s="26">
        <v>3.0000000000000001E-3</v>
      </c>
      <c r="O9084">
        <v>110</v>
      </c>
    </row>
    <row r="9086" spans="1:19" x14ac:dyDescent="0.35">
      <c r="A9086" s="1" t="s">
        <v>1259</v>
      </c>
    </row>
    <row r="9087" spans="1:19" x14ac:dyDescent="0.35">
      <c r="A9087" t="s">
        <v>219</v>
      </c>
      <c r="B9087" t="s">
        <v>305</v>
      </c>
      <c r="C9087" t="s">
        <v>1247</v>
      </c>
      <c r="D9087" t="s">
        <v>1248</v>
      </c>
      <c r="E9087" t="s">
        <v>1249</v>
      </c>
      <c r="F9087" t="s">
        <v>1250</v>
      </c>
      <c r="G9087" t="s">
        <v>1251</v>
      </c>
      <c r="H9087" t="s">
        <v>1252</v>
      </c>
      <c r="I9087" t="s">
        <v>1253</v>
      </c>
      <c r="J9087" t="s">
        <v>326</v>
      </c>
      <c r="K9087" t="s">
        <v>1254</v>
      </c>
      <c r="L9087" t="s">
        <v>1255</v>
      </c>
      <c r="M9087" t="s">
        <v>1256</v>
      </c>
      <c r="N9087" t="s">
        <v>1257</v>
      </c>
      <c r="O9087" t="s">
        <v>1258</v>
      </c>
      <c r="P9087" t="s">
        <v>226</v>
      </c>
    </row>
    <row r="9088" spans="1:19" x14ac:dyDescent="0.35">
      <c r="A9088" s="27" t="s">
        <v>227</v>
      </c>
      <c r="B9088" s="27" t="s">
        <v>242</v>
      </c>
      <c r="C9088" s="28">
        <v>0.66669999999999996</v>
      </c>
      <c r="D9088" s="28">
        <v>0.33329999999999999</v>
      </c>
      <c r="E9088" s="29"/>
      <c r="F9088" s="29"/>
      <c r="G9088" s="28">
        <v>0.33329999999999999</v>
      </c>
      <c r="H9088" s="28">
        <v>0.33329999999999999</v>
      </c>
      <c r="I9088" s="29"/>
      <c r="J9088" s="29"/>
      <c r="K9088" s="29"/>
      <c r="L9088" s="29"/>
      <c r="M9088" s="29"/>
      <c r="N9088" s="29"/>
      <c r="O9088" s="29"/>
      <c r="P9088" s="29" t="s">
        <v>315</v>
      </c>
    </row>
    <row r="9089" spans="1:16" x14ac:dyDescent="0.35">
      <c r="A9089" s="27" t="s">
        <v>227</v>
      </c>
      <c r="B9089" s="27" t="s">
        <v>241</v>
      </c>
      <c r="C9089" s="28">
        <v>1</v>
      </c>
      <c r="D9089" s="29"/>
      <c r="E9089" s="29"/>
      <c r="F9089" s="29"/>
      <c r="G9089" s="29"/>
      <c r="H9089" s="29"/>
      <c r="I9089" s="29"/>
      <c r="J9089" s="29"/>
      <c r="K9089" s="29"/>
      <c r="L9089" s="29"/>
      <c r="M9089" s="29"/>
      <c r="N9089" s="29"/>
      <c r="O9089" s="29"/>
      <c r="P9089" s="29" t="s">
        <v>315</v>
      </c>
    </row>
    <row r="9090" spans="1:16" x14ac:dyDescent="0.35">
      <c r="A9090" s="27" t="s">
        <v>228</v>
      </c>
      <c r="B9090" s="27" t="s">
        <v>242</v>
      </c>
      <c r="C9090" s="28">
        <v>0.67249999999999999</v>
      </c>
      <c r="D9090" s="28">
        <v>0.12659999999999999</v>
      </c>
      <c r="E9090" s="28">
        <v>0.15079999999999999</v>
      </c>
      <c r="F9090" s="28">
        <v>3.78E-2</v>
      </c>
      <c r="G9090" s="28">
        <v>2.5499999999999998E-2</v>
      </c>
      <c r="H9090" s="28">
        <v>6.3299999999999995E-2</v>
      </c>
      <c r="I9090" s="29"/>
      <c r="J9090" s="28">
        <v>4.3499999999999997E-2</v>
      </c>
      <c r="K9090" s="28">
        <v>3.78E-2</v>
      </c>
      <c r="L9090" s="28">
        <v>2.5499999999999998E-2</v>
      </c>
      <c r="M9090" s="29"/>
      <c r="N9090" s="28">
        <v>3.78E-2</v>
      </c>
      <c r="O9090" s="29"/>
      <c r="P9090" s="29" t="s">
        <v>346</v>
      </c>
    </row>
    <row r="9091" spans="1:16" x14ac:dyDescent="0.35">
      <c r="A9091" s="27" t="s">
        <v>228</v>
      </c>
      <c r="B9091" s="27" t="s">
        <v>241</v>
      </c>
      <c r="C9091" s="28">
        <v>0.3286</v>
      </c>
      <c r="D9091" s="28">
        <v>0.20669999999999999</v>
      </c>
      <c r="E9091" s="28">
        <v>0.26540000000000002</v>
      </c>
      <c r="F9091" s="28">
        <v>0.1198</v>
      </c>
      <c r="G9091" s="28">
        <v>0.2576</v>
      </c>
      <c r="H9091" s="28">
        <v>0.17130000000000001</v>
      </c>
      <c r="I9091" s="28">
        <v>0.15459999999999999</v>
      </c>
      <c r="J9091" s="28">
        <v>9.6299999999999997E-2</v>
      </c>
      <c r="K9091" s="28">
        <v>0.10299999999999999</v>
      </c>
      <c r="L9091" s="28">
        <v>0.1198</v>
      </c>
      <c r="M9091" s="28">
        <v>0.15459999999999999</v>
      </c>
      <c r="N9091" s="28">
        <v>0.10299999999999999</v>
      </c>
      <c r="O9091" s="29"/>
      <c r="P9091" s="29" t="s">
        <v>348</v>
      </c>
    </row>
    <row r="9092" spans="1:16" x14ac:dyDescent="0.35">
      <c r="A9092" s="27" t="s">
        <v>229</v>
      </c>
      <c r="B9092" s="27" t="s">
        <v>242</v>
      </c>
      <c r="C9092" s="28">
        <v>0.75639999999999996</v>
      </c>
      <c r="D9092" s="29"/>
      <c r="E9092" s="28">
        <v>0.2266</v>
      </c>
      <c r="F9092" s="28">
        <v>4.3200000000000002E-2</v>
      </c>
      <c r="G9092" s="29"/>
      <c r="H9092" s="29"/>
      <c r="I9092" s="29"/>
      <c r="J9092" s="29"/>
      <c r="K9092" s="28">
        <v>6.1000000000000004E-3</v>
      </c>
      <c r="L9092" s="29"/>
      <c r="M9092" s="28">
        <v>1.09E-2</v>
      </c>
      <c r="N9092" s="29"/>
      <c r="O9092" s="29"/>
      <c r="P9092" s="29" t="s">
        <v>379</v>
      </c>
    </row>
    <row r="9093" spans="1:16" x14ac:dyDescent="0.35">
      <c r="A9093" t="s">
        <v>229</v>
      </c>
      <c r="B9093" t="s">
        <v>241</v>
      </c>
      <c r="C9093" s="26">
        <v>0.504</v>
      </c>
      <c r="D9093" s="26">
        <v>5.3999999999999999E-2</v>
      </c>
      <c r="E9093" s="26">
        <v>0.29659999999999997</v>
      </c>
      <c r="F9093" s="26">
        <v>0.27079999999999999</v>
      </c>
      <c r="G9093" s="26">
        <v>0.30080000000000001</v>
      </c>
      <c r="H9093" s="26">
        <v>0.25590000000000002</v>
      </c>
      <c r="J9093" s="26">
        <v>7.4999999999999997E-3</v>
      </c>
      <c r="K9093" s="26">
        <v>1.49E-2</v>
      </c>
      <c r="L9093" s="26">
        <v>5.3999999999999999E-2</v>
      </c>
      <c r="N9093" s="26">
        <v>2.58E-2</v>
      </c>
      <c r="O9093" s="26">
        <v>2.58E-2</v>
      </c>
      <c r="P9093">
        <v>31</v>
      </c>
    </row>
    <row r="9094" spans="1:16" x14ac:dyDescent="0.35">
      <c r="A9094" s="27" t="s">
        <v>230</v>
      </c>
      <c r="B9094" s="27" t="s">
        <v>242</v>
      </c>
      <c r="C9094" s="28">
        <v>0.4894</v>
      </c>
      <c r="D9094" s="28">
        <v>9.1899999999999996E-2</v>
      </c>
      <c r="E9094" s="28">
        <v>0.41870000000000002</v>
      </c>
      <c r="F9094" s="28">
        <v>0.41870000000000002</v>
      </c>
      <c r="G9094" s="28">
        <v>0.41870000000000002</v>
      </c>
      <c r="H9094" s="29"/>
      <c r="I9094" s="29"/>
      <c r="J9094" s="28">
        <v>2.12E-2</v>
      </c>
      <c r="K9094" s="28">
        <v>0.44</v>
      </c>
      <c r="L9094" s="29"/>
      <c r="M9094" s="28">
        <v>0.41870000000000002</v>
      </c>
      <c r="N9094" s="29"/>
      <c r="O9094" s="29"/>
      <c r="P9094" s="29" t="s">
        <v>332</v>
      </c>
    </row>
    <row r="9095" spans="1:16" x14ac:dyDescent="0.35">
      <c r="A9095" s="27" t="s">
        <v>230</v>
      </c>
      <c r="B9095" s="27" t="s">
        <v>241</v>
      </c>
      <c r="C9095" s="28">
        <v>0.2344</v>
      </c>
      <c r="D9095" s="28">
        <v>0.36770000000000003</v>
      </c>
      <c r="E9095" s="28">
        <v>0.1842</v>
      </c>
      <c r="F9095" s="28">
        <v>2.8899999999999999E-2</v>
      </c>
      <c r="G9095" s="28">
        <v>2.9600000000000001E-2</v>
      </c>
      <c r="H9095" s="28">
        <v>0.21299999999999999</v>
      </c>
      <c r="I9095" s="28">
        <v>5.7799999999999997E-2</v>
      </c>
      <c r="J9095" s="28">
        <v>2.9600000000000001E-2</v>
      </c>
      <c r="K9095" s="28">
        <v>3.78E-2</v>
      </c>
      <c r="L9095" s="28">
        <v>0.17530000000000001</v>
      </c>
      <c r="M9095" s="28">
        <v>8.8999999999999999E-3</v>
      </c>
      <c r="N9095" s="29"/>
      <c r="O9095" s="29"/>
      <c r="P9095" s="29" t="s">
        <v>343</v>
      </c>
    </row>
    <row r="9096" spans="1:16" x14ac:dyDescent="0.35">
      <c r="A9096" s="27" t="s">
        <v>231</v>
      </c>
      <c r="B9096" s="27" t="s">
        <v>242</v>
      </c>
      <c r="C9096" s="29"/>
      <c r="D9096" s="28">
        <v>1</v>
      </c>
      <c r="E9096" s="28">
        <v>0.5</v>
      </c>
      <c r="F9096" s="28">
        <v>0.5</v>
      </c>
      <c r="G9096" s="29"/>
      <c r="H9096" s="29"/>
      <c r="I9096" s="28">
        <v>0.5</v>
      </c>
      <c r="J9096" s="29"/>
      <c r="K9096" s="29"/>
      <c r="L9096" s="29"/>
      <c r="M9096" s="29"/>
      <c r="N9096" s="29"/>
      <c r="O9096" s="29"/>
      <c r="P9096" s="29" t="s">
        <v>314</v>
      </c>
    </row>
    <row r="9097" spans="1:16" x14ac:dyDescent="0.35">
      <c r="A9097" s="27" t="s">
        <v>231</v>
      </c>
      <c r="B9097" s="27" t="s">
        <v>241</v>
      </c>
      <c r="C9097" s="28">
        <v>0.75</v>
      </c>
      <c r="D9097" s="29"/>
      <c r="E9097" s="29"/>
      <c r="F9097" s="29"/>
      <c r="G9097" s="29"/>
      <c r="H9097" s="29"/>
      <c r="I9097" s="29"/>
      <c r="J9097" s="28">
        <v>0.25</v>
      </c>
      <c r="K9097" s="29"/>
      <c r="L9097" s="29"/>
      <c r="M9097" s="29"/>
      <c r="N9097" s="29"/>
      <c r="O9097" s="29"/>
      <c r="P9097" s="29" t="s">
        <v>337</v>
      </c>
    </row>
    <row r="9098" spans="1:16" x14ac:dyDescent="0.35">
      <c r="A9098" t="s">
        <v>232</v>
      </c>
      <c r="B9098" t="s">
        <v>232</v>
      </c>
      <c r="C9098" s="26">
        <v>0.57289999999999996</v>
      </c>
      <c r="D9098" s="26">
        <v>0.19919999999999999</v>
      </c>
      <c r="E9098" s="26">
        <v>0.1757</v>
      </c>
      <c r="F9098" s="26">
        <v>0.11840000000000001</v>
      </c>
      <c r="G9098" s="26">
        <v>9.8500000000000004E-2</v>
      </c>
      <c r="H9098" s="26">
        <v>9.1999999999999998E-2</v>
      </c>
      <c r="I9098" s="26">
        <v>6.6600000000000006E-2</v>
      </c>
      <c r="J9098" s="26">
        <v>6.5299999999999997E-2</v>
      </c>
      <c r="K9098" s="26">
        <v>3.0800000000000001E-2</v>
      </c>
      <c r="L9098" s="26">
        <v>3.0200000000000001E-2</v>
      </c>
      <c r="M9098" s="26">
        <v>2.6599999999999999E-2</v>
      </c>
      <c r="N9098" s="26">
        <v>1.03E-2</v>
      </c>
      <c r="O9098" s="26">
        <v>3.0000000000000001E-3</v>
      </c>
      <c r="P9098">
        <v>110</v>
      </c>
    </row>
    <row r="9100" spans="1:16" x14ac:dyDescent="0.35">
      <c r="A9100" s="1" t="s">
        <v>1260</v>
      </c>
    </row>
    <row r="9101" spans="1:16" x14ac:dyDescent="0.35">
      <c r="A9101" t="s">
        <v>219</v>
      </c>
      <c r="B9101" t="s">
        <v>305</v>
      </c>
      <c r="C9101" t="s">
        <v>1247</v>
      </c>
      <c r="D9101" t="s">
        <v>1248</v>
      </c>
      <c r="E9101" t="s">
        <v>1249</v>
      </c>
      <c r="F9101" t="s">
        <v>1250</v>
      </c>
      <c r="G9101" t="s">
        <v>1251</v>
      </c>
      <c r="H9101" t="s">
        <v>1252</v>
      </c>
      <c r="I9101" t="s">
        <v>1253</v>
      </c>
      <c r="J9101" t="s">
        <v>326</v>
      </c>
      <c r="K9101" t="s">
        <v>1254</v>
      </c>
      <c r="L9101" t="s">
        <v>1255</v>
      </c>
      <c r="M9101" t="s">
        <v>1256</v>
      </c>
      <c r="N9101" t="s">
        <v>1257</v>
      </c>
      <c r="O9101" t="s">
        <v>1258</v>
      </c>
      <c r="P9101" t="s">
        <v>226</v>
      </c>
    </row>
    <row r="9102" spans="1:16" x14ac:dyDescent="0.35">
      <c r="A9102" s="27" t="s">
        <v>227</v>
      </c>
      <c r="B9102" s="27" t="s">
        <v>239</v>
      </c>
      <c r="C9102" s="28">
        <v>0.66669999999999996</v>
      </c>
      <c r="D9102" s="28">
        <v>0.33329999999999999</v>
      </c>
      <c r="E9102" s="29"/>
      <c r="F9102" s="29"/>
      <c r="G9102" s="28">
        <v>0.33329999999999999</v>
      </c>
      <c r="H9102" s="28">
        <v>0.33329999999999999</v>
      </c>
      <c r="I9102" s="29"/>
      <c r="J9102" s="29"/>
      <c r="K9102" s="29"/>
      <c r="L9102" s="29"/>
      <c r="M9102" s="29"/>
      <c r="N9102" s="29"/>
      <c r="O9102" s="29"/>
      <c r="P9102" s="29" t="s">
        <v>315</v>
      </c>
    </row>
    <row r="9103" spans="1:16" x14ac:dyDescent="0.35">
      <c r="A9103" s="27" t="s">
        <v>227</v>
      </c>
      <c r="B9103" s="27" t="s">
        <v>238</v>
      </c>
      <c r="C9103" s="28">
        <v>1</v>
      </c>
      <c r="D9103" s="29"/>
      <c r="E9103" s="29"/>
      <c r="F9103" s="29"/>
      <c r="G9103" s="29"/>
      <c r="H9103" s="29"/>
      <c r="I9103" s="29"/>
      <c r="J9103" s="29"/>
      <c r="K9103" s="29"/>
      <c r="L9103" s="29"/>
      <c r="M9103" s="29"/>
      <c r="N9103" s="29"/>
      <c r="O9103" s="29"/>
      <c r="P9103" s="29" t="s">
        <v>315</v>
      </c>
    </row>
    <row r="9104" spans="1:16" x14ac:dyDescent="0.35">
      <c r="A9104" s="27" t="s">
        <v>228</v>
      </c>
      <c r="B9104" s="27" t="s">
        <v>239</v>
      </c>
      <c r="C9104" s="28">
        <v>0.47270000000000001</v>
      </c>
      <c r="D9104" s="28">
        <v>0.1719</v>
      </c>
      <c r="E9104" s="28">
        <v>0.20680000000000001</v>
      </c>
      <c r="F9104" s="28">
        <v>9.2399999999999996E-2</v>
      </c>
      <c r="G9104" s="28">
        <v>0.159</v>
      </c>
      <c r="H9104" s="28">
        <v>0.16669999999999999</v>
      </c>
      <c r="I9104" s="28">
        <v>0.1192</v>
      </c>
      <c r="J9104" s="28">
        <v>7.4300000000000005E-2</v>
      </c>
      <c r="K9104" s="28">
        <v>0.114</v>
      </c>
      <c r="L9104" s="28">
        <v>9.2399999999999996E-2</v>
      </c>
      <c r="M9104" s="28">
        <v>7.9500000000000001E-2</v>
      </c>
      <c r="N9104" s="28">
        <v>0.114</v>
      </c>
      <c r="O9104" s="29"/>
      <c r="P9104" s="29" t="s">
        <v>328</v>
      </c>
    </row>
    <row r="9105" spans="1:16" x14ac:dyDescent="0.35">
      <c r="A9105" s="27" t="s">
        <v>228</v>
      </c>
      <c r="B9105" s="27" t="s">
        <v>238</v>
      </c>
      <c r="C9105" s="28">
        <v>0.57689999999999997</v>
      </c>
      <c r="D9105" s="28">
        <v>0.1507</v>
      </c>
      <c r="E9105" s="28">
        <v>0.19800000000000001</v>
      </c>
      <c r="F9105" s="28">
        <v>5.04E-2</v>
      </c>
      <c r="G9105" s="28">
        <v>9.1999999999999998E-2</v>
      </c>
      <c r="H9105" s="28">
        <v>3.4000000000000002E-2</v>
      </c>
      <c r="I9105" s="29"/>
      <c r="J9105" s="28">
        <v>5.8000000000000003E-2</v>
      </c>
      <c r="K9105" s="29"/>
      <c r="L9105" s="28">
        <v>3.4000000000000002E-2</v>
      </c>
      <c r="M9105" s="28">
        <v>5.8000000000000003E-2</v>
      </c>
      <c r="N9105" s="29"/>
      <c r="O9105" s="29"/>
      <c r="P9105" s="29" t="s">
        <v>333</v>
      </c>
    </row>
    <row r="9106" spans="1:16" x14ac:dyDescent="0.35">
      <c r="A9106" t="s">
        <v>229</v>
      </c>
      <c r="B9106" t="s">
        <v>239</v>
      </c>
      <c r="C9106" s="26">
        <v>0.73270000000000002</v>
      </c>
      <c r="D9106" s="26">
        <v>5.5300000000000002E-2</v>
      </c>
      <c r="E9106" s="26">
        <v>6.3E-2</v>
      </c>
      <c r="F9106" s="26">
        <v>3.6499999999999998E-2</v>
      </c>
      <c r="G9106" s="26">
        <v>5.3699999999999998E-2</v>
      </c>
      <c r="H9106" s="26">
        <v>2.12E-2</v>
      </c>
      <c r="J9106" s="26">
        <v>7.6E-3</v>
      </c>
      <c r="K9106" s="26">
        <v>1.5299999999999999E-2</v>
      </c>
      <c r="L9106" s="26">
        <v>5.5300000000000002E-2</v>
      </c>
      <c r="M9106" s="26">
        <v>1.3599999999999999E-2</v>
      </c>
      <c r="N9106" s="26">
        <v>2.6499999999999999E-2</v>
      </c>
      <c r="O9106" s="26">
        <v>2.6499999999999999E-2</v>
      </c>
      <c r="P9106">
        <v>34</v>
      </c>
    </row>
    <row r="9107" spans="1:16" x14ac:dyDescent="0.35">
      <c r="A9107" s="27" t="s">
        <v>229</v>
      </c>
      <c r="B9107" s="27" t="s">
        <v>238</v>
      </c>
      <c r="C9107" s="28">
        <v>0.57110000000000005</v>
      </c>
      <c r="D9107" s="29"/>
      <c r="E9107" s="28">
        <v>0.41220000000000001</v>
      </c>
      <c r="F9107" s="28">
        <v>0.2324</v>
      </c>
      <c r="G9107" s="28">
        <v>0.20080000000000001</v>
      </c>
      <c r="H9107" s="28">
        <v>0.19009999999999999</v>
      </c>
      <c r="I9107" s="29"/>
      <c r="J9107" s="29"/>
      <c r="K9107" s="28">
        <v>6.0000000000000001E-3</v>
      </c>
      <c r="L9107" s="29"/>
      <c r="M9107" s="29"/>
      <c r="N9107" s="29"/>
      <c r="O9107" s="29"/>
      <c r="P9107" s="29" t="s">
        <v>352</v>
      </c>
    </row>
    <row r="9108" spans="1:16" x14ac:dyDescent="0.35">
      <c r="A9108" s="27" t="s">
        <v>230</v>
      </c>
      <c r="B9108" s="27" t="s">
        <v>239</v>
      </c>
      <c r="C9108" s="28">
        <v>0.22770000000000001</v>
      </c>
      <c r="D9108" s="28">
        <v>0.38590000000000002</v>
      </c>
      <c r="E9108" s="28">
        <v>0.34910000000000002</v>
      </c>
      <c r="F9108" s="28">
        <v>0.1983</v>
      </c>
      <c r="G9108" s="28">
        <v>0.19900000000000001</v>
      </c>
      <c r="H9108" s="28">
        <v>0.2069</v>
      </c>
      <c r="I9108" s="28">
        <v>5.6099999999999997E-2</v>
      </c>
      <c r="J9108" s="28">
        <v>2.87E-2</v>
      </c>
      <c r="K9108" s="28">
        <v>0.2069</v>
      </c>
      <c r="L9108" s="29"/>
      <c r="M9108" s="28">
        <v>0.1789</v>
      </c>
      <c r="N9108" s="29"/>
      <c r="O9108" s="29"/>
      <c r="P9108" s="29" t="s">
        <v>353</v>
      </c>
    </row>
    <row r="9109" spans="1:16" x14ac:dyDescent="0.35">
      <c r="A9109" s="27" t="s">
        <v>230</v>
      </c>
      <c r="B9109" s="27" t="s">
        <v>238</v>
      </c>
      <c r="C9109" s="28">
        <v>0.52659999999999996</v>
      </c>
      <c r="D9109" s="28">
        <v>2.2800000000000001E-2</v>
      </c>
      <c r="E9109" s="29"/>
      <c r="F9109" s="29"/>
      <c r="G9109" s="29"/>
      <c r="H9109" s="29"/>
      <c r="I9109" s="29"/>
      <c r="J9109" s="28">
        <v>2.2800000000000001E-2</v>
      </c>
      <c r="K9109" s="28">
        <v>2.2800000000000001E-2</v>
      </c>
      <c r="L9109" s="28">
        <v>0.4506</v>
      </c>
      <c r="M9109" s="29"/>
      <c r="N9109" s="29"/>
      <c r="O9109" s="29"/>
      <c r="P9109" s="29" t="s">
        <v>337</v>
      </c>
    </row>
    <row r="9110" spans="1:16" x14ac:dyDescent="0.35">
      <c r="A9110" s="27" t="s">
        <v>231</v>
      </c>
      <c r="B9110" s="27" t="s">
        <v>239</v>
      </c>
      <c r="C9110" s="28">
        <v>0.33329999999999999</v>
      </c>
      <c r="D9110" s="28">
        <v>0.33329999999999999</v>
      </c>
      <c r="E9110" s="29"/>
      <c r="F9110" s="29"/>
      <c r="G9110" s="29"/>
      <c r="H9110" s="29"/>
      <c r="I9110" s="28">
        <v>0.33329999999999999</v>
      </c>
      <c r="J9110" s="28">
        <v>0.33329999999999999</v>
      </c>
      <c r="K9110" s="29"/>
      <c r="L9110" s="29"/>
      <c r="M9110" s="29"/>
      <c r="N9110" s="29"/>
      <c r="O9110" s="29"/>
      <c r="P9110" s="29" t="s">
        <v>315</v>
      </c>
    </row>
    <row r="9111" spans="1:16" x14ac:dyDescent="0.35">
      <c r="A9111" s="27" t="s">
        <v>231</v>
      </c>
      <c r="B9111" s="27" t="s">
        <v>238</v>
      </c>
      <c r="C9111" s="28">
        <v>0.66669999999999996</v>
      </c>
      <c r="D9111" s="28">
        <v>0.33329999999999999</v>
      </c>
      <c r="E9111" s="28">
        <v>0.33329999999999999</v>
      </c>
      <c r="F9111" s="28">
        <v>0.33329999999999999</v>
      </c>
      <c r="G9111" s="29"/>
      <c r="H9111" s="29"/>
      <c r="I9111" s="29"/>
      <c r="J9111" s="29"/>
      <c r="K9111" s="29"/>
      <c r="L9111" s="29"/>
      <c r="M9111" s="29"/>
      <c r="N9111" s="29"/>
      <c r="O9111" s="29"/>
      <c r="P9111" s="29" t="s">
        <v>315</v>
      </c>
    </row>
    <row r="9112" spans="1:16" x14ac:dyDescent="0.35">
      <c r="A9112" t="s">
        <v>232</v>
      </c>
      <c r="B9112" t="s">
        <v>232</v>
      </c>
      <c r="C9112" s="26">
        <v>0.57289999999999996</v>
      </c>
      <c r="D9112" s="26">
        <v>0.19919999999999999</v>
      </c>
      <c r="E9112" s="26">
        <v>0.1757</v>
      </c>
      <c r="F9112" s="26">
        <v>0.11840000000000001</v>
      </c>
      <c r="G9112" s="26">
        <v>9.8500000000000004E-2</v>
      </c>
      <c r="H9112" s="26">
        <v>9.1999999999999998E-2</v>
      </c>
      <c r="I9112" s="26">
        <v>6.6600000000000006E-2</v>
      </c>
      <c r="J9112" s="26">
        <v>6.5299999999999997E-2</v>
      </c>
      <c r="K9112" s="26">
        <v>3.0800000000000001E-2</v>
      </c>
      <c r="L9112" s="26">
        <v>3.0200000000000001E-2</v>
      </c>
      <c r="M9112" s="26">
        <v>2.6599999999999999E-2</v>
      </c>
      <c r="N9112" s="26">
        <v>1.03E-2</v>
      </c>
      <c r="O9112" s="26">
        <v>3.0000000000000001E-3</v>
      </c>
      <c r="P9112">
        <v>110</v>
      </c>
    </row>
    <row r="9114" spans="1:16" x14ac:dyDescent="0.35">
      <c r="A9114" s="1" t="s">
        <v>1261</v>
      </c>
    </row>
    <row r="9115" spans="1:16" x14ac:dyDescent="0.35">
      <c r="A9115" t="s">
        <v>219</v>
      </c>
      <c r="B9115" t="s">
        <v>305</v>
      </c>
      <c r="C9115" t="s">
        <v>1247</v>
      </c>
      <c r="D9115" t="s">
        <v>1248</v>
      </c>
      <c r="E9115" t="s">
        <v>1249</v>
      </c>
      <c r="F9115" t="s">
        <v>1250</v>
      </c>
      <c r="G9115" t="s">
        <v>1251</v>
      </c>
      <c r="H9115" t="s">
        <v>1252</v>
      </c>
      <c r="I9115" t="s">
        <v>1253</v>
      </c>
      <c r="J9115" t="s">
        <v>326</v>
      </c>
      <c r="K9115" t="s">
        <v>1254</v>
      </c>
      <c r="L9115" t="s">
        <v>1255</v>
      </c>
      <c r="M9115" t="s">
        <v>1256</v>
      </c>
      <c r="N9115" t="s">
        <v>1257</v>
      </c>
      <c r="O9115" t="s">
        <v>1258</v>
      </c>
      <c r="P9115" t="s">
        <v>226</v>
      </c>
    </row>
    <row r="9116" spans="1:16" x14ac:dyDescent="0.35">
      <c r="A9116" s="27" t="s">
        <v>227</v>
      </c>
      <c r="B9116" s="27" t="s">
        <v>244</v>
      </c>
      <c r="C9116" s="28">
        <v>1</v>
      </c>
      <c r="D9116" s="29"/>
      <c r="E9116" s="29"/>
      <c r="F9116" s="29"/>
      <c r="G9116" s="29"/>
      <c r="H9116" s="29"/>
      <c r="I9116" s="29"/>
      <c r="J9116" s="29"/>
      <c r="K9116" s="29"/>
      <c r="L9116" s="29"/>
      <c r="M9116" s="29"/>
      <c r="N9116" s="29"/>
      <c r="O9116" s="29"/>
      <c r="P9116" s="29" t="s">
        <v>337</v>
      </c>
    </row>
    <row r="9117" spans="1:16" x14ac:dyDescent="0.35">
      <c r="A9117" s="27" t="s">
        <v>227</v>
      </c>
      <c r="B9117" s="27" t="s">
        <v>245</v>
      </c>
      <c r="C9117" s="28">
        <v>0.5</v>
      </c>
      <c r="D9117" s="28">
        <v>0.5</v>
      </c>
      <c r="E9117" s="29"/>
      <c r="F9117" s="29"/>
      <c r="G9117" s="28">
        <v>0.5</v>
      </c>
      <c r="H9117" s="28">
        <v>0.5</v>
      </c>
      <c r="I9117" s="29"/>
      <c r="J9117" s="29"/>
      <c r="K9117" s="29"/>
      <c r="L9117" s="29"/>
      <c r="M9117" s="29"/>
      <c r="N9117" s="29"/>
      <c r="O9117" s="29"/>
      <c r="P9117" s="29" t="s">
        <v>314</v>
      </c>
    </row>
    <row r="9118" spans="1:16" x14ac:dyDescent="0.35">
      <c r="A9118" s="27" t="s">
        <v>228</v>
      </c>
      <c r="B9118" s="27" t="s">
        <v>244</v>
      </c>
      <c r="C9118" s="28">
        <v>0.45579999999999998</v>
      </c>
      <c r="D9118" s="28">
        <v>0.1232</v>
      </c>
      <c r="E9118" s="28">
        <v>0.20280000000000001</v>
      </c>
      <c r="F9118" s="28">
        <v>0.13519999999999999</v>
      </c>
      <c r="G9118" s="28">
        <v>0.19420000000000001</v>
      </c>
      <c r="H9118" s="28">
        <v>0.16</v>
      </c>
      <c r="I9118" s="28">
        <v>8.4699999999999998E-2</v>
      </c>
      <c r="J9118" s="28">
        <v>8.4699999999999998E-2</v>
      </c>
      <c r="K9118" s="28">
        <v>7.9100000000000004E-2</v>
      </c>
      <c r="L9118" s="28">
        <v>8.09E-2</v>
      </c>
      <c r="M9118" s="28">
        <v>0.127</v>
      </c>
      <c r="N9118" s="28">
        <v>7.9100000000000004E-2</v>
      </c>
      <c r="O9118" s="29"/>
      <c r="P9118" s="29" t="s">
        <v>351</v>
      </c>
    </row>
    <row r="9119" spans="1:16" x14ac:dyDescent="0.35">
      <c r="A9119" s="27" t="s">
        <v>228</v>
      </c>
      <c r="B9119" s="27" t="s">
        <v>245</v>
      </c>
      <c r="C9119" s="28">
        <v>0.63319999999999999</v>
      </c>
      <c r="D9119" s="28">
        <v>0.18920000000000001</v>
      </c>
      <c r="E9119" s="28">
        <v>0.17760000000000001</v>
      </c>
      <c r="F9119" s="29"/>
      <c r="G9119" s="29"/>
      <c r="H9119" s="29"/>
      <c r="I9119" s="29"/>
      <c r="J9119" s="29"/>
      <c r="K9119" s="29"/>
      <c r="L9119" s="29"/>
      <c r="M9119" s="29"/>
      <c r="N9119" s="29"/>
      <c r="O9119" s="29"/>
      <c r="P9119" s="29" t="s">
        <v>339</v>
      </c>
    </row>
    <row r="9120" spans="1:16" x14ac:dyDescent="0.35">
      <c r="A9120" s="27" t="s">
        <v>228</v>
      </c>
      <c r="B9120" s="27" t="s">
        <v>246</v>
      </c>
      <c r="C9120" s="28">
        <v>0.34860000000000002</v>
      </c>
      <c r="D9120" s="28">
        <v>0.34860000000000002</v>
      </c>
      <c r="E9120" s="28">
        <v>0.34860000000000002</v>
      </c>
      <c r="F9120" s="29"/>
      <c r="G9120" s="28">
        <v>0.34860000000000002</v>
      </c>
      <c r="H9120" s="28">
        <v>0.34860000000000002</v>
      </c>
      <c r="I9120" s="28">
        <v>0.34860000000000002</v>
      </c>
      <c r="J9120" s="28">
        <v>0.3029</v>
      </c>
      <c r="K9120" s="28">
        <v>0.34860000000000002</v>
      </c>
      <c r="L9120" s="28">
        <v>0.34860000000000002</v>
      </c>
      <c r="M9120" s="29"/>
      <c r="N9120" s="28">
        <v>0.34860000000000002</v>
      </c>
      <c r="O9120" s="29"/>
      <c r="P9120" s="29" t="s">
        <v>315</v>
      </c>
    </row>
    <row r="9121" spans="1:16" x14ac:dyDescent="0.35">
      <c r="A9121" t="s">
        <v>229</v>
      </c>
      <c r="B9121" t="s">
        <v>244</v>
      </c>
      <c r="C9121" s="26">
        <v>0.60770000000000002</v>
      </c>
      <c r="D9121" s="26">
        <v>2.5499999999999998E-2</v>
      </c>
      <c r="E9121" s="26">
        <v>0.30959999999999999</v>
      </c>
      <c r="F9121" s="26">
        <v>0.16200000000000001</v>
      </c>
      <c r="G9121" s="26">
        <v>0.15790000000000001</v>
      </c>
      <c r="H9121" s="26">
        <v>0.14050000000000001</v>
      </c>
      <c r="J9121" s="26">
        <v>4.1000000000000003E-3</v>
      </c>
      <c r="K9121" s="26">
        <v>4.1000000000000003E-3</v>
      </c>
      <c r="L9121" s="26">
        <v>2.5499999999999998E-2</v>
      </c>
      <c r="N9121" s="26">
        <v>1.4200000000000001E-2</v>
      </c>
      <c r="O9121" s="26">
        <v>1.4200000000000001E-2</v>
      </c>
      <c r="P9121">
        <v>31</v>
      </c>
    </row>
    <row r="9122" spans="1:16" x14ac:dyDescent="0.35">
      <c r="A9122" s="27" t="s">
        <v>229</v>
      </c>
      <c r="B9122" s="27" t="s">
        <v>245</v>
      </c>
      <c r="C9122" s="28">
        <v>0.65500000000000003</v>
      </c>
      <c r="D9122" s="28">
        <v>4.1399999999999999E-2</v>
      </c>
      <c r="E9122" s="29"/>
      <c r="F9122" s="28">
        <v>0.115</v>
      </c>
      <c r="G9122" s="28">
        <v>7.3599999999999999E-2</v>
      </c>
      <c r="H9122" s="29"/>
      <c r="I9122" s="29"/>
      <c r="J9122" s="29"/>
      <c r="K9122" s="28">
        <v>4.1399999999999999E-2</v>
      </c>
      <c r="L9122" s="29"/>
      <c r="M9122" s="28">
        <v>7.3599999999999999E-2</v>
      </c>
      <c r="N9122" s="29"/>
      <c r="O9122" s="29"/>
      <c r="P9122" s="29" t="s">
        <v>352</v>
      </c>
    </row>
    <row r="9123" spans="1:16" x14ac:dyDescent="0.35">
      <c r="A9123" s="27" t="s">
        <v>229</v>
      </c>
      <c r="B9123" s="27" t="s">
        <v>246</v>
      </c>
      <c r="C9123" s="28">
        <v>0.92949999999999999</v>
      </c>
      <c r="D9123" s="29"/>
      <c r="E9123" s="28">
        <v>3.5299999999999998E-2</v>
      </c>
      <c r="F9123" s="28">
        <v>3.5299999999999998E-2</v>
      </c>
      <c r="G9123" s="29"/>
      <c r="H9123" s="29"/>
      <c r="I9123" s="29"/>
      <c r="J9123" s="29"/>
      <c r="K9123" s="28">
        <v>3.5299999999999998E-2</v>
      </c>
      <c r="L9123" s="28">
        <v>3.5299999999999998E-2</v>
      </c>
      <c r="M9123" s="29"/>
      <c r="N9123" s="29"/>
      <c r="O9123" s="29"/>
      <c r="P9123" s="29" t="s">
        <v>315</v>
      </c>
    </row>
    <row r="9124" spans="1:16" x14ac:dyDescent="0.35">
      <c r="A9124" s="27" t="s">
        <v>230</v>
      </c>
      <c r="B9124" s="27" t="s">
        <v>244</v>
      </c>
      <c r="C9124" s="28">
        <v>0.45329999999999998</v>
      </c>
      <c r="D9124" s="28">
        <v>0.34289999999999998</v>
      </c>
      <c r="E9124" s="28">
        <v>9.7999999999999997E-3</v>
      </c>
      <c r="F9124" s="28">
        <v>3.2000000000000001E-2</v>
      </c>
      <c r="G9124" s="29"/>
      <c r="H9124" s="28">
        <v>0.20380000000000001</v>
      </c>
      <c r="I9124" s="28">
        <v>3.2000000000000001E-2</v>
      </c>
      <c r="J9124" s="29"/>
      <c r="K9124" s="28">
        <v>4.1799999999999997E-2</v>
      </c>
      <c r="L9124" s="28">
        <v>0.19389999999999999</v>
      </c>
      <c r="M9124" s="29"/>
      <c r="N9124" s="29"/>
      <c r="O9124" s="29"/>
      <c r="P9124" s="29" t="s">
        <v>341</v>
      </c>
    </row>
    <row r="9125" spans="1:16" x14ac:dyDescent="0.35">
      <c r="A9125" s="27" t="s">
        <v>230</v>
      </c>
      <c r="B9125" s="27" t="s">
        <v>245</v>
      </c>
      <c r="C9125" s="28">
        <v>0.1173</v>
      </c>
      <c r="D9125" s="28">
        <v>3.5200000000000002E-2</v>
      </c>
      <c r="E9125" s="28">
        <v>0.69499999999999995</v>
      </c>
      <c r="F9125" s="29"/>
      <c r="G9125" s="28">
        <v>0.1173</v>
      </c>
      <c r="H9125" s="29"/>
      <c r="I9125" s="29"/>
      <c r="J9125" s="28">
        <v>0.1525</v>
      </c>
      <c r="K9125" s="28">
        <v>3.5200000000000002E-2</v>
      </c>
      <c r="L9125" s="29"/>
      <c r="M9125" s="28">
        <v>3.5200000000000002E-2</v>
      </c>
      <c r="N9125" s="29"/>
      <c r="O9125" s="29"/>
      <c r="P9125" s="29" t="s">
        <v>332</v>
      </c>
    </row>
    <row r="9126" spans="1:16" x14ac:dyDescent="0.35">
      <c r="A9126" s="27" t="s">
        <v>230</v>
      </c>
      <c r="B9126" s="27" t="s">
        <v>246</v>
      </c>
      <c r="C9126" s="29"/>
      <c r="D9126" s="28">
        <v>0.33260000000000001</v>
      </c>
      <c r="E9126" s="28">
        <v>0.66739999999999999</v>
      </c>
      <c r="F9126" s="28">
        <v>0.66739999999999999</v>
      </c>
      <c r="G9126" s="28">
        <v>0.66739999999999999</v>
      </c>
      <c r="H9126" s="28">
        <v>0.11</v>
      </c>
      <c r="I9126" s="28">
        <v>0.11</v>
      </c>
      <c r="J9126" s="29"/>
      <c r="K9126" s="28">
        <v>0.66739999999999999</v>
      </c>
      <c r="L9126" s="29"/>
      <c r="M9126" s="28">
        <v>0.66739999999999999</v>
      </c>
      <c r="N9126" s="29"/>
      <c r="O9126" s="29"/>
      <c r="P9126" s="29" t="s">
        <v>337</v>
      </c>
    </row>
    <row r="9127" spans="1:16" x14ac:dyDescent="0.35">
      <c r="A9127" s="27" t="s">
        <v>231</v>
      </c>
      <c r="B9127" s="27" t="s">
        <v>244</v>
      </c>
      <c r="C9127" s="28">
        <v>0.6</v>
      </c>
      <c r="D9127" s="28">
        <v>0.4</v>
      </c>
      <c r="E9127" s="28">
        <v>0.2</v>
      </c>
      <c r="F9127" s="28">
        <v>0.2</v>
      </c>
      <c r="G9127" s="29"/>
      <c r="H9127" s="29"/>
      <c r="I9127" s="28">
        <v>0.2</v>
      </c>
      <c r="J9127" s="29"/>
      <c r="K9127" s="29"/>
      <c r="L9127" s="29"/>
      <c r="M9127" s="29"/>
      <c r="N9127" s="29"/>
      <c r="O9127" s="29"/>
      <c r="P9127" s="29" t="s">
        <v>332</v>
      </c>
    </row>
    <row r="9128" spans="1:16" x14ac:dyDescent="0.35">
      <c r="A9128" s="27" t="s">
        <v>231</v>
      </c>
      <c r="B9128" s="27" t="s">
        <v>245</v>
      </c>
      <c r="C9128" s="29"/>
      <c r="D9128" s="29"/>
      <c r="E9128" s="29"/>
      <c r="F9128" s="29"/>
      <c r="G9128" s="29"/>
      <c r="H9128" s="29"/>
      <c r="I9128" s="29"/>
      <c r="J9128" s="28">
        <v>1</v>
      </c>
      <c r="K9128" s="29"/>
      <c r="L9128" s="29"/>
      <c r="M9128" s="29"/>
      <c r="N9128" s="29"/>
      <c r="O9128" s="29"/>
      <c r="P9128" s="29" t="s">
        <v>331</v>
      </c>
    </row>
    <row r="9129" spans="1:16" x14ac:dyDescent="0.35">
      <c r="A9129" t="s">
        <v>232</v>
      </c>
      <c r="B9129" t="s">
        <v>232</v>
      </c>
      <c r="C9129" s="26">
        <v>0.57289999999999996</v>
      </c>
      <c r="D9129" s="26">
        <v>0.19919999999999999</v>
      </c>
      <c r="E9129" s="26">
        <v>0.1757</v>
      </c>
      <c r="F9129" s="26">
        <v>0.11840000000000001</v>
      </c>
      <c r="G9129" s="26">
        <v>9.8500000000000004E-2</v>
      </c>
      <c r="H9129" s="26">
        <v>9.1999999999999998E-2</v>
      </c>
      <c r="I9129" s="26">
        <v>6.6600000000000006E-2</v>
      </c>
      <c r="J9129" s="26">
        <v>6.5299999999999997E-2</v>
      </c>
      <c r="K9129" s="26">
        <v>3.0800000000000001E-2</v>
      </c>
      <c r="L9129" s="26">
        <v>3.0200000000000001E-2</v>
      </c>
      <c r="M9129" s="26">
        <v>2.6599999999999999E-2</v>
      </c>
      <c r="N9129" s="26">
        <v>1.03E-2</v>
      </c>
      <c r="O9129" s="26">
        <v>3.0000000000000001E-3</v>
      </c>
      <c r="P9129">
        <v>110</v>
      </c>
    </row>
    <row r="9131" spans="1:16" x14ac:dyDescent="0.35">
      <c r="A9131" s="1" t="s">
        <v>1262</v>
      </c>
    </row>
    <row r="9132" spans="1:16" x14ac:dyDescent="0.35">
      <c r="A9132" t="s">
        <v>219</v>
      </c>
      <c r="B9132" t="s">
        <v>305</v>
      </c>
      <c r="C9132" t="s">
        <v>1247</v>
      </c>
      <c r="D9132" t="s">
        <v>1248</v>
      </c>
      <c r="E9132" t="s">
        <v>1249</v>
      </c>
      <c r="F9132" t="s">
        <v>1250</v>
      </c>
      <c r="G9132" t="s">
        <v>1251</v>
      </c>
      <c r="H9132" t="s">
        <v>1252</v>
      </c>
      <c r="I9132" t="s">
        <v>1253</v>
      </c>
      <c r="J9132" t="s">
        <v>326</v>
      </c>
      <c r="K9132" t="s">
        <v>1254</v>
      </c>
      <c r="L9132" t="s">
        <v>1255</v>
      </c>
      <c r="M9132" t="s">
        <v>1256</v>
      </c>
      <c r="N9132" t="s">
        <v>1257</v>
      </c>
      <c r="O9132" t="s">
        <v>1258</v>
      </c>
      <c r="P9132" t="s">
        <v>226</v>
      </c>
    </row>
    <row r="9133" spans="1:16" x14ac:dyDescent="0.35">
      <c r="A9133" s="27" t="s">
        <v>227</v>
      </c>
      <c r="B9133" s="27" t="s">
        <v>360</v>
      </c>
      <c r="C9133" s="28">
        <v>1</v>
      </c>
      <c r="D9133" s="29"/>
      <c r="E9133" s="29"/>
      <c r="F9133" s="29"/>
      <c r="G9133" s="29"/>
      <c r="H9133" s="29"/>
      <c r="I9133" s="29"/>
      <c r="J9133" s="29"/>
      <c r="K9133" s="29"/>
      <c r="L9133" s="29"/>
      <c r="M9133" s="29"/>
      <c r="N9133" s="29"/>
      <c r="O9133" s="29"/>
      <c r="P9133" s="29" t="s">
        <v>331</v>
      </c>
    </row>
    <row r="9134" spans="1:16" x14ac:dyDescent="0.35">
      <c r="A9134" s="27" t="s">
        <v>227</v>
      </c>
      <c r="B9134" s="27" t="s">
        <v>363</v>
      </c>
      <c r="C9134" s="28">
        <v>0.66669999999999996</v>
      </c>
      <c r="D9134" s="28">
        <v>0.33329999999999999</v>
      </c>
      <c r="E9134" s="29"/>
      <c r="F9134" s="29"/>
      <c r="G9134" s="28">
        <v>0.33329999999999999</v>
      </c>
      <c r="H9134" s="28">
        <v>0.33329999999999999</v>
      </c>
      <c r="I9134" s="29"/>
      <c r="J9134" s="29"/>
      <c r="K9134" s="29"/>
      <c r="L9134" s="29"/>
      <c r="M9134" s="29"/>
      <c r="N9134" s="29"/>
      <c r="O9134" s="29"/>
      <c r="P9134" s="29" t="s">
        <v>315</v>
      </c>
    </row>
    <row r="9135" spans="1:16" x14ac:dyDescent="0.35">
      <c r="A9135" s="27" t="s">
        <v>227</v>
      </c>
      <c r="B9135" s="27" t="s">
        <v>361</v>
      </c>
      <c r="C9135" s="28">
        <v>1</v>
      </c>
      <c r="D9135" s="29"/>
      <c r="E9135" s="29"/>
      <c r="F9135" s="29"/>
      <c r="G9135" s="29"/>
      <c r="H9135" s="29"/>
      <c r="I9135" s="29"/>
      <c r="J9135" s="29"/>
      <c r="K9135" s="29"/>
      <c r="L9135" s="29"/>
      <c r="M9135" s="29"/>
      <c r="N9135" s="29"/>
      <c r="O9135" s="29"/>
      <c r="P9135" s="29" t="s">
        <v>331</v>
      </c>
    </row>
    <row r="9136" spans="1:16" x14ac:dyDescent="0.35">
      <c r="A9136" s="27" t="s">
        <v>227</v>
      </c>
      <c r="B9136" s="27" t="s">
        <v>362</v>
      </c>
      <c r="C9136" s="28">
        <v>1</v>
      </c>
      <c r="D9136" s="29"/>
      <c r="E9136" s="29"/>
      <c r="F9136" s="29"/>
      <c r="G9136" s="29"/>
      <c r="H9136" s="29"/>
      <c r="I9136" s="29"/>
      <c r="J9136" s="29"/>
      <c r="K9136" s="29"/>
      <c r="L9136" s="29"/>
      <c r="M9136" s="29"/>
      <c r="N9136" s="29"/>
      <c r="O9136" s="29"/>
      <c r="P9136" s="29" t="s">
        <v>331</v>
      </c>
    </row>
    <row r="9137" spans="1:16" x14ac:dyDescent="0.35">
      <c r="A9137" s="27" t="s">
        <v>228</v>
      </c>
      <c r="B9137" s="27" t="s">
        <v>360</v>
      </c>
      <c r="C9137" s="28">
        <v>0.32140000000000002</v>
      </c>
      <c r="D9137" s="28">
        <v>7.5899999999999995E-2</v>
      </c>
      <c r="E9137" s="28">
        <v>0.39500000000000002</v>
      </c>
      <c r="F9137" s="28">
        <v>0.1764</v>
      </c>
      <c r="G9137" s="28">
        <v>0.22770000000000001</v>
      </c>
      <c r="H9137" s="28">
        <v>0.31819999999999998</v>
      </c>
      <c r="I9137" s="28">
        <v>0.22770000000000001</v>
      </c>
      <c r="J9137" s="28">
        <v>6.59E-2</v>
      </c>
      <c r="K9137" s="28">
        <v>0.2177</v>
      </c>
      <c r="L9137" s="28">
        <v>0.1764</v>
      </c>
      <c r="M9137" s="28">
        <v>0.15179999999999999</v>
      </c>
      <c r="N9137" s="28">
        <v>0.2177</v>
      </c>
      <c r="O9137" s="29"/>
      <c r="P9137" s="29" t="s">
        <v>342</v>
      </c>
    </row>
    <row r="9138" spans="1:16" x14ac:dyDescent="0.35">
      <c r="A9138" s="27" t="s">
        <v>228</v>
      </c>
      <c r="B9138" s="27" t="s">
        <v>363</v>
      </c>
      <c r="C9138" s="28">
        <v>1</v>
      </c>
      <c r="D9138" s="29"/>
      <c r="E9138" s="29"/>
      <c r="F9138" s="29"/>
      <c r="G9138" s="29"/>
      <c r="H9138" s="29"/>
      <c r="I9138" s="29"/>
      <c r="J9138" s="29"/>
      <c r="K9138" s="29"/>
      <c r="L9138" s="29"/>
      <c r="M9138" s="29"/>
      <c r="N9138" s="29"/>
      <c r="O9138" s="29"/>
      <c r="P9138" s="29" t="s">
        <v>314</v>
      </c>
    </row>
    <row r="9139" spans="1:16" x14ac:dyDescent="0.35">
      <c r="A9139" s="27" t="s">
        <v>228</v>
      </c>
      <c r="B9139" s="27" t="s">
        <v>362</v>
      </c>
      <c r="C9139" s="28">
        <v>0.49509999999999998</v>
      </c>
      <c r="D9139" s="28">
        <v>0.42059999999999997</v>
      </c>
      <c r="E9139" s="29"/>
      <c r="F9139" s="28">
        <v>8.43E-2</v>
      </c>
      <c r="G9139" s="29"/>
      <c r="H9139" s="29"/>
      <c r="I9139" s="29"/>
      <c r="J9139" s="28">
        <v>9.7000000000000003E-2</v>
      </c>
      <c r="K9139" s="29"/>
      <c r="L9139" s="29"/>
      <c r="M9139" s="29"/>
      <c r="N9139" s="29"/>
      <c r="O9139" s="29"/>
      <c r="P9139" s="29" t="s">
        <v>334</v>
      </c>
    </row>
    <row r="9140" spans="1:16" x14ac:dyDescent="0.35">
      <c r="A9140" s="27" t="s">
        <v>228</v>
      </c>
      <c r="B9140" s="27" t="s">
        <v>361</v>
      </c>
      <c r="C9140" s="28">
        <v>0.70669999999999999</v>
      </c>
      <c r="D9140" s="28">
        <v>3.9E-2</v>
      </c>
      <c r="E9140" s="28">
        <v>0.2268</v>
      </c>
      <c r="F9140" s="29"/>
      <c r="G9140" s="28">
        <v>0.10539999999999999</v>
      </c>
      <c r="H9140" s="28">
        <v>3.9E-2</v>
      </c>
      <c r="I9140" s="29"/>
      <c r="J9140" s="28">
        <v>6.6500000000000004E-2</v>
      </c>
      <c r="K9140" s="29"/>
      <c r="L9140" s="28">
        <v>3.9E-2</v>
      </c>
      <c r="M9140" s="28">
        <v>6.6500000000000004E-2</v>
      </c>
      <c r="N9140" s="29"/>
      <c r="O9140" s="29"/>
      <c r="P9140" s="29" t="s">
        <v>335</v>
      </c>
    </row>
    <row r="9141" spans="1:16" x14ac:dyDescent="0.35">
      <c r="A9141" s="27" t="s">
        <v>229</v>
      </c>
      <c r="B9141" s="27" t="s">
        <v>360</v>
      </c>
      <c r="C9141" s="28">
        <v>0.48859999999999998</v>
      </c>
      <c r="D9141" s="29"/>
      <c r="E9141" s="28">
        <v>0.46450000000000002</v>
      </c>
      <c r="F9141" s="28">
        <v>1.35E-2</v>
      </c>
      <c r="G9141" s="29"/>
      <c r="H9141" s="29"/>
      <c r="I9141" s="29"/>
      <c r="J9141" s="29"/>
      <c r="K9141" s="29"/>
      <c r="L9141" s="28">
        <v>1.35E-2</v>
      </c>
      <c r="M9141" s="29"/>
      <c r="N9141" s="28">
        <v>4.6899999999999997E-2</v>
      </c>
      <c r="O9141" s="29"/>
      <c r="P9141" s="29" t="s">
        <v>307</v>
      </c>
    </row>
    <row r="9142" spans="1:16" x14ac:dyDescent="0.35">
      <c r="A9142" s="27" t="s">
        <v>229</v>
      </c>
      <c r="B9142" s="27" t="s">
        <v>363</v>
      </c>
      <c r="C9142" s="28">
        <v>0.87919999999999998</v>
      </c>
      <c r="D9142" s="28">
        <v>2.93E-2</v>
      </c>
      <c r="E9142" s="28">
        <v>6.8000000000000005E-2</v>
      </c>
      <c r="F9142" s="28">
        <v>6.8000000000000005E-2</v>
      </c>
      <c r="G9142" s="28">
        <v>1.4999999999999999E-2</v>
      </c>
      <c r="H9142" s="28">
        <v>8.5000000000000006E-3</v>
      </c>
      <c r="I9142" s="29"/>
      <c r="J9142" s="28">
        <v>8.5000000000000006E-3</v>
      </c>
      <c r="K9142" s="29"/>
      <c r="L9142" s="29"/>
      <c r="M9142" s="29"/>
      <c r="N9142" s="29"/>
      <c r="O9142" s="28">
        <v>2.93E-2</v>
      </c>
      <c r="P9142" s="29" t="s">
        <v>346</v>
      </c>
    </row>
    <row r="9143" spans="1:16" x14ac:dyDescent="0.35">
      <c r="A9143" s="27" t="s">
        <v>229</v>
      </c>
      <c r="B9143" s="27" t="s">
        <v>362</v>
      </c>
      <c r="C9143" s="28">
        <v>0.92300000000000004</v>
      </c>
      <c r="D9143" s="28">
        <v>4.9200000000000001E-2</v>
      </c>
      <c r="E9143" s="29"/>
      <c r="F9143" s="29"/>
      <c r="G9143" s="29"/>
      <c r="H9143" s="28">
        <v>4.9200000000000001E-2</v>
      </c>
      <c r="I9143" s="29"/>
      <c r="J9143" s="29"/>
      <c r="K9143" s="28">
        <v>2.7699999999999999E-2</v>
      </c>
      <c r="L9143" s="29"/>
      <c r="M9143" s="29"/>
      <c r="N9143" s="29"/>
      <c r="O9143" s="29"/>
      <c r="P9143" s="29" t="s">
        <v>332</v>
      </c>
    </row>
    <row r="9144" spans="1:16" x14ac:dyDescent="0.35">
      <c r="A9144" s="27" t="s">
        <v>229</v>
      </c>
      <c r="B9144" s="27" t="s">
        <v>361</v>
      </c>
      <c r="C9144" s="28">
        <v>0.56310000000000004</v>
      </c>
      <c r="D9144" s="28">
        <v>3.2199999999999999E-2</v>
      </c>
      <c r="E9144" s="28">
        <v>3.2199999999999999E-2</v>
      </c>
      <c r="F9144" s="28">
        <v>8.9300000000000004E-2</v>
      </c>
      <c r="G9144" s="28">
        <v>0.22600000000000001</v>
      </c>
      <c r="H9144" s="29"/>
      <c r="I9144" s="29"/>
      <c r="J9144" s="29"/>
      <c r="K9144" s="28">
        <v>6.4399999999999999E-2</v>
      </c>
      <c r="L9144" s="28">
        <v>3.2199999999999999E-2</v>
      </c>
      <c r="M9144" s="28">
        <v>5.7200000000000001E-2</v>
      </c>
      <c r="N9144" s="29"/>
      <c r="O9144" s="29"/>
      <c r="P9144" s="29" t="s">
        <v>352</v>
      </c>
    </row>
    <row r="9145" spans="1:16" x14ac:dyDescent="0.35">
      <c r="A9145" s="27" t="s">
        <v>230</v>
      </c>
      <c r="B9145" s="27" t="s">
        <v>361</v>
      </c>
      <c r="C9145" s="28">
        <v>0.74770000000000003</v>
      </c>
      <c r="D9145" s="28">
        <v>0.12609999999999999</v>
      </c>
      <c r="E9145" s="29"/>
      <c r="F9145" s="29"/>
      <c r="G9145" s="28">
        <v>0.12609999999999999</v>
      </c>
      <c r="H9145" s="29"/>
      <c r="I9145" s="29"/>
      <c r="J9145" s="28">
        <v>0.12609999999999999</v>
      </c>
      <c r="K9145" s="29"/>
      <c r="L9145" s="29"/>
      <c r="M9145" s="29"/>
      <c r="N9145" s="29"/>
      <c r="O9145" s="29"/>
      <c r="P9145" s="29" t="s">
        <v>315</v>
      </c>
    </row>
    <row r="9146" spans="1:16" x14ac:dyDescent="0.35">
      <c r="A9146" s="27" t="s">
        <v>230</v>
      </c>
      <c r="B9146" s="27" t="s">
        <v>362</v>
      </c>
      <c r="C9146" s="28">
        <v>0.31869999999999998</v>
      </c>
      <c r="D9146" s="28">
        <v>0.40860000000000002</v>
      </c>
      <c r="E9146" s="28">
        <v>0.2727</v>
      </c>
      <c r="F9146" s="28">
        <v>0.2727</v>
      </c>
      <c r="G9146" s="28">
        <v>0.2727</v>
      </c>
      <c r="H9146" s="28">
        <v>0.31759999999999999</v>
      </c>
      <c r="I9146" s="28">
        <v>4.4900000000000002E-2</v>
      </c>
      <c r="J9146" s="29"/>
      <c r="K9146" s="28">
        <v>0.2727</v>
      </c>
      <c r="L9146" s="29"/>
      <c r="M9146" s="28">
        <v>0.2727</v>
      </c>
      <c r="N9146" s="29"/>
      <c r="O9146" s="29"/>
      <c r="P9146" s="29" t="s">
        <v>339</v>
      </c>
    </row>
    <row r="9147" spans="1:16" x14ac:dyDescent="0.35">
      <c r="A9147" s="27" t="s">
        <v>230</v>
      </c>
      <c r="B9147" s="27" t="s">
        <v>360</v>
      </c>
      <c r="C9147" s="29"/>
      <c r="D9147" s="28">
        <v>0.1578</v>
      </c>
      <c r="E9147" s="28">
        <v>0.43149999999999999</v>
      </c>
      <c r="F9147" s="28">
        <v>6.7699999999999996E-2</v>
      </c>
      <c r="G9147" s="29"/>
      <c r="H9147" s="29"/>
      <c r="I9147" s="29"/>
      <c r="J9147" s="29"/>
      <c r="K9147" s="28">
        <v>2.0799999999999999E-2</v>
      </c>
      <c r="L9147" s="28">
        <v>0.41070000000000001</v>
      </c>
      <c r="M9147" s="29"/>
      <c r="N9147" s="29"/>
      <c r="O9147" s="29"/>
      <c r="P9147" s="29" t="s">
        <v>335</v>
      </c>
    </row>
    <row r="9148" spans="1:16" x14ac:dyDescent="0.35">
      <c r="A9148" s="27" t="s">
        <v>230</v>
      </c>
      <c r="B9148" s="27" t="s">
        <v>363</v>
      </c>
      <c r="C9148" s="28">
        <v>0.34739999999999999</v>
      </c>
      <c r="D9148" s="28">
        <v>0.54820000000000002</v>
      </c>
      <c r="E9148" s="29"/>
      <c r="F9148" s="29"/>
      <c r="G9148" s="29"/>
      <c r="H9148" s="28">
        <v>0.10440000000000001</v>
      </c>
      <c r="I9148" s="28">
        <v>0.33929999999999999</v>
      </c>
      <c r="J9148" s="28">
        <v>0.10440000000000001</v>
      </c>
      <c r="K9148" s="28">
        <v>0.44369999999999998</v>
      </c>
      <c r="L9148" s="29"/>
      <c r="M9148" s="28">
        <v>0.10440000000000001</v>
      </c>
      <c r="N9148" s="29"/>
      <c r="O9148" s="29"/>
      <c r="P9148" s="29" t="s">
        <v>332</v>
      </c>
    </row>
    <row r="9149" spans="1:16" x14ac:dyDescent="0.35">
      <c r="A9149" s="27" t="s">
        <v>231</v>
      </c>
      <c r="B9149" s="27" t="s">
        <v>362</v>
      </c>
      <c r="C9149" s="28">
        <v>1</v>
      </c>
      <c r="D9149" s="29"/>
      <c r="E9149" s="29"/>
      <c r="F9149" s="29"/>
      <c r="G9149" s="29"/>
      <c r="H9149" s="29"/>
      <c r="I9149" s="29"/>
      <c r="J9149" s="29"/>
      <c r="K9149" s="29"/>
      <c r="L9149" s="29"/>
      <c r="M9149" s="29"/>
      <c r="N9149" s="29"/>
      <c r="O9149" s="29"/>
      <c r="P9149" s="29" t="s">
        <v>331</v>
      </c>
    </row>
    <row r="9150" spans="1:16" x14ac:dyDescent="0.35">
      <c r="A9150" s="27" t="s">
        <v>231</v>
      </c>
      <c r="B9150" s="27" t="s">
        <v>361</v>
      </c>
      <c r="C9150" s="28">
        <v>1</v>
      </c>
      <c r="D9150" s="29"/>
      <c r="E9150" s="29"/>
      <c r="F9150" s="29"/>
      <c r="G9150" s="29"/>
      <c r="H9150" s="29"/>
      <c r="I9150" s="29"/>
      <c r="J9150" s="29"/>
      <c r="K9150" s="29"/>
      <c r="L9150" s="29"/>
      <c r="M9150" s="29"/>
      <c r="N9150" s="29"/>
      <c r="O9150" s="29"/>
      <c r="P9150" s="29" t="s">
        <v>331</v>
      </c>
    </row>
    <row r="9151" spans="1:16" x14ac:dyDescent="0.35">
      <c r="A9151" s="27" t="s">
        <v>231</v>
      </c>
      <c r="B9151" s="27" t="s">
        <v>363</v>
      </c>
      <c r="C9151" s="28">
        <v>1</v>
      </c>
      <c r="D9151" s="29"/>
      <c r="E9151" s="29"/>
      <c r="F9151" s="29"/>
      <c r="G9151" s="29"/>
      <c r="H9151" s="29"/>
      <c r="I9151" s="29"/>
      <c r="J9151" s="29"/>
      <c r="K9151" s="29"/>
      <c r="L9151" s="29"/>
      <c r="M9151" s="29"/>
      <c r="N9151" s="29"/>
      <c r="O9151" s="29"/>
      <c r="P9151" s="29" t="s">
        <v>331</v>
      </c>
    </row>
    <row r="9152" spans="1:16" x14ac:dyDescent="0.35">
      <c r="A9152" s="27" t="s">
        <v>231</v>
      </c>
      <c r="B9152" s="27" t="s">
        <v>360</v>
      </c>
      <c r="C9152" s="29"/>
      <c r="D9152" s="28">
        <v>1</v>
      </c>
      <c r="E9152" s="28">
        <v>0.5</v>
      </c>
      <c r="F9152" s="28">
        <v>0.5</v>
      </c>
      <c r="G9152" s="29"/>
      <c r="H9152" s="29"/>
      <c r="I9152" s="28">
        <v>0.5</v>
      </c>
      <c r="J9152" s="29"/>
      <c r="K9152" s="29"/>
      <c r="L9152" s="29"/>
      <c r="M9152" s="29"/>
      <c r="N9152" s="29"/>
      <c r="O9152" s="29"/>
      <c r="P9152" s="29" t="s">
        <v>314</v>
      </c>
    </row>
    <row r="9153" spans="1:16" x14ac:dyDescent="0.35">
      <c r="A9153" t="s">
        <v>232</v>
      </c>
      <c r="B9153" t="s">
        <v>232</v>
      </c>
      <c r="C9153" s="26">
        <v>0.57289999999999996</v>
      </c>
      <c r="D9153" s="26">
        <v>0.19919999999999999</v>
      </c>
      <c r="E9153" s="26">
        <v>0.1757</v>
      </c>
      <c r="F9153" s="26">
        <v>0.11840000000000001</v>
      </c>
      <c r="G9153" s="26">
        <v>9.8500000000000004E-2</v>
      </c>
      <c r="H9153" s="26">
        <v>9.1999999999999998E-2</v>
      </c>
      <c r="I9153" s="26">
        <v>6.6600000000000006E-2</v>
      </c>
      <c r="J9153" s="26">
        <v>6.5299999999999997E-2</v>
      </c>
      <c r="K9153" s="26">
        <v>3.0800000000000001E-2</v>
      </c>
      <c r="L9153" s="26">
        <v>3.0200000000000001E-2</v>
      </c>
      <c r="M9153" s="26">
        <v>2.6599999999999999E-2</v>
      </c>
      <c r="N9153" s="26">
        <v>1.03E-2</v>
      </c>
      <c r="O9153" s="26">
        <v>3.0000000000000001E-3</v>
      </c>
      <c r="P9153">
        <v>102</v>
      </c>
    </row>
    <row r="9155" spans="1:16" x14ac:dyDescent="0.35">
      <c r="A9155" s="1" t="s">
        <v>1263</v>
      </c>
    </row>
    <row r="9156" spans="1:16" x14ac:dyDescent="0.35">
      <c r="A9156" t="s">
        <v>219</v>
      </c>
      <c r="B9156" t="s">
        <v>305</v>
      </c>
      <c r="C9156" t="s">
        <v>1247</v>
      </c>
      <c r="D9156" t="s">
        <v>1248</v>
      </c>
      <c r="E9156" t="s">
        <v>1249</v>
      </c>
      <c r="F9156" t="s">
        <v>1250</v>
      </c>
      <c r="G9156" t="s">
        <v>1251</v>
      </c>
      <c r="H9156" t="s">
        <v>1252</v>
      </c>
      <c r="I9156" t="s">
        <v>1253</v>
      </c>
      <c r="J9156" t="s">
        <v>326</v>
      </c>
      <c r="K9156" t="s">
        <v>1254</v>
      </c>
      <c r="L9156" t="s">
        <v>1255</v>
      </c>
      <c r="M9156" t="s">
        <v>1256</v>
      </c>
      <c r="N9156" t="s">
        <v>1257</v>
      </c>
      <c r="O9156" t="s">
        <v>1258</v>
      </c>
      <c r="P9156" t="s">
        <v>226</v>
      </c>
    </row>
    <row r="9157" spans="1:16" x14ac:dyDescent="0.35">
      <c r="A9157" s="27" t="s">
        <v>227</v>
      </c>
      <c r="B9157" s="27" t="s">
        <v>267</v>
      </c>
      <c r="C9157" s="28">
        <v>1</v>
      </c>
      <c r="D9157" s="29"/>
      <c r="E9157" s="29"/>
      <c r="F9157" s="29"/>
      <c r="G9157" s="29"/>
      <c r="H9157" s="29"/>
      <c r="I9157" s="29"/>
      <c r="J9157" s="29"/>
      <c r="K9157" s="29"/>
      <c r="L9157" s="29"/>
      <c r="M9157" s="29"/>
      <c r="N9157" s="29"/>
      <c r="O9157" s="29"/>
      <c r="P9157" s="29" t="s">
        <v>331</v>
      </c>
    </row>
    <row r="9158" spans="1:16" x14ac:dyDescent="0.35">
      <c r="A9158" s="27" t="s">
        <v>227</v>
      </c>
      <c r="B9158" s="27" t="s">
        <v>266</v>
      </c>
      <c r="C9158" s="28">
        <v>0.66669999999999996</v>
      </c>
      <c r="D9158" s="28">
        <v>0.33329999999999999</v>
      </c>
      <c r="E9158" s="29"/>
      <c r="F9158" s="29"/>
      <c r="G9158" s="28">
        <v>0.33329999999999999</v>
      </c>
      <c r="H9158" s="28">
        <v>0.33329999999999999</v>
      </c>
      <c r="I9158" s="29"/>
      <c r="J9158" s="29"/>
      <c r="K9158" s="29"/>
      <c r="L9158" s="29"/>
      <c r="M9158" s="29"/>
      <c r="N9158" s="29"/>
      <c r="O9158" s="29"/>
      <c r="P9158" s="29" t="s">
        <v>315</v>
      </c>
    </row>
    <row r="9159" spans="1:16" x14ac:dyDescent="0.35">
      <c r="A9159" s="27" t="s">
        <v>227</v>
      </c>
      <c r="B9159" s="27" t="s">
        <v>265</v>
      </c>
      <c r="C9159" s="28">
        <v>1</v>
      </c>
      <c r="D9159" s="29"/>
      <c r="E9159" s="29"/>
      <c r="F9159" s="29"/>
      <c r="G9159" s="29"/>
      <c r="H9159" s="29"/>
      <c r="I9159" s="29"/>
      <c r="J9159" s="29"/>
      <c r="K9159" s="29"/>
      <c r="L9159" s="29"/>
      <c r="M9159" s="29"/>
      <c r="N9159" s="29"/>
      <c r="O9159" s="29"/>
      <c r="P9159" s="29" t="s">
        <v>314</v>
      </c>
    </row>
    <row r="9160" spans="1:16" x14ac:dyDescent="0.35">
      <c r="A9160" s="27" t="s">
        <v>228</v>
      </c>
      <c r="B9160" s="27" t="s">
        <v>267</v>
      </c>
      <c r="C9160" s="28">
        <v>0.52439999999999998</v>
      </c>
      <c r="D9160" s="28">
        <v>0.35639999999999999</v>
      </c>
      <c r="E9160" s="28">
        <v>8.0399999999999999E-2</v>
      </c>
      <c r="F9160" s="28">
        <v>0.1192</v>
      </c>
      <c r="G9160" s="28">
        <v>8.0399999999999999E-2</v>
      </c>
      <c r="H9160" s="28">
        <v>8.0399999999999999E-2</v>
      </c>
      <c r="I9160" s="29"/>
      <c r="J9160" s="29"/>
      <c r="K9160" s="29"/>
      <c r="L9160" s="28">
        <v>8.0399999999999999E-2</v>
      </c>
      <c r="M9160" s="29"/>
      <c r="N9160" s="29"/>
      <c r="O9160" s="29"/>
      <c r="P9160" s="29" t="s">
        <v>339</v>
      </c>
    </row>
    <row r="9161" spans="1:16" x14ac:dyDescent="0.35">
      <c r="A9161" s="27" t="s">
        <v>228</v>
      </c>
      <c r="B9161" s="27" t="s">
        <v>266</v>
      </c>
      <c r="C9161" s="28">
        <v>0.65149999999999997</v>
      </c>
      <c r="D9161" s="28">
        <v>5.67E-2</v>
      </c>
      <c r="E9161" s="28">
        <v>0.23519999999999999</v>
      </c>
      <c r="F9161" s="28">
        <v>7.4999999999999997E-2</v>
      </c>
      <c r="G9161" s="28">
        <v>5.67E-2</v>
      </c>
      <c r="H9161" s="28">
        <v>7.4999999999999997E-2</v>
      </c>
      <c r="I9161" s="28">
        <v>5.67E-2</v>
      </c>
      <c r="J9161" s="29"/>
      <c r="K9161" s="28">
        <v>5.67E-2</v>
      </c>
      <c r="L9161" s="28">
        <v>7.4999999999999997E-2</v>
      </c>
      <c r="M9161" s="28">
        <v>5.67E-2</v>
      </c>
      <c r="N9161" s="29"/>
      <c r="O9161" s="29"/>
      <c r="P9161" s="29" t="s">
        <v>333</v>
      </c>
    </row>
    <row r="9162" spans="1:16" x14ac:dyDescent="0.35">
      <c r="A9162" s="27" t="s">
        <v>228</v>
      </c>
      <c r="B9162" s="27" t="s">
        <v>265</v>
      </c>
      <c r="C9162" s="28">
        <v>0.37330000000000002</v>
      </c>
      <c r="D9162" s="28">
        <v>0.19040000000000001</v>
      </c>
      <c r="E9162" s="28">
        <v>0.22220000000000001</v>
      </c>
      <c r="F9162" s="28">
        <v>5.7299999999999997E-2</v>
      </c>
      <c r="G9162" s="28">
        <v>0.2291</v>
      </c>
      <c r="H9162" s="28">
        <v>0.1643</v>
      </c>
      <c r="I9162" s="28">
        <v>0.1145</v>
      </c>
      <c r="J9162" s="28">
        <v>0.1643</v>
      </c>
      <c r="K9162" s="28">
        <v>0.107</v>
      </c>
      <c r="L9162" s="28">
        <v>5.7299999999999997E-2</v>
      </c>
      <c r="M9162" s="28">
        <v>0.1145</v>
      </c>
      <c r="N9162" s="28">
        <v>0.1643</v>
      </c>
      <c r="O9162" s="29"/>
      <c r="P9162" s="29" t="s">
        <v>348</v>
      </c>
    </row>
    <row r="9163" spans="1:16" x14ac:dyDescent="0.35">
      <c r="A9163" s="27" t="s">
        <v>229</v>
      </c>
      <c r="B9163" s="27" t="s">
        <v>267</v>
      </c>
      <c r="C9163" s="28">
        <v>0.47610000000000002</v>
      </c>
      <c r="D9163" s="28">
        <v>1.26E-2</v>
      </c>
      <c r="E9163" s="28">
        <v>0.43180000000000002</v>
      </c>
      <c r="F9163" s="28">
        <v>0.43180000000000002</v>
      </c>
      <c r="G9163" s="28">
        <v>0.41920000000000002</v>
      </c>
      <c r="H9163" s="28">
        <v>0.39679999999999999</v>
      </c>
      <c r="I9163" s="29"/>
      <c r="J9163" s="29"/>
      <c r="K9163" s="28">
        <v>3.7699999999999997E-2</v>
      </c>
      <c r="L9163" s="28">
        <v>2.23E-2</v>
      </c>
      <c r="M9163" s="28">
        <v>2.23E-2</v>
      </c>
      <c r="N9163" s="29"/>
      <c r="O9163" s="29"/>
      <c r="P9163" s="29" t="s">
        <v>379</v>
      </c>
    </row>
    <row r="9164" spans="1:16" x14ac:dyDescent="0.35">
      <c r="A9164" s="27" t="s">
        <v>229</v>
      </c>
      <c r="B9164" s="27" t="s">
        <v>266</v>
      </c>
      <c r="C9164" s="28">
        <v>0.7349</v>
      </c>
      <c r="D9164" s="28">
        <v>2.9700000000000001E-2</v>
      </c>
      <c r="E9164" s="28">
        <v>0.20569999999999999</v>
      </c>
      <c r="F9164" s="28">
        <v>2.9700000000000001E-2</v>
      </c>
      <c r="G9164" s="29"/>
      <c r="H9164" s="29"/>
      <c r="I9164" s="29"/>
      <c r="J9164" s="29"/>
      <c r="K9164" s="29"/>
      <c r="L9164" s="29"/>
      <c r="M9164" s="29"/>
      <c r="N9164" s="29"/>
      <c r="O9164" s="29"/>
      <c r="P9164" s="29" t="s">
        <v>352</v>
      </c>
    </row>
    <row r="9165" spans="1:16" x14ac:dyDescent="0.35">
      <c r="A9165" s="27" t="s">
        <v>229</v>
      </c>
      <c r="B9165" s="27" t="s">
        <v>265</v>
      </c>
      <c r="C9165" s="28">
        <v>0.69740000000000002</v>
      </c>
      <c r="D9165" s="28">
        <v>2.8500000000000001E-2</v>
      </c>
      <c r="E9165" s="28">
        <v>0.19270000000000001</v>
      </c>
      <c r="F9165" s="28">
        <v>4.3700000000000003E-2</v>
      </c>
      <c r="G9165" s="28">
        <v>3.8199999999999998E-2</v>
      </c>
      <c r="H9165" s="28">
        <v>1.5100000000000001E-2</v>
      </c>
      <c r="I9165" s="29"/>
      <c r="J9165" s="28">
        <v>5.4000000000000003E-3</v>
      </c>
      <c r="K9165" s="29"/>
      <c r="L9165" s="28">
        <v>2.9700000000000001E-2</v>
      </c>
      <c r="M9165" s="29"/>
      <c r="N9165" s="28">
        <v>1.89E-2</v>
      </c>
      <c r="O9165" s="28">
        <v>1.89E-2</v>
      </c>
      <c r="P9165" s="29" t="s">
        <v>350</v>
      </c>
    </row>
    <row r="9166" spans="1:16" x14ac:dyDescent="0.35">
      <c r="A9166" s="27" t="s">
        <v>230</v>
      </c>
      <c r="B9166" s="27" t="s">
        <v>267</v>
      </c>
      <c r="C9166" s="28">
        <v>9.5000000000000001E-2</v>
      </c>
      <c r="D9166" s="28">
        <v>0.78149999999999997</v>
      </c>
      <c r="E9166" s="29"/>
      <c r="F9166" s="29"/>
      <c r="G9166" s="28">
        <v>9.5000000000000001E-2</v>
      </c>
      <c r="H9166" s="28">
        <v>0.56299999999999994</v>
      </c>
      <c r="I9166" s="29"/>
      <c r="J9166" s="28">
        <v>0.1235</v>
      </c>
      <c r="K9166" s="28">
        <v>2.8500000000000001E-2</v>
      </c>
      <c r="L9166" s="29"/>
      <c r="M9166" s="28">
        <v>2.8500000000000001E-2</v>
      </c>
      <c r="N9166" s="29"/>
      <c r="O9166" s="29"/>
      <c r="P9166" s="29" t="s">
        <v>339</v>
      </c>
    </row>
    <row r="9167" spans="1:16" x14ac:dyDescent="0.35">
      <c r="A9167" s="27" t="s">
        <v>230</v>
      </c>
      <c r="B9167" s="27" t="s">
        <v>266</v>
      </c>
      <c r="C9167" s="28">
        <v>7.2300000000000003E-2</v>
      </c>
      <c r="D9167" s="28">
        <v>7.0599999999999996E-2</v>
      </c>
      <c r="E9167" s="28">
        <v>0.42849999999999999</v>
      </c>
      <c r="F9167" s="28">
        <v>7.0599999999999996E-2</v>
      </c>
      <c r="G9167" s="29"/>
      <c r="H9167" s="29"/>
      <c r="I9167" s="29"/>
      <c r="J9167" s="29"/>
      <c r="K9167" s="29"/>
      <c r="L9167" s="28">
        <v>0.42849999999999999</v>
      </c>
      <c r="M9167" s="29"/>
      <c r="N9167" s="29"/>
      <c r="O9167" s="29"/>
      <c r="P9167" s="29" t="s">
        <v>337</v>
      </c>
    </row>
    <row r="9168" spans="1:16" x14ac:dyDescent="0.35">
      <c r="A9168" s="27" t="s">
        <v>230</v>
      </c>
      <c r="B9168" s="27" t="s">
        <v>265</v>
      </c>
      <c r="C9168" s="28">
        <v>0.5444</v>
      </c>
      <c r="D9168" s="28">
        <v>0.19189999999999999</v>
      </c>
      <c r="E9168" s="28">
        <v>0.26369999999999999</v>
      </c>
      <c r="F9168" s="28">
        <v>0.251</v>
      </c>
      <c r="G9168" s="28">
        <v>0.251</v>
      </c>
      <c r="H9168" s="28">
        <v>5.4100000000000002E-2</v>
      </c>
      <c r="I9168" s="28">
        <v>8.2699999999999996E-2</v>
      </c>
      <c r="J9168" s="29"/>
      <c r="K9168" s="28">
        <v>0.30509999999999998</v>
      </c>
      <c r="L9168" s="29"/>
      <c r="M9168" s="28">
        <v>0.251</v>
      </c>
      <c r="N9168" s="29"/>
      <c r="O9168" s="29"/>
      <c r="P9168" s="29" t="s">
        <v>352</v>
      </c>
    </row>
    <row r="9169" spans="1:16" x14ac:dyDescent="0.35">
      <c r="A9169" s="27" t="s">
        <v>231</v>
      </c>
      <c r="B9169" s="27" t="s">
        <v>266</v>
      </c>
      <c r="C9169" s="28">
        <v>0.33329999999999999</v>
      </c>
      <c r="D9169" s="28">
        <v>0.33329999999999999</v>
      </c>
      <c r="E9169" s="28">
        <v>0.33329999999999999</v>
      </c>
      <c r="F9169" s="28">
        <v>0.33329999999999999</v>
      </c>
      <c r="G9169" s="29"/>
      <c r="H9169" s="29"/>
      <c r="I9169" s="29"/>
      <c r="J9169" s="28">
        <v>0.33329999999999999</v>
      </c>
      <c r="K9169" s="29"/>
      <c r="L9169" s="29"/>
      <c r="M9169" s="29"/>
      <c r="N9169" s="29"/>
      <c r="O9169" s="29"/>
      <c r="P9169" s="29" t="s">
        <v>315</v>
      </c>
    </row>
    <row r="9170" spans="1:16" x14ac:dyDescent="0.35">
      <c r="A9170" s="27" t="s">
        <v>231</v>
      </c>
      <c r="B9170" s="27" t="s">
        <v>265</v>
      </c>
      <c r="C9170" s="28">
        <v>0.66669999999999996</v>
      </c>
      <c r="D9170" s="28">
        <v>0.33329999999999999</v>
      </c>
      <c r="E9170" s="29"/>
      <c r="F9170" s="29"/>
      <c r="G9170" s="29"/>
      <c r="H9170" s="29"/>
      <c r="I9170" s="28">
        <v>0.33329999999999999</v>
      </c>
      <c r="J9170" s="29"/>
      <c r="K9170" s="29"/>
      <c r="L9170" s="29"/>
      <c r="M9170" s="29"/>
      <c r="N9170" s="29"/>
      <c r="O9170" s="29"/>
      <c r="P9170" s="29" t="s">
        <v>315</v>
      </c>
    </row>
    <row r="9171" spans="1:16" x14ac:dyDescent="0.35">
      <c r="A9171" t="s">
        <v>232</v>
      </c>
      <c r="B9171" t="s">
        <v>232</v>
      </c>
      <c r="C9171" s="26">
        <v>0.57289999999999996</v>
      </c>
      <c r="D9171" s="26">
        <v>0.19919999999999999</v>
      </c>
      <c r="E9171" s="26">
        <v>0.1757</v>
      </c>
      <c r="F9171" s="26">
        <v>0.11840000000000001</v>
      </c>
      <c r="G9171" s="26">
        <v>9.8500000000000004E-2</v>
      </c>
      <c r="H9171" s="26">
        <v>9.1999999999999998E-2</v>
      </c>
      <c r="I9171" s="26">
        <v>6.6600000000000006E-2</v>
      </c>
      <c r="J9171" s="26">
        <v>6.5299999999999997E-2</v>
      </c>
      <c r="K9171" s="26">
        <v>3.0800000000000001E-2</v>
      </c>
      <c r="L9171" s="26">
        <v>3.0200000000000001E-2</v>
      </c>
      <c r="M9171" s="26">
        <v>2.6599999999999999E-2</v>
      </c>
      <c r="N9171" s="26">
        <v>1.03E-2</v>
      </c>
      <c r="O9171" s="26">
        <v>3.0000000000000001E-3</v>
      </c>
      <c r="P9171">
        <v>110</v>
      </c>
    </row>
    <row r="9173" spans="1:16" x14ac:dyDescent="0.35">
      <c r="A9173" s="1" t="s">
        <v>1264</v>
      </c>
    </row>
    <row r="9174" spans="1:16" x14ac:dyDescent="0.35">
      <c r="A9174" t="s">
        <v>219</v>
      </c>
      <c r="B9174" t="s">
        <v>305</v>
      </c>
      <c r="C9174" t="s">
        <v>1247</v>
      </c>
      <c r="D9174" t="s">
        <v>1248</v>
      </c>
      <c r="E9174" t="s">
        <v>1249</v>
      </c>
      <c r="F9174" t="s">
        <v>1250</v>
      </c>
      <c r="G9174" t="s">
        <v>1251</v>
      </c>
      <c r="H9174" t="s">
        <v>1252</v>
      </c>
      <c r="I9174" t="s">
        <v>1253</v>
      </c>
      <c r="J9174" t="s">
        <v>326</v>
      </c>
      <c r="K9174" t="s">
        <v>1254</v>
      </c>
      <c r="L9174" t="s">
        <v>1255</v>
      </c>
      <c r="M9174" t="s">
        <v>1256</v>
      </c>
      <c r="N9174" t="s">
        <v>1257</v>
      </c>
      <c r="O9174" t="s">
        <v>1258</v>
      </c>
      <c r="P9174" t="s">
        <v>226</v>
      </c>
    </row>
    <row r="9175" spans="1:16" x14ac:dyDescent="0.35">
      <c r="A9175" s="27" t="s">
        <v>227</v>
      </c>
      <c r="B9175" s="27" t="s">
        <v>253</v>
      </c>
      <c r="C9175" s="28">
        <v>1</v>
      </c>
      <c r="D9175" s="29"/>
      <c r="E9175" s="29"/>
      <c r="F9175" s="29"/>
      <c r="G9175" s="29"/>
      <c r="H9175" s="29"/>
      <c r="I9175" s="29"/>
      <c r="J9175" s="29"/>
      <c r="K9175" s="29"/>
      <c r="L9175" s="29"/>
      <c r="M9175" s="29"/>
      <c r="N9175" s="29"/>
      <c r="O9175" s="29"/>
      <c r="P9175" s="29" t="s">
        <v>315</v>
      </c>
    </row>
    <row r="9176" spans="1:16" x14ac:dyDescent="0.35">
      <c r="A9176" s="27" t="s">
        <v>227</v>
      </c>
      <c r="B9176" s="27" t="s">
        <v>251</v>
      </c>
      <c r="C9176" s="28">
        <v>0.66669999999999996</v>
      </c>
      <c r="D9176" s="28">
        <v>0.33329999999999999</v>
      </c>
      <c r="E9176" s="29"/>
      <c r="F9176" s="29"/>
      <c r="G9176" s="28">
        <v>0.33329999999999999</v>
      </c>
      <c r="H9176" s="28">
        <v>0.33329999999999999</v>
      </c>
      <c r="I9176" s="29"/>
      <c r="J9176" s="29"/>
      <c r="K9176" s="29"/>
      <c r="L9176" s="29"/>
      <c r="M9176" s="29"/>
      <c r="N9176" s="29"/>
      <c r="O9176" s="29"/>
      <c r="P9176" s="29" t="s">
        <v>315</v>
      </c>
    </row>
    <row r="9177" spans="1:16" x14ac:dyDescent="0.35">
      <c r="A9177" s="27" t="s">
        <v>228</v>
      </c>
      <c r="B9177" s="27" t="s">
        <v>252</v>
      </c>
      <c r="C9177" s="28">
        <v>0.23880000000000001</v>
      </c>
      <c r="D9177" s="29"/>
      <c r="E9177" s="29"/>
      <c r="F9177" s="28">
        <v>0.76119999999999999</v>
      </c>
      <c r="G9177" s="28">
        <v>0.4073</v>
      </c>
      <c r="H9177" s="28">
        <v>0.4073</v>
      </c>
      <c r="I9177" s="28">
        <v>0.4073</v>
      </c>
      <c r="J9177" s="29"/>
      <c r="K9177" s="29"/>
      <c r="L9177" s="29"/>
      <c r="M9177" s="28">
        <v>0.4073</v>
      </c>
      <c r="N9177" s="28">
        <v>0.4073</v>
      </c>
      <c r="O9177" s="29"/>
      <c r="P9177" s="29" t="s">
        <v>315</v>
      </c>
    </row>
    <row r="9178" spans="1:16" x14ac:dyDescent="0.35">
      <c r="A9178" s="27" t="s">
        <v>228</v>
      </c>
      <c r="B9178" s="27" t="s">
        <v>253</v>
      </c>
      <c r="C9178" s="28">
        <v>0.44479999999999997</v>
      </c>
      <c r="D9178" s="28">
        <v>0.2427</v>
      </c>
      <c r="E9178" s="28">
        <v>0.28899999999999998</v>
      </c>
      <c r="F9178" s="29"/>
      <c r="G9178" s="28">
        <v>4.8899999999999999E-2</v>
      </c>
      <c r="H9178" s="28">
        <v>0.12130000000000001</v>
      </c>
      <c r="I9178" s="29"/>
      <c r="J9178" s="28">
        <v>8.3400000000000002E-2</v>
      </c>
      <c r="K9178" s="28">
        <v>7.2400000000000006E-2</v>
      </c>
      <c r="L9178" s="28">
        <v>4.8899999999999999E-2</v>
      </c>
      <c r="M9178" s="29"/>
      <c r="N9178" s="28">
        <v>7.2400000000000006E-2</v>
      </c>
      <c r="O9178" s="29"/>
      <c r="P9178" s="29" t="s">
        <v>307</v>
      </c>
    </row>
    <row r="9179" spans="1:16" x14ac:dyDescent="0.35">
      <c r="A9179" s="27" t="s">
        <v>228</v>
      </c>
      <c r="B9179" s="27" t="s">
        <v>251</v>
      </c>
      <c r="C9179" s="28">
        <v>0.56950000000000001</v>
      </c>
      <c r="D9179" s="28">
        <v>0.14349999999999999</v>
      </c>
      <c r="E9179" s="28">
        <v>0.18429999999999999</v>
      </c>
      <c r="F9179" s="28">
        <v>4.7399999999999998E-2</v>
      </c>
      <c r="G9179" s="28">
        <v>0.1431</v>
      </c>
      <c r="H9179" s="28">
        <v>8.3199999999999996E-2</v>
      </c>
      <c r="I9179" s="28">
        <v>7.1599999999999997E-2</v>
      </c>
      <c r="J9179" s="28">
        <v>6.6900000000000001E-2</v>
      </c>
      <c r="K9179" s="28">
        <v>7.1599999999999997E-2</v>
      </c>
      <c r="L9179" s="28">
        <v>8.3199999999999996E-2</v>
      </c>
      <c r="M9179" s="28">
        <v>7.1599999999999997E-2</v>
      </c>
      <c r="N9179" s="28">
        <v>3.5799999999999998E-2</v>
      </c>
      <c r="O9179" s="29"/>
      <c r="P9179" s="29" t="s">
        <v>353</v>
      </c>
    </row>
    <row r="9180" spans="1:16" x14ac:dyDescent="0.35">
      <c r="A9180" s="27" t="s">
        <v>229</v>
      </c>
      <c r="B9180" s="27" t="s">
        <v>252</v>
      </c>
      <c r="C9180" s="28">
        <v>0.75190000000000001</v>
      </c>
      <c r="D9180" s="29"/>
      <c r="E9180" s="28">
        <v>0.23419999999999999</v>
      </c>
      <c r="F9180" s="29"/>
      <c r="G9180" s="28">
        <v>1.3899999999999999E-2</v>
      </c>
      <c r="H9180" s="29"/>
      <c r="I9180" s="29"/>
      <c r="J9180" s="29"/>
      <c r="K9180" s="29"/>
      <c r="L9180" s="29"/>
      <c r="M9180" s="29"/>
      <c r="N9180" s="29"/>
      <c r="O9180" s="29"/>
      <c r="P9180" s="29" t="s">
        <v>334</v>
      </c>
    </row>
    <row r="9181" spans="1:16" x14ac:dyDescent="0.35">
      <c r="A9181" s="27" t="s">
        <v>229</v>
      </c>
      <c r="B9181" s="27" t="s">
        <v>253</v>
      </c>
      <c r="C9181" s="28">
        <v>0.98519999999999996</v>
      </c>
      <c r="D9181" s="29"/>
      <c r="E9181" s="29"/>
      <c r="F9181" s="29"/>
      <c r="G9181" s="29"/>
      <c r="H9181" s="29"/>
      <c r="I9181" s="29"/>
      <c r="J9181" s="29"/>
      <c r="K9181" s="28">
        <v>1.4800000000000001E-2</v>
      </c>
      <c r="L9181" s="29"/>
      <c r="M9181" s="29"/>
      <c r="N9181" s="29"/>
      <c r="O9181" s="29"/>
      <c r="P9181" s="29" t="s">
        <v>333</v>
      </c>
    </row>
    <row r="9182" spans="1:16" x14ac:dyDescent="0.35">
      <c r="A9182" s="27" t="s">
        <v>229</v>
      </c>
      <c r="B9182" s="27" t="s">
        <v>251</v>
      </c>
      <c r="C9182" s="28">
        <v>0.2772</v>
      </c>
      <c r="D9182" s="28">
        <v>7.1099999999999997E-2</v>
      </c>
      <c r="E9182" s="28">
        <v>0.46010000000000001</v>
      </c>
      <c r="F9182" s="28">
        <v>0.42599999999999999</v>
      </c>
      <c r="G9182" s="28">
        <v>0.37909999999999999</v>
      </c>
      <c r="H9182" s="28">
        <v>0.33739999999999998</v>
      </c>
      <c r="I9182" s="29"/>
      <c r="J9182" s="28">
        <v>9.7999999999999997E-3</v>
      </c>
      <c r="K9182" s="28">
        <v>1.9699999999999999E-2</v>
      </c>
      <c r="L9182" s="28">
        <v>7.1099999999999997E-2</v>
      </c>
      <c r="M9182" s="28">
        <v>1.7500000000000002E-2</v>
      </c>
      <c r="N9182" s="28">
        <v>3.4000000000000002E-2</v>
      </c>
      <c r="O9182" s="28">
        <v>3.4000000000000002E-2</v>
      </c>
      <c r="P9182" s="29" t="s">
        <v>336</v>
      </c>
    </row>
    <row r="9183" spans="1:16" x14ac:dyDescent="0.35">
      <c r="A9183" s="27" t="s">
        <v>230</v>
      </c>
      <c r="B9183" s="27" t="s">
        <v>252</v>
      </c>
      <c r="C9183" s="28">
        <v>0.10100000000000001</v>
      </c>
      <c r="D9183" s="28">
        <v>0.1996</v>
      </c>
      <c r="E9183" s="28">
        <v>0.59850000000000003</v>
      </c>
      <c r="F9183" s="29"/>
      <c r="G9183" s="28">
        <v>0.10100000000000001</v>
      </c>
      <c r="H9183" s="29"/>
      <c r="I9183" s="28">
        <v>9.8599999999999993E-2</v>
      </c>
      <c r="J9183" s="28">
        <v>0.10100000000000001</v>
      </c>
      <c r="K9183" s="28">
        <v>9.8599999999999993E-2</v>
      </c>
      <c r="L9183" s="29"/>
      <c r="M9183" s="29"/>
      <c r="N9183" s="29"/>
      <c r="O9183" s="29"/>
      <c r="P9183" s="29" t="s">
        <v>332</v>
      </c>
    </row>
    <row r="9184" spans="1:16" x14ac:dyDescent="0.35">
      <c r="A9184" s="27" t="s">
        <v>230</v>
      </c>
      <c r="B9184" s="27" t="s">
        <v>253</v>
      </c>
      <c r="C9184" s="28">
        <v>0.62460000000000004</v>
      </c>
      <c r="D9184" s="28">
        <v>0.18770000000000001</v>
      </c>
      <c r="E9184" s="28">
        <v>0.18770000000000001</v>
      </c>
      <c r="F9184" s="29"/>
      <c r="G9184" s="29"/>
      <c r="H9184" s="29"/>
      <c r="I9184" s="29"/>
      <c r="J9184" s="29"/>
      <c r="K9184" s="28">
        <v>0.18770000000000001</v>
      </c>
      <c r="L9184" s="29"/>
      <c r="M9184" s="29"/>
      <c r="N9184" s="29"/>
      <c r="O9184" s="29"/>
      <c r="P9184" s="29" t="s">
        <v>315</v>
      </c>
    </row>
    <row r="9185" spans="1:16" x14ac:dyDescent="0.35">
      <c r="A9185" s="27" t="s">
        <v>230</v>
      </c>
      <c r="B9185" s="27" t="s">
        <v>251</v>
      </c>
      <c r="C9185" s="28">
        <v>0.35249999999999998</v>
      </c>
      <c r="D9185" s="28">
        <v>0.31419999999999998</v>
      </c>
      <c r="E9185" s="28">
        <v>0.16250000000000001</v>
      </c>
      <c r="F9185" s="28">
        <v>0.1893</v>
      </c>
      <c r="G9185" s="28">
        <v>0.16250000000000001</v>
      </c>
      <c r="H9185" s="28">
        <v>0.1976</v>
      </c>
      <c r="I9185" s="28">
        <v>2.6800000000000001E-2</v>
      </c>
      <c r="J9185" s="28">
        <v>8.2000000000000007E-3</v>
      </c>
      <c r="K9185" s="28">
        <v>0.17080000000000001</v>
      </c>
      <c r="L9185" s="28">
        <v>0.16250000000000001</v>
      </c>
      <c r="M9185" s="28">
        <v>0.17080000000000001</v>
      </c>
      <c r="N9185" s="29"/>
      <c r="O9185" s="29"/>
      <c r="P9185" s="29" t="s">
        <v>379</v>
      </c>
    </row>
    <row r="9186" spans="1:16" x14ac:dyDescent="0.35">
      <c r="A9186" s="27" t="s">
        <v>231</v>
      </c>
      <c r="B9186" s="27" t="s">
        <v>252</v>
      </c>
      <c r="C9186" s="29"/>
      <c r="D9186" s="28">
        <v>1</v>
      </c>
      <c r="E9186" s="29"/>
      <c r="F9186" s="29"/>
      <c r="G9186" s="29"/>
      <c r="H9186" s="29"/>
      <c r="I9186" s="28">
        <v>1</v>
      </c>
      <c r="J9186" s="29"/>
      <c r="K9186" s="29"/>
      <c r="L9186" s="29"/>
      <c r="M9186" s="29"/>
      <c r="N9186" s="29"/>
      <c r="O9186" s="29"/>
      <c r="P9186" s="29" t="s">
        <v>331</v>
      </c>
    </row>
    <row r="9187" spans="1:16" x14ac:dyDescent="0.35">
      <c r="A9187" s="27" t="s">
        <v>231</v>
      </c>
      <c r="B9187" s="27" t="s">
        <v>253</v>
      </c>
      <c r="C9187" s="28">
        <v>0.66669999999999996</v>
      </c>
      <c r="D9187" s="28">
        <v>0.33329999999999999</v>
      </c>
      <c r="E9187" s="28">
        <v>0.33329999999999999</v>
      </c>
      <c r="F9187" s="28">
        <v>0.33329999999999999</v>
      </c>
      <c r="G9187" s="29"/>
      <c r="H9187" s="29"/>
      <c r="I9187" s="29"/>
      <c r="J9187" s="29"/>
      <c r="K9187" s="29"/>
      <c r="L9187" s="29"/>
      <c r="M9187" s="29"/>
      <c r="N9187" s="29"/>
      <c r="O9187" s="29"/>
      <c r="P9187" s="29" t="s">
        <v>315</v>
      </c>
    </row>
    <row r="9188" spans="1:16" x14ac:dyDescent="0.35">
      <c r="A9188" s="27" t="s">
        <v>231</v>
      </c>
      <c r="B9188" s="27" t="s">
        <v>251</v>
      </c>
      <c r="C9188" s="28">
        <v>0.5</v>
      </c>
      <c r="D9188" s="29"/>
      <c r="E9188" s="29"/>
      <c r="F9188" s="29"/>
      <c r="G9188" s="29"/>
      <c r="H9188" s="29"/>
      <c r="I9188" s="29"/>
      <c r="J9188" s="28">
        <v>0.5</v>
      </c>
      <c r="K9188" s="29"/>
      <c r="L9188" s="29"/>
      <c r="M9188" s="29"/>
      <c r="N9188" s="29"/>
      <c r="O9188" s="29"/>
      <c r="P9188" s="29" t="s">
        <v>314</v>
      </c>
    </row>
    <row r="9189" spans="1:16" x14ac:dyDescent="0.35">
      <c r="A9189" t="s">
        <v>232</v>
      </c>
      <c r="B9189" t="s">
        <v>232</v>
      </c>
      <c r="C9189" s="26">
        <v>0.57289999999999996</v>
      </c>
      <c r="D9189" s="26">
        <v>0.19919999999999999</v>
      </c>
      <c r="E9189" s="26">
        <v>0.1757</v>
      </c>
      <c r="F9189" s="26">
        <v>0.11840000000000001</v>
      </c>
      <c r="G9189" s="26">
        <v>9.8500000000000004E-2</v>
      </c>
      <c r="H9189" s="26">
        <v>9.1999999999999998E-2</v>
      </c>
      <c r="I9189" s="26">
        <v>6.6600000000000006E-2</v>
      </c>
      <c r="J9189" s="26">
        <v>6.5299999999999997E-2</v>
      </c>
      <c r="K9189" s="26">
        <v>3.0800000000000001E-2</v>
      </c>
      <c r="L9189" s="26">
        <v>3.0200000000000001E-2</v>
      </c>
      <c r="M9189" s="26">
        <v>2.6599999999999999E-2</v>
      </c>
      <c r="N9189" s="26">
        <v>1.03E-2</v>
      </c>
      <c r="O9189" s="26">
        <v>3.0000000000000001E-3</v>
      </c>
      <c r="P9189">
        <v>110</v>
      </c>
    </row>
    <row r="9191" spans="1:16" x14ac:dyDescent="0.35">
      <c r="A9191" s="1" t="s">
        <v>1265</v>
      </c>
    </row>
    <row r="9192" spans="1:16" x14ac:dyDescent="0.35">
      <c r="A9192" t="s">
        <v>219</v>
      </c>
      <c r="B9192" t="s">
        <v>305</v>
      </c>
      <c r="C9192" t="s">
        <v>1247</v>
      </c>
      <c r="D9192" t="s">
        <v>1248</v>
      </c>
      <c r="E9192" t="s">
        <v>1249</v>
      </c>
      <c r="F9192" t="s">
        <v>1250</v>
      </c>
      <c r="G9192" t="s">
        <v>1251</v>
      </c>
      <c r="H9192" t="s">
        <v>1252</v>
      </c>
      <c r="I9192" t="s">
        <v>1253</v>
      </c>
      <c r="J9192" t="s">
        <v>326</v>
      </c>
      <c r="K9192" t="s">
        <v>1254</v>
      </c>
      <c r="L9192" t="s">
        <v>1255</v>
      </c>
      <c r="M9192" t="s">
        <v>1256</v>
      </c>
      <c r="N9192" t="s">
        <v>1257</v>
      </c>
      <c r="O9192" t="s">
        <v>1258</v>
      </c>
      <c r="P9192" t="s">
        <v>226</v>
      </c>
    </row>
    <row r="9193" spans="1:16" x14ac:dyDescent="0.35">
      <c r="A9193" s="27" t="s">
        <v>227</v>
      </c>
      <c r="B9193" s="27" t="s">
        <v>248</v>
      </c>
      <c r="C9193" s="28">
        <v>0.83330000000000004</v>
      </c>
      <c r="D9193" s="28">
        <v>0.16669999999999999</v>
      </c>
      <c r="E9193" s="29"/>
      <c r="F9193" s="29"/>
      <c r="G9193" s="28">
        <v>0.16669999999999999</v>
      </c>
      <c r="H9193" s="28">
        <v>0.16669999999999999</v>
      </c>
      <c r="I9193" s="29"/>
      <c r="J9193" s="29"/>
      <c r="K9193" s="29"/>
      <c r="L9193" s="29"/>
      <c r="M9193" s="29"/>
      <c r="N9193" s="29"/>
      <c r="O9193" s="29"/>
      <c r="P9193" s="29" t="s">
        <v>335</v>
      </c>
    </row>
    <row r="9194" spans="1:16" x14ac:dyDescent="0.35">
      <c r="A9194" s="27" t="s">
        <v>228</v>
      </c>
      <c r="B9194" s="27" t="s">
        <v>249</v>
      </c>
      <c r="C9194" s="28">
        <v>0.3004</v>
      </c>
      <c r="D9194" s="28">
        <v>0.26690000000000003</v>
      </c>
      <c r="E9194" s="28">
        <v>0.3004</v>
      </c>
      <c r="F9194" s="28">
        <v>0.13669999999999999</v>
      </c>
      <c r="G9194" s="28">
        <v>0.37009999999999998</v>
      </c>
      <c r="H9194" s="28">
        <v>0.3004</v>
      </c>
      <c r="I9194" s="28">
        <v>0.2064</v>
      </c>
      <c r="J9194" s="28">
        <v>0.29609999999999997</v>
      </c>
      <c r="K9194" s="28">
        <v>0.2064</v>
      </c>
      <c r="L9194" s="28">
        <v>0.3004</v>
      </c>
      <c r="M9194" s="28">
        <v>0.2064</v>
      </c>
      <c r="N9194" s="28">
        <v>0.1032</v>
      </c>
      <c r="O9194" s="29"/>
      <c r="P9194" s="29" t="s">
        <v>307</v>
      </c>
    </row>
    <row r="9195" spans="1:16" x14ac:dyDescent="0.35">
      <c r="A9195" s="27" t="s">
        <v>228</v>
      </c>
      <c r="B9195" s="27" t="s">
        <v>248</v>
      </c>
      <c r="C9195" s="28">
        <v>0.57869999999999999</v>
      </c>
      <c r="D9195" s="28">
        <v>0.1326</v>
      </c>
      <c r="E9195" s="28">
        <v>0.17449999999999999</v>
      </c>
      <c r="F9195" s="28">
        <v>5.7099999999999998E-2</v>
      </c>
      <c r="G9195" s="28">
        <v>6.1100000000000002E-2</v>
      </c>
      <c r="H9195" s="28">
        <v>5.7099999999999998E-2</v>
      </c>
      <c r="I9195" s="28">
        <v>3.0599999999999999E-2</v>
      </c>
      <c r="J9195" s="29"/>
      <c r="K9195" s="28">
        <v>2.6599999999999999E-2</v>
      </c>
      <c r="L9195" s="29"/>
      <c r="M9195" s="28">
        <v>3.0599999999999999E-2</v>
      </c>
      <c r="N9195" s="28">
        <v>5.7099999999999998E-2</v>
      </c>
      <c r="O9195" s="29"/>
      <c r="P9195" s="29" t="s">
        <v>351</v>
      </c>
    </row>
    <row r="9196" spans="1:16" x14ac:dyDescent="0.35">
      <c r="A9196" s="27" t="s">
        <v>229</v>
      </c>
      <c r="B9196" s="27" t="s">
        <v>249</v>
      </c>
      <c r="C9196" s="28">
        <v>0.7218</v>
      </c>
      <c r="D9196" s="29"/>
      <c r="E9196" s="28">
        <v>8.4699999999999998E-2</v>
      </c>
      <c r="F9196" s="28">
        <v>1.55E-2</v>
      </c>
      <c r="G9196" s="28">
        <v>0.1089</v>
      </c>
      <c r="H9196" s="28">
        <v>1.55E-2</v>
      </c>
      <c r="I9196" s="29"/>
      <c r="J9196" s="28">
        <v>1.55E-2</v>
      </c>
      <c r="K9196" s="28">
        <v>1.55E-2</v>
      </c>
      <c r="L9196" s="28">
        <v>3.1E-2</v>
      </c>
      <c r="M9196" s="29"/>
      <c r="N9196" s="28">
        <v>5.3699999999999998E-2</v>
      </c>
      <c r="O9196" s="29"/>
      <c r="P9196" s="29" t="s">
        <v>379</v>
      </c>
    </row>
    <row r="9197" spans="1:16" x14ac:dyDescent="0.35">
      <c r="A9197" t="s">
        <v>229</v>
      </c>
      <c r="B9197" t="s">
        <v>248</v>
      </c>
      <c r="C9197" s="26">
        <v>0.62029999999999996</v>
      </c>
      <c r="D9197" s="26">
        <v>3.1199999999999999E-2</v>
      </c>
      <c r="E9197" s="26">
        <v>0.30640000000000001</v>
      </c>
      <c r="F9197" s="26">
        <v>0.18229999999999999</v>
      </c>
      <c r="G9197" s="26">
        <v>0.1434</v>
      </c>
      <c r="H9197" s="26">
        <v>0.1434</v>
      </c>
      <c r="K9197" s="26">
        <v>8.6E-3</v>
      </c>
      <c r="L9197" s="26">
        <v>2.2499999999999999E-2</v>
      </c>
      <c r="M9197" s="26">
        <v>7.6E-3</v>
      </c>
      <c r="O9197" s="26">
        <v>1.49E-2</v>
      </c>
      <c r="P9197">
        <v>31</v>
      </c>
    </row>
    <row r="9198" spans="1:16" x14ac:dyDescent="0.35">
      <c r="A9198" s="27" t="s">
        <v>230</v>
      </c>
      <c r="B9198" s="27" t="s">
        <v>249</v>
      </c>
      <c r="C9198" s="28">
        <v>0.37190000000000001</v>
      </c>
      <c r="D9198" s="28">
        <v>0.28520000000000001</v>
      </c>
      <c r="E9198" s="28">
        <v>0.17150000000000001</v>
      </c>
      <c r="F9198" s="28">
        <v>0.19969999999999999</v>
      </c>
      <c r="G9198" s="28">
        <v>0.17150000000000001</v>
      </c>
      <c r="H9198" s="28">
        <v>0.19969999999999999</v>
      </c>
      <c r="I9198" s="28">
        <v>2.8299999999999999E-2</v>
      </c>
      <c r="J9198" s="29"/>
      <c r="K9198" s="28">
        <v>0.17150000000000001</v>
      </c>
      <c r="L9198" s="28">
        <v>0.17150000000000001</v>
      </c>
      <c r="M9198" s="28">
        <v>0.17150000000000001</v>
      </c>
      <c r="N9198" s="29"/>
      <c r="O9198" s="29"/>
      <c r="P9198" s="29" t="s">
        <v>307</v>
      </c>
    </row>
    <row r="9199" spans="1:16" x14ac:dyDescent="0.35">
      <c r="A9199" s="27" t="s">
        <v>230</v>
      </c>
      <c r="B9199" s="27" t="s">
        <v>248</v>
      </c>
      <c r="C9199" s="28">
        <v>0.1492</v>
      </c>
      <c r="D9199" s="28">
        <v>0.2893</v>
      </c>
      <c r="E9199" s="28">
        <v>0.46450000000000002</v>
      </c>
      <c r="F9199" s="29"/>
      <c r="G9199" s="28">
        <v>7.46E-2</v>
      </c>
      <c r="H9199" s="28">
        <v>2.24E-2</v>
      </c>
      <c r="I9199" s="28">
        <v>7.2800000000000004E-2</v>
      </c>
      <c r="J9199" s="28">
        <v>9.7000000000000003E-2</v>
      </c>
      <c r="K9199" s="28">
        <v>0.1177</v>
      </c>
      <c r="L9199" s="29"/>
      <c r="M9199" s="28">
        <v>2.24E-2</v>
      </c>
      <c r="N9199" s="29"/>
      <c r="O9199" s="29"/>
      <c r="P9199" s="29" t="s">
        <v>342</v>
      </c>
    </row>
    <row r="9200" spans="1:16" x14ac:dyDescent="0.35">
      <c r="A9200" s="27" t="s">
        <v>231</v>
      </c>
      <c r="B9200" s="27" t="s">
        <v>249</v>
      </c>
      <c r="C9200" s="29"/>
      <c r="D9200" s="28">
        <v>1</v>
      </c>
      <c r="E9200" s="28">
        <v>1</v>
      </c>
      <c r="F9200" s="28">
        <v>1</v>
      </c>
      <c r="G9200" s="29"/>
      <c r="H9200" s="29"/>
      <c r="I9200" s="29"/>
      <c r="J9200" s="29"/>
      <c r="K9200" s="29"/>
      <c r="L9200" s="29"/>
      <c r="M9200" s="29"/>
      <c r="N9200" s="29"/>
      <c r="O9200" s="29"/>
      <c r="P9200" s="29" t="s">
        <v>331</v>
      </c>
    </row>
    <row r="9201" spans="1:16" x14ac:dyDescent="0.35">
      <c r="A9201" s="27" t="s">
        <v>231</v>
      </c>
      <c r="B9201" s="27" t="s">
        <v>248</v>
      </c>
      <c r="C9201" s="28">
        <v>0.6</v>
      </c>
      <c r="D9201" s="28">
        <v>0.2</v>
      </c>
      <c r="E9201" s="29"/>
      <c r="F9201" s="29"/>
      <c r="G9201" s="29"/>
      <c r="H9201" s="29"/>
      <c r="I9201" s="28">
        <v>0.2</v>
      </c>
      <c r="J9201" s="28">
        <v>0.2</v>
      </c>
      <c r="K9201" s="29"/>
      <c r="L9201" s="29"/>
      <c r="M9201" s="29"/>
      <c r="N9201" s="29"/>
      <c r="O9201" s="29"/>
      <c r="P9201" s="29" t="s">
        <v>332</v>
      </c>
    </row>
    <row r="9202" spans="1:16" x14ac:dyDescent="0.35">
      <c r="A9202" t="s">
        <v>232</v>
      </c>
      <c r="B9202" t="s">
        <v>232</v>
      </c>
      <c r="C9202" s="26">
        <v>0.57289999999999996</v>
      </c>
      <c r="D9202" s="26">
        <v>0.19919999999999999</v>
      </c>
      <c r="E9202" s="26">
        <v>0.1757</v>
      </c>
      <c r="F9202" s="26">
        <v>0.11840000000000001</v>
      </c>
      <c r="G9202" s="26">
        <v>9.8500000000000004E-2</v>
      </c>
      <c r="H9202" s="26">
        <v>9.1999999999999998E-2</v>
      </c>
      <c r="I9202" s="26">
        <v>6.6600000000000006E-2</v>
      </c>
      <c r="J9202" s="26">
        <v>6.5299999999999997E-2</v>
      </c>
      <c r="K9202" s="26">
        <v>3.0800000000000001E-2</v>
      </c>
      <c r="L9202" s="26">
        <v>3.0200000000000001E-2</v>
      </c>
      <c r="M9202" s="26">
        <v>2.6599999999999999E-2</v>
      </c>
      <c r="N9202" s="26">
        <v>1.03E-2</v>
      </c>
      <c r="O9202" s="26">
        <v>3.0000000000000001E-3</v>
      </c>
      <c r="P9202">
        <v>110</v>
      </c>
    </row>
    <row r="9204" spans="1:16" x14ac:dyDescent="0.35">
      <c r="A9204" s="1" t="s">
        <v>1266</v>
      </c>
    </row>
    <row r="9205" spans="1:16" x14ac:dyDescent="0.35">
      <c r="A9205" t="s">
        <v>219</v>
      </c>
      <c r="B9205" t="s">
        <v>305</v>
      </c>
      <c r="C9205" t="s">
        <v>1247</v>
      </c>
      <c r="D9205" t="s">
        <v>1248</v>
      </c>
      <c r="E9205" t="s">
        <v>1249</v>
      </c>
      <c r="F9205" t="s">
        <v>1250</v>
      </c>
      <c r="G9205" t="s">
        <v>1251</v>
      </c>
      <c r="H9205" t="s">
        <v>1252</v>
      </c>
      <c r="I9205" t="s">
        <v>1253</v>
      </c>
      <c r="J9205" t="s">
        <v>326</v>
      </c>
      <c r="K9205" t="s">
        <v>1254</v>
      </c>
      <c r="L9205" t="s">
        <v>1255</v>
      </c>
      <c r="M9205" t="s">
        <v>1256</v>
      </c>
      <c r="N9205" t="s">
        <v>1257</v>
      </c>
      <c r="O9205" t="s">
        <v>1258</v>
      </c>
      <c r="P9205" t="s">
        <v>226</v>
      </c>
    </row>
    <row r="9206" spans="1:16" x14ac:dyDescent="0.35">
      <c r="A9206" s="27" t="s">
        <v>227</v>
      </c>
      <c r="B9206" s="27" t="s">
        <v>261</v>
      </c>
      <c r="C9206" s="28">
        <v>1</v>
      </c>
      <c r="D9206" s="29"/>
      <c r="E9206" s="29"/>
      <c r="F9206" s="29"/>
      <c r="G9206" s="29"/>
      <c r="H9206" s="29"/>
      <c r="I9206" s="29"/>
      <c r="J9206" s="29"/>
      <c r="K9206" s="29"/>
      <c r="L9206" s="29"/>
      <c r="M9206" s="29"/>
      <c r="N9206" s="29"/>
      <c r="O9206" s="29"/>
      <c r="P9206" s="29" t="s">
        <v>331</v>
      </c>
    </row>
    <row r="9207" spans="1:16" x14ac:dyDescent="0.35">
      <c r="A9207" s="27" t="s">
        <v>227</v>
      </c>
      <c r="B9207" s="27" t="s">
        <v>260</v>
      </c>
      <c r="C9207" s="28">
        <v>0.8</v>
      </c>
      <c r="D9207" s="28">
        <v>0.2</v>
      </c>
      <c r="E9207" s="29"/>
      <c r="F9207" s="29"/>
      <c r="G9207" s="28">
        <v>0.2</v>
      </c>
      <c r="H9207" s="28">
        <v>0.2</v>
      </c>
      <c r="I9207" s="29"/>
      <c r="J9207" s="29"/>
      <c r="K9207" s="29"/>
      <c r="L9207" s="29"/>
      <c r="M9207" s="29"/>
      <c r="N9207" s="29"/>
      <c r="O9207" s="29"/>
      <c r="P9207" s="29" t="s">
        <v>332</v>
      </c>
    </row>
    <row r="9208" spans="1:16" x14ac:dyDescent="0.35">
      <c r="A9208" s="27" t="s">
        <v>228</v>
      </c>
      <c r="B9208" s="27" t="s">
        <v>261</v>
      </c>
      <c r="C9208" s="28">
        <v>0.46489999999999998</v>
      </c>
      <c r="D9208" s="28">
        <v>0.53510000000000002</v>
      </c>
      <c r="E9208" s="29"/>
      <c r="F9208" s="29"/>
      <c r="G9208" s="29"/>
      <c r="H9208" s="29"/>
      <c r="I9208" s="29"/>
      <c r="J9208" s="28">
        <v>0.53510000000000002</v>
      </c>
      <c r="K9208" s="29"/>
      <c r="L9208" s="29"/>
      <c r="M9208" s="29"/>
      <c r="N9208" s="29"/>
      <c r="O9208" s="29"/>
      <c r="P9208" s="29" t="s">
        <v>314</v>
      </c>
    </row>
    <row r="9209" spans="1:16" x14ac:dyDescent="0.35">
      <c r="A9209" s="27" t="s">
        <v>228</v>
      </c>
      <c r="B9209" s="27" t="s">
        <v>260</v>
      </c>
      <c r="C9209" s="28">
        <v>0.50570000000000004</v>
      </c>
      <c r="D9209" s="28">
        <v>0.1318</v>
      </c>
      <c r="E9209" s="28">
        <v>0.24709999999999999</v>
      </c>
      <c r="F9209" s="28">
        <v>9.1600000000000001E-2</v>
      </c>
      <c r="G9209" s="28">
        <v>0.13150000000000001</v>
      </c>
      <c r="H9209" s="28">
        <v>0.1371</v>
      </c>
      <c r="I9209" s="28">
        <v>8.5999999999999993E-2</v>
      </c>
      <c r="J9209" s="28">
        <v>2.4899999999999999E-2</v>
      </c>
      <c r="K9209" s="28">
        <v>8.2299999999999998E-2</v>
      </c>
      <c r="L9209" s="28">
        <v>8.3500000000000005E-2</v>
      </c>
      <c r="M9209" s="28">
        <v>5.74E-2</v>
      </c>
      <c r="N9209" s="28">
        <v>8.2299999999999998E-2</v>
      </c>
      <c r="O9209" s="29"/>
      <c r="P9209" s="29" t="s">
        <v>312</v>
      </c>
    </row>
    <row r="9210" spans="1:16" x14ac:dyDescent="0.35">
      <c r="A9210" s="27" t="s">
        <v>228</v>
      </c>
      <c r="B9210" s="27" t="s">
        <v>262</v>
      </c>
      <c r="C9210" s="28">
        <v>0.58930000000000005</v>
      </c>
      <c r="D9210" s="28">
        <v>0.23400000000000001</v>
      </c>
      <c r="E9210" s="29"/>
      <c r="F9210" s="29"/>
      <c r="G9210" s="28">
        <v>0.1767</v>
      </c>
      <c r="H9210" s="29"/>
      <c r="I9210" s="29"/>
      <c r="J9210" s="28">
        <v>0.1767</v>
      </c>
      <c r="K9210" s="29"/>
      <c r="L9210" s="29"/>
      <c r="M9210" s="28">
        <v>0.1767</v>
      </c>
      <c r="N9210" s="29"/>
      <c r="O9210" s="29"/>
      <c r="P9210" s="29" t="s">
        <v>337</v>
      </c>
    </row>
    <row r="9211" spans="1:16" x14ac:dyDescent="0.35">
      <c r="A9211" s="27" t="s">
        <v>229</v>
      </c>
      <c r="B9211" s="27" t="s">
        <v>263</v>
      </c>
      <c r="C9211" s="29"/>
      <c r="D9211" s="29"/>
      <c r="E9211" s="28">
        <v>1</v>
      </c>
      <c r="F9211" s="28">
        <v>1</v>
      </c>
      <c r="G9211" s="28">
        <v>1</v>
      </c>
      <c r="H9211" s="28">
        <v>1</v>
      </c>
      <c r="I9211" s="29"/>
      <c r="J9211" s="29"/>
      <c r="K9211" s="29"/>
      <c r="L9211" s="29"/>
      <c r="M9211" s="29"/>
      <c r="N9211" s="29"/>
      <c r="O9211" s="29"/>
      <c r="P9211" s="29" t="s">
        <v>331</v>
      </c>
    </row>
    <row r="9212" spans="1:16" x14ac:dyDescent="0.35">
      <c r="A9212" s="27" t="s">
        <v>229</v>
      </c>
      <c r="B9212" s="27" t="s">
        <v>261</v>
      </c>
      <c r="C9212" s="28">
        <v>1</v>
      </c>
      <c r="D9212" s="29"/>
      <c r="E9212" s="29"/>
      <c r="F9212" s="29"/>
      <c r="G9212" s="29"/>
      <c r="H9212" s="29"/>
      <c r="I9212" s="29"/>
      <c r="J9212" s="29"/>
      <c r="K9212" s="29"/>
      <c r="L9212" s="29"/>
      <c r="M9212" s="29"/>
      <c r="N9212" s="29"/>
      <c r="O9212" s="29"/>
      <c r="P9212" s="29" t="s">
        <v>331</v>
      </c>
    </row>
    <row r="9213" spans="1:16" x14ac:dyDescent="0.35">
      <c r="A9213" t="s">
        <v>229</v>
      </c>
      <c r="B9213" t="s">
        <v>260</v>
      </c>
      <c r="C9213" s="26">
        <v>0.73960000000000004</v>
      </c>
      <c r="D9213" s="26">
        <v>2.5100000000000001E-2</v>
      </c>
      <c r="E9213" s="26">
        <v>0.1636</v>
      </c>
      <c r="F9213" s="26">
        <v>3.9399999999999998E-2</v>
      </c>
      <c r="G9213" s="26">
        <v>3.5400000000000001E-2</v>
      </c>
      <c r="H9213" s="26">
        <v>1.12E-2</v>
      </c>
      <c r="J9213" s="26">
        <v>4.0000000000000001E-3</v>
      </c>
      <c r="K9213" s="26">
        <v>4.0000000000000001E-3</v>
      </c>
      <c r="L9213" s="26">
        <v>1.52E-2</v>
      </c>
      <c r="M9213" s="26">
        <v>7.1000000000000004E-3</v>
      </c>
      <c r="N9213" s="26">
        <v>1.3899999999999999E-2</v>
      </c>
      <c r="O9213" s="26">
        <v>1.3899999999999999E-2</v>
      </c>
      <c r="P9213">
        <v>37</v>
      </c>
    </row>
    <row r="9214" spans="1:16" x14ac:dyDescent="0.35">
      <c r="A9214" s="27" t="s">
        <v>229</v>
      </c>
      <c r="B9214" s="27" t="s">
        <v>262</v>
      </c>
      <c r="C9214" s="28">
        <v>0.2586</v>
      </c>
      <c r="D9214" s="28">
        <v>7.4700000000000003E-2</v>
      </c>
      <c r="E9214" s="28">
        <v>0.33329999999999999</v>
      </c>
      <c r="F9214" s="28">
        <v>0.14940000000000001</v>
      </c>
      <c r="G9214" s="29"/>
      <c r="H9214" s="29"/>
      <c r="I9214" s="29"/>
      <c r="J9214" s="29"/>
      <c r="K9214" s="28">
        <v>0.14940000000000001</v>
      </c>
      <c r="L9214" s="28">
        <v>0.2586</v>
      </c>
      <c r="M9214" s="29"/>
      <c r="N9214" s="29"/>
      <c r="O9214" s="29"/>
      <c r="P9214" s="29" t="s">
        <v>335</v>
      </c>
    </row>
    <row r="9215" spans="1:16" x14ac:dyDescent="0.35">
      <c r="A9215" s="27" t="s">
        <v>230</v>
      </c>
      <c r="B9215" s="27" t="s">
        <v>263</v>
      </c>
      <c r="C9215" s="29"/>
      <c r="D9215" s="29"/>
      <c r="E9215" s="28">
        <v>1</v>
      </c>
      <c r="F9215" s="28">
        <v>1</v>
      </c>
      <c r="G9215" s="28">
        <v>1</v>
      </c>
      <c r="H9215" s="29"/>
      <c r="I9215" s="29"/>
      <c r="J9215" s="29"/>
      <c r="K9215" s="28">
        <v>1</v>
      </c>
      <c r="L9215" s="29"/>
      <c r="M9215" s="28">
        <v>1</v>
      </c>
      <c r="N9215" s="29"/>
      <c r="O9215" s="29"/>
      <c r="P9215" s="29" t="s">
        <v>331</v>
      </c>
    </row>
    <row r="9216" spans="1:16" x14ac:dyDescent="0.35">
      <c r="A9216" s="27" t="s">
        <v>230</v>
      </c>
      <c r="B9216" s="27" t="s">
        <v>261</v>
      </c>
      <c r="C9216" s="29"/>
      <c r="D9216" s="28">
        <v>1</v>
      </c>
      <c r="E9216" s="29"/>
      <c r="F9216" s="29"/>
      <c r="G9216" s="29"/>
      <c r="H9216" s="29"/>
      <c r="I9216" s="29"/>
      <c r="J9216" s="28">
        <v>0.2311</v>
      </c>
      <c r="K9216" s="28">
        <v>0.2311</v>
      </c>
      <c r="L9216" s="29"/>
      <c r="M9216" s="29"/>
      <c r="N9216" s="29"/>
      <c r="O9216" s="29"/>
      <c r="P9216" s="29" t="s">
        <v>314</v>
      </c>
    </row>
    <row r="9217" spans="1:16" x14ac:dyDescent="0.35">
      <c r="A9217" s="27" t="s">
        <v>230</v>
      </c>
      <c r="B9217" s="27" t="s">
        <v>260</v>
      </c>
      <c r="C9217" s="28">
        <v>0.25130000000000002</v>
      </c>
      <c r="D9217" s="28">
        <v>0.33160000000000001</v>
      </c>
      <c r="E9217" s="28">
        <v>0.19750000000000001</v>
      </c>
      <c r="F9217" s="28">
        <v>3.1E-2</v>
      </c>
      <c r="G9217" s="28">
        <v>3.1699999999999999E-2</v>
      </c>
      <c r="H9217" s="28">
        <v>0.19750000000000001</v>
      </c>
      <c r="I9217" s="28">
        <v>3.1E-2</v>
      </c>
      <c r="J9217" s="28">
        <v>3.1699999999999999E-2</v>
      </c>
      <c r="K9217" s="28">
        <v>3.1E-2</v>
      </c>
      <c r="L9217" s="28">
        <v>0.18790000000000001</v>
      </c>
      <c r="M9217" s="28">
        <v>9.4999999999999998E-3</v>
      </c>
      <c r="N9217" s="29"/>
      <c r="O9217" s="29"/>
      <c r="P9217" s="29" t="s">
        <v>379</v>
      </c>
    </row>
    <row r="9218" spans="1:16" x14ac:dyDescent="0.35">
      <c r="A9218" s="27" t="s">
        <v>230</v>
      </c>
      <c r="B9218" s="27" t="s">
        <v>236</v>
      </c>
      <c r="C9218" s="29"/>
      <c r="D9218" s="29"/>
      <c r="E9218" s="29"/>
      <c r="F9218" s="29"/>
      <c r="G9218" s="29"/>
      <c r="H9218" s="29"/>
      <c r="I9218" s="29"/>
      <c r="J9218" s="29"/>
      <c r="K9218" s="28">
        <v>1</v>
      </c>
      <c r="L9218" s="29"/>
      <c r="M9218" s="29"/>
      <c r="N9218" s="29"/>
      <c r="O9218" s="29"/>
      <c r="P9218" s="29" t="s">
        <v>331</v>
      </c>
    </row>
    <row r="9219" spans="1:16" x14ac:dyDescent="0.35">
      <c r="A9219" s="27" t="s">
        <v>230</v>
      </c>
      <c r="B9219" s="27" t="s">
        <v>262</v>
      </c>
      <c r="C9219" s="28">
        <v>0.77800000000000002</v>
      </c>
      <c r="D9219" s="28">
        <v>0.222</v>
      </c>
      <c r="E9219" s="29"/>
      <c r="F9219" s="29"/>
      <c r="G9219" s="29"/>
      <c r="H9219" s="28">
        <v>0.10970000000000001</v>
      </c>
      <c r="I9219" s="28">
        <v>0.10970000000000001</v>
      </c>
      <c r="J9219" s="29"/>
      <c r="K9219" s="29"/>
      <c r="L9219" s="29"/>
      <c r="M9219" s="29"/>
      <c r="N9219" s="29"/>
      <c r="O9219" s="29"/>
      <c r="P9219" s="29" t="s">
        <v>337</v>
      </c>
    </row>
    <row r="9220" spans="1:16" x14ac:dyDescent="0.35">
      <c r="A9220" s="27" t="s">
        <v>231</v>
      </c>
      <c r="B9220" s="27" t="s">
        <v>260</v>
      </c>
      <c r="C9220" s="28">
        <v>0.5</v>
      </c>
      <c r="D9220" s="28">
        <v>0.33329999999999999</v>
      </c>
      <c r="E9220" s="28">
        <v>0.16669999999999999</v>
      </c>
      <c r="F9220" s="28">
        <v>0.16669999999999999</v>
      </c>
      <c r="G9220" s="29"/>
      <c r="H9220" s="29"/>
      <c r="I9220" s="28">
        <v>0.16669999999999999</v>
      </c>
      <c r="J9220" s="28">
        <v>0.16669999999999999</v>
      </c>
      <c r="K9220" s="29"/>
      <c r="L9220" s="29"/>
      <c r="M9220" s="29"/>
      <c r="N9220" s="29"/>
      <c r="O9220" s="29"/>
      <c r="P9220" s="29" t="s">
        <v>335</v>
      </c>
    </row>
    <row r="9221" spans="1:16" x14ac:dyDescent="0.35">
      <c r="A9221" t="s">
        <v>232</v>
      </c>
      <c r="B9221" t="s">
        <v>232</v>
      </c>
      <c r="C9221" s="26">
        <v>0.57289999999999996</v>
      </c>
      <c r="D9221" s="26">
        <v>0.19919999999999999</v>
      </c>
      <c r="E9221" s="26">
        <v>0.1757</v>
      </c>
      <c r="F9221" s="26">
        <v>0.11840000000000001</v>
      </c>
      <c r="G9221" s="26">
        <v>9.8500000000000004E-2</v>
      </c>
      <c r="H9221" s="26">
        <v>9.1999999999999998E-2</v>
      </c>
      <c r="I9221" s="26">
        <v>6.6600000000000006E-2</v>
      </c>
      <c r="J9221" s="26">
        <v>6.5299999999999997E-2</v>
      </c>
      <c r="K9221" s="26">
        <v>3.0800000000000001E-2</v>
      </c>
      <c r="L9221" s="26">
        <v>3.0200000000000001E-2</v>
      </c>
      <c r="M9221" s="26">
        <v>2.6599999999999999E-2</v>
      </c>
      <c r="N9221" s="26">
        <v>1.03E-2</v>
      </c>
      <c r="O9221" s="26">
        <v>3.0000000000000001E-3</v>
      </c>
      <c r="P9221">
        <v>110</v>
      </c>
    </row>
    <row r="9223" spans="1:16" x14ac:dyDescent="0.35">
      <c r="A9223" s="1" t="s">
        <v>1267</v>
      </c>
    </row>
    <row r="9224" spans="1:16" x14ac:dyDescent="0.35">
      <c r="A9224" t="s">
        <v>219</v>
      </c>
      <c r="B9224" t="s">
        <v>305</v>
      </c>
      <c r="C9224" t="s">
        <v>1247</v>
      </c>
      <c r="D9224" t="s">
        <v>1248</v>
      </c>
      <c r="E9224" t="s">
        <v>1249</v>
      </c>
      <c r="F9224" t="s">
        <v>1250</v>
      </c>
      <c r="G9224" t="s">
        <v>1251</v>
      </c>
      <c r="H9224" t="s">
        <v>1252</v>
      </c>
      <c r="I9224" t="s">
        <v>1253</v>
      </c>
      <c r="J9224" t="s">
        <v>326</v>
      </c>
      <c r="K9224" t="s">
        <v>1254</v>
      </c>
      <c r="L9224" t="s">
        <v>1255</v>
      </c>
      <c r="M9224" t="s">
        <v>1256</v>
      </c>
      <c r="N9224" t="s">
        <v>1257</v>
      </c>
      <c r="O9224" t="s">
        <v>1258</v>
      </c>
      <c r="P9224" t="s">
        <v>226</v>
      </c>
    </row>
    <row r="9225" spans="1:16" x14ac:dyDescent="0.35">
      <c r="A9225" s="27" t="s">
        <v>227</v>
      </c>
      <c r="B9225" s="27" t="s">
        <v>368</v>
      </c>
      <c r="C9225" s="28">
        <v>1</v>
      </c>
      <c r="D9225" s="29"/>
      <c r="E9225" s="29"/>
      <c r="F9225" s="29"/>
      <c r="G9225" s="29"/>
      <c r="H9225" s="29"/>
      <c r="I9225" s="29"/>
      <c r="J9225" s="29"/>
      <c r="K9225" s="29"/>
      <c r="L9225" s="29"/>
      <c r="M9225" s="29"/>
      <c r="N9225" s="29"/>
      <c r="O9225" s="29"/>
      <c r="P9225" s="29" t="s">
        <v>331</v>
      </c>
    </row>
    <row r="9226" spans="1:16" x14ac:dyDescent="0.35">
      <c r="A9226" s="27" t="s">
        <v>227</v>
      </c>
      <c r="B9226" s="27" t="s">
        <v>369</v>
      </c>
      <c r="C9226" s="28">
        <v>0.8</v>
      </c>
      <c r="D9226" s="28">
        <v>0.2</v>
      </c>
      <c r="E9226" s="29"/>
      <c r="F9226" s="29"/>
      <c r="G9226" s="28">
        <v>0.2</v>
      </c>
      <c r="H9226" s="28">
        <v>0.2</v>
      </c>
      <c r="I9226" s="29"/>
      <c r="J9226" s="29"/>
      <c r="K9226" s="29"/>
      <c r="L9226" s="29"/>
      <c r="M9226" s="29"/>
      <c r="N9226" s="29"/>
      <c r="O9226" s="29"/>
      <c r="P9226" s="29" t="s">
        <v>332</v>
      </c>
    </row>
    <row r="9227" spans="1:16" x14ac:dyDescent="0.35">
      <c r="A9227" s="27" t="s">
        <v>228</v>
      </c>
      <c r="B9227" s="27" t="s">
        <v>368</v>
      </c>
      <c r="C9227" s="28">
        <v>0.46489999999999998</v>
      </c>
      <c r="D9227" s="28">
        <v>0.53510000000000002</v>
      </c>
      <c r="E9227" s="29"/>
      <c r="F9227" s="29"/>
      <c r="G9227" s="29"/>
      <c r="H9227" s="29"/>
      <c r="I9227" s="29"/>
      <c r="J9227" s="28">
        <v>0.53510000000000002</v>
      </c>
      <c r="K9227" s="29"/>
      <c r="L9227" s="29"/>
      <c r="M9227" s="29"/>
      <c r="N9227" s="29"/>
      <c r="O9227" s="29"/>
      <c r="P9227" s="29" t="s">
        <v>314</v>
      </c>
    </row>
    <row r="9228" spans="1:16" x14ac:dyDescent="0.35">
      <c r="A9228" s="27" t="s">
        <v>228</v>
      </c>
      <c r="B9228" s="27" t="s">
        <v>369</v>
      </c>
      <c r="C9228" s="28">
        <v>0.51739999999999997</v>
      </c>
      <c r="D9228" s="28">
        <v>0.14610000000000001</v>
      </c>
      <c r="E9228" s="28">
        <v>0.21260000000000001</v>
      </c>
      <c r="F9228" s="28">
        <v>7.8799999999999995E-2</v>
      </c>
      <c r="G9228" s="28">
        <v>0.13780000000000001</v>
      </c>
      <c r="H9228" s="28">
        <v>0.1179</v>
      </c>
      <c r="I9228" s="28">
        <v>7.3999999999999996E-2</v>
      </c>
      <c r="J9228" s="28">
        <v>4.6100000000000002E-2</v>
      </c>
      <c r="K9228" s="28">
        <v>7.0800000000000002E-2</v>
      </c>
      <c r="L9228" s="28">
        <v>7.1800000000000003E-2</v>
      </c>
      <c r="M9228" s="28">
        <v>7.3999999999999996E-2</v>
      </c>
      <c r="N9228" s="28">
        <v>7.0800000000000002E-2</v>
      </c>
      <c r="O9228" s="29"/>
      <c r="P9228" s="29" t="s">
        <v>329</v>
      </c>
    </row>
    <row r="9229" spans="1:16" x14ac:dyDescent="0.35">
      <c r="A9229" s="27" t="s">
        <v>229</v>
      </c>
      <c r="B9229" s="27" t="s">
        <v>368</v>
      </c>
      <c r="C9229" s="28">
        <v>1</v>
      </c>
      <c r="D9229" s="29"/>
      <c r="E9229" s="29"/>
      <c r="F9229" s="29"/>
      <c r="G9229" s="29"/>
      <c r="H9229" s="29"/>
      <c r="I9229" s="29"/>
      <c r="J9229" s="29"/>
      <c r="K9229" s="29"/>
      <c r="L9229" s="29"/>
      <c r="M9229" s="29"/>
      <c r="N9229" s="29"/>
      <c r="O9229" s="29"/>
      <c r="P9229" s="29" t="s">
        <v>331</v>
      </c>
    </row>
    <row r="9230" spans="1:16" x14ac:dyDescent="0.35">
      <c r="A9230" t="s">
        <v>229</v>
      </c>
      <c r="B9230" t="s">
        <v>369</v>
      </c>
      <c r="C9230" s="26">
        <v>0.6381</v>
      </c>
      <c r="D9230" s="26">
        <v>2.47E-2</v>
      </c>
      <c r="E9230" s="26">
        <v>0.26129999999999998</v>
      </c>
      <c r="F9230" s="26">
        <v>0.14779999999999999</v>
      </c>
      <c r="G9230" s="26">
        <v>0.13750000000000001</v>
      </c>
      <c r="H9230" s="26">
        <v>0.11700000000000001</v>
      </c>
      <c r="J9230" s="26">
        <v>3.3999999999999998E-3</v>
      </c>
      <c r="K9230" s="26">
        <v>1.0200000000000001E-2</v>
      </c>
      <c r="L9230" s="26">
        <v>2.47E-2</v>
      </c>
      <c r="M9230" s="26">
        <v>6.1000000000000004E-3</v>
      </c>
      <c r="N9230" s="26">
        <v>1.18E-2</v>
      </c>
      <c r="O9230" s="26">
        <v>1.18E-2</v>
      </c>
      <c r="P9230">
        <v>44</v>
      </c>
    </row>
    <row r="9231" spans="1:16" x14ac:dyDescent="0.35">
      <c r="A9231" s="27" t="s">
        <v>230</v>
      </c>
      <c r="B9231" s="27" t="s">
        <v>368</v>
      </c>
      <c r="C9231" s="29"/>
      <c r="D9231" s="28">
        <v>1</v>
      </c>
      <c r="E9231" s="29"/>
      <c r="F9231" s="29"/>
      <c r="G9231" s="29"/>
      <c r="H9231" s="29"/>
      <c r="I9231" s="29"/>
      <c r="J9231" s="28">
        <v>0.2311</v>
      </c>
      <c r="K9231" s="28">
        <v>0.2311</v>
      </c>
      <c r="L9231" s="29"/>
      <c r="M9231" s="29"/>
      <c r="N9231" s="29"/>
      <c r="O9231" s="29"/>
      <c r="P9231" s="29" t="s">
        <v>314</v>
      </c>
    </row>
    <row r="9232" spans="1:16" x14ac:dyDescent="0.35">
      <c r="A9232" s="27" t="s">
        <v>230</v>
      </c>
      <c r="B9232" s="27" t="s">
        <v>369</v>
      </c>
      <c r="C9232" s="28">
        <v>0.31830000000000003</v>
      </c>
      <c r="D9232" s="28">
        <v>0.26640000000000003</v>
      </c>
      <c r="E9232" s="28">
        <v>0.26040000000000002</v>
      </c>
      <c r="F9232" s="28">
        <v>0.1479</v>
      </c>
      <c r="G9232" s="28">
        <v>0.1484</v>
      </c>
      <c r="H9232" s="28">
        <v>0.15440000000000001</v>
      </c>
      <c r="I9232" s="28">
        <v>4.19E-2</v>
      </c>
      <c r="J9232" s="28">
        <v>2.1399999999999999E-2</v>
      </c>
      <c r="K9232" s="28">
        <v>0.15440000000000001</v>
      </c>
      <c r="L9232" s="28">
        <v>0.127</v>
      </c>
      <c r="M9232" s="28">
        <v>0.13339999999999999</v>
      </c>
      <c r="N9232" s="29"/>
      <c r="O9232" s="29"/>
      <c r="P9232" s="29" t="s">
        <v>350</v>
      </c>
    </row>
    <row r="9233" spans="1:16" x14ac:dyDescent="0.35">
      <c r="A9233" s="27" t="s">
        <v>231</v>
      </c>
      <c r="B9233" s="27" t="s">
        <v>369</v>
      </c>
      <c r="C9233" s="28">
        <v>0.5</v>
      </c>
      <c r="D9233" s="28">
        <v>0.33329999999999999</v>
      </c>
      <c r="E9233" s="28">
        <v>0.16669999999999999</v>
      </c>
      <c r="F9233" s="28">
        <v>0.16669999999999999</v>
      </c>
      <c r="G9233" s="29"/>
      <c r="H9233" s="29"/>
      <c r="I9233" s="28">
        <v>0.16669999999999999</v>
      </c>
      <c r="J9233" s="28">
        <v>0.16669999999999999</v>
      </c>
      <c r="K9233" s="29"/>
      <c r="L9233" s="29"/>
      <c r="M9233" s="29"/>
      <c r="N9233" s="29"/>
      <c r="O9233" s="29"/>
      <c r="P9233" s="29" t="s">
        <v>335</v>
      </c>
    </row>
    <row r="9234" spans="1:16" x14ac:dyDescent="0.35">
      <c r="A9234" t="s">
        <v>232</v>
      </c>
      <c r="B9234" t="s">
        <v>232</v>
      </c>
      <c r="C9234" s="26">
        <v>0.57289999999999996</v>
      </c>
      <c r="D9234" s="26">
        <v>0.19919999999999999</v>
      </c>
      <c r="E9234" s="26">
        <v>0.1757</v>
      </c>
      <c r="F9234" s="26">
        <v>0.11840000000000001</v>
      </c>
      <c r="G9234" s="26">
        <v>9.8500000000000004E-2</v>
      </c>
      <c r="H9234" s="26">
        <v>9.1999999999999998E-2</v>
      </c>
      <c r="I9234" s="26">
        <v>6.6600000000000006E-2</v>
      </c>
      <c r="J9234" s="26">
        <v>6.5299999999999997E-2</v>
      </c>
      <c r="K9234" s="26">
        <v>3.0800000000000001E-2</v>
      </c>
      <c r="L9234" s="26">
        <v>3.0200000000000001E-2</v>
      </c>
      <c r="M9234" s="26">
        <v>2.6599999999999999E-2</v>
      </c>
      <c r="N9234" s="26">
        <v>1.03E-2</v>
      </c>
      <c r="O9234" s="26">
        <v>3.0000000000000001E-3</v>
      </c>
      <c r="P9234">
        <v>110</v>
      </c>
    </row>
    <row r="9236" spans="1:16" x14ac:dyDescent="0.35">
      <c r="A9236" s="1" t="s">
        <v>1268</v>
      </c>
    </row>
    <row r="9237" spans="1:16" x14ac:dyDescent="0.35">
      <c r="A9237" t="s">
        <v>219</v>
      </c>
      <c r="B9237" t="s">
        <v>305</v>
      </c>
      <c r="C9237" t="s">
        <v>1247</v>
      </c>
      <c r="D9237" t="s">
        <v>1248</v>
      </c>
      <c r="E9237" t="s">
        <v>1249</v>
      </c>
      <c r="F9237" t="s">
        <v>1250</v>
      </c>
      <c r="G9237" t="s">
        <v>1251</v>
      </c>
      <c r="H9237" t="s">
        <v>1252</v>
      </c>
      <c r="I9237" t="s">
        <v>1253</v>
      </c>
      <c r="J9237" t="s">
        <v>326</v>
      </c>
      <c r="K9237" t="s">
        <v>1254</v>
      </c>
      <c r="L9237" t="s">
        <v>1255</v>
      </c>
      <c r="M9237" t="s">
        <v>1256</v>
      </c>
      <c r="N9237" t="s">
        <v>1257</v>
      </c>
      <c r="O9237" t="s">
        <v>1258</v>
      </c>
      <c r="P9237" t="s">
        <v>226</v>
      </c>
    </row>
    <row r="9238" spans="1:16" x14ac:dyDescent="0.35">
      <c r="A9238" s="27" t="s">
        <v>227</v>
      </c>
      <c r="B9238" s="27" t="s">
        <v>371</v>
      </c>
      <c r="C9238" s="28">
        <v>0.83330000000000004</v>
      </c>
      <c r="D9238" s="28">
        <v>0.16669999999999999</v>
      </c>
      <c r="E9238" s="29"/>
      <c r="F9238" s="29"/>
      <c r="G9238" s="28">
        <v>0.16669999999999999</v>
      </c>
      <c r="H9238" s="28">
        <v>0.16669999999999999</v>
      </c>
      <c r="I9238" s="29"/>
      <c r="J9238" s="29"/>
      <c r="K9238" s="29"/>
      <c r="L9238" s="29"/>
      <c r="M9238" s="29"/>
      <c r="N9238" s="29"/>
      <c r="O9238" s="29"/>
      <c r="P9238" s="29" t="s">
        <v>335</v>
      </c>
    </row>
    <row r="9239" spans="1:16" x14ac:dyDescent="0.35">
      <c r="A9239" s="27" t="s">
        <v>228</v>
      </c>
      <c r="B9239" s="27" t="s">
        <v>371</v>
      </c>
      <c r="C9239" s="28">
        <v>0.68589999999999995</v>
      </c>
      <c r="D9239" s="28">
        <v>7.0199999999999999E-2</v>
      </c>
      <c r="E9239" s="28">
        <v>6.0999999999999999E-2</v>
      </c>
      <c r="F9239" s="28">
        <v>6.0999999999999999E-2</v>
      </c>
      <c r="G9239" s="29"/>
      <c r="H9239" s="28">
        <v>6.0999999999999999E-2</v>
      </c>
      <c r="I9239" s="29"/>
      <c r="J9239" s="28">
        <v>6.0999999999999999E-2</v>
      </c>
      <c r="K9239" s="28">
        <v>6.0999999999999999E-2</v>
      </c>
      <c r="L9239" s="29"/>
      <c r="M9239" s="29"/>
      <c r="N9239" s="28">
        <v>6.0999999999999999E-2</v>
      </c>
      <c r="O9239" s="29"/>
      <c r="P9239" s="29" t="s">
        <v>333</v>
      </c>
    </row>
    <row r="9240" spans="1:16" x14ac:dyDescent="0.35">
      <c r="A9240" s="27" t="s">
        <v>228</v>
      </c>
      <c r="B9240" s="27" t="s">
        <v>372</v>
      </c>
      <c r="C9240" s="28">
        <v>0.3508</v>
      </c>
      <c r="D9240" s="28">
        <v>0.18820000000000001</v>
      </c>
      <c r="E9240" s="28">
        <v>0.35809999999999997</v>
      </c>
      <c r="F9240" s="28">
        <v>0.1691</v>
      </c>
      <c r="G9240" s="28">
        <v>0.3337</v>
      </c>
      <c r="H9240" s="28">
        <v>0.28460000000000002</v>
      </c>
      <c r="I9240" s="28">
        <v>0.21829999999999999</v>
      </c>
      <c r="J9240" s="28">
        <v>7.2800000000000004E-2</v>
      </c>
      <c r="K9240" s="28">
        <v>0.14549999999999999</v>
      </c>
      <c r="L9240" s="28">
        <v>0.21179999999999999</v>
      </c>
      <c r="M9240" s="28">
        <v>0.14549999999999999</v>
      </c>
      <c r="N9240" s="28">
        <v>0.14549999999999999</v>
      </c>
      <c r="O9240" s="29"/>
      <c r="P9240" s="29" t="s">
        <v>341</v>
      </c>
    </row>
    <row r="9241" spans="1:16" x14ac:dyDescent="0.35">
      <c r="A9241" s="27" t="s">
        <v>228</v>
      </c>
      <c r="B9241" s="27" t="s">
        <v>373</v>
      </c>
      <c r="C9241" s="28">
        <v>0.50290000000000001</v>
      </c>
      <c r="D9241" s="28">
        <v>0.23150000000000001</v>
      </c>
      <c r="E9241" s="28">
        <v>0.19620000000000001</v>
      </c>
      <c r="F9241" s="29"/>
      <c r="G9241" s="28">
        <v>6.9400000000000003E-2</v>
      </c>
      <c r="H9241" s="29"/>
      <c r="I9241" s="29"/>
      <c r="J9241" s="28">
        <v>6.9400000000000003E-2</v>
      </c>
      <c r="K9241" s="29"/>
      <c r="L9241" s="29"/>
      <c r="M9241" s="28">
        <v>6.9400000000000003E-2</v>
      </c>
      <c r="N9241" s="29"/>
      <c r="O9241" s="29"/>
      <c r="P9241" s="29" t="s">
        <v>307</v>
      </c>
    </row>
    <row r="9242" spans="1:16" x14ac:dyDescent="0.35">
      <c r="A9242" s="27" t="s">
        <v>229</v>
      </c>
      <c r="B9242" s="27" t="s">
        <v>371</v>
      </c>
      <c r="C9242" s="28">
        <v>0.65610000000000002</v>
      </c>
      <c r="D9242" s="28">
        <v>1.14E-2</v>
      </c>
      <c r="E9242" s="28">
        <v>0.27779999999999999</v>
      </c>
      <c r="F9242" s="28">
        <v>0.1696</v>
      </c>
      <c r="G9242" s="28">
        <v>0.16550000000000001</v>
      </c>
      <c r="H9242" s="28">
        <v>0.14080000000000001</v>
      </c>
      <c r="I9242" s="29"/>
      <c r="J9242" s="28">
        <v>4.1000000000000003E-3</v>
      </c>
      <c r="K9242" s="29"/>
      <c r="L9242" s="28">
        <v>7.3000000000000001E-3</v>
      </c>
      <c r="M9242" s="28">
        <v>7.3000000000000001E-3</v>
      </c>
      <c r="N9242" s="29"/>
      <c r="O9242" s="29"/>
      <c r="P9242" s="29" t="s">
        <v>310</v>
      </c>
    </row>
    <row r="9243" spans="1:16" x14ac:dyDescent="0.35">
      <c r="A9243" s="27" t="s">
        <v>229</v>
      </c>
      <c r="B9243" s="27" t="s">
        <v>372</v>
      </c>
      <c r="C9243" s="28">
        <v>0.33329999999999999</v>
      </c>
      <c r="D9243" s="28">
        <v>0.16669999999999999</v>
      </c>
      <c r="E9243" s="28">
        <v>0.33329999999999999</v>
      </c>
      <c r="F9243" s="28">
        <v>7.4700000000000003E-2</v>
      </c>
      <c r="G9243" s="29"/>
      <c r="H9243" s="29"/>
      <c r="I9243" s="29"/>
      <c r="J9243" s="29"/>
      <c r="K9243" s="28">
        <v>0.11210000000000001</v>
      </c>
      <c r="L9243" s="28">
        <v>0.16669999999999999</v>
      </c>
      <c r="M9243" s="29"/>
      <c r="N9243" s="29"/>
      <c r="O9243" s="28">
        <v>0.1293</v>
      </c>
      <c r="P9243" s="29" t="s">
        <v>342</v>
      </c>
    </row>
    <row r="9244" spans="1:16" x14ac:dyDescent="0.35">
      <c r="A9244" s="27" t="s">
        <v>229</v>
      </c>
      <c r="B9244" s="27" t="s">
        <v>373</v>
      </c>
      <c r="C9244" s="28">
        <v>0.82989999999999997</v>
      </c>
      <c r="D9244" s="29"/>
      <c r="E9244" s="29"/>
      <c r="F9244" s="29"/>
      <c r="G9244" s="29"/>
      <c r="H9244" s="29"/>
      <c r="I9244" s="29"/>
      <c r="J9244" s="29"/>
      <c r="K9244" s="29"/>
      <c r="L9244" s="28">
        <v>3.8100000000000002E-2</v>
      </c>
      <c r="M9244" s="29"/>
      <c r="N9244" s="28">
        <v>0.13200000000000001</v>
      </c>
      <c r="O9244" s="29"/>
      <c r="P9244" s="29" t="s">
        <v>334</v>
      </c>
    </row>
    <row r="9245" spans="1:16" x14ac:dyDescent="0.35">
      <c r="A9245" s="27" t="s">
        <v>230</v>
      </c>
      <c r="B9245" s="27" t="s">
        <v>371</v>
      </c>
      <c r="C9245" s="28">
        <v>0.34899999999999998</v>
      </c>
      <c r="D9245" s="28">
        <v>0.2097</v>
      </c>
      <c r="E9245" s="28">
        <v>0.27850000000000003</v>
      </c>
      <c r="F9245" s="28">
        <v>0.13930000000000001</v>
      </c>
      <c r="G9245" s="28">
        <v>0.1628</v>
      </c>
      <c r="H9245" s="28">
        <v>0.13930000000000001</v>
      </c>
      <c r="I9245" s="29"/>
      <c r="J9245" s="28">
        <v>2.35E-2</v>
      </c>
      <c r="K9245" s="28">
        <v>0.13930000000000001</v>
      </c>
      <c r="L9245" s="28">
        <v>0.13930000000000001</v>
      </c>
      <c r="M9245" s="28">
        <v>0.13930000000000001</v>
      </c>
      <c r="N9245" s="29"/>
      <c r="O9245" s="29"/>
      <c r="P9245" s="29" t="s">
        <v>341</v>
      </c>
    </row>
    <row r="9246" spans="1:16" x14ac:dyDescent="0.35">
      <c r="A9246" s="27" t="s">
        <v>230</v>
      </c>
      <c r="B9246" s="27" t="s">
        <v>372</v>
      </c>
      <c r="C9246" s="29"/>
      <c r="D9246" s="28">
        <v>0.5</v>
      </c>
      <c r="E9246" s="29"/>
      <c r="F9246" s="29"/>
      <c r="G9246" s="29"/>
      <c r="H9246" s="28">
        <v>0.25</v>
      </c>
      <c r="I9246" s="29"/>
      <c r="J9246" s="28">
        <v>0.25</v>
      </c>
      <c r="K9246" s="28">
        <v>0.5</v>
      </c>
      <c r="L9246" s="29"/>
      <c r="M9246" s="28">
        <v>0.25</v>
      </c>
      <c r="N9246" s="29"/>
      <c r="O9246" s="29"/>
      <c r="P9246" s="29" t="s">
        <v>337</v>
      </c>
    </row>
    <row r="9247" spans="1:16" x14ac:dyDescent="0.35">
      <c r="A9247" s="27" t="s">
        <v>230</v>
      </c>
      <c r="B9247" s="27" t="s">
        <v>373</v>
      </c>
      <c r="C9247" s="29"/>
      <c r="D9247" s="28">
        <v>1</v>
      </c>
      <c r="E9247" s="28">
        <v>7.1400000000000005E-2</v>
      </c>
      <c r="F9247" s="28">
        <v>0.2321</v>
      </c>
      <c r="G9247" s="29"/>
      <c r="H9247" s="28">
        <v>0.2321</v>
      </c>
      <c r="I9247" s="28">
        <v>0.46429999999999999</v>
      </c>
      <c r="J9247" s="29"/>
      <c r="K9247" s="28">
        <v>0.2321</v>
      </c>
      <c r="L9247" s="29"/>
      <c r="M9247" s="29"/>
      <c r="N9247" s="29"/>
      <c r="O9247" s="29"/>
      <c r="P9247" s="29" t="s">
        <v>332</v>
      </c>
    </row>
    <row r="9248" spans="1:16" x14ac:dyDescent="0.35">
      <c r="A9248" s="27" t="s">
        <v>231</v>
      </c>
      <c r="B9248" s="27" t="s">
        <v>371</v>
      </c>
      <c r="C9248" s="28">
        <v>0.5</v>
      </c>
      <c r="D9248" s="28">
        <v>0.33329999999999999</v>
      </c>
      <c r="E9248" s="28">
        <v>0.16669999999999999</v>
      </c>
      <c r="F9248" s="28">
        <v>0.16669999999999999</v>
      </c>
      <c r="G9248" s="29"/>
      <c r="H9248" s="29"/>
      <c r="I9248" s="28">
        <v>0.16669999999999999</v>
      </c>
      <c r="J9248" s="28">
        <v>0.16669999999999999</v>
      </c>
      <c r="K9248" s="29"/>
      <c r="L9248" s="29"/>
      <c r="M9248" s="29"/>
      <c r="N9248" s="29"/>
      <c r="O9248" s="29"/>
      <c r="P9248" s="29" t="s">
        <v>335</v>
      </c>
    </row>
    <row r="9249" spans="1:16" x14ac:dyDescent="0.35">
      <c r="A9249" t="s">
        <v>232</v>
      </c>
      <c r="B9249" t="s">
        <v>232</v>
      </c>
      <c r="C9249" s="26">
        <v>0.57289999999999996</v>
      </c>
      <c r="D9249" s="26">
        <v>0.19919999999999999</v>
      </c>
      <c r="E9249" s="26">
        <v>0.1757</v>
      </c>
      <c r="F9249" s="26">
        <v>0.11840000000000001</v>
      </c>
      <c r="G9249" s="26">
        <v>9.8500000000000004E-2</v>
      </c>
      <c r="H9249" s="26">
        <v>9.1999999999999998E-2</v>
      </c>
      <c r="I9249" s="26">
        <v>6.6600000000000006E-2</v>
      </c>
      <c r="J9249" s="26">
        <v>6.5299999999999997E-2</v>
      </c>
      <c r="K9249" s="26">
        <v>3.0800000000000001E-2</v>
      </c>
      <c r="L9249" s="26">
        <v>3.0200000000000001E-2</v>
      </c>
      <c r="M9249" s="26">
        <v>2.6599999999999999E-2</v>
      </c>
      <c r="N9249" s="26">
        <v>1.03E-2</v>
      </c>
      <c r="O9249" s="26">
        <v>3.0000000000000001E-3</v>
      </c>
      <c r="P9249">
        <v>110</v>
      </c>
    </row>
    <row r="9251" spans="1:16" x14ac:dyDescent="0.35">
      <c r="A9251" s="1" t="s">
        <v>1269</v>
      </c>
    </row>
    <row r="9252" spans="1:16" x14ac:dyDescent="0.35">
      <c r="A9252" t="s">
        <v>219</v>
      </c>
      <c r="B9252" t="s">
        <v>305</v>
      </c>
      <c r="C9252" t="s">
        <v>1247</v>
      </c>
      <c r="D9252" t="s">
        <v>1248</v>
      </c>
      <c r="E9252" t="s">
        <v>1249</v>
      </c>
      <c r="F9252" t="s">
        <v>1250</v>
      </c>
      <c r="G9252" t="s">
        <v>1251</v>
      </c>
      <c r="H9252" t="s">
        <v>1252</v>
      </c>
      <c r="I9252" t="s">
        <v>1253</v>
      </c>
      <c r="J9252" t="s">
        <v>326</v>
      </c>
      <c r="K9252" t="s">
        <v>1254</v>
      </c>
      <c r="L9252" t="s">
        <v>1255</v>
      </c>
      <c r="M9252" t="s">
        <v>1256</v>
      </c>
      <c r="N9252" t="s">
        <v>1257</v>
      </c>
      <c r="O9252" t="s">
        <v>1258</v>
      </c>
      <c r="P9252" t="s">
        <v>226</v>
      </c>
    </row>
    <row r="9253" spans="1:16" x14ac:dyDescent="0.35">
      <c r="A9253" s="27" t="s">
        <v>227</v>
      </c>
      <c r="B9253" s="27" t="s">
        <v>255</v>
      </c>
      <c r="C9253" s="28">
        <v>0.83330000000000004</v>
      </c>
      <c r="D9253" s="28">
        <v>0.16669999999999999</v>
      </c>
      <c r="E9253" s="29"/>
      <c r="F9253" s="29"/>
      <c r="G9253" s="28">
        <v>0.16669999999999999</v>
      </c>
      <c r="H9253" s="28">
        <v>0.16669999999999999</v>
      </c>
      <c r="I9253" s="29"/>
      <c r="J9253" s="29"/>
      <c r="K9253" s="29"/>
      <c r="L9253" s="29"/>
      <c r="M9253" s="29"/>
      <c r="N9253" s="29"/>
      <c r="O9253" s="29"/>
      <c r="P9253" s="29" t="s">
        <v>335</v>
      </c>
    </row>
    <row r="9254" spans="1:16" x14ac:dyDescent="0.35">
      <c r="A9254" s="27" t="s">
        <v>228</v>
      </c>
      <c r="B9254" s="27" t="s">
        <v>255</v>
      </c>
      <c r="C9254" s="28">
        <v>0.57869999999999999</v>
      </c>
      <c r="D9254" s="28">
        <v>0.1326</v>
      </c>
      <c r="E9254" s="28">
        <v>0.17449999999999999</v>
      </c>
      <c r="F9254" s="28">
        <v>5.7099999999999998E-2</v>
      </c>
      <c r="G9254" s="28">
        <v>6.1100000000000002E-2</v>
      </c>
      <c r="H9254" s="28">
        <v>5.7099999999999998E-2</v>
      </c>
      <c r="I9254" s="28">
        <v>3.0599999999999999E-2</v>
      </c>
      <c r="J9254" s="29"/>
      <c r="K9254" s="28">
        <v>2.6599999999999999E-2</v>
      </c>
      <c r="L9254" s="29"/>
      <c r="M9254" s="28">
        <v>3.0599999999999999E-2</v>
      </c>
      <c r="N9254" s="28">
        <v>5.7099999999999998E-2</v>
      </c>
      <c r="O9254" s="29"/>
      <c r="P9254" s="29" t="s">
        <v>351</v>
      </c>
    </row>
    <row r="9255" spans="1:16" x14ac:dyDescent="0.35">
      <c r="A9255" s="27" t="s">
        <v>228</v>
      </c>
      <c r="B9255" s="27" t="s">
        <v>256</v>
      </c>
      <c r="C9255" s="28">
        <v>0.3952</v>
      </c>
      <c r="D9255" s="28">
        <v>0.35110000000000002</v>
      </c>
      <c r="E9255" s="28">
        <v>0.21529999999999999</v>
      </c>
      <c r="F9255" s="29"/>
      <c r="G9255" s="28">
        <v>0.35110000000000002</v>
      </c>
      <c r="H9255" s="28">
        <v>0.21529999999999999</v>
      </c>
      <c r="I9255" s="28">
        <v>0.1358</v>
      </c>
      <c r="J9255" s="28">
        <v>0.38950000000000001</v>
      </c>
      <c r="K9255" s="28">
        <v>0.1358</v>
      </c>
      <c r="L9255" s="28">
        <v>0.21529999999999999</v>
      </c>
      <c r="M9255" s="28">
        <v>0.1358</v>
      </c>
      <c r="N9255" s="28">
        <v>0.1358</v>
      </c>
      <c r="O9255" s="29"/>
      <c r="P9255" s="29" t="s">
        <v>333</v>
      </c>
    </row>
    <row r="9256" spans="1:16" x14ac:dyDescent="0.35">
      <c r="A9256" s="27" t="s">
        <v>228</v>
      </c>
      <c r="B9256" s="27" t="s">
        <v>257</v>
      </c>
      <c r="C9256" s="29"/>
      <c r="D9256" s="29"/>
      <c r="E9256" s="28">
        <v>0.56979999999999997</v>
      </c>
      <c r="F9256" s="28">
        <v>0.56979999999999997</v>
      </c>
      <c r="G9256" s="28">
        <v>0.43020000000000003</v>
      </c>
      <c r="H9256" s="28">
        <v>0.56979999999999997</v>
      </c>
      <c r="I9256" s="28">
        <v>0.43020000000000003</v>
      </c>
      <c r="J9256" s="29"/>
      <c r="K9256" s="28">
        <v>0.43020000000000003</v>
      </c>
      <c r="L9256" s="28">
        <v>0.56979999999999997</v>
      </c>
      <c r="M9256" s="28">
        <v>0.43020000000000003</v>
      </c>
      <c r="N9256" s="29"/>
      <c r="O9256" s="29"/>
      <c r="P9256" s="29" t="s">
        <v>314</v>
      </c>
    </row>
    <row r="9257" spans="1:16" x14ac:dyDescent="0.35">
      <c r="A9257" t="s">
        <v>229</v>
      </c>
      <c r="B9257" t="s">
        <v>255</v>
      </c>
      <c r="C9257" s="26">
        <v>0.62029999999999996</v>
      </c>
      <c r="D9257" s="26">
        <v>3.1199999999999999E-2</v>
      </c>
      <c r="E9257" s="26">
        <v>0.30640000000000001</v>
      </c>
      <c r="F9257" s="26">
        <v>0.18229999999999999</v>
      </c>
      <c r="G9257" s="26">
        <v>0.1434</v>
      </c>
      <c r="H9257" s="26">
        <v>0.1434</v>
      </c>
      <c r="K9257" s="26">
        <v>8.6E-3</v>
      </c>
      <c r="L9257" s="26">
        <v>2.2499999999999999E-2</v>
      </c>
      <c r="M9257" s="26">
        <v>7.6E-3</v>
      </c>
      <c r="O9257" s="26">
        <v>1.49E-2</v>
      </c>
      <c r="P9257">
        <v>31</v>
      </c>
    </row>
    <row r="9258" spans="1:16" x14ac:dyDescent="0.35">
      <c r="A9258" s="27" t="s">
        <v>229</v>
      </c>
      <c r="B9258" s="27" t="s">
        <v>256</v>
      </c>
      <c r="C9258" s="28">
        <v>0.71740000000000004</v>
      </c>
      <c r="D9258" s="29"/>
      <c r="E9258" s="28">
        <v>8.5999999999999993E-2</v>
      </c>
      <c r="F9258" s="28">
        <v>1.5699999999999999E-2</v>
      </c>
      <c r="G9258" s="28">
        <v>0.1106</v>
      </c>
      <c r="H9258" s="28">
        <v>1.5699999999999999E-2</v>
      </c>
      <c r="I9258" s="29"/>
      <c r="J9258" s="28">
        <v>1.5699999999999999E-2</v>
      </c>
      <c r="K9258" s="28">
        <v>1.5699999999999999E-2</v>
      </c>
      <c r="L9258" s="28">
        <v>3.15E-2</v>
      </c>
      <c r="M9258" s="29"/>
      <c r="N9258" s="28">
        <v>5.45E-2</v>
      </c>
      <c r="O9258" s="29"/>
      <c r="P9258" s="29" t="s">
        <v>341</v>
      </c>
    </row>
    <row r="9259" spans="1:16" x14ac:dyDescent="0.35">
      <c r="A9259" s="27" t="s">
        <v>229</v>
      </c>
      <c r="B9259" s="27" t="s">
        <v>257</v>
      </c>
      <c r="C9259" s="28">
        <v>1</v>
      </c>
      <c r="D9259" s="29"/>
      <c r="E9259" s="29"/>
      <c r="F9259" s="29"/>
      <c r="G9259" s="29"/>
      <c r="H9259" s="29"/>
      <c r="I9259" s="29"/>
      <c r="J9259" s="29"/>
      <c r="K9259" s="29"/>
      <c r="L9259" s="29"/>
      <c r="M9259" s="29"/>
      <c r="N9259" s="29"/>
      <c r="O9259" s="29"/>
      <c r="P9259" s="29" t="s">
        <v>331</v>
      </c>
    </row>
    <row r="9260" spans="1:16" x14ac:dyDescent="0.35">
      <c r="A9260" s="27" t="s">
        <v>230</v>
      </c>
      <c r="B9260" s="27" t="s">
        <v>255</v>
      </c>
      <c r="C9260" s="28">
        <v>0.1492</v>
      </c>
      <c r="D9260" s="28">
        <v>0.2893</v>
      </c>
      <c r="E9260" s="28">
        <v>0.46450000000000002</v>
      </c>
      <c r="F9260" s="29"/>
      <c r="G9260" s="28">
        <v>7.46E-2</v>
      </c>
      <c r="H9260" s="28">
        <v>2.24E-2</v>
      </c>
      <c r="I9260" s="28">
        <v>7.2800000000000004E-2</v>
      </c>
      <c r="J9260" s="28">
        <v>9.7000000000000003E-2</v>
      </c>
      <c r="K9260" s="28">
        <v>0.1177</v>
      </c>
      <c r="L9260" s="29"/>
      <c r="M9260" s="28">
        <v>2.24E-2</v>
      </c>
      <c r="N9260" s="29"/>
      <c r="O9260" s="29"/>
      <c r="P9260" s="29" t="s">
        <v>342</v>
      </c>
    </row>
    <row r="9261" spans="1:16" x14ac:dyDescent="0.35">
      <c r="A9261" s="27" t="s">
        <v>230</v>
      </c>
      <c r="B9261" s="27" t="s">
        <v>256</v>
      </c>
      <c r="C9261" s="28">
        <v>0.38269999999999998</v>
      </c>
      <c r="D9261" s="28">
        <v>0.26440000000000002</v>
      </c>
      <c r="E9261" s="28">
        <v>0.17649999999999999</v>
      </c>
      <c r="F9261" s="28">
        <v>0.17649999999999999</v>
      </c>
      <c r="G9261" s="28">
        <v>0.17649999999999999</v>
      </c>
      <c r="H9261" s="28">
        <v>0.20549999999999999</v>
      </c>
      <c r="I9261" s="28">
        <v>2.9100000000000001E-2</v>
      </c>
      <c r="J9261" s="29"/>
      <c r="K9261" s="28">
        <v>0.17649999999999999</v>
      </c>
      <c r="L9261" s="28">
        <v>0.17649999999999999</v>
      </c>
      <c r="M9261" s="28">
        <v>0.17649999999999999</v>
      </c>
      <c r="N9261" s="29"/>
      <c r="O9261" s="29"/>
      <c r="P9261" s="29" t="s">
        <v>334</v>
      </c>
    </row>
    <row r="9262" spans="1:16" x14ac:dyDescent="0.35">
      <c r="A9262" s="27" t="s">
        <v>230</v>
      </c>
      <c r="B9262" s="27" t="s">
        <v>257</v>
      </c>
      <c r="C9262" s="29"/>
      <c r="D9262" s="28">
        <v>1</v>
      </c>
      <c r="E9262" s="29"/>
      <c r="F9262" s="28">
        <v>1</v>
      </c>
      <c r="G9262" s="29"/>
      <c r="H9262" s="29"/>
      <c r="I9262" s="29"/>
      <c r="J9262" s="29"/>
      <c r="K9262" s="29"/>
      <c r="L9262" s="29"/>
      <c r="M9262" s="29"/>
      <c r="N9262" s="29"/>
      <c r="O9262" s="29"/>
      <c r="P9262" s="29" t="s">
        <v>331</v>
      </c>
    </row>
    <row r="9263" spans="1:16" x14ac:dyDescent="0.35">
      <c r="A9263" s="27" t="s">
        <v>231</v>
      </c>
      <c r="B9263" s="27" t="s">
        <v>255</v>
      </c>
      <c r="C9263" s="28">
        <v>0.6</v>
      </c>
      <c r="D9263" s="28">
        <v>0.2</v>
      </c>
      <c r="E9263" s="29"/>
      <c r="F9263" s="29"/>
      <c r="G9263" s="29"/>
      <c r="H9263" s="29"/>
      <c r="I9263" s="28">
        <v>0.2</v>
      </c>
      <c r="J9263" s="28">
        <v>0.2</v>
      </c>
      <c r="K9263" s="29"/>
      <c r="L9263" s="29"/>
      <c r="M9263" s="29"/>
      <c r="N9263" s="29"/>
      <c r="O9263" s="29"/>
      <c r="P9263" s="29" t="s">
        <v>332</v>
      </c>
    </row>
    <row r="9264" spans="1:16" x14ac:dyDescent="0.35">
      <c r="A9264" s="27" t="s">
        <v>231</v>
      </c>
      <c r="B9264" s="27" t="s">
        <v>256</v>
      </c>
      <c r="C9264" s="29"/>
      <c r="D9264" s="28">
        <v>1</v>
      </c>
      <c r="E9264" s="28">
        <v>1</v>
      </c>
      <c r="F9264" s="28">
        <v>1</v>
      </c>
      <c r="G9264" s="29"/>
      <c r="H9264" s="29"/>
      <c r="I9264" s="29"/>
      <c r="J9264" s="29"/>
      <c r="K9264" s="29"/>
      <c r="L9264" s="29"/>
      <c r="M9264" s="29"/>
      <c r="N9264" s="29"/>
      <c r="O9264" s="29"/>
      <c r="P9264" s="29" t="s">
        <v>331</v>
      </c>
    </row>
    <row r="9265" spans="1:16" x14ac:dyDescent="0.35">
      <c r="A9265" t="s">
        <v>232</v>
      </c>
      <c r="B9265" t="s">
        <v>232</v>
      </c>
      <c r="C9265" s="26">
        <v>0.57289999999999996</v>
      </c>
      <c r="D9265" s="26">
        <v>0.19919999999999999</v>
      </c>
      <c r="E9265" s="26">
        <v>0.1757</v>
      </c>
      <c r="F9265" s="26">
        <v>0.11840000000000001</v>
      </c>
      <c r="G9265" s="26">
        <v>9.8500000000000004E-2</v>
      </c>
      <c r="H9265" s="26">
        <v>9.1999999999999998E-2</v>
      </c>
      <c r="I9265" s="26">
        <v>6.6600000000000006E-2</v>
      </c>
      <c r="J9265" s="26">
        <v>6.5299999999999997E-2</v>
      </c>
      <c r="K9265" s="26">
        <v>3.0800000000000001E-2</v>
      </c>
      <c r="L9265" s="26">
        <v>3.0200000000000001E-2</v>
      </c>
      <c r="M9265" s="26">
        <v>2.6599999999999999E-2</v>
      </c>
      <c r="N9265" s="26">
        <v>1.03E-2</v>
      </c>
      <c r="O9265" s="26">
        <v>3.0000000000000001E-3</v>
      </c>
      <c r="P9265">
        <v>110</v>
      </c>
    </row>
    <row r="9267" spans="1:16" x14ac:dyDescent="0.35">
      <c r="A9267" s="1" t="s">
        <v>126</v>
      </c>
    </row>
    <row r="9268" spans="1:16" x14ac:dyDescent="0.35">
      <c r="A9268" t="s">
        <v>219</v>
      </c>
      <c r="B9268" t="s">
        <v>1270</v>
      </c>
      <c r="C9268" t="s">
        <v>1271</v>
      </c>
      <c r="D9268" t="s">
        <v>1272</v>
      </c>
      <c r="E9268" t="s">
        <v>1273</v>
      </c>
      <c r="F9268" t="s">
        <v>1274</v>
      </c>
      <c r="G9268" t="s">
        <v>1275</v>
      </c>
      <c r="H9268" t="s">
        <v>1276</v>
      </c>
      <c r="I9268" t="s">
        <v>1277</v>
      </c>
      <c r="J9268" t="s">
        <v>1278</v>
      </c>
      <c r="K9268" t="s">
        <v>1279</v>
      </c>
      <c r="L9268" t="s">
        <v>1280</v>
      </c>
      <c r="M9268" t="s">
        <v>964</v>
      </c>
    </row>
    <row r="9269" spans="1:16" x14ac:dyDescent="0.35">
      <c r="A9269" t="s">
        <v>227</v>
      </c>
      <c r="B9269" t="s">
        <v>1281</v>
      </c>
      <c r="C9269" s="26">
        <v>0.8054</v>
      </c>
      <c r="D9269" s="26">
        <v>0.3826</v>
      </c>
      <c r="E9269" s="26">
        <v>0.85909999999999997</v>
      </c>
      <c r="F9269" s="26">
        <v>0.61070000000000002</v>
      </c>
      <c r="G9269" s="26">
        <v>0.75839999999999996</v>
      </c>
      <c r="H9269" s="26">
        <v>0.66439999999999999</v>
      </c>
      <c r="I9269" s="26">
        <v>0.8054</v>
      </c>
      <c r="J9269" s="26">
        <v>0.745</v>
      </c>
      <c r="K9269" s="26">
        <v>0.81210000000000004</v>
      </c>
      <c r="L9269" s="26">
        <v>0.87919999999999998</v>
      </c>
      <c r="M9269">
        <v>149</v>
      </c>
    </row>
    <row r="9270" spans="1:16" x14ac:dyDescent="0.35">
      <c r="A9270" t="s">
        <v>227</v>
      </c>
      <c r="B9270" t="s">
        <v>1282</v>
      </c>
      <c r="C9270" s="26">
        <v>2.01E-2</v>
      </c>
      <c r="D9270" s="26">
        <v>8.0500000000000002E-2</v>
      </c>
      <c r="E9270" s="26">
        <v>2.01E-2</v>
      </c>
      <c r="F9270" s="26">
        <v>5.3699999999999998E-2</v>
      </c>
      <c r="G9270" s="26">
        <v>3.3599999999999998E-2</v>
      </c>
      <c r="I9270" s="26">
        <v>1.34E-2</v>
      </c>
      <c r="J9270" s="26">
        <v>2.01E-2</v>
      </c>
      <c r="M9270">
        <v>149</v>
      </c>
    </row>
    <row r="9271" spans="1:16" x14ac:dyDescent="0.35">
      <c r="A9271" t="s">
        <v>227</v>
      </c>
      <c r="B9271" t="s">
        <v>1283</v>
      </c>
      <c r="C9271" s="26">
        <v>0.15440000000000001</v>
      </c>
      <c r="D9271" s="26">
        <v>0.1678</v>
      </c>
      <c r="E9271" s="26">
        <v>6.7100000000000007E-2</v>
      </c>
      <c r="F9271" s="26">
        <v>0.24160000000000001</v>
      </c>
      <c r="G9271" s="26">
        <v>0.18790000000000001</v>
      </c>
      <c r="H9271" s="26">
        <v>7.3800000000000004E-2</v>
      </c>
      <c r="I9271" s="26">
        <v>0.17449999999999999</v>
      </c>
      <c r="J9271" s="26">
        <v>0.22819999999999999</v>
      </c>
      <c r="K9271" s="26">
        <v>0.18790000000000001</v>
      </c>
      <c r="L9271" s="26">
        <v>0.1208</v>
      </c>
      <c r="M9271">
        <v>149</v>
      </c>
    </row>
    <row r="9272" spans="1:16" x14ac:dyDescent="0.35">
      <c r="A9272" t="s">
        <v>227</v>
      </c>
      <c r="B9272" t="s">
        <v>303</v>
      </c>
      <c r="C9272" s="26">
        <v>2.01E-2</v>
      </c>
      <c r="D9272" s="26">
        <v>0.36909999999999998</v>
      </c>
      <c r="E9272" s="26">
        <v>5.3699999999999998E-2</v>
      </c>
      <c r="F9272" s="26">
        <v>9.4E-2</v>
      </c>
      <c r="G9272" s="26">
        <v>2.01E-2</v>
      </c>
      <c r="H9272" s="26">
        <v>0.26169999999999999</v>
      </c>
      <c r="I9272" s="26">
        <v>6.7000000000000002E-3</v>
      </c>
      <c r="J9272" s="26">
        <v>6.7000000000000002E-3</v>
      </c>
      <c r="M9272">
        <v>149</v>
      </c>
    </row>
    <row r="9273" spans="1:16" x14ac:dyDescent="0.35">
      <c r="A9273" t="s">
        <v>228</v>
      </c>
      <c r="B9273" t="s">
        <v>1281</v>
      </c>
      <c r="C9273" s="26">
        <v>0.8155</v>
      </c>
      <c r="D9273" s="26">
        <v>0.39950000000000002</v>
      </c>
      <c r="E9273" s="26">
        <v>0.79810000000000003</v>
      </c>
      <c r="F9273" s="26">
        <v>0.61470000000000002</v>
      </c>
      <c r="G9273" s="26">
        <v>0.75339999999999996</v>
      </c>
      <c r="H9273" s="26">
        <v>0.62509999999999999</v>
      </c>
      <c r="I9273" s="26">
        <v>0.8347</v>
      </c>
      <c r="J9273" s="26">
        <v>0.81030000000000002</v>
      </c>
      <c r="K9273" s="26">
        <v>0.8528</v>
      </c>
      <c r="L9273" s="26">
        <v>0.90980000000000005</v>
      </c>
      <c r="M9273">
        <v>944</v>
      </c>
    </row>
    <row r="9274" spans="1:16" x14ac:dyDescent="0.35">
      <c r="A9274" t="s">
        <v>228</v>
      </c>
      <c r="B9274" t="s">
        <v>1282</v>
      </c>
      <c r="C9274" s="26">
        <v>2.1700000000000001E-2</v>
      </c>
      <c r="D9274" s="26">
        <v>6.0100000000000001E-2</v>
      </c>
      <c r="E9274" s="26">
        <v>8.0000000000000002E-3</v>
      </c>
      <c r="F9274" s="26">
        <v>2.06E-2</v>
      </c>
      <c r="G9274" s="26">
        <v>2.1700000000000001E-2</v>
      </c>
      <c r="H9274" s="26">
        <v>9.1000000000000004E-3</v>
      </c>
      <c r="I9274" s="26">
        <v>3.5999999999999999E-3</v>
      </c>
      <c r="J9274" s="26">
        <v>3.3999999999999998E-3</v>
      </c>
      <c r="K9274" s="26">
        <v>2.2000000000000001E-3</v>
      </c>
      <c r="M9274">
        <v>944</v>
      </c>
    </row>
    <row r="9275" spans="1:16" x14ac:dyDescent="0.35">
      <c r="A9275" t="s">
        <v>228</v>
      </c>
      <c r="B9275" t="s">
        <v>1283</v>
      </c>
      <c r="C9275" s="26">
        <v>0.1154</v>
      </c>
      <c r="D9275" s="26">
        <v>0.13880000000000001</v>
      </c>
      <c r="E9275" s="26">
        <v>5.3900000000000003E-2</v>
      </c>
      <c r="F9275" s="26">
        <v>0.1789</v>
      </c>
      <c r="G9275" s="26">
        <v>0.19769999999999999</v>
      </c>
      <c r="H9275" s="26">
        <v>3.3300000000000003E-2</v>
      </c>
      <c r="I9275" s="26">
        <v>0.15559999999999999</v>
      </c>
      <c r="J9275" s="26">
        <v>0.1782</v>
      </c>
      <c r="K9275" s="26">
        <v>0.12590000000000001</v>
      </c>
      <c r="L9275" s="26">
        <v>8.7800000000000003E-2</v>
      </c>
      <c r="M9275">
        <v>944</v>
      </c>
    </row>
    <row r="9276" spans="1:16" x14ac:dyDescent="0.35">
      <c r="A9276" t="s">
        <v>228</v>
      </c>
      <c r="B9276" t="s">
        <v>303</v>
      </c>
      <c r="C9276" s="26">
        <v>4.7399999999999998E-2</v>
      </c>
      <c r="D9276" s="26">
        <v>0.40160000000000001</v>
      </c>
      <c r="E9276" s="26">
        <v>0.14000000000000001</v>
      </c>
      <c r="F9276" s="26">
        <v>0.18579999999999999</v>
      </c>
      <c r="G9276" s="26">
        <v>2.7099999999999999E-2</v>
      </c>
      <c r="H9276" s="26">
        <v>0.33250000000000002</v>
      </c>
      <c r="I9276" s="26">
        <v>6.1000000000000004E-3</v>
      </c>
      <c r="J9276" s="26">
        <v>8.2000000000000007E-3</v>
      </c>
      <c r="K9276" s="26">
        <v>1.9099999999999999E-2</v>
      </c>
      <c r="L9276" s="26">
        <v>2.3E-3</v>
      </c>
      <c r="M9276">
        <v>944</v>
      </c>
    </row>
    <row r="9277" spans="1:16" x14ac:dyDescent="0.35">
      <c r="A9277" t="s">
        <v>229</v>
      </c>
      <c r="B9277" t="s">
        <v>1283</v>
      </c>
      <c r="C9277" s="26">
        <v>9.69E-2</v>
      </c>
      <c r="D9277" s="26">
        <v>0.12509999999999999</v>
      </c>
      <c r="E9277" s="26">
        <v>5.62E-2</v>
      </c>
      <c r="F9277" s="26">
        <v>0.17929999999999999</v>
      </c>
      <c r="G9277" s="26">
        <v>0.21379999999999999</v>
      </c>
      <c r="H9277" s="26">
        <v>2.2700000000000001E-2</v>
      </c>
      <c r="I9277" s="26">
        <v>0.1275</v>
      </c>
      <c r="J9277" s="26">
        <v>0.1875</v>
      </c>
      <c r="K9277" s="26">
        <v>0.12889999999999999</v>
      </c>
      <c r="L9277" s="26">
        <v>8.1799999999999998E-2</v>
      </c>
      <c r="M9277">
        <v>793</v>
      </c>
    </row>
    <row r="9278" spans="1:16" x14ac:dyDescent="0.35">
      <c r="A9278" t="s">
        <v>229</v>
      </c>
      <c r="B9278" t="s">
        <v>303</v>
      </c>
      <c r="C9278" s="26">
        <v>3.6799999999999999E-2</v>
      </c>
      <c r="D9278" s="26">
        <v>0.41549999999999998</v>
      </c>
      <c r="E9278" s="26">
        <v>0.1371</v>
      </c>
      <c r="F9278" s="26">
        <v>0.19450000000000001</v>
      </c>
      <c r="G9278" s="26">
        <v>2.3699999999999999E-2</v>
      </c>
      <c r="H9278" s="26">
        <v>0.32690000000000002</v>
      </c>
      <c r="I9278" s="26">
        <v>1.7399999999999999E-2</v>
      </c>
      <c r="J9278" s="26">
        <v>1.5E-3</v>
      </c>
      <c r="K9278" s="26">
        <v>2.8400000000000002E-2</v>
      </c>
      <c r="L9278" s="26">
        <v>9.7000000000000003E-3</v>
      </c>
      <c r="M9278">
        <v>793</v>
      </c>
    </row>
    <row r="9279" spans="1:16" x14ac:dyDescent="0.35">
      <c r="A9279" t="s">
        <v>229</v>
      </c>
      <c r="B9279" t="s">
        <v>1281</v>
      </c>
      <c r="C9279" s="26">
        <v>0.83919999999999995</v>
      </c>
      <c r="D9279" s="26">
        <v>0.39689999999999998</v>
      </c>
      <c r="E9279" s="26">
        <v>0.79890000000000005</v>
      </c>
      <c r="F9279" s="26">
        <v>0.61009999999999998</v>
      </c>
      <c r="G9279" s="26">
        <v>0.74080000000000001</v>
      </c>
      <c r="H9279" s="26">
        <v>0.64180000000000004</v>
      </c>
      <c r="I9279" s="26">
        <v>0.85150000000000003</v>
      </c>
      <c r="J9279" s="26">
        <v>0.7974</v>
      </c>
      <c r="K9279" s="26">
        <v>0.84250000000000003</v>
      </c>
      <c r="L9279" s="26">
        <v>0.90739999999999998</v>
      </c>
      <c r="M9279">
        <v>793</v>
      </c>
    </row>
    <row r="9280" spans="1:16" x14ac:dyDescent="0.35">
      <c r="A9280" t="s">
        <v>229</v>
      </c>
      <c r="B9280" t="s">
        <v>1282</v>
      </c>
      <c r="C9280" s="26">
        <v>2.7099999999999999E-2</v>
      </c>
      <c r="D9280" s="26">
        <v>6.25E-2</v>
      </c>
      <c r="E9280" s="26">
        <v>7.7000000000000002E-3</v>
      </c>
      <c r="F9280" s="26">
        <v>1.61E-2</v>
      </c>
      <c r="G9280" s="26">
        <v>2.1600000000000001E-2</v>
      </c>
      <c r="H9280" s="26">
        <v>8.6E-3</v>
      </c>
      <c r="I9280" s="26">
        <v>3.5999999999999999E-3</v>
      </c>
      <c r="J9280" s="26">
        <v>1.3599999999999999E-2</v>
      </c>
      <c r="K9280" s="26">
        <v>2.0000000000000001E-4</v>
      </c>
      <c r="L9280" s="26">
        <v>1.1000000000000001E-3</v>
      </c>
      <c r="M9280">
        <v>793</v>
      </c>
    </row>
    <row r="9281" spans="1:13" x14ac:dyDescent="0.35">
      <c r="A9281" t="s">
        <v>230</v>
      </c>
      <c r="B9281" t="s">
        <v>1281</v>
      </c>
      <c r="C9281" s="26">
        <v>0.77649999999999997</v>
      </c>
      <c r="D9281" s="26">
        <v>0.3513</v>
      </c>
      <c r="E9281" s="26">
        <v>0.7742</v>
      </c>
      <c r="F9281" s="26">
        <v>0.53910000000000002</v>
      </c>
      <c r="G9281" s="26">
        <v>0.68869999999999998</v>
      </c>
      <c r="H9281" s="26">
        <v>0.6351</v>
      </c>
      <c r="I9281" s="26">
        <v>0.81950000000000001</v>
      </c>
      <c r="J9281" s="26">
        <v>0.76219999999999999</v>
      </c>
      <c r="K9281" s="26">
        <v>0.79110000000000003</v>
      </c>
      <c r="L9281" s="26">
        <v>0.85360000000000003</v>
      </c>
      <c r="M9281">
        <v>515</v>
      </c>
    </row>
    <row r="9282" spans="1:13" x14ac:dyDescent="0.35">
      <c r="A9282" t="s">
        <v>230</v>
      </c>
      <c r="B9282" t="s">
        <v>1282</v>
      </c>
      <c r="C9282" s="26">
        <v>4.5999999999999999E-3</v>
      </c>
      <c r="D9282" s="26">
        <v>8.2500000000000004E-2</v>
      </c>
      <c r="E9282" s="26">
        <v>1.1599999999999999E-2</v>
      </c>
      <c r="F9282" s="26">
        <v>6.0000000000000001E-3</v>
      </c>
      <c r="G9282" s="26">
        <v>3.4200000000000001E-2</v>
      </c>
      <c r="H9282" s="26">
        <v>1.3299999999999999E-2</v>
      </c>
      <c r="I9282" s="26">
        <v>2.3E-3</v>
      </c>
      <c r="J9282" s="26">
        <v>1E-3</v>
      </c>
      <c r="K9282" s="26">
        <v>7.0000000000000001E-3</v>
      </c>
      <c r="L9282" s="26">
        <v>1.2999999999999999E-3</v>
      </c>
      <c r="M9282">
        <v>515</v>
      </c>
    </row>
    <row r="9283" spans="1:13" x14ac:dyDescent="0.35">
      <c r="A9283" t="s">
        <v>230</v>
      </c>
      <c r="B9283" t="s">
        <v>1283</v>
      </c>
      <c r="C9283" s="26">
        <v>0.16980000000000001</v>
      </c>
      <c r="D9283" s="26">
        <v>0.17519999999999999</v>
      </c>
      <c r="E9283" s="26">
        <v>6.6600000000000006E-2</v>
      </c>
      <c r="F9283" s="26">
        <v>0.22</v>
      </c>
      <c r="G9283" s="26">
        <v>0.26500000000000001</v>
      </c>
      <c r="H9283" s="26">
        <v>3.2599999999999997E-2</v>
      </c>
      <c r="I9283" s="26">
        <v>0.1779</v>
      </c>
      <c r="J9283" s="26">
        <v>0.23580000000000001</v>
      </c>
      <c r="K9283" s="26">
        <v>0.193</v>
      </c>
      <c r="L9283" s="26">
        <v>0.1353</v>
      </c>
      <c r="M9283">
        <v>515</v>
      </c>
    </row>
    <row r="9284" spans="1:13" x14ac:dyDescent="0.35">
      <c r="A9284" t="s">
        <v>230</v>
      </c>
      <c r="B9284" t="s">
        <v>303</v>
      </c>
      <c r="C9284" s="26">
        <v>4.9200000000000001E-2</v>
      </c>
      <c r="D9284" s="26">
        <v>0.39100000000000001</v>
      </c>
      <c r="E9284" s="26">
        <v>0.1477</v>
      </c>
      <c r="F9284" s="26">
        <v>0.2349</v>
      </c>
      <c r="G9284" s="26">
        <v>1.2E-2</v>
      </c>
      <c r="H9284" s="26">
        <v>0.31900000000000001</v>
      </c>
      <c r="I9284" s="26">
        <v>2.9999999999999997E-4</v>
      </c>
      <c r="J9284" s="26">
        <v>1E-3</v>
      </c>
      <c r="K9284" s="26">
        <v>8.8999999999999999E-3</v>
      </c>
      <c r="L9284" s="26">
        <v>9.9000000000000008E-3</v>
      </c>
      <c r="M9284">
        <v>515</v>
      </c>
    </row>
    <row r="9285" spans="1:13" x14ac:dyDescent="0.35">
      <c r="A9285" t="s">
        <v>231</v>
      </c>
      <c r="B9285" t="s">
        <v>1281</v>
      </c>
      <c r="C9285" s="26">
        <v>0.79310000000000003</v>
      </c>
      <c r="D9285" s="26">
        <v>0.37240000000000001</v>
      </c>
      <c r="E9285" s="26">
        <v>0.78620000000000001</v>
      </c>
      <c r="F9285" s="26">
        <v>0.6028</v>
      </c>
      <c r="G9285" s="26">
        <v>0.7379</v>
      </c>
      <c r="H9285" s="26">
        <v>0.62070000000000003</v>
      </c>
      <c r="I9285" s="26">
        <v>0.78620000000000001</v>
      </c>
      <c r="J9285" s="26">
        <v>0.77929999999999999</v>
      </c>
      <c r="K9285" s="26">
        <v>0.84140000000000004</v>
      </c>
      <c r="L9285" s="26">
        <v>0.90339999999999998</v>
      </c>
      <c r="M9285">
        <v>145</v>
      </c>
    </row>
    <row r="9286" spans="1:13" x14ac:dyDescent="0.35">
      <c r="A9286" t="s">
        <v>231</v>
      </c>
      <c r="B9286" t="s">
        <v>1282</v>
      </c>
      <c r="C9286" s="26">
        <v>2.07E-2</v>
      </c>
      <c r="D9286" s="26">
        <v>4.8300000000000003E-2</v>
      </c>
      <c r="E9286" s="26">
        <v>1.38E-2</v>
      </c>
      <c r="F9286" s="26">
        <v>7.1000000000000004E-3</v>
      </c>
      <c r="G9286" s="26">
        <v>2.76E-2</v>
      </c>
      <c r="H9286" s="26">
        <v>6.8999999999999999E-3</v>
      </c>
      <c r="I9286" s="26">
        <v>6.8999999999999999E-3</v>
      </c>
      <c r="J9286" s="26">
        <v>1.38E-2</v>
      </c>
      <c r="K9286" s="26">
        <v>6.8999999999999999E-3</v>
      </c>
      <c r="M9286">
        <v>145</v>
      </c>
    </row>
    <row r="9287" spans="1:13" x14ac:dyDescent="0.35">
      <c r="A9287" t="s">
        <v>231</v>
      </c>
      <c r="B9287" t="s">
        <v>1283</v>
      </c>
      <c r="C9287" s="26">
        <v>0.13789999999999999</v>
      </c>
      <c r="D9287" s="26">
        <v>0.13100000000000001</v>
      </c>
      <c r="E9287" s="26">
        <v>2.07E-2</v>
      </c>
      <c r="F9287" s="26">
        <v>0.21279999999999999</v>
      </c>
      <c r="G9287" s="26">
        <v>0.2276</v>
      </c>
      <c r="H9287" s="26">
        <v>4.8300000000000003E-2</v>
      </c>
      <c r="I9287" s="26">
        <v>0.2</v>
      </c>
      <c r="J9287" s="26">
        <v>0.2069</v>
      </c>
      <c r="K9287" s="26">
        <v>0.1172</v>
      </c>
      <c r="L9287" s="26">
        <v>7.5899999999999995E-2</v>
      </c>
      <c r="M9287">
        <v>145</v>
      </c>
    </row>
    <row r="9288" spans="1:13" x14ac:dyDescent="0.35">
      <c r="A9288" t="s">
        <v>231</v>
      </c>
      <c r="B9288" t="s">
        <v>303</v>
      </c>
      <c r="C9288" s="26">
        <v>4.8300000000000003E-2</v>
      </c>
      <c r="D9288" s="26">
        <v>0.44829999999999998</v>
      </c>
      <c r="E9288" s="26">
        <v>0.17929999999999999</v>
      </c>
      <c r="F9288" s="26">
        <v>0.17730000000000001</v>
      </c>
      <c r="G9288" s="26">
        <v>6.8999999999999999E-3</v>
      </c>
      <c r="H9288" s="26">
        <v>0.3241</v>
      </c>
      <c r="I9288" s="26">
        <v>6.8999999999999999E-3</v>
      </c>
      <c r="K9288" s="26">
        <v>3.4500000000000003E-2</v>
      </c>
      <c r="L9288" s="26">
        <v>2.07E-2</v>
      </c>
      <c r="M9288">
        <v>145</v>
      </c>
    </row>
    <row r="9289" spans="1:13" x14ac:dyDescent="0.35">
      <c r="A9289" t="s">
        <v>232</v>
      </c>
      <c r="B9289" t="s">
        <v>1283</v>
      </c>
      <c r="C9289" s="26">
        <v>0.12759999999999999</v>
      </c>
      <c r="D9289" s="26">
        <v>0.1409</v>
      </c>
      <c r="E9289" s="26">
        <v>4.8899999999999999E-2</v>
      </c>
      <c r="F9289" s="26">
        <v>0.2019</v>
      </c>
      <c r="G9289" s="26">
        <v>0.2152</v>
      </c>
      <c r="H9289" s="26">
        <v>4.0599999999999997E-2</v>
      </c>
      <c r="I9289" s="26">
        <v>0.1648</v>
      </c>
      <c r="J9289" s="26">
        <v>0.2019</v>
      </c>
      <c r="K9289" s="26">
        <v>0.14050000000000001</v>
      </c>
      <c r="L9289" s="26">
        <v>9.2600000000000002E-2</v>
      </c>
      <c r="M9289">
        <v>2546</v>
      </c>
    </row>
    <row r="9290" spans="1:13" x14ac:dyDescent="0.35">
      <c r="A9290" t="s">
        <v>232</v>
      </c>
      <c r="B9290" t="s">
        <v>1281</v>
      </c>
      <c r="C9290" s="26">
        <v>0.81079999999999997</v>
      </c>
      <c r="D9290" s="26">
        <v>0.38419999999999999</v>
      </c>
      <c r="E9290" s="26">
        <v>0.80230000000000001</v>
      </c>
      <c r="F9290" s="26">
        <v>0.60229999999999995</v>
      </c>
      <c r="G9290" s="26">
        <v>0.74029999999999996</v>
      </c>
      <c r="H9290" s="26">
        <v>0.63570000000000004</v>
      </c>
      <c r="I9290" s="26">
        <v>0.82030000000000003</v>
      </c>
      <c r="J9290" s="26">
        <v>0.78349999999999997</v>
      </c>
      <c r="K9290" s="26">
        <v>0.83460000000000001</v>
      </c>
      <c r="L9290" s="26">
        <v>0.89729999999999999</v>
      </c>
      <c r="M9290">
        <v>2546</v>
      </c>
    </row>
    <row r="9291" spans="1:13" x14ac:dyDescent="0.35">
      <c r="A9291" t="s">
        <v>232</v>
      </c>
      <c r="B9291" t="s">
        <v>1282</v>
      </c>
      <c r="C9291" s="26">
        <v>2.1100000000000001E-2</v>
      </c>
      <c r="D9291" s="26">
        <v>6.2899999999999998E-2</v>
      </c>
      <c r="E9291" s="26">
        <v>1.17E-2</v>
      </c>
      <c r="F9291" s="26">
        <v>1.9599999999999999E-2</v>
      </c>
      <c r="G9291" s="26">
        <v>2.63E-2</v>
      </c>
      <c r="H9291" s="26">
        <v>7.3000000000000001E-3</v>
      </c>
      <c r="I9291" s="26">
        <v>5.8999999999999999E-3</v>
      </c>
      <c r="J9291" s="26">
        <v>1.14E-2</v>
      </c>
      <c r="K9291" s="26">
        <v>3.0000000000000001E-3</v>
      </c>
      <c r="L9291" s="26">
        <v>4.0000000000000002E-4</v>
      </c>
      <c r="M9291">
        <v>2546</v>
      </c>
    </row>
    <row r="9292" spans="1:13" x14ac:dyDescent="0.35">
      <c r="A9292" t="s">
        <v>232</v>
      </c>
      <c r="B9292" t="s">
        <v>303</v>
      </c>
      <c r="C9292" s="26">
        <v>4.0599999999999997E-2</v>
      </c>
      <c r="D9292" s="26">
        <v>0.41199999999999998</v>
      </c>
      <c r="E9292" s="26">
        <v>0.1371</v>
      </c>
      <c r="F9292" s="26">
        <v>0.17610000000000001</v>
      </c>
      <c r="G9292" s="26">
        <v>1.8200000000000001E-2</v>
      </c>
      <c r="H9292" s="26">
        <v>0.31640000000000001</v>
      </c>
      <c r="I9292" s="26">
        <v>8.9999999999999993E-3</v>
      </c>
      <c r="J9292" s="26">
        <v>3.2000000000000002E-3</v>
      </c>
      <c r="K9292" s="26">
        <v>2.1899999999999999E-2</v>
      </c>
      <c r="L9292" s="26">
        <v>9.7000000000000003E-3</v>
      </c>
      <c r="M9292">
        <v>2546</v>
      </c>
    </row>
    <row r="9294" spans="1:13" x14ac:dyDescent="0.35">
      <c r="A9294" s="1" t="s">
        <v>1284</v>
      </c>
    </row>
    <row r="9295" spans="1:13" x14ac:dyDescent="0.35">
      <c r="A9295" t="s">
        <v>219</v>
      </c>
      <c r="B9295" t="s">
        <v>1285</v>
      </c>
      <c r="C9295" t="s">
        <v>1286</v>
      </c>
      <c r="D9295" t="s">
        <v>1287</v>
      </c>
      <c r="E9295" t="s">
        <v>1288</v>
      </c>
      <c r="F9295" t="s">
        <v>1289</v>
      </c>
      <c r="G9295" t="s">
        <v>281</v>
      </c>
      <c r="H9295" t="s">
        <v>226</v>
      </c>
    </row>
    <row r="9296" spans="1:13" x14ac:dyDescent="0.35">
      <c r="A9296" t="s">
        <v>227</v>
      </c>
      <c r="B9296" s="26">
        <v>0.36919999999999997</v>
      </c>
      <c r="C9296" s="26">
        <v>0.41539999999999999</v>
      </c>
      <c r="D9296" s="26">
        <v>0.2462</v>
      </c>
      <c r="E9296" s="26">
        <v>0.1231</v>
      </c>
      <c r="F9296" s="26">
        <v>0.1231</v>
      </c>
      <c r="H9296">
        <v>65</v>
      </c>
    </row>
    <row r="9297" spans="1:14" x14ac:dyDescent="0.35">
      <c r="A9297" t="s">
        <v>228</v>
      </c>
      <c r="B9297" s="26">
        <v>0.4511</v>
      </c>
      <c r="C9297" s="26">
        <v>0.46910000000000002</v>
      </c>
      <c r="D9297" s="26">
        <v>0.3306</v>
      </c>
      <c r="E9297" s="26">
        <v>0.1008</v>
      </c>
      <c r="F9297" s="26">
        <v>8.0600000000000005E-2</v>
      </c>
      <c r="G9297" s="26">
        <v>3.6799999999999999E-2</v>
      </c>
      <c r="H9297">
        <v>554</v>
      </c>
    </row>
    <row r="9298" spans="1:14" x14ac:dyDescent="0.35">
      <c r="A9298" t="s">
        <v>229</v>
      </c>
      <c r="B9298" s="26">
        <v>0.47960000000000003</v>
      </c>
      <c r="C9298" s="26">
        <v>0.44159999999999999</v>
      </c>
      <c r="D9298" s="26">
        <v>0.35980000000000001</v>
      </c>
      <c r="E9298" s="26">
        <v>9.1600000000000001E-2</v>
      </c>
      <c r="F9298" s="26">
        <v>0.10780000000000001</v>
      </c>
      <c r="G9298" s="26">
        <v>4.3400000000000001E-2</v>
      </c>
      <c r="H9298">
        <v>427</v>
      </c>
    </row>
    <row r="9299" spans="1:14" x14ac:dyDescent="0.35">
      <c r="A9299" t="s">
        <v>230</v>
      </c>
      <c r="B9299" s="26">
        <v>0.4763</v>
      </c>
      <c r="C9299" s="26">
        <v>0.46929999999999999</v>
      </c>
      <c r="D9299" s="26">
        <v>0.33410000000000001</v>
      </c>
      <c r="E9299" s="26">
        <v>0.11990000000000001</v>
      </c>
      <c r="F9299" s="26">
        <v>0.1149</v>
      </c>
      <c r="G9299" s="26">
        <v>3.7400000000000003E-2</v>
      </c>
      <c r="H9299">
        <v>298</v>
      </c>
    </row>
    <row r="9300" spans="1:14" x14ac:dyDescent="0.35">
      <c r="A9300" t="s">
        <v>231</v>
      </c>
      <c r="B9300" s="26">
        <v>0.48749999999999999</v>
      </c>
      <c r="C9300" s="26">
        <v>0.47499999999999998</v>
      </c>
      <c r="D9300" s="26">
        <v>0.3125</v>
      </c>
      <c r="E9300" s="26">
        <v>7.4999999999999997E-2</v>
      </c>
      <c r="F9300" s="26">
        <v>7.4999999999999997E-2</v>
      </c>
      <c r="G9300" s="26">
        <v>3.7499999999999999E-2</v>
      </c>
      <c r="H9300">
        <v>80</v>
      </c>
    </row>
    <row r="9301" spans="1:14" x14ac:dyDescent="0.35">
      <c r="A9301" t="s">
        <v>232</v>
      </c>
      <c r="B9301" s="26">
        <v>0.46189999999999998</v>
      </c>
      <c r="C9301" s="26">
        <v>0.45610000000000001</v>
      </c>
      <c r="D9301" s="26">
        <v>0.32429999999999998</v>
      </c>
      <c r="E9301" s="26">
        <v>9.6000000000000002E-2</v>
      </c>
      <c r="F9301" s="26">
        <v>9.6000000000000002E-2</v>
      </c>
      <c r="G9301" s="26">
        <v>3.4500000000000003E-2</v>
      </c>
      <c r="H9301">
        <v>1424</v>
      </c>
    </row>
    <row r="9303" spans="1:14" x14ac:dyDescent="0.35">
      <c r="A9303" s="1" t="s">
        <v>1290</v>
      </c>
    </row>
    <row r="9304" spans="1:14" x14ac:dyDescent="0.35">
      <c r="A9304" t="s">
        <v>219</v>
      </c>
      <c r="B9304" t="s">
        <v>305</v>
      </c>
      <c r="C9304" t="s">
        <v>1270</v>
      </c>
      <c r="D9304" t="s">
        <v>1271</v>
      </c>
      <c r="E9304" t="s">
        <v>1272</v>
      </c>
      <c r="F9304" t="s">
        <v>1273</v>
      </c>
      <c r="G9304" t="s">
        <v>1274</v>
      </c>
      <c r="H9304" t="s">
        <v>1275</v>
      </c>
      <c r="I9304" t="s">
        <v>1276</v>
      </c>
      <c r="J9304" t="s">
        <v>1277</v>
      </c>
      <c r="K9304" t="s">
        <v>1278</v>
      </c>
      <c r="L9304" t="s">
        <v>1279</v>
      </c>
      <c r="M9304" t="s">
        <v>1280</v>
      </c>
      <c r="N9304" t="s">
        <v>964</v>
      </c>
    </row>
    <row r="9305" spans="1:14" x14ac:dyDescent="0.35">
      <c r="A9305" t="s">
        <v>227</v>
      </c>
      <c r="B9305" t="s">
        <v>242</v>
      </c>
      <c r="C9305" t="s">
        <v>1281</v>
      </c>
      <c r="D9305" s="26">
        <v>0.73440000000000005</v>
      </c>
      <c r="E9305" s="26">
        <v>0.3281</v>
      </c>
      <c r="F9305" s="26">
        <v>0.82809999999999995</v>
      </c>
      <c r="G9305" s="26">
        <v>0.5625</v>
      </c>
      <c r="H9305" s="26">
        <v>0.70309999999999995</v>
      </c>
      <c r="I9305" s="26">
        <v>0.53120000000000001</v>
      </c>
      <c r="J9305" s="26">
        <v>0.84379999999999999</v>
      </c>
      <c r="K9305" s="26">
        <v>0.71879999999999999</v>
      </c>
      <c r="L9305" s="26">
        <v>0.79690000000000005</v>
      </c>
      <c r="M9305" s="26">
        <v>0.84379999999999999</v>
      </c>
      <c r="N9305">
        <v>64</v>
      </c>
    </row>
    <row r="9306" spans="1:14" x14ac:dyDescent="0.35">
      <c r="A9306" t="s">
        <v>227</v>
      </c>
      <c r="B9306" t="s">
        <v>242</v>
      </c>
      <c r="C9306" t="s">
        <v>1282</v>
      </c>
      <c r="D9306" s="26">
        <v>4.6899999999999997E-2</v>
      </c>
      <c r="E9306" s="26">
        <v>7.8100000000000003E-2</v>
      </c>
      <c r="F9306" s="26">
        <v>4.6899999999999997E-2</v>
      </c>
      <c r="G9306" s="26">
        <v>7.8100000000000003E-2</v>
      </c>
      <c r="H9306" s="26">
        <v>6.25E-2</v>
      </c>
      <c r="J9306" s="26">
        <v>1.5599999999999999E-2</v>
      </c>
      <c r="K9306" s="26">
        <v>1.5599999999999999E-2</v>
      </c>
      <c r="N9306">
        <v>64</v>
      </c>
    </row>
    <row r="9307" spans="1:14" x14ac:dyDescent="0.35">
      <c r="A9307" t="s">
        <v>227</v>
      </c>
      <c r="B9307" t="s">
        <v>242</v>
      </c>
      <c r="C9307" t="s">
        <v>1283</v>
      </c>
      <c r="D9307" s="26">
        <v>0.1875</v>
      </c>
      <c r="E9307" s="26">
        <v>0.1719</v>
      </c>
      <c r="F9307" s="26">
        <v>6.25E-2</v>
      </c>
      <c r="G9307" s="26">
        <v>0.2344</v>
      </c>
      <c r="H9307" s="26">
        <v>0.2031</v>
      </c>
      <c r="I9307" s="26">
        <v>7.8100000000000003E-2</v>
      </c>
      <c r="J9307" s="26">
        <v>0.125</v>
      </c>
      <c r="K9307" s="26">
        <v>0.25</v>
      </c>
      <c r="L9307" s="26">
        <v>0.2031</v>
      </c>
      <c r="M9307" s="26">
        <v>0.15620000000000001</v>
      </c>
      <c r="N9307">
        <v>64</v>
      </c>
    </row>
    <row r="9308" spans="1:14" x14ac:dyDescent="0.35">
      <c r="A9308" t="s">
        <v>227</v>
      </c>
      <c r="B9308" t="s">
        <v>242</v>
      </c>
      <c r="C9308" t="s">
        <v>303</v>
      </c>
      <c r="D9308" s="26">
        <v>3.1199999999999999E-2</v>
      </c>
      <c r="E9308" s="26">
        <v>0.4219</v>
      </c>
      <c r="F9308" s="26">
        <v>6.25E-2</v>
      </c>
      <c r="G9308" s="26">
        <v>0.125</v>
      </c>
      <c r="H9308" s="26">
        <v>3.1199999999999999E-2</v>
      </c>
      <c r="I9308" s="26">
        <v>0.3906</v>
      </c>
      <c r="J9308" s="26">
        <v>1.5599999999999999E-2</v>
      </c>
      <c r="K9308" s="26">
        <v>1.5599999999999999E-2</v>
      </c>
      <c r="N9308">
        <v>64</v>
      </c>
    </row>
    <row r="9309" spans="1:14" x14ac:dyDescent="0.35">
      <c r="A9309" t="s">
        <v>227</v>
      </c>
      <c r="B9309" t="s">
        <v>241</v>
      </c>
      <c r="C9309" t="s">
        <v>1281</v>
      </c>
      <c r="D9309" s="26">
        <v>0.85880000000000001</v>
      </c>
      <c r="E9309" s="26">
        <v>0.42349999999999999</v>
      </c>
      <c r="F9309" s="26">
        <v>0.88239999999999996</v>
      </c>
      <c r="G9309" s="26">
        <v>0.64710000000000001</v>
      </c>
      <c r="H9309" s="26">
        <v>0.8</v>
      </c>
      <c r="I9309" s="26">
        <v>0.76470000000000005</v>
      </c>
      <c r="J9309" s="26">
        <v>0.77649999999999997</v>
      </c>
      <c r="K9309" s="26">
        <v>0.76470000000000005</v>
      </c>
      <c r="L9309" s="26">
        <v>0.82350000000000001</v>
      </c>
      <c r="M9309" s="26">
        <v>0.90590000000000004</v>
      </c>
      <c r="N9309">
        <v>85</v>
      </c>
    </row>
    <row r="9310" spans="1:14" x14ac:dyDescent="0.35">
      <c r="A9310" t="s">
        <v>227</v>
      </c>
      <c r="B9310" t="s">
        <v>241</v>
      </c>
      <c r="C9310" t="s">
        <v>1283</v>
      </c>
      <c r="D9310" s="26">
        <v>0.12939999999999999</v>
      </c>
      <c r="E9310" s="26">
        <v>0.16470000000000001</v>
      </c>
      <c r="F9310" s="26">
        <v>7.0599999999999996E-2</v>
      </c>
      <c r="G9310" s="26">
        <v>0.24709999999999999</v>
      </c>
      <c r="H9310" s="26">
        <v>0.17649999999999999</v>
      </c>
      <c r="I9310" s="26">
        <v>7.0599999999999996E-2</v>
      </c>
      <c r="J9310" s="26">
        <v>0.21179999999999999</v>
      </c>
      <c r="K9310" s="26">
        <v>0.21179999999999999</v>
      </c>
      <c r="L9310" s="26">
        <v>0.17649999999999999</v>
      </c>
      <c r="M9310" s="26">
        <v>9.4100000000000003E-2</v>
      </c>
      <c r="N9310">
        <v>85</v>
      </c>
    </row>
    <row r="9311" spans="1:14" x14ac:dyDescent="0.35">
      <c r="A9311" t="s">
        <v>227</v>
      </c>
      <c r="B9311" t="s">
        <v>241</v>
      </c>
      <c r="C9311" t="s">
        <v>303</v>
      </c>
      <c r="D9311" s="26">
        <v>1.18E-2</v>
      </c>
      <c r="E9311" s="26">
        <v>0.32940000000000003</v>
      </c>
      <c r="F9311" s="26">
        <v>4.7100000000000003E-2</v>
      </c>
      <c r="G9311" s="26">
        <v>7.0599999999999996E-2</v>
      </c>
      <c r="H9311" s="26">
        <v>1.18E-2</v>
      </c>
      <c r="I9311" s="26">
        <v>0.16470000000000001</v>
      </c>
      <c r="N9311">
        <v>85</v>
      </c>
    </row>
    <row r="9312" spans="1:14" x14ac:dyDescent="0.35">
      <c r="A9312" t="s">
        <v>228</v>
      </c>
      <c r="B9312" t="s">
        <v>241</v>
      </c>
      <c r="C9312" t="s">
        <v>303</v>
      </c>
      <c r="D9312" s="26">
        <v>3.4000000000000002E-2</v>
      </c>
      <c r="E9312" s="26">
        <v>0.3795</v>
      </c>
      <c r="F9312" s="26">
        <v>0.1356</v>
      </c>
      <c r="G9312" s="26">
        <v>0.20569999999999999</v>
      </c>
      <c r="H9312" s="26">
        <v>2.6200000000000001E-2</v>
      </c>
      <c r="I9312" s="26">
        <v>0.28139999999999998</v>
      </c>
      <c r="J9312" s="26">
        <v>6.7000000000000002E-3</v>
      </c>
      <c r="K9312" s="26">
        <v>1.1299999999999999E-2</v>
      </c>
      <c r="L9312" s="26">
        <v>1.18E-2</v>
      </c>
      <c r="M9312" s="26">
        <v>3.2000000000000002E-3</v>
      </c>
      <c r="N9312">
        <v>585</v>
      </c>
    </row>
    <row r="9313" spans="1:14" x14ac:dyDescent="0.35">
      <c r="A9313" t="s">
        <v>228</v>
      </c>
      <c r="B9313" t="s">
        <v>241</v>
      </c>
      <c r="C9313" t="s">
        <v>1283</v>
      </c>
      <c r="D9313" s="26">
        <v>9.5500000000000002E-2</v>
      </c>
      <c r="E9313" s="26">
        <v>0.1109</v>
      </c>
      <c r="F9313" s="26">
        <v>4.9000000000000002E-2</v>
      </c>
      <c r="G9313" s="26">
        <v>0.1305</v>
      </c>
      <c r="H9313" s="26">
        <v>0.1615</v>
      </c>
      <c r="I9313" s="26">
        <v>2.5000000000000001E-2</v>
      </c>
      <c r="J9313" s="26">
        <v>0.1167</v>
      </c>
      <c r="K9313" s="26">
        <v>0.13350000000000001</v>
      </c>
      <c r="L9313" s="26">
        <v>9.1700000000000004E-2</v>
      </c>
      <c r="M9313" s="26">
        <v>6.4600000000000005E-2</v>
      </c>
      <c r="N9313">
        <v>585</v>
      </c>
    </row>
    <row r="9314" spans="1:14" x14ac:dyDescent="0.35">
      <c r="A9314" t="s">
        <v>228</v>
      </c>
      <c r="B9314" t="s">
        <v>241</v>
      </c>
      <c r="C9314" t="s">
        <v>1282</v>
      </c>
      <c r="D9314" s="26">
        <v>2.3900000000000001E-2</v>
      </c>
      <c r="E9314" s="26">
        <v>5.5E-2</v>
      </c>
      <c r="F9314" s="26">
        <v>1.09E-2</v>
      </c>
      <c r="G9314" s="26">
        <v>2.24E-2</v>
      </c>
      <c r="H9314" s="26">
        <v>0.02</v>
      </c>
      <c r="I9314" s="26">
        <v>1.2699999999999999E-2</v>
      </c>
      <c r="J9314" s="26">
        <v>5.5999999999999999E-3</v>
      </c>
      <c r="K9314" s="26">
        <v>3.8999999999999998E-3</v>
      </c>
      <c r="N9314">
        <v>585</v>
      </c>
    </row>
    <row r="9315" spans="1:14" x14ac:dyDescent="0.35">
      <c r="A9315" t="s">
        <v>228</v>
      </c>
      <c r="B9315" t="s">
        <v>241</v>
      </c>
      <c r="C9315" t="s">
        <v>1281</v>
      </c>
      <c r="D9315" s="26">
        <v>0.84650000000000003</v>
      </c>
      <c r="E9315" s="26">
        <v>0.45469999999999999</v>
      </c>
      <c r="F9315" s="26">
        <v>0.80449999999999999</v>
      </c>
      <c r="G9315" s="26">
        <v>0.64139999999999997</v>
      </c>
      <c r="H9315" s="26">
        <v>0.7923</v>
      </c>
      <c r="I9315" s="26">
        <v>0.68089999999999995</v>
      </c>
      <c r="J9315" s="26">
        <v>0.871</v>
      </c>
      <c r="K9315" s="26">
        <v>0.85129999999999995</v>
      </c>
      <c r="L9315" s="26">
        <v>0.89649999999999996</v>
      </c>
      <c r="M9315" s="26">
        <v>0.93210000000000004</v>
      </c>
      <c r="N9315">
        <v>585</v>
      </c>
    </row>
    <row r="9316" spans="1:14" x14ac:dyDescent="0.35">
      <c r="A9316" t="s">
        <v>228</v>
      </c>
      <c r="B9316" t="s">
        <v>242</v>
      </c>
      <c r="C9316" t="s">
        <v>1282</v>
      </c>
      <c r="D9316" s="26">
        <v>1.7600000000000001E-2</v>
      </c>
      <c r="E9316" s="26">
        <v>6.9500000000000006E-2</v>
      </c>
      <c r="F9316" s="26">
        <v>2.8E-3</v>
      </c>
      <c r="G9316" s="26">
        <v>1.7399999999999999E-2</v>
      </c>
      <c r="H9316" s="26">
        <v>2.4799999999999999E-2</v>
      </c>
      <c r="I9316" s="26">
        <v>2.5999999999999999E-3</v>
      </c>
      <c r="K9316" s="26">
        <v>2.3999999999999998E-3</v>
      </c>
      <c r="L9316" s="26">
        <v>6.1000000000000004E-3</v>
      </c>
      <c r="N9316">
        <v>359</v>
      </c>
    </row>
    <row r="9317" spans="1:14" x14ac:dyDescent="0.35">
      <c r="A9317" t="s">
        <v>228</v>
      </c>
      <c r="B9317" t="s">
        <v>242</v>
      </c>
      <c r="C9317" t="s">
        <v>1283</v>
      </c>
      <c r="D9317" s="26">
        <v>0.1515</v>
      </c>
      <c r="E9317" s="26">
        <v>0.18940000000000001</v>
      </c>
      <c r="F9317" s="26">
        <v>6.2799999999999995E-2</v>
      </c>
      <c r="G9317" s="26">
        <v>0.26669999999999999</v>
      </c>
      <c r="H9317" s="26">
        <v>0.26350000000000001</v>
      </c>
      <c r="I9317" s="26">
        <v>4.82E-2</v>
      </c>
      <c r="J9317" s="26">
        <v>0.22620000000000001</v>
      </c>
      <c r="K9317" s="26">
        <v>0.25900000000000001</v>
      </c>
      <c r="L9317" s="26">
        <v>0.18779999999999999</v>
      </c>
      <c r="M9317" s="26">
        <v>0.1298</v>
      </c>
      <c r="N9317">
        <v>359</v>
      </c>
    </row>
    <row r="9318" spans="1:14" x14ac:dyDescent="0.35">
      <c r="A9318" t="s">
        <v>228</v>
      </c>
      <c r="B9318" t="s">
        <v>242</v>
      </c>
      <c r="C9318" t="s">
        <v>1281</v>
      </c>
      <c r="D9318" s="26">
        <v>0.75939999999999996</v>
      </c>
      <c r="E9318" s="26">
        <v>0.2994</v>
      </c>
      <c r="F9318" s="26">
        <v>0.78649999999999998</v>
      </c>
      <c r="G9318" s="26">
        <v>0.56630000000000003</v>
      </c>
      <c r="H9318" s="26">
        <v>0.68300000000000005</v>
      </c>
      <c r="I9318" s="26">
        <v>0.52410000000000001</v>
      </c>
      <c r="J9318" s="26">
        <v>0.76900000000000002</v>
      </c>
      <c r="K9318" s="26">
        <v>0.73609999999999998</v>
      </c>
      <c r="L9318" s="26">
        <v>0.77380000000000004</v>
      </c>
      <c r="M9318" s="26">
        <v>0.86950000000000005</v>
      </c>
      <c r="N9318">
        <v>359</v>
      </c>
    </row>
    <row r="9319" spans="1:14" x14ac:dyDescent="0.35">
      <c r="A9319" t="s">
        <v>228</v>
      </c>
      <c r="B9319" t="s">
        <v>242</v>
      </c>
      <c r="C9319" t="s">
        <v>303</v>
      </c>
      <c r="D9319" s="26">
        <v>7.1499999999999994E-2</v>
      </c>
      <c r="E9319" s="26">
        <v>0.44169999999999998</v>
      </c>
      <c r="F9319" s="26">
        <v>0.14799999999999999</v>
      </c>
      <c r="G9319" s="26">
        <v>0.1497</v>
      </c>
      <c r="H9319" s="26">
        <v>2.8799999999999999E-2</v>
      </c>
      <c r="I9319" s="26">
        <v>0.42509999999999998</v>
      </c>
      <c r="J9319" s="26">
        <v>4.8999999999999998E-3</v>
      </c>
      <c r="K9319" s="26">
        <v>2.5000000000000001E-3</v>
      </c>
      <c r="L9319" s="26">
        <v>3.2300000000000002E-2</v>
      </c>
      <c r="M9319" s="26">
        <v>6.9999999999999999E-4</v>
      </c>
      <c r="N9319">
        <v>359</v>
      </c>
    </row>
    <row r="9320" spans="1:14" x14ac:dyDescent="0.35">
      <c r="A9320" t="s">
        <v>229</v>
      </c>
      <c r="B9320" t="s">
        <v>241</v>
      </c>
      <c r="C9320" t="s">
        <v>1282</v>
      </c>
      <c r="D9320" s="26">
        <v>1.18E-2</v>
      </c>
      <c r="E9320" s="26">
        <v>5.0299999999999997E-2</v>
      </c>
      <c r="F9320" s="26">
        <v>7.4000000000000003E-3</v>
      </c>
      <c r="G9320" s="26">
        <v>1.15E-2</v>
      </c>
      <c r="H9320" s="26">
        <v>6.6E-3</v>
      </c>
      <c r="J9320" s="26">
        <v>1.2999999999999999E-3</v>
      </c>
      <c r="K9320" s="26">
        <v>1.6000000000000001E-3</v>
      </c>
      <c r="L9320" s="26">
        <v>2.9999999999999997E-4</v>
      </c>
      <c r="M9320" s="26">
        <v>1.6999999999999999E-3</v>
      </c>
      <c r="N9320">
        <v>532</v>
      </c>
    </row>
    <row r="9321" spans="1:14" x14ac:dyDescent="0.35">
      <c r="A9321" t="s">
        <v>229</v>
      </c>
      <c r="B9321" t="s">
        <v>241</v>
      </c>
      <c r="C9321" t="s">
        <v>303</v>
      </c>
      <c r="D9321" s="26">
        <v>3.7600000000000001E-2</v>
      </c>
      <c r="E9321" s="26">
        <v>0.35830000000000001</v>
      </c>
      <c r="F9321" s="26">
        <v>0.1153</v>
      </c>
      <c r="G9321" s="26">
        <v>0.2097</v>
      </c>
      <c r="H9321" s="26">
        <v>2.7199999999999998E-2</v>
      </c>
      <c r="I9321" s="26">
        <v>0.21179999999999999</v>
      </c>
      <c r="J9321" s="26">
        <v>6.6E-3</v>
      </c>
      <c r="K9321" s="26">
        <v>1.1999999999999999E-3</v>
      </c>
      <c r="L9321" s="26">
        <v>1.5900000000000001E-2</v>
      </c>
      <c r="M9321" s="26">
        <v>1.11E-2</v>
      </c>
      <c r="N9321">
        <v>532</v>
      </c>
    </row>
    <row r="9322" spans="1:14" x14ac:dyDescent="0.35">
      <c r="A9322" t="s">
        <v>229</v>
      </c>
      <c r="B9322" t="s">
        <v>241</v>
      </c>
      <c r="C9322" t="s">
        <v>1281</v>
      </c>
      <c r="D9322" s="26">
        <v>0.86770000000000003</v>
      </c>
      <c r="E9322" s="26">
        <v>0.49170000000000003</v>
      </c>
      <c r="F9322" s="26">
        <v>0.83940000000000003</v>
      </c>
      <c r="G9322" s="26">
        <v>0.65590000000000004</v>
      </c>
      <c r="H9322" s="26">
        <v>0.79800000000000004</v>
      </c>
      <c r="I9322" s="26">
        <v>0.75939999999999996</v>
      </c>
      <c r="J9322" s="26">
        <v>0.88849999999999996</v>
      </c>
      <c r="K9322" s="26">
        <v>0.85589999999999999</v>
      </c>
      <c r="L9322" s="26">
        <v>0.90549999999999997</v>
      </c>
      <c r="M9322" s="26">
        <v>0.9345</v>
      </c>
      <c r="N9322">
        <v>532</v>
      </c>
    </row>
    <row r="9323" spans="1:14" x14ac:dyDescent="0.35">
      <c r="A9323" t="s">
        <v>229</v>
      </c>
      <c r="B9323" t="s">
        <v>241</v>
      </c>
      <c r="C9323" t="s">
        <v>1283</v>
      </c>
      <c r="D9323" s="26">
        <v>8.2900000000000001E-2</v>
      </c>
      <c r="E9323" s="26">
        <v>9.9699999999999997E-2</v>
      </c>
      <c r="F9323" s="26">
        <v>3.7900000000000003E-2</v>
      </c>
      <c r="G9323" s="26">
        <v>0.1229</v>
      </c>
      <c r="H9323" s="26">
        <v>0.16819999999999999</v>
      </c>
      <c r="I9323" s="26">
        <v>2.8799999999999999E-2</v>
      </c>
      <c r="J9323" s="26">
        <v>0.1036</v>
      </c>
      <c r="K9323" s="26">
        <v>0.14130000000000001</v>
      </c>
      <c r="L9323" s="26">
        <v>7.8299999999999995E-2</v>
      </c>
      <c r="M9323" s="26">
        <v>5.2600000000000001E-2</v>
      </c>
      <c r="N9323">
        <v>532</v>
      </c>
    </row>
    <row r="9324" spans="1:14" x14ac:dyDescent="0.35">
      <c r="A9324" t="s">
        <v>229</v>
      </c>
      <c r="B9324" t="s">
        <v>242</v>
      </c>
      <c r="C9324" t="s">
        <v>1283</v>
      </c>
      <c r="D9324" s="26">
        <v>0.1179</v>
      </c>
      <c r="E9324" s="26">
        <v>0.16350000000000001</v>
      </c>
      <c r="F9324" s="26">
        <v>8.3699999999999997E-2</v>
      </c>
      <c r="G9324" s="26">
        <v>0.26550000000000001</v>
      </c>
      <c r="H9324" s="26">
        <v>0.28260000000000002</v>
      </c>
      <c r="I9324" s="26">
        <v>1.34E-2</v>
      </c>
      <c r="J9324" s="26">
        <v>0.16370000000000001</v>
      </c>
      <c r="K9324" s="26">
        <v>0.25719999999999998</v>
      </c>
      <c r="L9324" s="26">
        <v>0.2051</v>
      </c>
      <c r="M9324" s="26">
        <v>0.12570000000000001</v>
      </c>
      <c r="N9324">
        <v>261</v>
      </c>
    </row>
    <row r="9325" spans="1:14" x14ac:dyDescent="0.35">
      <c r="A9325" t="s">
        <v>229</v>
      </c>
      <c r="B9325" t="s">
        <v>242</v>
      </c>
      <c r="C9325" t="s">
        <v>1282</v>
      </c>
      <c r="D9325" s="26">
        <v>5.0299999999999997E-2</v>
      </c>
      <c r="E9325" s="26">
        <v>8.0799999999999997E-2</v>
      </c>
      <c r="F9325" s="26">
        <v>8.3000000000000001E-3</v>
      </c>
      <c r="G9325" s="26">
        <v>2.3099999999999999E-2</v>
      </c>
      <c r="H9325" s="26">
        <v>4.4299999999999999E-2</v>
      </c>
      <c r="I9325" s="26">
        <v>2.1600000000000001E-2</v>
      </c>
      <c r="J9325" s="26">
        <v>7.1000000000000004E-3</v>
      </c>
      <c r="K9325" s="26">
        <v>3.1699999999999999E-2</v>
      </c>
      <c r="N9325">
        <v>261</v>
      </c>
    </row>
    <row r="9326" spans="1:14" x14ac:dyDescent="0.35">
      <c r="A9326" t="s">
        <v>229</v>
      </c>
      <c r="B9326" t="s">
        <v>242</v>
      </c>
      <c r="C9326" t="s">
        <v>303</v>
      </c>
      <c r="D9326" s="26">
        <v>3.5700000000000003E-2</v>
      </c>
      <c r="E9326" s="26">
        <v>0.50170000000000003</v>
      </c>
      <c r="F9326" s="26">
        <v>0.17</v>
      </c>
      <c r="G9326" s="26">
        <v>0.1711</v>
      </c>
      <c r="H9326" s="26">
        <v>1.84E-2</v>
      </c>
      <c r="I9326" s="26">
        <v>0.50029999999999997</v>
      </c>
      <c r="J9326" s="26">
        <v>3.3500000000000002E-2</v>
      </c>
      <c r="K9326" s="26">
        <v>1.9E-3</v>
      </c>
      <c r="L9326" s="26">
        <v>4.7199999999999999E-2</v>
      </c>
      <c r="M9326" s="26">
        <v>7.6E-3</v>
      </c>
      <c r="N9326">
        <v>261</v>
      </c>
    </row>
    <row r="9327" spans="1:14" x14ac:dyDescent="0.35">
      <c r="A9327" t="s">
        <v>229</v>
      </c>
      <c r="B9327" t="s">
        <v>242</v>
      </c>
      <c r="C9327" t="s">
        <v>1281</v>
      </c>
      <c r="D9327" s="26">
        <v>0.79610000000000003</v>
      </c>
      <c r="E9327" s="26">
        <v>0.25409999999999999</v>
      </c>
      <c r="F9327" s="26">
        <v>0.7379</v>
      </c>
      <c r="G9327" s="26">
        <v>0.5403</v>
      </c>
      <c r="H9327" s="26">
        <v>0.65469999999999995</v>
      </c>
      <c r="I9327" s="26">
        <v>0.4647</v>
      </c>
      <c r="J9327" s="26">
        <v>0.79569999999999996</v>
      </c>
      <c r="K9327" s="26">
        <v>0.70930000000000004</v>
      </c>
      <c r="L9327" s="26">
        <v>0.74760000000000004</v>
      </c>
      <c r="M9327" s="26">
        <v>0.86670000000000003</v>
      </c>
      <c r="N9327">
        <v>261</v>
      </c>
    </row>
    <row r="9328" spans="1:14" x14ac:dyDescent="0.35">
      <c r="A9328" t="s">
        <v>230</v>
      </c>
      <c r="B9328" t="s">
        <v>241</v>
      </c>
      <c r="C9328" t="s">
        <v>1283</v>
      </c>
      <c r="D9328" s="26">
        <v>0.13700000000000001</v>
      </c>
      <c r="E9328" s="26">
        <v>0.14460000000000001</v>
      </c>
      <c r="F9328" s="26">
        <v>4.07E-2</v>
      </c>
      <c r="G9328" s="26">
        <v>0.16639999999999999</v>
      </c>
      <c r="H9328" s="26">
        <v>0.25380000000000003</v>
      </c>
      <c r="I9328" s="26">
        <v>3.56E-2</v>
      </c>
      <c r="J9328" s="26">
        <v>0.14349999999999999</v>
      </c>
      <c r="K9328" s="26">
        <v>0.185</v>
      </c>
      <c r="L9328" s="26">
        <v>0.15959999999999999</v>
      </c>
      <c r="M9328" s="26">
        <v>0.11940000000000001</v>
      </c>
      <c r="N9328">
        <v>345</v>
      </c>
    </row>
    <row r="9329" spans="1:14" x14ac:dyDescent="0.35">
      <c r="A9329" t="s">
        <v>230</v>
      </c>
      <c r="B9329" t="s">
        <v>241</v>
      </c>
      <c r="C9329" t="s">
        <v>1282</v>
      </c>
      <c r="D9329" s="26">
        <v>5.0000000000000001E-4</v>
      </c>
      <c r="E9329" s="26">
        <v>7.9500000000000001E-2</v>
      </c>
      <c r="F9329" s="26">
        <v>1.21E-2</v>
      </c>
      <c r="G9329" s="26">
        <v>8.0999999999999996E-3</v>
      </c>
      <c r="H9329" s="26">
        <v>4.1300000000000003E-2</v>
      </c>
      <c r="I9329" s="26">
        <v>9.1000000000000004E-3</v>
      </c>
      <c r="J9329" s="26">
        <v>3.5000000000000001E-3</v>
      </c>
      <c r="L9329" s="26">
        <v>9.1000000000000004E-3</v>
      </c>
      <c r="M9329" s="26">
        <v>1.5E-3</v>
      </c>
      <c r="N9329">
        <v>345</v>
      </c>
    </row>
    <row r="9330" spans="1:14" x14ac:dyDescent="0.35">
      <c r="A9330" t="s">
        <v>230</v>
      </c>
      <c r="B9330" t="s">
        <v>241</v>
      </c>
      <c r="C9330" t="s">
        <v>1281</v>
      </c>
      <c r="D9330" s="26">
        <v>0.81659999999999999</v>
      </c>
      <c r="E9330" s="26">
        <v>0.38740000000000002</v>
      </c>
      <c r="F9330" s="26">
        <v>0.77949999999999997</v>
      </c>
      <c r="G9330" s="26">
        <v>0.60089999999999999</v>
      </c>
      <c r="H9330" s="26">
        <v>0.69120000000000004</v>
      </c>
      <c r="I9330" s="26">
        <v>0.70109999999999995</v>
      </c>
      <c r="J9330" s="26">
        <v>0.85299999999999998</v>
      </c>
      <c r="K9330" s="26">
        <v>0.81499999999999995</v>
      </c>
      <c r="L9330" s="26">
        <v>0.81979999999999997</v>
      </c>
      <c r="M9330" s="26">
        <v>0.87819999999999998</v>
      </c>
      <c r="N9330">
        <v>345</v>
      </c>
    </row>
    <row r="9331" spans="1:14" x14ac:dyDescent="0.35">
      <c r="A9331" t="s">
        <v>230</v>
      </c>
      <c r="B9331" t="s">
        <v>241</v>
      </c>
      <c r="C9331" t="s">
        <v>303</v>
      </c>
      <c r="D9331" s="26">
        <v>4.5900000000000003E-2</v>
      </c>
      <c r="E9331" s="26">
        <v>0.38850000000000001</v>
      </c>
      <c r="F9331" s="26">
        <v>0.16769999999999999</v>
      </c>
      <c r="G9331" s="26">
        <v>0.22459999999999999</v>
      </c>
      <c r="H9331" s="26">
        <v>1.3599999999999999E-2</v>
      </c>
      <c r="I9331" s="26">
        <v>0.25419999999999998</v>
      </c>
      <c r="L9331" s="26">
        <v>1.15E-2</v>
      </c>
      <c r="M9331" s="26">
        <v>8.9999999999999998E-4</v>
      </c>
      <c r="N9331">
        <v>345</v>
      </c>
    </row>
    <row r="9332" spans="1:14" x14ac:dyDescent="0.35">
      <c r="A9332" t="s">
        <v>230</v>
      </c>
      <c r="B9332" t="s">
        <v>242</v>
      </c>
      <c r="C9332" t="s">
        <v>1283</v>
      </c>
      <c r="D9332" s="26">
        <v>0.2331</v>
      </c>
      <c r="E9332" s="26">
        <v>0.23430000000000001</v>
      </c>
      <c r="F9332" s="26">
        <v>0.11650000000000001</v>
      </c>
      <c r="G9332" s="26">
        <v>0.32750000000000001</v>
      </c>
      <c r="H9332" s="26">
        <v>0.28670000000000001</v>
      </c>
      <c r="I9332" s="26">
        <v>2.69E-2</v>
      </c>
      <c r="J9332" s="26">
        <v>0.24429999999999999</v>
      </c>
      <c r="K9332" s="26">
        <v>0.3337</v>
      </c>
      <c r="L9332" s="26">
        <v>0.25750000000000001</v>
      </c>
      <c r="M9332" s="26">
        <v>0.16600000000000001</v>
      </c>
      <c r="N9332">
        <v>170</v>
      </c>
    </row>
    <row r="9333" spans="1:14" x14ac:dyDescent="0.35">
      <c r="A9333" t="s">
        <v>230</v>
      </c>
      <c r="B9333" t="s">
        <v>242</v>
      </c>
      <c r="C9333" t="s">
        <v>1282</v>
      </c>
      <c r="D9333" s="26">
        <v>1.24E-2</v>
      </c>
      <c r="E9333" s="26">
        <v>8.8200000000000001E-2</v>
      </c>
      <c r="F9333" s="26">
        <v>1.06E-2</v>
      </c>
      <c r="G9333" s="26">
        <v>1.9E-3</v>
      </c>
      <c r="H9333" s="26">
        <v>2.0500000000000001E-2</v>
      </c>
      <c r="I9333" s="26">
        <v>2.1399999999999999E-2</v>
      </c>
      <c r="K9333" s="26">
        <v>3.0000000000000001E-3</v>
      </c>
      <c r="L9333" s="26">
        <v>3.0000000000000001E-3</v>
      </c>
      <c r="M9333" s="26">
        <v>8.9999999999999998E-4</v>
      </c>
      <c r="N9333">
        <v>170</v>
      </c>
    </row>
    <row r="9334" spans="1:14" x14ac:dyDescent="0.35">
      <c r="A9334" t="s">
        <v>230</v>
      </c>
      <c r="B9334" t="s">
        <v>242</v>
      </c>
      <c r="C9334" t="s">
        <v>1281</v>
      </c>
      <c r="D9334" s="26">
        <v>0.69889999999999997</v>
      </c>
      <c r="E9334" s="26">
        <v>0.28160000000000002</v>
      </c>
      <c r="F9334" s="26">
        <v>0.76400000000000001</v>
      </c>
      <c r="G9334" s="26">
        <v>0.41510000000000002</v>
      </c>
      <c r="H9334" s="26">
        <v>0.68400000000000005</v>
      </c>
      <c r="I9334" s="26">
        <v>0.50760000000000005</v>
      </c>
      <c r="J9334" s="26">
        <v>0.75480000000000003</v>
      </c>
      <c r="K9334" s="26">
        <v>0.66039999999999999</v>
      </c>
      <c r="L9334" s="26">
        <v>0.73570000000000002</v>
      </c>
      <c r="M9334" s="26">
        <v>0.80600000000000005</v>
      </c>
      <c r="N9334">
        <v>170</v>
      </c>
    </row>
    <row r="9335" spans="1:14" x14ac:dyDescent="0.35">
      <c r="A9335" t="s">
        <v>230</v>
      </c>
      <c r="B9335" t="s">
        <v>242</v>
      </c>
      <c r="C9335" t="s">
        <v>303</v>
      </c>
      <c r="D9335" s="26">
        <v>5.5599999999999997E-2</v>
      </c>
      <c r="E9335" s="26">
        <v>0.39589999999999997</v>
      </c>
      <c r="F9335" s="26">
        <v>0.1089</v>
      </c>
      <c r="G9335" s="26">
        <v>0.2555</v>
      </c>
      <c r="H9335" s="26">
        <v>8.8000000000000005E-3</v>
      </c>
      <c r="I9335" s="26">
        <v>0.44400000000000001</v>
      </c>
      <c r="J9335" s="26">
        <v>8.9999999999999998E-4</v>
      </c>
      <c r="K9335" s="26">
        <v>2.8999999999999998E-3</v>
      </c>
      <c r="L9335" s="26">
        <v>3.8E-3</v>
      </c>
      <c r="M9335" s="26">
        <v>2.7099999999999999E-2</v>
      </c>
      <c r="N9335">
        <v>170</v>
      </c>
    </row>
    <row r="9336" spans="1:14" x14ac:dyDescent="0.35">
      <c r="A9336" t="s">
        <v>231</v>
      </c>
      <c r="B9336" t="s">
        <v>242</v>
      </c>
      <c r="C9336" t="s">
        <v>1281</v>
      </c>
      <c r="D9336" s="26">
        <v>0.72</v>
      </c>
      <c r="E9336" s="26">
        <v>0.22</v>
      </c>
      <c r="F9336" s="26">
        <v>0.76</v>
      </c>
      <c r="G9336" s="26">
        <v>0.52</v>
      </c>
      <c r="H9336" s="26">
        <v>0.68</v>
      </c>
      <c r="I9336" s="26">
        <v>0.54</v>
      </c>
      <c r="J9336" s="26">
        <v>0.68</v>
      </c>
      <c r="K9336" s="26">
        <v>0.74</v>
      </c>
      <c r="L9336" s="26">
        <v>0.74</v>
      </c>
      <c r="M9336" s="26">
        <v>0.92</v>
      </c>
      <c r="N9336">
        <v>50</v>
      </c>
    </row>
    <row r="9337" spans="1:14" x14ac:dyDescent="0.35">
      <c r="A9337" t="s">
        <v>231</v>
      </c>
      <c r="B9337" t="s">
        <v>242</v>
      </c>
      <c r="C9337" t="s">
        <v>1282</v>
      </c>
      <c r="D9337" s="26">
        <v>0.02</v>
      </c>
      <c r="E9337" s="26">
        <v>0.1</v>
      </c>
      <c r="H9337" s="26">
        <v>0.04</v>
      </c>
      <c r="J9337" s="26">
        <v>0.02</v>
      </c>
      <c r="K9337" s="26">
        <v>0.04</v>
      </c>
      <c r="L9337" s="26">
        <v>0.02</v>
      </c>
      <c r="N9337">
        <v>50</v>
      </c>
    </row>
    <row r="9338" spans="1:14" x14ac:dyDescent="0.35">
      <c r="A9338" t="s">
        <v>231</v>
      </c>
      <c r="B9338" t="s">
        <v>242</v>
      </c>
      <c r="C9338" t="s">
        <v>1283</v>
      </c>
      <c r="D9338" s="26">
        <v>0.18</v>
      </c>
      <c r="E9338" s="26">
        <v>0.14000000000000001</v>
      </c>
      <c r="F9338" s="26">
        <v>0.04</v>
      </c>
      <c r="G9338" s="26">
        <v>0.3</v>
      </c>
      <c r="H9338" s="26">
        <v>0.28000000000000003</v>
      </c>
      <c r="I9338" s="26">
        <v>0.06</v>
      </c>
      <c r="J9338" s="26">
        <v>0.3</v>
      </c>
      <c r="K9338" s="26">
        <v>0.22</v>
      </c>
      <c r="L9338" s="26">
        <v>0.2</v>
      </c>
      <c r="M9338" s="26">
        <v>0.06</v>
      </c>
      <c r="N9338">
        <v>50</v>
      </c>
    </row>
    <row r="9339" spans="1:14" x14ac:dyDescent="0.35">
      <c r="A9339" t="s">
        <v>231</v>
      </c>
      <c r="B9339" t="s">
        <v>242</v>
      </c>
      <c r="C9339" t="s">
        <v>303</v>
      </c>
      <c r="D9339" s="26">
        <v>0.08</v>
      </c>
      <c r="E9339" s="26">
        <v>0.54</v>
      </c>
      <c r="F9339" s="26">
        <v>0.2</v>
      </c>
      <c r="G9339" s="26">
        <v>0.18</v>
      </c>
      <c r="I9339" s="26">
        <v>0.4</v>
      </c>
      <c r="L9339" s="26">
        <v>0.04</v>
      </c>
      <c r="M9339" s="26">
        <v>0.02</v>
      </c>
      <c r="N9339">
        <v>50</v>
      </c>
    </row>
    <row r="9340" spans="1:14" x14ac:dyDescent="0.35">
      <c r="A9340" t="s">
        <v>231</v>
      </c>
      <c r="B9340" t="s">
        <v>241</v>
      </c>
      <c r="C9340" t="s">
        <v>1281</v>
      </c>
      <c r="D9340" s="26">
        <v>0.83160000000000001</v>
      </c>
      <c r="E9340" s="26">
        <v>0.4526</v>
      </c>
      <c r="F9340" s="26">
        <v>0.8</v>
      </c>
      <c r="G9340" s="26">
        <v>0.64839999999999998</v>
      </c>
      <c r="H9340" s="26">
        <v>0.76839999999999997</v>
      </c>
      <c r="I9340" s="26">
        <v>0.66320000000000001</v>
      </c>
      <c r="J9340" s="26">
        <v>0.84209999999999996</v>
      </c>
      <c r="K9340" s="26">
        <v>0.8</v>
      </c>
      <c r="L9340" s="26">
        <v>0.89470000000000005</v>
      </c>
      <c r="M9340" s="26">
        <v>0.89470000000000005</v>
      </c>
      <c r="N9340">
        <v>95</v>
      </c>
    </row>
    <row r="9341" spans="1:14" x14ac:dyDescent="0.35">
      <c r="A9341" t="s">
        <v>231</v>
      </c>
      <c r="B9341" t="s">
        <v>241</v>
      </c>
      <c r="C9341" t="s">
        <v>1282</v>
      </c>
      <c r="D9341" s="26">
        <v>2.1100000000000001E-2</v>
      </c>
      <c r="E9341" s="26">
        <v>2.1100000000000001E-2</v>
      </c>
      <c r="F9341" s="26">
        <v>2.1100000000000001E-2</v>
      </c>
      <c r="G9341" s="26">
        <v>1.0999999999999999E-2</v>
      </c>
      <c r="H9341" s="26">
        <v>2.1100000000000001E-2</v>
      </c>
      <c r="I9341" s="26">
        <v>1.0500000000000001E-2</v>
      </c>
      <c r="N9341">
        <v>95</v>
      </c>
    </row>
    <row r="9342" spans="1:14" x14ac:dyDescent="0.35">
      <c r="A9342" t="s">
        <v>231</v>
      </c>
      <c r="B9342" t="s">
        <v>241</v>
      </c>
      <c r="C9342" t="s">
        <v>1283</v>
      </c>
      <c r="D9342" s="26">
        <v>0.1158</v>
      </c>
      <c r="E9342" s="26">
        <v>0.1263</v>
      </c>
      <c r="F9342" s="26">
        <v>1.0500000000000001E-2</v>
      </c>
      <c r="G9342" s="26">
        <v>0.1648</v>
      </c>
      <c r="H9342" s="26">
        <v>0.2</v>
      </c>
      <c r="I9342" s="26">
        <v>4.2099999999999999E-2</v>
      </c>
      <c r="J9342" s="26">
        <v>0.1474</v>
      </c>
      <c r="K9342" s="26">
        <v>0.2</v>
      </c>
      <c r="L9342" s="26">
        <v>7.3700000000000002E-2</v>
      </c>
      <c r="M9342" s="26">
        <v>8.4199999999999997E-2</v>
      </c>
      <c r="N9342">
        <v>95</v>
      </c>
    </row>
    <row r="9343" spans="1:14" x14ac:dyDescent="0.35">
      <c r="A9343" t="s">
        <v>231</v>
      </c>
      <c r="B9343" t="s">
        <v>241</v>
      </c>
      <c r="C9343" t="s">
        <v>303</v>
      </c>
      <c r="D9343" s="26">
        <v>3.1600000000000003E-2</v>
      </c>
      <c r="E9343" s="26">
        <v>0.4</v>
      </c>
      <c r="F9343" s="26">
        <v>0.16839999999999999</v>
      </c>
      <c r="G9343" s="26">
        <v>0.17580000000000001</v>
      </c>
      <c r="H9343" s="26">
        <v>1.0500000000000001E-2</v>
      </c>
      <c r="I9343" s="26">
        <v>0.28420000000000001</v>
      </c>
      <c r="J9343" s="26">
        <v>1.0500000000000001E-2</v>
      </c>
      <c r="L9343" s="26">
        <v>3.1600000000000003E-2</v>
      </c>
      <c r="M9343" s="26">
        <v>2.1100000000000001E-2</v>
      </c>
      <c r="N9343">
        <v>95</v>
      </c>
    </row>
    <row r="9344" spans="1:14" x14ac:dyDescent="0.35">
      <c r="A9344" t="s">
        <v>232</v>
      </c>
      <c r="B9344" t="s">
        <v>232</v>
      </c>
      <c r="C9344" t="s">
        <v>1283</v>
      </c>
      <c r="D9344" s="26">
        <v>0.12759999999999999</v>
      </c>
      <c r="E9344" s="26">
        <v>0.1409</v>
      </c>
      <c r="F9344" s="26">
        <v>4.8899999999999999E-2</v>
      </c>
      <c r="G9344" s="26">
        <v>0.2019</v>
      </c>
      <c r="H9344" s="26">
        <v>0.2152</v>
      </c>
      <c r="I9344" s="26">
        <v>4.0599999999999997E-2</v>
      </c>
      <c r="J9344" s="26">
        <v>0.1648</v>
      </c>
      <c r="K9344" s="26">
        <v>0.2019</v>
      </c>
      <c r="L9344" s="26">
        <v>0.14050000000000001</v>
      </c>
      <c r="M9344" s="26">
        <v>9.2600000000000002E-2</v>
      </c>
      <c r="N9344">
        <v>2546</v>
      </c>
    </row>
    <row r="9345" spans="1:14" x14ac:dyDescent="0.35">
      <c r="A9345" t="s">
        <v>232</v>
      </c>
      <c r="B9345" t="s">
        <v>232</v>
      </c>
      <c r="C9345" t="s">
        <v>1281</v>
      </c>
      <c r="D9345" s="26">
        <v>0.81079999999999997</v>
      </c>
      <c r="E9345" s="26">
        <v>0.38419999999999999</v>
      </c>
      <c r="F9345" s="26">
        <v>0.80230000000000001</v>
      </c>
      <c r="G9345" s="26">
        <v>0.60229999999999995</v>
      </c>
      <c r="H9345" s="26">
        <v>0.74029999999999996</v>
      </c>
      <c r="I9345" s="26">
        <v>0.63570000000000004</v>
      </c>
      <c r="J9345" s="26">
        <v>0.82030000000000003</v>
      </c>
      <c r="K9345" s="26">
        <v>0.78349999999999997</v>
      </c>
      <c r="L9345" s="26">
        <v>0.83460000000000001</v>
      </c>
      <c r="M9345" s="26">
        <v>0.89729999999999999</v>
      </c>
      <c r="N9345">
        <v>2546</v>
      </c>
    </row>
    <row r="9346" spans="1:14" x14ac:dyDescent="0.35">
      <c r="A9346" t="s">
        <v>232</v>
      </c>
      <c r="B9346" t="s">
        <v>232</v>
      </c>
      <c r="C9346" t="s">
        <v>1282</v>
      </c>
      <c r="D9346" s="26">
        <v>2.1100000000000001E-2</v>
      </c>
      <c r="E9346" s="26">
        <v>6.2899999999999998E-2</v>
      </c>
      <c r="F9346" s="26">
        <v>1.17E-2</v>
      </c>
      <c r="G9346" s="26">
        <v>1.9599999999999999E-2</v>
      </c>
      <c r="H9346" s="26">
        <v>2.63E-2</v>
      </c>
      <c r="I9346" s="26">
        <v>7.3000000000000001E-3</v>
      </c>
      <c r="J9346" s="26">
        <v>5.8999999999999999E-3</v>
      </c>
      <c r="K9346" s="26">
        <v>1.14E-2</v>
      </c>
      <c r="L9346" s="26">
        <v>3.0000000000000001E-3</v>
      </c>
      <c r="M9346" s="26">
        <v>4.0000000000000002E-4</v>
      </c>
      <c r="N9346">
        <v>2546</v>
      </c>
    </row>
    <row r="9347" spans="1:14" x14ac:dyDescent="0.35">
      <c r="A9347" t="s">
        <v>232</v>
      </c>
      <c r="B9347" t="s">
        <v>232</v>
      </c>
      <c r="C9347" t="s">
        <v>303</v>
      </c>
      <c r="D9347" s="26">
        <v>4.0599999999999997E-2</v>
      </c>
      <c r="E9347" s="26">
        <v>0.41199999999999998</v>
      </c>
      <c r="F9347" s="26">
        <v>0.1371</v>
      </c>
      <c r="G9347" s="26">
        <v>0.17610000000000001</v>
      </c>
      <c r="H9347" s="26">
        <v>1.8200000000000001E-2</v>
      </c>
      <c r="I9347" s="26">
        <v>0.31640000000000001</v>
      </c>
      <c r="J9347" s="26">
        <v>8.9999999999999993E-3</v>
      </c>
      <c r="K9347" s="26">
        <v>3.2000000000000002E-3</v>
      </c>
      <c r="L9347" s="26">
        <v>2.1899999999999999E-2</v>
      </c>
      <c r="M9347" s="26">
        <v>9.7000000000000003E-3</v>
      </c>
      <c r="N9347">
        <v>2546</v>
      </c>
    </row>
    <row r="9349" spans="1:14" x14ac:dyDescent="0.35">
      <c r="A9349" s="1" t="s">
        <v>1291</v>
      </c>
    </row>
    <row r="9350" spans="1:14" x14ac:dyDescent="0.35">
      <c r="A9350" t="s">
        <v>219</v>
      </c>
      <c r="B9350" t="s">
        <v>305</v>
      </c>
      <c r="C9350" t="s">
        <v>1285</v>
      </c>
      <c r="D9350" t="s">
        <v>1286</v>
      </c>
      <c r="E9350" t="s">
        <v>1287</v>
      </c>
      <c r="F9350" t="s">
        <v>1288</v>
      </c>
      <c r="G9350" t="s">
        <v>1289</v>
      </c>
      <c r="H9350" t="s">
        <v>281</v>
      </c>
      <c r="I9350" t="s">
        <v>226</v>
      </c>
    </row>
    <row r="9351" spans="1:14" x14ac:dyDescent="0.35">
      <c r="A9351" t="s">
        <v>227</v>
      </c>
      <c r="B9351" t="s">
        <v>242</v>
      </c>
      <c r="C9351" s="26">
        <v>0.42859999999999998</v>
      </c>
      <c r="D9351" s="26">
        <v>0.45710000000000001</v>
      </c>
      <c r="E9351" s="26">
        <v>0.34289999999999998</v>
      </c>
      <c r="F9351" s="26">
        <v>0.1143</v>
      </c>
      <c r="I9351">
        <v>35</v>
      </c>
    </row>
    <row r="9352" spans="1:14" x14ac:dyDescent="0.35">
      <c r="A9352" t="s">
        <v>227</v>
      </c>
      <c r="B9352" t="s">
        <v>241</v>
      </c>
      <c r="C9352" s="26">
        <v>0.3</v>
      </c>
      <c r="D9352" s="26">
        <v>0.36670000000000003</v>
      </c>
      <c r="E9352" s="26">
        <v>0.1333</v>
      </c>
      <c r="F9352" s="26">
        <v>0.1333</v>
      </c>
      <c r="G9352" s="26">
        <v>0.26669999999999999</v>
      </c>
      <c r="I9352">
        <v>30</v>
      </c>
    </row>
    <row r="9353" spans="1:14" x14ac:dyDescent="0.35">
      <c r="A9353" t="s">
        <v>228</v>
      </c>
      <c r="B9353" t="s">
        <v>242</v>
      </c>
      <c r="C9353" s="26">
        <v>0.48130000000000001</v>
      </c>
      <c r="D9353" s="26">
        <v>0.57679999999999998</v>
      </c>
      <c r="E9353" s="26">
        <v>0.35470000000000002</v>
      </c>
      <c r="F9353" s="26">
        <v>8.3099999999999993E-2</v>
      </c>
      <c r="G9353" s="26">
        <v>6.1100000000000002E-2</v>
      </c>
      <c r="H9353" s="26">
        <v>2.5899999999999999E-2</v>
      </c>
      <c r="I9353">
        <v>251</v>
      </c>
    </row>
    <row r="9354" spans="1:14" x14ac:dyDescent="0.35">
      <c r="A9354" t="s">
        <v>228</v>
      </c>
      <c r="B9354" t="s">
        <v>241</v>
      </c>
      <c r="C9354" s="26">
        <v>0.42980000000000002</v>
      </c>
      <c r="D9354" s="26">
        <v>0.39319999999999999</v>
      </c>
      <c r="E9354" s="26">
        <v>0.31359999999999999</v>
      </c>
      <c r="F9354" s="26">
        <v>0.1134</v>
      </c>
      <c r="G9354" s="26">
        <v>9.4299999999999995E-2</v>
      </c>
      <c r="H9354" s="26">
        <v>4.4499999999999998E-2</v>
      </c>
      <c r="I9354">
        <v>303</v>
      </c>
    </row>
    <row r="9355" spans="1:14" x14ac:dyDescent="0.35">
      <c r="A9355" t="s">
        <v>229</v>
      </c>
      <c r="B9355" t="s">
        <v>242</v>
      </c>
      <c r="C9355" s="26">
        <v>0.50570000000000004</v>
      </c>
      <c r="D9355" s="26">
        <v>0.58579999999999999</v>
      </c>
      <c r="E9355" s="26">
        <v>0.3473</v>
      </c>
      <c r="F9355" s="26">
        <v>6.2799999999999995E-2</v>
      </c>
      <c r="G9355" s="26">
        <v>0.10780000000000001</v>
      </c>
      <c r="H9355" s="26">
        <v>4.07E-2</v>
      </c>
      <c r="I9355">
        <v>177</v>
      </c>
    </row>
    <row r="9356" spans="1:14" x14ac:dyDescent="0.35">
      <c r="A9356" t="s">
        <v>229</v>
      </c>
      <c r="B9356" t="s">
        <v>241</v>
      </c>
      <c r="C9356" s="26">
        <v>0.45350000000000001</v>
      </c>
      <c r="D9356" s="26">
        <v>0.29709999999999998</v>
      </c>
      <c r="E9356" s="26">
        <v>0.37240000000000001</v>
      </c>
      <c r="F9356" s="26">
        <v>0.1205</v>
      </c>
      <c r="G9356" s="26">
        <v>0.1079</v>
      </c>
      <c r="H9356" s="26">
        <v>4.6100000000000002E-2</v>
      </c>
      <c r="I9356">
        <v>250</v>
      </c>
    </row>
    <row r="9357" spans="1:14" x14ac:dyDescent="0.35">
      <c r="A9357" t="s">
        <v>230</v>
      </c>
      <c r="B9357" t="s">
        <v>242</v>
      </c>
      <c r="C9357" s="26">
        <v>0.4118</v>
      </c>
      <c r="D9357" s="26">
        <v>0.64439999999999997</v>
      </c>
      <c r="E9357" s="26">
        <v>0.27679999999999999</v>
      </c>
      <c r="F9357" s="26">
        <v>0.1862</v>
      </c>
      <c r="G9357" s="26">
        <v>5.5899999999999998E-2</v>
      </c>
      <c r="H9357" s="26">
        <v>5.0900000000000001E-2</v>
      </c>
      <c r="I9357">
        <v>118</v>
      </c>
    </row>
    <row r="9358" spans="1:14" x14ac:dyDescent="0.35">
      <c r="A9358" t="s">
        <v>230</v>
      </c>
      <c r="B9358" t="s">
        <v>241</v>
      </c>
      <c r="C9358" s="26">
        <v>0.52010000000000001</v>
      </c>
      <c r="D9358" s="26">
        <v>0.3503</v>
      </c>
      <c r="E9358" s="26">
        <v>0.373</v>
      </c>
      <c r="F9358" s="26">
        <v>7.4899999999999994E-2</v>
      </c>
      <c r="G9358" s="26">
        <v>0.15490000000000001</v>
      </c>
      <c r="H9358" s="26">
        <v>2.8199999999999999E-2</v>
      </c>
      <c r="I9358">
        <v>180</v>
      </c>
    </row>
    <row r="9359" spans="1:14" x14ac:dyDescent="0.35">
      <c r="A9359" s="27" t="s">
        <v>231</v>
      </c>
      <c r="B9359" s="27" t="s">
        <v>242</v>
      </c>
      <c r="C9359" s="28">
        <v>0.44829999999999998</v>
      </c>
      <c r="D9359" s="28">
        <v>0.6552</v>
      </c>
      <c r="E9359" s="28">
        <v>0.2414</v>
      </c>
      <c r="F9359" s="28">
        <v>6.9000000000000006E-2</v>
      </c>
      <c r="G9359" s="28">
        <v>6.9000000000000006E-2</v>
      </c>
      <c r="H9359" s="29"/>
      <c r="I9359" s="29" t="s">
        <v>329</v>
      </c>
    </row>
    <row r="9360" spans="1:14" x14ac:dyDescent="0.35">
      <c r="A9360" t="s">
        <v>231</v>
      </c>
      <c r="B9360" t="s">
        <v>241</v>
      </c>
      <c r="C9360" s="26">
        <v>0.50980000000000003</v>
      </c>
      <c r="D9360" s="26">
        <v>0.3725</v>
      </c>
      <c r="E9360" s="26">
        <v>0.35289999999999999</v>
      </c>
      <c r="F9360" s="26">
        <v>7.8399999999999997E-2</v>
      </c>
      <c r="G9360" s="26">
        <v>7.8399999999999997E-2</v>
      </c>
      <c r="H9360" s="26">
        <v>5.8799999999999998E-2</v>
      </c>
      <c r="I9360">
        <v>51</v>
      </c>
    </row>
    <row r="9361" spans="1:14" x14ac:dyDescent="0.35">
      <c r="A9361" t="s">
        <v>232</v>
      </c>
      <c r="B9361" t="s">
        <v>232</v>
      </c>
      <c r="C9361" s="26">
        <v>0.46189999999999998</v>
      </c>
      <c r="D9361" s="26">
        <v>0.45610000000000001</v>
      </c>
      <c r="E9361" s="26">
        <v>0.32429999999999998</v>
      </c>
      <c r="F9361" s="26">
        <v>9.6000000000000002E-2</v>
      </c>
      <c r="G9361" s="26">
        <v>9.6000000000000002E-2</v>
      </c>
      <c r="H9361" s="26">
        <v>3.4500000000000003E-2</v>
      </c>
      <c r="I9361">
        <v>1424</v>
      </c>
    </row>
    <row r="9363" spans="1:14" x14ac:dyDescent="0.35">
      <c r="A9363" s="1" t="s">
        <v>1292</v>
      </c>
    </row>
    <row r="9364" spans="1:14" x14ac:dyDescent="0.35">
      <c r="A9364" t="s">
        <v>219</v>
      </c>
      <c r="B9364" t="s">
        <v>305</v>
      </c>
      <c r="C9364" t="s">
        <v>1270</v>
      </c>
      <c r="D9364" t="s">
        <v>1271</v>
      </c>
      <c r="E9364" t="s">
        <v>1272</v>
      </c>
      <c r="F9364" t="s">
        <v>1273</v>
      </c>
      <c r="G9364" t="s">
        <v>1274</v>
      </c>
      <c r="H9364" t="s">
        <v>1275</v>
      </c>
      <c r="I9364" t="s">
        <v>1276</v>
      </c>
      <c r="J9364" t="s">
        <v>1277</v>
      </c>
      <c r="K9364" t="s">
        <v>1278</v>
      </c>
      <c r="L9364" t="s">
        <v>1279</v>
      </c>
      <c r="M9364" t="s">
        <v>1280</v>
      </c>
      <c r="N9364" t="s">
        <v>964</v>
      </c>
    </row>
    <row r="9365" spans="1:14" x14ac:dyDescent="0.35">
      <c r="A9365" t="s">
        <v>227</v>
      </c>
      <c r="B9365" t="s">
        <v>239</v>
      </c>
      <c r="C9365" t="s">
        <v>1281</v>
      </c>
      <c r="D9365" s="26">
        <v>0.70689999999999997</v>
      </c>
      <c r="E9365" s="26">
        <v>0.27589999999999998</v>
      </c>
      <c r="F9365" s="26">
        <v>0.8276</v>
      </c>
      <c r="G9365" s="26">
        <v>0.5</v>
      </c>
      <c r="H9365" s="26">
        <v>0.74139999999999995</v>
      </c>
      <c r="I9365" s="26">
        <v>0.62070000000000003</v>
      </c>
      <c r="J9365" s="26">
        <v>0.8276</v>
      </c>
      <c r="K9365" s="26">
        <v>0.70689999999999997</v>
      </c>
      <c r="L9365" s="26">
        <v>0.8276</v>
      </c>
      <c r="M9365" s="26">
        <v>0.93100000000000005</v>
      </c>
      <c r="N9365">
        <v>58</v>
      </c>
    </row>
    <row r="9366" spans="1:14" x14ac:dyDescent="0.35">
      <c r="A9366" t="s">
        <v>227</v>
      </c>
      <c r="B9366" t="s">
        <v>239</v>
      </c>
      <c r="C9366" t="s">
        <v>1282</v>
      </c>
      <c r="D9366" s="26">
        <v>3.4500000000000003E-2</v>
      </c>
      <c r="E9366" s="26">
        <v>0.1207</v>
      </c>
      <c r="F9366" s="26">
        <v>5.1700000000000003E-2</v>
      </c>
      <c r="G9366" s="26">
        <v>6.9000000000000006E-2</v>
      </c>
      <c r="H9366" s="26">
        <v>5.1700000000000003E-2</v>
      </c>
      <c r="J9366" s="26">
        <v>1.72E-2</v>
      </c>
      <c r="K9366" s="26">
        <v>5.1700000000000003E-2</v>
      </c>
      <c r="N9366">
        <v>58</v>
      </c>
    </row>
    <row r="9367" spans="1:14" x14ac:dyDescent="0.35">
      <c r="A9367" t="s">
        <v>227</v>
      </c>
      <c r="B9367" t="s">
        <v>239</v>
      </c>
      <c r="C9367" t="s">
        <v>1283</v>
      </c>
      <c r="D9367" s="26">
        <v>0.2414</v>
      </c>
      <c r="E9367" s="26">
        <v>0.27589999999999998</v>
      </c>
      <c r="F9367" s="26">
        <v>8.6199999999999999E-2</v>
      </c>
      <c r="G9367" s="26">
        <v>0.3276</v>
      </c>
      <c r="H9367" s="26">
        <v>0.18970000000000001</v>
      </c>
      <c r="I9367" s="26">
        <v>3.4500000000000003E-2</v>
      </c>
      <c r="J9367" s="26">
        <v>0.1552</v>
      </c>
      <c r="K9367" s="26">
        <v>0.2414</v>
      </c>
      <c r="L9367" s="26">
        <v>0.1724</v>
      </c>
      <c r="M9367" s="26">
        <v>6.9000000000000006E-2</v>
      </c>
      <c r="N9367">
        <v>58</v>
      </c>
    </row>
    <row r="9368" spans="1:14" x14ac:dyDescent="0.35">
      <c r="A9368" t="s">
        <v>227</v>
      </c>
      <c r="B9368" t="s">
        <v>239</v>
      </c>
      <c r="C9368" t="s">
        <v>303</v>
      </c>
      <c r="D9368" s="26">
        <v>1.72E-2</v>
      </c>
      <c r="E9368" s="26">
        <v>0.3276</v>
      </c>
      <c r="F9368" s="26">
        <v>3.4500000000000003E-2</v>
      </c>
      <c r="G9368" s="26">
        <v>0.10340000000000001</v>
      </c>
      <c r="H9368" s="26">
        <v>1.72E-2</v>
      </c>
      <c r="I9368" s="26">
        <v>0.3448</v>
      </c>
      <c r="N9368">
        <v>58</v>
      </c>
    </row>
    <row r="9369" spans="1:14" x14ac:dyDescent="0.35">
      <c r="A9369" t="s">
        <v>227</v>
      </c>
      <c r="B9369" t="s">
        <v>238</v>
      </c>
      <c r="C9369" t="s">
        <v>1281</v>
      </c>
      <c r="D9369" s="26">
        <v>0.86809999999999998</v>
      </c>
      <c r="E9369" s="26">
        <v>0.45050000000000001</v>
      </c>
      <c r="F9369" s="26">
        <v>0.87909999999999999</v>
      </c>
      <c r="G9369" s="26">
        <v>0.68130000000000002</v>
      </c>
      <c r="H9369" s="26">
        <v>0.76919999999999999</v>
      </c>
      <c r="I9369" s="26">
        <v>0.69230000000000003</v>
      </c>
      <c r="J9369" s="26">
        <v>0.79120000000000001</v>
      </c>
      <c r="K9369" s="26">
        <v>0.76919999999999999</v>
      </c>
      <c r="L9369" s="26">
        <v>0.80220000000000002</v>
      </c>
      <c r="M9369" s="26">
        <v>0.84619999999999995</v>
      </c>
      <c r="N9369">
        <v>91</v>
      </c>
    </row>
    <row r="9370" spans="1:14" x14ac:dyDescent="0.35">
      <c r="A9370" t="s">
        <v>227</v>
      </c>
      <c r="B9370" t="s">
        <v>238</v>
      </c>
      <c r="C9370" t="s">
        <v>1282</v>
      </c>
      <c r="D9370" s="26">
        <v>1.0999999999999999E-2</v>
      </c>
      <c r="E9370" s="26">
        <v>5.4899999999999997E-2</v>
      </c>
      <c r="G9370" s="26">
        <v>4.3999999999999997E-2</v>
      </c>
      <c r="H9370" s="26">
        <v>2.1999999999999999E-2</v>
      </c>
      <c r="J9370" s="26">
        <v>1.0999999999999999E-2</v>
      </c>
      <c r="N9370">
        <v>91</v>
      </c>
    </row>
    <row r="9371" spans="1:14" x14ac:dyDescent="0.35">
      <c r="A9371" t="s">
        <v>227</v>
      </c>
      <c r="B9371" t="s">
        <v>238</v>
      </c>
      <c r="C9371" t="s">
        <v>1283</v>
      </c>
      <c r="D9371" s="26">
        <v>9.8900000000000002E-2</v>
      </c>
      <c r="E9371" s="26">
        <v>9.8900000000000002E-2</v>
      </c>
      <c r="F9371" s="26">
        <v>5.4899999999999997E-2</v>
      </c>
      <c r="G9371" s="26">
        <v>0.18679999999999999</v>
      </c>
      <c r="H9371" s="26">
        <v>0.18679999999999999</v>
      </c>
      <c r="I9371" s="26">
        <v>9.8900000000000002E-2</v>
      </c>
      <c r="J9371" s="26">
        <v>0.18679999999999999</v>
      </c>
      <c r="K9371" s="26">
        <v>0.2198</v>
      </c>
      <c r="L9371" s="26">
        <v>0.1978</v>
      </c>
      <c r="M9371" s="26">
        <v>0.15379999999999999</v>
      </c>
      <c r="N9371">
        <v>91</v>
      </c>
    </row>
    <row r="9372" spans="1:14" x14ac:dyDescent="0.35">
      <c r="A9372" t="s">
        <v>227</v>
      </c>
      <c r="B9372" t="s">
        <v>238</v>
      </c>
      <c r="C9372" t="s">
        <v>303</v>
      </c>
      <c r="D9372" s="26">
        <v>2.1999999999999999E-2</v>
      </c>
      <c r="E9372" s="26">
        <v>0.39560000000000001</v>
      </c>
      <c r="F9372" s="26">
        <v>6.59E-2</v>
      </c>
      <c r="G9372" s="26">
        <v>8.7900000000000006E-2</v>
      </c>
      <c r="H9372" s="26">
        <v>2.1999999999999999E-2</v>
      </c>
      <c r="I9372" s="26">
        <v>0.20880000000000001</v>
      </c>
      <c r="J9372" s="26">
        <v>1.0999999999999999E-2</v>
      </c>
      <c r="K9372" s="26">
        <v>1.0999999999999999E-2</v>
      </c>
      <c r="N9372">
        <v>91</v>
      </c>
    </row>
    <row r="9373" spans="1:14" x14ac:dyDescent="0.35">
      <c r="A9373" t="s">
        <v>228</v>
      </c>
      <c r="B9373" t="s">
        <v>238</v>
      </c>
      <c r="C9373" t="s">
        <v>303</v>
      </c>
      <c r="D9373" s="26">
        <v>4.8599999999999997E-2</v>
      </c>
      <c r="E9373" s="26">
        <v>0.39889999999999998</v>
      </c>
      <c r="F9373" s="26">
        <v>0.14069999999999999</v>
      </c>
      <c r="G9373" s="26">
        <v>0.19009999999999999</v>
      </c>
      <c r="H9373" s="26">
        <v>2.9700000000000001E-2</v>
      </c>
      <c r="I9373" s="26">
        <v>0.32969999999999999</v>
      </c>
      <c r="J9373" s="26">
        <v>6.4999999999999997E-3</v>
      </c>
      <c r="K9373" s="26">
        <v>9.1000000000000004E-3</v>
      </c>
      <c r="L9373" s="26">
        <v>2.2200000000000001E-2</v>
      </c>
      <c r="M9373" s="26">
        <v>6.9999999999999999E-4</v>
      </c>
      <c r="N9373">
        <v>643</v>
      </c>
    </row>
    <row r="9374" spans="1:14" x14ac:dyDescent="0.35">
      <c r="A9374" t="s">
        <v>228</v>
      </c>
      <c r="B9374" t="s">
        <v>238</v>
      </c>
      <c r="C9374" t="s">
        <v>1283</v>
      </c>
      <c r="D9374" s="26">
        <v>0.11459999999999999</v>
      </c>
      <c r="E9374" s="26">
        <v>0.13139999999999999</v>
      </c>
      <c r="F9374" s="26">
        <v>5.8200000000000002E-2</v>
      </c>
      <c r="G9374" s="26">
        <v>0.1802</v>
      </c>
      <c r="H9374" s="26">
        <v>0.19370000000000001</v>
      </c>
      <c r="I9374" s="26">
        <v>3.4099999999999998E-2</v>
      </c>
      <c r="J9374" s="26">
        <v>0.15939999999999999</v>
      </c>
      <c r="K9374" s="26">
        <v>0.17730000000000001</v>
      </c>
      <c r="L9374" s="26">
        <v>0.13159999999999999</v>
      </c>
      <c r="M9374" s="26">
        <v>9.7600000000000006E-2</v>
      </c>
      <c r="N9374">
        <v>643</v>
      </c>
    </row>
    <row r="9375" spans="1:14" x14ac:dyDescent="0.35">
      <c r="A9375" t="s">
        <v>228</v>
      </c>
      <c r="B9375" t="s">
        <v>238</v>
      </c>
      <c r="C9375" t="s">
        <v>1282</v>
      </c>
      <c r="D9375" s="26">
        <v>2.46E-2</v>
      </c>
      <c r="E9375" s="26">
        <v>5.6599999999999998E-2</v>
      </c>
      <c r="F9375" s="26">
        <v>8.3999999999999995E-3</v>
      </c>
      <c r="G9375" s="26">
        <v>2.1399999999999999E-2</v>
      </c>
      <c r="H9375" s="26">
        <v>2.1700000000000001E-2</v>
      </c>
      <c r="I9375" s="26">
        <v>1.11E-2</v>
      </c>
      <c r="J9375" s="26">
        <v>4.5999999999999999E-3</v>
      </c>
      <c r="K9375" s="26">
        <v>3.8E-3</v>
      </c>
      <c r="L9375" s="26">
        <v>2.7000000000000001E-3</v>
      </c>
      <c r="N9375">
        <v>643</v>
      </c>
    </row>
    <row r="9376" spans="1:14" x14ac:dyDescent="0.35">
      <c r="A9376" t="s">
        <v>228</v>
      </c>
      <c r="B9376" t="s">
        <v>238</v>
      </c>
      <c r="C9376" t="s">
        <v>1281</v>
      </c>
      <c r="D9376" s="26">
        <v>0.81220000000000003</v>
      </c>
      <c r="E9376" s="26">
        <v>0.41320000000000001</v>
      </c>
      <c r="F9376" s="26">
        <v>0.79259999999999997</v>
      </c>
      <c r="G9376" s="26">
        <v>0.60829999999999995</v>
      </c>
      <c r="H9376" s="26">
        <v>0.75490000000000002</v>
      </c>
      <c r="I9376" s="26">
        <v>0.62509999999999999</v>
      </c>
      <c r="J9376" s="26">
        <v>0.82950000000000002</v>
      </c>
      <c r="K9376" s="26">
        <v>0.80979999999999996</v>
      </c>
      <c r="L9376" s="26">
        <v>0.84340000000000004</v>
      </c>
      <c r="M9376" s="26">
        <v>0.90169999999999995</v>
      </c>
      <c r="N9376">
        <v>643</v>
      </c>
    </row>
    <row r="9377" spans="1:14" x14ac:dyDescent="0.35">
      <c r="A9377" t="s">
        <v>228</v>
      </c>
      <c r="B9377" t="s">
        <v>239</v>
      </c>
      <c r="C9377" t="s">
        <v>1282</v>
      </c>
      <c r="D9377" s="26">
        <v>1.04E-2</v>
      </c>
      <c r="E9377" s="26">
        <v>7.3800000000000004E-2</v>
      </c>
      <c r="F9377" s="26">
        <v>6.4000000000000003E-3</v>
      </c>
      <c r="G9377" s="26">
        <v>1.7500000000000002E-2</v>
      </c>
      <c r="H9377" s="26">
        <v>2.1700000000000001E-2</v>
      </c>
      <c r="I9377" s="26">
        <v>1.2999999999999999E-3</v>
      </c>
      <c r="K9377" s="26">
        <v>1.9E-3</v>
      </c>
      <c r="N9377">
        <v>301</v>
      </c>
    </row>
    <row r="9378" spans="1:14" x14ac:dyDescent="0.35">
      <c r="A9378" t="s">
        <v>228</v>
      </c>
      <c r="B9378" t="s">
        <v>239</v>
      </c>
      <c r="C9378" t="s">
        <v>1283</v>
      </c>
      <c r="D9378" s="26">
        <v>0.1187</v>
      </c>
      <c r="E9378" s="26">
        <v>0.1676</v>
      </c>
      <c r="F9378" s="26">
        <v>3.73E-2</v>
      </c>
      <c r="G9378" s="26">
        <v>0.1741</v>
      </c>
      <c r="H9378" s="26">
        <v>0.21340000000000001</v>
      </c>
      <c r="I9378" s="26">
        <v>2.9899999999999999E-2</v>
      </c>
      <c r="J9378" s="26">
        <v>0.14080000000000001</v>
      </c>
      <c r="K9378" s="26">
        <v>0.18140000000000001</v>
      </c>
      <c r="L9378" s="26">
        <v>0.1037</v>
      </c>
      <c r="M9378" s="26">
        <v>5.0099999999999999E-2</v>
      </c>
      <c r="N9378">
        <v>301</v>
      </c>
    </row>
    <row r="9379" spans="1:14" x14ac:dyDescent="0.35">
      <c r="A9379" t="s">
        <v>228</v>
      </c>
      <c r="B9379" t="s">
        <v>239</v>
      </c>
      <c r="C9379" t="s">
        <v>1281</v>
      </c>
      <c r="D9379" s="26">
        <v>0.82840000000000003</v>
      </c>
      <c r="E9379" s="26">
        <v>0.34660000000000002</v>
      </c>
      <c r="F9379" s="26">
        <v>0.81920000000000004</v>
      </c>
      <c r="G9379" s="26">
        <v>0.63900000000000001</v>
      </c>
      <c r="H9379" s="26">
        <v>0.74760000000000004</v>
      </c>
      <c r="I9379" s="26">
        <v>0.62539999999999996</v>
      </c>
      <c r="J9379" s="26">
        <v>0.85470000000000002</v>
      </c>
      <c r="K9379" s="26">
        <v>0.81230000000000002</v>
      </c>
      <c r="L9379" s="26">
        <v>0.88919999999999999</v>
      </c>
      <c r="M9379" s="26">
        <v>0.94110000000000005</v>
      </c>
      <c r="N9379">
        <v>301</v>
      </c>
    </row>
    <row r="9380" spans="1:14" x14ac:dyDescent="0.35">
      <c r="A9380" t="s">
        <v>228</v>
      </c>
      <c r="B9380" t="s">
        <v>239</v>
      </c>
      <c r="C9380" t="s">
        <v>303</v>
      </c>
      <c r="D9380" s="26">
        <v>4.2500000000000003E-2</v>
      </c>
      <c r="E9380" s="26">
        <v>0.41199999999999998</v>
      </c>
      <c r="F9380" s="26">
        <v>0.1371</v>
      </c>
      <c r="G9380" s="26">
        <v>0.1694</v>
      </c>
      <c r="H9380" s="26">
        <v>1.72E-2</v>
      </c>
      <c r="I9380" s="26">
        <v>0.34339999999999998</v>
      </c>
      <c r="J9380" s="26">
        <v>4.4999999999999997E-3</v>
      </c>
      <c r="K9380" s="26">
        <v>4.4000000000000003E-3</v>
      </c>
      <c r="L9380" s="26">
        <v>7.1000000000000004E-3</v>
      </c>
      <c r="M9380" s="26">
        <v>8.8000000000000005E-3</v>
      </c>
      <c r="N9380">
        <v>301</v>
      </c>
    </row>
    <row r="9381" spans="1:14" x14ac:dyDescent="0.35">
      <c r="A9381" t="s">
        <v>229</v>
      </c>
      <c r="B9381" t="s">
        <v>238</v>
      </c>
      <c r="C9381" t="s">
        <v>1283</v>
      </c>
      <c r="D9381" s="26">
        <v>0.1086</v>
      </c>
      <c r="E9381" s="26">
        <v>0.1116</v>
      </c>
      <c r="F9381" s="26">
        <v>4.9299999999999997E-2</v>
      </c>
      <c r="G9381" s="26">
        <v>0.17399999999999999</v>
      </c>
      <c r="H9381" s="26">
        <v>0.2339</v>
      </c>
      <c r="I9381" s="26">
        <v>2.6100000000000002E-2</v>
      </c>
      <c r="J9381" s="26">
        <v>0.13450000000000001</v>
      </c>
      <c r="K9381" s="26">
        <v>0.21029999999999999</v>
      </c>
      <c r="L9381" s="26">
        <v>0.13819999999999999</v>
      </c>
      <c r="M9381" s="26">
        <v>9.4899999999999998E-2</v>
      </c>
      <c r="N9381">
        <v>487</v>
      </c>
    </row>
    <row r="9382" spans="1:14" x14ac:dyDescent="0.35">
      <c r="A9382" t="s">
        <v>229</v>
      </c>
      <c r="B9382" t="s">
        <v>238</v>
      </c>
      <c r="C9382" t="s">
        <v>303</v>
      </c>
      <c r="D9382" s="26">
        <v>3.5900000000000001E-2</v>
      </c>
      <c r="E9382" s="26">
        <v>0.39739999999999998</v>
      </c>
      <c r="F9382" s="26">
        <v>0.1124</v>
      </c>
      <c r="G9382" s="26">
        <v>0.1784</v>
      </c>
      <c r="H9382" s="26">
        <v>2.3300000000000001E-2</v>
      </c>
      <c r="I9382" s="26">
        <v>0.33729999999999999</v>
      </c>
      <c r="J9382" s="26">
        <v>1.83E-2</v>
      </c>
      <c r="K9382" s="26">
        <v>2E-3</v>
      </c>
      <c r="L9382" s="26">
        <v>1.9E-2</v>
      </c>
      <c r="M9382" s="26">
        <v>8.6E-3</v>
      </c>
      <c r="N9382">
        <v>487</v>
      </c>
    </row>
    <row r="9383" spans="1:14" x14ac:dyDescent="0.35">
      <c r="A9383" t="s">
        <v>229</v>
      </c>
      <c r="B9383" t="s">
        <v>238</v>
      </c>
      <c r="C9383" t="s">
        <v>1281</v>
      </c>
      <c r="D9383" s="26">
        <v>0.82669999999999999</v>
      </c>
      <c r="E9383" s="26">
        <v>0.42470000000000002</v>
      </c>
      <c r="F9383" s="26">
        <v>0.82809999999999995</v>
      </c>
      <c r="G9383" s="26">
        <v>0.62680000000000002</v>
      </c>
      <c r="H9383" s="26">
        <v>0.71760000000000002</v>
      </c>
      <c r="I9383" s="26">
        <v>0.62890000000000001</v>
      </c>
      <c r="J9383" s="26">
        <v>0.84240000000000004</v>
      </c>
      <c r="K9383" s="26">
        <v>0.77329999999999999</v>
      </c>
      <c r="L9383" s="26">
        <v>0.84279999999999999</v>
      </c>
      <c r="M9383" s="26">
        <v>0.89529999999999998</v>
      </c>
      <c r="N9383">
        <v>487</v>
      </c>
    </row>
    <row r="9384" spans="1:14" x14ac:dyDescent="0.35">
      <c r="A9384" t="s">
        <v>229</v>
      </c>
      <c r="B9384" t="s">
        <v>238</v>
      </c>
      <c r="C9384" t="s">
        <v>1282</v>
      </c>
      <c r="D9384" s="26">
        <v>2.87E-2</v>
      </c>
      <c r="E9384" s="26">
        <v>6.6199999999999995E-2</v>
      </c>
      <c r="F9384" s="26">
        <v>1.0200000000000001E-2</v>
      </c>
      <c r="G9384" s="26">
        <v>2.0899999999999998E-2</v>
      </c>
      <c r="H9384" s="26">
        <v>2.5100000000000001E-2</v>
      </c>
      <c r="I9384" s="26">
        <v>7.7000000000000002E-3</v>
      </c>
      <c r="J9384" s="26">
        <v>4.8999999999999998E-3</v>
      </c>
      <c r="K9384" s="26">
        <v>1.44E-2</v>
      </c>
      <c r="M9384" s="26">
        <v>1.1999999999999999E-3</v>
      </c>
      <c r="N9384">
        <v>487</v>
      </c>
    </row>
    <row r="9385" spans="1:14" x14ac:dyDescent="0.35">
      <c r="A9385" t="s">
        <v>229</v>
      </c>
      <c r="B9385" t="s">
        <v>239</v>
      </c>
      <c r="C9385" t="s">
        <v>1283</v>
      </c>
      <c r="D9385" s="26">
        <v>6.4500000000000002E-2</v>
      </c>
      <c r="E9385" s="26">
        <v>0.1623</v>
      </c>
      <c r="F9385" s="26">
        <v>7.51E-2</v>
      </c>
      <c r="G9385" s="26">
        <v>0.19420000000000001</v>
      </c>
      <c r="H9385" s="26">
        <v>0.15840000000000001</v>
      </c>
      <c r="I9385" s="26">
        <v>1.3100000000000001E-2</v>
      </c>
      <c r="J9385" s="26">
        <v>0.1085</v>
      </c>
      <c r="K9385" s="26">
        <v>0.12479999999999999</v>
      </c>
      <c r="L9385" s="26">
        <v>0.1033</v>
      </c>
      <c r="M9385" s="26">
        <v>4.5699999999999998E-2</v>
      </c>
      <c r="N9385">
        <v>306</v>
      </c>
    </row>
    <row r="9386" spans="1:14" x14ac:dyDescent="0.35">
      <c r="A9386" t="s">
        <v>229</v>
      </c>
      <c r="B9386" t="s">
        <v>239</v>
      </c>
      <c r="C9386" t="s">
        <v>303</v>
      </c>
      <c r="D9386" s="26">
        <v>3.9300000000000002E-2</v>
      </c>
      <c r="E9386" s="26">
        <v>0.4652</v>
      </c>
      <c r="F9386" s="26">
        <v>0.20530000000000001</v>
      </c>
      <c r="G9386" s="26">
        <v>0.2389</v>
      </c>
      <c r="H9386" s="26">
        <v>2.4799999999999999E-2</v>
      </c>
      <c r="I9386" s="26">
        <v>0.2984</v>
      </c>
      <c r="J9386" s="26">
        <v>1.4800000000000001E-2</v>
      </c>
      <c r="L9386" s="26">
        <v>5.4199999999999998E-2</v>
      </c>
      <c r="M9386" s="26">
        <v>1.2699999999999999E-2</v>
      </c>
      <c r="N9386">
        <v>306</v>
      </c>
    </row>
    <row r="9387" spans="1:14" x14ac:dyDescent="0.35">
      <c r="A9387" t="s">
        <v>229</v>
      </c>
      <c r="B9387" t="s">
        <v>239</v>
      </c>
      <c r="C9387" t="s">
        <v>1282</v>
      </c>
      <c r="D9387" s="26">
        <v>2.2800000000000001E-2</v>
      </c>
      <c r="E9387" s="26">
        <v>5.21E-2</v>
      </c>
      <c r="F9387" s="26">
        <v>1.1000000000000001E-3</v>
      </c>
      <c r="G9387" s="26">
        <v>2.8999999999999998E-3</v>
      </c>
      <c r="H9387" s="26">
        <v>1.2E-2</v>
      </c>
      <c r="I9387" s="26">
        <v>1.0999999999999999E-2</v>
      </c>
      <c r="K9387" s="26">
        <v>1.1299999999999999E-2</v>
      </c>
      <c r="L9387" s="26">
        <v>6.9999999999999999E-4</v>
      </c>
      <c r="M9387" s="26">
        <v>6.9999999999999999E-4</v>
      </c>
      <c r="N9387">
        <v>306</v>
      </c>
    </row>
    <row r="9388" spans="1:14" x14ac:dyDescent="0.35">
      <c r="A9388" t="s">
        <v>229</v>
      </c>
      <c r="B9388" t="s">
        <v>239</v>
      </c>
      <c r="C9388" t="s">
        <v>1281</v>
      </c>
      <c r="D9388" s="26">
        <v>0.87339999999999995</v>
      </c>
      <c r="E9388" s="26">
        <v>0.32040000000000002</v>
      </c>
      <c r="F9388" s="26">
        <v>0.71850000000000003</v>
      </c>
      <c r="G9388" s="26">
        <v>0.56410000000000005</v>
      </c>
      <c r="H9388" s="26">
        <v>0.80479999999999996</v>
      </c>
      <c r="I9388" s="26">
        <v>0.6774</v>
      </c>
      <c r="J9388" s="26">
        <v>0.87670000000000003</v>
      </c>
      <c r="K9388" s="26">
        <v>0.86380000000000001</v>
      </c>
      <c r="L9388" s="26">
        <v>0.84179999999999999</v>
      </c>
      <c r="M9388" s="26">
        <v>0.94089999999999996</v>
      </c>
      <c r="N9388">
        <v>306</v>
      </c>
    </row>
    <row r="9389" spans="1:14" x14ac:dyDescent="0.35">
      <c r="A9389" t="s">
        <v>230</v>
      </c>
      <c r="B9389" t="s">
        <v>238</v>
      </c>
      <c r="C9389" t="s">
        <v>1283</v>
      </c>
      <c r="D9389" s="26">
        <v>0.14560000000000001</v>
      </c>
      <c r="E9389" s="26">
        <v>0.1492</v>
      </c>
      <c r="F9389" s="26">
        <v>4.4900000000000002E-2</v>
      </c>
      <c r="G9389" s="26">
        <v>0.21560000000000001</v>
      </c>
      <c r="H9389" s="26">
        <v>0.28749999999999998</v>
      </c>
      <c r="I9389" s="26">
        <v>4.2599999999999999E-2</v>
      </c>
      <c r="J9389" s="26">
        <v>0.1744</v>
      </c>
      <c r="K9389" s="26">
        <v>0.24110000000000001</v>
      </c>
      <c r="L9389" s="26">
        <v>0.1855</v>
      </c>
      <c r="M9389" s="26">
        <v>0.12089999999999999</v>
      </c>
      <c r="N9389">
        <v>321</v>
      </c>
    </row>
    <row r="9390" spans="1:14" x14ac:dyDescent="0.35">
      <c r="A9390" t="s">
        <v>230</v>
      </c>
      <c r="B9390" t="s">
        <v>238</v>
      </c>
      <c r="C9390" t="s">
        <v>1282</v>
      </c>
      <c r="D9390" s="26">
        <v>4.7000000000000002E-3</v>
      </c>
      <c r="E9390" s="26">
        <v>8.5199999999999998E-2</v>
      </c>
      <c r="F9390" s="26">
        <v>1.37E-2</v>
      </c>
      <c r="G9390" s="26">
        <v>2.7000000000000001E-3</v>
      </c>
      <c r="H9390" s="26">
        <v>3.8600000000000002E-2</v>
      </c>
      <c r="I9390" s="26">
        <v>8.9999999999999993E-3</v>
      </c>
      <c r="J9390" s="26">
        <v>4.0000000000000002E-4</v>
      </c>
      <c r="K9390" s="26">
        <v>1.4E-3</v>
      </c>
      <c r="L9390" s="26">
        <v>8.6E-3</v>
      </c>
      <c r="M9390" s="26">
        <v>4.0000000000000002E-4</v>
      </c>
      <c r="N9390">
        <v>321</v>
      </c>
    </row>
    <row r="9391" spans="1:14" x14ac:dyDescent="0.35">
      <c r="A9391" t="s">
        <v>230</v>
      </c>
      <c r="B9391" t="s">
        <v>238</v>
      </c>
      <c r="C9391" t="s">
        <v>1281</v>
      </c>
      <c r="D9391" s="26">
        <v>0.79649999999999999</v>
      </c>
      <c r="E9391" s="26">
        <v>0.33960000000000001</v>
      </c>
      <c r="F9391" s="26">
        <v>0.81910000000000005</v>
      </c>
      <c r="G9391" s="26">
        <v>0.54759999999999998</v>
      </c>
      <c r="H9391" s="26">
        <v>0.66100000000000003</v>
      </c>
      <c r="I9391" s="26">
        <v>0.65620000000000001</v>
      </c>
      <c r="J9391" s="26">
        <v>0.82509999999999994</v>
      </c>
      <c r="K9391" s="26">
        <v>0.75739999999999996</v>
      </c>
      <c r="L9391" s="26">
        <v>0.79590000000000005</v>
      </c>
      <c r="M9391" s="26">
        <v>0.87539999999999996</v>
      </c>
      <c r="N9391">
        <v>321</v>
      </c>
    </row>
    <row r="9392" spans="1:14" x14ac:dyDescent="0.35">
      <c r="A9392" t="s">
        <v>230</v>
      </c>
      <c r="B9392" t="s">
        <v>238</v>
      </c>
      <c r="C9392" t="s">
        <v>303</v>
      </c>
      <c r="D9392" s="26">
        <v>5.33E-2</v>
      </c>
      <c r="E9392" s="26">
        <v>0.42599999999999999</v>
      </c>
      <c r="F9392" s="26">
        <v>0.12239999999999999</v>
      </c>
      <c r="G9392" s="26">
        <v>0.23400000000000001</v>
      </c>
      <c r="H9392" s="26">
        <v>1.29E-2</v>
      </c>
      <c r="I9392" s="26">
        <v>0.29220000000000002</v>
      </c>
      <c r="L9392" s="26">
        <v>0.01</v>
      </c>
      <c r="M9392" s="26">
        <v>3.3E-3</v>
      </c>
      <c r="N9392">
        <v>321</v>
      </c>
    </row>
    <row r="9393" spans="1:14" x14ac:dyDescent="0.35">
      <c r="A9393" t="s">
        <v>230</v>
      </c>
      <c r="B9393" t="s">
        <v>239</v>
      </c>
      <c r="C9393" t="s">
        <v>1283</v>
      </c>
      <c r="D9393" s="26">
        <v>0.2258</v>
      </c>
      <c r="E9393" s="26">
        <v>0.23549999999999999</v>
      </c>
      <c r="F9393" s="26">
        <v>0.1168</v>
      </c>
      <c r="G9393" s="26">
        <v>0.23039999999999999</v>
      </c>
      <c r="H9393" s="26">
        <v>0.21299999999999999</v>
      </c>
      <c r="I9393" s="26">
        <v>9.5999999999999992E-3</v>
      </c>
      <c r="J9393" s="26">
        <v>0.18590000000000001</v>
      </c>
      <c r="K9393" s="26">
        <v>0.2233</v>
      </c>
      <c r="L9393" s="26">
        <v>0.2104</v>
      </c>
      <c r="M9393" s="26">
        <v>0.16850000000000001</v>
      </c>
      <c r="N9393">
        <v>194</v>
      </c>
    </row>
    <row r="9394" spans="1:14" x14ac:dyDescent="0.35">
      <c r="A9394" t="s">
        <v>230</v>
      </c>
      <c r="B9394" t="s">
        <v>239</v>
      </c>
      <c r="C9394" t="s">
        <v>1282</v>
      </c>
      <c r="D9394" s="26">
        <v>4.3E-3</v>
      </c>
      <c r="E9394" s="26">
        <v>7.6100000000000001E-2</v>
      </c>
      <c r="F9394" s="26">
        <v>6.6E-3</v>
      </c>
      <c r="G9394" s="26">
        <v>1.38E-2</v>
      </c>
      <c r="H9394" s="26">
        <v>2.41E-2</v>
      </c>
      <c r="I9394" s="26">
        <v>2.3199999999999998E-2</v>
      </c>
      <c r="J9394" s="26">
        <v>6.7000000000000002E-3</v>
      </c>
      <c r="L9394" s="26">
        <v>3.3E-3</v>
      </c>
      <c r="M9394" s="26">
        <v>3.3E-3</v>
      </c>
      <c r="N9394">
        <v>194</v>
      </c>
    </row>
    <row r="9395" spans="1:14" x14ac:dyDescent="0.35">
      <c r="A9395" t="s">
        <v>230</v>
      </c>
      <c r="B9395" t="s">
        <v>239</v>
      </c>
      <c r="C9395" t="s">
        <v>1281</v>
      </c>
      <c r="D9395" s="26">
        <v>0.73009999999999997</v>
      </c>
      <c r="E9395" s="26">
        <v>0.37830000000000003</v>
      </c>
      <c r="F9395" s="26">
        <v>0.67030000000000001</v>
      </c>
      <c r="G9395" s="26">
        <v>0.51900000000000002</v>
      </c>
      <c r="H9395" s="26">
        <v>0.75290000000000001</v>
      </c>
      <c r="I9395" s="26">
        <v>0.58609999999999995</v>
      </c>
      <c r="J9395" s="26">
        <v>0.80640000000000001</v>
      </c>
      <c r="K9395" s="26">
        <v>0.77339999999999998</v>
      </c>
      <c r="L9395" s="26">
        <v>0.77990000000000004</v>
      </c>
      <c r="M9395" s="26">
        <v>0.80310000000000004</v>
      </c>
      <c r="N9395">
        <v>194</v>
      </c>
    </row>
    <row r="9396" spans="1:14" x14ac:dyDescent="0.35">
      <c r="A9396" t="s">
        <v>230</v>
      </c>
      <c r="B9396" t="s">
        <v>239</v>
      </c>
      <c r="C9396" t="s">
        <v>303</v>
      </c>
      <c r="D9396" s="26">
        <v>3.9899999999999998E-2</v>
      </c>
      <c r="E9396" s="26">
        <v>0.31</v>
      </c>
      <c r="F9396" s="26">
        <v>0.20630000000000001</v>
      </c>
      <c r="G9396" s="26">
        <v>0.2369</v>
      </c>
      <c r="H9396" s="26">
        <v>0.01</v>
      </c>
      <c r="I9396" s="26">
        <v>0.38100000000000001</v>
      </c>
      <c r="J9396" s="26">
        <v>1E-3</v>
      </c>
      <c r="K9396" s="26">
        <v>3.3E-3</v>
      </c>
      <c r="L9396" s="26">
        <v>6.4000000000000003E-3</v>
      </c>
      <c r="M9396" s="26">
        <v>2.5100000000000001E-2</v>
      </c>
      <c r="N9396">
        <v>194</v>
      </c>
    </row>
    <row r="9397" spans="1:14" x14ac:dyDescent="0.35">
      <c r="A9397" t="s">
        <v>231</v>
      </c>
      <c r="B9397" t="s">
        <v>239</v>
      </c>
      <c r="C9397" t="s">
        <v>1281</v>
      </c>
      <c r="D9397" s="26">
        <v>0.7843</v>
      </c>
      <c r="E9397" s="26">
        <v>0.27450000000000002</v>
      </c>
      <c r="F9397" s="26">
        <v>0.70589999999999997</v>
      </c>
      <c r="G9397" s="26">
        <v>0.52</v>
      </c>
      <c r="H9397" s="26">
        <v>0.74509999999999998</v>
      </c>
      <c r="I9397" s="26">
        <v>0.58819999999999995</v>
      </c>
      <c r="J9397" s="26">
        <v>0.84309999999999996</v>
      </c>
      <c r="K9397" s="26">
        <v>0.7843</v>
      </c>
      <c r="L9397" s="26">
        <v>0.80389999999999995</v>
      </c>
      <c r="M9397" s="26">
        <v>0.86270000000000002</v>
      </c>
      <c r="N9397">
        <v>51</v>
      </c>
    </row>
    <row r="9398" spans="1:14" x14ac:dyDescent="0.35">
      <c r="A9398" t="s">
        <v>231</v>
      </c>
      <c r="B9398" t="s">
        <v>239</v>
      </c>
      <c r="C9398" t="s">
        <v>1283</v>
      </c>
      <c r="D9398" s="26">
        <v>0.1961</v>
      </c>
      <c r="E9398" s="26">
        <v>0.17649999999999999</v>
      </c>
      <c r="F9398" s="26">
        <v>3.9199999999999999E-2</v>
      </c>
      <c r="G9398" s="26">
        <v>0.28000000000000003</v>
      </c>
      <c r="H9398" s="26">
        <v>0.25490000000000002</v>
      </c>
      <c r="I9398" s="26">
        <v>7.8399999999999997E-2</v>
      </c>
      <c r="J9398" s="26">
        <v>0.13730000000000001</v>
      </c>
      <c r="K9398" s="26">
        <v>0.1961</v>
      </c>
      <c r="L9398" s="26">
        <v>0.13730000000000001</v>
      </c>
      <c r="M9398" s="26">
        <v>9.8000000000000004E-2</v>
      </c>
      <c r="N9398">
        <v>51</v>
      </c>
    </row>
    <row r="9399" spans="1:14" x14ac:dyDescent="0.35">
      <c r="A9399" t="s">
        <v>231</v>
      </c>
      <c r="B9399" t="s">
        <v>239</v>
      </c>
      <c r="C9399" t="s">
        <v>303</v>
      </c>
      <c r="D9399" s="26">
        <v>1.9599999999999999E-2</v>
      </c>
      <c r="E9399" s="26">
        <v>0.47060000000000002</v>
      </c>
      <c r="F9399" s="26">
        <v>0.25490000000000002</v>
      </c>
      <c r="G9399" s="26">
        <v>0.2</v>
      </c>
      <c r="I9399" s="26">
        <v>0.31369999999999998</v>
      </c>
      <c r="L9399" s="26">
        <v>3.9199999999999999E-2</v>
      </c>
      <c r="M9399" s="26">
        <v>3.9199999999999999E-2</v>
      </c>
      <c r="N9399">
        <v>51</v>
      </c>
    </row>
    <row r="9400" spans="1:14" x14ac:dyDescent="0.35">
      <c r="A9400" t="s">
        <v>231</v>
      </c>
      <c r="B9400" t="s">
        <v>238</v>
      </c>
      <c r="C9400" t="s">
        <v>1281</v>
      </c>
      <c r="D9400" s="26">
        <v>0.79790000000000005</v>
      </c>
      <c r="E9400" s="26">
        <v>0.42549999999999999</v>
      </c>
      <c r="F9400" s="26">
        <v>0.82979999999999998</v>
      </c>
      <c r="G9400" s="26">
        <v>0.64839999999999998</v>
      </c>
      <c r="H9400" s="26">
        <v>0.73399999999999999</v>
      </c>
      <c r="I9400" s="26">
        <v>0.63829999999999998</v>
      </c>
      <c r="J9400" s="26">
        <v>0.75529999999999997</v>
      </c>
      <c r="K9400" s="26">
        <v>0.77659999999999996</v>
      </c>
      <c r="L9400" s="26">
        <v>0.86170000000000002</v>
      </c>
      <c r="M9400" s="26">
        <v>0.92549999999999999</v>
      </c>
      <c r="N9400">
        <v>94</v>
      </c>
    </row>
    <row r="9401" spans="1:14" x14ac:dyDescent="0.35">
      <c r="A9401" t="s">
        <v>231</v>
      </c>
      <c r="B9401" t="s">
        <v>238</v>
      </c>
      <c r="C9401" t="s">
        <v>1282</v>
      </c>
      <c r="D9401" s="26">
        <v>3.1899999999999998E-2</v>
      </c>
      <c r="E9401" s="26">
        <v>3.1899999999999998E-2</v>
      </c>
      <c r="F9401" s="26">
        <v>2.1299999999999999E-2</v>
      </c>
      <c r="G9401" s="26">
        <v>1.0999999999999999E-2</v>
      </c>
      <c r="H9401" s="26">
        <v>4.2599999999999999E-2</v>
      </c>
      <c r="K9401" s="26">
        <v>1.06E-2</v>
      </c>
      <c r="N9401">
        <v>94</v>
      </c>
    </row>
    <row r="9402" spans="1:14" x14ac:dyDescent="0.35">
      <c r="A9402" t="s">
        <v>231</v>
      </c>
      <c r="B9402" t="s">
        <v>238</v>
      </c>
      <c r="C9402" t="s">
        <v>1283</v>
      </c>
      <c r="D9402" s="26">
        <v>0.10639999999999999</v>
      </c>
      <c r="E9402" s="26">
        <v>0.10639999999999999</v>
      </c>
      <c r="F9402" s="26">
        <v>1.06E-2</v>
      </c>
      <c r="G9402" s="26">
        <v>0.17580000000000001</v>
      </c>
      <c r="H9402" s="26">
        <v>0.21279999999999999</v>
      </c>
      <c r="I9402" s="26">
        <v>3.1899999999999998E-2</v>
      </c>
      <c r="J9402" s="26">
        <v>0.23400000000000001</v>
      </c>
      <c r="K9402" s="26">
        <v>0.21279999999999999</v>
      </c>
      <c r="L9402" s="26">
        <v>0.10639999999999999</v>
      </c>
      <c r="M9402" s="26">
        <v>6.3799999999999996E-2</v>
      </c>
      <c r="N9402">
        <v>94</v>
      </c>
    </row>
    <row r="9403" spans="1:14" x14ac:dyDescent="0.35">
      <c r="A9403" t="s">
        <v>231</v>
      </c>
      <c r="B9403" t="s">
        <v>238</v>
      </c>
      <c r="C9403" t="s">
        <v>303</v>
      </c>
      <c r="D9403" s="26">
        <v>6.3799999999999996E-2</v>
      </c>
      <c r="E9403" s="26">
        <v>0.43619999999999998</v>
      </c>
      <c r="F9403" s="26">
        <v>0.13830000000000001</v>
      </c>
      <c r="G9403" s="26">
        <v>0.1648</v>
      </c>
      <c r="H9403" s="26">
        <v>1.06E-2</v>
      </c>
      <c r="I9403" s="26">
        <v>0.32979999999999998</v>
      </c>
      <c r="J9403" s="26">
        <v>1.06E-2</v>
      </c>
      <c r="L9403" s="26">
        <v>3.1899999999999998E-2</v>
      </c>
      <c r="M9403" s="26">
        <v>1.06E-2</v>
      </c>
      <c r="N9403">
        <v>94</v>
      </c>
    </row>
    <row r="9404" spans="1:14" x14ac:dyDescent="0.35">
      <c r="A9404" t="s">
        <v>232</v>
      </c>
      <c r="B9404" t="s">
        <v>232</v>
      </c>
      <c r="C9404" t="s">
        <v>1283</v>
      </c>
      <c r="D9404" s="26">
        <v>0.12759999999999999</v>
      </c>
      <c r="E9404" s="26">
        <v>0.1409</v>
      </c>
      <c r="F9404" s="26">
        <v>4.8899999999999999E-2</v>
      </c>
      <c r="G9404" s="26">
        <v>0.2019</v>
      </c>
      <c r="H9404" s="26">
        <v>0.2152</v>
      </c>
      <c r="I9404" s="26">
        <v>4.0599999999999997E-2</v>
      </c>
      <c r="J9404" s="26">
        <v>0.1648</v>
      </c>
      <c r="K9404" s="26">
        <v>0.2019</v>
      </c>
      <c r="L9404" s="26">
        <v>0.14050000000000001</v>
      </c>
      <c r="M9404" s="26">
        <v>9.2600000000000002E-2</v>
      </c>
      <c r="N9404">
        <v>2546</v>
      </c>
    </row>
    <row r="9405" spans="1:14" x14ac:dyDescent="0.35">
      <c r="A9405" t="s">
        <v>232</v>
      </c>
      <c r="B9405" t="s">
        <v>232</v>
      </c>
      <c r="C9405" t="s">
        <v>1281</v>
      </c>
      <c r="D9405" s="26">
        <v>0.81079999999999997</v>
      </c>
      <c r="E9405" s="26">
        <v>0.38419999999999999</v>
      </c>
      <c r="F9405" s="26">
        <v>0.80230000000000001</v>
      </c>
      <c r="G9405" s="26">
        <v>0.60229999999999995</v>
      </c>
      <c r="H9405" s="26">
        <v>0.74029999999999996</v>
      </c>
      <c r="I9405" s="26">
        <v>0.63570000000000004</v>
      </c>
      <c r="J9405" s="26">
        <v>0.82030000000000003</v>
      </c>
      <c r="K9405" s="26">
        <v>0.78349999999999997</v>
      </c>
      <c r="L9405" s="26">
        <v>0.83460000000000001</v>
      </c>
      <c r="M9405" s="26">
        <v>0.89729999999999999</v>
      </c>
      <c r="N9405">
        <v>2546</v>
      </c>
    </row>
    <row r="9406" spans="1:14" x14ac:dyDescent="0.35">
      <c r="A9406" t="s">
        <v>232</v>
      </c>
      <c r="B9406" t="s">
        <v>232</v>
      </c>
      <c r="C9406" t="s">
        <v>1282</v>
      </c>
      <c r="D9406" s="26">
        <v>2.1100000000000001E-2</v>
      </c>
      <c r="E9406" s="26">
        <v>6.2899999999999998E-2</v>
      </c>
      <c r="F9406" s="26">
        <v>1.17E-2</v>
      </c>
      <c r="G9406" s="26">
        <v>1.9599999999999999E-2</v>
      </c>
      <c r="H9406" s="26">
        <v>2.63E-2</v>
      </c>
      <c r="I9406" s="26">
        <v>7.3000000000000001E-3</v>
      </c>
      <c r="J9406" s="26">
        <v>5.8999999999999999E-3</v>
      </c>
      <c r="K9406" s="26">
        <v>1.14E-2</v>
      </c>
      <c r="L9406" s="26">
        <v>3.0000000000000001E-3</v>
      </c>
      <c r="M9406" s="26">
        <v>4.0000000000000002E-4</v>
      </c>
      <c r="N9406">
        <v>2546</v>
      </c>
    </row>
    <row r="9407" spans="1:14" x14ac:dyDescent="0.35">
      <c r="A9407" t="s">
        <v>232</v>
      </c>
      <c r="B9407" t="s">
        <v>232</v>
      </c>
      <c r="C9407" t="s">
        <v>303</v>
      </c>
      <c r="D9407" s="26">
        <v>4.0599999999999997E-2</v>
      </c>
      <c r="E9407" s="26">
        <v>0.41199999999999998</v>
      </c>
      <c r="F9407" s="26">
        <v>0.1371</v>
      </c>
      <c r="G9407" s="26">
        <v>0.17610000000000001</v>
      </c>
      <c r="H9407" s="26">
        <v>1.8200000000000001E-2</v>
      </c>
      <c r="I9407" s="26">
        <v>0.31640000000000001</v>
      </c>
      <c r="J9407" s="26">
        <v>8.9999999999999993E-3</v>
      </c>
      <c r="K9407" s="26">
        <v>3.2000000000000002E-3</v>
      </c>
      <c r="L9407" s="26">
        <v>2.1899999999999999E-2</v>
      </c>
      <c r="M9407" s="26">
        <v>9.7000000000000003E-3</v>
      </c>
      <c r="N9407">
        <v>2546</v>
      </c>
    </row>
    <row r="9409" spans="1:14" x14ac:dyDescent="0.35">
      <c r="A9409" s="1" t="s">
        <v>1293</v>
      </c>
    </row>
    <row r="9410" spans="1:14" x14ac:dyDescent="0.35">
      <c r="A9410" t="s">
        <v>219</v>
      </c>
      <c r="B9410" t="s">
        <v>305</v>
      </c>
      <c r="C9410" t="s">
        <v>1285</v>
      </c>
      <c r="D9410" t="s">
        <v>1286</v>
      </c>
      <c r="E9410" t="s">
        <v>1287</v>
      </c>
      <c r="F9410" t="s">
        <v>1288</v>
      </c>
      <c r="G9410" t="s">
        <v>1289</v>
      </c>
      <c r="H9410" t="s">
        <v>281</v>
      </c>
      <c r="I9410" t="s">
        <v>226</v>
      </c>
    </row>
    <row r="9411" spans="1:14" x14ac:dyDescent="0.35">
      <c r="A9411" s="27" t="s">
        <v>227</v>
      </c>
      <c r="B9411" s="27" t="s">
        <v>239</v>
      </c>
      <c r="C9411" s="28">
        <v>0.36</v>
      </c>
      <c r="D9411" s="28">
        <v>0.36</v>
      </c>
      <c r="E9411" s="28">
        <v>0.28000000000000003</v>
      </c>
      <c r="F9411" s="28">
        <v>0.16</v>
      </c>
      <c r="G9411" s="28">
        <v>0.16</v>
      </c>
      <c r="H9411" s="29"/>
      <c r="I9411" s="29" t="s">
        <v>312</v>
      </c>
    </row>
    <row r="9412" spans="1:14" x14ac:dyDescent="0.35">
      <c r="A9412" t="s">
        <v>227</v>
      </c>
      <c r="B9412" t="s">
        <v>238</v>
      </c>
      <c r="C9412" s="26">
        <v>0.375</v>
      </c>
      <c r="D9412" s="26">
        <v>0.45</v>
      </c>
      <c r="E9412" s="26">
        <v>0.22500000000000001</v>
      </c>
      <c r="F9412" s="26">
        <v>0.1</v>
      </c>
      <c r="G9412" s="26">
        <v>0.1</v>
      </c>
      <c r="I9412">
        <v>40</v>
      </c>
    </row>
    <row r="9413" spans="1:14" x14ac:dyDescent="0.35">
      <c r="A9413" t="s">
        <v>228</v>
      </c>
      <c r="B9413" t="s">
        <v>239</v>
      </c>
      <c r="C9413" s="26">
        <v>0.47270000000000001</v>
      </c>
      <c r="D9413" s="26">
        <v>0.43540000000000001</v>
      </c>
      <c r="E9413" s="26">
        <v>0.41949999999999998</v>
      </c>
      <c r="F9413" s="26">
        <v>7.2499999999999995E-2</v>
      </c>
      <c r="G9413" s="26">
        <v>6.2199999999999998E-2</v>
      </c>
      <c r="H9413" s="26">
        <v>4.9500000000000002E-2</v>
      </c>
      <c r="I9413">
        <v>187</v>
      </c>
    </row>
    <row r="9414" spans="1:14" x14ac:dyDescent="0.35">
      <c r="A9414" t="s">
        <v>228</v>
      </c>
      <c r="B9414" t="s">
        <v>238</v>
      </c>
      <c r="C9414" s="26">
        <v>0.44469999999999998</v>
      </c>
      <c r="D9414" s="26">
        <v>0.47910000000000003</v>
      </c>
      <c r="E9414" s="26">
        <v>0.3044</v>
      </c>
      <c r="F9414" s="26">
        <v>0.10920000000000001</v>
      </c>
      <c r="G9414" s="26">
        <v>8.5999999999999993E-2</v>
      </c>
      <c r="H9414" s="26">
        <v>3.3000000000000002E-2</v>
      </c>
      <c r="I9414">
        <v>367</v>
      </c>
    </row>
    <row r="9415" spans="1:14" x14ac:dyDescent="0.35">
      <c r="A9415" t="s">
        <v>229</v>
      </c>
      <c r="B9415" t="s">
        <v>239</v>
      </c>
      <c r="C9415" s="26">
        <v>0.48380000000000001</v>
      </c>
      <c r="D9415" s="26">
        <v>0.4209</v>
      </c>
      <c r="E9415" s="26">
        <v>0.43090000000000001</v>
      </c>
      <c r="F9415" s="26">
        <v>7.9500000000000001E-2</v>
      </c>
      <c r="G9415" s="26">
        <v>8.5999999999999993E-2</v>
      </c>
      <c r="H9415" s="26">
        <v>6.88E-2</v>
      </c>
      <c r="I9415">
        <v>168</v>
      </c>
    </row>
    <row r="9416" spans="1:14" x14ac:dyDescent="0.35">
      <c r="A9416" t="s">
        <v>229</v>
      </c>
      <c r="B9416" t="s">
        <v>238</v>
      </c>
      <c r="C9416" s="26">
        <v>0.47789999999999999</v>
      </c>
      <c r="D9416" s="26">
        <v>0.4501</v>
      </c>
      <c r="E9416" s="26">
        <v>0.33050000000000002</v>
      </c>
      <c r="F9416" s="26">
        <v>9.6600000000000005E-2</v>
      </c>
      <c r="G9416" s="26">
        <v>0.1168</v>
      </c>
      <c r="H9416" s="26">
        <v>3.2899999999999999E-2</v>
      </c>
      <c r="I9416">
        <v>259</v>
      </c>
    </row>
    <row r="9417" spans="1:14" x14ac:dyDescent="0.35">
      <c r="A9417" t="s">
        <v>230</v>
      </c>
      <c r="B9417" t="s">
        <v>239</v>
      </c>
      <c r="C9417" s="26">
        <v>0.50280000000000002</v>
      </c>
      <c r="D9417" s="26">
        <v>0.52180000000000004</v>
      </c>
      <c r="E9417" s="26">
        <v>0.27329999999999999</v>
      </c>
      <c r="F9417" s="26">
        <v>0.10290000000000001</v>
      </c>
      <c r="G9417" s="26">
        <v>0.17610000000000001</v>
      </c>
      <c r="H9417" s="26">
        <v>5.0700000000000002E-2</v>
      </c>
      <c r="I9417">
        <v>113</v>
      </c>
    </row>
    <row r="9418" spans="1:14" x14ac:dyDescent="0.35">
      <c r="A9418" t="s">
        <v>230</v>
      </c>
      <c r="B9418" t="s">
        <v>238</v>
      </c>
      <c r="C9418" s="26">
        <v>0.46589999999999998</v>
      </c>
      <c r="D9418" s="26">
        <v>0.4486</v>
      </c>
      <c r="E9418" s="26">
        <v>0.3579</v>
      </c>
      <c r="F9418" s="26">
        <v>0.12659999999999999</v>
      </c>
      <c r="G9418" s="26">
        <v>9.0899999999999995E-2</v>
      </c>
      <c r="H9418" s="26">
        <v>3.2199999999999999E-2</v>
      </c>
      <c r="I9418">
        <v>185</v>
      </c>
    </row>
    <row r="9419" spans="1:14" x14ac:dyDescent="0.35">
      <c r="A9419" t="s">
        <v>231</v>
      </c>
      <c r="B9419" t="s">
        <v>239</v>
      </c>
      <c r="C9419" s="26">
        <v>0.52939999999999998</v>
      </c>
      <c r="D9419" s="26">
        <v>0.52939999999999998</v>
      </c>
      <c r="E9419" s="26">
        <v>0.14710000000000001</v>
      </c>
      <c r="F9419" s="26">
        <v>5.8799999999999998E-2</v>
      </c>
      <c r="G9419" s="26">
        <v>8.8200000000000001E-2</v>
      </c>
      <c r="H9419" s="26">
        <v>5.8799999999999998E-2</v>
      </c>
      <c r="I9419">
        <v>34</v>
      </c>
    </row>
    <row r="9420" spans="1:14" x14ac:dyDescent="0.35">
      <c r="A9420" t="s">
        <v>231</v>
      </c>
      <c r="B9420" t="s">
        <v>238</v>
      </c>
      <c r="C9420" s="26">
        <v>0.45650000000000002</v>
      </c>
      <c r="D9420" s="26">
        <v>0.43480000000000002</v>
      </c>
      <c r="E9420" s="26">
        <v>0.43480000000000002</v>
      </c>
      <c r="F9420" s="26">
        <v>8.6999999999999994E-2</v>
      </c>
      <c r="G9420" s="26">
        <v>6.5199999999999994E-2</v>
      </c>
      <c r="H9420" s="26">
        <v>2.1700000000000001E-2</v>
      </c>
      <c r="I9420">
        <v>46</v>
      </c>
    </row>
    <row r="9421" spans="1:14" x14ac:dyDescent="0.35">
      <c r="A9421" t="s">
        <v>232</v>
      </c>
      <c r="B9421" t="s">
        <v>232</v>
      </c>
      <c r="C9421" s="26">
        <v>0.46189999999999998</v>
      </c>
      <c r="D9421" s="26">
        <v>0.45610000000000001</v>
      </c>
      <c r="E9421" s="26">
        <v>0.32429999999999998</v>
      </c>
      <c r="F9421" s="26">
        <v>9.6000000000000002E-2</v>
      </c>
      <c r="G9421" s="26">
        <v>9.6000000000000002E-2</v>
      </c>
      <c r="H9421" s="26">
        <v>3.4500000000000003E-2</v>
      </c>
      <c r="I9421">
        <v>1424</v>
      </c>
    </row>
    <row r="9423" spans="1:14" x14ac:dyDescent="0.35">
      <c r="A9423" s="1" t="s">
        <v>1294</v>
      </c>
    </row>
    <row r="9424" spans="1:14" x14ac:dyDescent="0.35">
      <c r="A9424" t="s">
        <v>219</v>
      </c>
      <c r="B9424" t="s">
        <v>305</v>
      </c>
      <c r="C9424" t="s">
        <v>1270</v>
      </c>
      <c r="D9424" t="s">
        <v>1271</v>
      </c>
      <c r="E9424" t="s">
        <v>1272</v>
      </c>
      <c r="F9424" t="s">
        <v>1273</v>
      </c>
      <c r="G9424" t="s">
        <v>1274</v>
      </c>
      <c r="H9424" t="s">
        <v>1275</v>
      </c>
      <c r="I9424" t="s">
        <v>1276</v>
      </c>
      <c r="J9424" t="s">
        <v>1277</v>
      </c>
      <c r="K9424" t="s">
        <v>1278</v>
      </c>
      <c r="L9424" t="s">
        <v>1279</v>
      </c>
      <c r="M9424" t="s">
        <v>1280</v>
      </c>
      <c r="N9424" t="s">
        <v>964</v>
      </c>
    </row>
    <row r="9425" spans="1:14" x14ac:dyDescent="0.35">
      <c r="A9425" t="s">
        <v>227</v>
      </c>
      <c r="B9425" t="s">
        <v>244</v>
      </c>
      <c r="C9425" t="s">
        <v>1281</v>
      </c>
      <c r="D9425" s="26">
        <v>0.8276</v>
      </c>
      <c r="E9425" s="26">
        <v>0.40229999999999999</v>
      </c>
      <c r="F9425" s="26">
        <v>0.90800000000000003</v>
      </c>
      <c r="G9425" s="26">
        <v>0.6552</v>
      </c>
      <c r="H9425" s="26">
        <v>0.81610000000000005</v>
      </c>
      <c r="I9425" s="26">
        <v>0.67820000000000003</v>
      </c>
      <c r="J9425" s="26">
        <v>0.89659999999999995</v>
      </c>
      <c r="K9425" s="26">
        <v>0.8276</v>
      </c>
      <c r="L9425" s="26">
        <v>0.90800000000000003</v>
      </c>
      <c r="M9425" s="26">
        <v>0.91949999999999998</v>
      </c>
      <c r="N9425">
        <v>87</v>
      </c>
    </row>
    <row r="9426" spans="1:14" x14ac:dyDescent="0.35">
      <c r="A9426" t="s">
        <v>227</v>
      </c>
      <c r="B9426" t="s">
        <v>244</v>
      </c>
      <c r="C9426" t="s">
        <v>1282</v>
      </c>
      <c r="D9426" s="26">
        <v>2.3E-2</v>
      </c>
      <c r="E9426" s="26">
        <v>0.10340000000000001</v>
      </c>
      <c r="G9426" s="26">
        <v>4.5999999999999999E-2</v>
      </c>
      <c r="H9426" s="26">
        <v>2.3E-2</v>
      </c>
      <c r="J9426" s="26">
        <v>1.15E-2</v>
      </c>
      <c r="K9426" s="26">
        <v>1.15E-2</v>
      </c>
      <c r="N9426">
        <v>87</v>
      </c>
    </row>
    <row r="9427" spans="1:14" x14ac:dyDescent="0.35">
      <c r="A9427" t="s">
        <v>227</v>
      </c>
      <c r="B9427" t="s">
        <v>244</v>
      </c>
      <c r="C9427" t="s">
        <v>1283</v>
      </c>
      <c r="D9427" s="26">
        <v>0.1149</v>
      </c>
      <c r="E9427" s="26">
        <v>0.12640000000000001</v>
      </c>
      <c r="F9427" s="26">
        <v>4.5999999999999999E-2</v>
      </c>
      <c r="G9427" s="26">
        <v>0.19539999999999999</v>
      </c>
      <c r="H9427" s="26">
        <v>0.13789999999999999</v>
      </c>
      <c r="I9427" s="26">
        <v>3.4500000000000003E-2</v>
      </c>
      <c r="J9427" s="26">
        <v>8.0500000000000002E-2</v>
      </c>
      <c r="K9427" s="26">
        <v>0.14940000000000001</v>
      </c>
      <c r="L9427" s="26">
        <v>9.1999999999999998E-2</v>
      </c>
      <c r="M9427" s="26">
        <v>8.0500000000000002E-2</v>
      </c>
      <c r="N9427">
        <v>87</v>
      </c>
    </row>
    <row r="9428" spans="1:14" x14ac:dyDescent="0.35">
      <c r="A9428" t="s">
        <v>227</v>
      </c>
      <c r="B9428" t="s">
        <v>244</v>
      </c>
      <c r="C9428" t="s">
        <v>303</v>
      </c>
      <c r="D9428" s="26">
        <v>3.4500000000000003E-2</v>
      </c>
      <c r="E9428" s="26">
        <v>0.36780000000000002</v>
      </c>
      <c r="F9428" s="26">
        <v>4.5999999999999999E-2</v>
      </c>
      <c r="G9428" s="26">
        <v>0.10340000000000001</v>
      </c>
      <c r="H9428" s="26">
        <v>2.3E-2</v>
      </c>
      <c r="I9428" s="26">
        <v>0.28739999999999999</v>
      </c>
      <c r="J9428" s="26">
        <v>1.15E-2</v>
      </c>
      <c r="K9428" s="26">
        <v>1.15E-2</v>
      </c>
      <c r="N9428">
        <v>87</v>
      </c>
    </row>
    <row r="9429" spans="1:14" x14ac:dyDescent="0.35">
      <c r="A9429" t="s">
        <v>227</v>
      </c>
      <c r="B9429" t="s">
        <v>245</v>
      </c>
      <c r="C9429" t="s">
        <v>1281</v>
      </c>
      <c r="D9429" s="26">
        <v>0.8</v>
      </c>
      <c r="E9429" s="26">
        <v>0.36</v>
      </c>
      <c r="F9429" s="26">
        <v>0.82</v>
      </c>
      <c r="G9429" s="26">
        <v>0.5</v>
      </c>
      <c r="H9429" s="26">
        <v>0.64</v>
      </c>
      <c r="I9429" s="26">
        <v>0.64</v>
      </c>
      <c r="J9429" s="26">
        <v>0.62</v>
      </c>
      <c r="K9429" s="26">
        <v>0.66</v>
      </c>
      <c r="L9429" s="26">
        <v>0.66</v>
      </c>
      <c r="M9429" s="26">
        <v>0.82</v>
      </c>
      <c r="N9429">
        <v>50</v>
      </c>
    </row>
    <row r="9430" spans="1:14" x14ac:dyDescent="0.35">
      <c r="A9430" t="s">
        <v>227</v>
      </c>
      <c r="B9430" t="s">
        <v>245</v>
      </c>
      <c r="C9430" t="s">
        <v>1282</v>
      </c>
      <c r="D9430" s="26">
        <v>0.02</v>
      </c>
      <c r="E9430" s="26">
        <v>0.04</v>
      </c>
      <c r="F9430" s="26">
        <v>0.04</v>
      </c>
      <c r="G9430" s="26">
        <v>0.06</v>
      </c>
      <c r="H9430" s="26">
        <v>0.06</v>
      </c>
      <c r="J9430" s="26">
        <v>0.02</v>
      </c>
      <c r="K9430" s="26">
        <v>0.04</v>
      </c>
      <c r="N9430">
        <v>50</v>
      </c>
    </row>
    <row r="9431" spans="1:14" x14ac:dyDescent="0.35">
      <c r="A9431" t="s">
        <v>227</v>
      </c>
      <c r="B9431" t="s">
        <v>245</v>
      </c>
      <c r="C9431" t="s">
        <v>1283</v>
      </c>
      <c r="D9431" s="26">
        <v>0.18</v>
      </c>
      <c r="E9431" s="26">
        <v>0.26</v>
      </c>
      <c r="F9431" s="26">
        <v>0.12</v>
      </c>
      <c r="G9431" s="26">
        <v>0.38</v>
      </c>
      <c r="H9431" s="26">
        <v>0.28000000000000003</v>
      </c>
      <c r="I9431" s="26">
        <v>0.14000000000000001</v>
      </c>
      <c r="J9431" s="26">
        <v>0.36</v>
      </c>
      <c r="K9431" s="26">
        <v>0.3</v>
      </c>
      <c r="L9431" s="26">
        <v>0.34</v>
      </c>
      <c r="M9431" s="26">
        <v>0.18</v>
      </c>
      <c r="N9431">
        <v>50</v>
      </c>
    </row>
    <row r="9432" spans="1:14" x14ac:dyDescent="0.35">
      <c r="A9432" s="27" t="s">
        <v>227</v>
      </c>
      <c r="B9432" s="27" t="s">
        <v>246</v>
      </c>
      <c r="C9432" s="27" t="s">
        <v>1281</v>
      </c>
      <c r="D9432" s="28">
        <v>0.66669999999999996</v>
      </c>
      <c r="E9432" s="28">
        <v>0.33329999999999999</v>
      </c>
      <c r="F9432" s="28">
        <v>0.66669999999999996</v>
      </c>
      <c r="G9432" s="28">
        <v>0.75</v>
      </c>
      <c r="H9432" s="28">
        <v>0.83330000000000004</v>
      </c>
      <c r="I9432" s="28">
        <v>0.66669999999999996</v>
      </c>
      <c r="J9432" s="28">
        <v>0.91669999999999996</v>
      </c>
      <c r="K9432" s="28">
        <v>0.5</v>
      </c>
      <c r="L9432" s="28">
        <v>0.75</v>
      </c>
      <c r="M9432" s="28">
        <v>0.83330000000000004</v>
      </c>
      <c r="N9432" s="29">
        <v>12</v>
      </c>
    </row>
    <row r="9433" spans="1:14" x14ac:dyDescent="0.35">
      <c r="A9433" s="27" t="s">
        <v>227</v>
      </c>
      <c r="B9433" s="27" t="s">
        <v>246</v>
      </c>
      <c r="C9433" s="27" t="s">
        <v>1283</v>
      </c>
      <c r="D9433" s="28">
        <v>0.33329999999999999</v>
      </c>
      <c r="E9433" s="28">
        <v>8.3299999999999999E-2</v>
      </c>
      <c r="F9433" s="29"/>
      <c r="G9433" s="29"/>
      <c r="H9433" s="28">
        <v>0.16669999999999999</v>
      </c>
      <c r="I9433" s="28">
        <v>8.3299999999999999E-2</v>
      </c>
      <c r="J9433" s="28">
        <v>8.3299999999999999E-2</v>
      </c>
      <c r="K9433" s="28">
        <v>0.5</v>
      </c>
      <c r="L9433" s="28">
        <v>0.25</v>
      </c>
      <c r="M9433" s="28">
        <v>0.16669999999999999</v>
      </c>
      <c r="N9433" s="29">
        <v>12</v>
      </c>
    </row>
    <row r="9434" spans="1:14" x14ac:dyDescent="0.35">
      <c r="A9434" t="s">
        <v>228</v>
      </c>
      <c r="B9434" t="s">
        <v>246</v>
      </c>
      <c r="C9434" t="s">
        <v>303</v>
      </c>
      <c r="D9434" s="26">
        <v>9.9299999999999999E-2</v>
      </c>
      <c r="E9434" s="26">
        <v>0.51929999999999998</v>
      </c>
      <c r="F9434" s="26">
        <v>0.33160000000000001</v>
      </c>
      <c r="G9434" s="26">
        <v>0.26050000000000001</v>
      </c>
      <c r="H9434" s="26">
        <v>2.3900000000000001E-2</v>
      </c>
      <c r="I9434" s="26">
        <v>0.40820000000000001</v>
      </c>
      <c r="J9434" s="26">
        <v>5.5999999999999999E-3</v>
      </c>
      <c r="K9434" s="26">
        <v>6.4999999999999997E-3</v>
      </c>
      <c r="L9434" s="26">
        <v>8.6E-3</v>
      </c>
      <c r="N9434">
        <v>63</v>
      </c>
    </row>
    <row r="9435" spans="1:14" x14ac:dyDescent="0.35">
      <c r="A9435" t="s">
        <v>228</v>
      </c>
      <c r="B9435" t="s">
        <v>246</v>
      </c>
      <c r="C9435" t="s">
        <v>1283</v>
      </c>
      <c r="D9435" s="26">
        <v>8.6599999999999996E-2</v>
      </c>
      <c r="E9435" s="26">
        <v>0.16739999999999999</v>
      </c>
      <c r="F9435" s="26">
        <v>1.83E-2</v>
      </c>
      <c r="G9435" s="26">
        <v>0.1661</v>
      </c>
      <c r="H9435" s="26">
        <v>0.1333</v>
      </c>
      <c r="I9435" s="26">
        <v>3.8E-3</v>
      </c>
      <c r="J9435" s="26">
        <v>8.6599999999999996E-2</v>
      </c>
      <c r="K9435" s="26">
        <v>0.13300000000000001</v>
      </c>
      <c r="L9435" s="26">
        <v>3.04E-2</v>
      </c>
      <c r="M9435" s="26">
        <v>3.04E-2</v>
      </c>
      <c r="N9435">
        <v>63</v>
      </c>
    </row>
    <row r="9436" spans="1:14" x14ac:dyDescent="0.35">
      <c r="A9436" t="s">
        <v>228</v>
      </c>
      <c r="B9436" t="s">
        <v>246</v>
      </c>
      <c r="C9436" t="s">
        <v>1282</v>
      </c>
      <c r="D9436" s="26">
        <v>1.4200000000000001E-2</v>
      </c>
      <c r="E9436" s="26">
        <v>2.86E-2</v>
      </c>
      <c r="G9436" s="26">
        <v>8.6999999999999994E-3</v>
      </c>
      <c r="L9436" s="26">
        <v>1.83E-2</v>
      </c>
      <c r="N9436">
        <v>63</v>
      </c>
    </row>
    <row r="9437" spans="1:14" x14ac:dyDescent="0.35">
      <c r="A9437" t="s">
        <v>228</v>
      </c>
      <c r="B9437" t="s">
        <v>246</v>
      </c>
      <c r="C9437" t="s">
        <v>1281</v>
      </c>
      <c r="D9437" s="26">
        <v>0.79990000000000006</v>
      </c>
      <c r="E9437" s="26">
        <v>0.28470000000000001</v>
      </c>
      <c r="F9437" s="26">
        <v>0.65</v>
      </c>
      <c r="G9437" s="26">
        <v>0.56469999999999998</v>
      </c>
      <c r="H9437" s="26">
        <v>0.8427</v>
      </c>
      <c r="I9437" s="26">
        <v>0.58799999999999997</v>
      </c>
      <c r="J9437" s="26">
        <v>0.90780000000000005</v>
      </c>
      <c r="K9437" s="26">
        <v>0.86050000000000004</v>
      </c>
      <c r="L9437" s="26">
        <v>0.94269999999999998</v>
      </c>
      <c r="M9437" s="26">
        <v>0.96960000000000002</v>
      </c>
      <c r="N9437">
        <v>63</v>
      </c>
    </row>
    <row r="9438" spans="1:14" x14ac:dyDescent="0.35">
      <c r="A9438" t="s">
        <v>228</v>
      </c>
      <c r="B9438" t="s">
        <v>245</v>
      </c>
      <c r="C9438" t="s">
        <v>303</v>
      </c>
      <c r="D9438" s="26">
        <v>3.2099999999999997E-2</v>
      </c>
      <c r="E9438" s="26">
        <v>0.31480000000000002</v>
      </c>
      <c r="F9438" s="26">
        <v>0.1125</v>
      </c>
      <c r="G9438" s="26">
        <v>0.12230000000000001</v>
      </c>
      <c r="H9438" s="26">
        <v>3.7000000000000002E-3</v>
      </c>
      <c r="I9438" s="26">
        <v>0.39600000000000002</v>
      </c>
      <c r="J9438" s="26">
        <v>8.0000000000000002E-3</v>
      </c>
      <c r="K9438" s="26">
        <v>1.29E-2</v>
      </c>
      <c r="L9438" s="26">
        <v>1.9E-3</v>
      </c>
      <c r="M9438" s="26">
        <v>1.9E-3</v>
      </c>
      <c r="N9438">
        <v>302</v>
      </c>
    </row>
    <row r="9439" spans="1:14" x14ac:dyDescent="0.35">
      <c r="A9439" t="s">
        <v>228</v>
      </c>
      <c r="B9439" t="s">
        <v>245</v>
      </c>
      <c r="C9439" t="s">
        <v>1283</v>
      </c>
      <c r="D9439" s="26">
        <v>0.1237</v>
      </c>
      <c r="E9439" s="26">
        <v>0.14219999999999999</v>
      </c>
      <c r="F9439" s="26">
        <v>7.3899999999999993E-2</v>
      </c>
      <c r="G9439" s="26">
        <v>0.20780000000000001</v>
      </c>
      <c r="H9439" s="26">
        <v>0.26469999999999999</v>
      </c>
      <c r="I9439" s="26">
        <v>5.6500000000000002E-2</v>
      </c>
      <c r="J9439" s="26">
        <v>0.31979999999999997</v>
      </c>
      <c r="K9439" s="26">
        <v>0.21160000000000001</v>
      </c>
      <c r="L9439" s="26">
        <v>0.14680000000000001</v>
      </c>
      <c r="M9439" s="26">
        <v>0.1013</v>
      </c>
      <c r="N9439">
        <v>302</v>
      </c>
    </row>
    <row r="9440" spans="1:14" x14ac:dyDescent="0.35">
      <c r="A9440" t="s">
        <v>228</v>
      </c>
      <c r="B9440" t="s">
        <v>244</v>
      </c>
      <c r="C9440" t="s">
        <v>303</v>
      </c>
      <c r="D9440" s="26">
        <v>4.8399999999999999E-2</v>
      </c>
      <c r="E9440" s="26">
        <v>0.42659999999999998</v>
      </c>
      <c r="F9440" s="26">
        <v>0.1313</v>
      </c>
      <c r="G9440" s="26">
        <v>0.20449999999999999</v>
      </c>
      <c r="H9440" s="26">
        <v>3.7600000000000001E-2</v>
      </c>
      <c r="I9440" s="26">
        <v>0.2969</v>
      </c>
      <c r="J9440" s="26">
        <v>5.3E-3</v>
      </c>
      <c r="K9440" s="26">
        <v>6.3E-3</v>
      </c>
      <c r="L9440" s="26">
        <v>2.7699999999999999E-2</v>
      </c>
      <c r="M9440" s="26">
        <v>2.8E-3</v>
      </c>
      <c r="N9440">
        <v>579</v>
      </c>
    </row>
    <row r="9441" spans="1:14" x14ac:dyDescent="0.35">
      <c r="A9441" t="s">
        <v>228</v>
      </c>
      <c r="B9441" t="s">
        <v>245</v>
      </c>
      <c r="C9441" t="s">
        <v>1281</v>
      </c>
      <c r="D9441" s="26">
        <v>0.83740000000000003</v>
      </c>
      <c r="E9441" s="26">
        <v>0.45300000000000001</v>
      </c>
      <c r="F9441" s="26">
        <v>0.79379999999999995</v>
      </c>
      <c r="G9441" s="26">
        <v>0.62990000000000002</v>
      </c>
      <c r="H9441" s="26">
        <v>0.7097</v>
      </c>
      <c r="I9441" s="26">
        <v>0.54649999999999999</v>
      </c>
      <c r="J9441" s="26">
        <v>0.6593</v>
      </c>
      <c r="K9441" s="26">
        <v>0.77449999999999997</v>
      </c>
      <c r="L9441" s="26">
        <v>0.85140000000000005</v>
      </c>
      <c r="M9441" s="26">
        <v>0.89690000000000003</v>
      </c>
      <c r="N9441">
        <v>302</v>
      </c>
    </row>
    <row r="9442" spans="1:14" x14ac:dyDescent="0.35">
      <c r="A9442" t="s">
        <v>228</v>
      </c>
      <c r="B9442" t="s">
        <v>244</v>
      </c>
      <c r="C9442" t="s">
        <v>1283</v>
      </c>
      <c r="D9442" s="26">
        <v>0.1149</v>
      </c>
      <c r="E9442" s="26">
        <v>0.1343</v>
      </c>
      <c r="F9442" s="26">
        <v>4.9099999999999998E-2</v>
      </c>
      <c r="G9442" s="26">
        <v>0.1681</v>
      </c>
      <c r="H9442" s="26">
        <v>0.1757</v>
      </c>
      <c r="I9442" s="26">
        <v>2.64E-2</v>
      </c>
      <c r="J9442" s="26">
        <v>9.1899999999999996E-2</v>
      </c>
      <c r="K9442" s="26">
        <v>0.16850000000000001</v>
      </c>
      <c r="L9442" s="26">
        <v>0.12709999999999999</v>
      </c>
      <c r="M9442" s="26">
        <v>8.8099999999999998E-2</v>
      </c>
      <c r="N9442">
        <v>579</v>
      </c>
    </row>
    <row r="9443" spans="1:14" x14ac:dyDescent="0.35">
      <c r="A9443" t="s">
        <v>228</v>
      </c>
      <c r="B9443" t="s">
        <v>244</v>
      </c>
      <c r="C9443" t="s">
        <v>1282</v>
      </c>
      <c r="D9443" s="26">
        <v>2.9000000000000001E-2</v>
      </c>
      <c r="E9443" s="26">
        <v>5.0599999999999999E-2</v>
      </c>
      <c r="F9443" s="26">
        <v>3.7000000000000002E-3</v>
      </c>
      <c r="G9443" s="26">
        <v>1.37E-2</v>
      </c>
      <c r="H9443" s="26">
        <v>2.3900000000000001E-2</v>
      </c>
      <c r="I9443" s="26">
        <v>1.3599999999999999E-2</v>
      </c>
      <c r="K9443" s="26">
        <v>4.7999999999999996E-3</v>
      </c>
      <c r="L9443" s="26">
        <v>1.4E-3</v>
      </c>
      <c r="N9443">
        <v>579</v>
      </c>
    </row>
    <row r="9444" spans="1:14" x14ac:dyDescent="0.35">
      <c r="A9444" t="s">
        <v>228</v>
      </c>
      <c r="B9444" t="s">
        <v>244</v>
      </c>
      <c r="C9444" t="s">
        <v>1281</v>
      </c>
      <c r="D9444" s="26">
        <v>0.80769999999999997</v>
      </c>
      <c r="E9444" s="26">
        <v>0.3886</v>
      </c>
      <c r="F9444" s="26">
        <v>0.81579999999999997</v>
      </c>
      <c r="G9444" s="26">
        <v>0.61370000000000002</v>
      </c>
      <c r="H9444" s="26">
        <v>0.76280000000000003</v>
      </c>
      <c r="I9444" s="26">
        <v>0.66310000000000002</v>
      </c>
      <c r="J9444" s="26">
        <v>0.90280000000000005</v>
      </c>
      <c r="K9444" s="26">
        <v>0.82040000000000002</v>
      </c>
      <c r="L9444" s="26">
        <v>0.84379999999999999</v>
      </c>
      <c r="M9444" s="26">
        <v>0.90910000000000002</v>
      </c>
      <c r="N9444">
        <v>579</v>
      </c>
    </row>
    <row r="9445" spans="1:14" x14ac:dyDescent="0.35">
      <c r="A9445" t="s">
        <v>228</v>
      </c>
      <c r="B9445" t="s">
        <v>245</v>
      </c>
      <c r="C9445" t="s">
        <v>1282</v>
      </c>
      <c r="D9445" s="26">
        <v>6.7999999999999996E-3</v>
      </c>
      <c r="E9445" s="26">
        <v>8.9899999999999994E-2</v>
      </c>
      <c r="F9445" s="26">
        <v>1.9900000000000001E-2</v>
      </c>
      <c r="G9445" s="26">
        <v>0.04</v>
      </c>
      <c r="H9445" s="26">
        <v>2.1899999999999999E-2</v>
      </c>
      <c r="I9445" s="26">
        <v>8.9999999999999998E-4</v>
      </c>
      <c r="J9445" s="26">
        <v>1.29E-2</v>
      </c>
      <c r="K9445" s="26">
        <v>8.9999999999999998E-4</v>
      </c>
      <c r="N9445">
        <v>302</v>
      </c>
    </row>
    <row r="9446" spans="1:14" x14ac:dyDescent="0.35">
      <c r="A9446" t="s">
        <v>229</v>
      </c>
      <c r="B9446" t="s">
        <v>246</v>
      </c>
      <c r="C9446" t="s">
        <v>1281</v>
      </c>
      <c r="D9446" s="26">
        <v>0.80740000000000001</v>
      </c>
      <c r="E9446" s="26">
        <v>0.32619999999999999</v>
      </c>
      <c r="F9446" s="26">
        <v>0.60499999999999998</v>
      </c>
      <c r="G9446" s="26">
        <v>0.56140000000000001</v>
      </c>
      <c r="H9446" s="26">
        <v>0.74650000000000005</v>
      </c>
      <c r="I9446" s="26">
        <v>0.6673</v>
      </c>
      <c r="J9446" s="26">
        <v>0.93569999999999998</v>
      </c>
      <c r="K9446" s="26">
        <v>0.75600000000000001</v>
      </c>
      <c r="L9446" s="26">
        <v>0.69159999999999999</v>
      </c>
      <c r="M9446" s="26">
        <v>0.91690000000000005</v>
      </c>
      <c r="N9446">
        <v>38</v>
      </c>
    </row>
    <row r="9447" spans="1:14" x14ac:dyDescent="0.35">
      <c r="A9447" t="s">
        <v>229</v>
      </c>
      <c r="B9447" t="s">
        <v>246</v>
      </c>
      <c r="C9447" t="s">
        <v>303</v>
      </c>
      <c r="D9447" s="26">
        <v>6.8000000000000005E-2</v>
      </c>
      <c r="E9447" s="26">
        <v>0.496</v>
      </c>
      <c r="F9447" s="26">
        <v>0.2777</v>
      </c>
      <c r="G9447" s="26">
        <v>0.24959999999999999</v>
      </c>
      <c r="I9447" s="26">
        <v>0.32529999999999998</v>
      </c>
      <c r="J9447" s="26">
        <v>6.0499999999999998E-2</v>
      </c>
      <c r="L9447" s="26">
        <v>0.1134</v>
      </c>
      <c r="M9447" s="26">
        <v>6.0499999999999998E-2</v>
      </c>
      <c r="N9447">
        <v>38</v>
      </c>
    </row>
    <row r="9448" spans="1:14" x14ac:dyDescent="0.35">
      <c r="A9448" t="s">
        <v>229</v>
      </c>
      <c r="B9448" t="s">
        <v>246</v>
      </c>
      <c r="C9448" t="s">
        <v>1283</v>
      </c>
      <c r="D9448" s="26">
        <v>0.12089999999999999</v>
      </c>
      <c r="E9448" s="26">
        <v>0.1704</v>
      </c>
      <c r="F9448" s="26">
        <v>0.1134</v>
      </c>
      <c r="G9448" s="26">
        <v>0.189</v>
      </c>
      <c r="H9448" s="26">
        <v>0.129</v>
      </c>
      <c r="I9448" s="26">
        <v>7.4000000000000003E-3</v>
      </c>
      <c r="J9448" s="26">
        <v>3.8E-3</v>
      </c>
      <c r="K9448" s="26">
        <v>0.24399999999999999</v>
      </c>
      <c r="L9448" s="26">
        <v>0.19500000000000001</v>
      </c>
      <c r="M9448" s="26">
        <v>2.2499999999999999E-2</v>
      </c>
      <c r="N9448">
        <v>38</v>
      </c>
    </row>
    <row r="9449" spans="1:14" x14ac:dyDescent="0.35">
      <c r="A9449" t="s">
        <v>229</v>
      </c>
      <c r="B9449" t="s">
        <v>246</v>
      </c>
      <c r="C9449" t="s">
        <v>1282</v>
      </c>
      <c r="D9449" s="26">
        <v>3.8E-3</v>
      </c>
      <c r="E9449" s="26">
        <v>7.4000000000000003E-3</v>
      </c>
      <c r="F9449" s="26">
        <v>3.8E-3</v>
      </c>
      <c r="H9449" s="26">
        <v>0.1245</v>
      </c>
      <c r="N9449">
        <v>38</v>
      </c>
    </row>
    <row r="9450" spans="1:14" x14ac:dyDescent="0.35">
      <c r="A9450" t="s">
        <v>229</v>
      </c>
      <c r="B9450" t="s">
        <v>245</v>
      </c>
      <c r="C9450" t="s">
        <v>1283</v>
      </c>
      <c r="D9450" s="26">
        <v>9.5299999999999996E-2</v>
      </c>
      <c r="E9450" s="26">
        <v>0.1193</v>
      </c>
      <c r="F9450" s="26">
        <v>9.0399999999999994E-2</v>
      </c>
      <c r="G9450" s="26">
        <v>0.21909999999999999</v>
      </c>
      <c r="H9450" s="26">
        <v>0.30840000000000001</v>
      </c>
      <c r="I9450" s="26">
        <v>3.04E-2</v>
      </c>
      <c r="J9450" s="26">
        <v>0.2903</v>
      </c>
      <c r="K9450" s="26">
        <v>0.18279999999999999</v>
      </c>
      <c r="L9450" s="26">
        <v>0.1807</v>
      </c>
      <c r="M9450" s="26">
        <v>9.9400000000000002E-2</v>
      </c>
      <c r="N9450">
        <v>256</v>
      </c>
    </row>
    <row r="9451" spans="1:14" x14ac:dyDescent="0.35">
      <c r="A9451" t="s">
        <v>229</v>
      </c>
      <c r="B9451" t="s">
        <v>245</v>
      </c>
      <c r="C9451" t="s">
        <v>303</v>
      </c>
      <c r="D9451" s="26">
        <v>4.5199999999999997E-2</v>
      </c>
      <c r="E9451" s="26">
        <v>0.34899999999999998</v>
      </c>
      <c r="F9451" s="26">
        <v>0.1081</v>
      </c>
      <c r="G9451" s="26">
        <v>0.15129999999999999</v>
      </c>
      <c r="H9451" s="26">
        <v>2.58E-2</v>
      </c>
      <c r="I9451" s="26">
        <v>0.32919999999999999</v>
      </c>
      <c r="J9451" s="26">
        <v>1.6799999999999999E-2</v>
      </c>
      <c r="K9451" s="26">
        <v>3.0999999999999999E-3</v>
      </c>
      <c r="L9451" s="26">
        <v>2.35E-2</v>
      </c>
      <c r="M9451" s="26">
        <v>1.17E-2</v>
      </c>
      <c r="N9451">
        <v>256</v>
      </c>
    </row>
    <row r="9452" spans="1:14" x14ac:dyDescent="0.35">
      <c r="A9452" t="s">
        <v>229</v>
      </c>
      <c r="B9452" t="s">
        <v>245</v>
      </c>
      <c r="C9452" t="s">
        <v>1281</v>
      </c>
      <c r="D9452" s="26">
        <v>0.79890000000000005</v>
      </c>
      <c r="E9452" s="26">
        <v>0.443</v>
      </c>
      <c r="F9452" s="26">
        <v>0.80110000000000003</v>
      </c>
      <c r="G9452" s="26">
        <v>0.60809999999999997</v>
      </c>
      <c r="H9452" s="26">
        <v>0.6462</v>
      </c>
      <c r="I9452" s="26">
        <v>0.63990000000000002</v>
      </c>
      <c r="J9452" s="26">
        <v>0.68979999999999997</v>
      </c>
      <c r="K9452" s="26">
        <v>0.78210000000000002</v>
      </c>
      <c r="L9452" s="26">
        <v>0.79500000000000004</v>
      </c>
      <c r="M9452" s="26">
        <v>0.88500000000000001</v>
      </c>
      <c r="N9452">
        <v>256</v>
      </c>
    </row>
    <row r="9453" spans="1:14" x14ac:dyDescent="0.35">
      <c r="A9453" t="s">
        <v>229</v>
      </c>
      <c r="B9453" t="s">
        <v>244</v>
      </c>
      <c r="C9453" t="s">
        <v>303</v>
      </c>
      <c r="D9453" s="26">
        <v>3.1699999999999999E-2</v>
      </c>
      <c r="E9453" s="26">
        <v>0.43240000000000001</v>
      </c>
      <c r="F9453" s="26">
        <v>0.1371</v>
      </c>
      <c r="G9453" s="26">
        <v>0.2051</v>
      </c>
      <c r="H9453" s="26">
        <v>2.47E-2</v>
      </c>
      <c r="I9453" s="26">
        <v>0.32629999999999998</v>
      </c>
      <c r="J9453" s="26">
        <v>1.4500000000000001E-2</v>
      </c>
      <c r="K9453" s="26">
        <v>1E-3</v>
      </c>
      <c r="L9453" s="26">
        <v>2.41E-2</v>
      </c>
      <c r="M9453" s="26">
        <v>5.4999999999999997E-3</v>
      </c>
      <c r="N9453">
        <v>499</v>
      </c>
    </row>
    <row r="9454" spans="1:14" x14ac:dyDescent="0.35">
      <c r="A9454" t="s">
        <v>229</v>
      </c>
      <c r="B9454" t="s">
        <v>244</v>
      </c>
      <c r="C9454" t="s">
        <v>1283</v>
      </c>
      <c r="D9454" s="26">
        <v>9.5799999999999996E-2</v>
      </c>
      <c r="E9454" s="26">
        <v>0.124</v>
      </c>
      <c r="F9454" s="26">
        <v>4.0599999999999997E-2</v>
      </c>
      <c r="G9454" s="26">
        <v>0.16520000000000001</v>
      </c>
      <c r="H9454" s="26">
        <v>0.18759999999999999</v>
      </c>
      <c r="I9454" s="26">
        <v>2.1100000000000001E-2</v>
      </c>
      <c r="J9454" s="26">
        <v>8.09E-2</v>
      </c>
      <c r="K9454" s="26">
        <v>0.18509999999999999</v>
      </c>
      <c r="L9454" s="26">
        <v>0.1067</v>
      </c>
      <c r="M9454" s="26">
        <v>0.08</v>
      </c>
      <c r="N9454">
        <v>499</v>
      </c>
    </row>
    <row r="9455" spans="1:14" x14ac:dyDescent="0.35">
      <c r="A9455" t="s">
        <v>229</v>
      </c>
      <c r="B9455" t="s">
        <v>244</v>
      </c>
      <c r="C9455" t="s">
        <v>1282</v>
      </c>
      <c r="D9455" s="26">
        <v>1.7399999999999999E-2</v>
      </c>
      <c r="E9455" s="26">
        <v>5.74E-2</v>
      </c>
      <c r="F9455" s="26">
        <v>1.0500000000000001E-2</v>
      </c>
      <c r="G9455" s="26">
        <v>1.55E-2</v>
      </c>
      <c r="H9455" s="26">
        <v>1.5100000000000001E-2</v>
      </c>
      <c r="I9455" s="26">
        <v>1.2E-2</v>
      </c>
      <c r="J9455" s="26">
        <v>4.0000000000000001E-3</v>
      </c>
      <c r="K9455" s="26">
        <v>8.3000000000000001E-3</v>
      </c>
      <c r="M9455" s="26">
        <v>2.0000000000000001E-4</v>
      </c>
      <c r="N9455">
        <v>499</v>
      </c>
    </row>
    <row r="9456" spans="1:14" x14ac:dyDescent="0.35">
      <c r="A9456" t="s">
        <v>229</v>
      </c>
      <c r="B9456" t="s">
        <v>244</v>
      </c>
      <c r="C9456" t="s">
        <v>1281</v>
      </c>
      <c r="D9456" s="26">
        <v>0.85509999999999997</v>
      </c>
      <c r="E9456" s="26">
        <v>0.38619999999999999</v>
      </c>
      <c r="F9456" s="26">
        <v>0.81179999999999997</v>
      </c>
      <c r="G9456" s="26">
        <v>0.61429999999999996</v>
      </c>
      <c r="H9456" s="26">
        <v>0.77259999999999995</v>
      </c>
      <c r="I9456" s="26">
        <v>0.64070000000000005</v>
      </c>
      <c r="J9456" s="26">
        <v>0.90059999999999996</v>
      </c>
      <c r="K9456" s="26">
        <v>0.80559999999999998</v>
      </c>
      <c r="L9456" s="26">
        <v>0.86929999999999996</v>
      </c>
      <c r="M9456" s="26">
        <v>0.91439999999999999</v>
      </c>
      <c r="N9456">
        <v>499</v>
      </c>
    </row>
    <row r="9457" spans="1:14" x14ac:dyDescent="0.35">
      <c r="A9457" t="s">
        <v>229</v>
      </c>
      <c r="B9457" t="s">
        <v>245</v>
      </c>
      <c r="C9457" t="s">
        <v>1282</v>
      </c>
      <c r="D9457" s="26">
        <v>6.0600000000000001E-2</v>
      </c>
      <c r="E9457" s="26">
        <v>8.8700000000000001E-2</v>
      </c>
      <c r="F9457" s="26">
        <v>4.0000000000000002E-4</v>
      </c>
      <c r="G9457" s="26">
        <v>2.1399999999999999E-2</v>
      </c>
      <c r="H9457" s="26">
        <v>1.95E-2</v>
      </c>
      <c r="I9457" s="26">
        <v>4.0000000000000002E-4</v>
      </c>
      <c r="J9457" s="26">
        <v>3.0999999999999999E-3</v>
      </c>
      <c r="K9457" s="26">
        <v>3.2000000000000001E-2</v>
      </c>
      <c r="L9457" s="26">
        <v>8.0000000000000004E-4</v>
      </c>
      <c r="M9457" s="26">
        <v>3.8999999999999998E-3</v>
      </c>
      <c r="N9457">
        <v>256</v>
      </c>
    </row>
    <row r="9458" spans="1:14" x14ac:dyDescent="0.35">
      <c r="A9458" s="27" t="s">
        <v>230</v>
      </c>
      <c r="B9458" s="27" t="s">
        <v>246</v>
      </c>
      <c r="C9458" s="27" t="s">
        <v>303</v>
      </c>
      <c r="D9458" s="28">
        <v>3.8100000000000002E-2</v>
      </c>
      <c r="E9458" s="28">
        <v>0.3629</v>
      </c>
      <c r="F9458" s="28">
        <v>0.31280000000000002</v>
      </c>
      <c r="G9458" s="28">
        <v>0.40820000000000001</v>
      </c>
      <c r="H9458" s="28">
        <v>1.9E-2</v>
      </c>
      <c r="I9458" s="28">
        <v>0.42480000000000001</v>
      </c>
      <c r="J9458" s="29"/>
      <c r="K9458" s="29"/>
      <c r="L9458" s="28">
        <v>1.9E-2</v>
      </c>
      <c r="M9458" s="28">
        <v>1.8599999999999998E-2</v>
      </c>
      <c r="N9458" s="29">
        <v>28</v>
      </c>
    </row>
    <row r="9459" spans="1:14" x14ac:dyDescent="0.35">
      <c r="A9459" s="27" t="s">
        <v>230</v>
      </c>
      <c r="B9459" s="27" t="s">
        <v>246</v>
      </c>
      <c r="C9459" s="27" t="s">
        <v>1281</v>
      </c>
      <c r="D9459" s="28">
        <v>0.79239999999999999</v>
      </c>
      <c r="E9459" s="28">
        <v>0.32469999999999999</v>
      </c>
      <c r="F9459" s="28">
        <v>0.57430000000000003</v>
      </c>
      <c r="G9459" s="28">
        <v>0.56699999999999995</v>
      </c>
      <c r="H9459" s="28">
        <v>0.74960000000000004</v>
      </c>
      <c r="I9459" s="28">
        <v>0.55620000000000003</v>
      </c>
      <c r="J9459" s="28">
        <v>0.77429999999999999</v>
      </c>
      <c r="K9459" s="28">
        <v>0.63719999999999999</v>
      </c>
      <c r="L9459" s="28">
        <v>0.86809999999999998</v>
      </c>
      <c r="M9459" s="28">
        <v>0.86860000000000004</v>
      </c>
      <c r="N9459" s="29">
        <v>28</v>
      </c>
    </row>
    <row r="9460" spans="1:14" x14ac:dyDescent="0.35">
      <c r="A9460" t="s">
        <v>230</v>
      </c>
      <c r="B9460" t="s">
        <v>245</v>
      </c>
      <c r="C9460" t="s">
        <v>303</v>
      </c>
      <c r="D9460" s="26">
        <v>5.5199999999999999E-2</v>
      </c>
      <c r="E9460" s="26">
        <v>0.34250000000000003</v>
      </c>
      <c r="F9460" s="26">
        <v>0.129</v>
      </c>
      <c r="G9460" s="26">
        <v>0.12470000000000001</v>
      </c>
      <c r="H9460" s="26">
        <v>7.7999999999999996E-3</v>
      </c>
      <c r="I9460" s="26">
        <v>0.36820000000000003</v>
      </c>
      <c r="J9460" s="26">
        <v>1.1999999999999999E-3</v>
      </c>
      <c r="K9460" s="26">
        <v>3.8999999999999998E-3</v>
      </c>
      <c r="L9460" s="26">
        <v>1.1999999999999999E-3</v>
      </c>
      <c r="M9460" s="26">
        <v>1.0200000000000001E-2</v>
      </c>
      <c r="N9460">
        <v>149</v>
      </c>
    </row>
    <row r="9461" spans="1:14" x14ac:dyDescent="0.35">
      <c r="A9461" t="s">
        <v>230</v>
      </c>
      <c r="B9461" t="s">
        <v>245</v>
      </c>
      <c r="C9461" t="s">
        <v>1283</v>
      </c>
      <c r="D9461" s="26">
        <v>0.2009</v>
      </c>
      <c r="E9461" s="26">
        <v>0.22159999999999999</v>
      </c>
      <c r="F9461" s="26">
        <v>9.8400000000000001E-2</v>
      </c>
      <c r="G9461" s="26">
        <v>0.39650000000000002</v>
      </c>
      <c r="H9461" s="26">
        <v>0.29220000000000002</v>
      </c>
      <c r="I9461" s="26">
        <v>6.2700000000000006E-2</v>
      </c>
      <c r="J9461" s="26">
        <v>0.38590000000000002</v>
      </c>
      <c r="K9461" s="26">
        <v>0.25159999999999999</v>
      </c>
      <c r="L9461" s="26">
        <v>0.31269999999999998</v>
      </c>
      <c r="M9461" s="26">
        <v>0.25369999999999998</v>
      </c>
      <c r="N9461">
        <v>149</v>
      </c>
    </row>
    <row r="9462" spans="1:14" x14ac:dyDescent="0.35">
      <c r="A9462" t="s">
        <v>230</v>
      </c>
      <c r="B9462" t="s">
        <v>245</v>
      </c>
      <c r="C9462" t="s">
        <v>1282</v>
      </c>
      <c r="D9462" s="26">
        <v>7.7999999999999996E-3</v>
      </c>
      <c r="E9462" s="26">
        <v>4.1700000000000001E-2</v>
      </c>
      <c r="F9462" s="26">
        <v>2.76E-2</v>
      </c>
      <c r="G9462" s="26">
        <v>1.1999999999999999E-3</v>
      </c>
      <c r="H9462" s="26">
        <v>2.3699999999999999E-2</v>
      </c>
      <c r="J9462" s="26">
        <v>5.1999999999999998E-3</v>
      </c>
      <c r="L9462" s="26">
        <v>2.3699999999999999E-2</v>
      </c>
      <c r="N9462">
        <v>149</v>
      </c>
    </row>
    <row r="9463" spans="1:14" x14ac:dyDescent="0.35">
      <c r="A9463" s="27" t="s">
        <v>230</v>
      </c>
      <c r="B9463" s="27" t="s">
        <v>246</v>
      </c>
      <c r="C9463" s="27" t="s">
        <v>1283</v>
      </c>
      <c r="D9463" s="28">
        <v>0.16950000000000001</v>
      </c>
      <c r="E9463" s="28">
        <v>0.18049999999999999</v>
      </c>
      <c r="F9463" s="28">
        <v>0.1128</v>
      </c>
      <c r="G9463" s="28">
        <v>2.4799999999999999E-2</v>
      </c>
      <c r="H9463" s="28">
        <v>0.22570000000000001</v>
      </c>
      <c r="I9463" s="28">
        <v>1.9E-2</v>
      </c>
      <c r="J9463" s="28">
        <v>0.22570000000000001</v>
      </c>
      <c r="K9463" s="28">
        <v>0.36280000000000001</v>
      </c>
      <c r="L9463" s="28">
        <v>0.1128</v>
      </c>
      <c r="M9463" s="28">
        <v>0.1128</v>
      </c>
      <c r="N9463" s="29">
        <v>28</v>
      </c>
    </row>
    <row r="9464" spans="1:14" x14ac:dyDescent="0.35">
      <c r="A9464" t="s">
        <v>230</v>
      </c>
      <c r="B9464" t="s">
        <v>244</v>
      </c>
      <c r="C9464" t="s">
        <v>303</v>
      </c>
      <c r="D9464" s="26">
        <v>4.7899999999999998E-2</v>
      </c>
      <c r="E9464" s="26">
        <v>0.4108</v>
      </c>
      <c r="F9464" s="26">
        <v>0.14180000000000001</v>
      </c>
      <c r="G9464" s="26">
        <v>0.26200000000000001</v>
      </c>
      <c r="H9464" s="26">
        <v>1.2999999999999999E-2</v>
      </c>
      <c r="I9464" s="26">
        <v>0.29310000000000003</v>
      </c>
      <c r="L9464" s="26">
        <v>1.09E-2</v>
      </c>
      <c r="M9464" s="26">
        <v>9.1000000000000004E-3</v>
      </c>
      <c r="N9464">
        <v>338</v>
      </c>
    </row>
    <row r="9465" spans="1:14" x14ac:dyDescent="0.35">
      <c r="A9465" t="s">
        <v>230</v>
      </c>
      <c r="B9465" t="s">
        <v>244</v>
      </c>
      <c r="C9465" t="s">
        <v>1283</v>
      </c>
      <c r="D9465" s="26">
        <v>0.1585</v>
      </c>
      <c r="E9465" s="26">
        <v>0.158</v>
      </c>
      <c r="F9465" s="26">
        <v>5.1499999999999997E-2</v>
      </c>
      <c r="G9465" s="26">
        <v>0.17019999999999999</v>
      </c>
      <c r="H9465" s="26">
        <v>0.25819999999999999</v>
      </c>
      <c r="I9465" s="26">
        <v>2.2700000000000001E-2</v>
      </c>
      <c r="J9465" s="26">
        <v>9.8699999999999996E-2</v>
      </c>
      <c r="K9465" s="26">
        <v>0.2203</v>
      </c>
      <c r="L9465" s="26">
        <v>0.15559999999999999</v>
      </c>
      <c r="M9465" s="26">
        <v>9.3899999999999997E-2</v>
      </c>
      <c r="N9465">
        <v>338</v>
      </c>
    </row>
    <row r="9466" spans="1:14" x14ac:dyDescent="0.35">
      <c r="A9466" t="s">
        <v>230</v>
      </c>
      <c r="B9466" t="s">
        <v>244</v>
      </c>
      <c r="C9466" t="s">
        <v>1282</v>
      </c>
      <c r="D9466" s="26">
        <v>3.7000000000000002E-3</v>
      </c>
      <c r="E9466" s="26">
        <v>9.35E-2</v>
      </c>
      <c r="F9466" s="26">
        <v>6.6E-3</v>
      </c>
      <c r="G9466" s="26">
        <v>8.2000000000000007E-3</v>
      </c>
      <c r="H9466" s="26">
        <v>4.02E-2</v>
      </c>
      <c r="I9466" s="26">
        <v>1.9099999999999999E-2</v>
      </c>
      <c r="J9466" s="26">
        <v>1.5E-3</v>
      </c>
      <c r="K9466" s="26">
        <v>1.5E-3</v>
      </c>
      <c r="L9466" s="26">
        <v>1.5E-3</v>
      </c>
      <c r="M9466" s="26">
        <v>1.9E-3</v>
      </c>
      <c r="N9466">
        <v>338</v>
      </c>
    </row>
    <row r="9467" spans="1:14" x14ac:dyDescent="0.35">
      <c r="A9467" t="s">
        <v>230</v>
      </c>
      <c r="B9467" t="s">
        <v>244</v>
      </c>
      <c r="C9467" t="s">
        <v>1281</v>
      </c>
      <c r="D9467" s="26">
        <v>0.78990000000000005</v>
      </c>
      <c r="E9467" s="26">
        <v>0.3377</v>
      </c>
      <c r="F9467" s="26">
        <v>0.80010000000000003</v>
      </c>
      <c r="G9467" s="26">
        <v>0.5595</v>
      </c>
      <c r="H9467" s="26">
        <v>0.68859999999999999</v>
      </c>
      <c r="I9467" s="26">
        <v>0.66510000000000002</v>
      </c>
      <c r="J9467" s="26">
        <v>0.89990000000000003</v>
      </c>
      <c r="K9467" s="26">
        <v>0.77829999999999999</v>
      </c>
      <c r="L9467" s="26">
        <v>0.83199999999999996</v>
      </c>
      <c r="M9467" s="26">
        <v>0.8952</v>
      </c>
      <c r="N9467">
        <v>338</v>
      </c>
    </row>
    <row r="9468" spans="1:14" x14ac:dyDescent="0.35">
      <c r="A9468" t="s">
        <v>230</v>
      </c>
      <c r="B9468" t="s">
        <v>245</v>
      </c>
      <c r="C9468" t="s">
        <v>1281</v>
      </c>
      <c r="D9468" s="26">
        <v>0.73609999999999998</v>
      </c>
      <c r="E9468" s="26">
        <v>0.39419999999999999</v>
      </c>
      <c r="F9468" s="26">
        <v>0.74490000000000001</v>
      </c>
      <c r="G9468" s="26">
        <v>0.47749999999999998</v>
      </c>
      <c r="H9468" s="26">
        <v>0.67630000000000001</v>
      </c>
      <c r="I9468" s="26">
        <v>0.56910000000000005</v>
      </c>
      <c r="J9468" s="26">
        <v>0.60770000000000002</v>
      </c>
      <c r="K9468" s="26">
        <v>0.74450000000000005</v>
      </c>
      <c r="L9468" s="26">
        <v>0.66239999999999999</v>
      </c>
      <c r="M9468" s="26">
        <v>0.73609999999999998</v>
      </c>
      <c r="N9468">
        <v>149</v>
      </c>
    </row>
    <row r="9469" spans="1:14" x14ac:dyDescent="0.35">
      <c r="A9469" s="27" t="s">
        <v>231</v>
      </c>
      <c r="B9469" s="27" t="s">
        <v>246</v>
      </c>
      <c r="C9469" s="27" t="s">
        <v>303</v>
      </c>
      <c r="D9469" s="28">
        <v>0.18179999999999999</v>
      </c>
      <c r="E9469" s="28">
        <v>0.54549999999999998</v>
      </c>
      <c r="F9469" s="28">
        <v>0.2727</v>
      </c>
      <c r="G9469" s="28">
        <v>0.18179999999999999</v>
      </c>
      <c r="H9469" s="29"/>
      <c r="I9469" s="28">
        <v>0.18179999999999999</v>
      </c>
      <c r="J9469" s="29"/>
      <c r="K9469" s="29"/>
      <c r="L9469" s="28">
        <v>9.0899999999999995E-2</v>
      </c>
      <c r="M9469" s="29"/>
      <c r="N9469" s="29">
        <v>11</v>
      </c>
    </row>
    <row r="9470" spans="1:14" x14ac:dyDescent="0.35">
      <c r="A9470" s="27" t="s">
        <v>231</v>
      </c>
      <c r="B9470" s="27" t="s">
        <v>246</v>
      </c>
      <c r="C9470" s="27" t="s">
        <v>1283</v>
      </c>
      <c r="D9470" s="28">
        <v>9.0899999999999995E-2</v>
      </c>
      <c r="E9470" s="28">
        <v>0.18179999999999999</v>
      </c>
      <c r="F9470" s="29"/>
      <c r="G9470" s="28">
        <v>0.36359999999999998</v>
      </c>
      <c r="H9470" s="28">
        <v>0.2727</v>
      </c>
      <c r="I9470" s="28">
        <v>9.0899999999999995E-2</v>
      </c>
      <c r="J9470" s="28">
        <v>9.0899999999999995E-2</v>
      </c>
      <c r="K9470" s="28">
        <v>0.2727</v>
      </c>
      <c r="L9470" s="28">
        <v>9.0899999999999995E-2</v>
      </c>
      <c r="M9470" s="28">
        <v>9.0899999999999995E-2</v>
      </c>
      <c r="N9470" s="29">
        <v>11</v>
      </c>
    </row>
    <row r="9471" spans="1:14" x14ac:dyDescent="0.35">
      <c r="A9471" s="27" t="s">
        <v>231</v>
      </c>
      <c r="B9471" s="27" t="s">
        <v>246</v>
      </c>
      <c r="C9471" s="27" t="s">
        <v>1281</v>
      </c>
      <c r="D9471" s="28">
        <v>0.72729999999999995</v>
      </c>
      <c r="E9471" s="28">
        <v>0.2727</v>
      </c>
      <c r="F9471" s="28">
        <v>0.72729999999999995</v>
      </c>
      <c r="G9471" s="28">
        <v>0.45450000000000002</v>
      </c>
      <c r="H9471" s="28">
        <v>0.72729999999999995</v>
      </c>
      <c r="I9471" s="28">
        <v>0.72729999999999995</v>
      </c>
      <c r="J9471" s="28">
        <v>0.90910000000000002</v>
      </c>
      <c r="K9471" s="28">
        <v>0.72729999999999995</v>
      </c>
      <c r="L9471" s="28">
        <v>0.81820000000000004</v>
      </c>
      <c r="M9471" s="28">
        <v>0.90910000000000002</v>
      </c>
      <c r="N9471" s="29">
        <v>11</v>
      </c>
    </row>
    <row r="9472" spans="1:14" x14ac:dyDescent="0.35">
      <c r="A9472" t="s">
        <v>231</v>
      </c>
      <c r="B9472" t="s">
        <v>245</v>
      </c>
      <c r="C9472" t="s">
        <v>1283</v>
      </c>
      <c r="D9472" s="26">
        <v>0.24440000000000001</v>
      </c>
      <c r="E9472" s="26">
        <v>0.24440000000000001</v>
      </c>
      <c r="F9472" s="26">
        <v>4.4400000000000002E-2</v>
      </c>
      <c r="G9472" s="26">
        <v>0.30230000000000001</v>
      </c>
      <c r="H9472" s="26">
        <v>0.24440000000000001</v>
      </c>
      <c r="I9472" s="26">
        <v>6.6699999999999995E-2</v>
      </c>
      <c r="J9472" s="26">
        <v>0.4</v>
      </c>
      <c r="K9472" s="26">
        <v>0.28889999999999999</v>
      </c>
      <c r="L9472" s="26">
        <v>0.17780000000000001</v>
      </c>
      <c r="M9472" s="26">
        <v>0.1333</v>
      </c>
      <c r="N9472">
        <v>45</v>
      </c>
    </row>
    <row r="9473" spans="1:14" x14ac:dyDescent="0.35">
      <c r="A9473" t="s">
        <v>231</v>
      </c>
      <c r="B9473" t="s">
        <v>245</v>
      </c>
      <c r="C9473" t="s">
        <v>1282</v>
      </c>
      <c r="D9473" s="26">
        <v>2.2200000000000001E-2</v>
      </c>
      <c r="E9473" s="26">
        <v>6.6699999999999995E-2</v>
      </c>
      <c r="F9473" s="26">
        <v>2.2200000000000001E-2</v>
      </c>
      <c r="H9473" s="26">
        <v>6.6699999999999995E-2</v>
      </c>
      <c r="K9473" s="26">
        <v>2.2200000000000001E-2</v>
      </c>
      <c r="N9473">
        <v>45</v>
      </c>
    </row>
    <row r="9474" spans="1:14" x14ac:dyDescent="0.35">
      <c r="A9474" t="s">
        <v>231</v>
      </c>
      <c r="B9474" t="s">
        <v>245</v>
      </c>
      <c r="C9474" t="s">
        <v>1281</v>
      </c>
      <c r="D9474" s="26">
        <v>0.73329999999999995</v>
      </c>
      <c r="E9474" s="26">
        <v>0.33329999999999999</v>
      </c>
      <c r="F9474" s="26">
        <v>0.8</v>
      </c>
      <c r="G9474" s="26">
        <v>0.58140000000000003</v>
      </c>
      <c r="H9474" s="26">
        <v>0.68889999999999996</v>
      </c>
      <c r="I9474" s="26">
        <v>0.57779999999999998</v>
      </c>
      <c r="J9474" s="26">
        <v>0.6</v>
      </c>
      <c r="K9474" s="26">
        <v>0.68889999999999996</v>
      </c>
      <c r="L9474" s="26">
        <v>0.82220000000000004</v>
      </c>
      <c r="M9474" s="26">
        <v>0.84440000000000004</v>
      </c>
      <c r="N9474">
        <v>45</v>
      </c>
    </row>
    <row r="9475" spans="1:14" x14ac:dyDescent="0.35">
      <c r="A9475" t="s">
        <v>231</v>
      </c>
      <c r="B9475" t="s">
        <v>244</v>
      </c>
      <c r="C9475" t="s">
        <v>1283</v>
      </c>
      <c r="D9475" s="26">
        <v>8.9899999999999994E-2</v>
      </c>
      <c r="E9475" s="26">
        <v>6.7400000000000002E-2</v>
      </c>
      <c r="F9475" s="26">
        <v>1.12E-2</v>
      </c>
      <c r="G9475" s="26">
        <v>0.14940000000000001</v>
      </c>
      <c r="H9475" s="26">
        <v>0.2135</v>
      </c>
      <c r="I9475" s="26">
        <v>3.3700000000000001E-2</v>
      </c>
      <c r="J9475" s="26">
        <v>0.1124</v>
      </c>
      <c r="K9475" s="26">
        <v>0.1573</v>
      </c>
      <c r="L9475" s="26">
        <v>8.9899999999999994E-2</v>
      </c>
      <c r="M9475" s="26">
        <v>4.4900000000000002E-2</v>
      </c>
      <c r="N9475">
        <v>89</v>
      </c>
    </row>
    <row r="9476" spans="1:14" x14ac:dyDescent="0.35">
      <c r="A9476" t="s">
        <v>231</v>
      </c>
      <c r="B9476" t="s">
        <v>244</v>
      </c>
      <c r="C9476" t="s">
        <v>1282</v>
      </c>
      <c r="D9476" s="26">
        <v>2.2499999999999999E-2</v>
      </c>
      <c r="E9476" s="26">
        <v>4.4900000000000002E-2</v>
      </c>
      <c r="F9476" s="26">
        <v>1.12E-2</v>
      </c>
      <c r="G9476" s="26">
        <v>1.15E-2</v>
      </c>
      <c r="H9476" s="26">
        <v>1.12E-2</v>
      </c>
      <c r="I9476" s="26">
        <v>1.12E-2</v>
      </c>
      <c r="J9476" s="26">
        <v>1.12E-2</v>
      </c>
      <c r="K9476" s="26">
        <v>1.12E-2</v>
      </c>
      <c r="L9476" s="26">
        <v>1.12E-2</v>
      </c>
      <c r="N9476">
        <v>89</v>
      </c>
    </row>
    <row r="9477" spans="1:14" x14ac:dyDescent="0.35">
      <c r="A9477" t="s">
        <v>231</v>
      </c>
      <c r="B9477" t="s">
        <v>244</v>
      </c>
      <c r="C9477" t="s">
        <v>1281</v>
      </c>
      <c r="D9477" s="26">
        <v>0.83150000000000002</v>
      </c>
      <c r="E9477" s="26">
        <v>0.40450000000000003</v>
      </c>
      <c r="F9477" s="26">
        <v>0.78649999999999998</v>
      </c>
      <c r="G9477" s="26">
        <v>0.63219999999999998</v>
      </c>
      <c r="H9477" s="26">
        <v>0.76400000000000001</v>
      </c>
      <c r="I9477" s="26">
        <v>0.62919999999999998</v>
      </c>
      <c r="J9477" s="26">
        <v>0.86519999999999997</v>
      </c>
      <c r="K9477" s="26">
        <v>0.83150000000000002</v>
      </c>
      <c r="L9477" s="26">
        <v>0.85389999999999999</v>
      </c>
      <c r="M9477" s="26">
        <v>0.93259999999999998</v>
      </c>
      <c r="N9477">
        <v>89</v>
      </c>
    </row>
    <row r="9478" spans="1:14" x14ac:dyDescent="0.35">
      <c r="A9478" t="s">
        <v>231</v>
      </c>
      <c r="B9478" t="s">
        <v>244</v>
      </c>
      <c r="C9478" t="s">
        <v>303</v>
      </c>
      <c r="D9478" s="26">
        <v>5.62E-2</v>
      </c>
      <c r="E9478" s="26">
        <v>0.48309999999999997</v>
      </c>
      <c r="F9478" s="26">
        <v>0.191</v>
      </c>
      <c r="G9478" s="26">
        <v>0.2069</v>
      </c>
      <c r="H9478" s="26">
        <v>1.12E-2</v>
      </c>
      <c r="I9478" s="26">
        <v>0.32579999999999998</v>
      </c>
      <c r="J9478" s="26">
        <v>1.12E-2</v>
      </c>
      <c r="L9478" s="26">
        <v>4.4900000000000002E-2</v>
      </c>
      <c r="M9478" s="26">
        <v>2.2499999999999999E-2</v>
      </c>
      <c r="N9478">
        <v>89</v>
      </c>
    </row>
    <row r="9479" spans="1:14" x14ac:dyDescent="0.35">
      <c r="A9479" t="s">
        <v>232</v>
      </c>
      <c r="B9479" t="s">
        <v>232</v>
      </c>
      <c r="C9479" t="s">
        <v>1283</v>
      </c>
      <c r="D9479" s="26">
        <v>0.12759999999999999</v>
      </c>
      <c r="E9479" s="26">
        <v>0.1409</v>
      </c>
      <c r="F9479" s="26">
        <v>4.8899999999999999E-2</v>
      </c>
      <c r="G9479" s="26">
        <v>0.2019</v>
      </c>
      <c r="H9479" s="26">
        <v>0.2152</v>
      </c>
      <c r="I9479" s="26">
        <v>4.0599999999999997E-2</v>
      </c>
      <c r="J9479" s="26">
        <v>0.1648</v>
      </c>
      <c r="K9479" s="26">
        <v>0.2019</v>
      </c>
      <c r="L9479" s="26">
        <v>0.14050000000000001</v>
      </c>
      <c r="M9479" s="26">
        <v>9.2600000000000002E-2</v>
      </c>
      <c r="N9479">
        <v>2546</v>
      </c>
    </row>
    <row r="9480" spans="1:14" x14ac:dyDescent="0.35">
      <c r="A9480" t="s">
        <v>232</v>
      </c>
      <c r="B9480" t="s">
        <v>232</v>
      </c>
      <c r="C9480" t="s">
        <v>1281</v>
      </c>
      <c r="D9480" s="26">
        <v>0.81079999999999997</v>
      </c>
      <c r="E9480" s="26">
        <v>0.38419999999999999</v>
      </c>
      <c r="F9480" s="26">
        <v>0.80230000000000001</v>
      </c>
      <c r="G9480" s="26">
        <v>0.60229999999999995</v>
      </c>
      <c r="H9480" s="26">
        <v>0.74029999999999996</v>
      </c>
      <c r="I9480" s="26">
        <v>0.63570000000000004</v>
      </c>
      <c r="J9480" s="26">
        <v>0.82030000000000003</v>
      </c>
      <c r="K9480" s="26">
        <v>0.78349999999999997</v>
      </c>
      <c r="L9480" s="26">
        <v>0.83460000000000001</v>
      </c>
      <c r="M9480" s="26">
        <v>0.89729999999999999</v>
      </c>
      <c r="N9480">
        <v>2546</v>
      </c>
    </row>
    <row r="9481" spans="1:14" x14ac:dyDescent="0.35">
      <c r="A9481" t="s">
        <v>232</v>
      </c>
      <c r="B9481" t="s">
        <v>232</v>
      </c>
      <c r="C9481" t="s">
        <v>1282</v>
      </c>
      <c r="D9481" s="26">
        <v>2.1100000000000001E-2</v>
      </c>
      <c r="E9481" s="26">
        <v>6.2899999999999998E-2</v>
      </c>
      <c r="F9481" s="26">
        <v>1.17E-2</v>
      </c>
      <c r="G9481" s="26">
        <v>1.9599999999999999E-2</v>
      </c>
      <c r="H9481" s="26">
        <v>2.63E-2</v>
      </c>
      <c r="I9481" s="26">
        <v>7.3000000000000001E-3</v>
      </c>
      <c r="J9481" s="26">
        <v>5.8999999999999999E-3</v>
      </c>
      <c r="K9481" s="26">
        <v>1.14E-2</v>
      </c>
      <c r="L9481" s="26">
        <v>3.0000000000000001E-3</v>
      </c>
      <c r="M9481" s="26">
        <v>4.0000000000000002E-4</v>
      </c>
      <c r="N9481">
        <v>2546</v>
      </c>
    </row>
    <row r="9482" spans="1:14" x14ac:dyDescent="0.35">
      <c r="A9482" t="s">
        <v>232</v>
      </c>
      <c r="B9482" t="s">
        <v>232</v>
      </c>
      <c r="C9482" t="s">
        <v>303</v>
      </c>
      <c r="D9482" s="26">
        <v>4.0599999999999997E-2</v>
      </c>
      <c r="E9482" s="26">
        <v>0.41199999999999998</v>
      </c>
      <c r="F9482" s="26">
        <v>0.1371</v>
      </c>
      <c r="G9482" s="26">
        <v>0.17610000000000001</v>
      </c>
      <c r="H9482" s="26">
        <v>1.8200000000000001E-2</v>
      </c>
      <c r="I9482" s="26">
        <v>0.31640000000000001</v>
      </c>
      <c r="J9482" s="26">
        <v>8.9999999999999993E-3</v>
      </c>
      <c r="K9482" s="26">
        <v>3.2000000000000002E-3</v>
      </c>
      <c r="L9482" s="26">
        <v>2.1899999999999999E-2</v>
      </c>
      <c r="M9482" s="26">
        <v>9.7000000000000003E-3</v>
      </c>
      <c r="N9482">
        <v>2546</v>
      </c>
    </row>
    <row r="9484" spans="1:14" x14ac:dyDescent="0.35">
      <c r="A9484" s="1" t="s">
        <v>1295</v>
      </c>
    </row>
    <row r="9485" spans="1:14" x14ac:dyDescent="0.35">
      <c r="A9485" t="s">
        <v>219</v>
      </c>
      <c r="B9485" t="s">
        <v>305</v>
      </c>
      <c r="C9485" t="s">
        <v>1285</v>
      </c>
      <c r="D9485" t="s">
        <v>1286</v>
      </c>
      <c r="E9485" t="s">
        <v>1287</v>
      </c>
      <c r="F9485" t="s">
        <v>1288</v>
      </c>
      <c r="G9485" t="s">
        <v>1289</v>
      </c>
      <c r="H9485" t="s">
        <v>281</v>
      </c>
      <c r="I9485" t="s">
        <v>226</v>
      </c>
    </row>
    <row r="9486" spans="1:14" x14ac:dyDescent="0.35">
      <c r="A9486" t="s">
        <v>227</v>
      </c>
      <c r="B9486" t="s">
        <v>244</v>
      </c>
      <c r="C9486" s="26">
        <v>0.34210000000000002</v>
      </c>
      <c r="D9486" s="26">
        <v>0.31580000000000003</v>
      </c>
      <c r="E9486" s="26">
        <v>0.28949999999999998</v>
      </c>
      <c r="F9486" s="26">
        <v>0.1053</v>
      </c>
      <c r="G9486" s="26">
        <v>0.1842</v>
      </c>
      <c r="I9486">
        <v>38</v>
      </c>
    </row>
    <row r="9487" spans="1:14" x14ac:dyDescent="0.35">
      <c r="A9487" s="27" t="s">
        <v>227</v>
      </c>
      <c r="B9487" s="27" t="s">
        <v>245</v>
      </c>
      <c r="C9487" s="28">
        <v>0.3</v>
      </c>
      <c r="D9487" s="28">
        <v>0.5</v>
      </c>
      <c r="E9487" s="28">
        <v>0.25</v>
      </c>
      <c r="F9487" s="28">
        <v>0.15</v>
      </c>
      <c r="G9487" s="29"/>
      <c r="H9487" s="29"/>
      <c r="I9487" s="29" t="s">
        <v>350</v>
      </c>
    </row>
    <row r="9488" spans="1:14" x14ac:dyDescent="0.35">
      <c r="A9488" s="27" t="s">
        <v>227</v>
      </c>
      <c r="B9488" s="27" t="s">
        <v>246</v>
      </c>
      <c r="C9488" s="28">
        <v>0.71430000000000005</v>
      </c>
      <c r="D9488" s="28">
        <v>0.71430000000000005</v>
      </c>
      <c r="E9488" s="29"/>
      <c r="F9488" s="28">
        <v>0.1429</v>
      </c>
      <c r="G9488" s="28">
        <v>0.1429</v>
      </c>
      <c r="H9488" s="29"/>
      <c r="I9488" s="29" t="s">
        <v>339</v>
      </c>
    </row>
    <row r="9489" spans="1:14" x14ac:dyDescent="0.35">
      <c r="A9489" t="s">
        <v>228</v>
      </c>
      <c r="B9489" t="s">
        <v>244</v>
      </c>
      <c r="C9489" s="26">
        <v>0.4158</v>
      </c>
      <c r="D9489" s="26">
        <v>0.43709999999999999</v>
      </c>
      <c r="E9489" s="26">
        <v>0.32419999999999999</v>
      </c>
      <c r="F9489" s="26">
        <v>0.1203</v>
      </c>
      <c r="G9489" s="26">
        <v>9.1200000000000003E-2</v>
      </c>
      <c r="H9489" s="26">
        <v>4.1099999999999998E-2</v>
      </c>
      <c r="I9489">
        <v>345</v>
      </c>
    </row>
    <row r="9490" spans="1:14" x14ac:dyDescent="0.35">
      <c r="A9490" t="s">
        <v>228</v>
      </c>
      <c r="B9490" t="s">
        <v>245</v>
      </c>
      <c r="C9490" s="26">
        <v>0.49980000000000002</v>
      </c>
      <c r="D9490" s="26">
        <v>0.51970000000000005</v>
      </c>
      <c r="E9490" s="26">
        <v>0.31019999999999998</v>
      </c>
      <c r="F9490" s="26">
        <v>4.65E-2</v>
      </c>
      <c r="G9490" s="26">
        <v>5.7700000000000001E-2</v>
      </c>
      <c r="H9490" s="26">
        <v>3.5000000000000003E-2</v>
      </c>
      <c r="I9490">
        <v>163</v>
      </c>
    </row>
    <row r="9491" spans="1:14" x14ac:dyDescent="0.35">
      <c r="A9491" t="s">
        <v>228</v>
      </c>
      <c r="B9491" t="s">
        <v>246</v>
      </c>
      <c r="C9491" s="26">
        <v>0.57909999999999995</v>
      </c>
      <c r="D9491" s="26">
        <v>0.56569999999999998</v>
      </c>
      <c r="E9491" s="26">
        <v>0.44529999999999997</v>
      </c>
      <c r="F9491" s="26">
        <v>0.1162</v>
      </c>
      <c r="G9491" s="26">
        <v>6.7400000000000002E-2</v>
      </c>
      <c r="H9491" s="26">
        <v>8.0000000000000002E-3</v>
      </c>
      <c r="I9491">
        <v>46</v>
      </c>
    </row>
    <row r="9492" spans="1:14" x14ac:dyDescent="0.35">
      <c r="A9492" t="s">
        <v>229</v>
      </c>
      <c r="B9492" t="s">
        <v>244</v>
      </c>
      <c r="C9492" s="26">
        <v>0.44169999999999998</v>
      </c>
      <c r="D9492" s="26">
        <v>0.4234</v>
      </c>
      <c r="E9492" s="26">
        <v>0.35539999999999999</v>
      </c>
      <c r="F9492" s="26">
        <v>0.1021</v>
      </c>
      <c r="G9492" s="26">
        <v>0.1167</v>
      </c>
      <c r="H9492" s="26">
        <v>4.9599999999999998E-2</v>
      </c>
      <c r="I9492">
        <v>278</v>
      </c>
    </row>
    <row r="9493" spans="1:14" x14ac:dyDescent="0.35">
      <c r="A9493" t="s">
        <v>229</v>
      </c>
      <c r="B9493" t="s">
        <v>245</v>
      </c>
      <c r="C9493" s="26">
        <v>0.57179999999999997</v>
      </c>
      <c r="D9493" s="26">
        <v>0.46110000000000001</v>
      </c>
      <c r="E9493" s="26">
        <v>0.32629999999999998</v>
      </c>
      <c r="F9493" s="26">
        <v>7.3999999999999996E-2</v>
      </c>
      <c r="G9493" s="26">
        <v>3.0700000000000002E-2</v>
      </c>
      <c r="H9493" s="26">
        <v>3.1800000000000002E-2</v>
      </c>
      <c r="I9493">
        <v>122</v>
      </c>
    </row>
    <row r="9494" spans="1:14" x14ac:dyDescent="0.35">
      <c r="A9494" s="27" t="s">
        <v>229</v>
      </c>
      <c r="B9494" s="27" t="s">
        <v>246</v>
      </c>
      <c r="C9494" s="28">
        <v>0.60199999999999998</v>
      </c>
      <c r="D9494" s="28">
        <v>0.59819999999999995</v>
      </c>
      <c r="E9494" s="28">
        <v>0.55000000000000004</v>
      </c>
      <c r="F9494" s="28">
        <v>2.6499999999999999E-2</v>
      </c>
      <c r="G9494" s="28">
        <v>0.29930000000000001</v>
      </c>
      <c r="H9494" s="28">
        <v>9.1999999999999998E-3</v>
      </c>
      <c r="I9494" s="29" t="s">
        <v>338</v>
      </c>
    </row>
    <row r="9495" spans="1:14" x14ac:dyDescent="0.35">
      <c r="A9495" t="s">
        <v>230</v>
      </c>
      <c r="B9495" t="s">
        <v>244</v>
      </c>
      <c r="C9495" s="26">
        <v>0.43690000000000001</v>
      </c>
      <c r="D9495" s="26">
        <v>0.4597</v>
      </c>
      <c r="E9495" s="26">
        <v>0.31730000000000003</v>
      </c>
      <c r="F9495" s="26">
        <v>0.1258</v>
      </c>
      <c r="G9495" s="26">
        <v>0.1115</v>
      </c>
      <c r="H9495" s="26">
        <v>4.7E-2</v>
      </c>
      <c r="I9495">
        <v>201</v>
      </c>
    </row>
    <row r="9496" spans="1:14" x14ac:dyDescent="0.35">
      <c r="A9496" t="s">
        <v>230</v>
      </c>
      <c r="B9496" t="s">
        <v>245</v>
      </c>
      <c r="C9496" s="26">
        <v>0.61409999999999998</v>
      </c>
      <c r="D9496" s="26">
        <v>0.48659999999999998</v>
      </c>
      <c r="E9496" s="26">
        <v>0.34649999999999997</v>
      </c>
      <c r="F9496" s="26">
        <v>0.1245</v>
      </c>
      <c r="G9496" s="26">
        <v>5.7700000000000001E-2</v>
      </c>
      <c r="H9496" s="26">
        <v>1.3899999999999999E-2</v>
      </c>
      <c r="I9496">
        <v>82</v>
      </c>
    </row>
    <row r="9497" spans="1:14" x14ac:dyDescent="0.35">
      <c r="A9497" s="27" t="s">
        <v>230</v>
      </c>
      <c r="B9497" s="27" t="s">
        <v>246</v>
      </c>
      <c r="C9497" s="28">
        <v>0.41620000000000001</v>
      </c>
      <c r="D9497" s="28">
        <v>0.53759999999999997</v>
      </c>
      <c r="E9497" s="28">
        <v>0.54759999999999998</v>
      </c>
      <c r="F9497" s="29"/>
      <c r="G9497" s="28">
        <v>0.46589999999999998</v>
      </c>
      <c r="H9497" s="29"/>
      <c r="I9497" s="29" t="s">
        <v>346</v>
      </c>
    </row>
    <row r="9498" spans="1:14" x14ac:dyDescent="0.35">
      <c r="A9498" t="s">
        <v>231</v>
      </c>
      <c r="B9498" t="s">
        <v>244</v>
      </c>
      <c r="C9498" s="26">
        <v>0.50980000000000003</v>
      </c>
      <c r="D9498" s="26">
        <v>0.43140000000000001</v>
      </c>
      <c r="E9498" s="26">
        <v>0.29409999999999997</v>
      </c>
      <c r="F9498" s="26">
        <v>3.9199999999999999E-2</v>
      </c>
      <c r="G9498" s="26">
        <v>7.8399999999999997E-2</v>
      </c>
      <c r="H9498" s="26">
        <v>1.9599999999999999E-2</v>
      </c>
      <c r="I9498">
        <v>51</v>
      </c>
    </row>
    <row r="9499" spans="1:14" x14ac:dyDescent="0.35">
      <c r="A9499" s="27" t="s">
        <v>231</v>
      </c>
      <c r="B9499" s="27" t="s">
        <v>245</v>
      </c>
      <c r="C9499" s="28">
        <v>0.45450000000000002</v>
      </c>
      <c r="D9499" s="28">
        <v>0.59089999999999998</v>
      </c>
      <c r="E9499" s="28">
        <v>0.31819999999999998</v>
      </c>
      <c r="F9499" s="28">
        <v>0.18179999999999999</v>
      </c>
      <c r="G9499" s="28">
        <v>4.5499999999999999E-2</v>
      </c>
      <c r="H9499" s="28">
        <v>4.5499999999999999E-2</v>
      </c>
      <c r="I9499" s="29" t="s">
        <v>347</v>
      </c>
    </row>
    <row r="9500" spans="1:14" x14ac:dyDescent="0.35">
      <c r="A9500" s="27" t="s">
        <v>231</v>
      </c>
      <c r="B9500" s="27" t="s">
        <v>246</v>
      </c>
      <c r="C9500" s="28">
        <v>0.42859999999999998</v>
      </c>
      <c r="D9500" s="28">
        <v>0.42859999999999998</v>
      </c>
      <c r="E9500" s="28">
        <v>0.42859999999999998</v>
      </c>
      <c r="F9500" s="29"/>
      <c r="G9500" s="28">
        <v>0.1429</v>
      </c>
      <c r="H9500" s="28">
        <v>0.1429</v>
      </c>
      <c r="I9500" s="29" t="s">
        <v>339</v>
      </c>
    </row>
    <row r="9501" spans="1:14" x14ac:dyDescent="0.35">
      <c r="A9501" t="s">
        <v>232</v>
      </c>
      <c r="B9501" t="s">
        <v>232</v>
      </c>
      <c r="C9501" s="26">
        <v>0.46189999999999998</v>
      </c>
      <c r="D9501" s="26">
        <v>0.45610000000000001</v>
      </c>
      <c r="E9501" s="26">
        <v>0.32429999999999998</v>
      </c>
      <c r="F9501" s="26">
        <v>9.6000000000000002E-2</v>
      </c>
      <c r="G9501" s="26">
        <v>9.6000000000000002E-2</v>
      </c>
      <c r="H9501" s="26">
        <v>3.4500000000000003E-2</v>
      </c>
      <c r="I9501">
        <v>1424</v>
      </c>
    </row>
    <row r="9503" spans="1:14" x14ac:dyDescent="0.35">
      <c r="A9503" s="1" t="s">
        <v>1296</v>
      </c>
    </row>
    <row r="9504" spans="1:14" x14ac:dyDescent="0.35">
      <c r="A9504" t="s">
        <v>219</v>
      </c>
      <c r="B9504" t="s">
        <v>305</v>
      </c>
      <c r="C9504" t="s">
        <v>1270</v>
      </c>
      <c r="D9504" t="s">
        <v>1271</v>
      </c>
      <c r="E9504" t="s">
        <v>1272</v>
      </c>
      <c r="F9504" t="s">
        <v>1273</v>
      </c>
      <c r="G9504" t="s">
        <v>1274</v>
      </c>
      <c r="H9504" t="s">
        <v>1275</v>
      </c>
      <c r="I9504" t="s">
        <v>1276</v>
      </c>
      <c r="J9504" t="s">
        <v>1277</v>
      </c>
      <c r="K9504" t="s">
        <v>1278</v>
      </c>
      <c r="L9504" t="s">
        <v>1279</v>
      </c>
      <c r="M9504" t="s">
        <v>1280</v>
      </c>
      <c r="N9504" t="s">
        <v>964</v>
      </c>
    </row>
    <row r="9505" spans="1:14" x14ac:dyDescent="0.35">
      <c r="A9505" t="s">
        <v>227</v>
      </c>
      <c r="B9505" t="s">
        <v>360</v>
      </c>
      <c r="C9505" t="s">
        <v>1281</v>
      </c>
      <c r="D9505" s="26">
        <v>0.64859999999999995</v>
      </c>
      <c r="E9505" s="26">
        <v>0.35139999999999999</v>
      </c>
      <c r="F9505" s="26">
        <v>0.78380000000000005</v>
      </c>
      <c r="G9505" s="26">
        <v>0.59460000000000002</v>
      </c>
      <c r="H9505" s="26">
        <v>0.64859999999999995</v>
      </c>
      <c r="I9505" s="26">
        <v>0.56759999999999999</v>
      </c>
      <c r="J9505" s="26">
        <v>0.70269999999999999</v>
      </c>
      <c r="K9505" s="26">
        <v>0.64859999999999995</v>
      </c>
      <c r="L9505" s="26">
        <v>0.72970000000000002</v>
      </c>
      <c r="M9505" s="26">
        <v>0.83779999999999999</v>
      </c>
      <c r="N9505">
        <v>37</v>
      </c>
    </row>
    <row r="9506" spans="1:14" x14ac:dyDescent="0.35">
      <c r="A9506" t="s">
        <v>227</v>
      </c>
      <c r="B9506" t="s">
        <v>363</v>
      </c>
      <c r="C9506" t="s">
        <v>1283</v>
      </c>
      <c r="D9506" s="26">
        <v>0.15</v>
      </c>
      <c r="E9506" s="26">
        <v>0.17499999999999999</v>
      </c>
      <c r="F9506" s="26">
        <v>7.4999999999999997E-2</v>
      </c>
      <c r="G9506" s="26">
        <v>0.2</v>
      </c>
      <c r="H9506" s="26">
        <v>0.2</v>
      </c>
      <c r="I9506" s="26">
        <v>7.4999999999999997E-2</v>
      </c>
      <c r="J9506" s="26">
        <v>0.125</v>
      </c>
      <c r="K9506" s="26">
        <v>0.25</v>
      </c>
      <c r="L9506" s="26">
        <v>0.1</v>
      </c>
      <c r="M9506" s="26">
        <v>0.1</v>
      </c>
      <c r="N9506">
        <v>40</v>
      </c>
    </row>
    <row r="9507" spans="1:14" x14ac:dyDescent="0.35">
      <c r="A9507" t="s">
        <v>227</v>
      </c>
      <c r="B9507" t="s">
        <v>363</v>
      </c>
      <c r="C9507" t="s">
        <v>1282</v>
      </c>
      <c r="D9507" s="26">
        <v>2.5000000000000001E-2</v>
      </c>
      <c r="E9507" s="26">
        <v>7.4999999999999997E-2</v>
      </c>
      <c r="G9507" s="26">
        <v>0.05</v>
      </c>
      <c r="N9507">
        <v>40</v>
      </c>
    </row>
    <row r="9508" spans="1:14" x14ac:dyDescent="0.35">
      <c r="A9508" t="s">
        <v>227</v>
      </c>
      <c r="B9508" t="s">
        <v>362</v>
      </c>
      <c r="C9508" t="s">
        <v>303</v>
      </c>
      <c r="D9508" s="26">
        <v>2.86E-2</v>
      </c>
      <c r="E9508" s="26">
        <v>0.31430000000000002</v>
      </c>
      <c r="F9508" s="26">
        <v>8.5699999999999998E-2</v>
      </c>
      <c r="G9508" s="26">
        <v>0.1143</v>
      </c>
      <c r="I9508" s="26">
        <v>0.37140000000000001</v>
      </c>
      <c r="J9508" s="26">
        <v>2.86E-2</v>
      </c>
      <c r="N9508">
        <v>35</v>
      </c>
    </row>
    <row r="9509" spans="1:14" x14ac:dyDescent="0.35">
      <c r="A9509" t="s">
        <v>227</v>
      </c>
      <c r="B9509" t="s">
        <v>362</v>
      </c>
      <c r="C9509" t="s">
        <v>1283</v>
      </c>
      <c r="D9509" s="26">
        <v>0.1714</v>
      </c>
      <c r="E9509" s="26">
        <v>0.2286</v>
      </c>
      <c r="F9509" s="26">
        <v>8.5699999999999998E-2</v>
      </c>
      <c r="G9509" s="26">
        <v>0.37140000000000001</v>
      </c>
      <c r="H9509" s="26">
        <v>0.2571</v>
      </c>
      <c r="I9509" s="26">
        <v>5.7099999999999998E-2</v>
      </c>
      <c r="J9509" s="26">
        <v>0.1429</v>
      </c>
      <c r="K9509" s="26">
        <v>0.2571</v>
      </c>
      <c r="L9509" s="26">
        <v>0.2571</v>
      </c>
      <c r="M9509" s="26">
        <v>0.1143</v>
      </c>
      <c r="N9509">
        <v>35</v>
      </c>
    </row>
    <row r="9510" spans="1:14" x14ac:dyDescent="0.35">
      <c r="A9510" t="s">
        <v>227</v>
      </c>
      <c r="B9510" t="s">
        <v>362</v>
      </c>
      <c r="C9510" t="s">
        <v>1282</v>
      </c>
      <c r="D9510" s="26">
        <v>2.86E-2</v>
      </c>
      <c r="E9510" s="26">
        <v>0.1143</v>
      </c>
      <c r="F9510" s="26">
        <v>2.86E-2</v>
      </c>
      <c r="G9510" s="26">
        <v>8.5699999999999998E-2</v>
      </c>
      <c r="H9510" s="26">
        <v>5.7099999999999998E-2</v>
      </c>
      <c r="J9510" s="26">
        <v>5.7099999999999998E-2</v>
      </c>
      <c r="K9510" s="26">
        <v>5.7099999999999998E-2</v>
      </c>
      <c r="N9510">
        <v>35</v>
      </c>
    </row>
    <row r="9511" spans="1:14" x14ac:dyDescent="0.35">
      <c r="A9511" t="s">
        <v>227</v>
      </c>
      <c r="B9511" t="s">
        <v>363</v>
      </c>
      <c r="C9511" t="s">
        <v>1281</v>
      </c>
      <c r="D9511" s="26">
        <v>0.82499999999999996</v>
      </c>
      <c r="E9511" s="26">
        <v>0.25</v>
      </c>
      <c r="F9511" s="26">
        <v>0.9</v>
      </c>
      <c r="G9511" s="26">
        <v>0.57499999999999996</v>
      </c>
      <c r="H9511" s="26">
        <v>0.77500000000000002</v>
      </c>
      <c r="I9511" s="26">
        <v>0.6</v>
      </c>
      <c r="J9511" s="26">
        <v>0.875</v>
      </c>
      <c r="K9511" s="26">
        <v>0.72499999999999998</v>
      </c>
      <c r="L9511" s="26">
        <v>0.9</v>
      </c>
      <c r="M9511" s="26">
        <v>0.9</v>
      </c>
      <c r="N9511">
        <v>40</v>
      </c>
    </row>
    <row r="9512" spans="1:14" x14ac:dyDescent="0.35">
      <c r="A9512" t="s">
        <v>227</v>
      </c>
      <c r="B9512" t="s">
        <v>361</v>
      </c>
      <c r="C9512" t="s">
        <v>303</v>
      </c>
      <c r="D9512" s="26">
        <v>3.3300000000000003E-2</v>
      </c>
      <c r="E9512" s="26">
        <v>0.26669999999999999</v>
      </c>
      <c r="F9512" s="26">
        <v>3.3300000000000003E-2</v>
      </c>
      <c r="G9512" s="26">
        <v>3.3300000000000003E-2</v>
      </c>
      <c r="H9512" s="26">
        <v>3.3300000000000003E-2</v>
      </c>
      <c r="I9512" s="26">
        <v>3.3300000000000003E-2</v>
      </c>
      <c r="N9512">
        <v>30</v>
      </c>
    </row>
    <row r="9513" spans="1:14" x14ac:dyDescent="0.35">
      <c r="A9513" t="s">
        <v>227</v>
      </c>
      <c r="B9513" t="s">
        <v>361</v>
      </c>
      <c r="C9513" t="s">
        <v>1281</v>
      </c>
      <c r="D9513" s="26">
        <v>0.9667</v>
      </c>
      <c r="E9513" s="26">
        <v>0.63329999999999997</v>
      </c>
      <c r="F9513" s="26">
        <v>0.9667</v>
      </c>
      <c r="G9513" s="26">
        <v>0.83330000000000004</v>
      </c>
      <c r="H9513" s="26">
        <v>0.9</v>
      </c>
      <c r="I9513" s="26">
        <v>0.93330000000000002</v>
      </c>
      <c r="J9513" s="26">
        <v>0.9</v>
      </c>
      <c r="K9513" s="26">
        <v>0.93330000000000002</v>
      </c>
      <c r="L9513" s="26">
        <v>0.9</v>
      </c>
      <c r="M9513" s="26">
        <v>0.93330000000000002</v>
      </c>
      <c r="N9513">
        <v>30</v>
      </c>
    </row>
    <row r="9514" spans="1:14" x14ac:dyDescent="0.35">
      <c r="A9514" t="s">
        <v>227</v>
      </c>
      <c r="B9514" t="s">
        <v>360</v>
      </c>
      <c r="C9514" t="s">
        <v>303</v>
      </c>
      <c r="D9514" s="26">
        <v>2.7E-2</v>
      </c>
      <c r="E9514" s="26">
        <v>0.35139999999999999</v>
      </c>
      <c r="F9514" s="26">
        <v>5.4100000000000002E-2</v>
      </c>
      <c r="G9514" s="26">
        <v>5.4100000000000002E-2</v>
      </c>
      <c r="H9514" s="26">
        <v>2.7E-2</v>
      </c>
      <c r="I9514" s="26">
        <v>0.32429999999999998</v>
      </c>
      <c r="N9514">
        <v>37</v>
      </c>
    </row>
    <row r="9515" spans="1:14" x14ac:dyDescent="0.35">
      <c r="A9515" t="s">
        <v>227</v>
      </c>
      <c r="B9515" t="s">
        <v>360</v>
      </c>
      <c r="C9515" t="s">
        <v>1283</v>
      </c>
      <c r="D9515" s="26">
        <v>0.29730000000000001</v>
      </c>
      <c r="E9515" s="26">
        <v>0.18920000000000001</v>
      </c>
      <c r="F9515" s="26">
        <v>0.1081</v>
      </c>
      <c r="G9515" s="26">
        <v>0.29730000000000001</v>
      </c>
      <c r="H9515" s="26">
        <v>0.27029999999999998</v>
      </c>
      <c r="I9515" s="26">
        <v>0.1081</v>
      </c>
      <c r="J9515" s="26">
        <v>0.29730000000000001</v>
      </c>
      <c r="K9515" s="26">
        <v>0.32429999999999998</v>
      </c>
      <c r="L9515" s="26">
        <v>0.27029999999999998</v>
      </c>
      <c r="M9515" s="26">
        <v>0.16220000000000001</v>
      </c>
      <c r="N9515">
        <v>37</v>
      </c>
    </row>
    <row r="9516" spans="1:14" x14ac:dyDescent="0.35">
      <c r="A9516" t="s">
        <v>227</v>
      </c>
      <c r="B9516" t="s">
        <v>360</v>
      </c>
      <c r="C9516" t="s">
        <v>1282</v>
      </c>
      <c r="D9516" s="26">
        <v>2.7E-2</v>
      </c>
      <c r="E9516" s="26">
        <v>0.1081</v>
      </c>
      <c r="F9516" s="26">
        <v>5.4100000000000002E-2</v>
      </c>
      <c r="G9516" s="26">
        <v>5.4100000000000002E-2</v>
      </c>
      <c r="H9516" s="26">
        <v>5.4100000000000002E-2</v>
      </c>
      <c r="K9516" s="26">
        <v>2.7E-2</v>
      </c>
      <c r="N9516">
        <v>37</v>
      </c>
    </row>
    <row r="9517" spans="1:14" x14ac:dyDescent="0.35">
      <c r="A9517" t="s">
        <v>227</v>
      </c>
      <c r="B9517" t="s">
        <v>362</v>
      </c>
      <c r="C9517" t="s">
        <v>1281</v>
      </c>
      <c r="D9517" s="26">
        <v>0.77139999999999997</v>
      </c>
      <c r="E9517" s="26">
        <v>0.34289999999999998</v>
      </c>
      <c r="F9517" s="26">
        <v>0.8</v>
      </c>
      <c r="G9517" s="26">
        <v>0.42859999999999998</v>
      </c>
      <c r="H9517" s="26">
        <v>0.68569999999999998</v>
      </c>
      <c r="I9517" s="26">
        <v>0.57140000000000002</v>
      </c>
      <c r="J9517" s="26">
        <v>0.77139999999999997</v>
      </c>
      <c r="K9517" s="26">
        <v>0.68569999999999998</v>
      </c>
      <c r="L9517" s="26">
        <v>0.7429</v>
      </c>
      <c r="M9517" s="26">
        <v>0.88570000000000004</v>
      </c>
      <c r="N9517">
        <v>35</v>
      </c>
    </row>
    <row r="9518" spans="1:14" x14ac:dyDescent="0.35">
      <c r="A9518" t="s">
        <v>228</v>
      </c>
      <c r="B9518" t="s">
        <v>362</v>
      </c>
      <c r="C9518" t="s">
        <v>1282</v>
      </c>
      <c r="D9518" s="26">
        <v>1.9599999999999999E-2</v>
      </c>
      <c r="E9518" s="26">
        <v>8.5400000000000004E-2</v>
      </c>
      <c r="F9518" s="26">
        <v>1.03E-2</v>
      </c>
      <c r="G9518" s="26">
        <v>1.41E-2</v>
      </c>
      <c r="H9518" s="26">
        <v>4.7000000000000002E-3</v>
      </c>
      <c r="I9518" s="26">
        <v>1.8200000000000001E-2</v>
      </c>
      <c r="K9518" s="26">
        <v>2.5000000000000001E-3</v>
      </c>
      <c r="L9518" s="26">
        <v>5.4000000000000003E-3</v>
      </c>
      <c r="N9518">
        <v>213</v>
      </c>
    </row>
    <row r="9519" spans="1:14" x14ac:dyDescent="0.35">
      <c r="A9519" t="s">
        <v>228</v>
      </c>
      <c r="B9519" t="s">
        <v>363</v>
      </c>
      <c r="C9519" t="s">
        <v>303</v>
      </c>
      <c r="D9519" s="26">
        <v>3.2800000000000003E-2</v>
      </c>
      <c r="E9519" s="26">
        <v>0.47689999999999999</v>
      </c>
      <c r="F9519" s="26">
        <v>0.1782</v>
      </c>
      <c r="G9519" s="26">
        <v>0.21199999999999999</v>
      </c>
      <c r="H9519" s="26">
        <v>2.2499999999999999E-2</v>
      </c>
      <c r="I9519" s="26">
        <v>0.35610000000000003</v>
      </c>
      <c r="J9519" s="26">
        <v>1.1000000000000001E-3</v>
      </c>
      <c r="L9519" s="26">
        <v>4.1399999999999999E-2</v>
      </c>
      <c r="M9519" s="26">
        <v>1.9E-3</v>
      </c>
      <c r="N9519">
        <v>195</v>
      </c>
    </row>
    <row r="9520" spans="1:14" x14ac:dyDescent="0.35">
      <c r="A9520" t="s">
        <v>228</v>
      </c>
      <c r="B9520" t="s">
        <v>363</v>
      </c>
      <c r="C9520" t="s">
        <v>1283</v>
      </c>
      <c r="D9520" s="26">
        <v>9.35E-2</v>
      </c>
      <c r="E9520" s="26">
        <v>6.9900000000000004E-2</v>
      </c>
      <c r="F9520" s="26">
        <v>4.4900000000000002E-2</v>
      </c>
      <c r="G9520" s="26">
        <v>0.158</v>
      </c>
      <c r="H9520" s="26">
        <v>0.1895</v>
      </c>
      <c r="I9520" s="26">
        <v>3.2899999999999999E-2</v>
      </c>
      <c r="J9520" s="26">
        <v>0.1414</v>
      </c>
      <c r="K9520" s="26">
        <v>0.1057</v>
      </c>
      <c r="L9520" s="26">
        <v>0.12230000000000001</v>
      </c>
      <c r="M9520" s="26">
        <v>0.1069</v>
      </c>
      <c r="N9520">
        <v>195</v>
      </c>
    </row>
    <row r="9521" spans="1:14" x14ac:dyDescent="0.35">
      <c r="A9521" t="s">
        <v>228</v>
      </c>
      <c r="B9521" t="s">
        <v>363</v>
      </c>
      <c r="C9521" t="s">
        <v>1282</v>
      </c>
      <c r="D9521" s="26">
        <v>1.2200000000000001E-2</v>
      </c>
      <c r="E9521" s="26">
        <v>6.0600000000000001E-2</v>
      </c>
      <c r="F9521" s="26">
        <v>2.3E-3</v>
      </c>
      <c r="G9521" s="26">
        <v>0.02</v>
      </c>
      <c r="H9521" s="26">
        <v>1.9300000000000001E-2</v>
      </c>
      <c r="L9521" s="26">
        <v>3.8999999999999998E-3</v>
      </c>
      <c r="N9521">
        <v>195</v>
      </c>
    </row>
    <row r="9522" spans="1:14" x14ac:dyDescent="0.35">
      <c r="A9522" t="s">
        <v>228</v>
      </c>
      <c r="B9522" t="s">
        <v>363</v>
      </c>
      <c r="C9522" t="s">
        <v>1281</v>
      </c>
      <c r="D9522" s="26">
        <v>0.86150000000000004</v>
      </c>
      <c r="E9522" s="26">
        <v>0.39250000000000002</v>
      </c>
      <c r="F9522" s="26">
        <v>0.77470000000000006</v>
      </c>
      <c r="G9522" s="26">
        <v>0.6099</v>
      </c>
      <c r="H9522" s="26">
        <v>0.76870000000000005</v>
      </c>
      <c r="I9522" s="26">
        <v>0.61099999999999999</v>
      </c>
      <c r="J9522" s="26">
        <v>0.85750000000000004</v>
      </c>
      <c r="K9522" s="26">
        <v>0.89429999999999998</v>
      </c>
      <c r="L9522" s="26">
        <v>0.83240000000000003</v>
      </c>
      <c r="M9522" s="26">
        <v>0.89119999999999999</v>
      </c>
      <c r="N9522">
        <v>195</v>
      </c>
    </row>
    <row r="9523" spans="1:14" x14ac:dyDescent="0.35">
      <c r="A9523" t="s">
        <v>228</v>
      </c>
      <c r="B9523" t="s">
        <v>362</v>
      </c>
      <c r="C9523" t="s">
        <v>303</v>
      </c>
      <c r="D9523" s="26">
        <v>4.0300000000000002E-2</v>
      </c>
      <c r="E9523" s="26">
        <v>0.3947</v>
      </c>
      <c r="F9523" s="26">
        <v>9.8299999999999998E-2</v>
      </c>
      <c r="G9523" s="26">
        <v>0.1158</v>
      </c>
      <c r="H9523" s="26">
        <v>1.54E-2</v>
      </c>
      <c r="I9523" s="26">
        <v>0.34989999999999999</v>
      </c>
      <c r="K9523" s="26">
        <v>1.9E-3</v>
      </c>
      <c r="L9523" s="26">
        <v>1.1000000000000001E-3</v>
      </c>
      <c r="M9523" s="26">
        <v>3.0000000000000001E-3</v>
      </c>
      <c r="N9523">
        <v>213</v>
      </c>
    </row>
    <row r="9524" spans="1:14" x14ac:dyDescent="0.35">
      <c r="A9524" t="s">
        <v>228</v>
      </c>
      <c r="B9524" t="s">
        <v>362</v>
      </c>
      <c r="C9524" t="s">
        <v>1283</v>
      </c>
      <c r="D9524" s="26">
        <v>0.15959999999999999</v>
      </c>
      <c r="E9524" s="26">
        <v>0.21890000000000001</v>
      </c>
      <c r="F9524" s="26">
        <v>7.4899999999999994E-2</v>
      </c>
      <c r="G9524" s="26">
        <v>0.2281</v>
      </c>
      <c r="H9524" s="26">
        <v>0.2893</v>
      </c>
      <c r="I9524" s="26">
        <v>2.8899999999999999E-2</v>
      </c>
      <c r="J9524" s="26">
        <v>0.16600000000000001</v>
      </c>
      <c r="K9524" s="26">
        <v>0.26400000000000001</v>
      </c>
      <c r="L9524" s="26">
        <v>0.1784</v>
      </c>
      <c r="M9524" s="26">
        <v>9.3899999999999997E-2</v>
      </c>
      <c r="N9524">
        <v>213</v>
      </c>
    </row>
    <row r="9525" spans="1:14" x14ac:dyDescent="0.35">
      <c r="A9525" t="s">
        <v>228</v>
      </c>
      <c r="B9525" t="s">
        <v>362</v>
      </c>
      <c r="C9525" t="s">
        <v>1281</v>
      </c>
      <c r="D9525" s="26">
        <v>0.78059999999999996</v>
      </c>
      <c r="E9525" s="26">
        <v>0.30099999999999999</v>
      </c>
      <c r="F9525" s="26">
        <v>0.8165</v>
      </c>
      <c r="G9525" s="26">
        <v>0.64200000000000002</v>
      </c>
      <c r="H9525" s="26">
        <v>0.69059999999999999</v>
      </c>
      <c r="I9525" s="26">
        <v>0.60299999999999998</v>
      </c>
      <c r="J9525" s="26">
        <v>0.83399999999999996</v>
      </c>
      <c r="K9525" s="26">
        <v>0.73150000000000004</v>
      </c>
      <c r="L9525" s="26">
        <v>0.81499999999999995</v>
      </c>
      <c r="M9525" s="26">
        <v>0.90310000000000001</v>
      </c>
      <c r="N9525">
        <v>213</v>
      </c>
    </row>
    <row r="9526" spans="1:14" x14ac:dyDescent="0.35">
      <c r="A9526" t="s">
        <v>228</v>
      </c>
      <c r="B9526" t="s">
        <v>361</v>
      </c>
      <c r="C9526" t="s">
        <v>1281</v>
      </c>
      <c r="D9526" s="26">
        <v>0.89410000000000001</v>
      </c>
      <c r="E9526" s="26">
        <v>0.54459999999999997</v>
      </c>
      <c r="F9526" s="26">
        <v>0.83389999999999997</v>
      </c>
      <c r="G9526" s="26">
        <v>0.61909999999999998</v>
      </c>
      <c r="H9526" s="26">
        <v>0.81630000000000003</v>
      </c>
      <c r="I9526" s="26">
        <v>0.71799999999999997</v>
      </c>
      <c r="J9526" s="26">
        <v>0.80120000000000002</v>
      </c>
      <c r="K9526" s="26">
        <v>0.8024</v>
      </c>
      <c r="L9526" s="26">
        <v>0.8851</v>
      </c>
      <c r="M9526" s="26">
        <v>0.92749999999999999</v>
      </c>
      <c r="N9526">
        <v>181</v>
      </c>
    </row>
    <row r="9527" spans="1:14" x14ac:dyDescent="0.35">
      <c r="A9527" t="s">
        <v>228</v>
      </c>
      <c r="B9527" t="s">
        <v>361</v>
      </c>
      <c r="C9527" t="s">
        <v>1283</v>
      </c>
      <c r="D9527" s="26">
        <v>6.6500000000000004E-2</v>
      </c>
      <c r="E9527" s="26">
        <v>6.13E-2</v>
      </c>
      <c r="F9527" s="26">
        <v>1.29E-2</v>
      </c>
      <c r="G9527" s="26">
        <v>0.10100000000000001</v>
      </c>
      <c r="H9527" s="26">
        <v>0.1429</v>
      </c>
      <c r="I9527" s="26">
        <v>2.8000000000000001E-2</v>
      </c>
      <c r="J9527" s="26">
        <v>0.17630000000000001</v>
      </c>
      <c r="K9527" s="26">
        <v>0.16270000000000001</v>
      </c>
      <c r="L9527" s="26">
        <v>8.09E-2</v>
      </c>
      <c r="M9527" s="26">
        <v>7.2499999999999995E-2</v>
      </c>
      <c r="N9527">
        <v>181</v>
      </c>
    </row>
    <row r="9528" spans="1:14" x14ac:dyDescent="0.35">
      <c r="A9528" t="s">
        <v>228</v>
      </c>
      <c r="B9528" t="s">
        <v>361</v>
      </c>
      <c r="C9528" t="s">
        <v>1282</v>
      </c>
      <c r="D9528" s="26">
        <v>1.67E-2</v>
      </c>
      <c r="E9528" s="26">
        <v>2.6499999999999999E-2</v>
      </c>
      <c r="F9528" s="26">
        <v>1.67E-2</v>
      </c>
      <c r="G9528" s="26">
        <v>2.4199999999999999E-2</v>
      </c>
      <c r="H9528" s="26">
        <v>1.5900000000000001E-2</v>
      </c>
      <c r="I9528" s="26">
        <v>1.4800000000000001E-2</v>
      </c>
      <c r="J9528" s="26">
        <v>1.4800000000000001E-2</v>
      </c>
      <c r="K9528" s="26">
        <v>5.1999999999999998E-3</v>
      </c>
      <c r="N9528">
        <v>181</v>
      </c>
    </row>
    <row r="9529" spans="1:14" x14ac:dyDescent="0.35">
      <c r="A9529" t="s">
        <v>228</v>
      </c>
      <c r="B9529" t="s">
        <v>360</v>
      </c>
      <c r="C9529" t="s">
        <v>303</v>
      </c>
      <c r="D9529" s="26">
        <v>9.9099999999999994E-2</v>
      </c>
      <c r="E9529" s="26">
        <v>0.36799999999999999</v>
      </c>
      <c r="F9529" s="26">
        <v>0.17430000000000001</v>
      </c>
      <c r="G9529" s="26">
        <v>0.1653</v>
      </c>
      <c r="H9529" s="26">
        <v>3.2800000000000003E-2</v>
      </c>
      <c r="I9529" s="26">
        <v>0.42499999999999999</v>
      </c>
      <c r="J9529" s="26">
        <v>1.5100000000000001E-2</v>
      </c>
      <c r="K9529" s="26">
        <v>2.3E-3</v>
      </c>
      <c r="L9529" s="26">
        <v>2.7000000000000001E-3</v>
      </c>
      <c r="M9529" s="26">
        <v>1.4E-3</v>
      </c>
      <c r="N9529">
        <v>232</v>
      </c>
    </row>
    <row r="9530" spans="1:14" x14ac:dyDescent="0.35">
      <c r="A9530" t="s">
        <v>228</v>
      </c>
      <c r="B9530" t="s">
        <v>360</v>
      </c>
      <c r="C9530" t="s">
        <v>1283</v>
      </c>
      <c r="D9530" s="26">
        <v>0.15740000000000001</v>
      </c>
      <c r="E9530" s="26">
        <v>0.25600000000000001</v>
      </c>
      <c r="F9530" s="26">
        <v>0.10829999999999999</v>
      </c>
      <c r="G9530" s="26">
        <v>0.28079999999999999</v>
      </c>
      <c r="H9530" s="26">
        <v>0.2208</v>
      </c>
      <c r="I9530" s="26">
        <v>5.1700000000000003E-2</v>
      </c>
      <c r="J9530" s="26">
        <v>0.17549999999999999</v>
      </c>
      <c r="K9530" s="26">
        <v>0.2331</v>
      </c>
      <c r="L9530" s="26">
        <v>0.15909999999999999</v>
      </c>
      <c r="M9530" s="26">
        <v>0.11</v>
      </c>
      <c r="N9530">
        <v>232</v>
      </c>
    </row>
    <row r="9531" spans="1:14" x14ac:dyDescent="0.35">
      <c r="A9531" t="s">
        <v>228</v>
      </c>
      <c r="B9531" t="s">
        <v>360</v>
      </c>
      <c r="C9531" t="s">
        <v>1282</v>
      </c>
      <c r="D9531" s="26">
        <v>4.6600000000000003E-2</v>
      </c>
      <c r="E9531" s="26">
        <v>7.0000000000000007E-2</v>
      </c>
      <c r="F9531" s="26">
        <v>5.0000000000000001E-3</v>
      </c>
      <c r="G9531" s="26">
        <v>2.7099999999999999E-2</v>
      </c>
      <c r="H9531" s="26">
        <v>5.9799999999999999E-2</v>
      </c>
      <c r="I9531" s="26">
        <v>6.0000000000000001E-3</v>
      </c>
      <c r="K9531" s="26">
        <v>6.3E-3</v>
      </c>
      <c r="N9531">
        <v>232</v>
      </c>
    </row>
    <row r="9532" spans="1:14" x14ac:dyDescent="0.35">
      <c r="A9532" t="s">
        <v>228</v>
      </c>
      <c r="B9532" t="s">
        <v>360</v>
      </c>
      <c r="C9532" t="s">
        <v>1281</v>
      </c>
      <c r="D9532" s="26">
        <v>0.69689999999999996</v>
      </c>
      <c r="E9532" s="26">
        <v>0.30599999999999999</v>
      </c>
      <c r="F9532" s="26">
        <v>0.71240000000000003</v>
      </c>
      <c r="G9532" s="26">
        <v>0.52669999999999995</v>
      </c>
      <c r="H9532" s="26">
        <v>0.68669999999999998</v>
      </c>
      <c r="I9532" s="26">
        <v>0.51729999999999998</v>
      </c>
      <c r="J9532" s="26">
        <v>0.80940000000000001</v>
      </c>
      <c r="K9532" s="26">
        <v>0.75829999999999997</v>
      </c>
      <c r="L9532" s="26">
        <v>0.83819999999999995</v>
      </c>
      <c r="M9532" s="26">
        <v>0.88870000000000005</v>
      </c>
      <c r="N9532">
        <v>232</v>
      </c>
    </row>
    <row r="9533" spans="1:14" x14ac:dyDescent="0.35">
      <c r="A9533" t="s">
        <v>228</v>
      </c>
      <c r="B9533" t="s">
        <v>361</v>
      </c>
      <c r="C9533" t="s">
        <v>303</v>
      </c>
      <c r="D9533" s="26">
        <v>2.2599999999999999E-2</v>
      </c>
      <c r="E9533" s="26">
        <v>0.36759999999999998</v>
      </c>
      <c r="F9533" s="26">
        <v>0.1366</v>
      </c>
      <c r="G9533" s="26">
        <v>0.25569999999999998</v>
      </c>
      <c r="H9533" s="26">
        <v>2.4799999999999999E-2</v>
      </c>
      <c r="I9533" s="26">
        <v>0.2392</v>
      </c>
      <c r="J9533" s="26">
        <v>7.7000000000000002E-3</v>
      </c>
      <c r="K9533" s="26">
        <v>2.9700000000000001E-2</v>
      </c>
      <c r="L9533" s="26">
        <v>3.39E-2</v>
      </c>
      <c r="N9533">
        <v>181</v>
      </c>
    </row>
    <row r="9534" spans="1:14" x14ac:dyDescent="0.35">
      <c r="A9534" t="s">
        <v>229</v>
      </c>
      <c r="B9534" t="s">
        <v>362</v>
      </c>
      <c r="C9534" t="s">
        <v>1283</v>
      </c>
      <c r="D9534" s="26">
        <v>0.19420000000000001</v>
      </c>
      <c r="E9534" s="26">
        <v>0.1736</v>
      </c>
      <c r="F9534" s="26">
        <v>8.0600000000000005E-2</v>
      </c>
      <c r="G9534" s="26">
        <v>0.33279999999999998</v>
      </c>
      <c r="H9534" s="26">
        <v>0.3448</v>
      </c>
      <c r="I9534" s="26">
        <v>3.5200000000000002E-2</v>
      </c>
      <c r="J9534" s="26">
        <v>0.29330000000000001</v>
      </c>
      <c r="K9534" s="26">
        <v>0.26869999999999999</v>
      </c>
      <c r="L9534" s="26">
        <v>0.21820000000000001</v>
      </c>
      <c r="M9534" s="26">
        <v>9.7500000000000003E-2</v>
      </c>
      <c r="N9534">
        <v>147</v>
      </c>
    </row>
    <row r="9535" spans="1:14" x14ac:dyDescent="0.35">
      <c r="A9535" t="s">
        <v>229</v>
      </c>
      <c r="B9535" t="s">
        <v>363</v>
      </c>
      <c r="C9535" t="s">
        <v>303</v>
      </c>
      <c r="D9535" s="26">
        <v>3.2099999999999997E-2</v>
      </c>
      <c r="E9535" s="26">
        <v>0.39400000000000002</v>
      </c>
      <c r="F9535" s="26">
        <v>0.18579999999999999</v>
      </c>
      <c r="G9535" s="26">
        <v>0.14990000000000001</v>
      </c>
      <c r="H9535" s="26">
        <v>5.2699999999999997E-2</v>
      </c>
      <c r="I9535" s="26">
        <v>0.35749999999999998</v>
      </c>
      <c r="J9535" s="26">
        <v>3.3E-3</v>
      </c>
      <c r="K9535" s="26">
        <v>6.1999999999999998E-3</v>
      </c>
      <c r="L9535" s="26">
        <v>5.4800000000000001E-2</v>
      </c>
      <c r="M9535" s="26">
        <v>5.9999999999999995E-4</v>
      </c>
      <c r="N9535">
        <v>170</v>
      </c>
    </row>
    <row r="9536" spans="1:14" x14ac:dyDescent="0.35">
      <c r="A9536" t="s">
        <v>229</v>
      </c>
      <c r="B9536" t="s">
        <v>363</v>
      </c>
      <c r="C9536" t="s">
        <v>1283</v>
      </c>
      <c r="D9536" s="26">
        <v>8.2199999999999995E-2</v>
      </c>
      <c r="E9536" s="26">
        <v>0.15440000000000001</v>
      </c>
      <c r="F9536" s="26">
        <v>5.6800000000000003E-2</v>
      </c>
      <c r="G9536" s="26">
        <v>0.1108</v>
      </c>
      <c r="H9536" s="26">
        <v>0.1757</v>
      </c>
      <c r="I9536" s="26">
        <v>2.1000000000000001E-2</v>
      </c>
      <c r="J9536" s="26">
        <v>8.6699999999999999E-2</v>
      </c>
      <c r="K9536" s="26">
        <v>0.21329999999999999</v>
      </c>
      <c r="L9536" s="26">
        <v>0.1138</v>
      </c>
      <c r="M9536" s="26">
        <v>0.1128</v>
      </c>
      <c r="N9536">
        <v>170</v>
      </c>
    </row>
    <row r="9537" spans="1:14" x14ac:dyDescent="0.35">
      <c r="A9537" t="s">
        <v>229</v>
      </c>
      <c r="B9537" t="s">
        <v>363</v>
      </c>
      <c r="C9537" t="s">
        <v>1282</v>
      </c>
      <c r="D9537" s="26">
        <v>8.3999999999999995E-3</v>
      </c>
      <c r="E9537" s="26">
        <v>3.2199999999999999E-2</v>
      </c>
      <c r="G9537" s="26">
        <v>2.2100000000000002E-2</v>
      </c>
      <c r="H9537" s="26">
        <v>2.52E-2</v>
      </c>
      <c r="I9537" s="26">
        <v>5.9999999999999995E-4</v>
      </c>
      <c r="K9537" s="26">
        <v>2.3199999999999998E-2</v>
      </c>
      <c r="N9537">
        <v>170</v>
      </c>
    </row>
    <row r="9538" spans="1:14" x14ac:dyDescent="0.35">
      <c r="A9538" t="s">
        <v>229</v>
      </c>
      <c r="B9538" t="s">
        <v>363</v>
      </c>
      <c r="C9538" t="s">
        <v>1281</v>
      </c>
      <c r="D9538" s="26">
        <v>0.87719999999999998</v>
      </c>
      <c r="E9538" s="26">
        <v>0.4194</v>
      </c>
      <c r="F9538" s="26">
        <v>0.75739999999999996</v>
      </c>
      <c r="G9538" s="26">
        <v>0.71709999999999996</v>
      </c>
      <c r="H9538" s="26">
        <v>0.74629999999999996</v>
      </c>
      <c r="I9538" s="26">
        <v>0.62080000000000002</v>
      </c>
      <c r="J9538" s="26">
        <v>0.91010000000000002</v>
      </c>
      <c r="K9538" s="26">
        <v>0.75729999999999997</v>
      </c>
      <c r="L9538" s="26">
        <v>0.83140000000000003</v>
      </c>
      <c r="M9538" s="26">
        <v>0.88660000000000005</v>
      </c>
      <c r="N9538">
        <v>170</v>
      </c>
    </row>
    <row r="9539" spans="1:14" x14ac:dyDescent="0.35">
      <c r="A9539" t="s">
        <v>229</v>
      </c>
      <c r="B9539" t="s">
        <v>362</v>
      </c>
      <c r="C9539" t="s">
        <v>303</v>
      </c>
      <c r="D9539" s="26">
        <v>4.4999999999999998E-2</v>
      </c>
      <c r="E9539" s="26">
        <v>0.49409999999999998</v>
      </c>
      <c r="F9539" s="26">
        <v>8.2799999999999999E-2</v>
      </c>
      <c r="G9539" s="26">
        <v>0.13350000000000001</v>
      </c>
      <c r="I9539" s="26">
        <v>0.3856</v>
      </c>
      <c r="J9539" s="26">
        <v>1.83E-2</v>
      </c>
      <c r="L9539" s="26">
        <v>6.9999999999999999E-4</v>
      </c>
      <c r="M9539" s="26">
        <v>2.1899999999999999E-2</v>
      </c>
      <c r="N9539">
        <v>147</v>
      </c>
    </row>
    <row r="9540" spans="1:14" x14ac:dyDescent="0.35">
      <c r="A9540" t="s">
        <v>229</v>
      </c>
      <c r="B9540" t="s">
        <v>362</v>
      </c>
      <c r="C9540" t="s">
        <v>1282</v>
      </c>
      <c r="D9540" s="26">
        <v>5.91E-2</v>
      </c>
      <c r="E9540" s="26">
        <v>6.1400000000000003E-2</v>
      </c>
      <c r="F9540" s="26">
        <v>2.81E-2</v>
      </c>
      <c r="G9540" s="26">
        <v>4.4999999999999997E-3</v>
      </c>
      <c r="H9540" s="26">
        <v>2.4299999999999999E-2</v>
      </c>
      <c r="I9540" s="26">
        <v>1.83E-2</v>
      </c>
      <c r="K9540" s="26">
        <v>1.83E-2</v>
      </c>
      <c r="M9540" s="26">
        <v>6.9999999999999999E-4</v>
      </c>
      <c r="N9540">
        <v>147</v>
      </c>
    </row>
    <row r="9541" spans="1:14" x14ac:dyDescent="0.35">
      <c r="A9541" t="s">
        <v>229</v>
      </c>
      <c r="B9541" t="s">
        <v>362</v>
      </c>
      <c r="C9541" t="s">
        <v>1281</v>
      </c>
      <c r="D9541" s="26">
        <v>0.7016</v>
      </c>
      <c r="E9541" s="26">
        <v>0.27100000000000002</v>
      </c>
      <c r="F9541" s="26">
        <v>0.80840000000000001</v>
      </c>
      <c r="G9541" s="26">
        <v>0.5292</v>
      </c>
      <c r="H9541" s="26">
        <v>0.63090000000000002</v>
      </c>
      <c r="I9541" s="26">
        <v>0.56089999999999995</v>
      </c>
      <c r="J9541" s="26">
        <v>0.68840000000000001</v>
      </c>
      <c r="K9541" s="26">
        <v>0.71299999999999997</v>
      </c>
      <c r="L9541" s="26">
        <v>0.78110000000000002</v>
      </c>
      <c r="M9541" s="26">
        <v>0.87990000000000002</v>
      </c>
      <c r="N9541">
        <v>147</v>
      </c>
    </row>
    <row r="9542" spans="1:14" x14ac:dyDescent="0.35">
      <c r="A9542" t="s">
        <v>229</v>
      </c>
      <c r="B9542" t="s">
        <v>361</v>
      </c>
      <c r="C9542" t="s">
        <v>1283</v>
      </c>
      <c r="D9542" s="26">
        <v>4.4499999999999998E-2</v>
      </c>
      <c r="E9542" s="26">
        <v>7.1499999999999994E-2</v>
      </c>
      <c r="F9542" s="26">
        <v>3.15E-2</v>
      </c>
      <c r="G9542" s="26">
        <v>0.1201</v>
      </c>
      <c r="H9542" s="26">
        <v>0.11840000000000001</v>
      </c>
      <c r="I9542" s="26">
        <v>2.4500000000000001E-2</v>
      </c>
      <c r="J9542" s="26">
        <v>7.7399999999999997E-2</v>
      </c>
      <c r="K9542" s="26">
        <v>0.1467</v>
      </c>
      <c r="L9542" s="26">
        <v>0.1023</v>
      </c>
      <c r="M9542" s="26">
        <v>6.0999999999999999E-2</v>
      </c>
      <c r="N9542">
        <v>216</v>
      </c>
    </row>
    <row r="9543" spans="1:14" x14ac:dyDescent="0.35">
      <c r="A9543" t="s">
        <v>229</v>
      </c>
      <c r="B9543" t="s">
        <v>361</v>
      </c>
      <c r="C9543" t="s">
        <v>1282</v>
      </c>
      <c r="D9543" s="26">
        <v>1.7999999999999999E-2</v>
      </c>
      <c r="E9543" s="26">
        <v>4.4499999999999998E-2</v>
      </c>
      <c r="G9543" s="26">
        <v>2E-3</v>
      </c>
      <c r="H9543" s="26">
        <v>1.0999999999999999E-2</v>
      </c>
      <c r="I9543" s="26">
        <v>7.4999999999999997E-3</v>
      </c>
      <c r="K9543" s="26">
        <v>1.4999999999999999E-2</v>
      </c>
      <c r="L9543" s="26">
        <v>5.0000000000000001E-4</v>
      </c>
      <c r="M9543" s="26">
        <v>5.0000000000000001E-4</v>
      </c>
      <c r="N9543">
        <v>216</v>
      </c>
    </row>
    <row r="9544" spans="1:14" x14ac:dyDescent="0.35">
      <c r="A9544" t="s">
        <v>229</v>
      </c>
      <c r="B9544" t="s">
        <v>361</v>
      </c>
      <c r="C9544" t="s">
        <v>1281</v>
      </c>
      <c r="D9544" s="26">
        <v>0.91110000000000002</v>
      </c>
      <c r="E9544" s="26">
        <v>0.49109999999999998</v>
      </c>
      <c r="F9544" s="26">
        <v>0.85409999999999997</v>
      </c>
      <c r="G9544" s="26">
        <v>0.60970000000000002</v>
      </c>
      <c r="H9544" s="26">
        <v>0.84519999999999995</v>
      </c>
      <c r="I9544" s="26">
        <v>0.74050000000000005</v>
      </c>
      <c r="J9544" s="26">
        <v>0.91359999999999997</v>
      </c>
      <c r="K9544" s="26">
        <v>0.83830000000000005</v>
      </c>
      <c r="L9544" s="26">
        <v>0.88970000000000005</v>
      </c>
      <c r="M9544" s="26">
        <v>0.93100000000000005</v>
      </c>
      <c r="N9544">
        <v>216</v>
      </c>
    </row>
    <row r="9545" spans="1:14" x14ac:dyDescent="0.35">
      <c r="A9545" t="s">
        <v>229</v>
      </c>
      <c r="B9545" t="s">
        <v>360</v>
      </c>
      <c r="C9545" t="s">
        <v>303</v>
      </c>
      <c r="D9545" s="26">
        <v>6.1800000000000001E-2</v>
      </c>
      <c r="E9545" s="26">
        <v>0.4778</v>
      </c>
      <c r="F9545" s="26">
        <v>0.21429999999999999</v>
      </c>
      <c r="G9545" s="26">
        <v>0.182</v>
      </c>
      <c r="H9545" s="26">
        <v>2.7300000000000001E-2</v>
      </c>
      <c r="I9545" s="26">
        <v>0.51539999999999997</v>
      </c>
      <c r="J9545" s="26">
        <v>4.1700000000000001E-2</v>
      </c>
      <c r="K9545" s="26">
        <v>2.3E-3</v>
      </c>
      <c r="L9545" s="26">
        <v>0.04</v>
      </c>
      <c r="M9545" s="26">
        <v>1.9099999999999999E-2</v>
      </c>
      <c r="N9545">
        <v>148</v>
      </c>
    </row>
    <row r="9546" spans="1:14" x14ac:dyDescent="0.35">
      <c r="A9546" t="s">
        <v>229</v>
      </c>
      <c r="B9546" t="s">
        <v>360</v>
      </c>
      <c r="C9546" t="s">
        <v>1283</v>
      </c>
      <c r="D9546" s="26">
        <v>0.17460000000000001</v>
      </c>
      <c r="E9546" s="26">
        <v>0.1978</v>
      </c>
      <c r="F9546" s="26">
        <v>0.1143</v>
      </c>
      <c r="G9546" s="26">
        <v>0.31340000000000001</v>
      </c>
      <c r="H9546" s="26">
        <v>0.3952</v>
      </c>
      <c r="I9546" s="26">
        <v>5.4000000000000003E-3</v>
      </c>
      <c r="J9546" s="26">
        <v>0.19040000000000001</v>
      </c>
      <c r="K9546" s="26">
        <v>0.24360000000000001</v>
      </c>
      <c r="L9546" s="26">
        <v>0.21940000000000001</v>
      </c>
      <c r="M9546" s="26">
        <v>0.14149999999999999</v>
      </c>
      <c r="N9546">
        <v>148</v>
      </c>
    </row>
    <row r="9547" spans="1:14" x14ac:dyDescent="0.35">
      <c r="A9547" t="s">
        <v>229</v>
      </c>
      <c r="B9547" t="s">
        <v>360</v>
      </c>
      <c r="C9547" t="s">
        <v>1282</v>
      </c>
      <c r="D9547" s="26">
        <v>0.04</v>
      </c>
      <c r="E9547" s="26">
        <v>0.10780000000000001</v>
      </c>
      <c r="F9547" s="26">
        <v>3.5000000000000001E-3</v>
      </c>
      <c r="G9547" s="26">
        <v>4.9799999999999997E-2</v>
      </c>
      <c r="H9547" s="26">
        <v>2.2599999999999999E-2</v>
      </c>
      <c r="J9547" s="26">
        <v>4.7999999999999996E-3</v>
      </c>
      <c r="K9547" s="26">
        <v>6.0000000000000001E-3</v>
      </c>
      <c r="M9547" s="26">
        <v>4.7999999999999996E-3</v>
      </c>
      <c r="N9547">
        <v>148</v>
      </c>
    </row>
    <row r="9548" spans="1:14" x14ac:dyDescent="0.35">
      <c r="A9548" t="s">
        <v>229</v>
      </c>
      <c r="B9548" t="s">
        <v>360</v>
      </c>
      <c r="C9548" t="s">
        <v>1281</v>
      </c>
      <c r="D9548" s="26">
        <v>0.72360000000000002</v>
      </c>
      <c r="E9548" s="26">
        <v>0.21659999999999999</v>
      </c>
      <c r="F9548" s="26">
        <v>0.66779999999999995</v>
      </c>
      <c r="G9548" s="26">
        <v>0.45490000000000003</v>
      </c>
      <c r="H9548" s="26">
        <v>0.55500000000000005</v>
      </c>
      <c r="I9548" s="26">
        <v>0.47920000000000001</v>
      </c>
      <c r="J9548" s="26">
        <v>0.76319999999999999</v>
      </c>
      <c r="K9548" s="26">
        <v>0.74809999999999999</v>
      </c>
      <c r="L9548" s="26">
        <v>0.74060000000000004</v>
      </c>
      <c r="M9548" s="26">
        <v>0.83460000000000001</v>
      </c>
      <c r="N9548">
        <v>148</v>
      </c>
    </row>
    <row r="9549" spans="1:14" x14ac:dyDescent="0.35">
      <c r="A9549" t="s">
        <v>229</v>
      </c>
      <c r="B9549" t="s">
        <v>361</v>
      </c>
      <c r="C9549" t="s">
        <v>303</v>
      </c>
      <c r="D9549" s="26">
        <v>2.6499999999999999E-2</v>
      </c>
      <c r="E9549" s="26">
        <v>0.39300000000000002</v>
      </c>
      <c r="F9549" s="26">
        <v>0.1144</v>
      </c>
      <c r="G9549" s="26">
        <v>0.26819999999999999</v>
      </c>
      <c r="H9549" s="26">
        <v>2.5499999999999998E-2</v>
      </c>
      <c r="I9549" s="26">
        <v>0.22750000000000001</v>
      </c>
      <c r="J9549" s="26">
        <v>8.9999999999999993E-3</v>
      </c>
      <c r="L9549" s="26">
        <v>7.4999999999999997E-3</v>
      </c>
      <c r="M9549" s="26">
        <v>7.4999999999999997E-3</v>
      </c>
      <c r="N9549">
        <v>216</v>
      </c>
    </row>
    <row r="9550" spans="1:14" x14ac:dyDescent="0.35">
      <c r="A9550" t="s">
        <v>230</v>
      </c>
      <c r="B9550" t="s">
        <v>363</v>
      </c>
      <c r="C9550" t="s">
        <v>1282</v>
      </c>
      <c r="D9550" s="26">
        <v>1.4E-3</v>
      </c>
      <c r="E9550" s="26">
        <v>5.8599999999999999E-2</v>
      </c>
      <c r="G9550" s="26">
        <v>9.4000000000000004E-3</v>
      </c>
      <c r="H9550" s="26">
        <v>5.8599999999999999E-2</v>
      </c>
      <c r="J9550" s="26">
        <v>4.5999999999999999E-3</v>
      </c>
      <c r="K9550" s="26">
        <v>4.5999999999999999E-3</v>
      </c>
      <c r="N9550">
        <v>118</v>
      </c>
    </row>
    <row r="9551" spans="1:14" x14ac:dyDescent="0.35">
      <c r="A9551" t="s">
        <v>230</v>
      </c>
      <c r="B9551" t="s">
        <v>363</v>
      </c>
      <c r="C9551" t="s">
        <v>303</v>
      </c>
      <c r="D9551" s="26">
        <v>7.1999999999999995E-2</v>
      </c>
      <c r="E9551" s="26">
        <v>0.58760000000000001</v>
      </c>
      <c r="F9551" s="26">
        <v>0.12889999999999999</v>
      </c>
      <c r="G9551" s="26">
        <v>0.1734</v>
      </c>
      <c r="H9551" s="26">
        <v>3.5900000000000001E-2</v>
      </c>
      <c r="I9551" s="26">
        <v>0.4022</v>
      </c>
      <c r="L9551" s="26">
        <v>1.4E-3</v>
      </c>
      <c r="M9551" s="26">
        <v>4.4999999999999997E-3</v>
      </c>
      <c r="N9551">
        <v>118</v>
      </c>
    </row>
    <row r="9552" spans="1:14" x14ac:dyDescent="0.35">
      <c r="A9552" t="s">
        <v>230</v>
      </c>
      <c r="B9552" t="s">
        <v>363</v>
      </c>
      <c r="C9552" t="s">
        <v>1283</v>
      </c>
      <c r="D9552" s="26">
        <v>0.1366</v>
      </c>
      <c r="E9552" s="26">
        <v>5.8200000000000002E-2</v>
      </c>
      <c r="G9552" s="26">
        <v>0.1963</v>
      </c>
      <c r="H9552" s="26">
        <v>0.2467</v>
      </c>
      <c r="I9552" s="26">
        <v>6.5699999999999995E-2</v>
      </c>
      <c r="J9552" s="26">
        <v>0.1633</v>
      </c>
      <c r="K9552" s="26">
        <v>0.2382</v>
      </c>
      <c r="L9552" s="26">
        <v>0.12570000000000001</v>
      </c>
      <c r="M9552" s="26">
        <v>7.2999999999999995E-2</v>
      </c>
      <c r="N9552">
        <v>118</v>
      </c>
    </row>
    <row r="9553" spans="1:14" x14ac:dyDescent="0.35">
      <c r="A9553" t="s">
        <v>230</v>
      </c>
      <c r="B9553" t="s">
        <v>363</v>
      </c>
      <c r="C9553" t="s">
        <v>1281</v>
      </c>
      <c r="D9553" s="26">
        <v>0.79</v>
      </c>
      <c r="E9553" s="26">
        <v>0.29559999999999997</v>
      </c>
      <c r="F9553" s="26">
        <v>0.87109999999999999</v>
      </c>
      <c r="G9553" s="26">
        <v>0.62090000000000001</v>
      </c>
      <c r="H9553" s="26">
        <v>0.65869999999999995</v>
      </c>
      <c r="I9553" s="26">
        <v>0.53210000000000002</v>
      </c>
      <c r="J9553" s="26">
        <v>0.83220000000000005</v>
      </c>
      <c r="K9553" s="26">
        <v>0.75719999999999998</v>
      </c>
      <c r="L9553" s="26">
        <v>0.87290000000000001</v>
      </c>
      <c r="M9553" s="26">
        <v>0.92249999999999999</v>
      </c>
      <c r="N9553">
        <v>118</v>
      </c>
    </row>
    <row r="9554" spans="1:14" x14ac:dyDescent="0.35">
      <c r="A9554" t="s">
        <v>230</v>
      </c>
      <c r="B9554" t="s">
        <v>362</v>
      </c>
      <c r="C9554" t="s">
        <v>1283</v>
      </c>
      <c r="D9554" s="26">
        <v>0.2263</v>
      </c>
      <c r="E9554" s="26">
        <v>0.2419</v>
      </c>
      <c r="F9554" s="26">
        <v>0.1482</v>
      </c>
      <c r="G9554" s="26">
        <v>0.31890000000000002</v>
      </c>
      <c r="H9554" s="26">
        <v>0.3387</v>
      </c>
      <c r="I9554" s="26">
        <v>5.5199999999999999E-2</v>
      </c>
      <c r="J9554" s="26">
        <v>0.24510000000000001</v>
      </c>
      <c r="K9554" s="26">
        <v>0.33629999999999999</v>
      </c>
      <c r="L9554" s="26">
        <v>0.28810000000000002</v>
      </c>
      <c r="M9554" s="26">
        <v>0.19839999999999999</v>
      </c>
      <c r="N9554">
        <v>141</v>
      </c>
    </row>
    <row r="9555" spans="1:14" x14ac:dyDescent="0.35">
      <c r="A9555" t="s">
        <v>230</v>
      </c>
      <c r="B9555" t="s">
        <v>362</v>
      </c>
      <c r="C9555" t="s">
        <v>1282</v>
      </c>
      <c r="D9555" s="26">
        <v>1.24E-2</v>
      </c>
      <c r="E9555" s="26">
        <v>0.15679999999999999</v>
      </c>
      <c r="F9555" s="26">
        <v>1.14E-2</v>
      </c>
      <c r="G9555" s="26">
        <v>6.1999999999999998E-3</v>
      </c>
      <c r="H9555" s="26">
        <v>4.9099999999999998E-2</v>
      </c>
      <c r="I9555" s="26">
        <v>2.2700000000000001E-2</v>
      </c>
      <c r="J9555" s="26">
        <v>1.1000000000000001E-3</v>
      </c>
      <c r="L9555" s="26">
        <v>3.8E-3</v>
      </c>
      <c r="N9555">
        <v>141</v>
      </c>
    </row>
    <row r="9556" spans="1:14" x14ac:dyDescent="0.35">
      <c r="A9556" t="s">
        <v>230</v>
      </c>
      <c r="B9556" t="s">
        <v>362</v>
      </c>
      <c r="C9556" t="s">
        <v>303</v>
      </c>
      <c r="D9556" s="26">
        <v>7.5600000000000001E-2</v>
      </c>
      <c r="E9556" s="26">
        <v>0.37330000000000002</v>
      </c>
      <c r="F9556" s="26">
        <v>0.1948</v>
      </c>
      <c r="G9556" s="26">
        <v>0.28599999999999998</v>
      </c>
      <c r="H9556" s="26">
        <v>7.6E-3</v>
      </c>
      <c r="I9556" s="26">
        <v>0.36759999999999998</v>
      </c>
      <c r="J9556" s="26">
        <v>1.1000000000000001E-3</v>
      </c>
      <c r="K9556" s="26">
        <v>3.7000000000000002E-3</v>
      </c>
      <c r="L9556" s="26">
        <v>2.3800000000000002E-2</v>
      </c>
      <c r="M9556" s="26">
        <v>2.5000000000000001E-2</v>
      </c>
      <c r="N9556">
        <v>141</v>
      </c>
    </row>
    <row r="9557" spans="1:14" x14ac:dyDescent="0.35">
      <c r="A9557" t="s">
        <v>230</v>
      </c>
      <c r="B9557" t="s">
        <v>361</v>
      </c>
      <c r="C9557" t="s">
        <v>303</v>
      </c>
      <c r="D9557" s="26">
        <v>4.1000000000000003E-3</v>
      </c>
      <c r="E9557" s="26">
        <v>0.32919999999999999</v>
      </c>
      <c r="F9557" s="26">
        <v>0.09</v>
      </c>
      <c r="G9557" s="26">
        <v>0.25280000000000002</v>
      </c>
      <c r="I9557" s="26">
        <v>7.9299999999999995E-2</v>
      </c>
      <c r="N9557">
        <v>98</v>
      </c>
    </row>
    <row r="9558" spans="1:14" x14ac:dyDescent="0.35">
      <c r="A9558" t="s">
        <v>230</v>
      </c>
      <c r="B9558" t="s">
        <v>361</v>
      </c>
      <c r="C9558" t="s">
        <v>1283</v>
      </c>
      <c r="D9558" s="26">
        <v>8.2000000000000003E-2</v>
      </c>
      <c r="E9558" s="26">
        <v>0.10639999999999999</v>
      </c>
      <c r="F9558" s="26">
        <v>4.0000000000000001E-3</v>
      </c>
      <c r="G9558" s="26">
        <v>7.9399999999999998E-2</v>
      </c>
      <c r="H9558" s="26">
        <v>6.9800000000000001E-2</v>
      </c>
      <c r="J9558" s="26">
        <v>7.0999999999999994E-2</v>
      </c>
      <c r="K9558" s="26">
        <v>9.5399999999999999E-2</v>
      </c>
      <c r="L9558" s="26">
        <v>0.1024</v>
      </c>
      <c r="M9558" s="26">
        <v>7.6899999999999996E-2</v>
      </c>
      <c r="N9558">
        <v>98</v>
      </c>
    </row>
    <row r="9559" spans="1:14" x14ac:dyDescent="0.35">
      <c r="A9559" t="s">
        <v>230</v>
      </c>
      <c r="B9559" t="s">
        <v>361</v>
      </c>
      <c r="C9559" t="s">
        <v>1281</v>
      </c>
      <c r="D9559" s="26">
        <v>0.91390000000000005</v>
      </c>
      <c r="E9559" s="26">
        <v>0.54010000000000002</v>
      </c>
      <c r="F9559" s="26">
        <v>0.90600000000000003</v>
      </c>
      <c r="G9559" s="26">
        <v>0.66379999999999995</v>
      </c>
      <c r="H9559" s="26">
        <v>0.92620000000000002</v>
      </c>
      <c r="I9559" s="26">
        <v>0.92069999999999996</v>
      </c>
      <c r="J9559" s="26">
        <v>0.92900000000000005</v>
      </c>
      <c r="K9559" s="26">
        <v>0.90459999999999996</v>
      </c>
      <c r="L9559" s="26">
        <v>0.89759999999999995</v>
      </c>
      <c r="M9559" s="26">
        <v>0.92310000000000003</v>
      </c>
      <c r="N9559">
        <v>98</v>
      </c>
    </row>
    <row r="9560" spans="1:14" x14ac:dyDescent="0.35">
      <c r="A9560" t="s">
        <v>230</v>
      </c>
      <c r="B9560" t="s">
        <v>360</v>
      </c>
      <c r="C9560" t="s">
        <v>303</v>
      </c>
      <c r="D9560" s="26">
        <v>5.8599999999999999E-2</v>
      </c>
      <c r="E9560" s="26">
        <v>0.33050000000000002</v>
      </c>
      <c r="F9560" s="26">
        <v>0.22700000000000001</v>
      </c>
      <c r="G9560" s="26">
        <v>0.20760000000000001</v>
      </c>
      <c r="H9560" s="26">
        <v>1.0800000000000001E-2</v>
      </c>
      <c r="I9560" s="26">
        <v>0.51249999999999996</v>
      </c>
      <c r="L9560" s="26">
        <v>7.0000000000000001E-3</v>
      </c>
      <c r="M9560" s="26">
        <v>1.0500000000000001E-2</v>
      </c>
      <c r="N9560">
        <v>106</v>
      </c>
    </row>
    <row r="9561" spans="1:14" x14ac:dyDescent="0.35">
      <c r="A9561" t="s">
        <v>230</v>
      </c>
      <c r="B9561" t="s">
        <v>360</v>
      </c>
      <c r="C9561" t="s">
        <v>1283</v>
      </c>
      <c r="D9561" s="26">
        <v>0.3004</v>
      </c>
      <c r="E9561" s="26">
        <v>0.29349999999999998</v>
      </c>
      <c r="F9561" s="26">
        <v>0.1358</v>
      </c>
      <c r="G9561" s="26">
        <v>0.3594</v>
      </c>
      <c r="H9561" s="26">
        <v>0.48299999999999998</v>
      </c>
      <c r="I9561" s="26">
        <v>1.0200000000000001E-2</v>
      </c>
      <c r="J9561" s="26">
        <v>0.29110000000000003</v>
      </c>
      <c r="K9561" s="26">
        <v>0.34910000000000002</v>
      </c>
      <c r="L9561" s="26">
        <v>0.32140000000000002</v>
      </c>
      <c r="M9561" s="26">
        <v>0.22819999999999999</v>
      </c>
      <c r="N9561">
        <v>106</v>
      </c>
    </row>
    <row r="9562" spans="1:14" x14ac:dyDescent="0.35">
      <c r="A9562" t="s">
        <v>230</v>
      </c>
      <c r="B9562" t="s">
        <v>360</v>
      </c>
      <c r="C9562" t="s">
        <v>1281</v>
      </c>
      <c r="D9562" s="26">
        <v>0.64100000000000001</v>
      </c>
      <c r="E9562" s="26">
        <v>0.28089999999999998</v>
      </c>
      <c r="F9562" s="26">
        <v>0.5968</v>
      </c>
      <c r="G9562" s="26">
        <v>0.4259</v>
      </c>
      <c r="H9562" s="26">
        <v>0.46739999999999998</v>
      </c>
      <c r="I9562" s="26">
        <v>0.44529999999999997</v>
      </c>
      <c r="J9562" s="26">
        <v>0.70350000000000001</v>
      </c>
      <c r="K9562" s="26">
        <v>0.65090000000000003</v>
      </c>
      <c r="L9562" s="26">
        <v>0.67149999999999999</v>
      </c>
      <c r="M9562" s="26">
        <v>0.75439999999999996</v>
      </c>
      <c r="N9562">
        <v>106</v>
      </c>
    </row>
    <row r="9563" spans="1:14" x14ac:dyDescent="0.35">
      <c r="A9563" t="s">
        <v>230</v>
      </c>
      <c r="B9563" t="s">
        <v>362</v>
      </c>
      <c r="C9563" t="s">
        <v>1281</v>
      </c>
      <c r="D9563" s="26">
        <v>0.68579999999999997</v>
      </c>
      <c r="E9563" s="26">
        <v>0.2281</v>
      </c>
      <c r="F9563" s="26">
        <v>0.64559999999999995</v>
      </c>
      <c r="G9563" s="26">
        <v>0.38890000000000002</v>
      </c>
      <c r="H9563" s="26">
        <v>0.60450000000000004</v>
      </c>
      <c r="I9563" s="26">
        <v>0.55449999999999999</v>
      </c>
      <c r="J9563" s="26">
        <v>0.75260000000000005</v>
      </c>
      <c r="K9563" s="26">
        <v>0.66</v>
      </c>
      <c r="L9563" s="26">
        <v>0.68420000000000003</v>
      </c>
      <c r="M9563" s="26">
        <v>0.77659999999999996</v>
      </c>
      <c r="N9563">
        <v>141</v>
      </c>
    </row>
    <row r="9564" spans="1:14" x14ac:dyDescent="0.35">
      <c r="A9564" s="27" t="s">
        <v>231</v>
      </c>
      <c r="B9564" s="27" t="s">
        <v>363</v>
      </c>
      <c r="C9564" s="27" t="s">
        <v>1283</v>
      </c>
      <c r="D9564" s="28">
        <v>9.0899999999999995E-2</v>
      </c>
      <c r="E9564" s="28">
        <v>9.0899999999999995E-2</v>
      </c>
      <c r="F9564" s="29"/>
      <c r="G9564" s="28">
        <v>0.18179999999999999</v>
      </c>
      <c r="H9564" s="28">
        <v>0.31819999999999998</v>
      </c>
      <c r="I9564" s="28">
        <v>9.0899999999999995E-2</v>
      </c>
      <c r="J9564" s="28">
        <v>0.2273</v>
      </c>
      <c r="K9564" s="28">
        <v>0.13639999999999999</v>
      </c>
      <c r="L9564" s="28">
        <v>0.13639999999999999</v>
      </c>
      <c r="M9564" s="28">
        <v>4.5499999999999999E-2</v>
      </c>
      <c r="N9564" s="29">
        <v>22</v>
      </c>
    </row>
    <row r="9565" spans="1:14" x14ac:dyDescent="0.35">
      <c r="A9565" s="27" t="s">
        <v>231</v>
      </c>
      <c r="B9565" s="27" t="s">
        <v>363</v>
      </c>
      <c r="C9565" s="27" t="s">
        <v>1281</v>
      </c>
      <c r="D9565" s="28">
        <v>0.86360000000000003</v>
      </c>
      <c r="E9565" s="28">
        <v>0.36359999999999998</v>
      </c>
      <c r="F9565" s="28">
        <v>0.86360000000000003</v>
      </c>
      <c r="G9565" s="28">
        <v>0.68179999999999996</v>
      </c>
      <c r="H9565" s="28">
        <v>0.63639999999999997</v>
      </c>
      <c r="I9565" s="28">
        <v>0.68179999999999996</v>
      </c>
      <c r="J9565" s="28">
        <v>0.72729999999999995</v>
      </c>
      <c r="K9565" s="28">
        <v>0.86360000000000003</v>
      </c>
      <c r="L9565" s="28">
        <v>0.81820000000000004</v>
      </c>
      <c r="M9565" s="28">
        <v>0.95450000000000002</v>
      </c>
      <c r="N9565" s="29">
        <v>22</v>
      </c>
    </row>
    <row r="9566" spans="1:14" x14ac:dyDescent="0.35">
      <c r="A9566" s="27" t="s">
        <v>231</v>
      </c>
      <c r="B9566" s="27" t="s">
        <v>362</v>
      </c>
      <c r="C9566" s="27" t="s">
        <v>303</v>
      </c>
      <c r="D9566" s="28">
        <v>0.04</v>
      </c>
      <c r="E9566" s="28">
        <v>0.52</v>
      </c>
      <c r="F9566" s="28">
        <v>0.2</v>
      </c>
      <c r="G9566" s="28">
        <v>0.24</v>
      </c>
      <c r="H9566" s="29"/>
      <c r="I9566" s="28">
        <v>0.36</v>
      </c>
      <c r="J9566" s="29"/>
      <c r="K9566" s="29"/>
      <c r="L9566" s="28">
        <v>0.04</v>
      </c>
      <c r="M9566" s="29"/>
      <c r="N9566" s="29">
        <v>25</v>
      </c>
    </row>
    <row r="9567" spans="1:14" x14ac:dyDescent="0.35">
      <c r="A9567" s="27" t="s">
        <v>231</v>
      </c>
      <c r="B9567" s="27" t="s">
        <v>362</v>
      </c>
      <c r="C9567" s="27" t="s">
        <v>1283</v>
      </c>
      <c r="D9567" s="28">
        <v>0.12</v>
      </c>
      <c r="E9567" s="28">
        <v>0.16</v>
      </c>
      <c r="F9567" s="28">
        <v>0.04</v>
      </c>
      <c r="G9567" s="28">
        <v>0.32</v>
      </c>
      <c r="H9567" s="28">
        <v>0.16</v>
      </c>
      <c r="I9567" s="28">
        <v>0.08</v>
      </c>
      <c r="J9567" s="28">
        <v>0.28000000000000003</v>
      </c>
      <c r="K9567" s="28">
        <v>0.08</v>
      </c>
      <c r="L9567" s="28">
        <v>0.12</v>
      </c>
      <c r="M9567" s="28">
        <v>0.04</v>
      </c>
      <c r="N9567" s="29">
        <v>25</v>
      </c>
    </row>
    <row r="9568" spans="1:14" x14ac:dyDescent="0.35">
      <c r="A9568" s="27" t="s">
        <v>231</v>
      </c>
      <c r="B9568" s="27" t="s">
        <v>362</v>
      </c>
      <c r="C9568" s="27" t="s">
        <v>1281</v>
      </c>
      <c r="D9568" s="28">
        <v>0.84</v>
      </c>
      <c r="E9568" s="28">
        <v>0.24</v>
      </c>
      <c r="F9568" s="28">
        <v>0.76</v>
      </c>
      <c r="G9568" s="28">
        <v>0.44</v>
      </c>
      <c r="H9568" s="28">
        <v>0.8</v>
      </c>
      <c r="I9568" s="28">
        <v>0.52</v>
      </c>
      <c r="J9568" s="28">
        <v>0.72</v>
      </c>
      <c r="K9568" s="28">
        <v>0.88</v>
      </c>
      <c r="L9568" s="28">
        <v>0.8</v>
      </c>
      <c r="M9568" s="28">
        <v>0.96</v>
      </c>
      <c r="N9568" s="29">
        <v>25</v>
      </c>
    </row>
    <row r="9569" spans="1:14" x14ac:dyDescent="0.35">
      <c r="A9569" t="s">
        <v>231</v>
      </c>
      <c r="B9569" t="s">
        <v>361</v>
      </c>
      <c r="C9569" t="s">
        <v>303</v>
      </c>
      <c r="D9569" s="26">
        <v>4.2599999999999999E-2</v>
      </c>
      <c r="E9569" s="26">
        <v>0.42549999999999999</v>
      </c>
      <c r="F9569" s="26">
        <v>0.17019999999999999</v>
      </c>
      <c r="G9569" s="26">
        <v>0.19570000000000001</v>
      </c>
      <c r="H9569" s="26">
        <v>2.1299999999999999E-2</v>
      </c>
      <c r="I9569" s="26">
        <v>0.31909999999999999</v>
      </c>
      <c r="L9569" s="26">
        <v>4.2599999999999999E-2</v>
      </c>
      <c r="M9569" s="26">
        <v>2.1299999999999999E-2</v>
      </c>
      <c r="N9569">
        <v>47</v>
      </c>
    </row>
    <row r="9570" spans="1:14" x14ac:dyDescent="0.35">
      <c r="A9570" t="s">
        <v>231</v>
      </c>
      <c r="B9570" t="s">
        <v>360</v>
      </c>
      <c r="C9570" t="s">
        <v>303</v>
      </c>
      <c r="D9570" s="26">
        <v>5.4100000000000002E-2</v>
      </c>
      <c r="E9570" s="26">
        <v>0.43240000000000001</v>
      </c>
      <c r="F9570" s="26">
        <v>0.2432</v>
      </c>
      <c r="G9570" s="26">
        <v>0.1143</v>
      </c>
      <c r="I9570" s="26">
        <v>0.32429999999999998</v>
      </c>
      <c r="J9570" s="26">
        <v>2.7E-2</v>
      </c>
      <c r="L9570" s="26">
        <v>2.7E-2</v>
      </c>
      <c r="M9570" s="26">
        <v>5.4100000000000002E-2</v>
      </c>
      <c r="N9570">
        <v>37</v>
      </c>
    </row>
    <row r="9571" spans="1:14" x14ac:dyDescent="0.35">
      <c r="A9571" t="s">
        <v>231</v>
      </c>
      <c r="B9571" t="s">
        <v>361</v>
      </c>
      <c r="C9571" t="s">
        <v>1281</v>
      </c>
      <c r="D9571" s="26">
        <v>0.87229999999999996</v>
      </c>
      <c r="E9571" s="26">
        <v>0.4894</v>
      </c>
      <c r="F9571" s="26">
        <v>0.8085</v>
      </c>
      <c r="G9571" s="26">
        <v>0.67390000000000005</v>
      </c>
      <c r="H9571" s="26">
        <v>0.82979999999999998</v>
      </c>
      <c r="I9571" s="26">
        <v>0.68089999999999995</v>
      </c>
      <c r="J9571" s="26">
        <v>0.8085</v>
      </c>
      <c r="K9571" s="26">
        <v>0.85109999999999997</v>
      </c>
      <c r="L9571" s="26">
        <v>0.87229999999999996</v>
      </c>
      <c r="M9571" s="26">
        <v>0.89359999999999995</v>
      </c>
      <c r="N9571">
        <v>47</v>
      </c>
    </row>
    <row r="9572" spans="1:14" x14ac:dyDescent="0.35">
      <c r="A9572" t="s">
        <v>231</v>
      </c>
      <c r="B9572" t="s">
        <v>360</v>
      </c>
      <c r="C9572" t="s">
        <v>1283</v>
      </c>
      <c r="D9572" s="26">
        <v>0.29730000000000001</v>
      </c>
      <c r="E9572" s="26">
        <v>0.27029999999999998</v>
      </c>
      <c r="F9572" s="26">
        <v>2.7E-2</v>
      </c>
      <c r="G9572" s="26">
        <v>0.34289999999999998</v>
      </c>
      <c r="H9572" s="26">
        <v>0.37840000000000001</v>
      </c>
      <c r="I9572" s="26">
        <v>8.1100000000000005E-2</v>
      </c>
      <c r="J9572" s="26">
        <v>0.16220000000000001</v>
      </c>
      <c r="K9572" s="26">
        <v>0.43240000000000001</v>
      </c>
      <c r="L9572" s="26">
        <v>0.18920000000000001</v>
      </c>
      <c r="M9572" s="26">
        <v>0.1351</v>
      </c>
      <c r="N9572">
        <v>37</v>
      </c>
    </row>
    <row r="9573" spans="1:14" x14ac:dyDescent="0.35">
      <c r="A9573" t="s">
        <v>231</v>
      </c>
      <c r="B9573" t="s">
        <v>360</v>
      </c>
      <c r="C9573" t="s">
        <v>1282</v>
      </c>
      <c r="D9573" s="26">
        <v>8.1100000000000005E-2</v>
      </c>
      <c r="E9573" s="26">
        <v>2.7E-2</v>
      </c>
      <c r="F9573" s="26">
        <v>2.7E-2</v>
      </c>
      <c r="G9573" s="26">
        <v>2.86E-2</v>
      </c>
      <c r="H9573" s="26">
        <v>2.7E-2</v>
      </c>
      <c r="K9573" s="26">
        <v>2.7E-2</v>
      </c>
      <c r="N9573">
        <v>37</v>
      </c>
    </row>
    <row r="9574" spans="1:14" x14ac:dyDescent="0.35">
      <c r="A9574" t="s">
        <v>231</v>
      </c>
      <c r="B9574" t="s">
        <v>360</v>
      </c>
      <c r="C9574" t="s">
        <v>1281</v>
      </c>
      <c r="D9574" s="26">
        <v>0.56759999999999999</v>
      </c>
      <c r="E9574" s="26">
        <v>0.27029999999999998</v>
      </c>
      <c r="F9574" s="26">
        <v>0.70269999999999999</v>
      </c>
      <c r="G9574" s="26">
        <v>0.51429999999999998</v>
      </c>
      <c r="H9574" s="26">
        <v>0.59460000000000002</v>
      </c>
      <c r="I9574" s="26">
        <v>0.59460000000000002</v>
      </c>
      <c r="J9574" s="26">
        <v>0.81079999999999997</v>
      </c>
      <c r="K9574" s="26">
        <v>0.54049999999999998</v>
      </c>
      <c r="L9574" s="26">
        <v>0.78380000000000005</v>
      </c>
      <c r="M9574" s="26">
        <v>0.81079999999999997</v>
      </c>
      <c r="N9574">
        <v>37</v>
      </c>
    </row>
    <row r="9575" spans="1:14" x14ac:dyDescent="0.35">
      <c r="A9575" s="27" t="s">
        <v>231</v>
      </c>
      <c r="B9575" s="27" t="s">
        <v>363</v>
      </c>
      <c r="C9575" s="27" t="s">
        <v>303</v>
      </c>
      <c r="D9575" s="28">
        <v>4.5499999999999999E-2</v>
      </c>
      <c r="E9575" s="28">
        <v>0.40910000000000002</v>
      </c>
      <c r="F9575" s="28">
        <v>0.13639999999999999</v>
      </c>
      <c r="G9575" s="28">
        <v>0.13639999999999999</v>
      </c>
      <c r="H9575" s="29"/>
      <c r="I9575" s="28">
        <v>0.2273</v>
      </c>
      <c r="J9575" s="29"/>
      <c r="K9575" s="29"/>
      <c r="L9575" s="28">
        <v>4.5499999999999999E-2</v>
      </c>
      <c r="M9575" s="29"/>
      <c r="N9575" s="29">
        <v>22</v>
      </c>
    </row>
    <row r="9576" spans="1:14" x14ac:dyDescent="0.35">
      <c r="A9576" t="s">
        <v>231</v>
      </c>
      <c r="B9576" t="s">
        <v>361</v>
      </c>
      <c r="C9576" t="s">
        <v>1283</v>
      </c>
      <c r="D9576" s="26">
        <v>8.5099999999999995E-2</v>
      </c>
      <c r="E9576" s="26">
        <v>6.3799999999999996E-2</v>
      </c>
      <c r="G9576" s="26">
        <v>0.13039999999999999</v>
      </c>
      <c r="H9576" s="26">
        <v>0.12770000000000001</v>
      </c>
      <c r="J9576" s="26">
        <v>0.1915</v>
      </c>
      <c r="K9576" s="26">
        <v>0.1489</v>
      </c>
      <c r="L9576" s="26">
        <v>8.5099999999999995E-2</v>
      </c>
      <c r="M9576" s="26">
        <v>8.5099999999999995E-2</v>
      </c>
      <c r="N9576">
        <v>47</v>
      </c>
    </row>
    <row r="9577" spans="1:14" x14ac:dyDescent="0.35">
      <c r="A9577" t="s">
        <v>232</v>
      </c>
      <c r="B9577" t="s">
        <v>232</v>
      </c>
      <c r="C9577" t="s">
        <v>1282</v>
      </c>
      <c r="D9577" s="26">
        <v>2.1100000000000001E-2</v>
      </c>
      <c r="E9577" s="26">
        <v>6.2899999999999998E-2</v>
      </c>
      <c r="F9577" s="26">
        <v>1.17E-2</v>
      </c>
      <c r="G9577" s="26">
        <v>1.9599999999999999E-2</v>
      </c>
      <c r="H9577" s="26">
        <v>2.63E-2</v>
      </c>
      <c r="I9577" s="26">
        <v>7.3000000000000001E-3</v>
      </c>
      <c r="J9577" s="26">
        <v>5.8999999999999999E-3</v>
      </c>
      <c r="K9577" s="26">
        <v>1.14E-2</v>
      </c>
      <c r="L9577" s="26">
        <v>3.0000000000000001E-3</v>
      </c>
      <c r="M9577" s="26">
        <v>4.0000000000000002E-4</v>
      </c>
      <c r="N9577">
        <v>2546</v>
      </c>
    </row>
    <row r="9578" spans="1:14" x14ac:dyDescent="0.35">
      <c r="A9578" t="s">
        <v>232</v>
      </c>
      <c r="B9578" t="s">
        <v>232</v>
      </c>
      <c r="C9578" t="s">
        <v>1283</v>
      </c>
      <c r="D9578" s="26">
        <v>0.12759999999999999</v>
      </c>
      <c r="E9578" s="26">
        <v>0.1409</v>
      </c>
      <c r="F9578" s="26">
        <v>4.8899999999999999E-2</v>
      </c>
      <c r="G9578" s="26">
        <v>0.2019</v>
      </c>
      <c r="H9578" s="26">
        <v>0.2152</v>
      </c>
      <c r="I9578" s="26">
        <v>4.0599999999999997E-2</v>
      </c>
      <c r="J9578" s="26">
        <v>0.1648</v>
      </c>
      <c r="K9578" s="26">
        <v>0.2019</v>
      </c>
      <c r="L9578" s="26">
        <v>0.14050000000000001</v>
      </c>
      <c r="M9578" s="26">
        <v>9.2600000000000002E-2</v>
      </c>
      <c r="N9578">
        <v>2546</v>
      </c>
    </row>
    <row r="9579" spans="1:14" x14ac:dyDescent="0.35">
      <c r="A9579" t="s">
        <v>232</v>
      </c>
      <c r="B9579" t="s">
        <v>232</v>
      </c>
      <c r="C9579" t="s">
        <v>1281</v>
      </c>
      <c r="D9579" s="26">
        <v>0.81079999999999997</v>
      </c>
      <c r="E9579" s="26">
        <v>0.38419999999999999</v>
      </c>
      <c r="F9579" s="26">
        <v>0.80230000000000001</v>
      </c>
      <c r="G9579" s="26">
        <v>0.60229999999999995</v>
      </c>
      <c r="H9579" s="26">
        <v>0.74029999999999996</v>
      </c>
      <c r="I9579" s="26">
        <v>0.63570000000000004</v>
      </c>
      <c r="J9579" s="26">
        <v>0.82030000000000003</v>
      </c>
      <c r="K9579" s="26">
        <v>0.78349999999999997</v>
      </c>
      <c r="L9579" s="26">
        <v>0.83460000000000001</v>
      </c>
      <c r="M9579" s="26">
        <v>0.89729999999999999</v>
      </c>
      <c r="N9579">
        <v>2546</v>
      </c>
    </row>
    <row r="9580" spans="1:14" x14ac:dyDescent="0.35">
      <c r="A9580" t="s">
        <v>232</v>
      </c>
      <c r="B9580" t="s">
        <v>232</v>
      </c>
      <c r="C9580" t="s">
        <v>303</v>
      </c>
      <c r="D9580" s="26">
        <v>4.0599999999999997E-2</v>
      </c>
      <c r="E9580" s="26">
        <v>0.41199999999999998</v>
      </c>
      <c r="F9580" s="26">
        <v>0.1371</v>
      </c>
      <c r="G9580" s="26">
        <v>0.17610000000000001</v>
      </c>
      <c r="H9580" s="26">
        <v>1.8200000000000001E-2</v>
      </c>
      <c r="I9580" s="26">
        <v>0.31640000000000001</v>
      </c>
      <c r="J9580" s="26">
        <v>8.9999999999999993E-3</v>
      </c>
      <c r="K9580" s="26">
        <v>3.2000000000000002E-3</v>
      </c>
      <c r="L9580" s="26">
        <v>2.1899999999999999E-2</v>
      </c>
      <c r="M9580" s="26">
        <v>9.7000000000000003E-3</v>
      </c>
      <c r="N9580">
        <v>2546</v>
      </c>
    </row>
    <row r="9582" spans="1:14" x14ac:dyDescent="0.35">
      <c r="A9582" s="1" t="s">
        <v>1297</v>
      </c>
    </row>
    <row r="9583" spans="1:14" x14ac:dyDescent="0.35">
      <c r="A9583" t="s">
        <v>219</v>
      </c>
      <c r="B9583" t="s">
        <v>305</v>
      </c>
      <c r="C9583" t="s">
        <v>1285</v>
      </c>
      <c r="D9583" t="s">
        <v>1286</v>
      </c>
      <c r="E9583" t="s">
        <v>1287</v>
      </c>
      <c r="F9583" t="s">
        <v>1288</v>
      </c>
      <c r="G9583" t="s">
        <v>1289</v>
      </c>
      <c r="H9583" t="s">
        <v>281</v>
      </c>
      <c r="I9583" t="s">
        <v>226</v>
      </c>
    </row>
    <row r="9584" spans="1:14" x14ac:dyDescent="0.35">
      <c r="A9584" s="27" t="s">
        <v>227</v>
      </c>
      <c r="B9584" s="27" t="s">
        <v>360</v>
      </c>
      <c r="C9584" s="28">
        <v>0.47060000000000002</v>
      </c>
      <c r="D9584" s="28">
        <v>0.47060000000000002</v>
      </c>
      <c r="E9584" s="28">
        <v>0.17649999999999999</v>
      </c>
      <c r="F9584" s="28">
        <v>5.8799999999999998E-2</v>
      </c>
      <c r="G9584" s="28">
        <v>0.1176</v>
      </c>
      <c r="H9584" s="29"/>
      <c r="I9584" s="29" t="s">
        <v>343</v>
      </c>
    </row>
    <row r="9585" spans="1:9" x14ac:dyDescent="0.35">
      <c r="A9585" s="27" t="s">
        <v>227</v>
      </c>
      <c r="B9585" s="27" t="s">
        <v>363</v>
      </c>
      <c r="C9585" s="28">
        <v>0.375</v>
      </c>
      <c r="D9585" s="28">
        <v>0.45829999999999999</v>
      </c>
      <c r="E9585" s="28">
        <v>0.20830000000000001</v>
      </c>
      <c r="F9585" s="28">
        <v>0.16669999999999999</v>
      </c>
      <c r="G9585" s="28">
        <v>4.1700000000000001E-2</v>
      </c>
      <c r="H9585" s="29"/>
      <c r="I9585" s="29" t="s">
        <v>310</v>
      </c>
    </row>
    <row r="9586" spans="1:9" x14ac:dyDescent="0.35">
      <c r="A9586" s="27" t="s">
        <v>227</v>
      </c>
      <c r="B9586" s="27" t="s">
        <v>361</v>
      </c>
      <c r="C9586" s="28">
        <v>0.1429</v>
      </c>
      <c r="D9586" s="28">
        <v>0.28570000000000001</v>
      </c>
      <c r="E9586" s="28">
        <v>0.28570000000000001</v>
      </c>
      <c r="F9586" s="29"/>
      <c r="G9586" s="28">
        <v>0.42859999999999998</v>
      </c>
      <c r="H9586" s="29"/>
      <c r="I9586" s="29" t="s">
        <v>339</v>
      </c>
    </row>
    <row r="9587" spans="1:9" x14ac:dyDescent="0.35">
      <c r="A9587" s="27" t="s">
        <v>227</v>
      </c>
      <c r="B9587" s="27" t="s">
        <v>362</v>
      </c>
      <c r="C9587" s="28">
        <v>0.33329999999999999</v>
      </c>
      <c r="D9587" s="28">
        <v>0.33329999999999999</v>
      </c>
      <c r="E9587" s="28">
        <v>0.4</v>
      </c>
      <c r="F9587" s="28">
        <v>0.2</v>
      </c>
      <c r="G9587" s="28">
        <v>0.1333</v>
      </c>
      <c r="H9587" s="29"/>
      <c r="I9587" s="29" t="s">
        <v>346</v>
      </c>
    </row>
    <row r="9588" spans="1:9" x14ac:dyDescent="0.35">
      <c r="A9588" t="s">
        <v>228</v>
      </c>
      <c r="B9588" t="s">
        <v>360</v>
      </c>
      <c r="C9588" s="26">
        <v>0.52090000000000003</v>
      </c>
      <c r="D9588" s="26">
        <v>0.48010000000000003</v>
      </c>
      <c r="E9588" s="26">
        <v>0.40489999999999998</v>
      </c>
      <c r="F9588" s="26">
        <v>5.7500000000000002E-2</v>
      </c>
      <c r="G9588" s="26">
        <v>4.8099999999999997E-2</v>
      </c>
      <c r="H9588" s="26">
        <v>1.18E-2</v>
      </c>
      <c r="I9588">
        <v>154</v>
      </c>
    </row>
    <row r="9589" spans="1:9" x14ac:dyDescent="0.35">
      <c r="A9589" t="s">
        <v>228</v>
      </c>
      <c r="B9589" t="s">
        <v>362</v>
      </c>
      <c r="C9589" s="26">
        <v>0.48630000000000001</v>
      </c>
      <c r="D9589" s="26">
        <v>0.49180000000000001</v>
      </c>
      <c r="E9589" s="26">
        <v>0.2954</v>
      </c>
      <c r="F9589" s="26">
        <v>0.12620000000000001</v>
      </c>
      <c r="G9589" s="26">
        <v>8.6999999999999994E-3</v>
      </c>
      <c r="H9589" s="26">
        <v>8.6099999999999996E-2</v>
      </c>
      <c r="I9589">
        <v>136</v>
      </c>
    </row>
    <row r="9590" spans="1:9" x14ac:dyDescent="0.35">
      <c r="A9590" t="s">
        <v>228</v>
      </c>
      <c r="B9590" t="s">
        <v>361</v>
      </c>
      <c r="C9590" s="26">
        <v>0.28089999999999998</v>
      </c>
      <c r="D9590" s="26">
        <v>0.42180000000000001</v>
      </c>
      <c r="E9590" s="26">
        <v>0.34250000000000003</v>
      </c>
      <c r="F9590" s="26">
        <v>0.14280000000000001</v>
      </c>
      <c r="G9590" s="26">
        <v>0.24110000000000001</v>
      </c>
      <c r="H9590" s="26">
        <v>1.26E-2</v>
      </c>
      <c r="I9590">
        <v>91</v>
      </c>
    </row>
    <row r="9591" spans="1:9" x14ac:dyDescent="0.35">
      <c r="A9591" t="s">
        <v>228</v>
      </c>
      <c r="B9591" t="s">
        <v>363</v>
      </c>
      <c r="C9591" s="26">
        <v>0.51329999999999998</v>
      </c>
      <c r="D9591" s="26">
        <v>0.45219999999999999</v>
      </c>
      <c r="E9591" s="26">
        <v>0.31219999999999998</v>
      </c>
      <c r="F9591" s="26">
        <v>8.6400000000000005E-2</v>
      </c>
      <c r="G9591" s="26">
        <v>3.95E-2</v>
      </c>
      <c r="H9591" s="26">
        <v>3.0000000000000001E-3</v>
      </c>
      <c r="I9591">
        <v>113</v>
      </c>
    </row>
    <row r="9592" spans="1:9" x14ac:dyDescent="0.35">
      <c r="A9592" t="s">
        <v>229</v>
      </c>
      <c r="B9592" t="s">
        <v>363</v>
      </c>
      <c r="C9592" s="26">
        <v>0.5222</v>
      </c>
      <c r="D9592" s="26">
        <v>0.48599999999999999</v>
      </c>
      <c r="E9592" s="26">
        <v>0.29389999999999999</v>
      </c>
      <c r="F9592" s="26">
        <v>0.14280000000000001</v>
      </c>
      <c r="G9592" s="26">
        <v>0.1343</v>
      </c>
      <c r="H9592" s="26">
        <v>1.15E-2</v>
      </c>
      <c r="I9592">
        <v>87</v>
      </c>
    </row>
    <row r="9593" spans="1:9" x14ac:dyDescent="0.35">
      <c r="A9593" t="s">
        <v>229</v>
      </c>
      <c r="B9593" t="s">
        <v>361</v>
      </c>
      <c r="C9593" s="26">
        <v>0.37869999999999998</v>
      </c>
      <c r="D9593" s="26">
        <v>0.39800000000000002</v>
      </c>
      <c r="E9593" s="26">
        <v>0.29249999999999998</v>
      </c>
      <c r="F9593" s="26">
        <v>9.8599999999999993E-2</v>
      </c>
      <c r="G9593" s="26">
        <v>0.1033</v>
      </c>
      <c r="H9593" s="26">
        <v>3.7199999999999997E-2</v>
      </c>
      <c r="I9593">
        <v>93</v>
      </c>
    </row>
    <row r="9594" spans="1:9" x14ac:dyDescent="0.35">
      <c r="A9594" t="s">
        <v>229</v>
      </c>
      <c r="B9594" t="s">
        <v>362</v>
      </c>
      <c r="C9594" s="26">
        <v>0.4748</v>
      </c>
      <c r="D9594" s="26">
        <v>0.35549999999999998</v>
      </c>
      <c r="E9594" s="26">
        <v>0.37559999999999999</v>
      </c>
      <c r="F9594" s="26">
        <v>8.1799999999999998E-2</v>
      </c>
      <c r="G9594" s="26">
        <v>5.6599999999999998E-2</v>
      </c>
      <c r="H9594" s="26">
        <v>5.2699999999999997E-2</v>
      </c>
      <c r="I9594">
        <v>94</v>
      </c>
    </row>
    <row r="9595" spans="1:9" x14ac:dyDescent="0.35">
      <c r="A9595" t="s">
        <v>229</v>
      </c>
      <c r="B9595" t="s">
        <v>360</v>
      </c>
      <c r="C9595" s="26">
        <v>0.58750000000000002</v>
      </c>
      <c r="D9595" s="26">
        <v>0.52400000000000002</v>
      </c>
      <c r="E9595" s="26">
        <v>0.45669999999999999</v>
      </c>
      <c r="F9595" s="26">
        <v>3.6900000000000002E-2</v>
      </c>
      <c r="G9595" s="26">
        <v>0.13170000000000001</v>
      </c>
      <c r="H9595" s="26">
        <v>7.7299999999999994E-2</v>
      </c>
      <c r="I9595">
        <v>102</v>
      </c>
    </row>
    <row r="9596" spans="1:9" x14ac:dyDescent="0.35">
      <c r="A9596" t="s">
        <v>230</v>
      </c>
      <c r="B9596" t="s">
        <v>363</v>
      </c>
      <c r="C9596" s="26">
        <v>0.39950000000000002</v>
      </c>
      <c r="D9596" s="26">
        <v>0.62839999999999996</v>
      </c>
      <c r="E9596" s="26">
        <v>0.48670000000000002</v>
      </c>
      <c r="F9596" s="26">
        <v>6.1600000000000002E-2</v>
      </c>
      <c r="G9596" s="26">
        <v>0.1328</v>
      </c>
      <c r="I9596">
        <v>69</v>
      </c>
    </row>
    <row r="9597" spans="1:9" x14ac:dyDescent="0.35">
      <c r="A9597" t="s">
        <v>230</v>
      </c>
      <c r="B9597" t="s">
        <v>362</v>
      </c>
      <c r="C9597" s="26">
        <v>0.47449999999999998</v>
      </c>
      <c r="D9597" s="26">
        <v>0.41110000000000002</v>
      </c>
      <c r="E9597" s="26">
        <v>0.28820000000000001</v>
      </c>
      <c r="F9597" s="26">
        <v>3.0800000000000001E-2</v>
      </c>
      <c r="G9597" s="26">
        <v>7.2599999999999998E-2</v>
      </c>
      <c r="H9597" s="26">
        <v>3.8199999999999998E-2</v>
      </c>
      <c r="I9597">
        <v>90</v>
      </c>
    </row>
    <row r="9598" spans="1:9" x14ac:dyDescent="0.35">
      <c r="A9598" t="s">
        <v>230</v>
      </c>
      <c r="B9598" t="s">
        <v>361</v>
      </c>
      <c r="C9598" s="26">
        <v>0.3664</v>
      </c>
      <c r="D9598" s="26">
        <v>0.29320000000000002</v>
      </c>
      <c r="E9598" s="26">
        <v>0.27860000000000001</v>
      </c>
      <c r="F9598" s="26">
        <v>0.2286</v>
      </c>
      <c r="G9598" s="26">
        <v>0.13539999999999999</v>
      </c>
      <c r="H9598" s="26">
        <v>0.1043</v>
      </c>
      <c r="I9598">
        <v>48</v>
      </c>
    </row>
    <row r="9599" spans="1:9" x14ac:dyDescent="0.35">
      <c r="A9599" t="s">
        <v>230</v>
      </c>
      <c r="B9599" t="s">
        <v>360</v>
      </c>
      <c r="C9599" s="26">
        <v>0.66990000000000005</v>
      </c>
      <c r="D9599" s="26">
        <v>0.58630000000000004</v>
      </c>
      <c r="E9599" s="26">
        <v>0.23400000000000001</v>
      </c>
      <c r="F9599" s="26">
        <v>0.1991</v>
      </c>
      <c r="G9599" s="26">
        <v>0.16830000000000001</v>
      </c>
      <c r="I9599">
        <v>69</v>
      </c>
    </row>
    <row r="9600" spans="1:9" x14ac:dyDescent="0.35">
      <c r="A9600" s="27" t="s">
        <v>231</v>
      </c>
      <c r="B9600" s="27" t="s">
        <v>363</v>
      </c>
      <c r="C9600" s="28">
        <v>0.55559999999999998</v>
      </c>
      <c r="D9600" s="28">
        <v>0.44440000000000002</v>
      </c>
      <c r="E9600" s="28">
        <v>0.44440000000000002</v>
      </c>
      <c r="F9600" s="28">
        <v>0.1111</v>
      </c>
      <c r="G9600" s="28">
        <v>0.22220000000000001</v>
      </c>
      <c r="H9600" s="28">
        <v>0.1111</v>
      </c>
      <c r="I9600" s="29" t="s">
        <v>334</v>
      </c>
    </row>
    <row r="9601" spans="1:14" x14ac:dyDescent="0.35">
      <c r="A9601" s="27" t="s">
        <v>231</v>
      </c>
      <c r="B9601" s="27" t="s">
        <v>360</v>
      </c>
      <c r="C9601" s="28">
        <v>0.48</v>
      </c>
      <c r="D9601" s="28">
        <v>0.44</v>
      </c>
      <c r="E9601" s="28">
        <v>0.32</v>
      </c>
      <c r="F9601" s="28">
        <v>0.04</v>
      </c>
      <c r="G9601" s="28">
        <v>0.08</v>
      </c>
      <c r="H9601" s="28">
        <v>0.04</v>
      </c>
      <c r="I9601" s="29" t="s">
        <v>312</v>
      </c>
    </row>
    <row r="9602" spans="1:14" x14ac:dyDescent="0.35">
      <c r="A9602" s="27" t="s">
        <v>231</v>
      </c>
      <c r="B9602" s="27" t="s">
        <v>361</v>
      </c>
      <c r="C9602" s="28">
        <v>0.38100000000000001</v>
      </c>
      <c r="D9602" s="28">
        <v>0.42859999999999998</v>
      </c>
      <c r="E9602" s="28">
        <v>0.23810000000000001</v>
      </c>
      <c r="F9602" s="28">
        <v>9.5200000000000007E-2</v>
      </c>
      <c r="G9602" s="29"/>
      <c r="H9602" s="28">
        <v>4.7600000000000003E-2</v>
      </c>
      <c r="I9602" s="29" t="s">
        <v>351</v>
      </c>
    </row>
    <row r="9603" spans="1:14" x14ac:dyDescent="0.35">
      <c r="A9603" s="27" t="s">
        <v>231</v>
      </c>
      <c r="B9603" s="27" t="s">
        <v>362</v>
      </c>
      <c r="C9603" s="28">
        <v>0.58819999999999995</v>
      </c>
      <c r="D9603" s="28">
        <v>0.58819999999999995</v>
      </c>
      <c r="E9603" s="28">
        <v>0.35289999999999999</v>
      </c>
      <c r="F9603" s="28">
        <v>5.8799999999999998E-2</v>
      </c>
      <c r="G9603" s="28">
        <v>5.8799999999999998E-2</v>
      </c>
      <c r="H9603" s="29"/>
      <c r="I9603" s="29" t="s">
        <v>343</v>
      </c>
    </row>
    <row r="9604" spans="1:14" x14ac:dyDescent="0.35">
      <c r="A9604" t="s">
        <v>232</v>
      </c>
      <c r="B9604" t="s">
        <v>232</v>
      </c>
      <c r="C9604" s="26">
        <v>0.46189999999999998</v>
      </c>
      <c r="D9604" s="26">
        <v>0.45610000000000001</v>
      </c>
      <c r="E9604" s="26">
        <v>0.32429999999999998</v>
      </c>
      <c r="F9604" s="26">
        <v>9.6000000000000002E-2</v>
      </c>
      <c r="G9604" s="26">
        <v>9.6000000000000002E-2</v>
      </c>
      <c r="H9604" s="26">
        <v>3.4500000000000003E-2</v>
      </c>
      <c r="I9604">
        <v>1281</v>
      </c>
    </row>
    <row r="9606" spans="1:14" x14ac:dyDescent="0.35">
      <c r="A9606" s="1" t="s">
        <v>1298</v>
      </c>
    </row>
    <row r="9607" spans="1:14" x14ac:dyDescent="0.35">
      <c r="A9607" t="s">
        <v>219</v>
      </c>
      <c r="B9607" t="s">
        <v>305</v>
      </c>
      <c r="C9607" t="s">
        <v>1270</v>
      </c>
      <c r="D9607" t="s">
        <v>1271</v>
      </c>
      <c r="E9607" t="s">
        <v>1272</v>
      </c>
      <c r="F9607" t="s">
        <v>1273</v>
      </c>
      <c r="G9607" t="s">
        <v>1274</v>
      </c>
      <c r="H9607" t="s">
        <v>1275</v>
      </c>
      <c r="I9607" t="s">
        <v>1276</v>
      </c>
      <c r="J9607" t="s">
        <v>1277</v>
      </c>
      <c r="K9607" t="s">
        <v>1278</v>
      </c>
      <c r="L9607" t="s">
        <v>1279</v>
      </c>
      <c r="M9607" t="s">
        <v>1280</v>
      </c>
      <c r="N9607" t="s">
        <v>964</v>
      </c>
    </row>
    <row r="9608" spans="1:14" x14ac:dyDescent="0.35">
      <c r="A9608" t="s">
        <v>227</v>
      </c>
      <c r="B9608" t="s">
        <v>267</v>
      </c>
      <c r="C9608" t="s">
        <v>1281</v>
      </c>
      <c r="D9608" s="26">
        <v>0.8387</v>
      </c>
      <c r="E9608" s="26">
        <v>0.5161</v>
      </c>
      <c r="F9608" s="26">
        <v>0.8387</v>
      </c>
      <c r="G9608" s="26">
        <v>0.5806</v>
      </c>
      <c r="H9608" s="26">
        <v>0.80649999999999999</v>
      </c>
      <c r="I9608" s="26">
        <v>0.5484</v>
      </c>
      <c r="J9608" s="26">
        <v>0.6129</v>
      </c>
      <c r="K9608" s="26">
        <v>0.7742</v>
      </c>
      <c r="L9608" s="26">
        <v>0.8387</v>
      </c>
      <c r="M9608" s="26">
        <v>0.8387</v>
      </c>
      <c r="N9608">
        <v>31</v>
      </c>
    </row>
    <row r="9609" spans="1:14" x14ac:dyDescent="0.35">
      <c r="A9609" t="s">
        <v>227</v>
      </c>
      <c r="B9609" t="s">
        <v>267</v>
      </c>
      <c r="C9609" t="s">
        <v>1282</v>
      </c>
      <c r="D9609" s="26">
        <v>3.2300000000000002E-2</v>
      </c>
      <c r="E9609" s="26">
        <v>9.6799999999999997E-2</v>
      </c>
      <c r="F9609" s="26">
        <v>3.2300000000000002E-2</v>
      </c>
      <c r="G9609" s="26">
        <v>9.6799999999999997E-2</v>
      </c>
      <c r="H9609" s="26">
        <v>6.4500000000000002E-2</v>
      </c>
      <c r="J9609" s="26">
        <v>6.4500000000000002E-2</v>
      </c>
      <c r="K9609" s="26">
        <v>3.2300000000000002E-2</v>
      </c>
      <c r="N9609">
        <v>31</v>
      </c>
    </row>
    <row r="9610" spans="1:14" x14ac:dyDescent="0.35">
      <c r="A9610" t="s">
        <v>227</v>
      </c>
      <c r="B9610" t="s">
        <v>267</v>
      </c>
      <c r="C9610" t="s">
        <v>1283</v>
      </c>
      <c r="D9610" s="26">
        <v>0.129</v>
      </c>
      <c r="E9610" s="26">
        <v>6.4500000000000002E-2</v>
      </c>
      <c r="F9610" s="26">
        <v>9.6799999999999997E-2</v>
      </c>
      <c r="G9610" s="26">
        <v>0.2581</v>
      </c>
      <c r="H9610" s="26">
        <v>0.129</v>
      </c>
      <c r="I9610" s="26">
        <v>0.129</v>
      </c>
      <c r="J9610" s="26">
        <v>0.2903</v>
      </c>
      <c r="K9610" s="26">
        <v>0.19350000000000001</v>
      </c>
      <c r="L9610" s="26">
        <v>0.1613</v>
      </c>
      <c r="M9610" s="26">
        <v>0.1613</v>
      </c>
      <c r="N9610">
        <v>31</v>
      </c>
    </row>
    <row r="9611" spans="1:14" x14ac:dyDescent="0.35">
      <c r="A9611" t="s">
        <v>227</v>
      </c>
      <c r="B9611" t="s">
        <v>266</v>
      </c>
      <c r="C9611" t="s">
        <v>1281</v>
      </c>
      <c r="D9611" s="26">
        <v>0.81359999999999999</v>
      </c>
      <c r="E9611" s="26">
        <v>0.33900000000000002</v>
      </c>
      <c r="F9611" s="26">
        <v>0.84750000000000003</v>
      </c>
      <c r="G9611" s="26">
        <v>0.52539999999999998</v>
      </c>
      <c r="H9611" s="26">
        <v>0.64410000000000001</v>
      </c>
      <c r="I9611" s="26">
        <v>0.67800000000000005</v>
      </c>
      <c r="J9611" s="26">
        <v>0.77969999999999995</v>
      </c>
      <c r="K9611" s="26">
        <v>0.69489999999999996</v>
      </c>
      <c r="L9611" s="26">
        <v>0.7288</v>
      </c>
      <c r="M9611" s="26">
        <v>0.84750000000000003</v>
      </c>
      <c r="N9611">
        <v>59</v>
      </c>
    </row>
    <row r="9612" spans="1:14" x14ac:dyDescent="0.35">
      <c r="A9612" t="s">
        <v>227</v>
      </c>
      <c r="B9612" t="s">
        <v>266</v>
      </c>
      <c r="C9612" t="s">
        <v>1283</v>
      </c>
      <c r="D9612" s="26">
        <v>0.16950000000000001</v>
      </c>
      <c r="E9612" s="26">
        <v>0.2203</v>
      </c>
      <c r="F9612" s="26">
        <v>0.1017</v>
      </c>
      <c r="G9612" s="26">
        <v>0.33900000000000002</v>
      </c>
      <c r="H9612" s="26">
        <v>0.28810000000000002</v>
      </c>
      <c r="I9612" s="26">
        <v>0.1017</v>
      </c>
      <c r="J9612" s="26">
        <v>0.2203</v>
      </c>
      <c r="K9612" s="26">
        <v>0.28810000000000002</v>
      </c>
      <c r="L9612" s="26">
        <v>0.2712</v>
      </c>
      <c r="M9612" s="26">
        <v>0.1525</v>
      </c>
      <c r="N9612">
        <v>59</v>
      </c>
    </row>
    <row r="9613" spans="1:14" x14ac:dyDescent="0.35">
      <c r="A9613" t="s">
        <v>227</v>
      </c>
      <c r="B9613" t="s">
        <v>266</v>
      </c>
      <c r="C9613" t="s">
        <v>303</v>
      </c>
      <c r="D9613" s="26">
        <v>1.6899999999999998E-2</v>
      </c>
      <c r="E9613" s="26">
        <v>0.38979999999999998</v>
      </c>
      <c r="F9613" s="26">
        <v>3.39E-2</v>
      </c>
      <c r="G9613" s="26">
        <v>0.1017</v>
      </c>
      <c r="H9613" s="26">
        <v>3.39E-2</v>
      </c>
      <c r="I9613" s="26">
        <v>0.2203</v>
      </c>
      <c r="N9613">
        <v>59</v>
      </c>
    </row>
    <row r="9614" spans="1:14" x14ac:dyDescent="0.35">
      <c r="A9614" t="s">
        <v>227</v>
      </c>
      <c r="B9614" t="s">
        <v>265</v>
      </c>
      <c r="C9614" t="s">
        <v>1281</v>
      </c>
      <c r="D9614" s="26">
        <v>0.77969999999999995</v>
      </c>
      <c r="E9614" s="26">
        <v>0.35589999999999999</v>
      </c>
      <c r="F9614" s="26">
        <v>0.88139999999999996</v>
      </c>
      <c r="G9614" s="26">
        <v>0.71189999999999998</v>
      </c>
      <c r="H9614" s="26">
        <v>0.84750000000000003</v>
      </c>
      <c r="I9614" s="26">
        <v>0.71189999999999998</v>
      </c>
      <c r="J9614" s="26">
        <v>0.93220000000000003</v>
      </c>
      <c r="K9614" s="26">
        <v>0.77969999999999995</v>
      </c>
      <c r="L9614" s="26">
        <v>0.88139999999999996</v>
      </c>
      <c r="M9614" s="26">
        <v>0.93220000000000003</v>
      </c>
      <c r="N9614">
        <v>59</v>
      </c>
    </row>
    <row r="9615" spans="1:14" x14ac:dyDescent="0.35">
      <c r="A9615" t="s">
        <v>227</v>
      </c>
      <c r="B9615" t="s">
        <v>265</v>
      </c>
      <c r="C9615" t="s">
        <v>1282</v>
      </c>
      <c r="D9615" s="26">
        <v>3.39E-2</v>
      </c>
      <c r="E9615" s="26">
        <v>0.1017</v>
      </c>
      <c r="F9615" s="26">
        <v>1.6899999999999998E-2</v>
      </c>
      <c r="G9615" s="26">
        <v>5.0799999999999998E-2</v>
      </c>
      <c r="H9615" s="26">
        <v>1.6899999999999998E-2</v>
      </c>
      <c r="K9615" s="26">
        <v>1.6899999999999998E-2</v>
      </c>
      <c r="N9615">
        <v>59</v>
      </c>
    </row>
    <row r="9616" spans="1:14" x14ac:dyDescent="0.35">
      <c r="A9616" t="s">
        <v>227</v>
      </c>
      <c r="B9616" t="s">
        <v>265</v>
      </c>
      <c r="C9616" t="s">
        <v>1283</v>
      </c>
      <c r="D9616" s="26">
        <v>0.1525</v>
      </c>
      <c r="E9616" s="26">
        <v>0.16950000000000001</v>
      </c>
      <c r="F9616" s="26">
        <v>1.6899999999999998E-2</v>
      </c>
      <c r="G9616" s="26">
        <v>0.1356</v>
      </c>
      <c r="H9616" s="26">
        <v>0.1186</v>
      </c>
      <c r="I9616" s="26">
        <v>1.6899999999999998E-2</v>
      </c>
      <c r="J9616" s="26">
        <v>6.7799999999999999E-2</v>
      </c>
      <c r="K9616" s="26">
        <v>0.18640000000000001</v>
      </c>
      <c r="L9616" s="26">
        <v>0.1186</v>
      </c>
      <c r="M9616" s="26">
        <v>6.7799999999999999E-2</v>
      </c>
      <c r="N9616">
        <v>59</v>
      </c>
    </row>
    <row r="9617" spans="1:14" x14ac:dyDescent="0.35">
      <c r="A9617" t="s">
        <v>227</v>
      </c>
      <c r="B9617" t="s">
        <v>265</v>
      </c>
      <c r="C9617" t="s">
        <v>303</v>
      </c>
      <c r="D9617" s="26">
        <v>3.39E-2</v>
      </c>
      <c r="E9617" s="26">
        <v>0.37290000000000001</v>
      </c>
      <c r="F9617" s="26">
        <v>8.4699999999999998E-2</v>
      </c>
      <c r="G9617" s="26">
        <v>0.1017</v>
      </c>
      <c r="H9617" s="26">
        <v>1.6899999999999998E-2</v>
      </c>
      <c r="I9617" s="26">
        <v>0.2712</v>
      </c>
      <c r="K9617" s="26">
        <v>1.6899999999999998E-2</v>
      </c>
      <c r="N9617">
        <v>59</v>
      </c>
    </row>
    <row r="9618" spans="1:14" x14ac:dyDescent="0.35">
      <c r="A9618" s="27" t="s">
        <v>228</v>
      </c>
      <c r="B9618" s="27" t="s">
        <v>236</v>
      </c>
      <c r="C9618" s="27" t="s">
        <v>1281</v>
      </c>
      <c r="D9618" s="28">
        <v>1</v>
      </c>
      <c r="E9618" s="28">
        <v>1</v>
      </c>
      <c r="F9618" s="28">
        <v>1</v>
      </c>
      <c r="G9618" s="29"/>
      <c r="H9618" s="29"/>
      <c r="I9618" s="29"/>
      <c r="J9618" s="28">
        <v>1</v>
      </c>
      <c r="K9618" s="28">
        <v>1</v>
      </c>
      <c r="L9618" s="28">
        <v>1</v>
      </c>
      <c r="M9618" s="28">
        <v>1</v>
      </c>
      <c r="N9618" s="29">
        <v>1</v>
      </c>
    </row>
    <row r="9619" spans="1:14" x14ac:dyDescent="0.35">
      <c r="A9619" t="s">
        <v>228</v>
      </c>
      <c r="B9619" t="s">
        <v>265</v>
      </c>
      <c r="C9619" t="s">
        <v>303</v>
      </c>
      <c r="D9619" s="26">
        <v>4.7899999999999998E-2</v>
      </c>
      <c r="E9619" s="26">
        <v>0.44600000000000001</v>
      </c>
      <c r="F9619" s="26">
        <v>0.15989999999999999</v>
      </c>
      <c r="G9619" s="26">
        <v>0.24440000000000001</v>
      </c>
      <c r="H9619" s="26">
        <v>2.0799999999999999E-2</v>
      </c>
      <c r="I9619" s="26">
        <v>0.3115</v>
      </c>
      <c r="K9619" s="26">
        <v>2.2000000000000001E-3</v>
      </c>
      <c r="L9619" s="26">
        <v>4.0899999999999999E-2</v>
      </c>
      <c r="M9619" s="26">
        <v>1.1000000000000001E-3</v>
      </c>
      <c r="N9619">
        <v>343</v>
      </c>
    </row>
    <row r="9620" spans="1:14" x14ac:dyDescent="0.35">
      <c r="A9620" t="s">
        <v>228</v>
      </c>
      <c r="B9620" t="s">
        <v>265</v>
      </c>
      <c r="C9620" t="s">
        <v>1283</v>
      </c>
      <c r="D9620" s="26">
        <v>0.1014</v>
      </c>
      <c r="E9620" s="26">
        <v>0.1113</v>
      </c>
      <c r="F9620" s="26">
        <v>4.07E-2</v>
      </c>
      <c r="G9620" s="26">
        <v>0.13930000000000001</v>
      </c>
      <c r="H9620" s="26">
        <v>0.16039999999999999</v>
      </c>
      <c r="I9620" s="26">
        <v>1.6799999999999999E-2</v>
      </c>
      <c r="J9620" s="26">
        <v>7.0699999999999999E-2</v>
      </c>
      <c r="K9620" s="26">
        <v>0.14990000000000001</v>
      </c>
      <c r="L9620" s="26">
        <v>9.7699999999999995E-2</v>
      </c>
      <c r="M9620" s="26">
        <v>7.7299999999999994E-2</v>
      </c>
      <c r="N9620">
        <v>343</v>
      </c>
    </row>
    <row r="9621" spans="1:14" x14ac:dyDescent="0.35">
      <c r="A9621" t="s">
        <v>228</v>
      </c>
      <c r="B9621" t="s">
        <v>265</v>
      </c>
      <c r="C9621" t="s">
        <v>1282</v>
      </c>
      <c r="D9621" s="26">
        <v>1.7899999999999999E-2</v>
      </c>
      <c r="E9621" s="26">
        <v>3.8199999999999998E-2</v>
      </c>
      <c r="F9621" s="26">
        <v>4.3E-3</v>
      </c>
      <c r="G9621" s="26">
        <v>1.5900000000000001E-2</v>
      </c>
      <c r="H9621" s="26">
        <v>2.2599999999999999E-2</v>
      </c>
      <c r="I9621" s="26">
        <v>1.95E-2</v>
      </c>
      <c r="K9621" s="26">
        <v>4.1000000000000003E-3</v>
      </c>
      <c r="L9621" s="26">
        <v>3.0999999999999999E-3</v>
      </c>
      <c r="N9621">
        <v>343</v>
      </c>
    </row>
    <row r="9622" spans="1:14" x14ac:dyDescent="0.35">
      <c r="A9622" t="s">
        <v>228</v>
      </c>
      <c r="B9622" t="s">
        <v>265</v>
      </c>
      <c r="C9622" t="s">
        <v>1281</v>
      </c>
      <c r="D9622" s="26">
        <v>0.83279999999999998</v>
      </c>
      <c r="E9622" s="26">
        <v>0.40450000000000003</v>
      </c>
      <c r="F9622" s="26">
        <v>0.79500000000000004</v>
      </c>
      <c r="G9622" s="26">
        <v>0.60040000000000004</v>
      </c>
      <c r="H9622" s="26">
        <v>0.79620000000000002</v>
      </c>
      <c r="I9622" s="26">
        <v>0.6522</v>
      </c>
      <c r="J9622" s="26">
        <v>0.92930000000000001</v>
      </c>
      <c r="K9622" s="26">
        <v>0.84379999999999999</v>
      </c>
      <c r="L9622" s="26">
        <v>0.85840000000000005</v>
      </c>
      <c r="M9622" s="26">
        <v>0.92159999999999997</v>
      </c>
      <c r="N9622">
        <v>343</v>
      </c>
    </row>
    <row r="9623" spans="1:14" x14ac:dyDescent="0.35">
      <c r="A9623" t="s">
        <v>228</v>
      </c>
      <c r="B9623" t="s">
        <v>266</v>
      </c>
      <c r="C9623" t="s">
        <v>303</v>
      </c>
      <c r="D9623" s="26">
        <v>5.79E-2</v>
      </c>
      <c r="E9623" s="26">
        <v>0.38500000000000001</v>
      </c>
      <c r="F9623" s="26">
        <v>0.11310000000000001</v>
      </c>
      <c r="G9623" s="26">
        <v>0.1249</v>
      </c>
      <c r="H9623" s="26">
        <v>3.7600000000000001E-2</v>
      </c>
      <c r="I9623" s="26">
        <v>0.4007</v>
      </c>
      <c r="J9623" s="26">
        <v>6.3E-3</v>
      </c>
      <c r="K9623" s="26">
        <v>8.8000000000000005E-3</v>
      </c>
      <c r="L9623" s="26">
        <v>4.1999999999999997E-3</v>
      </c>
      <c r="M9623" s="26">
        <v>3.5000000000000001E-3</v>
      </c>
      <c r="N9623">
        <v>421</v>
      </c>
    </row>
    <row r="9624" spans="1:14" x14ac:dyDescent="0.35">
      <c r="A9624" t="s">
        <v>228</v>
      </c>
      <c r="B9624" t="s">
        <v>267</v>
      </c>
      <c r="C9624" t="s">
        <v>303</v>
      </c>
      <c r="D9624" s="26">
        <v>2.0400000000000001E-2</v>
      </c>
      <c r="E9624" s="26">
        <v>0.33939999999999998</v>
      </c>
      <c r="F9624" s="26">
        <v>0.16009999999999999</v>
      </c>
      <c r="G9624" s="26">
        <v>0.16900000000000001</v>
      </c>
      <c r="H9624" s="26">
        <v>1.7399999999999999E-2</v>
      </c>
      <c r="I9624" s="26">
        <v>0.19939999999999999</v>
      </c>
      <c r="J9624" s="26">
        <v>2.12E-2</v>
      </c>
      <c r="K9624" s="26">
        <v>2.2100000000000002E-2</v>
      </c>
      <c r="L9624" s="26">
        <v>1.6000000000000001E-3</v>
      </c>
      <c r="M9624" s="26">
        <v>2.7000000000000001E-3</v>
      </c>
      <c r="N9624">
        <v>179</v>
      </c>
    </row>
    <row r="9625" spans="1:14" x14ac:dyDescent="0.35">
      <c r="A9625" t="s">
        <v>228</v>
      </c>
      <c r="B9625" t="s">
        <v>266</v>
      </c>
      <c r="C9625" t="s">
        <v>1282</v>
      </c>
      <c r="D9625" s="26">
        <v>2.93E-2</v>
      </c>
      <c r="E9625" s="26">
        <v>8.5999999999999993E-2</v>
      </c>
      <c r="F9625" s="26">
        <v>1.2800000000000001E-2</v>
      </c>
      <c r="G9625" s="26">
        <v>2.1700000000000001E-2</v>
      </c>
      <c r="H9625" s="26">
        <v>2.4199999999999999E-2</v>
      </c>
      <c r="I9625" s="26">
        <v>1.2999999999999999E-3</v>
      </c>
      <c r="J9625" s="26">
        <v>8.8000000000000005E-3</v>
      </c>
      <c r="K9625" s="26">
        <v>1.6000000000000001E-3</v>
      </c>
      <c r="N9625">
        <v>421</v>
      </c>
    </row>
    <row r="9626" spans="1:14" x14ac:dyDescent="0.35">
      <c r="A9626" t="s">
        <v>228</v>
      </c>
      <c r="B9626" t="s">
        <v>266</v>
      </c>
      <c r="C9626" t="s">
        <v>1281</v>
      </c>
      <c r="D9626" s="26">
        <v>0.76980000000000004</v>
      </c>
      <c r="E9626" s="26">
        <v>0.374</v>
      </c>
      <c r="F9626" s="26">
        <v>0.80279999999999996</v>
      </c>
      <c r="G9626" s="26">
        <v>0.62819999999999998</v>
      </c>
      <c r="H9626" s="26">
        <v>0.68669999999999998</v>
      </c>
      <c r="I9626" s="26">
        <v>0.54969999999999997</v>
      </c>
      <c r="J9626" s="26">
        <v>0.75749999999999995</v>
      </c>
      <c r="K9626" s="26">
        <v>0.77480000000000004</v>
      </c>
      <c r="L9626" s="26">
        <v>0.84840000000000004</v>
      </c>
      <c r="M9626" s="26">
        <v>0.88480000000000003</v>
      </c>
      <c r="N9626">
        <v>421</v>
      </c>
    </row>
    <row r="9627" spans="1:14" x14ac:dyDescent="0.35">
      <c r="A9627" t="s">
        <v>228</v>
      </c>
      <c r="B9627" t="s">
        <v>267</v>
      </c>
      <c r="C9627" t="s">
        <v>1283</v>
      </c>
      <c r="D9627" s="26">
        <v>8.4000000000000005E-2</v>
      </c>
      <c r="E9627" s="26">
        <v>0.1711</v>
      </c>
      <c r="F9627" s="26">
        <v>4.4699999999999997E-2</v>
      </c>
      <c r="G9627" s="26">
        <v>0.1694</v>
      </c>
      <c r="H9627" s="26">
        <v>0.13969999999999999</v>
      </c>
      <c r="I9627" s="26">
        <v>3.78E-2</v>
      </c>
      <c r="J9627" s="26">
        <v>0.19389999999999999</v>
      </c>
      <c r="K9627" s="26">
        <v>0.16139999999999999</v>
      </c>
      <c r="L9627" s="26">
        <v>0.14599999999999999</v>
      </c>
      <c r="M9627" s="26">
        <v>5.6300000000000003E-2</v>
      </c>
      <c r="N9627">
        <v>179</v>
      </c>
    </row>
    <row r="9628" spans="1:14" x14ac:dyDescent="0.35">
      <c r="A9628" t="s">
        <v>228</v>
      </c>
      <c r="B9628" t="s">
        <v>267</v>
      </c>
      <c r="C9628" t="s">
        <v>1282</v>
      </c>
      <c r="D9628" s="26">
        <v>1.2800000000000001E-2</v>
      </c>
      <c r="E9628" s="26">
        <v>5.1999999999999998E-2</v>
      </c>
      <c r="F9628" s="26">
        <v>5.4999999999999997E-3</v>
      </c>
      <c r="G9628" s="26">
        <v>3.0300000000000001E-2</v>
      </c>
      <c r="H9628" s="26">
        <v>1.3299999999999999E-2</v>
      </c>
      <c r="I9628" s="26">
        <v>2.3999999999999998E-3</v>
      </c>
      <c r="K9628" s="26">
        <v>6.0000000000000001E-3</v>
      </c>
      <c r="L9628" s="26">
        <v>5.4999999999999997E-3</v>
      </c>
      <c r="N9628">
        <v>179</v>
      </c>
    </row>
    <row r="9629" spans="1:14" x14ac:dyDescent="0.35">
      <c r="A9629" t="s">
        <v>228</v>
      </c>
      <c r="B9629" t="s">
        <v>267</v>
      </c>
      <c r="C9629" t="s">
        <v>1281</v>
      </c>
      <c r="D9629" s="26">
        <v>0.88280000000000003</v>
      </c>
      <c r="E9629" s="26">
        <v>0.4375</v>
      </c>
      <c r="F9629" s="26">
        <v>0.78969999999999996</v>
      </c>
      <c r="G9629" s="26">
        <v>0.63129999999999997</v>
      </c>
      <c r="H9629" s="26">
        <v>0.8296</v>
      </c>
      <c r="I9629" s="26">
        <v>0.76039999999999996</v>
      </c>
      <c r="J9629" s="26">
        <v>0.78490000000000004</v>
      </c>
      <c r="K9629" s="26">
        <v>0.8105</v>
      </c>
      <c r="L9629" s="26">
        <v>0.8468</v>
      </c>
      <c r="M9629" s="26">
        <v>0.94099999999999995</v>
      </c>
      <c r="N9629">
        <v>179</v>
      </c>
    </row>
    <row r="9630" spans="1:14" x14ac:dyDescent="0.35">
      <c r="A9630" t="s">
        <v>228</v>
      </c>
      <c r="B9630" t="s">
        <v>266</v>
      </c>
      <c r="C9630" t="s">
        <v>1283</v>
      </c>
      <c r="D9630" s="26">
        <v>0.1431</v>
      </c>
      <c r="E9630" s="26">
        <v>0.155</v>
      </c>
      <c r="F9630" s="26">
        <v>7.1400000000000005E-2</v>
      </c>
      <c r="G9630" s="26">
        <v>0.22520000000000001</v>
      </c>
      <c r="H9630" s="26">
        <v>0.25140000000000001</v>
      </c>
      <c r="I9630" s="26">
        <v>4.8399999999999999E-2</v>
      </c>
      <c r="J9630" s="26">
        <v>0.22750000000000001</v>
      </c>
      <c r="K9630" s="26">
        <v>0.21490000000000001</v>
      </c>
      <c r="L9630" s="26">
        <v>0.14749999999999999</v>
      </c>
      <c r="M9630" s="26">
        <v>0.11169999999999999</v>
      </c>
      <c r="N9630">
        <v>421</v>
      </c>
    </row>
    <row r="9631" spans="1:14" x14ac:dyDescent="0.35">
      <c r="A9631" t="s">
        <v>229</v>
      </c>
      <c r="B9631" t="s">
        <v>265</v>
      </c>
      <c r="C9631" t="s">
        <v>1281</v>
      </c>
      <c r="D9631" s="26">
        <v>0.8548</v>
      </c>
      <c r="E9631" s="26">
        <v>0.37590000000000001</v>
      </c>
      <c r="F9631" s="26">
        <v>0.82730000000000004</v>
      </c>
      <c r="G9631" s="26">
        <v>0.60199999999999998</v>
      </c>
      <c r="H9631" s="26">
        <v>0.77080000000000004</v>
      </c>
      <c r="I9631" s="26">
        <v>0.63370000000000004</v>
      </c>
      <c r="J9631" s="26">
        <v>0.91869999999999996</v>
      </c>
      <c r="K9631" s="26">
        <v>0.81589999999999996</v>
      </c>
      <c r="L9631" s="26">
        <v>0.86960000000000004</v>
      </c>
      <c r="M9631" s="26">
        <v>0.90880000000000005</v>
      </c>
      <c r="N9631">
        <v>304</v>
      </c>
    </row>
    <row r="9632" spans="1:14" x14ac:dyDescent="0.35">
      <c r="A9632" t="s">
        <v>229</v>
      </c>
      <c r="B9632" t="s">
        <v>265</v>
      </c>
      <c r="C9632" t="s">
        <v>303</v>
      </c>
      <c r="D9632" s="26">
        <v>3.2899999999999999E-2</v>
      </c>
      <c r="E9632" s="26">
        <v>0.45050000000000001</v>
      </c>
      <c r="F9632" s="26">
        <v>0.1118</v>
      </c>
      <c r="G9632" s="26">
        <v>0.2031</v>
      </c>
      <c r="H9632" s="26">
        <v>3.0099999999999998E-2</v>
      </c>
      <c r="I9632" s="26">
        <v>0.3362</v>
      </c>
      <c r="J9632" s="26">
        <v>1.37E-2</v>
      </c>
      <c r="L9632" s="26">
        <v>2.7099999999999999E-2</v>
      </c>
      <c r="M9632" s="26">
        <v>7.6E-3</v>
      </c>
      <c r="N9632">
        <v>304</v>
      </c>
    </row>
    <row r="9633" spans="1:14" x14ac:dyDescent="0.35">
      <c r="A9633" t="s">
        <v>229</v>
      </c>
      <c r="B9633" t="s">
        <v>265</v>
      </c>
      <c r="C9633" t="s">
        <v>1283</v>
      </c>
      <c r="D9633" s="26">
        <v>9.8100000000000007E-2</v>
      </c>
      <c r="E9633" s="26">
        <v>0.1124</v>
      </c>
      <c r="F9633" s="26">
        <v>5.3600000000000002E-2</v>
      </c>
      <c r="G9633" s="26">
        <v>0.1734</v>
      </c>
      <c r="H9633" s="26">
        <v>0.16420000000000001</v>
      </c>
      <c r="I9633" s="26">
        <v>1.7899999999999999E-2</v>
      </c>
      <c r="J9633" s="26">
        <v>6.1499999999999999E-2</v>
      </c>
      <c r="K9633" s="26">
        <v>0.1719</v>
      </c>
      <c r="L9633" s="26">
        <v>0.1033</v>
      </c>
      <c r="M9633" s="26">
        <v>8.3599999999999994E-2</v>
      </c>
      <c r="N9633">
        <v>304</v>
      </c>
    </row>
    <row r="9634" spans="1:14" x14ac:dyDescent="0.35">
      <c r="A9634" t="s">
        <v>229</v>
      </c>
      <c r="B9634" t="s">
        <v>265</v>
      </c>
      <c r="C9634" t="s">
        <v>1282</v>
      </c>
      <c r="D9634" s="26">
        <v>1.4200000000000001E-2</v>
      </c>
      <c r="E9634" s="26">
        <v>6.1199999999999997E-2</v>
      </c>
      <c r="F9634" s="26">
        <v>7.3000000000000001E-3</v>
      </c>
      <c r="G9634" s="26">
        <v>2.1600000000000001E-2</v>
      </c>
      <c r="H9634" s="26">
        <v>3.5000000000000003E-2</v>
      </c>
      <c r="I9634" s="26">
        <v>1.2200000000000001E-2</v>
      </c>
      <c r="J9634" s="26">
        <v>6.1000000000000004E-3</v>
      </c>
      <c r="K9634" s="26">
        <v>1.2200000000000001E-2</v>
      </c>
      <c r="N9634">
        <v>304</v>
      </c>
    </row>
    <row r="9635" spans="1:14" x14ac:dyDescent="0.35">
      <c r="A9635" t="s">
        <v>229</v>
      </c>
      <c r="B9635" t="s">
        <v>266</v>
      </c>
      <c r="C9635" t="s">
        <v>1283</v>
      </c>
      <c r="D9635" s="26">
        <v>0.13589999999999999</v>
      </c>
      <c r="E9635" s="26">
        <v>0.16819999999999999</v>
      </c>
      <c r="F9635" s="26">
        <v>5.9499999999999997E-2</v>
      </c>
      <c r="G9635" s="26">
        <v>0.20730000000000001</v>
      </c>
      <c r="H9635" s="26">
        <v>0.32700000000000001</v>
      </c>
      <c r="I9635" s="26">
        <v>3.2500000000000001E-2</v>
      </c>
      <c r="J9635" s="26">
        <v>0.21579999999999999</v>
      </c>
      <c r="K9635" s="26">
        <v>0.2225</v>
      </c>
      <c r="L9635" s="26">
        <v>0.20050000000000001</v>
      </c>
      <c r="M9635" s="26">
        <v>0.1028</v>
      </c>
      <c r="N9635">
        <v>311</v>
      </c>
    </row>
    <row r="9636" spans="1:14" x14ac:dyDescent="0.35">
      <c r="A9636" t="s">
        <v>229</v>
      </c>
      <c r="B9636" t="s">
        <v>266</v>
      </c>
      <c r="C9636" t="s">
        <v>303</v>
      </c>
      <c r="D9636" s="26">
        <v>1.7500000000000002E-2</v>
      </c>
      <c r="E9636" s="26">
        <v>0.41770000000000002</v>
      </c>
      <c r="F9636" s="26">
        <v>0.17319999999999999</v>
      </c>
      <c r="G9636" s="26">
        <v>0.1739</v>
      </c>
      <c r="H9636" s="26">
        <v>2.0500000000000001E-2</v>
      </c>
      <c r="I9636" s="26">
        <v>0.35470000000000002</v>
      </c>
      <c r="J9636" s="26">
        <v>1.38E-2</v>
      </c>
      <c r="K9636" s="26">
        <v>3.5000000000000001E-3</v>
      </c>
      <c r="L9636" s="26">
        <v>1.18E-2</v>
      </c>
      <c r="M9636" s="26">
        <v>1.0500000000000001E-2</v>
      </c>
      <c r="N9636">
        <v>311</v>
      </c>
    </row>
    <row r="9637" spans="1:14" x14ac:dyDescent="0.35">
      <c r="A9637" t="s">
        <v>229</v>
      </c>
      <c r="B9637" t="s">
        <v>266</v>
      </c>
      <c r="C9637" t="s">
        <v>1281</v>
      </c>
      <c r="D9637" s="26">
        <v>0.81379999999999997</v>
      </c>
      <c r="E9637" s="26">
        <v>0.34610000000000002</v>
      </c>
      <c r="F9637" s="26">
        <v>0.75380000000000003</v>
      </c>
      <c r="G9637" s="26">
        <v>0.60460000000000003</v>
      </c>
      <c r="H9637" s="26">
        <v>0.64670000000000005</v>
      </c>
      <c r="I9637" s="26">
        <v>0.61250000000000004</v>
      </c>
      <c r="J9637" s="26">
        <v>0.7681</v>
      </c>
      <c r="K9637" s="26">
        <v>0.75829999999999997</v>
      </c>
      <c r="L9637" s="26">
        <v>0.78710000000000002</v>
      </c>
      <c r="M9637" s="26">
        <v>0.88349999999999995</v>
      </c>
      <c r="N9637">
        <v>311</v>
      </c>
    </row>
    <row r="9638" spans="1:14" x14ac:dyDescent="0.35">
      <c r="A9638" t="s">
        <v>229</v>
      </c>
      <c r="B9638" t="s">
        <v>267</v>
      </c>
      <c r="C9638" t="s">
        <v>303</v>
      </c>
      <c r="D9638" s="26">
        <v>7.4099999999999999E-2</v>
      </c>
      <c r="E9638" s="26">
        <v>0.3367</v>
      </c>
      <c r="F9638" s="26">
        <v>0.1376</v>
      </c>
      <c r="G9638" s="26">
        <v>0.20669999999999999</v>
      </c>
      <c r="H9638" s="26">
        <v>1.49E-2</v>
      </c>
      <c r="I9638" s="26">
        <v>0.26529999999999998</v>
      </c>
      <c r="J9638" s="26">
        <v>3.0599999999999999E-2</v>
      </c>
      <c r="K9638" s="26">
        <v>1.6999999999999999E-3</v>
      </c>
      <c r="L9638" s="26">
        <v>5.6099999999999997E-2</v>
      </c>
      <c r="M9638" s="26">
        <v>1.32E-2</v>
      </c>
      <c r="N9638">
        <v>178</v>
      </c>
    </row>
    <row r="9639" spans="1:14" x14ac:dyDescent="0.35">
      <c r="A9639" t="s">
        <v>229</v>
      </c>
      <c r="B9639" t="s">
        <v>267</v>
      </c>
      <c r="C9639" t="s">
        <v>1283</v>
      </c>
      <c r="D9639" s="26">
        <v>3.5900000000000001E-2</v>
      </c>
      <c r="E9639" s="26">
        <v>8.8200000000000001E-2</v>
      </c>
      <c r="F9639" s="26">
        <v>5.7000000000000002E-2</v>
      </c>
      <c r="G9639" s="26">
        <v>0.15</v>
      </c>
      <c r="H9639" s="26">
        <v>0.1512</v>
      </c>
      <c r="I9639" s="26">
        <v>1.84E-2</v>
      </c>
      <c r="J9639" s="26">
        <v>0.1376</v>
      </c>
      <c r="K9639" s="26">
        <v>0.16869999999999999</v>
      </c>
      <c r="L9639" s="26">
        <v>7.6799999999999993E-2</v>
      </c>
      <c r="M9639" s="26">
        <v>4.65E-2</v>
      </c>
      <c r="N9639">
        <v>178</v>
      </c>
    </row>
    <row r="9640" spans="1:14" x14ac:dyDescent="0.35">
      <c r="A9640" t="s">
        <v>229</v>
      </c>
      <c r="B9640" t="s">
        <v>267</v>
      </c>
      <c r="C9640" t="s">
        <v>1282</v>
      </c>
      <c r="D9640" s="26">
        <v>4.65E-2</v>
      </c>
      <c r="E9640" s="26">
        <v>5.6899999999999999E-2</v>
      </c>
      <c r="G9640" s="26">
        <v>7.1000000000000004E-3</v>
      </c>
      <c r="H9640" s="26">
        <v>1.66E-2</v>
      </c>
      <c r="I9640" s="26">
        <v>1.32E-2</v>
      </c>
      <c r="K9640" s="26">
        <v>1.32E-2</v>
      </c>
      <c r="N9640">
        <v>178</v>
      </c>
    </row>
    <row r="9641" spans="1:14" x14ac:dyDescent="0.35">
      <c r="A9641" t="s">
        <v>229</v>
      </c>
      <c r="B9641" t="s">
        <v>267</v>
      </c>
      <c r="C9641" t="s">
        <v>1281</v>
      </c>
      <c r="D9641" s="26">
        <v>0.84350000000000003</v>
      </c>
      <c r="E9641" s="26">
        <v>0.51819999999999999</v>
      </c>
      <c r="F9641" s="26">
        <v>0.8054</v>
      </c>
      <c r="G9641" s="26">
        <v>0.63619999999999999</v>
      </c>
      <c r="H9641" s="26">
        <v>0.81730000000000003</v>
      </c>
      <c r="I9641" s="26">
        <v>0.70320000000000005</v>
      </c>
      <c r="J9641" s="26">
        <v>0.83169999999999999</v>
      </c>
      <c r="K9641" s="26">
        <v>0.81640000000000001</v>
      </c>
      <c r="L9641" s="26">
        <v>0.86709999999999998</v>
      </c>
      <c r="M9641" s="26">
        <v>0.94040000000000001</v>
      </c>
      <c r="N9641">
        <v>178</v>
      </c>
    </row>
    <row r="9642" spans="1:14" x14ac:dyDescent="0.35">
      <c r="A9642" t="s">
        <v>229</v>
      </c>
      <c r="B9642" t="s">
        <v>266</v>
      </c>
      <c r="C9642" t="s">
        <v>1282</v>
      </c>
      <c r="D9642" s="26">
        <v>3.2800000000000003E-2</v>
      </c>
      <c r="E9642" s="26">
        <v>6.8000000000000005E-2</v>
      </c>
      <c r="F9642" s="26">
        <v>1.35E-2</v>
      </c>
      <c r="G9642" s="26">
        <v>1.4200000000000001E-2</v>
      </c>
      <c r="H9642" s="26">
        <v>5.7999999999999996E-3</v>
      </c>
      <c r="I9642" s="26">
        <v>2.9999999999999997E-4</v>
      </c>
      <c r="J9642" s="26">
        <v>2.3E-3</v>
      </c>
      <c r="K9642" s="26">
        <v>1.5800000000000002E-2</v>
      </c>
      <c r="L9642" s="26">
        <v>5.9999999999999995E-4</v>
      </c>
      <c r="M9642" s="26">
        <v>3.3E-3</v>
      </c>
      <c r="N9642">
        <v>311</v>
      </c>
    </row>
    <row r="9643" spans="1:14" x14ac:dyDescent="0.35">
      <c r="A9643" t="s">
        <v>230</v>
      </c>
      <c r="B9643" t="s">
        <v>265</v>
      </c>
      <c r="C9643" t="s">
        <v>303</v>
      </c>
      <c r="D9643" s="26">
        <v>3.09E-2</v>
      </c>
      <c r="E9643" s="26">
        <v>0.40799999999999997</v>
      </c>
      <c r="F9643" s="26">
        <v>0.1487</v>
      </c>
      <c r="G9643" s="26">
        <v>0.27510000000000001</v>
      </c>
      <c r="H9643" s="26">
        <v>1.9E-2</v>
      </c>
      <c r="I9643" s="26">
        <v>0.29430000000000001</v>
      </c>
      <c r="L9643" s="26">
        <v>1.7299999999999999E-2</v>
      </c>
      <c r="M9643" s="26">
        <v>1.6500000000000001E-2</v>
      </c>
      <c r="N9643">
        <v>191</v>
      </c>
    </row>
    <row r="9644" spans="1:14" x14ac:dyDescent="0.35">
      <c r="A9644" t="s">
        <v>230</v>
      </c>
      <c r="B9644" t="s">
        <v>265</v>
      </c>
      <c r="C9644" t="s">
        <v>1282</v>
      </c>
      <c r="D9644" s="26">
        <v>4.7000000000000002E-3</v>
      </c>
      <c r="E9644" s="26">
        <v>0.107</v>
      </c>
      <c r="F9644" s="26">
        <v>7.7999999999999996E-3</v>
      </c>
      <c r="G9644" s="26">
        <v>7.9000000000000008E-3</v>
      </c>
      <c r="H9644" s="26">
        <v>3.8600000000000002E-2</v>
      </c>
      <c r="I9644" s="26">
        <v>6.9999999999999999E-4</v>
      </c>
      <c r="K9644" s="26">
        <v>2.3999999999999998E-3</v>
      </c>
      <c r="L9644" s="26">
        <v>2.3999999999999998E-3</v>
      </c>
      <c r="M9644" s="26">
        <v>3.0999999999999999E-3</v>
      </c>
      <c r="N9644">
        <v>191</v>
      </c>
    </row>
    <row r="9645" spans="1:14" x14ac:dyDescent="0.35">
      <c r="A9645" t="s">
        <v>230</v>
      </c>
      <c r="B9645" t="s">
        <v>265</v>
      </c>
      <c r="C9645" t="s">
        <v>1281</v>
      </c>
      <c r="D9645" s="26">
        <v>0.81459999999999999</v>
      </c>
      <c r="E9645" s="26">
        <v>0.34910000000000002</v>
      </c>
      <c r="F9645" s="26">
        <v>0.8105</v>
      </c>
      <c r="G9645" s="26">
        <v>0.57199999999999995</v>
      </c>
      <c r="H9645" s="26">
        <v>0.71460000000000001</v>
      </c>
      <c r="I9645" s="26">
        <v>0.67110000000000003</v>
      </c>
      <c r="J9645" s="26">
        <v>0.90310000000000001</v>
      </c>
      <c r="K9645" s="26">
        <v>0.77329999999999999</v>
      </c>
      <c r="L9645" s="26">
        <v>0.85319999999999996</v>
      </c>
      <c r="M9645" s="26">
        <v>0.91420000000000001</v>
      </c>
      <c r="N9645">
        <v>191</v>
      </c>
    </row>
    <row r="9646" spans="1:14" x14ac:dyDescent="0.35">
      <c r="A9646" t="s">
        <v>230</v>
      </c>
      <c r="B9646" t="s">
        <v>266</v>
      </c>
      <c r="C9646" t="s">
        <v>303</v>
      </c>
      <c r="D9646" s="26">
        <v>7.9799999999999996E-2</v>
      </c>
      <c r="E9646" s="26">
        <v>0.41520000000000001</v>
      </c>
      <c r="F9646" s="26">
        <v>0.21779999999999999</v>
      </c>
      <c r="G9646" s="26">
        <v>0.1769</v>
      </c>
      <c r="H9646" s="26">
        <v>2.8E-3</v>
      </c>
      <c r="I9646" s="26">
        <v>0.44359999999999999</v>
      </c>
      <c r="J9646" s="26">
        <v>8.9999999999999998E-4</v>
      </c>
      <c r="K9646" s="26">
        <v>2.8E-3</v>
      </c>
      <c r="L9646" s="26">
        <v>1.6999999999999999E-3</v>
      </c>
      <c r="M9646" s="26">
        <v>8.0999999999999996E-3</v>
      </c>
      <c r="N9646">
        <v>216</v>
      </c>
    </row>
    <row r="9647" spans="1:14" x14ac:dyDescent="0.35">
      <c r="A9647" t="s">
        <v>230</v>
      </c>
      <c r="B9647" t="s">
        <v>266</v>
      </c>
      <c r="C9647" t="s">
        <v>1283</v>
      </c>
      <c r="D9647" s="26">
        <v>0.24709999999999999</v>
      </c>
      <c r="E9647" s="26">
        <v>0.2072</v>
      </c>
      <c r="F9647" s="26">
        <v>0.10580000000000001</v>
      </c>
      <c r="G9647" s="26">
        <v>0.33710000000000001</v>
      </c>
      <c r="H9647" s="26">
        <v>0.35610000000000003</v>
      </c>
      <c r="I9647" s="26">
        <v>1.2699999999999999E-2</v>
      </c>
      <c r="J9647" s="26">
        <v>0.2676</v>
      </c>
      <c r="K9647" s="26">
        <v>0.27750000000000002</v>
      </c>
      <c r="L9647" s="26">
        <v>0.30249999999999999</v>
      </c>
      <c r="M9647" s="26">
        <v>0.2258</v>
      </c>
      <c r="N9647">
        <v>216</v>
      </c>
    </row>
    <row r="9648" spans="1:14" x14ac:dyDescent="0.35">
      <c r="A9648" t="s">
        <v>230</v>
      </c>
      <c r="B9648" t="s">
        <v>265</v>
      </c>
      <c r="C9648" t="s">
        <v>1283</v>
      </c>
      <c r="D9648" s="26">
        <v>0.14979999999999999</v>
      </c>
      <c r="E9648" s="26">
        <v>0.13589999999999999</v>
      </c>
      <c r="F9648" s="26">
        <v>3.3000000000000002E-2</v>
      </c>
      <c r="G9648" s="26">
        <v>0.14499999999999999</v>
      </c>
      <c r="H9648" s="26">
        <v>0.2278</v>
      </c>
      <c r="I9648" s="26">
        <v>3.39E-2</v>
      </c>
      <c r="J9648" s="26">
        <v>9.69E-2</v>
      </c>
      <c r="K9648" s="26">
        <v>0.2243</v>
      </c>
      <c r="L9648" s="26">
        <v>0.12709999999999999</v>
      </c>
      <c r="M9648" s="26">
        <v>6.6199999999999995E-2</v>
      </c>
      <c r="N9648">
        <v>191</v>
      </c>
    </row>
    <row r="9649" spans="1:14" x14ac:dyDescent="0.35">
      <c r="A9649" t="s">
        <v>230</v>
      </c>
      <c r="B9649" t="s">
        <v>266</v>
      </c>
      <c r="C9649" t="s">
        <v>1281</v>
      </c>
      <c r="D9649" s="26">
        <v>0.66579999999999995</v>
      </c>
      <c r="E9649" s="26">
        <v>0.29330000000000001</v>
      </c>
      <c r="F9649" s="26">
        <v>0.65680000000000005</v>
      </c>
      <c r="G9649" s="26">
        <v>0.48130000000000001</v>
      </c>
      <c r="H9649" s="26">
        <v>0.60719999999999996</v>
      </c>
      <c r="I9649" s="26">
        <v>0.5071</v>
      </c>
      <c r="J9649" s="26">
        <v>0.72589999999999999</v>
      </c>
      <c r="K9649" s="26">
        <v>0.71970000000000001</v>
      </c>
      <c r="L9649" s="26">
        <v>0.69569999999999999</v>
      </c>
      <c r="M9649" s="26">
        <v>0.7661</v>
      </c>
      <c r="N9649">
        <v>216</v>
      </c>
    </row>
    <row r="9650" spans="1:14" x14ac:dyDescent="0.35">
      <c r="A9650" t="s">
        <v>230</v>
      </c>
      <c r="B9650" t="s">
        <v>267</v>
      </c>
      <c r="C9650" t="s">
        <v>303</v>
      </c>
      <c r="D9650" s="26">
        <v>3.5499999999999997E-2</v>
      </c>
      <c r="E9650" s="26">
        <v>0.32119999999999999</v>
      </c>
      <c r="F9650" s="26">
        <v>3.5499999999999997E-2</v>
      </c>
      <c r="G9650" s="26">
        <v>0.24959999999999999</v>
      </c>
      <c r="H9650" s="26">
        <v>1.34E-2</v>
      </c>
      <c r="I9650" s="26">
        <v>0.1696</v>
      </c>
      <c r="L9650" s="26">
        <v>4.4999999999999997E-3</v>
      </c>
      <c r="N9650">
        <v>108</v>
      </c>
    </row>
    <row r="9651" spans="1:14" x14ac:dyDescent="0.35">
      <c r="A9651" t="s">
        <v>230</v>
      </c>
      <c r="B9651" t="s">
        <v>267</v>
      </c>
      <c r="C9651" t="s">
        <v>1283</v>
      </c>
      <c r="D9651" s="26">
        <v>8.5500000000000007E-2</v>
      </c>
      <c r="E9651" s="26">
        <v>0.1986</v>
      </c>
      <c r="F9651" s="26">
        <v>6.7900000000000002E-2</v>
      </c>
      <c r="G9651" s="26">
        <v>0.17899999999999999</v>
      </c>
      <c r="H9651" s="26">
        <v>0.19159999999999999</v>
      </c>
      <c r="I9651" s="26">
        <v>6.1600000000000002E-2</v>
      </c>
      <c r="J9651" s="26">
        <v>0.1885</v>
      </c>
      <c r="K9651" s="26">
        <v>0.19159999999999999</v>
      </c>
      <c r="L9651" s="26">
        <v>0.14419999999999999</v>
      </c>
      <c r="M9651" s="26">
        <v>0.12230000000000001</v>
      </c>
      <c r="N9651">
        <v>108</v>
      </c>
    </row>
    <row r="9652" spans="1:14" x14ac:dyDescent="0.35">
      <c r="A9652" t="s">
        <v>230</v>
      </c>
      <c r="B9652" t="s">
        <v>267</v>
      </c>
      <c r="C9652" t="s">
        <v>1281</v>
      </c>
      <c r="D9652" s="26">
        <v>0.879</v>
      </c>
      <c r="E9652" s="26">
        <v>0.44640000000000002</v>
      </c>
      <c r="F9652" s="26">
        <v>0.89080000000000004</v>
      </c>
      <c r="G9652" s="26">
        <v>0.56689999999999996</v>
      </c>
      <c r="H9652" s="26">
        <v>0.76849999999999996</v>
      </c>
      <c r="I9652" s="26">
        <v>0.76880000000000004</v>
      </c>
      <c r="J9652" s="26">
        <v>0.81010000000000004</v>
      </c>
      <c r="K9652" s="26">
        <v>0.80840000000000001</v>
      </c>
      <c r="L9652" s="26">
        <v>0.82469999999999999</v>
      </c>
      <c r="M9652" s="26">
        <v>0.87770000000000004</v>
      </c>
      <c r="N9652">
        <v>108</v>
      </c>
    </row>
    <row r="9653" spans="1:14" x14ac:dyDescent="0.35">
      <c r="A9653" t="s">
        <v>230</v>
      </c>
      <c r="B9653" t="s">
        <v>266</v>
      </c>
      <c r="C9653" t="s">
        <v>1282</v>
      </c>
      <c r="D9653" s="26">
        <v>7.3000000000000001E-3</v>
      </c>
      <c r="E9653" s="26">
        <v>8.43E-2</v>
      </c>
      <c r="F9653" s="26">
        <v>1.9699999999999999E-2</v>
      </c>
      <c r="G9653" s="26">
        <v>4.7000000000000002E-3</v>
      </c>
      <c r="H9653" s="26">
        <v>3.3799999999999997E-2</v>
      </c>
      <c r="I9653" s="26">
        <v>3.6700000000000003E-2</v>
      </c>
      <c r="J9653" s="26">
        <v>5.7000000000000002E-3</v>
      </c>
      <c r="N9653">
        <v>216</v>
      </c>
    </row>
    <row r="9654" spans="1:14" x14ac:dyDescent="0.35">
      <c r="A9654" t="s">
        <v>231</v>
      </c>
      <c r="B9654" t="s">
        <v>265</v>
      </c>
      <c r="C9654" t="s">
        <v>303</v>
      </c>
      <c r="D9654" s="26">
        <v>6.3500000000000001E-2</v>
      </c>
      <c r="E9654" s="26">
        <v>0.44440000000000002</v>
      </c>
      <c r="F9654" s="26">
        <v>0.22220000000000001</v>
      </c>
      <c r="G9654" s="26">
        <v>0.2419</v>
      </c>
      <c r="H9654" s="26">
        <v>1.5900000000000001E-2</v>
      </c>
      <c r="I9654" s="26">
        <v>0.26979999999999998</v>
      </c>
      <c r="J9654" s="26">
        <v>1.5900000000000001E-2</v>
      </c>
      <c r="L9654" s="26">
        <v>7.9399999999999998E-2</v>
      </c>
      <c r="N9654">
        <v>63</v>
      </c>
    </row>
    <row r="9655" spans="1:14" x14ac:dyDescent="0.35">
      <c r="A9655" t="s">
        <v>231</v>
      </c>
      <c r="B9655" t="s">
        <v>265</v>
      </c>
      <c r="C9655" t="s">
        <v>1283</v>
      </c>
      <c r="D9655" s="26">
        <v>6.3500000000000001E-2</v>
      </c>
      <c r="E9655" s="26">
        <v>7.9399999999999998E-2</v>
      </c>
      <c r="F9655" s="26">
        <v>1.5900000000000001E-2</v>
      </c>
      <c r="G9655" s="26">
        <v>0.1452</v>
      </c>
      <c r="H9655" s="26">
        <v>0.1905</v>
      </c>
      <c r="I9655" s="26">
        <v>6.3500000000000001E-2</v>
      </c>
      <c r="J9655" s="26">
        <v>0.1111</v>
      </c>
      <c r="K9655" s="26">
        <v>0.15870000000000001</v>
      </c>
      <c r="L9655" s="26">
        <v>6.3500000000000001E-2</v>
      </c>
      <c r="M9655" s="26">
        <v>6.3500000000000001E-2</v>
      </c>
      <c r="N9655">
        <v>63</v>
      </c>
    </row>
    <row r="9656" spans="1:14" x14ac:dyDescent="0.35">
      <c r="A9656" t="s">
        <v>231</v>
      </c>
      <c r="B9656" t="s">
        <v>265</v>
      </c>
      <c r="C9656" t="s">
        <v>1282</v>
      </c>
      <c r="D9656" s="26">
        <v>3.1699999999999999E-2</v>
      </c>
      <c r="E9656" s="26">
        <v>6.3500000000000001E-2</v>
      </c>
      <c r="F9656" s="26">
        <v>1.5900000000000001E-2</v>
      </c>
      <c r="G9656" s="26">
        <v>1.61E-2</v>
      </c>
      <c r="H9656" s="26">
        <v>1.5900000000000001E-2</v>
      </c>
      <c r="I9656" s="26">
        <v>1.5900000000000001E-2</v>
      </c>
      <c r="J9656" s="26">
        <v>1.5900000000000001E-2</v>
      </c>
      <c r="K9656" s="26">
        <v>1.5900000000000001E-2</v>
      </c>
      <c r="L9656" s="26">
        <v>1.5900000000000001E-2</v>
      </c>
      <c r="N9656">
        <v>63</v>
      </c>
    </row>
    <row r="9657" spans="1:14" x14ac:dyDescent="0.35">
      <c r="A9657" t="s">
        <v>231</v>
      </c>
      <c r="B9657" t="s">
        <v>265</v>
      </c>
      <c r="C9657" t="s">
        <v>1281</v>
      </c>
      <c r="D9657" s="26">
        <v>0.84130000000000005</v>
      </c>
      <c r="E9657" s="26">
        <v>0.41270000000000001</v>
      </c>
      <c r="F9657" s="26">
        <v>0.746</v>
      </c>
      <c r="G9657" s="26">
        <v>0.5968</v>
      </c>
      <c r="H9657" s="26">
        <v>0.77780000000000005</v>
      </c>
      <c r="I9657" s="26">
        <v>0.65080000000000005</v>
      </c>
      <c r="J9657" s="26">
        <v>0.85709999999999997</v>
      </c>
      <c r="K9657" s="26">
        <v>0.82540000000000002</v>
      </c>
      <c r="L9657" s="26">
        <v>0.84130000000000005</v>
      </c>
      <c r="M9657" s="26">
        <v>0.9365</v>
      </c>
      <c r="N9657">
        <v>63</v>
      </c>
    </row>
    <row r="9658" spans="1:14" x14ac:dyDescent="0.35">
      <c r="A9658" t="s">
        <v>231</v>
      </c>
      <c r="B9658" t="s">
        <v>266</v>
      </c>
      <c r="C9658" t="s">
        <v>303</v>
      </c>
      <c r="D9658" s="26">
        <v>3.6400000000000002E-2</v>
      </c>
      <c r="E9658" s="26">
        <v>0.41820000000000002</v>
      </c>
      <c r="F9658" s="26">
        <v>0.18179999999999999</v>
      </c>
      <c r="G9658" s="26">
        <v>7.6899999999999996E-2</v>
      </c>
      <c r="I9658" s="26">
        <v>0.36359999999999998</v>
      </c>
      <c r="M9658" s="26">
        <v>3.6400000000000002E-2</v>
      </c>
      <c r="N9658">
        <v>55</v>
      </c>
    </row>
    <row r="9659" spans="1:14" x14ac:dyDescent="0.35">
      <c r="A9659" t="s">
        <v>231</v>
      </c>
      <c r="B9659" t="s">
        <v>266</v>
      </c>
      <c r="C9659" t="s">
        <v>1282</v>
      </c>
      <c r="D9659" s="26">
        <v>1.8200000000000001E-2</v>
      </c>
      <c r="E9659" s="26">
        <v>3.6400000000000002E-2</v>
      </c>
      <c r="F9659" s="26">
        <v>1.8200000000000001E-2</v>
      </c>
      <c r="H9659" s="26">
        <v>5.45E-2</v>
      </c>
      <c r="K9659" s="26">
        <v>1.8200000000000001E-2</v>
      </c>
      <c r="N9659">
        <v>55</v>
      </c>
    </row>
    <row r="9660" spans="1:14" x14ac:dyDescent="0.35">
      <c r="A9660" t="s">
        <v>231</v>
      </c>
      <c r="B9660" t="s">
        <v>266</v>
      </c>
      <c r="C9660" t="s">
        <v>1281</v>
      </c>
      <c r="D9660" s="26">
        <v>0.69089999999999996</v>
      </c>
      <c r="E9660" s="26">
        <v>0.36359999999999998</v>
      </c>
      <c r="F9660" s="26">
        <v>0.76359999999999995</v>
      </c>
      <c r="G9660" s="26">
        <v>0.63460000000000005</v>
      </c>
      <c r="H9660" s="26">
        <v>0.65449999999999997</v>
      </c>
      <c r="I9660" s="26">
        <v>0.58179999999999998</v>
      </c>
      <c r="J9660" s="26">
        <v>0.70909999999999995</v>
      </c>
      <c r="K9660" s="26">
        <v>0.67269999999999996</v>
      </c>
      <c r="L9660" s="26">
        <v>0.78180000000000005</v>
      </c>
      <c r="M9660" s="26">
        <v>0.85450000000000004</v>
      </c>
      <c r="N9660">
        <v>55</v>
      </c>
    </row>
    <row r="9661" spans="1:14" x14ac:dyDescent="0.35">
      <c r="A9661" s="27" t="s">
        <v>231</v>
      </c>
      <c r="B9661" s="27" t="s">
        <v>267</v>
      </c>
      <c r="C9661" s="27" t="s">
        <v>303</v>
      </c>
      <c r="D9661" s="28">
        <v>3.6999999999999998E-2</v>
      </c>
      <c r="E9661" s="28">
        <v>0.51849999999999996</v>
      </c>
      <c r="F9661" s="28">
        <v>7.4099999999999999E-2</v>
      </c>
      <c r="G9661" s="28">
        <v>0.22220000000000001</v>
      </c>
      <c r="H9661" s="29"/>
      <c r="I9661" s="28">
        <v>0.37040000000000001</v>
      </c>
      <c r="J9661" s="29"/>
      <c r="K9661" s="29"/>
      <c r="L9661" s="29"/>
      <c r="M9661" s="28">
        <v>3.6999999999999998E-2</v>
      </c>
      <c r="N9661" s="29">
        <v>27</v>
      </c>
    </row>
    <row r="9662" spans="1:14" x14ac:dyDescent="0.35">
      <c r="A9662" s="27" t="s">
        <v>231</v>
      </c>
      <c r="B9662" s="27" t="s">
        <v>267</v>
      </c>
      <c r="C9662" s="27" t="s">
        <v>1283</v>
      </c>
      <c r="D9662" s="28">
        <v>7.4099999999999999E-2</v>
      </c>
      <c r="E9662" s="28">
        <v>0.14810000000000001</v>
      </c>
      <c r="F9662" s="29"/>
      <c r="G9662" s="28">
        <v>0.22220000000000001</v>
      </c>
      <c r="H9662" s="28">
        <v>0.1852</v>
      </c>
      <c r="I9662" s="29"/>
      <c r="J9662" s="28">
        <v>0.22220000000000001</v>
      </c>
      <c r="K9662" s="28">
        <v>0.1111</v>
      </c>
      <c r="L9662" s="28">
        <v>3.6999999999999998E-2</v>
      </c>
      <c r="M9662" s="28">
        <v>3.6999999999999998E-2</v>
      </c>
      <c r="N9662" s="29">
        <v>27</v>
      </c>
    </row>
    <row r="9663" spans="1:14" x14ac:dyDescent="0.35">
      <c r="A9663" s="27" t="s">
        <v>231</v>
      </c>
      <c r="B9663" s="27" t="s">
        <v>267</v>
      </c>
      <c r="C9663" s="27" t="s">
        <v>1281</v>
      </c>
      <c r="D9663" s="28">
        <v>0.88890000000000002</v>
      </c>
      <c r="E9663" s="28">
        <v>0.29630000000000001</v>
      </c>
      <c r="F9663" s="28">
        <v>0.92589999999999995</v>
      </c>
      <c r="G9663" s="28">
        <v>0.55559999999999998</v>
      </c>
      <c r="H9663" s="28">
        <v>0.81479999999999997</v>
      </c>
      <c r="I9663" s="28">
        <v>0.62960000000000005</v>
      </c>
      <c r="J9663" s="28">
        <v>0.77780000000000005</v>
      </c>
      <c r="K9663" s="28">
        <v>0.88890000000000002</v>
      </c>
      <c r="L9663" s="28">
        <v>0.96299999999999997</v>
      </c>
      <c r="M9663" s="28">
        <v>0.92589999999999995</v>
      </c>
      <c r="N9663" s="29">
        <v>27</v>
      </c>
    </row>
    <row r="9664" spans="1:14" x14ac:dyDescent="0.35">
      <c r="A9664" t="s">
        <v>231</v>
      </c>
      <c r="B9664" t="s">
        <v>266</v>
      </c>
      <c r="C9664" t="s">
        <v>1283</v>
      </c>
      <c r="D9664" s="26">
        <v>0.2545</v>
      </c>
      <c r="E9664" s="26">
        <v>0.18179999999999999</v>
      </c>
      <c r="F9664" s="26">
        <v>3.6400000000000002E-2</v>
      </c>
      <c r="G9664" s="26">
        <v>0.28849999999999998</v>
      </c>
      <c r="H9664" s="26">
        <v>0.29089999999999999</v>
      </c>
      <c r="I9664" s="26">
        <v>5.45E-2</v>
      </c>
      <c r="J9664" s="26">
        <v>0.29089999999999999</v>
      </c>
      <c r="K9664" s="26">
        <v>0.30909999999999999</v>
      </c>
      <c r="L9664" s="26">
        <v>0.21820000000000001</v>
      </c>
      <c r="M9664" s="26">
        <v>0.1091</v>
      </c>
      <c r="N9664">
        <v>55</v>
      </c>
    </row>
    <row r="9665" spans="1:14" x14ac:dyDescent="0.35">
      <c r="A9665" t="s">
        <v>232</v>
      </c>
      <c r="B9665" t="s">
        <v>232</v>
      </c>
      <c r="C9665" t="s">
        <v>1283</v>
      </c>
      <c r="D9665" s="26">
        <v>0.12759999999999999</v>
      </c>
      <c r="E9665" s="26">
        <v>0.1409</v>
      </c>
      <c r="F9665" s="26">
        <v>4.8899999999999999E-2</v>
      </c>
      <c r="G9665" s="26">
        <v>0.2019</v>
      </c>
      <c r="H9665" s="26">
        <v>0.2152</v>
      </c>
      <c r="I9665" s="26">
        <v>4.0599999999999997E-2</v>
      </c>
      <c r="J9665" s="26">
        <v>0.1648</v>
      </c>
      <c r="K9665" s="26">
        <v>0.2019</v>
      </c>
      <c r="L9665" s="26">
        <v>0.14050000000000001</v>
      </c>
      <c r="M9665" s="26">
        <v>9.2600000000000002E-2</v>
      </c>
      <c r="N9665">
        <v>2546</v>
      </c>
    </row>
    <row r="9666" spans="1:14" x14ac:dyDescent="0.35">
      <c r="A9666" t="s">
        <v>232</v>
      </c>
      <c r="B9666" t="s">
        <v>232</v>
      </c>
      <c r="C9666" t="s">
        <v>1281</v>
      </c>
      <c r="D9666" s="26">
        <v>0.81079999999999997</v>
      </c>
      <c r="E9666" s="26">
        <v>0.38419999999999999</v>
      </c>
      <c r="F9666" s="26">
        <v>0.80230000000000001</v>
      </c>
      <c r="G9666" s="26">
        <v>0.60229999999999995</v>
      </c>
      <c r="H9666" s="26">
        <v>0.74029999999999996</v>
      </c>
      <c r="I9666" s="26">
        <v>0.63570000000000004</v>
      </c>
      <c r="J9666" s="26">
        <v>0.82030000000000003</v>
      </c>
      <c r="K9666" s="26">
        <v>0.78349999999999997</v>
      </c>
      <c r="L9666" s="26">
        <v>0.83460000000000001</v>
      </c>
      <c r="M9666" s="26">
        <v>0.89729999999999999</v>
      </c>
      <c r="N9666">
        <v>2546</v>
      </c>
    </row>
    <row r="9667" spans="1:14" x14ac:dyDescent="0.35">
      <c r="A9667" t="s">
        <v>232</v>
      </c>
      <c r="B9667" t="s">
        <v>232</v>
      </c>
      <c r="C9667" t="s">
        <v>1282</v>
      </c>
      <c r="D9667" s="26">
        <v>2.1100000000000001E-2</v>
      </c>
      <c r="E9667" s="26">
        <v>6.2899999999999998E-2</v>
      </c>
      <c r="F9667" s="26">
        <v>1.17E-2</v>
      </c>
      <c r="G9667" s="26">
        <v>1.9599999999999999E-2</v>
      </c>
      <c r="H9667" s="26">
        <v>2.63E-2</v>
      </c>
      <c r="I9667" s="26">
        <v>7.3000000000000001E-3</v>
      </c>
      <c r="J9667" s="26">
        <v>5.8999999999999999E-3</v>
      </c>
      <c r="K9667" s="26">
        <v>1.14E-2</v>
      </c>
      <c r="L9667" s="26">
        <v>3.0000000000000001E-3</v>
      </c>
      <c r="M9667" s="26">
        <v>4.0000000000000002E-4</v>
      </c>
      <c r="N9667">
        <v>2546</v>
      </c>
    </row>
    <row r="9668" spans="1:14" x14ac:dyDescent="0.35">
      <c r="A9668" t="s">
        <v>232</v>
      </c>
      <c r="B9668" t="s">
        <v>232</v>
      </c>
      <c r="C9668" t="s">
        <v>303</v>
      </c>
      <c r="D9668" s="26">
        <v>4.0599999999999997E-2</v>
      </c>
      <c r="E9668" s="26">
        <v>0.41199999999999998</v>
      </c>
      <c r="F9668" s="26">
        <v>0.1371</v>
      </c>
      <c r="G9668" s="26">
        <v>0.17610000000000001</v>
      </c>
      <c r="H9668" s="26">
        <v>1.8200000000000001E-2</v>
      </c>
      <c r="I9668" s="26">
        <v>0.31640000000000001</v>
      </c>
      <c r="J9668" s="26">
        <v>8.9999999999999993E-3</v>
      </c>
      <c r="K9668" s="26">
        <v>3.2000000000000002E-3</v>
      </c>
      <c r="L9668" s="26">
        <v>2.1899999999999999E-2</v>
      </c>
      <c r="M9668" s="26">
        <v>9.7000000000000003E-3</v>
      </c>
      <c r="N9668">
        <v>2546</v>
      </c>
    </row>
    <row r="9670" spans="1:14" x14ac:dyDescent="0.35">
      <c r="A9670" s="1" t="s">
        <v>1299</v>
      </c>
    </row>
    <row r="9671" spans="1:14" x14ac:dyDescent="0.35">
      <c r="A9671" t="s">
        <v>219</v>
      </c>
      <c r="B9671" t="s">
        <v>305</v>
      </c>
      <c r="C9671" t="s">
        <v>1285</v>
      </c>
      <c r="D9671" t="s">
        <v>1286</v>
      </c>
      <c r="E9671" t="s">
        <v>1287</v>
      </c>
      <c r="F9671" t="s">
        <v>1288</v>
      </c>
      <c r="G9671" t="s">
        <v>1289</v>
      </c>
      <c r="H9671" t="s">
        <v>281</v>
      </c>
      <c r="I9671" t="s">
        <v>226</v>
      </c>
    </row>
    <row r="9672" spans="1:14" x14ac:dyDescent="0.35">
      <c r="A9672" s="27" t="s">
        <v>227</v>
      </c>
      <c r="B9672" s="27" t="s">
        <v>267</v>
      </c>
      <c r="C9672" s="28">
        <v>0.41670000000000001</v>
      </c>
      <c r="D9672" s="28">
        <v>0.41670000000000001</v>
      </c>
      <c r="E9672" s="28">
        <v>0.25</v>
      </c>
      <c r="F9672" s="28">
        <v>8.3299999999999999E-2</v>
      </c>
      <c r="G9672" s="28">
        <v>8.3299999999999999E-2</v>
      </c>
      <c r="H9672" s="29"/>
      <c r="I9672" s="29" t="s">
        <v>342</v>
      </c>
    </row>
    <row r="9673" spans="1:14" x14ac:dyDescent="0.35">
      <c r="A9673" s="27" t="s">
        <v>227</v>
      </c>
      <c r="B9673" s="27" t="s">
        <v>265</v>
      </c>
      <c r="C9673" s="28">
        <v>0.42309999999999998</v>
      </c>
      <c r="D9673" s="28">
        <v>0.42309999999999998</v>
      </c>
      <c r="E9673" s="28">
        <v>0.1923</v>
      </c>
      <c r="F9673" s="28">
        <v>0.1154</v>
      </c>
      <c r="G9673" s="28">
        <v>0.1923</v>
      </c>
      <c r="H9673" s="29"/>
      <c r="I9673" s="29" t="s">
        <v>357</v>
      </c>
    </row>
    <row r="9674" spans="1:14" x14ac:dyDescent="0.35">
      <c r="A9674" s="27" t="s">
        <v>227</v>
      </c>
      <c r="B9674" s="27" t="s">
        <v>266</v>
      </c>
      <c r="C9674" s="28">
        <v>0.29630000000000001</v>
      </c>
      <c r="D9674" s="28">
        <v>0.40739999999999998</v>
      </c>
      <c r="E9674" s="28">
        <v>0.29630000000000001</v>
      </c>
      <c r="F9674" s="28">
        <v>0.14810000000000001</v>
      </c>
      <c r="G9674" s="28">
        <v>7.4099999999999999E-2</v>
      </c>
      <c r="H9674" s="29"/>
      <c r="I9674" s="29" t="s">
        <v>338</v>
      </c>
    </row>
    <row r="9675" spans="1:14" x14ac:dyDescent="0.35">
      <c r="A9675" t="s">
        <v>228</v>
      </c>
      <c r="B9675" t="s">
        <v>265</v>
      </c>
      <c r="C9675" s="26">
        <v>0.40460000000000002</v>
      </c>
      <c r="D9675" s="26">
        <v>0.43619999999999998</v>
      </c>
      <c r="E9675" s="26">
        <v>0.33300000000000002</v>
      </c>
      <c r="F9675" s="26">
        <v>8.0600000000000005E-2</v>
      </c>
      <c r="G9675" s="26">
        <v>7.9799999999999996E-2</v>
      </c>
      <c r="H9675" s="26">
        <v>4.2200000000000001E-2</v>
      </c>
      <c r="I9675">
        <v>211</v>
      </c>
    </row>
    <row r="9676" spans="1:14" x14ac:dyDescent="0.35">
      <c r="A9676" t="s">
        <v>228</v>
      </c>
      <c r="B9676" t="s">
        <v>267</v>
      </c>
      <c r="C9676" s="26">
        <v>0.56189999999999996</v>
      </c>
      <c r="D9676" s="26">
        <v>0.36940000000000001</v>
      </c>
      <c r="E9676" s="26">
        <v>0.35089999999999999</v>
      </c>
      <c r="F9676" s="26">
        <v>0.13669999999999999</v>
      </c>
      <c r="G9676" s="26">
        <v>3.7900000000000003E-2</v>
      </c>
      <c r="H9676" s="26">
        <v>1.8200000000000001E-2</v>
      </c>
      <c r="I9676">
        <v>90</v>
      </c>
    </row>
    <row r="9677" spans="1:14" x14ac:dyDescent="0.35">
      <c r="A9677" t="s">
        <v>228</v>
      </c>
      <c r="B9677" t="s">
        <v>266</v>
      </c>
      <c r="C9677" s="26">
        <v>0.47289999999999999</v>
      </c>
      <c r="D9677" s="26">
        <v>0.52659999999999996</v>
      </c>
      <c r="E9677" s="26">
        <v>0.32679999999999998</v>
      </c>
      <c r="F9677" s="26">
        <v>0.11269999999999999</v>
      </c>
      <c r="G9677" s="26">
        <v>9.5600000000000004E-2</v>
      </c>
      <c r="H9677" s="26">
        <v>3.73E-2</v>
      </c>
      <c r="I9677">
        <v>252</v>
      </c>
    </row>
    <row r="9678" spans="1:14" x14ac:dyDescent="0.35">
      <c r="A9678" s="27" t="s">
        <v>228</v>
      </c>
      <c r="B9678" s="27" t="s">
        <v>236</v>
      </c>
      <c r="C9678" s="29"/>
      <c r="D9678" s="28">
        <v>1</v>
      </c>
      <c r="E9678" s="29"/>
      <c r="F9678" s="29"/>
      <c r="G9678" s="29"/>
      <c r="H9678" s="29"/>
      <c r="I9678" s="29" t="s">
        <v>331</v>
      </c>
    </row>
    <row r="9679" spans="1:14" x14ac:dyDescent="0.35">
      <c r="A9679" t="s">
        <v>229</v>
      </c>
      <c r="B9679" t="s">
        <v>265</v>
      </c>
      <c r="C9679" s="26">
        <v>0.40960000000000002</v>
      </c>
      <c r="D9679" s="26">
        <v>0.41160000000000002</v>
      </c>
      <c r="E9679" s="26">
        <v>0.39489999999999997</v>
      </c>
      <c r="F9679" s="26">
        <v>0.12</v>
      </c>
      <c r="G9679" s="26">
        <v>0.1222</v>
      </c>
      <c r="H9679" s="26">
        <v>5.5500000000000001E-2</v>
      </c>
      <c r="I9679">
        <v>171</v>
      </c>
    </row>
    <row r="9680" spans="1:14" x14ac:dyDescent="0.35">
      <c r="A9680" t="s">
        <v>229</v>
      </c>
      <c r="B9680" t="s">
        <v>266</v>
      </c>
      <c r="C9680" s="26">
        <v>0.53979999999999995</v>
      </c>
      <c r="D9680" s="26">
        <v>0.48149999999999998</v>
      </c>
      <c r="E9680" s="26">
        <v>0.36220000000000002</v>
      </c>
      <c r="F9680" s="26">
        <v>0.05</v>
      </c>
      <c r="G9680" s="26">
        <v>7.0900000000000005E-2</v>
      </c>
      <c r="H9680" s="26">
        <v>1.6199999999999999E-2</v>
      </c>
      <c r="I9680">
        <v>163</v>
      </c>
    </row>
    <row r="9681" spans="1:14" x14ac:dyDescent="0.35">
      <c r="A9681" t="s">
        <v>229</v>
      </c>
      <c r="B9681" t="s">
        <v>267</v>
      </c>
      <c r="C9681" s="26">
        <v>0.55530000000000002</v>
      </c>
      <c r="D9681" s="26">
        <v>0.44840000000000002</v>
      </c>
      <c r="E9681" s="26">
        <v>0.26240000000000002</v>
      </c>
      <c r="F9681" s="26">
        <v>9.2299999999999993E-2</v>
      </c>
      <c r="G9681" s="26">
        <v>0.13700000000000001</v>
      </c>
      <c r="H9681" s="26">
        <v>6.0699999999999997E-2</v>
      </c>
      <c r="I9681">
        <v>93</v>
      </c>
    </row>
    <row r="9682" spans="1:14" x14ac:dyDescent="0.35">
      <c r="A9682" t="s">
        <v>230</v>
      </c>
      <c r="B9682" t="s">
        <v>265</v>
      </c>
      <c r="C9682" s="26">
        <v>0.34660000000000002</v>
      </c>
      <c r="D9682" s="26">
        <v>0.49859999999999999</v>
      </c>
      <c r="E9682" s="26">
        <v>0.33760000000000001</v>
      </c>
      <c r="F9682" s="26">
        <v>8.7400000000000005E-2</v>
      </c>
      <c r="G9682" s="26">
        <v>0.13669999999999999</v>
      </c>
      <c r="H9682" s="26">
        <v>6.8400000000000002E-2</v>
      </c>
      <c r="I9682">
        <v>109</v>
      </c>
    </row>
    <row r="9683" spans="1:14" x14ac:dyDescent="0.35">
      <c r="A9683" t="s">
        <v>230</v>
      </c>
      <c r="B9683" t="s">
        <v>267</v>
      </c>
      <c r="C9683" s="26">
        <v>0.44350000000000001</v>
      </c>
      <c r="D9683" s="26">
        <v>0.4859</v>
      </c>
      <c r="E9683" s="26">
        <v>0.28460000000000002</v>
      </c>
      <c r="F9683" s="26">
        <v>0.1676</v>
      </c>
      <c r="G9683" s="26">
        <v>7.4800000000000005E-2</v>
      </c>
      <c r="H9683" s="26">
        <v>2.9899999999999999E-2</v>
      </c>
      <c r="I9683">
        <v>55</v>
      </c>
    </row>
    <row r="9684" spans="1:14" x14ac:dyDescent="0.35">
      <c r="A9684" t="s">
        <v>230</v>
      </c>
      <c r="B9684" t="s">
        <v>266</v>
      </c>
      <c r="C9684" s="26">
        <v>0.63959999999999995</v>
      </c>
      <c r="D9684" s="26">
        <v>0.42809999999999998</v>
      </c>
      <c r="E9684" s="26">
        <v>0.35270000000000001</v>
      </c>
      <c r="F9684" s="26">
        <v>0.13539999999999999</v>
      </c>
      <c r="G9684" s="26">
        <v>0.10829999999999999</v>
      </c>
      <c r="H9684" s="26">
        <v>5.4000000000000003E-3</v>
      </c>
      <c r="I9684">
        <v>134</v>
      </c>
    </row>
    <row r="9685" spans="1:14" x14ac:dyDescent="0.35">
      <c r="A9685" t="s">
        <v>231</v>
      </c>
      <c r="B9685" t="s">
        <v>266</v>
      </c>
      <c r="C9685" s="26">
        <v>0.53120000000000001</v>
      </c>
      <c r="D9685" s="26">
        <v>0.5</v>
      </c>
      <c r="E9685" s="26">
        <v>0.25</v>
      </c>
      <c r="F9685" s="26">
        <v>6.25E-2</v>
      </c>
      <c r="G9685" s="26">
        <v>3.1199999999999999E-2</v>
      </c>
      <c r="H9685" s="26">
        <v>6.25E-2</v>
      </c>
      <c r="I9685">
        <v>32</v>
      </c>
    </row>
    <row r="9686" spans="1:14" x14ac:dyDescent="0.35">
      <c r="A9686" t="s">
        <v>231</v>
      </c>
      <c r="B9686" t="s">
        <v>265</v>
      </c>
      <c r="C9686" s="26">
        <v>0.42859999999999998</v>
      </c>
      <c r="D9686" s="26">
        <v>0.48570000000000002</v>
      </c>
      <c r="E9686" s="26">
        <v>0.31430000000000002</v>
      </c>
      <c r="F9686" s="26">
        <v>5.7099999999999998E-2</v>
      </c>
      <c r="G9686" s="26">
        <v>0.1429</v>
      </c>
      <c r="I9686">
        <v>35</v>
      </c>
    </row>
    <row r="9687" spans="1:14" x14ac:dyDescent="0.35">
      <c r="A9687" s="27" t="s">
        <v>231</v>
      </c>
      <c r="B9687" s="27" t="s">
        <v>267</v>
      </c>
      <c r="C9687" s="28">
        <v>0.53849999999999998</v>
      </c>
      <c r="D9687" s="28">
        <v>0.3846</v>
      </c>
      <c r="E9687" s="28">
        <v>0.46150000000000002</v>
      </c>
      <c r="F9687" s="28">
        <v>0.15379999999999999</v>
      </c>
      <c r="G9687" s="29"/>
      <c r="H9687" s="28">
        <v>7.6899999999999996E-2</v>
      </c>
      <c r="I9687" s="29" t="s">
        <v>341</v>
      </c>
    </row>
    <row r="9688" spans="1:14" x14ac:dyDescent="0.35">
      <c r="A9688" t="s">
        <v>232</v>
      </c>
      <c r="B9688" t="s">
        <v>232</v>
      </c>
      <c r="C9688" s="26">
        <v>0.46189999999999998</v>
      </c>
      <c r="D9688" s="26">
        <v>0.45610000000000001</v>
      </c>
      <c r="E9688" s="26">
        <v>0.32429999999999998</v>
      </c>
      <c r="F9688" s="26">
        <v>9.6000000000000002E-2</v>
      </c>
      <c r="G9688" s="26">
        <v>9.6000000000000002E-2</v>
      </c>
      <c r="H9688" s="26">
        <v>3.4500000000000003E-2</v>
      </c>
      <c r="I9688">
        <v>1424</v>
      </c>
    </row>
    <row r="9690" spans="1:14" x14ac:dyDescent="0.35">
      <c r="A9690" s="1" t="s">
        <v>1300</v>
      </c>
    </row>
    <row r="9691" spans="1:14" x14ac:dyDescent="0.35">
      <c r="A9691" t="s">
        <v>219</v>
      </c>
      <c r="B9691" t="s">
        <v>305</v>
      </c>
      <c r="C9691" t="s">
        <v>1270</v>
      </c>
      <c r="D9691" t="s">
        <v>1271</v>
      </c>
      <c r="E9691" t="s">
        <v>1272</v>
      </c>
      <c r="F9691" t="s">
        <v>1273</v>
      </c>
      <c r="G9691" t="s">
        <v>1274</v>
      </c>
      <c r="H9691" t="s">
        <v>1275</v>
      </c>
      <c r="I9691" t="s">
        <v>1276</v>
      </c>
      <c r="J9691" t="s">
        <v>1277</v>
      </c>
      <c r="K9691" t="s">
        <v>1278</v>
      </c>
      <c r="L9691" t="s">
        <v>1279</v>
      </c>
      <c r="M9691" t="s">
        <v>1280</v>
      </c>
      <c r="N9691" t="s">
        <v>964</v>
      </c>
    </row>
    <row r="9692" spans="1:14" x14ac:dyDescent="0.35">
      <c r="A9692" t="s">
        <v>227</v>
      </c>
      <c r="B9692" t="s">
        <v>252</v>
      </c>
      <c r="C9692" t="s">
        <v>1281</v>
      </c>
      <c r="D9692" s="26">
        <v>0.62790000000000001</v>
      </c>
      <c r="E9692" s="26">
        <v>0.25580000000000003</v>
      </c>
      <c r="F9692" s="26">
        <v>0.81399999999999995</v>
      </c>
      <c r="G9692" s="26">
        <v>0.39529999999999998</v>
      </c>
      <c r="H9692" s="26">
        <v>0.46510000000000001</v>
      </c>
      <c r="I9692" s="26">
        <v>0.55810000000000004</v>
      </c>
      <c r="J9692" s="26">
        <v>0.60470000000000002</v>
      </c>
      <c r="K9692" s="26">
        <v>0.55810000000000004</v>
      </c>
      <c r="L9692" s="26">
        <v>0.6744</v>
      </c>
      <c r="M9692" s="26">
        <v>0.83720000000000006</v>
      </c>
      <c r="N9692">
        <v>43</v>
      </c>
    </row>
    <row r="9693" spans="1:14" x14ac:dyDescent="0.35">
      <c r="A9693" t="s">
        <v>227</v>
      </c>
      <c r="B9693" t="s">
        <v>252</v>
      </c>
      <c r="C9693" t="s">
        <v>1282</v>
      </c>
      <c r="D9693" s="26">
        <v>4.65E-2</v>
      </c>
      <c r="E9693" s="26">
        <v>6.9800000000000001E-2</v>
      </c>
      <c r="F9693" s="26">
        <v>2.3300000000000001E-2</v>
      </c>
      <c r="G9693" s="26">
        <v>9.2999999999999999E-2</v>
      </c>
      <c r="H9693" s="26">
        <v>9.2999999999999999E-2</v>
      </c>
      <c r="J9693" s="26">
        <v>4.65E-2</v>
      </c>
      <c r="K9693" s="26">
        <v>6.9800000000000001E-2</v>
      </c>
      <c r="N9693">
        <v>43</v>
      </c>
    </row>
    <row r="9694" spans="1:14" x14ac:dyDescent="0.35">
      <c r="A9694" t="s">
        <v>227</v>
      </c>
      <c r="B9694" t="s">
        <v>252</v>
      </c>
      <c r="C9694" t="s">
        <v>1283</v>
      </c>
      <c r="D9694" s="26">
        <v>0.3256</v>
      </c>
      <c r="E9694" s="26">
        <v>0.27910000000000001</v>
      </c>
      <c r="F9694" s="26">
        <v>0.13950000000000001</v>
      </c>
      <c r="G9694" s="26">
        <v>0.4884</v>
      </c>
      <c r="H9694" s="26">
        <v>0.41860000000000003</v>
      </c>
      <c r="I9694" s="26">
        <v>0.1628</v>
      </c>
      <c r="J9694" s="26">
        <v>0.3488</v>
      </c>
      <c r="K9694" s="26">
        <v>0.37209999999999999</v>
      </c>
      <c r="L9694" s="26">
        <v>0.3256</v>
      </c>
      <c r="M9694" s="26">
        <v>0.1628</v>
      </c>
      <c r="N9694">
        <v>43</v>
      </c>
    </row>
    <row r="9695" spans="1:14" x14ac:dyDescent="0.35">
      <c r="A9695" s="27" t="s">
        <v>227</v>
      </c>
      <c r="B9695" s="27" t="s">
        <v>253</v>
      </c>
      <c r="C9695" s="27" t="s">
        <v>1281</v>
      </c>
      <c r="D9695" s="28">
        <v>0.86209999999999998</v>
      </c>
      <c r="E9695" s="28">
        <v>0.44829999999999998</v>
      </c>
      <c r="F9695" s="28">
        <v>0.93100000000000005</v>
      </c>
      <c r="G9695" s="28">
        <v>0.6552</v>
      </c>
      <c r="H9695" s="28">
        <v>0.89659999999999995</v>
      </c>
      <c r="I9695" s="28">
        <v>0.58620000000000005</v>
      </c>
      <c r="J9695" s="28">
        <v>0.96550000000000002</v>
      </c>
      <c r="K9695" s="28">
        <v>0.79310000000000003</v>
      </c>
      <c r="L9695" s="28">
        <v>0.96550000000000002</v>
      </c>
      <c r="M9695" s="28">
        <v>0.93100000000000005</v>
      </c>
      <c r="N9695" s="29">
        <v>29</v>
      </c>
    </row>
    <row r="9696" spans="1:14" x14ac:dyDescent="0.35">
      <c r="A9696" s="27" t="s">
        <v>227</v>
      </c>
      <c r="B9696" s="27" t="s">
        <v>253</v>
      </c>
      <c r="C9696" s="27" t="s">
        <v>1282</v>
      </c>
      <c r="D9696" s="28">
        <v>3.4500000000000003E-2</v>
      </c>
      <c r="E9696" s="28">
        <v>6.9000000000000006E-2</v>
      </c>
      <c r="F9696" s="29"/>
      <c r="G9696" s="28">
        <v>3.4500000000000003E-2</v>
      </c>
      <c r="H9696" s="29"/>
      <c r="I9696" s="29"/>
      <c r="J9696" s="29"/>
      <c r="K9696" s="29"/>
      <c r="L9696" s="29"/>
      <c r="M9696" s="29"/>
      <c r="N9696" s="29">
        <v>29</v>
      </c>
    </row>
    <row r="9697" spans="1:14" x14ac:dyDescent="0.35">
      <c r="A9697" s="27" t="s">
        <v>227</v>
      </c>
      <c r="B9697" s="27" t="s">
        <v>253</v>
      </c>
      <c r="C9697" s="27" t="s">
        <v>1283</v>
      </c>
      <c r="D9697" s="28">
        <v>6.9000000000000006E-2</v>
      </c>
      <c r="E9697" s="28">
        <v>0.10340000000000001</v>
      </c>
      <c r="F9697" s="28">
        <v>3.4500000000000003E-2</v>
      </c>
      <c r="G9697" s="28">
        <v>6.9000000000000006E-2</v>
      </c>
      <c r="H9697" s="28">
        <v>0.10340000000000001</v>
      </c>
      <c r="I9697" s="28">
        <v>3.4500000000000003E-2</v>
      </c>
      <c r="J9697" s="28">
        <v>3.4500000000000003E-2</v>
      </c>
      <c r="K9697" s="28">
        <v>0.1724</v>
      </c>
      <c r="L9697" s="28">
        <v>3.4500000000000003E-2</v>
      </c>
      <c r="M9697" s="28">
        <v>6.9000000000000006E-2</v>
      </c>
      <c r="N9697" s="29">
        <v>29</v>
      </c>
    </row>
    <row r="9698" spans="1:14" x14ac:dyDescent="0.35">
      <c r="A9698" s="27" t="s">
        <v>227</v>
      </c>
      <c r="B9698" s="27" t="s">
        <v>253</v>
      </c>
      <c r="C9698" s="27" t="s">
        <v>303</v>
      </c>
      <c r="D9698" s="28">
        <v>3.4500000000000003E-2</v>
      </c>
      <c r="E9698" s="28">
        <v>0.37930000000000003</v>
      </c>
      <c r="F9698" s="28">
        <v>3.4500000000000003E-2</v>
      </c>
      <c r="G9698" s="28">
        <v>0.2414</v>
      </c>
      <c r="H9698" s="29"/>
      <c r="I9698" s="28">
        <v>0.37930000000000003</v>
      </c>
      <c r="J9698" s="29"/>
      <c r="K9698" s="28">
        <v>3.4500000000000003E-2</v>
      </c>
      <c r="L9698" s="29"/>
      <c r="M9698" s="29"/>
      <c r="N9698" s="29">
        <v>29</v>
      </c>
    </row>
    <row r="9699" spans="1:14" x14ac:dyDescent="0.35">
      <c r="A9699" t="s">
        <v>227</v>
      </c>
      <c r="B9699" t="s">
        <v>251</v>
      </c>
      <c r="C9699" t="s">
        <v>1281</v>
      </c>
      <c r="D9699" s="26">
        <v>0.8831</v>
      </c>
      <c r="E9699" s="26">
        <v>0.42859999999999998</v>
      </c>
      <c r="F9699" s="26">
        <v>0.85709999999999997</v>
      </c>
      <c r="G9699" s="26">
        <v>0.71430000000000005</v>
      </c>
      <c r="H9699" s="26">
        <v>0.87009999999999998</v>
      </c>
      <c r="I9699" s="26">
        <v>0.75319999999999998</v>
      </c>
      <c r="J9699" s="26">
        <v>0.85709999999999997</v>
      </c>
      <c r="K9699" s="26">
        <v>0.83120000000000005</v>
      </c>
      <c r="L9699" s="26">
        <v>0.83120000000000005</v>
      </c>
      <c r="M9699" s="26">
        <v>0.8831</v>
      </c>
      <c r="N9699">
        <v>77</v>
      </c>
    </row>
    <row r="9700" spans="1:14" x14ac:dyDescent="0.35">
      <c r="A9700" t="s">
        <v>227</v>
      </c>
      <c r="B9700" t="s">
        <v>251</v>
      </c>
      <c r="C9700" t="s">
        <v>1283</v>
      </c>
      <c r="D9700" s="26">
        <v>9.0899999999999995E-2</v>
      </c>
      <c r="E9700" s="26">
        <v>0.12989999999999999</v>
      </c>
      <c r="F9700" s="26">
        <v>3.9E-2</v>
      </c>
      <c r="G9700" s="26">
        <v>0.16880000000000001</v>
      </c>
      <c r="H9700" s="26">
        <v>9.0899999999999995E-2</v>
      </c>
      <c r="I9700" s="26">
        <v>3.9E-2</v>
      </c>
      <c r="J9700" s="26">
        <v>0.12989999999999999</v>
      </c>
      <c r="K9700" s="26">
        <v>0.16880000000000001</v>
      </c>
      <c r="L9700" s="26">
        <v>0.16880000000000001</v>
      </c>
      <c r="M9700" s="26">
        <v>0.1169</v>
      </c>
      <c r="N9700">
        <v>77</v>
      </c>
    </row>
    <row r="9701" spans="1:14" x14ac:dyDescent="0.35">
      <c r="A9701" t="s">
        <v>227</v>
      </c>
      <c r="B9701" t="s">
        <v>251</v>
      </c>
      <c r="C9701" t="s">
        <v>303</v>
      </c>
      <c r="D9701" s="26">
        <v>2.5999999999999999E-2</v>
      </c>
      <c r="E9701" s="26">
        <v>0.35060000000000002</v>
      </c>
      <c r="F9701" s="26">
        <v>7.7899999999999997E-2</v>
      </c>
      <c r="G9701" s="26">
        <v>7.7899999999999997E-2</v>
      </c>
      <c r="H9701" s="26">
        <v>2.5999999999999999E-2</v>
      </c>
      <c r="I9701" s="26">
        <v>0.20780000000000001</v>
      </c>
      <c r="J9701" s="26">
        <v>1.2999999999999999E-2</v>
      </c>
      <c r="N9701">
        <v>77</v>
      </c>
    </row>
    <row r="9702" spans="1:14" x14ac:dyDescent="0.35">
      <c r="A9702" t="s">
        <v>228</v>
      </c>
      <c r="B9702" t="s">
        <v>251</v>
      </c>
      <c r="C9702" t="s">
        <v>303</v>
      </c>
      <c r="D9702" s="26">
        <v>4.99E-2</v>
      </c>
      <c r="E9702" s="26">
        <v>0.42449999999999999</v>
      </c>
      <c r="F9702" s="26">
        <v>0.19869999999999999</v>
      </c>
      <c r="G9702" s="26">
        <v>0.26</v>
      </c>
      <c r="H9702" s="26">
        <v>2.8199999999999999E-2</v>
      </c>
      <c r="I9702" s="26">
        <v>0.27329999999999999</v>
      </c>
      <c r="J9702" s="26">
        <v>9.9000000000000008E-3</v>
      </c>
      <c r="K9702" s="26">
        <v>1.5100000000000001E-2</v>
      </c>
      <c r="L9702" s="26">
        <v>3.0300000000000001E-2</v>
      </c>
      <c r="M9702" s="26">
        <v>1.5E-3</v>
      </c>
      <c r="N9702">
        <v>431</v>
      </c>
    </row>
    <row r="9703" spans="1:14" x14ac:dyDescent="0.35">
      <c r="A9703" t="s">
        <v>228</v>
      </c>
      <c r="B9703" t="s">
        <v>251</v>
      </c>
      <c r="C9703" t="s">
        <v>1283</v>
      </c>
      <c r="D9703" s="26">
        <v>7.9699999999999993E-2</v>
      </c>
      <c r="E9703" s="26">
        <v>9.8299999999999998E-2</v>
      </c>
      <c r="F9703" s="26">
        <v>2.7300000000000001E-2</v>
      </c>
      <c r="G9703" s="26">
        <v>0.10879999999999999</v>
      </c>
      <c r="H9703" s="26">
        <v>0.14610000000000001</v>
      </c>
      <c r="I9703" s="26">
        <v>2.86E-2</v>
      </c>
      <c r="J9703" s="26">
        <v>0.1132</v>
      </c>
      <c r="K9703" s="26">
        <v>0.1154</v>
      </c>
      <c r="L9703" s="26">
        <v>7.22E-2</v>
      </c>
      <c r="M9703" s="26">
        <v>7.2700000000000001E-2</v>
      </c>
      <c r="N9703">
        <v>431</v>
      </c>
    </row>
    <row r="9704" spans="1:14" x14ac:dyDescent="0.35">
      <c r="A9704" t="s">
        <v>228</v>
      </c>
      <c r="B9704" t="s">
        <v>251</v>
      </c>
      <c r="C9704" t="s">
        <v>1282</v>
      </c>
      <c r="D9704" s="26">
        <v>1.95E-2</v>
      </c>
      <c r="E9704" s="26">
        <v>4.6399999999999997E-2</v>
      </c>
      <c r="F9704" s="26">
        <v>1.18E-2</v>
      </c>
      <c r="G9704" s="26">
        <v>2.06E-2</v>
      </c>
      <c r="H9704" s="26">
        <v>4.1999999999999997E-3</v>
      </c>
      <c r="I9704" s="26">
        <v>8.3000000000000001E-3</v>
      </c>
      <c r="J9704" s="26">
        <v>7.4999999999999997E-3</v>
      </c>
      <c r="K9704" s="26">
        <v>5.3E-3</v>
      </c>
      <c r="L9704" s="26">
        <v>1.9E-3</v>
      </c>
      <c r="N9704">
        <v>431</v>
      </c>
    </row>
    <row r="9705" spans="1:14" x14ac:dyDescent="0.35">
      <c r="A9705" t="s">
        <v>228</v>
      </c>
      <c r="B9705" t="s">
        <v>251</v>
      </c>
      <c r="C9705" t="s">
        <v>1281</v>
      </c>
      <c r="D9705" s="26">
        <v>0.85089999999999999</v>
      </c>
      <c r="E9705" s="26">
        <v>0.43080000000000002</v>
      </c>
      <c r="F9705" s="26">
        <v>0.7621</v>
      </c>
      <c r="G9705" s="26">
        <v>0.61060000000000003</v>
      </c>
      <c r="H9705" s="26">
        <v>0.8216</v>
      </c>
      <c r="I9705" s="26">
        <v>0.68979999999999997</v>
      </c>
      <c r="J9705" s="26">
        <v>0.86939999999999995</v>
      </c>
      <c r="K9705" s="26">
        <v>0.86429999999999996</v>
      </c>
      <c r="L9705" s="26">
        <v>0.89559999999999995</v>
      </c>
      <c r="M9705" s="26">
        <v>0.92579999999999996</v>
      </c>
      <c r="N9705">
        <v>431</v>
      </c>
    </row>
    <row r="9706" spans="1:14" x14ac:dyDescent="0.35">
      <c r="A9706" t="s">
        <v>228</v>
      </c>
      <c r="B9706" t="s">
        <v>253</v>
      </c>
      <c r="C9706" t="s">
        <v>303</v>
      </c>
      <c r="D9706" s="26">
        <v>5.96E-2</v>
      </c>
      <c r="E9706" s="26">
        <v>0.47039999999999998</v>
      </c>
      <c r="F9706" s="26">
        <v>0.13850000000000001</v>
      </c>
      <c r="G9706" s="26">
        <v>0.2286</v>
      </c>
      <c r="H9706" s="26">
        <v>3.61E-2</v>
      </c>
      <c r="I9706" s="26">
        <v>0.28989999999999999</v>
      </c>
      <c r="K9706" s="26">
        <v>4.5999999999999999E-3</v>
      </c>
      <c r="L9706" s="26">
        <v>2.2700000000000001E-2</v>
      </c>
      <c r="M9706" s="26">
        <v>6.8999999999999999E-3</v>
      </c>
      <c r="N9706">
        <v>205</v>
      </c>
    </row>
    <row r="9707" spans="1:14" x14ac:dyDescent="0.35">
      <c r="A9707" t="s">
        <v>228</v>
      </c>
      <c r="B9707" t="s">
        <v>253</v>
      </c>
      <c r="C9707" t="s">
        <v>1283</v>
      </c>
      <c r="D9707" s="26">
        <v>0.14849999999999999</v>
      </c>
      <c r="E9707" s="26">
        <v>0.1351</v>
      </c>
      <c r="F9707" s="26">
        <v>4.1399999999999999E-2</v>
      </c>
      <c r="G9707" s="26">
        <v>0.17469999999999999</v>
      </c>
      <c r="H9707" s="26">
        <v>0.20849999999999999</v>
      </c>
      <c r="I9707" s="26">
        <v>4.0300000000000002E-2</v>
      </c>
      <c r="J9707" s="26">
        <v>0.11</v>
      </c>
      <c r="K9707" s="26">
        <v>0.18279999999999999</v>
      </c>
      <c r="L9707" s="26">
        <v>9.9199999999999997E-2</v>
      </c>
      <c r="M9707" s="26">
        <v>8.09E-2</v>
      </c>
      <c r="N9707">
        <v>205</v>
      </c>
    </row>
    <row r="9708" spans="1:14" x14ac:dyDescent="0.35">
      <c r="A9708" t="s">
        <v>228</v>
      </c>
      <c r="B9708" t="s">
        <v>252</v>
      </c>
      <c r="C9708" t="s">
        <v>303</v>
      </c>
      <c r="D9708" s="26">
        <v>3.5900000000000001E-2</v>
      </c>
      <c r="E9708" s="26">
        <v>0.32440000000000002</v>
      </c>
      <c r="F9708" s="26">
        <v>5.2499999999999998E-2</v>
      </c>
      <c r="G9708" s="26">
        <v>4.8899999999999999E-2</v>
      </c>
      <c r="H9708" s="26">
        <v>0.02</v>
      </c>
      <c r="I9708" s="26">
        <v>0.4481</v>
      </c>
      <c r="J9708" s="26">
        <v>4.0000000000000001E-3</v>
      </c>
      <c r="M9708" s="26">
        <v>8.0000000000000004E-4</v>
      </c>
      <c r="N9708">
        <v>308</v>
      </c>
    </row>
    <row r="9709" spans="1:14" x14ac:dyDescent="0.35">
      <c r="A9709" t="s">
        <v>228</v>
      </c>
      <c r="B9709" t="s">
        <v>253</v>
      </c>
      <c r="C9709" t="s">
        <v>1281</v>
      </c>
      <c r="D9709" s="26">
        <v>0.77129999999999999</v>
      </c>
      <c r="E9709" s="26">
        <v>0.34770000000000001</v>
      </c>
      <c r="F9709" s="26">
        <v>0.81710000000000005</v>
      </c>
      <c r="G9709" s="26">
        <v>0.58609999999999995</v>
      </c>
      <c r="H9709" s="26">
        <v>0.71299999999999997</v>
      </c>
      <c r="I9709" s="26">
        <v>0.66390000000000005</v>
      </c>
      <c r="J9709" s="26">
        <v>0.89</v>
      </c>
      <c r="K9709" s="26">
        <v>0.81059999999999999</v>
      </c>
      <c r="L9709" s="26">
        <v>0.87170000000000003</v>
      </c>
      <c r="M9709" s="26">
        <v>0.9123</v>
      </c>
      <c r="N9709">
        <v>205</v>
      </c>
    </row>
    <row r="9710" spans="1:14" x14ac:dyDescent="0.35">
      <c r="A9710" t="s">
        <v>228</v>
      </c>
      <c r="B9710" t="s">
        <v>252</v>
      </c>
      <c r="C9710" t="s">
        <v>1283</v>
      </c>
      <c r="D9710" s="26">
        <v>0.1487</v>
      </c>
      <c r="E9710" s="26">
        <v>0.20219999999999999</v>
      </c>
      <c r="F9710" s="26">
        <v>0.1017</v>
      </c>
      <c r="G9710" s="26">
        <v>0.28620000000000001</v>
      </c>
      <c r="H9710" s="26">
        <v>0.26900000000000002</v>
      </c>
      <c r="I9710" s="26">
        <v>3.5900000000000001E-2</v>
      </c>
      <c r="J9710" s="26">
        <v>0.24779999999999999</v>
      </c>
      <c r="K9710" s="26">
        <v>0.26979999999999998</v>
      </c>
      <c r="L9710" s="26">
        <v>0.2233</v>
      </c>
      <c r="M9710" s="26">
        <v>0.1148</v>
      </c>
      <c r="N9710">
        <v>308</v>
      </c>
    </row>
    <row r="9711" spans="1:14" x14ac:dyDescent="0.35">
      <c r="A9711" t="s">
        <v>228</v>
      </c>
      <c r="B9711" t="s">
        <v>252</v>
      </c>
      <c r="C9711" t="s">
        <v>1282</v>
      </c>
      <c r="D9711" s="26">
        <v>2.58E-2</v>
      </c>
      <c r="E9711" s="26">
        <v>8.9099999999999999E-2</v>
      </c>
      <c r="F9711" s="26">
        <v>5.3E-3</v>
      </c>
      <c r="G9711" s="26">
        <v>2.6700000000000002E-2</v>
      </c>
      <c r="H9711" s="26">
        <v>3.5099999999999999E-2</v>
      </c>
      <c r="I9711" s="26">
        <v>1.2200000000000001E-2</v>
      </c>
      <c r="K9711" s="26">
        <v>1.4E-3</v>
      </c>
      <c r="N9711">
        <v>308</v>
      </c>
    </row>
    <row r="9712" spans="1:14" x14ac:dyDescent="0.35">
      <c r="A9712" t="s">
        <v>228</v>
      </c>
      <c r="B9712" t="s">
        <v>252</v>
      </c>
      <c r="C9712" t="s">
        <v>1281</v>
      </c>
      <c r="D9712" s="26">
        <v>0.78959999999999997</v>
      </c>
      <c r="E9712" s="26">
        <v>0.38429999999999997</v>
      </c>
      <c r="F9712" s="26">
        <v>0.84050000000000002</v>
      </c>
      <c r="G9712" s="26">
        <v>0.63819999999999999</v>
      </c>
      <c r="H9712" s="26">
        <v>0.67579999999999996</v>
      </c>
      <c r="I9712" s="26">
        <v>0.50380000000000003</v>
      </c>
      <c r="J9712" s="26">
        <v>0.74819999999999998</v>
      </c>
      <c r="K9712" s="26">
        <v>0.7288</v>
      </c>
      <c r="L9712" s="26">
        <v>0.77669999999999995</v>
      </c>
      <c r="M9712" s="26">
        <v>0.88429999999999997</v>
      </c>
      <c r="N9712">
        <v>308</v>
      </c>
    </row>
    <row r="9713" spans="1:14" x14ac:dyDescent="0.35">
      <c r="A9713" t="s">
        <v>228</v>
      </c>
      <c r="B9713" t="s">
        <v>253</v>
      </c>
      <c r="C9713" t="s">
        <v>1282</v>
      </c>
      <c r="D9713" s="26">
        <v>2.0500000000000001E-2</v>
      </c>
      <c r="E9713" s="26">
        <v>4.6800000000000001E-2</v>
      </c>
      <c r="F9713" s="26">
        <v>3.0000000000000001E-3</v>
      </c>
      <c r="G9713" s="26">
        <v>1.06E-2</v>
      </c>
      <c r="H9713" s="26">
        <v>4.2500000000000003E-2</v>
      </c>
      <c r="I9713" s="26">
        <v>5.8999999999999999E-3</v>
      </c>
      <c r="K9713" s="26">
        <v>2E-3</v>
      </c>
      <c r="L9713" s="26">
        <v>6.4000000000000003E-3</v>
      </c>
      <c r="N9713">
        <v>205</v>
      </c>
    </row>
    <row r="9714" spans="1:14" x14ac:dyDescent="0.35">
      <c r="A9714" t="s">
        <v>229</v>
      </c>
      <c r="B9714" t="s">
        <v>251</v>
      </c>
      <c r="C9714" t="s">
        <v>1281</v>
      </c>
      <c r="D9714" s="26">
        <v>0.88719999999999999</v>
      </c>
      <c r="E9714" s="26">
        <v>0.47249999999999998</v>
      </c>
      <c r="F9714" s="26">
        <v>0.84789999999999999</v>
      </c>
      <c r="G9714" s="26">
        <v>0.62990000000000002</v>
      </c>
      <c r="H9714" s="26">
        <v>0.81610000000000005</v>
      </c>
      <c r="I9714" s="26">
        <v>0.72109999999999996</v>
      </c>
      <c r="J9714" s="26">
        <v>0.89059999999999995</v>
      </c>
      <c r="K9714" s="26">
        <v>0.84760000000000002</v>
      </c>
      <c r="L9714" s="26">
        <v>0.87719999999999998</v>
      </c>
      <c r="M9714" s="26">
        <v>0.92510000000000003</v>
      </c>
      <c r="N9714">
        <v>490</v>
      </c>
    </row>
    <row r="9715" spans="1:14" x14ac:dyDescent="0.35">
      <c r="A9715" t="s">
        <v>229</v>
      </c>
      <c r="B9715" t="s">
        <v>251</v>
      </c>
      <c r="C9715" t="s">
        <v>303</v>
      </c>
      <c r="D9715" s="26">
        <v>3.6499999999999998E-2</v>
      </c>
      <c r="E9715" s="26">
        <v>0.41770000000000002</v>
      </c>
      <c r="F9715" s="26">
        <v>0.1258</v>
      </c>
      <c r="G9715" s="26">
        <v>0.2651</v>
      </c>
      <c r="H9715" s="26">
        <v>2.3099999999999999E-2</v>
      </c>
      <c r="I9715" s="26">
        <v>0.2455</v>
      </c>
      <c r="J9715" s="26">
        <v>8.8999999999999999E-3</v>
      </c>
      <c r="K9715" s="26">
        <v>1.1999999999999999E-3</v>
      </c>
      <c r="L9715" s="26">
        <v>2.81E-2</v>
      </c>
      <c r="M9715" s="26">
        <v>1.1599999999999999E-2</v>
      </c>
      <c r="N9715">
        <v>490</v>
      </c>
    </row>
    <row r="9716" spans="1:14" x14ac:dyDescent="0.35">
      <c r="A9716" t="s">
        <v>229</v>
      </c>
      <c r="B9716" t="s">
        <v>251</v>
      </c>
      <c r="C9716" t="s">
        <v>1283</v>
      </c>
      <c r="D9716" s="26">
        <v>5.6300000000000003E-2</v>
      </c>
      <c r="E9716" s="26">
        <v>5.8900000000000001E-2</v>
      </c>
      <c r="F9716" s="26">
        <v>1.83E-2</v>
      </c>
      <c r="G9716" s="26">
        <v>9.7299999999999998E-2</v>
      </c>
      <c r="H9716" s="26">
        <v>0.1416</v>
      </c>
      <c r="I9716" s="26">
        <v>2.3699999999999999E-2</v>
      </c>
      <c r="J9716" s="26">
        <v>0.10050000000000001</v>
      </c>
      <c r="K9716" s="26">
        <v>0.14480000000000001</v>
      </c>
      <c r="L9716" s="26">
        <v>9.4399999999999998E-2</v>
      </c>
      <c r="M9716" s="26">
        <v>6.2799999999999995E-2</v>
      </c>
      <c r="N9716">
        <v>490</v>
      </c>
    </row>
    <row r="9717" spans="1:14" x14ac:dyDescent="0.35">
      <c r="A9717" t="s">
        <v>229</v>
      </c>
      <c r="B9717" t="s">
        <v>251</v>
      </c>
      <c r="C9717" t="s">
        <v>1282</v>
      </c>
      <c r="D9717" s="26">
        <v>0.02</v>
      </c>
      <c r="E9717" s="26">
        <v>5.0799999999999998E-2</v>
      </c>
      <c r="F9717" s="26">
        <v>7.9000000000000008E-3</v>
      </c>
      <c r="G9717" s="26">
        <v>7.7999999999999996E-3</v>
      </c>
      <c r="H9717" s="26">
        <v>1.9300000000000001E-2</v>
      </c>
      <c r="I9717" s="26">
        <v>9.7000000000000003E-3</v>
      </c>
      <c r="K9717" s="26">
        <v>6.3E-3</v>
      </c>
      <c r="L9717" s="26">
        <v>2.9999999999999997E-4</v>
      </c>
      <c r="M9717" s="26">
        <v>5.0000000000000001E-4</v>
      </c>
      <c r="N9717">
        <v>490</v>
      </c>
    </row>
    <row r="9718" spans="1:14" x14ac:dyDescent="0.35">
      <c r="A9718" t="s">
        <v>229</v>
      </c>
      <c r="B9718" t="s">
        <v>253</v>
      </c>
      <c r="C9718" t="s">
        <v>1283</v>
      </c>
      <c r="D9718" s="26">
        <v>0.17399999999999999</v>
      </c>
      <c r="E9718" s="26">
        <v>0.21590000000000001</v>
      </c>
      <c r="F9718" s="26">
        <v>0.10390000000000001</v>
      </c>
      <c r="G9718" s="26">
        <v>0.27889999999999998</v>
      </c>
      <c r="H9718" s="26">
        <v>0.26860000000000001</v>
      </c>
      <c r="I9718" s="26">
        <v>1.9E-3</v>
      </c>
      <c r="J9718" s="26">
        <v>3.7100000000000001E-2</v>
      </c>
      <c r="K9718" s="26">
        <v>0.22020000000000001</v>
      </c>
      <c r="L9718" s="26">
        <v>0.16980000000000001</v>
      </c>
      <c r="M9718" s="26">
        <v>0.1336</v>
      </c>
      <c r="N9718">
        <v>132</v>
      </c>
    </row>
    <row r="9719" spans="1:14" x14ac:dyDescent="0.35">
      <c r="A9719" t="s">
        <v>229</v>
      </c>
      <c r="B9719" t="s">
        <v>253</v>
      </c>
      <c r="C9719" t="s">
        <v>303</v>
      </c>
      <c r="D9719" s="26">
        <v>2.8899999999999999E-2</v>
      </c>
      <c r="E9719" s="26">
        <v>0.47199999999999998</v>
      </c>
      <c r="F9719" s="26">
        <v>0.2303</v>
      </c>
      <c r="G9719" s="26">
        <v>0.1421</v>
      </c>
      <c r="H9719" s="26">
        <v>1.9199999999999998E-2</v>
      </c>
      <c r="I9719" s="26">
        <v>0.47649999999999998</v>
      </c>
      <c r="J9719" s="26">
        <v>5.9700000000000003E-2</v>
      </c>
      <c r="L9719" s="26">
        <v>4.3299999999999998E-2</v>
      </c>
      <c r="M9719" s="26">
        <v>1.44E-2</v>
      </c>
      <c r="N9719">
        <v>132</v>
      </c>
    </row>
    <row r="9720" spans="1:14" x14ac:dyDescent="0.35">
      <c r="A9720" t="s">
        <v>229</v>
      </c>
      <c r="B9720" t="s">
        <v>253</v>
      </c>
      <c r="C9720" t="s">
        <v>1281</v>
      </c>
      <c r="D9720" s="26">
        <v>0.76449999999999996</v>
      </c>
      <c r="E9720" s="26">
        <v>0.245</v>
      </c>
      <c r="F9720" s="26">
        <v>0.66579999999999995</v>
      </c>
      <c r="G9720" s="26">
        <v>0.55740000000000001</v>
      </c>
      <c r="H9720" s="26">
        <v>0.67859999999999998</v>
      </c>
      <c r="I9720" s="26">
        <v>0.50719999999999998</v>
      </c>
      <c r="J9720" s="26">
        <v>0.9032</v>
      </c>
      <c r="K9720" s="26">
        <v>0.76529999999999998</v>
      </c>
      <c r="L9720" s="26">
        <v>0.78690000000000004</v>
      </c>
      <c r="M9720" s="26">
        <v>0.85199999999999998</v>
      </c>
      <c r="N9720">
        <v>132</v>
      </c>
    </row>
    <row r="9721" spans="1:14" x14ac:dyDescent="0.35">
      <c r="A9721" t="s">
        <v>229</v>
      </c>
      <c r="B9721" t="s">
        <v>252</v>
      </c>
      <c r="C9721" t="s">
        <v>303</v>
      </c>
      <c r="D9721" s="26">
        <v>4.5199999999999997E-2</v>
      </c>
      <c r="E9721" s="26">
        <v>0.35599999999999998</v>
      </c>
      <c r="F9721" s="26">
        <v>8.2100000000000006E-2</v>
      </c>
      <c r="G9721" s="26">
        <v>3.7100000000000001E-2</v>
      </c>
      <c r="H9721" s="26">
        <v>2.98E-2</v>
      </c>
      <c r="I9721" s="26">
        <v>0.41870000000000002</v>
      </c>
      <c r="J9721" s="26">
        <v>1.8E-3</v>
      </c>
      <c r="K9721" s="26">
        <v>3.5999999999999999E-3</v>
      </c>
      <c r="L9721" s="26">
        <v>1.5299999999999999E-2</v>
      </c>
      <c r="N9721">
        <v>171</v>
      </c>
    </row>
    <row r="9722" spans="1:14" x14ac:dyDescent="0.35">
      <c r="A9722" t="s">
        <v>229</v>
      </c>
      <c r="B9722" t="s">
        <v>252</v>
      </c>
      <c r="C9722" t="s">
        <v>1283</v>
      </c>
      <c r="D9722" s="26">
        <v>0.14030000000000001</v>
      </c>
      <c r="E9722" s="26">
        <v>0.2288</v>
      </c>
      <c r="F9722" s="26">
        <v>0.11940000000000001</v>
      </c>
      <c r="G9722" s="26">
        <v>0.32550000000000001</v>
      </c>
      <c r="H9722" s="26">
        <v>0.36840000000000001</v>
      </c>
      <c r="I9722" s="26">
        <v>3.9300000000000002E-2</v>
      </c>
      <c r="J9722" s="26">
        <v>0.28949999999999998</v>
      </c>
      <c r="K9722" s="26">
        <v>0.27860000000000001</v>
      </c>
      <c r="L9722" s="26">
        <v>0.189</v>
      </c>
      <c r="M9722" s="26">
        <v>8.7300000000000003E-2</v>
      </c>
      <c r="N9722">
        <v>171</v>
      </c>
    </row>
    <row r="9723" spans="1:14" x14ac:dyDescent="0.35">
      <c r="A9723" t="s">
        <v>229</v>
      </c>
      <c r="B9723" t="s">
        <v>252</v>
      </c>
      <c r="C9723" t="s">
        <v>1282</v>
      </c>
      <c r="D9723" s="26">
        <v>4.2500000000000003E-2</v>
      </c>
      <c r="E9723" s="26">
        <v>9.1300000000000006E-2</v>
      </c>
      <c r="F9723" s="26">
        <v>1.4500000000000001E-2</v>
      </c>
      <c r="G9723" s="26">
        <v>3.5299999999999998E-2</v>
      </c>
      <c r="H9723" s="26">
        <v>1.7100000000000001E-2</v>
      </c>
      <c r="J9723" s="26">
        <v>1.72E-2</v>
      </c>
      <c r="K9723" s="26">
        <v>3.3399999999999999E-2</v>
      </c>
      <c r="M9723" s="26">
        <v>3.5999999999999999E-3</v>
      </c>
      <c r="N9723">
        <v>171</v>
      </c>
    </row>
    <row r="9724" spans="1:14" x14ac:dyDescent="0.35">
      <c r="A9724" t="s">
        <v>229</v>
      </c>
      <c r="B9724" t="s">
        <v>252</v>
      </c>
      <c r="C9724" t="s">
        <v>1281</v>
      </c>
      <c r="D9724" s="26">
        <v>0.77210000000000001</v>
      </c>
      <c r="E9724" s="26">
        <v>0.32379999999999998</v>
      </c>
      <c r="F9724" s="26">
        <v>0.78400000000000003</v>
      </c>
      <c r="G9724" s="26">
        <v>0.60209999999999997</v>
      </c>
      <c r="H9724" s="26">
        <v>0.5847</v>
      </c>
      <c r="I9724" s="26">
        <v>0.54200000000000004</v>
      </c>
      <c r="J9724" s="26">
        <v>0.6915</v>
      </c>
      <c r="K9724" s="26">
        <v>0.68440000000000001</v>
      </c>
      <c r="L9724" s="26">
        <v>0.79569999999999996</v>
      </c>
      <c r="M9724" s="26">
        <v>0.90910000000000002</v>
      </c>
      <c r="N9724">
        <v>171</v>
      </c>
    </row>
    <row r="9725" spans="1:14" x14ac:dyDescent="0.35">
      <c r="A9725" t="s">
        <v>229</v>
      </c>
      <c r="B9725" t="s">
        <v>253</v>
      </c>
      <c r="C9725" t="s">
        <v>1282</v>
      </c>
      <c r="D9725" s="26">
        <v>3.27E-2</v>
      </c>
      <c r="E9725" s="26">
        <v>6.7199999999999996E-2</v>
      </c>
      <c r="G9725" s="26">
        <v>2.1600000000000001E-2</v>
      </c>
      <c r="H9725" s="26">
        <v>3.3599999999999998E-2</v>
      </c>
      <c r="I9725" s="26">
        <v>1.44E-2</v>
      </c>
      <c r="K9725" s="26">
        <v>1.44E-2</v>
      </c>
      <c r="N9725">
        <v>132</v>
      </c>
    </row>
    <row r="9726" spans="1:14" x14ac:dyDescent="0.35">
      <c r="A9726" t="s">
        <v>230</v>
      </c>
      <c r="B9726" t="s">
        <v>251</v>
      </c>
      <c r="C9726" t="s">
        <v>303</v>
      </c>
      <c r="D9726" s="26">
        <v>4.4299999999999999E-2</v>
      </c>
      <c r="E9726" s="26">
        <v>0.40539999999999998</v>
      </c>
      <c r="F9726" s="26">
        <v>0.2046</v>
      </c>
      <c r="G9726" s="26">
        <v>0.31359999999999999</v>
      </c>
      <c r="H9726" s="26">
        <v>1.6400000000000001E-2</v>
      </c>
      <c r="I9726" s="26">
        <v>0.2621</v>
      </c>
      <c r="J9726" s="26">
        <v>5.9999999999999995E-4</v>
      </c>
      <c r="L9726" s="26">
        <v>1.52E-2</v>
      </c>
      <c r="M9726" s="26">
        <v>1.1000000000000001E-3</v>
      </c>
      <c r="N9726">
        <v>263</v>
      </c>
    </row>
    <row r="9727" spans="1:14" x14ac:dyDescent="0.35">
      <c r="A9727" t="s">
        <v>230</v>
      </c>
      <c r="B9727" t="s">
        <v>251</v>
      </c>
      <c r="C9727" t="s">
        <v>1283</v>
      </c>
      <c r="D9727" s="26">
        <v>0.1076</v>
      </c>
      <c r="E9727" s="26">
        <v>0.1229</v>
      </c>
      <c r="F9727" s="26">
        <v>2.3E-2</v>
      </c>
      <c r="G9727" s="26">
        <v>0.10440000000000001</v>
      </c>
      <c r="H9727" s="26">
        <v>0.21929999999999999</v>
      </c>
      <c r="I9727" s="26">
        <v>1.7999999999999999E-2</v>
      </c>
      <c r="J9727" s="26">
        <v>7.1599999999999997E-2</v>
      </c>
      <c r="K9727" s="26">
        <v>0.2074</v>
      </c>
      <c r="L9727" s="26">
        <v>0.1137</v>
      </c>
      <c r="M9727" s="26">
        <v>9.1899999999999996E-2</v>
      </c>
      <c r="N9727">
        <v>263</v>
      </c>
    </row>
    <row r="9728" spans="1:14" x14ac:dyDescent="0.35">
      <c r="A9728" t="s">
        <v>230</v>
      </c>
      <c r="B9728" t="s">
        <v>251</v>
      </c>
      <c r="C9728" t="s">
        <v>1281</v>
      </c>
      <c r="D9728" s="26">
        <v>0.8458</v>
      </c>
      <c r="E9728" s="26">
        <v>0.38640000000000002</v>
      </c>
      <c r="F9728" s="26">
        <v>0.77059999999999995</v>
      </c>
      <c r="G9728" s="26">
        <v>0.57830000000000004</v>
      </c>
      <c r="H9728" s="26">
        <v>0.7601</v>
      </c>
      <c r="I9728" s="26">
        <v>0.70889999999999997</v>
      </c>
      <c r="J9728" s="26">
        <v>0.92600000000000005</v>
      </c>
      <c r="K9728" s="26">
        <v>0.79259999999999997</v>
      </c>
      <c r="L9728" s="26">
        <v>0.86019999999999996</v>
      </c>
      <c r="M9728" s="26">
        <v>0.9052</v>
      </c>
      <c r="N9728">
        <v>263</v>
      </c>
    </row>
    <row r="9729" spans="1:14" x14ac:dyDescent="0.35">
      <c r="A9729" t="s">
        <v>230</v>
      </c>
      <c r="B9729" t="s">
        <v>253</v>
      </c>
      <c r="C9729" t="s">
        <v>303</v>
      </c>
      <c r="D9729" s="26">
        <v>7.3999999999999996E-2</v>
      </c>
      <c r="E9729" s="26">
        <v>0.3543</v>
      </c>
      <c r="F9729" s="26">
        <v>6.8199999999999997E-2</v>
      </c>
      <c r="G9729" s="26">
        <v>0.26960000000000001</v>
      </c>
      <c r="I9729" s="26">
        <v>0.33329999999999999</v>
      </c>
      <c r="L9729" s="26">
        <v>3.2000000000000002E-3</v>
      </c>
      <c r="M9729" s="26">
        <v>5.1999999999999998E-3</v>
      </c>
      <c r="N9729">
        <v>101</v>
      </c>
    </row>
    <row r="9730" spans="1:14" x14ac:dyDescent="0.35">
      <c r="A9730" t="s">
        <v>230</v>
      </c>
      <c r="B9730" t="s">
        <v>253</v>
      </c>
      <c r="C9730" t="s">
        <v>1283</v>
      </c>
      <c r="D9730" s="26">
        <v>0.14180000000000001</v>
      </c>
      <c r="E9730" s="26">
        <v>0.1429</v>
      </c>
      <c r="F9730" s="26">
        <v>6.9800000000000001E-2</v>
      </c>
      <c r="G9730" s="26">
        <v>0.11550000000000001</v>
      </c>
      <c r="H9730" s="26">
        <v>0.16719999999999999</v>
      </c>
      <c r="I9730" s="26">
        <v>4.1799999999999997E-2</v>
      </c>
      <c r="J9730" s="26">
        <v>8.0500000000000002E-2</v>
      </c>
      <c r="K9730" s="26">
        <v>0.13420000000000001</v>
      </c>
      <c r="L9730" s="26">
        <v>0.18079999999999999</v>
      </c>
      <c r="M9730" s="26">
        <v>0.1138</v>
      </c>
      <c r="N9730">
        <v>101</v>
      </c>
    </row>
    <row r="9731" spans="1:14" x14ac:dyDescent="0.35">
      <c r="A9731" t="s">
        <v>230</v>
      </c>
      <c r="B9731" t="s">
        <v>251</v>
      </c>
      <c r="C9731" t="s">
        <v>1282</v>
      </c>
      <c r="D9731" s="26">
        <v>2.3999999999999998E-3</v>
      </c>
      <c r="E9731" s="26">
        <v>8.5300000000000001E-2</v>
      </c>
      <c r="F9731" s="26">
        <v>1.8E-3</v>
      </c>
      <c r="G9731" s="26">
        <v>3.7000000000000002E-3</v>
      </c>
      <c r="H9731" s="26">
        <v>4.1999999999999997E-3</v>
      </c>
      <c r="I9731" s="26">
        <v>1.09E-2</v>
      </c>
      <c r="J9731" s="26">
        <v>1.8E-3</v>
      </c>
      <c r="L9731" s="26">
        <v>1.09E-2</v>
      </c>
      <c r="M9731" s="26">
        <v>1.8E-3</v>
      </c>
      <c r="N9731">
        <v>263</v>
      </c>
    </row>
    <row r="9732" spans="1:14" x14ac:dyDescent="0.35">
      <c r="A9732" t="s">
        <v>230</v>
      </c>
      <c r="B9732" t="s">
        <v>253</v>
      </c>
      <c r="C9732" t="s">
        <v>1281</v>
      </c>
      <c r="D9732" s="26">
        <v>0.78249999999999997</v>
      </c>
      <c r="E9732" s="26">
        <v>0.41870000000000002</v>
      </c>
      <c r="F9732" s="26">
        <v>0.85670000000000002</v>
      </c>
      <c r="G9732" s="26">
        <v>0.60060000000000002</v>
      </c>
      <c r="H9732" s="26">
        <v>0.7641</v>
      </c>
      <c r="I9732" s="26">
        <v>0.62329999999999997</v>
      </c>
      <c r="J9732" s="26">
        <v>0.91420000000000001</v>
      </c>
      <c r="K9732" s="26">
        <v>0.86040000000000005</v>
      </c>
      <c r="L9732" s="26">
        <v>0.81059999999999999</v>
      </c>
      <c r="M9732" s="26">
        <v>0.88100000000000001</v>
      </c>
      <c r="N9732">
        <v>101</v>
      </c>
    </row>
    <row r="9733" spans="1:14" x14ac:dyDescent="0.35">
      <c r="A9733" t="s">
        <v>230</v>
      </c>
      <c r="B9733" t="s">
        <v>252</v>
      </c>
      <c r="C9733" t="s">
        <v>303</v>
      </c>
      <c r="D9733" s="26">
        <v>4.1599999999999998E-2</v>
      </c>
      <c r="E9733" s="26">
        <v>0.38740000000000002</v>
      </c>
      <c r="F9733" s="26">
        <v>8.5999999999999993E-2</v>
      </c>
      <c r="G9733" s="26">
        <v>4.9399999999999999E-2</v>
      </c>
      <c r="H9733" s="26">
        <v>1.1299999999999999E-2</v>
      </c>
      <c r="I9733" s="26">
        <v>0.42730000000000001</v>
      </c>
      <c r="K9733" s="26">
        <v>3.7000000000000002E-3</v>
      </c>
      <c r="M9733" s="26">
        <v>3.1399999999999997E-2</v>
      </c>
      <c r="N9733">
        <v>151</v>
      </c>
    </row>
    <row r="9734" spans="1:14" x14ac:dyDescent="0.35">
      <c r="A9734" t="s">
        <v>230</v>
      </c>
      <c r="B9734" t="s">
        <v>252</v>
      </c>
      <c r="C9734" t="s">
        <v>1283</v>
      </c>
      <c r="D9734" s="26">
        <v>0.31950000000000001</v>
      </c>
      <c r="E9734" s="26">
        <v>0.3075</v>
      </c>
      <c r="F9734" s="26">
        <v>0.15509999999999999</v>
      </c>
      <c r="G9734" s="26">
        <v>0.52949999999999997</v>
      </c>
      <c r="H9734" s="26">
        <v>0.43070000000000003</v>
      </c>
      <c r="I9734" s="26">
        <v>5.6500000000000002E-2</v>
      </c>
      <c r="J9734" s="26">
        <v>0.46929999999999999</v>
      </c>
      <c r="K9734" s="26">
        <v>0.36770000000000003</v>
      </c>
      <c r="L9734" s="26">
        <v>0.3669</v>
      </c>
      <c r="M9734" s="26">
        <v>0.24110000000000001</v>
      </c>
      <c r="N9734">
        <v>151</v>
      </c>
    </row>
    <row r="9735" spans="1:14" x14ac:dyDescent="0.35">
      <c r="A9735" t="s">
        <v>230</v>
      </c>
      <c r="B9735" t="s">
        <v>252</v>
      </c>
      <c r="C9735" t="s">
        <v>1282</v>
      </c>
      <c r="D9735" s="26">
        <v>1.12E-2</v>
      </c>
      <c r="E9735" s="26">
        <v>7.5300000000000006E-2</v>
      </c>
      <c r="F9735" s="26">
        <v>3.6400000000000002E-2</v>
      </c>
      <c r="G9735" s="26">
        <v>5.0000000000000001E-3</v>
      </c>
      <c r="H9735" s="26">
        <v>7.2099999999999997E-2</v>
      </c>
      <c r="I9735" s="26">
        <v>2.6599999999999999E-2</v>
      </c>
      <c r="J9735" s="26">
        <v>1.1999999999999999E-3</v>
      </c>
      <c r="M9735" s="26">
        <v>1.1999999999999999E-3</v>
      </c>
      <c r="N9735">
        <v>151</v>
      </c>
    </row>
    <row r="9736" spans="1:14" x14ac:dyDescent="0.35">
      <c r="A9736" t="s">
        <v>230</v>
      </c>
      <c r="B9736" t="s">
        <v>252</v>
      </c>
      <c r="C9736" t="s">
        <v>1281</v>
      </c>
      <c r="D9736" s="26">
        <v>0.62770000000000004</v>
      </c>
      <c r="E9736" s="26">
        <v>0.22969999999999999</v>
      </c>
      <c r="F9736" s="26">
        <v>0.72240000000000004</v>
      </c>
      <c r="G9736" s="26">
        <v>0.41610000000000003</v>
      </c>
      <c r="H9736" s="26">
        <v>0.4859</v>
      </c>
      <c r="I9736" s="26">
        <v>0.48970000000000002</v>
      </c>
      <c r="J9736" s="26">
        <v>0.52959999999999996</v>
      </c>
      <c r="K9736" s="26">
        <v>0.62849999999999995</v>
      </c>
      <c r="L9736" s="26">
        <v>0.6331</v>
      </c>
      <c r="M9736" s="26">
        <v>0.72640000000000005</v>
      </c>
      <c r="N9736">
        <v>151</v>
      </c>
    </row>
    <row r="9737" spans="1:14" x14ac:dyDescent="0.35">
      <c r="A9737" t="s">
        <v>230</v>
      </c>
      <c r="B9737" t="s">
        <v>253</v>
      </c>
      <c r="C9737" t="s">
        <v>1282</v>
      </c>
      <c r="D9737" s="26">
        <v>1.6000000000000001E-3</v>
      </c>
      <c r="E9737" s="26">
        <v>8.4099999999999994E-2</v>
      </c>
      <c r="F9737" s="26">
        <v>5.3E-3</v>
      </c>
      <c r="G9737" s="26">
        <v>1.43E-2</v>
      </c>
      <c r="H9737" s="26">
        <v>6.8699999999999997E-2</v>
      </c>
      <c r="I9737" s="26">
        <v>1.6000000000000001E-3</v>
      </c>
      <c r="J9737" s="26">
        <v>5.3E-3</v>
      </c>
      <c r="K9737" s="26">
        <v>5.3E-3</v>
      </c>
      <c r="L9737" s="26">
        <v>5.3E-3</v>
      </c>
      <c r="N9737">
        <v>101</v>
      </c>
    </row>
    <row r="9738" spans="1:14" x14ac:dyDescent="0.35">
      <c r="A9738" t="s">
        <v>231</v>
      </c>
      <c r="B9738" t="s">
        <v>251</v>
      </c>
      <c r="C9738" t="s">
        <v>303</v>
      </c>
      <c r="D9738" s="26">
        <v>8.9700000000000002E-2</v>
      </c>
      <c r="E9738" s="26">
        <v>0.46150000000000002</v>
      </c>
      <c r="F9738" s="26">
        <v>0.24360000000000001</v>
      </c>
      <c r="G9738" s="26">
        <v>0.24</v>
      </c>
      <c r="H9738" s="26">
        <v>1.2800000000000001E-2</v>
      </c>
      <c r="I9738" s="26">
        <v>0.30769999999999997</v>
      </c>
      <c r="J9738" s="26">
        <v>1.2800000000000001E-2</v>
      </c>
      <c r="L9738" s="26">
        <v>5.1299999999999998E-2</v>
      </c>
      <c r="M9738" s="26">
        <v>2.5600000000000001E-2</v>
      </c>
      <c r="N9738">
        <v>78</v>
      </c>
    </row>
    <row r="9739" spans="1:14" x14ac:dyDescent="0.35">
      <c r="A9739" t="s">
        <v>231</v>
      </c>
      <c r="B9739" t="s">
        <v>251</v>
      </c>
      <c r="C9739" t="s">
        <v>1283</v>
      </c>
      <c r="D9739" s="26">
        <v>6.4100000000000004E-2</v>
      </c>
      <c r="E9739" s="26">
        <v>7.6899999999999996E-2</v>
      </c>
      <c r="F9739" s="26">
        <v>1.2800000000000001E-2</v>
      </c>
      <c r="G9739" s="26">
        <v>0.16</v>
      </c>
      <c r="H9739" s="26">
        <v>0.23080000000000001</v>
      </c>
      <c r="I9739" s="26">
        <v>3.85E-2</v>
      </c>
      <c r="J9739" s="26">
        <v>0.17949999999999999</v>
      </c>
      <c r="K9739" s="26">
        <v>0.1923</v>
      </c>
      <c r="L9739" s="26">
        <v>7.6899999999999996E-2</v>
      </c>
      <c r="M9739" s="26">
        <v>7.6899999999999996E-2</v>
      </c>
      <c r="N9739">
        <v>78</v>
      </c>
    </row>
    <row r="9740" spans="1:14" x14ac:dyDescent="0.35">
      <c r="A9740" t="s">
        <v>231</v>
      </c>
      <c r="B9740" t="s">
        <v>251</v>
      </c>
      <c r="C9740" t="s">
        <v>1282</v>
      </c>
      <c r="D9740" s="26">
        <v>1.2800000000000001E-2</v>
      </c>
      <c r="E9740" s="26">
        <v>3.85E-2</v>
      </c>
      <c r="F9740" s="26">
        <v>1.2800000000000001E-2</v>
      </c>
      <c r="G9740" s="26">
        <v>1.3299999999999999E-2</v>
      </c>
      <c r="H9740" s="26">
        <v>1.2800000000000001E-2</v>
      </c>
      <c r="I9740" s="26">
        <v>1.2800000000000001E-2</v>
      </c>
      <c r="N9740">
        <v>78</v>
      </c>
    </row>
    <row r="9741" spans="1:14" x14ac:dyDescent="0.35">
      <c r="A9741" t="s">
        <v>231</v>
      </c>
      <c r="B9741" t="s">
        <v>251</v>
      </c>
      <c r="C9741" t="s">
        <v>1281</v>
      </c>
      <c r="D9741" s="26">
        <v>0.83330000000000004</v>
      </c>
      <c r="E9741" s="26">
        <v>0.42309999999999998</v>
      </c>
      <c r="F9741" s="26">
        <v>0.73080000000000001</v>
      </c>
      <c r="G9741" s="26">
        <v>0.5867</v>
      </c>
      <c r="H9741" s="26">
        <v>0.74360000000000004</v>
      </c>
      <c r="I9741" s="26">
        <v>0.64100000000000001</v>
      </c>
      <c r="J9741" s="26">
        <v>0.80769999999999997</v>
      </c>
      <c r="K9741" s="26">
        <v>0.80769999999999997</v>
      </c>
      <c r="L9741" s="26">
        <v>0.87180000000000002</v>
      </c>
      <c r="M9741" s="26">
        <v>0.89739999999999998</v>
      </c>
      <c r="N9741">
        <v>78</v>
      </c>
    </row>
    <row r="9742" spans="1:14" x14ac:dyDescent="0.35">
      <c r="A9742" s="27" t="s">
        <v>231</v>
      </c>
      <c r="B9742" s="27" t="s">
        <v>253</v>
      </c>
      <c r="C9742" s="27" t="s">
        <v>1281</v>
      </c>
      <c r="D9742" s="28">
        <v>0.92589999999999995</v>
      </c>
      <c r="E9742" s="28">
        <v>0.29630000000000001</v>
      </c>
      <c r="F9742" s="28">
        <v>0.85189999999999999</v>
      </c>
      <c r="G9742" s="28">
        <v>0.59260000000000002</v>
      </c>
      <c r="H9742" s="28">
        <v>0.77780000000000005</v>
      </c>
      <c r="I9742" s="28">
        <v>0.74070000000000003</v>
      </c>
      <c r="J9742" s="28">
        <v>0.88890000000000002</v>
      </c>
      <c r="K9742" s="28">
        <v>0.88890000000000002</v>
      </c>
      <c r="L9742" s="28">
        <v>0.81479999999999997</v>
      </c>
      <c r="M9742" s="28">
        <v>0.92589999999999995</v>
      </c>
      <c r="N9742" s="29">
        <v>27</v>
      </c>
    </row>
    <row r="9743" spans="1:14" x14ac:dyDescent="0.35">
      <c r="A9743" t="s">
        <v>231</v>
      </c>
      <c r="B9743" t="s">
        <v>252</v>
      </c>
      <c r="C9743" t="s">
        <v>1283</v>
      </c>
      <c r="D9743" s="26">
        <v>0.32500000000000001</v>
      </c>
      <c r="E9743" s="26">
        <v>0.27500000000000002</v>
      </c>
      <c r="F9743" s="26">
        <v>0.05</v>
      </c>
      <c r="G9743" s="26">
        <v>0.33329999999999999</v>
      </c>
      <c r="H9743" s="26">
        <v>0.25</v>
      </c>
      <c r="I9743" s="26">
        <v>0.1</v>
      </c>
      <c r="J9743" s="26">
        <v>0.32500000000000001</v>
      </c>
      <c r="K9743" s="26">
        <v>0.3</v>
      </c>
      <c r="L9743" s="26">
        <v>0.15</v>
      </c>
      <c r="M9743" s="26">
        <v>7.4999999999999997E-2</v>
      </c>
      <c r="N9743">
        <v>40</v>
      </c>
    </row>
    <row r="9744" spans="1:14" x14ac:dyDescent="0.35">
      <c r="A9744" t="s">
        <v>231</v>
      </c>
      <c r="B9744" t="s">
        <v>252</v>
      </c>
      <c r="C9744" t="s">
        <v>1282</v>
      </c>
      <c r="D9744" s="26">
        <v>0.05</v>
      </c>
      <c r="E9744" s="26">
        <v>7.4999999999999997E-2</v>
      </c>
      <c r="F9744" s="26">
        <v>2.5000000000000001E-2</v>
      </c>
      <c r="H9744" s="26">
        <v>0.05</v>
      </c>
      <c r="K9744" s="26">
        <v>0.05</v>
      </c>
      <c r="L9744" s="26">
        <v>2.5000000000000001E-2</v>
      </c>
      <c r="N9744">
        <v>40</v>
      </c>
    </row>
    <row r="9745" spans="1:14" x14ac:dyDescent="0.35">
      <c r="A9745" t="s">
        <v>231</v>
      </c>
      <c r="B9745" t="s">
        <v>252</v>
      </c>
      <c r="C9745" t="s">
        <v>1281</v>
      </c>
      <c r="D9745" s="26">
        <v>0.625</v>
      </c>
      <c r="E9745" s="26">
        <v>0.32500000000000001</v>
      </c>
      <c r="F9745" s="26">
        <v>0.85</v>
      </c>
      <c r="G9745" s="26">
        <v>0.64100000000000001</v>
      </c>
      <c r="H9745" s="26">
        <v>0.7</v>
      </c>
      <c r="I9745" s="26">
        <v>0.5</v>
      </c>
      <c r="J9745" s="26">
        <v>0.67500000000000004</v>
      </c>
      <c r="K9745" s="26">
        <v>0.65</v>
      </c>
      <c r="L9745" s="26">
        <v>0.8</v>
      </c>
      <c r="M9745" s="26">
        <v>0.9</v>
      </c>
      <c r="N9745">
        <v>40</v>
      </c>
    </row>
    <row r="9746" spans="1:14" x14ac:dyDescent="0.35">
      <c r="A9746" s="27" t="s">
        <v>231</v>
      </c>
      <c r="B9746" s="27" t="s">
        <v>253</v>
      </c>
      <c r="C9746" s="27" t="s">
        <v>1283</v>
      </c>
      <c r="D9746" s="28">
        <v>7.4099999999999999E-2</v>
      </c>
      <c r="E9746" s="28">
        <v>7.4099999999999999E-2</v>
      </c>
      <c r="F9746" s="29"/>
      <c r="G9746" s="28">
        <v>0.1852</v>
      </c>
      <c r="H9746" s="28">
        <v>0.1852</v>
      </c>
      <c r="I9746" s="29"/>
      <c r="J9746" s="28">
        <v>7.4099999999999999E-2</v>
      </c>
      <c r="K9746" s="28">
        <v>0.1111</v>
      </c>
      <c r="L9746" s="28">
        <v>0.1852</v>
      </c>
      <c r="M9746" s="28">
        <v>7.4099999999999999E-2</v>
      </c>
      <c r="N9746" s="29">
        <v>27</v>
      </c>
    </row>
    <row r="9747" spans="1:14" x14ac:dyDescent="0.35">
      <c r="A9747" t="s">
        <v>232</v>
      </c>
      <c r="B9747" t="s">
        <v>232</v>
      </c>
      <c r="C9747" t="s">
        <v>1283</v>
      </c>
      <c r="D9747" s="26">
        <v>0.12759999999999999</v>
      </c>
      <c r="E9747" s="26">
        <v>0.1409</v>
      </c>
      <c r="F9747" s="26">
        <v>4.8899999999999999E-2</v>
      </c>
      <c r="G9747" s="26">
        <v>0.2019</v>
      </c>
      <c r="H9747" s="26">
        <v>0.2152</v>
      </c>
      <c r="I9747" s="26">
        <v>4.0599999999999997E-2</v>
      </c>
      <c r="J9747" s="26">
        <v>0.1648</v>
      </c>
      <c r="K9747" s="26">
        <v>0.2019</v>
      </c>
      <c r="L9747" s="26">
        <v>0.14050000000000001</v>
      </c>
      <c r="M9747" s="26">
        <v>9.2600000000000002E-2</v>
      </c>
      <c r="N9747">
        <v>2546</v>
      </c>
    </row>
    <row r="9748" spans="1:14" x14ac:dyDescent="0.35">
      <c r="A9748" t="s">
        <v>232</v>
      </c>
      <c r="B9748" t="s">
        <v>232</v>
      </c>
      <c r="C9748" t="s">
        <v>1281</v>
      </c>
      <c r="D9748" s="26">
        <v>0.81079999999999997</v>
      </c>
      <c r="E9748" s="26">
        <v>0.38419999999999999</v>
      </c>
      <c r="F9748" s="26">
        <v>0.80230000000000001</v>
      </c>
      <c r="G9748" s="26">
        <v>0.60229999999999995</v>
      </c>
      <c r="H9748" s="26">
        <v>0.74029999999999996</v>
      </c>
      <c r="I9748" s="26">
        <v>0.63570000000000004</v>
      </c>
      <c r="J9748" s="26">
        <v>0.82030000000000003</v>
      </c>
      <c r="K9748" s="26">
        <v>0.78349999999999997</v>
      </c>
      <c r="L9748" s="26">
        <v>0.83460000000000001</v>
      </c>
      <c r="M9748" s="26">
        <v>0.89729999999999999</v>
      </c>
      <c r="N9748">
        <v>2546</v>
      </c>
    </row>
    <row r="9749" spans="1:14" x14ac:dyDescent="0.35">
      <c r="A9749" t="s">
        <v>232</v>
      </c>
      <c r="B9749" t="s">
        <v>232</v>
      </c>
      <c r="C9749" t="s">
        <v>1282</v>
      </c>
      <c r="D9749" s="26">
        <v>2.1100000000000001E-2</v>
      </c>
      <c r="E9749" s="26">
        <v>6.2899999999999998E-2</v>
      </c>
      <c r="F9749" s="26">
        <v>1.17E-2</v>
      </c>
      <c r="G9749" s="26">
        <v>1.9599999999999999E-2</v>
      </c>
      <c r="H9749" s="26">
        <v>2.63E-2</v>
      </c>
      <c r="I9749" s="26">
        <v>7.3000000000000001E-3</v>
      </c>
      <c r="J9749" s="26">
        <v>5.8999999999999999E-3</v>
      </c>
      <c r="K9749" s="26">
        <v>1.14E-2</v>
      </c>
      <c r="L9749" s="26">
        <v>3.0000000000000001E-3</v>
      </c>
      <c r="M9749" s="26">
        <v>4.0000000000000002E-4</v>
      </c>
      <c r="N9749">
        <v>2546</v>
      </c>
    </row>
    <row r="9750" spans="1:14" x14ac:dyDescent="0.35">
      <c r="A9750" t="s">
        <v>232</v>
      </c>
      <c r="B9750" t="s">
        <v>232</v>
      </c>
      <c r="C9750" t="s">
        <v>303</v>
      </c>
      <c r="D9750" s="26">
        <v>4.0599999999999997E-2</v>
      </c>
      <c r="E9750" s="26">
        <v>0.41199999999999998</v>
      </c>
      <c r="F9750" s="26">
        <v>0.1371</v>
      </c>
      <c r="G9750" s="26">
        <v>0.17610000000000001</v>
      </c>
      <c r="H9750" s="26">
        <v>1.8200000000000001E-2</v>
      </c>
      <c r="I9750" s="26">
        <v>0.31640000000000001</v>
      </c>
      <c r="J9750" s="26">
        <v>8.9999999999999993E-3</v>
      </c>
      <c r="K9750" s="26">
        <v>3.2000000000000002E-3</v>
      </c>
      <c r="L9750" s="26">
        <v>2.1899999999999999E-2</v>
      </c>
      <c r="M9750" s="26">
        <v>9.7000000000000003E-3</v>
      </c>
      <c r="N9750">
        <v>2546</v>
      </c>
    </row>
    <row r="9752" spans="1:14" x14ac:dyDescent="0.35">
      <c r="A9752" s="1" t="s">
        <v>1301</v>
      </c>
    </row>
    <row r="9753" spans="1:14" x14ac:dyDescent="0.35">
      <c r="A9753" t="s">
        <v>219</v>
      </c>
      <c r="B9753" t="s">
        <v>305</v>
      </c>
      <c r="C9753" t="s">
        <v>1285</v>
      </c>
      <c r="D9753" t="s">
        <v>1286</v>
      </c>
      <c r="E9753" t="s">
        <v>1287</v>
      </c>
      <c r="F9753" t="s">
        <v>1288</v>
      </c>
      <c r="G9753" t="s">
        <v>1289</v>
      </c>
      <c r="H9753" t="s">
        <v>281</v>
      </c>
      <c r="I9753" t="s">
        <v>226</v>
      </c>
    </row>
    <row r="9754" spans="1:14" x14ac:dyDescent="0.35">
      <c r="A9754" s="27" t="s">
        <v>227</v>
      </c>
      <c r="B9754" s="27" t="s">
        <v>252</v>
      </c>
      <c r="C9754" s="28">
        <v>0.31580000000000003</v>
      </c>
      <c r="D9754" s="28">
        <v>0.68420000000000003</v>
      </c>
      <c r="E9754" s="28">
        <v>5.2600000000000001E-2</v>
      </c>
      <c r="F9754" s="28">
        <v>0.1053</v>
      </c>
      <c r="G9754" s="29"/>
      <c r="H9754" s="29"/>
      <c r="I9754" s="29" t="s">
        <v>349</v>
      </c>
    </row>
    <row r="9755" spans="1:14" x14ac:dyDescent="0.35">
      <c r="A9755" s="27" t="s">
        <v>227</v>
      </c>
      <c r="B9755" s="27" t="s">
        <v>253</v>
      </c>
      <c r="C9755" s="28">
        <v>0.46150000000000002</v>
      </c>
      <c r="D9755" s="28">
        <v>0.3846</v>
      </c>
      <c r="E9755" s="28">
        <v>0.30769999999999997</v>
      </c>
      <c r="F9755" s="28">
        <v>7.6899999999999996E-2</v>
      </c>
      <c r="G9755" s="29"/>
      <c r="H9755" s="29"/>
      <c r="I9755" s="29" t="s">
        <v>341</v>
      </c>
    </row>
    <row r="9756" spans="1:14" x14ac:dyDescent="0.35">
      <c r="A9756" t="s">
        <v>227</v>
      </c>
      <c r="B9756" t="s">
        <v>251</v>
      </c>
      <c r="C9756" s="26">
        <v>0.36359999999999998</v>
      </c>
      <c r="D9756" s="26">
        <v>0.2727</v>
      </c>
      <c r="E9756" s="26">
        <v>0.33329999999999999</v>
      </c>
      <c r="F9756" s="26">
        <v>0.1515</v>
      </c>
      <c r="G9756" s="26">
        <v>0.2424</v>
      </c>
      <c r="I9756">
        <v>33</v>
      </c>
    </row>
    <row r="9757" spans="1:14" x14ac:dyDescent="0.35">
      <c r="A9757" t="s">
        <v>228</v>
      </c>
      <c r="B9757" t="s">
        <v>252</v>
      </c>
      <c r="C9757" s="26">
        <v>0.45190000000000002</v>
      </c>
      <c r="D9757" s="26">
        <v>0.51300000000000001</v>
      </c>
      <c r="E9757" s="26">
        <v>0.30170000000000002</v>
      </c>
      <c r="F9757" s="26">
        <v>5.8400000000000001E-2</v>
      </c>
      <c r="G9757" s="26">
        <v>3.5000000000000001E-3</v>
      </c>
      <c r="H9757" s="26">
        <v>5.1400000000000001E-2</v>
      </c>
      <c r="I9757">
        <v>179</v>
      </c>
    </row>
    <row r="9758" spans="1:14" x14ac:dyDescent="0.35">
      <c r="A9758" t="s">
        <v>228</v>
      </c>
      <c r="B9758" t="s">
        <v>253</v>
      </c>
      <c r="C9758" s="26">
        <v>0.43609999999999999</v>
      </c>
      <c r="D9758" s="26">
        <v>0.55610000000000004</v>
      </c>
      <c r="E9758" s="26">
        <v>0.36909999999999998</v>
      </c>
      <c r="F9758" s="26">
        <v>7.0400000000000004E-2</v>
      </c>
      <c r="G9758" s="26">
        <v>9.7500000000000003E-2</v>
      </c>
      <c r="H9758" s="26">
        <v>5.0000000000000001E-3</v>
      </c>
      <c r="I9758">
        <v>136</v>
      </c>
    </row>
    <row r="9759" spans="1:14" x14ac:dyDescent="0.35">
      <c r="A9759" t="s">
        <v>228</v>
      </c>
      <c r="B9759" t="s">
        <v>251</v>
      </c>
      <c r="C9759" s="26">
        <v>0.45800000000000002</v>
      </c>
      <c r="D9759" s="26">
        <v>0.3947</v>
      </c>
      <c r="E9759" s="26">
        <v>0.33239999999999997</v>
      </c>
      <c r="F9759" s="26">
        <v>0.1464</v>
      </c>
      <c r="G9759" s="26">
        <v>0.12759999999999999</v>
      </c>
      <c r="H9759" s="26">
        <v>4.2099999999999999E-2</v>
      </c>
      <c r="I9759">
        <v>239</v>
      </c>
    </row>
    <row r="9760" spans="1:14" x14ac:dyDescent="0.35">
      <c r="A9760" t="s">
        <v>229</v>
      </c>
      <c r="B9760" t="s">
        <v>252</v>
      </c>
      <c r="C9760" s="26">
        <v>0.52790000000000004</v>
      </c>
      <c r="D9760" s="26">
        <v>0.52039999999999997</v>
      </c>
      <c r="E9760" s="26">
        <v>0.3584</v>
      </c>
      <c r="F9760" s="26">
        <v>5.5399999999999998E-2</v>
      </c>
      <c r="H9760" s="26">
        <v>4.2900000000000001E-2</v>
      </c>
      <c r="I9760">
        <v>93</v>
      </c>
    </row>
    <row r="9761" spans="1:14" x14ac:dyDescent="0.35">
      <c r="A9761" t="s">
        <v>229</v>
      </c>
      <c r="B9761" t="s">
        <v>253</v>
      </c>
      <c r="C9761" s="26">
        <v>0.60050000000000003</v>
      </c>
      <c r="D9761" s="26">
        <v>0.53480000000000005</v>
      </c>
      <c r="E9761" s="26">
        <v>0.4007</v>
      </c>
      <c r="F9761" s="26">
        <v>3.9600000000000003E-2</v>
      </c>
      <c r="G9761" s="26">
        <v>0.1084</v>
      </c>
      <c r="H9761" s="26">
        <v>1.1900000000000001E-2</v>
      </c>
      <c r="I9761">
        <v>83</v>
      </c>
    </row>
    <row r="9762" spans="1:14" x14ac:dyDescent="0.35">
      <c r="A9762" t="s">
        <v>229</v>
      </c>
      <c r="B9762" t="s">
        <v>251</v>
      </c>
      <c r="C9762" s="26">
        <v>0.40749999999999997</v>
      </c>
      <c r="D9762" s="26">
        <v>0.36880000000000002</v>
      </c>
      <c r="E9762" s="26">
        <v>0.3427</v>
      </c>
      <c r="F9762" s="26">
        <v>0.129</v>
      </c>
      <c r="G9762" s="26">
        <v>0.15210000000000001</v>
      </c>
      <c r="H9762" s="26">
        <v>5.7200000000000001E-2</v>
      </c>
      <c r="I9762">
        <v>251</v>
      </c>
    </row>
    <row r="9763" spans="1:14" x14ac:dyDescent="0.35">
      <c r="A9763" t="s">
        <v>230</v>
      </c>
      <c r="B9763" t="s">
        <v>252</v>
      </c>
      <c r="C9763" s="26">
        <v>0.51559999999999995</v>
      </c>
      <c r="D9763" s="26">
        <v>0.62060000000000004</v>
      </c>
      <c r="E9763" s="26">
        <v>0.29099999999999998</v>
      </c>
      <c r="F9763" s="26">
        <v>0.16300000000000001</v>
      </c>
      <c r="G9763" s="26">
        <v>5.4000000000000003E-3</v>
      </c>
      <c r="H9763" s="26">
        <v>3.3000000000000002E-2</v>
      </c>
      <c r="I9763">
        <v>94</v>
      </c>
    </row>
    <row r="9764" spans="1:14" x14ac:dyDescent="0.35">
      <c r="A9764" t="s">
        <v>230</v>
      </c>
      <c r="B9764" t="s">
        <v>253</v>
      </c>
      <c r="C9764" s="26">
        <v>0.49569999999999997</v>
      </c>
      <c r="D9764" s="26">
        <v>0.71589999999999998</v>
      </c>
      <c r="E9764" s="26">
        <v>0.42059999999999997</v>
      </c>
      <c r="F9764" s="26">
        <v>1.2999999999999999E-2</v>
      </c>
      <c r="G9764" s="26">
        <v>1.9800000000000002E-2</v>
      </c>
      <c r="I9764">
        <v>58</v>
      </c>
    </row>
    <row r="9765" spans="1:14" x14ac:dyDescent="0.35">
      <c r="A9765" t="s">
        <v>230</v>
      </c>
      <c r="B9765" t="s">
        <v>251</v>
      </c>
      <c r="C9765" s="26">
        <v>0.45029999999999998</v>
      </c>
      <c r="D9765" s="26">
        <v>0.31919999999999998</v>
      </c>
      <c r="E9765" s="26">
        <v>0.33139999999999997</v>
      </c>
      <c r="F9765" s="26">
        <v>0.1285</v>
      </c>
      <c r="G9765" s="26">
        <v>0.1993</v>
      </c>
      <c r="H9765" s="26">
        <v>5.0500000000000003E-2</v>
      </c>
      <c r="I9765">
        <v>146</v>
      </c>
    </row>
    <row r="9766" spans="1:14" x14ac:dyDescent="0.35">
      <c r="A9766" s="27" t="s">
        <v>231</v>
      </c>
      <c r="B9766" s="27" t="s">
        <v>252</v>
      </c>
      <c r="C9766" s="28">
        <v>0.5</v>
      </c>
      <c r="D9766" s="28">
        <v>0.59089999999999998</v>
      </c>
      <c r="E9766" s="28">
        <v>0.2727</v>
      </c>
      <c r="F9766" s="28">
        <v>9.0899999999999995E-2</v>
      </c>
      <c r="G9766" s="28">
        <v>4.5499999999999999E-2</v>
      </c>
      <c r="H9766" s="29"/>
      <c r="I9766" s="29" t="s">
        <v>347</v>
      </c>
    </row>
    <row r="9767" spans="1:14" x14ac:dyDescent="0.35">
      <c r="A9767" s="27" t="s">
        <v>231</v>
      </c>
      <c r="B9767" s="27" t="s">
        <v>253</v>
      </c>
      <c r="C9767" s="28">
        <v>0.4118</v>
      </c>
      <c r="D9767" s="28">
        <v>0.52939999999999998</v>
      </c>
      <c r="E9767" s="28">
        <v>0.35289999999999999</v>
      </c>
      <c r="F9767" s="28">
        <v>5.8799999999999998E-2</v>
      </c>
      <c r="G9767" s="28">
        <v>5.8799999999999998E-2</v>
      </c>
      <c r="H9767" s="28">
        <v>5.8799999999999998E-2</v>
      </c>
      <c r="I9767" s="29" t="s">
        <v>343</v>
      </c>
    </row>
    <row r="9768" spans="1:14" x14ac:dyDescent="0.35">
      <c r="A9768" t="s">
        <v>231</v>
      </c>
      <c r="B9768" t="s">
        <v>251</v>
      </c>
      <c r="C9768" s="26">
        <v>0.51219999999999999</v>
      </c>
      <c r="D9768" s="26">
        <v>0.39019999999999999</v>
      </c>
      <c r="E9768" s="26">
        <v>0.31709999999999999</v>
      </c>
      <c r="F9768" s="26">
        <v>7.3200000000000001E-2</v>
      </c>
      <c r="G9768" s="26">
        <v>9.7600000000000006E-2</v>
      </c>
      <c r="H9768" s="26">
        <v>4.8800000000000003E-2</v>
      </c>
      <c r="I9768">
        <v>41</v>
      </c>
    </row>
    <row r="9769" spans="1:14" x14ac:dyDescent="0.35">
      <c r="A9769" t="s">
        <v>232</v>
      </c>
      <c r="B9769" t="s">
        <v>232</v>
      </c>
      <c r="C9769" s="26">
        <v>0.46189999999999998</v>
      </c>
      <c r="D9769" s="26">
        <v>0.45610000000000001</v>
      </c>
      <c r="E9769" s="26">
        <v>0.32429999999999998</v>
      </c>
      <c r="F9769" s="26">
        <v>9.6000000000000002E-2</v>
      </c>
      <c r="G9769" s="26">
        <v>9.6000000000000002E-2</v>
      </c>
      <c r="H9769" s="26">
        <v>3.4500000000000003E-2</v>
      </c>
      <c r="I9769">
        <v>1424</v>
      </c>
    </row>
    <row r="9771" spans="1:14" x14ac:dyDescent="0.35">
      <c r="A9771" s="1" t="s">
        <v>1302</v>
      </c>
    </row>
    <row r="9772" spans="1:14" x14ac:dyDescent="0.35">
      <c r="A9772" t="s">
        <v>219</v>
      </c>
      <c r="B9772" t="s">
        <v>305</v>
      </c>
      <c r="C9772" t="s">
        <v>1270</v>
      </c>
      <c r="D9772" t="s">
        <v>1271</v>
      </c>
      <c r="E9772" t="s">
        <v>1272</v>
      </c>
      <c r="F9772" t="s">
        <v>1273</v>
      </c>
      <c r="G9772" t="s">
        <v>1274</v>
      </c>
      <c r="H9772" t="s">
        <v>1275</v>
      </c>
      <c r="I9772" t="s">
        <v>1276</v>
      </c>
      <c r="J9772" t="s">
        <v>1277</v>
      </c>
      <c r="K9772" t="s">
        <v>1278</v>
      </c>
      <c r="L9772" t="s">
        <v>1279</v>
      </c>
      <c r="M9772" t="s">
        <v>1280</v>
      </c>
      <c r="N9772" t="s">
        <v>964</v>
      </c>
    </row>
    <row r="9773" spans="1:14" x14ac:dyDescent="0.35">
      <c r="A9773" t="s">
        <v>227</v>
      </c>
      <c r="B9773" t="s">
        <v>249</v>
      </c>
      <c r="C9773" t="s">
        <v>1281</v>
      </c>
      <c r="D9773" s="26">
        <v>0.82930000000000004</v>
      </c>
      <c r="E9773" s="26">
        <v>0.39019999999999999</v>
      </c>
      <c r="F9773" s="26">
        <v>0.82930000000000004</v>
      </c>
      <c r="G9773" s="26">
        <v>0.6341</v>
      </c>
      <c r="H9773" s="26">
        <v>0.878</v>
      </c>
      <c r="I9773" s="26">
        <v>0.65849999999999997</v>
      </c>
      <c r="J9773" s="26">
        <v>0.92679999999999996</v>
      </c>
      <c r="K9773" s="26">
        <v>0.75609999999999999</v>
      </c>
      <c r="L9773" s="26">
        <v>0.90239999999999998</v>
      </c>
      <c r="M9773" s="26">
        <v>0.92679999999999996</v>
      </c>
      <c r="N9773">
        <v>41</v>
      </c>
    </row>
    <row r="9774" spans="1:14" x14ac:dyDescent="0.35">
      <c r="A9774" t="s">
        <v>227</v>
      </c>
      <c r="B9774" t="s">
        <v>249</v>
      </c>
      <c r="C9774" t="s">
        <v>1282</v>
      </c>
      <c r="D9774" s="26">
        <v>2.4400000000000002E-2</v>
      </c>
      <c r="E9774" s="26">
        <v>0.17069999999999999</v>
      </c>
      <c r="F9774" s="26">
        <v>2.4400000000000002E-2</v>
      </c>
      <c r="G9774" s="26">
        <v>4.8800000000000003E-2</v>
      </c>
      <c r="N9774">
        <v>41</v>
      </c>
    </row>
    <row r="9775" spans="1:14" x14ac:dyDescent="0.35">
      <c r="A9775" t="s">
        <v>227</v>
      </c>
      <c r="B9775" t="s">
        <v>249</v>
      </c>
      <c r="C9775" t="s">
        <v>1283</v>
      </c>
      <c r="D9775" s="26">
        <v>0.122</v>
      </c>
      <c r="E9775" s="26">
        <v>7.3200000000000001E-2</v>
      </c>
      <c r="F9775" s="26">
        <v>2.4400000000000002E-2</v>
      </c>
      <c r="G9775" s="26">
        <v>0.122</v>
      </c>
      <c r="H9775" s="26">
        <v>9.7600000000000006E-2</v>
      </c>
      <c r="I9775" s="26">
        <v>4.8800000000000003E-2</v>
      </c>
      <c r="J9775" s="26">
        <v>4.8800000000000003E-2</v>
      </c>
      <c r="K9775" s="26">
        <v>0.2195</v>
      </c>
      <c r="L9775" s="26">
        <v>9.7600000000000006E-2</v>
      </c>
      <c r="M9775" s="26">
        <v>7.3200000000000001E-2</v>
      </c>
      <c r="N9775">
        <v>41</v>
      </c>
    </row>
    <row r="9776" spans="1:14" x14ac:dyDescent="0.35">
      <c r="A9776" t="s">
        <v>227</v>
      </c>
      <c r="B9776" t="s">
        <v>249</v>
      </c>
      <c r="C9776" t="s">
        <v>303</v>
      </c>
      <c r="D9776" s="26">
        <v>2.4400000000000002E-2</v>
      </c>
      <c r="E9776" s="26">
        <v>0.3659</v>
      </c>
      <c r="F9776" s="26">
        <v>0.122</v>
      </c>
      <c r="G9776" s="26">
        <v>0.1951</v>
      </c>
      <c r="H9776" s="26">
        <v>2.4400000000000002E-2</v>
      </c>
      <c r="I9776" s="26">
        <v>0.29270000000000002</v>
      </c>
      <c r="J9776" s="26">
        <v>2.4400000000000002E-2</v>
      </c>
      <c r="K9776" s="26">
        <v>2.4400000000000002E-2</v>
      </c>
      <c r="N9776">
        <v>41</v>
      </c>
    </row>
    <row r="9777" spans="1:14" x14ac:dyDescent="0.35">
      <c r="A9777" t="s">
        <v>227</v>
      </c>
      <c r="B9777" t="s">
        <v>248</v>
      </c>
      <c r="C9777" t="s">
        <v>1281</v>
      </c>
      <c r="D9777" s="26">
        <v>0.79630000000000001</v>
      </c>
      <c r="E9777" s="26">
        <v>0.37959999999999999</v>
      </c>
      <c r="F9777" s="26">
        <v>0.87039999999999995</v>
      </c>
      <c r="G9777" s="26">
        <v>0.60189999999999999</v>
      </c>
      <c r="H9777" s="26">
        <v>0.71299999999999997</v>
      </c>
      <c r="I9777" s="26">
        <v>0.66669999999999996</v>
      </c>
      <c r="J9777" s="26">
        <v>0.75929999999999997</v>
      </c>
      <c r="K9777" s="26">
        <v>0.74070000000000003</v>
      </c>
      <c r="L9777" s="26">
        <v>0.77780000000000005</v>
      </c>
      <c r="M9777" s="26">
        <v>0.86109999999999998</v>
      </c>
      <c r="N9777">
        <v>108</v>
      </c>
    </row>
    <row r="9778" spans="1:14" x14ac:dyDescent="0.35">
      <c r="A9778" t="s">
        <v>227</v>
      </c>
      <c r="B9778" t="s">
        <v>248</v>
      </c>
      <c r="C9778" t="s">
        <v>1282</v>
      </c>
      <c r="D9778" s="26">
        <v>1.8499999999999999E-2</v>
      </c>
      <c r="E9778" s="26">
        <v>4.6300000000000001E-2</v>
      </c>
      <c r="F9778" s="26">
        <v>1.8499999999999999E-2</v>
      </c>
      <c r="G9778" s="26">
        <v>5.5599999999999997E-2</v>
      </c>
      <c r="H9778" s="26">
        <v>4.6300000000000001E-2</v>
      </c>
      <c r="J9778" s="26">
        <v>1.8499999999999999E-2</v>
      </c>
      <c r="K9778" s="26">
        <v>2.7799999999999998E-2</v>
      </c>
      <c r="N9778">
        <v>108</v>
      </c>
    </row>
    <row r="9779" spans="1:14" x14ac:dyDescent="0.35">
      <c r="A9779" t="s">
        <v>227</v>
      </c>
      <c r="B9779" t="s">
        <v>248</v>
      </c>
      <c r="C9779" t="s">
        <v>1283</v>
      </c>
      <c r="D9779" s="26">
        <v>0.16669999999999999</v>
      </c>
      <c r="E9779" s="26">
        <v>0.20369999999999999</v>
      </c>
      <c r="F9779" s="26">
        <v>8.3299999999999999E-2</v>
      </c>
      <c r="G9779" s="26">
        <v>0.28699999999999998</v>
      </c>
      <c r="H9779" s="26">
        <v>0.22220000000000001</v>
      </c>
      <c r="I9779" s="26">
        <v>8.3299999999999999E-2</v>
      </c>
      <c r="J9779" s="26">
        <v>0.22220000000000001</v>
      </c>
      <c r="K9779" s="26">
        <v>0.23150000000000001</v>
      </c>
      <c r="L9779" s="26">
        <v>0.22220000000000001</v>
      </c>
      <c r="M9779" s="26">
        <v>0.1389</v>
      </c>
      <c r="N9779">
        <v>108</v>
      </c>
    </row>
    <row r="9780" spans="1:14" x14ac:dyDescent="0.35">
      <c r="A9780" t="s">
        <v>227</v>
      </c>
      <c r="B9780" t="s">
        <v>248</v>
      </c>
      <c r="C9780" t="s">
        <v>303</v>
      </c>
      <c r="D9780" s="26">
        <v>1.8499999999999999E-2</v>
      </c>
      <c r="E9780" s="26">
        <v>0.37040000000000001</v>
      </c>
      <c r="F9780" s="26">
        <v>2.7799999999999998E-2</v>
      </c>
      <c r="G9780" s="26">
        <v>5.5599999999999997E-2</v>
      </c>
      <c r="H9780" s="26">
        <v>1.8499999999999999E-2</v>
      </c>
      <c r="I9780" s="26">
        <v>0.25</v>
      </c>
      <c r="N9780">
        <v>108</v>
      </c>
    </row>
    <row r="9781" spans="1:14" x14ac:dyDescent="0.35">
      <c r="A9781" t="s">
        <v>228</v>
      </c>
      <c r="B9781" t="s">
        <v>248</v>
      </c>
      <c r="C9781" t="s">
        <v>303</v>
      </c>
      <c r="D9781" s="26">
        <v>4.1700000000000001E-2</v>
      </c>
      <c r="E9781" s="26">
        <v>0.37569999999999998</v>
      </c>
      <c r="F9781" s="26">
        <v>0.1011</v>
      </c>
      <c r="G9781" s="26">
        <v>0.1449</v>
      </c>
      <c r="H9781" s="26">
        <v>2.0899999999999998E-2</v>
      </c>
      <c r="I9781" s="26">
        <v>0.37180000000000002</v>
      </c>
      <c r="J9781" s="26">
        <v>6.3E-3</v>
      </c>
      <c r="K9781" s="26">
        <v>5.7999999999999996E-3</v>
      </c>
      <c r="L9781" s="26">
        <v>1.2699999999999999E-2</v>
      </c>
      <c r="M9781" s="26">
        <v>2.7000000000000001E-3</v>
      </c>
      <c r="N9781">
        <v>695</v>
      </c>
    </row>
    <row r="9782" spans="1:14" x14ac:dyDescent="0.35">
      <c r="A9782" t="s">
        <v>228</v>
      </c>
      <c r="B9782" t="s">
        <v>248</v>
      </c>
      <c r="C9782" t="s">
        <v>1283</v>
      </c>
      <c r="D9782" s="26">
        <v>0.12740000000000001</v>
      </c>
      <c r="E9782" s="26">
        <v>0.14219999999999999</v>
      </c>
      <c r="F9782" s="26">
        <v>6.7299999999999999E-2</v>
      </c>
      <c r="G9782" s="26">
        <v>0.21260000000000001</v>
      </c>
      <c r="H9782" s="26">
        <v>0.2099</v>
      </c>
      <c r="I9782" s="26">
        <v>3.9899999999999998E-2</v>
      </c>
      <c r="J9782" s="26">
        <v>0.19950000000000001</v>
      </c>
      <c r="K9782" s="26">
        <v>0.2051</v>
      </c>
      <c r="L9782" s="26">
        <v>0.153</v>
      </c>
      <c r="M9782" s="26">
        <v>9.4299999999999995E-2</v>
      </c>
      <c r="N9782">
        <v>695</v>
      </c>
    </row>
    <row r="9783" spans="1:14" x14ac:dyDescent="0.35">
      <c r="A9783" t="s">
        <v>228</v>
      </c>
      <c r="B9783" t="s">
        <v>248</v>
      </c>
      <c r="C9783" t="s">
        <v>1282</v>
      </c>
      <c r="D9783" s="26">
        <v>0.02</v>
      </c>
      <c r="E9783" s="26">
        <v>7.6600000000000001E-2</v>
      </c>
      <c r="F9783" s="26">
        <v>9.2999999999999992E-3</v>
      </c>
      <c r="G9783" s="26">
        <v>2.8199999999999999E-2</v>
      </c>
      <c r="H9783" s="26">
        <v>2.98E-2</v>
      </c>
      <c r="I9783" s="26">
        <v>1.26E-2</v>
      </c>
      <c r="J9783" s="26">
        <v>5.1999999999999998E-3</v>
      </c>
      <c r="K9783" s="26">
        <v>2.8E-3</v>
      </c>
      <c r="L9783" s="26">
        <v>1.2999999999999999E-3</v>
      </c>
      <c r="N9783">
        <v>695</v>
      </c>
    </row>
    <row r="9784" spans="1:14" x14ac:dyDescent="0.35">
      <c r="A9784" t="s">
        <v>228</v>
      </c>
      <c r="B9784" t="s">
        <v>248</v>
      </c>
      <c r="C9784" t="s">
        <v>1281</v>
      </c>
      <c r="D9784" s="26">
        <v>0.81079999999999997</v>
      </c>
      <c r="E9784" s="26">
        <v>0.40539999999999998</v>
      </c>
      <c r="F9784" s="26">
        <v>0.82230000000000003</v>
      </c>
      <c r="G9784" s="26">
        <v>0.61429999999999996</v>
      </c>
      <c r="H9784" s="26">
        <v>0.73939999999999995</v>
      </c>
      <c r="I9784" s="26">
        <v>0.57569999999999999</v>
      </c>
      <c r="J9784" s="26">
        <v>0.78900000000000003</v>
      </c>
      <c r="K9784" s="26">
        <v>0.78620000000000001</v>
      </c>
      <c r="L9784" s="26">
        <v>0.83299999999999996</v>
      </c>
      <c r="M9784" s="26">
        <v>0.90300000000000002</v>
      </c>
      <c r="N9784">
        <v>695</v>
      </c>
    </row>
    <row r="9785" spans="1:14" x14ac:dyDescent="0.35">
      <c r="A9785" t="s">
        <v>228</v>
      </c>
      <c r="B9785" t="s">
        <v>249</v>
      </c>
      <c r="C9785" t="s">
        <v>1282</v>
      </c>
      <c r="D9785" s="26">
        <v>2.5700000000000001E-2</v>
      </c>
      <c r="E9785" s="26">
        <v>2.1600000000000001E-2</v>
      </c>
      <c r="F9785" s="26">
        <v>5.0000000000000001E-3</v>
      </c>
      <c r="G9785" s="26">
        <v>3.3E-3</v>
      </c>
      <c r="H9785" s="26">
        <v>2.8E-3</v>
      </c>
      <c r="I9785" s="26">
        <v>8.9999999999999998E-4</v>
      </c>
      <c r="K9785" s="26">
        <v>4.5999999999999999E-3</v>
      </c>
      <c r="L9785" s="26">
        <v>4.3E-3</v>
      </c>
      <c r="N9785">
        <v>249</v>
      </c>
    </row>
    <row r="9786" spans="1:14" x14ac:dyDescent="0.35">
      <c r="A9786" t="s">
        <v>228</v>
      </c>
      <c r="B9786" t="s">
        <v>249</v>
      </c>
      <c r="C9786" t="s">
        <v>1283</v>
      </c>
      <c r="D9786" s="26">
        <v>8.7300000000000003E-2</v>
      </c>
      <c r="E9786" s="26">
        <v>0.1308</v>
      </c>
      <c r="F9786" s="26">
        <v>2.2599999999999999E-2</v>
      </c>
      <c r="G9786" s="26">
        <v>0.1022</v>
      </c>
      <c r="H9786" s="26">
        <v>0.1694</v>
      </c>
      <c r="I9786" s="26">
        <v>1.78E-2</v>
      </c>
      <c r="J9786" s="26">
        <v>5.2999999999999999E-2</v>
      </c>
      <c r="K9786" s="26">
        <v>0.1152</v>
      </c>
      <c r="L9786" s="26">
        <v>6.2700000000000006E-2</v>
      </c>
      <c r="M9786" s="26">
        <v>7.2599999999999998E-2</v>
      </c>
      <c r="N9786">
        <v>249</v>
      </c>
    </row>
    <row r="9787" spans="1:14" x14ac:dyDescent="0.35">
      <c r="A9787" t="s">
        <v>228</v>
      </c>
      <c r="B9787" t="s">
        <v>249</v>
      </c>
      <c r="C9787" t="s">
        <v>1281</v>
      </c>
      <c r="D9787" s="26">
        <v>0.82650000000000001</v>
      </c>
      <c r="E9787" s="26">
        <v>0.3856</v>
      </c>
      <c r="F9787" s="26">
        <v>0.74160000000000004</v>
      </c>
      <c r="G9787" s="26">
        <v>0.61550000000000005</v>
      </c>
      <c r="H9787" s="26">
        <v>0.78620000000000001</v>
      </c>
      <c r="I9787" s="26">
        <v>0.74050000000000005</v>
      </c>
      <c r="J9787" s="26">
        <v>0.94140000000000001</v>
      </c>
      <c r="K9787" s="26">
        <v>0.86660000000000004</v>
      </c>
      <c r="L9787" s="26">
        <v>0.89910000000000001</v>
      </c>
      <c r="M9787" s="26">
        <v>0.92589999999999995</v>
      </c>
      <c r="N9787">
        <v>249</v>
      </c>
    </row>
    <row r="9788" spans="1:14" x14ac:dyDescent="0.35">
      <c r="A9788" t="s">
        <v>228</v>
      </c>
      <c r="B9788" t="s">
        <v>249</v>
      </c>
      <c r="C9788" t="s">
        <v>303</v>
      </c>
      <c r="D9788" s="26">
        <v>6.0400000000000002E-2</v>
      </c>
      <c r="E9788" s="26">
        <v>0.46200000000000002</v>
      </c>
      <c r="F9788" s="26">
        <v>0.23080000000000001</v>
      </c>
      <c r="G9788" s="26">
        <v>0.27900000000000003</v>
      </c>
      <c r="H9788" s="26">
        <v>4.1599999999999998E-2</v>
      </c>
      <c r="I9788" s="26">
        <v>0.24079999999999999</v>
      </c>
      <c r="J9788" s="26">
        <v>5.5999999999999999E-3</v>
      </c>
      <c r="K9788" s="26">
        <v>1.3599999999999999E-2</v>
      </c>
      <c r="L9788" s="26">
        <v>3.39E-2</v>
      </c>
      <c r="M9788" s="26">
        <v>1.5E-3</v>
      </c>
      <c r="N9788">
        <v>249</v>
      </c>
    </row>
    <row r="9789" spans="1:14" x14ac:dyDescent="0.35">
      <c r="A9789" t="s">
        <v>229</v>
      </c>
      <c r="B9789" t="s">
        <v>248</v>
      </c>
      <c r="C9789" t="s">
        <v>1283</v>
      </c>
      <c r="D9789" s="26">
        <v>9.4100000000000003E-2</v>
      </c>
      <c r="E9789" s="26">
        <v>0.1401</v>
      </c>
      <c r="F9789" s="26">
        <v>7.3999999999999996E-2</v>
      </c>
      <c r="G9789" s="26">
        <v>0.2167</v>
      </c>
      <c r="H9789" s="26">
        <v>0.25609999999999999</v>
      </c>
      <c r="I9789" s="26">
        <v>2.3300000000000001E-2</v>
      </c>
      <c r="J9789" s="26">
        <v>0.16220000000000001</v>
      </c>
      <c r="K9789" s="26">
        <v>0.2001</v>
      </c>
      <c r="L9789" s="26">
        <v>0.13039999999999999</v>
      </c>
      <c r="M9789" s="26">
        <v>8.5800000000000001E-2</v>
      </c>
      <c r="N9789">
        <v>569</v>
      </c>
    </row>
    <row r="9790" spans="1:14" x14ac:dyDescent="0.35">
      <c r="A9790" t="s">
        <v>229</v>
      </c>
      <c r="B9790" t="s">
        <v>248</v>
      </c>
      <c r="C9790" t="s">
        <v>303</v>
      </c>
      <c r="D9790" s="26">
        <v>3.1399999999999997E-2</v>
      </c>
      <c r="E9790" s="26">
        <v>0.38879999999999998</v>
      </c>
      <c r="F9790" s="26">
        <v>0.1216</v>
      </c>
      <c r="G9790" s="26">
        <v>0.14949999999999999</v>
      </c>
      <c r="H9790" s="26">
        <v>1.55E-2</v>
      </c>
      <c r="I9790" s="26">
        <v>0.35670000000000002</v>
      </c>
      <c r="J9790" s="26">
        <v>2.4299999999999999E-2</v>
      </c>
      <c r="K9790" s="26">
        <v>1.6999999999999999E-3</v>
      </c>
      <c r="L9790" s="26">
        <v>2.63E-2</v>
      </c>
      <c r="M9790" s="26">
        <v>5.0000000000000001E-3</v>
      </c>
      <c r="N9790">
        <v>569</v>
      </c>
    </row>
    <row r="9791" spans="1:14" x14ac:dyDescent="0.35">
      <c r="A9791" t="s">
        <v>229</v>
      </c>
      <c r="B9791" t="s">
        <v>248</v>
      </c>
      <c r="C9791" t="s">
        <v>1281</v>
      </c>
      <c r="D9791" s="26">
        <v>0.83399999999999996</v>
      </c>
      <c r="E9791" s="26">
        <v>0.40660000000000002</v>
      </c>
      <c r="F9791" s="26">
        <v>0.79949999999999999</v>
      </c>
      <c r="G9791" s="26">
        <v>0.61009999999999998</v>
      </c>
      <c r="H9791" s="26">
        <v>0.7157</v>
      </c>
      <c r="I9791" s="26">
        <v>0.61140000000000005</v>
      </c>
      <c r="J9791" s="26">
        <v>0.80810000000000004</v>
      </c>
      <c r="K9791" s="26">
        <v>0.77810000000000001</v>
      </c>
      <c r="L9791" s="26">
        <v>0.84309999999999996</v>
      </c>
      <c r="M9791" s="26">
        <v>0.90780000000000005</v>
      </c>
      <c r="N9791">
        <v>569</v>
      </c>
    </row>
    <row r="9792" spans="1:14" x14ac:dyDescent="0.35">
      <c r="A9792" t="s">
        <v>229</v>
      </c>
      <c r="B9792" t="s">
        <v>248</v>
      </c>
      <c r="C9792" t="s">
        <v>1282</v>
      </c>
      <c r="D9792" s="26">
        <v>4.0500000000000001E-2</v>
      </c>
      <c r="E9792" s="26">
        <v>6.4500000000000002E-2</v>
      </c>
      <c r="F9792" s="26">
        <v>5.0000000000000001E-3</v>
      </c>
      <c r="G9792" s="26">
        <v>2.3699999999999999E-2</v>
      </c>
      <c r="H9792" s="26">
        <v>1.2699999999999999E-2</v>
      </c>
      <c r="I9792" s="26">
        <v>8.6E-3</v>
      </c>
      <c r="J9792" s="26">
        <v>5.4000000000000003E-3</v>
      </c>
      <c r="K9792" s="26">
        <v>0.02</v>
      </c>
      <c r="L9792" s="26">
        <v>2.9999999999999997E-4</v>
      </c>
      <c r="M9792" s="26">
        <v>1.4E-3</v>
      </c>
      <c r="N9792">
        <v>569</v>
      </c>
    </row>
    <row r="9793" spans="1:14" x14ac:dyDescent="0.35">
      <c r="A9793" t="s">
        <v>229</v>
      </c>
      <c r="B9793" t="s">
        <v>249</v>
      </c>
      <c r="C9793" t="s">
        <v>1283</v>
      </c>
      <c r="D9793" s="26">
        <v>0.1026</v>
      </c>
      <c r="E9793" s="26">
        <v>9.5100000000000004E-2</v>
      </c>
      <c r="F9793" s="26">
        <v>2.0400000000000001E-2</v>
      </c>
      <c r="G9793" s="26">
        <v>0.1045</v>
      </c>
      <c r="H9793" s="26">
        <v>0.12889999999999999</v>
      </c>
      <c r="I9793" s="26">
        <v>2.1499999999999998E-2</v>
      </c>
      <c r="J9793" s="26">
        <v>5.7799999999999997E-2</v>
      </c>
      <c r="K9793" s="26">
        <v>0.16209999999999999</v>
      </c>
      <c r="L9793" s="26">
        <v>0.126</v>
      </c>
      <c r="M9793" s="26">
        <v>7.3700000000000002E-2</v>
      </c>
      <c r="N9793">
        <v>224</v>
      </c>
    </row>
    <row r="9794" spans="1:14" x14ac:dyDescent="0.35">
      <c r="A9794" t="s">
        <v>229</v>
      </c>
      <c r="B9794" t="s">
        <v>249</v>
      </c>
      <c r="C9794" t="s">
        <v>1282</v>
      </c>
      <c r="D9794" s="26">
        <v>2.9999999999999997E-4</v>
      </c>
      <c r="E9794" s="26">
        <v>5.8500000000000003E-2</v>
      </c>
      <c r="F9794" s="26">
        <v>1.34E-2</v>
      </c>
      <c r="G9794" s="26">
        <v>8.9999999999999998E-4</v>
      </c>
      <c r="H9794" s="26">
        <v>3.9699999999999999E-2</v>
      </c>
      <c r="I9794" s="26">
        <v>8.5000000000000006E-3</v>
      </c>
      <c r="K9794" s="26">
        <v>5.9999999999999995E-4</v>
      </c>
      <c r="M9794" s="26">
        <v>2.9999999999999997E-4</v>
      </c>
      <c r="N9794">
        <v>224</v>
      </c>
    </row>
    <row r="9795" spans="1:14" x14ac:dyDescent="0.35">
      <c r="A9795" t="s">
        <v>229</v>
      </c>
      <c r="B9795" t="s">
        <v>249</v>
      </c>
      <c r="C9795" t="s">
        <v>1281</v>
      </c>
      <c r="D9795" s="26">
        <v>0.84950000000000003</v>
      </c>
      <c r="E9795" s="26">
        <v>0.37740000000000001</v>
      </c>
      <c r="F9795" s="26">
        <v>0.79769999999999996</v>
      </c>
      <c r="G9795" s="26">
        <v>0.61019999999999996</v>
      </c>
      <c r="H9795" s="26">
        <v>0.7913</v>
      </c>
      <c r="I9795" s="26">
        <v>0.70289999999999997</v>
      </c>
      <c r="J9795" s="26">
        <v>0.93879999999999997</v>
      </c>
      <c r="K9795" s="26">
        <v>0.83620000000000005</v>
      </c>
      <c r="L9795" s="26">
        <v>0.84130000000000005</v>
      </c>
      <c r="M9795" s="26">
        <v>0.90669999999999995</v>
      </c>
      <c r="N9795">
        <v>224</v>
      </c>
    </row>
    <row r="9796" spans="1:14" x14ac:dyDescent="0.35">
      <c r="A9796" t="s">
        <v>229</v>
      </c>
      <c r="B9796" t="s">
        <v>249</v>
      </c>
      <c r="C9796" t="s">
        <v>303</v>
      </c>
      <c r="D9796" s="26">
        <v>4.7600000000000003E-2</v>
      </c>
      <c r="E9796" s="26">
        <v>0.46899999999999997</v>
      </c>
      <c r="F9796" s="26">
        <v>0.16850000000000001</v>
      </c>
      <c r="G9796" s="26">
        <v>0.28439999999999999</v>
      </c>
      <c r="H9796" s="26">
        <v>4.02E-2</v>
      </c>
      <c r="I9796" s="26">
        <v>0.2671</v>
      </c>
      <c r="J9796" s="26">
        <v>3.3999999999999998E-3</v>
      </c>
      <c r="K9796" s="26">
        <v>1.1000000000000001E-3</v>
      </c>
      <c r="L9796" s="26">
        <v>3.27E-2</v>
      </c>
      <c r="M9796" s="26">
        <v>1.9300000000000001E-2</v>
      </c>
      <c r="N9796">
        <v>224</v>
      </c>
    </row>
    <row r="9797" spans="1:14" x14ac:dyDescent="0.35">
      <c r="A9797" t="s">
        <v>230</v>
      </c>
      <c r="B9797" t="s">
        <v>249</v>
      </c>
      <c r="C9797" t="s">
        <v>1281</v>
      </c>
      <c r="D9797" s="26">
        <v>0.75619999999999998</v>
      </c>
      <c r="E9797" s="26">
        <v>0.25369999999999998</v>
      </c>
      <c r="F9797" s="26">
        <v>0.6452</v>
      </c>
      <c r="G9797" s="26">
        <v>0.47539999999999999</v>
      </c>
      <c r="H9797" s="26">
        <v>0.68700000000000006</v>
      </c>
      <c r="I9797" s="26">
        <v>0.59389999999999998</v>
      </c>
      <c r="J9797" s="26">
        <v>0.92</v>
      </c>
      <c r="K9797" s="26">
        <v>0.71220000000000006</v>
      </c>
      <c r="L9797" s="26">
        <v>0.80100000000000005</v>
      </c>
      <c r="M9797" s="26">
        <v>0.88229999999999997</v>
      </c>
      <c r="N9797">
        <v>156</v>
      </c>
    </row>
    <row r="9798" spans="1:14" x14ac:dyDescent="0.35">
      <c r="A9798" t="s">
        <v>230</v>
      </c>
      <c r="B9798" t="s">
        <v>249</v>
      </c>
      <c r="C9798" t="s">
        <v>1283</v>
      </c>
      <c r="D9798" s="26">
        <v>0.1535</v>
      </c>
      <c r="E9798" s="26">
        <v>0.17050000000000001</v>
      </c>
      <c r="F9798" s="26">
        <v>4.6199999999999998E-2</v>
      </c>
      <c r="G9798" s="26">
        <v>0.1135</v>
      </c>
      <c r="H9798" s="26">
        <v>0.2452</v>
      </c>
      <c r="I9798" s="26">
        <v>4.24E-2</v>
      </c>
      <c r="J9798" s="26">
        <v>0.08</v>
      </c>
      <c r="K9798" s="26">
        <v>0.2848</v>
      </c>
      <c r="L9798" s="26">
        <v>0.17269999999999999</v>
      </c>
      <c r="M9798" s="26">
        <v>0.112</v>
      </c>
      <c r="N9798">
        <v>156</v>
      </c>
    </row>
    <row r="9799" spans="1:14" x14ac:dyDescent="0.35">
      <c r="A9799" t="s">
        <v>230</v>
      </c>
      <c r="B9799" t="s">
        <v>249</v>
      </c>
      <c r="C9799" t="s">
        <v>303</v>
      </c>
      <c r="D9799" s="26">
        <v>9.0200000000000002E-2</v>
      </c>
      <c r="E9799" s="26">
        <v>0.47610000000000002</v>
      </c>
      <c r="F9799" s="26">
        <v>0.30280000000000001</v>
      </c>
      <c r="G9799" s="26">
        <v>0.4042</v>
      </c>
      <c r="H9799" s="26">
        <v>2.6200000000000001E-2</v>
      </c>
      <c r="I9799" s="26">
        <v>0.34620000000000001</v>
      </c>
      <c r="L9799" s="26">
        <v>2.3300000000000001E-2</v>
      </c>
      <c r="M9799" s="26">
        <v>2.8999999999999998E-3</v>
      </c>
      <c r="N9799">
        <v>156</v>
      </c>
    </row>
    <row r="9800" spans="1:14" x14ac:dyDescent="0.35">
      <c r="A9800" t="s">
        <v>230</v>
      </c>
      <c r="B9800" t="s">
        <v>248</v>
      </c>
      <c r="C9800" t="s">
        <v>1281</v>
      </c>
      <c r="D9800" s="26">
        <v>0.78700000000000003</v>
      </c>
      <c r="E9800" s="26">
        <v>0.40229999999999999</v>
      </c>
      <c r="F9800" s="26">
        <v>0.8417</v>
      </c>
      <c r="G9800" s="26">
        <v>0.57210000000000005</v>
      </c>
      <c r="H9800" s="26">
        <v>0.68959999999999999</v>
      </c>
      <c r="I9800" s="26">
        <v>0.65659999999999996</v>
      </c>
      <c r="J9800" s="26">
        <v>0.76690000000000003</v>
      </c>
      <c r="K9800" s="26">
        <v>0.78839999999999999</v>
      </c>
      <c r="L9800" s="26">
        <v>0.78590000000000004</v>
      </c>
      <c r="M9800" s="26">
        <v>0.83860000000000001</v>
      </c>
      <c r="N9800">
        <v>359</v>
      </c>
    </row>
    <row r="9801" spans="1:14" x14ac:dyDescent="0.35">
      <c r="A9801" t="s">
        <v>230</v>
      </c>
      <c r="B9801" t="s">
        <v>248</v>
      </c>
      <c r="C9801" t="s">
        <v>1282</v>
      </c>
      <c r="D9801" s="26">
        <v>6.8999999999999999E-3</v>
      </c>
      <c r="E9801" s="26">
        <v>7.3499999999999996E-2</v>
      </c>
      <c r="F9801" s="26">
        <v>1.46E-2</v>
      </c>
      <c r="G9801" s="26">
        <v>5.5999999999999999E-3</v>
      </c>
      <c r="H9801" s="26">
        <v>3.04E-2</v>
      </c>
      <c r="I9801" s="26">
        <v>1.11E-2</v>
      </c>
      <c r="J9801" s="26">
        <v>3.5000000000000001E-3</v>
      </c>
      <c r="L9801" s="26">
        <v>9.1000000000000004E-3</v>
      </c>
      <c r="M9801" s="26">
        <v>5.0000000000000001E-4</v>
      </c>
      <c r="N9801">
        <v>359</v>
      </c>
    </row>
    <row r="9802" spans="1:14" x14ac:dyDescent="0.35">
      <c r="A9802" t="s">
        <v>230</v>
      </c>
      <c r="B9802" t="s">
        <v>248</v>
      </c>
      <c r="C9802" t="s">
        <v>1283</v>
      </c>
      <c r="D9802" s="26">
        <v>0.17829999999999999</v>
      </c>
      <c r="E9802" s="26">
        <v>0.1777</v>
      </c>
      <c r="F9802" s="26">
        <v>7.7200000000000005E-2</v>
      </c>
      <c r="G9802" s="26">
        <v>0.27510000000000001</v>
      </c>
      <c r="H9802" s="26">
        <v>0.27539999999999998</v>
      </c>
      <c r="I9802" s="26">
        <v>2.75E-2</v>
      </c>
      <c r="J9802" s="26">
        <v>0.2291</v>
      </c>
      <c r="K9802" s="26">
        <v>0.21010000000000001</v>
      </c>
      <c r="L9802" s="26">
        <v>0.2036</v>
      </c>
      <c r="M9802" s="26">
        <v>0.1474</v>
      </c>
      <c r="N9802">
        <v>359</v>
      </c>
    </row>
    <row r="9803" spans="1:14" x14ac:dyDescent="0.35">
      <c r="A9803" t="s">
        <v>230</v>
      </c>
      <c r="B9803" t="s">
        <v>248</v>
      </c>
      <c r="C9803" t="s">
        <v>303</v>
      </c>
      <c r="D9803" s="26">
        <v>2.7799999999999998E-2</v>
      </c>
      <c r="E9803" s="26">
        <v>0.34649999999999997</v>
      </c>
      <c r="F9803" s="26">
        <v>6.6500000000000004E-2</v>
      </c>
      <c r="G9803" s="26">
        <v>0.1472</v>
      </c>
      <c r="H9803" s="26">
        <v>4.4999999999999997E-3</v>
      </c>
      <c r="I9803" s="26">
        <v>0.30480000000000002</v>
      </c>
      <c r="J9803" s="26">
        <v>5.0000000000000001E-4</v>
      </c>
      <c r="K9803" s="26">
        <v>1.5E-3</v>
      </c>
      <c r="L9803" s="26">
        <v>1.4E-3</v>
      </c>
      <c r="M9803" s="26">
        <v>1.35E-2</v>
      </c>
      <c r="N9803">
        <v>359</v>
      </c>
    </row>
    <row r="9804" spans="1:14" x14ac:dyDescent="0.35">
      <c r="A9804" t="s">
        <v>231</v>
      </c>
      <c r="B9804" t="s">
        <v>248</v>
      </c>
      <c r="C9804" t="s">
        <v>303</v>
      </c>
      <c r="D9804" s="26">
        <v>2.6499999999999999E-2</v>
      </c>
      <c r="E9804" s="26">
        <v>0.38940000000000002</v>
      </c>
      <c r="F9804" s="26">
        <v>0.1239</v>
      </c>
      <c r="G9804" s="26">
        <v>0.13639999999999999</v>
      </c>
      <c r="I9804" s="26">
        <v>0.3009</v>
      </c>
      <c r="L9804" s="26">
        <v>2.6499999999999999E-2</v>
      </c>
      <c r="M9804" s="26">
        <v>2.6499999999999999E-2</v>
      </c>
      <c r="N9804">
        <v>113</v>
      </c>
    </row>
    <row r="9805" spans="1:14" x14ac:dyDescent="0.35">
      <c r="A9805" t="s">
        <v>231</v>
      </c>
      <c r="B9805" t="s">
        <v>248</v>
      </c>
      <c r="C9805" t="s">
        <v>1283</v>
      </c>
      <c r="D9805" s="26">
        <v>0.13270000000000001</v>
      </c>
      <c r="E9805" s="26">
        <v>0.1416</v>
      </c>
      <c r="F9805" s="26">
        <v>2.6499999999999999E-2</v>
      </c>
      <c r="G9805" s="26">
        <v>0.20910000000000001</v>
      </c>
      <c r="H9805" s="26">
        <v>0.20349999999999999</v>
      </c>
      <c r="I9805" s="26">
        <v>3.5400000000000001E-2</v>
      </c>
      <c r="J9805" s="26">
        <v>0.2301</v>
      </c>
      <c r="K9805" s="26">
        <v>0.17699999999999999</v>
      </c>
      <c r="L9805" s="26">
        <v>0.1239</v>
      </c>
      <c r="M9805" s="26">
        <v>7.0800000000000002E-2</v>
      </c>
      <c r="N9805">
        <v>113</v>
      </c>
    </row>
    <row r="9806" spans="1:14" x14ac:dyDescent="0.35">
      <c r="A9806" t="s">
        <v>231</v>
      </c>
      <c r="B9806" t="s">
        <v>248</v>
      </c>
      <c r="C9806" t="s">
        <v>1282</v>
      </c>
      <c r="D9806" s="26">
        <v>1.77E-2</v>
      </c>
      <c r="E9806" s="26">
        <v>5.3100000000000001E-2</v>
      </c>
      <c r="F9806" s="26">
        <v>1.77E-2</v>
      </c>
      <c r="H9806" s="26">
        <v>3.5400000000000001E-2</v>
      </c>
      <c r="J9806" s="26">
        <v>8.8000000000000005E-3</v>
      </c>
      <c r="K9806" s="26">
        <v>1.77E-2</v>
      </c>
      <c r="L9806" s="26">
        <v>8.8000000000000005E-3</v>
      </c>
      <c r="N9806">
        <v>113</v>
      </c>
    </row>
    <row r="9807" spans="1:14" x14ac:dyDescent="0.35">
      <c r="A9807" t="s">
        <v>231</v>
      </c>
      <c r="B9807" t="s">
        <v>248</v>
      </c>
      <c r="C9807" t="s">
        <v>1281</v>
      </c>
      <c r="D9807" s="26">
        <v>0.82299999999999995</v>
      </c>
      <c r="E9807" s="26">
        <v>0.41589999999999999</v>
      </c>
      <c r="F9807" s="26">
        <v>0.83189999999999997</v>
      </c>
      <c r="G9807" s="26">
        <v>0.65449999999999997</v>
      </c>
      <c r="H9807" s="26">
        <v>0.7611</v>
      </c>
      <c r="I9807" s="26">
        <v>0.66369999999999996</v>
      </c>
      <c r="J9807" s="26">
        <v>0.7611</v>
      </c>
      <c r="K9807" s="26">
        <v>0.80530000000000002</v>
      </c>
      <c r="L9807" s="26">
        <v>0.8407</v>
      </c>
      <c r="M9807" s="26">
        <v>0.90269999999999995</v>
      </c>
      <c r="N9807">
        <v>113</v>
      </c>
    </row>
    <row r="9808" spans="1:14" x14ac:dyDescent="0.35">
      <c r="A9808" t="s">
        <v>231</v>
      </c>
      <c r="B9808" t="s">
        <v>249</v>
      </c>
      <c r="C9808" t="s">
        <v>1281</v>
      </c>
      <c r="D9808" s="26">
        <v>0.6875</v>
      </c>
      <c r="E9808" s="26">
        <v>0.21879999999999999</v>
      </c>
      <c r="F9808" s="26">
        <v>0.625</v>
      </c>
      <c r="G9808" s="26">
        <v>0.4194</v>
      </c>
      <c r="H9808" s="26">
        <v>0.65620000000000001</v>
      </c>
      <c r="I9808" s="26">
        <v>0.46870000000000001</v>
      </c>
      <c r="J9808" s="26">
        <v>0.875</v>
      </c>
      <c r="K9808" s="26">
        <v>0.6875</v>
      </c>
      <c r="L9808" s="26">
        <v>0.84379999999999999</v>
      </c>
      <c r="M9808" s="26">
        <v>0.90620000000000001</v>
      </c>
      <c r="N9808">
        <v>32</v>
      </c>
    </row>
    <row r="9809" spans="1:14" x14ac:dyDescent="0.35">
      <c r="A9809" t="s">
        <v>231</v>
      </c>
      <c r="B9809" t="s">
        <v>249</v>
      </c>
      <c r="C9809" t="s">
        <v>1283</v>
      </c>
      <c r="D9809" s="26">
        <v>0.15620000000000001</v>
      </c>
      <c r="E9809" s="26">
        <v>9.3799999999999994E-2</v>
      </c>
      <c r="G9809" s="26">
        <v>0.2258</v>
      </c>
      <c r="H9809" s="26">
        <v>0.3125</v>
      </c>
      <c r="I9809" s="26">
        <v>9.3799999999999994E-2</v>
      </c>
      <c r="J9809" s="26">
        <v>9.3799999999999994E-2</v>
      </c>
      <c r="K9809" s="26">
        <v>0.3125</v>
      </c>
      <c r="L9809" s="26">
        <v>9.3799999999999994E-2</v>
      </c>
      <c r="M9809" s="26">
        <v>9.3799999999999994E-2</v>
      </c>
      <c r="N9809">
        <v>32</v>
      </c>
    </row>
    <row r="9810" spans="1:14" x14ac:dyDescent="0.35">
      <c r="A9810" t="s">
        <v>231</v>
      </c>
      <c r="B9810" t="s">
        <v>249</v>
      </c>
      <c r="C9810" t="s">
        <v>1282</v>
      </c>
      <c r="D9810" s="26">
        <v>3.1199999999999999E-2</v>
      </c>
      <c r="E9810" s="26">
        <v>3.1199999999999999E-2</v>
      </c>
      <c r="G9810" s="26">
        <v>3.2300000000000002E-2</v>
      </c>
      <c r="I9810" s="26">
        <v>3.1199999999999999E-2</v>
      </c>
      <c r="N9810">
        <v>32</v>
      </c>
    </row>
    <row r="9811" spans="1:14" x14ac:dyDescent="0.35">
      <c r="A9811" t="s">
        <v>231</v>
      </c>
      <c r="B9811" t="s">
        <v>249</v>
      </c>
      <c r="C9811" t="s">
        <v>303</v>
      </c>
      <c r="D9811" s="26">
        <v>0.125</v>
      </c>
      <c r="E9811" s="26">
        <v>0.65620000000000001</v>
      </c>
      <c r="F9811" s="26">
        <v>0.375</v>
      </c>
      <c r="G9811" s="26">
        <v>0.3226</v>
      </c>
      <c r="H9811" s="26">
        <v>3.1199999999999999E-2</v>
      </c>
      <c r="I9811" s="26">
        <v>0.40620000000000001</v>
      </c>
      <c r="J9811" s="26">
        <v>3.1199999999999999E-2</v>
      </c>
      <c r="L9811" s="26">
        <v>6.25E-2</v>
      </c>
      <c r="N9811">
        <v>32</v>
      </c>
    </row>
    <row r="9812" spans="1:14" x14ac:dyDescent="0.35">
      <c r="A9812" t="s">
        <v>232</v>
      </c>
      <c r="B9812" t="s">
        <v>232</v>
      </c>
      <c r="C9812" t="s">
        <v>1283</v>
      </c>
      <c r="D9812" s="26">
        <v>0.12759999999999999</v>
      </c>
      <c r="E9812" s="26">
        <v>0.1409</v>
      </c>
      <c r="F9812" s="26">
        <v>4.8899999999999999E-2</v>
      </c>
      <c r="G9812" s="26">
        <v>0.2019</v>
      </c>
      <c r="H9812" s="26">
        <v>0.2152</v>
      </c>
      <c r="I9812" s="26">
        <v>4.0599999999999997E-2</v>
      </c>
      <c r="J9812" s="26">
        <v>0.1648</v>
      </c>
      <c r="K9812" s="26">
        <v>0.2019</v>
      </c>
      <c r="L9812" s="26">
        <v>0.14050000000000001</v>
      </c>
      <c r="M9812" s="26">
        <v>9.2600000000000002E-2</v>
      </c>
      <c r="N9812">
        <v>2546</v>
      </c>
    </row>
    <row r="9813" spans="1:14" x14ac:dyDescent="0.35">
      <c r="A9813" t="s">
        <v>232</v>
      </c>
      <c r="B9813" t="s">
        <v>232</v>
      </c>
      <c r="C9813" t="s">
        <v>1281</v>
      </c>
      <c r="D9813" s="26">
        <v>0.81079999999999997</v>
      </c>
      <c r="E9813" s="26">
        <v>0.38419999999999999</v>
      </c>
      <c r="F9813" s="26">
        <v>0.80230000000000001</v>
      </c>
      <c r="G9813" s="26">
        <v>0.60229999999999995</v>
      </c>
      <c r="H9813" s="26">
        <v>0.74029999999999996</v>
      </c>
      <c r="I9813" s="26">
        <v>0.63570000000000004</v>
      </c>
      <c r="J9813" s="26">
        <v>0.82030000000000003</v>
      </c>
      <c r="K9813" s="26">
        <v>0.78349999999999997</v>
      </c>
      <c r="L9813" s="26">
        <v>0.83460000000000001</v>
      </c>
      <c r="M9813" s="26">
        <v>0.89729999999999999</v>
      </c>
      <c r="N9813">
        <v>2546</v>
      </c>
    </row>
    <row r="9814" spans="1:14" x14ac:dyDescent="0.35">
      <c r="A9814" t="s">
        <v>232</v>
      </c>
      <c r="B9814" t="s">
        <v>232</v>
      </c>
      <c r="C9814" t="s">
        <v>1282</v>
      </c>
      <c r="D9814" s="26">
        <v>2.1100000000000001E-2</v>
      </c>
      <c r="E9814" s="26">
        <v>6.2899999999999998E-2</v>
      </c>
      <c r="F9814" s="26">
        <v>1.17E-2</v>
      </c>
      <c r="G9814" s="26">
        <v>1.9599999999999999E-2</v>
      </c>
      <c r="H9814" s="26">
        <v>2.63E-2</v>
      </c>
      <c r="I9814" s="26">
        <v>7.3000000000000001E-3</v>
      </c>
      <c r="J9814" s="26">
        <v>5.8999999999999999E-3</v>
      </c>
      <c r="K9814" s="26">
        <v>1.14E-2</v>
      </c>
      <c r="L9814" s="26">
        <v>3.0000000000000001E-3</v>
      </c>
      <c r="M9814" s="26">
        <v>4.0000000000000002E-4</v>
      </c>
      <c r="N9814">
        <v>2546</v>
      </c>
    </row>
    <row r="9815" spans="1:14" x14ac:dyDescent="0.35">
      <c r="A9815" t="s">
        <v>232</v>
      </c>
      <c r="B9815" t="s">
        <v>232</v>
      </c>
      <c r="C9815" t="s">
        <v>303</v>
      </c>
      <c r="D9815" s="26">
        <v>4.0599999999999997E-2</v>
      </c>
      <c r="E9815" s="26">
        <v>0.41199999999999998</v>
      </c>
      <c r="F9815" s="26">
        <v>0.1371</v>
      </c>
      <c r="G9815" s="26">
        <v>0.17610000000000001</v>
      </c>
      <c r="H9815" s="26">
        <v>1.8200000000000001E-2</v>
      </c>
      <c r="I9815" s="26">
        <v>0.31640000000000001</v>
      </c>
      <c r="J9815" s="26">
        <v>8.9999999999999993E-3</v>
      </c>
      <c r="K9815" s="26">
        <v>3.2000000000000002E-3</v>
      </c>
      <c r="L9815" s="26">
        <v>2.1899999999999999E-2</v>
      </c>
      <c r="M9815" s="26">
        <v>9.7000000000000003E-3</v>
      </c>
      <c r="N9815">
        <v>2546</v>
      </c>
    </row>
    <row r="9817" spans="1:14" x14ac:dyDescent="0.35">
      <c r="A9817" s="1" t="s">
        <v>1303</v>
      </c>
    </row>
    <row r="9818" spans="1:14" x14ac:dyDescent="0.35">
      <c r="A9818" t="s">
        <v>219</v>
      </c>
      <c r="B9818" t="s">
        <v>305</v>
      </c>
      <c r="C9818" t="s">
        <v>1285</v>
      </c>
      <c r="D9818" t="s">
        <v>1286</v>
      </c>
      <c r="E9818" t="s">
        <v>1287</v>
      </c>
      <c r="F9818" t="s">
        <v>1288</v>
      </c>
      <c r="G9818" t="s">
        <v>1289</v>
      </c>
      <c r="H9818" t="s">
        <v>281</v>
      </c>
      <c r="I9818" t="s">
        <v>226</v>
      </c>
    </row>
    <row r="9819" spans="1:14" x14ac:dyDescent="0.35">
      <c r="A9819" s="27" t="s">
        <v>227</v>
      </c>
      <c r="B9819" s="27" t="s">
        <v>249</v>
      </c>
      <c r="C9819" s="28">
        <v>0.40910000000000002</v>
      </c>
      <c r="D9819" s="28">
        <v>0.40910000000000002</v>
      </c>
      <c r="E9819" s="28">
        <v>0.18179999999999999</v>
      </c>
      <c r="F9819" s="28">
        <v>9.0899999999999995E-2</v>
      </c>
      <c r="G9819" s="28">
        <v>0.31819999999999998</v>
      </c>
      <c r="H9819" s="29"/>
      <c r="I9819" s="29" t="s">
        <v>347</v>
      </c>
    </row>
    <row r="9820" spans="1:14" x14ac:dyDescent="0.35">
      <c r="A9820" t="s">
        <v>227</v>
      </c>
      <c r="B9820" t="s">
        <v>248</v>
      </c>
      <c r="C9820" s="26">
        <v>0.3488</v>
      </c>
      <c r="D9820" s="26">
        <v>0.41860000000000003</v>
      </c>
      <c r="E9820" s="26">
        <v>0.27910000000000001</v>
      </c>
      <c r="F9820" s="26">
        <v>0.13950000000000001</v>
      </c>
      <c r="G9820" s="26">
        <v>2.3300000000000001E-2</v>
      </c>
      <c r="I9820">
        <v>43</v>
      </c>
    </row>
    <row r="9821" spans="1:14" x14ac:dyDescent="0.35">
      <c r="A9821" t="s">
        <v>228</v>
      </c>
      <c r="B9821" t="s">
        <v>249</v>
      </c>
      <c r="C9821" s="26">
        <v>0.4612</v>
      </c>
      <c r="D9821" s="26">
        <v>0.40129999999999999</v>
      </c>
      <c r="E9821" s="26">
        <v>0.36</v>
      </c>
      <c r="F9821" s="26">
        <v>0.19009999999999999</v>
      </c>
      <c r="G9821" s="26">
        <v>0.13200000000000001</v>
      </c>
      <c r="H9821" s="26">
        <v>3.2399999999999998E-2</v>
      </c>
      <c r="I9821">
        <v>155</v>
      </c>
    </row>
    <row r="9822" spans="1:14" x14ac:dyDescent="0.35">
      <c r="A9822" t="s">
        <v>228</v>
      </c>
      <c r="B9822" t="s">
        <v>248</v>
      </c>
      <c r="C9822" s="26">
        <v>0.44669999999999999</v>
      </c>
      <c r="D9822" s="26">
        <v>0.49869999999999998</v>
      </c>
      <c r="E9822" s="26">
        <v>0.31780000000000003</v>
      </c>
      <c r="F9822" s="26">
        <v>6.2E-2</v>
      </c>
      <c r="G9822" s="26">
        <v>5.8200000000000002E-2</v>
      </c>
      <c r="H9822" s="26">
        <v>3.8699999999999998E-2</v>
      </c>
      <c r="I9822">
        <v>399</v>
      </c>
    </row>
    <row r="9823" spans="1:14" x14ac:dyDescent="0.35">
      <c r="A9823" t="s">
        <v>229</v>
      </c>
      <c r="B9823" t="s">
        <v>249</v>
      </c>
      <c r="C9823" s="26">
        <v>0.4516</v>
      </c>
      <c r="D9823" s="26">
        <v>0.32640000000000002</v>
      </c>
      <c r="E9823" s="26">
        <v>0.39500000000000002</v>
      </c>
      <c r="F9823" s="26">
        <v>0.10979999999999999</v>
      </c>
      <c r="G9823" s="26">
        <v>0.15740000000000001</v>
      </c>
      <c r="H9823" s="26">
        <v>6.5299999999999997E-2</v>
      </c>
      <c r="I9823">
        <v>134</v>
      </c>
    </row>
    <row r="9824" spans="1:14" x14ac:dyDescent="0.35">
      <c r="A9824" t="s">
        <v>229</v>
      </c>
      <c r="B9824" t="s">
        <v>248</v>
      </c>
      <c r="C9824" s="26">
        <v>0.4945</v>
      </c>
      <c r="D9824" s="26">
        <v>0.50270000000000004</v>
      </c>
      <c r="E9824" s="26">
        <v>0.34110000000000001</v>
      </c>
      <c r="F9824" s="26">
        <v>8.1900000000000001E-2</v>
      </c>
      <c r="G9824" s="26">
        <v>8.1600000000000006E-2</v>
      </c>
      <c r="H9824" s="26">
        <v>3.1800000000000002E-2</v>
      </c>
      <c r="I9824">
        <v>293</v>
      </c>
    </row>
    <row r="9825" spans="1:14" x14ac:dyDescent="0.35">
      <c r="A9825" t="s">
        <v>230</v>
      </c>
      <c r="B9825" t="s">
        <v>249</v>
      </c>
      <c r="C9825" s="26">
        <v>0.50349999999999995</v>
      </c>
      <c r="D9825" s="26">
        <v>0.33639999999999998</v>
      </c>
      <c r="E9825" s="26">
        <v>0.33100000000000002</v>
      </c>
      <c r="F9825" s="26">
        <v>0.1157</v>
      </c>
      <c r="G9825" s="26">
        <v>0.19939999999999999</v>
      </c>
      <c r="H9825" s="26">
        <v>3.2399999999999998E-2</v>
      </c>
      <c r="I9825">
        <v>95</v>
      </c>
    </row>
    <row r="9826" spans="1:14" x14ac:dyDescent="0.35">
      <c r="A9826" t="s">
        <v>230</v>
      </c>
      <c r="B9826" t="s">
        <v>248</v>
      </c>
      <c r="C9826" s="26">
        <v>0.45879999999999999</v>
      </c>
      <c r="D9826" s="26">
        <v>0.55469999999999997</v>
      </c>
      <c r="E9826" s="26">
        <v>0.33610000000000001</v>
      </c>
      <c r="F9826" s="26">
        <v>0.1227</v>
      </c>
      <c r="G9826" s="26">
        <v>6.0499999999999998E-2</v>
      </c>
      <c r="H9826" s="26">
        <v>4.0599999999999997E-2</v>
      </c>
      <c r="I9826">
        <v>203</v>
      </c>
    </row>
    <row r="9827" spans="1:14" x14ac:dyDescent="0.35">
      <c r="A9827" s="27" t="s">
        <v>231</v>
      </c>
      <c r="B9827" s="27" t="s">
        <v>249</v>
      </c>
      <c r="C9827" s="28">
        <v>0.59260000000000002</v>
      </c>
      <c r="D9827" s="28">
        <v>0.40739999999999998</v>
      </c>
      <c r="E9827" s="28">
        <v>0.33329999999999999</v>
      </c>
      <c r="F9827" s="28">
        <v>3.6999999999999998E-2</v>
      </c>
      <c r="G9827" s="28">
        <v>0.1111</v>
      </c>
      <c r="H9827" s="28">
        <v>3.6999999999999998E-2</v>
      </c>
      <c r="I9827" s="29" t="s">
        <v>338</v>
      </c>
    </row>
    <row r="9828" spans="1:14" x14ac:dyDescent="0.35">
      <c r="A9828" t="s">
        <v>231</v>
      </c>
      <c r="B9828" t="s">
        <v>248</v>
      </c>
      <c r="C9828" s="26">
        <v>0.434</v>
      </c>
      <c r="D9828" s="26">
        <v>0.50939999999999996</v>
      </c>
      <c r="E9828" s="26">
        <v>0.3019</v>
      </c>
      <c r="F9828" s="26">
        <v>9.4299999999999995E-2</v>
      </c>
      <c r="G9828" s="26">
        <v>5.6599999999999998E-2</v>
      </c>
      <c r="H9828" s="26">
        <v>3.7699999999999997E-2</v>
      </c>
      <c r="I9828">
        <v>53</v>
      </c>
    </row>
    <row r="9829" spans="1:14" x14ac:dyDescent="0.35">
      <c r="A9829" t="s">
        <v>232</v>
      </c>
      <c r="B9829" t="s">
        <v>232</v>
      </c>
      <c r="C9829" s="26">
        <v>0.46189999999999998</v>
      </c>
      <c r="D9829" s="26">
        <v>0.45610000000000001</v>
      </c>
      <c r="E9829" s="26">
        <v>0.32429999999999998</v>
      </c>
      <c r="F9829" s="26">
        <v>9.6000000000000002E-2</v>
      </c>
      <c r="G9829" s="26">
        <v>9.6000000000000002E-2</v>
      </c>
      <c r="H9829" s="26">
        <v>3.4500000000000003E-2</v>
      </c>
      <c r="I9829">
        <v>1424</v>
      </c>
    </row>
    <row r="9831" spans="1:14" x14ac:dyDescent="0.35">
      <c r="A9831" s="1" t="s">
        <v>1304</v>
      </c>
    </row>
    <row r="9832" spans="1:14" x14ac:dyDescent="0.35">
      <c r="A9832" t="s">
        <v>219</v>
      </c>
      <c r="B9832" t="s">
        <v>305</v>
      </c>
      <c r="C9832" t="s">
        <v>1270</v>
      </c>
      <c r="D9832" t="s">
        <v>1271</v>
      </c>
      <c r="E9832" t="s">
        <v>1272</v>
      </c>
      <c r="F9832" t="s">
        <v>1273</v>
      </c>
      <c r="G9832" t="s">
        <v>1274</v>
      </c>
      <c r="H9832" t="s">
        <v>1275</v>
      </c>
      <c r="I9832" t="s">
        <v>1276</v>
      </c>
      <c r="J9832" t="s">
        <v>1277</v>
      </c>
      <c r="K9832" t="s">
        <v>1278</v>
      </c>
      <c r="L9832" t="s">
        <v>1279</v>
      </c>
      <c r="M9832" t="s">
        <v>1280</v>
      </c>
      <c r="N9832" t="s">
        <v>964</v>
      </c>
    </row>
    <row r="9833" spans="1:14" x14ac:dyDescent="0.35">
      <c r="A9833" s="27" t="s">
        <v>227</v>
      </c>
      <c r="B9833" s="27" t="s">
        <v>263</v>
      </c>
      <c r="C9833" s="27" t="s">
        <v>1281</v>
      </c>
      <c r="D9833" s="28">
        <v>1</v>
      </c>
      <c r="E9833" s="28">
        <v>0.66669999999999996</v>
      </c>
      <c r="F9833" s="28">
        <v>1</v>
      </c>
      <c r="G9833" s="28">
        <v>0.66669999999999996</v>
      </c>
      <c r="H9833" s="28">
        <v>1</v>
      </c>
      <c r="I9833" s="28">
        <v>1</v>
      </c>
      <c r="J9833" s="28">
        <v>1</v>
      </c>
      <c r="K9833" s="28">
        <v>1</v>
      </c>
      <c r="L9833" s="28">
        <v>1</v>
      </c>
      <c r="M9833" s="28">
        <v>1</v>
      </c>
      <c r="N9833" s="29">
        <v>3</v>
      </c>
    </row>
    <row r="9834" spans="1:14" x14ac:dyDescent="0.35">
      <c r="A9834" t="s">
        <v>227</v>
      </c>
      <c r="B9834" t="s">
        <v>260</v>
      </c>
      <c r="C9834" t="s">
        <v>303</v>
      </c>
      <c r="D9834" s="26">
        <v>2.6800000000000001E-2</v>
      </c>
      <c r="E9834" s="26">
        <v>0.33040000000000003</v>
      </c>
      <c r="F9834" s="26">
        <v>5.3600000000000002E-2</v>
      </c>
      <c r="G9834" s="26">
        <v>0.11609999999999999</v>
      </c>
      <c r="H9834" s="26">
        <v>1.7899999999999999E-2</v>
      </c>
      <c r="I9834" s="26">
        <v>0.25</v>
      </c>
      <c r="J9834" s="26">
        <v>8.8999999999999999E-3</v>
      </c>
      <c r="K9834" s="26">
        <v>8.8999999999999999E-3</v>
      </c>
      <c r="N9834">
        <v>112</v>
      </c>
    </row>
    <row r="9835" spans="1:14" x14ac:dyDescent="0.35">
      <c r="A9835" t="s">
        <v>227</v>
      </c>
      <c r="B9835" t="s">
        <v>260</v>
      </c>
      <c r="C9835" t="s">
        <v>1283</v>
      </c>
      <c r="D9835" s="26">
        <v>0.125</v>
      </c>
      <c r="E9835" s="26">
        <v>0.1875</v>
      </c>
      <c r="F9835" s="26">
        <v>5.3600000000000002E-2</v>
      </c>
      <c r="G9835" s="26">
        <v>0.21429999999999999</v>
      </c>
      <c r="H9835" s="26">
        <v>0.15179999999999999</v>
      </c>
      <c r="I9835" s="26">
        <v>8.9300000000000004E-2</v>
      </c>
      <c r="J9835" s="26">
        <v>0.16070000000000001</v>
      </c>
      <c r="K9835" s="26">
        <v>0.1696</v>
      </c>
      <c r="L9835" s="26">
        <v>0.16070000000000001</v>
      </c>
      <c r="M9835" s="26">
        <v>0.11609999999999999</v>
      </c>
      <c r="N9835">
        <v>112</v>
      </c>
    </row>
    <row r="9836" spans="1:14" x14ac:dyDescent="0.35">
      <c r="A9836" t="s">
        <v>227</v>
      </c>
      <c r="B9836" t="s">
        <v>260</v>
      </c>
      <c r="C9836" t="s">
        <v>1282</v>
      </c>
      <c r="D9836" s="26">
        <v>1.7899999999999999E-2</v>
      </c>
      <c r="E9836" s="26">
        <v>7.1400000000000005E-2</v>
      </c>
      <c r="F9836" s="26">
        <v>2.6800000000000001E-2</v>
      </c>
      <c r="G9836" s="26">
        <v>5.3600000000000002E-2</v>
      </c>
      <c r="H9836" s="26">
        <v>1.7899999999999999E-2</v>
      </c>
      <c r="J9836" s="26">
        <v>1.7899999999999999E-2</v>
      </c>
      <c r="K9836" s="26">
        <v>1.7899999999999999E-2</v>
      </c>
      <c r="N9836">
        <v>112</v>
      </c>
    </row>
    <row r="9837" spans="1:14" x14ac:dyDescent="0.35">
      <c r="A9837" s="27" t="s">
        <v>227</v>
      </c>
      <c r="B9837" s="27" t="s">
        <v>262</v>
      </c>
      <c r="C9837" s="27" t="s">
        <v>1281</v>
      </c>
      <c r="D9837" s="28">
        <v>1</v>
      </c>
      <c r="E9837" s="28">
        <v>0.66669999999999996</v>
      </c>
      <c r="F9837" s="28">
        <v>1</v>
      </c>
      <c r="G9837" s="28">
        <v>1</v>
      </c>
      <c r="H9837" s="28">
        <v>0.66669999999999996</v>
      </c>
      <c r="I9837" s="28">
        <v>1</v>
      </c>
      <c r="J9837" s="28">
        <v>1</v>
      </c>
      <c r="K9837" s="28">
        <v>0.33329999999999999</v>
      </c>
      <c r="L9837" s="28">
        <v>0.66669999999999996</v>
      </c>
      <c r="M9837" s="28">
        <v>1</v>
      </c>
      <c r="N9837" s="29">
        <v>3</v>
      </c>
    </row>
    <row r="9838" spans="1:14" x14ac:dyDescent="0.35">
      <c r="A9838" t="s">
        <v>227</v>
      </c>
      <c r="B9838" t="s">
        <v>261</v>
      </c>
      <c r="C9838" t="s">
        <v>1283</v>
      </c>
      <c r="D9838" s="26">
        <v>0.2903</v>
      </c>
      <c r="E9838" s="26">
        <v>0.129</v>
      </c>
      <c r="F9838" s="26">
        <v>0.129</v>
      </c>
      <c r="G9838" s="26">
        <v>0.3871</v>
      </c>
      <c r="H9838" s="26">
        <v>0.3548</v>
      </c>
      <c r="I9838" s="26">
        <v>3.2300000000000002E-2</v>
      </c>
      <c r="J9838" s="26">
        <v>0.2581</v>
      </c>
      <c r="K9838" s="26">
        <v>0.4194</v>
      </c>
      <c r="L9838" s="26">
        <v>0.2903</v>
      </c>
      <c r="M9838" s="26">
        <v>0.1613</v>
      </c>
      <c r="N9838">
        <v>31</v>
      </c>
    </row>
    <row r="9839" spans="1:14" x14ac:dyDescent="0.35">
      <c r="A9839" t="s">
        <v>227</v>
      </c>
      <c r="B9839" t="s">
        <v>261</v>
      </c>
      <c r="C9839" t="s">
        <v>1282</v>
      </c>
      <c r="D9839" s="26">
        <v>3.2300000000000002E-2</v>
      </c>
      <c r="E9839" s="26">
        <v>0.129</v>
      </c>
      <c r="G9839" s="26">
        <v>6.4500000000000002E-2</v>
      </c>
      <c r="H9839" s="26">
        <v>6.4500000000000002E-2</v>
      </c>
      <c r="K9839" s="26">
        <v>3.2300000000000002E-2</v>
      </c>
      <c r="N9839">
        <v>31</v>
      </c>
    </row>
    <row r="9840" spans="1:14" x14ac:dyDescent="0.35">
      <c r="A9840" t="s">
        <v>227</v>
      </c>
      <c r="B9840" t="s">
        <v>261</v>
      </c>
      <c r="C9840" t="s">
        <v>1281</v>
      </c>
      <c r="D9840" s="26">
        <v>0.6774</v>
      </c>
      <c r="E9840" s="26">
        <v>0.2258</v>
      </c>
      <c r="F9840" s="26">
        <v>0.80649999999999999</v>
      </c>
      <c r="G9840" s="26">
        <v>0.5484</v>
      </c>
      <c r="H9840" s="26">
        <v>0.5484</v>
      </c>
      <c r="I9840" s="26">
        <v>0.6129</v>
      </c>
      <c r="J9840" s="26">
        <v>0.7419</v>
      </c>
      <c r="K9840" s="26">
        <v>0.5484</v>
      </c>
      <c r="L9840" s="26">
        <v>0.7097</v>
      </c>
      <c r="M9840" s="26">
        <v>0.8387</v>
      </c>
      <c r="N9840">
        <v>31</v>
      </c>
    </row>
    <row r="9841" spans="1:14" x14ac:dyDescent="0.35">
      <c r="A9841" t="s">
        <v>227</v>
      </c>
      <c r="B9841" t="s">
        <v>260</v>
      </c>
      <c r="C9841" t="s">
        <v>1281</v>
      </c>
      <c r="D9841" s="26">
        <v>0.83040000000000003</v>
      </c>
      <c r="E9841" s="26">
        <v>0.41070000000000001</v>
      </c>
      <c r="F9841" s="26">
        <v>0.86609999999999998</v>
      </c>
      <c r="G9841" s="26">
        <v>0.61609999999999998</v>
      </c>
      <c r="H9841" s="26">
        <v>0.8125</v>
      </c>
      <c r="I9841" s="26">
        <v>0.66069999999999995</v>
      </c>
      <c r="J9841" s="26">
        <v>0.8125</v>
      </c>
      <c r="K9841" s="26">
        <v>0.80359999999999998</v>
      </c>
      <c r="L9841" s="26">
        <v>0.83930000000000005</v>
      </c>
      <c r="M9841" s="26">
        <v>0.88390000000000002</v>
      </c>
      <c r="N9841">
        <v>112</v>
      </c>
    </row>
    <row r="9842" spans="1:14" x14ac:dyDescent="0.35">
      <c r="A9842" t="s">
        <v>228</v>
      </c>
      <c r="B9842" t="s">
        <v>260</v>
      </c>
      <c r="C9842" t="s">
        <v>303</v>
      </c>
      <c r="D9842" s="26">
        <v>4.3299999999999998E-2</v>
      </c>
      <c r="E9842" s="26">
        <v>0.33460000000000001</v>
      </c>
      <c r="F9842" s="26">
        <v>0.14480000000000001</v>
      </c>
      <c r="G9842" s="26">
        <v>0.18870000000000001</v>
      </c>
      <c r="H9842" s="26">
        <v>2.6200000000000001E-2</v>
      </c>
      <c r="I9842" s="26">
        <v>0.28670000000000001</v>
      </c>
      <c r="J9842" s="26">
        <v>4.3E-3</v>
      </c>
      <c r="K9842" s="26">
        <v>7.4000000000000003E-3</v>
      </c>
      <c r="L9842" s="26">
        <v>7.1999999999999998E-3</v>
      </c>
      <c r="M9842" s="26">
        <v>4.0000000000000002E-4</v>
      </c>
      <c r="N9842">
        <v>552</v>
      </c>
    </row>
    <row r="9843" spans="1:14" x14ac:dyDescent="0.35">
      <c r="A9843" t="s">
        <v>228</v>
      </c>
      <c r="B9843" t="s">
        <v>262</v>
      </c>
      <c r="C9843" t="s">
        <v>303</v>
      </c>
      <c r="D9843" s="26">
        <v>3.2399999999999998E-2</v>
      </c>
      <c r="E9843" s="26">
        <v>0.4194</v>
      </c>
      <c r="F9843" s="26">
        <v>0.1769</v>
      </c>
      <c r="G9843" s="26">
        <v>0.2114</v>
      </c>
      <c r="H9843" s="26">
        <v>3.78E-2</v>
      </c>
      <c r="I9843" s="26">
        <v>0.34899999999999998</v>
      </c>
      <c r="J9843" s="26">
        <v>1.8800000000000001E-2</v>
      </c>
      <c r="L9843" s="26">
        <v>3.6600000000000001E-2</v>
      </c>
      <c r="M9843" s="26">
        <v>4.3E-3</v>
      </c>
      <c r="N9843">
        <v>186</v>
      </c>
    </row>
    <row r="9844" spans="1:14" x14ac:dyDescent="0.35">
      <c r="A9844" t="s">
        <v>228</v>
      </c>
      <c r="B9844" t="s">
        <v>262</v>
      </c>
      <c r="C9844" t="s">
        <v>1283</v>
      </c>
      <c r="D9844" s="26">
        <v>6.4299999999999996E-2</v>
      </c>
      <c r="E9844" s="26">
        <v>0.1318</v>
      </c>
      <c r="F9844" s="26">
        <v>2.3199999999999998E-2</v>
      </c>
      <c r="G9844" s="26">
        <v>0.1555</v>
      </c>
      <c r="H9844" s="26">
        <v>0.2019</v>
      </c>
      <c r="I9844" s="26">
        <v>1.9400000000000001E-2</v>
      </c>
      <c r="J9844" s="26">
        <v>8.5300000000000001E-2</v>
      </c>
      <c r="K9844" s="26">
        <v>0.12039999999999999</v>
      </c>
      <c r="L9844" s="26">
        <v>0.11459999999999999</v>
      </c>
      <c r="M9844" s="26">
        <v>7.0400000000000004E-2</v>
      </c>
      <c r="N9844">
        <v>186</v>
      </c>
    </row>
    <row r="9845" spans="1:14" x14ac:dyDescent="0.35">
      <c r="A9845" t="s">
        <v>228</v>
      </c>
      <c r="B9845" t="s">
        <v>262</v>
      </c>
      <c r="C9845" t="s">
        <v>1282</v>
      </c>
      <c r="D9845" s="26">
        <v>3.3399999999999999E-2</v>
      </c>
      <c r="E9845" s="26">
        <v>6.6000000000000003E-2</v>
      </c>
      <c r="F9845" s="26">
        <v>4.3E-3</v>
      </c>
      <c r="G9845" s="26">
        <v>3.4299999999999997E-2</v>
      </c>
      <c r="H9845" s="26">
        <v>3.2000000000000002E-3</v>
      </c>
      <c r="I9845" s="26">
        <v>1.6000000000000001E-3</v>
      </c>
      <c r="K9845" s="26">
        <v>5.1000000000000004E-3</v>
      </c>
      <c r="L9845" s="26">
        <v>7.6E-3</v>
      </c>
      <c r="N9845">
        <v>186</v>
      </c>
    </row>
    <row r="9846" spans="1:14" x14ac:dyDescent="0.35">
      <c r="A9846" t="s">
        <v>228</v>
      </c>
      <c r="B9846" t="s">
        <v>262</v>
      </c>
      <c r="C9846" t="s">
        <v>1281</v>
      </c>
      <c r="D9846" s="26">
        <v>0.87</v>
      </c>
      <c r="E9846" s="26">
        <v>0.38279999999999997</v>
      </c>
      <c r="F9846" s="26">
        <v>0.79569999999999996</v>
      </c>
      <c r="G9846" s="26">
        <v>0.59870000000000001</v>
      </c>
      <c r="H9846" s="26">
        <v>0.7571</v>
      </c>
      <c r="I9846" s="26">
        <v>0.63</v>
      </c>
      <c r="J9846" s="26">
        <v>0.89590000000000003</v>
      </c>
      <c r="K9846" s="26">
        <v>0.87450000000000006</v>
      </c>
      <c r="L9846" s="26">
        <v>0.84119999999999995</v>
      </c>
      <c r="M9846" s="26">
        <v>0.9254</v>
      </c>
      <c r="N9846">
        <v>186</v>
      </c>
    </row>
    <row r="9847" spans="1:14" x14ac:dyDescent="0.35">
      <c r="A9847" s="27" t="s">
        <v>228</v>
      </c>
      <c r="B9847" s="27" t="s">
        <v>236</v>
      </c>
      <c r="C9847" s="27" t="s">
        <v>1283</v>
      </c>
      <c r="D9847" s="28">
        <v>0.13370000000000001</v>
      </c>
      <c r="E9847" s="28">
        <v>0.18790000000000001</v>
      </c>
      <c r="F9847" s="28">
        <v>0.13370000000000001</v>
      </c>
      <c r="G9847" s="28">
        <v>0.3216</v>
      </c>
      <c r="H9847" s="28">
        <v>0.3216</v>
      </c>
      <c r="I9847" s="29"/>
      <c r="J9847" s="29"/>
      <c r="K9847" s="28">
        <v>0.13370000000000001</v>
      </c>
      <c r="L9847" s="28">
        <v>0.13370000000000001</v>
      </c>
      <c r="M9847" s="28">
        <v>0.13370000000000001</v>
      </c>
      <c r="N9847" s="29">
        <v>6</v>
      </c>
    </row>
    <row r="9848" spans="1:14" x14ac:dyDescent="0.35">
      <c r="A9848" s="27" t="s">
        <v>228</v>
      </c>
      <c r="B9848" s="27" t="s">
        <v>236</v>
      </c>
      <c r="C9848" s="27" t="s">
        <v>1281</v>
      </c>
      <c r="D9848" s="28">
        <v>0.86629999999999996</v>
      </c>
      <c r="E9848" s="28">
        <v>0.23910000000000001</v>
      </c>
      <c r="F9848" s="28">
        <v>0.86629999999999996</v>
      </c>
      <c r="G9848" s="28">
        <v>0.6784</v>
      </c>
      <c r="H9848" s="28">
        <v>0.6784</v>
      </c>
      <c r="I9848" s="28">
        <v>3.9E-2</v>
      </c>
      <c r="J9848" s="28">
        <v>1</v>
      </c>
      <c r="K9848" s="28">
        <v>0.86629999999999996</v>
      </c>
      <c r="L9848" s="28">
        <v>0.86629999999999996</v>
      </c>
      <c r="M9848" s="28">
        <v>0.86629999999999996</v>
      </c>
      <c r="N9848" s="29">
        <v>6</v>
      </c>
    </row>
    <row r="9849" spans="1:14" x14ac:dyDescent="0.35">
      <c r="A9849" t="s">
        <v>228</v>
      </c>
      <c r="B9849" t="s">
        <v>260</v>
      </c>
      <c r="C9849" t="s">
        <v>1283</v>
      </c>
      <c r="D9849" s="26">
        <v>8.7900000000000006E-2</v>
      </c>
      <c r="E9849" s="26">
        <v>0.1479</v>
      </c>
      <c r="F9849" s="26">
        <v>6.7900000000000002E-2</v>
      </c>
      <c r="G9849" s="26">
        <v>0.16300000000000001</v>
      </c>
      <c r="H9849" s="26">
        <v>0.16839999999999999</v>
      </c>
      <c r="I9849" s="26">
        <v>3.8100000000000002E-2</v>
      </c>
      <c r="J9849" s="26">
        <v>0.17249999999999999</v>
      </c>
      <c r="K9849" s="26">
        <v>0.1295</v>
      </c>
      <c r="L9849" s="26">
        <v>0.1285</v>
      </c>
      <c r="M9849" s="26">
        <v>9.4200000000000006E-2</v>
      </c>
      <c r="N9849">
        <v>552</v>
      </c>
    </row>
    <row r="9850" spans="1:14" x14ac:dyDescent="0.35">
      <c r="A9850" t="s">
        <v>228</v>
      </c>
      <c r="B9850" t="s">
        <v>260</v>
      </c>
      <c r="C9850" t="s">
        <v>1281</v>
      </c>
      <c r="D9850" s="26">
        <v>0.8518</v>
      </c>
      <c r="E9850" s="26">
        <v>0.45300000000000001</v>
      </c>
      <c r="F9850" s="26">
        <v>0.7823</v>
      </c>
      <c r="G9850" s="26">
        <v>0.63329999999999997</v>
      </c>
      <c r="H9850" s="26">
        <v>0.78080000000000005</v>
      </c>
      <c r="I9850" s="26">
        <v>0.66069999999999995</v>
      </c>
      <c r="J9850" s="26">
        <v>0.82310000000000005</v>
      </c>
      <c r="K9850" s="26">
        <v>0.85960000000000003</v>
      </c>
      <c r="L9850" s="26">
        <v>0.86280000000000001</v>
      </c>
      <c r="M9850" s="26">
        <v>0.90539999999999998</v>
      </c>
      <c r="N9850">
        <v>552</v>
      </c>
    </row>
    <row r="9851" spans="1:14" x14ac:dyDescent="0.35">
      <c r="A9851" t="s">
        <v>228</v>
      </c>
      <c r="B9851" t="s">
        <v>261</v>
      </c>
      <c r="C9851" t="s">
        <v>303</v>
      </c>
      <c r="D9851" s="26">
        <v>8.0100000000000005E-2</v>
      </c>
      <c r="E9851" s="26">
        <v>0.59870000000000001</v>
      </c>
      <c r="F9851" s="26">
        <v>9.6100000000000005E-2</v>
      </c>
      <c r="G9851" s="26">
        <v>0.16350000000000001</v>
      </c>
      <c r="H9851" s="26">
        <v>2.46E-2</v>
      </c>
      <c r="I9851" s="26">
        <v>0.45190000000000002</v>
      </c>
      <c r="J9851" s="26">
        <v>1.4E-3</v>
      </c>
      <c r="K9851" s="26">
        <v>1.8800000000000001E-2</v>
      </c>
      <c r="L9851" s="26">
        <v>4.4299999999999999E-2</v>
      </c>
      <c r="M9851" s="26">
        <v>7.1000000000000004E-3</v>
      </c>
      <c r="N9851">
        <v>175</v>
      </c>
    </row>
    <row r="9852" spans="1:14" x14ac:dyDescent="0.35">
      <c r="A9852" t="s">
        <v>228</v>
      </c>
      <c r="B9852" t="s">
        <v>261</v>
      </c>
      <c r="C9852" t="s">
        <v>1283</v>
      </c>
      <c r="D9852" s="26">
        <v>0.247</v>
      </c>
      <c r="E9852" s="26">
        <v>0.1179</v>
      </c>
      <c r="F9852" s="26">
        <v>3.9199999999999999E-2</v>
      </c>
      <c r="G9852" s="26">
        <v>0.24410000000000001</v>
      </c>
      <c r="H9852" s="26">
        <v>0.2883</v>
      </c>
      <c r="I9852" s="26">
        <v>3.3300000000000003E-2</v>
      </c>
      <c r="J9852" s="26">
        <v>0.1719</v>
      </c>
      <c r="K9852" s="26">
        <v>0.38600000000000001</v>
      </c>
      <c r="L9852" s="26">
        <v>0.13489999999999999</v>
      </c>
      <c r="M9852" s="26">
        <v>8.8200000000000001E-2</v>
      </c>
      <c r="N9852">
        <v>175</v>
      </c>
    </row>
    <row r="9853" spans="1:14" x14ac:dyDescent="0.35">
      <c r="A9853" t="s">
        <v>228</v>
      </c>
      <c r="B9853" t="s">
        <v>261</v>
      </c>
      <c r="C9853" t="s">
        <v>1282</v>
      </c>
      <c r="D9853" s="26">
        <v>2.93E-2</v>
      </c>
      <c r="E9853" s="26">
        <v>4.82E-2</v>
      </c>
      <c r="F9853" s="26">
        <v>2.1899999999999999E-2</v>
      </c>
      <c r="G9853" s="26">
        <v>2.75E-2</v>
      </c>
      <c r="H9853" s="26">
        <v>2.7799999999999998E-2</v>
      </c>
      <c r="J9853" s="26">
        <v>1.8800000000000001E-2</v>
      </c>
      <c r="K9853" s="26">
        <v>2E-3</v>
      </c>
      <c r="N9853">
        <v>175</v>
      </c>
    </row>
    <row r="9854" spans="1:14" x14ac:dyDescent="0.35">
      <c r="A9854" t="s">
        <v>228</v>
      </c>
      <c r="B9854" t="s">
        <v>261</v>
      </c>
      <c r="C9854" t="s">
        <v>1281</v>
      </c>
      <c r="D9854" s="26">
        <v>0.64370000000000005</v>
      </c>
      <c r="E9854" s="26">
        <v>0.23530000000000001</v>
      </c>
      <c r="F9854" s="26">
        <v>0.84279999999999999</v>
      </c>
      <c r="G9854" s="26">
        <v>0.56489999999999996</v>
      </c>
      <c r="H9854" s="26">
        <v>0.6593</v>
      </c>
      <c r="I9854" s="26">
        <v>0.51490000000000002</v>
      </c>
      <c r="J9854" s="26">
        <v>0.80789999999999995</v>
      </c>
      <c r="K9854" s="26">
        <v>0.59309999999999996</v>
      </c>
      <c r="L9854" s="26">
        <v>0.82079999999999997</v>
      </c>
      <c r="M9854" s="26">
        <v>0.90480000000000005</v>
      </c>
      <c r="N9854">
        <v>175</v>
      </c>
    </row>
    <row r="9855" spans="1:14" x14ac:dyDescent="0.35">
      <c r="A9855" s="27" t="s">
        <v>228</v>
      </c>
      <c r="B9855" s="27" t="s">
        <v>263</v>
      </c>
      <c r="C9855" s="27" t="s">
        <v>1283</v>
      </c>
      <c r="D9855" s="28">
        <v>0.113</v>
      </c>
      <c r="E9855" s="28">
        <v>0.106</v>
      </c>
      <c r="F9855" s="29"/>
      <c r="G9855" s="28">
        <v>0.16919999999999999</v>
      </c>
      <c r="H9855" s="28">
        <v>0.14829999999999999</v>
      </c>
      <c r="I9855" s="28">
        <v>1.2999999999999999E-2</v>
      </c>
      <c r="J9855" s="28">
        <v>0.12239999999999999</v>
      </c>
      <c r="K9855" s="28">
        <v>0.16350000000000001</v>
      </c>
      <c r="L9855" s="28">
        <v>5.1400000000000001E-2</v>
      </c>
      <c r="M9855" s="28">
        <v>2.2100000000000002E-2</v>
      </c>
      <c r="N9855" s="29">
        <v>25</v>
      </c>
    </row>
    <row r="9856" spans="1:14" x14ac:dyDescent="0.35">
      <c r="A9856" s="27" t="s">
        <v>228</v>
      </c>
      <c r="B9856" s="27" t="s">
        <v>263</v>
      </c>
      <c r="C9856" s="27" t="s">
        <v>1281</v>
      </c>
      <c r="D9856" s="28">
        <v>0.88700000000000001</v>
      </c>
      <c r="E9856" s="28">
        <v>0.53400000000000003</v>
      </c>
      <c r="F9856" s="28">
        <v>0.84660000000000002</v>
      </c>
      <c r="G9856" s="28">
        <v>0.6492</v>
      </c>
      <c r="H9856" s="28">
        <v>0.81659999999999999</v>
      </c>
      <c r="I9856" s="28">
        <v>0.75280000000000002</v>
      </c>
      <c r="J9856" s="28">
        <v>0.87760000000000005</v>
      </c>
      <c r="K9856" s="28">
        <v>0.83650000000000002</v>
      </c>
      <c r="L9856" s="28">
        <v>0.9486</v>
      </c>
      <c r="M9856" s="28">
        <v>0.97789999999999999</v>
      </c>
      <c r="N9856" s="29">
        <v>25</v>
      </c>
    </row>
    <row r="9857" spans="1:14" x14ac:dyDescent="0.35">
      <c r="A9857" t="s">
        <v>228</v>
      </c>
      <c r="B9857" t="s">
        <v>260</v>
      </c>
      <c r="C9857" t="s">
        <v>1282</v>
      </c>
      <c r="D9857" s="26">
        <v>1.7100000000000001E-2</v>
      </c>
      <c r="E9857" s="26">
        <v>6.4500000000000002E-2</v>
      </c>
      <c r="F9857" s="26">
        <v>5.0000000000000001E-3</v>
      </c>
      <c r="G9857" s="26">
        <v>1.5100000000000001E-2</v>
      </c>
      <c r="H9857" s="26">
        <v>2.46E-2</v>
      </c>
      <c r="I9857" s="26">
        <v>1.44E-2</v>
      </c>
      <c r="K9857" s="26">
        <v>3.5000000000000001E-3</v>
      </c>
      <c r="L9857" s="26">
        <v>1.5E-3</v>
      </c>
      <c r="N9857">
        <v>552</v>
      </c>
    </row>
    <row r="9858" spans="1:14" x14ac:dyDescent="0.35">
      <c r="A9858" t="s">
        <v>229</v>
      </c>
      <c r="B9858" t="s">
        <v>260</v>
      </c>
      <c r="C9858" t="s">
        <v>1283</v>
      </c>
      <c r="D9858" s="26">
        <v>6.8599999999999994E-2</v>
      </c>
      <c r="E9858" s="26">
        <v>0.1464</v>
      </c>
      <c r="F9858" s="26">
        <v>5.0200000000000002E-2</v>
      </c>
      <c r="G9858" s="26">
        <v>0.18240000000000001</v>
      </c>
      <c r="H9858" s="26">
        <v>0.21299999999999999</v>
      </c>
      <c r="I9858" s="26">
        <v>1.8700000000000001E-2</v>
      </c>
      <c r="J9858" s="26">
        <v>0.14269999999999999</v>
      </c>
      <c r="K9858" s="26">
        <v>0.14779999999999999</v>
      </c>
      <c r="L9858" s="26">
        <v>0.1232</v>
      </c>
      <c r="M9858" s="26">
        <v>0.10630000000000001</v>
      </c>
      <c r="N9858">
        <v>532</v>
      </c>
    </row>
    <row r="9859" spans="1:14" x14ac:dyDescent="0.35">
      <c r="A9859" t="s">
        <v>229</v>
      </c>
      <c r="B9859" t="s">
        <v>262</v>
      </c>
      <c r="C9859" t="s">
        <v>303</v>
      </c>
      <c r="D9859" s="26">
        <v>6.6600000000000006E-2</v>
      </c>
      <c r="E9859" s="26">
        <v>0.4642</v>
      </c>
      <c r="F9859" s="26">
        <v>0.15629999999999999</v>
      </c>
      <c r="G9859" s="26">
        <v>0.34839999999999999</v>
      </c>
      <c r="H9859" s="26">
        <v>2.69E-2</v>
      </c>
      <c r="I9859" s="26">
        <v>0.309</v>
      </c>
      <c r="J9859" s="26">
        <v>5.7000000000000002E-3</v>
      </c>
      <c r="K9859" s="26">
        <v>2.7000000000000001E-3</v>
      </c>
      <c r="L9859" s="26">
        <v>3.61E-2</v>
      </c>
      <c r="M9859" s="26">
        <v>2.3599999999999999E-2</v>
      </c>
      <c r="N9859">
        <v>164</v>
      </c>
    </row>
    <row r="9860" spans="1:14" x14ac:dyDescent="0.35">
      <c r="A9860" t="s">
        <v>229</v>
      </c>
      <c r="B9860" t="s">
        <v>262</v>
      </c>
      <c r="C9860" t="s">
        <v>1283</v>
      </c>
      <c r="D9860" s="26">
        <v>6.7199999999999996E-2</v>
      </c>
      <c r="E9860" s="26">
        <v>6.4600000000000005E-2</v>
      </c>
      <c r="F9860" s="26">
        <v>4.99E-2</v>
      </c>
      <c r="G9860" s="26">
        <v>0.1041</v>
      </c>
      <c r="H9860" s="26">
        <v>0.14230000000000001</v>
      </c>
      <c r="I9860" s="26">
        <v>2.9600000000000001E-2</v>
      </c>
      <c r="J9860" s="26">
        <v>5.6500000000000002E-2</v>
      </c>
      <c r="K9860" s="26">
        <v>0.1168</v>
      </c>
      <c r="L9860" s="26">
        <v>0.11219999999999999</v>
      </c>
      <c r="M9860" s="26">
        <v>4.4400000000000002E-2</v>
      </c>
      <c r="N9860">
        <v>164</v>
      </c>
    </row>
    <row r="9861" spans="1:14" x14ac:dyDescent="0.35">
      <c r="A9861" t="s">
        <v>229</v>
      </c>
      <c r="B9861" t="s">
        <v>262</v>
      </c>
      <c r="C9861" t="s">
        <v>1282</v>
      </c>
      <c r="D9861" s="26">
        <v>2.2200000000000001E-2</v>
      </c>
      <c r="E9861" s="26">
        <v>4.8500000000000001E-2</v>
      </c>
      <c r="F9861" s="26">
        <v>1.21E-2</v>
      </c>
      <c r="G9861" s="26">
        <v>1.4999999999999999E-2</v>
      </c>
      <c r="H9861" s="26">
        <v>2.4899999999999999E-2</v>
      </c>
      <c r="I9861" s="26">
        <v>1.01E-2</v>
      </c>
      <c r="L9861" s="26">
        <v>6.9999999999999999E-4</v>
      </c>
      <c r="M9861" s="26">
        <v>6.9999999999999999E-4</v>
      </c>
      <c r="N9861">
        <v>164</v>
      </c>
    </row>
    <row r="9862" spans="1:14" x14ac:dyDescent="0.35">
      <c r="A9862" t="s">
        <v>229</v>
      </c>
      <c r="B9862" t="s">
        <v>262</v>
      </c>
      <c r="C9862" t="s">
        <v>1281</v>
      </c>
      <c r="D9862" s="26">
        <v>0.84399999999999997</v>
      </c>
      <c r="E9862" s="26">
        <v>0.42270000000000002</v>
      </c>
      <c r="F9862" s="26">
        <v>0.78180000000000005</v>
      </c>
      <c r="G9862" s="26">
        <v>0.53259999999999996</v>
      </c>
      <c r="H9862" s="26">
        <v>0.80589999999999995</v>
      </c>
      <c r="I9862" s="26">
        <v>0.65129999999999999</v>
      </c>
      <c r="J9862" s="26">
        <v>0.93779999999999997</v>
      </c>
      <c r="K9862" s="26">
        <v>0.88049999999999995</v>
      </c>
      <c r="L9862" s="26">
        <v>0.85109999999999997</v>
      </c>
      <c r="M9862" s="26">
        <v>0.93140000000000001</v>
      </c>
      <c r="N9862">
        <v>164</v>
      </c>
    </row>
    <row r="9863" spans="1:14" x14ac:dyDescent="0.35">
      <c r="A9863" s="27" t="s">
        <v>229</v>
      </c>
      <c r="B9863" s="27" t="s">
        <v>236</v>
      </c>
      <c r="C9863" s="27" t="s">
        <v>1281</v>
      </c>
      <c r="D9863" s="28">
        <v>1</v>
      </c>
      <c r="E9863" s="28">
        <v>1</v>
      </c>
      <c r="F9863" s="28">
        <v>1</v>
      </c>
      <c r="G9863" s="28">
        <v>1</v>
      </c>
      <c r="H9863" s="28">
        <v>1</v>
      </c>
      <c r="I9863" s="28">
        <v>1</v>
      </c>
      <c r="J9863" s="28">
        <v>1</v>
      </c>
      <c r="K9863" s="28">
        <v>1</v>
      </c>
      <c r="L9863" s="28">
        <v>1</v>
      </c>
      <c r="M9863" s="28">
        <v>1</v>
      </c>
      <c r="N9863" s="29">
        <v>1</v>
      </c>
    </row>
    <row r="9864" spans="1:14" x14ac:dyDescent="0.35">
      <c r="A9864" t="s">
        <v>229</v>
      </c>
      <c r="B9864" t="s">
        <v>260</v>
      </c>
      <c r="C9864" t="s">
        <v>1282</v>
      </c>
      <c r="D9864" s="26">
        <v>3.09E-2</v>
      </c>
      <c r="E9864" s="26">
        <v>6.4699999999999994E-2</v>
      </c>
      <c r="F9864" s="26">
        <v>5.7999999999999996E-3</v>
      </c>
      <c r="G9864" s="26">
        <v>2.06E-2</v>
      </c>
      <c r="H9864" s="26">
        <v>1.5100000000000001E-2</v>
      </c>
      <c r="I9864" s="26">
        <v>1.03E-2</v>
      </c>
      <c r="J9864" s="26">
        <v>6.4000000000000003E-3</v>
      </c>
      <c r="K9864" s="26">
        <v>1.9199999999999998E-2</v>
      </c>
      <c r="M9864" s="26">
        <v>1.5E-3</v>
      </c>
      <c r="N9864">
        <v>532</v>
      </c>
    </row>
    <row r="9865" spans="1:14" x14ac:dyDescent="0.35">
      <c r="A9865" t="s">
        <v>229</v>
      </c>
      <c r="B9865" t="s">
        <v>260</v>
      </c>
      <c r="C9865" t="s">
        <v>303</v>
      </c>
      <c r="D9865" s="26">
        <v>2.5399999999999999E-2</v>
      </c>
      <c r="E9865" s="26">
        <v>0.3795</v>
      </c>
      <c r="F9865" s="26">
        <v>0.1181</v>
      </c>
      <c r="G9865" s="26">
        <v>0.12870000000000001</v>
      </c>
      <c r="H9865" s="26">
        <v>2.29E-2</v>
      </c>
      <c r="I9865" s="26">
        <v>0.29260000000000003</v>
      </c>
      <c r="J9865" s="26">
        <v>2.2700000000000001E-2</v>
      </c>
      <c r="K9865" s="26">
        <v>6.9999999999999999E-4</v>
      </c>
      <c r="L9865" s="26">
        <v>3.1699999999999999E-2</v>
      </c>
      <c r="M9865" s="26">
        <v>5.1999999999999998E-3</v>
      </c>
      <c r="N9865">
        <v>532</v>
      </c>
    </row>
    <row r="9866" spans="1:14" x14ac:dyDescent="0.35">
      <c r="A9866" t="s">
        <v>229</v>
      </c>
      <c r="B9866" t="s">
        <v>261</v>
      </c>
      <c r="C9866" t="s">
        <v>303</v>
      </c>
      <c r="D9866" s="26">
        <v>2.8500000000000001E-2</v>
      </c>
      <c r="E9866" s="26">
        <v>0.43590000000000001</v>
      </c>
      <c r="F9866" s="26">
        <v>0.1414</v>
      </c>
      <c r="G9866" s="26">
        <v>0.15190000000000001</v>
      </c>
      <c r="H9866" s="26">
        <v>2.4400000000000002E-2</v>
      </c>
      <c r="I9866" s="26">
        <v>0.47620000000000001</v>
      </c>
      <c r="J9866" s="26">
        <v>2.18E-2</v>
      </c>
      <c r="K9866" s="26">
        <v>2.7000000000000001E-3</v>
      </c>
      <c r="L9866" s="26">
        <v>4.1000000000000003E-3</v>
      </c>
      <c r="M9866" s="26">
        <v>1.4E-3</v>
      </c>
      <c r="N9866">
        <v>83</v>
      </c>
    </row>
    <row r="9867" spans="1:14" x14ac:dyDescent="0.35">
      <c r="A9867" t="s">
        <v>229</v>
      </c>
      <c r="B9867" t="s">
        <v>261</v>
      </c>
      <c r="C9867" t="s">
        <v>1283</v>
      </c>
      <c r="D9867" s="26">
        <v>0.23169999999999999</v>
      </c>
      <c r="E9867" s="26">
        <v>0.13569999999999999</v>
      </c>
      <c r="F9867" s="26">
        <v>0.1021</v>
      </c>
      <c r="G9867" s="26">
        <v>0.27550000000000002</v>
      </c>
      <c r="H9867" s="26">
        <v>0.33979999999999999</v>
      </c>
      <c r="I9867" s="26">
        <v>4.1000000000000003E-3</v>
      </c>
      <c r="J9867" s="26">
        <v>0.1802</v>
      </c>
      <c r="K9867" s="26">
        <v>0.47060000000000002</v>
      </c>
      <c r="L9867" s="26">
        <v>0.1754</v>
      </c>
      <c r="M9867" s="26">
        <v>6.5299999999999997E-2</v>
      </c>
      <c r="N9867">
        <v>83</v>
      </c>
    </row>
    <row r="9868" spans="1:14" x14ac:dyDescent="0.35">
      <c r="A9868" t="s">
        <v>229</v>
      </c>
      <c r="B9868" t="s">
        <v>261</v>
      </c>
      <c r="C9868" t="s">
        <v>1282</v>
      </c>
      <c r="D9868" s="26">
        <v>2.0400000000000001E-2</v>
      </c>
      <c r="E9868" s="26">
        <v>9.0999999999999998E-2</v>
      </c>
      <c r="F9868" s="26">
        <v>8.0999999999999996E-3</v>
      </c>
      <c r="G9868" s="26">
        <v>2.7000000000000001E-3</v>
      </c>
      <c r="H9868" s="26">
        <v>4.48E-2</v>
      </c>
      <c r="K9868" s="26">
        <v>2.0400000000000001E-2</v>
      </c>
      <c r="N9868">
        <v>83</v>
      </c>
    </row>
    <row r="9869" spans="1:14" x14ac:dyDescent="0.35">
      <c r="A9869" t="s">
        <v>229</v>
      </c>
      <c r="B9869" t="s">
        <v>261</v>
      </c>
      <c r="C9869" t="s">
        <v>1281</v>
      </c>
      <c r="D9869" s="26">
        <v>0.71940000000000004</v>
      </c>
      <c r="E9869" s="26">
        <v>0.33739999999999998</v>
      </c>
      <c r="F9869" s="26">
        <v>0.74839999999999995</v>
      </c>
      <c r="G9869" s="26">
        <v>0.56999999999999995</v>
      </c>
      <c r="H9869" s="26">
        <v>0.59099999999999997</v>
      </c>
      <c r="I9869" s="26">
        <v>0.51970000000000005</v>
      </c>
      <c r="J9869" s="26">
        <v>0.79800000000000004</v>
      </c>
      <c r="K9869" s="26">
        <v>0.50629999999999997</v>
      </c>
      <c r="L9869" s="26">
        <v>0.8206</v>
      </c>
      <c r="M9869" s="26">
        <v>0.93340000000000001</v>
      </c>
      <c r="N9869">
        <v>83</v>
      </c>
    </row>
    <row r="9870" spans="1:14" x14ac:dyDescent="0.35">
      <c r="A9870" s="27" t="s">
        <v>229</v>
      </c>
      <c r="B9870" s="27" t="s">
        <v>263</v>
      </c>
      <c r="C9870" s="27" t="s">
        <v>1283</v>
      </c>
      <c r="D9870" s="28">
        <v>0.35849999999999999</v>
      </c>
      <c r="E9870" s="28">
        <v>0.29609999999999997</v>
      </c>
      <c r="F9870" s="29"/>
      <c r="G9870" s="28">
        <v>0.46250000000000002</v>
      </c>
      <c r="H9870" s="28">
        <v>0.35849999999999999</v>
      </c>
      <c r="I9870" s="28">
        <v>0.1613</v>
      </c>
      <c r="J9870" s="28">
        <v>0.3226</v>
      </c>
      <c r="K9870" s="28">
        <v>0.3226</v>
      </c>
      <c r="L9870" s="28">
        <v>0.19719999999999999</v>
      </c>
      <c r="M9870" s="28">
        <v>3.5900000000000001E-2</v>
      </c>
      <c r="N9870" s="29">
        <v>13</v>
      </c>
    </row>
    <row r="9871" spans="1:14" x14ac:dyDescent="0.35">
      <c r="A9871" s="27" t="s">
        <v>229</v>
      </c>
      <c r="B9871" s="27" t="s">
        <v>263</v>
      </c>
      <c r="C9871" s="27" t="s">
        <v>1282</v>
      </c>
      <c r="D9871" s="28">
        <v>3.5900000000000001E-2</v>
      </c>
      <c r="E9871" s="29"/>
      <c r="F9871" s="29"/>
      <c r="G9871" s="29"/>
      <c r="H9871" s="29"/>
      <c r="I9871" s="29"/>
      <c r="J9871" s="29"/>
      <c r="K9871" s="29"/>
      <c r="L9871" s="29"/>
      <c r="M9871" s="29"/>
      <c r="N9871" s="29">
        <v>13</v>
      </c>
    </row>
    <row r="9872" spans="1:14" x14ac:dyDescent="0.35">
      <c r="A9872" s="27" t="s">
        <v>229</v>
      </c>
      <c r="B9872" s="27" t="s">
        <v>263</v>
      </c>
      <c r="C9872" s="27" t="s">
        <v>1281</v>
      </c>
      <c r="D9872" s="28">
        <v>0.60560000000000003</v>
      </c>
      <c r="E9872" s="28">
        <v>0.1077</v>
      </c>
      <c r="F9872" s="28">
        <v>0.63639999999999997</v>
      </c>
      <c r="G9872" s="28">
        <v>0.35849999999999999</v>
      </c>
      <c r="H9872" s="28">
        <v>0.64149999999999996</v>
      </c>
      <c r="I9872" s="28">
        <v>0.34029999999999999</v>
      </c>
      <c r="J9872" s="28">
        <v>0.6774</v>
      </c>
      <c r="K9872" s="28">
        <v>0.6774</v>
      </c>
      <c r="L9872" s="28">
        <v>0.80279999999999996</v>
      </c>
      <c r="M9872" s="28">
        <v>0.96409999999999996</v>
      </c>
      <c r="N9872" s="29">
        <v>13</v>
      </c>
    </row>
    <row r="9873" spans="1:14" x14ac:dyDescent="0.35">
      <c r="A9873" t="s">
        <v>229</v>
      </c>
      <c r="B9873" t="s">
        <v>260</v>
      </c>
      <c r="C9873" t="s">
        <v>1281</v>
      </c>
      <c r="D9873" s="26">
        <v>0.87509999999999999</v>
      </c>
      <c r="E9873" s="26">
        <v>0.40939999999999999</v>
      </c>
      <c r="F9873" s="26">
        <v>0.82589999999999997</v>
      </c>
      <c r="G9873" s="26">
        <v>0.66839999999999999</v>
      </c>
      <c r="H9873" s="26">
        <v>0.74909999999999999</v>
      </c>
      <c r="I9873" s="26">
        <v>0.6784</v>
      </c>
      <c r="J9873" s="26">
        <v>0.82820000000000005</v>
      </c>
      <c r="K9873" s="26">
        <v>0.83240000000000003</v>
      </c>
      <c r="L9873" s="26">
        <v>0.84509999999999996</v>
      </c>
      <c r="M9873" s="26">
        <v>0.88690000000000002</v>
      </c>
      <c r="N9873">
        <v>532</v>
      </c>
    </row>
    <row r="9874" spans="1:14" x14ac:dyDescent="0.35">
      <c r="A9874" t="s">
        <v>230</v>
      </c>
      <c r="B9874" t="s">
        <v>262</v>
      </c>
      <c r="C9874" t="s">
        <v>303</v>
      </c>
      <c r="D9874" s="26">
        <v>2.12E-2</v>
      </c>
      <c r="E9874" s="26">
        <v>0.56279999999999997</v>
      </c>
      <c r="F9874" s="26">
        <v>0.23150000000000001</v>
      </c>
      <c r="G9874" s="26">
        <v>0.3513</v>
      </c>
      <c r="H9874" s="26">
        <v>6.4999999999999997E-3</v>
      </c>
      <c r="I9874" s="26">
        <v>0.30320000000000003</v>
      </c>
      <c r="J9874" s="26">
        <v>1.9E-3</v>
      </c>
      <c r="L9874" s="26">
        <v>4.2299999999999997E-2</v>
      </c>
      <c r="M9874" s="26">
        <v>1.0200000000000001E-2</v>
      </c>
      <c r="N9874">
        <v>113</v>
      </c>
    </row>
    <row r="9875" spans="1:14" x14ac:dyDescent="0.35">
      <c r="A9875" t="s">
        <v>230</v>
      </c>
      <c r="B9875" t="s">
        <v>262</v>
      </c>
      <c r="C9875" t="s">
        <v>1283</v>
      </c>
      <c r="D9875" s="26">
        <v>0.1789</v>
      </c>
      <c r="E9875" s="26">
        <v>0.10489999999999999</v>
      </c>
      <c r="F9875" s="26">
        <v>1.46E-2</v>
      </c>
      <c r="G9875" s="26">
        <v>0.15509999999999999</v>
      </c>
      <c r="H9875" s="26">
        <v>0.27160000000000001</v>
      </c>
      <c r="I9875" s="26">
        <v>1.2200000000000001E-2</v>
      </c>
      <c r="J9875" s="26">
        <v>9.0499999999999997E-2</v>
      </c>
      <c r="K9875" s="26">
        <v>0.23780000000000001</v>
      </c>
      <c r="L9875" s="26">
        <v>0.16930000000000001</v>
      </c>
      <c r="M9875" s="26">
        <v>0.1187</v>
      </c>
      <c r="N9875">
        <v>113</v>
      </c>
    </row>
    <row r="9876" spans="1:14" x14ac:dyDescent="0.35">
      <c r="A9876" t="s">
        <v>230</v>
      </c>
      <c r="B9876" t="s">
        <v>262</v>
      </c>
      <c r="C9876" t="s">
        <v>1282</v>
      </c>
      <c r="D9876" s="26">
        <v>8.3000000000000001E-3</v>
      </c>
      <c r="E9876" s="26">
        <v>8.6599999999999996E-2</v>
      </c>
      <c r="F9876" s="26">
        <v>1.9099999999999999E-2</v>
      </c>
      <c r="G9876" s="26">
        <v>1.49E-2</v>
      </c>
      <c r="H9876" s="26">
        <v>1.4800000000000001E-2</v>
      </c>
      <c r="K9876" s="26">
        <v>6.4999999999999997E-3</v>
      </c>
      <c r="L9876" s="26">
        <v>6.4999999999999997E-3</v>
      </c>
      <c r="M9876" s="26">
        <v>6.3E-3</v>
      </c>
      <c r="N9876">
        <v>113</v>
      </c>
    </row>
    <row r="9877" spans="1:14" x14ac:dyDescent="0.35">
      <c r="A9877" t="s">
        <v>230</v>
      </c>
      <c r="B9877" t="s">
        <v>262</v>
      </c>
      <c r="C9877" t="s">
        <v>1281</v>
      </c>
      <c r="D9877" s="26">
        <v>0.79149999999999998</v>
      </c>
      <c r="E9877" s="26">
        <v>0.2457</v>
      </c>
      <c r="F9877" s="26">
        <v>0.73480000000000001</v>
      </c>
      <c r="G9877" s="26">
        <v>0.4788</v>
      </c>
      <c r="H9877" s="26">
        <v>0.70720000000000005</v>
      </c>
      <c r="I9877" s="26">
        <v>0.68459999999999999</v>
      </c>
      <c r="J9877" s="26">
        <v>0.90749999999999997</v>
      </c>
      <c r="K9877" s="26">
        <v>0.75570000000000004</v>
      </c>
      <c r="L9877" s="26">
        <v>0.78190000000000004</v>
      </c>
      <c r="M9877" s="26">
        <v>0.86470000000000002</v>
      </c>
      <c r="N9877">
        <v>113</v>
      </c>
    </row>
    <row r="9878" spans="1:14" x14ac:dyDescent="0.35">
      <c r="A9878" s="27" t="s">
        <v>230</v>
      </c>
      <c r="B9878" s="27" t="s">
        <v>236</v>
      </c>
      <c r="C9878" s="27" t="s">
        <v>1281</v>
      </c>
      <c r="D9878" s="28">
        <v>0.15570000000000001</v>
      </c>
      <c r="E9878" s="29"/>
      <c r="F9878" s="28">
        <v>0.15570000000000001</v>
      </c>
      <c r="G9878" s="28">
        <v>0.11899999999999999</v>
      </c>
      <c r="H9878" s="28">
        <v>0.11899999999999999</v>
      </c>
      <c r="I9878" s="28">
        <v>0.2409</v>
      </c>
      <c r="J9878" s="28">
        <v>0.27760000000000001</v>
      </c>
      <c r="K9878" s="28">
        <v>0.27760000000000001</v>
      </c>
      <c r="L9878" s="28">
        <v>0.2409</v>
      </c>
      <c r="M9878" s="28">
        <v>0.15570000000000001</v>
      </c>
      <c r="N9878" s="29">
        <v>4</v>
      </c>
    </row>
    <row r="9879" spans="1:14" x14ac:dyDescent="0.35">
      <c r="A9879" t="s">
        <v>230</v>
      </c>
      <c r="B9879" t="s">
        <v>260</v>
      </c>
      <c r="C9879" t="s">
        <v>303</v>
      </c>
      <c r="D9879" s="26">
        <v>6.3299999999999995E-2</v>
      </c>
      <c r="E9879" s="26">
        <v>0.3382</v>
      </c>
      <c r="F9879" s="26">
        <v>0.14080000000000001</v>
      </c>
      <c r="G9879" s="26">
        <v>0.21929999999999999</v>
      </c>
      <c r="H9879" s="26">
        <v>1.32E-2</v>
      </c>
      <c r="I9879" s="26">
        <v>0.28670000000000001</v>
      </c>
      <c r="K9879" s="26">
        <v>1.5E-3</v>
      </c>
      <c r="M9879" s="26">
        <v>1.03E-2</v>
      </c>
      <c r="N9879">
        <v>321</v>
      </c>
    </row>
    <row r="9880" spans="1:14" x14ac:dyDescent="0.35">
      <c r="A9880" t="s">
        <v>230</v>
      </c>
      <c r="B9880" t="s">
        <v>260</v>
      </c>
      <c r="C9880" t="s">
        <v>1283</v>
      </c>
      <c r="D9880" s="26">
        <v>0.11700000000000001</v>
      </c>
      <c r="E9880" s="26">
        <v>0.17419999999999999</v>
      </c>
      <c r="F9880" s="26">
        <v>7.5300000000000006E-2</v>
      </c>
      <c r="G9880" s="26">
        <v>0.21859999999999999</v>
      </c>
      <c r="H9880" s="26">
        <v>0.22040000000000001</v>
      </c>
      <c r="I9880" s="26">
        <v>4.4900000000000002E-2</v>
      </c>
      <c r="J9880" s="26">
        <v>0.18079999999999999</v>
      </c>
      <c r="K9880" s="26">
        <v>0.1603</v>
      </c>
      <c r="L9880" s="26">
        <v>0.19009999999999999</v>
      </c>
      <c r="M9880" s="26">
        <v>0.14099999999999999</v>
      </c>
      <c r="N9880">
        <v>321</v>
      </c>
    </row>
    <row r="9881" spans="1:14" x14ac:dyDescent="0.35">
      <c r="A9881" s="27" t="s">
        <v>230</v>
      </c>
      <c r="B9881" s="27" t="s">
        <v>236</v>
      </c>
      <c r="C9881" s="27" t="s">
        <v>1283</v>
      </c>
      <c r="D9881" s="28">
        <v>0.84430000000000005</v>
      </c>
      <c r="E9881" s="28">
        <v>1</v>
      </c>
      <c r="F9881" s="28">
        <v>0.84430000000000005</v>
      </c>
      <c r="G9881" s="28">
        <v>0.84430000000000005</v>
      </c>
      <c r="H9881" s="28">
        <v>0.88100000000000001</v>
      </c>
      <c r="I9881" s="29"/>
      <c r="J9881" s="28">
        <v>0.72240000000000004</v>
      </c>
      <c r="K9881" s="28">
        <v>0.72240000000000004</v>
      </c>
      <c r="L9881" s="28">
        <v>0.72240000000000004</v>
      </c>
      <c r="M9881" s="28">
        <v>0.84430000000000005</v>
      </c>
      <c r="N9881" s="29">
        <v>4</v>
      </c>
    </row>
    <row r="9882" spans="1:14" x14ac:dyDescent="0.35">
      <c r="A9882" t="s">
        <v>230</v>
      </c>
      <c r="B9882" t="s">
        <v>260</v>
      </c>
      <c r="C9882" t="s">
        <v>1281</v>
      </c>
      <c r="D9882" s="26">
        <v>0.81530000000000002</v>
      </c>
      <c r="E9882" s="26">
        <v>0.41610000000000003</v>
      </c>
      <c r="F9882" s="26">
        <v>0.7722</v>
      </c>
      <c r="G9882" s="26">
        <v>0.55669999999999997</v>
      </c>
      <c r="H9882" s="26">
        <v>0.7369</v>
      </c>
      <c r="I9882" s="26">
        <v>0.64880000000000004</v>
      </c>
      <c r="J9882" s="26">
        <v>0.81730000000000003</v>
      </c>
      <c r="K9882" s="26">
        <v>0.83819999999999995</v>
      </c>
      <c r="L9882" s="26">
        <v>0.80110000000000003</v>
      </c>
      <c r="M9882" s="26">
        <v>0.84870000000000001</v>
      </c>
      <c r="N9882">
        <v>321</v>
      </c>
    </row>
    <row r="9883" spans="1:14" x14ac:dyDescent="0.35">
      <c r="A9883" t="s">
        <v>230</v>
      </c>
      <c r="B9883" t="s">
        <v>261</v>
      </c>
      <c r="C9883" t="s">
        <v>303</v>
      </c>
      <c r="D9883" s="26">
        <v>2.1299999999999999E-2</v>
      </c>
      <c r="E9883" s="26">
        <v>0.4849</v>
      </c>
      <c r="F9883" s="26">
        <v>7.0599999999999996E-2</v>
      </c>
      <c r="G9883" s="26">
        <v>0.15509999999999999</v>
      </c>
      <c r="H9883" s="26">
        <v>1.43E-2</v>
      </c>
      <c r="I9883" s="26">
        <v>0.41260000000000002</v>
      </c>
      <c r="L9883" s="26">
        <v>1.43E-2</v>
      </c>
      <c r="M9883" s="26">
        <v>9.1000000000000004E-3</v>
      </c>
      <c r="N9883">
        <v>54</v>
      </c>
    </row>
    <row r="9884" spans="1:14" x14ac:dyDescent="0.35">
      <c r="A9884" t="s">
        <v>230</v>
      </c>
      <c r="B9884" t="s">
        <v>261</v>
      </c>
      <c r="C9884" t="s">
        <v>1283</v>
      </c>
      <c r="D9884" s="26">
        <v>0.33679999999999999</v>
      </c>
      <c r="E9884" s="26">
        <v>0.20669999999999999</v>
      </c>
      <c r="F9884" s="26">
        <v>4.2500000000000003E-2</v>
      </c>
      <c r="G9884" s="26">
        <v>0.2732</v>
      </c>
      <c r="H9884" s="26">
        <v>0.40450000000000003</v>
      </c>
      <c r="J9884" s="26">
        <v>0.19969999999999999</v>
      </c>
      <c r="K9884" s="26">
        <v>0.53690000000000004</v>
      </c>
      <c r="L9884" s="26">
        <v>0.17910000000000001</v>
      </c>
      <c r="M9884" s="26">
        <v>0.1012</v>
      </c>
      <c r="N9884">
        <v>54</v>
      </c>
    </row>
    <row r="9885" spans="1:14" x14ac:dyDescent="0.35">
      <c r="A9885" t="s">
        <v>230</v>
      </c>
      <c r="B9885" t="s">
        <v>261</v>
      </c>
      <c r="C9885" t="s">
        <v>1281</v>
      </c>
      <c r="D9885" s="26">
        <v>0.64190000000000003</v>
      </c>
      <c r="E9885" s="26">
        <v>0.21410000000000001</v>
      </c>
      <c r="F9885" s="26">
        <v>0.88690000000000002</v>
      </c>
      <c r="G9885" s="26">
        <v>0.57169999999999999</v>
      </c>
      <c r="H9885" s="26">
        <v>0.49619999999999997</v>
      </c>
      <c r="I9885" s="26">
        <v>0.58740000000000003</v>
      </c>
      <c r="J9885" s="26">
        <v>0.79310000000000003</v>
      </c>
      <c r="K9885" s="26">
        <v>0.46310000000000001</v>
      </c>
      <c r="L9885" s="26">
        <v>0.80649999999999999</v>
      </c>
      <c r="M9885" s="26">
        <v>0.88959999999999995</v>
      </c>
      <c r="N9885">
        <v>54</v>
      </c>
    </row>
    <row r="9886" spans="1:14" x14ac:dyDescent="0.35">
      <c r="A9886" s="27" t="s">
        <v>230</v>
      </c>
      <c r="B9886" s="27" t="s">
        <v>263</v>
      </c>
      <c r="C9886" s="27" t="s">
        <v>1283</v>
      </c>
      <c r="D9886" s="28">
        <v>0.46739999999999998</v>
      </c>
      <c r="E9886" s="28">
        <v>0.19500000000000001</v>
      </c>
      <c r="F9886" s="28">
        <v>1.7299999999999999E-2</v>
      </c>
      <c r="G9886" s="28">
        <v>0.14299999999999999</v>
      </c>
      <c r="H9886" s="28">
        <v>0.51939999999999997</v>
      </c>
      <c r="I9886" s="28">
        <v>1.7299999999999999E-2</v>
      </c>
      <c r="J9886" s="28">
        <v>0.41110000000000002</v>
      </c>
      <c r="K9886" s="28">
        <v>0.48039999999999999</v>
      </c>
      <c r="L9886" s="28">
        <v>0.37640000000000001</v>
      </c>
      <c r="M9886" s="29"/>
      <c r="N9886" s="29">
        <v>23</v>
      </c>
    </row>
    <row r="9887" spans="1:14" x14ac:dyDescent="0.35">
      <c r="A9887" s="27" t="s">
        <v>230</v>
      </c>
      <c r="B9887" s="27" t="s">
        <v>263</v>
      </c>
      <c r="C9887" s="27" t="s">
        <v>1282</v>
      </c>
      <c r="D9887" s="28">
        <v>1.7299999999999999E-2</v>
      </c>
      <c r="E9887" s="28">
        <v>0.41539999999999999</v>
      </c>
      <c r="F9887" s="28">
        <v>3.4700000000000002E-2</v>
      </c>
      <c r="G9887" s="29"/>
      <c r="H9887" s="29"/>
      <c r="I9887" s="29"/>
      <c r="J9887" s="29"/>
      <c r="K9887" s="29"/>
      <c r="L9887" s="29"/>
      <c r="M9887" s="28">
        <v>1.7299999999999999E-2</v>
      </c>
      <c r="N9887" s="29">
        <v>23</v>
      </c>
    </row>
    <row r="9888" spans="1:14" x14ac:dyDescent="0.35">
      <c r="A9888" s="27" t="s">
        <v>230</v>
      </c>
      <c r="B9888" s="27" t="s">
        <v>263</v>
      </c>
      <c r="C9888" s="27" t="s">
        <v>1281</v>
      </c>
      <c r="D9888" s="28">
        <v>0.51519999999999999</v>
      </c>
      <c r="E9888" s="28">
        <v>5.1999999999999998E-2</v>
      </c>
      <c r="F9888" s="28">
        <v>0.58889999999999998</v>
      </c>
      <c r="G9888" s="28">
        <v>0.3493</v>
      </c>
      <c r="H9888" s="28">
        <v>0.48060000000000003</v>
      </c>
      <c r="I9888" s="28">
        <v>0.2339</v>
      </c>
      <c r="J9888" s="28">
        <v>0.58889999999999998</v>
      </c>
      <c r="K9888" s="28">
        <v>0.51959999999999995</v>
      </c>
      <c r="L9888" s="28">
        <v>0.62360000000000004</v>
      </c>
      <c r="M9888" s="28">
        <v>0.98270000000000002</v>
      </c>
      <c r="N9888" s="29">
        <v>23</v>
      </c>
    </row>
    <row r="9889" spans="1:14" x14ac:dyDescent="0.35">
      <c r="A9889" t="s">
        <v>230</v>
      </c>
      <c r="B9889" t="s">
        <v>260</v>
      </c>
      <c r="C9889" t="s">
        <v>1282</v>
      </c>
      <c r="D9889" s="26">
        <v>4.4000000000000003E-3</v>
      </c>
      <c r="E9889" s="26">
        <v>7.1499999999999994E-2</v>
      </c>
      <c r="F9889" s="26">
        <v>1.18E-2</v>
      </c>
      <c r="G9889" s="26">
        <v>5.4000000000000003E-3</v>
      </c>
      <c r="H9889" s="26">
        <v>2.9399999999999999E-2</v>
      </c>
      <c r="I9889" s="26">
        <v>1.9599999999999999E-2</v>
      </c>
      <c r="J9889" s="26">
        <v>1.9E-3</v>
      </c>
      <c r="L9889" s="26">
        <v>8.8000000000000005E-3</v>
      </c>
      <c r="N9889">
        <v>321</v>
      </c>
    </row>
    <row r="9890" spans="1:14" x14ac:dyDescent="0.35">
      <c r="A9890" s="27" t="s">
        <v>231</v>
      </c>
      <c r="B9890" s="27" t="s">
        <v>262</v>
      </c>
      <c r="C9890" s="27" t="s">
        <v>303</v>
      </c>
      <c r="D9890" s="28">
        <v>0.2</v>
      </c>
      <c r="E9890" s="28">
        <v>0.4</v>
      </c>
      <c r="F9890" s="28">
        <v>0.1</v>
      </c>
      <c r="G9890" s="28">
        <v>0.3</v>
      </c>
      <c r="H9890" s="29"/>
      <c r="I9890" s="28">
        <v>0.1</v>
      </c>
      <c r="J9890" s="29"/>
      <c r="K9890" s="29"/>
      <c r="L9890" s="29"/>
      <c r="M9890" s="29"/>
      <c r="N9890" s="29">
        <v>10</v>
      </c>
    </row>
    <row r="9891" spans="1:14" x14ac:dyDescent="0.35">
      <c r="A9891" s="27" t="s">
        <v>231</v>
      </c>
      <c r="B9891" s="27" t="s">
        <v>262</v>
      </c>
      <c r="C9891" s="27" t="s">
        <v>1281</v>
      </c>
      <c r="D9891" s="28">
        <v>0.8</v>
      </c>
      <c r="E9891" s="28">
        <v>0.4</v>
      </c>
      <c r="F9891" s="28">
        <v>0.9</v>
      </c>
      <c r="G9891" s="28">
        <v>0.5</v>
      </c>
      <c r="H9891" s="28">
        <v>0.8</v>
      </c>
      <c r="I9891" s="28">
        <v>0.9</v>
      </c>
      <c r="J9891" s="28">
        <v>0.8</v>
      </c>
      <c r="K9891" s="28">
        <v>0.9</v>
      </c>
      <c r="L9891" s="28">
        <v>1</v>
      </c>
      <c r="M9891" s="28">
        <v>1</v>
      </c>
      <c r="N9891" s="29">
        <v>10</v>
      </c>
    </row>
    <row r="9892" spans="1:14" x14ac:dyDescent="0.35">
      <c r="A9892" t="s">
        <v>231</v>
      </c>
      <c r="B9892" t="s">
        <v>260</v>
      </c>
      <c r="C9892" t="s">
        <v>303</v>
      </c>
      <c r="D9892" s="26">
        <v>2.75E-2</v>
      </c>
      <c r="E9892" s="26">
        <v>0.4587</v>
      </c>
      <c r="F9892" s="26">
        <v>0.21099999999999999</v>
      </c>
      <c r="G9892" s="26">
        <v>0.1792</v>
      </c>
      <c r="H9892" s="26">
        <v>9.1999999999999998E-3</v>
      </c>
      <c r="I9892" s="26">
        <v>0.28439999999999999</v>
      </c>
      <c r="J9892" s="26">
        <v>9.1999999999999998E-3</v>
      </c>
      <c r="L9892" s="26">
        <v>3.6700000000000003E-2</v>
      </c>
      <c r="M9892" s="26">
        <v>1.83E-2</v>
      </c>
      <c r="N9892">
        <v>109</v>
      </c>
    </row>
    <row r="9893" spans="1:14" x14ac:dyDescent="0.35">
      <c r="A9893" t="s">
        <v>231</v>
      </c>
      <c r="B9893" t="s">
        <v>260</v>
      </c>
      <c r="C9893" t="s">
        <v>1283</v>
      </c>
      <c r="D9893" s="26">
        <v>0.156</v>
      </c>
      <c r="E9893" s="26">
        <v>0.1376</v>
      </c>
      <c r="F9893" s="26">
        <v>1.83E-2</v>
      </c>
      <c r="G9893" s="26">
        <v>0.20749999999999999</v>
      </c>
      <c r="H9893" s="26">
        <v>0.20180000000000001</v>
      </c>
      <c r="I9893" s="26">
        <v>5.5E-2</v>
      </c>
      <c r="J9893" s="26">
        <v>0.20180000000000001</v>
      </c>
      <c r="K9893" s="26">
        <v>0.1835</v>
      </c>
      <c r="L9893" s="26">
        <v>0.1376</v>
      </c>
      <c r="M9893" s="26">
        <v>0.1009</v>
      </c>
      <c r="N9893">
        <v>109</v>
      </c>
    </row>
    <row r="9894" spans="1:14" x14ac:dyDescent="0.35">
      <c r="A9894" t="s">
        <v>231</v>
      </c>
      <c r="B9894" t="s">
        <v>260</v>
      </c>
      <c r="C9894" t="s">
        <v>1281</v>
      </c>
      <c r="D9894" s="26">
        <v>0.8165</v>
      </c>
      <c r="E9894" s="26">
        <v>0.36699999999999999</v>
      </c>
      <c r="F9894" s="26">
        <v>0.76149999999999995</v>
      </c>
      <c r="G9894" s="26">
        <v>0.61319999999999997</v>
      </c>
      <c r="H9894" s="26">
        <v>0.77059999999999995</v>
      </c>
      <c r="I9894" s="26">
        <v>0.65139999999999998</v>
      </c>
      <c r="J9894" s="26">
        <v>0.77980000000000005</v>
      </c>
      <c r="K9894" s="26">
        <v>0.79820000000000002</v>
      </c>
      <c r="L9894" s="26">
        <v>0.8165</v>
      </c>
      <c r="M9894" s="26">
        <v>0.88070000000000004</v>
      </c>
      <c r="N9894">
        <v>109</v>
      </c>
    </row>
    <row r="9895" spans="1:14" x14ac:dyDescent="0.35">
      <c r="A9895" s="27" t="s">
        <v>231</v>
      </c>
      <c r="B9895" s="27" t="s">
        <v>261</v>
      </c>
      <c r="C9895" s="27" t="s">
        <v>1282</v>
      </c>
      <c r="D9895" s="28">
        <v>8.3299999999999999E-2</v>
      </c>
      <c r="E9895" s="28">
        <v>4.1700000000000001E-2</v>
      </c>
      <c r="F9895" s="28">
        <v>4.1700000000000001E-2</v>
      </c>
      <c r="G9895" s="28">
        <v>4.3499999999999997E-2</v>
      </c>
      <c r="H9895" s="28">
        <v>4.1700000000000001E-2</v>
      </c>
      <c r="I9895" s="29"/>
      <c r="J9895" s="29"/>
      <c r="K9895" s="29"/>
      <c r="L9895" s="29"/>
      <c r="M9895" s="29"/>
      <c r="N9895" s="29">
        <v>24</v>
      </c>
    </row>
    <row r="9896" spans="1:14" x14ac:dyDescent="0.35">
      <c r="A9896" s="27" t="s">
        <v>231</v>
      </c>
      <c r="B9896" s="27" t="s">
        <v>261</v>
      </c>
      <c r="C9896" s="27" t="s">
        <v>1283</v>
      </c>
      <c r="D9896" s="28">
        <v>0.125</v>
      </c>
      <c r="E9896" s="28">
        <v>0.125</v>
      </c>
      <c r="F9896" s="28">
        <v>4.1700000000000001E-2</v>
      </c>
      <c r="G9896" s="28">
        <v>0.21740000000000001</v>
      </c>
      <c r="H9896" s="28">
        <v>0.375</v>
      </c>
      <c r="I9896" s="28">
        <v>4.1700000000000001E-2</v>
      </c>
      <c r="J9896" s="28">
        <v>0.16669999999999999</v>
      </c>
      <c r="K9896" s="28">
        <v>0.33329999999999999</v>
      </c>
      <c r="L9896" s="28">
        <v>4.1700000000000001E-2</v>
      </c>
      <c r="M9896" s="29"/>
      <c r="N9896" s="29">
        <v>24</v>
      </c>
    </row>
    <row r="9897" spans="1:14" x14ac:dyDescent="0.35">
      <c r="A9897" s="27" t="s">
        <v>231</v>
      </c>
      <c r="B9897" s="27" t="s">
        <v>261</v>
      </c>
      <c r="C9897" s="27" t="s">
        <v>1281</v>
      </c>
      <c r="D9897" s="28">
        <v>0.75</v>
      </c>
      <c r="E9897" s="28">
        <v>0.41670000000000001</v>
      </c>
      <c r="F9897" s="28">
        <v>0.875</v>
      </c>
      <c r="G9897" s="28">
        <v>0.60870000000000002</v>
      </c>
      <c r="H9897" s="28">
        <v>0.58330000000000004</v>
      </c>
      <c r="I9897" s="28">
        <v>0.41670000000000001</v>
      </c>
      <c r="J9897" s="28">
        <v>0.83330000000000004</v>
      </c>
      <c r="K9897" s="28">
        <v>0.66669999999999996</v>
      </c>
      <c r="L9897" s="28">
        <v>0.91669999999999996</v>
      </c>
      <c r="M9897" s="28">
        <v>0.95830000000000004</v>
      </c>
      <c r="N9897" s="29">
        <v>24</v>
      </c>
    </row>
    <row r="9898" spans="1:14" x14ac:dyDescent="0.35">
      <c r="A9898" s="27" t="s">
        <v>231</v>
      </c>
      <c r="B9898" s="27" t="s">
        <v>263</v>
      </c>
      <c r="C9898" s="27" t="s">
        <v>303</v>
      </c>
      <c r="D9898" s="28">
        <v>0.5</v>
      </c>
      <c r="E9898" s="28">
        <v>0.5</v>
      </c>
      <c r="F9898" s="28">
        <v>0.5</v>
      </c>
      <c r="G9898" s="29"/>
      <c r="H9898" s="29"/>
      <c r="I9898" s="28">
        <v>1</v>
      </c>
      <c r="J9898" s="29"/>
      <c r="K9898" s="29"/>
      <c r="L9898" s="29"/>
      <c r="M9898" s="29"/>
      <c r="N9898" s="29">
        <v>2</v>
      </c>
    </row>
    <row r="9899" spans="1:14" x14ac:dyDescent="0.35">
      <c r="A9899" s="27" t="s">
        <v>231</v>
      </c>
      <c r="B9899" s="27" t="s">
        <v>263</v>
      </c>
      <c r="C9899" s="27" t="s">
        <v>1282</v>
      </c>
      <c r="D9899" s="28">
        <v>0.5</v>
      </c>
      <c r="E9899" s="28">
        <v>0.5</v>
      </c>
      <c r="F9899" s="29"/>
      <c r="G9899" s="29"/>
      <c r="H9899" s="28">
        <v>0.5</v>
      </c>
      <c r="I9899" s="29"/>
      <c r="J9899" s="29"/>
      <c r="K9899" s="29"/>
      <c r="L9899" s="29"/>
      <c r="M9899" s="29"/>
      <c r="N9899" s="29">
        <v>2</v>
      </c>
    </row>
    <row r="9900" spans="1:14" x14ac:dyDescent="0.35">
      <c r="A9900" s="27" t="s">
        <v>231</v>
      </c>
      <c r="B9900" s="27" t="s">
        <v>261</v>
      </c>
      <c r="C9900" s="27" t="s">
        <v>303</v>
      </c>
      <c r="D9900" s="28">
        <v>4.1700000000000001E-2</v>
      </c>
      <c r="E9900" s="28">
        <v>0.41670000000000001</v>
      </c>
      <c r="F9900" s="28">
        <v>4.1700000000000001E-2</v>
      </c>
      <c r="G9900" s="28">
        <v>0.13039999999999999</v>
      </c>
      <c r="H9900" s="29"/>
      <c r="I9900" s="28">
        <v>0.54169999999999996</v>
      </c>
      <c r="J9900" s="29"/>
      <c r="K9900" s="29"/>
      <c r="L9900" s="28">
        <v>4.1700000000000001E-2</v>
      </c>
      <c r="M9900" s="28">
        <v>4.1700000000000001E-2</v>
      </c>
      <c r="N9900" s="29">
        <v>24</v>
      </c>
    </row>
    <row r="9901" spans="1:14" x14ac:dyDescent="0.35">
      <c r="A9901" t="s">
        <v>232</v>
      </c>
      <c r="B9901" t="s">
        <v>232</v>
      </c>
      <c r="C9901" t="s">
        <v>1283</v>
      </c>
      <c r="D9901" s="26">
        <v>0.12759999999999999</v>
      </c>
      <c r="E9901" s="26">
        <v>0.1409</v>
      </c>
      <c r="F9901" s="26">
        <v>4.8899999999999999E-2</v>
      </c>
      <c r="G9901" s="26">
        <v>0.2019</v>
      </c>
      <c r="H9901" s="26">
        <v>0.2152</v>
      </c>
      <c r="I9901" s="26">
        <v>4.0599999999999997E-2</v>
      </c>
      <c r="J9901" s="26">
        <v>0.1648</v>
      </c>
      <c r="K9901" s="26">
        <v>0.2019</v>
      </c>
      <c r="L9901" s="26">
        <v>0.14050000000000001</v>
      </c>
      <c r="M9901" s="26">
        <v>9.2600000000000002E-2</v>
      </c>
      <c r="N9901">
        <v>2546</v>
      </c>
    </row>
    <row r="9902" spans="1:14" x14ac:dyDescent="0.35">
      <c r="A9902" t="s">
        <v>232</v>
      </c>
      <c r="B9902" t="s">
        <v>232</v>
      </c>
      <c r="C9902" t="s">
        <v>1281</v>
      </c>
      <c r="D9902" s="26">
        <v>0.81079999999999997</v>
      </c>
      <c r="E9902" s="26">
        <v>0.38419999999999999</v>
      </c>
      <c r="F9902" s="26">
        <v>0.80230000000000001</v>
      </c>
      <c r="G9902" s="26">
        <v>0.60229999999999995</v>
      </c>
      <c r="H9902" s="26">
        <v>0.74029999999999996</v>
      </c>
      <c r="I9902" s="26">
        <v>0.63570000000000004</v>
      </c>
      <c r="J9902" s="26">
        <v>0.82030000000000003</v>
      </c>
      <c r="K9902" s="26">
        <v>0.78349999999999997</v>
      </c>
      <c r="L9902" s="26">
        <v>0.83460000000000001</v>
      </c>
      <c r="M9902" s="26">
        <v>0.89729999999999999</v>
      </c>
      <c r="N9902">
        <v>2546</v>
      </c>
    </row>
    <row r="9903" spans="1:14" x14ac:dyDescent="0.35">
      <c r="A9903" t="s">
        <v>232</v>
      </c>
      <c r="B9903" t="s">
        <v>232</v>
      </c>
      <c r="C9903" t="s">
        <v>1282</v>
      </c>
      <c r="D9903" s="26">
        <v>2.1100000000000001E-2</v>
      </c>
      <c r="E9903" s="26">
        <v>6.2899999999999998E-2</v>
      </c>
      <c r="F9903" s="26">
        <v>1.17E-2</v>
      </c>
      <c r="G9903" s="26">
        <v>1.9599999999999999E-2</v>
      </c>
      <c r="H9903" s="26">
        <v>2.63E-2</v>
      </c>
      <c r="I9903" s="26">
        <v>7.3000000000000001E-3</v>
      </c>
      <c r="J9903" s="26">
        <v>5.8999999999999999E-3</v>
      </c>
      <c r="K9903" s="26">
        <v>1.14E-2</v>
      </c>
      <c r="L9903" s="26">
        <v>3.0000000000000001E-3</v>
      </c>
      <c r="M9903" s="26">
        <v>4.0000000000000002E-4</v>
      </c>
      <c r="N9903">
        <v>2546</v>
      </c>
    </row>
    <row r="9904" spans="1:14" x14ac:dyDescent="0.35">
      <c r="A9904" t="s">
        <v>232</v>
      </c>
      <c r="B9904" t="s">
        <v>232</v>
      </c>
      <c r="C9904" t="s">
        <v>303</v>
      </c>
      <c r="D9904" s="26">
        <v>4.0599999999999997E-2</v>
      </c>
      <c r="E9904" s="26">
        <v>0.41199999999999998</v>
      </c>
      <c r="F9904" s="26">
        <v>0.1371</v>
      </c>
      <c r="G9904" s="26">
        <v>0.17610000000000001</v>
      </c>
      <c r="H9904" s="26">
        <v>1.8200000000000001E-2</v>
      </c>
      <c r="I9904" s="26">
        <v>0.31640000000000001</v>
      </c>
      <c r="J9904" s="26">
        <v>8.9999999999999993E-3</v>
      </c>
      <c r="K9904" s="26">
        <v>3.2000000000000002E-3</v>
      </c>
      <c r="L9904" s="26">
        <v>2.1899999999999999E-2</v>
      </c>
      <c r="M9904" s="26">
        <v>9.7000000000000003E-3</v>
      </c>
      <c r="N9904">
        <v>2546</v>
      </c>
    </row>
    <row r="9906" spans="1:9" x14ac:dyDescent="0.35">
      <c r="A9906" s="1" t="s">
        <v>1305</v>
      </c>
    </row>
    <row r="9907" spans="1:9" x14ac:dyDescent="0.35">
      <c r="A9907" t="s">
        <v>219</v>
      </c>
      <c r="B9907" t="s">
        <v>305</v>
      </c>
      <c r="C9907" t="s">
        <v>1285</v>
      </c>
      <c r="D9907" t="s">
        <v>1286</v>
      </c>
      <c r="E9907" t="s">
        <v>1287</v>
      </c>
      <c r="F9907" t="s">
        <v>1288</v>
      </c>
      <c r="G9907" t="s">
        <v>1289</v>
      </c>
      <c r="H9907" t="s">
        <v>281</v>
      </c>
      <c r="I9907" t="s">
        <v>226</v>
      </c>
    </row>
    <row r="9908" spans="1:9" x14ac:dyDescent="0.35">
      <c r="A9908" s="27" t="s">
        <v>227</v>
      </c>
      <c r="B9908" s="27" t="s">
        <v>263</v>
      </c>
      <c r="C9908" s="29"/>
      <c r="D9908" s="29"/>
      <c r="E9908" s="28">
        <v>1</v>
      </c>
      <c r="F9908" s="29"/>
      <c r="G9908" s="29"/>
      <c r="H9908" s="29"/>
      <c r="I9908" s="29" t="s">
        <v>331</v>
      </c>
    </row>
    <row r="9909" spans="1:9" x14ac:dyDescent="0.35">
      <c r="A9909" t="s">
        <v>227</v>
      </c>
      <c r="B9909" t="s">
        <v>260</v>
      </c>
      <c r="C9909" s="26">
        <v>0.33329999999999999</v>
      </c>
      <c r="D9909" s="26">
        <v>0.45829999999999999</v>
      </c>
      <c r="E9909" s="26">
        <v>0.16669999999999999</v>
      </c>
      <c r="F9909" s="26">
        <v>0.125</v>
      </c>
      <c r="G9909" s="26">
        <v>0.16669999999999999</v>
      </c>
      <c r="I9909">
        <v>48</v>
      </c>
    </row>
    <row r="9910" spans="1:9" x14ac:dyDescent="0.35">
      <c r="A9910" s="27" t="s">
        <v>227</v>
      </c>
      <c r="B9910" s="27" t="s">
        <v>261</v>
      </c>
      <c r="C9910" s="28">
        <v>0.5333</v>
      </c>
      <c r="D9910" s="28">
        <v>0.33329999999999999</v>
      </c>
      <c r="E9910" s="28">
        <v>0.4</v>
      </c>
      <c r="F9910" s="28">
        <v>0.1333</v>
      </c>
      <c r="G9910" s="29"/>
      <c r="H9910" s="29"/>
      <c r="I9910" s="29" t="s">
        <v>346</v>
      </c>
    </row>
    <row r="9911" spans="1:9" x14ac:dyDescent="0.35">
      <c r="A9911" s="27" t="s">
        <v>227</v>
      </c>
      <c r="B9911" s="27" t="s">
        <v>262</v>
      </c>
      <c r="C9911" s="29"/>
      <c r="D9911" s="29"/>
      <c r="E9911" s="28">
        <v>1</v>
      </c>
      <c r="F9911" s="29"/>
      <c r="G9911" s="29"/>
      <c r="H9911" s="29"/>
      <c r="I9911" s="29" t="s">
        <v>331</v>
      </c>
    </row>
    <row r="9912" spans="1:9" x14ac:dyDescent="0.35">
      <c r="A9912" s="27" t="s">
        <v>228</v>
      </c>
      <c r="B9912" s="27" t="s">
        <v>263</v>
      </c>
      <c r="C9912" s="28">
        <v>0.40910000000000002</v>
      </c>
      <c r="D9912" s="28">
        <v>0.66779999999999995</v>
      </c>
      <c r="E9912" s="28">
        <v>0.27229999999999999</v>
      </c>
      <c r="F9912" s="28">
        <v>9.0200000000000002E-2</v>
      </c>
      <c r="G9912" s="29"/>
      <c r="H9912" s="28">
        <v>2.41E-2</v>
      </c>
      <c r="I9912" s="29" t="s">
        <v>348</v>
      </c>
    </row>
    <row r="9913" spans="1:9" x14ac:dyDescent="0.35">
      <c r="A9913" s="27" t="s">
        <v>228</v>
      </c>
      <c r="B9913" s="27" t="s">
        <v>236</v>
      </c>
      <c r="C9913" s="28">
        <v>6.9199999999999998E-2</v>
      </c>
      <c r="D9913" s="28">
        <v>0.37509999999999999</v>
      </c>
      <c r="E9913" s="29"/>
      <c r="F9913" s="29"/>
      <c r="G9913" s="29"/>
      <c r="H9913" s="28">
        <v>0.55569999999999997</v>
      </c>
      <c r="I9913" s="29" t="s">
        <v>332</v>
      </c>
    </row>
    <row r="9914" spans="1:9" x14ac:dyDescent="0.35">
      <c r="A9914" t="s">
        <v>228</v>
      </c>
      <c r="B9914" t="s">
        <v>261</v>
      </c>
      <c r="C9914" s="26">
        <v>0.49399999999999999</v>
      </c>
      <c r="D9914" s="26">
        <v>0.45679999999999998</v>
      </c>
      <c r="E9914" s="26">
        <v>0.54530000000000001</v>
      </c>
      <c r="F9914" s="26">
        <v>8.7400000000000005E-2</v>
      </c>
      <c r="G9914" s="26">
        <v>0.13489999999999999</v>
      </c>
      <c r="H9914" s="26">
        <v>3.0999999999999999E-3</v>
      </c>
      <c r="I9914">
        <v>129</v>
      </c>
    </row>
    <row r="9915" spans="1:9" x14ac:dyDescent="0.35">
      <c r="A9915" t="s">
        <v>228</v>
      </c>
      <c r="B9915" t="s">
        <v>262</v>
      </c>
      <c r="C9915" s="26">
        <v>0.47810000000000002</v>
      </c>
      <c r="D9915" s="26">
        <v>0.4456</v>
      </c>
      <c r="E9915" s="26">
        <v>0.20369999999999999</v>
      </c>
      <c r="F9915" s="26">
        <v>0.1164</v>
      </c>
      <c r="G9915" s="26">
        <v>0.12859999999999999</v>
      </c>
      <c r="H9915" s="26">
        <v>1.11E-2</v>
      </c>
      <c r="I9915">
        <v>116</v>
      </c>
    </row>
    <row r="9916" spans="1:9" x14ac:dyDescent="0.35">
      <c r="A9916" t="s">
        <v>228</v>
      </c>
      <c r="B9916" t="s">
        <v>260</v>
      </c>
      <c r="C9916" s="26">
        <v>0.43309999999999998</v>
      </c>
      <c r="D9916" s="26">
        <v>0.47699999999999998</v>
      </c>
      <c r="E9916" s="26">
        <v>0.28339999999999999</v>
      </c>
      <c r="F9916" s="26">
        <v>0.10440000000000001</v>
      </c>
      <c r="G9916" s="26">
        <v>4.6300000000000001E-2</v>
      </c>
      <c r="H9916" s="26">
        <v>4.9500000000000002E-2</v>
      </c>
      <c r="I9916">
        <v>288</v>
      </c>
    </row>
    <row r="9917" spans="1:9" x14ac:dyDescent="0.35">
      <c r="A9917" s="27" t="s">
        <v>229</v>
      </c>
      <c r="B9917" s="27" t="s">
        <v>263</v>
      </c>
      <c r="C9917" s="28">
        <v>0.221</v>
      </c>
      <c r="D9917" s="28">
        <v>0.20630000000000001</v>
      </c>
      <c r="E9917" s="28">
        <v>0.5423</v>
      </c>
      <c r="F9917" s="28">
        <v>1.9800000000000002E-2</v>
      </c>
      <c r="G9917" s="28">
        <v>0.36149999999999999</v>
      </c>
      <c r="H9917" s="28">
        <v>0.1913</v>
      </c>
      <c r="I9917" s="29" t="s">
        <v>307</v>
      </c>
    </row>
    <row r="9918" spans="1:9" x14ac:dyDescent="0.35">
      <c r="A9918" t="s">
        <v>229</v>
      </c>
      <c r="B9918" t="s">
        <v>262</v>
      </c>
      <c r="C9918" s="26">
        <v>0.48370000000000002</v>
      </c>
      <c r="D9918" s="26">
        <v>0.41060000000000002</v>
      </c>
      <c r="E9918" s="26">
        <v>0.34699999999999998</v>
      </c>
      <c r="F9918" s="26">
        <v>0.11119999999999999</v>
      </c>
      <c r="G9918" s="26">
        <v>0.1089</v>
      </c>
      <c r="H9918" s="26">
        <v>6.0199999999999997E-2</v>
      </c>
      <c r="I9918">
        <v>103</v>
      </c>
    </row>
    <row r="9919" spans="1:9" x14ac:dyDescent="0.35">
      <c r="A9919" t="s">
        <v>229</v>
      </c>
      <c r="B9919" t="s">
        <v>260</v>
      </c>
      <c r="C9919" s="26">
        <v>0.46150000000000002</v>
      </c>
      <c r="D9919" s="26">
        <v>0.4486</v>
      </c>
      <c r="E9919" s="26">
        <v>0.3266</v>
      </c>
      <c r="F9919" s="26">
        <v>8.6099999999999996E-2</v>
      </c>
      <c r="G9919" s="26">
        <v>9.2100000000000001E-2</v>
      </c>
      <c r="H9919" s="26">
        <v>3.5099999999999999E-2</v>
      </c>
      <c r="I9919">
        <v>261</v>
      </c>
    </row>
    <row r="9920" spans="1:9" x14ac:dyDescent="0.35">
      <c r="A9920" t="s">
        <v>229</v>
      </c>
      <c r="B9920" t="s">
        <v>261</v>
      </c>
      <c r="C9920" s="26">
        <v>0.5877</v>
      </c>
      <c r="D9920" s="26">
        <v>0.52280000000000004</v>
      </c>
      <c r="E9920" s="26">
        <v>0.45829999999999999</v>
      </c>
      <c r="F9920" s="26">
        <v>8.9899999999999994E-2</v>
      </c>
      <c r="G9920" s="26">
        <v>0.1069</v>
      </c>
      <c r="H9920" s="26">
        <v>1.06E-2</v>
      </c>
      <c r="I9920">
        <v>53</v>
      </c>
    </row>
    <row r="9921" spans="1:14" x14ac:dyDescent="0.35">
      <c r="A9921" t="s">
        <v>230</v>
      </c>
      <c r="B9921" t="s">
        <v>262</v>
      </c>
      <c r="C9921" s="26">
        <v>0.42430000000000001</v>
      </c>
      <c r="D9921" s="26">
        <v>0.41699999999999998</v>
      </c>
      <c r="E9921" s="26">
        <v>0.4471</v>
      </c>
      <c r="F9921" s="26">
        <v>8.2500000000000004E-2</v>
      </c>
      <c r="G9921" s="26">
        <v>0.15670000000000001</v>
      </c>
      <c r="H9921" s="26">
        <v>1.5599999999999999E-2</v>
      </c>
      <c r="I9921">
        <v>68</v>
      </c>
    </row>
    <row r="9922" spans="1:14" x14ac:dyDescent="0.35">
      <c r="A9922" t="s">
        <v>230</v>
      </c>
      <c r="B9922" t="s">
        <v>261</v>
      </c>
      <c r="C9922" s="26">
        <v>0.33179999999999998</v>
      </c>
      <c r="D9922" s="26">
        <v>0.46139999999999998</v>
      </c>
      <c r="E9922" s="26">
        <v>0.35489999999999999</v>
      </c>
      <c r="F9922" s="26">
        <v>0.25519999999999998</v>
      </c>
      <c r="G9922" s="26">
        <v>6.1100000000000002E-2</v>
      </c>
      <c r="I9922">
        <v>38</v>
      </c>
    </row>
    <row r="9923" spans="1:14" x14ac:dyDescent="0.35">
      <c r="A9923" t="s">
        <v>230</v>
      </c>
      <c r="B9923" t="s">
        <v>260</v>
      </c>
      <c r="C9923" s="26">
        <v>0.52249999999999996</v>
      </c>
      <c r="D9923" s="26">
        <v>0.4743</v>
      </c>
      <c r="E9923" s="26">
        <v>0.30590000000000001</v>
      </c>
      <c r="F9923" s="26">
        <v>8.6199999999999999E-2</v>
      </c>
      <c r="G9923" s="26">
        <v>0.1087</v>
      </c>
      <c r="H9923" s="26">
        <v>5.4399999999999997E-2</v>
      </c>
      <c r="I9923">
        <v>175</v>
      </c>
    </row>
    <row r="9924" spans="1:14" x14ac:dyDescent="0.35">
      <c r="A9924" s="27" t="s">
        <v>230</v>
      </c>
      <c r="B9924" s="27" t="s">
        <v>236</v>
      </c>
      <c r="C9924" s="28">
        <v>0.95169999999999999</v>
      </c>
      <c r="D9924" s="28">
        <v>1</v>
      </c>
      <c r="E9924" s="29"/>
      <c r="F9924" s="28">
        <v>0.95169999999999999</v>
      </c>
      <c r="G9924" s="29"/>
      <c r="H9924" s="29"/>
      <c r="I9924" s="29" t="s">
        <v>314</v>
      </c>
    </row>
    <row r="9925" spans="1:14" x14ac:dyDescent="0.35">
      <c r="A9925" s="27" t="s">
        <v>230</v>
      </c>
      <c r="B9925" s="27" t="s">
        <v>263</v>
      </c>
      <c r="C9925" s="28">
        <v>0.37569999999999998</v>
      </c>
      <c r="D9925" s="28">
        <v>0.53200000000000003</v>
      </c>
      <c r="E9925" s="28">
        <v>0.30590000000000001</v>
      </c>
      <c r="F9925" s="29"/>
      <c r="G9925" s="28">
        <v>0.43630000000000002</v>
      </c>
      <c r="H9925" s="29"/>
      <c r="I9925" s="29" t="s">
        <v>346</v>
      </c>
    </row>
    <row r="9926" spans="1:14" x14ac:dyDescent="0.35">
      <c r="A9926" t="s">
        <v>231</v>
      </c>
      <c r="B9926" t="s">
        <v>260</v>
      </c>
      <c r="C9926" s="26">
        <v>0.5</v>
      </c>
      <c r="D9926" s="26">
        <v>0.5</v>
      </c>
      <c r="E9926" s="26">
        <v>0.26669999999999999</v>
      </c>
      <c r="F9926" s="26">
        <v>6.6699999999999995E-2</v>
      </c>
      <c r="G9926" s="26">
        <v>0.1</v>
      </c>
      <c r="H9926" s="26">
        <v>0.05</v>
      </c>
      <c r="I9926">
        <v>60</v>
      </c>
    </row>
    <row r="9927" spans="1:14" x14ac:dyDescent="0.35">
      <c r="A9927" s="27" t="s">
        <v>231</v>
      </c>
      <c r="B9927" s="27" t="s">
        <v>261</v>
      </c>
      <c r="C9927" s="28">
        <v>0.35709999999999997</v>
      </c>
      <c r="D9927" s="28">
        <v>0.57140000000000002</v>
      </c>
      <c r="E9927" s="28">
        <v>0.35709999999999997</v>
      </c>
      <c r="F9927" s="28">
        <v>7.1400000000000005E-2</v>
      </c>
      <c r="G9927" s="29"/>
      <c r="H9927" s="29"/>
      <c r="I9927" s="29" t="s">
        <v>379</v>
      </c>
    </row>
    <row r="9928" spans="1:14" x14ac:dyDescent="0.35">
      <c r="A9928" s="27" t="s">
        <v>231</v>
      </c>
      <c r="B9928" s="27" t="s">
        <v>263</v>
      </c>
      <c r="C9928" s="28">
        <v>0.5</v>
      </c>
      <c r="D9928" s="29"/>
      <c r="E9928" s="28">
        <v>0.5</v>
      </c>
      <c r="F9928" s="28">
        <v>0.5</v>
      </c>
      <c r="G9928" s="29"/>
      <c r="H9928" s="29"/>
      <c r="I9928" s="29" t="s">
        <v>314</v>
      </c>
    </row>
    <row r="9929" spans="1:14" x14ac:dyDescent="0.35">
      <c r="A9929" s="27" t="s">
        <v>231</v>
      </c>
      <c r="B9929" s="27" t="s">
        <v>262</v>
      </c>
      <c r="C9929" s="28">
        <v>0.75</v>
      </c>
      <c r="D9929" s="29"/>
      <c r="E9929" s="28">
        <v>0.75</v>
      </c>
      <c r="F9929" s="29"/>
      <c r="G9929" s="29"/>
      <c r="H9929" s="29"/>
      <c r="I9929" s="29" t="s">
        <v>337</v>
      </c>
    </row>
    <row r="9930" spans="1:14" x14ac:dyDescent="0.35">
      <c r="A9930" t="s">
        <v>232</v>
      </c>
      <c r="B9930" t="s">
        <v>232</v>
      </c>
      <c r="C9930" s="26">
        <v>0.46189999999999998</v>
      </c>
      <c r="D9930" s="26">
        <v>0.45610000000000001</v>
      </c>
      <c r="E9930" s="26">
        <v>0.32429999999999998</v>
      </c>
      <c r="F9930" s="26">
        <v>9.6000000000000002E-2</v>
      </c>
      <c r="G9930" s="26">
        <v>9.6000000000000002E-2</v>
      </c>
      <c r="H9930" s="26">
        <v>3.4500000000000003E-2</v>
      </c>
      <c r="I9930">
        <v>1424</v>
      </c>
    </row>
    <row r="9932" spans="1:14" x14ac:dyDescent="0.35">
      <c r="A9932" s="1" t="s">
        <v>1306</v>
      </c>
    </row>
    <row r="9933" spans="1:14" x14ac:dyDescent="0.35">
      <c r="A9933" t="s">
        <v>219</v>
      </c>
      <c r="B9933" t="s">
        <v>305</v>
      </c>
      <c r="C9933" t="s">
        <v>1270</v>
      </c>
      <c r="D9933" t="s">
        <v>1271</v>
      </c>
      <c r="E9933" t="s">
        <v>1272</v>
      </c>
      <c r="F9933" t="s">
        <v>1273</v>
      </c>
      <c r="G9933" t="s">
        <v>1274</v>
      </c>
      <c r="H9933" t="s">
        <v>1275</v>
      </c>
      <c r="I9933" t="s">
        <v>1276</v>
      </c>
      <c r="J9933" t="s">
        <v>1277</v>
      </c>
      <c r="K9933" t="s">
        <v>1278</v>
      </c>
      <c r="L9933" t="s">
        <v>1279</v>
      </c>
      <c r="M9933" t="s">
        <v>1280</v>
      </c>
      <c r="N9933" t="s">
        <v>964</v>
      </c>
    </row>
    <row r="9934" spans="1:14" x14ac:dyDescent="0.35">
      <c r="A9934" t="s">
        <v>227</v>
      </c>
      <c r="B9934" t="s">
        <v>368</v>
      </c>
      <c r="C9934" t="s">
        <v>1281</v>
      </c>
      <c r="D9934" s="26">
        <v>0.6774</v>
      </c>
      <c r="E9934" s="26">
        <v>0.2258</v>
      </c>
      <c r="F9934" s="26">
        <v>0.80649999999999999</v>
      </c>
      <c r="G9934" s="26">
        <v>0.5484</v>
      </c>
      <c r="H9934" s="26">
        <v>0.5484</v>
      </c>
      <c r="I9934" s="26">
        <v>0.6129</v>
      </c>
      <c r="J9934" s="26">
        <v>0.7419</v>
      </c>
      <c r="K9934" s="26">
        <v>0.5484</v>
      </c>
      <c r="L9934" s="26">
        <v>0.7097</v>
      </c>
      <c r="M9934" s="26">
        <v>0.8387</v>
      </c>
      <c r="N9934">
        <v>31</v>
      </c>
    </row>
    <row r="9935" spans="1:14" x14ac:dyDescent="0.35">
      <c r="A9935" t="s">
        <v>227</v>
      </c>
      <c r="B9935" t="s">
        <v>368</v>
      </c>
      <c r="C9935" t="s">
        <v>1282</v>
      </c>
      <c r="D9935" s="26">
        <v>3.2300000000000002E-2</v>
      </c>
      <c r="E9935" s="26">
        <v>0.129</v>
      </c>
      <c r="G9935" s="26">
        <v>6.4500000000000002E-2</v>
      </c>
      <c r="H9935" s="26">
        <v>6.4500000000000002E-2</v>
      </c>
      <c r="K9935" s="26">
        <v>3.2300000000000002E-2</v>
      </c>
      <c r="N9935">
        <v>31</v>
      </c>
    </row>
    <row r="9936" spans="1:14" x14ac:dyDescent="0.35">
      <c r="A9936" t="s">
        <v>227</v>
      </c>
      <c r="B9936" t="s">
        <v>368</v>
      </c>
      <c r="C9936" t="s">
        <v>1283</v>
      </c>
      <c r="D9936" s="26">
        <v>0.2903</v>
      </c>
      <c r="E9936" s="26">
        <v>0.129</v>
      </c>
      <c r="F9936" s="26">
        <v>0.129</v>
      </c>
      <c r="G9936" s="26">
        <v>0.3871</v>
      </c>
      <c r="H9936" s="26">
        <v>0.3548</v>
      </c>
      <c r="I9936" s="26">
        <v>3.2300000000000002E-2</v>
      </c>
      <c r="J9936" s="26">
        <v>0.2581</v>
      </c>
      <c r="K9936" s="26">
        <v>0.4194</v>
      </c>
      <c r="L9936" s="26">
        <v>0.2903</v>
      </c>
      <c r="M9936" s="26">
        <v>0.1613</v>
      </c>
      <c r="N9936">
        <v>31</v>
      </c>
    </row>
    <row r="9937" spans="1:14" x14ac:dyDescent="0.35">
      <c r="A9937" t="s">
        <v>227</v>
      </c>
      <c r="B9937" t="s">
        <v>369</v>
      </c>
      <c r="C9937" t="s">
        <v>1281</v>
      </c>
      <c r="D9937" s="26">
        <v>0.83899999999999997</v>
      </c>
      <c r="E9937" s="26">
        <v>0.42370000000000002</v>
      </c>
      <c r="F9937" s="26">
        <v>0.87290000000000001</v>
      </c>
      <c r="G9937" s="26">
        <v>0.62709999999999999</v>
      </c>
      <c r="H9937" s="26">
        <v>0.81359999999999999</v>
      </c>
      <c r="I9937" s="26">
        <v>0.67800000000000005</v>
      </c>
      <c r="J9937" s="26">
        <v>0.82199999999999995</v>
      </c>
      <c r="K9937" s="26">
        <v>0.79659999999999997</v>
      </c>
      <c r="L9937" s="26">
        <v>0.83899999999999997</v>
      </c>
      <c r="M9937" s="26">
        <v>0.88980000000000004</v>
      </c>
      <c r="N9937">
        <v>118</v>
      </c>
    </row>
    <row r="9938" spans="1:14" x14ac:dyDescent="0.35">
      <c r="A9938" t="s">
        <v>227</v>
      </c>
      <c r="B9938" t="s">
        <v>369</v>
      </c>
      <c r="C9938" t="s">
        <v>1282</v>
      </c>
      <c r="D9938" s="26">
        <v>1.6899999999999998E-2</v>
      </c>
      <c r="E9938" s="26">
        <v>6.7799999999999999E-2</v>
      </c>
      <c r="F9938" s="26">
        <v>2.5399999999999999E-2</v>
      </c>
      <c r="G9938" s="26">
        <v>5.0799999999999998E-2</v>
      </c>
      <c r="H9938" s="26">
        <v>2.5399999999999999E-2</v>
      </c>
      <c r="J9938" s="26">
        <v>1.6899999999999998E-2</v>
      </c>
      <c r="K9938" s="26">
        <v>1.6899999999999998E-2</v>
      </c>
      <c r="N9938">
        <v>118</v>
      </c>
    </row>
    <row r="9939" spans="1:14" x14ac:dyDescent="0.35">
      <c r="A9939" t="s">
        <v>227</v>
      </c>
      <c r="B9939" t="s">
        <v>369</v>
      </c>
      <c r="C9939" t="s">
        <v>1283</v>
      </c>
      <c r="D9939" s="26">
        <v>0.1186</v>
      </c>
      <c r="E9939" s="26">
        <v>0.17799999999999999</v>
      </c>
      <c r="F9939" s="26">
        <v>5.0799999999999998E-2</v>
      </c>
      <c r="G9939" s="26">
        <v>0.2034</v>
      </c>
      <c r="H9939" s="26">
        <v>0.14410000000000001</v>
      </c>
      <c r="I9939" s="26">
        <v>8.4699999999999998E-2</v>
      </c>
      <c r="J9939" s="26">
        <v>0.1525</v>
      </c>
      <c r="K9939" s="26">
        <v>0.17799999999999999</v>
      </c>
      <c r="L9939" s="26">
        <v>0.161</v>
      </c>
      <c r="M9939" s="26">
        <v>0.11020000000000001</v>
      </c>
      <c r="N9939">
        <v>118</v>
      </c>
    </row>
    <row r="9940" spans="1:14" x14ac:dyDescent="0.35">
      <c r="A9940" t="s">
        <v>227</v>
      </c>
      <c r="B9940" t="s">
        <v>369</v>
      </c>
      <c r="C9940" t="s">
        <v>303</v>
      </c>
      <c r="D9940" s="26">
        <v>2.5399999999999999E-2</v>
      </c>
      <c r="E9940" s="26">
        <v>0.33050000000000002</v>
      </c>
      <c r="F9940" s="26">
        <v>5.0799999999999998E-2</v>
      </c>
      <c r="G9940" s="26">
        <v>0.1186</v>
      </c>
      <c r="H9940" s="26">
        <v>1.6899999999999998E-2</v>
      </c>
      <c r="I9940" s="26">
        <v>0.23730000000000001</v>
      </c>
      <c r="J9940" s="26">
        <v>8.5000000000000006E-3</v>
      </c>
      <c r="K9940" s="26">
        <v>8.5000000000000006E-3</v>
      </c>
      <c r="N9940">
        <v>118</v>
      </c>
    </row>
    <row r="9941" spans="1:14" x14ac:dyDescent="0.35">
      <c r="A9941" t="s">
        <v>228</v>
      </c>
      <c r="B9941" t="s">
        <v>369</v>
      </c>
      <c r="C9941" t="s">
        <v>303</v>
      </c>
      <c r="D9941" s="26">
        <v>3.95E-2</v>
      </c>
      <c r="E9941" s="26">
        <v>0.35460000000000003</v>
      </c>
      <c r="F9941" s="26">
        <v>0.15049999999999999</v>
      </c>
      <c r="G9941" s="26">
        <v>0.1913</v>
      </c>
      <c r="H9941" s="26">
        <v>2.7799999999999998E-2</v>
      </c>
      <c r="I9941" s="26">
        <v>0.30399999999999999</v>
      </c>
      <c r="J9941" s="26">
        <v>7.1999999999999998E-3</v>
      </c>
      <c r="K9941" s="26">
        <v>5.5999999999999999E-3</v>
      </c>
      <c r="L9941" s="26">
        <v>1.3100000000000001E-2</v>
      </c>
      <c r="M9941" s="26">
        <v>1.1999999999999999E-3</v>
      </c>
      <c r="N9941">
        <v>769</v>
      </c>
    </row>
    <row r="9942" spans="1:14" x14ac:dyDescent="0.35">
      <c r="A9942" t="s">
        <v>228</v>
      </c>
      <c r="B9942" t="s">
        <v>369</v>
      </c>
      <c r="C9942" t="s">
        <v>1283</v>
      </c>
      <c r="D9942" s="26">
        <v>8.4000000000000005E-2</v>
      </c>
      <c r="E9942" s="26">
        <v>0.14380000000000001</v>
      </c>
      <c r="F9942" s="26">
        <v>5.74E-2</v>
      </c>
      <c r="G9942" s="26">
        <v>0.16289999999999999</v>
      </c>
      <c r="H9942" s="26">
        <v>0.17610000000000001</v>
      </c>
      <c r="I9942" s="26">
        <v>3.3300000000000003E-2</v>
      </c>
      <c r="J9942" s="26">
        <v>0.1517</v>
      </c>
      <c r="K9942" s="26">
        <v>0.1285</v>
      </c>
      <c r="L9942" s="26">
        <v>0.1237</v>
      </c>
      <c r="M9942" s="26">
        <v>8.77E-2</v>
      </c>
      <c r="N9942">
        <v>769</v>
      </c>
    </row>
    <row r="9943" spans="1:14" x14ac:dyDescent="0.35">
      <c r="A9943" t="s">
        <v>228</v>
      </c>
      <c r="B9943" t="s">
        <v>369</v>
      </c>
      <c r="C9943" t="s">
        <v>1282</v>
      </c>
      <c r="D9943" s="26">
        <v>1.9900000000000001E-2</v>
      </c>
      <c r="E9943" s="26">
        <v>6.3E-2</v>
      </c>
      <c r="F9943" s="26">
        <v>4.7000000000000002E-3</v>
      </c>
      <c r="G9943" s="26">
        <v>1.89E-2</v>
      </c>
      <c r="H9943" s="26">
        <v>2.0199999999999999E-2</v>
      </c>
      <c r="I9943" s="26">
        <v>1.1299999999999999E-2</v>
      </c>
      <c r="K9943" s="26">
        <v>3.7000000000000002E-3</v>
      </c>
      <c r="L9943" s="26">
        <v>2.7000000000000001E-3</v>
      </c>
      <c r="N9943">
        <v>769</v>
      </c>
    </row>
    <row r="9944" spans="1:14" x14ac:dyDescent="0.35">
      <c r="A9944" t="s">
        <v>228</v>
      </c>
      <c r="B9944" t="s">
        <v>369</v>
      </c>
      <c r="C9944" t="s">
        <v>1281</v>
      </c>
      <c r="D9944" s="26">
        <v>0.85660000000000003</v>
      </c>
      <c r="E9944" s="26">
        <v>0.43869999999999998</v>
      </c>
      <c r="F9944" s="26">
        <v>0.78739999999999999</v>
      </c>
      <c r="G9944" s="26">
        <v>0.62690000000000001</v>
      </c>
      <c r="H9944" s="26">
        <v>0.77590000000000003</v>
      </c>
      <c r="I9944" s="26">
        <v>0.65149999999999997</v>
      </c>
      <c r="J9944" s="26">
        <v>0.84109999999999996</v>
      </c>
      <c r="K9944" s="26">
        <v>0.86219999999999997</v>
      </c>
      <c r="L9944" s="26">
        <v>0.86050000000000004</v>
      </c>
      <c r="M9944" s="26">
        <v>0.91110000000000002</v>
      </c>
      <c r="N9944">
        <v>769</v>
      </c>
    </row>
    <row r="9945" spans="1:14" x14ac:dyDescent="0.35">
      <c r="A9945" t="s">
        <v>228</v>
      </c>
      <c r="B9945" t="s">
        <v>368</v>
      </c>
      <c r="C9945" t="s">
        <v>1282</v>
      </c>
      <c r="D9945" s="26">
        <v>2.93E-2</v>
      </c>
      <c r="E9945" s="26">
        <v>4.82E-2</v>
      </c>
      <c r="F9945" s="26">
        <v>2.1899999999999999E-2</v>
      </c>
      <c r="G9945" s="26">
        <v>2.75E-2</v>
      </c>
      <c r="H9945" s="26">
        <v>2.7799999999999998E-2</v>
      </c>
      <c r="J9945" s="26">
        <v>1.8800000000000001E-2</v>
      </c>
      <c r="K9945" s="26">
        <v>2E-3</v>
      </c>
      <c r="N9945">
        <v>175</v>
      </c>
    </row>
    <row r="9946" spans="1:14" x14ac:dyDescent="0.35">
      <c r="A9946" t="s">
        <v>228</v>
      </c>
      <c r="B9946" t="s">
        <v>368</v>
      </c>
      <c r="C9946" t="s">
        <v>1283</v>
      </c>
      <c r="D9946" s="26">
        <v>0.247</v>
      </c>
      <c r="E9946" s="26">
        <v>0.1179</v>
      </c>
      <c r="F9946" s="26">
        <v>3.9199999999999999E-2</v>
      </c>
      <c r="G9946" s="26">
        <v>0.24410000000000001</v>
      </c>
      <c r="H9946" s="26">
        <v>0.2883</v>
      </c>
      <c r="I9946" s="26">
        <v>3.3300000000000003E-2</v>
      </c>
      <c r="J9946" s="26">
        <v>0.1719</v>
      </c>
      <c r="K9946" s="26">
        <v>0.38600000000000001</v>
      </c>
      <c r="L9946" s="26">
        <v>0.13489999999999999</v>
      </c>
      <c r="M9946" s="26">
        <v>8.8200000000000001E-2</v>
      </c>
      <c r="N9946">
        <v>175</v>
      </c>
    </row>
    <row r="9947" spans="1:14" x14ac:dyDescent="0.35">
      <c r="A9947" t="s">
        <v>228</v>
      </c>
      <c r="B9947" t="s">
        <v>368</v>
      </c>
      <c r="C9947" t="s">
        <v>1281</v>
      </c>
      <c r="D9947" s="26">
        <v>0.64370000000000005</v>
      </c>
      <c r="E9947" s="26">
        <v>0.23530000000000001</v>
      </c>
      <c r="F9947" s="26">
        <v>0.84279999999999999</v>
      </c>
      <c r="G9947" s="26">
        <v>0.56489999999999996</v>
      </c>
      <c r="H9947" s="26">
        <v>0.6593</v>
      </c>
      <c r="I9947" s="26">
        <v>0.51490000000000002</v>
      </c>
      <c r="J9947" s="26">
        <v>0.80789999999999995</v>
      </c>
      <c r="K9947" s="26">
        <v>0.59309999999999996</v>
      </c>
      <c r="L9947" s="26">
        <v>0.82079999999999997</v>
      </c>
      <c r="M9947" s="26">
        <v>0.90480000000000005</v>
      </c>
      <c r="N9947">
        <v>175</v>
      </c>
    </row>
    <row r="9948" spans="1:14" x14ac:dyDescent="0.35">
      <c r="A9948" t="s">
        <v>228</v>
      </c>
      <c r="B9948" t="s">
        <v>368</v>
      </c>
      <c r="C9948" t="s">
        <v>303</v>
      </c>
      <c r="D9948" s="26">
        <v>8.0100000000000005E-2</v>
      </c>
      <c r="E9948" s="26">
        <v>0.59870000000000001</v>
      </c>
      <c r="F9948" s="26">
        <v>9.6100000000000005E-2</v>
      </c>
      <c r="G9948" s="26">
        <v>0.16350000000000001</v>
      </c>
      <c r="H9948" s="26">
        <v>2.46E-2</v>
      </c>
      <c r="I9948" s="26">
        <v>0.45190000000000002</v>
      </c>
      <c r="J9948" s="26">
        <v>1.4E-3</v>
      </c>
      <c r="K9948" s="26">
        <v>1.8800000000000001E-2</v>
      </c>
      <c r="L9948" s="26">
        <v>4.4299999999999999E-2</v>
      </c>
      <c r="M9948" s="26">
        <v>7.1000000000000004E-3</v>
      </c>
      <c r="N9948">
        <v>175</v>
      </c>
    </row>
    <row r="9949" spans="1:14" x14ac:dyDescent="0.35">
      <c r="A9949" t="s">
        <v>229</v>
      </c>
      <c r="B9949" t="s">
        <v>369</v>
      </c>
      <c r="C9949" t="s">
        <v>1283</v>
      </c>
      <c r="D9949" s="26">
        <v>7.5200000000000003E-2</v>
      </c>
      <c r="E9949" s="26">
        <v>0.1235</v>
      </c>
      <c r="F9949" s="26">
        <v>4.8800000000000003E-2</v>
      </c>
      <c r="G9949" s="26">
        <v>0.1638</v>
      </c>
      <c r="H9949" s="26">
        <v>0.19359999999999999</v>
      </c>
      <c r="I9949" s="26">
        <v>2.5700000000000001E-2</v>
      </c>
      <c r="J9949" s="26">
        <v>0.1191</v>
      </c>
      <c r="K9949" s="26">
        <v>0.1419</v>
      </c>
      <c r="L9949" s="26">
        <v>0.12139999999999999</v>
      </c>
      <c r="M9949" s="26">
        <v>8.4400000000000003E-2</v>
      </c>
      <c r="N9949">
        <v>710</v>
      </c>
    </row>
    <row r="9950" spans="1:14" x14ac:dyDescent="0.35">
      <c r="A9950" t="s">
        <v>229</v>
      </c>
      <c r="B9950" t="s">
        <v>369</v>
      </c>
      <c r="C9950" t="s">
        <v>303</v>
      </c>
      <c r="D9950" s="26">
        <v>3.8100000000000002E-2</v>
      </c>
      <c r="E9950" s="26">
        <v>0.41220000000000001</v>
      </c>
      <c r="F9950" s="26">
        <v>0.13650000000000001</v>
      </c>
      <c r="G9950" s="26">
        <v>0.2014</v>
      </c>
      <c r="H9950" s="26">
        <v>2.3599999999999999E-2</v>
      </c>
      <c r="I9950" s="26">
        <v>0.3029</v>
      </c>
      <c r="J9950" s="26">
        <v>1.66E-2</v>
      </c>
      <c r="K9950" s="26">
        <v>1.2999999999999999E-3</v>
      </c>
      <c r="L9950" s="26">
        <v>3.2300000000000002E-2</v>
      </c>
      <c r="M9950" s="26">
        <v>1.11E-2</v>
      </c>
      <c r="N9950">
        <v>710</v>
      </c>
    </row>
    <row r="9951" spans="1:14" x14ac:dyDescent="0.35">
      <c r="A9951" t="s">
        <v>229</v>
      </c>
      <c r="B9951" t="s">
        <v>369</v>
      </c>
      <c r="C9951" t="s">
        <v>1281</v>
      </c>
      <c r="D9951" s="26">
        <v>0.85840000000000005</v>
      </c>
      <c r="E9951" s="26">
        <v>0.40649999999999997</v>
      </c>
      <c r="F9951" s="26">
        <v>0.80700000000000005</v>
      </c>
      <c r="G9951" s="26">
        <v>0.61660000000000004</v>
      </c>
      <c r="H9951" s="26">
        <v>0.76490000000000002</v>
      </c>
      <c r="I9951" s="26">
        <v>0.66149999999999998</v>
      </c>
      <c r="J9951" s="26">
        <v>0.86009999999999998</v>
      </c>
      <c r="K9951" s="26">
        <v>0.84430000000000005</v>
      </c>
      <c r="L9951" s="26">
        <v>0.84599999999999997</v>
      </c>
      <c r="M9951" s="26">
        <v>0.90329999999999999</v>
      </c>
      <c r="N9951">
        <v>710</v>
      </c>
    </row>
    <row r="9952" spans="1:14" x14ac:dyDescent="0.35">
      <c r="A9952" t="s">
        <v>229</v>
      </c>
      <c r="B9952" t="s">
        <v>369</v>
      </c>
      <c r="C9952" t="s">
        <v>1282</v>
      </c>
      <c r="D9952" s="26">
        <v>2.8199999999999999E-2</v>
      </c>
      <c r="E9952" s="26">
        <v>5.79E-2</v>
      </c>
      <c r="F9952" s="26">
        <v>7.7000000000000002E-3</v>
      </c>
      <c r="G9952" s="26">
        <v>1.83E-2</v>
      </c>
      <c r="H9952" s="26">
        <v>1.7899999999999999E-2</v>
      </c>
      <c r="I9952" s="26">
        <v>0.01</v>
      </c>
      <c r="J9952" s="26">
        <v>4.1999999999999997E-3</v>
      </c>
      <c r="K9952" s="26">
        <v>1.2500000000000001E-2</v>
      </c>
      <c r="L9952" s="26">
        <v>2.0000000000000001E-4</v>
      </c>
      <c r="M9952" s="26">
        <v>1.1999999999999999E-3</v>
      </c>
      <c r="N9952">
        <v>710</v>
      </c>
    </row>
    <row r="9953" spans="1:14" x14ac:dyDescent="0.35">
      <c r="A9953" t="s">
        <v>229</v>
      </c>
      <c r="B9953" t="s">
        <v>368</v>
      </c>
      <c r="C9953" t="s">
        <v>1283</v>
      </c>
      <c r="D9953" s="26">
        <v>0.23169999999999999</v>
      </c>
      <c r="E9953" s="26">
        <v>0.13569999999999999</v>
      </c>
      <c r="F9953" s="26">
        <v>0.1021</v>
      </c>
      <c r="G9953" s="26">
        <v>0.27550000000000002</v>
      </c>
      <c r="H9953" s="26">
        <v>0.33979999999999999</v>
      </c>
      <c r="I9953" s="26">
        <v>4.1000000000000003E-3</v>
      </c>
      <c r="J9953" s="26">
        <v>0.1802</v>
      </c>
      <c r="K9953" s="26">
        <v>0.47060000000000002</v>
      </c>
      <c r="L9953" s="26">
        <v>0.1754</v>
      </c>
      <c r="M9953" s="26">
        <v>6.5299999999999997E-2</v>
      </c>
      <c r="N9953">
        <v>83</v>
      </c>
    </row>
    <row r="9954" spans="1:14" x14ac:dyDescent="0.35">
      <c r="A9954" t="s">
        <v>229</v>
      </c>
      <c r="B9954" t="s">
        <v>368</v>
      </c>
      <c r="C9954" t="s">
        <v>1282</v>
      </c>
      <c r="D9954" s="26">
        <v>2.0400000000000001E-2</v>
      </c>
      <c r="E9954" s="26">
        <v>9.0999999999999998E-2</v>
      </c>
      <c r="F9954" s="26">
        <v>8.0999999999999996E-3</v>
      </c>
      <c r="G9954" s="26">
        <v>2.7000000000000001E-3</v>
      </c>
      <c r="H9954" s="26">
        <v>4.48E-2</v>
      </c>
      <c r="K9954" s="26">
        <v>2.0400000000000001E-2</v>
      </c>
      <c r="N9954">
        <v>83</v>
      </c>
    </row>
    <row r="9955" spans="1:14" x14ac:dyDescent="0.35">
      <c r="A9955" t="s">
        <v>229</v>
      </c>
      <c r="B9955" t="s">
        <v>368</v>
      </c>
      <c r="C9955" t="s">
        <v>1281</v>
      </c>
      <c r="D9955" s="26">
        <v>0.71940000000000004</v>
      </c>
      <c r="E9955" s="26">
        <v>0.33739999999999998</v>
      </c>
      <c r="F9955" s="26">
        <v>0.74839999999999995</v>
      </c>
      <c r="G9955" s="26">
        <v>0.56999999999999995</v>
      </c>
      <c r="H9955" s="26">
        <v>0.59099999999999997</v>
      </c>
      <c r="I9955" s="26">
        <v>0.51970000000000005</v>
      </c>
      <c r="J9955" s="26">
        <v>0.79800000000000004</v>
      </c>
      <c r="K9955" s="26">
        <v>0.50629999999999997</v>
      </c>
      <c r="L9955" s="26">
        <v>0.8206</v>
      </c>
      <c r="M9955" s="26">
        <v>0.93340000000000001</v>
      </c>
      <c r="N9955">
        <v>83</v>
      </c>
    </row>
    <row r="9956" spans="1:14" x14ac:dyDescent="0.35">
      <c r="A9956" t="s">
        <v>229</v>
      </c>
      <c r="B9956" t="s">
        <v>368</v>
      </c>
      <c r="C9956" t="s">
        <v>303</v>
      </c>
      <c r="D9956" s="26">
        <v>2.8500000000000001E-2</v>
      </c>
      <c r="E9956" s="26">
        <v>0.43590000000000001</v>
      </c>
      <c r="F9956" s="26">
        <v>0.1414</v>
      </c>
      <c r="G9956" s="26">
        <v>0.15190000000000001</v>
      </c>
      <c r="H9956" s="26">
        <v>2.4400000000000002E-2</v>
      </c>
      <c r="I9956" s="26">
        <v>0.47620000000000001</v>
      </c>
      <c r="J9956" s="26">
        <v>2.18E-2</v>
      </c>
      <c r="K9956" s="26">
        <v>2.7000000000000001E-3</v>
      </c>
      <c r="L9956" s="26">
        <v>4.1000000000000003E-3</v>
      </c>
      <c r="M9956" s="26">
        <v>1.4E-3</v>
      </c>
      <c r="N9956">
        <v>83</v>
      </c>
    </row>
    <row r="9957" spans="1:14" x14ac:dyDescent="0.35">
      <c r="A9957" t="s">
        <v>230</v>
      </c>
      <c r="B9957" t="s">
        <v>368</v>
      </c>
      <c r="C9957" t="s">
        <v>1281</v>
      </c>
      <c r="D9957" s="26">
        <v>0.64190000000000003</v>
      </c>
      <c r="E9957" s="26">
        <v>0.21410000000000001</v>
      </c>
      <c r="F9957" s="26">
        <v>0.88690000000000002</v>
      </c>
      <c r="G9957" s="26">
        <v>0.57169999999999999</v>
      </c>
      <c r="H9957" s="26">
        <v>0.49619999999999997</v>
      </c>
      <c r="I9957" s="26">
        <v>0.58740000000000003</v>
      </c>
      <c r="J9957" s="26">
        <v>0.79310000000000003</v>
      </c>
      <c r="K9957" s="26">
        <v>0.46310000000000001</v>
      </c>
      <c r="L9957" s="26">
        <v>0.80649999999999999</v>
      </c>
      <c r="M9957" s="26">
        <v>0.88959999999999995</v>
      </c>
      <c r="N9957">
        <v>54</v>
      </c>
    </row>
    <row r="9958" spans="1:14" x14ac:dyDescent="0.35">
      <c r="A9958" t="s">
        <v>230</v>
      </c>
      <c r="B9958" t="s">
        <v>368</v>
      </c>
      <c r="C9958" t="s">
        <v>1283</v>
      </c>
      <c r="D9958" s="26">
        <v>0.33679999999999999</v>
      </c>
      <c r="E9958" s="26">
        <v>0.20669999999999999</v>
      </c>
      <c r="F9958" s="26">
        <v>4.2500000000000003E-2</v>
      </c>
      <c r="G9958" s="26">
        <v>0.2732</v>
      </c>
      <c r="H9958" s="26">
        <v>0.40450000000000003</v>
      </c>
      <c r="J9958" s="26">
        <v>0.19969999999999999</v>
      </c>
      <c r="K9958" s="26">
        <v>0.53690000000000004</v>
      </c>
      <c r="L9958" s="26">
        <v>0.17910000000000001</v>
      </c>
      <c r="M9958" s="26">
        <v>0.1012</v>
      </c>
      <c r="N9958">
        <v>54</v>
      </c>
    </row>
    <row r="9959" spans="1:14" x14ac:dyDescent="0.35">
      <c r="A9959" t="s">
        <v>230</v>
      </c>
      <c r="B9959" t="s">
        <v>368</v>
      </c>
      <c r="C9959" t="s">
        <v>303</v>
      </c>
      <c r="D9959" s="26">
        <v>2.1299999999999999E-2</v>
      </c>
      <c r="E9959" s="26">
        <v>0.4849</v>
      </c>
      <c r="F9959" s="26">
        <v>7.0599999999999996E-2</v>
      </c>
      <c r="G9959" s="26">
        <v>0.15509999999999999</v>
      </c>
      <c r="H9959" s="26">
        <v>1.43E-2</v>
      </c>
      <c r="I9959" s="26">
        <v>0.41260000000000002</v>
      </c>
      <c r="L9959" s="26">
        <v>1.43E-2</v>
      </c>
      <c r="M9959" s="26">
        <v>9.1000000000000004E-3</v>
      </c>
      <c r="N9959">
        <v>54</v>
      </c>
    </row>
    <row r="9960" spans="1:14" x14ac:dyDescent="0.35">
      <c r="A9960" t="s">
        <v>230</v>
      </c>
      <c r="B9960" t="s">
        <v>369</v>
      </c>
      <c r="C9960" t="s">
        <v>1281</v>
      </c>
      <c r="D9960" s="26">
        <v>0.79849999999999999</v>
      </c>
      <c r="E9960" s="26">
        <v>0.37380000000000002</v>
      </c>
      <c r="F9960" s="26">
        <v>0.75570000000000004</v>
      </c>
      <c r="G9960" s="26">
        <v>0.53390000000000004</v>
      </c>
      <c r="H9960" s="26">
        <v>0.72030000000000005</v>
      </c>
      <c r="I9960" s="26">
        <v>0.64290000000000003</v>
      </c>
      <c r="J9960" s="26">
        <v>0.82379999999999998</v>
      </c>
      <c r="K9960" s="26">
        <v>0.81130000000000002</v>
      </c>
      <c r="L9960" s="26">
        <v>0.78859999999999997</v>
      </c>
      <c r="M9960" s="26">
        <v>0.84770000000000001</v>
      </c>
      <c r="N9960">
        <v>461</v>
      </c>
    </row>
    <row r="9961" spans="1:14" x14ac:dyDescent="0.35">
      <c r="A9961" t="s">
        <v>230</v>
      </c>
      <c r="B9961" t="s">
        <v>369</v>
      </c>
      <c r="C9961" t="s">
        <v>1282</v>
      </c>
      <c r="D9961" s="26">
        <v>5.3E-3</v>
      </c>
      <c r="E9961" s="26">
        <v>8.0500000000000002E-2</v>
      </c>
      <c r="F9961" s="26">
        <v>1.35E-2</v>
      </c>
      <c r="G9961" s="26">
        <v>7.0000000000000001E-3</v>
      </c>
      <c r="H9961" s="26">
        <v>2.5899999999999999E-2</v>
      </c>
      <c r="I9961" s="26">
        <v>1.55E-2</v>
      </c>
      <c r="J9961" s="26">
        <v>1.5E-3</v>
      </c>
      <c r="K9961" s="26">
        <v>1.1999999999999999E-3</v>
      </c>
      <c r="L9961" s="26">
        <v>8.0999999999999996E-3</v>
      </c>
      <c r="M9961" s="26">
        <v>1.5E-3</v>
      </c>
      <c r="N9961">
        <v>461</v>
      </c>
    </row>
    <row r="9962" spans="1:14" x14ac:dyDescent="0.35">
      <c r="A9962" t="s">
        <v>230</v>
      </c>
      <c r="B9962" t="s">
        <v>369</v>
      </c>
      <c r="C9962" t="s">
        <v>1283</v>
      </c>
      <c r="D9962" s="26">
        <v>0.1424</v>
      </c>
      <c r="E9962" s="26">
        <v>0.1701</v>
      </c>
      <c r="F9962" s="26">
        <v>7.0499999999999993E-2</v>
      </c>
      <c r="G9962" s="26">
        <v>0.21160000000000001</v>
      </c>
      <c r="H9962" s="26">
        <v>0.2422</v>
      </c>
      <c r="I9962" s="26">
        <v>3.7999999999999999E-2</v>
      </c>
      <c r="J9962" s="26">
        <v>0.17430000000000001</v>
      </c>
      <c r="K9962" s="26">
        <v>0.18629999999999999</v>
      </c>
      <c r="L9962" s="26">
        <v>0.1953</v>
      </c>
      <c r="M9962" s="26">
        <v>0.1409</v>
      </c>
      <c r="N9962">
        <v>461</v>
      </c>
    </row>
    <row r="9963" spans="1:14" x14ac:dyDescent="0.35">
      <c r="A9963" t="s">
        <v>230</v>
      </c>
      <c r="B9963" t="s">
        <v>369</v>
      </c>
      <c r="C9963" t="s">
        <v>303</v>
      </c>
      <c r="D9963" s="26">
        <v>5.3800000000000001E-2</v>
      </c>
      <c r="E9963" s="26">
        <v>0.37559999999999999</v>
      </c>
      <c r="F9963" s="26">
        <v>0.1603</v>
      </c>
      <c r="G9963" s="26">
        <v>0.24759999999999999</v>
      </c>
      <c r="H9963" s="26">
        <v>1.1599999999999999E-2</v>
      </c>
      <c r="I9963" s="26">
        <v>0.30370000000000003</v>
      </c>
      <c r="J9963" s="26">
        <v>4.0000000000000002E-4</v>
      </c>
      <c r="K9963" s="26">
        <v>1.1000000000000001E-3</v>
      </c>
      <c r="L9963" s="26">
        <v>8.0000000000000002E-3</v>
      </c>
      <c r="M9963" s="26">
        <v>0.01</v>
      </c>
      <c r="N9963">
        <v>461</v>
      </c>
    </row>
    <row r="9964" spans="1:14" x14ac:dyDescent="0.35">
      <c r="A9964" t="s">
        <v>231</v>
      </c>
      <c r="B9964" t="s">
        <v>369</v>
      </c>
      <c r="C9964" t="s">
        <v>303</v>
      </c>
      <c r="D9964" s="26">
        <v>4.9599999999999998E-2</v>
      </c>
      <c r="E9964" s="26">
        <v>0.45450000000000002</v>
      </c>
      <c r="F9964" s="26">
        <v>0.20660000000000001</v>
      </c>
      <c r="G9964" s="26">
        <v>0.18640000000000001</v>
      </c>
      <c r="H9964" s="26">
        <v>8.3000000000000001E-3</v>
      </c>
      <c r="I9964" s="26">
        <v>0.28100000000000003</v>
      </c>
      <c r="J9964" s="26">
        <v>8.3000000000000001E-3</v>
      </c>
      <c r="L9964" s="26">
        <v>3.3099999999999997E-2</v>
      </c>
      <c r="M9964" s="26">
        <v>1.6500000000000001E-2</v>
      </c>
      <c r="N9964">
        <v>121</v>
      </c>
    </row>
    <row r="9965" spans="1:14" x14ac:dyDescent="0.35">
      <c r="A9965" t="s">
        <v>231</v>
      </c>
      <c r="B9965" t="s">
        <v>369</v>
      </c>
      <c r="C9965" t="s">
        <v>1283</v>
      </c>
      <c r="D9965" s="26">
        <v>0.14050000000000001</v>
      </c>
      <c r="E9965" s="26">
        <v>0.13220000000000001</v>
      </c>
      <c r="F9965" s="26">
        <v>1.6500000000000001E-2</v>
      </c>
      <c r="G9965" s="26">
        <v>0.21190000000000001</v>
      </c>
      <c r="H9965" s="26">
        <v>0.1983</v>
      </c>
      <c r="I9965" s="26">
        <v>4.9599999999999998E-2</v>
      </c>
      <c r="J9965" s="26">
        <v>0.20660000000000001</v>
      </c>
      <c r="K9965" s="26">
        <v>0.18179999999999999</v>
      </c>
      <c r="L9965" s="26">
        <v>0.13220000000000001</v>
      </c>
      <c r="M9965" s="26">
        <v>9.0899999999999995E-2</v>
      </c>
      <c r="N9965">
        <v>121</v>
      </c>
    </row>
    <row r="9966" spans="1:14" x14ac:dyDescent="0.35">
      <c r="A9966" t="s">
        <v>231</v>
      </c>
      <c r="B9966" t="s">
        <v>369</v>
      </c>
      <c r="C9966" t="s">
        <v>1282</v>
      </c>
      <c r="D9966" s="26">
        <v>8.3000000000000001E-3</v>
      </c>
      <c r="E9966" s="26">
        <v>4.9599999999999998E-2</v>
      </c>
      <c r="F9966" s="26">
        <v>8.3000000000000001E-3</v>
      </c>
      <c r="H9966" s="26">
        <v>2.4799999999999999E-2</v>
      </c>
      <c r="I9966" s="26">
        <v>8.3000000000000001E-3</v>
      </c>
      <c r="J9966" s="26">
        <v>8.3000000000000001E-3</v>
      </c>
      <c r="K9966" s="26">
        <v>1.6500000000000001E-2</v>
      </c>
      <c r="L9966" s="26">
        <v>8.3000000000000001E-3</v>
      </c>
      <c r="N9966">
        <v>121</v>
      </c>
    </row>
    <row r="9967" spans="1:14" x14ac:dyDescent="0.35">
      <c r="A9967" t="s">
        <v>231</v>
      </c>
      <c r="B9967" t="s">
        <v>369</v>
      </c>
      <c r="C9967" t="s">
        <v>1281</v>
      </c>
      <c r="D9967" s="26">
        <v>0.80169999999999997</v>
      </c>
      <c r="E9967" s="26">
        <v>0.36359999999999998</v>
      </c>
      <c r="F9967" s="26">
        <v>0.76859999999999995</v>
      </c>
      <c r="G9967" s="26">
        <v>0.60170000000000001</v>
      </c>
      <c r="H9967" s="26">
        <v>0.76859999999999995</v>
      </c>
      <c r="I9967" s="26">
        <v>0.66120000000000001</v>
      </c>
      <c r="J9967" s="26">
        <v>0.77690000000000003</v>
      </c>
      <c r="K9967" s="26">
        <v>0.80169999999999997</v>
      </c>
      <c r="L9967" s="26">
        <v>0.82640000000000002</v>
      </c>
      <c r="M9967" s="26">
        <v>0.89259999999999995</v>
      </c>
      <c r="N9967">
        <v>121</v>
      </c>
    </row>
    <row r="9968" spans="1:14" x14ac:dyDescent="0.35">
      <c r="A9968" s="27" t="s">
        <v>231</v>
      </c>
      <c r="B9968" s="27" t="s">
        <v>368</v>
      </c>
      <c r="C9968" s="27" t="s">
        <v>1281</v>
      </c>
      <c r="D9968" s="28">
        <v>0.75</v>
      </c>
      <c r="E9968" s="28">
        <v>0.41670000000000001</v>
      </c>
      <c r="F9968" s="28">
        <v>0.875</v>
      </c>
      <c r="G9968" s="28">
        <v>0.60870000000000002</v>
      </c>
      <c r="H9968" s="28">
        <v>0.58330000000000004</v>
      </c>
      <c r="I9968" s="28">
        <v>0.41670000000000001</v>
      </c>
      <c r="J9968" s="28">
        <v>0.83330000000000004</v>
      </c>
      <c r="K9968" s="28">
        <v>0.66669999999999996</v>
      </c>
      <c r="L9968" s="28">
        <v>0.91669999999999996</v>
      </c>
      <c r="M9968" s="28">
        <v>0.95830000000000004</v>
      </c>
      <c r="N9968" s="29">
        <v>24</v>
      </c>
    </row>
    <row r="9969" spans="1:14" x14ac:dyDescent="0.35">
      <c r="A9969" s="27" t="s">
        <v>231</v>
      </c>
      <c r="B9969" s="27" t="s">
        <v>368</v>
      </c>
      <c r="C9969" s="27" t="s">
        <v>1283</v>
      </c>
      <c r="D9969" s="28">
        <v>0.125</v>
      </c>
      <c r="E9969" s="28">
        <v>0.125</v>
      </c>
      <c r="F9969" s="28">
        <v>4.1700000000000001E-2</v>
      </c>
      <c r="G9969" s="28">
        <v>0.21740000000000001</v>
      </c>
      <c r="H9969" s="28">
        <v>0.375</v>
      </c>
      <c r="I9969" s="28">
        <v>4.1700000000000001E-2</v>
      </c>
      <c r="J9969" s="28">
        <v>0.16669999999999999</v>
      </c>
      <c r="K9969" s="28">
        <v>0.33329999999999999</v>
      </c>
      <c r="L9969" s="28">
        <v>4.1700000000000001E-2</v>
      </c>
      <c r="M9969" s="29"/>
      <c r="N9969" s="29">
        <v>24</v>
      </c>
    </row>
    <row r="9970" spans="1:14" x14ac:dyDescent="0.35">
      <c r="A9970" s="27" t="s">
        <v>231</v>
      </c>
      <c r="B9970" s="27" t="s">
        <v>368</v>
      </c>
      <c r="C9970" s="27" t="s">
        <v>1282</v>
      </c>
      <c r="D9970" s="28">
        <v>8.3299999999999999E-2</v>
      </c>
      <c r="E9970" s="28">
        <v>4.1700000000000001E-2</v>
      </c>
      <c r="F9970" s="28">
        <v>4.1700000000000001E-2</v>
      </c>
      <c r="G9970" s="28">
        <v>4.3499999999999997E-2</v>
      </c>
      <c r="H9970" s="28">
        <v>4.1700000000000001E-2</v>
      </c>
      <c r="I9970" s="29"/>
      <c r="J9970" s="29"/>
      <c r="K9970" s="29"/>
      <c r="L9970" s="29"/>
      <c r="M9970" s="29"/>
      <c r="N9970" s="29">
        <v>24</v>
      </c>
    </row>
    <row r="9971" spans="1:14" x14ac:dyDescent="0.35">
      <c r="A9971" s="27" t="s">
        <v>231</v>
      </c>
      <c r="B9971" s="27" t="s">
        <v>368</v>
      </c>
      <c r="C9971" s="27" t="s">
        <v>303</v>
      </c>
      <c r="D9971" s="28">
        <v>4.1700000000000001E-2</v>
      </c>
      <c r="E9971" s="28">
        <v>0.41670000000000001</v>
      </c>
      <c r="F9971" s="28">
        <v>4.1700000000000001E-2</v>
      </c>
      <c r="G9971" s="28">
        <v>0.13039999999999999</v>
      </c>
      <c r="H9971" s="29"/>
      <c r="I9971" s="28">
        <v>0.54169999999999996</v>
      </c>
      <c r="J9971" s="29"/>
      <c r="K9971" s="29"/>
      <c r="L9971" s="28">
        <v>4.1700000000000001E-2</v>
      </c>
      <c r="M9971" s="28">
        <v>4.1700000000000001E-2</v>
      </c>
      <c r="N9971" s="29">
        <v>24</v>
      </c>
    </row>
    <row r="9972" spans="1:14" x14ac:dyDescent="0.35">
      <c r="A9972" t="s">
        <v>232</v>
      </c>
      <c r="B9972" t="s">
        <v>232</v>
      </c>
      <c r="C9972" t="s">
        <v>1283</v>
      </c>
      <c r="D9972" s="26">
        <v>0.12759999999999999</v>
      </c>
      <c r="E9972" s="26">
        <v>0.1409</v>
      </c>
      <c r="F9972" s="26">
        <v>4.8899999999999999E-2</v>
      </c>
      <c r="G9972" s="26">
        <v>0.2019</v>
      </c>
      <c r="H9972" s="26">
        <v>0.2152</v>
      </c>
      <c r="I9972" s="26">
        <v>4.0599999999999997E-2</v>
      </c>
      <c r="J9972" s="26">
        <v>0.1648</v>
      </c>
      <c r="K9972" s="26">
        <v>0.2019</v>
      </c>
      <c r="L9972" s="26">
        <v>0.14050000000000001</v>
      </c>
      <c r="M9972" s="26">
        <v>9.2600000000000002E-2</v>
      </c>
      <c r="N9972">
        <v>2546</v>
      </c>
    </row>
    <row r="9973" spans="1:14" x14ac:dyDescent="0.35">
      <c r="A9973" t="s">
        <v>232</v>
      </c>
      <c r="B9973" t="s">
        <v>232</v>
      </c>
      <c r="C9973" t="s">
        <v>1281</v>
      </c>
      <c r="D9973" s="26">
        <v>0.81079999999999997</v>
      </c>
      <c r="E9973" s="26">
        <v>0.38419999999999999</v>
      </c>
      <c r="F9973" s="26">
        <v>0.80230000000000001</v>
      </c>
      <c r="G9973" s="26">
        <v>0.60229999999999995</v>
      </c>
      <c r="H9973" s="26">
        <v>0.74029999999999996</v>
      </c>
      <c r="I9973" s="26">
        <v>0.63570000000000004</v>
      </c>
      <c r="J9973" s="26">
        <v>0.82030000000000003</v>
      </c>
      <c r="K9973" s="26">
        <v>0.78349999999999997</v>
      </c>
      <c r="L9973" s="26">
        <v>0.83460000000000001</v>
      </c>
      <c r="M9973" s="26">
        <v>0.89729999999999999</v>
      </c>
      <c r="N9973">
        <v>2546</v>
      </c>
    </row>
    <row r="9974" spans="1:14" x14ac:dyDescent="0.35">
      <c r="A9974" t="s">
        <v>232</v>
      </c>
      <c r="B9974" t="s">
        <v>232</v>
      </c>
      <c r="C9974" t="s">
        <v>1282</v>
      </c>
      <c r="D9974" s="26">
        <v>2.1100000000000001E-2</v>
      </c>
      <c r="E9974" s="26">
        <v>6.2899999999999998E-2</v>
      </c>
      <c r="F9974" s="26">
        <v>1.17E-2</v>
      </c>
      <c r="G9974" s="26">
        <v>1.9599999999999999E-2</v>
      </c>
      <c r="H9974" s="26">
        <v>2.63E-2</v>
      </c>
      <c r="I9974" s="26">
        <v>7.3000000000000001E-3</v>
      </c>
      <c r="J9974" s="26">
        <v>5.8999999999999999E-3</v>
      </c>
      <c r="K9974" s="26">
        <v>1.14E-2</v>
      </c>
      <c r="L9974" s="26">
        <v>3.0000000000000001E-3</v>
      </c>
      <c r="M9974" s="26">
        <v>4.0000000000000002E-4</v>
      </c>
      <c r="N9974">
        <v>2546</v>
      </c>
    </row>
    <row r="9975" spans="1:14" x14ac:dyDescent="0.35">
      <c r="A9975" t="s">
        <v>232</v>
      </c>
      <c r="B9975" t="s">
        <v>232</v>
      </c>
      <c r="C9975" t="s">
        <v>303</v>
      </c>
      <c r="D9975" s="26">
        <v>4.0599999999999997E-2</v>
      </c>
      <c r="E9975" s="26">
        <v>0.41199999999999998</v>
      </c>
      <c r="F9975" s="26">
        <v>0.1371</v>
      </c>
      <c r="G9975" s="26">
        <v>0.17610000000000001</v>
      </c>
      <c r="H9975" s="26">
        <v>1.8200000000000001E-2</v>
      </c>
      <c r="I9975" s="26">
        <v>0.31640000000000001</v>
      </c>
      <c r="J9975" s="26">
        <v>8.9999999999999993E-3</v>
      </c>
      <c r="K9975" s="26">
        <v>3.2000000000000002E-3</v>
      </c>
      <c r="L9975" s="26">
        <v>2.1899999999999999E-2</v>
      </c>
      <c r="M9975" s="26">
        <v>9.7000000000000003E-3</v>
      </c>
      <c r="N9975">
        <v>2546</v>
      </c>
    </row>
    <row r="9977" spans="1:14" x14ac:dyDescent="0.35">
      <c r="A9977" s="1" t="s">
        <v>1307</v>
      </c>
    </row>
    <row r="9978" spans="1:14" x14ac:dyDescent="0.35">
      <c r="A9978" t="s">
        <v>219</v>
      </c>
      <c r="B9978" t="s">
        <v>305</v>
      </c>
      <c r="C9978" t="s">
        <v>1285</v>
      </c>
      <c r="D9978" t="s">
        <v>1286</v>
      </c>
      <c r="E9978" t="s">
        <v>1287</v>
      </c>
      <c r="F9978" t="s">
        <v>1288</v>
      </c>
      <c r="G9978" t="s">
        <v>1289</v>
      </c>
      <c r="H9978" t="s">
        <v>281</v>
      </c>
      <c r="I9978" t="s">
        <v>226</v>
      </c>
    </row>
    <row r="9979" spans="1:14" x14ac:dyDescent="0.35">
      <c r="A9979" s="27" t="s">
        <v>227</v>
      </c>
      <c r="B9979" s="27" t="s">
        <v>368</v>
      </c>
      <c r="C9979" s="28">
        <v>0.5333</v>
      </c>
      <c r="D9979" s="28">
        <v>0.33329999999999999</v>
      </c>
      <c r="E9979" s="28">
        <v>0.4</v>
      </c>
      <c r="F9979" s="28">
        <v>0.1333</v>
      </c>
      <c r="G9979" s="29"/>
      <c r="H9979" s="29"/>
      <c r="I9979" s="29" t="s">
        <v>346</v>
      </c>
    </row>
    <row r="9980" spans="1:14" x14ac:dyDescent="0.35">
      <c r="A9980" t="s">
        <v>227</v>
      </c>
      <c r="B9980" t="s">
        <v>369</v>
      </c>
      <c r="C9980" s="26">
        <v>0.32</v>
      </c>
      <c r="D9980" s="26">
        <v>0.44</v>
      </c>
      <c r="E9980" s="26">
        <v>0.2</v>
      </c>
      <c r="F9980" s="26">
        <v>0.12</v>
      </c>
      <c r="G9980" s="26">
        <v>0.16</v>
      </c>
      <c r="I9980">
        <v>50</v>
      </c>
    </row>
    <row r="9981" spans="1:14" x14ac:dyDescent="0.35">
      <c r="A9981" t="s">
        <v>228</v>
      </c>
      <c r="B9981" t="s">
        <v>368</v>
      </c>
      <c r="C9981" s="26">
        <v>0.49399999999999999</v>
      </c>
      <c r="D9981" s="26">
        <v>0.45679999999999998</v>
      </c>
      <c r="E9981" s="26">
        <v>0.54530000000000001</v>
      </c>
      <c r="F9981" s="26">
        <v>8.7400000000000005E-2</v>
      </c>
      <c r="G9981" s="26">
        <v>0.13489999999999999</v>
      </c>
      <c r="H9981" s="26">
        <v>3.0999999999999999E-3</v>
      </c>
      <c r="I9981">
        <v>129</v>
      </c>
    </row>
    <row r="9982" spans="1:14" x14ac:dyDescent="0.35">
      <c r="A9982" t="s">
        <v>228</v>
      </c>
      <c r="B9982" t="s">
        <v>369</v>
      </c>
      <c r="C9982" s="26">
        <v>0.43719999999999998</v>
      </c>
      <c r="D9982" s="26">
        <v>0.47320000000000001</v>
      </c>
      <c r="E9982" s="26">
        <v>0.2611</v>
      </c>
      <c r="F9982" s="26">
        <v>0.1052</v>
      </c>
      <c r="G9982" s="26">
        <v>6.3E-2</v>
      </c>
      <c r="H9982" s="26">
        <v>4.7699999999999999E-2</v>
      </c>
      <c r="I9982">
        <v>425</v>
      </c>
    </row>
    <row r="9983" spans="1:14" x14ac:dyDescent="0.35">
      <c r="A9983" t="s">
        <v>229</v>
      </c>
      <c r="B9983" t="s">
        <v>368</v>
      </c>
      <c r="C9983" s="26">
        <v>0.5877</v>
      </c>
      <c r="D9983" s="26">
        <v>0.52280000000000004</v>
      </c>
      <c r="E9983" s="26">
        <v>0.45829999999999999</v>
      </c>
      <c r="F9983" s="26">
        <v>8.9899999999999994E-2</v>
      </c>
      <c r="G9983" s="26">
        <v>0.1069</v>
      </c>
      <c r="H9983" s="26">
        <v>1.06E-2</v>
      </c>
      <c r="I9983">
        <v>53</v>
      </c>
    </row>
    <row r="9984" spans="1:14" x14ac:dyDescent="0.35">
      <c r="A9984" t="s">
        <v>229</v>
      </c>
      <c r="B9984" t="s">
        <v>369</v>
      </c>
      <c r="C9984" s="26">
        <v>0.4597</v>
      </c>
      <c r="D9984" s="26">
        <v>0.42670000000000002</v>
      </c>
      <c r="E9984" s="26">
        <v>0.3417</v>
      </c>
      <c r="F9984" s="26">
        <v>9.1899999999999996E-2</v>
      </c>
      <c r="G9984" s="26">
        <v>0.108</v>
      </c>
      <c r="H9984" s="26">
        <v>4.9399999999999999E-2</v>
      </c>
      <c r="I9984">
        <v>374</v>
      </c>
    </row>
    <row r="9985" spans="1:14" x14ac:dyDescent="0.35">
      <c r="A9985" t="s">
        <v>230</v>
      </c>
      <c r="B9985" t="s">
        <v>368</v>
      </c>
      <c r="C9985" s="26">
        <v>0.33179999999999998</v>
      </c>
      <c r="D9985" s="26">
        <v>0.46139999999999998</v>
      </c>
      <c r="E9985" s="26">
        <v>0.35489999999999999</v>
      </c>
      <c r="F9985" s="26">
        <v>0.25519999999999998</v>
      </c>
      <c r="G9985" s="26">
        <v>6.1100000000000002E-2</v>
      </c>
      <c r="I9985">
        <v>38</v>
      </c>
    </row>
    <row r="9986" spans="1:14" x14ac:dyDescent="0.35">
      <c r="A9986" t="s">
        <v>230</v>
      </c>
      <c r="B9986" t="s">
        <v>369</v>
      </c>
      <c r="C9986" s="26">
        <v>0.50449999999999995</v>
      </c>
      <c r="D9986" s="26">
        <v>0.4708</v>
      </c>
      <c r="E9986" s="26">
        <v>0.33</v>
      </c>
      <c r="F9986" s="26">
        <v>9.3600000000000003E-2</v>
      </c>
      <c r="G9986" s="26">
        <v>0.12540000000000001</v>
      </c>
      <c r="H9986" s="26">
        <v>4.4699999999999997E-2</v>
      </c>
      <c r="I9986">
        <v>260</v>
      </c>
    </row>
    <row r="9987" spans="1:14" x14ac:dyDescent="0.35">
      <c r="A9987" s="27" t="s">
        <v>231</v>
      </c>
      <c r="B9987" s="27" t="s">
        <v>368</v>
      </c>
      <c r="C9987" s="28">
        <v>0.35709999999999997</v>
      </c>
      <c r="D9987" s="28">
        <v>0.57140000000000002</v>
      </c>
      <c r="E9987" s="28">
        <v>0.35709999999999997</v>
      </c>
      <c r="F9987" s="28">
        <v>7.1400000000000005E-2</v>
      </c>
      <c r="G9987" s="29"/>
      <c r="H9987" s="29"/>
      <c r="I9987" s="29" t="s">
        <v>379</v>
      </c>
    </row>
    <row r="9988" spans="1:14" x14ac:dyDescent="0.35">
      <c r="A9988" t="s">
        <v>231</v>
      </c>
      <c r="B9988" t="s">
        <v>369</v>
      </c>
      <c r="C9988" s="26">
        <v>0.51519999999999999</v>
      </c>
      <c r="D9988" s="26">
        <v>0.45450000000000002</v>
      </c>
      <c r="E9988" s="26">
        <v>0.30299999999999999</v>
      </c>
      <c r="F9988" s="26">
        <v>7.5800000000000006E-2</v>
      </c>
      <c r="G9988" s="26">
        <v>9.0899999999999995E-2</v>
      </c>
      <c r="H9988" s="26">
        <v>4.5499999999999999E-2</v>
      </c>
      <c r="I9988">
        <v>66</v>
      </c>
    </row>
    <row r="9989" spans="1:14" x14ac:dyDescent="0.35">
      <c r="A9989" t="s">
        <v>232</v>
      </c>
      <c r="B9989" t="s">
        <v>232</v>
      </c>
      <c r="C9989" s="26">
        <v>0.46189999999999998</v>
      </c>
      <c r="D9989" s="26">
        <v>0.45610000000000001</v>
      </c>
      <c r="E9989" s="26">
        <v>0.32429999999999998</v>
      </c>
      <c r="F9989" s="26">
        <v>9.6000000000000002E-2</v>
      </c>
      <c r="G9989" s="26">
        <v>9.6000000000000002E-2</v>
      </c>
      <c r="H9989" s="26">
        <v>3.4500000000000003E-2</v>
      </c>
      <c r="I9989">
        <v>1424</v>
      </c>
    </row>
    <row r="9991" spans="1:14" x14ac:dyDescent="0.35">
      <c r="A9991" s="1" t="s">
        <v>1308</v>
      </c>
    </row>
    <row r="9992" spans="1:14" x14ac:dyDescent="0.35">
      <c r="A9992" t="s">
        <v>219</v>
      </c>
      <c r="B9992" t="s">
        <v>305</v>
      </c>
      <c r="C9992" t="s">
        <v>1270</v>
      </c>
      <c r="D9992" t="s">
        <v>1271</v>
      </c>
      <c r="E9992" t="s">
        <v>1272</v>
      </c>
      <c r="F9992" t="s">
        <v>1273</v>
      </c>
      <c r="G9992" t="s">
        <v>1274</v>
      </c>
      <c r="H9992" t="s">
        <v>1275</v>
      </c>
      <c r="I9992" t="s">
        <v>1276</v>
      </c>
      <c r="J9992" t="s">
        <v>1277</v>
      </c>
      <c r="K9992" t="s">
        <v>1278</v>
      </c>
      <c r="L9992" t="s">
        <v>1279</v>
      </c>
      <c r="M9992" t="s">
        <v>1280</v>
      </c>
      <c r="N9992" t="s">
        <v>964</v>
      </c>
    </row>
    <row r="9993" spans="1:14" x14ac:dyDescent="0.35">
      <c r="A9993" t="s">
        <v>227</v>
      </c>
      <c r="B9993" t="s">
        <v>371</v>
      </c>
      <c r="C9993" t="s">
        <v>1281</v>
      </c>
      <c r="D9993" s="26">
        <v>0.8054</v>
      </c>
      <c r="E9993" s="26">
        <v>0.3826</v>
      </c>
      <c r="F9993" s="26">
        <v>0.85909999999999997</v>
      </c>
      <c r="G9993" s="26">
        <v>0.61070000000000002</v>
      </c>
      <c r="H9993" s="26">
        <v>0.75839999999999996</v>
      </c>
      <c r="I9993" s="26">
        <v>0.66439999999999999</v>
      </c>
      <c r="J9993" s="26">
        <v>0.8054</v>
      </c>
      <c r="K9993" s="26">
        <v>0.745</v>
      </c>
      <c r="L9993" s="26">
        <v>0.81210000000000004</v>
      </c>
      <c r="M9993" s="26">
        <v>0.87919999999999998</v>
      </c>
      <c r="N9993">
        <v>149</v>
      </c>
    </row>
    <row r="9994" spans="1:14" x14ac:dyDescent="0.35">
      <c r="A9994" t="s">
        <v>227</v>
      </c>
      <c r="B9994" t="s">
        <v>371</v>
      </c>
      <c r="C9994" t="s">
        <v>1282</v>
      </c>
      <c r="D9994" s="26">
        <v>2.01E-2</v>
      </c>
      <c r="E9994" s="26">
        <v>8.0500000000000002E-2</v>
      </c>
      <c r="F9994" s="26">
        <v>2.01E-2</v>
      </c>
      <c r="G9994" s="26">
        <v>5.3699999999999998E-2</v>
      </c>
      <c r="H9994" s="26">
        <v>3.3599999999999998E-2</v>
      </c>
      <c r="J9994" s="26">
        <v>1.34E-2</v>
      </c>
      <c r="K9994" s="26">
        <v>2.01E-2</v>
      </c>
      <c r="N9994">
        <v>149</v>
      </c>
    </row>
    <row r="9995" spans="1:14" x14ac:dyDescent="0.35">
      <c r="A9995" t="s">
        <v>227</v>
      </c>
      <c r="B9995" t="s">
        <v>371</v>
      </c>
      <c r="C9995" t="s">
        <v>1283</v>
      </c>
      <c r="D9995" s="26">
        <v>0.15440000000000001</v>
      </c>
      <c r="E9995" s="26">
        <v>0.1678</v>
      </c>
      <c r="F9995" s="26">
        <v>6.7100000000000007E-2</v>
      </c>
      <c r="G9995" s="26">
        <v>0.24160000000000001</v>
      </c>
      <c r="H9995" s="26">
        <v>0.18790000000000001</v>
      </c>
      <c r="I9995" s="26">
        <v>7.3800000000000004E-2</v>
      </c>
      <c r="J9995" s="26">
        <v>0.17449999999999999</v>
      </c>
      <c r="K9995" s="26">
        <v>0.22819999999999999</v>
      </c>
      <c r="L9995" s="26">
        <v>0.18790000000000001</v>
      </c>
      <c r="M9995" s="26">
        <v>0.1208</v>
      </c>
      <c r="N9995">
        <v>149</v>
      </c>
    </row>
    <row r="9996" spans="1:14" x14ac:dyDescent="0.35">
      <c r="A9996" t="s">
        <v>227</v>
      </c>
      <c r="B9996" t="s">
        <v>371</v>
      </c>
      <c r="C9996" t="s">
        <v>303</v>
      </c>
      <c r="D9996" s="26">
        <v>2.01E-2</v>
      </c>
      <c r="E9996" s="26">
        <v>0.36909999999999998</v>
      </c>
      <c r="F9996" s="26">
        <v>5.3699999999999998E-2</v>
      </c>
      <c r="G9996" s="26">
        <v>9.4E-2</v>
      </c>
      <c r="H9996" s="26">
        <v>2.01E-2</v>
      </c>
      <c r="I9996" s="26">
        <v>0.26169999999999999</v>
      </c>
      <c r="J9996" s="26">
        <v>6.7000000000000002E-3</v>
      </c>
      <c r="K9996" s="26">
        <v>6.7000000000000002E-3</v>
      </c>
      <c r="N9996">
        <v>149</v>
      </c>
    </row>
    <row r="9997" spans="1:14" x14ac:dyDescent="0.35">
      <c r="A9997" t="s">
        <v>228</v>
      </c>
      <c r="B9997" t="s">
        <v>373</v>
      </c>
      <c r="C9997" t="s">
        <v>303</v>
      </c>
      <c r="D9997" s="26">
        <v>4.2299999999999997E-2</v>
      </c>
      <c r="E9997" s="26">
        <v>0.3286</v>
      </c>
      <c r="F9997" s="26">
        <v>0.1032</v>
      </c>
      <c r="G9997" s="26">
        <v>0.1459</v>
      </c>
      <c r="H9997" s="26">
        <v>2.3099999999999999E-2</v>
      </c>
      <c r="I9997" s="26">
        <v>0.30459999999999998</v>
      </c>
      <c r="J9997" s="26">
        <v>1.03E-2</v>
      </c>
      <c r="L9997" s="26">
        <v>8.0000000000000002E-3</v>
      </c>
      <c r="M9997" s="26">
        <v>2.3E-3</v>
      </c>
      <c r="N9997">
        <v>479</v>
      </c>
    </row>
    <row r="9998" spans="1:14" x14ac:dyDescent="0.35">
      <c r="A9998" t="s">
        <v>228</v>
      </c>
      <c r="B9998" t="s">
        <v>373</v>
      </c>
      <c r="C9998" t="s">
        <v>1283</v>
      </c>
      <c r="D9998" s="26">
        <v>0.1084</v>
      </c>
      <c r="E9998" s="26">
        <v>0.151</v>
      </c>
      <c r="F9998" s="26">
        <v>6.1600000000000002E-2</v>
      </c>
      <c r="G9998" s="26">
        <v>0.20830000000000001</v>
      </c>
      <c r="H9998" s="26">
        <v>0.2412</v>
      </c>
      <c r="I9998" s="26">
        <v>3.6600000000000001E-2</v>
      </c>
      <c r="J9998" s="26">
        <v>0.1658</v>
      </c>
      <c r="K9998" s="26">
        <v>0.19059999999999999</v>
      </c>
      <c r="L9998" s="26">
        <v>0.14460000000000001</v>
      </c>
      <c r="M9998" s="26">
        <v>8.8999999999999996E-2</v>
      </c>
      <c r="N9998">
        <v>479</v>
      </c>
    </row>
    <row r="9999" spans="1:14" x14ac:dyDescent="0.35">
      <c r="A9999" t="s">
        <v>228</v>
      </c>
      <c r="B9999" t="s">
        <v>373</v>
      </c>
      <c r="C9999" t="s">
        <v>1282</v>
      </c>
      <c r="D9999" s="26">
        <v>2.92E-2</v>
      </c>
      <c r="E9999" s="26">
        <v>7.0599999999999996E-2</v>
      </c>
      <c r="F9999" s="26">
        <v>8.0999999999999996E-3</v>
      </c>
      <c r="G9999" s="26">
        <v>1.4999999999999999E-2</v>
      </c>
      <c r="H9999" s="26">
        <v>1.23E-2</v>
      </c>
      <c r="I9999" s="26">
        <v>3.0000000000000001E-3</v>
      </c>
      <c r="K9999" s="26">
        <v>3.2000000000000002E-3</v>
      </c>
      <c r="L9999" s="26">
        <v>5.4999999999999997E-3</v>
      </c>
      <c r="N9999">
        <v>479</v>
      </c>
    </row>
    <row r="10000" spans="1:14" x14ac:dyDescent="0.35">
      <c r="A10000" t="s">
        <v>228</v>
      </c>
      <c r="B10000" t="s">
        <v>373</v>
      </c>
      <c r="C10000" t="s">
        <v>1281</v>
      </c>
      <c r="D10000" s="26">
        <v>0.82010000000000005</v>
      </c>
      <c r="E10000" s="26">
        <v>0.44979999999999998</v>
      </c>
      <c r="F10000" s="26">
        <v>0.82709999999999995</v>
      </c>
      <c r="G10000" s="26">
        <v>0.63080000000000003</v>
      </c>
      <c r="H10000" s="26">
        <v>0.72330000000000005</v>
      </c>
      <c r="I10000" s="26">
        <v>0.65590000000000004</v>
      </c>
      <c r="J10000" s="26">
        <v>0.82389999999999997</v>
      </c>
      <c r="K10000" s="26">
        <v>0.80620000000000003</v>
      </c>
      <c r="L10000" s="26">
        <v>0.84189999999999998</v>
      </c>
      <c r="M10000" s="26">
        <v>0.90869999999999995</v>
      </c>
      <c r="N10000">
        <v>479</v>
      </c>
    </row>
    <row r="10001" spans="1:14" x14ac:dyDescent="0.35">
      <c r="A10001" t="s">
        <v>228</v>
      </c>
      <c r="B10001" t="s">
        <v>372</v>
      </c>
      <c r="C10001" t="s">
        <v>303</v>
      </c>
      <c r="D10001" s="26">
        <v>7.5999999999999998E-2</v>
      </c>
      <c r="E10001" s="26">
        <v>0.4541</v>
      </c>
      <c r="F10001" s="26">
        <v>0.15609999999999999</v>
      </c>
      <c r="G10001" s="26">
        <v>0.1227</v>
      </c>
      <c r="H10001" s="26">
        <v>2.18E-2</v>
      </c>
      <c r="I10001" s="26">
        <v>0.4138</v>
      </c>
      <c r="J10001" s="26">
        <v>1.8700000000000001E-2</v>
      </c>
      <c r="K10001" s="26">
        <v>1.0699999999999999E-2</v>
      </c>
      <c r="L10001" s="26">
        <v>1.6500000000000001E-2</v>
      </c>
      <c r="M10001" s="26">
        <v>1.1599999999999999E-2</v>
      </c>
      <c r="N10001">
        <v>196</v>
      </c>
    </row>
    <row r="10002" spans="1:14" x14ac:dyDescent="0.35">
      <c r="A10002" t="s">
        <v>228</v>
      </c>
      <c r="B10002" t="s">
        <v>372</v>
      </c>
      <c r="C10002" t="s">
        <v>1283</v>
      </c>
      <c r="D10002" s="26">
        <v>9.7799999999999998E-2</v>
      </c>
      <c r="E10002" s="26">
        <v>0.1143</v>
      </c>
      <c r="F10002" s="26">
        <v>5.4300000000000001E-2</v>
      </c>
      <c r="G10002" s="26">
        <v>0.23200000000000001</v>
      </c>
      <c r="H10002" s="26">
        <v>0.2082</v>
      </c>
      <c r="I10002" s="26">
        <v>3.2000000000000001E-2</v>
      </c>
      <c r="J10002" s="26">
        <v>0.17230000000000001</v>
      </c>
      <c r="K10002" s="26">
        <v>0.1993</v>
      </c>
      <c r="L10002" s="26">
        <v>0.13969999999999999</v>
      </c>
      <c r="M10002" s="26">
        <v>6.0499999999999998E-2</v>
      </c>
      <c r="N10002">
        <v>196</v>
      </c>
    </row>
    <row r="10003" spans="1:14" x14ac:dyDescent="0.35">
      <c r="A10003" t="s">
        <v>228</v>
      </c>
      <c r="B10003" t="s">
        <v>372</v>
      </c>
      <c r="C10003" t="s">
        <v>1281</v>
      </c>
      <c r="D10003" s="26">
        <v>0.80130000000000001</v>
      </c>
      <c r="E10003" s="26">
        <v>0.3382</v>
      </c>
      <c r="F10003" s="26">
        <v>0.78110000000000002</v>
      </c>
      <c r="G10003" s="26">
        <v>0.61599999999999999</v>
      </c>
      <c r="H10003" s="26">
        <v>0.74770000000000003</v>
      </c>
      <c r="I10003" s="26">
        <v>0.55110000000000003</v>
      </c>
      <c r="J10003" s="26">
        <v>0.80900000000000005</v>
      </c>
      <c r="K10003" s="26">
        <v>0.77439999999999998</v>
      </c>
      <c r="L10003" s="26">
        <v>0.84379999999999999</v>
      </c>
      <c r="M10003" s="26">
        <v>0.92789999999999995</v>
      </c>
      <c r="N10003">
        <v>196</v>
      </c>
    </row>
    <row r="10004" spans="1:14" x14ac:dyDescent="0.35">
      <c r="A10004" t="s">
        <v>228</v>
      </c>
      <c r="B10004" t="s">
        <v>371</v>
      </c>
      <c r="C10004" t="s">
        <v>303</v>
      </c>
      <c r="D10004" s="26">
        <v>4.6600000000000003E-2</v>
      </c>
      <c r="E10004" s="26">
        <v>0.44879999999999998</v>
      </c>
      <c r="F10004" s="26">
        <v>0.16539999999999999</v>
      </c>
      <c r="G10004" s="26">
        <v>0.22700000000000001</v>
      </c>
      <c r="H10004" s="26">
        <v>3.1099999999999999E-2</v>
      </c>
      <c r="I10004" s="26">
        <v>0.34060000000000001</v>
      </c>
      <c r="J10004" s="26">
        <v>8.0000000000000004E-4</v>
      </c>
      <c r="K10004" s="26">
        <v>1.4E-2</v>
      </c>
      <c r="L10004" s="26">
        <v>2.7900000000000001E-2</v>
      </c>
      <c r="M10004" s="26">
        <v>8.9999999999999998E-4</v>
      </c>
      <c r="N10004">
        <v>269</v>
      </c>
    </row>
    <row r="10005" spans="1:14" x14ac:dyDescent="0.35">
      <c r="A10005" t="s">
        <v>228</v>
      </c>
      <c r="B10005" t="s">
        <v>371</v>
      </c>
      <c r="C10005" t="s">
        <v>1283</v>
      </c>
      <c r="D10005" s="26">
        <v>0.1236</v>
      </c>
      <c r="E10005" s="26">
        <v>0.13350000000000001</v>
      </c>
      <c r="F10005" s="26">
        <v>4.8000000000000001E-2</v>
      </c>
      <c r="G10005" s="26">
        <v>0.14749999999999999</v>
      </c>
      <c r="H10005" s="26">
        <v>0.16289999999999999</v>
      </c>
      <c r="I10005" s="26">
        <v>3.1E-2</v>
      </c>
      <c r="J10005" s="26">
        <v>0.14510000000000001</v>
      </c>
      <c r="K10005" s="26">
        <v>0.16520000000000001</v>
      </c>
      <c r="L10005" s="26">
        <v>0.1094</v>
      </c>
      <c r="M10005" s="26">
        <v>9.1399999999999995E-2</v>
      </c>
      <c r="N10005">
        <v>269</v>
      </c>
    </row>
    <row r="10006" spans="1:14" x14ac:dyDescent="0.35">
      <c r="A10006" t="s">
        <v>228</v>
      </c>
      <c r="B10006" t="s">
        <v>371</v>
      </c>
      <c r="C10006" t="s">
        <v>1282</v>
      </c>
      <c r="D10006" s="26">
        <v>1.55E-2</v>
      </c>
      <c r="E10006" s="26">
        <v>4.6699999999999998E-2</v>
      </c>
      <c r="F10006" s="26">
        <v>7.9000000000000008E-3</v>
      </c>
      <c r="G10006" s="26">
        <v>2.35E-2</v>
      </c>
      <c r="H10006" s="26">
        <v>2.87E-2</v>
      </c>
      <c r="I10006" s="26">
        <v>1.47E-2</v>
      </c>
      <c r="J10006" s="26">
        <v>7.0000000000000001E-3</v>
      </c>
      <c r="K10006" s="26">
        <v>1.5E-3</v>
      </c>
      <c r="N10006">
        <v>269</v>
      </c>
    </row>
    <row r="10007" spans="1:14" x14ac:dyDescent="0.35">
      <c r="A10007" t="s">
        <v>228</v>
      </c>
      <c r="B10007" t="s">
        <v>371</v>
      </c>
      <c r="C10007" t="s">
        <v>1281</v>
      </c>
      <c r="D10007" s="26">
        <v>0.81430000000000002</v>
      </c>
      <c r="E10007" s="26">
        <v>0.371</v>
      </c>
      <c r="F10007" s="26">
        <v>0.77880000000000005</v>
      </c>
      <c r="G10007" s="26">
        <v>0.60199999999999998</v>
      </c>
      <c r="H10007" s="26">
        <v>0.77739999999999998</v>
      </c>
      <c r="I10007" s="26">
        <v>0.61370000000000002</v>
      </c>
      <c r="J10007" s="26">
        <v>0.84719999999999995</v>
      </c>
      <c r="K10007" s="26">
        <v>0.81930000000000003</v>
      </c>
      <c r="L10007" s="26">
        <v>0.86270000000000002</v>
      </c>
      <c r="M10007" s="26">
        <v>0.90780000000000005</v>
      </c>
      <c r="N10007">
        <v>269</v>
      </c>
    </row>
    <row r="10008" spans="1:14" x14ac:dyDescent="0.35">
      <c r="A10008" t="s">
        <v>228</v>
      </c>
      <c r="B10008" t="s">
        <v>372</v>
      </c>
      <c r="C10008" t="s">
        <v>1282</v>
      </c>
      <c r="D10008" s="26">
        <v>2.4899999999999999E-2</v>
      </c>
      <c r="E10008" s="26">
        <v>9.35E-2</v>
      </c>
      <c r="F10008" s="26">
        <v>8.5000000000000006E-3</v>
      </c>
      <c r="G10008" s="26">
        <v>2.93E-2</v>
      </c>
      <c r="H10008" s="26">
        <v>2.23E-2</v>
      </c>
      <c r="I10008" s="26">
        <v>3.0999999999999999E-3</v>
      </c>
      <c r="K10008" s="26">
        <v>1.55E-2</v>
      </c>
      <c r="N10008">
        <v>196</v>
      </c>
    </row>
    <row r="10009" spans="1:14" x14ac:dyDescent="0.35">
      <c r="A10009" t="s">
        <v>229</v>
      </c>
      <c r="B10009" t="s">
        <v>372</v>
      </c>
      <c r="C10009" t="s">
        <v>303</v>
      </c>
      <c r="D10009" s="26">
        <v>6.88E-2</v>
      </c>
      <c r="E10009" s="26">
        <v>0.37130000000000002</v>
      </c>
      <c r="F10009" s="26">
        <v>0.1431</v>
      </c>
      <c r="G10009" s="26">
        <v>0.18490000000000001</v>
      </c>
      <c r="H10009" s="26">
        <v>2.2200000000000001E-2</v>
      </c>
      <c r="I10009" s="26">
        <v>0.27160000000000001</v>
      </c>
      <c r="J10009" s="26">
        <v>3.39E-2</v>
      </c>
      <c r="K10009" s="26">
        <v>2.9600000000000001E-2</v>
      </c>
      <c r="L10009" s="26">
        <v>2.12E-2</v>
      </c>
      <c r="M10009" s="26">
        <v>9.4999999999999998E-3</v>
      </c>
      <c r="N10009">
        <v>194</v>
      </c>
    </row>
    <row r="10010" spans="1:14" x14ac:dyDescent="0.35">
      <c r="A10010" t="s">
        <v>229</v>
      </c>
      <c r="B10010" t="s">
        <v>373</v>
      </c>
      <c r="C10010" t="s">
        <v>303</v>
      </c>
      <c r="D10010" s="26">
        <v>1.3100000000000001E-2</v>
      </c>
      <c r="E10010" s="26">
        <v>0.31390000000000001</v>
      </c>
      <c r="F10010" s="26">
        <v>3.3000000000000002E-2</v>
      </c>
      <c r="G10010" s="26">
        <v>0.1118</v>
      </c>
      <c r="H10010" s="26">
        <v>1.9900000000000001E-2</v>
      </c>
      <c r="I10010" s="26">
        <v>0.158</v>
      </c>
      <c r="J10010" s="26">
        <v>1.9900000000000001E-2</v>
      </c>
      <c r="L10010" s="26">
        <v>1.3100000000000001E-2</v>
      </c>
      <c r="N10010">
        <v>85</v>
      </c>
    </row>
    <row r="10011" spans="1:14" x14ac:dyDescent="0.35">
      <c r="A10011" t="s">
        <v>229</v>
      </c>
      <c r="B10011" t="s">
        <v>373</v>
      </c>
      <c r="C10011" t="s">
        <v>1283</v>
      </c>
      <c r="D10011" s="26">
        <v>4.6100000000000002E-2</v>
      </c>
      <c r="E10011" s="26">
        <v>8.5599999999999996E-2</v>
      </c>
      <c r="F10011" s="26">
        <v>1.3100000000000001E-2</v>
      </c>
      <c r="G10011" s="26">
        <v>8.7900000000000006E-2</v>
      </c>
      <c r="H10011" s="26">
        <v>8.5599999999999996E-2</v>
      </c>
      <c r="I10011" s="26">
        <v>1.3100000000000001E-2</v>
      </c>
      <c r="J10011" s="26">
        <v>8.3000000000000004E-2</v>
      </c>
      <c r="K10011" s="26">
        <v>7.2400000000000006E-2</v>
      </c>
      <c r="L10011" s="26">
        <v>4.3200000000000002E-2</v>
      </c>
      <c r="M10011" s="26">
        <v>4.3200000000000002E-2</v>
      </c>
      <c r="N10011">
        <v>85</v>
      </c>
    </row>
    <row r="10012" spans="1:14" x14ac:dyDescent="0.35">
      <c r="A10012" t="s">
        <v>229</v>
      </c>
      <c r="B10012" t="s">
        <v>373</v>
      </c>
      <c r="C10012" t="s">
        <v>1281</v>
      </c>
      <c r="D10012" s="26">
        <v>0.94069999999999998</v>
      </c>
      <c r="E10012" s="26">
        <v>0.54800000000000004</v>
      </c>
      <c r="F10012" s="26">
        <v>0.94069999999999998</v>
      </c>
      <c r="G10012" s="26">
        <v>0.78680000000000005</v>
      </c>
      <c r="H10012" s="26">
        <v>0.86829999999999996</v>
      </c>
      <c r="I10012" s="26">
        <v>0.82889999999999997</v>
      </c>
      <c r="J10012" s="26">
        <v>0.8972</v>
      </c>
      <c r="K10012" s="26">
        <v>0.92759999999999998</v>
      </c>
      <c r="L10012" s="26">
        <v>0.93689999999999996</v>
      </c>
      <c r="M10012" s="26">
        <v>0.95009999999999994</v>
      </c>
      <c r="N10012">
        <v>85</v>
      </c>
    </row>
    <row r="10013" spans="1:14" x14ac:dyDescent="0.35">
      <c r="A10013" t="s">
        <v>229</v>
      </c>
      <c r="B10013" t="s">
        <v>372</v>
      </c>
      <c r="C10013" t="s">
        <v>1282</v>
      </c>
      <c r="D10013" s="26">
        <v>1.17E-2</v>
      </c>
      <c r="E10013" s="26">
        <v>6.0400000000000002E-2</v>
      </c>
      <c r="F10013" s="26">
        <v>4.3E-3</v>
      </c>
      <c r="G10013" s="26">
        <v>9.5999999999999992E-3</v>
      </c>
      <c r="H10013" s="26">
        <v>1.4800000000000001E-2</v>
      </c>
      <c r="I10013" s="26">
        <v>2.0999999999999999E-3</v>
      </c>
      <c r="M10013" s="26">
        <v>2.0999999999999999E-3</v>
      </c>
      <c r="N10013">
        <v>194</v>
      </c>
    </row>
    <row r="10014" spans="1:14" x14ac:dyDescent="0.35">
      <c r="A10014" t="s">
        <v>229</v>
      </c>
      <c r="B10014" t="s">
        <v>372</v>
      </c>
      <c r="C10014" t="s">
        <v>1283</v>
      </c>
      <c r="D10014" s="26">
        <v>8.0699999999999994E-2</v>
      </c>
      <c r="E10014" s="26">
        <v>0.15479999999999999</v>
      </c>
      <c r="F10014" s="26">
        <v>4.3E-3</v>
      </c>
      <c r="G10014" s="26">
        <v>0.13270000000000001</v>
      </c>
      <c r="H10014" s="26">
        <v>0.18779999999999999</v>
      </c>
      <c r="I10014" s="26">
        <v>3.9199999999999999E-2</v>
      </c>
      <c r="J10014" s="26">
        <v>0.10829999999999999</v>
      </c>
      <c r="K10014" s="26">
        <v>8.0699999999999994E-2</v>
      </c>
      <c r="L10014" s="26">
        <v>4.8899999999999999E-2</v>
      </c>
      <c r="M10014" s="26">
        <v>2.12E-2</v>
      </c>
      <c r="N10014">
        <v>194</v>
      </c>
    </row>
    <row r="10015" spans="1:14" x14ac:dyDescent="0.35">
      <c r="A10015" t="s">
        <v>229</v>
      </c>
      <c r="B10015" t="s">
        <v>371</v>
      </c>
      <c r="C10015" t="s">
        <v>303</v>
      </c>
      <c r="D10015" s="26">
        <v>3.5799999999999998E-2</v>
      </c>
      <c r="E10015" s="26">
        <v>0.42099999999999999</v>
      </c>
      <c r="F10015" s="26">
        <v>0.14000000000000001</v>
      </c>
      <c r="G10015" s="26">
        <v>0.19750000000000001</v>
      </c>
      <c r="H10015" s="26">
        <v>2.3900000000000001E-2</v>
      </c>
      <c r="I10015" s="26">
        <v>0.33510000000000001</v>
      </c>
      <c r="J10015" s="26">
        <v>1.6400000000000001E-2</v>
      </c>
      <c r="L10015" s="26">
        <v>2.93E-2</v>
      </c>
      <c r="M10015" s="26">
        <v>0.01</v>
      </c>
      <c r="N10015">
        <v>514</v>
      </c>
    </row>
    <row r="10016" spans="1:14" x14ac:dyDescent="0.35">
      <c r="A10016" t="s">
        <v>229</v>
      </c>
      <c r="B10016" t="s">
        <v>371</v>
      </c>
      <c r="C10016" t="s">
        <v>1283</v>
      </c>
      <c r="D10016" s="26">
        <v>9.9299999999999999E-2</v>
      </c>
      <c r="E10016" s="26">
        <v>0.12479999999999999</v>
      </c>
      <c r="F10016" s="26">
        <v>6.0400000000000002E-2</v>
      </c>
      <c r="G10016" s="26">
        <v>0.18459999999999999</v>
      </c>
      <c r="H10016" s="26">
        <v>0.21920000000000001</v>
      </c>
      <c r="I10016" s="26">
        <v>2.2100000000000002E-2</v>
      </c>
      <c r="J10016" s="26">
        <v>0.13</v>
      </c>
      <c r="K10016" s="26">
        <v>0.19689999999999999</v>
      </c>
      <c r="L10016" s="26">
        <v>0.13589999999999999</v>
      </c>
      <c r="M10016" s="26">
        <v>8.6300000000000002E-2</v>
      </c>
      <c r="N10016">
        <v>514</v>
      </c>
    </row>
    <row r="10017" spans="1:14" x14ac:dyDescent="0.35">
      <c r="A10017" t="s">
        <v>229</v>
      </c>
      <c r="B10017" t="s">
        <v>371</v>
      </c>
      <c r="C10017" t="s">
        <v>1282</v>
      </c>
      <c r="D10017" s="26">
        <v>2.8799999999999999E-2</v>
      </c>
      <c r="E10017" s="26">
        <v>6.2899999999999998E-2</v>
      </c>
      <c r="F10017" s="26">
        <v>7.7999999999999996E-3</v>
      </c>
      <c r="G10017" s="26">
        <v>1.6500000000000001E-2</v>
      </c>
      <c r="H10017" s="26">
        <v>2.1899999999999999E-2</v>
      </c>
      <c r="I10017" s="26">
        <v>9.1999999999999998E-3</v>
      </c>
      <c r="J10017" s="26">
        <v>3.8999999999999998E-3</v>
      </c>
      <c r="K10017" s="26">
        <v>1.47E-2</v>
      </c>
      <c r="M10017" s="26">
        <v>8.0000000000000004E-4</v>
      </c>
      <c r="N10017">
        <v>514</v>
      </c>
    </row>
    <row r="10018" spans="1:14" x14ac:dyDescent="0.35">
      <c r="A10018" t="s">
        <v>229</v>
      </c>
      <c r="B10018" t="s">
        <v>371</v>
      </c>
      <c r="C10018" t="s">
        <v>1281</v>
      </c>
      <c r="D10018" s="26">
        <v>0.83609999999999995</v>
      </c>
      <c r="E10018" s="26">
        <v>0.39140000000000003</v>
      </c>
      <c r="F10018" s="26">
        <v>0.79190000000000005</v>
      </c>
      <c r="G10018" s="26">
        <v>0.60140000000000005</v>
      </c>
      <c r="H10018" s="26">
        <v>0.73499999999999999</v>
      </c>
      <c r="I10018" s="26">
        <v>0.63360000000000005</v>
      </c>
      <c r="J10018" s="26">
        <v>0.8498</v>
      </c>
      <c r="K10018" s="26">
        <v>0.78839999999999999</v>
      </c>
      <c r="L10018" s="26">
        <v>0.83479999999999999</v>
      </c>
      <c r="M10018" s="26">
        <v>0.90290000000000004</v>
      </c>
      <c r="N10018">
        <v>514</v>
      </c>
    </row>
    <row r="10019" spans="1:14" x14ac:dyDescent="0.35">
      <c r="A10019" t="s">
        <v>229</v>
      </c>
      <c r="B10019" t="s">
        <v>372</v>
      </c>
      <c r="C10019" t="s">
        <v>1281</v>
      </c>
      <c r="D10019" s="26">
        <v>0.83879999999999999</v>
      </c>
      <c r="E10019" s="26">
        <v>0.41360000000000002</v>
      </c>
      <c r="F10019" s="26">
        <v>0.84840000000000004</v>
      </c>
      <c r="G10019" s="26">
        <v>0.67269999999999996</v>
      </c>
      <c r="H10019" s="26">
        <v>0.77510000000000001</v>
      </c>
      <c r="I10019" s="26">
        <v>0.68700000000000006</v>
      </c>
      <c r="J10019" s="26">
        <v>0.85780000000000001</v>
      </c>
      <c r="K10019" s="26">
        <v>0.88970000000000005</v>
      </c>
      <c r="L10019" s="26">
        <v>0.92989999999999995</v>
      </c>
      <c r="M10019" s="26">
        <v>0.96709999999999996</v>
      </c>
      <c r="N10019">
        <v>194</v>
      </c>
    </row>
    <row r="10020" spans="1:14" x14ac:dyDescent="0.35">
      <c r="A10020" t="s">
        <v>230</v>
      </c>
      <c r="B10020" t="s">
        <v>372</v>
      </c>
      <c r="C10020" t="s">
        <v>303</v>
      </c>
      <c r="D10020" s="26">
        <v>2.2200000000000001E-2</v>
      </c>
      <c r="E10020" s="26">
        <v>0.31459999999999999</v>
      </c>
      <c r="F10020" s="26">
        <v>0.1018</v>
      </c>
      <c r="G10020" s="26">
        <v>0.16270000000000001</v>
      </c>
      <c r="H10020" s="26">
        <v>1.7000000000000001E-2</v>
      </c>
      <c r="I10020" s="26">
        <v>0.31979999999999997</v>
      </c>
      <c r="J10020" s="26">
        <v>5.1999999999999998E-3</v>
      </c>
      <c r="L10020" s="26">
        <v>1.5699999999999999E-2</v>
      </c>
      <c r="M10020" s="26">
        <v>2.7400000000000001E-2</v>
      </c>
      <c r="N10020">
        <v>133</v>
      </c>
    </row>
    <row r="10021" spans="1:14" x14ac:dyDescent="0.35">
      <c r="A10021" t="s">
        <v>230</v>
      </c>
      <c r="B10021" t="s">
        <v>373</v>
      </c>
      <c r="C10021" t="s">
        <v>303</v>
      </c>
      <c r="D10021" s="26">
        <v>2.93E-2</v>
      </c>
      <c r="E10021" s="26">
        <v>0.33379999999999999</v>
      </c>
      <c r="F10021" s="26">
        <v>6.6000000000000003E-2</v>
      </c>
      <c r="G10021" s="26">
        <v>0.13320000000000001</v>
      </c>
      <c r="H10021" s="26">
        <v>7.3000000000000001E-3</v>
      </c>
      <c r="I10021" s="26">
        <v>0.19750000000000001</v>
      </c>
      <c r="K10021" s="26">
        <v>7.3000000000000001E-3</v>
      </c>
      <c r="M10021" s="26">
        <v>1.6899999999999998E-2</v>
      </c>
      <c r="N10021">
        <v>144</v>
      </c>
    </row>
    <row r="10022" spans="1:14" x14ac:dyDescent="0.35">
      <c r="A10022" t="s">
        <v>230</v>
      </c>
      <c r="B10022" t="s">
        <v>373</v>
      </c>
      <c r="C10022" t="s">
        <v>1283</v>
      </c>
      <c r="D10022" s="26">
        <v>6.6000000000000003E-2</v>
      </c>
      <c r="E10022" s="26">
        <v>0.15129999999999999</v>
      </c>
      <c r="F10022" s="26">
        <v>2.1999999999999999E-2</v>
      </c>
      <c r="G10022" s="26">
        <v>0.16</v>
      </c>
      <c r="H10022" s="26">
        <v>0.22950000000000001</v>
      </c>
      <c r="I10022" s="26">
        <v>2.1999999999999999E-2</v>
      </c>
      <c r="J10022" s="26">
        <v>0.1394</v>
      </c>
      <c r="K10022" s="26">
        <v>0.14879999999999999</v>
      </c>
      <c r="L10022" s="26">
        <v>0.1197</v>
      </c>
      <c r="M10022" s="26">
        <v>9.5299999999999996E-2</v>
      </c>
      <c r="N10022">
        <v>144</v>
      </c>
    </row>
    <row r="10023" spans="1:14" x14ac:dyDescent="0.35">
      <c r="A10023" t="s">
        <v>230</v>
      </c>
      <c r="B10023" t="s">
        <v>373</v>
      </c>
      <c r="C10023" t="s">
        <v>1282</v>
      </c>
      <c r="D10023" s="26">
        <v>2.93E-2</v>
      </c>
      <c r="E10023" s="26">
        <v>5.8599999999999999E-2</v>
      </c>
      <c r="F10023" s="26">
        <v>1.47E-2</v>
      </c>
      <c r="G10023" s="26">
        <v>7.4000000000000003E-3</v>
      </c>
      <c r="H10023" s="26">
        <v>9.5999999999999992E-3</v>
      </c>
      <c r="N10023">
        <v>144</v>
      </c>
    </row>
    <row r="10024" spans="1:14" x14ac:dyDescent="0.35">
      <c r="A10024" t="s">
        <v>230</v>
      </c>
      <c r="B10024" t="s">
        <v>373</v>
      </c>
      <c r="C10024" t="s">
        <v>1281</v>
      </c>
      <c r="D10024" s="26">
        <v>0.87539999999999996</v>
      </c>
      <c r="E10024" s="26">
        <v>0.45629999999999998</v>
      </c>
      <c r="F10024" s="26">
        <v>0.89739999999999998</v>
      </c>
      <c r="G10024" s="26">
        <v>0.69940000000000002</v>
      </c>
      <c r="H10024" s="26">
        <v>0.75360000000000005</v>
      </c>
      <c r="I10024" s="26">
        <v>0.78049999999999997</v>
      </c>
      <c r="J10024" s="26">
        <v>0.86060000000000003</v>
      </c>
      <c r="K10024" s="26">
        <v>0.84379999999999999</v>
      </c>
      <c r="L10024" s="26">
        <v>0.88029999999999997</v>
      </c>
      <c r="M10024" s="26">
        <v>0.88780000000000003</v>
      </c>
      <c r="N10024">
        <v>144</v>
      </c>
    </row>
    <row r="10025" spans="1:14" x14ac:dyDescent="0.35">
      <c r="A10025" t="s">
        <v>230</v>
      </c>
      <c r="B10025" t="s">
        <v>372</v>
      </c>
      <c r="C10025" t="s">
        <v>1283</v>
      </c>
      <c r="D10025" s="26">
        <v>0.13969999999999999</v>
      </c>
      <c r="E10025" s="26">
        <v>0.25850000000000001</v>
      </c>
      <c r="F10025" s="26">
        <v>8.09E-2</v>
      </c>
      <c r="G10025" s="26">
        <v>0.28079999999999999</v>
      </c>
      <c r="H10025" s="26">
        <v>0.31850000000000001</v>
      </c>
      <c r="I10025" s="26">
        <v>6.4000000000000001E-2</v>
      </c>
      <c r="J10025" s="26">
        <v>0.17749999999999999</v>
      </c>
      <c r="K10025" s="26">
        <v>0.22589999999999999</v>
      </c>
      <c r="L10025" s="26">
        <v>0.1057</v>
      </c>
      <c r="M10025" s="26">
        <v>7.9600000000000004E-2</v>
      </c>
      <c r="N10025">
        <v>133</v>
      </c>
    </row>
    <row r="10026" spans="1:14" x14ac:dyDescent="0.35">
      <c r="A10026" t="s">
        <v>230</v>
      </c>
      <c r="B10026" t="s">
        <v>372</v>
      </c>
      <c r="C10026" t="s">
        <v>1282</v>
      </c>
      <c r="D10026" s="26">
        <v>1.04E-2</v>
      </c>
      <c r="E10026" s="26">
        <v>8.09E-2</v>
      </c>
      <c r="F10026" s="26">
        <v>2.7400000000000001E-2</v>
      </c>
      <c r="G10026" s="26">
        <v>3.2800000000000003E-2</v>
      </c>
      <c r="H10026" s="26">
        <v>1.7000000000000001E-2</v>
      </c>
      <c r="I10026" s="26">
        <v>5.1999999999999998E-3</v>
      </c>
      <c r="J10026" s="26">
        <v>5.1999999999999998E-3</v>
      </c>
      <c r="M10026" s="26">
        <v>2.2200000000000001E-2</v>
      </c>
      <c r="N10026">
        <v>133</v>
      </c>
    </row>
    <row r="10027" spans="1:14" x14ac:dyDescent="0.35">
      <c r="A10027" t="s">
        <v>230</v>
      </c>
      <c r="B10027" t="s">
        <v>372</v>
      </c>
      <c r="C10027" t="s">
        <v>1281</v>
      </c>
      <c r="D10027" s="26">
        <v>0.82769999999999999</v>
      </c>
      <c r="E10027" s="26">
        <v>0.34599999999999997</v>
      </c>
      <c r="F10027" s="26">
        <v>0.78979999999999995</v>
      </c>
      <c r="G10027" s="26">
        <v>0.52359999999999995</v>
      </c>
      <c r="H10027" s="26">
        <v>0.64749999999999996</v>
      </c>
      <c r="I10027" s="26">
        <v>0.61099999999999999</v>
      </c>
      <c r="J10027" s="26">
        <v>0.81200000000000006</v>
      </c>
      <c r="K10027" s="26">
        <v>0.77410000000000001</v>
      </c>
      <c r="L10027" s="26">
        <v>0.87860000000000005</v>
      </c>
      <c r="M10027" s="26">
        <v>0.87080000000000002</v>
      </c>
      <c r="N10027">
        <v>133</v>
      </c>
    </row>
    <row r="10028" spans="1:14" x14ac:dyDescent="0.35">
      <c r="A10028" t="s">
        <v>230</v>
      </c>
      <c r="B10028" t="s">
        <v>371</v>
      </c>
      <c r="C10028" t="s">
        <v>303</v>
      </c>
      <c r="D10028" s="26">
        <v>5.45E-2</v>
      </c>
      <c r="E10028" s="26">
        <v>0.40610000000000002</v>
      </c>
      <c r="F10028" s="26">
        <v>0.1646</v>
      </c>
      <c r="G10028" s="26">
        <v>0.25719999999999998</v>
      </c>
      <c r="H10028" s="26">
        <v>1.24E-2</v>
      </c>
      <c r="I10028" s="26">
        <v>0.3392</v>
      </c>
      <c r="L10028" s="26">
        <v>9.9000000000000008E-3</v>
      </c>
      <c r="M10028" s="26">
        <v>7.4000000000000003E-3</v>
      </c>
      <c r="N10028">
        <v>238</v>
      </c>
    </row>
    <row r="10029" spans="1:14" x14ac:dyDescent="0.35">
      <c r="A10029" t="s">
        <v>230</v>
      </c>
      <c r="B10029" t="s">
        <v>371</v>
      </c>
      <c r="C10029" t="s">
        <v>1283</v>
      </c>
      <c r="D10029" s="26">
        <v>0.18920000000000001</v>
      </c>
      <c r="E10029" s="26">
        <v>0.17319999999999999</v>
      </c>
      <c r="F10029" s="26">
        <v>7.2999999999999995E-2</v>
      </c>
      <c r="G10029" s="26">
        <v>0.22570000000000001</v>
      </c>
      <c r="H10029" s="26">
        <v>0.2671</v>
      </c>
      <c r="I10029" s="26">
        <v>3.2199999999999999E-2</v>
      </c>
      <c r="J10029" s="26">
        <v>0.18429999999999999</v>
      </c>
      <c r="K10029" s="26">
        <v>0.251</v>
      </c>
      <c r="L10029" s="26">
        <v>0.21149999999999999</v>
      </c>
      <c r="M10029" s="26">
        <v>0.1459</v>
      </c>
      <c r="N10029">
        <v>238</v>
      </c>
    </row>
    <row r="10030" spans="1:14" x14ac:dyDescent="0.35">
      <c r="A10030" t="s">
        <v>230</v>
      </c>
      <c r="B10030" t="s">
        <v>371</v>
      </c>
      <c r="C10030" t="s">
        <v>1281</v>
      </c>
      <c r="D10030" s="26">
        <v>0.75629999999999997</v>
      </c>
      <c r="E10030" s="26">
        <v>0.3342</v>
      </c>
      <c r="F10030" s="26">
        <v>0.75260000000000005</v>
      </c>
      <c r="G10030" s="26">
        <v>0.51329999999999998</v>
      </c>
      <c r="H10030" s="26">
        <v>0.68089999999999995</v>
      </c>
      <c r="I10030" s="26">
        <v>0.61260000000000003</v>
      </c>
      <c r="J10030" s="26">
        <v>0.81320000000000003</v>
      </c>
      <c r="K10030" s="26">
        <v>0.74780000000000002</v>
      </c>
      <c r="L10030" s="26">
        <v>0.76990000000000003</v>
      </c>
      <c r="M10030" s="26">
        <v>0.84670000000000001</v>
      </c>
      <c r="N10030">
        <v>238</v>
      </c>
    </row>
    <row r="10031" spans="1:14" x14ac:dyDescent="0.35">
      <c r="A10031" t="s">
        <v>231</v>
      </c>
      <c r="B10031" t="s">
        <v>371</v>
      </c>
      <c r="C10031" t="s">
        <v>1281</v>
      </c>
      <c r="D10031" s="26">
        <v>0.79310000000000003</v>
      </c>
      <c r="E10031" s="26">
        <v>0.37240000000000001</v>
      </c>
      <c r="F10031" s="26">
        <v>0.78620000000000001</v>
      </c>
      <c r="G10031" s="26">
        <v>0.6028</v>
      </c>
      <c r="H10031" s="26">
        <v>0.7379</v>
      </c>
      <c r="I10031" s="26">
        <v>0.62070000000000003</v>
      </c>
      <c r="J10031" s="26">
        <v>0.78620000000000001</v>
      </c>
      <c r="K10031" s="26">
        <v>0.77929999999999999</v>
      </c>
      <c r="L10031" s="26">
        <v>0.84140000000000004</v>
      </c>
      <c r="M10031" s="26">
        <v>0.90339999999999998</v>
      </c>
      <c r="N10031">
        <v>145</v>
      </c>
    </row>
    <row r="10032" spans="1:14" x14ac:dyDescent="0.35">
      <c r="A10032" t="s">
        <v>231</v>
      </c>
      <c r="B10032" t="s">
        <v>371</v>
      </c>
      <c r="C10032" t="s">
        <v>1282</v>
      </c>
      <c r="D10032" s="26">
        <v>2.07E-2</v>
      </c>
      <c r="E10032" s="26">
        <v>4.8300000000000003E-2</v>
      </c>
      <c r="F10032" s="26">
        <v>1.38E-2</v>
      </c>
      <c r="G10032" s="26">
        <v>7.1000000000000004E-3</v>
      </c>
      <c r="H10032" s="26">
        <v>2.76E-2</v>
      </c>
      <c r="I10032" s="26">
        <v>6.8999999999999999E-3</v>
      </c>
      <c r="J10032" s="26">
        <v>6.8999999999999999E-3</v>
      </c>
      <c r="K10032" s="26">
        <v>1.38E-2</v>
      </c>
      <c r="L10032" s="26">
        <v>6.8999999999999999E-3</v>
      </c>
      <c r="N10032">
        <v>145</v>
      </c>
    </row>
    <row r="10033" spans="1:14" x14ac:dyDescent="0.35">
      <c r="A10033" t="s">
        <v>231</v>
      </c>
      <c r="B10033" t="s">
        <v>371</v>
      </c>
      <c r="C10033" t="s">
        <v>1283</v>
      </c>
      <c r="D10033" s="26">
        <v>0.13789999999999999</v>
      </c>
      <c r="E10033" s="26">
        <v>0.13100000000000001</v>
      </c>
      <c r="F10033" s="26">
        <v>2.07E-2</v>
      </c>
      <c r="G10033" s="26">
        <v>0.21279999999999999</v>
      </c>
      <c r="H10033" s="26">
        <v>0.2276</v>
      </c>
      <c r="I10033" s="26">
        <v>4.8300000000000003E-2</v>
      </c>
      <c r="J10033" s="26">
        <v>0.2</v>
      </c>
      <c r="K10033" s="26">
        <v>0.2069</v>
      </c>
      <c r="L10033" s="26">
        <v>0.1172</v>
      </c>
      <c r="M10033" s="26">
        <v>7.5899999999999995E-2</v>
      </c>
      <c r="N10033">
        <v>145</v>
      </c>
    </row>
    <row r="10034" spans="1:14" x14ac:dyDescent="0.35">
      <c r="A10034" t="s">
        <v>231</v>
      </c>
      <c r="B10034" t="s">
        <v>371</v>
      </c>
      <c r="C10034" t="s">
        <v>303</v>
      </c>
      <c r="D10034" s="26">
        <v>4.8300000000000003E-2</v>
      </c>
      <c r="E10034" s="26">
        <v>0.44829999999999998</v>
      </c>
      <c r="F10034" s="26">
        <v>0.17929999999999999</v>
      </c>
      <c r="G10034" s="26">
        <v>0.17730000000000001</v>
      </c>
      <c r="H10034" s="26">
        <v>6.8999999999999999E-3</v>
      </c>
      <c r="I10034" s="26">
        <v>0.3241</v>
      </c>
      <c r="J10034" s="26">
        <v>6.8999999999999999E-3</v>
      </c>
      <c r="L10034" s="26">
        <v>3.4500000000000003E-2</v>
      </c>
      <c r="M10034" s="26">
        <v>2.07E-2</v>
      </c>
      <c r="N10034">
        <v>145</v>
      </c>
    </row>
    <row r="10035" spans="1:14" x14ac:dyDescent="0.35">
      <c r="A10035" t="s">
        <v>232</v>
      </c>
      <c r="B10035" t="s">
        <v>232</v>
      </c>
      <c r="C10035" t="s">
        <v>1282</v>
      </c>
      <c r="D10035" s="26">
        <v>2.1100000000000001E-2</v>
      </c>
      <c r="E10035" s="26">
        <v>6.2899999999999998E-2</v>
      </c>
      <c r="F10035" s="26">
        <v>1.17E-2</v>
      </c>
      <c r="G10035" s="26">
        <v>1.9599999999999999E-2</v>
      </c>
      <c r="H10035" s="26">
        <v>2.63E-2</v>
      </c>
      <c r="I10035" s="26">
        <v>7.3000000000000001E-3</v>
      </c>
      <c r="J10035" s="26">
        <v>5.8999999999999999E-3</v>
      </c>
      <c r="K10035" s="26">
        <v>1.14E-2</v>
      </c>
      <c r="L10035" s="26">
        <v>3.0000000000000001E-3</v>
      </c>
      <c r="M10035" s="26">
        <v>4.0000000000000002E-4</v>
      </c>
      <c r="N10035">
        <v>2546</v>
      </c>
    </row>
    <row r="10036" spans="1:14" x14ac:dyDescent="0.35">
      <c r="A10036" t="s">
        <v>232</v>
      </c>
      <c r="B10036" t="s">
        <v>232</v>
      </c>
      <c r="C10036" t="s">
        <v>1283</v>
      </c>
      <c r="D10036" s="26">
        <v>0.12759999999999999</v>
      </c>
      <c r="E10036" s="26">
        <v>0.1409</v>
      </c>
      <c r="F10036" s="26">
        <v>4.8899999999999999E-2</v>
      </c>
      <c r="G10036" s="26">
        <v>0.2019</v>
      </c>
      <c r="H10036" s="26">
        <v>0.2152</v>
      </c>
      <c r="I10036" s="26">
        <v>4.0599999999999997E-2</v>
      </c>
      <c r="J10036" s="26">
        <v>0.1648</v>
      </c>
      <c r="K10036" s="26">
        <v>0.2019</v>
      </c>
      <c r="L10036" s="26">
        <v>0.14050000000000001</v>
      </c>
      <c r="M10036" s="26">
        <v>9.2600000000000002E-2</v>
      </c>
      <c r="N10036">
        <v>2546</v>
      </c>
    </row>
    <row r="10037" spans="1:14" x14ac:dyDescent="0.35">
      <c r="A10037" t="s">
        <v>232</v>
      </c>
      <c r="B10037" t="s">
        <v>232</v>
      </c>
      <c r="C10037" t="s">
        <v>1281</v>
      </c>
      <c r="D10037" s="26">
        <v>0.81079999999999997</v>
      </c>
      <c r="E10037" s="26">
        <v>0.38419999999999999</v>
      </c>
      <c r="F10037" s="26">
        <v>0.80230000000000001</v>
      </c>
      <c r="G10037" s="26">
        <v>0.60229999999999995</v>
      </c>
      <c r="H10037" s="26">
        <v>0.74029999999999996</v>
      </c>
      <c r="I10037" s="26">
        <v>0.63570000000000004</v>
      </c>
      <c r="J10037" s="26">
        <v>0.82030000000000003</v>
      </c>
      <c r="K10037" s="26">
        <v>0.78349999999999997</v>
      </c>
      <c r="L10037" s="26">
        <v>0.83460000000000001</v>
      </c>
      <c r="M10037" s="26">
        <v>0.89729999999999999</v>
      </c>
      <c r="N10037">
        <v>2546</v>
      </c>
    </row>
    <row r="10038" spans="1:14" x14ac:dyDescent="0.35">
      <c r="A10038" t="s">
        <v>232</v>
      </c>
      <c r="B10038" t="s">
        <v>232</v>
      </c>
      <c r="C10038" t="s">
        <v>303</v>
      </c>
      <c r="D10038" s="26">
        <v>4.0599999999999997E-2</v>
      </c>
      <c r="E10038" s="26">
        <v>0.41199999999999998</v>
      </c>
      <c r="F10038" s="26">
        <v>0.1371</v>
      </c>
      <c r="G10038" s="26">
        <v>0.17610000000000001</v>
      </c>
      <c r="H10038" s="26">
        <v>1.8200000000000001E-2</v>
      </c>
      <c r="I10038" s="26">
        <v>0.31640000000000001</v>
      </c>
      <c r="J10038" s="26">
        <v>8.9999999999999993E-3</v>
      </c>
      <c r="K10038" s="26">
        <v>3.2000000000000002E-3</v>
      </c>
      <c r="L10038" s="26">
        <v>2.1899999999999999E-2</v>
      </c>
      <c r="M10038" s="26">
        <v>9.7000000000000003E-3</v>
      </c>
      <c r="N10038">
        <v>2546</v>
      </c>
    </row>
    <row r="10040" spans="1:14" x14ac:dyDescent="0.35">
      <c r="A10040" s="1" t="s">
        <v>1309</v>
      </c>
    </row>
    <row r="10041" spans="1:14" x14ac:dyDescent="0.35">
      <c r="A10041" t="s">
        <v>219</v>
      </c>
      <c r="B10041" t="s">
        <v>305</v>
      </c>
      <c r="C10041" t="s">
        <v>1285</v>
      </c>
      <c r="D10041" t="s">
        <v>1286</v>
      </c>
      <c r="E10041" t="s">
        <v>1287</v>
      </c>
      <c r="F10041" t="s">
        <v>1288</v>
      </c>
      <c r="G10041" t="s">
        <v>1289</v>
      </c>
      <c r="H10041" t="s">
        <v>281</v>
      </c>
      <c r="I10041" t="s">
        <v>226</v>
      </c>
    </row>
    <row r="10042" spans="1:14" x14ac:dyDescent="0.35">
      <c r="A10042" t="s">
        <v>227</v>
      </c>
      <c r="B10042" t="s">
        <v>371</v>
      </c>
      <c r="C10042" s="26">
        <v>0.36919999999999997</v>
      </c>
      <c r="D10042" s="26">
        <v>0.41539999999999999</v>
      </c>
      <c r="E10042" s="26">
        <v>0.2462</v>
      </c>
      <c r="F10042" s="26">
        <v>0.1231</v>
      </c>
      <c r="G10042" s="26">
        <v>0.1231</v>
      </c>
      <c r="I10042">
        <v>65</v>
      </c>
    </row>
    <row r="10043" spans="1:14" x14ac:dyDescent="0.35">
      <c r="A10043" t="s">
        <v>228</v>
      </c>
      <c r="B10043" t="s">
        <v>371</v>
      </c>
      <c r="C10043" s="26">
        <v>0.39460000000000001</v>
      </c>
      <c r="D10043" s="26">
        <v>0.39900000000000002</v>
      </c>
      <c r="E10043" s="26">
        <v>0.34610000000000002</v>
      </c>
      <c r="F10043" s="26">
        <v>0.1244</v>
      </c>
      <c r="G10043" s="26">
        <v>9.7199999999999995E-2</v>
      </c>
      <c r="H10043" s="26">
        <v>5.0999999999999997E-2</v>
      </c>
      <c r="I10043">
        <v>153</v>
      </c>
    </row>
    <row r="10044" spans="1:14" x14ac:dyDescent="0.35">
      <c r="A10044" t="s">
        <v>228</v>
      </c>
      <c r="B10044" t="s">
        <v>372</v>
      </c>
      <c r="C10044" s="26">
        <v>0.57799999999999996</v>
      </c>
      <c r="D10044" s="26">
        <v>0.70679999999999998</v>
      </c>
      <c r="E10044" s="26">
        <v>0.24660000000000001</v>
      </c>
      <c r="F10044" s="26">
        <v>7.6100000000000001E-2</v>
      </c>
      <c r="G10044" s="26">
        <v>5.62E-2</v>
      </c>
      <c r="H10044" s="26">
        <v>3.1E-2</v>
      </c>
      <c r="I10044">
        <v>128</v>
      </c>
    </row>
    <row r="10045" spans="1:14" x14ac:dyDescent="0.35">
      <c r="A10045" t="s">
        <v>228</v>
      </c>
      <c r="B10045" t="s">
        <v>373</v>
      </c>
      <c r="C10045" s="26">
        <v>0.50229999999999997</v>
      </c>
      <c r="D10045" s="26">
        <v>0.51219999999999999</v>
      </c>
      <c r="E10045" s="26">
        <v>0.32919999999999999</v>
      </c>
      <c r="F10045" s="26">
        <v>7.2400000000000006E-2</v>
      </c>
      <c r="G10045" s="26">
        <v>6.2100000000000002E-2</v>
      </c>
      <c r="H10045" s="26">
        <v>1.72E-2</v>
      </c>
      <c r="I10045">
        <v>273</v>
      </c>
    </row>
    <row r="10046" spans="1:14" x14ac:dyDescent="0.35">
      <c r="A10046" t="s">
        <v>229</v>
      </c>
      <c r="B10046" t="s">
        <v>371</v>
      </c>
      <c r="C10046" s="26">
        <v>0.48699999999999999</v>
      </c>
      <c r="D10046" s="26">
        <v>0.44009999999999999</v>
      </c>
      <c r="E10046" s="26">
        <v>0.36270000000000002</v>
      </c>
      <c r="F10046" s="26">
        <v>8.7800000000000003E-2</v>
      </c>
      <c r="G10046" s="26">
        <v>0.11020000000000001</v>
      </c>
      <c r="H10046" s="26">
        <v>4.2700000000000002E-2</v>
      </c>
      <c r="I10046">
        <v>278</v>
      </c>
    </row>
    <row r="10047" spans="1:14" x14ac:dyDescent="0.35">
      <c r="A10047" t="s">
        <v>229</v>
      </c>
      <c r="B10047" t="s">
        <v>372</v>
      </c>
      <c r="C10047" s="26">
        <v>0.41060000000000002</v>
      </c>
      <c r="D10047" s="26">
        <v>0.46489999999999998</v>
      </c>
      <c r="E10047" s="26">
        <v>0.37819999999999998</v>
      </c>
      <c r="F10047" s="26">
        <v>9.7299999999999998E-2</v>
      </c>
      <c r="G10047" s="26">
        <v>7.7499999999999999E-2</v>
      </c>
      <c r="H10047" s="26">
        <v>3.0800000000000001E-2</v>
      </c>
      <c r="I10047">
        <v>115</v>
      </c>
    </row>
    <row r="10048" spans="1:14" x14ac:dyDescent="0.35">
      <c r="A10048" t="s">
        <v>229</v>
      </c>
      <c r="B10048" t="s">
        <v>373</v>
      </c>
      <c r="C10048" s="26">
        <v>0.30640000000000001</v>
      </c>
      <c r="D10048" s="26">
        <v>0.45390000000000003</v>
      </c>
      <c r="E10048" s="26">
        <v>0.1739</v>
      </c>
      <c r="F10048" s="26">
        <v>0.25659999999999999</v>
      </c>
      <c r="G10048" s="26">
        <v>7.5300000000000006E-2</v>
      </c>
      <c r="H10048" s="26">
        <v>0.1082</v>
      </c>
      <c r="I10048">
        <v>34</v>
      </c>
    </row>
    <row r="10049" spans="1:14" x14ac:dyDescent="0.35">
      <c r="A10049" t="s">
        <v>230</v>
      </c>
      <c r="B10049" t="s">
        <v>371</v>
      </c>
      <c r="C10049" s="26">
        <v>0.47589999999999999</v>
      </c>
      <c r="D10049" s="26">
        <v>0.4758</v>
      </c>
      <c r="E10049" s="26">
        <v>0.34010000000000001</v>
      </c>
      <c r="F10049" s="26">
        <v>0.1245</v>
      </c>
      <c r="G10049" s="26">
        <v>0.1245</v>
      </c>
      <c r="H10049" s="26">
        <v>4.0899999999999999E-2</v>
      </c>
      <c r="I10049">
        <v>158</v>
      </c>
    </row>
    <row r="10050" spans="1:14" x14ac:dyDescent="0.35">
      <c r="A10050" t="s">
        <v>230</v>
      </c>
      <c r="B10050" t="s">
        <v>372</v>
      </c>
      <c r="C10050" s="26">
        <v>0.41160000000000002</v>
      </c>
      <c r="D10050" s="26">
        <v>0.40910000000000002</v>
      </c>
      <c r="E10050" s="26">
        <v>0.35859999999999997</v>
      </c>
      <c r="F10050" s="26">
        <v>5.0500000000000003E-2</v>
      </c>
      <c r="G10050" s="26">
        <v>2.0199999999999999E-2</v>
      </c>
      <c r="H10050" s="26">
        <v>2.0199999999999999E-2</v>
      </c>
      <c r="I10050">
        <v>72</v>
      </c>
    </row>
    <row r="10051" spans="1:14" x14ac:dyDescent="0.35">
      <c r="A10051" t="s">
        <v>230</v>
      </c>
      <c r="B10051" t="s">
        <v>373</v>
      </c>
      <c r="C10051" s="26">
        <v>0.51100000000000001</v>
      </c>
      <c r="D10051" s="26">
        <v>0.442</v>
      </c>
      <c r="E10051" s="26">
        <v>0.27100000000000002</v>
      </c>
      <c r="F10051" s="26">
        <v>0.1144</v>
      </c>
      <c r="G10051" s="26">
        <v>7.8299999999999995E-2</v>
      </c>
      <c r="H10051" s="26">
        <v>1.5699999999999999E-2</v>
      </c>
      <c r="I10051">
        <v>68</v>
      </c>
    </row>
    <row r="10052" spans="1:14" x14ac:dyDescent="0.35">
      <c r="A10052" t="s">
        <v>231</v>
      </c>
      <c r="B10052" t="s">
        <v>371</v>
      </c>
      <c r="C10052" s="26">
        <v>0.48749999999999999</v>
      </c>
      <c r="D10052" s="26">
        <v>0.47499999999999998</v>
      </c>
      <c r="E10052" s="26">
        <v>0.3125</v>
      </c>
      <c r="F10052" s="26">
        <v>7.4999999999999997E-2</v>
      </c>
      <c r="G10052" s="26">
        <v>7.4999999999999997E-2</v>
      </c>
      <c r="H10052" s="26">
        <v>3.7499999999999999E-2</v>
      </c>
      <c r="I10052">
        <v>80</v>
      </c>
    </row>
    <row r="10053" spans="1:14" x14ac:dyDescent="0.35">
      <c r="A10053" t="s">
        <v>232</v>
      </c>
      <c r="B10053" t="s">
        <v>232</v>
      </c>
      <c r="C10053" s="26">
        <v>0.46189999999999998</v>
      </c>
      <c r="D10053" s="26">
        <v>0.45610000000000001</v>
      </c>
      <c r="E10053" s="26">
        <v>0.32429999999999998</v>
      </c>
      <c r="F10053" s="26">
        <v>9.6000000000000002E-2</v>
      </c>
      <c r="G10053" s="26">
        <v>9.6000000000000002E-2</v>
      </c>
      <c r="H10053" s="26">
        <v>3.4500000000000003E-2</v>
      </c>
      <c r="I10053">
        <v>1424</v>
      </c>
    </row>
    <row r="10055" spans="1:14" x14ac:dyDescent="0.35">
      <c r="A10055" s="1" t="s">
        <v>1310</v>
      </c>
    </row>
    <row r="10056" spans="1:14" x14ac:dyDescent="0.35">
      <c r="A10056" t="s">
        <v>219</v>
      </c>
      <c r="B10056" t="s">
        <v>305</v>
      </c>
      <c r="C10056" t="s">
        <v>1270</v>
      </c>
      <c r="D10056" t="s">
        <v>1271</v>
      </c>
      <c r="E10056" t="s">
        <v>1272</v>
      </c>
      <c r="F10056" t="s">
        <v>1273</v>
      </c>
      <c r="G10056" t="s">
        <v>1274</v>
      </c>
      <c r="H10056" t="s">
        <v>1275</v>
      </c>
      <c r="I10056" t="s">
        <v>1276</v>
      </c>
      <c r="J10056" t="s">
        <v>1277</v>
      </c>
      <c r="K10056" t="s">
        <v>1278</v>
      </c>
      <c r="L10056" t="s">
        <v>1279</v>
      </c>
      <c r="M10056" t="s">
        <v>1280</v>
      </c>
      <c r="N10056" t="s">
        <v>964</v>
      </c>
    </row>
    <row r="10057" spans="1:14" x14ac:dyDescent="0.35">
      <c r="A10057" t="s">
        <v>227</v>
      </c>
      <c r="B10057" t="s">
        <v>255</v>
      </c>
      <c r="C10057" t="s">
        <v>1281</v>
      </c>
      <c r="D10057" s="26">
        <v>0.79630000000000001</v>
      </c>
      <c r="E10057" s="26">
        <v>0.37959999999999999</v>
      </c>
      <c r="F10057" s="26">
        <v>0.87039999999999995</v>
      </c>
      <c r="G10057" s="26">
        <v>0.60189999999999999</v>
      </c>
      <c r="H10057" s="26">
        <v>0.71299999999999997</v>
      </c>
      <c r="I10057" s="26">
        <v>0.66669999999999996</v>
      </c>
      <c r="J10057" s="26">
        <v>0.75929999999999997</v>
      </c>
      <c r="K10057" s="26">
        <v>0.74070000000000003</v>
      </c>
      <c r="L10057" s="26">
        <v>0.77780000000000005</v>
      </c>
      <c r="M10057" s="26">
        <v>0.86109999999999998</v>
      </c>
      <c r="N10057">
        <v>108</v>
      </c>
    </row>
    <row r="10058" spans="1:14" x14ac:dyDescent="0.35">
      <c r="A10058" s="27" t="s">
        <v>227</v>
      </c>
      <c r="B10058" s="27" t="s">
        <v>257</v>
      </c>
      <c r="C10058" s="27" t="s">
        <v>1283</v>
      </c>
      <c r="D10058" s="28">
        <v>0.22220000000000001</v>
      </c>
      <c r="E10058" s="29"/>
      <c r="F10058" s="28">
        <v>0.1111</v>
      </c>
      <c r="G10058" s="28">
        <v>0.33329999999999999</v>
      </c>
      <c r="H10058" s="28">
        <v>0.1111</v>
      </c>
      <c r="I10058" s="28">
        <v>0.1111</v>
      </c>
      <c r="J10058" s="28">
        <v>0.1111</v>
      </c>
      <c r="K10058" s="28">
        <v>0.22220000000000001</v>
      </c>
      <c r="L10058" s="28">
        <v>0.1111</v>
      </c>
      <c r="M10058" s="28">
        <v>0.1111</v>
      </c>
      <c r="N10058" s="29">
        <v>9</v>
      </c>
    </row>
    <row r="10059" spans="1:14" x14ac:dyDescent="0.35">
      <c r="A10059" t="s">
        <v>227</v>
      </c>
      <c r="B10059" t="s">
        <v>256</v>
      </c>
      <c r="C10059" t="s">
        <v>303</v>
      </c>
      <c r="D10059" s="26">
        <v>3.1199999999999999E-2</v>
      </c>
      <c r="E10059" s="26">
        <v>0.375</v>
      </c>
      <c r="F10059" s="26">
        <v>0.15620000000000001</v>
      </c>
      <c r="G10059" s="26">
        <v>0.1875</v>
      </c>
      <c r="I10059" s="26">
        <v>0.3125</v>
      </c>
      <c r="J10059" s="26">
        <v>3.1199999999999999E-2</v>
      </c>
      <c r="K10059" s="26">
        <v>3.1199999999999999E-2</v>
      </c>
      <c r="N10059">
        <v>32</v>
      </c>
    </row>
    <row r="10060" spans="1:14" x14ac:dyDescent="0.35">
      <c r="A10060" t="s">
        <v>227</v>
      </c>
      <c r="B10060" t="s">
        <v>256</v>
      </c>
      <c r="C10060" t="s">
        <v>1283</v>
      </c>
      <c r="D10060" s="26">
        <v>9.3799999999999994E-2</v>
      </c>
      <c r="E10060" s="26">
        <v>9.3799999999999994E-2</v>
      </c>
      <c r="G10060" s="26">
        <v>6.25E-2</v>
      </c>
      <c r="H10060" s="26">
        <v>9.3799999999999994E-2</v>
      </c>
      <c r="I10060" s="26">
        <v>3.1199999999999999E-2</v>
      </c>
      <c r="J10060" s="26">
        <v>3.1199999999999999E-2</v>
      </c>
      <c r="K10060" s="26">
        <v>0.21879999999999999</v>
      </c>
      <c r="L10060" s="26">
        <v>9.3799999999999994E-2</v>
      </c>
      <c r="M10060" s="26">
        <v>6.25E-2</v>
      </c>
      <c r="N10060">
        <v>32</v>
      </c>
    </row>
    <row r="10061" spans="1:14" x14ac:dyDescent="0.35">
      <c r="A10061" t="s">
        <v>227</v>
      </c>
      <c r="B10061" t="s">
        <v>256</v>
      </c>
      <c r="C10061" t="s">
        <v>1282</v>
      </c>
      <c r="D10061" s="26">
        <v>3.1199999999999999E-2</v>
      </c>
      <c r="E10061" s="26">
        <v>0.15620000000000001</v>
      </c>
      <c r="F10061" s="26">
        <v>3.1199999999999999E-2</v>
      </c>
      <c r="G10061" s="26">
        <v>6.25E-2</v>
      </c>
      <c r="N10061">
        <v>32</v>
      </c>
    </row>
    <row r="10062" spans="1:14" x14ac:dyDescent="0.35">
      <c r="A10062" s="27" t="s">
        <v>227</v>
      </c>
      <c r="B10062" s="27" t="s">
        <v>257</v>
      </c>
      <c r="C10062" s="27" t="s">
        <v>1281</v>
      </c>
      <c r="D10062" s="28">
        <v>0.77780000000000005</v>
      </c>
      <c r="E10062" s="28">
        <v>0.44440000000000002</v>
      </c>
      <c r="F10062" s="28">
        <v>0.88890000000000002</v>
      </c>
      <c r="G10062" s="28">
        <v>0.44440000000000002</v>
      </c>
      <c r="H10062" s="28">
        <v>0.77780000000000005</v>
      </c>
      <c r="I10062" s="28">
        <v>0.66669999999999996</v>
      </c>
      <c r="J10062" s="28">
        <v>0.88890000000000002</v>
      </c>
      <c r="K10062" s="28">
        <v>0.77780000000000005</v>
      </c>
      <c r="L10062" s="28">
        <v>0.88890000000000002</v>
      </c>
      <c r="M10062" s="28">
        <v>0.88890000000000002</v>
      </c>
      <c r="N10062" s="29">
        <v>9</v>
      </c>
    </row>
    <row r="10063" spans="1:14" x14ac:dyDescent="0.35">
      <c r="A10063" t="s">
        <v>227</v>
      </c>
      <c r="B10063" t="s">
        <v>255</v>
      </c>
      <c r="C10063" t="s">
        <v>303</v>
      </c>
      <c r="D10063" s="26">
        <v>1.8499999999999999E-2</v>
      </c>
      <c r="E10063" s="26">
        <v>0.37040000000000001</v>
      </c>
      <c r="F10063" s="26">
        <v>2.7799999999999998E-2</v>
      </c>
      <c r="G10063" s="26">
        <v>5.5599999999999997E-2</v>
      </c>
      <c r="H10063" s="26">
        <v>1.8499999999999999E-2</v>
      </c>
      <c r="I10063" s="26">
        <v>0.25</v>
      </c>
      <c r="N10063">
        <v>108</v>
      </c>
    </row>
    <row r="10064" spans="1:14" x14ac:dyDescent="0.35">
      <c r="A10064" t="s">
        <v>227</v>
      </c>
      <c r="B10064" t="s">
        <v>255</v>
      </c>
      <c r="C10064" t="s">
        <v>1283</v>
      </c>
      <c r="D10064" s="26">
        <v>0.16669999999999999</v>
      </c>
      <c r="E10064" s="26">
        <v>0.20369999999999999</v>
      </c>
      <c r="F10064" s="26">
        <v>8.3299999999999999E-2</v>
      </c>
      <c r="G10064" s="26">
        <v>0.28699999999999998</v>
      </c>
      <c r="H10064" s="26">
        <v>0.22220000000000001</v>
      </c>
      <c r="I10064" s="26">
        <v>8.3299999999999999E-2</v>
      </c>
      <c r="J10064" s="26">
        <v>0.22220000000000001</v>
      </c>
      <c r="K10064" s="26">
        <v>0.23150000000000001</v>
      </c>
      <c r="L10064" s="26">
        <v>0.22220000000000001</v>
      </c>
      <c r="M10064" s="26">
        <v>0.1389</v>
      </c>
      <c r="N10064">
        <v>108</v>
      </c>
    </row>
    <row r="10065" spans="1:14" x14ac:dyDescent="0.35">
      <c r="A10065" t="s">
        <v>227</v>
      </c>
      <c r="B10065" t="s">
        <v>255</v>
      </c>
      <c r="C10065" t="s">
        <v>1282</v>
      </c>
      <c r="D10065" s="26">
        <v>1.8499999999999999E-2</v>
      </c>
      <c r="E10065" s="26">
        <v>4.6300000000000001E-2</v>
      </c>
      <c r="F10065" s="26">
        <v>1.8499999999999999E-2</v>
      </c>
      <c r="G10065" s="26">
        <v>5.5599999999999997E-2</v>
      </c>
      <c r="H10065" s="26">
        <v>4.6300000000000001E-2</v>
      </c>
      <c r="J10065" s="26">
        <v>1.8499999999999999E-2</v>
      </c>
      <c r="K10065" s="26">
        <v>2.7799999999999998E-2</v>
      </c>
      <c r="N10065">
        <v>108</v>
      </c>
    </row>
    <row r="10066" spans="1:14" x14ac:dyDescent="0.35">
      <c r="A10066" t="s">
        <v>227</v>
      </c>
      <c r="B10066" t="s">
        <v>256</v>
      </c>
      <c r="C10066" t="s">
        <v>1281</v>
      </c>
      <c r="D10066" s="26">
        <v>0.84379999999999999</v>
      </c>
      <c r="E10066" s="26">
        <v>0.375</v>
      </c>
      <c r="F10066" s="26">
        <v>0.8125</v>
      </c>
      <c r="G10066" s="26">
        <v>0.6875</v>
      </c>
      <c r="H10066" s="26">
        <v>0.90620000000000001</v>
      </c>
      <c r="I10066" s="26">
        <v>0.65620000000000001</v>
      </c>
      <c r="J10066" s="26">
        <v>0.9375</v>
      </c>
      <c r="K10066" s="26">
        <v>0.75</v>
      </c>
      <c r="L10066" s="26">
        <v>0.90620000000000001</v>
      </c>
      <c r="M10066" s="26">
        <v>0.9375</v>
      </c>
      <c r="N10066">
        <v>32</v>
      </c>
    </row>
    <row r="10067" spans="1:14" x14ac:dyDescent="0.35">
      <c r="A10067" t="s">
        <v>228</v>
      </c>
      <c r="B10067" t="s">
        <v>257</v>
      </c>
      <c r="C10067" t="s">
        <v>1281</v>
      </c>
      <c r="D10067" s="26">
        <v>0.66600000000000004</v>
      </c>
      <c r="E10067" s="26">
        <v>0.36330000000000001</v>
      </c>
      <c r="F10067" s="26">
        <v>0.6623</v>
      </c>
      <c r="G10067" s="26">
        <v>0.54759999999999998</v>
      </c>
      <c r="H10067" s="26">
        <v>0.65429999999999999</v>
      </c>
      <c r="I10067" s="26">
        <v>0.70169999999999999</v>
      </c>
      <c r="J10067" s="26">
        <v>0.89480000000000004</v>
      </c>
      <c r="K10067" s="26">
        <v>0.82430000000000003</v>
      </c>
      <c r="L10067" s="26">
        <v>0.88490000000000002</v>
      </c>
      <c r="M10067" s="26">
        <v>0.94969999999999999</v>
      </c>
      <c r="N10067">
        <v>47</v>
      </c>
    </row>
    <row r="10068" spans="1:14" x14ac:dyDescent="0.35">
      <c r="A10068" s="27" t="s">
        <v>228</v>
      </c>
      <c r="B10068" s="27" t="s">
        <v>258</v>
      </c>
      <c r="C10068" s="27" t="s">
        <v>303</v>
      </c>
      <c r="D10068" s="28">
        <v>9.8100000000000007E-2</v>
      </c>
      <c r="E10068" s="28">
        <v>0.1961</v>
      </c>
      <c r="F10068" s="28">
        <v>9.8100000000000007E-2</v>
      </c>
      <c r="G10068" s="28">
        <v>0.1961</v>
      </c>
      <c r="H10068" s="29"/>
      <c r="I10068" s="28">
        <v>9.8100000000000007E-2</v>
      </c>
      <c r="J10068" s="29"/>
      <c r="K10068" s="29"/>
      <c r="L10068" s="29"/>
      <c r="M10068" s="29"/>
      <c r="N10068" s="29">
        <v>4</v>
      </c>
    </row>
    <row r="10069" spans="1:14" x14ac:dyDescent="0.35">
      <c r="A10069" s="27" t="s">
        <v>228</v>
      </c>
      <c r="B10069" s="27" t="s">
        <v>258</v>
      </c>
      <c r="C10069" s="27" t="s">
        <v>1281</v>
      </c>
      <c r="D10069" s="28">
        <v>0.90190000000000003</v>
      </c>
      <c r="E10069" s="28">
        <v>0.80389999999999995</v>
      </c>
      <c r="F10069" s="28">
        <v>0.90190000000000003</v>
      </c>
      <c r="G10069" s="28">
        <v>0.80389999999999995</v>
      </c>
      <c r="H10069" s="28">
        <v>1</v>
      </c>
      <c r="I10069" s="28">
        <v>0.90190000000000003</v>
      </c>
      <c r="J10069" s="28">
        <v>1</v>
      </c>
      <c r="K10069" s="28">
        <v>0.90190000000000003</v>
      </c>
      <c r="L10069" s="28">
        <v>1</v>
      </c>
      <c r="M10069" s="28">
        <v>1</v>
      </c>
      <c r="N10069" s="29">
        <v>4</v>
      </c>
    </row>
    <row r="10070" spans="1:14" x14ac:dyDescent="0.35">
      <c r="A10070" t="s">
        <v>228</v>
      </c>
      <c r="B10070" t="s">
        <v>257</v>
      </c>
      <c r="C10070" t="s">
        <v>303</v>
      </c>
      <c r="D10070" s="26">
        <v>0.1229</v>
      </c>
      <c r="E10070" s="26">
        <v>0.3448</v>
      </c>
      <c r="F10070" s="26">
        <v>0.2878</v>
      </c>
      <c r="G10070" s="26">
        <v>0.1522</v>
      </c>
      <c r="H10070" s="26">
        <v>0.104</v>
      </c>
      <c r="I10070" s="26">
        <v>0.28760000000000002</v>
      </c>
      <c r="J10070" s="26">
        <v>2.29E-2</v>
      </c>
      <c r="L10070" s="26">
        <v>1.0699999999999999E-2</v>
      </c>
      <c r="N10070">
        <v>47</v>
      </c>
    </row>
    <row r="10071" spans="1:14" x14ac:dyDescent="0.35">
      <c r="A10071" t="s">
        <v>228</v>
      </c>
      <c r="B10071" t="s">
        <v>257</v>
      </c>
      <c r="C10071" t="s">
        <v>1283</v>
      </c>
      <c r="D10071" s="26">
        <v>9.1899999999999996E-2</v>
      </c>
      <c r="E10071" s="26">
        <v>0.29189999999999999</v>
      </c>
      <c r="F10071" s="26">
        <v>4.9799999999999997E-2</v>
      </c>
      <c r="G10071" s="26">
        <v>0.30020000000000002</v>
      </c>
      <c r="H10071" s="26">
        <v>0.24179999999999999</v>
      </c>
      <c r="I10071" s="26">
        <v>1.0699999999999999E-2</v>
      </c>
      <c r="J10071" s="26">
        <v>8.2299999999999998E-2</v>
      </c>
      <c r="K10071" s="26">
        <v>0.1757</v>
      </c>
      <c r="L10071" s="26">
        <v>0.10440000000000001</v>
      </c>
      <c r="M10071" s="26">
        <v>5.0299999999999997E-2</v>
      </c>
      <c r="N10071">
        <v>47</v>
      </c>
    </row>
    <row r="10072" spans="1:14" x14ac:dyDescent="0.35">
      <c r="A10072" t="s">
        <v>228</v>
      </c>
      <c r="B10072" t="s">
        <v>257</v>
      </c>
      <c r="C10072" t="s">
        <v>1282</v>
      </c>
      <c r="D10072" s="26">
        <v>0.1192</v>
      </c>
      <c r="N10072">
        <v>47</v>
      </c>
    </row>
    <row r="10073" spans="1:14" x14ac:dyDescent="0.35">
      <c r="A10073" t="s">
        <v>228</v>
      </c>
      <c r="B10073" t="s">
        <v>256</v>
      </c>
      <c r="C10073" t="s">
        <v>303</v>
      </c>
      <c r="D10073" s="26">
        <v>4.48E-2</v>
      </c>
      <c r="E10073" s="26">
        <v>0.49630000000000002</v>
      </c>
      <c r="F10073" s="26">
        <v>0.2208</v>
      </c>
      <c r="G10073" s="26">
        <v>0.31040000000000001</v>
      </c>
      <c r="H10073" s="26">
        <v>2.8000000000000001E-2</v>
      </c>
      <c r="I10073" s="26">
        <v>0.23350000000000001</v>
      </c>
      <c r="J10073" s="26">
        <v>1.6000000000000001E-3</v>
      </c>
      <c r="K10073" s="26">
        <v>1.7100000000000001E-2</v>
      </c>
      <c r="L10073" s="26">
        <v>4.0300000000000002E-2</v>
      </c>
      <c r="M10073" s="26">
        <v>1.9E-3</v>
      </c>
      <c r="N10073">
        <v>198</v>
      </c>
    </row>
    <row r="10074" spans="1:14" x14ac:dyDescent="0.35">
      <c r="A10074" t="s">
        <v>228</v>
      </c>
      <c r="B10074" t="s">
        <v>256</v>
      </c>
      <c r="C10074" t="s">
        <v>1281</v>
      </c>
      <c r="D10074" s="26">
        <v>0.86219999999999997</v>
      </c>
      <c r="E10074" s="26">
        <v>0.38009999999999999</v>
      </c>
      <c r="F10074" s="26">
        <v>0.75609999999999999</v>
      </c>
      <c r="G10074" s="26">
        <v>0.62629999999999997</v>
      </c>
      <c r="H10074" s="26">
        <v>0.81159999999999999</v>
      </c>
      <c r="I10074" s="26">
        <v>0.74550000000000005</v>
      </c>
      <c r="J10074" s="26">
        <v>0.95089999999999997</v>
      </c>
      <c r="K10074" s="26">
        <v>0.87560000000000004</v>
      </c>
      <c r="L10074" s="26">
        <v>0.89990000000000003</v>
      </c>
      <c r="M10074" s="26">
        <v>0.91839999999999999</v>
      </c>
      <c r="N10074">
        <v>198</v>
      </c>
    </row>
    <row r="10075" spans="1:14" x14ac:dyDescent="0.35">
      <c r="A10075" t="s">
        <v>228</v>
      </c>
      <c r="B10075" t="s">
        <v>256</v>
      </c>
      <c r="C10075" t="s">
        <v>1282</v>
      </c>
      <c r="D10075" s="26">
        <v>4.4000000000000003E-3</v>
      </c>
      <c r="E10075" s="26">
        <v>2.7199999999999998E-2</v>
      </c>
      <c r="F10075" s="26">
        <v>6.3E-3</v>
      </c>
      <c r="G10075" s="26">
        <v>4.1999999999999997E-3</v>
      </c>
      <c r="H10075" s="26">
        <v>3.5000000000000001E-3</v>
      </c>
      <c r="I10075" s="26">
        <v>1.1000000000000001E-3</v>
      </c>
      <c r="K10075" s="26">
        <v>3.3E-3</v>
      </c>
      <c r="L10075" s="26">
        <v>5.4000000000000003E-3</v>
      </c>
      <c r="N10075">
        <v>198</v>
      </c>
    </row>
    <row r="10076" spans="1:14" x14ac:dyDescent="0.35">
      <c r="A10076" t="s">
        <v>228</v>
      </c>
      <c r="B10076" t="s">
        <v>255</v>
      </c>
      <c r="C10076" t="s">
        <v>303</v>
      </c>
      <c r="D10076" s="26">
        <v>4.1700000000000001E-2</v>
      </c>
      <c r="E10076" s="26">
        <v>0.37569999999999998</v>
      </c>
      <c r="F10076" s="26">
        <v>0.1011</v>
      </c>
      <c r="G10076" s="26">
        <v>0.1449</v>
      </c>
      <c r="H10076" s="26">
        <v>2.0899999999999998E-2</v>
      </c>
      <c r="I10076" s="26">
        <v>0.37180000000000002</v>
      </c>
      <c r="J10076" s="26">
        <v>6.3E-3</v>
      </c>
      <c r="K10076" s="26">
        <v>5.7999999999999996E-3</v>
      </c>
      <c r="L10076" s="26">
        <v>1.2699999999999999E-2</v>
      </c>
      <c r="M10076" s="26">
        <v>2.7000000000000001E-3</v>
      </c>
      <c r="N10076">
        <v>695</v>
      </c>
    </row>
    <row r="10077" spans="1:14" x14ac:dyDescent="0.35">
      <c r="A10077" t="s">
        <v>228</v>
      </c>
      <c r="B10077" t="s">
        <v>255</v>
      </c>
      <c r="C10077" t="s">
        <v>1283</v>
      </c>
      <c r="D10077" s="26">
        <v>0.12740000000000001</v>
      </c>
      <c r="E10077" s="26">
        <v>0.14219999999999999</v>
      </c>
      <c r="F10077" s="26">
        <v>6.7299999999999999E-2</v>
      </c>
      <c r="G10077" s="26">
        <v>0.21260000000000001</v>
      </c>
      <c r="H10077" s="26">
        <v>0.2099</v>
      </c>
      <c r="I10077" s="26">
        <v>3.9899999999999998E-2</v>
      </c>
      <c r="J10077" s="26">
        <v>0.19950000000000001</v>
      </c>
      <c r="K10077" s="26">
        <v>0.2051</v>
      </c>
      <c r="L10077" s="26">
        <v>0.153</v>
      </c>
      <c r="M10077" s="26">
        <v>9.4299999999999995E-2</v>
      </c>
      <c r="N10077">
        <v>695</v>
      </c>
    </row>
    <row r="10078" spans="1:14" x14ac:dyDescent="0.35">
      <c r="A10078" t="s">
        <v>228</v>
      </c>
      <c r="B10078" t="s">
        <v>255</v>
      </c>
      <c r="C10078" t="s">
        <v>1282</v>
      </c>
      <c r="D10078" s="26">
        <v>0.02</v>
      </c>
      <c r="E10078" s="26">
        <v>7.6600000000000001E-2</v>
      </c>
      <c r="F10078" s="26">
        <v>9.2999999999999992E-3</v>
      </c>
      <c r="G10078" s="26">
        <v>2.8199999999999999E-2</v>
      </c>
      <c r="H10078" s="26">
        <v>2.98E-2</v>
      </c>
      <c r="I10078" s="26">
        <v>1.26E-2</v>
      </c>
      <c r="J10078" s="26">
        <v>5.1999999999999998E-3</v>
      </c>
      <c r="K10078" s="26">
        <v>2.8E-3</v>
      </c>
      <c r="L10078" s="26">
        <v>1.2999999999999999E-3</v>
      </c>
      <c r="N10078">
        <v>695</v>
      </c>
    </row>
    <row r="10079" spans="1:14" x14ac:dyDescent="0.35">
      <c r="A10079" t="s">
        <v>228</v>
      </c>
      <c r="B10079" t="s">
        <v>255</v>
      </c>
      <c r="C10079" t="s">
        <v>1281</v>
      </c>
      <c r="D10079" s="26">
        <v>0.81079999999999997</v>
      </c>
      <c r="E10079" s="26">
        <v>0.40539999999999998</v>
      </c>
      <c r="F10079" s="26">
        <v>0.82230000000000003</v>
      </c>
      <c r="G10079" s="26">
        <v>0.61429999999999996</v>
      </c>
      <c r="H10079" s="26">
        <v>0.73939999999999995</v>
      </c>
      <c r="I10079" s="26">
        <v>0.57569999999999999</v>
      </c>
      <c r="J10079" s="26">
        <v>0.78900000000000003</v>
      </c>
      <c r="K10079" s="26">
        <v>0.78620000000000001</v>
      </c>
      <c r="L10079" s="26">
        <v>0.83299999999999996</v>
      </c>
      <c r="M10079" s="26">
        <v>0.90300000000000002</v>
      </c>
      <c r="N10079">
        <v>695</v>
      </c>
    </row>
    <row r="10080" spans="1:14" x14ac:dyDescent="0.35">
      <c r="A10080" t="s">
        <v>228</v>
      </c>
      <c r="B10080" t="s">
        <v>256</v>
      </c>
      <c r="C10080" t="s">
        <v>1283</v>
      </c>
      <c r="D10080" s="26">
        <v>8.8499999999999995E-2</v>
      </c>
      <c r="E10080" s="26">
        <v>9.6299999999999997E-2</v>
      </c>
      <c r="F10080" s="26">
        <v>1.6799999999999999E-2</v>
      </c>
      <c r="G10080" s="26">
        <v>5.91E-2</v>
      </c>
      <c r="H10080" s="26">
        <v>0.15679999999999999</v>
      </c>
      <c r="I10080" s="26">
        <v>1.9900000000000001E-2</v>
      </c>
      <c r="J10080" s="26">
        <v>4.7500000000000001E-2</v>
      </c>
      <c r="K10080" s="26">
        <v>0.104</v>
      </c>
      <c r="L10080" s="26">
        <v>5.45E-2</v>
      </c>
      <c r="M10080" s="26">
        <v>7.9699999999999993E-2</v>
      </c>
      <c r="N10080">
        <v>198</v>
      </c>
    </row>
    <row r="10081" spans="1:14" x14ac:dyDescent="0.35">
      <c r="A10081" t="s">
        <v>229</v>
      </c>
      <c r="B10081" t="s">
        <v>257</v>
      </c>
      <c r="C10081" t="s">
        <v>1282</v>
      </c>
      <c r="D10081" s="26">
        <v>2E-3</v>
      </c>
      <c r="E10081" s="26">
        <v>5.5500000000000001E-2</v>
      </c>
      <c r="F10081" s="26">
        <v>8.0199999999999994E-2</v>
      </c>
      <c r="K10081" s="26">
        <v>3.5999999999999999E-3</v>
      </c>
      <c r="M10081" s="26">
        <v>2E-3</v>
      </c>
      <c r="N10081">
        <v>40</v>
      </c>
    </row>
    <row r="10082" spans="1:14" x14ac:dyDescent="0.35">
      <c r="A10082" s="27" t="s">
        <v>229</v>
      </c>
      <c r="B10082" s="27" t="s">
        <v>258</v>
      </c>
      <c r="C10082" s="27" t="s">
        <v>1283</v>
      </c>
      <c r="D10082" s="28">
        <v>0.77590000000000003</v>
      </c>
      <c r="E10082" s="29"/>
      <c r="F10082" s="28">
        <v>0.77590000000000003</v>
      </c>
      <c r="G10082" s="28">
        <v>0.22409999999999999</v>
      </c>
      <c r="H10082" s="29"/>
      <c r="I10082" s="29"/>
      <c r="J10082" s="28">
        <v>0.77590000000000003</v>
      </c>
      <c r="K10082" s="28">
        <v>0.77590000000000003</v>
      </c>
      <c r="L10082" s="29"/>
      <c r="M10082" s="28">
        <v>0.77590000000000003</v>
      </c>
      <c r="N10082" s="29">
        <v>2</v>
      </c>
    </row>
    <row r="10083" spans="1:14" x14ac:dyDescent="0.35">
      <c r="A10083" s="27" t="s">
        <v>229</v>
      </c>
      <c r="B10083" s="27" t="s">
        <v>258</v>
      </c>
      <c r="C10083" s="27" t="s">
        <v>1281</v>
      </c>
      <c r="D10083" s="28">
        <v>0.22409999999999999</v>
      </c>
      <c r="E10083" s="29"/>
      <c r="F10083" s="28">
        <v>0.22409999999999999</v>
      </c>
      <c r="G10083" s="29"/>
      <c r="H10083" s="28">
        <v>0.22409999999999999</v>
      </c>
      <c r="I10083" s="28">
        <v>1</v>
      </c>
      <c r="J10083" s="28">
        <v>0.22409999999999999</v>
      </c>
      <c r="K10083" s="28">
        <v>0.22409999999999999</v>
      </c>
      <c r="L10083" s="28">
        <v>1</v>
      </c>
      <c r="M10083" s="28">
        <v>0.22409999999999999</v>
      </c>
      <c r="N10083" s="29">
        <v>2</v>
      </c>
    </row>
    <row r="10084" spans="1:14" x14ac:dyDescent="0.35">
      <c r="A10084" t="s">
        <v>229</v>
      </c>
      <c r="B10084" t="s">
        <v>257</v>
      </c>
      <c r="C10084" t="s">
        <v>303</v>
      </c>
      <c r="D10084" s="26">
        <v>1.4200000000000001E-2</v>
      </c>
      <c r="E10084" s="26">
        <v>0.63239999999999996</v>
      </c>
      <c r="F10084" s="26">
        <v>0.24199999999999999</v>
      </c>
      <c r="G10084" s="26">
        <v>0.36780000000000002</v>
      </c>
      <c r="H10084" s="26">
        <v>5.3499999999999999E-2</v>
      </c>
      <c r="I10084" s="26">
        <v>0.4042</v>
      </c>
      <c r="L10084" s="26">
        <v>4.1000000000000003E-3</v>
      </c>
      <c r="M10084" s="26">
        <v>6.4000000000000001E-2</v>
      </c>
      <c r="N10084">
        <v>40</v>
      </c>
    </row>
    <row r="10085" spans="1:14" x14ac:dyDescent="0.35">
      <c r="A10085" t="s">
        <v>229</v>
      </c>
      <c r="B10085" t="s">
        <v>257</v>
      </c>
      <c r="C10085" t="s">
        <v>1283</v>
      </c>
      <c r="D10085" s="26">
        <v>0.26319999999999999</v>
      </c>
      <c r="E10085" s="26">
        <v>0.13869999999999999</v>
      </c>
      <c r="F10085" s="26">
        <v>1.4200000000000001E-2</v>
      </c>
      <c r="G10085" s="26">
        <v>0.155</v>
      </c>
      <c r="H10085" s="26">
        <v>0.40410000000000001</v>
      </c>
      <c r="I10085" s="26">
        <v>6.4000000000000001E-2</v>
      </c>
      <c r="J10085" s="26">
        <v>0.18140000000000001</v>
      </c>
      <c r="K10085" s="26">
        <v>0.30980000000000002</v>
      </c>
      <c r="L10085" s="26">
        <v>0.23860000000000001</v>
      </c>
      <c r="M10085" s="26">
        <v>0.1105</v>
      </c>
      <c r="N10085">
        <v>40</v>
      </c>
    </row>
    <row r="10086" spans="1:14" x14ac:dyDescent="0.35">
      <c r="A10086" t="s">
        <v>229</v>
      </c>
      <c r="B10086" t="s">
        <v>257</v>
      </c>
      <c r="C10086" t="s">
        <v>1281</v>
      </c>
      <c r="D10086" s="26">
        <v>0.72050000000000003</v>
      </c>
      <c r="E10086" s="26">
        <v>0.1734</v>
      </c>
      <c r="F10086" s="26">
        <v>0.66349999999999998</v>
      </c>
      <c r="G10086" s="26">
        <v>0.47720000000000001</v>
      </c>
      <c r="H10086" s="26">
        <v>0.54239999999999999</v>
      </c>
      <c r="I10086" s="26">
        <v>0.53180000000000005</v>
      </c>
      <c r="J10086" s="26">
        <v>0.81859999999999999</v>
      </c>
      <c r="K10086" s="26">
        <v>0.68659999999999999</v>
      </c>
      <c r="L10086" s="26">
        <v>0.75729999999999997</v>
      </c>
      <c r="M10086" s="26">
        <v>0.82350000000000001</v>
      </c>
      <c r="N10086">
        <v>40</v>
      </c>
    </row>
    <row r="10087" spans="1:14" x14ac:dyDescent="0.35">
      <c r="A10087" t="s">
        <v>229</v>
      </c>
      <c r="B10087" t="s">
        <v>256</v>
      </c>
      <c r="C10087" t="s">
        <v>303</v>
      </c>
      <c r="D10087" s="26">
        <v>5.3999999999999999E-2</v>
      </c>
      <c r="E10087" s="26">
        <v>0.4385</v>
      </c>
      <c r="F10087" s="26">
        <v>0.15479999999999999</v>
      </c>
      <c r="G10087" s="26">
        <v>0.2676</v>
      </c>
      <c r="H10087" s="26">
        <v>3.78E-2</v>
      </c>
      <c r="I10087" s="26">
        <v>0.24149999999999999</v>
      </c>
      <c r="J10087" s="26">
        <v>4.0000000000000001E-3</v>
      </c>
      <c r="K10087" s="26">
        <v>1.2999999999999999E-3</v>
      </c>
      <c r="L10087" s="26">
        <v>3.8199999999999998E-2</v>
      </c>
      <c r="M10087" s="26">
        <v>1.0800000000000001E-2</v>
      </c>
      <c r="N10087">
        <v>182</v>
      </c>
    </row>
    <row r="10088" spans="1:14" x14ac:dyDescent="0.35">
      <c r="A10088" t="s">
        <v>229</v>
      </c>
      <c r="B10088" t="s">
        <v>256</v>
      </c>
      <c r="C10088" t="s">
        <v>1283</v>
      </c>
      <c r="D10088" s="26">
        <v>7.0900000000000005E-2</v>
      </c>
      <c r="E10088" s="26">
        <v>8.6900000000000005E-2</v>
      </c>
      <c r="F10088" s="26">
        <v>2.0299999999999999E-2</v>
      </c>
      <c r="G10088" s="26">
        <v>9.4600000000000004E-2</v>
      </c>
      <c r="H10088" s="26">
        <v>7.6799999999999993E-2</v>
      </c>
      <c r="I10088" s="26">
        <v>1.35E-2</v>
      </c>
      <c r="J10088" s="26">
        <v>3.3099999999999997E-2</v>
      </c>
      <c r="K10088" s="26">
        <v>0.13300000000000001</v>
      </c>
      <c r="L10088" s="26">
        <v>0.10489999999999999</v>
      </c>
      <c r="M10088" s="26">
        <v>6.5500000000000003E-2</v>
      </c>
      <c r="N10088">
        <v>182</v>
      </c>
    </row>
    <row r="10089" spans="1:14" x14ac:dyDescent="0.35">
      <c r="A10089" t="s">
        <v>229</v>
      </c>
      <c r="B10089" t="s">
        <v>256</v>
      </c>
      <c r="C10089" t="s">
        <v>1281</v>
      </c>
      <c r="D10089" s="26">
        <v>0.87509999999999999</v>
      </c>
      <c r="E10089" s="26">
        <v>0.4168</v>
      </c>
      <c r="F10089" s="26">
        <v>0.82420000000000004</v>
      </c>
      <c r="G10089" s="26">
        <v>0.63670000000000004</v>
      </c>
      <c r="H10089" s="26">
        <v>0.83950000000000002</v>
      </c>
      <c r="I10089" s="26">
        <v>0.7349</v>
      </c>
      <c r="J10089" s="26">
        <v>0.96279999999999999</v>
      </c>
      <c r="K10089" s="26">
        <v>0.86560000000000004</v>
      </c>
      <c r="L10089" s="26">
        <v>0.85699999999999998</v>
      </c>
      <c r="M10089" s="26">
        <v>0.92369999999999997</v>
      </c>
      <c r="N10089">
        <v>182</v>
      </c>
    </row>
    <row r="10090" spans="1:14" x14ac:dyDescent="0.35">
      <c r="A10090" t="s">
        <v>229</v>
      </c>
      <c r="B10090" t="s">
        <v>255</v>
      </c>
      <c r="C10090" t="s">
        <v>303</v>
      </c>
      <c r="D10090" s="26">
        <v>3.1399999999999997E-2</v>
      </c>
      <c r="E10090" s="26">
        <v>0.38879999999999998</v>
      </c>
      <c r="F10090" s="26">
        <v>0.1216</v>
      </c>
      <c r="G10090" s="26">
        <v>0.14949999999999999</v>
      </c>
      <c r="H10090" s="26">
        <v>1.55E-2</v>
      </c>
      <c r="I10090" s="26">
        <v>0.35670000000000002</v>
      </c>
      <c r="J10090" s="26">
        <v>2.4299999999999999E-2</v>
      </c>
      <c r="K10090" s="26">
        <v>1.6999999999999999E-3</v>
      </c>
      <c r="L10090" s="26">
        <v>2.63E-2</v>
      </c>
      <c r="M10090" s="26">
        <v>5.0000000000000001E-3</v>
      </c>
      <c r="N10090">
        <v>569</v>
      </c>
    </row>
    <row r="10091" spans="1:14" x14ac:dyDescent="0.35">
      <c r="A10091" t="s">
        <v>229</v>
      </c>
      <c r="B10091" t="s">
        <v>255</v>
      </c>
      <c r="C10091" t="s">
        <v>1283</v>
      </c>
      <c r="D10091" s="26">
        <v>9.4100000000000003E-2</v>
      </c>
      <c r="E10091" s="26">
        <v>0.1401</v>
      </c>
      <c r="F10091" s="26">
        <v>7.3999999999999996E-2</v>
      </c>
      <c r="G10091" s="26">
        <v>0.2167</v>
      </c>
      <c r="H10091" s="26">
        <v>0.25609999999999999</v>
      </c>
      <c r="I10091" s="26">
        <v>2.3300000000000001E-2</v>
      </c>
      <c r="J10091" s="26">
        <v>0.16220000000000001</v>
      </c>
      <c r="K10091" s="26">
        <v>0.2001</v>
      </c>
      <c r="L10091" s="26">
        <v>0.13039999999999999</v>
      </c>
      <c r="M10091" s="26">
        <v>8.5800000000000001E-2</v>
      </c>
      <c r="N10091">
        <v>569</v>
      </c>
    </row>
    <row r="10092" spans="1:14" x14ac:dyDescent="0.35">
      <c r="A10092" t="s">
        <v>229</v>
      </c>
      <c r="B10092" t="s">
        <v>255</v>
      </c>
      <c r="C10092" t="s">
        <v>1282</v>
      </c>
      <c r="D10092" s="26">
        <v>4.0500000000000001E-2</v>
      </c>
      <c r="E10092" s="26">
        <v>6.4500000000000002E-2</v>
      </c>
      <c r="F10092" s="26">
        <v>5.0000000000000001E-3</v>
      </c>
      <c r="G10092" s="26">
        <v>2.3699999999999999E-2</v>
      </c>
      <c r="H10092" s="26">
        <v>1.2699999999999999E-2</v>
      </c>
      <c r="I10092" s="26">
        <v>8.6E-3</v>
      </c>
      <c r="J10092" s="26">
        <v>5.4000000000000003E-3</v>
      </c>
      <c r="K10092" s="26">
        <v>0.02</v>
      </c>
      <c r="L10092" s="26">
        <v>2.9999999999999997E-4</v>
      </c>
      <c r="M10092" s="26">
        <v>1.4E-3</v>
      </c>
      <c r="N10092">
        <v>569</v>
      </c>
    </row>
    <row r="10093" spans="1:14" x14ac:dyDescent="0.35">
      <c r="A10093" t="s">
        <v>229</v>
      </c>
      <c r="B10093" t="s">
        <v>255</v>
      </c>
      <c r="C10093" t="s">
        <v>1281</v>
      </c>
      <c r="D10093" s="26">
        <v>0.83399999999999996</v>
      </c>
      <c r="E10093" s="26">
        <v>0.40660000000000002</v>
      </c>
      <c r="F10093" s="26">
        <v>0.79949999999999999</v>
      </c>
      <c r="G10093" s="26">
        <v>0.61009999999999998</v>
      </c>
      <c r="H10093" s="26">
        <v>0.7157</v>
      </c>
      <c r="I10093" s="26">
        <v>0.61140000000000005</v>
      </c>
      <c r="J10093" s="26">
        <v>0.80810000000000004</v>
      </c>
      <c r="K10093" s="26">
        <v>0.77810000000000001</v>
      </c>
      <c r="L10093" s="26">
        <v>0.84309999999999996</v>
      </c>
      <c r="M10093" s="26">
        <v>0.90780000000000005</v>
      </c>
      <c r="N10093">
        <v>569</v>
      </c>
    </row>
    <row r="10094" spans="1:14" x14ac:dyDescent="0.35">
      <c r="A10094" s="27" t="s">
        <v>230</v>
      </c>
      <c r="B10094" s="27" t="s">
        <v>258</v>
      </c>
      <c r="C10094" s="27" t="s">
        <v>1283</v>
      </c>
      <c r="D10094" s="28">
        <v>0.1356</v>
      </c>
      <c r="E10094" s="28">
        <v>0.17730000000000001</v>
      </c>
      <c r="F10094" s="28">
        <v>0.1356</v>
      </c>
      <c r="G10094" s="28">
        <v>0.1356</v>
      </c>
      <c r="H10094" s="28">
        <v>0.17730000000000001</v>
      </c>
      <c r="I10094" s="28">
        <v>0.1356</v>
      </c>
      <c r="J10094" s="28">
        <v>0.1356</v>
      </c>
      <c r="K10094" s="28">
        <v>0.95830000000000004</v>
      </c>
      <c r="L10094" s="28">
        <v>0.17730000000000001</v>
      </c>
      <c r="M10094" s="28">
        <v>0.1356</v>
      </c>
      <c r="N10094" s="29">
        <v>3</v>
      </c>
    </row>
    <row r="10095" spans="1:14" x14ac:dyDescent="0.35">
      <c r="A10095" t="s">
        <v>230</v>
      </c>
      <c r="B10095" t="s">
        <v>257</v>
      </c>
      <c r="C10095" t="s">
        <v>1283</v>
      </c>
      <c r="D10095" s="26">
        <v>0.27860000000000001</v>
      </c>
      <c r="E10095" s="26">
        <v>0.22869999999999999</v>
      </c>
      <c r="F10095" s="26">
        <v>0.10059999999999999</v>
      </c>
      <c r="G10095" s="26">
        <v>0.30959999999999999</v>
      </c>
      <c r="H10095" s="26">
        <v>0.49020000000000002</v>
      </c>
      <c r="I10095" s="26">
        <v>4.1999999999999997E-3</v>
      </c>
      <c r="J10095" s="26">
        <v>0.14149999999999999</v>
      </c>
      <c r="K10095" s="26">
        <v>0.39810000000000001</v>
      </c>
      <c r="L10095" s="26">
        <v>0.31109999999999999</v>
      </c>
      <c r="M10095" s="26">
        <v>0.30690000000000001</v>
      </c>
      <c r="N10095">
        <v>36</v>
      </c>
    </row>
    <row r="10096" spans="1:14" x14ac:dyDescent="0.35">
      <c r="A10096" t="s">
        <v>230</v>
      </c>
      <c r="B10096" t="s">
        <v>257</v>
      </c>
      <c r="C10096" t="s">
        <v>1281</v>
      </c>
      <c r="D10096" s="26">
        <v>0.72140000000000004</v>
      </c>
      <c r="E10096" s="26">
        <v>0.2661</v>
      </c>
      <c r="F10096" s="26">
        <v>0.52270000000000005</v>
      </c>
      <c r="G10096" s="26">
        <v>0.40589999999999998</v>
      </c>
      <c r="H10096" s="26">
        <v>0.50980000000000003</v>
      </c>
      <c r="I10096" s="26">
        <v>0.38030000000000003</v>
      </c>
      <c r="J10096" s="26">
        <v>0.85850000000000004</v>
      </c>
      <c r="K10096" s="26">
        <v>0.60189999999999999</v>
      </c>
      <c r="L10096" s="26">
        <v>0.68889999999999996</v>
      </c>
      <c r="M10096" s="26">
        <v>0.69310000000000005</v>
      </c>
      <c r="N10096">
        <v>36</v>
      </c>
    </row>
    <row r="10097" spans="1:14" x14ac:dyDescent="0.35">
      <c r="A10097" t="s">
        <v>230</v>
      </c>
      <c r="B10097" t="s">
        <v>256</v>
      </c>
      <c r="C10097" t="s">
        <v>303</v>
      </c>
      <c r="D10097" s="26">
        <v>0.1174</v>
      </c>
      <c r="E10097" s="26">
        <v>0.48249999999999998</v>
      </c>
      <c r="F10097" s="26">
        <v>0.26819999999999999</v>
      </c>
      <c r="G10097" s="26">
        <v>0.4224</v>
      </c>
      <c r="H10097" s="26">
        <v>3.4200000000000001E-2</v>
      </c>
      <c r="I10097" s="26">
        <v>0.30459999999999998</v>
      </c>
      <c r="L10097" s="26">
        <v>3.0300000000000001E-2</v>
      </c>
      <c r="M10097" s="26">
        <v>3.7000000000000002E-3</v>
      </c>
      <c r="N10097">
        <v>117</v>
      </c>
    </row>
    <row r="10098" spans="1:14" x14ac:dyDescent="0.35">
      <c r="A10098" t="s">
        <v>230</v>
      </c>
      <c r="B10098" t="s">
        <v>256</v>
      </c>
      <c r="C10098" t="s">
        <v>1283</v>
      </c>
      <c r="D10098" s="26">
        <v>0.1197</v>
      </c>
      <c r="E10098" s="26">
        <v>0.15429999999999999</v>
      </c>
      <c r="F10098" s="26">
        <v>2.8799999999999999E-2</v>
      </c>
      <c r="G10098" s="26">
        <v>6.4199999999999993E-2</v>
      </c>
      <c r="H10098" s="26">
        <v>0.1799</v>
      </c>
      <c r="I10098" s="26">
        <v>5.0299999999999997E-2</v>
      </c>
      <c r="J10098" s="26">
        <v>6.1600000000000002E-2</v>
      </c>
      <c r="K10098" s="26">
        <v>0.23519999999999999</v>
      </c>
      <c r="L10098" s="26">
        <v>0.13469999999999999</v>
      </c>
      <c r="M10098" s="26">
        <v>5.79E-2</v>
      </c>
      <c r="N10098">
        <v>117</v>
      </c>
    </row>
    <row r="10099" spans="1:14" x14ac:dyDescent="0.35">
      <c r="A10099" s="27" t="s">
        <v>230</v>
      </c>
      <c r="B10099" s="27" t="s">
        <v>258</v>
      </c>
      <c r="C10099" s="27" t="s">
        <v>1281</v>
      </c>
      <c r="D10099" s="28">
        <v>0.86439999999999995</v>
      </c>
      <c r="E10099" s="29"/>
      <c r="F10099" s="28">
        <v>4.1700000000000001E-2</v>
      </c>
      <c r="G10099" s="28">
        <v>4.1700000000000001E-2</v>
      </c>
      <c r="H10099" s="28">
        <v>0.82269999999999999</v>
      </c>
      <c r="I10099" s="28">
        <v>0.86439999999999995</v>
      </c>
      <c r="J10099" s="28">
        <v>0.86439999999999995</v>
      </c>
      <c r="K10099" s="28">
        <v>4.1700000000000001E-2</v>
      </c>
      <c r="L10099" s="28">
        <v>0.82269999999999999</v>
      </c>
      <c r="M10099" s="28">
        <v>0.86439999999999995</v>
      </c>
      <c r="N10099" s="29">
        <v>3</v>
      </c>
    </row>
    <row r="10100" spans="1:14" x14ac:dyDescent="0.35">
      <c r="A10100" t="s">
        <v>230</v>
      </c>
      <c r="B10100" t="s">
        <v>255</v>
      </c>
      <c r="C10100" t="s">
        <v>303</v>
      </c>
      <c r="D10100" s="26">
        <v>2.7799999999999998E-2</v>
      </c>
      <c r="E10100" s="26">
        <v>0.34649999999999997</v>
      </c>
      <c r="F10100" s="26">
        <v>6.6500000000000004E-2</v>
      </c>
      <c r="G10100" s="26">
        <v>0.1472</v>
      </c>
      <c r="H10100" s="26">
        <v>4.4999999999999997E-3</v>
      </c>
      <c r="I10100" s="26">
        <v>0.30480000000000002</v>
      </c>
      <c r="J10100" s="26">
        <v>5.0000000000000001E-4</v>
      </c>
      <c r="K10100" s="26">
        <v>1.5E-3</v>
      </c>
      <c r="L10100" s="26">
        <v>1.4E-3</v>
      </c>
      <c r="M10100" s="26">
        <v>1.35E-2</v>
      </c>
      <c r="N10100">
        <v>359</v>
      </c>
    </row>
    <row r="10101" spans="1:14" x14ac:dyDescent="0.35">
      <c r="A10101" t="s">
        <v>230</v>
      </c>
      <c r="B10101" t="s">
        <v>255</v>
      </c>
      <c r="C10101" t="s">
        <v>1283</v>
      </c>
      <c r="D10101" s="26">
        <v>0.17829999999999999</v>
      </c>
      <c r="E10101" s="26">
        <v>0.1777</v>
      </c>
      <c r="F10101" s="26">
        <v>7.7200000000000005E-2</v>
      </c>
      <c r="G10101" s="26">
        <v>0.27510000000000001</v>
      </c>
      <c r="H10101" s="26">
        <v>0.27539999999999998</v>
      </c>
      <c r="I10101" s="26">
        <v>2.75E-2</v>
      </c>
      <c r="J10101" s="26">
        <v>0.2291</v>
      </c>
      <c r="K10101" s="26">
        <v>0.21010000000000001</v>
      </c>
      <c r="L10101" s="26">
        <v>0.2036</v>
      </c>
      <c r="M10101" s="26">
        <v>0.1474</v>
      </c>
      <c r="N10101">
        <v>359</v>
      </c>
    </row>
    <row r="10102" spans="1:14" x14ac:dyDescent="0.35">
      <c r="A10102" t="s">
        <v>230</v>
      </c>
      <c r="B10102" t="s">
        <v>255</v>
      </c>
      <c r="C10102" t="s">
        <v>1282</v>
      </c>
      <c r="D10102" s="26">
        <v>6.8999999999999999E-3</v>
      </c>
      <c r="E10102" s="26">
        <v>7.3499999999999996E-2</v>
      </c>
      <c r="F10102" s="26">
        <v>1.46E-2</v>
      </c>
      <c r="G10102" s="26">
        <v>5.5999999999999999E-3</v>
      </c>
      <c r="H10102" s="26">
        <v>3.04E-2</v>
      </c>
      <c r="I10102" s="26">
        <v>1.11E-2</v>
      </c>
      <c r="J10102" s="26">
        <v>3.5000000000000001E-3</v>
      </c>
      <c r="L10102" s="26">
        <v>9.1000000000000004E-3</v>
      </c>
      <c r="M10102" s="26">
        <v>5.0000000000000001E-4</v>
      </c>
      <c r="N10102">
        <v>359</v>
      </c>
    </row>
    <row r="10103" spans="1:14" x14ac:dyDescent="0.35">
      <c r="A10103" t="s">
        <v>230</v>
      </c>
      <c r="B10103" t="s">
        <v>255</v>
      </c>
      <c r="C10103" t="s">
        <v>1281</v>
      </c>
      <c r="D10103" s="26">
        <v>0.78700000000000003</v>
      </c>
      <c r="E10103" s="26">
        <v>0.40229999999999999</v>
      </c>
      <c r="F10103" s="26">
        <v>0.8417</v>
      </c>
      <c r="G10103" s="26">
        <v>0.57210000000000005</v>
      </c>
      <c r="H10103" s="26">
        <v>0.68959999999999999</v>
      </c>
      <c r="I10103" s="26">
        <v>0.65659999999999996</v>
      </c>
      <c r="J10103" s="26">
        <v>0.76690000000000003</v>
      </c>
      <c r="K10103" s="26">
        <v>0.78839999999999999</v>
      </c>
      <c r="L10103" s="26">
        <v>0.78590000000000004</v>
      </c>
      <c r="M10103" s="26">
        <v>0.83860000000000001</v>
      </c>
      <c r="N10103">
        <v>359</v>
      </c>
    </row>
    <row r="10104" spans="1:14" x14ac:dyDescent="0.35">
      <c r="A10104" t="s">
        <v>230</v>
      </c>
      <c r="B10104" t="s">
        <v>256</v>
      </c>
      <c r="C10104" t="s">
        <v>1281</v>
      </c>
      <c r="D10104" s="26">
        <v>0.76280000000000003</v>
      </c>
      <c r="E10104" s="26">
        <v>0.25740000000000002</v>
      </c>
      <c r="F10104" s="26">
        <v>0.69540000000000002</v>
      </c>
      <c r="G10104" s="26">
        <v>0.50460000000000005</v>
      </c>
      <c r="H10104" s="26">
        <v>0.7319</v>
      </c>
      <c r="I10104" s="26">
        <v>0.64510000000000001</v>
      </c>
      <c r="J10104" s="26">
        <v>0.93840000000000001</v>
      </c>
      <c r="K10104" s="26">
        <v>0.76100000000000001</v>
      </c>
      <c r="L10104" s="26">
        <v>0.83120000000000005</v>
      </c>
      <c r="M10104" s="26">
        <v>0.93459999999999999</v>
      </c>
      <c r="N10104">
        <v>117</v>
      </c>
    </row>
    <row r="10105" spans="1:14" x14ac:dyDescent="0.35">
      <c r="A10105" s="27" t="s">
        <v>231</v>
      </c>
      <c r="B10105" s="27" t="s">
        <v>257</v>
      </c>
      <c r="C10105" s="27" t="s">
        <v>1283</v>
      </c>
      <c r="D10105" s="28">
        <v>0.28570000000000001</v>
      </c>
      <c r="E10105" s="28">
        <v>0.1429</v>
      </c>
      <c r="F10105" s="29"/>
      <c r="G10105" s="28">
        <v>0.16669999999999999</v>
      </c>
      <c r="H10105" s="28">
        <v>0.28570000000000001</v>
      </c>
      <c r="I10105" s="29"/>
      <c r="J10105" s="29"/>
      <c r="K10105" s="28">
        <v>0.28570000000000001</v>
      </c>
      <c r="L10105" s="29"/>
      <c r="M10105" s="29"/>
      <c r="N10105" s="29">
        <v>7</v>
      </c>
    </row>
    <row r="10106" spans="1:14" x14ac:dyDescent="0.35">
      <c r="A10106" s="27" t="s">
        <v>231</v>
      </c>
      <c r="B10106" s="27" t="s">
        <v>257</v>
      </c>
      <c r="C10106" s="27" t="s">
        <v>1281</v>
      </c>
      <c r="D10106" s="28">
        <v>0.71430000000000005</v>
      </c>
      <c r="E10106" s="28">
        <v>0.42859999999999998</v>
      </c>
      <c r="F10106" s="28">
        <v>0.71430000000000005</v>
      </c>
      <c r="G10106" s="28">
        <v>0.66669999999999996</v>
      </c>
      <c r="H10106" s="28">
        <v>0.71430000000000005</v>
      </c>
      <c r="I10106" s="28">
        <v>0.57140000000000002</v>
      </c>
      <c r="J10106" s="28">
        <v>1</v>
      </c>
      <c r="K10106" s="28">
        <v>0.71430000000000005</v>
      </c>
      <c r="L10106" s="28">
        <v>1</v>
      </c>
      <c r="M10106" s="28">
        <v>1</v>
      </c>
      <c r="N10106" s="29">
        <v>7</v>
      </c>
    </row>
    <row r="10107" spans="1:14" x14ac:dyDescent="0.35">
      <c r="A10107" s="27" t="s">
        <v>231</v>
      </c>
      <c r="B10107" s="27" t="s">
        <v>256</v>
      </c>
      <c r="C10107" s="27" t="s">
        <v>303</v>
      </c>
      <c r="D10107" s="28">
        <v>0.16</v>
      </c>
      <c r="E10107" s="28">
        <v>0.72</v>
      </c>
      <c r="F10107" s="28">
        <v>0.4</v>
      </c>
      <c r="G10107" s="28">
        <v>0.36</v>
      </c>
      <c r="H10107" s="28">
        <v>0.04</v>
      </c>
      <c r="I10107" s="28">
        <v>0.4</v>
      </c>
      <c r="J10107" s="28">
        <v>0.04</v>
      </c>
      <c r="K10107" s="29"/>
      <c r="L10107" s="28">
        <v>0.08</v>
      </c>
      <c r="M10107" s="29"/>
      <c r="N10107" s="29">
        <v>25</v>
      </c>
    </row>
    <row r="10108" spans="1:14" x14ac:dyDescent="0.35">
      <c r="A10108" s="27" t="s">
        <v>231</v>
      </c>
      <c r="B10108" s="27" t="s">
        <v>256</v>
      </c>
      <c r="C10108" s="27" t="s">
        <v>1283</v>
      </c>
      <c r="D10108" s="28">
        <v>0.12</v>
      </c>
      <c r="E10108" s="28">
        <v>0.08</v>
      </c>
      <c r="F10108" s="29"/>
      <c r="G10108" s="28">
        <v>0.24</v>
      </c>
      <c r="H10108" s="28">
        <v>0.32</v>
      </c>
      <c r="I10108" s="28">
        <v>0.12</v>
      </c>
      <c r="J10108" s="28">
        <v>0.12</v>
      </c>
      <c r="K10108" s="28">
        <v>0.32</v>
      </c>
      <c r="L10108" s="28">
        <v>0.12</v>
      </c>
      <c r="M10108" s="28">
        <v>0.12</v>
      </c>
      <c r="N10108" s="29">
        <v>25</v>
      </c>
    </row>
    <row r="10109" spans="1:14" x14ac:dyDescent="0.35">
      <c r="A10109" s="27" t="s">
        <v>231</v>
      </c>
      <c r="B10109" s="27" t="s">
        <v>256</v>
      </c>
      <c r="C10109" s="27" t="s">
        <v>1282</v>
      </c>
      <c r="D10109" s="28">
        <v>0.04</v>
      </c>
      <c r="E10109" s="28">
        <v>0.04</v>
      </c>
      <c r="F10109" s="29"/>
      <c r="G10109" s="28">
        <v>0.04</v>
      </c>
      <c r="H10109" s="29"/>
      <c r="I10109" s="28">
        <v>0.04</v>
      </c>
      <c r="J10109" s="29"/>
      <c r="K10109" s="29"/>
      <c r="L10109" s="29"/>
      <c r="M10109" s="29"/>
      <c r="N10109" s="29">
        <v>25</v>
      </c>
    </row>
    <row r="10110" spans="1:14" x14ac:dyDescent="0.35">
      <c r="A10110" s="27" t="s">
        <v>231</v>
      </c>
      <c r="B10110" s="27" t="s">
        <v>256</v>
      </c>
      <c r="C10110" s="27" t="s">
        <v>1281</v>
      </c>
      <c r="D10110" s="28">
        <v>0.68</v>
      </c>
      <c r="E10110" s="28">
        <v>0.16</v>
      </c>
      <c r="F10110" s="28">
        <v>0.6</v>
      </c>
      <c r="G10110" s="28">
        <v>0.36</v>
      </c>
      <c r="H10110" s="28">
        <v>0.64</v>
      </c>
      <c r="I10110" s="28">
        <v>0.44</v>
      </c>
      <c r="J10110" s="28">
        <v>0.84</v>
      </c>
      <c r="K10110" s="28">
        <v>0.68</v>
      </c>
      <c r="L10110" s="28">
        <v>0.8</v>
      </c>
      <c r="M10110" s="28">
        <v>0.88</v>
      </c>
      <c r="N10110" s="29">
        <v>25</v>
      </c>
    </row>
    <row r="10111" spans="1:14" x14ac:dyDescent="0.35">
      <c r="A10111" t="s">
        <v>231</v>
      </c>
      <c r="B10111" t="s">
        <v>255</v>
      </c>
      <c r="C10111" t="s">
        <v>1283</v>
      </c>
      <c r="D10111" s="26">
        <v>0.13270000000000001</v>
      </c>
      <c r="E10111" s="26">
        <v>0.1416</v>
      </c>
      <c r="F10111" s="26">
        <v>2.6499999999999999E-2</v>
      </c>
      <c r="G10111" s="26">
        <v>0.20910000000000001</v>
      </c>
      <c r="H10111" s="26">
        <v>0.20349999999999999</v>
      </c>
      <c r="I10111" s="26">
        <v>3.5400000000000001E-2</v>
      </c>
      <c r="J10111" s="26">
        <v>0.2301</v>
      </c>
      <c r="K10111" s="26">
        <v>0.17699999999999999</v>
      </c>
      <c r="L10111" s="26">
        <v>0.1239</v>
      </c>
      <c r="M10111" s="26">
        <v>7.0800000000000002E-2</v>
      </c>
      <c r="N10111">
        <v>113</v>
      </c>
    </row>
    <row r="10112" spans="1:14" x14ac:dyDescent="0.35">
      <c r="A10112" t="s">
        <v>231</v>
      </c>
      <c r="B10112" t="s">
        <v>255</v>
      </c>
      <c r="C10112" t="s">
        <v>1282</v>
      </c>
      <c r="D10112" s="26">
        <v>1.77E-2</v>
      </c>
      <c r="E10112" s="26">
        <v>5.3100000000000001E-2</v>
      </c>
      <c r="F10112" s="26">
        <v>1.77E-2</v>
      </c>
      <c r="H10112" s="26">
        <v>3.5400000000000001E-2</v>
      </c>
      <c r="J10112" s="26">
        <v>8.8000000000000005E-3</v>
      </c>
      <c r="K10112" s="26">
        <v>1.77E-2</v>
      </c>
      <c r="L10112" s="26">
        <v>8.8000000000000005E-3</v>
      </c>
      <c r="N10112">
        <v>113</v>
      </c>
    </row>
    <row r="10113" spans="1:14" x14ac:dyDescent="0.35">
      <c r="A10113" t="s">
        <v>231</v>
      </c>
      <c r="B10113" t="s">
        <v>255</v>
      </c>
      <c r="C10113" t="s">
        <v>1281</v>
      </c>
      <c r="D10113" s="26">
        <v>0.82299999999999995</v>
      </c>
      <c r="E10113" s="26">
        <v>0.41589999999999999</v>
      </c>
      <c r="F10113" s="26">
        <v>0.83189999999999997</v>
      </c>
      <c r="G10113" s="26">
        <v>0.65449999999999997</v>
      </c>
      <c r="H10113" s="26">
        <v>0.7611</v>
      </c>
      <c r="I10113" s="26">
        <v>0.66369999999999996</v>
      </c>
      <c r="J10113" s="26">
        <v>0.7611</v>
      </c>
      <c r="K10113" s="26">
        <v>0.80530000000000002</v>
      </c>
      <c r="L10113" s="26">
        <v>0.8407</v>
      </c>
      <c r="M10113" s="26">
        <v>0.90269999999999995</v>
      </c>
      <c r="N10113">
        <v>113</v>
      </c>
    </row>
    <row r="10114" spans="1:14" x14ac:dyDescent="0.35">
      <c r="A10114" t="s">
        <v>231</v>
      </c>
      <c r="B10114" t="s">
        <v>255</v>
      </c>
      <c r="C10114" t="s">
        <v>303</v>
      </c>
      <c r="D10114" s="26">
        <v>2.6499999999999999E-2</v>
      </c>
      <c r="E10114" s="26">
        <v>0.38940000000000002</v>
      </c>
      <c r="F10114" s="26">
        <v>0.1239</v>
      </c>
      <c r="G10114" s="26">
        <v>0.13639999999999999</v>
      </c>
      <c r="I10114" s="26">
        <v>0.3009</v>
      </c>
      <c r="L10114" s="26">
        <v>2.6499999999999999E-2</v>
      </c>
      <c r="M10114" s="26">
        <v>2.6499999999999999E-2</v>
      </c>
      <c r="N10114">
        <v>113</v>
      </c>
    </row>
    <row r="10115" spans="1:14" x14ac:dyDescent="0.35">
      <c r="A10115" t="s">
        <v>232</v>
      </c>
      <c r="B10115" t="s">
        <v>232</v>
      </c>
      <c r="C10115" t="s">
        <v>1283</v>
      </c>
      <c r="D10115" s="26">
        <v>0.12759999999999999</v>
      </c>
      <c r="E10115" s="26">
        <v>0.1409</v>
      </c>
      <c r="F10115" s="26">
        <v>4.8899999999999999E-2</v>
      </c>
      <c r="G10115" s="26">
        <v>0.2019</v>
      </c>
      <c r="H10115" s="26">
        <v>0.2152</v>
      </c>
      <c r="I10115" s="26">
        <v>4.0599999999999997E-2</v>
      </c>
      <c r="J10115" s="26">
        <v>0.1648</v>
      </c>
      <c r="K10115" s="26">
        <v>0.2019</v>
      </c>
      <c r="L10115" s="26">
        <v>0.14050000000000001</v>
      </c>
      <c r="M10115" s="26">
        <v>9.2600000000000002E-2</v>
      </c>
      <c r="N10115">
        <v>2546</v>
      </c>
    </row>
    <row r="10116" spans="1:14" x14ac:dyDescent="0.35">
      <c r="A10116" t="s">
        <v>232</v>
      </c>
      <c r="B10116" t="s">
        <v>232</v>
      </c>
      <c r="C10116" t="s">
        <v>1281</v>
      </c>
      <c r="D10116" s="26">
        <v>0.81079999999999997</v>
      </c>
      <c r="E10116" s="26">
        <v>0.38419999999999999</v>
      </c>
      <c r="F10116" s="26">
        <v>0.80230000000000001</v>
      </c>
      <c r="G10116" s="26">
        <v>0.60229999999999995</v>
      </c>
      <c r="H10116" s="26">
        <v>0.74029999999999996</v>
      </c>
      <c r="I10116" s="26">
        <v>0.63570000000000004</v>
      </c>
      <c r="J10116" s="26">
        <v>0.82030000000000003</v>
      </c>
      <c r="K10116" s="26">
        <v>0.78349999999999997</v>
      </c>
      <c r="L10116" s="26">
        <v>0.83460000000000001</v>
      </c>
      <c r="M10116" s="26">
        <v>0.89729999999999999</v>
      </c>
      <c r="N10116">
        <v>2546</v>
      </c>
    </row>
    <row r="10117" spans="1:14" x14ac:dyDescent="0.35">
      <c r="A10117" t="s">
        <v>232</v>
      </c>
      <c r="B10117" t="s">
        <v>232</v>
      </c>
      <c r="C10117" t="s">
        <v>1282</v>
      </c>
      <c r="D10117" s="26">
        <v>2.1100000000000001E-2</v>
      </c>
      <c r="E10117" s="26">
        <v>6.2899999999999998E-2</v>
      </c>
      <c r="F10117" s="26">
        <v>1.17E-2</v>
      </c>
      <c r="G10117" s="26">
        <v>1.9599999999999999E-2</v>
      </c>
      <c r="H10117" s="26">
        <v>2.63E-2</v>
      </c>
      <c r="I10117" s="26">
        <v>7.3000000000000001E-3</v>
      </c>
      <c r="J10117" s="26">
        <v>5.8999999999999999E-3</v>
      </c>
      <c r="K10117" s="26">
        <v>1.14E-2</v>
      </c>
      <c r="L10117" s="26">
        <v>3.0000000000000001E-3</v>
      </c>
      <c r="M10117" s="26">
        <v>4.0000000000000002E-4</v>
      </c>
      <c r="N10117">
        <v>2546</v>
      </c>
    </row>
    <row r="10118" spans="1:14" x14ac:dyDescent="0.35">
      <c r="A10118" t="s">
        <v>232</v>
      </c>
      <c r="B10118" t="s">
        <v>232</v>
      </c>
      <c r="C10118" t="s">
        <v>303</v>
      </c>
      <c r="D10118" s="26">
        <v>4.0599999999999997E-2</v>
      </c>
      <c r="E10118" s="26">
        <v>0.41199999999999998</v>
      </c>
      <c r="F10118" s="26">
        <v>0.1371</v>
      </c>
      <c r="G10118" s="26">
        <v>0.17610000000000001</v>
      </c>
      <c r="H10118" s="26">
        <v>1.8200000000000001E-2</v>
      </c>
      <c r="I10118" s="26">
        <v>0.31640000000000001</v>
      </c>
      <c r="J10118" s="26">
        <v>8.9999999999999993E-3</v>
      </c>
      <c r="K10118" s="26">
        <v>3.2000000000000002E-3</v>
      </c>
      <c r="L10118" s="26">
        <v>2.1899999999999999E-2</v>
      </c>
      <c r="M10118" s="26">
        <v>9.7000000000000003E-3</v>
      </c>
      <c r="N10118">
        <v>2546</v>
      </c>
    </row>
    <row r="10120" spans="1:14" x14ac:dyDescent="0.35">
      <c r="A10120" s="1" t="s">
        <v>1311</v>
      </c>
    </row>
    <row r="10121" spans="1:14" x14ac:dyDescent="0.35">
      <c r="A10121" t="s">
        <v>219</v>
      </c>
      <c r="B10121" t="s">
        <v>305</v>
      </c>
      <c r="C10121" t="s">
        <v>1285</v>
      </c>
      <c r="D10121" t="s">
        <v>1286</v>
      </c>
      <c r="E10121" t="s">
        <v>1287</v>
      </c>
      <c r="F10121" t="s">
        <v>1288</v>
      </c>
      <c r="G10121" t="s">
        <v>1289</v>
      </c>
      <c r="H10121" t="s">
        <v>281</v>
      </c>
      <c r="I10121" t="s">
        <v>226</v>
      </c>
    </row>
    <row r="10122" spans="1:14" x14ac:dyDescent="0.35">
      <c r="A10122" t="s">
        <v>227</v>
      </c>
      <c r="B10122" t="s">
        <v>255</v>
      </c>
      <c r="C10122" s="26">
        <v>0.3488</v>
      </c>
      <c r="D10122" s="26">
        <v>0.41860000000000003</v>
      </c>
      <c r="E10122" s="26">
        <v>0.27910000000000001</v>
      </c>
      <c r="F10122" s="26">
        <v>0.13950000000000001</v>
      </c>
      <c r="G10122" s="26">
        <v>2.3300000000000001E-2</v>
      </c>
      <c r="I10122">
        <v>43</v>
      </c>
    </row>
    <row r="10123" spans="1:14" x14ac:dyDescent="0.35">
      <c r="A10123" s="27" t="s">
        <v>227</v>
      </c>
      <c r="B10123" s="27" t="s">
        <v>257</v>
      </c>
      <c r="C10123" s="28">
        <v>0.5</v>
      </c>
      <c r="D10123" s="28">
        <v>0.25</v>
      </c>
      <c r="E10123" s="29"/>
      <c r="F10123" s="29"/>
      <c r="G10123" s="28">
        <v>0.5</v>
      </c>
      <c r="H10123" s="29"/>
      <c r="I10123" s="29" t="s">
        <v>337</v>
      </c>
    </row>
    <row r="10124" spans="1:14" x14ac:dyDescent="0.35">
      <c r="A10124" s="27" t="s">
        <v>227</v>
      </c>
      <c r="B10124" s="27" t="s">
        <v>256</v>
      </c>
      <c r="C10124" s="28">
        <v>0.38890000000000002</v>
      </c>
      <c r="D10124" s="28">
        <v>0.44440000000000002</v>
      </c>
      <c r="E10124" s="28">
        <v>0.22220000000000001</v>
      </c>
      <c r="F10124" s="28">
        <v>0.1111</v>
      </c>
      <c r="G10124" s="28">
        <v>0.27779999999999999</v>
      </c>
      <c r="H10124" s="29"/>
      <c r="I10124" s="29" t="s">
        <v>353</v>
      </c>
    </row>
    <row r="10125" spans="1:14" x14ac:dyDescent="0.35">
      <c r="A10125" s="27" t="s">
        <v>228</v>
      </c>
      <c r="B10125" s="27" t="s">
        <v>258</v>
      </c>
      <c r="C10125" s="28">
        <v>1</v>
      </c>
      <c r="D10125" s="28">
        <v>0.5</v>
      </c>
      <c r="E10125" s="28">
        <v>0.5</v>
      </c>
      <c r="F10125" s="29"/>
      <c r="G10125" s="29"/>
      <c r="H10125" s="29"/>
      <c r="I10125" s="29" t="s">
        <v>314</v>
      </c>
    </row>
    <row r="10126" spans="1:14" x14ac:dyDescent="0.35">
      <c r="A10126" t="s">
        <v>228</v>
      </c>
      <c r="B10126" t="s">
        <v>257</v>
      </c>
      <c r="C10126" s="26">
        <v>0.59709999999999996</v>
      </c>
      <c r="D10126" s="26">
        <v>0.31809999999999999</v>
      </c>
      <c r="E10126" s="26">
        <v>0.43769999999999998</v>
      </c>
      <c r="F10126" s="26">
        <v>0.36009999999999998</v>
      </c>
      <c r="G10126" s="26">
        <v>0.13170000000000001</v>
      </c>
      <c r="H10126" s="26">
        <v>1.3100000000000001E-2</v>
      </c>
      <c r="I10126">
        <v>32</v>
      </c>
    </row>
    <row r="10127" spans="1:14" x14ac:dyDescent="0.35">
      <c r="A10127" t="s">
        <v>228</v>
      </c>
      <c r="B10127" t="s">
        <v>256</v>
      </c>
      <c r="C10127" s="26">
        <v>0.42380000000000001</v>
      </c>
      <c r="D10127" s="26">
        <v>0.42049999999999998</v>
      </c>
      <c r="E10127" s="26">
        <v>0.34010000000000001</v>
      </c>
      <c r="F10127" s="26">
        <v>0.15060000000000001</v>
      </c>
      <c r="G10127" s="26">
        <v>0.13320000000000001</v>
      </c>
      <c r="H10127" s="26">
        <v>3.7400000000000003E-2</v>
      </c>
      <c r="I10127">
        <v>121</v>
      </c>
    </row>
    <row r="10128" spans="1:14" x14ac:dyDescent="0.35">
      <c r="A10128" t="s">
        <v>228</v>
      </c>
      <c r="B10128" t="s">
        <v>255</v>
      </c>
      <c r="C10128" s="26">
        <v>0.44669999999999999</v>
      </c>
      <c r="D10128" s="26">
        <v>0.49869999999999998</v>
      </c>
      <c r="E10128" s="26">
        <v>0.31780000000000003</v>
      </c>
      <c r="F10128" s="26">
        <v>6.2E-2</v>
      </c>
      <c r="G10128" s="26">
        <v>5.8200000000000002E-2</v>
      </c>
      <c r="H10128" s="26">
        <v>3.8699999999999998E-2</v>
      </c>
      <c r="I10128">
        <v>399</v>
      </c>
    </row>
    <row r="10129" spans="1:9" x14ac:dyDescent="0.35">
      <c r="A10129" t="s">
        <v>229</v>
      </c>
      <c r="B10129" t="s">
        <v>256</v>
      </c>
      <c r="C10129" s="26">
        <v>0.43980000000000002</v>
      </c>
      <c r="D10129" s="26">
        <v>0.30869999999999997</v>
      </c>
      <c r="E10129" s="26">
        <v>0.39789999999999998</v>
      </c>
      <c r="F10129" s="26">
        <v>0.13270000000000001</v>
      </c>
      <c r="G10129" s="26">
        <v>0.15870000000000001</v>
      </c>
      <c r="H10129" s="26">
        <v>8.3599999999999994E-2</v>
      </c>
      <c r="I10129">
        <v>104</v>
      </c>
    </row>
    <row r="10130" spans="1:9" x14ac:dyDescent="0.35">
      <c r="A10130" s="27" t="s">
        <v>229</v>
      </c>
      <c r="B10130" s="27" t="s">
        <v>258</v>
      </c>
      <c r="C10130" s="28">
        <v>0.77590000000000003</v>
      </c>
      <c r="D10130" s="28">
        <v>1</v>
      </c>
      <c r="E10130" s="28">
        <v>0.77590000000000003</v>
      </c>
      <c r="F10130" s="29"/>
      <c r="G10130" s="28">
        <v>0.77590000000000003</v>
      </c>
      <c r="H10130" s="29"/>
      <c r="I10130" s="29" t="s">
        <v>314</v>
      </c>
    </row>
    <row r="10131" spans="1:9" x14ac:dyDescent="0.35">
      <c r="A10131" t="s">
        <v>229</v>
      </c>
      <c r="B10131" t="s">
        <v>255</v>
      </c>
      <c r="C10131" s="26">
        <v>0.4945</v>
      </c>
      <c r="D10131" s="26">
        <v>0.50270000000000004</v>
      </c>
      <c r="E10131" s="26">
        <v>0.34110000000000001</v>
      </c>
      <c r="F10131" s="26">
        <v>8.1900000000000001E-2</v>
      </c>
      <c r="G10131" s="26">
        <v>8.1600000000000006E-2</v>
      </c>
      <c r="H10131" s="26">
        <v>3.1800000000000002E-2</v>
      </c>
      <c r="I10131">
        <v>293</v>
      </c>
    </row>
    <row r="10132" spans="1:9" x14ac:dyDescent="0.35">
      <c r="A10132" s="27" t="s">
        <v>229</v>
      </c>
      <c r="B10132" s="27" t="s">
        <v>257</v>
      </c>
      <c r="C10132" s="28">
        <v>0.49099999999999999</v>
      </c>
      <c r="D10132" s="28">
        <v>0.3831</v>
      </c>
      <c r="E10132" s="28">
        <v>0.3805</v>
      </c>
      <c r="F10132" s="28">
        <v>2.8400000000000002E-2</v>
      </c>
      <c r="G10132" s="28">
        <v>0.1459</v>
      </c>
      <c r="H10132" s="29"/>
      <c r="I10132" s="29" t="s">
        <v>336</v>
      </c>
    </row>
    <row r="10133" spans="1:9" x14ac:dyDescent="0.35">
      <c r="A10133" t="s">
        <v>230</v>
      </c>
      <c r="B10133" t="s">
        <v>256</v>
      </c>
      <c r="C10133" s="26">
        <v>0.42630000000000001</v>
      </c>
      <c r="D10133" s="26">
        <v>0.32240000000000002</v>
      </c>
      <c r="E10133" s="26">
        <v>0.35489999999999999</v>
      </c>
      <c r="F10133" s="26">
        <v>7.8399999999999997E-2</v>
      </c>
      <c r="G10133" s="26">
        <v>0.18770000000000001</v>
      </c>
      <c r="H10133" s="26">
        <v>4.3900000000000002E-2</v>
      </c>
      <c r="I10133">
        <v>69</v>
      </c>
    </row>
    <row r="10134" spans="1:9" x14ac:dyDescent="0.35">
      <c r="A10134" s="27" t="s">
        <v>230</v>
      </c>
      <c r="B10134" s="27" t="s">
        <v>257</v>
      </c>
      <c r="C10134" s="28">
        <v>0.69369999999999998</v>
      </c>
      <c r="D10134" s="28">
        <v>0.4143</v>
      </c>
      <c r="E10134" s="28">
        <v>0.2903</v>
      </c>
      <c r="F10134" s="28">
        <v>0.24410000000000001</v>
      </c>
      <c r="G10134" s="28">
        <v>0.15379999999999999</v>
      </c>
      <c r="H10134" s="29"/>
      <c r="I10134" s="29" t="s">
        <v>312</v>
      </c>
    </row>
    <row r="10135" spans="1:9" x14ac:dyDescent="0.35">
      <c r="A10135" t="s">
        <v>230</v>
      </c>
      <c r="B10135" t="s">
        <v>255</v>
      </c>
      <c r="C10135" s="26">
        <v>0.45879999999999999</v>
      </c>
      <c r="D10135" s="26">
        <v>0.55469999999999997</v>
      </c>
      <c r="E10135" s="26">
        <v>0.33610000000000001</v>
      </c>
      <c r="F10135" s="26">
        <v>0.1227</v>
      </c>
      <c r="G10135" s="26">
        <v>6.0499999999999998E-2</v>
      </c>
      <c r="H10135" s="26">
        <v>4.0599999999999997E-2</v>
      </c>
      <c r="I10135">
        <v>203</v>
      </c>
    </row>
    <row r="10136" spans="1:9" x14ac:dyDescent="0.35">
      <c r="A10136" s="27" t="s">
        <v>230</v>
      </c>
      <c r="B10136" s="27" t="s">
        <v>258</v>
      </c>
      <c r="C10136" s="28">
        <v>1</v>
      </c>
      <c r="D10136" s="29"/>
      <c r="E10136" s="29"/>
      <c r="F10136" s="29"/>
      <c r="G10136" s="28">
        <v>1</v>
      </c>
      <c r="H10136" s="29"/>
      <c r="I10136" s="29" t="s">
        <v>331</v>
      </c>
    </row>
    <row r="10137" spans="1:9" x14ac:dyDescent="0.35">
      <c r="A10137" s="27" t="s">
        <v>231</v>
      </c>
      <c r="B10137" s="27" t="s">
        <v>256</v>
      </c>
      <c r="C10137" s="28">
        <v>0.52170000000000005</v>
      </c>
      <c r="D10137" s="28">
        <v>0.4783</v>
      </c>
      <c r="E10137" s="28">
        <v>0.39129999999999998</v>
      </c>
      <c r="F10137" s="28">
        <v>4.3499999999999997E-2</v>
      </c>
      <c r="G10137" s="28">
        <v>0.13039999999999999</v>
      </c>
      <c r="H10137" s="28">
        <v>4.3499999999999997E-2</v>
      </c>
      <c r="I10137" s="29" t="s">
        <v>328</v>
      </c>
    </row>
    <row r="10138" spans="1:9" x14ac:dyDescent="0.35">
      <c r="A10138" s="27" t="s">
        <v>231</v>
      </c>
      <c r="B10138" s="27" t="s">
        <v>257</v>
      </c>
      <c r="C10138" s="28">
        <v>1</v>
      </c>
      <c r="D10138" s="29"/>
      <c r="E10138" s="29"/>
      <c r="F10138" s="29"/>
      <c r="G10138" s="29"/>
      <c r="H10138" s="29"/>
      <c r="I10138" s="29" t="s">
        <v>337</v>
      </c>
    </row>
    <row r="10139" spans="1:9" x14ac:dyDescent="0.35">
      <c r="A10139" t="s">
        <v>231</v>
      </c>
      <c r="B10139" t="s">
        <v>255</v>
      </c>
      <c r="C10139" s="26">
        <v>0.434</v>
      </c>
      <c r="D10139" s="26">
        <v>0.50939999999999996</v>
      </c>
      <c r="E10139" s="26">
        <v>0.3019</v>
      </c>
      <c r="F10139" s="26">
        <v>9.4299999999999995E-2</v>
      </c>
      <c r="G10139" s="26">
        <v>5.6599999999999998E-2</v>
      </c>
      <c r="H10139" s="26">
        <v>3.7699999999999997E-2</v>
      </c>
      <c r="I10139">
        <v>53</v>
      </c>
    </row>
    <row r="10140" spans="1:9" x14ac:dyDescent="0.35">
      <c r="A10140" t="s">
        <v>232</v>
      </c>
      <c r="B10140" t="s">
        <v>232</v>
      </c>
      <c r="C10140" s="26">
        <v>0.46189999999999998</v>
      </c>
      <c r="D10140" s="26">
        <v>0.45610000000000001</v>
      </c>
      <c r="E10140" s="26">
        <v>0.32429999999999998</v>
      </c>
      <c r="F10140" s="26">
        <v>9.6000000000000002E-2</v>
      </c>
      <c r="G10140" s="26">
        <v>9.6000000000000002E-2</v>
      </c>
      <c r="H10140" s="26">
        <v>3.4500000000000003E-2</v>
      </c>
      <c r="I10140">
        <v>1424</v>
      </c>
    </row>
    <row r="10142" spans="1:9" x14ac:dyDescent="0.35">
      <c r="A10142" s="1" t="s">
        <v>1312</v>
      </c>
    </row>
    <row r="10143" spans="1:9" x14ac:dyDescent="0.35">
      <c r="A10143" t="s">
        <v>219</v>
      </c>
      <c r="B10143" t="s">
        <v>1313</v>
      </c>
      <c r="C10143" t="s">
        <v>1314</v>
      </c>
      <c r="D10143" t="s">
        <v>1315</v>
      </c>
      <c r="E10143" t="s">
        <v>1316</v>
      </c>
      <c r="F10143" t="s">
        <v>226</v>
      </c>
    </row>
    <row r="10144" spans="1:9" x14ac:dyDescent="0.35">
      <c r="A10144" t="s">
        <v>227</v>
      </c>
      <c r="B10144" s="26">
        <v>0.43619999999999998</v>
      </c>
      <c r="C10144" s="26">
        <v>0.28189999999999998</v>
      </c>
      <c r="D10144" s="26">
        <v>0.255</v>
      </c>
      <c r="E10144" s="26">
        <v>2.6800000000000001E-2</v>
      </c>
      <c r="F10144">
        <v>149</v>
      </c>
    </row>
    <row r="10145" spans="1:7" x14ac:dyDescent="0.35">
      <c r="A10145" t="s">
        <v>228</v>
      </c>
      <c r="B10145" s="26">
        <v>0.34649999999999997</v>
      </c>
      <c r="C10145" s="26">
        <v>0.33729999999999999</v>
      </c>
      <c r="D10145" s="26">
        <v>0.28110000000000002</v>
      </c>
      <c r="E10145" s="26">
        <v>3.5099999999999999E-2</v>
      </c>
      <c r="F10145">
        <v>944</v>
      </c>
    </row>
    <row r="10146" spans="1:7" x14ac:dyDescent="0.35">
      <c r="A10146" t="s">
        <v>229</v>
      </c>
      <c r="B10146" s="26">
        <v>0.35339999999999999</v>
      </c>
      <c r="C10146" s="26">
        <v>0.32040000000000002</v>
      </c>
      <c r="D10146" s="26">
        <v>0.27610000000000001</v>
      </c>
      <c r="E10146" s="26">
        <v>5.0200000000000002E-2</v>
      </c>
      <c r="F10146">
        <v>793</v>
      </c>
    </row>
    <row r="10147" spans="1:7" x14ac:dyDescent="0.35">
      <c r="A10147" t="s">
        <v>230</v>
      </c>
      <c r="B10147" s="26">
        <v>0.30809999999999998</v>
      </c>
      <c r="C10147" s="26">
        <v>0.34699999999999998</v>
      </c>
      <c r="D10147" s="26">
        <v>0.31619999999999998</v>
      </c>
      <c r="E10147" s="26">
        <v>2.87E-2</v>
      </c>
      <c r="F10147">
        <v>515</v>
      </c>
    </row>
    <row r="10148" spans="1:7" x14ac:dyDescent="0.35">
      <c r="A10148" t="s">
        <v>231</v>
      </c>
      <c r="B10148" s="26">
        <v>0.33789999999999998</v>
      </c>
      <c r="C10148" s="26">
        <v>0.29659999999999997</v>
      </c>
      <c r="D10148" s="26">
        <v>0.29659999999999997</v>
      </c>
      <c r="E10148" s="26">
        <v>6.9000000000000006E-2</v>
      </c>
      <c r="F10148">
        <v>145</v>
      </c>
    </row>
    <row r="10149" spans="1:7" x14ac:dyDescent="0.35">
      <c r="A10149" t="s">
        <v>232</v>
      </c>
      <c r="B10149" s="26">
        <v>0.35639999999999999</v>
      </c>
      <c r="C10149" s="26">
        <v>0.31380000000000002</v>
      </c>
      <c r="D10149" s="26">
        <v>0.28320000000000001</v>
      </c>
      <c r="E10149" s="26">
        <v>4.6600000000000003E-2</v>
      </c>
      <c r="F10149">
        <v>2546</v>
      </c>
    </row>
    <row r="10151" spans="1:7" x14ac:dyDescent="0.35">
      <c r="A10151" s="1" t="s">
        <v>1317</v>
      </c>
    </row>
    <row r="10152" spans="1:7" x14ac:dyDescent="0.35">
      <c r="A10152" t="s">
        <v>219</v>
      </c>
      <c r="B10152" t="s">
        <v>305</v>
      </c>
      <c r="C10152" t="s">
        <v>1313</v>
      </c>
      <c r="D10152" t="s">
        <v>1314</v>
      </c>
      <c r="E10152" t="s">
        <v>1315</v>
      </c>
      <c r="F10152" t="s">
        <v>1316</v>
      </c>
      <c r="G10152" t="s">
        <v>226</v>
      </c>
    </row>
    <row r="10153" spans="1:7" x14ac:dyDescent="0.35">
      <c r="A10153" t="s">
        <v>227</v>
      </c>
      <c r="B10153" t="s">
        <v>242</v>
      </c>
      <c r="C10153" s="26">
        <v>0.3281</v>
      </c>
      <c r="D10153" s="26">
        <v>0.4219</v>
      </c>
      <c r="E10153" s="26">
        <v>0.21879999999999999</v>
      </c>
      <c r="F10153" s="26">
        <v>3.1199999999999999E-2</v>
      </c>
      <c r="G10153">
        <v>64</v>
      </c>
    </row>
    <row r="10154" spans="1:7" x14ac:dyDescent="0.35">
      <c r="A10154" t="s">
        <v>227</v>
      </c>
      <c r="B10154" t="s">
        <v>241</v>
      </c>
      <c r="C10154" s="26">
        <v>0.51759999999999995</v>
      </c>
      <c r="D10154" s="26">
        <v>0.17649999999999999</v>
      </c>
      <c r="E10154" s="26">
        <v>0.28239999999999998</v>
      </c>
      <c r="F10154" s="26">
        <v>2.35E-2</v>
      </c>
      <c r="G10154">
        <v>85</v>
      </c>
    </row>
    <row r="10155" spans="1:7" x14ac:dyDescent="0.35">
      <c r="A10155" t="s">
        <v>228</v>
      </c>
      <c r="B10155" t="s">
        <v>242</v>
      </c>
      <c r="C10155" s="26">
        <v>0.26889999999999997</v>
      </c>
      <c r="D10155" s="26">
        <v>0.41199999999999998</v>
      </c>
      <c r="E10155" s="26">
        <v>0.27500000000000002</v>
      </c>
      <c r="F10155" s="26">
        <v>4.41E-2</v>
      </c>
      <c r="G10155">
        <v>359</v>
      </c>
    </row>
    <row r="10156" spans="1:7" x14ac:dyDescent="0.35">
      <c r="A10156" t="s">
        <v>228</v>
      </c>
      <c r="B10156" t="s">
        <v>241</v>
      </c>
      <c r="C10156" s="26">
        <v>0.38929999999999998</v>
      </c>
      <c r="D10156" s="26">
        <v>0.29609999999999997</v>
      </c>
      <c r="E10156" s="26">
        <v>0.28449999999999998</v>
      </c>
      <c r="F10156" s="26">
        <v>3.0200000000000001E-2</v>
      </c>
      <c r="G10156">
        <v>585</v>
      </c>
    </row>
    <row r="10157" spans="1:7" x14ac:dyDescent="0.35">
      <c r="A10157" t="s">
        <v>229</v>
      </c>
      <c r="B10157" t="s">
        <v>242</v>
      </c>
      <c r="C10157" s="26">
        <v>0.20549999999999999</v>
      </c>
      <c r="D10157" s="26">
        <v>0.4723</v>
      </c>
      <c r="E10157" s="26">
        <v>0.2419</v>
      </c>
      <c r="F10157" s="26">
        <v>8.0299999999999996E-2</v>
      </c>
      <c r="G10157">
        <v>261</v>
      </c>
    </row>
    <row r="10158" spans="1:7" x14ac:dyDescent="0.35">
      <c r="A10158" t="s">
        <v>229</v>
      </c>
      <c r="B10158" t="s">
        <v>241</v>
      </c>
      <c r="C10158" s="26">
        <v>0.45150000000000001</v>
      </c>
      <c r="D10158" s="26">
        <v>0.21959999999999999</v>
      </c>
      <c r="E10158" s="26">
        <v>0.29870000000000002</v>
      </c>
      <c r="F10158" s="26">
        <v>3.0200000000000001E-2</v>
      </c>
      <c r="G10158">
        <v>532</v>
      </c>
    </row>
    <row r="10159" spans="1:7" x14ac:dyDescent="0.35">
      <c r="A10159" t="s">
        <v>230</v>
      </c>
      <c r="B10159" t="s">
        <v>242</v>
      </c>
      <c r="C10159" s="26">
        <v>0.2089</v>
      </c>
      <c r="D10159" s="26">
        <v>0.43440000000000001</v>
      </c>
      <c r="E10159" s="26">
        <v>0.31690000000000002</v>
      </c>
      <c r="F10159" s="26">
        <v>3.9699999999999999E-2</v>
      </c>
      <c r="G10159">
        <v>170</v>
      </c>
    </row>
    <row r="10160" spans="1:7" x14ac:dyDescent="0.35">
      <c r="A10160" t="s">
        <v>230</v>
      </c>
      <c r="B10160" t="s">
        <v>241</v>
      </c>
      <c r="C10160" s="26">
        <v>0.35949999999999999</v>
      </c>
      <c r="D10160" s="26">
        <v>0.30170000000000002</v>
      </c>
      <c r="E10160" s="26">
        <v>0.31580000000000003</v>
      </c>
      <c r="F10160" s="26">
        <v>2.3E-2</v>
      </c>
      <c r="G10160">
        <v>345</v>
      </c>
    </row>
    <row r="10161" spans="1:7" x14ac:dyDescent="0.35">
      <c r="A10161" t="s">
        <v>231</v>
      </c>
      <c r="B10161" t="s">
        <v>242</v>
      </c>
      <c r="C10161" s="26">
        <v>0.24</v>
      </c>
      <c r="D10161" s="26">
        <v>0.36</v>
      </c>
      <c r="E10161" s="26">
        <v>0.3</v>
      </c>
      <c r="F10161" s="26">
        <v>0.1</v>
      </c>
      <c r="G10161">
        <v>50</v>
      </c>
    </row>
    <row r="10162" spans="1:7" x14ac:dyDescent="0.35">
      <c r="A10162" t="s">
        <v>231</v>
      </c>
      <c r="B10162" t="s">
        <v>241</v>
      </c>
      <c r="C10162" s="26">
        <v>0.38950000000000001</v>
      </c>
      <c r="D10162" s="26">
        <v>0.26319999999999999</v>
      </c>
      <c r="E10162" s="26">
        <v>0.29470000000000002</v>
      </c>
      <c r="F10162" s="26">
        <v>5.2600000000000001E-2</v>
      </c>
      <c r="G10162">
        <v>95</v>
      </c>
    </row>
    <row r="10163" spans="1:7" x14ac:dyDescent="0.35">
      <c r="A10163" t="s">
        <v>232</v>
      </c>
      <c r="B10163" t="s">
        <v>232</v>
      </c>
      <c r="C10163" s="26">
        <v>0.35639999999999999</v>
      </c>
      <c r="D10163" s="26">
        <v>0.31380000000000002</v>
      </c>
      <c r="E10163" s="26">
        <v>0.28320000000000001</v>
      </c>
      <c r="F10163" s="26">
        <v>4.6600000000000003E-2</v>
      </c>
      <c r="G10163">
        <v>2546</v>
      </c>
    </row>
    <row r="10165" spans="1:7" x14ac:dyDescent="0.35">
      <c r="A10165" s="1" t="s">
        <v>1318</v>
      </c>
    </row>
    <row r="10166" spans="1:7" x14ac:dyDescent="0.35">
      <c r="A10166" t="s">
        <v>219</v>
      </c>
      <c r="B10166" t="s">
        <v>305</v>
      </c>
      <c r="C10166" t="s">
        <v>1313</v>
      </c>
      <c r="D10166" t="s">
        <v>1314</v>
      </c>
      <c r="E10166" t="s">
        <v>1315</v>
      </c>
      <c r="F10166" t="s">
        <v>1316</v>
      </c>
      <c r="G10166" t="s">
        <v>226</v>
      </c>
    </row>
    <row r="10167" spans="1:7" x14ac:dyDescent="0.35">
      <c r="A10167" t="s">
        <v>227</v>
      </c>
      <c r="B10167" t="s">
        <v>239</v>
      </c>
      <c r="C10167" s="26">
        <v>0.39660000000000001</v>
      </c>
      <c r="D10167" s="26">
        <v>0.3448</v>
      </c>
      <c r="E10167" s="26">
        <v>0.2069</v>
      </c>
      <c r="F10167" s="26">
        <v>5.1700000000000003E-2</v>
      </c>
      <c r="G10167">
        <v>58</v>
      </c>
    </row>
    <row r="10168" spans="1:7" x14ac:dyDescent="0.35">
      <c r="A10168" t="s">
        <v>227</v>
      </c>
      <c r="B10168" t="s">
        <v>238</v>
      </c>
      <c r="C10168" s="26">
        <v>0.46150000000000002</v>
      </c>
      <c r="D10168" s="26">
        <v>0.24179999999999999</v>
      </c>
      <c r="E10168" s="26">
        <v>0.28570000000000001</v>
      </c>
      <c r="F10168" s="26">
        <v>1.0999999999999999E-2</v>
      </c>
      <c r="G10168">
        <v>91</v>
      </c>
    </row>
    <row r="10169" spans="1:7" x14ac:dyDescent="0.35">
      <c r="A10169" t="s">
        <v>228</v>
      </c>
      <c r="B10169" t="s">
        <v>239</v>
      </c>
      <c r="C10169" s="26">
        <v>0.28870000000000001</v>
      </c>
      <c r="D10169" s="26">
        <v>0.34849999999999998</v>
      </c>
      <c r="E10169" s="26">
        <v>0.34060000000000001</v>
      </c>
      <c r="F10169" s="26">
        <v>2.2200000000000001E-2</v>
      </c>
      <c r="G10169">
        <v>301</v>
      </c>
    </row>
    <row r="10170" spans="1:7" x14ac:dyDescent="0.35">
      <c r="A10170" t="s">
        <v>228</v>
      </c>
      <c r="B10170" t="s">
        <v>238</v>
      </c>
      <c r="C10170" s="26">
        <v>0.36149999999999999</v>
      </c>
      <c r="D10170" s="26">
        <v>0.33439999999999998</v>
      </c>
      <c r="E10170" s="26">
        <v>0.2656</v>
      </c>
      <c r="F10170" s="26">
        <v>3.85E-2</v>
      </c>
      <c r="G10170">
        <v>643</v>
      </c>
    </row>
    <row r="10171" spans="1:7" x14ac:dyDescent="0.35">
      <c r="A10171" t="s">
        <v>229</v>
      </c>
      <c r="B10171" t="s">
        <v>239</v>
      </c>
      <c r="C10171" s="26">
        <v>0.29630000000000001</v>
      </c>
      <c r="D10171" s="26">
        <v>0.30159999999999998</v>
      </c>
      <c r="E10171" s="26">
        <v>0.3337</v>
      </c>
      <c r="F10171" s="26">
        <v>6.8400000000000002E-2</v>
      </c>
      <c r="G10171">
        <v>306</v>
      </c>
    </row>
    <row r="10172" spans="1:7" x14ac:dyDescent="0.35">
      <c r="A10172" t="s">
        <v>229</v>
      </c>
      <c r="B10172" t="s">
        <v>238</v>
      </c>
      <c r="C10172" s="26">
        <v>0.37409999999999999</v>
      </c>
      <c r="D10172" s="26">
        <v>0.32719999999999999</v>
      </c>
      <c r="E10172" s="26">
        <v>0.25509999999999999</v>
      </c>
      <c r="F10172" s="26">
        <v>4.3499999999999997E-2</v>
      </c>
      <c r="G10172">
        <v>487</v>
      </c>
    </row>
    <row r="10173" spans="1:7" x14ac:dyDescent="0.35">
      <c r="A10173" t="s">
        <v>230</v>
      </c>
      <c r="B10173" t="s">
        <v>239</v>
      </c>
      <c r="C10173" s="26">
        <v>0.35799999999999998</v>
      </c>
      <c r="D10173" s="26">
        <v>0.38019999999999998</v>
      </c>
      <c r="E10173" s="26">
        <v>0.22140000000000001</v>
      </c>
      <c r="F10173" s="26">
        <v>4.0399999999999998E-2</v>
      </c>
      <c r="G10173">
        <v>194</v>
      </c>
    </row>
    <row r="10174" spans="1:7" x14ac:dyDescent="0.35">
      <c r="A10174" t="s">
        <v>230</v>
      </c>
      <c r="B10174" t="s">
        <v>238</v>
      </c>
      <c r="C10174" s="26">
        <v>0.28660000000000002</v>
      </c>
      <c r="D10174" s="26">
        <v>0.33260000000000001</v>
      </c>
      <c r="E10174" s="26">
        <v>0.35709999999999997</v>
      </c>
      <c r="F10174" s="26">
        <v>2.3699999999999999E-2</v>
      </c>
      <c r="G10174">
        <v>321</v>
      </c>
    </row>
    <row r="10175" spans="1:7" x14ac:dyDescent="0.35">
      <c r="A10175" t="s">
        <v>231</v>
      </c>
      <c r="B10175" t="s">
        <v>239</v>
      </c>
      <c r="C10175" s="26">
        <v>0.2157</v>
      </c>
      <c r="D10175" s="26">
        <v>0.29409999999999997</v>
      </c>
      <c r="E10175" s="26">
        <v>0.39219999999999999</v>
      </c>
      <c r="F10175" s="26">
        <v>9.8000000000000004E-2</v>
      </c>
      <c r="G10175">
        <v>51</v>
      </c>
    </row>
    <row r="10176" spans="1:7" x14ac:dyDescent="0.35">
      <c r="A10176" t="s">
        <v>231</v>
      </c>
      <c r="B10176" t="s">
        <v>238</v>
      </c>
      <c r="C10176" s="26">
        <v>0.40429999999999999</v>
      </c>
      <c r="D10176" s="26">
        <v>0.2979</v>
      </c>
      <c r="E10176" s="26">
        <v>0.2447</v>
      </c>
      <c r="F10176" s="26">
        <v>5.3199999999999997E-2</v>
      </c>
      <c r="G10176">
        <v>94</v>
      </c>
    </row>
    <row r="10177" spans="1:7" x14ac:dyDescent="0.35">
      <c r="A10177" t="s">
        <v>232</v>
      </c>
      <c r="B10177" t="s">
        <v>232</v>
      </c>
      <c r="C10177" s="26">
        <v>0.35639999999999999</v>
      </c>
      <c r="D10177" s="26">
        <v>0.31380000000000002</v>
      </c>
      <c r="E10177" s="26">
        <v>0.28320000000000001</v>
      </c>
      <c r="F10177" s="26">
        <v>4.6600000000000003E-2</v>
      </c>
      <c r="G10177">
        <v>2546</v>
      </c>
    </row>
    <row r="10179" spans="1:7" x14ac:dyDescent="0.35">
      <c r="A10179" s="1" t="s">
        <v>1319</v>
      </c>
    </row>
    <row r="10180" spans="1:7" x14ac:dyDescent="0.35">
      <c r="A10180" t="s">
        <v>219</v>
      </c>
      <c r="B10180" t="s">
        <v>305</v>
      </c>
      <c r="C10180" t="s">
        <v>1313</v>
      </c>
      <c r="D10180" t="s">
        <v>1314</v>
      </c>
      <c r="E10180" t="s">
        <v>1315</v>
      </c>
      <c r="F10180" t="s">
        <v>1316</v>
      </c>
      <c r="G10180" t="s">
        <v>226</v>
      </c>
    </row>
    <row r="10181" spans="1:7" x14ac:dyDescent="0.35">
      <c r="A10181" t="s">
        <v>227</v>
      </c>
      <c r="B10181" t="s">
        <v>244</v>
      </c>
      <c r="C10181" s="26">
        <v>0.43680000000000002</v>
      </c>
      <c r="D10181" s="26">
        <v>0.31030000000000002</v>
      </c>
      <c r="E10181" s="26">
        <v>0.22989999999999999</v>
      </c>
      <c r="F10181" s="26">
        <v>2.3E-2</v>
      </c>
      <c r="G10181">
        <v>87</v>
      </c>
    </row>
    <row r="10182" spans="1:7" x14ac:dyDescent="0.35">
      <c r="A10182" t="s">
        <v>227</v>
      </c>
      <c r="B10182" t="s">
        <v>245</v>
      </c>
      <c r="C10182" s="26">
        <v>0.44</v>
      </c>
      <c r="D10182" s="26">
        <v>0.24</v>
      </c>
      <c r="E10182" s="26">
        <v>0.28000000000000003</v>
      </c>
      <c r="F10182" s="26">
        <v>0.04</v>
      </c>
      <c r="G10182">
        <v>50</v>
      </c>
    </row>
    <row r="10183" spans="1:7" x14ac:dyDescent="0.35">
      <c r="A10183" s="27" t="s">
        <v>227</v>
      </c>
      <c r="B10183" s="27" t="s">
        <v>246</v>
      </c>
      <c r="C10183" s="28">
        <v>0.41670000000000001</v>
      </c>
      <c r="D10183" s="28">
        <v>0.25</v>
      </c>
      <c r="E10183" s="28">
        <v>0.33329999999999999</v>
      </c>
      <c r="F10183" s="29"/>
      <c r="G10183" s="29" t="s">
        <v>342</v>
      </c>
    </row>
    <row r="10184" spans="1:7" x14ac:dyDescent="0.35">
      <c r="A10184" t="s">
        <v>228</v>
      </c>
      <c r="B10184" t="s">
        <v>244</v>
      </c>
      <c r="C10184" s="26">
        <v>0.33889999999999998</v>
      </c>
      <c r="D10184" s="26">
        <v>0.30420000000000003</v>
      </c>
      <c r="E10184" s="26">
        <v>0.314</v>
      </c>
      <c r="F10184" s="26">
        <v>4.2900000000000001E-2</v>
      </c>
      <c r="G10184">
        <v>579</v>
      </c>
    </row>
    <row r="10185" spans="1:7" x14ac:dyDescent="0.35">
      <c r="A10185" t="s">
        <v>228</v>
      </c>
      <c r="B10185" t="s">
        <v>245</v>
      </c>
      <c r="C10185" s="26">
        <v>0.38229999999999997</v>
      </c>
      <c r="D10185" s="26">
        <v>0.39829999999999999</v>
      </c>
      <c r="E10185" s="26">
        <v>0.2019</v>
      </c>
      <c r="F10185" s="26">
        <v>1.7600000000000001E-2</v>
      </c>
      <c r="G10185">
        <v>302</v>
      </c>
    </row>
    <row r="10186" spans="1:7" x14ac:dyDescent="0.35">
      <c r="A10186" t="s">
        <v>228</v>
      </c>
      <c r="B10186" t="s">
        <v>246</v>
      </c>
      <c r="C10186" s="26">
        <v>0.27260000000000001</v>
      </c>
      <c r="D10186" s="26">
        <v>0.39960000000000001</v>
      </c>
      <c r="E10186" s="26">
        <v>0.2944</v>
      </c>
      <c r="F10186" s="26">
        <v>3.3399999999999999E-2</v>
      </c>
      <c r="G10186">
        <v>63</v>
      </c>
    </row>
    <row r="10187" spans="1:7" x14ac:dyDescent="0.35">
      <c r="A10187" t="s">
        <v>229</v>
      </c>
      <c r="B10187" t="s">
        <v>244</v>
      </c>
      <c r="C10187" s="26">
        <v>0.34</v>
      </c>
      <c r="D10187" s="26">
        <v>0.32569999999999999</v>
      </c>
      <c r="E10187" s="26">
        <v>0.29599999999999999</v>
      </c>
      <c r="F10187" s="26">
        <v>3.8300000000000001E-2</v>
      </c>
      <c r="G10187">
        <v>499</v>
      </c>
    </row>
    <row r="10188" spans="1:7" x14ac:dyDescent="0.35">
      <c r="A10188" t="s">
        <v>229</v>
      </c>
      <c r="B10188" t="s">
        <v>245</v>
      </c>
      <c r="C10188" s="26">
        <v>0.40539999999999998</v>
      </c>
      <c r="D10188" s="26">
        <v>0.30459999999999998</v>
      </c>
      <c r="E10188" s="26">
        <v>0.21890000000000001</v>
      </c>
      <c r="F10188" s="26">
        <v>7.1099999999999997E-2</v>
      </c>
      <c r="G10188">
        <v>256</v>
      </c>
    </row>
    <row r="10189" spans="1:7" x14ac:dyDescent="0.35">
      <c r="A10189" t="s">
        <v>229</v>
      </c>
      <c r="B10189" t="s">
        <v>246</v>
      </c>
      <c r="C10189" s="26">
        <v>0.29249999999999998</v>
      </c>
      <c r="D10189" s="26">
        <v>0.32150000000000001</v>
      </c>
      <c r="E10189" s="26">
        <v>0.26879999999999998</v>
      </c>
      <c r="F10189" s="26">
        <v>0.1172</v>
      </c>
      <c r="G10189">
        <v>38</v>
      </c>
    </row>
    <row r="10190" spans="1:7" x14ac:dyDescent="0.35">
      <c r="A10190" t="s">
        <v>230</v>
      </c>
      <c r="B10190" t="s">
        <v>244</v>
      </c>
      <c r="C10190" s="26">
        <v>0.27329999999999999</v>
      </c>
      <c r="D10190" s="26">
        <v>0.33429999999999999</v>
      </c>
      <c r="E10190" s="26">
        <v>0.36770000000000003</v>
      </c>
      <c r="F10190" s="26">
        <v>2.4799999999999999E-2</v>
      </c>
      <c r="G10190">
        <v>338</v>
      </c>
    </row>
    <row r="10191" spans="1:7" x14ac:dyDescent="0.35">
      <c r="A10191" t="s">
        <v>230</v>
      </c>
      <c r="B10191" t="s">
        <v>245</v>
      </c>
      <c r="C10191" s="26">
        <v>0.37409999999999999</v>
      </c>
      <c r="D10191" s="26">
        <v>0.3644</v>
      </c>
      <c r="E10191" s="26">
        <v>0.22370000000000001</v>
      </c>
      <c r="F10191" s="26">
        <v>3.78E-2</v>
      </c>
      <c r="G10191">
        <v>149</v>
      </c>
    </row>
    <row r="10192" spans="1:7" x14ac:dyDescent="0.35">
      <c r="A10192" s="27" t="s">
        <v>230</v>
      </c>
      <c r="B10192" s="27" t="s">
        <v>246</v>
      </c>
      <c r="C10192" s="28">
        <v>0.45</v>
      </c>
      <c r="D10192" s="28">
        <v>0.43049999999999999</v>
      </c>
      <c r="E10192" s="28">
        <v>8.1900000000000001E-2</v>
      </c>
      <c r="F10192" s="28">
        <v>3.7600000000000001E-2</v>
      </c>
      <c r="G10192" s="29" t="s">
        <v>336</v>
      </c>
    </row>
    <row r="10193" spans="1:7" x14ac:dyDescent="0.35">
      <c r="A10193" t="s">
        <v>231</v>
      </c>
      <c r="B10193" t="s">
        <v>244</v>
      </c>
      <c r="C10193" s="26">
        <v>0.31459999999999999</v>
      </c>
      <c r="D10193" s="26">
        <v>0.3034</v>
      </c>
      <c r="E10193" s="26">
        <v>0.3034</v>
      </c>
      <c r="F10193" s="26">
        <v>7.8700000000000006E-2</v>
      </c>
      <c r="G10193">
        <v>89</v>
      </c>
    </row>
    <row r="10194" spans="1:7" x14ac:dyDescent="0.35">
      <c r="A10194" t="s">
        <v>231</v>
      </c>
      <c r="B10194" t="s">
        <v>245</v>
      </c>
      <c r="C10194" s="26">
        <v>0.42220000000000002</v>
      </c>
      <c r="D10194" s="26">
        <v>0.33329999999999999</v>
      </c>
      <c r="E10194" s="26">
        <v>0.2</v>
      </c>
      <c r="F10194" s="26">
        <v>4.4400000000000002E-2</v>
      </c>
      <c r="G10194">
        <v>45</v>
      </c>
    </row>
    <row r="10195" spans="1:7" x14ac:dyDescent="0.35">
      <c r="A10195" s="27" t="s">
        <v>231</v>
      </c>
      <c r="B10195" s="27" t="s">
        <v>246</v>
      </c>
      <c r="C10195" s="28">
        <v>0.18179999999999999</v>
      </c>
      <c r="D10195" s="28">
        <v>9.0899999999999995E-2</v>
      </c>
      <c r="E10195" s="28">
        <v>0.63639999999999997</v>
      </c>
      <c r="F10195" s="28">
        <v>9.0899999999999995E-2</v>
      </c>
      <c r="G10195" s="29" t="s">
        <v>352</v>
      </c>
    </row>
    <row r="10196" spans="1:7" x14ac:dyDescent="0.35">
      <c r="A10196" t="s">
        <v>232</v>
      </c>
      <c r="B10196" t="s">
        <v>232</v>
      </c>
      <c r="C10196" s="26">
        <v>0.35639999999999999</v>
      </c>
      <c r="D10196" s="26">
        <v>0.31380000000000002</v>
      </c>
      <c r="E10196" s="26">
        <v>0.28320000000000001</v>
      </c>
      <c r="F10196" s="26">
        <v>4.6600000000000003E-2</v>
      </c>
      <c r="G10196">
        <v>2546</v>
      </c>
    </row>
    <row r="10198" spans="1:7" x14ac:dyDescent="0.35">
      <c r="A10198" s="1" t="s">
        <v>1320</v>
      </c>
    </row>
    <row r="10199" spans="1:7" x14ac:dyDescent="0.35">
      <c r="A10199" t="s">
        <v>219</v>
      </c>
      <c r="B10199" t="s">
        <v>305</v>
      </c>
      <c r="C10199" t="s">
        <v>1313</v>
      </c>
      <c r="D10199" t="s">
        <v>1314</v>
      </c>
      <c r="E10199" t="s">
        <v>1315</v>
      </c>
      <c r="F10199" t="s">
        <v>1316</v>
      </c>
      <c r="G10199" t="s">
        <v>226</v>
      </c>
    </row>
    <row r="10200" spans="1:7" x14ac:dyDescent="0.35">
      <c r="A10200" t="s">
        <v>227</v>
      </c>
      <c r="B10200" t="s">
        <v>360</v>
      </c>
      <c r="C10200" s="26">
        <v>0.40539999999999998</v>
      </c>
      <c r="D10200" s="26">
        <v>0.29730000000000001</v>
      </c>
      <c r="E10200" s="26">
        <v>0.27029999999999998</v>
      </c>
      <c r="F10200" s="26">
        <v>2.7E-2</v>
      </c>
      <c r="G10200">
        <v>37</v>
      </c>
    </row>
    <row r="10201" spans="1:7" x14ac:dyDescent="0.35">
      <c r="A10201" t="s">
        <v>227</v>
      </c>
      <c r="B10201" t="s">
        <v>361</v>
      </c>
      <c r="C10201" s="26">
        <v>0.63329999999999997</v>
      </c>
      <c r="D10201" s="26">
        <v>0.1</v>
      </c>
      <c r="E10201" s="26">
        <v>0.26669999999999999</v>
      </c>
      <c r="G10201">
        <v>30</v>
      </c>
    </row>
    <row r="10202" spans="1:7" x14ac:dyDescent="0.35">
      <c r="A10202" t="s">
        <v>227</v>
      </c>
      <c r="B10202" t="s">
        <v>362</v>
      </c>
      <c r="C10202" s="26">
        <v>0.4</v>
      </c>
      <c r="D10202" s="26">
        <v>0.42859999999999998</v>
      </c>
      <c r="E10202" s="26">
        <v>0.1143</v>
      </c>
      <c r="F10202" s="26">
        <v>5.7099999999999998E-2</v>
      </c>
      <c r="G10202">
        <v>35</v>
      </c>
    </row>
    <row r="10203" spans="1:7" x14ac:dyDescent="0.35">
      <c r="A10203" t="s">
        <v>227</v>
      </c>
      <c r="B10203" t="s">
        <v>363</v>
      </c>
      <c r="C10203" s="26">
        <v>0.32500000000000001</v>
      </c>
      <c r="D10203" s="26">
        <v>0.32500000000000001</v>
      </c>
      <c r="E10203" s="26">
        <v>0.32500000000000001</v>
      </c>
      <c r="F10203" s="26">
        <v>2.5000000000000001E-2</v>
      </c>
      <c r="G10203">
        <v>40</v>
      </c>
    </row>
    <row r="10204" spans="1:7" x14ac:dyDescent="0.35">
      <c r="A10204" t="s">
        <v>228</v>
      </c>
      <c r="B10204" t="s">
        <v>360</v>
      </c>
      <c r="C10204" s="26">
        <v>0.31119999999999998</v>
      </c>
      <c r="D10204" s="26">
        <v>0.42699999999999999</v>
      </c>
      <c r="E10204" s="26">
        <v>0.24909999999999999</v>
      </c>
      <c r="F10204" s="26">
        <v>1.2699999999999999E-2</v>
      </c>
      <c r="G10204">
        <v>232</v>
      </c>
    </row>
    <row r="10205" spans="1:7" x14ac:dyDescent="0.35">
      <c r="A10205" t="s">
        <v>228</v>
      </c>
      <c r="B10205" t="s">
        <v>361</v>
      </c>
      <c r="C10205" s="26">
        <v>0.40820000000000001</v>
      </c>
      <c r="D10205" s="26">
        <v>0.26929999999999998</v>
      </c>
      <c r="E10205" s="26">
        <v>0.25369999999999998</v>
      </c>
      <c r="F10205" s="26">
        <v>6.88E-2</v>
      </c>
      <c r="G10205">
        <v>181</v>
      </c>
    </row>
    <row r="10206" spans="1:7" x14ac:dyDescent="0.35">
      <c r="A10206" t="s">
        <v>228</v>
      </c>
      <c r="B10206" t="s">
        <v>363</v>
      </c>
      <c r="C10206" s="26">
        <v>0.30549999999999999</v>
      </c>
      <c r="D10206" s="26">
        <v>0.31890000000000002</v>
      </c>
      <c r="E10206" s="26">
        <v>0.32829999999999998</v>
      </c>
      <c r="F10206" s="26">
        <v>4.7199999999999999E-2</v>
      </c>
      <c r="G10206">
        <v>195</v>
      </c>
    </row>
    <row r="10207" spans="1:7" x14ac:dyDescent="0.35">
      <c r="A10207" t="s">
        <v>228</v>
      </c>
      <c r="B10207" t="s">
        <v>362</v>
      </c>
      <c r="C10207" s="26">
        <v>0.30880000000000002</v>
      </c>
      <c r="D10207" s="26">
        <v>0.36580000000000001</v>
      </c>
      <c r="E10207" s="26">
        <v>0.31130000000000002</v>
      </c>
      <c r="F10207" s="26">
        <v>1.41E-2</v>
      </c>
      <c r="G10207">
        <v>213</v>
      </c>
    </row>
    <row r="10208" spans="1:7" x14ac:dyDescent="0.35">
      <c r="A10208" t="s">
        <v>229</v>
      </c>
      <c r="B10208" t="s">
        <v>363</v>
      </c>
      <c r="C10208" s="26">
        <v>0.3216</v>
      </c>
      <c r="D10208" s="26">
        <v>0.32869999999999999</v>
      </c>
      <c r="E10208" s="26">
        <v>0.26490000000000002</v>
      </c>
      <c r="F10208" s="26">
        <v>8.48E-2</v>
      </c>
      <c r="G10208">
        <v>170</v>
      </c>
    </row>
    <row r="10209" spans="1:7" x14ac:dyDescent="0.35">
      <c r="A10209" t="s">
        <v>229</v>
      </c>
      <c r="B10209" t="s">
        <v>360</v>
      </c>
      <c r="C10209" s="26">
        <v>0.2218</v>
      </c>
      <c r="D10209" s="26">
        <v>0.51170000000000004</v>
      </c>
      <c r="E10209" s="26">
        <v>0.21940000000000001</v>
      </c>
      <c r="F10209" s="26">
        <v>4.7100000000000003E-2</v>
      </c>
      <c r="G10209">
        <v>148</v>
      </c>
    </row>
    <row r="10210" spans="1:7" x14ac:dyDescent="0.35">
      <c r="A10210" t="s">
        <v>229</v>
      </c>
      <c r="B10210" t="s">
        <v>361</v>
      </c>
      <c r="C10210" s="26">
        <v>0.46039999999999998</v>
      </c>
      <c r="D10210" s="26">
        <v>0.23100000000000001</v>
      </c>
      <c r="E10210" s="26">
        <v>0.27810000000000001</v>
      </c>
      <c r="F10210" s="26">
        <v>3.0499999999999999E-2</v>
      </c>
      <c r="G10210">
        <v>216</v>
      </c>
    </row>
    <row r="10211" spans="1:7" x14ac:dyDescent="0.35">
      <c r="A10211" t="s">
        <v>229</v>
      </c>
      <c r="B10211" t="s">
        <v>362</v>
      </c>
      <c r="C10211" s="26">
        <v>0.21290000000000001</v>
      </c>
      <c r="D10211" s="26">
        <v>0.3881</v>
      </c>
      <c r="E10211" s="26">
        <v>0.35820000000000002</v>
      </c>
      <c r="F10211" s="26">
        <v>4.0899999999999999E-2</v>
      </c>
      <c r="G10211">
        <v>147</v>
      </c>
    </row>
    <row r="10212" spans="1:7" x14ac:dyDescent="0.35">
      <c r="A10212" t="s">
        <v>230</v>
      </c>
      <c r="B10212" t="s">
        <v>360</v>
      </c>
      <c r="C10212" s="26">
        <v>0.26550000000000001</v>
      </c>
      <c r="D10212" s="26">
        <v>0.54310000000000003</v>
      </c>
      <c r="E10212" s="26">
        <v>0.1671</v>
      </c>
      <c r="F10212" s="26">
        <v>2.4400000000000002E-2</v>
      </c>
      <c r="G10212">
        <v>106</v>
      </c>
    </row>
    <row r="10213" spans="1:7" x14ac:dyDescent="0.35">
      <c r="A10213" t="s">
        <v>230</v>
      </c>
      <c r="B10213" t="s">
        <v>363</v>
      </c>
      <c r="C10213" s="26">
        <v>0.2535</v>
      </c>
      <c r="D10213" s="26">
        <v>0.44729999999999998</v>
      </c>
      <c r="E10213" s="26">
        <v>0.2888</v>
      </c>
      <c r="F10213" s="26">
        <v>1.04E-2</v>
      </c>
      <c r="G10213">
        <v>118</v>
      </c>
    </row>
    <row r="10214" spans="1:7" x14ac:dyDescent="0.35">
      <c r="A10214" t="s">
        <v>230</v>
      </c>
      <c r="B10214" t="s">
        <v>361</v>
      </c>
      <c r="C10214" s="26">
        <v>0.47439999999999999</v>
      </c>
      <c r="D10214" s="26">
        <v>8.3299999999999999E-2</v>
      </c>
      <c r="E10214" s="26">
        <v>0.44240000000000002</v>
      </c>
      <c r="G10214">
        <v>98</v>
      </c>
    </row>
    <row r="10215" spans="1:7" x14ac:dyDescent="0.35">
      <c r="A10215" t="s">
        <v>230</v>
      </c>
      <c r="B10215" t="s">
        <v>362</v>
      </c>
      <c r="C10215" s="26">
        <v>0.19889999999999999</v>
      </c>
      <c r="D10215" s="26">
        <v>0.40910000000000002</v>
      </c>
      <c r="E10215" s="26">
        <v>0.33679999999999999</v>
      </c>
      <c r="F10215" s="26">
        <v>5.5199999999999999E-2</v>
      </c>
      <c r="G10215">
        <v>141</v>
      </c>
    </row>
    <row r="10216" spans="1:7" x14ac:dyDescent="0.35">
      <c r="A10216" s="27" t="s">
        <v>231</v>
      </c>
      <c r="B10216" s="27" t="s">
        <v>362</v>
      </c>
      <c r="C10216" s="28">
        <v>0.2</v>
      </c>
      <c r="D10216" s="28">
        <v>0.36</v>
      </c>
      <c r="E10216" s="28">
        <v>0.36</v>
      </c>
      <c r="F10216" s="28">
        <v>0.08</v>
      </c>
      <c r="G10216" s="29" t="s">
        <v>312</v>
      </c>
    </row>
    <row r="10217" spans="1:7" x14ac:dyDescent="0.35">
      <c r="A10217" t="s">
        <v>231</v>
      </c>
      <c r="B10217" t="s">
        <v>361</v>
      </c>
      <c r="C10217" s="26">
        <v>0.42549999999999999</v>
      </c>
      <c r="D10217" s="26">
        <v>0.27660000000000001</v>
      </c>
      <c r="E10217" s="26">
        <v>0.23400000000000001</v>
      </c>
      <c r="F10217" s="26">
        <v>6.3799999999999996E-2</v>
      </c>
      <c r="G10217">
        <v>47</v>
      </c>
    </row>
    <row r="10218" spans="1:7" x14ac:dyDescent="0.35">
      <c r="A10218" t="s">
        <v>231</v>
      </c>
      <c r="B10218" t="s">
        <v>360</v>
      </c>
      <c r="C10218" s="26">
        <v>0.27029999999999998</v>
      </c>
      <c r="D10218" s="26">
        <v>0.27029999999999998</v>
      </c>
      <c r="E10218" s="26">
        <v>0.35139999999999999</v>
      </c>
      <c r="F10218" s="26">
        <v>0.1081</v>
      </c>
      <c r="G10218">
        <v>37</v>
      </c>
    </row>
    <row r="10219" spans="1:7" x14ac:dyDescent="0.35">
      <c r="A10219" s="27" t="s">
        <v>231</v>
      </c>
      <c r="B10219" s="27" t="s">
        <v>363</v>
      </c>
      <c r="C10219" s="28">
        <v>0.45450000000000002</v>
      </c>
      <c r="D10219" s="28">
        <v>0.2273</v>
      </c>
      <c r="E10219" s="28">
        <v>0.2727</v>
      </c>
      <c r="F10219" s="28">
        <v>4.5499999999999999E-2</v>
      </c>
      <c r="G10219" s="29" t="s">
        <v>347</v>
      </c>
    </row>
    <row r="10220" spans="1:7" x14ac:dyDescent="0.35">
      <c r="A10220" t="s">
        <v>232</v>
      </c>
      <c r="B10220" t="s">
        <v>232</v>
      </c>
      <c r="C10220" s="26">
        <v>0.35639999999999999</v>
      </c>
      <c r="D10220" s="26">
        <v>0.31380000000000002</v>
      </c>
      <c r="E10220" s="26">
        <v>0.28320000000000001</v>
      </c>
      <c r="F10220" s="26">
        <v>4.6600000000000003E-2</v>
      </c>
      <c r="G10220">
        <v>2238</v>
      </c>
    </row>
    <row r="10222" spans="1:7" x14ac:dyDescent="0.35">
      <c r="A10222" s="1" t="s">
        <v>1321</v>
      </c>
    </row>
    <row r="10223" spans="1:7" x14ac:dyDescent="0.35">
      <c r="A10223" t="s">
        <v>219</v>
      </c>
      <c r="B10223" t="s">
        <v>305</v>
      </c>
      <c r="C10223" t="s">
        <v>1313</v>
      </c>
      <c r="D10223" t="s">
        <v>1314</v>
      </c>
      <c r="E10223" t="s">
        <v>1315</v>
      </c>
      <c r="F10223" t="s">
        <v>1316</v>
      </c>
      <c r="G10223" t="s">
        <v>226</v>
      </c>
    </row>
    <row r="10224" spans="1:7" x14ac:dyDescent="0.35">
      <c r="A10224" t="s">
        <v>227</v>
      </c>
      <c r="B10224" t="s">
        <v>267</v>
      </c>
      <c r="C10224" s="26">
        <v>0.4194</v>
      </c>
      <c r="D10224" s="26">
        <v>0.3548</v>
      </c>
      <c r="E10224" s="26">
        <v>0.19350000000000001</v>
      </c>
      <c r="F10224" s="26">
        <v>3.2300000000000002E-2</v>
      </c>
      <c r="G10224">
        <v>31</v>
      </c>
    </row>
    <row r="10225" spans="1:7" x14ac:dyDescent="0.35">
      <c r="A10225" t="s">
        <v>227</v>
      </c>
      <c r="B10225" t="s">
        <v>266</v>
      </c>
      <c r="C10225" s="26">
        <v>0.42370000000000002</v>
      </c>
      <c r="D10225" s="26">
        <v>0.25419999999999998</v>
      </c>
      <c r="E10225" s="26">
        <v>0.30509999999999998</v>
      </c>
      <c r="F10225" s="26">
        <v>1.6899999999999998E-2</v>
      </c>
      <c r="G10225">
        <v>59</v>
      </c>
    </row>
    <row r="10226" spans="1:7" x14ac:dyDescent="0.35">
      <c r="A10226" t="s">
        <v>227</v>
      </c>
      <c r="B10226" t="s">
        <v>265</v>
      </c>
      <c r="C10226" s="26">
        <v>0.45760000000000001</v>
      </c>
      <c r="D10226" s="26">
        <v>0.2712</v>
      </c>
      <c r="E10226" s="26">
        <v>0.23730000000000001</v>
      </c>
      <c r="F10226" s="26">
        <v>3.39E-2</v>
      </c>
      <c r="G10226">
        <v>59</v>
      </c>
    </row>
    <row r="10227" spans="1:7" x14ac:dyDescent="0.35">
      <c r="A10227" t="s">
        <v>228</v>
      </c>
      <c r="B10227" t="s">
        <v>267</v>
      </c>
      <c r="C10227" s="26">
        <v>0.48170000000000002</v>
      </c>
      <c r="D10227" s="26">
        <v>0.20469999999999999</v>
      </c>
      <c r="E10227" s="26">
        <v>0.27560000000000001</v>
      </c>
      <c r="F10227" s="26">
        <v>3.7999999999999999E-2</v>
      </c>
      <c r="G10227">
        <v>179</v>
      </c>
    </row>
    <row r="10228" spans="1:7" x14ac:dyDescent="0.35">
      <c r="A10228" t="s">
        <v>228</v>
      </c>
      <c r="B10228" t="s">
        <v>265</v>
      </c>
      <c r="C10228" s="26">
        <v>0.31369999999999998</v>
      </c>
      <c r="D10228" s="26">
        <v>0.31230000000000002</v>
      </c>
      <c r="E10228" s="26">
        <v>0.3226</v>
      </c>
      <c r="F10228" s="26">
        <v>5.1299999999999998E-2</v>
      </c>
      <c r="G10228">
        <v>343</v>
      </c>
    </row>
    <row r="10229" spans="1:7" x14ac:dyDescent="0.35">
      <c r="A10229" s="27" t="s">
        <v>228</v>
      </c>
      <c r="B10229" s="27" t="s">
        <v>236</v>
      </c>
      <c r="C10229" s="29"/>
      <c r="D10229" s="28">
        <v>1</v>
      </c>
      <c r="E10229" s="29"/>
      <c r="F10229" s="29"/>
      <c r="G10229" s="29" t="s">
        <v>331</v>
      </c>
    </row>
    <row r="10230" spans="1:7" x14ac:dyDescent="0.35">
      <c r="A10230" t="s">
        <v>228</v>
      </c>
      <c r="B10230" t="s">
        <v>266</v>
      </c>
      <c r="C10230" s="26">
        <v>0.32900000000000001</v>
      </c>
      <c r="D10230" s="26">
        <v>0.40920000000000001</v>
      </c>
      <c r="E10230" s="26">
        <v>0.24379999999999999</v>
      </c>
      <c r="F10230" s="26">
        <v>1.7999999999999999E-2</v>
      </c>
      <c r="G10230">
        <v>421</v>
      </c>
    </row>
    <row r="10231" spans="1:7" x14ac:dyDescent="0.35">
      <c r="A10231" t="s">
        <v>229</v>
      </c>
      <c r="B10231" t="s">
        <v>266</v>
      </c>
      <c r="C10231" s="26">
        <v>0.34449999999999997</v>
      </c>
      <c r="D10231" s="26">
        <v>0.35920000000000002</v>
      </c>
      <c r="E10231" s="26">
        <v>0.25540000000000002</v>
      </c>
      <c r="F10231" s="26">
        <v>4.1000000000000002E-2</v>
      </c>
      <c r="G10231">
        <v>311</v>
      </c>
    </row>
    <row r="10232" spans="1:7" x14ac:dyDescent="0.35">
      <c r="A10232" t="s">
        <v>229</v>
      </c>
      <c r="B10232" t="s">
        <v>267</v>
      </c>
      <c r="C10232" s="26">
        <v>0.46989999999999998</v>
      </c>
      <c r="D10232" s="26">
        <v>0.21260000000000001</v>
      </c>
      <c r="E10232" s="26">
        <v>0.23330000000000001</v>
      </c>
      <c r="F10232" s="26">
        <v>8.4199999999999997E-2</v>
      </c>
      <c r="G10232">
        <v>178</v>
      </c>
    </row>
    <row r="10233" spans="1:7" x14ac:dyDescent="0.35">
      <c r="A10233" t="s">
        <v>229</v>
      </c>
      <c r="B10233" t="s">
        <v>265</v>
      </c>
      <c r="C10233" s="26">
        <v>0.3054</v>
      </c>
      <c r="D10233" s="26">
        <v>0.34350000000000003</v>
      </c>
      <c r="E10233" s="26">
        <v>0.31030000000000002</v>
      </c>
      <c r="F10233" s="26">
        <v>4.0800000000000003E-2</v>
      </c>
      <c r="G10233">
        <v>304</v>
      </c>
    </row>
    <row r="10234" spans="1:7" x14ac:dyDescent="0.35">
      <c r="A10234" t="s">
        <v>230</v>
      </c>
      <c r="B10234" t="s">
        <v>267</v>
      </c>
      <c r="C10234" s="26">
        <v>0.41460000000000002</v>
      </c>
      <c r="D10234" s="26">
        <v>0.19750000000000001</v>
      </c>
      <c r="E10234" s="26">
        <v>0.35680000000000001</v>
      </c>
      <c r="F10234" s="26">
        <v>3.1099999999999999E-2</v>
      </c>
      <c r="G10234">
        <v>108</v>
      </c>
    </row>
    <row r="10235" spans="1:7" x14ac:dyDescent="0.35">
      <c r="A10235" t="s">
        <v>230</v>
      </c>
      <c r="B10235" t="s">
        <v>266</v>
      </c>
      <c r="C10235" s="26">
        <v>0.27229999999999999</v>
      </c>
      <c r="D10235" s="26">
        <v>0.47670000000000001</v>
      </c>
      <c r="E10235" s="26">
        <v>0.23930000000000001</v>
      </c>
      <c r="F10235" s="26">
        <v>1.18E-2</v>
      </c>
      <c r="G10235">
        <v>216</v>
      </c>
    </row>
    <row r="10236" spans="1:7" x14ac:dyDescent="0.35">
      <c r="A10236" t="s">
        <v>230</v>
      </c>
      <c r="B10236" t="s">
        <v>265</v>
      </c>
      <c r="C10236" s="26">
        <v>0.28129999999999999</v>
      </c>
      <c r="D10236" s="26">
        <v>0.31790000000000002</v>
      </c>
      <c r="E10236" s="26">
        <v>0.35909999999999997</v>
      </c>
      <c r="F10236" s="26">
        <v>4.1700000000000001E-2</v>
      </c>
      <c r="G10236">
        <v>191</v>
      </c>
    </row>
    <row r="10237" spans="1:7" x14ac:dyDescent="0.35">
      <c r="A10237" s="27" t="s">
        <v>231</v>
      </c>
      <c r="B10237" s="27" t="s">
        <v>267</v>
      </c>
      <c r="C10237" s="28">
        <v>0.33329999999999999</v>
      </c>
      <c r="D10237" s="28">
        <v>0.33329999999999999</v>
      </c>
      <c r="E10237" s="28">
        <v>0.29630000000000001</v>
      </c>
      <c r="F10237" s="28">
        <v>3.6999999999999998E-2</v>
      </c>
      <c r="G10237" s="29" t="s">
        <v>338</v>
      </c>
    </row>
    <row r="10238" spans="1:7" x14ac:dyDescent="0.35">
      <c r="A10238" t="s">
        <v>231</v>
      </c>
      <c r="B10238" t="s">
        <v>266</v>
      </c>
      <c r="C10238" s="26">
        <v>0.4</v>
      </c>
      <c r="D10238" s="26">
        <v>0.34549999999999997</v>
      </c>
      <c r="E10238" s="26">
        <v>0.2</v>
      </c>
      <c r="F10238" s="26">
        <v>5.45E-2</v>
      </c>
      <c r="G10238">
        <v>55</v>
      </c>
    </row>
    <row r="10239" spans="1:7" x14ac:dyDescent="0.35">
      <c r="A10239" t="s">
        <v>231</v>
      </c>
      <c r="B10239" t="s">
        <v>265</v>
      </c>
      <c r="C10239" s="26">
        <v>0.28570000000000001</v>
      </c>
      <c r="D10239" s="26">
        <v>0.23810000000000001</v>
      </c>
      <c r="E10239" s="26">
        <v>0.38100000000000001</v>
      </c>
      <c r="F10239" s="26">
        <v>9.5200000000000007E-2</v>
      </c>
      <c r="G10239">
        <v>63</v>
      </c>
    </row>
    <row r="10240" spans="1:7" x14ac:dyDescent="0.35">
      <c r="A10240" t="s">
        <v>232</v>
      </c>
      <c r="B10240" t="s">
        <v>232</v>
      </c>
      <c r="C10240" s="26">
        <v>0.35639999999999999</v>
      </c>
      <c r="D10240" s="26">
        <v>0.31380000000000002</v>
      </c>
      <c r="E10240" s="26">
        <v>0.28320000000000001</v>
      </c>
      <c r="F10240" s="26">
        <v>4.6600000000000003E-2</v>
      </c>
      <c r="G10240">
        <v>2546</v>
      </c>
    </row>
    <row r="10242" spans="1:7" x14ac:dyDescent="0.35">
      <c r="A10242" s="1" t="s">
        <v>1322</v>
      </c>
    </row>
    <row r="10243" spans="1:7" x14ac:dyDescent="0.35">
      <c r="A10243" t="s">
        <v>219</v>
      </c>
      <c r="B10243" t="s">
        <v>305</v>
      </c>
      <c r="C10243" t="s">
        <v>1313</v>
      </c>
      <c r="D10243" t="s">
        <v>1314</v>
      </c>
      <c r="E10243" t="s">
        <v>1315</v>
      </c>
      <c r="F10243" t="s">
        <v>1316</v>
      </c>
      <c r="G10243" t="s">
        <v>226</v>
      </c>
    </row>
    <row r="10244" spans="1:7" x14ac:dyDescent="0.35">
      <c r="A10244" t="s">
        <v>227</v>
      </c>
      <c r="B10244" t="s">
        <v>252</v>
      </c>
      <c r="C10244" s="26">
        <v>0.3488</v>
      </c>
      <c r="D10244" s="26">
        <v>0.3256</v>
      </c>
      <c r="E10244" s="26">
        <v>0.25580000000000003</v>
      </c>
      <c r="F10244" s="26">
        <v>6.9800000000000001E-2</v>
      </c>
      <c r="G10244">
        <v>43</v>
      </c>
    </row>
    <row r="10245" spans="1:7" x14ac:dyDescent="0.35">
      <c r="A10245" s="27" t="s">
        <v>227</v>
      </c>
      <c r="B10245" s="27" t="s">
        <v>253</v>
      </c>
      <c r="C10245" s="28">
        <v>0.44829999999999998</v>
      </c>
      <c r="D10245" s="28">
        <v>0.3448</v>
      </c>
      <c r="E10245" s="28">
        <v>0.1724</v>
      </c>
      <c r="F10245" s="28">
        <v>3.4500000000000003E-2</v>
      </c>
      <c r="G10245" s="29" t="s">
        <v>329</v>
      </c>
    </row>
    <row r="10246" spans="1:7" x14ac:dyDescent="0.35">
      <c r="A10246" t="s">
        <v>227</v>
      </c>
      <c r="B10246" t="s">
        <v>251</v>
      </c>
      <c r="C10246" s="26">
        <v>0.48049999999999998</v>
      </c>
      <c r="D10246" s="26">
        <v>0.23380000000000001</v>
      </c>
      <c r="E10246" s="26">
        <v>0.28570000000000001</v>
      </c>
      <c r="G10246">
        <v>77</v>
      </c>
    </row>
    <row r="10247" spans="1:7" x14ac:dyDescent="0.35">
      <c r="A10247" t="s">
        <v>228</v>
      </c>
      <c r="B10247" t="s">
        <v>252</v>
      </c>
      <c r="C10247" s="26">
        <v>0.34860000000000002</v>
      </c>
      <c r="D10247" s="26">
        <v>0.46350000000000002</v>
      </c>
      <c r="E10247" s="26">
        <v>0.1857</v>
      </c>
      <c r="F10247" s="26">
        <v>2.2000000000000001E-3</v>
      </c>
      <c r="G10247">
        <v>308</v>
      </c>
    </row>
    <row r="10248" spans="1:7" x14ac:dyDescent="0.35">
      <c r="A10248" t="s">
        <v>228</v>
      </c>
      <c r="B10248" t="s">
        <v>253</v>
      </c>
      <c r="C10248" s="26">
        <v>0.29220000000000002</v>
      </c>
      <c r="D10248" s="26">
        <v>0.30130000000000001</v>
      </c>
      <c r="E10248" s="26">
        <v>0.36399999999999999</v>
      </c>
      <c r="F10248" s="26">
        <v>4.2500000000000003E-2</v>
      </c>
      <c r="G10248">
        <v>205</v>
      </c>
    </row>
    <row r="10249" spans="1:7" x14ac:dyDescent="0.35">
      <c r="A10249" t="s">
        <v>228</v>
      </c>
      <c r="B10249" t="s">
        <v>251</v>
      </c>
      <c r="C10249" s="26">
        <v>0.3674</v>
      </c>
      <c r="D10249" s="26">
        <v>0.26829999999999998</v>
      </c>
      <c r="E10249" s="26">
        <v>0.31030000000000002</v>
      </c>
      <c r="F10249" s="26">
        <v>5.3999999999999999E-2</v>
      </c>
      <c r="G10249">
        <v>431</v>
      </c>
    </row>
    <row r="10250" spans="1:7" x14ac:dyDescent="0.35">
      <c r="A10250" t="s">
        <v>229</v>
      </c>
      <c r="B10250" t="s">
        <v>252</v>
      </c>
      <c r="C10250" s="26">
        <v>0.33760000000000001</v>
      </c>
      <c r="D10250" s="26">
        <v>0.42859999999999998</v>
      </c>
      <c r="E10250" s="26">
        <v>0.18149999999999999</v>
      </c>
      <c r="F10250" s="26">
        <v>5.2299999999999999E-2</v>
      </c>
      <c r="G10250">
        <v>171</v>
      </c>
    </row>
    <row r="10251" spans="1:7" x14ac:dyDescent="0.35">
      <c r="A10251" t="s">
        <v>229</v>
      </c>
      <c r="B10251" t="s">
        <v>253</v>
      </c>
      <c r="C10251" s="26">
        <v>0.24030000000000001</v>
      </c>
      <c r="D10251" s="26">
        <v>0.46210000000000001</v>
      </c>
      <c r="E10251" s="26">
        <v>0.2399</v>
      </c>
      <c r="F10251" s="26">
        <v>5.7799999999999997E-2</v>
      </c>
      <c r="G10251">
        <v>132</v>
      </c>
    </row>
    <row r="10252" spans="1:7" x14ac:dyDescent="0.35">
      <c r="A10252" t="s">
        <v>229</v>
      </c>
      <c r="B10252" t="s">
        <v>251</v>
      </c>
      <c r="C10252" s="26">
        <v>0.39610000000000001</v>
      </c>
      <c r="D10252" s="26">
        <v>0.23580000000000001</v>
      </c>
      <c r="E10252" s="26">
        <v>0.3211</v>
      </c>
      <c r="F10252" s="26">
        <v>4.6899999999999997E-2</v>
      </c>
      <c r="G10252">
        <v>490</v>
      </c>
    </row>
    <row r="10253" spans="1:7" x14ac:dyDescent="0.35">
      <c r="A10253" t="s">
        <v>230</v>
      </c>
      <c r="B10253" t="s">
        <v>252</v>
      </c>
      <c r="C10253" s="26">
        <v>0.2447</v>
      </c>
      <c r="D10253" s="26">
        <v>0.47299999999999998</v>
      </c>
      <c r="E10253" s="26">
        <v>0.246</v>
      </c>
      <c r="F10253" s="26">
        <v>3.6299999999999999E-2</v>
      </c>
      <c r="G10253">
        <v>151</v>
      </c>
    </row>
    <row r="10254" spans="1:7" x14ac:dyDescent="0.35">
      <c r="A10254" t="s">
        <v>230</v>
      </c>
      <c r="B10254" t="s">
        <v>253</v>
      </c>
      <c r="C10254" s="26">
        <v>0.3866</v>
      </c>
      <c r="D10254" s="26">
        <v>0.35420000000000001</v>
      </c>
      <c r="E10254" s="26">
        <v>0.24</v>
      </c>
      <c r="F10254" s="26">
        <v>1.9099999999999999E-2</v>
      </c>
      <c r="G10254">
        <v>101</v>
      </c>
    </row>
    <row r="10255" spans="1:7" x14ac:dyDescent="0.35">
      <c r="A10255" t="s">
        <v>230</v>
      </c>
      <c r="B10255" t="s">
        <v>251</v>
      </c>
      <c r="C10255" s="26">
        <v>0.3115</v>
      </c>
      <c r="D10255" s="26">
        <v>0.28399999999999997</v>
      </c>
      <c r="E10255" s="26">
        <v>0.37609999999999999</v>
      </c>
      <c r="F10255" s="26">
        <v>2.8400000000000002E-2</v>
      </c>
      <c r="G10255">
        <v>263</v>
      </c>
    </row>
    <row r="10256" spans="1:7" x14ac:dyDescent="0.35">
      <c r="A10256" t="s">
        <v>231</v>
      </c>
      <c r="B10256" t="s">
        <v>252</v>
      </c>
      <c r="C10256" s="26">
        <v>0.375</v>
      </c>
      <c r="D10256" s="26">
        <v>0.35</v>
      </c>
      <c r="E10256" s="26">
        <v>0.17499999999999999</v>
      </c>
      <c r="F10256" s="26">
        <v>0.1</v>
      </c>
      <c r="G10256">
        <v>40</v>
      </c>
    </row>
    <row r="10257" spans="1:7" x14ac:dyDescent="0.35">
      <c r="A10257" s="27" t="s">
        <v>231</v>
      </c>
      <c r="B10257" s="27" t="s">
        <v>253</v>
      </c>
      <c r="C10257" s="28">
        <v>0.22220000000000001</v>
      </c>
      <c r="D10257" s="28">
        <v>0.25929999999999997</v>
      </c>
      <c r="E10257" s="28">
        <v>0.51849999999999996</v>
      </c>
      <c r="F10257" s="29"/>
      <c r="G10257" s="29" t="s">
        <v>338</v>
      </c>
    </row>
    <row r="10258" spans="1:7" x14ac:dyDescent="0.35">
      <c r="A10258" t="s">
        <v>231</v>
      </c>
      <c r="B10258" t="s">
        <v>251</v>
      </c>
      <c r="C10258" s="26">
        <v>0.35899999999999999</v>
      </c>
      <c r="D10258" s="26">
        <v>0.28210000000000002</v>
      </c>
      <c r="E10258" s="26">
        <v>0.28210000000000002</v>
      </c>
      <c r="F10258" s="26">
        <v>7.6899999999999996E-2</v>
      </c>
      <c r="G10258">
        <v>78</v>
      </c>
    </row>
    <row r="10259" spans="1:7" x14ac:dyDescent="0.35">
      <c r="A10259" t="s">
        <v>232</v>
      </c>
      <c r="B10259" t="s">
        <v>232</v>
      </c>
      <c r="C10259" s="26">
        <v>0.35639999999999999</v>
      </c>
      <c r="D10259" s="26">
        <v>0.31380000000000002</v>
      </c>
      <c r="E10259" s="26">
        <v>0.28320000000000001</v>
      </c>
      <c r="F10259" s="26">
        <v>4.6600000000000003E-2</v>
      </c>
      <c r="G10259">
        <v>2546</v>
      </c>
    </row>
    <row r="10261" spans="1:7" x14ac:dyDescent="0.35">
      <c r="A10261" s="1" t="s">
        <v>1323</v>
      </c>
    </row>
    <row r="10262" spans="1:7" x14ac:dyDescent="0.35">
      <c r="A10262" t="s">
        <v>219</v>
      </c>
      <c r="B10262" t="s">
        <v>305</v>
      </c>
      <c r="C10262" t="s">
        <v>1313</v>
      </c>
      <c r="D10262" t="s">
        <v>1314</v>
      </c>
      <c r="E10262" t="s">
        <v>1315</v>
      </c>
      <c r="F10262" t="s">
        <v>1316</v>
      </c>
      <c r="G10262" t="s">
        <v>226</v>
      </c>
    </row>
    <row r="10263" spans="1:7" x14ac:dyDescent="0.35">
      <c r="A10263" t="s">
        <v>227</v>
      </c>
      <c r="B10263" t="s">
        <v>249</v>
      </c>
      <c r="C10263" s="26">
        <v>0.39019999999999999</v>
      </c>
      <c r="D10263" s="26">
        <v>0.29270000000000002</v>
      </c>
      <c r="E10263" s="26">
        <v>0.29270000000000002</v>
      </c>
      <c r="F10263" s="26">
        <v>2.4400000000000002E-2</v>
      </c>
      <c r="G10263">
        <v>41</v>
      </c>
    </row>
    <row r="10264" spans="1:7" x14ac:dyDescent="0.35">
      <c r="A10264" t="s">
        <v>227</v>
      </c>
      <c r="B10264" t="s">
        <v>248</v>
      </c>
      <c r="C10264" s="26">
        <v>0.45369999999999999</v>
      </c>
      <c r="D10264" s="26">
        <v>0.27779999999999999</v>
      </c>
      <c r="E10264" s="26">
        <v>0.2407</v>
      </c>
      <c r="F10264" s="26">
        <v>2.7799999999999998E-2</v>
      </c>
      <c r="G10264">
        <v>108</v>
      </c>
    </row>
    <row r="10265" spans="1:7" x14ac:dyDescent="0.35">
      <c r="A10265" t="s">
        <v>228</v>
      </c>
      <c r="B10265" t="s">
        <v>249</v>
      </c>
      <c r="C10265" s="26">
        <v>0.32040000000000002</v>
      </c>
      <c r="D10265" s="26">
        <v>0.23630000000000001</v>
      </c>
      <c r="E10265" s="26">
        <v>0.38540000000000002</v>
      </c>
      <c r="F10265" s="26">
        <v>5.79E-2</v>
      </c>
      <c r="G10265">
        <v>249</v>
      </c>
    </row>
    <row r="10266" spans="1:7" x14ac:dyDescent="0.35">
      <c r="A10266" t="s">
        <v>228</v>
      </c>
      <c r="B10266" t="s">
        <v>248</v>
      </c>
      <c r="C10266" s="26">
        <v>0.35770000000000002</v>
      </c>
      <c r="D10266" s="26">
        <v>0.3805</v>
      </c>
      <c r="E10266" s="26">
        <v>0.2364</v>
      </c>
      <c r="F10266" s="26">
        <v>2.5399999999999999E-2</v>
      </c>
      <c r="G10266">
        <v>695</v>
      </c>
    </row>
    <row r="10267" spans="1:7" x14ac:dyDescent="0.35">
      <c r="A10267" t="s">
        <v>229</v>
      </c>
      <c r="B10267" t="s">
        <v>249</v>
      </c>
      <c r="C10267" s="26">
        <v>0.30709999999999998</v>
      </c>
      <c r="D10267" s="26">
        <v>0.29089999999999999</v>
      </c>
      <c r="E10267" s="26">
        <v>0.35799999999999998</v>
      </c>
      <c r="F10267" s="26">
        <v>4.3999999999999997E-2</v>
      </c>
      <c r="G10267">
        <v>224</v>
      </c>
    </row>
    <row r="10268" spans="1:7" x14ac:dyDescent="0.35">
      <c r="A10268" t="s">
        <v>229</v>
      </c>
      <c r="B10268" t="s">
        <v>248</v>
      </c>
      <c r="C10268" s="26">
        <v>0.37640000000000001</v>
      </c>
      <c r="D10268" s="26">
        <v>0.33510000000000001</v>
      </c>
      <c r="E10268" s="26">
        <v>0.23530000000000001</v>
      </c>
      <c r="F10268" s="26">
        <v>5.3199999999999997E-2</v>
      </c>
      <c r="G10268">
        <v>569</v>
      </c>
    </row>
    <row r="10269" spans="1:7" x14ac:dyDescent="0.35">
      <c r="A10269" t="s">
        <v>230</v>
      </c>
      <c r="B10269" t="s">
        <v>249</v>
      </c>
      <c r="C10269" s="26">
        <v>0.22720000000000001</v>
      </c>
      <c r="D10269" s="26">
        <v>0.38769999999999999</v>
      </c>
      <c r="E10269" s="26">
        <v>0.35020000000000001</v>
      </c>
      <c r="F10269" s="26">
        <v>3.49E-2</v>
      </c>
      <c r="G10269">
        <v>156</v>
      </c>
    </row>
    <row r="10270" spans="1:7" x14ac:dyDescent="0.35">
      <c r="A10270" t="s">
        <v>230</v>
      </c>
      <c r="B10270" t="s">
        <v>248</v>
      </c>
      <c r="C10270" s="26">
        <v>0.35039999999999999</v>
      </c>
      <c r="D10270" s="26">
        <v>0.32569999999999999</v>
      </c>
      <c r="E10270" s="26">
        <v>0.2984</v>
      </c>
      <c r="F10270" s="26">
        <v>2.5499999999999998E-2</v>
      </c>
      <c r="G10270">
        <v>359</v>
      </c>
    </row>
    <row r="10271" spans="1:7" x14ac:dyDescent="0.35">
      <c r="A10271" t="s">
        <v>231</v>
      </c>
      <c r="B10271" t="s">
        <v>249</v>
      </c>
      <c r="C10271" s="26">
        <v>9.3799999999999994E-2</v>
      </c>
      <c r="D10271" s="26">
        <v>0.40620000000000001</v>
      </c>
      <c r="E10271" s="26">
        <v>0.4375</v>
      </c>
      <c r="F10271" s="26">
        <v>6.25E-2</v>
      </c>
      <c r="G10271">
        <v>32</v>
      </c>
    </row>
    <row r="10272" spans="1:7" x14ac:dyDescent="0.35">
      <c r="A10272" t="s">
        <v>231</v>
      </c>
      <c r="B10272" t="s">
        <v>248</v>
      </c>
      <c r="C10272" s="26">
        <v>0.40710000000000002</v>
      </c>
      <c r="D10272" s="26">
        <v>0.26550000000000001</v>
      </c>
      <c r="E10272" s="26">
        <v>0.25659999999999999</v>
      </c>
      <c r="F10272" s="26">
        <v>7.0800000000000002E-2</v>
      </c>
      <c r="G10272">
        <v>113</v>
      </c>
    </row>
    <row r="10273" spans="1:7" x14ac:dyDescent="0.35">
      <c r="A10273" t="s">
        <v>232</v>
      </c>
      <c r="B10273" t="s">
        <v>232</v>
      </c>
      <c r="C10273" s="26">
        <v>0.35639999999999999</v>
      </c>
      <c r="D10273" s="26">
        <v>0.31380000000000002</v>
      </c>
      <c r="E10273" s="26">
        <v>0.28320000000000001</v>
      </c>
      <c r="F10273" s="26">
        <v>4.6600000000000003E-2</v>
      </c>
      <c r="G10273">
        <v>2546</v>
      </c>
    </row>
    <row r="10275" spans="1:7" x14ac:dyDescent="0.35">
      <c r="A10275" s="1" t="s">
        <v>1324</v>
      </c>
    </row>
    <row r="10276" spans="1:7" x14ac:dyDescent="0.35">
      <c r="A10276" t="s">
        <v>219</v>
      </c>
      <c r="B10276" t="s">
        <v>305</v>
      </c>
      <c r="C10276" t="s">
        <v>1313</v>
      </c>
      <c r="D10276" t="s">
        <v>1314</v>
      </c>
      <c r="E10276" t="s">
        <v>1315</v>
      </c>
      <c r="F10276" t="s">
        <v>1316</v>
      </c>
      <c r="G10276" t="s">
        <v>226</v>
      </c>
    </row>
    <row r="10277" spans="1:7" x14ac:dyDescent="0.35">
      <c r="A10277" t="s">
        <v>227</v>
      </c>
      <c r="B10277" t="s">
        <v>260</v>
      </c>
      <c r="C10277" s="26">
        <v>0.45540000000000003</v>
      </c>
      <c r="D10277" s="26">
        <v>0.25890000000000002</v>
      </c>
      <c r="E10277" s="26">
        <v>0.25890000000000002</v>
      </c>
      <c r="F10277" s="26">
        <v>2.6800000000000001E-2</v>
      </c>
      <c r="G10277">
        <v>112</v>
      </c>
    </row>
    <row r="10278" spans="1:7" x14ac:dyDescent="0.35">
      <c r="A10278" t="s">
        <v>227</v>
      </c>
      <c r="B10278" t="s">
        <v>261</v>
      </c>
      <c r="C10278" s="26">
        <v>0.3548</v>
      </c>
      <c r="D10278" s="26">
        <v>0.3871</v>
      </c>
      <c r="E10278" s="26">
        <v>0.2258</v>
      </c>
      <c r="F10278" s="26">
        <v>3.2300000000000002E-2</v>
      </c>
      <c r="G10278">
        <v>31</v>
      </c>
    </row>
    <row r="10279" spans="1:7" x14ac:dyDescent="0.35">
      <c r="A10279" s="27" t="s">
        <v>227</v>
      </c>
      <c r="B10279" s="27" t="s">
        <v>262</v>
      </c>
      <c r="C10279" s="28">
        <v>0.66669999999999996</v>
      </c>
      <c r="D10279" s="28">
        <v>0.33329999999999999</v>
      </c>
      <c r="E10279" s="29"/>
      <c r="F10279" s="29"/>
      <c r="G10279" s="29" t="s">
        <v>315</v>
      </c>
    </row>
    <row r="10280" spans="1:7" x14ac:dyDescent="0.35">
      <c r="A10280" s="27" t="s">
        <v>227</v>
      </c>
      <c r="B10280" s="27" t="s">
        <v>263</v>
      </c>
      <c r="C10280" s="28">
        <v>0.33329999999999999</v>
      </c>
      <c r="D10280" s="29"/>
      <c r="E10280" s="28">
        <v>0.66669999999999996</v>
      </c>
      <c r="F10280" s="29"/>
      <c r="G10280" s="29" t="s">
        <v>315</v>
      </c>
    </row>
    <row r="10281" spans="1:7" x14ac:dyDescent="0.35">
      <c r="A10281" s="27" t="s">
        <v>228</v>
      </c>
      <c r="B10281" s="27" t="s">
        <v>263</v>
      </c>
      <c r="C10281" s="28">
        <v>0.43269999999999997</v>
      </c>
      <c r="D10281" s="28">
        <v>0.23419999999999999</v>
      </c>
      <c r="E10281" s="28">
        <v>0.33310000000000001</v>
      </c>
      <c r="F10281" s="29"/>
      <c r="G10281" s="29" t="s">
        <v>312</v>
      </c>
    </row>
    <row r="10282" spans="1:7" x14ac:dyDescent="0.35">
      <c r="A10282" s="27" t="s">
        <v>228</v>
      </c>
      <c r="B10282" s="27" t="s">
        <v>236</v>
      </c>
      <c r="C10282" s="28">
        <v>3.9E-2</v>
      </c>
      <c r="D10282" s="28">
        <v>0.96099999999999997</v>
      </c>
      <c r="E10282" s="29"/>
      <c r="F10282" s="29"/>
      <c r="G10282" s="29" t="s">
        <v>335</v>
      </c>
    </row>
    <row r="10283" spans="1:7" x14ac:dyDescent="0.35">
      <c r="A10283" t="s">
        <v>228</v>
      </c>
      <c r="B10283" t="s">
        <v>262</v>
      </c>
      <c r="C10283" s="26">
        <v>0.2802</v>
      </c>
      <c r="D10283" s="26">
        <v>0.34189999999999998</v>
      </c>
      <c r="E10283" s="26">
        <v>0.32429999999999998</v>
      </c>
      <c r="F10283" s="26">
        <v>5.3600000000000002E-2</v>
      </c>
      <c r="G10283">
        <v>186</v>
      </c>
    </row>
    <row r="10284" spans="1:7" x14ac:dyDescent="0.35">
      <c r="A10284" t="s">
        <v>228</v>
      </c>
      <c r="B10284" t="s">
        <v>260</v>
      </c>
      <c r="C10284" s="26">
        <v>0.40360000000000001</v>
      </c>
      <c r="D10284" s="26">
        <v>0.30359999999999998</v>
      </c>
      <c r="E10284" s="26">
        <v>0.27279999999999999</v>
      </c>
      <c r="F10284" s="26">
        <v>0.02</v>
      </c>
      <c r="G10284">
        <v>552</v>
      </c>
    </row>
    <row r="10285" spans="1:7" x14ac:dyDescent="0.35">
      <c r="A10285" t="s">
        <v>228</v>
      </c>
      <c r="B10285" t="s">
        <v>261</v>
      </c>
      <c r="C10285" s="26">
        <v>0.22450000000000001</v>
      </c>
      <c r="D10285" s="26">
        <v>0.42920000000000003</v>
      </c>
      <c r="E10285" s="26">
        <v>0.27410000000000001</v>
      </c>
      <c r="F10285" s="26">
        <v>7.22E-2</v>
      </c>
      <c r="G10285">
        <v>175</v>
      </c>
    </row>
    <row r="10286" spans="1:7" x14ac:dyDescent="0.35">
      <c r="A10286" t="s">
        <v>229</v>
      </c>
      <c r="B10286" t="s">
        <v>262</v>
      </c>
      <c r="C10286" s="26">
        <v>0.32569999999999999</v>
      </c>
      <c r="D10286" s="26">
        <v>0.28949999999999998</v>
      </c>
      <c r="E10286" s="26">
        <v>0.32319999999999999</v>
      </c>
      <c r="F10286" s="26">
        <v>6.1600000000000002E-2</v>
      </c>
      <c r="G10286">
        <v>164</v>
      </c>
    </row>
    <row r="10287" spans="1:7" x14ac:dyDescent="0.35">
      <c r="A10287" t="s">
        <v>229</v>
      </c>
      <c r="B10287" t="s">
        <v>261</v>
      </c>
      <c r="C10287" s="26">
        <v>0.26740000000000003</v>
      </c>
      <c r="D10287" s="26">
        <v>0.49519999999999997</v>
      </c>
      <c r="E10287" s="26">
        <v>0.20880000000000001</v>
      </c>
      <c r="F10287" s="26">
        <v>2.8500000000000001E-2</v>
      </c>
      <c r="G10287">
        <v>83</v>
      </c>
    </row>
    <row r="10288" spans="1:7" x14ac:dyDescent="0.35">
      <c r="A10288" t="s">
        <v>229</v>
      </c>
      <c r="B10288" t="s">
        <v>260</v>
      </c>
      <c r="C10288" s="26">
        <v>0.39739999999999998</v>
      </c>
      <c r="D10288" s="26">
        <v>0.28599999999999998</v>
      </c>
      <c r="E10288" s="26">
        <v>0.26490000000000002</v>
      </c>
      <c r="F10288" s="26">
        <v>5.1700000000000003E-2</v>
      </c>
      <c r="G10288">
        <v>532</v>
      </c>
    </row>
    <row r="10289" spans="1:7" x14ac:dyDescent="0.35">
      <c r="A10289" s="27" t="s">
        <v>229</v>
      </c>
      <c r="B10289" s="27" t="s">
        <v>236</v>
      </c>
      <c r="C10289" s="28">
        <v>1</v>
      </c>
      <c r="D10289" s="29"/>
      <c r="E10289" s="29"/>
      <c r="F10289" s="29"/>
      <c r="G10289" s="29" t="s">
        <v>331</v>
      </c>
    </row>
    <row r="10290" spans="1:7" x14ac:dyDescent="0.35">
      <c r="A10290" s="27" t="s">
        <v>229</v>
      </c>
      <c r="B10290" s="27" t="s">
        <v>263</v>
      </c>
      <c r="C10290" s="28">
        <v>0.1077</v>
      </c>
      <c r="D10290" s="28">
        <v>0.49840000000000001</v>
      </c>
      <c r="E10290" s="28">
        <v>0.39389999999999997</v>
      </c>
      <c r="F10290" s="29"/>
      <c r="G10290" s="29" t="s">
        <v>341</v>
      </c>
    </row>
    <row r="10291" spans="1:7" x14ac:dyDescent="0.35">
      <c r="A10291" s="27" t="s">
        <v>230</v>
      </c>
      <c r="B10291" s="27" t="s">
        <v>263</v>
      </c>
      <c r="C10291" s="28">
        <v>0.1603</v>
      </c>
      <c r="D10291" s="28">
        <v>0.73140000000000005</v>
      </c>
      <c r="E10291" s="28">
        <v>9.0999999999999998E-2</v>
      </c>
      <c r="F10291" s="28">
        <v>1.7299999999999999E-2</v>
      </c>
      <c r="G10291" s="29" t="s">
        <v>328</v>
      </c>
    </row>
    <row r="10292" spans="1:7" x14ac:dyDescent="0.35">
      <c r="A10292" t="s">
        <v>230</v>
      </c>
      <c r="B10292" t="s">
        <v>261</v>
      </c>
      <c r="C10292" s="26">
        <v>0.21840000000000001</v>
      </c>
      <c r="D10292" s="26">
        <v>0.4975</v>
      </c>
      <c r="E10292" s="26">
        <v>0.26069999999999999</v>
      </c>
      <c r="F10292" s="26">
        <v>2.35E-2</v>
      </c>
      <c r="G10292">
        <v>54</v>
      </c>
    </row>
    <row r="10293" spans="1:7" x14ac:dyDescent="0.35">
      <c r="A10293" t="s">
        <v>230</v>
      </c>
      <c r="B10293" t="s">
        <v>262</v>
      </c>
      <c r="C10293" s="26">
        <v>0.26650000000000001</v>
      </c>
      <c r="D10293" s="26">
        <v>0.28410000000000002</v>
      </c>
      <c r="E10293" s="26">
        <v>0.37959999999999999</v>
      </c>
      <c r="F10293" s="26">
        <v>6.9900000000000004E-2</v>
      </c>
      <c r="G10293">
        <v>113</v>
      </c>
    </row>
    <row r="10294" spans="1:7" x14ac:dyDescent="0.35">
      <c r="A10294" t="s">
        <v>230</v>
      </c>
      <c r="B10294" t="s">
        <v>260</v>
      </c>
      <c r="C10294" s="26">
        <v>0.34100000000000003</v>
      </c>
      <c r="D10294" s="26">
        <v>0.31559999999999999</v>
      </c>
      <c r="E10294" s="26">
        <v>0.32279999999999998</v>
      </c>
      <c r="F10294" s="26">
        <v>2.06E-2</v>
      </c>
      <c r="G10294">
        <v>321</v>
      </c>
    </row>
    <row r="10295" spans="1:7" x14ac:dyDescent="0.35">
      <c r="A10295" s="27" t="s">
        <v>230</v>
      </c>
      <c r="B10295" s="27" t="s">
        <v>236</v>
      </c>
      <c r="C10295" s="28">
        <v>0.2409</v>
      </c>
      <c r="D10295" s="28">
        <v>0.72240000000000004</v>
      </c>
      <c r="E10295" s="29"/>
      <c r="F10295" s="28">
        <v>3.6600000000000001E-2</v>
      </c>
      <c r="G10295" s="29" t="s">
        <v>337</v>
      </c>
    </row>
    <row r="10296" spans="1:7" x14ac:dyDescent="0.35">
      <c r="A10296" s="27" t="s">
        <v>231</v>
      </c>
      <c r="B10296" s="27" t="s">
        <v>263</v>
      </c>
      <c r="C10296" s="29"/>
      <c r="D10296" s="28">
        <v>1</v>
      </c>
      <c r="E10296" s="29"/>
      <c r="F10296" s="29"/>
      <c r="G10296" s="29" t="s">
        <v>314</v>
      </c>
    </row>
    <row r="10297" spans="1:7" x14ac:dyDescent="0.35">
      <c r="A10297" t="s">
        <v>231</v>
      </c>
      <c r="B10297" t="s">
        <v>260</v>
      </c>
      <c r="C10297" s="26">
        <v>0.34860000000000002</v>
      </c>
      <c r="D10297" s="26">
        <v>0.2661</v>
      </c>
      <c r="E10297" s="26">
        <v>0.31190000000000001</v>
      </c>
      <c r="F10297" s="26">
        <v>7.3400000000000007E-2</v>
      </c>
      <c r="G10297">
        <v>109</v>
      </c>
    </row>
    <row r="10298" spans="1:7" x14ac:dyDescent="0.35">
      <c r="A10298" s="27" t="s">
        <v>231</v>
      </c>
      <c r="B10298" s="27" t="s">
        <v>261</v>
      </c>
      <c r="C10298" s="28">
        <v>0.29170000000000001</v>
      </c>
      <c r="D10298" s="28">
        <v>0.45829999999999999</v>
      </c>
      <c r="E10298" s="28">
        <v>0.16669999999999999</v>
      </c>
      <c r="F10298" s="28">
        <v>8.3299999999999999E-2</v>
      </c>
      <c r="G10298" s="29" t="s">
        <v>310</v>
      </c>
    </row>
    <row r="10299" spans="1:7" x14ac:dyDescent="0.35">
      <c r="A10299" s="27" t="s">
        <v>231</v>
      </c>
      <c r="B10299" s="27" t="s">
        <v>262</v>
      </c>
      <c r="C10299" s="28">
        <v>0.4</v>
      </c>
      <c r="D10299" s="28">
        <v>0.1</v>
      </c>
      <c r="E10299" s="28">
        <v>0.5</v>
      </c>
      <c r="F10299" s="29"/>
      <c r="G10299" s="29" t="s">
        <v>307</v>
      </c>
    </row>
    <row r="10300" spans="1:7" x14ac:dyDescent="0.35">
      <c r="A10300" t="s">
        <v>232</v>
      </c>
      <c r="B10300" t="s">
        <v>232</v>
      </c>
      <c r="C10300" s="26">
        <v>0.35639999999999999</v>
      </c>
      <c r="D10300" s="26">
        <v>0.31380000000000002</v>
      </c>
      <c r="E10300" s="26">
        <v>0.28320000000000001</v>
      </c>
      <c r="F10300" s="26">
        <v>4.6600000000000003E-2</v>
      </c>
      <c r="G10300">
        <v>2546</v>
      </c>
    </row>
    <row r="10302" spans="1:7" x14ac:dyDescent="0.35">
      <c r="A10302" s="1" t="s">
        <v>1325</v>
      </c>
    </row>
    <row r="10303" spans="1:7" x14ac:dyDescent="0.35">
      <c r="A10303" t="s">
        <v>219</v>
      </c>
      <c r="B10303" t="s">
        <v>305</v>
      </c>
      <c r="C10303" t="s">
        <v>1313</v>
      </c>
      <c r="D10303" t="s">
        <v>1314</v>
      </c>
      <c r="E10303" t="s">
        <v>1315</v>
      </c>
      <c r="F10303" t="s">
        <v>1316</v>
      </c>
      <c r="G10303" t="s">
        <v>226</v>
      </c>
    </row>
    <row r="10304" spans="1:7" x14ac:dyDescent="0.35">
      <c r="A10304" t="s">
        <v>227</v>
      </c>
      <c r="B10304" t="s">
        <v>368</v>
      </c>
      <c r="C10304" s="26">
        <v>0.3548</v>
      </c>
      <c r="D10304" s="26">
        <v>0.3871</v>
      </c>
      <c r="E10304" s="26">
        <v>0.2258</v>
      </c>
      <c r="F10304" s="26">
        <v>3.2300000000000002E-2</v>
      </c>
      <c r="G10304">
        <v>31</v>
      </c>
    </row>
    <row r="10305" spans="1:7" x14ac:dyDescent="0.35">
      <c r="A10305" t="s">
        <v>227</v>
      </c>
      <c r="B10305" t="s">
        <v>369</v>
      </c>
      <c r="C10305" s="26">
        <v>0.45760000000000001</v>
      </c>
      <c r="D10305" s="26">
        <v>0.25419999999999998</v>
      </c>
      <c r="E10305" s="26">
        <v>0.26269999999999999</v>
      </c>
      <c r="F10305" s="26">
        <v>2.5399999999999999E-2</v>
      </c>
      <c r="G10305">
        <v>118</v>
      </c>
    </row>
    <row r="10306" spans="1:7" x14ac:dyDescent="0.35">
      <c r="A10306" t="s">
        <v>228</v>
      </c>
      <c r="B10306" t="s">
        <v>368</v>
      </c>
      <c r="C10306" s="26">
        <v>0.22450000000000001</v>
      </c>
      <c r="D10306" s="26">
        <v>0.42920000000000003</v>
      </c>
      <c r="E10306" s="26">
        <v>0.27410000000000001</v>
      </c>
      <c r="F10306" s="26">
        <v>7.22E-2</v>
      </c>
      <c r="G10306">
        <v>175</v>
      </c>
    </row>
    <row r="10307" spans="1:7" x14ac:dyDescent="0.35">
      <c r="A10307" t="s">
        <v>228</v>
      </c>
      <c r="B10307" t="s">
        <v>369</v>
      </c>
      <c r="C10307" s="26">
        <v>0.37559999999999999</v>
      </c>
      <c r="D10307" s="26">
        <v>0.31540000000000001</v>
      </c>
      <c r="E10307" s="26">
        <v>0.28270000000000001</v>
      </c>
      <c r="F10307" s="26">
        <v>2.63E-2</v>
      </c>
      <c r="G10307">
        <v>769</v>
      </c>
    </row>
    <row r="10308" spans="1:7" x14ac:dyDescent="0.35">
      <c r="A10308" t="s">
        <v>229</v>
      </c>
      <c r="B10308" t="s">
        <v>368</v>
      </c>
      <c r="C10308" s="26">
        <v>0.26740000000000003</v>
      </c>
      <c r="D10308" s="26">
        <v>0.49519999999999997</v>
      </c>
      <c r="E10308" s="26">
        <v>0.20880000000000001</v>
      </c>
      <c r="F10308" s="26">
        <v>2.8500000000000001E-2</v>
      </c>
      <c r="G10308">
        <v>83</v>
      </c>
    </row>
    <row r="10309" spans="1:7" x14ac:dyDescent="0.35">
      <c r="A10309" t="s">
        <v>229</v>
      </c>
      <c r="B10309" t="s">
        <v>369</v>
      </c>
      <c r="C10309" s="26">
        <v>0.36720000000000003</v>
      </c>
      <c r="D10309" s="26">
        <v>0.2923</v>
      </c>
      <c r="E10309" s="26">
        <v>0.28689999999999999</v>
      </c>
      <c r="F10309" s="26">
        <v>5.3600000000000002E-2</v>
      </c>
      <c r="G10309">
        <v>710</v>
      </c>
    </row>
    <row r="10310" spans="1:7" x14ac:dyDescent="0.35">
      <c r="A10310" t="s">
        <v>230</v>
      </c>
      <c r="B10310" t="s">
        <v>368</v>
      </c>
      <c r="C10310" s="26">
        <v>0.21840000000000001</v>
      </c>
      <c r="D10310" s="26">
        <v>0.4975</v>
      </c>
      <c r="E10310" s="26">
        <v>0.26069999999999999</v>
      </c>
      <c r="F10310" s="26">
        <v>2.35E-2</v>
      </c>
      <c r="G10310">
        <v>54</v>
      </c>
    </row>
    <row r="10311" spans="1:7" x14ac:dyDescent="0.35">
      <c r="A10311" t="s">
        <v>230</v>
      </c>
      <c r="B10311" t="s">
        <v>369</v>
      </c>
      <c r="C10311" s="26">
        <v>0.32279999999999998</v>
      </c>
      <c r="D10311" s="26">
        <v>0.32229999999999998</v>
      </c>
      <c r="E10311" s="26">
        <v>0.32529999999999998</v>
      </c>
      <c r="F10311" s="26">
        <v>2.9600000000000001E-2</v>
      </c>
      <c r="G10311">
        <v>461</v>
      </c>
    </row>
    <row r="10312" spans="1:7" x14ac:dyDescent="0.35">
      <c r="A10312" s="27" t="s">
        <v>231</v>
      </c>
      <c r="B10312" s="27" t="s">
        <v>368</v>
      </c>
      <c r="C10312" s="28">
        <v>0.29170000000000001</v>
      </c>
      <c r="D10312" s="28">
        <v>0.45829999999999999</v>
      </c>
      <c r="E10312" s="28">
        <v>0.16669999999999999</v>
      </c>
      <c r="F10312" s="28">
        <v>8.3299999999999999E-2</v>
      </c>
      <c r="G10312" s="29" t="s">
        <v>310</v>
      </c>
    </row>
    <row r="10313" spans="1:7" x14ac:dyDescent="0.35">
      <c r="A10313" t="s">
        <v>231</v>
      </c>
      <c r="B10313" t="s">
        <v>369</v>
      </c>
      <c r="C10313" s="26">
        <v>0.34710000000000002</v>
      </c>
      <c r="D10313" s="26">
        <v>0.26450000000000001</v>
      </c>
      <c r="E10313" s="26">
        <v>0.32229999999999998</v>
      </c>
      <c r="F10313" s="26">
        <v>6.6100000000000006E-2</v>
      </c>
      <c r="G10313">
        <v>121</v>
      </c>
    </row>
    <row r="10314" spans="1:7" x14ac:dyDescent="0.35">
      <c r="A10314" t="s">
        <v>232</v>
      </c>
      <c r="B10314" t="s">
        <v>232</v>
      </c>
      <c r="C10314" s="26">
        <v>0.35639999999999999</v>
      </c>
      <c r="D10314" s="26">
        <v>0.31380000000000002</v>
      </c>
      <c r="E10314" s="26">
        <v>0.28320000000000001</v>
      </c>
      <c r="F10314" s="26">
        <v>4.6600000000000003E-2</v>
      </c>
      <c r="G10314">
        <v>2546</v>
      </c>
    </row>
    <row r="10316" spans="1:7" x14ac:dyDescent="0.35">
      <c r="A10316" s="1" t="s">
        <v>1326</v>
      </c>
    </row>
    <row r="10317" spans="1:7" x14ac:dyDescent="0.35">
      <c r="A10317" t="s">
        <v>219</v>
      </c>
      <c r="B10317" t="s">
        <v>305</v>
      </c>
      <c r="C10317" t="s">
        <v>1313</v>
      </c>
      <c r="D10317" t="s">
        <v>1314</v>
      </c>
      <c r="E10317" t="s">
        <v>1315</v>
      </c>
      <c r="F10317" t="s">
        <v>1316</v>
      </c>
      <c r="G10317" t="s">
        <v>226</v>
      </c>
    </row>
    <row r="10318" spans="1:7" x14ac:dyDescent="0.35">
      <c r="A10318" t="s">
        <v>227</v>
      </c>
      <c r="B10318" t="s">
        <v>371</v>
      </c>
      <c r="C10318" s="26">
        <v>0.43619999999999998</v>
      </c>
      <c r="D10318" s="26">
        <v>0.28189999999999998</v>
      </c>
      <c r="E10318" s="26">
        <v>0.255</v>
      </c>
      <c r="F10318" s="26">
        <v>2.6800000000000001E-2</v>
      </c>
      <c r="G10318">
        <v>149</v>
      </c>
    </row>
    <row r="10319" spans="1:7" x14ac:dyDescent="0.35">
      <c r="A10319" t="s">
        <v>228</v>
      </c>
      <c r="B10319" t="s">
        <v>371</v>
      </c>
      <c r="C10319" s="26">
        <v>0.30669999999999997</v>
      </c>
      <c r="D10319" s="26">
        <v>0.3498</v>
      </c>
      <c r="E10319" s="26">
        <v>0.29909999999999998</v>
      </c>
      <c r="F10319" s="26">
        <v>4.4299999999999999E-2</v>
      </c>
      <c r="G10319">
        <v>269</v>
      </c>
    </row>
    <row r="10320" spans="1:7" x14ac:dyDescent="0.35">
      <c r="A10320" t="s">
        <v>228</v>
      </c>
      <c r="B10320" t="s">
        <v>372</v>
      </c>
      <c r="C10320" s="26">
        <v>0.27750000000000002</v>
      </c>
      <c r="D10320" s="26">
        <v>0.39650000000000002</v>
      </c>
      <c r="E10320" s="26">
        <v>0.2717</v>
      </c>
      <c r="F10320" s="26">
        <v>5.4300000000000001E-2</v>
      </c>
      <c r="G10320">
        <v>196</v>
      </c>
    </row>
    <row r="10321" spans="1:7" x14ac:dyDescent="0.35">
      <c r="A10321" t="s">
        <v>228</v>
      </c>
      <c r="B10321" t="s">
        <v>373</v>
      </c>
      <c r="C10321" s="26">
        <v>0.4133</v>
      </c>
      <c r="D10321" s="26">
        <v>0.30819999999999997</v>
      </c>
      <c r="E10321" s="26">
        <v>0.25940000000000002</v>
      </c>
      <c r="F10321" s="26">
        <v>1.9099999999999999E-2</v>
      </c>
      <c r="G10321">
        <v>479</v>
      </c>
    </row>
    <row r="10322" spans="1:7" x14ac:dyDescent="0.35">
      <c r="A10322" t="s">
        <v>229</v>
      </c>
      <c r="B10322" t="s">
        <v>371</v>
      </c>
      <c r="C10322" s="26">
        <v>0.34849999999999998</v>
      </c>
      <c r="D10322" s="26">
        <v>0.32750000000000001</v>
      </c>
      <c r="E10322" s="26">
        <v>0.27300000000000002</v>
      </c>
      <c r="F10322" s="26">
        <v>5.0900000000000001E-2</v>
      </c>
      <c r="G10322">
        <v>514</v>
      </c>
    </row>
    <row r="10323" spans="1:7" x14ac:dyDescent="0.35">
      <c r="A10323" t="s">
        <v>229</v>
      </c>
      <c r="B10323" t="s">
        <v>372</v>
      </c>
      <c r="C10323" s="26">
        <v>0.34029999999999999</v>
      </c>
      <c r="D10323" s="26">
        <v>0.25900000000000001</v>
      </c>
      <c r="E10323" s="26">
        <v>0.34770000000000001</v>
      </c>
      <c r="F10323" s="26">
        <v>5.2999999999999999E-2</v>
      </c>
      <c r="G10323">
        <v>194</v>
      </c>
    </row>
    <row r="10324" spans="1:7" x14ac:dyDescent="0.35">
      <c r="A10324" t="s">
        <v>229</v>
      </c>
      <c r="B10324" t="s">
        <v>373</v>
      </c>
      <c r="C10324" s="26">
        <v>0.53490000000000004</v>
      </c>
      <c r="D10324" s="26">
        <v>0.19739999999999999</v>
      </c>
      <c r="E10324" s="26">
        <v>0.24779999999999999</v>
      </c>
      <c r="F10324" s="26">
        <v>1.9900000000000001E-2</v>
      </c>
      <c r="G10324">
        <v>85</v>
      </c>
    </row>
    <row r="10325" spans="1:7" x14ac:dyDescent="0.35">
      <c r="A10325" t="s">
        <v>230</v>
      </c>
      <c r="B10325" t="s">
        <v>371</v>
      </c>
      <c r="C10325" s="26">
        <v>0.27229999999999999</v>
      </c>
      <c r="D10325" s="26">
        <v>0.37630000000000002</v>
      </c>
      <c r="E10325" s="26">
        <v>0.32419999999999999</v>
      </c>
      <c r="F10325" s="26">
        <v>2.7199999999999998E-2</v>
      </c>
      <c r="G10325">
        <v>238</v>
      </c>
    </row>
    <row r="10326" spans="1:7" x14ac:dyDescent="0.35">
      <c r="A10326" t="s">
        <v>230</v>
      </c>
      <c r="B10326" t="s">
        <v>372</v>
      </c>
      <c r="C10326" s="26">
        <v>0.41120000000000001</v>
      </c>
      <c r="D10326" s="26">
        <v>0.28070000000000001</v>
      </c>
      <c r="E10326" s="26">
        <v>0.248</v>
      </c>
      <c r="F10326" s="26">
        <v>6.0100000000000001E-2</v>
      </c>
      <c r="G10326">
        <v>133</v>
      </c>
    </row>
    <row r="10327" spans="1:7" x14ac:dyDescent="0.35">
      <c r="A10327" t="s">
        <v>230</v>
      </c>
      <c r="B10327" t="s">
        <v>373</v>
      </c>
      <c r="C10327" s="26">
        <v>0.4783</v>
      </c>
      <c r="D10327" s="26">
        <v>0.19980000000000001</v>
      </c>
      <c r="E10327" s="26">
        <v>0.29770000000000002</v>
      </c>
      <c r="F10327" s="26">
        <v>2.4199999999999999E-2</v>
      </c>
      <c r="G10327">
        <v>144</v>
      </c>
    </row>
    <row r="10328" spans="1:7" x14ac:dyDescent="0.35">
      <c r="A10328" t="s">
        <v>231</v>
      </c>
      <c r="B10328" t="s">
        <v>371</v>
      </c>
      <c r="C10328" s="26">
        <v>0.33789999999999998</v>
      </c>
      <c r="D10328" s="26">
        <v>0.29659999999999997</v>
      </c>
      <c r="E10328" s="26">
        <v>0.29659999999999997</v>
      </c>
      <c r="F10328" s="26">
        <v>6.9000000000000006E-2</v>
      </c>
      <c r="G10328">
        <v>145</v>
      </c>
    </row>
    <row r="10329" spans="1:7" x14ac:dyDescent="0.35">
      <c r="A10329" t="s">
        <v>232</v>
      </c>
      <c r="B10329" t="s">
        <v>232</v>
      </c>
      <c r="C10329" s="26">
        <v>0.35639999999999999</v>
      </c>
      <c r="D10329" s="26">
        <v>0.31380000000000002</v>
      </c>
      <c r="E10329" s="26">
        <v>0.28320000000000001</v>
      </c>
      <c r="F10329" s="26">
        <v>4.6600000000000003E-2</v>
      </c>
      <c r="G10329">
        <v>2546</v>
      </c>
    </row>
    <row r="10331" spans="1:7" x14ac:dyDescent="0.35">
      <c r="A10331" s="1" t="s">
        <v>1327</v>
      </c>
    </row>
    <row r="10332" spans="1:7" x14ac:dyDescent="0.35">
      <c r="A10332" t="s">
        <v>219</v>
      </c>
      <c r="B10332" t="s">
        <v>305</v>
      </c>
      <c r="C10332" t="s">
        <v>1313</v>
      </c>
      <c r="D10332" t="s">
        <v>1314</v>
      </c>
      <c r="E10332" t="s">
        <v>1315</v>
      </c>
      <c r="F10332" t="s">
        <v>1316</v>
      </c>
      <c r="G10332" t="s">
        <v>226</v>
      </c>
    </row>
    <row r="10333" spans="1:7" x14ac:dyDescent="0.35">
      <c r="A10333" t="s">
        <v>227</v>
      </c>
      <c r="B10333" t="s">
        <v>255</v>
      </c>
      <c r="C10333" s="26">
        <v>0.45369999999999999</v>
      </c>
      <c r="D10333" s="26">
        <v>0.27779999999999999</v>
      </c>
      <c r="E10333" s="26">
        <v>0.2407</v>
      </c>
      <c r="F10333" s="26">
        <v>2.7799999999999998E-2</v>
      </c>
      <c r="G10333">
        <v>108</v>
      </c>
    </row>
    <row r="10334" spans="1:7" x14ac:dyDescent="0.35">
      <c r="A10334" s="27" t="s">
        <v>227</v>
      </c>
      <c r="B10334" s="27" t="s">
        <v>257</v>
      </c>
      <c r="C10334" s="28">
        <v>0.44440000000000002</v>
      </c>
      <c r="D10334" s="28">
        <v>0.33329999999999999</v>
      </c>
      <c r="E10334" s="28">
        <v>0.22220000000000001</v>
      </c>
      <c r="F10334" s="29"/>
      <c r="G10334" s="29" t="s">
        <v>334</v>
      </c>
    </row>
    <row r="10335" spans="1:7" x14ac:dyDescent="0.35">
      <c r="A10335" t="s">
        <v>227</v>
      </c>
      <c r="B10335" t="s">
        <v>256</v>
      </c>
      <c r="C10335" s="26">
        <v>0.375</v>
      </c>
      <c r="D10335" s="26">
        <v>0.28120000000000001</v>
      </c>
      <c r="E10335" s="26">
        <v>0.3125</v>
      </c>
      <c r="F10335" s="26">
        <v>3.1199999999999999E-2</v>
      </c>
      <c r="G10335">
        <v>32</v>
      </c>
    </row>
    <row r="10336" spans="1:7" x14ac:dyDescent="0.35">
      <c r="A10336" t="s">
        <v>228</v>
      </c>
      <c r="B10336" t="s">
        <v>257</v>
      </c>
      <c r="C10336" s="26">
        <v>0.38400000000000001</v>
      </c>
      <c r="D10336" s="26">
        <v>0.36070000000000002</v>
      </c>
      <c r="E10336" s="26">
        <v>0.24460000000000001</v>
      </c>
      <c r="F10336" s="26">
        <v>1.0699999999999999E-2</v>
      </c>
      <c r="G10336">
        <v>47</v>
      </c>
    </row>
    <row r="10337" spans="1:7" x14ac:dyDescent="0.35">
      <c r="A10337" s="27" t="s">
        <v>228</v>
      </c>
      <c r="B10337" s="27" t="s">
        <v>258</v>
      </c>
      <c r="C10337" s="28">
        <v>0.80389999999999995</v>
      </c>
      <c r="D10337" s="29"/>
      <c r="E10337" s="28">
        <v>9.8100000000000007E-2</v>
      </c>
      <c r="F10337" s="28">
        <v>9.8100000000000007E-2</v>
      </c>
      <c r="G10337" s="29" t="s">
        <v>337</v>
      </c>
    </row>
    <row r="10338" spans="1:7" x14ac:dyDescent="0.35">
      <c r="A10338" t="s">
        <v>228</v>
      </c>
      <c r="B10338" t="s">
        <v>256</v>
      </c>
      <c r="C10338" s="26">
        <v>0.29299999999999998</v>
      </c>
      <c r="D10338" s="26">
        <v>0.21310000000000001</v>
      </c>
      <c r="E10338" s="26">
        <v>0.4259</v>
      </c>
      <c r="F10338" s="26">
        <v>6.8000000000000005E-2</v>
      </c>
      <c r="G10338">
        <v>198</v>
      </c>
    </row>
    <row r="10339" spans="1:7" x14ac:dyDescent="0.35">
      <c r="A10339" t="s">
        <v>228</v>
      </c>
      <c r="B10339" t="s">
        <v>255</v>
      </c>
      <c r="C10339" s="26">
        <v>0.35770000000000002</v>
      </c>
      <c r="D10339" s="26">
        <v>0.3805</v>
      </c>
      <c r="E10339" s="26">
        <v>0.2364</v>
      </c>
      <c r="F10339" s="26">
        <v>2.5399999999999999E-2</v>
      </c>
      <c r="G10339">
        <v>695</v>
      </c>
    </row>
    <row r="10340" spans="1:7" x14ac:dyDescent="0.35">
      <c r="A10340" t="s">
        <v>229</v>
      </c>
      <c r="B10340" t="s">
        <v>256</v>
      </c>
      <c r="C10340" s="26">
        <v>0.33379999999999999</v>
      </c>
      <c r="D10340" s="26">
        <v>0.2591</v>
      </c>
      <c r="E10340" s="26">
        <v>0.36830000000000002</v>
      </c>
      <c r="F10340" s="26">
        <v>3.8899999999999997E-2</v>
      </c>
      <c r="G10340">
        <v>182</v>
      </c>
    </row>
    <row r="10341" spans="1:7" x14ac:dyDescent="0.35">
      <c r="A10341" t="s">
        <v>229</v>
      </c>
      <c r="B10341" t="s">
        <v>255</v>
      </c>
      <c r="C10341" s="26">
        <v>0.37640000000000001</v>
      </c>
      <c r="D10341" s="26">
        <v>0.33510000000000001</v>
      </c>
      <c r="E10341" s="26">
        <v>0.23530000000000001</v>
      </c>
      <c r="F10341" s="26">
        <v>5.3199999999999997E-2</v>
      </c>
      <c r="G10341">
        <v>569</v>
      </c>
    </row>
    <row r="10342" spans="1:7" x14ac:dyDescent="0.35">
      <c r="A10342" t="s">
        <v>229</v>
      </c>
      <c r="B10342" t="s">
        <v>257</v>
      </c>
      <c r="C10342" s="26">
        <v>0.16930000000000001</v>
      </c>
      <c r="D10342" s="26">
        <v>0.4541</v>
      </c>
      <c r="E10342" s="26">
        <v>0.30499999999999999</v>
      </c>
      <c r="F10342" s="26">
        <v>7.1599999999999997E-2</v>
      </c>
      <c r="G10342">
        <v>40</v>
      </c>
    </row>
    <row r="10343" spans="1:7" x14ac:dyDescent="0.35">
      <c r="A10343" s="27" t="s">
        <v>229</v>
      </c>
      <c r="B10343" s="27" t="s">
        <v>258</v>
      </c>
      <c r="C10343" s="29"/>
      <c r="D10343" s="28">
        <v>0.77590000000000003</v>
      </c>
      <c r="E10343" s="28">
        <v>0.22409999999999999</v>
      </c>
      <c r="F10343" s="29"/>
      <c r="G10343" s="29" t="s">
        <v>314</v>
      </c>
    </row>
    <row r="10344" spans="1:7" x14ac:dyDescent="0.35">
      <c r="A10344" t="s">
        <v>230</v>
      </c>
      <c r="B10344" t="s">
        <v>256</v>
      </c>
      <c r="C10344" s="26">
        <v>0.23949999999999999</v>
      </c>
      <c r="D10344" s="26">
        <v>0.33589999999999998</v>
      </c>
      <c r="E10344" s="26">
        <v>0.37919999999999998</v>
      </c>
      <c r="F10344" s="26">
        <v>4.5499999999999999E-2</v>
      </c>
      <c r="G10344">
        <v>117</v>
      </c>
    </row>
    <row r="10345" spans="1:7" x14ac:dyDescent="0.35">
      <c r="A10345" t="s">
        <v>230</v>
      </c>
      <c r="B10345" t="s">
        <v>255</v>
      </c>
      <c r="C10345" s="26">
        <v>0.35039999999999999</v>
      </c>
      <c r="D10345" s="26">
        <v>0.32569999999999999</v>
      </c>
      <c r="E10345" s="26">
        <v>0.2984</v>
      </c>
      <c r="F10345" s="26">
        <v>2.5499999999999998E-2</v>
      </c>
      <c r="G10345">
        <v>359</v>
      </c>
    </row>
    <row r="10346" spans="1:7" x14ac:dyDescent="0.35">
      <c r="A10346" t="s">
        <v>230</v>
      </c>
      <c r="B10346" t="s">
        <v>257</v>
      </c>
      <c r="C10346" s="26">
        <v>0.1875</v>
      </c>
      <c r="D10346" s="26">
        <v>0.61550000000000005</v>
      </c>
      <c r="E10346" s="26">
        <v>0.19700000000000001</v>
      </c>
      <c r="G10346">
        <v>36</v>
      </c>
    </row>
    <row r="10347" spans="1:7" x14ac:dyDescent="0.35">
      <c r="A10347" s="27" t="s">
        <v>230</v>
      </c>
      <c r="B10347" s="27" t="s">
        <v>258</v>
      </c>
      <c r="C10347" s="28">
        <v>0.17730000000000001</v>
      </c>
      <c r="D10347" s="29"/>
      <c r="E10347" s="28">
        <v>0.82269999999999999</v>
      </c>
      <c r="F10347" s="29"/>
      <c r="G10347" s="29" t="s">
        <v>315</v>
      </c>
    </row>
    <row r="10348" spans="1:7" x14ac:dyDescent="0.35">
      <c r="A10348" s="27" t="s">
        <v>231</v>
      </c>
      <c r="B10348" s="27" t="s">
        <v>257</v>
      </c>
      <c r="C10348" s="28">
        <v>0.42859999999999998</v>
      </c>
      <c r="D10348" s="28">
        <v>0.42859999999999998</v>
      </c>
      <c r="E10348" s="28">
        <v>0.1429</v>
      </c>
      <c r="F10348" s="29"/>
      <c r="G10348" s="29" t="s">
        <v>339</v>
      </c>
    </row>
    <row r="10349" spans="1:7" x14ac:dyDescent="0.35">
      <c r="A10349" t="s">
        <v>231</v>
      </c>
      <c r="B10349" t="s">
        <v>255</v>
      </c>
      <c r="C10349" s="26">
        <v>0.40710000000000002</v>
      </c>
      <c r="D10349" s="26">
        <v>0.26550000000000001</v>
      </c>
      <c r="E10349" s="26">
        <v>0.25659999999999999</v>
      </c>
      <c r="F10349" s="26">
        <v>7.0800000000000002E-2</v>
      </c>
      <c r="G10349">
        <v>113</v>
      </c>
    </row>
    <row r="10350" spans="1:7" x14ac:dyDescent="0.35">
      <c r="A10350" s="27" t="s">
        <v>231</v>
      </c>
      <c r="B10350" s="27" t="s">
        <v>256</v>
      </c>
      <c r="C10350" s="29"/>
      <c r="D10350" s="28">
        <v>0.4</v>
      </c>
      <c r="E10350" s="28">
        <v>0.52</v>
      </c>
      <c r="F10350" s="28">
        <v>0.08</v>
      </c>
      <c r="G10350" s="29" t="s">
        <v>312</v>
      </c>
    </row>
    <row r="10351" spans="1:7" x14ac:dyDescent="0.35">
      <c r="A10351" t="s">
        <v>232</v>
      </c>
      <c r="B10351" t="s">
        <v>232</v>
      </c>
      <c r="C10351" s="26">
        <v>0.35639999999999999</v>
      </c>
      <c r="D10351" s="26">
        <v>0.31380000000000002</v>
      </c>
      <c r="E10351" s="26">
        <v>0.28320000000000001</v>
      </c>
      <c r="F10351" s="26">
        <v>4.6600000000000003E-2</v>
      </c>
      <c r="G10351">
        <v>2546</v>
      </c>
    </row>
    <row r="10353" spans="1:7" x14ac:dyDescent="0.35">
      <c r="A10353" s="1" t="s">
        <v>1328</v>
      </c>
    </row>
    <row r="10354" spans="1:7" x14ac:dyDescent="0.35">
      <c r="A10354" t="s">
        <v>219</v>
      </c>
      <c r="B10354" t="s">
        <v>302</v>
      </c>
      <c r="C10354" t="s">
        <v>303</v>
      </c>
      <c r="D10354" t="s">
        <v>281</v>
      </c>
      <c r="E10354" t="s">
        <v>286</v>
      </c>
      <c r="F10354" t="s">
        <v>226</v>
      </c>
    </row>
    <row r="10355" spans="1:7" x14ac:dyDescent="0.35">
      <c r="A10355" t="s">
        <v>227</v>
      </c>
      <c r="B10355" s="26">
        <v>1</v>
      </c>
      <c r="F10355">
        <v>161</v>
      </c>
    </row>
    <row r="10356" spans="1:7" x14ac:dyDescent="0.35">
      <c r="A10356" t="s">
        <v>228</v>
      </c>
      <c r="B10356" s="26">
        <v>0.64500000000000002</v>
      </c>
      <c r="C10356" s="26">
        <v>0.34410000000000002</v>
      </c>
      <c r="D10356" s="26">
        <v>9.2999999999999992E-3</v>
      </c>
      <c r="E10356" s="26">
        <v>1.5E-3</v>
      </c>
      <c r="F10356">
        <v>1033</v>
      </c>
    </row>
    <row r="10357" spans="1:7" x14ac:dyDescent="0.35">
      <c r="A10357" t="s">
        <v>229</v>
      </c>
      <c r="B10357" s="26">
        <v>0.78680000000000005</v>
      </c>
      <c r="C10357" s="26">
        <v>0.2051</v>
      </c>
      <c r="D10357" s="26">
        <v>7.4000000000000003E-3</v>
      </c>
      <c r="E10357" s="26">
        <v>5.9999999999999995E-4</v>
      </c>
      <c r="F10357">
        <v>895</v>
      </c>
    </row>
    <row r="10358" spans="1:7" x14ac:dyDescent="0.35">
      <c r="A10358" t="s">
        <v>230</v>
      </c>
      <c r="B10358" s="26">
        <v>0.75649999999999995</v>
      </c>
      <c r="C10358" s="26">
        <v>0.23330000000000001</v>
      </c>
      <c r="D10358" s="26">
        <v>1.01E-2</v>
      </c>
      <c r="F10358">
        <v>560</v>
      </c>
    </row>
    <row r="10359" spans="1:7" x14ac:dyDescent="0.35">
      <c r="A10359" t="s">
        <v>231</v>
      </c>
      <c r="B10359" s="26">
        <v>0.98780000000000001</v>
      </c>
      <c r="D10359" s="26">
        <v>6.1000000000000004E-3</v>
      </c>
      <c r="E10359" s="26">
        <v>6.1000000000000004E-3</v>
      </c>
      <c r="F10359">
        <v>164</v>
      </c>
    </row>
    <row r="10360" spans="1:7" x14ac:dyDescent="0.35">
      <c r="A10360" t="s">
        <v>232</v>
      </c>
      <c r="B10360" s="26">
        <v>0.84379999999999999</v>
      </c>
      <c r="C10360" s="26">
        <v>0.14749999999999999</v>
      </c>
      <c r="D10360" s="26">
        <v>6.6E-3</v>
      </c>
      <c r="E10360" s="26">
        <v>2.0999999999999999E-3</v>
      </c>
      <c r="F10360">
        <v>2813</v>
      </c>
    </row>
    <row r="10362" spans="1:7" x14ac:dyDescent="0.35">
      <c r="A10362" s="1" t="s">
        <v>1329</v>
      </c>
    </row>
    <row r="10363" spans="1:7" x14ac:dyDescent="0.35">
      <c r="A10363" t="s">
        <v>219</v>
      </c>
      <c r="B10363" t="s">
        <v>305</v>
      </c>
      <c r="C10363" t="s">
        <v>302</v>
      </c>
      <c r="D10363" t="s">
        <v>303</v>
      </c>
      <c r="E10363" t="s">
        <v>281</v>
      </c>
      <c r="F10363" t="s">
        <v>286</v>
      </c>
      <c r="G10363" t="s">
        <v>226</v>
      </c>
    </row>
    <row r="10364" spans="1:7" x14ac:dyDescent="0.35">
      <c r="A10364" t="s">
        <v>227</v>
      </c>
      <c r="B10364" t="s">
        <v>242</v>
      </c>
      <c r="C10364" s="26">
        <v>1</v>
      </c>
      <c r="G10364">
        <v>68</v>
      </c>
    </row>
    <row r="10365" spans="1:7" x14ac:dyDescent="0.35">
      <c r="A10365" t="s">
        <v>227</v>
      </c>
      <c r="B10365" t="s">
        <v>241</v>
      </c>
      <c r="C10365" s="26">
        <v>1</v>
      </c>
      <c r="G10365">
        <v>93</v>
      </c>
    </row>
    <row r="10366" spans="1:7" x14ac:dyDescent="0.35">
      <c r="A10366" t="s">
        <v>228</v>
      </c>
      <c r="B10366" t="s">
        <v>242</v>
      </c>
      <c r="C10366" s="26">
        <v>0.58520000000000005</v>
      </c>
      <c r="D10366" s="26">
        <v>0.39650000000000002</v>
      </c>
      <c r="E10366" s="26">
        <v>1.4999999999999999E-2</v>
      </c>
      <c r="F10366" s="26">
        <v>3.3E-3</v>
      </c>
      <c r="G10366">
        <v>402</v>
      </c>
    </row>
    <row r="10367" spans="1:7" x14ac:dyDescent="0.35">
      <c r="A10367" t="s">
        <v>228</v>
      </c>
      <c r="B10367" t="s">
        <v>241</v>
      </c>
      <c r="C10367" s="26">
        <v>0.67910000000000004</v>
      </c>
      <c r="D10367" s="26">
        <v>0.31430000000000002</v>
      </c>
      <c r="E10367" s="26">
        <v>6.1000000000000004E-3</v>
      </c>
      <c r="F10367" s="26">
        <v>5.9999999999999995E-4</v>
      </c>
      <c r="G10367">
        <v>631</v>
      </c>
    </row>
    <row r="10368" spans="1:7" x14ac:dyDescent="0.35">
      <c r="A10368" t="s">
        <v>229</v>
      </c>
      <c r="B10368" t="s">
        <v>242</v>
      </c>
      <c r="C10368" s="26">
        <v>0.80379999999999996</v>
      </c>
      <c r="D10368" s="26">
        <v>0.18770000000000001</v>
      </c>
      <c r="E10368" s="26">
        <v>8.5000000000000006E-3</v>
      </c>
      <c r="G10368">
        <v>292</v>
      </c>
    </row>
    <row r="10369" spans="1:7" x14ac:dyDescent="0.35">
      <c r="A10369" t="s">
        <v>229</v>
      </c>
      <c r="B10369" t="s">
        <v>241</v>
      </c>
      <c r="C10369" s="26">
        <v>0.77600000000000002</v>
      </c>
      <c r="D10369" s="26">
        <v>0.21629999999999999</v>
      </c>
      <c r="E10369" s="26">
        <v>6.7000000000000002E-3</v>
      </c>
      <c r="F10369" s="26">
        <v>1E-3</v>
      </c>
      <c r="G10369">
        <v>603</v>
      </c>
    </row>
    <row r="10370" spans="1:7" x14ac:dyDescent="0.35">
      <c r="A10370" t="s">
        <v>230</v>
      </c>
      <c r="B10370" t="s">
        <v>242</v>
      </c>
      <c r="C10370" s="26">
        <v>0.77900000000000003</v>
      </c>
      <c r="D10370" s="26">
        <v>0.1971</v>
      </c>
      <c r="E10370" s="26">
        <v>2.3800000000000002E-2</v>
      </c>
      <c r="G10370">
        <v>189</v>
      </c>
    </row>
    <row r="10371" spans="1:7" x14ac:dyDescent="0.35">
      <c r="A10371" t="s">
        <v>230</v>
      </c>
      <c r="B10371" t="s">
        <v>241</v>
      </c>
      <c r="C10371" s="26">
        <v>0.74509999999999998</v>
      </c>
      <c r="D10371" s="26">
        <v>0.25190000000000001</v>
      </c>
      <c r="E10371" s="26">
        <v>3.0999999999999999E-3</v>
      </c>
      <c r="G10371">
        <v>371</v>
      </c>
    </row>
    <row r="10372" spans="1:7" x14ac:dyDescent="0.35">
      <c r="A10372" t="s">
        <v>231</v>
      </c>
      <c r="B10372" t="s">
        <v>242</v>
      </c>
      <c r="C10372" s="26">
        <v>1</v>
      </c>
      <c r="G10372">
        <v>54</v>
      </c>
    </row>
    <row r="10373" spans="1:7" x14ac:dyDescent="0.35">
      <c r="A10373" t="s">
        <v>231</v>
      </c>
      <c r="B10373" t="s">
        <v>241</v>
      </c>
      <c r="C10373" s="26">
        <v>0.98180000000000001</v>
      </c>
      <c r="E10373" s="26">
        <v>9.1000000000000004E-3</v>
      </c>
      <c r="F10373" s="26">
        <v>9.1000000000000004E-3</v>
      </c>
      <c r="G10373">
        <v>110</v>
      </c>
    </row>
    <row r="10374" spans="1:7" x14ac:dyDescent="0.35">
      <c r="A10374" t="s">
        <v>232</v>
      </c>
      <c r="B10374" t="s">
        <v>232</v>
      </c>
      <c r="C10374" s="26">
        <v>0.84379999999999999</v>
      </c>
      <c r="D10374" s="26">
        <v>0.14749999999999999</v>
      </c>
      <c r="E10374" s="26">
        <v>6.6E-3</v>
      </c>
      <c r="F10374" s="26">
        <v>2.0999999999999999E-3</v>
      </c>
      <c r="G10374">
        <v>2813</v>
      </c>
    </row>
    <row r="10376" spans="1:7" x14ac:dyDescent="0.35">
      <c r="A10376" s="1" t="s">
        <v>1330</v>
      </c>
    </row>
    <row r="10377" spans="1:7" x14ac:dyDescent="0.35">
      <c r="A10377" t="s">
        <v>219</v>
      </c>
      <c r="B10377" t="s">
        <v>305</v>
      </c>
      <c r="C10377" t="s">
        <v>302</v>
      </c>
      <c r="D10377" t="s">
        <v>303</v>
      </c>
      <c r="E10377" t="s">
        <v>281</v>
      </c>
      <c r="F10377" t="s">
        <v>286</v>
      </c>
      <c r="G10377" t="s">
        <v>226</v>
      </c>
    </row>
    <row r="10378" spans="1:7" x14ac:dyDescent="0.35">
      <c r="A10378" t="s">
        <v>227</v>
      </c>
      <c r="B10378" t="s">
        <v>239</v>
      </c>
      <c r="C10378" s="26">
        <v>1</v>
      </c>
      <c r="G10378">
        <v>62</v>
      </c>
    </row>
    <row r="10379" spans="1:7" x14ac:dyDescent="0.35">
      <c r="A10379" t="s">
        <v>227</v>
      </c>
      <c r="B10379" t="s">
        <v>238</v>
      </c>
      <c r="C10379" s="26">
        <v>1</v>
      </c>
      <c r="G10379">
        <v>99</v>
      </c>
    </row>
    <row r="10380" spans="1:7" x14ac:dyDescent="0.35">
      <c r="A10380" t="s">
        <v>228</v>
      </c>
      <c r="B10380" t="s">
        <v>239</v>
      </c>
      <c r="C10380" s="26">
        <v>0.69550000000000001</v>
      </c>
      <c r="D10380" s="26">
        <v>0.29899999999999999</v>
      </c>
      <c r="E10380" s="26">
        <v>3.7000000000000002E-3</v>
      </c>
      <c r="F10380" s="26">
        <v>1.6999999999999999E-3</v>
      </c>
      <c r="G10380">
        <v>330</v>
      </c>
    </row>
    <row r="10381" spans="1:7" x14ac:dyDescent="0.35">
      <c r="A10381" t="s">
        <v>228</v>
      </c>
      <c r="B10381" t="s">
        <v>238</v>
      </c>
      <c r="C10381" s="26">
        <v>0.63180000000000003</v>
      </c>
      <c r="D10381" s="26">
        <v>0.35589999999999999</v>
      </c>
      <c r="E10381" s="26">
        <v>1.0800000000000001E-2</v>
      </c>
      <c r="F10381" s="26">
        <v>1.5E-3</v>
      </c>
      <c r="G10381">
        <v>703</v>
      </c>
    </row>
    <row r="10382" spans="1:7" x14ac:dyDescent="0.35">
      <c r="A10382" t="s">
        <v>229</v>
      </c>
      <c r="B10382" t="s">
        <v>239</v>
      </c>
      <c r="C10382" s="26">
        <v>0.84919999999999995</v>
      </c>
      <c r="D10382" s="26">
        <v>0.14030000000000001</v>
      </c>
      <c r="E10382" s="26">
        <v>1.0500000000000001E-2</v>
      </c>
      <c r="G10382">
        <v>332</v>
      </c>
    </row>
    <row r="10383" spans="1:7" x14ac:dyDescent="0.35">
      <c r="A10383" t="s">
        <v>229</v>
      </c>
      <c r="B10383" t="s">
        <v>238</v>
      </c>
      <c r="C10383" s="26">
        <v>0.76549999999999996</v>
      </c>
      <c r="D10383" s="26">
        <v>0.2273</v>
      </c>
      <c r="E10383" s="26">
        <v>6.4000000000000003E-3</v>
      </c>
      <c r="F10383" s="26">
        <v>8.0000000000000004E-4</v>
      </c>
      <c r="G10383">
        <v>563</v>
      </c>
    </row>
    <row r="10384" spans="1:7" x14ac:dyDescent="0.35">
      <c r="A10384" t="s">
        <v>230</v>
      </c>
      <c r="B10384" t="s">
        <v>239</v>
      </c>
      <c r="C10384" s="26">
        <v>0.83299999999999996</v>
      </c>
      <c r="D10384" s="26">
        <v>0.16400000000000001</v>
      </c>
      <c r="E10384" s="26">
        <v>3.0000000000000001E-3</v>
      </c>
      <c r="G10384">
        <v>211</v>
      </c>
    </row>
    <row r="10385" spans="1:7" x14ac:dyDescent="0.35">
      <c r="A10385" t="s">
        <v>230</v>
      </c>
      <c r="B10385" t="s">
        <v>238</v>
      </c>
      <c r="C10385" s="26">
        <v>0.72360000000000002</v>
      </c>
      <c r="D10385" s="26">
        <v>0.26329999999999998</v>
      </c>
      <c r="E10385" s="26">
        <v>1.32E-2</v>
      </c>
      <c r="G10385">
        <v>349</v>
      </c>
    </row>
    <row r="10386" spans="1:7" x14ac:dyDescent="0.35">
      <c r="A10386" t="s">
        <v>231</v>
      </c>
      <c r="B10386" t="s">
        <v>239</v>
      </c>
      <c r="C10386" s="26">
        <v>0.98250000000000004</v>
      </c>
      <c r="E10386" s="26">
        <v>1.7500000000000002E-2</v>
      </c>
      <c r="G10386">
        <v>57</v>
      </c>
    </row>
    <row r="10387" spans="1:7" x14ac:dyDescent="0.35">
      <c r="A10387" t="s">
        <v>231</v>
      </c>
      <c r="B10387" t="s">
        <v>238</v>
      </c>
      <c r="C10387" s="26">
        <v>0.99070000000000003</v>
      </c>
      <c r="F10387" s="26">
        <v>9.2999999999999992E-3</v>
      </c>
      <c r="G10387">
        <v>107</v>
      </c>
    </row>
    <row r="10388" spans="1:7" x14ac:dyDescent="0.35">
      <c r="A10388" t="s">
        <v>232</v>
      </c>
      <c r="B10388" t="s">
        <v>232</v>
      </c>
      <c r="C10388" s="26">
        <v>0.84379999999999999</v>
      </c>
      <c r="D10388" s="26">
        <v>0.14749999999999999</v>
      </c>
      <c r="E10388" s="26">
        <v>6.6E-3</v>
      </c>
      <c r="F10388" s="26">
        <v>2.0999999999999999E-3</v>
      </c>
      <c r="G10388">
        <v>2813</v>
      </c>
    </row>
    <row r="10390" spans="1:7" x14ac:dyDescent="0.35">
      <c r="A10390" s="1" t="s">
        <v>1331</v>
      </c>
    </row>
    <row r="10391" spans="1:7" x14ac:dyDescent="0.35">
      <c r="A10391" t="s">
        <v>219</v>
      </c>
      <c r="B10391" t="s">
        <v>305</v>
      </c>
      <c r="C10391" t="s">
        <v>302</v>
      </c>
      <c r="D10391" t="s">
        <v>303</v>
      </c>
      <c r="E10391" t="s">
        <v>281</v>
      </c>
      <c r="F10391" t="s">
        <v>286</v>
      </c>
      <c r="G10391" t="s">
        <v>226</v>
      </c>
    </row>
    <row r="10392" spans="1:7" x14ac:dyDescent="0.35">
      <c r="A10392" t="s">
        <v>227</v>
      </c>
      <c r="B10392" t="s">
        <v>244</v>
      </c>
      <c r="C10392" s="26">
        <v>1</v>
      </c>
      <c r="G10392">
        <v>96</v>
      </c>
    </row>
    <row r="10393" spans="1:7" x14ac:dyDescent="0.35">
      <c r="A10393" t="s">
        <v>227</v>
      </c>
      <c r="B10393" t="s">
        <v>245</v>
      </c>
      <c r="C10393" s="26">
        <v>1</v>
      </c>
      <c r="G10393">
        <v>53</v>
      </c>
    </row>
    <row r="10394" spans="1:7" x14ac:dyDescent="0.35">
      <c r="A10394" s="27" t="s">
        <v>227</v>
      </c>
      <c r="B10394" s="27" t="s">
        <v>246</v>
      </c>
      <c r="C10394" s="28">
        <v>1</v>
      </c>
      <c r="D10394" s="29"/>
      <c r="E10394" s="29"/>
      <c r="F10394" s="29"/>
      <c r="G10394" s="29" t="s">
        <v>342</v>
      </c>
    </row>
    <row r="10395" spans="1:7" x14ac:dyDescent="0.35">
      <c r="A10395" t="s">
        <v>228</v>
      </c>
      <c r="B10395" t="s">
        <v>244</v>
      </c>
      <c r="C10395" s="26">
        <v>0.67869999999999997</v>
      </c>
      <c r="D10395" s="26">
        <v>0.31069999999999998</v>
      </c>
      <c r="E10395" s="26">
        <v>8.8000000000000005E-3</v>
      </c>
      <c r="F10395" s="26">
        <v>1.8E-3</v>
      </c>
      <c r="G10395">
        <v>638</v>
      </c>
    </row>
    <row r="10396" spans="1:7" x14ac:dyDescent="0.35">
      <c r="A10396" t="s">
        <v>228</v>
      </c>
      <c r="B10396" t="s">
        <v>245</v>
      </c>
      <c r="C10396" s="26">
        <v>0.57469999999999999</v>
      </c>
      <c r="D10396" s="26">
        <v>0.41110000000000002</v>
      </c>
      <c r="E10396" s="26">
        <v>1.29E-2</v>
      </c>
      <c r="F10396" s="26">
        <v>1.2999999999999999E-3</v>
      </c>
      <c r="G10396">
        <v>328</v>
      </c>
    </row>
    <row r="10397" spans="1:7" x14ac:dyDescent="0.35">
      <c r="A10397" t="s">
        <v>228</v>
      </c>
      <c r="B10397" t="s">
        <v>246</v>
      </c>
      <c r="C10397" s="26">
        <v>0.60860000000000003</v>
      </c>
      <c r="D10397" s="26">
        <v>0.39140000000000003</v>
      </c>
      <c r="G10397">
        <v>67</v>
      </c>
    </row>
    <row r="10398" spans="1:7" x14ac:dyDescent="0.35">
      <c r="A10398" t="s">
        <v>229</v>
      </c>
      <c r="B10398" t="s">
        <v>244</v>
      </c>
      <c r="C10398" s="26">
        <v>0.77639999999999998</v>
      </c>
      <c r="D10398" s="26">
        <v>0.22059999999999999</v>
      </c>
      <c r="E10398" s="26">
        <v>2.3999999999999998E-3</v>
      </c>
      <c r="F10398" s="26">
        <v>5.9999999999999995E-4</v>
      </c>
      <c r="G10398">
        <v>557</v>
      </c>
    </row>
    <row r="10399" spans="1:7" x14ac:dyDescent="0.35">
      <c r="A10399" t="s">
        <v>229</v>
      </c>
      <c r="B10399" t="s">
        <v>245</v>
      </c>
      <c r="C10399" s="26">
        <v>0.79890000000000005</v>
      </c>
      <c r="D10399" s="26">
        <v>0.17829999999999999</v>
      </c>
      <c r="E10399" s="26">
        <v>2.2100000000000002E-2</v>
      </c>
      <c r="F10399" s="26">
        <v>6.9999999999999999E-4</v>
      </c>
      <c r="G10399">
        <v>293</v>
      </c>
    </row>
    <row r="10400" spans="1:7" x14ac:dyDescent="0.35">
      <c r="A10400" t="s">
        <v>229</v>
      </c>
      <c r="B10400" t="s">
        <v>246</v>
      </c>
      <c r="C10400" s="26">
        <v>0.86550000000000005</v>
      </c>
      <c r="D10400" s="26">
        <v>0.13139999999999999</v>
      </c>
      <c r="E10400" s="26">
        <v>3.2000000000000002E-3</v>
      </c>
      <c r="G10400">
        <v>45</v>
      </c>
    </row>
    <row r="10401" spans="1:7" x14ac:dyDescent="0.35">
      <c r="A10401" t="s">
        <v>230</v>
      </c>
      <c r="B10401" t="s">
        <v>244</v>
      </c>
      <c r="C10401" s="26">
        <v>0.75609999999999999</v>
      </c>
      <c r="D10401" s="26">
        <v>0.24390000000000001</v>
      </c>
      <c r="G10401">
        <v>370</v>
      </c>
    </row>
    <row r="10402" spans="1:7" x14ac:dyDescent="0.35">
      <c r="A10402" t="s">
        <v>230</v>
      </c>
      <c r="B10402" t="s">
        <v>245</v>
      </c>
      <c r="C10402" s="26">
        <v>0.73340000000000005</v>
      </c>
      <c r="D10402" s="26">
        <v>0.22770000000000001</v>
      </c>
      <c r="E10402" s="26">
        <v>3.8899999999999997E-2</v>
      </c>
      <c r="G10402">
        <v>161</v>
      </c>
    </row>
    <row r="10403" spans="1:7" x14ac:dyDescent="0.35">
      <c r="A10403" s="27" t="s">
        <v>230</v>
      </c>
      <c r="B10403" s="27" t="s">
        <v>246</v>
      </c>
      <c r="C10403" s="28">
        <v>0.88719999999999999</v>
      </c>
      <c r="D10403" s="28">
        <v>0.1128</v>
      </c>
      <c r="E10403" s="29"/>
      <c r="F10403" s="29"/>
      <c r="G10403" s="29" t="s">
        <v>329</v>
      </c>
    </row>
    <row r="10404" spans="1:7" x14ac:dyDescent="0.35">
      <c r="A10404" t="s">
        <v>231</v>
      </c>
      <c r="B10404" t="s">
        <v>244</v>
      </c>
      <c r="C10404" s="26">
        <v>0.97889999999999999</v>
      </c>
      <c r="E10404" s="26">
        <v>1.0500000000000001E-2</v>
      </c>
      <c r="F10404" s="26">
        <v>1.0500000000000001E-2</v>
      </c>
      <c r="G10404">
        <v>95</v>
      </c>
    </row>
    <row r="10405" spans="1:7" x14ac:dyDescent="0.35">
      <c r="A10405" t="s">
        <v>231</v>
      </c>
      <c r="B10405" t="s">
        <v>245</v>
      </c>
      <c r="C10405" s="26">
        <v>1</v>
      </c>
      <c r="G10405">
        <v>56</v>
      </c>
    </row>
    <row r="10406" spans="1:7" x14ac:dyDescent="0.35">
      <c r="A10406" s="27" t="s">
        <v>231</v>
      </c>
      <c r="B10406" s="27" t="s">
        <v>246</v>
      </c>
      <c r="C10406" s="28">
        <v>1</v>
      </c>
      <c r="D10406" s="29"/>
      <c r="E10406" s="29"/>
      <c r="F10406" s="29"/>
      <c r="G10406" s="29" t="s">
        <v>341</v>
      </c>
    </row>
    <row r="10407" spans="1:7" x14ac:dyDescent="0.35">
      <c r="A10407" t="s">
        <v>232</v>
      </c>
      <c r="B10407" t="s">
        <v>232</v>
      </c>
      <c r="C10407" s="26">
        <v>0.84379999999999999</v>
      </c>
      <c r="D10407" s="26">
        <v>0.14749999999999999</v>
      </c>
      <c r="E10407" s="26">
        <v>6.6E-3</v>
      </c>
      <c r="F10407" s="26">
        <v>2.0999999999999999E-3</v>
      </c>
      <c r="G10407">
        <v>2813</v>
      </c>
    </row>
    <row r="10409" spans="1:7" x14ac:dyDescent="0.35">
      <c r="A10409" s="1" t="s">
        <v>1332</v>
      </c>
    </row>
    <row r="10410" spans="1:7" x14ac:dyDescent="0.35">
      <c r="A10410" t="s">
        <v>219</v>
      </c>
      <c r="B10410" t="s">
        <v>305</v>
      </c>
      <c r="C10410" t="s">
        <v>302</v>
      </c>
      <c r="D10410" t="s">
        <v>303</v>
      </c>
      <c r="E10410" t="s">
        <v>281</v>
      </c>
      <c r="F10410" t="s">
        <v>286</v>
      </c>
      <c r="G10410" t="s">
        <v>226</v>
      </c>
    </row>
    <row r="10411" spans="1:7" x14ac:dyDescent="0.35">
      <c r="A10411" t="s">
        <v>227</v>
      </c>
      <c r="B10411" t="s">
        <v>360</v>
      </c>
      <c r="C10411" s="26">
        <v>1</v>
      </c>
      <c r="G10411">
        <v>39</v>
      </c>
    </row>
    <row r="10412" spans="1:7" x14ac:dyDescent="0.35">
      <c r="A10412" t="s">
        <v>227</v>
      </c>
      <c r="B10412" t="s">
        <v>361</v>
      </c>
      <c r="C10412" s="26">
        <v>1</v>
      </c>
      <c r="G10412">
        <v>32</v>
      </c>
    </row>
    <row r="10413" spans="1:7" x14ac:dyDescent="0.35">
      <c r="A10413" t="s">
        <v>227</v>
      </c>
      <c r="B10413" t="s">
        <v>362</v>
      </c>
      <c r="C10413" s="26">
        <v>1</v>
      </c>
      <c r="G10413">
        <v>37</v>
      </c>
    </row>
    <row r="10414" spans="1:7" x14ac:dyDescent="0.35">
      <c r="A10414" t="s">
        <v>227</v>
      </c>
      <c r="B10414" t="s">
        <v>363</v>
      </c>
      <c r="C10414" s="26">
        <v>1</v>
      </c>
      <c r="G10414">
        <v>45</v>
      </c>
    </row>
    <row r="10415" spans="1:7" x14ac:dyDescent="0.35">
      <c r="A10415" t="s">
        <v>228</v>
      </c>
      <c r="B10415" t="s">
        <v>360</v>
      </c>
      <c r="C10415" s="26">
        <v>0.60680000000000001</v>
      </c>
      <c r="D10415" s="26">
        <v>0.37359999999999999</v>
      </c>
      <c r="E10415" s="26">
        <v>1.3599999999999999E-2</v>
      </c>
      <c r="F10415" s="26">
        <v>6.0000000000000001E-3</v>
      </c>
      <c r="G10415">
        <v>258</v>
      </c>
    </row>
    <row r="10416" spans="1:7" x14ac:dyDescent="0.35">
      <c r="A10416" t="s">
        <v>228</v>
      </c>
      <c r="B10416" t="s">
        <v>361</v>
      </c>
      <c r="C10416" s="26">
        <v>0.57940000000000003</v>
      </c>
      <c r="D10416" s="26">
        <v>0.42059999999999997</v>
      </c>
      <c r="G10416">
        <v>194</v>
      </c>
    </row>
    <row r="10417" spans="1:7" x14ac:dyDescent="0.35">
      <c r="A10417" t="s">
        <v>228</v>
      </c>
      <c r="B10417" t="s">
        <v>363</v>
      </c>
      <c r="C10417" s="26">
        <v>0.66800000000000004</v>
      </c>
      <c r="D10417" s="26">
        <v>0.3236</v>
      </c>
      <c r="E10417" s="26">
        <v>8.3999999999999995E-3</v>
      </c>
      <c r="G10417">
        <v>212</v>
      </c>
    </row>
    <row r="10418" spans="1:7" x14ac:dyDescent="0.35">
      <c r="A10418" t="s">
        <v>228</v>
      </c>
      <c r="B10418" t="s">
        <v>362</v>
      </c>
      <c r="C10418" s="26">
        <v>0.71740000000000004</v>
      </c>
      <c r="D10418" s="26">
        <v>0.27150000000000002</v>
      </c>
      <c r="E10418" s="26">
        <v>1.11E-2</v>
      </c>
      <c r="G10418">
        <v>236</v>
      </c>
    </row>
    <row r="10419" spans="1:7" x14ac:dyDescent="0.35">
      <c r="A10419" t="s">
        <v>229</v>
      </c>
      <c r="B10419" t="s">
        <v>363</v>
      </c>
      <c r="C10419" s="26">
        <v>0.76939999999999997</v>
      </c>
      <c r="D10419" s="26">
        <v>0.21690000000000001</v>
      </c>
      <c r="E10419" s="26">
        <v>1.37E-2</v>
      </c>
      <c r="G10419">
        <v>191</v>
      </c>
    </row>
    <row r="10420" spans="1:7" x14ac:dyDescent="0.35">
      <c r="A10420" t="s">
        <v>229</v>
      </c>
      <c r="B10420" t="s">
        <v>360</v>
      </c>
      <c r="C10420" s="26">
        <v>0.81069999999999998</v>
      </c>
      <c r="D10420" s="26">
        <v>0.18479999999999999</v>
      </c>
      <c r="E10420" s="26">
        <v>3.8E-3</v>
      </c>
      <c r="F10420" s="26">
        <v>5.9999999999999995E-4</v>
      </c>
      <c r="G10420">
        <v>164</v>
      </c>
    </row>
    <row r="10421" spans="1:7" x14ac:dyDescent="0.35">
      <c r="A10421" t="s">
        <v>229</v>
      </c>
      <c r="B10421" t="s">
        <v>361</v>
      </c>
      <c r="C10421" s="26">
        <v>0.77800000000000002</v>
      </c>
      <c r="D10421" s="26">
        <v>0.2198</v>
      </c>
      <c r="E10421" s="26">
        <v>1.6999999999999999E-3</v>
      </c>
      <c r="F10421" s="26">
        <v>4.0000000000000002E-4</v>
      </c>
      <c r="G10421">
        <v>243</v>
      </c>
    </row>
    <row r="10422" spans="1:7" x14ac:dyDescent="0.35">
      <c r="A10422" t="s">
        <v>229</v>
      </c>
      <c r="B10422" t="s">
        <v>362</v>
      </c>
      <c r="C10422" s="26">
        <v>0.85729999999999995</v>
      </c>
      <c r="D10422" s="26">
        <v>0.1366</v>
      </c>
      <c r="E10422" s="26">
        <v>6.1999999999999998E-3</v>
      </c>
      <c r="G10422">
        <v>171</v>
      </c>
    </row>
    <row r="10423" spans="1:7" x14ac:dyDescent="0.35">
      <c r="A10423" t="s">
        <v>230</v>
      </c>
      <c r="B10423" t="s">
        <v>360</v>
      </c>
      <c r="C10423" s="26">
        <v>0.82699999999999996</v>
      </c>
      <c r="D10423" s="26">
        <v>0.17299999999999999</v>
      </c>
      <c r="G10423">
        <v>120</v>
      </c>
    </row>
    <row r="10424" spans="1:7" x14ac:dyDescent="0.35">
      <c r="A10424" t="s">
        <v>230</v>
      </c>
      <c r="B10424" t="s">
        <v>363</v>
      </c>
      <c r="C10424" s="26">
        <v>0.70530000000000004</v>
      </c>
      <c r="D10424" s="26">
        <v>0.2858</v>
      </c>
      <c r="E10424" s="26">
        <v>8.8999999999999999E-3</v>
      </c>
      <c r="G10424">
        <v>127</v>
      </c>
    </row>
    <row r="10425" spans="1:7" x14ac:dyDescent="0.35">
      <c r="A10425" t="s">
        <v>230</v>
      </c>
      <c r="B10425" t="s">
        <v>361</v>
      </c>
      <c r="C10425" s="26">
        <v>0.73409999999999997</v>
      </c>
      <c r="D10425" s="26">
        <v>0.26240000000000002</v>
      </c>
      <c r="E10425" s="26">
        <v>3.5000000000000001E-3</v>
      </c>
      <c r="G10425">
        <v>109</v>
      </c>
    </row>
    <row r="10426" spans="1:7" x14ac:dyDescent="0.35">
      <c r="A10426" t="s">
        <v>230</v>
      </c>
      <c r="B10426" t="s">
        <v>362</v>
      </c>
      <c r="C10426" s="26">
        <v>0.76570000000000005</v>
      </c>
      <c r="D10426" s="26">
        <v>0.20930000000000001</v>
      </c>
      <c r="E10426" s="26">
        <v>2.5000000000000001E-2</v>
      </c>
      <c r="G10426">
        <v>148</v>
      </c>
    </row>
    <row r="10427" spans="1:7" x14ac:dyDescent="0.35">
      <c r="A10427" s="27" t="s">
        <v>231</v>
      </c>
      <c r="B10427" s="27" t="s">
        <v>362</v>
      </c>
      <c r="C10427" s="28">
        <v>1</v>
      </c>
      <c r="D10427" s="29"/>
      <c r="E10427" s="29"/>
      <c r="F10427" s="29"/>
      <c r="G10427" s="29" t="s">
        <v>329</v>
      </c>
    </row>
    <row r="10428" spans="1:7" x14ac:dyDescent="0.35">
      <c r="A10428" t="s">
        <v>231</v>
      </c>
      <c r="B10428" t="s">
        <v>361</v>
      </c>
      <c r="C10428" s="26">
        <v>1</v>
      </c>
      <c r="G10428">
        <v>50</v>
      </c>
    </row>
    <row r="10429" spans="1:7" x14ac:dyDescent="0.35">
      <c r="A10429" t="s">
        <v>231</v>
      </c>
      <c r="B10429" t="s">
        <v>360</v>
      </c>
      <c r="C10429" s="26">
        <v>0.95450000000000002</v>
      </c>
      <c r="E10429" s="26">
        <v>2.2700000000000001E-2</v>
      </c>
      <c r="F10429" s="26">
        <v>2.2700000000000001E-2</v>
      </c>
      <c r="G10429">
        <v>44</v>
      </c>
    </row>
    <row r="10430" spans="1:7" x14ac:dyDescent="0.35">
      <c r="A10430" s="27" t="s">
        <v>231</v>
      </c>
      <c r="B10430" s="27" t="s">
        <v>363</v>
      </c>
      <c r="C10430" s="28">
        <v>1</v>
      </c>
      <c r="D10430" s="29"/>
      <c r="E10430" s="29"/>
      <c r="F10430" s="29"/>
      <c r="G10430" s="29" t="s">
        <v>338</v>
      </c>
    </row>
    <row r="10431" spans="1:7" x14ac:dyDescent="0.35">
      <c r="A10431" t="s">
        <v>232</v>
      </c>
      <c r="B10431" t="s">
        <v>232</v>
      </c>
      <c r="C10431" s="26">
        <v>0.84379999999999999</v>
      </c>
      <c r="D10431" s="26">
        <v>0.14749999999999999</v>
      </c>
      <c r="E10431" s="26">
        <v>6.6E-3</v>
      </c>
      <c r="F10431" s="26">
        <v>2.0999999999999999E-3</v>
      </c>
      <c r="G10431">
        <v>2476</v>
      </c>
    </row>
    <row r="10433" spans="1:7" x14ac:dyDescent="0.35">
      <c r="A10433" s="1" t="s">
        <v>1333</v>
      </c>
    </row>
    <row r="10434" spans="1:7" x14ac:dyDescent="0.35">
      <c r="A10434" t="s">
        <v>219</v>
      </c>
      <c r="B10434" t="s">
        <v>305</v>
      </c>
      <c r="C10434" t="s">
        <v>302</v>
      </c>
      <c r="D10434" t="s">
        <v>303</v>
      </c>
      <c r="E10434" t="s">
        <v>281</v>
      </c>
      <c r="F10434" t="s">
        <v>286</v>
      </c>
      <c r="G10434" t="s">
        <v>226</v>
      </c>
    </row>
    <row r="10435" spans="1:7" x14ac:dyDescent="0.35">
      <c r="A10435" t="s">
        <v>227</v>
      </c>
      <c r="B10435" t="s">
        <v>267</v>
      </c>
      <c r="C10435" s="26">
        <v>1</v>
      </c>
      <c r="G10435">
        <v>36</v>
      </c>
    </row>
    <row r="10436" spans="1:7" x14ac:dyDescent="0.35">
      <c r="A10436" t="s">
        <v>227</v>
      </c>
      <c r="B10436" t="s">
        <v>266</v>
      </c>
      <c r="C10436" s="26">
        <v>1</v>
      </c>
      <c r="G10436">
        <v>59</v>
      </c>
    </row>
    <row r="10437" spans="1:7" x14ac:dyDescent="0.35">
      <c r="A10437" t="s">
        <v>227</v>
      </c>
      <c r="B10437" t="s">
        <v>265</v>
      </c>
      <c r="C10437" s="26">
        <v>1</v>
      </c>
      <c r="G10437">
        <v>66</v>
      </c>
    </row>
    <row r="10438" spans="1:7" x14ac:dyDescent="0.35">
      <c r="A10438" t="s">
        <v>228</v>
      </c>
      <c r="B10438" t="s">
        <v>267</v>
      </c>
      <c r="C10438" s="26">
        <v>0.6714</v>
      </c>
      <c r="D10438" s="26">
        <v>0.32369999999999999</v>
      </c>
      <c r="F10438" s="26">
        <v>4.8999999999999998E-3</v>
      </c>
      <c r="G10438">
        <v>199</v>
      </c>
    </row>
    <row r="10439" spans="1:7" x14ac:dyDescent="0.35">
      <c r="A10439" t="s">
        <v>228</v>
      </c>
      <c r="B10439" t="s">
        <v>265</v>
      </c>
      <c r="C10439" s="26">
        <v>0.68920000000000003</v>
      </c>
      <c r="D10439" s="26">
        <v>0.29899999999999999</v>
      </c>
      <c r="E10439" s="26">
        <v>1.0999999999999999E-2</v>
      </c>
      <c r="F10439" s="26">
        <v>8.9999999999999998E-4</v>
      </c>
      <c r="G10439">
        <v>384</v>
      </c>
    </row>
    <row r="10440" spans="1:7" x14ac:dyDescent="0.35">
      <c r="A10440" s="27" t="s">
        <v>228</v>
      </c>
      <c r="B10440" s="27" t="s">
        <v>236</v>
      </c>
      <c r="C10440" s="29"/>
      <c r="D10440" s="28">
        <v>1</v>
      </c>
      <c r="E10440" s="29"/>
      <c r="F10440" s="29"/>
      <c r="G10440" s="29" t="s">
        <v>314</v>
      </c>
    </row>
    <row r="10441" spans="1:7" x14ac:dyDescent="0.35">
      <c r="A10441" t="s">
        <v>228</v>
      </c>
      <c r="B10441" t="s">
        <v>266</v>
      </c>
      <c r="C10441" s="26">
        <v>0.6</v>
      </c>
      <c r="D10441" s="26">
        <v>0.38750000000000001</v>
      </c>
      <c r="E10441" s="26">
        <v>1.17E-2</v>
      </c>
      <c r="F10441" s="26">
        <v>8.9999999999999998E-4</v>
      </c>
      <c r="G10441">
        <v>448</v>
      </c>
    </row>
    <row r="10442" spans="1:7" x14ac:dyDescent="0.35">
      <c r="A10442" t="s">
        <v>229</v>
      </c>
      <c r="B10442" t="s">
        <v>266</v>
      </c>
      <c r="C10442" s="26">
        <v>0.80759999999999998</v>
      </c>
      <c r="D10442" s="26">
        <v>0.17330000000000001</v>
      </c>
      <c r="E10442" s="26">
        <v>1.8599999999999998E-2</v>
      </c>
      <c r="F10442" s="26">
        <v>5.0000000000000001E-4</v>
      </c>
      <c r="G10442">
        <v>359</v>
      </c>
    </row>
    <row r="10443" spans="1:7" x14ac:dyDescent="0.35">
      <c r="A10443" t="s">
        <v>229</v>
      </c>
      <c r="B10443" t="s">
        <v>267</v>
      </c>
      <c r="C10443" s="26">
        <v>0.78620000000000001</v>
      </c>
      <c r="D10443" s="26">
        <v>0.21379999999999999</v>
      </c>
      <c r="G10443">
        <v>201</v>
      </c>
    </row>
    <row r="10444" spans="1:7" x14ac:dyDescent="0.35">
      <c r="A10444" t="s">
        <v>229</v>
      </c>
      <c r="B10444" t="s">
        <v>265</v>
      </c>
      <c r="C10444" s="26">
        <v>0.77200000000000002</v>
      </c>
      <c r="D10444" s="26">
        <v>0.22409999999999999</v>
      </c>
      <c r="E10444" s="26">
        <v>3.0000000000000001E-3</v>
      </c>
      <c r="F10444" s="26">
        <v>8.9999999999999998E-4</v>
      </c>
      <c r="G10444">
        <v>335</v>
      </c>
    </row>
    <row r="10445" spans="1:7" x14ac:dyDescent="0.35">
      <c r="A10445" t="s">
        <v>230</v>
      </c>
      <c r="B10445" t="s">
        <v>267</v>
      </c>
      <c r="C10445" s="26">
        <v>0.81789999999999996</v>
      </c>
      <c r="D10445" s="26">
        <v>0.18210000000000001</v>
      </c>
      <c r="G10445">
        <v>119</v>
      </c>
    </row>
    <row r="10446" spans="1:7" x14ac:dyDescent="0.35">
      <c r="A10446" t="s">
        <v>230</v>
      </c>
      <c r="B10446" t="s">
        <v>266</v>
      </c>
      <c r="C10446" s="26">
        <v>0.70189999999999997</v>
      </c>
      <c r="D10446" s="26">
        <v>0.2702</v>
      </c>
      <c r="E10446" s="26">
        <v>2.8000000000000001E-2</v>
      </c>
      <c r="G10446">
        <v>232</v>
      </c>
    </row>
    <row r="10447" spans="1:7" x14ac:dyDescent="0.35">
      <c r="A10447" t="s">
        <v>230</v>
      </c>
      <c r="B10447" t="s">
        <v>265</v>
      </c>
      <c r="C10447" s="26">
        <v>0.77149999999999996</v>
      </c>
      <c r="D10447" s="26">
        <v>0.22850000000000001</v>
      </c>
      <c r="G10447">
        <v>209</v>
      </c>
    </row>
    <row r="10448" spans="1:7" x14ac:dyDescent="0.35">
      <c r="A10448" t="s">
        <v>231</v>
      </c>
      <c r="B10448" t="s">
        <v>267</v>
      </c>
      <c r="C10448" s="26">
        <v>1</v>
      </c>
      <c r="G10448">
        <v>34</v>
      </c>
    </row>
    <row r="10449" spans="1:7" x14ac:dyDescent="0.35">
      <c r="A10449" t="s">
        <v>231</v>
      </c>
      <c r="B10449" t="s">
        <v>266</v>
      </c>
      <c r="C10449" s="26">
        <v>1</v>
      </c>
      <c r="G10449">
        <v>62</v>
      </c>
    </row>
    <row r="10450" spans="1:7" x14ac:dyDescent="0.35">
      <c r="A10450" t="s">
        <v>231</v>
      </c>
      <c r="B10450" t="s">
        <v>265</v>
      </c>
      <c r="C10450" s="26">
        <v>0.97060000000000002</v>
      </c>
      <c r="E10450" s="26">
        <v>1.47E-2</v>
      </c>
      <c r="F10450" s="26">
        <v>1.47E-2</v>
      </c>
      <c r="G10450">
        <v>68</v>
      </c>
    </row>
    <row r="10451" spans="1:7" x14ac:dyDescent="0.35">
      <c r="A10451" t="s">
        <v>232</v>
      </c>
      <c r="B10451" t="s">
        <v>232</v>
      </c>
      <c r="C10451" s="26">
        <v>0.84379999999999999</v>
      </c>
      <c r="D10451" s="26">
        <v>0.14749999999999999</v>
      </c>
      <c r="E10451" s="26">
        <v>6.6E-3</v>
      </c>
      <c r="F10451" s="26">
        <v>2.0999999999999999E-3</v>
      </c>
      <c r="G10451">
        <v>2813</v>
      </c>
    </row>
    <row r="10453" spans="1:7" x14ac:dyDescent="0.35">
      <c r="A10453" s="1" t="s">
        <v>1334</v>
      </c>
    </row>
    <row r="10454" spans="1:7" x14ac:dyDescent="0.35">
      <c r="A10454" t="s">
        <v>219</v>
      </c>
      <c r="B10454" t="s">
        <v>305</v>
      </c>
      <c r="C10454" t="s">
        <v>302</v>
      </c>
      <c r="D10454" t="s">
        <v>303</v>
      </c>
      <c r="E10454" t="s">
        <v>281</v>
      </c>
      <c r="F10454" t="s">
        <v>286</v>
      </c>
      <c r="G10454" t="s">
        <v>226</v>
      </c>
    </row>
    <row r="10455" spans="1:7" x14ac:dyDescent="0.35">
      <c r="A10455" t="s">
        <v>227</v>
      </c>
      <c r="B10455" t="s">
        <v>252</v>
      </c>
      <c r="C10455" s="26">
        <v>1</v>
      </c>
      <c r="G10455">
        <v>45</v>
      </c>
    </row>
    <row r="10456" spans="1:7" x14ac:dyDescent="0.35">
      <c r="A10456" t="s">
        <v>227</v>
      </c>
      <c r="B10456" t="s">
        <v>253</v>
      </c>
      <c r="C10456" s="26">
        <v>1</v>
      </c>
      <c r="G10456">
        <v>34</v>
      </c>
    </row>
    <row r="10457" spans="1:7" x14ac:dyDescent="0.35">
      <c r="A10457" t="s">
        <v>227</v>
      </c>
      <c r="B10457" t="s">
        <v>251</v>
      </c>
      <c r="C10457" s="26">
        <v>1</v>
      </c>
      <c r="G10457">
        <v>82</v>
      </c>
    </row>
    <row r="10458" spans="1:7" x14ac:dyDescent="0.35">
      <c r="A10458" t="s">
        <v>228</v>
      </c>
      <c r="B10458" t="s">
        <v>252</v>
      </c>
      <c r="C10458" s="26">
        <v>0.62670000000000003</v>
      </c>
      <c r="D10458" s="26">
        <v>0.3594</v>
      </c>
      <c r="E10458" s="26">
        <v>9.1000000000000004E-3</v>
      </c>
      <c r="F10458" s="26">
        <v>4.7999999999999996E-3</v>
      </c>
      <c r="G10458">
        <v>344</v>
      </c>
    </row>
    <row r="10459" spans="1:7" x14ac:dyDescent="0.35">
      <c r="A10459" t="s">
        <v>228</v>
      </c>
      <c r="B10459" t="s">
        <v>253</v>
      </c>
      <c r="C10459" s="26">
        <v>0.61339999999999995</v>
      </c>
      <c r="D10459" s="26">
        <v>0.36670000000000003</v>
      </c>
      <c r="E10459" s="26">
        <v>1.9900000000000001E-2</v>
      </c>
      <c r="G10459">
        <v>222</v>
      </c>
    </row>
    <row r="10460" spans="1:7" x14ac:dyDescent="0.35">
      <c r="A10460" t="s">
        <v>228</v>
      </c>
      <c r="B10460" t="s">
        <v>251</v>
      </c>
      <c r="C10460" s="26">
        <v>0.67090000000000005</v>
      </c>
      <c r="D10460" s="26">
        <v>0.3241</v>
      </c>
      <c r="E10460" s="26">
        <v>5.0000000000000001E-3</v>
      </c>
      <c r="G10460">
        <v>467</v>
      </c>
    </row>
    <row r="10461" spans="1:7" x14ac:dyDescent="0.35">
      <c r="A10461" t="s">
        <v>229</v>
      </c>
      <c r="B10461" t="s">
        <v>252</v>
      </c>
      <c r="C10461" s="26">
        <v>0.83020000000000005</v>
      </c>
      <c r="D10461" s="26">
        <v>0.15329999999999999</v>
      </c>
      <c r="E10461" s="26">
        <v>1.6E-2</v>
      </c>
      <c r="F10461" s="26">
        <v>4.0000000000000002E-4</v>
      </c>
      <c r="G10461">
        <v>199</v>
      </c>
    </row>
    <row r="10462" spans="1:7" x14ac:dyDescent="0.35">
      <c r="A10462" t="s">
        <v>229</v>
      </c>
      <c r="B10462" t="s">
        <v>253</v>
      </c>
      <c r="C10462" s="26">
        <v>0.79139999999999999</v>
      </c>
      <c r="D10462" s="26">
        <v>0.2077</v>
      </c>
      <c r="E10462" s="26">
        <v>8.9999999999999998E-4</v>
      </c>
      <c r="G10462">
        <v>145</v>
      </c>
    </row>
    <row r="10463" spans="1:7" x14ac:dyDescent="0.35">
      <c r="A10463" t="s">
        <v>229</v>
      </c>
      <c r="B10463" t="s">
        <v>251</v>
      </c>
      <c r="C10463" s="26">
        <v>0.76880000000000004</v>
      </c>
      <c r="D10463" s="26">
        <v>0.22409999999999999</v>
      </c>
      <c r="E10463" s="26">
        <v>6.3E-3</v>
      </c>
      <c r="F10463" s="26">
        <v>8.0000000000000004E-4</v>
      </c>
      <c r="G10463">
        <v>551</v>
      </c>
    </row>
    <row r="10464" spans="1:7" x14ac:dyDescent="0.35">
      <c r="A10464" t="s">
        <v>230</v>
      </c>
      <c r="B10464" t="s">
        <v>252</v>
      </c>
      <c r="C10464" s="26">
        <v>0.71109999999999995</v>
      </c>
      <c r="D10464" s="26">
        <v>0.25290000000000001</v>
      </c>
      <c r="E10464" s="26">
        <v>3.5999999999999997E-2</v>
      </c>
      <c r="G10464">
        <v>159</v>
      </c>
    </row>
    <row r="10465" spans="1:7" x14ac:dyDescent="0.35">
      <c r="A10465" t="s">
        <v>230</v>
      </c>
      <c r="B10465" t="s">
        <v>253</v>
      </c>
      <c r="C10465" s="26">
        <v>0.72109999999999996</v>
      </c>
      <c r="D10465" s="26">
        <v>0.27889999999999998</v>
      </c>
      <c r="G10465">
        <v>110</v>
      </c>
    </row>
    <row r="10466" spans="1:7" x14ac:dyDescent="0.35">
      <c r="A10466" t="s">
        <v>230</v>
      </c>
      <c r="B10466" t="s">
        <v>251</v>
      </c>
      <c r="C10466" s="26">
        <v>0.78949999999999998</v>
      </c>
      <c r="D10466" s="26">
        <v>0.20880000000000001</v>
      </c>
      <c r="E10466" s="26">
        <v>1.6000000000000001E-3</v>
      </c>
      <c r="G10466">
        <v>291</v>
      </c>
    </row>
    <row r="10467" spans="1:7" x14ac:dyDescent="0.35">
      <c r="A10467" t="s">
        <v>231</v>
      </c>
      <c r="B10467" t="s">
        <v>252</v>
      </c>
      <c r="C10467" s="26">
        <v>1</v>
      </c>
      <c r="G10467">
        <v>49</v>
      </c>
    </row>
    <row r="10468" spans="1:7" x14ac:dyDescent="0.35">
      <c r="A10468" t="s">
        <v>231</v>
      </c>
      <c r="B10468" t="s">
        <v>253</v>
      </c>
      <c r="C10468" s="26">
        <v>0.9667</v>
      </c>
      <c r="E10468" s="26">
        <v>3.3300000000000003E-2</v>
      </c>
      <c r="G10468">
        <v>30</v>
      </c>
    </row>
    <row r="10469" spans="1:7" x14ac:dyDescent="0.35">
      <c r="A10469" t="s">
        <v>231</v>
      </c>
      <c r="B10469" t="s">
        <v>251</v>
      </c>
      <c r="C10469" s="26">
        <v>0.98819999999999997</v>
      </c>
      <c r="F10469" s="26">
        <v>1.18E-2</v>
      </c>
      <c r="G10469">
        <v>85</v>
      </c>
    </row>
    <row r="10470" spans="1:7" x14ac:dyDescent="0.35">
      <c r="A10470" t="s">
        <v>232</v>
      </c>
      <c r="B10470" t="s">
        <v>232</v>
      </c>
      <c r="C10470" s="26">
        <v>0.84379999999999999</v>
      </c>
      <c r="D10470" s="26">
        <v>0.14749999999999999</v>
      </c>
      <c r="E10470" s="26">
        <v>6.6E-3</v>
      </c>
      <c r="F10470" s="26">
        <v>2.0999999999999999E-3</v>
      </c>
      <c r="G10470">
        <v>2813</v>
      </c>
    </row>
    <row r="10472" spans="1:7" x14ac:dyDescent="0.35">
      <c r="A10472" s="1" t="s">
        <v>1335</v>
      </c>
    </row>
    <row r="10473" spans="1:7" x14ac:dyDescent="0.35">
      <c r="A10473" t="s">
        <v>219</v>
      </c>
      <c r="B10473" t="s">
        <v>305</v>
      </c>
      <c r="C10473" t="s">
        <v>302</v>
      </c>
      <c r="D10473" t="s">
        <v>303</v>
      </c>
      <c r="E10473" t="s">
        <v>281</v>
      </c>
      <c r="F10473" t="s">
        <v>286</v>
      </c>
      <c r="G10473" t="s">
        <v>226</v>
      </c>
    </row>
    <row r="10474" spans="1:7" x14ac:dyDescent="0.35">
      <c r="A10474" t="s">
        <v>227</v>
      </c>
      <c r="B10474" t="s">
        <v>249</v>
      </c>
      <c r="C10474" s="26">
        <v>1</v>
      </c>
      <c r="G10474">
        <v>44</v>
      </c>
    </row>
    <row r="10475" spans="1:7" x14ac:dyDescent="0.35">
      <c r="A10475" t="s">
        <v>227</v>
      </c>
      <c r="B10475" t="s">
        <v>248</v>
      </c>
      <c r="C10475" s="26">
        <v>1</v>
      </c>
      <c r="G10475">
        <v>117</v>
      </c>
    </row>
    <row r="10476" spans="1:7" x14ac:dyDescent="0.35">
      <c r="A10476" t="s">
        <v>228</v>
      </c>
      <c r="B10476" t="s">
        <v>249</v>
      </c>
      <c r="C10476" s="26">
        <v>0.66059999999999997</v>
      </c>
      <c r="D10476" s="26">
        <v>0.33539999999999998</v>
      </c>
      <c r="E10476" s="26">
        <v>4.0000000000000001E-3</v>
      </c>
      <c r="G10476">
        <v>274</v>
      </c>
    </row>
    <row r="10477" spans="1:7" x14ac:dyDescent="0.35">
      <c r="A10477" t="s">
        <v>228</v>
      </c>
      <c r="B10477" t="s">
        <v>248</v>
      </c>
      <c r="C10477" s="26">
        <v>0.63829999999999998</v>
      </c>
      <c r="D10477" s="26">
        <v>0.34789999999999999</v>
      </c>
      <c r="E10477" s="26">
        <v>1.1599999999999999E-2</v>
      </c>
      <c r="F10477" s="26">
        <v>2.2000000000000001E-3</v>
      </c>
      <c r="G10477">
        <v>759</v>
      </c>
    </row>
    <row r="10478" spans="1:7" x14ac:dyDescent="0.35">
      <c r="A10478" t="s">
        <v>229</v>
      </c>
      <c r="B10478" t="s">
        <v>249</v>
      </c>
      <c r="C10478" s="26">
        <v>0.8206</v>
      </c>
      <c r="D10478" s="26">
        <v>0.17780000000000001</v>
      </c>
      <c r="E10478" s="26">
        <v>1.5E-3</v>
      </c>
      <c r="G10478">
        <v>259</v>
      </c>
    </row>
    <row r="10479" spans="1:7" x14ac:dyDescent="0.35">
      <c r="A10479" t="s">
        <v>229</v>
      </c>
      <c r="B10479" t="s">
        <v>248</v>
      </c>
      <c r="C10479" s="26">
        <v>0.77029999999999998</v>
      </c>
      <c r="D10479" s="26">
        <v>0.2185</v>
      </c>
      <c r="E10479" s="26">
        <v>1.03E-2</v>
      </c>
      <c r="F10479" s="26">
        <v>8.9999999999999998E-4</v>
      </c>
      <c r="G10479">
        <v>636</v>
      </c>
    </row>
    <row r="10480" spans="1:7" x14ac:dyDescent="0.35">
      <c r="A10480" t="s">
        <v>230</v>
      </c>
      <c r="B10480" t="s">
        <v>249</v>
      </c>
      <c r="C10480" s="26">
        <v>0.77110000000000001</v>
      </c>
      <c r="D10480" s="26">
        <v>0.22889999999999999</v>
      </c>
      <c r="G10480">
        <v>171</v>
      </c>
    </row>
    <row r="10481" spans="1:7" x14ac:dyDescent="0.35">
      <c r="A10481" t="s">
        <v>230</v>
      </c>
      <c r="B10481" t="s">
        <v>248</v>
      </c>
      <c r="C10481" s="26">
        <v>0.74909999999999999</v>
      </c>
      <c r="D10481" s="26">
        <v>0.2356</v>
      </c>
      <c r="E10481" s="26">
        <v>1.52E-2</v>
      </c>
      <c r="G10481">
        <v>389</v>
      </c>
    </row>
    <row r="10482" spans="1:7" x14ac:dyDescent="0.35">
      <c r="A10482" t="s">
        <v>231</v>
      </c>
      <c r="B10482" t="s">
        <v>249</v>
      </c>
      <c r="C10482" s="26">
        <v>1</v>
      </c>
      <c r="G10482">
        <v>35</v>
      </c>
    </row>
    <row r="10483" spans="1:7" x14ac:dyDescent="0.35">
      <c r="A10483" t="s">
        <v>231</v>
      </c>
      <c r="B10483" t="s">
        <v>248</v>
      </c>
      <c r="C10483" s="26">
        <v>0.98450000000000004</v>
      </c>
      <c r="E10483" s="26">
        <v>7.7999999999999996E-3</v>
      </c>
      <c r="F10483" s="26">
        <v>7.7999999999999996E-3</v>
      </c>
      <c r="G10483">
        <v>129</v>
      </c>
    </row>
    <row r="10484" spans="1:7" x14ac:dyDescent="0.35">
      <c r="A10484" t="s">
        <v>232</v>
      </c>
      <c r="B10484" t="s">
        <v>232</v>
      </c>
      <c r="C10484" s="26">
        <v>0.84379999999999999</v>
      </c>
      <c r="D10484" s="26">
        <v>0.14749999999999999</v>
      </c>
      <c r="E10484" s="26">
        <v>6.6E-3</v>
      </c>
      <c r="F10484" s="26">
        <v>2.0999999999999999E-3</v>
      </c>
      <c r="G10484">
        <v>2813</v>
      </c>
    </row>
    <row r="10486" spans="1:7" x14ac:dyDescent="0.35">
      <c r="A10486" s="1" t="s">
        <v>1336</v>
      </c>
    </row>
    <row r="10487" spans="1:7" x14ac:dyDescent="0.35">
      <c r="A10487" t="s">
        <v>219</v>
      </c>
      <c r="B10487" t="s">
        <v>305</v>
      </c>
      <c r="C10487" t="s">
        <v>302</v>
      </c>
      <c r="D10487" t="s">
        <v>303</v>
      </c>
      <c r="E10487" t="s">
        <v>281</v>
      </c>
      <c r="F10487" t="s">
        <v>286</v>
      </c>
      <c r="G10487" t="s">
        <v>226</v>
      </c>
    </row>
    <row r="10488" spans="1:7" x14ac:dyDescent="0.35">
      <c r="A10488" s="27" t="s">
        <v>227</v>
      </c>
      <c r="B10488" s="27" t="s">
        <v>263</v>
      </c>
      <c r="C10488" s="28">
        <v>1</v>
      </c>
      <c r="D10488" s="29"/>
      <c r="E10488" s="29"/>
      <c r="F10488" s="29"/>
      <c r="G10488" s="29" t="s">
        <v>315</v>
      </c>
    </row>
    <row r="10489" spans="1:7" x14ac:dyDescent="0.35">
      <c r="A10489" t="s">
        <v>227</v>
      </c>
      <c r="B10489" t="s">
        <v>261</v>
      </c>
      <c r="C10489" s="26">
        <v>1</v>
      </c>
      <c r="G10489">
        <v>33</v>
      </c>
    </row>
    <row r="10490" spans="1:7" x14ac:dyDescent="0.35">
      <c r="A10490" s="27" t="s">
        <v>227</v>
      </c>
      <c r="B10490" s="27" t="s">
        <v>262</v>
      </c>
      <c r="C10490" s="28">
        <v>1</v>
      </c>
      <c r="D10490" s="29"/>
      <c r="E10490" s="29"/>
      <c r="F10490" s="29"/>
      <c r="G10490" s="29" t="s">
        <v>315</v>
      </c>
    </row>
    <row r="10491" spans="1:7" x14ac:dyDescent="0.35">
      <c r="A10491" t="s">
        <v>227</v>
      </c>
      <c r="B10491" t="s">
        <v>260</v>
      </c>
      <c r="C10491" s="26">
        <v>1</v>
      </c>
      <c r="G10491">
        <v>122</v>
      </c>
    </row>
    <row r="10492" spans="1:7" x14ac:dyDescent="0.35">
      <c r="A10492" t="s">
        <v>228</v>
      </c>
      <c r="B10492" t="s">
        <v>261</v>
      </c>
      <c r="C10492" s="26">
        <v>0.57079999999999997</v>
      </c>
      <c r="D10492" s="26">
        <v>0.42449999999999999</v>
      </c>
      <c r="E10492" s="26">
        <v>4.7000000000000002E-3</v>
      </c>
      <c r="G10492">
        <v>192</v>
      </c>
    </row>
    <row r="10493" spans="1:7" x14ac:dyDescent="0.35">
      <c r="A10493" s="27" t="s">
        <v>228</v>
      </c>
      <c r="B10493" s="27" t="s">
        <v>263</v>
      </c>
      <c r="C10493" s="28">
        <v>0.43919999999999998</v>
      </c>
      <c r="D10493" s="28">
        <v>0.56079999999999997</v>
      </c>
      <c r="E10493" s="29"/>
      <c r="F10493" s="29"/>
      <c r="G10493" s="29" t="s">
        <v>312</v>
      </c>
    </row>
    <row r="10494" spans="1:7" x14ac:dyDescent="0.35">
      <c r="A10494" s="27" t="s">
        <v>228</v>
      </c>
      <c r="B10494" s="27" t="s">
        <v>236</v>
      </c>
      <c r="C10494" s="28">
        <v>0.82730000000000004</v>
      </c>
      <c r="D10494" s="28">
        <v>3.9E-2</v>
      </c>
      <c r="E10494" s="28">
        <v>0.13370000000000001</v>
      </c>
      <c r="F10494" s="29"/>
      <c r="G10494" s="29" t="s">
        <v>335</v>
      </c>
    </row>
    <row r="10495" spans="1:7" x14ac:dyDescent="0.35">
      <c r="A10495" t="s">
        <v>228</v>
      </c>
      <c r="B10495" t="s">
        <v>262</v>
      </c>
      <c r="C10495" s="26">
        <v>0.69489999999999996</v>
      </c>
      <c r="D10495" s="26">
        <v>0.30509999999999998</v>
      </c>
      <c r="G10495">
        <v>201</v>
      </c>
    </row>
    <row r="10496" spans="1:7" x14ac:dyDescent="0.35">
      <c r="A10496" t="s">
        <v>228</v>
      </c>
      <c r="B10496" t="s">
        <v>260</v>
      </c>
      <c r="C10496" s="26">
        <v>0.65939999999999999</v>
      </c>
      <c r="D10496" s="26">
        <v>0.32569999999999999</v>
      </c>
      <c r="E10496" s="26">
        <v>1.24E-2</v>
      </c>
      <c r="F10496" s="26">
        <v>2.5000000000000001E-3</v>
      </c>
      <c r="G10496">
        <v>609</v>
      </c>
    </row>
    <row r="10497" spans="1:7" x14ac:dyDescent="0.35">
      <c r="A10497" s="27" t="s">
        <v>229</v>
      </c>
      <c r="B10497" s="27" t="s">
        <v>263</v>
      </c>
      <c r="C10497" s="28">
        <v>0.89649999999999996</v>
      </c>
      <c r="D10497" s="28">
        <v>0.10349999999999999</v>
      </c>
      <c r="E10497" s="29"/>
      <c r="F10497" s="29"/>
      <c r="G10497" s="29" t="s">
        <v>379</v>
      </c>
    </row>
    <row r="10498" spans="1:7" x14ac:dyDescent="0.35">
      <c r="A10498" t="s">
        <v>229</v>
      </c>
      <c r="B10498" t="s">
        <v>262</v>
      </c>
      <c r="C10498" s="26">
        <v>0.77410000000000001</v>
      </c>
      <c r="D10498" s="26">
        <v>0.22059999999999999</v>
      </c>
      <c r="E10498" s="26">
        <v>4.1999999999999997E-3</v>
      </c>
      <c r="F10498" s="26">
        <v>1.1999999999999999E-3</v>
      </c>
      <c r="G10498">
        <v>188</v>
      </c>
    </row>
    <row r="10499" spans="1:7" x14ac:dyDescent="0.35">
      <c r="A10499" t="s">
        <v>229</v>
      </c>
      <c r="B10499" t="s">
        <v>261</v>
      </c>
      <c r="C10499" s="26">
        <v>0.80049999999999999</v>
      </c>
      <c r="D10499" s="26">
        <v>0.19950000000000001</v>
      </c>
      <c r="G10499">
        <v>96</v>
      </c>
    </row>
    <row r="10500" spans="1:7" x14ac:dyDescent="0.35">
      <c r="A10500" s="27" t="s">
        <v>229</v>
      </c>
      <c r="B10500" s="27" t="s">
        <v>236</v>
      </c>
      <c r="C10500" s="29"/>
      <c r="D10500" s="28">
        <v>1</v>
      </c>
      <c r="E10500" s="29"/>
      <c r="F10500" s="29"/>
      <c r="G10500" s="29" t="s">
        <v>331</v>
      </c>
    </row>
    <row r="10501" spans="1:7" x14ac:dyDescent="0.35">
      <c r="A10501" t="s">
        <v>229</v>
      </c>
      <c r="B10501" t="s">
        <v>260</v>
      </c>
      <c r="C10501" s="26">
        <v>0.78600000000000003</v>
      </c>
      <c r="D10501" s="26">
        <v>0.2021</v>
      </c>
      <c r="E10501" s="26">
        <v>1.1299999999999999E-2</v>
      </c>
      <c r="F10501" s="26">
        <v>5.0000000000000001E-4</v>
      </c>
      <c r="G10501">
        <v>596</v>
      </c>
    </row>
    <row r="10502" spans="1:7" x14ac:dyDescent="0.35">
      <c r="A10502" s="27" t="s">
        <v>230</v>
      </c>
      <c r="B10502" s="27" t="s">
        <v>236</v>
      </c>
      <c r="C10502" s="28">
        <v>0.84430000000000005</v>
      </c>
      <c r="D10502" s="28">
        <v>0.15570000000000001</v>
      </c>
      <c r="E10502" s="29"/>
      <c r="F10502" s="29"/>
      <c r="G10502" s="29" t="s">
        <v>337</v>
      </c>
    </row>
    <row r="10503" spans="1:7" x14ac:dyDescent="0.35">
      <c r="A10503" t="s">
        <v>230</v>
      </c>
      <c r="B10503" t="s">
        <v>262</v>
      </c>
      <c r="C10503" s="26">
        <v>0.76049999999999995</v>
      </c>
      <c r="D10503" s="26">
        <v>0.23949999999999999</v>
      </c>
      <c r="G10503">
        <v>122</v>
      </c>
    </row>
    <row r="10504" spans="1:7" x14ac:dyDescent="0.35">
      <c r="A10504" t="s">
        <v>230</v>
      </c>
      <c r="B10504" t="s">
        <v>261</v>
      </c>
      <c r="C10504" s="26">
        <v>0.72399999999999998</v>
      </c>
      <c r="D10504" s="26">
        <v>0.2356</v>
      </c>
      <c r="E10504" s="26">
        <v>4.0399999999999998E-2</v>
      </c>
      <c r="G10504">
        <v>57</v>
      </c>
    </row>
    <row r="10505" spans="1:7" x14ac:dyDescent="0.35">
      <c r="A10505" s="27" t="s">
        <v>230</v>
      </c>
      <c r="B10505" s="27" t="s">
        <v>263</v>
      </c>
      <c r="C10505" s="28">
        <v>0.49619999999999997</v>
      </c>
      <c r="D10505" s="28">
        <v>0.50380000000000003</v>
      </c>
      <c r="E10505" s="29"/>
      <c r="F10505" s="29"/>
      <c r="G10505" s="29" t="s">
        <v>312</v>
      </c>
    </row>
    <row r="10506" spans="1:7" x14ac:dyDescent="0.35">
      <c r="A10506" t="s">
        <v>230</v>
      </c>
      <c r="B10506" t="s">
        <v>260</v>
      </c>
      <c r="C10506" s="26">
        <v>0.7671</v>
      </c>
      <c r="D10506" s="26">
        <v>0.2261</v>
      </c>
      <c r="E10506" s="26">
        <v>6.7999999999999996E-3</v>
      </c>
      <c r="G10506">
        <v>352</v>
      </c>
    </row>
    <row r="10507" spans="1:7" x14ac:dyDescent="0.35">
      <c r="A10507" s="27" t="s">
        <v>231</v>
      </c>
      <c r="B10507" s="27" t="s">
        <v>263</v>
      </c>
      <c r="C10507" s="28">
        <v>1</v>
      </c>
      <c r="D10507" s="29"/>
      <c r="E10507" s="29"/>
      <c r="F10507" s="29"/>
      <c r="G10507" s="29" t="s">
        <v>314</v>
      </c>
    </row>
    <row r="10508" spans="1:7" x14ac:dyDescent="0.35">
      <c r="A10508" t="s">
        <v>231</v>
      </c>
      <c r="B10508" t="s">
        <v>260</v>
      </c>
      <c r="C10508" s="26">
        <v>0.9839</v>
      </c>
      <c r="E10508" s="26">
        <v>8.0999999999999996E-3</v>
      </c>
      <c r="F10508" s="26">
        <v>8.0999999999999996E-3</v>
      </c>
      <c r="G10508">
        <v>124</v>
      </c>
    </row>
    <row r="10509" spans="1:7" x14ac:dyDescent="0.35">
      <c r="A10509" s="27" t="s">
        <v>231</v>
      </c>
      <c r="B10509" s="27" t="s">
        <v>261</v>
      </c>
      <c r="C10509" s="28">
        <v>1</v>
      </c>
      <c r="D10509" s="29"/>
      <c r="E10509" s="29"/>
      <c r="F10509" s="29"/>
      <c r="G10509" s="29" t="s">
        <v>338</v>
      </c>
    </row>
    <row r="10510" spans="1:7" x14ac:dyDescent="0.35">
      <c r="A10510" s="27" t="s">
        <v>231</v>
      </c>
      <c r="B10510" s="27" t="s">
        <v>262</v>
      </c>
      <c r="C10510" s="28">
        <v>1</v>
      </c>
      <c r="D10510" s="29"/>
      <c r="E10510" s="29"/>
      <c r="F10510" s="29"/>
      <c r="G10510" s="29" t="s">
        <v>352</v>
      </c>
    </row>
    <row r="10511" spans="1:7" x14ac:dyDescent="0.35">
      <c r="A10511" t="s">
        <v>232</v>
      </c>
      <c r="B10511" t="s">
        <v>232</v>
      </c>
      <c r="C10511" s="26">
        <v>0.84379999999999999</v>
      </c>
      <c r="D10511" s="26">
        <v>0.14749999999999999</v>
      </c>
      <c r="E10511" s="26">
        <v>6.6E-3</v>
      </c>
      <c r="F10511" s="26">
        <v>2.0999999999999999E-3</v>
      </c>
      <c r="G10511">
        <v>2813</v>
      </c>
    </row>
    <row r="10513" spans="1:7" x14ac:dyDescent="0.35">
      <c r="A10513" s="1" t="s">
        <v>1337</v>
      </c>
    </row>
    <row r="10514" spans="1:7" x14ac:dyDescent="0.35">
      <c r="A10514" t="s">
        <v>219</v>
      </c>
      <c r="B10514" t="s">
        <v>305</v>
      </c>
      <c r="C10514" t="s">
        <v>302</v>
      </c>
      <c r="D10514" t="s">
        <v>303</v>
      </c>
      <c r="E10514" t="s">
        <v>281</v>
      </c>
      <c r="F10514" t="s">
        <v>286</v>
      </c>
      <c r="G10514" t="s">
        <v>226</v>
      </c>
    </row>
    <row r="10515" spans="1:7" x14ac:dyDescent="0.35">
      <c r="A10515" t="s">
        <v>227</v>
      </c>
      <c r="B10515" t="s">
        <v>368</v>
      </c>
      <c r="C10515" s="26">
        <v>1</v>
      </c>
      <c r="G10515">
        <v>33</v>
      </c>
    </row>
    <row r="10516" spans="1:7" x14ac:dyDescent="0.35">
      <c r="A10516" t="s">
        <v>227</v>
      </c>
      <c r="B10516" t="s">
        <v>369</v>
      </c>
      <c r="C10516" s="26">
        <v>1</v>
      </c>
      <c r="G10516">
        <v>128</v>
      </c>
    </row>
    <row r="10517" spans="1:7" x14ac:dyDescent="0.35">
      <c r="A10517" t="s">
        <v>228</v>
      </c>
      <c r="B10517" t="s">
        <v>368</v>
      </c>
      <c r="C10517" s="26">
        <v>0.57079999999999997</v>
      </c>
      <c r="D10517" s="26">
        <v>0.42449999999999999</v>
      </c>
      <c r="E10517" s="26">
        <v>4.7000000000000002E-3</v>
      </c>
      <c r="G10517">
        <v>192</v>
      </c>
    </row>
    <row r="10518" spans="1:7" x14ac:dyDescent="0.35">
      <c r="A10518" t="s">
        <v>228</v>
      </c>
      <c r="B10518" t="s">
        <v>369</v>
      </c>
      <c r="C10518" s="26">
        <v>0.66290000000000004</v>
      </c>
      <c r="D10518" s="26">
        <v>0.32469999999999999</v>
      </c>
      <c r="E10518" s="26">
        <v>1.0500000000000001E-2</v>
      </c>
      <c r="F10518" s="26">
        <v>1.9E-3</v>
      </c>
      <c r="G10518">
        <v>841</v>
      </c>
    </row>
    <row r="10519" spans="1:7" x14ac:dyDescent="0.35">
      <c r="A10519" t="s">
        <v>229</v>
      </c>
      <c r="B10519" t="s">
        <v>368</v>
      </c>
      <c r="C10519" s="26">
        <v>0.80049999999999999</v>
      </c>
      <c r="D10519" s="26">
        <v>0.19950000000000001</v>
      </c>
      <c r="G10519">
        <v>96</v>
      </c>
    </row>
    <row r="10520" spans="1:7" x14ac:dyDescent="0.35">
      <c r="A10520" t="s">
        <v>229</v>
      </c>
      <c r="B10520" t="s">
        <v>369</v>
      </c>
      <c r="C10520" s="26">
        <v>0.78439999999999999</v>
      </c>
      <c r="D10520" s="26">
        <v>0.20610000000000001</v>
      </c>
      <c r="E10520" s="26">
        <v>8.6999999999999994E-3</v>
      </c>
      <c r="F10520" s="26">
        <v>6.9999999999999999E-4</v>
      </c>
      <c r="G10520">
        <v>799</v>
      </c>
    </row>
    <row r="10521" spans="1:7" x14ac:dyDescent="0.35">
      <c r="A10521" t="s">
        <v>230</v>
      </c>
      <c r="B10521" t="s">
        <v>368</v>
      </c>
      <c r="C10521" s="26">
        <v>0.72399999999999998</v>
      </c>
      <c r="D10521" s="26">
        <v>0.2356</v>
      </c>
      <c r="E10521" s="26">
        <v>4.0399999999999998E-2</v>
      </c>
      <c r="G10521">
        <v>57</v>
      </c>
    </row>
    <row r="10522" spans="1:7" x14ac:dyDescent="0.35">
      <c r="A10522" t="s">
        <v>230</v>
      </c>
      <c r="B10522" t="s">
        <v>369</v>
      </c>
      <c r="C10522" s="26">
        <v>0.76149999999999995</v>
      </c>
      <c r="D10522" s="26">
        <v>0.23300000000000001</v>
      </c>
      <c r="E10522" s="26">
        <v>5.4999999999999997E-3</v>
      </c>
      <c r="G10522">
        <v>503</v>
      </c>
    </row>
    <row r="10523" spans="1:7" x14ac:dyDescent="0.35">
      <c r="A10523" s="27" t="s">
        <v>231</v>
      </c>
      <c r="B10523" s="27" t="s">
        <v>368</v>
      </c>
      <c r="C10523" s="28">
        <v>1</v>
      </c>
      <c r="D10523" s="29"/>
      <c r="E10523" s="29"/>
      <c r="F10523" s="29"/>
      <c r="G10523" s="29" t="s">
        <v>338</v>
      </c>
    </row>
    <row r="10524" spans="1:7" x14ac:dyDescent="0.35">
      <c r="A10524" t="s">
        <v>231</v>
      </c>
      <c r="B10524" t="s">
        <v>369</v>
      </c>
      <c r="C10524" s="26">
        <v>0.98540000000000005</v>
      </c>
      <c r="E10524" s="26">
        <v>7.3000000000000001E-3</v>
      </c>
      <c r="F10524" s="26">
        <v>7.3000000000000001E-3</v>
      </c>
      <c r="G10524">
        <v>137</v>
      </c>
    </row>
    <row r="10525" spans="1:7" x14ac:dyDescent="0.35">
      <c r="A10525" t="s">
        <v>232</v>
      </c>
      <c r="B10525" t="s">
        <v>232</v>
      </c>
      <c r="C10525" s="26">
        <v>0.84379999999999999</v>
      </c>
      <c r="D10525" s="26">
        <v>0.14749999999999999</v>
      </c>
      <c r="E10525" s="26">
        <v>6.6E-3</v>
      </c>
      <c r="F10525" s="26">
        <v>2.0999999999999999E-3</v>
      </c>
      <c r="G10525">
        <v>2813</v>
      </c>
    </row>
    <row r="10527" spans="1:7" x14ac:dyDescent="0.35">
      <c r="A10527" s="1" t="s">
        <v>1338</v>
      </c>
    </row>
    <row r="10528" spans="1:7" x14ac:dyDescent="0.35">
      <c r="A10528" t="s">
        <v>219</v>
      </c>
      <c r="B10528" t="s">
        <v>305</v>
      </c>
      <c r="C10528" t="s">
        <v>302</v>
      </c>
      <c r="D10528" t="s">
        <v>303</v>
      </c>
      <c r="E10528" t="s">
        <v>281</v>
      </c>
      <c r="F10528" t="s">
        <v>286</v>
      </c>
      <c r="G10528" t="s">
        <v>226</v>
      </c>
    </row>
    <row r="10529" spans="1:7" x14ac:dyDescent="0.35">
      <c r="A10529" t="s">
        <v>227</v>
      </c>
      <c r="B10529" t="s">
        <v>371</v>
      </c>
      <c r="C10529" s="26">
        <v>1</v>
      </c>
      <c r="G10529">
        <v>161</v>
      </c>
    </row>
    <row r="10530" spans="1:7" x14ac:dyDescent="0.35">
      <c r="A10530" t="s">
        <v>228</v>
      </c>
      <c r="B10530" t="s">
        <v>371</v>
      </c>
      <c r="C10530" s="26">
        <v>0.73760000000000003</v>
      </c>
      <c r="D10530" s="26">
        <v>0.26029999999999998</v>
      </c>
      <c r="E10530" s="26">
        <v>6.9999999999999999E-4</v>
      </c>
      <c r="F10530" s="26">
        <v>1.4E-3</v>
      </c>
      <c r="G10530">
        <v>292</v>
      </c>
    </row>
    <row r="10531" spans="1:7" x14ac:dyDescent="0.35">
      <c r="A10531" t="s">
        <v>228</v>
      </c>
      <c r="B10531" t="s">
        <v>372</v>
      </c>
      <c r="C10531" s="26">
        <v>0.4103</v>
      </c>
      <c r="D10531" s="26">
        <v>0.5776</v>
      </c>
      <c r="E10531" s="26">
        <v>1.21E-2</v>
      </c>
      <c r="G10531">
        <v>218</v>
      </c>
    </row>
    <row r="10532" spans="1:7" x14ac:dyDescent="0.35">
      <c r="A10532" t="s">
        <v>228</v>
      </c>
      <c r="B10532" t="s">
        <v>373</v>
      </c>
      <c r="C10532" s="26">
        <v>0.57269999999999999</v>
      </c>
      <c r="D10532" s="26">
        <v>0.40500000000000003</v>
      </c>
      <c r="E10532" s="26">
        <v>2.0199999999999999E-2</v>
      </c>
      <c r="F10532" s="26">
        <v>2.0999999999999999E-3</v>
      </c>
      <c r="G10532">
        <v>523</v>
      </c>
    </row>
    <row r="10533" spans="1:7" x14ac:dyDescent="0.35">
      <c r="A10533" t="s">
        <v>229</v>
      </c>
      <c r="B10533" t="s">
        <v>371</v>
      </c>
      <c r="C10533" s="26">
        <v>0.8075</v>
      </c>
      <c r="D10533" s="26">
        <v>0.18529999999999999</v>
      </c>
      <c r="E10533" s="26">
        <v>7.1000000000000004E-3</v>
      </c>
      <c r="F10533" s="26">
        <v>2.0000000000000001E-4</v>
      </c>
      <c r="G10533">
        <v>584</v>
      </c>
    </row>
    <row r="10534" spans="1:7" x14ac:dyDescent="0.35">
      <c r="A10534" t="s">
        <v>229</v>
      </c>
      <c r="B10534" t="s">
        <v>372</v>
      </c>
      <c r="C10534" s="26">
        <v>0.45140000000000002</v>
      </c>
      <c r="D10534" s="26">
        <v>0.52510000000000001</v>
      </c>
      <c r="E10534" s="26">
        <v>1.5100000000000001E-2</v>
      </c>
      <c r="F10534" s="26">
        <v>8.5000000000000006E-3</v>
      </c>
      <c r="G10534">
        <v>221</v>
      </c>
    </row>
    <row r="10535" spans="1:7" x14ac:dyDescent="0.35">
      <c r="A10535" t="s">
        <v>229</v>
      </c>
      <c r="B10535" t="s">
        <v>373</v>
      </c>
      <c r="C10535" s="26">
        <v>0.70030000000000003</v>
      </c>
      <c r="D10535" s="26">
        <v>0.29339999999999999</v>
      </c>
      <c r="E10535" s="26">
        <v>6.3E-3</v>
      </c>
      <c r="G10535">
        <v>90</v>
      </c>
    </row>
    <row r="10536" spans="1:7" x14ac:dyDescent="0.35">
      <c r="A10536" t="s">
        <v>230</v>
      </c>
      <c r="B10536" t="s">
        <v>371</v>
      </c>
      <c r="C10536" s="26">
        <v>0.80500000000000005</v>
      </c>
      <c r="D10536" s="26">
        <v>0.18729999999999999</v>
      </c>
      <c r="E10536" s="26">
        <v>7.7000000000000002E-3</v>
      </c>
      <c r="G10536">
        <v>262</v>
      </c>
    </row>
    <row r="10537" spans="1:7" x14ac:dyDescent="0.35">
      <c r="A10537" t="s">
        <v>230</v>
      </c>
      <c r="B10537" t="s">
        <v>372</v>
      </c>
      <c r="C10537" s="26">
        <v>0.27100000000000002</v>
      </c>
      <c r="D10537" s="26">
        <v>0.72430000000000005</v>
      </c>
      <c r="E10537" s="26">
        <v>4.7000000000000002E-3</v>
      </c>
      <c r="G10537">
        <v>146</v>
      </c>
    </row>
    <row r="10538" spans="1:7" x14ac:dyDescent="0.35">
      <c r="A10538" t="s">
        <v>230</v>
      </c>
      <c r="B10538" t="s">
        <v>373</v>
      </c>
      <c r="C10538" s="26">
        <v>0.66659999999999997</v>
      </c>
      <c r="D10538" s="26">
        <v>0.30559999999999998</v>
      </c>
      <c r="E10538" s="26">
        <v>2.7799999999999998E-2</v>
      </c>
      <c r="G10538">
        <v>152</v>
      </c>
    </row>
    <row r="10539" spans="1:7" x14ac:dyDescent="0.35">
      <c r="A10539" t="s">
        <v>231</v>
      </c>
      <c r="B10539" t="s">
        <v>371</v>
      </c>
      <c r="C10539" s="26">
        <v>0.98780000000000001</v>
      </c>
      <c r="E10539" s="26">
        <v>6.1000000000000004E-3</v>
      </c>
      <c r="F10539" s="26">
        <v>6.1000000000000004E-3</v>
      </c>
      <c r="G10539">
        <v>164</v>
      </c>
    </row>
    <row r="10540" spans="1:7" x14ac:dyDescent="0.35">
      <c r="A10540" t="s">
        <v>232</v>
      </c>
      <c r="B10540" t="s">
        <v>232</v>
      </c>
      <c r="C10540" s="26">
        <v>0.84379999999999999</v>
      </c>
      <c r="D10540" s="26">
        <v>0.14749999999999999</v>
      </c>
      <c r="E10540" s="26">
        <v>6.6E-3</v>
      </c>
      <c r="F10540" s="26">
        <v>2.0999999999999999E-3</v>
      </c>
      <c r="G10540">
        <v>2813</v>
      </c>
    </row>
    <row r="10542" spans="1:7" x14ac:dyDescent="0.35">
      <c r="A10542" s="1" t="s">
        <v>1339</v>
      </c>
    </row>
    <row r="10543" spans="1:7" x14ac:dyDescent="0.35">
      <c r="A10543" t="s">
        <v>219</v>
      </c>
      <c r="B10543" t="s">
        <v>305</v>
      </c>
      <c r="C10543" t="s">
        <v>302</v>
      </c>
      <c r="D10543" t="s">
        <v>303</v>
      </c>
      <c r="E10543" t="s">
        <v>281</v>
      </c>
      <c r="F10543" t="s">
        <v>286</v>
      </c>
      <c r="G10543" t="s">
        <v>226</v>
      </c>
    </row>
    <row r="10544" spans="1:7" x14ac:dyDescent="0.35">
      <c r="A10544" t="s">
        <v>227</v>
      </c>
      <c r="B10544" t="s">
        <v>255</v>
      </c>
      <c r="C10544" s="26">
        <v>1</v>
      </c>
      <c r="G10544">
        <v>117</v>
      </c>
    </row>
    <row r="10545" spans="1:7" x14ac:dyDescent="0.35">
      <c r="A10545" s="27" t="s">
        <v>227</v>
      </c>
      <c r="B10545" s="27" t="s">
        <v>257</v>
      </c>
      <c r="C10545" s="28">
        <v>1</v>
      </c>
      <c r="D10545" s="29"/>
      <c r="E10545" s="29"/>
      <c r="F10545" s="29"/>
      <c r="G10545" s="29" t="s">
        <v>334</v>
      </c>
    </row>
    <row r="10546" spans="1:7" x14ac:dyDescent="0.35">
      <c r="A10546" t="s">
        <v>227</v>
      </c>
      <c r="B10546" t="s">
        <v>256</v>
      </c>
      <c r="C10546" s="26">
        <v>1</v>
      </c>
      <c r="G10546">
        <v>35</v>
      </c>
    </row>
    <row r="10547" spans="1:7" x14ac:dyDescent="0.35">
      <c r="A10547" t="s">
        <v>228</v>
      </c>
      <c r="B10547" t="s">
        <v>257</v>
      </c>
      <c r="C10547" s="26">
        <v>0.58189999999999997</v>
      </c>
      <c r="D10547" s="26">
        <v>0.4022</v>
      </c>
      <c r="E10547" s="26">
        <v>1.6E-2</v>
      </c>
      <c r="G10547">
        <v>49</v>
      </c>
    </row>
    <row r="10548" spans="1:7" x14ac:dyDescent="0.35">
      <c r="A10548" s="27" t="s">
        <v>228</v>
      </c>
      <c r="B10548" s="27" t="s">
        <v>258</v>
      </c>
      <c r="C10548" s="28">
        <v>0.2092</v>
      </c>
      <c r="D10548" s="28">
        <v>0.79079999999999995</v>
      </c>
      <c r="E10548" s="29"/>
      <c r="F10548" s="29"/>
      <c r="G10548" s="29" t="s">
        <v>337</v>
      </c>
    </row>
    <row r="10549" spans="1:7" x14ac:dyDescent="0.35">
      <c r="A10549" t="s">
        <v>228</v>
      </c>
      <c r="B10549" t="s">
        <v>256</v>
      </c>
      <c r="C10549" s="26">
        <v>0.68799999999999994</v>
      </c>
      <c r="D10549" s="26">
        <v>0.3105</v>
      </c>
      <c r="E10549" s="26">
        <v>1.5E-3</v>
      </c>
      <c r="G10549">
        <v>221</v>
      </c>
    </row>
    <row r="10550" spans="1:7" x14ac:dyDescent="0.35">
      <c r="A10550" t="s">
        <v>228</v>
      </c>
      <c r="B10550" t="s">
        <v>255</v>
      </c>
      <c r="C10550" s="26">
        <v>0.63829999999999998</v>
      </c>
      <c r="D10550" s="26">
        <v>0.34789999999999999</v>
      </c>
      <c r="E10550" s="26">
        <v>1.1599999999999999E-2</v>
      </c>
      <c r="F10550" s="26">
        <v>2.2000000000000001E-3</v>
      </c>
      <c r="G10550">
        <v>759</v>
      </c>
    </row>
    <row r="10551" spans="1:7" x14ac:dyDescent="0.35">
      <c r="A10551" t="s">
        <v>229</v>
      </c>
      <c r="B10551" t="s">
        <v>256</v>
      </c>
      <c r="C10551" s="26">
        <v>0.81100000000000005</v>
      </c>
      <c r="D10551" s="26">
        <v>0.18720000000000001</v>
      </c>
      <c r="E10551" s="26">
        <v>1.8E-3</v>
      </c>
      <c r="G10551">
        <v>207</v>
      </c>
    </row>
    <row r="10552" spans="1:7" x14ac:dyDescent="0.35">
      <c r="A10552" t="s">
        <v>229</v>
      </c>
      <c r="B10552" t="s">
        <v>255</v>
      </c>
      <c r="C10552" s="26">
        <v>0.77029999999999998</v>
      </c>
      <c r="D10552" s="26">
        <v>0.2185</v>
      </c>
      <c r="E10552" s="26">
        <v>1.03E-2</v>
      </c>
      <c r="F10552" s="26">
        <v>8.9999999999999998E-4</v>
      </c>
      <c r="G10552">
        <v>636</v>
      </c>
    </row>
    <row r="10553" spans="1:7" x14ac:dyDescent="0.35">
      <c r="A10553" t="s">
        <v>229</v>
      </c>
      <c r="B10553" t="s">
        <v>257</v>
      </c>
      <c r="C10553" s="26">
        <v>0.86990000000000001</v>
      </c>
      <c r="D10553" s="26">
        <v>0.13009999999999999</v>
      </c>
      <c r="G10553">
        <v>50</v>
      </c>
    </row>
    <row r="10554" spans="1:7" x14ac:dyDescent="0.35">
      <c r="A10554" s="27" t="s">
        <v>229</v>
      </c>
      <c r="B10554" s="27" t="s">
        <v>258</v>
      </c>
      <c r="C10554" s="28">
        <v>0.77590000000000003</v>
      </c>
      <c r="D10554" s="28">
        <v>0.22409999999999999</v>
      </c>
      <c r="E10554" s="29"/>
      <c r="F10554" s="29"/>
      <c r="G10554" s="29" t="s">
        <v>314</v>
      </c>
    </row>
    <row r="10555" spans="1:7" x14ac:dyDescent="0.35">
      <c r="A10555" t="s">
        <v>230</v>
      </c>
      <c r="B10555" t="s">
        <v>256</v>
      </c>
      <c r="C10555" s="26">
        <v>0.79449999999999998</v>
      </c>
      <c r="D10555" s="26">
        <v>0.20549999999999999</v>
      </c>
      <c r="G10555">
        <v>130</v>
      </c>
    </row>
    <row r="10556" spans="1:7" x14ac:dyDescent="0.35">
      <c r="A10556" t="s">
        <v>230</v>
      </c>
      <c r="B10556" t="s">
        <v>255</v>
      </c>
      <c r="C10556" s="26">
        <v>0.74909999999999999</v>
      </c>
      <c r="D10556" s="26">
        <v>0.2356</v>
      </c>
      <c r="E10556" s="26">
        <v>1.52E-2</v>
      </c>
      <c r="G10556">
        <v>389</v>
      </c>
    </row>
    <row r="10557" spans="1:7" x14ac:dyDescent="0.35">
      <c r="A10557" t="s">
        <v>230</v>
      </c>
      <c r="B10557" t="s">
        <v>257</v>
      </c>
      <c r="C10557" s="26">
        <v>0.67649999999999999</v>
      </c>
      <c r="D10557" s="26">
        <v>0.32350000000000001</v>
      </c>
      <c r="G10557">
        <v>38</v>
      </c>
    </row>
    <row r="10558" spans="1:7" x14ac:dyDescent="0.35">
      <c r="A10558" s="27" t="s">
        <v>230</v>
      </c>
      <c r="B10558" s="27" t="s">
        <v>258</v>
      </c>
      <c r="C10558" s="28">
        <v>0.86439999999999995</v>
      </c>
      <c r="D10558" s="28">
        <v>0.1356</v>
      </c>
      <c r="E10558" s="29"/>
      <c r="F10558" s="29"/>
      <c r="G10558" s="29" t="s">
        <v>315</v>
      </c>
    </row>
    <row r="10559" spans="1:7" x14ac:dyDescent="0.35">
      <c r="A10559" s="27" t="s">
        <v>231</v>
      </c>
      <c r="B10559" s="27" t="s">
        <v>257</v>
      </c>
      <c r="C10559" s="28">
        <v>1</v>
      </c>
      <c r="D10559" s="29"/>
      <c r="E10559" s="29"/>
      <c r="F10559" s="29"/>
      <c r="G10559" s="29" t="s">
        <v>339</v>
      </c>
    </row>
    <row r="10560" spans="1:7" x14ac:dyDescent="0.35">
      <c r="A10560" t="s">
        <v>231</v>
      </c>
      <c r="B10560" t="s">
        <v>255</v>
      </c>
      <c r="C10560" s="26">
        <v>0.98450000000000004</v>
      </c>
      <c r="E10560" s="26">
        <v>7.7999999999999996E-3</v>
      </c>
      <c r="F10560" s="26">
        <v>7.7999999999999996E-3</v>
      </c>
      <c r="G10560">
        <v>129</v>
      </c>
    </row>
    <row r="10561" spans="1:7" x14ac:dyDescent="0.35">
      <c r="A10561" s="27" t="s">
        <v>231</v>
      </c>
      <c r="B10561" s="27" t="s">
        <v>256</v>
      </c>
      <c r="C10561" s="28">
        <v>1</v>
      </c>
      <c r="D10561" s="29"/>
      <c r="E10561" s="29"/>
      <c r="F10561" s="29"/>
      <c r="G10561" s="29" t="s">
        <v>336</v>
      </c>
    </row>
    <row r="10562" spans="1:7" x14ac:dyDescent="0.35">
      <c r="A10562" t="s">
        <v>232</v>
      </c>
      <c r="B10562" t="s">
        <v>232</v>
      </c>
      <c r="C10562" s="26">
        <v>0.84379999999999999</v>
      </c>
      <c r="D10562" s="26">
        <v>0.14749999999999999</v>
      </c>
      <c r="E10562" s="26">
        <v>6.6E-3</v>
      </c>
      <c r="F10562" s="26">
        <v>2.0999999999999999E-3</v>
      </c>
      <c r="G10562">
        <v>2813</v>
      </c>
    </row>
    <row r="10564" spans="1:7" x14ac:dyDescent="0.35">
      <c r="A10564" s="1" t="s">
        <v>1340</v>
      </c>
    </row>
    <row r="10565" spans="1:7" x14ac:dyDescent="0.35">
      <c r="A10565" t="s">
        <v>219</v>
      </c>
      <c r="B10565" t="s">
        <v>305</v>
      </c>
      <c r="C10565" t="s">
        <v>302</v>
      </c>
      <c r="D10565" t="s">
        <v>303</v>
      </c>
      <c r="E10565" t="s">
        <v>281</v>
      </c>
      <c r="F10565" t="s">
        <v>286</v>
      </c>
      <c r="G10565" t="s">
        <v>226</v>
      </c>
    </row>
    <row r="10566" spans="1:7" x14ac:dyDescent="0.35">
      <c r="A10566" t="s">
        <v>227</v>
      </c>
      <c r="B10566" t="s">
        <v>1341</v>
      </c>
      <c r="C10566" s="26">
        <v>1</v>
      </c>
      <c r="G10566">
        <v>49</v>
      </c>
    </row>
    <row r="10567" spans="1:7" x14ac:dyDescent="0.35">
      <c r="A10567" s="27" t="s">
        <v>227</v>
      </c>
      <c r="B10567" s="27" t="s">
        <v>1342</v>
      </c>
      <c r="C10567" s="28">
        <v>1</v>
      </c>
      <c r="D10567" s="29"/>
      <c r="E10567" s="29"/>
      <c r="F10567" s="29"/>
      <c r="G10567" s="29" t="s">
        <v>331</v>
      </c>
    </row>
    <row r="10568" spans="1:7" x14ac:dyDescent="0.35">
      <c r="A10568" t="s">
        <v>227</v>
      </c>
      <c r="B10568" t="s">
        <v>1343</v>
      </c>
      <c r="C10568" s="26">
        <v>1</v>
      </c>
      <c r="G10568">
        <v>111</v>
      </c>
    </row>
    <row r="10569" spans="1:7" x14ac:dyDescent="0.35">
      <c r="A10569" t="s">
        <v>228</v>
      </c>
      <c r="B10569" t="s">
        <v>1341</v>
      </c>
      <c r="C10569" s="26">
        <v>0.66259999999999997</v>
      </c>
      <c r="D10569" s="26">
        <v>0.33329999999999999</v>
      </c>
      <c r="F10569" s="26">
        <v>4.1000000000000003E-3</v>
      </c>
      <c r="G10569">
        <v>305</v>
      </c>
    </row>
    <row r="10570" spans="1:7" x14ac:dyDescent="0.35">
      <c r="A10570" s="27" t="s">
        <v>228</v>
      </c>
      <c r="B10570" s="27" t="s">
        <v>1342</v>
      </c>
      <c r="C10570" s="29"/>
      <c r="D10570" s="28">
        <v>1</v>
      </c>
      <c r="E10570" s="29"/>
      <c r="F10570" s="29"/>
      <c r="G10570" s="29" t="s">
        <v>331</v>
      </c>
    </row>
    <row r="10571" spans="1:7" x14ac:dyDescent="0.35">
      <c r="A10571" t="s">
        <v>228</v>
      </c>
      <c r="B10571" t="s">
        <v>1343</v>
      </c>
      <c r="C10571" s="26">
        <v>0.64070000000000005</v>
      </c>
      <c r="D10571" s="26">
        <v>0.34560000000000002</v>
      </c>
      <c r="E10571" s="26">
        <v>1.32E-2</v>
      </c>
      <c r="F10571" s="26">
        <v>5.0000000000000001E-4</v>
      </c>
      <c r="G10571">
        <v>727</v>
      </c>
    </row>
    <row r="10572" spans="1:7" x14ac:dyDescent="0.35">
      <c r="A10572" t="s">
        <v>229</v>
      </c>
      <c r="B10572" t="s">
        <v>1341</v>
      </c>
      <c r="C10572" s="26">
        <v>0.81789999999999996</v>
      </c>
      <c r="D10572" s="26">
        <v>0.18210000000000001</v>
      </c>
      <c r="G10572">
        <v>273</v>
      </c>
    </row>
    <row r="10573" spans="1:7" x14ac:dyDescent="0.35">
      <c r="A10573" t="s">
        <v>229</v>
      </c>
      <c r="B10573" t="s">
        <v>1343</v>
      </c>
      <c r="C10573" s="26">
        <v>0.77170000000000005</v>
      </c>
      <c r="D10573" s="26">
        <v>0.21640000000000001</v>
      </c>
      <c r="E10573" s="26">
        <v>1.11E-2</v>
      </c>
      <c r="F10573" s="26">
        <v>8.9999999999999998E-4</v>
      </c>
      <c r="G10573">
        <v>622</v>
      </c>
    </row>
    <row r="10574" spans="1:7" x14ac:dyDescent="0.35">
      <c r="A10574" t="s">
        <v>230</v>
      </c>
      <c r="B10574" t="s">
        <v>1341</v>
      </c>
      <c r="C10574" s="26">
        <v>0.81200000000000006</v>
      </c>
      <c r="D10574" s="26">
        <v>0.188</v>
      </c>
      <c r="G10574">
        <v>156</v>
      </c>
    </row>
    <row r="10575" spans="1:7" x14ac:dyDescent="0.35">
      <c r="A10575" t="s">
        <v>230</v>
      </c>
      <c r="B10575" t="s">
        <v>1343</v>
      </c>
      <c r="C10575" s="26">
        <v>0.7319</v>
      </c>
      <c r="D10575" s="26">
        <v>0.2535</v>
      </c>
      <c r="E10575" s="26">
        <v>1.46E-2</v>
      </c>
      <c r="G10575">
        <v>404</v>
      </c>
    </row>
    <row r="10576" spans="1:7" x14ac:dyDescent="0.35">
      <c r="A10576" t="s">
        <v>231</v>
      </c>
      <c r="B10576" t="s">
        <v>1341</v>
      </c>
      <c r="C10576" s="26">
        <v>0.96919999999999995</v>
      </c>
      <c r="E10576" s="26">
        <v>1.54E-2</v>
      </c>
      <c r="F10576" s="26">
        <v>1.54E-2</v>
      </c>
      <c r="G10576">
        <v>65</v>
      </c>
    </row>
    <row r="10577" spans="1:7" x14ac:dyDescent="0.35">
      <c r="A10577" t="s">
        <v>231</v>
      </c>
      <c r="B10577" t="s">
        <v>1343</v>
      </c>
      <c r="C10577" s="26">
        <v>1</v>
      </c>
      <c r="G10577">
        <v>99</v>
      </c>
    </row>
    <row r="10578" spans="1:7" x14ac:dyDescent="0.35">
      <c r="A10578" t="s">
        <v>232</v>
      </c>
      <c r="B10578" t="s">
        <v>232</v>
      </c>
      <c r="C10578" s="26">
        <v>0.84379999999999999</v>
      </c>
      <c r="D10578" s="26">
        <v>0.14749999999999999</v>
      </c>
      <c r="E10578" s="26">
        <v>6.6E-3</v>
      </c>
      <c r="F10578" s="26">
        <v>2.0999999999999999E-3</v>
      </c>
      <c r="G10578">
        <v>2813</v>
      </c>
    </row>
    <row r="10580" spans="1:7" x14ac:dyDescent="0.35">
      <c r="A10580" s="1" t="s">
        <v>1344</v>
      </c>
    </row>
    <row r="10581" spans="1:7" x14ac:dyDescent="0.35">
      <c r="A10581" t="s">
        <v>219</v>
      </c>
      <c r="B10581" t="s">
        <v>305</v>
      </c>
      <c r="C10581" t="s">
        <v>302</v>
      </c>
      <c r="D10581" t="s">
        <v>303</v>
      </c>
      <c r="E10581" t="s">
        <v>281</v>
      </c>
      <c r="F10581" t="s">
        <v>286</v>
      </c>
      <c r="G10581" t="s">
        <v>226</v>
      </c>
    </row>
    <row r="10582" spans="1:7" x14ac:dyDescent="0.35">
      <c r="A10582" s="27" t="s">
        <v>227</v>
      </c>
      <c r="B10582" s="27" t="s">
        <v>1345</v>
      </c>
      <c r="C10582" s="28">
        <v>1</v>
      </c>
      <c r="D10582" s="29"/>
      <c r="E10582" s="29"/>
      <c r="F10582" s="29"/>
      <c r="G10582" s="29" t="s">
        <v>314</v>
      </c>
    </row>
    <row r="10583" spans="1:7" x14ac:dyDescent="0.35">
      <c r="A10583" t="s">
        <v>227</v>
      </c>
      <c r="B10583" t="s">
        <v>1346</v>
      </c>
      <c r="C10583" s="26">
        <v>1</v>
      </c>
      <c r="G10583">
        <v>39</v>
      </c>
    </row>
    <row r="10584" spans="1:7" x14ac:dyDescent="0.35">
      <c r="A10584" t="s">
        <v>227</v>
      </c>
      <c r="B10584" t="s">
        <v>1347</v>
      </c>
      <c r="C10584" s="26">
        <v>1</v>
      </c>
      <c r="G10584">
        <v>36</v>
      </c>
    </row>
    <row r="10585" spans="1:7" x14ac:dyDescent="0.35">
      <c r="A10585" t="s">
        <v>227</v>
      </c>
      <c r="B10585" t="s">
        <v>1348</v>
      </c>
      <c r="C10585" s="26">
        <v>1</v>
      </c>
      <c r="G10585">
        <v>84</v>
      </c>
    </row>
    <row r="10586" spans="1:7" x14ac:dyDescent="0.35">
      <c r="A10586" t="s">
        <v>228</v>
      </c>
      <c r="B10586" t="s">
        <v>1348</v>
      </c>
      <c r="C10586" s="26">
        <v>0.61350000000000005</v>
      </c>
      <c r="D10586" s="26">
        <v>0.37790000000000001</v>
      </c>
      <c r="E10586" s="26">
        <v>7.1000000000000004E-3</v>
      </c>
      <c r="F10586" s="26">
        <v>1.6000000000000001E-3</v>
      </c>
      <c r="G10586">
        <v>532</v>
      </c>
    </row>
    <row r="10587" spans="1:7" x14ac:dyDescent="0.35">
      <c r="A10587" t="s">
        <v>228</v>
      </c>
      <c r="B10587" t="s">
        <v>1347</v>
      </c>
      <c r="C10587" s="26">
        <v>0.71189999999999998</v>
      </c>
      <c r="D10587" s="26">
        <v>0.27389999999999998</v>
      </c>
      <c r="E10587" s="26">
        <v>1.4200000000000001E-2</v>
      </c>
      <c r="G10587">
        <v>204</v>
      </c>
    </row>
    <row r="10588" spans="1:7" x14ac:dyDescent="0.35">
      <c r="A10588" t="s">
        <v>228</v>
      </c>
      <c r="B10588" t="s">
        <v>1346</v>
      </c>
      <c r="C10588" s="26">
        <v>0.6482</v>
      </c>
      <c r="D10588" s="26">
        <v>0.33789999999999998</v>
      </c>
      <c r="E10588" s="26">
        <v>1.12E-2</v>
      </c>
      <c r="F10588" s="26">
        <v>2.8E-3</v>
      </c>
      <c r="G10588">
        <v>286</v>
      </c>
    </row>
    <row r="10589" spans="1:7" x14ac:dyDescent="0.35">
      <c r="A10589" s="27" t="s">
        <v>228</v>
      </c>
      <c r="B10589" s="27" t="s">
        <v>1345</v>
      </c>
      <c r="C10589" s="28">
        <v>0.79049999999999998</v>
      </c>
      <c r="D10589" s="28">
        <v>0.20949999999999999</v>
      </c>
      <c r="E10589" s="29"/>
      <c r="F10589" s="29"/>
      <c r="G10589" s="29" t="s">
        <v>352</v>
      </c>
    </row>
    <row r="10590" spans="1:7" x14ac:dyDescent="0.35">
      <c r="A10590" s="27" t="s">
        <v>229</v>
      </c>
      <c r="B10590" s="27" t="s">
        <v>1345</v>
      </c>
      <c r="C10590" s="28">
        <v>0.96989999999999998</v>
      </c>
      <c r="D10590" s="28">
        <v>3.0099999999999998E-2</v>
      </c>
      <c r="E10590" s="29"/>
      <c r="F10590" s="29"/>
      <c r="G10590" s="29" t="s">
        <v>357</v>
      </c>
    </row>
    <row r="10591" spans="1:7" x14ac:dyDescent="0.35">
      <c r="A10591" t="s">
        <v>229</v>
      </c>
      <c r="B10591" t="s">
        <v>1346</v>
      </c>
      <c r="C10591" s="26">
        <v>0.79449999999999998</v>
      </c>
      <c r="D10591" s="26">
        <v>0.18770000000000001</v>
      </c>
      <c r="E10591" s="26">
        <v>1.7299999999999999E-2</v>
      </c>
      <c r="F10591" s="26">
        <v>5.0000000000000001E-4</v>
      </c>
      <c r="G10591">
        <v>184</v>
      </c>
    </row>
    <row r="10592" spans="1:7" x14ac:dyDescent="0.35">
      <c r="A10592" t="s">
        <v>229</v>
      </c>
      <c r="B10592" t="s">
        <v>1347</v>
      </c>
      <c r="C10592" s="26">
        <v>0.7802</v>
      </c>
      <c r="D10592" s="26">
        <v>0.21579999999999999</v>
      </c>
      <c r="E10592" s="26">
        <v>3.3999999999999998E-3</v>
      </c>
      <c r="F10592" s="26">
        <v>5.9999999999999995E-4</v>
      </c>
      <c r="G10592">
        <v>302</v>
      </c>
    </row>
    <row r="10593" spans="1:8" x14ac:dyDescent="0.35">
      <c r="A10593" t="s">
        <v>229</v>
      </c>
      <c r="B10593" t="s">
        <v>1348</v>
      </c>
      <c r="C10593" s="26">
        <v>0.77659999999999996</v>
      </c>
      <c r="D10593" s="26">
        <v>0.21659999999999999</v>
      </c>
      <c r="E10593" s="26">
        <v>6.1000000000000004E-3</v>
      </c>
      <c r="F10593" s="26">
        <v>6.9999999999999999E-4</v>
      </c>
      <c r="G10593">
        <v>383</v>
      </c>
    </row>
    <row r="10594" spans="1:8" x14ac:dyDescent="0.35">
      <c r="A10594" t="s">
        <v>230</v>
      </c>
      <c r="B10594" t="s">
        <v>1346</v>
      </c>
      <c r="C10594" s="26">
        <v>0.67059999999999997</v>
      </c>
      <c r="D10594" s="26">
        <v>0.28839999999999999</v>
      </c>
      <c r="E10594" s="26">
        <v>4.1000000000000002E-2</v>
      </c>
      <c r="G10594">
        <v>140</v>
      </c>
    </row>
    <row r="10595" spans="1:8" x14ac:dyDescent="0.35">
      <c r="A10595" t="s">
        <v>230</v>
      </c>
      <c r="B10595" t="s">
        <v>1348</v>
      </c>
      <c r="C10595" s="26">
        <v>0.74470000000000003</v>
      </c>
      <c r="D10595" s="26">
        <v>0.25290000000000001</v>
      </c>
      <c r="E10595" s="26">
        <v>2.3999999999999998E-3</v>
      </c>
      <c r="G10595">
        <v>259</v>
      </c>
    </row>
    <row r="10596" spans="1:8" x14ac:dyDescent="0.35">
      <c r="A10596" t="s">
        <v>230</v>
      </c>
      <c r="B10596" t="s">
        <v>1347</v>
      </c>
      <c r="C10596" s="26">
        <v>0.83089999999999997</v>
      </c>
      <c r="D10596" s="26">
        <v>0.1691</v>
      </c>
      <c r="G10596">
        <v>153</v>
      </c>
    </row>
    <row r="10597" spans="1:8" x14ac:dyDescent="0.35">
      <c r="A10597" s="27" t="s">
        <v>230</v>
      </c>
      <c r="B10597" s="27" t="s">
        <v>1345</v>
      </c>
      <c r="C10597" s="28">
        <v>0.94199999999999995</v>
      </c>
      <c r="D10597" s="28">
        <v>5.8000000000000003E-2</v>
      </c>
      <c r="E10597" s="29"/>
      <c r="F10597" s="29"/>
      <c r="G10597" s="29" t="s">
        <v>333</v>
      </c>
    </row>
    <row r="10598" spans="1:8" x14ac:dyDescent="0.35">
      <c r="A10598" s="27" t="s">
        <v>231</v>
      </c>
      <c r="B10598" s="27" t="s">
        <v>1345</v>
      </c>
      <c r="C10598" s="28">
        <v>1</v>
      </c>
      <c r="D10598" s="29"/>
      <c r="E10598" s="29"/>
      <c r="F10598" s="29"/>
      <c r="G10598" s="29" t="s">
        <v>337</v>
      </c>
    </row>
    <row r="10599" spans="1:8" x14ac:dyDescent="0.35">
      <c r="A10599" t="s">
        <v>231</v>
      </c>
      <c r="B10599" t="s">
        <v>1346</v>
      </c>
      <c r="C10599" s="26">
        <v>1</v>
      </c>
      <c r="G10599">
        <v>40</v>
      </c>
    </row>
    <row r="10600" spans="1:8" x14ac:dyDescent="0.35">
      <c r="A10600" t="s">
        <v>231</v>
      </c>
      <c r="B10600" t="s">
        <v>1347</v>
      </c>
      <c r="C10600" s="26">
        <v>1</v>
      </c>
      <c r="G10600">
        <v>34</v>
      </c>
    </row>
    <row r="10601" spans="1:8" x14ac:dyDescent="0.35">
      <c r="A10601" t="s">
        <v>231</v>
      </c>
      <c r="B10601" t="s">
        <v>1348</v>
      </c>
      <c r="C10601" s="26">
        <v>0.97670000000000001</v>
      </c>
      <c r="E10601" s="26">
        <v>1.1599999999999999E-2</v>
      </c>
      <c r="F10601" s="26">
        <v>1.1599999999999999E-2</v>
      </c>
      <c r="G10601">
        <v>86</v>
      </c>
    </row>
    <row r="10602" spans="1:8" x14ac:dyDescent="0.35">
      <c r="A10602" t="s">
        <v>232</v>
      </c>
      <c r="B10602" t="s">
        <v>232</v>
      </c>
      <c r="C10602" s="26">
        <v>0.84379999999999999</v>
      </c>
      <c r="D10602" s="26">
        <v>0.14749999999999999</v>
      </c>
      <c r="E10602" s="26">
        <v>6.6E-3</v>
      </c>
      <c r="F10602" s="26">
        <v>2.0999999999999999E-3</v>
      </c>
      <c r="G10602">
        <v>2813</v>
      </c>
    </row>
    <row r="10604" spans="1:8" x14ac:dyDescent="0.35">
      <c r="A10604" s="1" t="s">
        <v>1349</v>
      </c>
    </row>
    <row r="10605" spans="1:8" x14ac:dyDescent="0.35">
      <c r="A10605" t="s">
        <v>219</v>
      </c>
      <c r="B10605" t="s">
        <v>305</v>
      </c>
      <c r="C10605" t="s">
        <v>345</v>
      </c>
      <c r="D10605" t="s">
        <v>302</v>
      </c>
      <c r="E10605" t="s">
        <v>303</v>
      </c>
      <c r="F10605" t="s">
        <v>281</v>
      </c>
      <c r="G10605" t="s">
        <v>286</v>
      </c>
      <c r="H10605" t="s">
        <v>226</v>
      </c>
    </row>
    <row r="10606" spans="1:8" x14ac:dyDescent="0.35">
      <c r="A10606" s="27" t="s">
        <v>227</v>
      </c>
      <c r="B10606" s="27" t="s">
        <v>1341</v>
      </c>
      <c r="C10606" s="27" t="s">
        <v>1345</v>
      </c>
      <c r="D10606" s="28">
        <v>1</v>
      </c>
      <c r="E10606" s="29"/>
      <c r="F10606" s="29"/>
      <c r="G10606" s="29"/>
      <c r="H10606" s="29" t="s">
        <v>331</v>
      </c>
    </row>
    <row r="10607" spans="1:8" x14ac:dyDescent="0.35">
      <c r="A10607" s="27" t="s">
        <v>227</v>
      </c>
      <c r="B10607" s="27" t="s">
        <v>1343</v>
      </c>
      <c r="C10607" s="27" t="s">
        <v>1346</v>
      </c>
      <c r="D10607" s="28">
        <v>1</v>
      </c>
      <c r="E10607" s="29"/>
      <c r="F10607" s="29"/>
      <c r="G10607" s="29"/>
      <c r="H10607" s="29" t="s">
        <v>357</v>
      </c>
    </row>
    <row r="10608" spans="1:8" x14ac:dyDescent="0.35">
      <c r="A10608" t="s">
        <v>227</v>
      </c>
      <c r="B10608" t="s">
        <v>1343</v>
      </c>
      <c r="C10608" t="s">
        <v>1348</v>
      </c>
      <c r="D10608" s="26">
        <v>1</v>
      </c>
      <c r="H10608">
        <v>61</v>
      </c>
    </row>
    <row r="10609" spans="1:8" x14ac:dyDescent="0.35">
      <c r="A10609" s="27" t="s">
        <v>227</v>
      </c>
      <c r="B10609" s="27" t="s">
        <v>1341</v>
      </c>
      <c r="C10609" s="27" t="s">
        <v>1347</v>
      </c>
      <c r="D10609" s="28">
        <v>1</v>
      </c>
      <c r="E10609" s="29"/>
      <c r="F10609" s="29"/>
      <c r="G10609" s="29"/>
      <c r="H10609" s="29" t="s">
        <v>341</v>
      </c>
    </row>
    <row r="10610" spans="1:8" x14ac:dyDescent="0.35">
      <c r="A10610" s="27" t="s">
        <v>227</v>
      </c>
      <c r="B10610" s="27" t="s">
        <v>1343</v>
      </c>
      <c r="C10610" s="27" t="s">
        <v>1347</v>
      </c>
      <c r="D10610" s="28">
        <v>1</v>
      </c>
      <c r="E10610" s="29"/>
      <c r="F10610" s="29"/>
      <c r="G10610" s="29"/>
      <c r="H10610" s="29" t="s">
        <v>328</v>
      </c>
    </row>
    <row r="10611" spans="1:8" x14ac:dyDescent="0.35">
      <c r="A10611" s="27" t="s">
        <v>227</v>
      </c>
      <c r="B10611" s="27" t="s">
        <v>1343</v>
      </c>
      <c r="C10611" s="27" t="s">
        <v>1345</v>
      </c>
      <c r="D10611" s="28">
        <v>1</v>
      </c>
      <c r="E10611" s="29"/>
      <c r="F10611" s="29"/>
      <c r="G10611" s="29"/>
      <c r="H10611" s="29" t="s">
        <v>331</v>
      </c>
    </row>
    <row r="10612" spans="1:8" x14ac:dyDescent="0.35">
      <c r="A10612" s="27" t="s">
        <v>227</v>
      </c>
      <c r="B10612" s="27" t="s">
        <v>1342</v>
      </c>
      <c r="C10612" s="27" t="s">
        <v>1348</v>
      </c>
      <c r="D10612" s="28">
        <v>1</v>
      </c>
      <c r="E10612" s="29"/>
      <c r="F10612" s="29"/>
      <c r="G10612" s="29"/>
      <c r="H10612" s="29" t="s">
        <v>331</v>
      </c>
    </row>
    <row r="10613" spans="1:8" x14ac:dyDescent="0.35">
      <c r="A10613" s="27" t="s">
        <v>227</v>
      </c>
      <c r="B10613" s="27" t="s">
        <v>1341</v>
      </c>
      <c r="C10613" s="27" t="s">
        <v>1348</v>
      </c>
      <c r="D10613" s="28">
        <v>1</v>
      </c>
      <c r="E10613" s="29"/>
      <c r="F10613" s="29"/>
      <c r="G10613" s="29"/>
      <c r="H10613" s="29" t="s">
        <v>347</v>
      </c>
    </row>
    <row r="10614" spans="1:8" x14ac:dyDescent="0.35">
      <c r="A10614" s="27" t="s">
        <v>227</v>
      </c>
      <c r="B10614" s="27" t="s">
        <v>1341</v>
      </c>
      <c r="C10614" s="27" t="s">
        <v>1346</v>
      </c>
      <c r="D10614" s="28">
        <v>1</v>
      </c>
      <c r="E10614" s="29"/>
      <c r="F10614" s="29"/>
      <c r="G10614" s="29"/>
      <c r="H10614" s="29" t="s">
        <v>341</v>
      </c>
    </row>
    <row r="10615" spans="1:8" x14ac:dyDescent="0.35">
      <c r="A10615" t="s">
        <v>228</v>
      </c>
      <c r="B10615" t="s">
        <v>1343</v>
      </c>
      <c r="C10615" t="s">
        <v>1348</v>
      </c>
      <c r="D10615" s="26">
        <v>0.6169</v>
      </c>
      <c r="E10615" s="26">
        <v>0.37209999999999999</v>
      </c>
      <c r="F10615" s="26">
        <v>1.0999999999999999E-2</v>
      </c>
      <c r="H10615">
        <v>352</v>
      </c>
    </row>
    <row r="10616" spans="1:8" x14ac:dyDescent="0.35">
      <c r="A10616" t="s">
        <v>228</v>
      </c>
      <c r="B10616" t="s">
        <v>1343</v>
      </c>
      <c r="C10616" t="s">
        <v>1347</v>
      </c>
      <c r="D10616" s="26">
        <v>0.6694</v>
      </c>
      <c r="E10616" s="26">
        <v>0.30930000000000002</v>
      </c>
      <c r="F10616" s="26">
        <v>2.1299999999999999E-2</v>
      </c>
      <c r="H10616">
        <v>130</v>
      </c>
    </row>
    <row r="10617" spans="1:8" x14ac:dyDescent="0.35">
      <c r="A10617" s="27" t="s">
        <v>228</v>
      </c>
      <c r="B10617" s="27" t="s">
        <v>1343</v>
      </c>
      <c r="C10617" s="27" t="s">
        <v>1345</v>
      </c>
      <c r="D10617" s="28">
        <v>0.77859999999999996</v>
      </c>
      <c r="E10617" s="28">
        <v>0.22140000000000001</v>
      </c>
      <c r="F10617" s="29"/>
      <c r="G10617" s="29"/>
      <c r="H10617" s="29" t="s">
        <v>335</v>
      </c>
    </row>
    <row r="10618" spans="1:8" x14ac:dyDescent="0.35">
      <c r="A10618" t="s">
        <v>228</v>
      </c>
      <c r="B10618" t="s">
        <v>1341</v>
      </c>
      <c r="C10618" t="s">
        <v>1346</v>
      </c>
      <c r="D10618" s="26">
        <v>0.62919999999999998</v>
      </c>
      <c r="E10618" s="26">
        <v>0.36070000000000002</v>
      </c>
      <c r="G10618" s="26">
        <v>1.0200000000000001E-2</v>
      </c>
      <c r="H10618">
        <v>47</v>
      </c>
    </row>
    <row r="10619" spans="1:8" x14ac:dyDescent="0.35">
      <c r="A10619" t="s">
        <v>228</v>
      </c>
      <c r="B10619" t="s">
        <v>1341</v>
      </c>
      <c r="C10619" t="s">
        <v>1348</v>
      </c>
      <c r="D10619" s="26">
        <v>0.61819999999999997</v>
      </c>
      <c r="E10619" s="26">
        <v>0.37730000000000002</v>
      </c>
      <c r="G10619" s="26">
        <v>4.4000000000000003E-3</v>
      </c>
      <c r="H10619">
        <v>179</v>
      </c>
    </row>
    <row r="10620" spans="1:8" x14ac:dyDescent="0.35">
      <c r="A10620" s="27" t="s">
        <v>228</v>
      </c>
      <c r="B10620" s="27" t="s">
        <v>1342</v>
      </c>
      <c r="C10620" s="27" t="s">
        <v>1348</v>
      </c>
      <c r="D10620" s="29"/>
      <c r="E10620" s="28">
        <v>1</v>
      </c>
      <c r="F10620" s="29"/>
      <c r="G10620" s="29"/>
      <c r="H10620" s="29" t="s">
        <v>331</v>
      </c>
    </row>
    <row r="10621" spans="1:8" x14ac:dyDescent="0.35">
      <c r="A10621" t="s">
        <v>228</v>
      </c>
      <c r="B10621" t="s">
        <v>1343</v>
      </c>
      <c r="C10621" t="s">
        <v>1346</v>
      </c>
      <c r="D10621" s="26">
        <v>0.6512</v>
      </c>
      <c r="E10621" s="26">
        <v>0.33429999999999999</v>
      </c>
      <c r="F10621" s="26">
        <v>1.29E-2</v>
      </c>
      <c r="G10621" s="26">
        <v>1.6000000000000001E-3</v>
      </c>
      <c r="H10621">
        <v>239</v>
      </c>
    </row>
    <row r="10622" spans="1:8" x14ac:dyDescent="0.35">
      <c r="A10622" t="s">
        <v>228</v>
      </c>
      <c r="B10622" t="s">
        <v>1341</v>
      </c>
      <c r="C10622" t="s">
        <v>1347</v>
      </c>
      <c r="D10622" s="26">
        <v>0.79679999999999995</v>
      </c>
      <c r="E10622" s="26">
        <v>0.20319999999999999</v>
      </c>
      <c r="H10622">
        <v>74</v>
      </c>
    </row>
    <row r="10623" spans="1:8" x14ac:dyDescent="0.35">
      <c r="A10623" s="27" t="s">
        <v>228</v>
      </c>
      <c r="B10623" s="27" t="s">
        <v>1341</v>
      </c>
      <c r="C10623" s="27" t="s">
        <v>1345</v>
      </c>
      <c r="D10623" s="28">
        <v>0.81830000000000003</v>
      </c>
      <c r="E10623" s="28">
        <v>0.1817</v>
      </c>
      <c r="F10623" s="29"/>
      <c r="G10623" s="29"/>
      <c r="H10623" s="29" t="s">
        <v>332</v>
      </c>
    </row>
    <row r="10624" spans="1:8" x14ac:dyDescent="0.35">
      <c r="A10624" t="s">
        <v>229</v>
      </c>
      <c r="B10624" t="s">
        <v>1343</v>
      </c>
      <c r="C10624" t="s">
        <v>1348</v>
      </c>
      <c r="D10624" s="26">
        <v>0.77010000000000001</v>
      </c>
      <c r="E10624" s="26">
        <v>0.2198</v>
      </c>
      <c r="F10624" s="26">
        <v>9.1000000000000004E-3</v>
      </c>
      <c r="G10624" s="26">
        <v>1.1000000000000001E-3</v>
      </c>
      <c r="H10624">
        <v>276</v>
      </c>
    </row>
    <row r="10625" spans="1:8" x14ac:dyDescent="0.35">
      <c r="A10625" t="s">
        <v>229</v>
      </c>
      <c r="B10625" t="s">
        <v>1341</v>
      </c>
      <c r="C10625" t="s">
        <v>1346</v>
      </c>
      <c r="D10625" s="26">
        <v>0.85260000000000002</v>
      </c>
      <c r="E10625" s="26">
        <v>0.1474</v>
      </c>
      <c r="H10625">
        <v>53</v>
      </c>
    </row>
    <row r="10626" spans="1:8" x14ac:dyDescent="0.35">
      <c r="A10626" t="s">
        <v>229</v>
      </c>
      <c r="B10626" t="s">
        <v>1341</v>
      </c>
      <c r="C10626" t="s">
        <v>1347</v>
      </c>
      <c r="D10626" s="26">
        <v>0.82210000000000005</v>
      </c>
      <c r="E10626" s="26">
        <v>0.1779</v>
      </c>
      <c r="H10626">
        <v>104</v>
      </c>
    </row>
    <row r="10627" spans="1:8" x14ac:dyDescent="0.35">
      <c r="A10627" t="s">
        <v>229</v>
      </c>
      <c r="B10627" t="s">
        <v>1343</v>
      </c>
      <c r="C10627" t="s">
        <v>1346</v>
      </c>
      <c r="D10627" s="26">
        <v>0.77239999999999998</v>
      </c>
      <c r="E10627" s="26">
        <v>0.2031</v>
      </c>
      <c r="F10627" s="26">
        <v>2.3900000000000001E-2</v>
      </c>
      <c r="G10627" s="26">
        <v>5.9999999999999995E-4</v>
      </c>
      <c r="H10627">
        <v>131</v>
      </c>
    </row>
    <row r="10628" spans="1:8" x14ac:dyDescent="0.35">
      <c r="A10628" t="s">
        <v>229</v>
      </c>
      <c r="B10628" t="s">
        <v>1343</v>
      </c>
      <c r="C10628" t="s">
        <v>1347</v>
      </c>
      <c r="D10628" s="26">
        <v>0.75770000000000004</v>
      </c>
      <c r="E10628" s="26">
        <v>0.23619999999999999</v>
      </c>
      <c r="F10628" s="26">
        <v>5.1999999999999998E-3</v>
      </c>
      <c r="G10628" s="26">
        <v>8.9999999999999998E-4</v>
      </c>
      <c r="H10628">
        <v>198</v>
      </c>
    </row>
    <row r="10629" spans="1:8" x14ac:dyDescent="0.35">
      <c r="A10629" s="27" t="s">
        <v>229</v>
      </c>
      <c r="B10629" s="27" t="s">
        <v>1341</v>
      </c>
      <c r="C10629" s="27" t="s">
        <v>1345</v>
      </c>
      <c r="D10629" s="28">
        <v>0.99160000000000004</v>
      </c>
      <c r="E10629" s="28">
        <v>8.3999999999999995E-3</v>
      </c>
      <c r="F10629" s="29"/>
      <c r="G10629" s="29"/>
      <c r="H10629" s="29" t="s">
        <v>334</v>
      </c>
    </row>
    <row r="10630" spans="1:8" x14ac:dyDescent="0.35">
      <c r="A10630" s="27" t="s">
        <v>229</v>
      </c>
      <c r="B10630" s="27" t="s">
        <v>1343</v>
      </c>
      <c r="C10630" s="27" t="s">
        <v>1345</v>
      </c>
      <c r="D10630" s="28">
        <v>0.95509999999999995</v>
      </c>
      <c r="E10630" s="28">
        <v>4.4900000000000002E-2</v>
      </c>
      <c r="F10630" s="29"/>
      <c r="G10630" s="29"/>
      <c r="H10630" s="29" t="s">
        <v>343</v>
      </c>
    </row>
    <row r="10631" spans="1:8" x14ac:dyDescent="0.35">
      <c r="A10631" t="s">
        <v>229</v>
      </c>
      <c r="B10631" t="s">
        <v>1341</v>
      </c>
      <c r="C10631" t="s">
        <v>1348</v>
      </c>
      <c r="D10631" s="26">
        <v>0.78959999999999997</v>
      </c>
      <c r="E10631" s="26">
        <v>0.2104</v>
      </c>
      <c r="H10631">
        <v>107</v>
      </c>
    </row>
    <row r="10632" spans="1:8" x14ac:dyDescent="0.35">
      <c r="A10632" t="s">
        <v>230</v>
      </c>
      <c r="B10632" t="s">
        <v>1343</v>
      </c>
      <c r="C10632" t="s">
        <v>1346</v>
      </c>
      <c r="D10632" s="26">
        <v>0.67330000000000001</v>
      </c>
      <c r="E10632" s="26">
        <v>0.26869999999999999</v>
      </c>
      <c r="F10632" s="26">
        <v>5.8000000000000003E-2</v>
      </c>
      <c r="H10632">
        <v>110</v>
      </c>
    </row>
    <row r="10633" spans="1:8" x14ac:dyDescent="0.35">
      <c r="A10633" s="27" t="s">
        <v>230</v>
      </c>
      <c r="B10633" s="27" t="s">
        <v>1341</v>
      </c>
      <c r="C10633" s="27" t="s">
        <v>1345</v>
      </c>
      <c r="D10633" s="28">
        <v>0.9294</v>
      </c>
      <c r="E10633" s="28">
        <v>7.0599999999999996E-2</v>
      </c>
      <c r="F10633" s="29"/>
      <c r="G10633" s="29"/>
      <c r="H10633" s="29" t="s">
        <v>337</v>
      </c>
    </row>
    <row r="10634" spans="1:8" x14ac:dyDescent="0.35">
      <c r="A10634" t="s">
        <v>230</v>
      </c>
      <c r="B10634" t="s">
        <v>1343</v>
      </c>
      <c r="C10634" t="s">
        <v>1348</v>
      </c>
      <c r="D10634" s="26">
        <v>0.70730000000000004</v>
      </c>
      <c r="E10634" s="26">
        <v>0.2893</v>
      </c>
      <c r="F10634" s="26">
        <v>3.3999999999999998E-3</v>
      </c>
      <c r="H10634">
        <v>184</v>
      </c>
    </row>
    <row r="10635" spans="1:8" x14ac:dyDescent="0.35">
      <c r="A10635" t="s">
        <v>230</v>
      </c>
      <c r="B10635" t="s">
        <v>1343</v>
      </c>
      <c r="C10635" t="s">
        <v>1347</v>
      </c>
      <c r="D10635" s="26">
        <v>0.81759999999999999</v>
      </c>
      <c r="E10635" s="26">
        <v>0.18240000000000001</v>
      </c>
      <c r="H10635">
        <v>106</v>
      </c>
    </row>
    <row r="10636" spans="1:8" x14ac:dyDescent="0.35">
      <c r="A10636" t="s">
        <v>230</v>
      </c>
      <c r="B10636" t="s">
        <v>1341</v>
      </c>
      <c r="C10636" t="s">
        <v>1348</v>
      </c>
      <c r="D10636" s="26">
        <v>0.83879999999999999</v>
      </c>
      <c r="E10636" s="26">
        <v>0.16120000000000001</v>
      </c>
      <c r="H10636">
        <v>75</v>
      </c>
    </row>
    <row r="10637" spans="1:8" x14ac:dyDescent="0.35">
      <c r="A10637" t="s">
        <v>230</v>
      </c>
      <c r="B10637" t="s">
        <v>1341</v>
      </c>
      <c r="C10637" t="s">
        <v>1347</v>
      </c>
      <c r="D10637" s="26">
        <v>0.85709999999999997</v>
      </c>
      <c r="E10637" s="26">
        <v>0.1429</v>
      </c>
      <c r="H10637">
        <v>47</v>
      </c>
    </row>
    <row r="10638" spans="1:8" x14ac:dyDescent="0.35">
      <c r="A10638" s="27" t="s">
        <v>230</v>
      </c>
      <c r="B10638" s="27" t="s">
        <v>1343</v>
      </c>
      <c r="C10638" s="27" t="s">
        <v>1345</v>
      </c>
      <c r="D10638" s="28">
        <v>0.96340000000000003</v>
      </c>
      <c r="E10638" s="28">
        <v>3.6600000000000001E-2</v>
      </c>
      <c r="F10638" s="29"/>
      <c r="G10638" s="29"/>
      <c r="H10638" s="29" t="s">
        <v>337</v>
      </c>
    </row>
    <row r="10639" spans="1:8" x14ac:dyDescent="0.35">
      <c r="A10639" t="s">
        <v>230</v>
      </c>
      <c r="B10639" t="s">
        <v>1341</v>
      </c>
      <c r="C10639" t="s">
        <v>1346</v>
      </c>
      <c r="D10639" s="26">
        <v>0.66390000000000005</v>
      </c>
      <c r="E10639" s="26">
        <v>0.33610000000000001</v>
      </c>
      <c r="H10639">
        <v>30</v>
      </c>
    </row>
    <row r="10640" spans="1:8" x14ac:dyDescent="0.35">
      <c r="A10640" t="s">
        <v>231</v>
      </c>
      <c r="B10640" t="s">
        <v>1343</v>
      </c>
      <c r="C10640" t="s">
        <v>1348</v>
      </c>
      <c r="D10640" s="26">
        <v>1</v>
      </c>
      <c r="H10640">
        <v>50</v>
      </c>
    </row>
    <row r="10641" spans="1:8" x14ac:dyDescent="0.35">
      <c r="A10641" s="27" t="s">
        <v>231</v>
      </c>
      <c r="B10641" s="27" t="s">
        <v>1343</v>
      </c>
      <c r="C10641" s="27" t="s">
        <v>1345</v>
      </c>
      <c r="D10641" s="28">
        <v>1</v>
      </c>
      <c r="E10641" s="29"/>
      <c r="F10641" s="29"/>
      <c r="G10641" s="29"/>
      <c r="H10641" s="29" t="s">
        <v>315</v>
      </c>
    </row>
    <row r="10642" spans="1:8" x14ac:dyDescent="0.35">
      <c r="A10642" t="s">
        <v>231</v>
      </c>
      <c r="B10642" t="s">
        <v>1341</v>
      </c>
      <c r="C10642" t="s">
        <v>1348</v>
      </c>
      <c r="D10642" s="26">
        <v>0.94440000000000002</v>
      </c>
      <c r="F10642" s="26">
        <v>2.7799999999999998E-2</v>
      </c>
      <c r="G10642" s="26">
        <v>2.7799999999999998E-2</v>
      </c>
      <c r="H10642">
        <v>36</v>
      </c>
    </row>
    <row r="10643" spans="1:8" x14ac:dyDescent="0.35">
      <c r="A10643" s="27" t="s">
        <v>231</v>
      </c>
      <c r="B10643" s="27" t="s">
        <v>1341</v>
      </c>
      <c r="C10643" s="27" t="s">
        <v>1345</v>
      </c>
      <c r="D10643" s="28">
        <v>1</v>
      </c>
      <c r="E10643" s="29"/>
      <c r="F10643" s="29"/>
      <c r="G10643" s="29"/>
      <c r="H10643" s="29" t="s">
        <v>331</v>
      </c>
    </row>
    <row r="10644" spans="1:8" x14ac:dyDescent="0.35">
      <c r="A10644" s="27" t="s">
        <v>231</v>
      </c>
      <c r="B10644" s="27" t="s">
        <v>1343</v>
      </c>
      <c r="C10644" s="27" t="s">
        <v>1346</v>
      </c>
      <c r="D10644" s="28">
        <v>1</v>
      </c>
      <c r="E10644" s="29"/>
      <c r="F10644" s="29"/>
      <c r="G10644" s="29"/>
      <c r="H10644" s="29" t="s">
        <v>357</v>
      </c>
    </row>
    <row r="10645" spans="1:8" x14ac:dyDescent="0.35">
      <c r="A10645" s="27" t="s">
        <v>231</v>
      </c>
      <c r="B10645" s="27" t="s">
        <v>1341</v>
      </c>
      <c r="C10645" s="27" t="s">
        <v>1346</v>
      </c>
      <c r="D10645" s="28">
        <v>1</v>
      </c>
      <c r="E10645" s="29"/>
      <c r="F10645" s="29"/>
      <c r="G10645" s="29"/>
      <c r="H10645" s="29" t="s">
        <v>379</v>
      </c>
    </row>
    <row r="10646" spans="1:8" x14ac:dyDescent="0.35">
      <c r="A10646" s="27" t="s">
        <v>231</v>
      </c>
      <c r="B10646" s="27" t="s">
        <v>1341</v>
      </c>
      <c r="C10646" s="27" t="s">
        <v>1347</v>
      </c>
      <c r="D10646" s="28">
        <v>1</v>
      </c>
      <c r="E10646" s="29"/>
      <c r="F10646" s="29"/>
      <c r="G10646" s="29"/>
      <c r="H10646" s="29" t="s">
        <v>379</v>
      </c>
    </row>
    <row r="10647" spans="1:8" x14ac:dyDescent="0.35">
      <c r="A10647" s="27" t="s">
        <v>231</v>
      </c>
      <c r="B10647" s="27" t="s">
        <v>1343</v>
      </c>
      <c r="C10647" s="27" t="s">
        <v>1347</v>
      </c>
      <c r="D10647" s="28">
        <v>1</v>
      </c>
      <c r="E10647" s="29"/>
      <c r="F10647" s="29"/>
      <c r="G10647" s="29"/>
      <c r="H10647" s="29" t="s">
        <v>350</v>
      </c>
    </row>
    <row r="10648" spans="1:8" x14ac:dyDescent="0.35">
      <c r="A10648" t="s">
        <v>232</v>
      </c>
      <c r="B10648" t="s">
        <v>232</v>
      </c>
      <c r="C10648" t="s">
        <v>232</v>
      </c>
      <c r="D10648" s="26">
        <v>0.84379999999999999</v>
      </c>
      <c r="E10648" s="26">
        <v>0.14749999999999999</v>
      </c>
      <c r="F10648" s="26">
        <v>6.6E-3</v>
      </c>
      <c r="G10648" s="26">
        <v>2.0999999999999999E-3</v>
      </c>
      <c r="H10648">
        <v>2813</v>
      </c>
    </row>
    <row r="10650" spans="1:8" x14ac:dyDescent="0.35">
      <c r="A10650" s="1" t="s">
        <v>1350</v>
      </c>
    </row>
    <row r="10651" spans="1:8" x14ac:dyDescent="0.35">
      <c r="A10651" t="s">
        <v>219</v>
      </c>
      <c r="B10651" t="s">
        <v>1351</v>
      </c>
      <c r="C10651" t="s">
        <v>1352</v>
      </c>
      <c r="D10651" t="s">
        <v>1353</v>
      </c>
      <c r="E10651" t="s">
        <v>1354</v>
      </c>
      <c r="F10651" t="s">
        <v>226</v>
      </c>
    </row>
    <row r="10652" spans="1:8" x14ac:dyDescent="0.35">
      <c r="A10652" t="s">
        <v>228</v>
      </c>
      <c r="B10652" s="26">
        <v>0.55940000000000001</v>
      </c>
      <c r="C10652" s="26">
        <v>0.2545</v>
      </c>
      <c r="D10652" s="26">
        <v>0.12939999999999999</v>
      </c>
      <c r="E10652" s="26">
        <v>5.67E-2</v>
      </c>
      <c r="F10652">
        <v>436</v>
      </c>
    </row>
    <row r="10653" spans="1:8" x14ac:dyDescent="0.35">
      <c r="A10653" t="s">
        <v>229</v>
      </c>
      <c r="B10653" s="26">
        <v>0.50449999999999995</v>
      </c>
      <c r="C10653" s="26">
        <v>0.25879999999999997</v>
      </c>
      <c r="D10653" s="26">
        <v>0.15679999999999999</v>
      </c>
      <c r="E10653" s="26">
        <v>0.08</v>
      </c>
      <c r="F10653">
        <v>220</v>
      </c>
    </row>
    <row r="10654" spans="1:8" x14ac:dyDescent="0.35">
      <c r="A10654" t="s">
        <v>230</v>
      </c>
      <c r="B10654" s="26">
        <v>0.43020000000000003</v>
      </c>
      <c r="C10654" s="26">
        <v>0.30249999999999999</v>
      </c>
      <c r="D10654" s="26">
        <v>0.13320000000000001</v>
      </c>
      <c r="E10654" s="26">
        <v>0.1341</v>
      </c>
      <c r="F10654">
        <v>208</v>
      </c>
    </row>
    <row r="10655" spans="1:8" x14ac:dyDescent="0.35">
      <c r="A10655" t="s">
        <v>232</v>
      </c>
      <c r="B10655" s="26">
        <v>0.51800000000000002</v>
      </c>
      <c r="C10655" s="26">
        <v>0.26350000000000001</v>
      </c>
      <c r="D10655" s="26">
        <v>0.14080000000000001</v>
      </c>
      <c r="E10655" s="26">
        <v>7.7700000000000005E-2</v>
      </c>
      <c r="F10655">
        <v>864</v>
      </c>
    </row>
    <row r="10657" spans="1:7" x14ac:dyDescent="0.35">
      <c r="A10657" s="1" t="s">
        <v>1355</v>
      </c>
    </row>
    <row r="10658" spans="1:7" x14ac:dyDescent="0.35">
      <c r="A10658" t="s">
        <v>219</v>
      </c>
      <c r="B10658" t="s">
        <v>305</v>
      </c>
      <c r="C10658" t="s">
        <v>1351</v>
      </c>
      <c r="D10658" t="s">
        <v>1352</v>
      </c>
      <c r="E10658" t="s">
        <v>1353</v>
      </c>
      <c r="F10658" t="s">
        <v>1354</v>
      </c>
      <c r="G10658" t="s">
        <v>226</v>
      </c>
    </row>
    <row r="10659" spans="1:7" x14ac:dyDescent="0.35">
      <c r="A10659" t="s">
        <v>228</v>
      </c>
      <c r="B10659" t="s">
        <v>242</v>
      </c>
      <c r="C10659" s="26">
        <v>0.66139999999999999</v>
      </c>
      <c r="D10659" s="26">
        <v>0.2339</v>
      </c>
      <c r="E10659" s="26">
        <v>8.9099999999999999E-2</v>
      </c>
      <c r="F10659" s="26">
        <v>1.5699999999999999E-2</v>
      </c>
      <c r="G10659">
        <v>198</v>
      </c>
    </row>
    <row r="10660" spans="1:7" x14ac:dyDescent="0.35">
      <c r="A10660" t="s">
        <v>228</v>
      </c>
      <c r="B10660" t="s">
        <v>241</v>
      </c>
      <c r="C10660" s="26">
        <v>0.4859</v>
      </c>
      <c r="D10660" s="26">
        <v>0.26929999999999998</v>
      </c>
      <c r="E10660" s="26">
        <v>0.15840000000000001</v>
      </c>
      <c r="F10660" s="26">
        <v>8.6300000000000002E-2</v>
      </c>
      <c r="G10660">
        <v>238</v>
      </c>
    </row>
    <row r="10661" spans="1:7" x14ac:dyDescent="0.35">
      <c r="A10661" t="s">
        <v>229</v>
      </c>
      <c r="B10661" t="s">
        <v>242</v>
      </c>
      <c r="C10661" s="26">
        <v>0.55320000000000003</v>
      </c>
      <c r="D10661" s="26">
        <v>0.25409999999999999</v>
      </c>
      <c r="E10661" s="26">
        <v>0.10349999999999999</v>
      </c>
      <c r="F10661" s="26">
        <v>8.9099999999999999E-2</v>
      </c>
      <c r="G10661">
        <v>71</v>
      </c>
    </row>
    <row r="10662" spans="1:7" x14ac:dyDescent="0.35">
      <c r="A10662" t="s">
        <v>229</v>
      </c>
      <c r="B10662" t="s">
        <v>241</v>
      </c>
      <c r="C10662" s="26">
        <v>0.47739999999999999</v>
      </c>
      <c r="D10662" s="26">
        <v>0.26140000000000002</v>
      </c>
      <c r="E10662" s="26">
        <v>0.18629999999999999</v>
      </c>
      <c r="F10662" s="26">
        <v>7.4899999999999994E-2</v>
      </c>
      <c r="G10662">
        <v>149</v>
      </c>
    </row>
    <row r="10663" spans="1:7" x14ac:dyDescent="0.35">
      <c r="A10663" t="s">
        <v>230</v>
      </c>
      <c r="B10663" t="s">
        <v>242</v>
      </c>
      <c r="C10663" s="26">
        <v>0.54269999999999996</v>
      </c>
      <c r="D10663" s="26">
        <v>8.1900000000000001E-2</v>
      </c>
      <c r="E10663" s="26">
        <v>0.1598</v>
      </c>
      <c r="F10663" s="26">
        <v>0.21560000000000001</v>
      </c>
      <c r="G10663">
        <v>73</v>
      </c>
    </row>
    <row r="10664" spans="1:7" x14ac:dyDescent="0.35">
      <c r="A10664" t="s">
        <v>230</v>
      </c>
      <c r="B10664" t="s">
        <v>241</v>
      </c>
      <c r="C10664" s="26">
        <v>0.38529999999999998</v>
      </c>
      <c r="D10664" s="26">
        <v>0.39069999999999999</v>
      </c>
      <c r="E10664" s="26">
        <v>0.1225</v>
      </c>
      <c r="F10664" s="26">
        <v>0.10150000000000001</v>
      </c>
      <c r="G10664">
        <v>135</v>
      </c>
    </row>
    <row r="10665" spans="1:7" x14ac:dyDescent="0.35">
      <c r="A10665" t="s">
        <v>232</v>
      </c>
      <c r="B10665" t="s">
        <v>232</v>
      </c>
      <c r="C10665" s="26">
        <v>0.51800000000000002</v>
      </c>
      <c r="D10665" s="26">
        <v>0.26350000000000001</v>
      </c>
      <c r="E10665" s="26">
        <v>0.14080000000000001</v>
      </c>
      <c r="F10665" s="26">
        <v>7.7700000000000005E-2</v>
      </c>
      <c r="G10665">
        <v>864</v>
      </c>
    </row>
    <row r="10667" spans="1:7" x14ac:dyDescent="0.35">
      <c r="A10667" s="1" t="s">
        <v>1356</v>
      </c>
    </row>
    <row r="10668" spans="1:7" x14ac:dyDescent="0.35">
      <c r="A10668" t="s">
        <v>219</v>
      </c>
      <c r="B10668" t="s">
        <v>305</v>
      </c>
      <c r="C10668" t="s">
        <v>1351</v>
      </c>
      <c r="D10668" t="s">
        <v>1352</v>
      </c>
      <c r="E10668" t="s">
        <v>1353</v>
      </c>
      <c r="F10668" t="s">
        <v>1354</v>
      </c>
      <c r="G10668" t="s">
        <v>226</v>
      </c>
    </row>
    <row r="10669" spans="1:7" x14ac:dyDescent="0.35">
      <c r="A10669" t="s">
        <v>228</v>
      </c>
      <c r="B10669" t="s">
        <v>239</v>
      </c>
      <c r="C10669" s="26">
        <v>0.61699999999999999</v>
      </c>
      <c r="D10669" s="26">
        <v>0.1978</v>
      </c>
      <c r="E10669" s="26">
        <v>0.12540000000000001</v>
      </c>
      <c r="F10669" s="26">
        <v>5.9900000000000002E-2</v>
      </c>
      <c r="G10669">
        <v>125</v>
      </c>
    </row>
    <row r="10670" spans="1:7" x14ac:dyDescent="0.35">
      <c r="A10670" t="s">
        <v>228</v>
      </c>
      <c r="B10670" t="s">
        <v>238</v>
      </c>
      <c r="C10670" s="26">
        <v>0.54679999999999995</v>
      </c>
      <c r="D10670" s="26">
        <v>0.26690000000000003</v>
      </c>
      <c r="E10670" s="26">
        <v>0.1303</v>
      </c>
      <c r="F10670" s="26">
        <v>5.6000000000000001E-2</v>
      </c>
      <c r="G10670">
        <v>311</v>
      </c>
    </row>
    <row r="10671" spans="1:7" x14ac:dyDescent="0.35">
      <c r="A10671" t="s">
        <v>229</v>
      </c>
      <c r="B10671" t="s">
        <v>239</v>
      </c>
      <c r="C10671" s="26">
        <v>0.3735</v>
      </c>
      <c r="D10671" s="26">
        <v>0.2868</v>
      </c>
      <c r="E10671" s="26">
        <v>0.1893</v>
      </c>
      <c r="F10671" s="26">
        <v>0.15040000000000001</v>
      </c>
      <c r="G10671">
        <v>53</v>
      </c>
    </row>
    <row r="10672" spans="1:7" x14ac:dyDescent="0.35">
      <c r="A10672" t="s">
        <v>229</v>
      </c>
      <c r="B10672" t="s">
        <v>238</v>
      </c>
      <c r="C10672" s="26">
        <v>0.53210000000000002</v>
      </c>
      <c r="D10672" s="26">
        <v>0.25290000000000001</v>
      </c>
      <c r="E10672" s="26">
        <v>0.14990000000000001</v>
      </c>
      <c r="F10672" s="26">
        <v>6.5199999999999994E-2</v>
      </c>
      <c r="G10672">
        <v>167</v>
      </c>
    </row>
    <row r="10673" spans="1:7" x14ac:dyDescent="0.35">
      <c r="A10673" t="s">
        <v>230</v>
      </c>
      <c r="B10673" t="s">
        <v>239</v>
      </c>
      <c r="C10673" s="26">
        <v>0.38009999999999999</v>
      </c>
      <c r="D10673" s="26">
        <v>0.34350000000000003</v>
      </c>
      <c r="E10673" s="26">
        <v>0.16789999999999999</v>
      </c>
      <c r="F10673" s="26">
        <v>0.1086</v>
      </c>
      <c r="G10673">
        <v>61</v>
      </c>
    </row>
    <row r="10674" spans="1:7" x14ac:dyDescent="0.35">
      <c r="A10674" t="s">
        <v>230</v>
      </c>
      <c r="B10674" t="s">
        <v>238</v>
      </c>
      <c r="C10674" s="26">
        <v>0.44369999999999998</v>
      </c>
      <c r="D10674" s="26">
        <v>0.29139999999999999</v>
      </c>
      <c r="E10674" s="26">
        <v>0.1239</v>
      </c>
      <c r="F10674" s="26">
        <v>0.14099999999999999</v>
      </c>
      <c r="G10674">
        <v>147</v>
      </c>
    </row>
    <row r="10675" spans="1:7" x14ac:dyDescent="0.35">
      <c r="A10675" t="s">
        <v>232</v>
      </c>
      <c r="B10675" t="s">
        <v>232</v>
      </c>
      <c r="C10675" s="26">
        <v>0.51800000000000002</v>
      </c>
      <c r="D10675" s="26">
        <v>0.26350000000000001</v>
      </c>
      <c r="E10675" s="26">
        <v>0.14080000000000001</v>
      </c>
      <c r="F10675" s="26">
        <v>7.7700000000000005E-2</v>
      </c>
      <c r="G10675">
        <v>864</v>
      </c>
    </row>
    <row r="10677" spans="1:7" x14ac:dyDescent="0.35">
      <c r="A10677" s="1" t="s">
        <v>1357</v>
      </c>
    </row>
    <row r="10678" spans="1:7" x14ac:dyDescent="0.35">
      <c r="A10678" t="s">
        <v>219</v>
      </c>
      <c r="B10678" t="s">
        <v>305</v>
      </c>
      <c r="C10678" t="s">
        <v>1351</v>
      </c>
      <c r="D10678" t="s">
        <v>1352</v>
      </c>
      <c r="E10678" t="s">
        <v>1353</v>
      </c>
      <c r="F10678" t="s">
        <v>1354</v>
      </c>
      <c r="G10678" t="s">
        <v>226</v>
      </c>
    </row>
    <row r="10679" spans="1:7" x14ac:dyDescent="0.35">
      <c r="A10679" t="s">
        <v>228</v>
      </c>
      <c r="B10679" t="s">
        <v>244</v>
      </c>
      <c r="C10679" s="26">
        <v>0.57040000000000002</v>
      </c>
      <c r="D10679" s="26">
        <v>0.21959999999999999</v>
      </c>
      <c r="E10679" s="26">
        <v>0.1358</v>
      </c>
      <c r="F10679" s="26">
        <v>7.4200000000000002E-2</v>
      </c>
      <c r="G10679">
        <v>250</v>
      </c>
    </row>
    <row r="10680" spans="1:7" x14ac:dyDescent="0.35">
      <c r="A10680" t="s">
        <v>228</v>
      </c>
      <c r="B10680" t="s">
        <v>245</v>
      </c>
      <c r="C10680" s="26">
        <v>0.54020000000000001</v>
      </c>
      <c r="D10680" s="26">
        <v>0.31290000000000001</v>
      </c>
      <c r="E10680" s="26">
        <v>0.1114</v>
      </c>
      <c r="F10680" s="26">
        <v>3.5400000000000001E-2</v>
      </c>
      <c r="G10680">
        <v>159</v>
      </c>
    </row>
    <row r="10681" spans="1:7" x14ac:dyDescent="0.35">
      <c r="A10681" s="27" t="s">
        <v>228</v>
      </c>
      <c r="B10681" s="27" t="s">
        <v>246</v>
      </c>
      <c r="C10681" s="28">
        <v>0.5575</v>
      </c>
      <c r="D10681" s="28">
        <v>0.26929999999999998</v>
      </c>
      <c r="E10681" s="28">
        <v>0.15770000000000001</v>
      </c>
      <c r="F10681" s="28">
        <v>1.54E-2</v>
      </c>
      <c r="G10681" s="29" t="s">
        <v>338</v>
      </c>
    </row>
    <row r="10682" spans="1:7" x14ac:dyDescent="0.35">
      <c r="A10682" t="s">
        <v>229</v>
      </c>
      <c r="B10682" t="s">
        <v>244</v>
      </c>
      <c r="C10682" s="26">
        <v>0.52070000000000005</v>
      </c>
      <c r="D10682" s="26">
        <v>0.2581</v>
      </c>
      <c r="E10682" s="26">
        <v>0.1152</v>
      </c>
      <c r="F10682" s="26">
        <v>0.1061</v>
      </c>
      <c r="G10682">
        <v>141</v>
      </c>
    </row>
    <row r="10683" spans="1:7" x14ac:dyDescent="0.35">
      <c r="A10683" t="s">
        <v>229</v>
      </c>
      <c r="B10683" t="s">
        <v>245</v>
      </c>
      <c r="C10683" s="26">
        <v>0.502</v>
      </c>
      <c r="D10683" s="26">
        <v>0.17219999999999999</v>
      </c>
      <c r="E10683" s="26">
        <v>0.3216</v>
      </c>
      <c r="F10683" s="26">
        <v>4.1999999999999997E-3</v>
      </c>
      <c r="G10683">
        <v>72</v>
      </c>
    </row>
    <row r="10684" spans="1:7" x14ac:dyDescent="0.35">
      <c r="A10684" s="27" t="s">
        <v>229</v>
      </c>
      <c r="B10684" s="27" t="s">
        <v>246</v>
      </c>
      <c r="C10684" s="28">
        <v>0.16539999999999999</v>
      </c>
      <c r="D10684" s="28">
        <v>0.83460000000000001</v>
      </c>
      <c r="E10684" s="29"/>
      <c r="F10684" s="29"/>
      <c r="G10684" s="29" t="s">
        <v>339</v>
      </c>
    </row>
    <row r="10685" spans="1:7" x14ac:dyDescent="0.35">
      <c r="A10685" t="s">
        <v>230</v>
      </c>
      <c r="B10685" t="s">
        <v>244</v>
      </c>
      <c r="C10685" s="26">
        <v>0.41389999999999999</v>
      </c>
      <c r="D10685" s="26">
        <v>0.3498</v>
      </c>
      <c r="E10685" s="26">
        <v>0.1232</v>
      </c>
      <c r="F10685" s="26">
        <v>0.1132</v>
      </c>
      <c r="G10685">
        <v>138</v>
      </c>
    </row>
    <row r="10686" spans="1:7" x14ac:dyDescent="0.35">
      <c r="A10686" t="s">
        <v>230</v>
      </c>
      <c r="B10686" t="s">
        <v>245</v>
      </c>
      <c r="C10686" s="26">
        <v>0.49370000000000003</v>
      </c>
      <c r="D10686" s="26">
        <v>0.16489999999999999</v>
      </c>
      <c r="E10686" s="26">
        <v>0.13500000000000001</v>
      </c>
      <c r="F10686" s="26">
        <v>0.2064</v>
      </c>
      <c r="G10686">
        <v>59</v>
      </c>
    </row>
    <row r="10687" spans="1:7" x14ac:dyDescent="0.35">
      <c r="A10687" s="27" t="s">
        <v>230</v>
      </c>
      <c r="B10687" s="27" t="s">
        <v>246</v>
      </c>
      <c r="C10687" s="28">
        <v>0.24909999999999999</v>
      </c>
      <c r="D10687" s="28">
        <v>0.3276</v>
      </c>
      <c r="E10687" s="28">
        <v>0.42330000000000001</v>
      </c>
      <c r="F10687" s="29"/>
      <c r="G10687" s="29" t="s">
        <v>352</v>
      </c>
    </row>
    <row r="10688" spans="1:7" x14ac:dyDescent="0.35">
      <c r="A10688" t="s">
        <v>232</v>
      </c>
      <c r="B10688" t="s">
        <v>232</v>
      </c>
      <c r="C10688" s="26">
        <v>0.51800000000000002</v>
      </c>
      <c r="D10688" s="26">
        <v>0.26350000000000001</v>
      </c>
      <c r="E10688" s="26">
        <v>0.14080000000000001</v>
      </c>
      <c r="F10688" s="26">
        <v>7.7700000000000005E-2</v>
      </c>
      <c r="G10688">
        <v>864</v>
      </c>
    </row>
    <row r="10690" spans="1:7" x14ac:dyDescent="0.35">
      <c r="A10690" s="1" t="s">
        <v>1358</v>
      </c>
    </row>
    <row r="10691" spans="1:7" x14ac:dyDescent="0.35">
      <c r="A10691" t="s">
        <v>219</v>
      </c>
      <c r="B10691" t="s">
        <v>305</v>
      </c>
      <c r="C10691" t="s">
        <v>1351</v>
      </c>
      <c r="D10691" t="s">
        <v>1352</v>
      </c>
      <c r="E10691" t="s">
        <v>1353</v>
      </c>
      <c r="F10691" t="s">
        <v>1354</v>
      </c>
      <c r="G10691" t="s">
        <v>226</v>
      </c>
    </row>
    <row r="10692" spans="1:7" x14ac:dyDescent="0.35">
      <c r="A10692" t="s">
        <v>228</v>
      </c>
      <c r="B10692" t="s">
        <v>360</v>
      </c>
      <c r="C10692" s="26">
        <v>0.62409999999999999</v>
      </c>
      <c r="D10692" s="26">
        <v>0.30930000000000002</v>
      </c>
      <c r="E10692" s="26">
        <v>4.2099999999999999E-2</v>
      </c>
      <c r="F10692" s="26">
        <v>2.4500000000000001E-2</v>
      </c>
      <c r="G10692">
        <v>123</v>
      </c>
    </row>
    <row r="10693" spans="1:7" x14ac:dyDescent="0.35">
      <c r="A10693" t="s">
        <v>228</v>
      </c>
      <c r="B10693" t="s">
        <v>361</v>
      </c>
      <c r="C10693" s="26">
        <v>0.51880000000000004</v>
      </c>
      <c r="D10693" s="26">
        <v>0.32250000000000001</v>
      </c>
      <c r="E10693" s="26">
        <v>8.6499999999999994E-2</v>
      </c>
      <c r="F10693" s="26">
        <v>7.22E-2</v>
      </c>
      <c r="G10693">
        <v>86</v>
      </c>
    </row>
    <row r="10694" spans="1:7" x14ac:dyDescent="0.35">
      <c r="A10694" t="s">
        <v>228</v>
      </c>
      <c r="B10694" t="s">
        <v>362</v>
      </c>
      <c r="C10694" s="26">
        <v>0.74519999999999997</v>
      </c>
      <c r="D10694" s="26">
        <v>0.1497</v>
      </c>
      <c r="E10694" s="26">
        <v>7.9699999999999993E-2</v>
      </c>
      <c r="F10694" s="26">
        <v>2.5399999999999999E-2</v>
      </c>
      <c r="G10694">
        <v>95</v>
      </c>
    </row>
    <row r="10695" spans="1:7" x14ac:dyDescent="0.35">
      <c r="A10695" t="s">
        <v>228</v>
      </c>
      <c r="B10695" t="s">
        <v>363</v>
      </c>
      <c r="C10695" s="26">
        <v>0.43859999999999999</v>
      </c>
      <c r="D10695" s="26">
        <v>0.20169999999999999</v>
      </c>
      <c r="E10695" s="26">
        <v>0.25750000000000001</v>
      </c>
      <c r="F10695" s="26">
        <v>0.1022</v>
      </c>
      <c r="G10695">
        <v>83</v>
      </c>
    </row>
    <row r="10696" spans="1:7" x14ac:dyDescent="0.35">
      <c r="A10696" t="s">
        <v>229</v>
      </c>
      <c r="B10696" t="s">
        <v>360</v>
      </c>
      <c r="C10696" s="26">
        <v>0.51700000000000002</v>
      </c>
      <c r="D10696" s="26">
        <v>0.31280000000000002</v>
      </c>
      <c r="E10696" s="26">
        <v>6.1600000000000002E-2</v>
      </c>
      <c r="F10696" s="26">
        <v>0.1086</v>
      </c>
      <c r="G10696">
        <v>36</v>
      </c>
    </row>
    <row r="10697" spans="1:7" x14ac:dyDescent="0.35">
      <c r="A10697" t="s">
        <v>229</v>
      </c>
      <c r="B10697" t="s">
        <v>361</v>
      </c>
      <c r="C10697" s="26">
        <v>0.46439999999999998</v>
      </c>
      <c r="D10697" s="26">
        <v>0.30209999999999998</v>
      </c>
      <c r="E10697" s="26">
        <v>0.1227</v>
      </c>
      <c r="F10697" s="26">
        <v>0.1108</v>
      </c>
      <c r="G10697">
        <v>63</v>
      </c>
    </row>
    <row r="10698" spans="1:7" x14ac:dyDescent="0.35">
      <c r="A10698" t="s">
        <v>229</v>
      </c>
      <c r="B10698" t="s">
        <v>362</v>
      </c>
      <c r="C10698" s="26">
        <v>0.68440000000000001</v>
      </c>
      <c r="D10698" s="26">
        <v>4.2700000000000002E-2</v>
      </c>
      <c r="E10698" s="26">
        <v>0.13700000000000001</v>
      </c>
      <c r="F10698" s="26">
        <v>0.1358</v>
      </c>
      <c r="G10698">
        <v>36</v>
      </c>
    </row>
    <row r="10699" spans="1:7" x14ac:dyDescent="0.35">
      <c r="A10699" t="s">
        <v>229</v>
      </c>
      <c r="B10699" t="s">
        <v>363</v>
      </c>
      <c r="C10699" s="26">
        <v>0.51380000000000003</v>
      </c>
      <c r="D10699" s="26">
        <v>0.19650000000000001</v>
      </c>
      <c r="E10699" s="26">
        <v>0.27279999999999999</v>
      </c>
      <c r="F10699" s="26">
        <v>1.6799999999999999E-2</v>
      </c>
      <c r="G10699">
        <v>53</v>
      </c>
    </row>
    <row r="10700" spans="1:7" x14ac:dyDescent="0.35">
      <c r="A10700" t="s">
        <v>230</v>
      </c>
      <c r="B10700" t="s">
        <v>360</v>
      </c>
      <c r="C10700" s="26">
        <v>0.51690000000000003</v>
      </c>
      <c r="D10700" s="26">
        <v>0.125</v>
      </c>
      <c r="E10700" s="26">
        <v>0.27450000000000002</v>
      </c>
      <c r="F10700" s="26">
        <v>8.3500000000000005E-2</v>
      </c>
      <c r="G10700">
        <v>47</v>
      </c>
    </row>
    <row r="10701" spans="1:7" x14ac:dyDescent="0.35">
      <c r="A10701" t="s">
        <v>230</v>
      </c>
      <c r="B10701" t="s">
        <v>361</v>
      </c>
      <c r="C10701" s="26">
        <v>0.57579999999999998</v>
      </c>
      <c r="D10701" s="26">
        <v>0.28689999999999999</v>
      </c>
      <c r="E10701" s="26">
        <v>0.12909999999999999</v>
      </c>
      <c r="F10701" s="26">
        <v>8.2000000000000007E-3</v>
      </c>
      <c r="G10701">
        <v>34</v>
      </c>
    </row>
    <row r="10702" spans="1:7" x14ac:dyDescent="0.35">
      <c r="A10702" t="s">
        <v>230</v>
      </c>
      <c r="B10702" t="s">
        <v>362</v>
      </c>
      <c r="C10702" s="26">
        <v>0.37180000000000002</v>
      </c>
      <c r="D10702" s="26">
        <v>0.28210000000000002</v>
      </c>
      <c r="E10702" s="26">
        <v>0.10730000000000001</v>
      </c>
      <c r="F10702" s="26">
        <v>0.23880000000000001</v>
      </c>
      <c r="G10702">
        <v>58</v>
      </c>
    </row>
    <row r="10703" spans="1:7" x14ac:dyDescent="0.35">
      <c r="A10703" t="s">
        <v>230</v>
      </c>
      <c r="B10703" t="s">
        <v>363</v>
      </c>
      <c r="C10703" s="26">
        <v>0.36199999999999999</v>
      </c>
      <c r="D10703" s="26">
        <v>0.35170000000000001</v>
      </c>
      <c r="E10703" s="26">
        <v>5.79E-2</v>
      </c>
      <c r="F10703" s="26">
        <v>0.22839999999999999</v>
      </c>
      <c r="G10703">
        <v>47</v>
      </c>
    </row>
    <row r="10704" spans="1:7" x14ac:dyDescent="0.35">
      <c r="A10704" t="s">
        <v>232</v>
      </c>
      <c r="B10704" t="s">
        <v>232</v>
      </c>
      <c r="C10704" s="26">
        <v>0.51800000000000002</v>
      </c>
      <c r="D10704" s="26">
        <v>0.26350000000000001</v>
      </c>
      <c r="E10704" s="26">
        <v>0.14080000000000001</v>
      </c>
      <c r="F10704" s="26">
        <v>7.7700000000000005E-2</v>
      </c>
      <c r="G10704">
        <v>761</v>
      </c>
    </row>
    <row r="10706" spans="1:7" x14ac:dyDescent="0.35">
      <c r="A10706" s="1" t="s">
        <v>1359</v>
      </c>
    </row>
    <row r="10707" spans="1:7" x14ac:dyDescent="0.35">
      <c r="A10707" t="s">
        <v>219</v>
      </c>
      <c r="B10707" t="s">
        <v>305</v>
      </c>
      <c r="C10707" t="s">
        <v>1351</v>
      </c>
      <c r="D10707" t="s">
        <v>1352</v>
      </c>
      <c r="E10707" t="s">
        <v>1353</v>
      </c>
      <c r="F10707" t="s">
        <v>1354</v>
      </c>
      <c r="G10707" t="s">
        <v>226</v>
      </c>
    </row>
    <row r="10708" spans="1:7" x14ac:dyDescent="0.35">
      <c r="A10708" t="s">
        <v>228</v>
      </c>
      <c r="B10708" t="s">
        <v>267</v>
      </c>
      <c r="C10708" s="26">
        <v>0.47570000000000001</v>
      </c>
      <c r="D10708" s="26">
        <v>0.3906</v>
      </c>
      <c r="E10708" s="26">
        <v>9.7199999999999995E-2</v>
      </c>
      <c r="F10708" s="26">
        <v>3.6499999999999998E-2</v>
      </c>
      <c r="G10708">
        <v>80</v>
      </c>
    </row>
    <row r="10709" spans="1:7" x14ac:dyDescent="0.35">
      <c r="A10709" t="s">
        <v>228</v>
      </c>
      <c r="B10709" t="s">
        <v>266</v>
      </c>
      <c r="C10709" s="26">
        <v>0.55600000000000005</v>
      </c>
      <c r="D10709" s="26">
        <v>0.27460000000000001</v>
      </c>
      <c r="E10709" s="26">
        <v>0.13039999999999999</v>
      </c>
      <c r="F10709" s="26">
        <v>3.9E-2</v>
      </c>
      <c r="G10709">
        <v>205</v>
      </c>
    </row>
    <row r="10710" spans="1:7" x14ac:dyDescent="0.35">
      <c r="A10710" t="s">
        <v>228</v>
      </c>
      <c r="B10710" t="s">
        <v>265</v>
      </c>
      <c r="C10710" s="26">
        <v>0.57709999999999995</v>
      </c>
      <c r="D10710" s="26">
        <v>0.18210000000000001</v>
      </c>
      <c r="E10710" s="26">
        <v>0.14929999999999999</v>
      </c>
      <c r="F10710" s="26">
        <v>9.1499999999999998E-2</v>
      </c>
      <c r="G10710">
        <v>149</v>
      </c>
    </row>
    <row r="10711" spans="1:7" x14ac:dyDescent="0.35">
      <c r="A10711" s="27" t="s">
        <v>228</v>
      </c>
      <c r="B10711" s="27" t="s">
        <v>236</v>
      </c>
      <c r="C10711" s="28">
        <v>1</v>
      </c>
      <c r="D10711" s="29"/>
      <c r="E10711" s="29"/>
      <c r="F10711" s="29"/>
      <c r="G10711" s="29" t="s">
        <v>314</v>
      </c>
    </row>
    <row r="10712" spans="1:7" x14ac:dyDescent="0.35">
      <c r="A10712" t="s">
        <v>229</v>
      </c>
      <c r="B10712" t="s">
        <v>267</v>
      </c>
      <c r="C10712" s="26">
        <v>0.4723</v>
      </c>
      <c r="D10712" s="26">
        <v>0.29830000000000001</v>
      </c>
      <c r="E10712" s="26">
        <v>0.16259999999999999</v>
      </c>
      <c r="F10712" s="26">
        <v>6.6699999999999995E-2</v>
      </c>
      <c r="G10712">
        <v>50</v>
      </c>
    </row>
    <row r="10713" spans="1:7" x14ac:dyDescent="0.35">
      <c r="A10713" t="s">
        <v>229</v>
      </c>
      <c r="B10713" t="s">
        <v>266</v>
      </c>
      <c r="C10713" s="26">
        <v>0.45739999999999997</v>
      </c>
      <c r="D10713" s="26">
        <v>0.2296</v>
      </c>
      <c r="E10713" s="26">
        <v>0.25240000000000001</v>
      </c>
      <c r="F10713" s="26">
        <v>6.0600000000000001E-2</v>
      </c>
      <c r="G10713">
        <v>90</v>
      </c>
    </row>
    <row r="10714" spans="1:7" x14ac:dyDescent="0.35">
      <c r="A10714" t="s">
        <v>229</v>
      </c>
      <c r="B10714" t="s">
        <v>265</v>
      </c>
      <c r="C10714" s="26">
        <v>0.54620000000000002</v>
      </c>
      <c r="D10714" s="26">
        <v>0.25659999999999999</v>
      </c>
      <c r="E10714" s="26">
        <v>0.1</v>
      </c>
      <c r="F10714" s="26">
        <v>9.7199999999999995E-2</v>
      </c>
      <c r="G10714">
        <v>80</v>
      </c>
    </row>
    <row r="10715" spans="1:7" x14ac:dyDescent="0.35">
      <c r="A10715" t="s">
        <v>230</v>
      </c>
      <c r="B10715" t="s">
        <v>267</v>
      </c>
      <c r="C10715" s="26">
        <v>0.47370000000000001</v>
      </c>
      <c r="D10715" s="26">
        <v>0.39360000000000001</v>
      </c>
      <c r="E10715" s="26">
        <v>0.1032</v>
      </c>
      <c r="F10715" s="26">
        <v>2.9499999999999998E-2</v>
      </c>
      <c r="G10715">
        <v>40</v>
      </c>
    </row>
    <row r="10716" spans="1:7" x14ac:dyDescent="0.35">
      <c r="A10716" t="s">
        <v>230</v>
      </c>
      <c r="B10716" t="s">
        <v>266</v>
      </c>
      <c r="C10716" s="26">
        <v>0.38429999999999997</v>
      </c>
      <c r="D10716" s="26">
        <v>0.21870000000000001</v>
      </c>
      <c r="E10716" s="26">
        <v>0.192</v>
      </c>
      <c r="F10716" s="26">
        <v>0.20499999999999999</v>
      </c>
      <c r="G10716">
        <v>91</v>
      </c>
    </row>
    <row r="10717" spans="1:7" x14ac:dyDescent="0.35">
      <c r="A10717" t="s">
        <v>230</v>
      </c>
      <c r="B10717" t="s">
        <v>265</v>
      </c>
      <c r="C10717" s="26">
        <v>0.45889999999999997</v>
      </c>
      <c r="D10717" s="26">
        <v>0.34970000000000001</v>
      </c>
      <c r="E10717" s="26">
        <v>8.5800000000000001E-2</v>
      </c>
      <c r="F10717" s="26">
        <v>0.1056</v>
      </c>
      <c r="G10717">
        <v>77</v>
      </c>
    </row>
    <row r="10718" spans="1:7" x14ac:dyDescent="0.35">
      <c r="A10718" t="s">
        <v>232</v>
      </c>
      <c r="B10718" t="s">
        <v>232</v>
      </c>
      <c r="C10718" s="26">
        <v>0.51800000000000002</v>
      </c>
      <c r="D10718" s="26">
        <v>0.26350000000000001</v>
      </c>
      <c r="E10718" s="26">
        <v>0.14080000000000001</v>
      </c>
      <c r="F10718" s="26">
        <v>7.7700000000000005E-2</v>
      </c>
      <c r="G10718">
        <v>864</v>
      </c>
    </row>
    <row r="10720" spans="1:7" x14ac:dyDescent="0.35">
      <c r="A10720" s="1" t="s">
        <v>1360</v>
      </c>
    </row>
    <row r="10721" spans="1:7" x14ac:dyDescent="0.35">
      <c r="A10721" t="s">
        <v>219</v>
      </c>
      <c r="B10721" t="s">
        <v>305</v>
      </c>
      <c r="C10721" t="s">
        <v>1351</v>
      </c>
      <c r="D10721" t="s">
        <v>1352</v>
      </c>
      <c r="E10721" t="s">
        <v>1353</v>
      </c>
      <c r="F10721" t="s">
        <v>1354</v>
      </c>
      <c r="G10721" t="s">
        <v>226</v>
      </c>
    </row>
    <row r="10722" spans="1:7" x14ac:dyDescent="0.35">
      <c r="A10722" t="s">
        <v>228</v>
      </c>
      <c r="B10722" t="s">
        <v>252</v>
      </c>
      <c r="C10722" s="26">
        <v>0.77370000000000005</v>
      </c>
      <c r="D10722" s="26">
        <v>0.1588</v>
      </c>
      <c r="E10722" s="26">
        <v>5.1799999999999999E-2</v>
      </c>
      <c r="F10722" s="26">
        <v>1.5800000000000002E-2</v>
      </c>
      <c r="G10722">
        <v>160</v>
      </c>
    </row>
    <row r="10723" spans="1:7" x14ac:dyDescent="0.35">
      <c r="A10723" t="s">
        <v>228</v>
      </c>
      <c r="B10723" t="s">
        <v>253</v>
      </c>
      <c r="C10723" s="26">
        <v>0.5161</v>
      </c>
      <c r="D10723" s="26">
        <v>0.36449999999999999</v>
      </c>
      <c r="E10723" s="26">
        <v>0.1139</v>
      </c>
      <c r="F10723" s="26">
        <v>5.4999999999999997E-3</v>
      </c>
      <c r="G10723">
        <v>96</v>
      </c>
    </row>
    <row r="10724" spans="1:7" x14ac:dyDescent="0.35">
      <c r="A10724" t="s">
        <v>228</v>
      </c>
      <c r="B10724" t="s">
        <v>251</v>
      </c>
      <c r="C10724" s="26">
        <v>0.4204</v>
      </c>
      <c r="D10724" s="26">
        <v>0.27239999999999998</v>
      </c>
      <c r="E10724" s="26">
        <v>0.19489999999999999</v>
      </c>
      <c r="F10724" s="26">
        <v>0.1123</v>
      </c>
      <c r="G10724">
        <v>180</v>
      </c>
    </row>
    <row r="10725" spans="1:7" x14ac:dyDescent="0.35">
      <c r="A10725" t="s">
        <v>229</v>
      </c>
      <c r="B10725" t="s">
        <v>252</v>
      </c>
      <c r="C10725" s="26">
        <v>0.42720000000000002</v>
      </c>
      <c r="D10725" s="26">
        <v>0.22359999999999999</v>
      </c>
      <c r="E10725" s="26">
        <v>0.27139999999999997</v>
      </c>
      <c r="F10725" s="26">
        <v>7.7799999999999994E-2</v>
      </c>
      <c r="G10725">
        <v>50</v>
      </c>
    </row>
    <row r="10726" spans="1:7" x14ac:dyDescent="0.35">
      <c r="A10726" t="s">
        <v>229</v>
      </c>
      <c r="B10726" t="s">
        <v>253</v>
      </c>
      <c r="C10726" s="26">
        <v>0.51970000000000005</v>
      </c>
      <c r="D10726" s="26">
        <v>0.41060000000000002</v>
      </c>
      <c r="E10726" s="26">
        <v>6.9699999999999998E-2</v>
      </c>
      <c r="G10726">
        <v>36</v>
      </c>
    </row>
    <row r="10727" spans="1:7" x14ac:dyDescent="0.35">
      <c r="A10727" t="s">
        <v>229</v>
      </c>
      <c r="B10727" t="s">
        <v>251</v>
      </c>
      <c r="C10727" s="26">
        <v>0.52010000000000001</v>
      </c>
      <c r="D10727" s="26">
        <v>0.22270000000000001</v>
      </c>
      <c r="E10727" s="26">
        <v>0.15279999999999999</v>
      </c>
      <c r="F10727" s="26">
        <v>0.1045</v>
      </c>
      <c r="G10727">
        <v>134</v>
      </c>
    </row>
    <row r="10728" spans="1:7" x14ac:dyDescent="0.35">
      <c r="A10728" t="s">
        <v>230</v>
      </c>
      <c r="B10728" t="s">
        <v>252</v>
      </c>
      <c r="C10728" s="26">
        <v>0.55069999999999997</v>
      </c>
      <c r="D10728" s="26">
        <v>0.17269999999999999</v>
      </c>
      <c r="E10728" s="26">
        <v>6.9199999999999998E-2</v>
      </c>
      <c r="F10728" s="26">
        <v>0.2074</v>
      </c>
      <c r="G10728">
        <v>61</v>
      </c>
    </row>
    <row r="10729" spans="1:7" x14ac:dyDescent="0.35">
      <c r="A10729" t="s">
        <v>230</v>
      </c>
      <c r="B10729" t="s">
        <v>253</v>
      </c>
      <c r="C10729" s="26">
        <v>0.43130000000000002</v>
      </c>
      <c r="D10729" s="26">
        <v>0.22470000000000001</v>
      </c>
      <c r="E10729" s="26">
        <v>7.1199999999999999E-2</v>
      </c>
      <c r="F10729" s="26">
        <v>0.27279999999999999</v>
      </c>
      <c r="G10729">
        <v>54</v>
      </c>
    </row>
    <row r="10730" spans="1:7" x14ac:dyDescent="0.35">
      <c r="A10730" t="s">
        <v>230</v>
      </c>
      <c r="B10730" t="s">
        <v>251</v>
      </c>
      <c r="C10730" s="26">
        <v>0.36249999999999999</v>
      </c>
      <c r="D10730" s="26">
        <v>0.41020000000000001</v>
      </c>
      <c r="E10730" s="26">
        <v>0.1971</v>
      </c>
      <c r="F10730" s="26">
        <v>3.0200000000000001E-2</v>
      </c>
      <c r="G10730">
        <v>93</v>
      </c>
    </row>
    <row r="10731" spans="1:7" x14ac:dyDescent="0.35">
      <c r="A10731" t="s">
        <v>232</v>
      </c>
      <c r="B10731" t="s">
        <v>232</v>
      </c>
      <c r="C10731" s="26">
        <v>0.51800000000000002</v>
      </c>
      <c r="D10731" s="26">
        <v>0.26350000000000001</v>
      </c>
      <c r="E10731" s="26">
        <v>0.14080000000000001</v>
      </c>
      <c r="F10731" s="26">
        <v>7.7700000000000005E-2</v>
      </c>
      <c r="G10731">
        <v>864</v>
      </c>
    </row>
    <row r="10733" spans="1:7" x14ac:dyDescent="0.35">
      <c r="A10733" s="1" t="s">
        <v>1361</v>
      </c>
    </row>
    <row r="10734" spans="1:7" x14ac:dyDescent="0.35">
      <c r="A10734" t="s">
        <v>219</v>
      </c>
      <c r="B10734" t="s">
        <v>305</v>
      </c>
      <c r="C10734" t="s">
        <v>1351</v>
      </c>
      <c r="D10734" t="s">
        <v>1352</v>
      </c>
      <c r="E10734" t="s">
        <v>1353</v>
      </c>
      <c r="F10734" t="s">
        <v>1354</v>
      </c>
      <c r="G10734" t="s">
        <v>226</v>
      </c>
    </row>
    <row r="10735" spans="1:7" x14ac:dyDescent="0.35">
      <c r="A10735" t="s">
        <v>228</v>
      </c>
      <c r="B10735" t="s">
        <v>249</v>
      </c>
      <c r="C10735" s="26">
        <v>0.43</v>
      </c>
      <c r="D10735" s="26">
        <v>0.27210000000000001</v>
      </c>
      <c r="E10735" s="26">
        <v>0.20760000000000001</v>
      </c>
      <c r="F10735" s="26">
        <v>9.0300000000000005E-2</v>
      </c>
      <c r="G10735">
        <v>107</v>
      </c>
    </row>
    <row r="10736" spans="1:7" x14ac:dyDescent="0.35">
      <c r="A10736" t="s">
        <v>228</v>
      </c>
      <c r="B10736" t="s">
        <v>248</v>
      </c>
      <c r="C10736" s="26">
        <v>0.61260000000000003</v>
      </c>
      <c r="D10736" s="26">
        <v>0.2472</v>
      </c>
      <c r="E10736" s="26">
        <v>9.7199999999999995E-2</v>
      </c>
      <c r="F10736" s="26">
        <v>4.2900000000000001E-2</v>
      </c>
      <c r="G10736">
        <v>329</v>
      </c>
    </row>
    <row r="10737" spans="1:7" x14ac:dyDescent="0.35">
      <c r="A10737" t="s">
        <v>229</v>
      </c>
      <c r="B10737" t="s">
        <v>249</v>
      </c>
      <c r="C10737" s="26">
        <v>0.54830000000000001</v>
      </c>
      <c r="D10737" s="26">
        <v>0.2626</v>
      </c>
      <c r="E10737" s="26">
        <v>7.0099999999999996E-2</v>
      </c>
      <c r="F10737" s="26">
        <v>0.11899999999999999</v>
      </c>
      <c r="G10737">
        <v>52</v>
      </c>
    </row>
    <row r="10738" spans="1:7" x14ac:dyDescent="0.35">
      <c r="A10738" t="s">
        <v>229</v>
      </c>
      <c r="B10738" t="s">
        <v>248</v>
      </c>
      <c r="C10738" s="26">
        <v>0.48699999999999999</v>
      </c>
      <c r="D10738" s="26">
        <v>0.25729999999999997</v>
      </c>
      <c r="E10738" s="26">
        <v>0.1913</v>
      </c>
      <c r="F10738" s="26">
        <v>6.4500000000000002E-2</v>
      </c>
      <c r="G10738">
        <v>168</v>
      </c>
    </row>
    <row r="10739" spans="1:7" x14ac:dyDescent="0.35">
      <c r="A10739" t="s">
        <v>230</v>
      </c>
      <c r="B10739" t="s">
        <v>249</v>
      </c>
      <c r="C10739" s="26">
        <v>0.29849999999999999</v>
      </c>
      <c r="D10739" s="26">
        <v>0.38919999999999999</v>
      </c>
      <c r="E10739" s="26">
        <v>0.21959999999999999</v>
      </c>
      <c r="F10739" s="26">
        <v>9.2700000000000005E-2</v>
      </c>
      <c r="G10739">
        <v>55</v>
      </c>
    </row>
    <row r="10740" spans="1:7" x14ac:dyDescent="0.35">
      <c r="A10740" t="s">
        <v>230</v>
      </c>
      <c r="B10740" t="s">
        <v>248</v>
      </c>
      <c r="C10740" s="26">
        <v>0.49530000000000002</v>
      </c>
      <c r="D10740" s="26">
        <v>0.2596</v>
      </c>
      <c r="E10740" s="26">
        <v>9.0499999999999997E-2</v>
      </c>
      <c r="F10740" s="26">
        <v>0.15459999999999999</v>
      </c>
      <c r="G10740">
        <v>153</v>
      </c>
    </row>
    <row r="10741" spans="1:7" x14ac:dyDescent="0.35">
      <c r="A10741" t="s">
        <v>232</v>
      </c>
      <c r="B10741" t="s">
        <v>232</v>
      </c>
      <c r="C10741" s="26">
        <v>0.51800000000000002</v>
      </c>
      <c r="D10741" s="26">
        <v>0.26350000000000001</v>
      </c>
      <c r="E10741" s="26">
        <v>0.14080000000000001</v>
      </c>
      <c r="F10741" s="26">
        <v>7.7700000000000005E-2</v>
      </c>
      <c r="G10741">
        <v>864</v>
      </c>
    </row>
    <row r="10743" spans="1:7" x14ac:dyDescent="0.35">
      <c r="A10743" s="1" t="s">
        <v>1362</v>
      </c>
    </row>
    <row r="10744" spans="1:7" x14ac:dyDescent="0.35">
      <c r="A10744" t="s">
        <v>219</v>
      </c>
      <c r="B10744" t="s">
        <v>305</v>
      </c>
      <c r="C10744" t="s">
        <v>1351</v>
      </c>
      <c r="D10744" t="s">
        <v>1352</v>
      </c>
      <c r="E10744" t="s">
        <v>1353</v>
      </c>
      <c r="F10744" t="s">
        <v>1354</v>
      </c>
      <c r="G10744" t="s">
        <v>226</v>
      </c>
    </row>
    <row r="10745" spans="1:7" x14ac:dyDescent="0.35">
      <c r="A10745" s="27" t="s">
        <v>228</v>
      </c>
      <c r="B10745" s="27" t="s">
        <v>263</v>
      </c>
      <c r="C10745" s="28">
        <v>0.56210000000000004</v>
      </c>
      <c r="D10745" s="28">
        <v>0.43790000000000001</v>
      </c>
      <c r="E10745" s="29"/>
      <c r="F10745" s="29"/>
      <c r="G10745" s="29" t="s">
        <v>346</v>
      </c>
    </row>
    <row r="10746" spans="1:7" x14ac:dyDescent="0.35">
      <c r="A10746" t="s">
        <v>228</v>
      </c>
      <c r="B10746" t="s">
        <v>261</v>
      </c>
      <c r="C10746" s="26">
        <v>0.73799999999999999</v>
      </c>
      <c r="D10746" s="26">
        <v>0.17760000000000001</v>
      </c>
      <c r="E10746" s="26">
        <v>5.7200000000000001E-2</v>
      </c>
      <c r="F10746" s="26">
        <v>2.7099999999999999E-2</v>
      </c>
      <c r="G10746">
        <v>90</v>
      </c>
    </row>
    <row r="10747" spans="1:7" x14ac:dyDescent="0.35">
      <c r="A10747" t="s">
        <v>228</v>
      </c>
      <c r="B10747" t="s">
        <v>260</v>
      </c>
      <c r="C10747" s="26">
        <v>0.48520000000000002</v>
      </c>
      <c r="D10747" s="26">
        <v>0.2757</v>
      </c>
      <c r="E10747" s="26">
        <v>0.17519999999999999</v>
      </c>
      <c r="F10747" s="26">
        <v>6.3799999999999996E-2</v>
      </c>
      <c r="G10747">
        <v>238</v>
      </c>
    </row>
    <row r="10748" spans="1:7" x14ac:dyDescent="0.35">
      <c r="A10748" s="27" t="s">
        <v>228</v>
      </c>
      <c r="B10748" s="27" t="s">
        <v>236</v>
      </c>
      <c r="C10748" s="28">
        <v>1</v>
      </c>
      <c r="D10748" s="29"/>
      <c r="E10748" s="29"/>
      <c r="F10748" s="29"/>
      <c r="G10748" s="29" t="s">
        <v>331</v>
      </c>
    </row>
    <row r="10749" spans="1:7" x14ac:dyDescent="0.35">
      <c r="A10749" t="s">
        <v>228</v>
      </c>
      <c r="B10749" t="s">
        <v>262</v>
      </c>
      <c r="C10749" s="26">
        <v>0.55840000000000001</v>
      </c>
      <c r="D10749" s="26">
        <v>0.25919999999999999</v>
      </c>
      <c r="E10749" s="26">
        <v>9.3399999999999997E-2</v>
      </c>
      <c r="F10749" s="26">
        <v>8.8999999999999996E-2</v>
      </c>
      <c r="G10749">
        <v>92</v>
      </c>
    </row>
    <row r="10750" spans="1:7" x14ac:dyDescent="0.35">
      <c r="A10750" s="27" t="s">
        <v>229</v>
      </c>
      <c r="B10750" s="27" t="s">
        <v>263</v>
      </c>
      <c r="C10750" s="28">
        <v>0.5</v>
      </c>
      <c r="D10750" s="29"/>
      <c r="E10750" s="28">
        <v>0.5</v>
      </c>
      <c r="F10750" s="29"/>
      <c r="G10750" s="29" t="s">
        <v>337</v>
      </c>
    </row>
    <row r="10751" spans="1:7" x14ac:dyDescent="0.35">
      <c r="A10751" s="27" t="s">
        <v>229</v>
      </c>
      <c r="B10751" s="27" t="s">
        <v>261</v>
      </c>
      <c r="C10751" s="28">
        <v>0.4773</v>
      </c>
      <c r="D10751" s="28">
        <v>0.30909999999999999</v>
      </c>
      <c r="E10751" s="28">
        <v>0.12909999999999999</v>
      </c>
      <c r="F10751" s="28">
        <v>8.4599999999999995E-2</v>
      </c>
      <c r="G10751" s="29" t="s">
        <v>328</v>
      </c>
    </row>
    <row r="10752" spans="1:7" x14ac:dyDescent="0.35">
      <c r="A10752" t="s">
        <v>229</v>
      </c>
      <c r="B10752" t="s">
        <v>260</v>
      </c>
      <c r="C10752" s="26">
        <v>0.52510000000000001</v>
      </c>
      <c r="D10752" s="26">
        <v>0.19539999999999999</v>
      </c>
      <c r="E10752" s="26">
        <v>0.20880000000000001</v>
      </c>
      <c r="F10752" s="26">
        <v>7.0599999999999996E-2</v>
      </c>
      <c r="G10752">
        <v>136</v>
      </c>
    </row>
    <row r="10753" spans="1:7" x14ac:dyDescent="0.35">
      <c r="A10753" s="27" t="s">
        <v>229</v>
      </c>
      <c r="B10753" s="27" t="s">
        <v>236</v>
      </c>
      <c r="C10753" s="29"/>
      <c r="D10753" s="29"/>
      <c r="E10753" s="28">
        <v>1</v>
      </c>
      <c r="F10753" s="29"/>
      <c r="G10753" s="29" t="s">
        <v>331</v>
      </c>
    </row>
    <row r="10754" spans="1:7" x14ac:dyDescent="0.35">
      <c r="A10754" t="s">
        <v>229</v>
      </c>
      <c r="B10754" t="s">
        <v>262</v>
      </c>
      <c r="C10754" s="26">
        <v>0.48149999999999998</v>
      </c>
      <c r="D10754" s="26">
        <v>0.35849999999999999</v>
      </c>
      <c r="E10754" s="26">
        <v>6.2199999999999998E-2</v>
      </c>
      <c r="F10754" s="26">
        <v>9.7799999999999998E-2</v>
      </c>
      <c r="G10754">
        <v>56</v>
      </c>
    </row>
    <row r="10755" spans="1:7" x14ac:dyDescent="0.35">
      <c r="A10755" s="27" t="s">
        <v>230</v>
      </c>
      <c r="B10755" s="27" t="s">
        <v>263</v>
      </c>
      <c r="C10755" s="28">
        <v>0.57350000000000001</v>
      </c>
      <c r="D10755" s="28">
        <v>0.17449999999999999</v>
      </c>
      <c r="E10755" s="28">
        <v>0.21870000000000001</v>
      </c>
      <c r="F10755" s="28">
        <v>3.32E-2</v>
      </c>
      <c r="G10755" s="29" t="s">
        <v>351</v>
      </c>
    </row>
    <row r="10756" spans="1:7" x14ac:dyDescent="0.35">
      <c r="A10756" s="27" t="s">
        <v>230</v>
      </c>
      <c r="B10756" s="27" t="s">
        <v>261</v>
      </c>
      <c r="C10756" s="28">
        <v>0.46060000000000001</v>
      </c>
      <c r="D10756" s="28">
        <v>0.27410000000000001</v>
      </c>
      <c r="E10756" s="28">
        <v>0.23649999999999999</v>
      </c>
      <c r="F10756" s="28">
        <v>2.8899999999999999E-2</v>
      </c>
      <c r="G10756" s="29" t="s">
        <v>347</v>
      </c>
    </row>
    <row r="10757" spans="1:7" x14ac:dyDescent="0.35">
      <c r="A10757" t="s">
        <v>230</v>
      </c>
      <c r="B10757" t="s">
        <v>260</v>
      </c>
      <c r="C10757" s="26">
        <v>0.4456</v>
      </c>
      <c r="D10757" s="26">
        <v>0.2487</v>
      </c>
      <c r="E10757" s="26">
        <v>0.1191</v>
      </c>
      <c r="F10757" s="26">
        <v>0.18659999999999999</v>
      </c>
      <c r="G10757">
        <v>114</v>
      </c>
    </row>
    <row r="10758" spans="1:7" x14ac:dyDescent="0.35">
      <c r="A10758" s="27" t="s">
        <v>230</v>
      </c>
      <c r="B10758" s="27" t="s">
        <v>236</v>
      </c>
      <c r="C10758" s="28">
        <v>0.23530000000000001</v>
      </c>
      <c r="D10758" s="28">
        <v>0.76470000000000005</v>
      </c>
      <c r="E10758" s="29"/>
      <c r="F10758" s="29"/>
      <c r="G10758" s="29" t="s">
        <v>314</v>
      </c>
    </row>
    <row r="10759" spans="1:7" x14ac:dyDescent="0.35">
      <c r="A10759" t="s">
        <v>230</v>
      </c>
      <c r="B10759" t="s">
        <v>262</v>
      </c>
      <c r="C10759" s="26">
        <v>0.3105</v>
      </c>
      <c r="D10759" s="26">
        <v>0.57569999999999999</v>
      </c>
      <c r="E10759" s="26">
        <v>8.9200000000000002E-2</v>
      </c>
      <c r="F10759" s="26">
        <v>2.47E-2</v>
      </c>
      <c r="G10759">
        <v>49</v>
      </c>
    </row>
    <row r="10760" spans="1:7" x14ac:dyDescent="0.35">
      <c r="A10760" t="s">
        <v>232</v>
      </c>
      <c r="B10760" t="s">
        <v>232</v>
      </c>
      <c r="C10760" s="26">
        <v>0.51800000000000002</v>
      </c>
      <c r="D10760" s="26">
        <v>0.26350000000000001</v>
      </c>
      <c r="E10760" s="26">
        <v>0.14080000000000001</v>
      </c>
      <c r="F10760" s="26">
        <v>7.7700000000000005E-2</v>
      </c>
      <c r="G10760">
        <v>864</v>
      </c>
    </row>
    <row r="10762" spans="1:7" x14ac:dyDescent="0.35">
      <c r="A10762" s="1" t="s">
        <v>1363</v>
      </c>
    </row>
    <row r="10763" spans="1:7" x14ac:dyDescent="0.35">
      <c r="A10763" t="s">
        <v>219</v>
      </c>
      <c r="B10763" t="s">
        <v>305</v>
      </c>
      <c r="C10763" t="s">
        <v>1351</v>
      </c>
      <c r="D10763" t="s">
        <v>1352</v>
      </c>
      <c r="E10763" t="s">
        <v>1353</v>
      </c>
      <c r="F10763" t="s">
        <v>1354</v>
      </c>
      <c r="G10763" t="s">
        <v>226</v>
      </c>
    </row>
    <row r="10764" spans="1:7" x14ac:dyDescent="0.35">
      <c r="A10764" t="s">
        <v>228</v>
      </c>
      <c r="B10764" t="s">
        <v>368</v>
      </c>
      <c r="C10764" s="26">
        <v>0.73799999999999999</v>
      </c>
      <c r="D10764" s="26">
        <v>0.17760000000000001</v>
      </c>
      <c r="E10764" s="26">
        <v>5.7200000000000001E-2</v>
      </c>
      <c r="F10764" s="26">
        <v>2.7099999999999999E-2</v>
      </c>
      <c r="G10764">
        <v>90</v>
      </c>
    </row>
    <row r="10765" spans="1:7" x14ac:dyDescent="0.35">
      <c r="A10765" t="s">
        <v>228</v>
      </c>
      <c r="B10765" t="s">
        <v>369</v>
      </c>
      <c r="C10765" s="26">
        <v>0.50290000000000001</v>
      </c>
      <c r="D10765" s="26">
        <v>0.27879999999999999</v>
      </c>
      <c r="E10765" s="26">
        <v>0.1522</v>
      </c>
      <c r="F10765" s="26">
        <v>6.6100000000000006E-2</v>
      </c>
      <c r="G10765">
        <v>346</v>
      </c>
    </row>
    <row r="10766" spans="1:7" x14ac:dyDescent="0.35">
      <c r="A10766" s="27" t="s">
        <v>229</v>
      </c>
      <c r="B10766" s="27" t="s">
        <v>368</v>
      </c>
      <c r="C10766" s="28">
        <v>0.4773</v>
      </c>
      <c r="D10766" s="28">
        <v>0.30909999999999999</v>
      </c>
      <c r="E10766" s="28">
        <v>0.12909999999999999</v>
      </c>
      <c r="F10766" s="28">
        <v>8.4599999999999995E-2</v>
      </c>
      <c r="G10766" s="29" t="s">
        <v>328</v>
      </c>
    </row>
    <row r="10767" spans="1:7" x14ac:dyDescent="0.35">
      <c r="A10767" t="s">
        <v>229</v>
      </c>
      <c r="B10767" t="s">
        <v>369</v>
      </c>
      <c r="C10767" s="26">
        <v>0.50900000000000001</v>
      </c>
      <c r="D10767" s="26">
        <v>0.25030000000000002</v>
      </c>
      <c r="E10767" s="26">
        <v>0.16139999999999999</v>
      </c>
      <c r="F10767" s="26">
        <v>7.9200000000000007E-2</v>
      </c>
      <c r="G10767">
        <v>197</v>
      </c>
    </row>
    <row r="10768" spans="1:7" x14ac:dyDescent="0.35">
      <c r="A10768" s="27" t="s">
        <v>230</v>
      </c>
      <c r="B10768" s="27" t="s">
        <v>368</v>
      </c>
      <c r="C10768" s="28">
        <v>0.46060000000000001</v>
      </c>
      <c r="D10768" s="28">
        <v>0.27410000000000001</v>
      </c>
      <c r="E10768" s="28">
        <v>0.23649999999999999</v>
      </c>
      <c r="F10768" s="28">
        <v>2.8899999999999999E-2</v>
      </c>
      <c r="G10768" s="29" t="s">
        <v>347</v>
      </c>
    </row>
    <row r="10769" spans="1:7" x14ac:dyDescent="0.35">
      <c r="A10769" t="s">
        <v>230</v>
      </c>
      <c r="B10769" t="s">
        <v>369</v>
      </c>
      <c r="C10769" s="26">
        <v>0.42549999999999999</v>
      </c>
      <c r="D10769" s="26">
        <v>0.30690000000000001</v>
      </c>
      <c r="E10769" s="26">
        <v>0.1171</v>
      </c>
      <c r="F10769" s="26">
        <v>0.15049999999999999</v>
      </c>
      <c r="G10769">
        <v>186</v>
      </c>
    </row>
    <row r="10770" spans="1:7" x14ac:dyDescent="0.35">
      <c r="A10770" t="s">
        <v>232</v>
      </c>
      <c r="B10770" t="s">
        <v>232</v>
      </c>
      <c r="C10770" s="26">
        <v>0.51800000000000002</v>
      </c>
      <c r="D10770" s="26">
        <v>0.26350000000000001</v>
      </c>
      <c r="E10770" s="26">
        <v>0.14080000000000001</v>
      </c>
      <c r="F10770" s="26">
        <v>7.7700000000000005E-2</v>
      </c>
      <c r="G10770">
        <v>864</v>
      </c>
    </row>
    <row r="10772" spans="1:7" x14ac:dyDescent="0.35">
      <c r="A10772" s="1" t="s">
        <v>1364</v>
      </c>
    </row>
    <row r="10773" spans="1:7" x14ac:dyDescent="0.35">
      <c r="A10773" t="s">
        <v>219</v>
      </c>
      <c r="B10773" t="s">
        <v>305</v>
      </c>
      <c r="C10773" t="s">
        <v>1351</v>
      </c>
      <c r="D10773" t="s">
        <v>1352</v>
      </c>
      <c r="E10773" t="s">
        <v>1353</v>
      </c>
      <c r="F10773" t="s">
        <v>1354</v>
      </c>
      <c r="G10773" t="s">
        <v>226</v>
      </c>
    </row>
    <row r="10774" spans="1:7" x14ac:dyDescent="0.35">
      <c r="A10774" t="s">
        <v>228</v>
      </c>
      <c r="B10774" t="s">
        <v>371</v>
      </c>
      <c r="C10774" s="26">
        <v>0.47360000000000002</v>
      </c>
      <c r="D10774" s="26">
        <v>0.29630000000000001</v>
      </c>
      <c r="E10774" s="26">
        <v>0.1489</v>
      </c>
      <c r="F10774" s="26">
        <v>8.1199999999999994E-2</v>
      </c>
      <c r="G10774">
        <v>79</v>
      </c>
    </row>
    <row r="10775" spans="1:7" x14ac:dyDescent="0.35">
      <c r="A10775" t="s">
        <v>228</v>
      </c>
      <c r="B10775" t="s">
        <v>372</v>
      </c>
      <c r="C10775" s="26">
        <v>0.76249999999999996</v>
      </c>
      <c r="D10775" s="26">
        <v>0.16420000000000001</v>
      </c>
      <c r="E10775" s="26">
        <v>4.3999999999999997E-2</v>
      </c>
      <c r="F10775" s="26">
        <v>2.9399999999999999E-2</v>
      </c>
      <c r="G10775">
        <v>135</v>
      </c>
    </row>
    <row r="10776" spans="1:7" x14ac:dyDescent="0.35">
      <c r="A10776" t="s">
        <v>228</v>
      </c>
      <c r="B10776" t="s">
        <v>373</v>
      </c>
      <c r="C10776" s="26">
        <v>0.56989999999999996</v>
      </c>
      <c r="D10776" s="26">
        <v>0.2467</v>
      </c>
      <c r="E10776" s="26">
        <v>0.1391</v>
      </c>
      <c r="F10776" s="26">
        <v>4.4299999999999999E-2</v>
      </c>
      <c r="G10776">
        <v>222</v>
      </c>
    </row>
    <row r="10777" spans="1:7" x14ac:dyDescent="0.35">
      <c r="A10777" t="s">
        <v>229</v>
      </c>
      <c r="B10777" t="s">
        <v>371</v>
      </c>
      <c r="C10777" s="26">
        <v>0.47370000000000001</v>
      </c>
      <c r="D10777" s="26">
        <v>0.2727</v>
      </c>
      <c r="E10777" s="26">
        <v>0.16489999999999999</v>
      </c>
      <c r="F10777" s="26">
        <v>8.8800000000000004E-2</v>
      </c>
      <c r="G10777">
        <v>91</v>
      </c>
    </row>
    <row r="10778" spans="1:7" x14ac:dyDescent="0.35">
      <c r="A10778" t="s">
        <v>229</v>
      </c>
      <c r="B10778" t="s">
        <v>372</v>
      </c>
      <c r="C10778" s="26">
        <v>0.69850000000000001</v>
      </c>
      <c r="D10778" s="26">
        <v>0.18290000000000001</v>
      </c>
      <c r="E10778" s="26">
        <v>8.7999999999999995E-2</v>
      </c>
      <c r="F10778" s="26">
        <v>3.0599999999999999E-2</v>
      </c>
      <c r="G10778">
        <v>104</v>
      </c>
    </row>
    <row r="10779" spans="1:7" x14ac:dyDescent="0.35">
      <c r="A10779" s="27" t="s">
        <v>229</v>
      </c>
      <c r="B10779" s="27" t="s">
        <v>373</v>
      </c>
      <c r="C10779" s="28">
        <v>0.52569999999999995</v>
      </c>
      <c r="D10779" s="28">
        <v>0.21010000000000001</v>
      </c>
      <c r="E10779" s="28">
        <v>0.21010000000000001</v>
      </c>
      <c r="F10779" s="28">
        <v>5.4199999999999998E-2</v>
      </c>
      <c r="G10779" s="29" t="s">
        <v>312</v>
      </c>
    </row>
    <row r="10780" spans="1:7" x14ac:dyDescent="0.35">
      <c r="A10780" t="s">
        <v>230</v>
      </c>
      <c r="B10780" t="s">
        <v>371</v>
      </c>
      <c r="C10780" s="26">
        <v>0.41139999999999999</v>
      </c>
      <c r="D10780" s="26">
        <v>0.31759999999999999</v>
      </c>
      <c r="E10780" s="26">
        <v>0.1062</v>
      </c>
      <c r="F10780" s="26">
        <v>0.1648</v>
      </c>
      <c r="G10780">
        <v>45</v>
      </c>
    </row>
    <row r="10781" spans="1:7" x14ac:dyDescent="0.35">
      <c r="A10781" t="s">
        <v>230</v>
      </c>
      <c r="B10781" t="s">
        <v>372</v>
      </c>
      <c r="C10781" s="26">
        <v>0.7026</v>
      </c>
      <c r="D10781" s="26">
        <v>0.14050000000000001</v>
      </c>
      <c r="E10781" s="26">
        <v>0.11600000000000001</v>
      </c>
      <c r="F10781" s="26">
        <v>4.0800000000000003E-2</v>
      </c>
      <c r="G10781">
        <v>117</v>
      </c>
    </row>
    <row r="10782" spans="1:7" x14ac:dyDescent="0.35">
      <c r="A10782" t="s">
        <v>230</v>
      </c>
      <c r="B10782" t="s">
        <v>373</v>
      </c>
      <c r="C10782" s="26">
        <v>0.21190000000000001</v>
      </c>
      <c r="D10782" s="26">
        <v>0.4168</v>
      </c>
      <c r="E10782" s="26">
        <v>0.25740000000000002</v>
      </c>
      <c r="F10782" s="26">
        <v>0.1138</v>
      </c>
      <c r="G10782">
        <v>46</v>
      </c>
    </row>
    <row r="10783" spans="1:7" x14ac:dyDescent="0.35">
      <c r="A10783" t="s">
        <v>232</v>
      </c>
      <c r="B10783" t="s">
        <v>232</v>
      </c>
      <c r="C10783" s="26">
        <v>0.51800000000000002</v>
      </c>
      <c r="D10783" s="26">
        <v>0.26350000000000001</v>
      </c>
      <c r="E10783" s="26">
        <v>0.14080000000000001</v>
      </c>
      <c r="F10783" s="26">
        <v>7.7700000000000005E-2</v>
      </c>
      <c r="G10783">
        <v>864</v>
      </c>
    </row>
    <row r="10785" spans="1:7" x14ac:dyDescent="0.35">
      <c r="A10785" s="1" t="s">
        <v>1365</v>
      </c>
    </row>
    <row r="10786" spans="1:7" x14ac:dyDescent="0.35">
      <c r="A10786" t="s">
        <v>219</v>
      </c>
      <c r="B10786" t="s">
        <v>305</v>
      </c>
      <c r="C10786" t="s">
        <v>1351</v>
      </c>
      <c r="D10786" t="s">
        <v>1352</v>
      </c>
      <c r="E10786" t="s">
        <v>1353</v>
      </c>
      <c r="F10786" t="s">
        <v>1354</v>
      </c>
      <c r="G10786" t="s">
        <v>226</v>
      </c>
    </row>
    <row r="10787" spans="1:7" x14ac:dyDescent="0.35">
      <c r="A10787" t="s">
        <v>228</v>
      </c>
      <c r="B10787" t="s">
        <v>255</v>
      </c>
      <c r="C10787" s="26">
        <v>0.61260000000000003</v>
      </c>
      <c r="D10787" s="26">
        <v>0.2472</v>
      </c>
      <c r="E10787" s="26">
        <v>9.7199999999999995E-2</v>
      </c>
      <c r="F10787" s="26">
        <v>4.2900000000000001E-2</v>
      </c>
      <c r="G10787">
        <v>329</v>
      </c>
    </row>
    <row r="10788" spans="1:7" x14ac:dyDescent="0.35">
      <c r="A10788" t="s">
        <v>228</v>
      </c>
      <c r="B10788" t="s">
        <v>256</v>
      </c>
      <c r="C10788" s="26">
        <v>0.40239999999999998</v>
      </c>
      <c r="D10788" s="26">
        <v>0.27860000000000001</v>
      </c>
      <c r="E10788" s="26">
        <v>0.1981</v>
      </c>
      <c r="F10788" s="26">
        <v>0.1208</v>
      </c>
      <c r="G10788">
        <v>86</v>
      </c>
    </row>
    <row r="10789" spans="1:7" x14ac:dyDescent="0.35">
      <c r="A10789" s="27" t="s">
        <v>228</v>
      </c>
      <c r="B10789" s="27" t="s">
        <v>257</v>
      </c>
      <c r="C10789" s="28">
        <v>0.59309999999999996</v>
      </c>
      <c r="D10789" s="28">
        <v>0.1216</v>
      </c>
      <c r="E10789" s="28">
        <v>0.2853</v>
      </c>
      <c r="F10789" s="29"/>
      <c r="G10789" s="29" t="s">
        <v>353</v>
      </c>
    </row>
    <row r="10790" spans="1:7" x14ac:dyDescent="0.35">
      <c r="A10790" s="27" t="s">
        <v>228</v>
      </c>
      <c r="B10790" s="27" t="s">
        <v>258</v>
      </c>
      <c r="C10790" s="28">
        <v>0.124</v>
      </c>
      <c r="D10790" s="28">
        <v>0.876</v>
      </c>
      <c r="E10790" s="29"/>
      <c r="F10790" s="29"/>
      <c r="G10790" s="29" t="s">
        <v>315</v>
      </c>
    </row>
    <row r="10791" spans="1:7" x14ac:dyDescent="0.35">
      <c r="A10791" t="s">
        <v>229</v>
      </c>
      <c r="B10791" t="s">
        <v>255</v>
      </c>
      <c r="C10791" s="26">
        <v>0.48699999999999999</v>
      </c>
      <c r="D10791" s="26">
        <v>0.25729999999999997</v>
      </c>
      <c r="E10791" s="26">
        <v>0.1913</v>
      </c>
      <c r="F10791" s="26">
        <v>6.4500000000000002E-2</v>
      </c>
      <c r="G10791">
        <v>168</v>
      </c>
    </row>
    <row r="10792" spans="1:7" x14ac:dyDescent="0.35">
      <c r="A10792" t="s">
        <v>229</v>
      </c>
      <c r="B10792" t="s">
        <v>256</v>
      </c>
      <c r="C10792" s="26">
        <v>0.54959999999999998</v>
      </c>
      <c r="D10792" s="26">
        <v>0.24199999999999999</v>
      </c>
      <c r="E10792" s="26">
        <v>7.8E-2</v>
      </c>
      <c r="F10792" s="26">
        <v>0.13039999999999999</v>
      </c>
      <c r="G10792">
        <v>41</v>
      </c>
    </row>
    <row r="10793" spans="1:7" x14ac:dyDescent="0.35">
      <c r="A10793" s="27" t="s">
        <v>229</v>
      </c>
      <c r="B10793" s="27" t="s">
        <v>257</v>
      </c>
      <c r="C10793" s="28">
        <v>0.54630000000000001</v>
      </c>
      <c r="D10793" s="28">
        <v>0.41620000000000001</v>
      </c>
      <c r="E10793" s="29"/>
      <c r="F10793" s="28">
        <v>3.7499999999999999E-2</v>
      </c>
      <c r="G10793" s="29" t="s">
        <v>307</v>
      </c>
    </row>
    <row r="10794" spans="1:7" x14ac:dyDescent="0.35">
      <c r="A10794" s="27" t="s">
        <v>229</v>
      </c>
      <c r="B10794" s="27" t="s">
        <v>258</v>
      </c>
      <c r="C10794" s="29"/>
      <c r="D10794" s="29"/>
      <c r="E10794" s="28">
        <v>1</v>
      </c>
      <c r="F10794" s="29"/>
      <c r="G10794" s="29" t="s">
        <v>331</v>
      </c>
    </row>
    <row r="10795" spans="1:7" x14ac:dyDescent="0.35">
      <c r="A10795" t="s">
        <v>230</v>
      </c>
      <c r="B10795" t="s">
        <v>255</v>
      </c>
      <c r="C10795" s="26">
        <v>0.49530000000000002</v>
      </c>
      <c r="D10795" s="26">
        <v>0.2596</v>
      </c>
      <c r="E10795" s="26">
        <v>9.0499999999999997E-2</v>
      </c>
      <c r="F10795" s="26">
        <v>0.15459999999999999</v>
      </c>
      <c r="G10795">
        <v>153</v>
      </c>
    </row>
    <row r="10796" spans="1:7" x14ac:dyDescent="0.35">
      <c r="A10796" t="s">
        <v>230</v>
      </c>
      <c r="B10796" t="s">
        <v>256</v>
      </c>
      <c r="C10796" s="26">
        <v>0.39379999999999998</v>
      </c>
      <c r="D10796" s="26">
        <v>0.373</v>
      </c>
      <c r="E10796" s="26">
        <v>9.9199999999999997E-2</v>
      </c>
      <c r="F10796" s="26">
        <v>0.13400000000000001</v>
      </c>
      <c r="G10796">
        <v>40</v>
      </c>
    </row>
    <row r="10797" spans="1:7" x14ac:dyDescent="0.35">
      <c r="A10797" s="27" t="s">
        <v>230</v>
      </c>
      <c r="B10797" s="27" t="s">
        <v>257</v>
      </c>
      <c r="C10797" s="28">
        <v>8.7400000000000005E-2</v>
      </c>
      <c r="D10797" s="28">
        <v>0.4032</v>
      </c>
      <c r="E10797" s="28">
        <v>0.50939999999999996</v>
      </c>
      <c r="F10797" s="29"/>
      <c r="G10797" s="29" t="s">
        <v>379</v>
      </c>
    </row>
    <row r="10798" spans="1:7" x14ac:dyDescent="0.35">
      <c r="A10798" s="27" t="s">
        <v>230</v>
      </c>
      <c r="B10798" s="27" t="s">
        <v>258</v>
      </c>
      <c r="C10798" s="29"/>
      <c r="D10798" s="28">
        <v>1</v>
      </c>
      <c r="E10798" s="29"/>
      <c r="F10798" s="29"/>
      <c r="G10798" s="29" t="s">
        <v>331</v>
      </c>
    </row>
    <row r="10799" spans="1:7" x14ac:dyDescent="0.35">
      <c r="A10799" t="s">
        <v>232</v>
      </c>
      <c r="B10799" t="s">
        <v>232</v>
      </c>
      <c r="C10799" s="26">
        <v>0.51800000000000002</v>
      </c>
      <c r="D10799" s="26">
        <v>0.26350000000000001</v>
      </c>
      <c r="E10799" s="26">
        <v>0.14080000000000001</v>
      </c>
      <c r="F10799" s="26">
        <v>7.7700000000000005E-2</v>
      </c>
      <c r="G10799">
        <v>864</v>
      </c>
    </row>
    <row r="10801" spans="1:7" x14ac:dyDescent="0.35">
      <c r="A10801" s="1" t="s">
        <v>1366</v>
      </c>
    </row>
    <row r="10802" spans="1:7" x14ac:dyDescent="0.35">
      <c r="A10802" t="s">
        <v>219</v>
      </c>
      <c r="B10802" t="s">
        <v>305</v>
      </c>
      <c r="C10802" t="s">
        <v>1351</v>
      </c>
      <c r="D10802" t="s">
        <v>1352</v>
      </c>
      <c r="E10802" t="s">
        <v>1353</v>
      </c>
      <c r="F10802" t="s">
        <v>1354</v>
      </c>
      <c r="G10802" t="s">
        <v>226</v>
      </c>
    </row>
    <row r="10803" spans="1:7" x14ac:dyDescent="0.35">
      <c r="A10803" t="s">
        <v>228</v>
      </c>
      <c r="B10803" t="s">
        <v>1341</v>
      </c>
      <c r="C10803" s="26">
        <v>0.45750000000000002</v>
      </c>
      <c r="D10803" s="26">
        <v>0.3231</v>
      </c>
      <c r="E10803" s="26">
        <v>0.13059999999999999</v>
      </c>
      <c r="F10803" s="26">
        <v>8.8700000000000001E-2</v>
      </c>
      <c r="G10803">
        <v>118</v>
      </c>
    </row>
    <row r="10804" spans="1:7" x14ac:dyDescent="0.35">
      <c r="A10804" s="27" t="s">
        <v>228</v>
      </c>
      <c r="B10804" s="27" t="s">
        <v>1342</v>
      </c>
      <c r="C10804" s="28">
        <v>1</v>
      </c>
      <c r="D10804" s="29"/>
      <c r="E10804" s="29"/>
      <c r="F10804" s="29"/>
      <c r="G10804" s="29" t="s">
        <v>331</v>
      </c>
    </row>
    <row r="10805" spans="1:7" x14ac:dyDescent="0.35">
      <c r="A10805" t="s">
        <v>228</v>
      </c>
      <c r="B10805" t="s">
        <v>1343</v>
      </c>
      <c r="C10805" s="26">
        <v>0.59409999999999996</v>
      </c>
      <c r="D10805" s="26">
        <v>0.23050000000000001</v>
      </c>
      <c r="E10805" s="26">
        <v>0.13070000000000001</v>
      </c>
      <c r="F10805" s="26">
        <v>4.4699999999999997E-2</v>
      </c>
      <c r="G10805">
        <v>317</v>
      </c>
    </row>
    <row r="10806" spans="1:7" x14ac:dyDescent="0.35">
      <c r="A10806" t="s">
        <v>229</v>
      </c>
      <c r="B10806" t="s">
        <v>1341</v>
      </c>
      <c r="C10806" s="26">
        <v>0.624</v>
      </c>
      <c r="D10806" s="26">
        <v>0.21829999999999999</v>
      </c>
      <c r="E10806" s="26">
        <v>5.5100000000000003E-2</v>
      </c>
      <c r="F10806" s="26">
        <v>0.1026</v>
      </c>
      <c r="G10806">
        <v>61</v>
      </c>
    </row>
    <row r="10807" spans="1:7" x14ac:dyDescent="0.35">
      <c r="A10807" t="s">
        <v>229</v>
      </c>
      <c r="B10807" t="s">
        <v>1343</v>
      </c>
      <c r="C10807" s="26">
        <v>0.45540000000000003</v>
      </c>
      <c r="D10807" s="26">
        <v>0.27539999999999998</v>
      </c>
      <c r="E10807" s="26">
        <v>0.19839999999999999</v>
      </c>
      <c r="F10807" s="26">
        <v>7.0699999999999999E-2</v>
      </c>
      <c r="G10807">
        <v>159</v>
      </c>
    </row>
    <row r="10808" spans="1:7" x14ac:dyDescent="0.35">
      <c r="A10808" t="s">
        <v>230</v>
      </c>
      <c r="B10808" t="s">
        <v>1341</v>
      </c>
      <c r="C10808" s="26">
        <v>0.44440000000000002</v>
      </c>
      <c r="D10808" s="26">
        <v>0.40899999999999997</v>
      </c>
      <c r="E10808" s="26">
        <v>0.1265</v>
      </c>
      <c r="F10808" s="26">
        <v>0.02</v>
      </c>
      <c r="G10808">
        <v>59</v>
      </c>
    </row>
    <row r="10809" spans="1:7" x14ac:dyDescent="0.35">
      <c r="A10809" t="s">
        <v>230</v>
      </c>
      <c r="B10809" t="s">
        <v>1343</v>
      </c>
      <c r="C10809" s="26">
        <v>0.42559999999999998</v>
      </c>
      <c r="D10809" s="26">
        <v>0.26729999999999998</v>
      </c>
      <c r="E10809" s="26">
        <v>0.13539999999999999</v>
      </c>
      <c r="F10809" s="26">
        <v>0.17169999999999999</v>
      </c>
      <c r="G10809">
        <v>149</v>
      </c>
    </row>
    <row r="10810" spans="1:7" x14ac:dyDescent="0.35">
      <c r="A10810" t="s">
        <v>232</v>
      </c>
      <c r="B10810" t="s">
        <v>232</v>
      </c>
      <c r="C10810" s="26">
        <v>0.51800000000000002</v>
      </c>
      <c r="D10810" s="26">
        <v>0.26350000000000001</v>
      </c>
      <c r="E10810" s="26">
        <v>0.14080000000000001</v>
      </c>
      <c r="F10810" s="26">
        <v>7.7700000000000005E-2</v>
      </c>
      <c r="G10810">
        <v>864</v>
      </c>
    </row>
    <row r="10812" spans="1:7" x14ac:dyDescent="0.35">
      <c r="A10812" s="1" t="s">
        <v>1367</v>
      </c>
    </row>
    <row r="10813" spans="1:7" x14ac:dyDescent="0.35">
      <c r="A10813" t="s">
        <v>219</v>
      </c>
      <c r="B10813" t="s">
        <v>305</v>
      </c>
      <c r="C10813" t="s">
        <v>1351</v>
      </c>
      <c r="D10813" t="s">
        <v>1352</v>
      </c>
      <c r="E10813" t="s">
        <v>1353</v>
      </c>
      <c r="F10813" t="s">
        <v>1354</v>
      </c>
      <c r="G10813" t="s">
        <v>226</v>
      </c>
    </row>
    <row r="10814" spans="1:7" x14ac:dyDescent="0.35">
      <c r="A10814" s="27" t="s">
        <v>228</v>
      </c>
      <c r="B10814" s="27" t="s">
        <v>1345</v>
      </c>
      <c r="C10814" s="29"/>
      <c r="D10814" s="28">
        <v>0.26019999999999999</v>
      </c>
      <c r="E10814" s="28">
        <v>0.73980000000000001</v>
      </c>
      <c r="F10814" s="29"/>
      <c r="G10814" s="29" t="s">
        <v>314</v>
      </c>
    </row>
    <row r="10815" spans="1:7" x14ac:dyDescent="0.35">
      <c r="A10815" t="s">
        <v>228</v>
      </c>
      <c r="B10815" t="s">
        <v>1347</v>
      </c>
      <c r="C10815" s="26">
        <v>0.46100000000000002</v>
      </c>
      <c r="D10815" s="26">
        <v>0.35639999999999999</v>
      </c>
      <c r="E10815" s="26">
        <v>0.1827</v>
      </c>
      <c r="G10815">
        <v>70</v>
      </c>
    </row>
    <row r="10816" spans="1:7" x14ac:dyDescent="0.35">
      <c r="A10816" t="s">
        <v>228</v>
      </c>
      <c r="B10816" t="s">
        <v>1348</v>
      </c>
      <c r="C10816" s="26">
        <v>0.55000000000000004</v>
      </c>
      <c r="D10816" s="26">
        <v>0.24590000000000001</v>
      </c>
      <c r="E10816" s="26">
        <v>0.1176</v>
      </c>
      <c r="F10816" s="26">
        <v>8.6499999999999994E-2</v>
      </c>
      <c r="G10816">
        <v>233</v>
      </c>
    </row>
    <row r="10817" spans="1:8" x14ac:dyDescent="0.35">
      <c r="A10817" t="s">
        <v>228</v>
      </c>
      <c r="B10817" t="s">
        <v>1346</v>
      </c>
      <c r="C10817" s="26">
        <v>0.66769999999999996</v>
      </c>
      <c r="D10817" s="26">
        <v>0.21340000000000001</v>
      </c>
      <c r="E10817" s="26">
        <v>9.35E-2</v>
      </c>
      <c r="F10817" s="26">
        <v>2.5399999999999999E-2</v>
      </c>
      <c r="G10817">
        <v>131</v>
      </c>
    </row>
    <row r="10818" spans="1:8" x14ac:dyDescent="0.35">
      <c r="A10818" s="27" t="s">
        <v>229</v>
      </c>
      <c r="B10818" s="27" t="s">
        <v>1345</v>
      </c>
      <c r="C10818" s="28">
        <v>0.38790000000000002</v>
      </c>
      <c r="D10818" s="28">
        <v>0.11210000000000001</v>
      </c>
      <c r="E10818" s="28">
        <v>0.5</v>
      </c>
      <c r="F10818" s="29"/>
      <c r="G10818" s="29" t="s">
        <v>337</v>
      </c>
    </row>
    <row r="10819" spans="1:8" x14ac:dyDescent="0.35">
      <c r="A10819" t="s">
        <v>229</v>
      </c>
      <c r="B10819" t="s">
        <v>1347</v>
      </c>
      <c r="C10819" s="26">
        <v>0.44419999999999998</v>
      </c>
      <c r="D10819" s="26">
        <v>0.2722</v>
      </c>
      <c r="E10819" s="26">
        <v>0.224</v>
      </c>
      <c r="F10819" s="26">
        <v>5.9700000000000003E-2</v>
      </c>
      <c r="G10819">
        <v>71</v>
      </c>
    </row>
    <row r="10820" spans="1:8" x14ac:dyDescent="0.35">
      <c r="A10820" t="s">
        <v>229</v>
      </c>
      <c r="B10820" t="s">
        <v>1348</v>
      </c>
      <c r="C10820" s="26">
        <v>0.52790000000000004</v>
      </c>
      <c r="D10820" s="26">
        <v>0.2777</v>
      </c>
      <c r="E10820" s="26">
        <v>7.1800000000000003E-2</v>
      </c>
      <c r="F10820" s="26">
        <v>0.1226</v>
      </c>
      <c r="G10820">
        <v>96</v>
      </c>
    </row>
    <row r="10821" spans="1:8" x14ac:dyDescent="0.35">
      <c r="A10821" t="s">
        <v>229</v>
      </c>
      <c r="B10821" t="s">
        <v>1346</v>
      </c>
      <c r="C10821" s="26">
        <v>0.54479999999999995</v>
      </c>
      <c r="D10821" s="26">
        <v>0.1908</v>
      </c>
      <c r="E10821" s="26">
        <v>0.2601</v>
      </c>
      <c r="F10821" s="26">
        <v>4.3E-3</v>
      </c>
      <c r="G10821">
        <v>49</v>
      </c>
    </row>
    <row r="10822" spans="1:8" x14ac:dyDescent="0.35">
      <c r="A10822" s="27" t="s">
        <v>230</v>
      </c>
      <c r="B10822" s="27" t="s">
        <v>1345</v>
      </c>
      <c r="C10822" s="29"/>
      <c r="D10822" s="28">
        <v>0.76470000000000005</v>
      </c>
      <c r="E10822" s="29"/>
      <c r="F10822" s="28">
        <v>0.23530000000000001</v>
      </c>
      <c r="G10822" s="29" t="s">
        <v>314</v>
      </c>
    </row>
    <row r="10823" spans="1:8" x14ac:dyDescent="0.35">
      <c r="A10823" t="s">
        <v>230</v>
      </c>
      <c r="B10823" t="s">
        <v>1347</v>
      </c>
      <c r="C10823" s="26">
        <v>0.34200000000000003</v>
      </c>
      <c r="D10823" s="26">
        <v>0.49680000000000002</v>
      </c>
      <c r="E10823" s="26">
        <v>0.112</v>
      </c>
      <c r="F10823" s="26">
        <v>4.9200000000000001E-2</v>
      </c>
      <c r="G10823">
        <v>50</v>
      </c>
    </row>
    <row r="10824" spans="1:8" x14ac:dyDescent="0.35">
      <c r="A10824" t="s">
        <v>230</v>
      </c>
      <c r="B10824" t="s">
        <v>1348</v>
      </c>
      <c r="C10824" s="26">
        <v>0.4405</v>
      </c>
      <c r="D10824" s="26">
        <v>0.29649999999999999</v>
      </c>
      <c r="E10824" s="26">
        <v>0.16039999999999999</v>
      </c>
      <c r="F10824" s="26">
        <v>0.1026</v>
      </c>
      <c r="G10824">
        <v>95</v>
      </c>
    </row>
    <row r="10825" spans="1:8" x14ac:dyDescent="0.35">
      <c r="A10825" t="s">
        <v>230</v>
      </c>
      <c r="B10825" t="s">
        <v>1346</v>
      </c>
      <c r="C10825" s="26">
        <v>0.48449999999999999</v>
      </c>
      <c r="D10825" s="26">
        <v>0.15970000000000001</v>
      </c>
      <c r="E10825" s="26">
        <v>9.8500000000000004E-2</v>
      </c>
      <c r="F10825" s="26">
        <v>0.25729999999999997</v>
      </c>
      <c r="G10825">
        <v>61</v>
      </c>
    </row>
    <row r="10826" spans="1:8" x14ac:dyDescent="0.35">
      <c r="A10826" t="s">
        <v>232</v>
      </c>
      <c r="B10826" t="s">
        <v>232</v>
      </c>
      <c r="C10826" s="26">
        <v>0.51800000000000002</v>
      </c>
      <c r="D10826" s="26">
        <v>0.26350000000000001</v>
      </c>
      <c r="E10826" s="26">
        <v>0.14080000000000001</v>
      </c>
      <c r="F10826" s="26">
        <v>7.7700000000000005E-2</v>
      </c>
      <c r="G10826">
        <v>864</v>
      </c>
    </row>
    <row r="10828" spans="1:8" x14ac:dyDescent="0.35">
      <c r="A10828" s="1" t="s">
        <v>1368</v>
      </c>
    </row>
    <row r="10829" spans="1:8" x14ac:dyDescent="0.35">
      <c r="A10829" t="s">
        <v>219</v>
      </c>
      <c r="B10829" t="s">
        <v>305</v>
      </c>
      <c r="C10829" t="s">
        <v>345</v>
      </c>
      <c r="D10829" t="s">
        <v>1351</v>
      </c>
      <c r="E10829" t="s">
        <v>1352</v>
      </c>
      <c r="F10829" t="s">
        <v>1353</v>
      </c>
      <c r="G10829" t="s">
        <v>1354</v>
      </c>
      <c r="H10829" t="s">
        <v>226</v>
      </c>
    </row>
    <row r="10830" spans="1:8" x14ac:dyDescent="0.35">
      <c r="A10830" s="27" t="s">
        <v>228</v>
      </c>
      <c r="B10830" s="27" t="s">
        <v>1341</v>
      </c>
      <c r="C10830" s="27" t="s">
        <v>1345</v>
      </c>
      <c r="D10830" s="29"/>
      <c r="E10830" s="28">
        <v>1</v>
      </c>
      <c r="F10830" s="29"/>
      <c r="G10830" s="29"/>
      <c r="H10830" s="29" t="s">
        <v>331</v>
      </c>
    </row>
    <row r="10831" spans="1:8" x14ac:dyDescent="0.35">
      <c r="A10831" t="s">
        <v>228</v>
      </c>
      <c r="B10831" t="s">
        <v>1343</v>
      </c>
      <c r="C10831" t="s">
        <v>1348</v>
      </c>
      <c r="D10831" s="26">
        <v>0.58320000000000005</v>
      </c>
      <c r="E10831" s="26">
        <v>0.2175</v>
      </c>
      <c r="F10831" s="26">
        <v>0.13070000000000001</v>
      </c>
      <c r="G10831" s="26">
        <v>6.8699999999999997E-2</v>
      </c>
      <c r="H10831">
        <v>156</v>
      </c>
    </row>
    <row r="10832" spans="1:8" x14ac:dyDescent="0.35">
      <c r="A10832" t="s">
        <v>228</v>
      </c>
      <c r="B10832" t="s">
        <v>1343</v>
      </c>
      <c r="C10832" t="s">
        <v>1347</v>
      </c>
      <c r="D10832" s="26">
        <v>0.46189999999999998</v>
      </c>
      <c r="E10832" s="26">
        <v>0.33250000000000002</v>
      </c>
      <c r="F10832" s="26">
        <v>0.2056</v>
      </c>
      <c r="H10832">
        <v>49</v>
      </c>
    </row>
    <row r="10833" spans="1:8" x14ac:dyDescent="0.35">
      <c r="A10833" s="27" t="s">
        <v>228</v>
      </c>
      <c r="B10833" s="27" t="s">
        <v>1343</v>
      </c>
      <c r="C10833" s="27" t="s">
        <v>1345</v>
      </c>
      <c r="D10833" s="29"/>
      <c r="E10833" s="29"/>
      <c r="F10833" s="28">
        <v>1</v>
      </c>
      <c r="G10833" s="29"/>
      <c r="H10833" s="29" t="s">
        <v>331</v>
      </c>
    </row>
    <row r="10834" spans="1:8" x14ac:dyDescent="0.35">
      <c r="A10834" s="27" t="s">
        <v>228</v>
      </c>
      <c r="B10834" s="27" t="s">
        <v>1341</v>
      </c>
      <c r="C10834" s="27" t="s">
        <v>1346</v>
      </c>
      <c r="D10834" s="28">
        <v>0.43049999999999999</v>
      </c>
      <c r="E10834" s="28">
        <v>0.23699999999999999</v>
      </c>
      <c r="F10834" s="28">
        <v>0.33239999999999997</v>
      </c>
      <c r="G10834" s="29"/>
      <c r="H10834" s="29" t="s">
        <v>350</v>
      </c>
    </row>
    <row r="10835" spans="1:8" x14ac:dyDescent="0.35">
      <c r="A10835" t="s">
        <v>228</v>
      </c>
      <c r="B10835" t="s">
        <v>1341</v>
      </c>
      <c r="C10835" t="s">
        <v>1348</v>
      </c>
      <c r="D10835" s="26">
        <v>0.4698</v>
      </c>
      <c r="E10835" s="26">
        <v>0.30819999999999997</v>
      </c>
      <c r="F10835" s="26">
        <v>9.9699999999999997E-2</v>
      </c>
      <c r="G10835" s="26">
        <v>0.12230000000000001</v>
      </c>
      <c r="H10835">
        <v>76</v>
      </c>
    </row>
    <row r="10836" spans="1:8" x14ac:dyDescent="0.35">
      <c r="A10836" s="27" t="s">
        <v>228</v>
      </c>
      <c r="B10836" s="27" t="s">
        <v>1342</v>
      </c>
      <c r="C10836" s="27" t="s">
        <v>1348</v>
      </c>
      <c r="D10836" s="28">
        <v>1</v>
      </c>
      <c r="E10836" s="29"/>
      <c r="F10836" s="29"/>
      <c r="G10836" s="29"/>
      <c r="H10836" s="29" t="s">
        <v>331</v>
      </c>
    </row>
    <row r="10837" spans="1:8" x14ac:dyDescent="0.35">
      <c r="A10837" t="s">
        <v>228</v>
      </c>
      <c r="B10837" t="s">
        <v>1343</v>
      </c>
      <c r="C10837" t="s">
        <v>1346</v>
      </c>
      <c r="D10837" s="26">
        <v>0.70789999999999997</v>
      </c>
      <c r="E10837" s="26">
        <v>0.2094</v>
      </c>
      <c r="F10837" s="26">
        <v>5.2999999999999999E-2</v>
      </c>
      <c r="G10837" s="26">
        <v>2.9700000000000001E-2</v>
      </c>
      <c r="H10837">
        <v>111</v>
      </c>
    </row>
    <row r="10838" spans="1:8" x14ac:dyDescent="0.35">
      <c r="A10838" s="27" t="s">
        <v>228</v>
      </c>
      <c r="B10838" s="27" t="s">
        <v>1341</v>
      </c>
      <c r="C10838" s="27" t="s">
        <v>1347</v>
      </c>
      <c r="D10838" s="28">
        <v>0.45810000000000001</v>
      </c>
      <c r="E10838" s="28">
        <v>0.4289</v>
      </c>
      <c r="F10838" s="28">
        <v>0.113</v>
      </c>
      <c r="G10838" s="29"/>
      <c r="H10838" s="29" t="s">
        <v>351</v>
      </c>
    </row>
    <row r="10839" spans="1:8" x14ac:dyDescent="0.35">
      <c r="A10839" t="s">
        <v>229</v>
      </c>
      <c r="B10839" t="s">
        <v>1343</v>
      </c>
      <c r="C10839" t="s">
        <v>1346</v>
      </c>
      <c r="D10839" s="26">
        <v>0.44569999999999999</v>
      </c>
      <c r="E10839" s="26">
        <v>0.2329</v>
      </c>
      <c r="F10839" s="26">
        <v>0.32140000000000002</v>
      </c>
      <c r="H10839">
        <v>36</v>
      </c>
    </row>
    <row r="10840" spans="1:8" x14ac:dyDescent="0.35">
      <c r="A10840" s="27" t="s">
        <v>229</v>
      </c>
      <c r="B10840" s="27" t="s">
        <v>1341</v>
      </c>
      <c r="C10840" s="27" t="s">
        <v>1345</v>
      </c>
      <c r="D10840" s="29"/>
      <c r="E10840" s="28">
        <v>1</v>
      </c>
      <c r="F10840" s="29"/>
      <c r="G10840" s="29"/>
      <c r="H10840" s="29" t="s">
        <v>331</v>
      </c>
    </row>
    <row r="10841" spans="1:8" x14ac:dyDescent="0.35">
      <c r="A10841" t="s">
        <v>229</v>
      </c>
      <c r="B10841" t="s">
        <v>1343</v>
      </c>
      <c r="C10841" t="s">
        <v>1348</v>
      </c>
      <c r="D10841" s="26">
        <v>0.46750000000000003</v>
      </c>
      <c r="E10841" s="26">
        <v>0.28860000000000002</v>
      </c>
      <c r="F10841" s="26">
        <v>0.1007</v>
      </c>
      <c r="G10841" s="26">
        <v>0.1431</v>
      </c>
      <c r="H10841">
        <v>72</v>
      </c>
    </row>
    <row r="10842" spans="1:8" x14ac:dyDescent="0.35">
      <c r="A10842" t="s">
        <v>229</v>
      </c>
      <c r="B10842" t="s">
        <v>1343</v>
      </c>
      <c r="C10842" t="s">
        <v>1347</v>
      </c>
      <c r="D10842" s="26">
        <v>0.44400000000000001</v>
      </c>
      <c r="E10842" s="26">
        <v>0.28849999999999998</v>
      </c>
      <c r="F10842" s="26">
        <v>0.25750000000000001</v>
      </c>
      <c r="G10842" s="26">
        <v>0.01</v>
      </c>
      <c r="H10842">
        <v>48</v>
      </c>
    </row>
    <row r="10843" spans="1:8" x14ac:dyDescent="0.35">
      <c r="A10843" s="27" t="s">
        <v>229</v>
      </c>
      <c r="B10843" s="27" t="s">
        <v>1341</v>
      </c>
      <c r="C10843" s="27" t="s">
        <v>1348</v>
      </c>
      <c r="D10843" s="28">
        <v>0.65459999999999996</v>
      </c>
      <c r="E10843" s="28">
        <v>0.25490000000000002</v>
      </c>
      <c r="F10843" s="28">
        <v>1.0999999999999999E-2</v>
      </c>
      <c r="G10843" s="28">
        <v>7.9500000000000001E-2</v>
      </c>
      <c r="H10843" s="29" t="s">
        <v>310</v>
      </c>
    </row>
    <row r="10844" spans="1:8" x14ac:dyDescent="0.35">
      <c r="A10844" s="27" t="s">
        <v>229</v>
      </c>
      <c r="B10844" s="27" t="s">
        <v>1343</v>
      </c>
      <c r="C10844" s="27" t="s">
        <v>1345</v>
      </c>
      <c r="D10844" s="28">
        <v>0.43690000000000001</v>
      </c>
      <c r="E10844" s="29"/>
      <c r="F10844" s="28">
        <v>0.56310000000000004</v>
      </c>
      <c r="G10844" s="29"/>
      <c r="H10844" s="29" t="s">
        <v>315</v>
      </c>
    </row>
    <row r="10845" spans="1:8" x14ac:dyDescent="0.35">
      <c r="A10845" s="27" t="s">
        <v>229</v>
      </c>
      <c r="B10845" s="27" t="s">
        <v>1341</v>
      </c>
      <c r="C10845" s="27" t="s">
        <v>1346</v>
      </c>
      <c r="D10845" s="28">
        <v>0.90239999999999998</v>
      </c>
      <c r="E10845" s="28">
        <v>3.8800000000000001E-2</v>
      </c>
      <c r="F10845" s="28">
        <v>3.8800000000000001E-2</v>
      </c>
      <c r="G10845" s="28">
        <v>1.9900000000000001E-2</v>
      </c>
      <c r="H10845" s="29" t="s">
        <v>341</v>
      </c>
    </row>
    <row r="10846" spans="1:8" x14ac:dyDescent="0.35">
      <c r="A10846" s="27" t="s">
        <v>229</v>
      </c>
      <c r="B10846" s="27" t="s">
        <v>1341</v>
      </c>
      <c r="C10846" s="27" t="s">
        <v>1347</v>
      </c>
      <c r="D10846" s="28">
        <v>0.44440000000000002</v>
      </c>
      <c r="E10846" s="28">
        <v>0.23180000000000001</v>
      </c>
      <c r="F10846" s="28">
        <v>0.1414</v>
      </c>
      <c r="G10846" s="28">
        <v>0.18229999999999999</v>
      </c>
      <c r="H10846" s="29" t="s">
        <v>328</v>
      </c>
    </row>
    <row r="10847" spans="1:8" x14ac:dyDescent="0.35">
      <c r="A10847" s="27" t="s">
        <v>230</v>
      </c>
      <c r="B10847" s="27" t="s">
        <v>1343</v>
      </c>
      <c r="C10847" s="27" t="s">
        <v>1345</v>
      </c>
      <c r="D10847" s="29"/>
      <c r="E10847" s="29"/>
      <c r="F10847" s="29"/>
      <c r="G10847" s="28">
        <v>1</v>
      </c>
      <c r="H10847" s="29" t="s">
        <v>331</v>
      </c>
    </row>
    <row r="10848" spans="1:8" x14ac:dyDescent="0.35">
      <c r="A10848" t="s">
        <v>230</v>
      </c>
      <c r="B10848" t="s">
        <v>1343</v>
      </c>
      <c r="C10848" t="s">
        <v>1347</v>
      </c>
      <c r="D10848" s="26">
        <v>0.44619999999999999</v>
      </c>
      <c r="E10848" s="26">
        <v>0.40510000000000002</v>
      </c>
      <c r="F10848" s="26">
        <v>8.7800000000000003E-2</v>
      </c>
      <c r="G10848" s="26">
        <v>6.08E-2</v>
      </c>
      <c r="H10848">
        <v>33</v>
      </c>
    </row>
    <row r="10849" spans="1:8" x14ac:dyDescent="0.35">
      <c r="A10849" t="s">
        <v>230</v>
      </c>
      <c r="B10849" t="s">
        <v>1343</v>
      </c>
      <c r="C10849" t="s">
        <v>1346</v>
      </c>
      <c r="D10849" s="26">
        <v>0.42</v>
      </c>
      <c r="E10849" s="26">
        <v>0.10539999999999999</v>
      </c>
      <c r="F10849" s="26">
        <v>0.106</v>
      </c>
      <c r="G10849" s="26">
        <v>0.36859999999999998</v>
      </c>
      <c r="H10849">
        <v>48</v>
      </c>
    </row>
    <row r="10850" spans="1:8" x14ac:dyDescent="0.35">
      <c r="A10850" s="27" t="s">
        <v>230</v>
      </c>
      <c r="B10850" s="27" t="s">
        <v>1341</v>
      </c>
      <c r="C10850" s="27" t="s">
        <v>1345</v>
      </c>
      <c r="D10850" s="29"/>
      <c r="E10850" s="28">
        <v>1</v>
      </c>
      <c r="F10850" s="29"/>
      <c r="G10850" s="29"/>
      <c r="H10850" s="29" t="s">
        <v>331</v>
      </c>
    </row>
    <row r="10851" spans="1:8" x14ac:dyDescent="0.35">
      <c r="A10851" t="s">
        <v>230</v>
      </c>
      <c r="B10851" t="s">
        <v>1343</v>
      </c>
      <c r="C10851" t="s">
        <v>1348</v>
      </c>
      <c r="D10851" s="26">
        <v>0.42209999999999998</v>
      </c>
      <c r="E10851" s="26">
        <v>0.28870000000000001</v>
      </c>
      <c r="F10851" s="26">
        <v>0.16389999999999999</v>
      </c>
      <c r="G10851" s="26">
        <v>0.12540000000000001</v>
      </c>
      <c r="H10851">
        <v>67</v>
      </c>
    </row>
    <row r="10852" spans="1:8" x14ac:dyDescent="0.35">
      <c r="A10852" s="27" t="s">
        <v>230</v>
      </c>
      <c r="B10852" s="27" t="s">
        <v>1341</v>
      </c>
      <c r="C10852" s="27" t="s">
        <v>1346</v>
      </c>
      <c r="D10852" s="28">
        <v>0.60960000000000003</v>
      </c>
      <c r="E10852" s="28">
        <v>0.26479999999999998</v>
      </c>
      <c r="F10852" s="28">
        <v>8.4099999999999994E-2</v>
      </c>
      <c r="G10852" s="28">
        <v>4.1500000000000002E-2</v>
      </c>
      <c r="H10852" s="29" t="s">
        <v>341</v>
      </c>
    </row>
    <row r="10853" spans="1:8" x14ac:dyDescent="0.35">
      <c r="A10853" s="27" t="s">
        <v>230</v>
      </c>
      <c r="B10853" s="27" t="s">
        <v>1341</v>
      </c>
      <c r="C10853" s="27" t="s">
        <v>1347</v>
      </c>
      <c r="D10853" s="28">
        <v>8.1100000000000005E-2</v>
      </c>
      <c r="E10853" s="28">
        <v>0.72619999999999996</v>
      </c>
      <c r="F10853" s="28">
        <v>0.1724</v>
      </c>
      <c r="G10853" s="28">
        <v>2.0299999999999999E-2</v>
      </c>
      <c r="H10853" s="29" t="s">
        <v>343</v>
      </c>
    </row>
    <row r="10854" spans="1:8" x14ac:dyDescent="0.35">
      <c r="A10854" s="27" t="s">
        <v>230</v>
      </c>
      <c r="B10854" s="27" t="s">
        <v>1341</v>
      </c>
      <c r="C10854" s="27" t="s">
        <v>1348</v>
      </c>
      <c r="D10854" s="28">
        <v>0.52359999999999995</v>
      </c>
      <c r="E10854" s="28">
        <v>0.33189999999999997</v>
      </c>
      <c r="F10854" s="28">
        <v>0.14460000000000001</v>
      </c>
      <c r="G10854" s="29"/>
      <c r="H10854" s="29" t="s">
        <v>336</v>
      </c>
    </row>
    <row r="10855" spans="1:8" x14ac:dyDescent="0.35">
      <c r="A10855" t="s">
        <v>232</v>
      </c>
      <c r="B10855" t="s">
        <v>232</v>
      </c>
      <c r="C10855" t="s">
        <v>232</v>
      </c>
      <c r="D10855" s="26">
        <v>0.51800000000000002</v>
      </c>
      <c r="E10855" s="26">
        <v>0.26350000000000001</v>
      </c>
      <c r="F10855" s="26">
        <v>0.14080000000000001</v>
      </c>
      <c r="G10855" s="26">
        <v>7.7700000000000005E-2</v>
      </c>
      <c r="H10855">
        <v>864</v>
      </c>
    </row>
    <row r="10857" spans="1:8" x14ac:dyDescent="0.35">
      <c r="A10857" s="1" t="s">
        <v>1369</v>
      </c>
    </row>
    <row r="10858" spans="1:8" x14ac:dyDescent="0.35">
      <c r="A10858" t="s">
        <v>219</v>
      </c>
      <c r="B10858" t="s">
        <v>303</v>
      </c>
      <c r="C10858" t="s">
        <v>302</v>
      </c>
      <c r="D10858" t="s">
        <v>281</v>
      </c>
      <c r="E10858" t="s">
        <v>286</v>
      </c>
      <c r="F10858" t="s">
        <v>226</v>
      </c>
    </row>
    <row r="10859" spans="1:8" x14ac:dyDescent="0.35">
      <c r="A10859" t="s">
        <v>227</v>
      </c>
      <c r="B10859" s="26">
        <v>0.45300000000000001</v>
      </c>
      <c r="C10859" s="26">
        <v>0.54700000000000004</v>
      </c>
      <c r="F10859">
        <v>117</v>
      </c>
    </row>
    <row r="10860" spans="1:8" x14ac:dyDescent="0.35">
      <c r="A10860" t="s">
        <v>228</v>
      </c>
      <c r="B10860" s="26">
        <v>0.77829999999999999</v>
      </c>
      <c r="C10860" s="26">
        <v>0.216</v>
      </c>
      <c r="D10860" s="26">
        <v>5.0000000000000001E-3</v>
      </c>
      <c r="E10860" s="26">
        <v>8.0000000000000004E-4</v>
      </c>
      <c r="F10860">
        <v>1033</v>
      </c>
    </row>
    <row r="10861" spans="1:8" x14ac:dyDescent="0.35">
      <c r="A10861" t="s">
        <v>229</v>
      </c>
      <c r="B10861" s="26">
        <v>0.77010000000000001</v>
      </c>
      <c r="C10861" s="26">
        <v>0.22509999999999999</v>
      </c>
      <c r="D10861" s="26">
        <v>3.8999999999999998E-3</v>
      </c>
      <c r="E10861" s="26">
        <v>8.0000000000000004E-4</v>
      </c>
      <c r="F10861">
        <v>895</v>
      </c>
    </row>
    <row r="10862" spans="1:8" x14ac:dyDescent="0.35">
      <c r="A10862" t="s">
        <v>230</v>
      </c>
      <c r="B10862" s="26">
        <v>0.74790000000000001</v>
      </c>
      <c r="C10862" s="26">
        <v>0.25030000000000002</v>
      </c>
      <c r="D10862" s="26">
        <v>1.8E-3</v>
      </c>
      <c r="F10862">
        <v>560</v>
      </c>
    </row>
    <row r="10863" spans="1:8" x14ac:dyDescent="0.35">
      <c r="A10863" t="s">
        <v>231</v>
      </c>
      <c r="B10863" s="26">
        <v>0.2923</v>
      </c>
      <c r="C10863" s="26">
        <v>0.7</v>
      </c>
      <c r="D10863" s="26">
        <v>7.7000000000000002E-3</v>
      </c>
      <c r="F10863">
        <v>130</v>
      </c>
    </row>
    <row r="10864" spans="1:8" x14ac:dyDescent="0.35">
      <c r="A10864" t="s">
        <v>232</v>
      </c>
      <c r="B10864" s="26">
        <v>0.61570000000000003</v>
      </c>
      <c r="C10864" s="26">
        <v>0.3795</v>
      </c>
      <c r="D10864" s="26">
        <v>4.4000000000000003E-3</v>
      </c>
      <c r="E10864" s="26">
        <v>4.0000000000000002E-4</v>
      </c>
      <c r="F10864">
        <v>2735</v>
      </c>
    </row>
    <row r="10866" spans="1:7" x14ac:dyDescent="0.35">
      <c r="A10866" s="1" t="s">
        <v>1370</v>
      </c>
    </row>
    <row r="10867" spans="1:7" x14ac:dyDescent="0.35">
      <c r="A10867" t="s">
        <v>219</v>
      </c>
      <c r="B10867" t="s">
        <v>305</v>
      </c>
      <c r="C10867" t="s">
        <v>303</v>
      </c>
      <c r="D10867" t="s">
        <v>302</v>
      </c>
      <c r="E10867" t="s">
        <v>281</v>
      </c>
      <c r="F10867" t="s">
        <v>286</v>
      </c>
      <c r="G10867" t="s">
        <v>226</v>
      </c>
    </row>
    <row r="10868" spans="1:7" x14ac:dyDescent="0.35">
      <c r="A10868" t="s">
        <v>227</v>
      </c>
      <c r="B10868" t="s">
        <v>242</v>
      </c>
      <c r="C10868" s="26">
        <v>0.43140000000000001</v>
      </c>
      <c r="D10868" s="26">
        <v>0.56859999999999999</v>
      </c>
      <c r="G10868">
        <v>51</v>
      </c>
    </row>
    <row r="10869" spans="1:7" x14ac:dyDescent="0.35">
      <c r="A10869" t="s">
        <v>227</v>
      </c>
      <c r="B10869" t="s">
        <v>241</v>
      </c>
      <c r="C10869" s="26">
        <v>0.46970000000000001</v>
      </c>
      <c r="D10869" s="26">
        <v>0.53029999999999999</v>
      </c>
      <c r="G10869">
        <v>66</v>
      </c>
    </row>
    <row r="10870" spans="1:7" x14ac:dyDescent="0.35">
      <c r="A10870" t="s">
        <v>228</v>
      </c>
      <c r="B10870" t="s">
        <v>242</v>
      </c>
      <c r="C10870" s="26">
        <v>0.77669999999999995</v>
      </c>
      <c r="D10870" s="26">
        <v>0.21529999999999999</v>
      </c>
      <c r="E10870" s="26">
        <v>7.0000000000000001E-3</v>
      </c>
      <c r="F10870" s="26">
        <v>1E-3</v>
      </c>
      <c r="G10870">
        <v>402</v>
      </c>
    </row>
    <row r="10871" spans="1:7" x14ac:dyDescent="0.35">
      <c r="A10871" t="s">
        <v>228</v>
      </c>
      <c r="B10871" t="s">
        <v>241</v>
      </c>
      <c r="C10871" s="26">
        <v>0.7792</v>
      </c>
      <c r="D10871" s="26">
        <v>0.21629999999999999</v>
      </c>
      <c r="E10871" s="26">
        <v>3.8E-3</v>
      </c>
      <c r="F10871" s="26">
        <v>5.9999999999999995E-4</v>
      </c>
      <c r="G10871">
        <v>631</v>
      </c>
    </row>
    <row r="10872" spans="1:7" x14ac:dyDescent="0.35">
      <c r="A10872" t="s">
        <v>229</v>
      </c>
      <c r="B10872" t="s">
        <v>242</v>
      </c>
      <c r="C10872" s="26">
        <v>0.73150000000000004</v>
      </c>
      <c r="D10872" s="26">
        <v>0.25869999999999999</v>
      </c>
      <c r="E10872" s="26">
        <v>9.7999999999999997E-3</v>
      </c>
      <c r="G10872">
        <v>292</v>
      </c>
    </row>
    <row r="10873" spans="1:7" x14ac:dyDescent="0.35">
      <c r="A10873" t="s">
        <v>229</v>
      </c>
      <c r="B10873" t="s">
        <v>241</v>
      </c>
      <c r="C10873" s="26">
        <v>0.79479999999999995</v>
      </c>
      <c r="D10873" s="26">
        <v>0.2036</v>
      </c>
      <c r="E10873" s="26">
        <v>2.0000000000000001E-4</v>
      </c>
      <c r="F10873" s="26">
        <v>1.4E-3</v>
      </c>
      <c r="G10873">
        <v>603</v>
      </c>
    </row>
    <row r="10874" spans="1:7" x14ac:dyDescent="0.35">
      <c r="A10874" t="s">
        <v>230</v>
      </c>
      <c r="B10874" t="s">
        <v>242</v>
      </c>
      <c r="C10874" s="26">
        <v>0.69589999999999996</v>
      </c>
      <c r="D10874" s="26">
        <v>0.30149999999999999</v>
      </c>
      <c r="E10874" s="26">
        <v>2.5999999999999999E-3</v>
      </c>
      <c r="G10874">
        <v>189</v>
      </c>
    </row>
    <row r="10875" spans="1:7" x14ac:dyDescent="0.35">
      <c r="A10875" t="s">
        <v>230</v>
      </c>
      <c r="B10875" t="s">
        <v>241</v>
      </c>
      <c r="C10875" s="26">
        <v>0.77449999999999997</v>
      </c>
      <c r="D10875" s="26">
        <v>0.22420000000000001</v>
      </c>
      <c r="E10875" s="26">
        <v>1.2999999999999999E-3</v>
      </c>
      <c r="G10875">
        <v>371</v>
      </c>
    </row>
    <row r="10876" spans="1:7" x14ac:dyDescent="0.35">
      <c r="A10876" t="s">
        <v>231</v>
      </c>
      <c r="B10876" t="s">
        <v>242</v>
      </c>
      <c r="C10876" s="26">
        <v>0.2326</v>
      </c>
      <c r="D10876" s="26">
        <v>0.76739999999999997</v>
      </c>
      <c r="G10876">
        <v>43</v>
      </c>
    </row>
    <row r="10877" spans="1:7" x14ac:dyDescent="0.35">
      <c r="A10877" t="s">
        <v>231</v>
      </c>
      <c r="B10877" t="s">
        <v>241</v>
      </c>
      <c r="C10877" s="26">
        <v>0.32179999999999997</v>
      </c>
      <c r="D10877" s="26">
        <v>0.66669999999999996</v>
      </c>
      <c r="E10877" s="26">
        <v>1.15E-2</v>
      </c>
      <c r="G10877">
        <v>87</v>
      </c>
    </row>
    <row r="10878" spans="1:7" x14ac:dyDescent="0.35">
      <c r="A10878" t="s">
        <v>232</v>
      </c>
      <c r="B10878" t="s">
        <v>232</v>
      </c>
      <c r="C10878" s="26">
        <v>0.61570000000000003</v>
      </c>
      <c r="D10878" s="26">
        <v>0.3795</v>
      </c>
      <c r="E10878" s="26">
        <v>4.4000000000000003E-3</v>
      </c>
      <c r="F10878" s="26">
        <v>4.0000000000000002E-4</v>
      </c>
      <c r="G10878">
        <v>2735</v>
      </c>
    </row>
    <row r="10880" spans="1:7" x14ac:dyDescent="0.35">
      <c r="A10880" s="1" t="s">
        <v>1371</v>
      </c>
    </row>
    <row r="10881" spans="1:7" x14ac:dyDescent="0.35">
      <c r="A10881" t="s">
        <v>219</v>
      </c>
      <c r="B10881" t="s">
        <v>305</v>
      </c>
      <c r="C10881" t="s">
        <v>303</v>
      </c>
      <c r="D10881" t="s">
        <v>302</v>
      </c>
      <c r="E10881" t="s">
        <v>281</v>
      </c>
      <c r="F10881" t="s">
        <v>286</v>
      </c>
      <c r="G10881" t="s">
        <v>226</v>
      </c>
    </row>
    <row r="10882" spans="1:7" x14ac:dyDescent="0.35">
      <c r="A10882" t="s">
        <v>227</v>
      </c>
      <c r="B10882" t="s">
        <v>239</v>
      </c>
      <c r="C10882" s="26">
        <v>0.28000000000000003</v>
      </c>
      <c r="D10882" s="26">
        <v>0.72</v>
      </c>
      <c r="G10882">
        <v>50</v>
      </c>
    </row>
    <row r="10883" spans="1:7" x14ac:dyDescent="0.35">
      <c r="A10883" t="s">
        <v>227</v>
      </c>
      <c r="B10883" t="s">
        <v>238</v>
      </c>
      <c r="C10883" s="26">
        <v>0.58209999999999995</v>
      </c>
      <c r="D10883" s="26">
        <v>0.41789999999999999</v>
      </c>
      <c r="G10883">
        <v>67</v>
      </c>
    </row>
    <row r="10884" spans="1:7" x14ac:dyDescent="0.35">
      <c r="A10884" t="s">
        <v>228</v>
      </c>
      <c r="B10884" t="s">
        <v>239</v>
      </c>
      <c r="C10884" s="26">
        <v>0.69479999999999997</v>
      </c>
      <c r="D10884" s="26">
        <v>0.2974</v>
      </c>
      <c r="E10884" s="26">
        <v>6.1000000000000004E-3</v>
      </c>
      <c r="F10884" s="26">
        <v>1.6999999999999999E-3</v>
      </c>
      <c r="G10884">
        <v>330</v>
      </c>
    </row>
    <row r="10885" spans="1:7" x14ac:dyDescent="0.35">
      <c r="A10885" t="s">
        <v>228</v>
      </c>
      <c r="B10885" t="s">
        <v>238</v>
      </c>
      <c r="C10885" s="26">
        <v>0.8</v>
      </c>
      <c r="D10885" s="26">
        <v>0.1948</v>
      </c>
      <c r="E10885" s="26">
        <v>4.7000000000000002E-3</v>
      </c>
      <c r="F10885" s="26">
        <v>5.0000000000000001E-4</v>
      </c>
      <c r="G10885">
        <v>703</v>
      </c>
    </row>
    <row r="10886" spans="1:7" x14ac:dyDescent="0.35">
      <c r="A10886" t="s">
        <v>229</v>
      </c>
      <c r="B10886" t="s">
        <v>239</v>
      </c>
      <c r="C10886" s="26">
        <v>0.64410000000000001</v>
      </c>
      <c r="D10886" s="26">
        <v>0.35560000000000003</v>
      </c>
      <c r="E10886" s="26">
        <v>4.0000000000000002E-4</v>
      </c>
      <c r="G10886">
        <v>332</v>
      </c>
    </row>
    <row r="10887" spans="1:7" x14ac:dyDescent="0.35">
      <c r="A10887" t="s">
        <v>229</v>
      </c>
      <c r="B10887" t="s">
        <v>238</v>
      </c>
      <c r="C10887" s="26">
        <v>0.81320000000000003</v>
      </c>
      <c r="D10887" s="26">
        <v>0.18060000000000001</v>
      </c>
      <c r="E10887" s="26">
        <v>5.1000000000000004E-3</v>
      </c>
      <c r="F10887" s="26">
        <v>1.1000000000000001E-3</v>
      </c>
      <c r="G10887">
        <v>563</v>
      </c>
    </row>
    <row r="10888" spans="1:7" x14ac:dyDescent="0.35">
      <c r="A10888" t="s">
        <v>230</v>
      </c>
      <c r="B10888" t="s">
        <v>239</v>
      </c>
      <c r="C10888" s="26">
        <v>0.67459999999999998</v>
      </c>
      <c r="D10888" s="26">
        <v>0.32250000000000001</v>
      </c>
      <c r="E10888" s="26">
        <v>2.8999999999999998E-3</v>
      </c>
      <c r="G10888">
        <v>211</v>
      </c>
    </row>
    <row r="10889" spans="1:7" x14ac:dyDescent="0.35">
      <c r="A10889" t="s">
        <v>230</v>
      </c>
      <c r="B10889" t="s">
        <v>238</v>
      </c>
      <c r="C10889" s="26">
        <v>0.77949999999999997</v>
      </c>
      <c r="D10889" s="26">
        <v>0.21920000000000001</v>
      </c>
      <c r="E10889" s="26">
        <v>1.2999999999999999E-3</v>
      </c>
      <c r="G10889">
        <v>349</v>
      </c>
    </row>
    <row r="10890" spans="1:7" x14ac:dyDescent="0.35">
      <c r="A10890" t="s">
        <v>231</v>
      </c>
      <c r="B10890" t="s">
        <v>239</v>
      </c>
      <c r="C10890" s="26">
        <v>0.14580000000000001</v>
      </c>
      <c r="D10890" s="26">
        <v>0.85419999999999996</v>
      </c>
      <c r="G10890">
        <v>48</v>
      </c>
    </row>
    <row r="10891" spans="1:7" x14ac:dyDescent="0.35">
      <c r="A10891" t="s">
        <v>231</v>
      </c>
      <c r="B10891" t="s">
        <v>238</v>
      </c>
      <c r="C10891" s="26">
        <v>0.378</v>
      </c>
      <c r="D10891" s="26">
        <v>0.60980000000000001</v>
      </c>
      <c r="E10891" s="26">
        <v>1.2200000000000001E-2</v>
      </c>
      <c r="G10891">
        <v>82</v>
      </c>
    </row>
    <row r="10892" spans="1:7" x14ac:dyDescent="0.35">
      <c r="A10892" t="s">
        <v>232</v>
      </c>
      <c r="B10892" t="s">
        <v>232</v>
      </c>
      <c r="C10892" s="26">
        <v>0.61570000000000003</v>
      </c>
      <c r="D10892" s="26">
        <v>0.3795</v>
      </c>
      <c r="E10892" s="26">
        <v>4.4000000000000003E-3</v>
      </c>
      <c r="F10892" s="26">
        <v>4.0000000000000002E-4</v>
      </c>
      <c r="G10892">
        <v>2735</v>
      </c>
    </row>
    <row r="10894" spans="1:7" x14ac:dyDescent="0.35">
      <c r="A10894" s="1" t="s">
        <v>1372</v>
      </c>
    </row>
    <row r="10895" spans="1:7" x14ac:dyDescent="0.35">
      <c r="A10895" t="s">
        <v>219</v>
      </c>
      <c r="B10895" t="s">
        <v>305</v>
      </c>
      <c r="C10895" t="s">
        <v>303</v>
      </c>
      <c r="D10895" t="s">
        <v>302</v>
      </c>
      <c r="E10895" t="s">
        <v>281</v>
      </c>
      <c r="F10895" t="s">
        <v>286</v>
      </c>
      <c r="G10895" t="s">
        <v>226</v>
      </c>
    </row>
    <row r="10896" spans="1:7" x14ac:dyDescent="0.35">
      <c r="A10896" t="s">
        <v>227</v>
      </c>
      <c r="B10896" t="s">
        <v>244</v>
      </c>
      <c r="C10896" s="26">
        <v>0.50749999999999995</v>
      </c>
      <c r="D10896" s="26">
        <v>0.49249999999999999</v>
      </c>
      <c r="G10896">
        <v>67</v>
      </c>
    </row>
    <row r="10897" spans="1:7" x14ac:dyDescent="0.35">
      <c r="A10897" t="s">
        <v>227</v>
      </c>
      <c r="B10897" t="s">
        <v>245</v>
      </c>
      <c r="C10897" s="26">
        <v>0.439</v>
      </c>
      <c r="D10897" s="26">
        <v>0.56100000000000005</v>
      </c>
      <c r="G10897">
        <v>41</v>
      </c>
    </row>
    <row r="10898" spans="1:7" x14ac:dyDescent="0.35">
      <c r="A10898" s="27" t="s">
        <v>227</v>
      </c>
      <c r="B10898" s="27" t="s">
        <v>246</v>
      </c>
      <c r="C10898" s="28">
        <v>0.1111</v>
      </c>
      <c r="D10898" s="28">
        <v>0.88890000000000002</v>
      </c>
      <c r="E10898" s="29"/>
      <c r="F10898" s="29"/>
      <c r="G10898" s="29" t="s">
        <v>334</v>
      </c>
    </row>
    <row r="10899" spans="1:7" x14ac:dyDescent="0.35">
      <c r="A10899" t="s">
        <v>228</v>
      </c>
      <c r="B10899" t="s">
        <v>244</v>
      </c>
      <c r="C10899" s="26">
        <v>0.75339999999999996</v>
      </c>
      <c r="D10899" s="26">
        <v>0.24010000000000001</v>
      </c>
      <c r="E10899" s="26">
        <v>5.3E-3</v>
      </c>
      <c r="F10899" s="26">
        <v>1.1999999999999999E-3</v>
      </c>
      <c r="G10899">
        <v>638</v>
      </c>
    </row>
    <row r="10900" spans="1:7" x14ac:dyDescent="0.35">
      <c r="A10900" t="s">
        <v>228</v>
      </c>
      <c r="B10900" t="s">
        <v>245</v>
      </c>
      <c r="C10900" s="26">
        <v>0.83879999999999999</v>
      </c>
      <c r="D10900" s="26">
        <v>0.15570000000000001</v>
      </c>
      <c r="E10900" s="26">
        <v>5.4999999999999997E-3</v>
      </c>
      <c r="G10900">
        <v>328</v>
      </c>
    </row>
    <row r="10901" spans="1:7" x14ac:dyDescent="0.35">
      <c r="A10901" t="s">
        <v>228</v>
      </c>
      <c r="B10901" t="s">
        <v>246</v>
      </c>
      <c r="C10901" s="26">
        <v>0.76980000000000004</v>
      </c>
      <c r="D10901" s="26">
        <v>0.23019999999999999</v>
      </c>
      <c r="G10901">
        <v>67</v>
      </c>
    </row>
    <row r="10902" spans="1:7" x14ac:dyDescent="0.35">
      <c r="A10902" t="s">
        <v>229</v>
      </c>
      <c r="B10902" t="s">
        <v>244</v>
      </c>
      <c r="C10902" s="26">
        <v>0.80020000000000002</v>
      </c>
      <c r="D10902" s="26">
        <v>0.19719999999999999</v>
      </c>
      <c r="E10902" s="26">
        <v>1.6000000000000001E-3</v>
      </c>
      <c r="F10902" s="26">
        <v>8.9999999999999998E-4</v>
      </c>
      <c r="G10902">
        <v>557</v>
      </c>
    </row>
    <row r="10903" spans="1:7" x14ac:dyDescent="0.35">
      <c r="A10903" t="s">
        <v>229</v>
      </c>
      <c r="B10903" t="s">
        <v>245</v>
      </c>
      <c r="C10903" s="26">
        <v>0.73150000000000004</v>
      </c>
      <c r="D10903" s="26">
        <v>0.25659999999999999</v>
      </c>
      <c r="E10903" s="26">
        <v>1.12E-2</v>
      </c>
      <c r="F10903" s="26">
        <v>6.9999999999999999E-4</v>
      </c>
      <c r="G10903">
        <v>293</v>
      </c>
    </row>
    <row r="10904" spans="1:7" x14ac:dyDescent="0.35">
      <c r="A10904" t="s">
        <v>229</v>
      </c>
      <c r="B10904" t="s">
        <v>246</v>
      </c>
      <c r="C10904" s="26">
        <v>0.56169999999999998</v>
      </c>
      <c r="D10904" s="26">
        <v>0.43830000000000002</v>
      </c>
      <c r="G10904">
        <v>45</v>
      </c>
    </row>
    <row r="10905" spans="1:7" x14ac:dyDescent="0.35">
      <c r="A10905" t="s">
        <v>230</v>
      </c>
      <c r="B10905" t="s">
        <v>244</v>
      </c>
      <c r="C10905" s="26">
        <v>0.78810000000000002</v>
      </c>
      <c r="D10905" s="26">
        <v>0.21190000000000001</v>
      </c>
      <c r="G10905">
        <v>370</v>
      </c>
    </row>
    <row r="10906" spans="1:7" x14ac:dyDescent="0.35">
      <c r="A10906" t="s">
        <v>230</v>
      </c>
      <c r="B10906" t="s">
        <v>245</v>
      </c>
      <c r="C10906" s="26">
        <v>0.65459999999999996</v>
      </c>
      <c r="D10906" s="26">
        <v>0.33850000000000002</v>
      </c>
      <c r="E10906" s="26">
        <v>6.7999999999999996E-3</v>
      </c>
      <c r="G10906">
        <v>161</v>
      </c>
    </row>
    <row r="10907" spans="1:7" x14ac:dyDescent="0.35">
      <c r="A10907" s="27" t="s">
        <v>230</v>
      </c>
      <c r="B10907" s="27" t="s">
        <v>246</v>
      </c>
      <c r="C10907" s="28">
        <v>0.67459999999999998</v>
      </c>
      <c r="D10907" s="28">
        <v>0.32540000000000002</v>
      </c>
      <c r="E10907" s="29"/>
      <c r="F10907" s="29"/>
      <c r="G10907" s="29" t="s">
        <v>329</v>
      </c>
    </row>
    <row r="10908" spans="1:7" x14ac:dyDescent="0.35">
      <c r="A10908" t="s">
        <v>231</v>
      </c>
      <c r="B10908" t="s">
        <v>244</v>
      </c>
      <c r="C10908" s="26">
        <v>0.29730000000000001</v>
      </c>
      <c r="D10908" s="26">
        <v>0.68920000000000003</v>
      </c>
      <c r="E10908" s="26">
        <v>1.35E-2</v>
      </c>
      <c r="G10908">
        <v>74</v>
      </c>
    </row>
    <row r="10909" spans="1:7" x14ac:dyDescent="0.35">
      <c r="A10909" t="s">
        <v>231</v>
      </c>
      <c r="B10909" t="s">
        <v>245</v>
      </c>
      <c r="C10909" s="26">
        <v>0.30430000000000001</v>
      </c>
      <c r="D10909" s="26">
        <v>0.69569999999999999</v>
      </c>
      <c r="G10909">
        <v>46</v>
      </c>
    </row>
    <row r="10910" spans="1:7" x14ac:dyDescent="0.35">
      <c r="A10910" s="27" t="s">
        <v>231</v>
      </c>
      <c r="B10910" s="27" t="s">
        <v>246</v>
      </c>
      <c r="C10910" s="28">
        <v>0.2</v>
      </c>
      <c r="D10910" s="28">
        <v>0.8</v>
      </c>
      <c r="E10910" s="29"/>
      <c r="F10910" s="29"/>
      <c r="G10910" s="29" t="s">
        <v>307</v>
      </c>
    </row>
    <row r="10911" spans="1:7" x14ac:dyDescent="0.35">
      <c r="A10911" t="s">
        <v>232</v>
      </c>
      <c r="B10911" t="s">
        <v>232</v>
      </c>
      <c r="C10911" s="26">
        <v>0.61570000000000003</v>
      </c>
      <c r="D10911" s="26">
        <v>0.3795</v>
      </c>
      <c r="E10911" s="26">
        <v>4.4000000000000003E-3</v>
      </c>
      <c r="F10911" s="26">
        <v>4.0000000000000002E-4</v>
      </c>
      <c r="G10911">
        <v>2735</v>
      </c>
    </row>
    <row r="10913" spans="1:7" x14ac:dyDescent="0.35">
      <c r="A10913" s="1" t="s">
        <v>1373</v>
      </c>
    </row>
    <row r="10914" spans="1:7" x14ac:dyDescent="0.35">
      <c r="A10914" t="s">
        <v>219</v>
      </c>
      <c r="B10914" t="s">
        <v>305</v>
      </c>
      <c r="C10914" t="s">
        <v>303</v>
      </c>
      <c r="D10914" t="s">
        <v>302</v>
      </c>
      <c r="E10914" t="s">
        <v>281</v>
      </c>
      <c r="F10914" t="s">
        <v>286</v>
      </c>
      <c r="G10914" t="s">
        <v>226</v>
      </c>
    </row>
    <row r="10915" spans="1:7" x14ac:dyDescent="0.35">
      <c r="A10915" t="s">
        <v>227</v>
      </c>
      <c r="B10915" t="s">
        <v>360</v>
      </c>
      <c r="C10915" s="26">
        <v>0.4</v>
      </c>
      <c r="D10915" s="26">
        <v>0.6</v>
      </c>
      <c r="G10915">
        <v>30</v>
      </c>
    </row>
    <row r="10916" spans="1:7" x14ac:dyDescent="0.35">
      <c r="A10916" s="27" t="s">
        <v>227</v>
      </c>
      <c r="B10916" s="27" t="s">
        <v>361</v>
      </c>
      <c r="C10916" s="28">
        <v>0.5</v>
      </c>
      <c r="D10916" s="28">
        <v>0.5</v>
      </c>
      <c r="E10916" s="29"/>
      <c r="F10916" s="29"/>
      <c r="G10916" s="29" t="s">
        <v>347</v>
      </c>
    </row>
    <row r="10917" spans="1:7" x14ac:dyDescent="0.35">
      <c r="A10917" s="27" t="s">
        <v>227</v>
      </c>
      <c r="B10917" s="27" t="s">
        <v>362</v>
      </c>
      <c r="C10917" s="28">
        <v>0.3846</v>
      </c>
      <c r="D10917" s="28">
        <v>0.61539999999999995</v>
      </c>
      <c r="E10917" s="29"/>
      <c r="F10917" s="29"/>
      <c r="G10917" s="29" t="s">
        <v>357</v>
      </c>
    </row>
    <row r="10918" spans="1:7" x14ac:dyDescent="0.35">
      <c r="A10918" t="s">
        <v>227</v>
      </c>
      <c r="B10918" t="s">
        <v>363</v>
      </c>
      <c r="C10918" s="26">
        <v>0.48570000000000002</v>
      </c>
      <c r="D10918" s="26">
        <v>0.51429999999999998</v>
      </c>
      <c r="G10918">
        <v>35</v>
      </c>
    </row>
    <row r="10919" spans="1:7" x14ac:dyDescent="0.35">
      <c r="A10919" t="s">
        <v>228</v>
      </c>
      <c r="B10919" t="s">
        <v>360</v>
      </c>
      <c r="C10919" s="26">
        <v>0.8115</v>
      </c>
      <c r="D10919" s="26">
        <v>0.18429999999999999</v>
      </c>
      <c r="E10919" s="26">
        <v>4.1999999999999997E-3</v>
      </c>
      <c r="G10919">
        <v>258</v>
      </c>
    </row>
    <row r="10920" spans="1:7" x14ac:dyDescent="0.35">
      <c r="A10920" t="s">
        <v>228</v>
      </c>
      <c r="B10920" t="s">
        <v>361</v>
      </c>
      <c r="C10920" s="26">
        <v>0.82799999999999996</v>
      </c>
      <c r="D10920" s="26">
        <v>0.16969999999999999</v>
      </c>
      <c r="E10920" s="26">
        <v>2.3E-3</v>
      </c>
      <c r="G10920">
        <v>194</v>
      </c>
    </row>
    <row r="10921" spans="1:7" x14ac:dyDescent="0.35">
      <c r="A10921" t="s">
        <v>228</v>
      </c>
      <c r="B10921" t="s">
        <v>363</v>
      </c>
      <c r="C10921" s="26">
        <v>0.75690000000000002</v>
      </c>
      <c r="D10921" s="26">
        <v>0.2382</v>
      </c>
      <c r="E10921" s="26">
        <v>4.8999999999999998E-3</v>
      </c>
      <c r="G10921">
        <v>212</v>
      </c>
    </row>
    <row r="10922" spans="1:7" x14ac:dyDescent="0.35">
      <c r="A10922" t="s">
        <v>228</v>
      </c>
      <c r="B10922" t="s">
        <v>362</v>
      </c>
      <c r="C10922" s="26">
        <v>0.71730000000000005</v>
      </c>
      <c r="D10922" s="26">
        <v>0.28270000000000001</v>
      </c>
      <c r="G10922">
        <v>236</v>
      </c>
    </row>
    <row r="10923" spans="1:7" x14ac:dyDescent="0.35">
      <c r="A10923" t="s">
        <v>229</v>
      </c>
      <c r="B10923" t="s">
        <v>363</v>
      </c>
      <c r="C10923" s="26">
        <v>0.81799999999999995</v>
      </c>
      <c r="D10923" s="26">
        <v>0.182</v>
      </c>
      <c r="G10923">
        <v>191</v>
      </c>
    </row>
    <row r="10924" spans="1:7" x14ac:dyDescent="0.35">
      <c r="A10924" t="s">
        <v>229</v>
      </c>
      <c r="B10924" t="s">
        <v>360</v>
      </c>
      <c r="C10924" s="26">
        <v>0.61519999999999997</v>
      </c>
      <c r="D10924" s="26">
        <v>0.37990000000000002</v>
      </c>
      <c r="E10924" s="26">
        <v>2.7000000000000001E-3</v>
      </c>
      <c r="F10924" s="26">
        <v>2.0999999999999999E-3</v>
      </c>
      <c r="G10924">
        <v>164</v>
      </c>
    </row>
    <row r="10925" spans="1:7" x14ac:dyDescent="0.35">
      <c r="A10925" t="s">
        <v>229</v>
      </c>
      <c r="B10925" t="s">
        <v>361</v>
      </c>
      <c r="C10925" s="26">
        <v>0.82620000000000005</v>
      </c>
      <c r="D10925" s="26">
        <v>0.17330000000000001</v>
      </c>
      <c r="F10925" s="26">
        <v>4.0000000000000002E-4</v>
      </c>
      <c r="G10925">
        <v>243</v>
      </c>
    </row>
    <row r="10926" spans="1:7" x14ac:dyDescent="0.35">
      <c r="A10926" t="s">
        <v>229</v>
      </c>
      <c r="B10926" t="s">
        <v>362</v>
      </c>
      <c r="C10926" s="26">
        <v>0.69230000000000003</v>
      </c>
      <c r="D10926" s="26">
        <v>0.30570000000000003</v>
      </c>
      <c r="E10926" s="26">
        <v>2E-3</v>
      </c>
      <c r="G10926">
        <v>171</v>
      </c>
    </row>
    <row r="10927" spans="1:7" x14ac:dyDescent="0.35">
      <c r="A10927" t="s">
        <v>230</v>
      </c>
      <c r="B10927" t="s">
        <v>360</v>
      </c>
      <c r="C10927" s="26">
        <v>0.56259999999999999</v>
      </c>
      <c r="D10927" s="26">
        <v>0.43740000000000001</v>
      </c>
      <c r="G10927">
        <v>120</v>
      </c>
    </row>
    <row r="10928" spans="1:7" x14ac:dyDescent="0.35">
      <c r="A10928" t="s">
        <v>230</v>
      </c>
      <c r="B10928" t="s">
        <v>363</v>
      </c>
      <c r="C10928" s="26">
        <v>0.84760000000000002</v>
      </c>
      <c r="D10928" s="26">
        <v>0.15240000000000001</v>
      </c>
      <c r="G10928">
        <v>127</v>
      </c>
    </row>
    <row r="10929" spans="1:7" x14ac:dyDescent="0.35">
      <c r="A10929" t="s">
        <v>230</v>
      </c>
      <c r="B10929" t="s">
        <v>361</v>
      </c>
      <c r="C10929" s="26">
        <v>0.89170000000000005</v>
      </c>
      <c r="D10929" s="26">
        <v>0.10829999999999999</v>
      </c>
      <c r="G10929">
        <v>109</v>
      </c>
    </row>
    <row r="10930" spans="1:7" x14ac:dyDescent="0.35">
      <c r="A10930" t="s">
        <v>230</v>
      </c>
      <c r="B10930" t="s">
        <v>362</v>
      </c>
      <c r="C10930" s="26">
        <v>0.64319999999999999</v>
      </c>
      <c r="D10930" s="26">
        <v>0.35320000000000001</v>
      </c>
      <c r="E10930" s="26">
        <v>3.5000000000000001E-3</v>
      </c>
      <c r="G10930">
        <v>148</v>
      </c>
    </row>
    <row r="10931" spans="1:7" x14ac:dyDescent="0.35">
      <c r="A10931" s="27" t="s">
        <v>231</v>
      </c>
      <c r="B10931" s="27" t="s">
        <v>362</v>
      </c>
      <c r="C10931" s="28">
        <v>9.0899999999999995E-2</v>
      </c>
      <c r="D10931" s="28">
        <v>0.90910000000000002</v>
      </c>
      <c r="E10931" s="29"/>
      <c r="F10931" s="29"/>
      <c r="G10931" s="29" t="s">
        <v>347</v>
      </c>
    </row>
    <row r="10932" spans="1:7" x14ac:dyDescent="0.35">
      <c r="A10932" t="s">
        <v>231</v>
      </c>
      <c r="B10932" t="s">
        <v>361</v>
      </c>
      <c r="C10932" s="26">
        <v>0.44740000000000002</v>
      </c>
      <c r="D10932" s="26">
        <v>0.55259999999999998</v>
      </c>
      <c r="G10932">
        <v>38</v>
      </c>
    </row>
    <row r="10933" spans="1:7" x14ac:dyDescent="0.35">
      <c r="A10933" t="s">
        <v>231</v>
      </c>
      <c r="B10933" t="s">
        <v>360</v>
      </c>
      <c r="C10933" s="26">
        <v>0.23080000000000001</v>
      </c>
      <c r="D10933" s="26">
        <v>0.76919999999999999</v>
      </c>
      <c r="G10933">
        <v>39</v>
      </c>
    </row>
    <row r="10934" spans="1:7" x14ac:dyDescent="0.35">
      <c r="A10934" s="27" t="s">
        <v>231</v>
      </c>
      <c r="B10934" s="27" t="s">
        <v>363</v>
      </c>
      <c r="C10934" s="28">
        <v>0.3</v>
      </c>
      <c r="D10934" s="28">
        <v>0.7</v>
      </c>
      <c r="E10934" s="29"/>
      <c r="F10934" s="29"/>
      <c r="G10934" s="29" t="s">
        <v>350</v>
      </c>
    </row>
    <row r="10935" spans="1:7" x14ac:dyDescent="0.35">
      <c r="A10935" t="s">
        <v>232</v>
      </c>
      <c r="B10935" t="s">
        <v>232</v>
      </c>
      <c r="C10935" s="26">
        <v>0.61570000000000003</v>
      </c>
      <c r="D10935" s="26">
        <v>0.3795</v>
      </c>
      <c r="E10935" s="26">
        <v>4.4000000000000003E-3</v>
      </c>
      <c r="F10935" s="26">
        <v>4.0000000000000002E-4</v>
      </c>
      <c r="G10935">
        <v>2405</v>
      </c>
    </row>
    <row r="10937" spans="1:7" x14ac:dyDescent="0.35">
      <c r="A10937" s="1" t="s">
        <v>1374</v>
      </c>
    </row>
    <row r="10938" spans="1:7" x14ac:dyDescent="0.35">
      <c r="A10938" t="s">
        <v>219</v>
      </c>
      <c r="B10938" t="s">
        <v>305</v>
      </c>
      <c r="C10938" t="s">
        <v>303</v>
      </c>
      <c r="D10938" t="s">
        <v>302</v>
      </c>
      <c r="E10938" t="s">
        <v>281</v>
      </c>
      <c r="F10938" t="s">
        <v>286</v>
      </c>
      <c r="G10938" t="s">
        <v>226</v>
      </c>
    </row>
    <row r="10939" spans="1:7" x14ac:dyDescent="0.35">
      <c r="A10939" s="27" t="s">
        <v>227</v>
      </c>
      <c r="B10939" s="27" t="s">
        <v>267</v>
      </c>
      <c r="C10939" s="28">
        <v>0.46150000000000002</v>
      </c>
      <c r="D10939" s="28">
        <v>0.53849999999999998</v>
      </c>
      <c r="E10939" s="29"/>
      <c r="F10939" s="29"/>
      <c r="G10939" s="29" t="s">
        <v>357</v>
      </c>
    </row>
    <row r="10940" spans="1:7" x14ac:dyDescent="0.35">
      <c r="A10940" t="s">
        <v>227</v>
      </c>
      <c r="B10940" t="s">
        <v>266</v>
      </c>
      <c r="C10940" s="26">
        <v>0.46339999999999998</v>
      </c>
      <c r="D10940" s="26">
        <v>0.53659999999999997</v>
      </c>
      <c r="G10940">
        <v>41</v>
      </c>
    </row>
    <row r="10941" spans="1:7" x14ac:dyDescent="0.35">
      <c r="A10941" t="s">
        <v>227</v>
      </c>
      <c r="B10941" t="s">
        <v>265</v>
      </c>
      <c r="C10941" s="26">
        <v>0.44</v>
      </c>
      <c r="D10941" s="26">
        <v>0.56000000000000005</v>
      </c>
      <c r="G10941">
        <v>50</v>
      </c>
    </row>
    <row r="10942" spans="1:7" x14ac:dyDescent="0.35">
      <c r="A10942" t="s">
        <v>228</v>
      </c>
      <c r="B10942" t="s">
        <v>267</v>
      </c>
      <c r="C10942" s="26">
        <v>0.70130000000000003</v>
      </c>
      <c r="D10942" s="26">
        <v>0.29870000000000002</v>
      </c>
      <c r="G10942">
        <v>199</v>
      </c>
    </row>
    <row r="10943" spans="1:7" x14ac:dyDescent="0.35">
      <c r="A10943" t="s">
        <v>228</v>
      </c>
      <c r="B10943" t="s">
        <v>265</v>
      </c>
      <c r="C10943" s="26">
        <v>0.78259999999999996</v>
      </c>
      <c r="D10943" s="26">
        <v>0.20849999999999999</v>
      </c>
      <c r="E10943" s="26">
        <v>7.0000000000000001E-3</v>
      </c>
      <c r="F10943" s="26">
        <v>1.9E-3</v>
      </c>
      <c r="G10943">
        <v>384</v>
      </c>
    </row>
    <row r="10944" spans="1:7" x14ac:dyDescent="0.35">
      <c r="A10944" s="27" t="s">
        <v>228</v>
      </c>
      <c r="B10944" s="27" t="s">
        <v>236</v>
      </c>
      <c r="C10944" s="28">
        <v>1</v>
      </c>
      <c r="D10944" s="29"/>
      <c r="E10944" s="29"/>
      <c r="F10944" s="29"/>
      <c r="G10944" s="29" t="s">
        <v>314</v>
      </c>
    </row>
    <row r="10945" spans="1:7" x14ac:dyDescent="0.35">
      <c r="A10945" t="s">
        <v>228</v>
      </c>
      <c r="B10945" t="s">
        <v>266</v>
      </c>
      <c r="C10945" s="26">
        <v>0.80200000000000005</v>
      </c>
      <c r="D10945" s="26">
        <v>0.19289999999999999</v>
      </c>
      <c r="E10945" s="26">
        <v>5.1000000000000004E-3</v>
      </c>
      <c r="G10945">
        <v>448</v>
      </c>
    </row>
    <row r="10946" spans="1:7" x14ac:dyDescent="0.35">
      <c r="A10946" t="s">
        <v>229</v>
      </c>
      <c r="B10946" t="s">
        <v>266</v>
      </c>
      <c r="C10946" s="26">
        <v>0.74890000000000001</v>
      </c>
      <c r="D10946" s="26">
        <v>0.23960000000000001</v>
      </c>
      <c r="E10946" s="26">
        <v>1.09E-2</v>
      </c>
      <c r="F10946" s="26">
        <v>5.0000000000000001E-4</v>
      </c>
      <c r="G10946">
        <v>359</v>
      </c>
    </row>
    <row r="10947" spans="1:7" x14ac:dyDescent="0.35">
      <c r="A10947" t="s">
        <v>229</v>
      </c>
      <c r="B10947" t="s">
        <v>267</v>
      </c>
      <c r="C10947" s="26">
        <v>0.77210000000000001</v>
      </c>
      <c r="D10947" s="26">
        <v>0.22789999999999999</v>
      </c>
      <c r="G10947">
        <v>201</v>
      </c>
    </row>
    <row r="10948" spans="1:7" x14ac:dyDescent="0.35">
      <c r="A10948" t="s">
        <v>229</v>
      </c>
      <c r="B10948" t="s">
        <v>265</v>
      </c>
      <c r="C10948" s="26">
        <v>0.78469999999999995</v>
      </c>
      <c r="D10948" s="26">
        <v>0.21310000000000001</v>
      </c>
      <c r="E10948" s="26">
        <v>6.9999999999999999E-4</v>
      </c>
      <c r="F10948" s="26">
        <v>1.5E-3</v>
      </c>
      <c r="G10948">
        <v>335</v>
      </c>
    </row>
    <row r="10949" spans="1:7" x14ac:dyDescent="0.35">
      <c r="A10949" t="s">
        <v>230</v>
      </c>
      <c r="B10949" t="s">
        <v>267</v>
      </c>
      <c r="C10949" s="26">
        <v>0.76229999999999998</v>
      </c>
      <c r="D10949" s="26">
        <v>0.23769999999999999</v>
      </c>
      <c r="G10949">
        <v>119</v>
      </c>
    </row>
    <row r="10950" spans="1:7" x14ac:dyDescent="0.35">
      <c r="A10950" t="s">
        <v>230</v>
      </c>
      <c r="B10950" t="s">
        <v>266</v>
      </c>
      <c r="C10950" s="26">
        <v>0.70340000000000003</v>
      </c>
      <c r="D10950" s="26">
        <v>0.29170000000000001</v>
      </c>
      <c r="E10950" s="26">
        <v>4.8999999999999998E-3</v>
      </c>
      <c r="G10950">
        <v>232</v>
      </c>
    </row>
    <row r="10951" spans="1:7" x14ac:dyDescent="0.35">
      <c r="A10951" t="s">
        <v>230</v>
      </c>
      <c r="B10951" t="s">
        <v>265</v>
      </c>
      <c r="C10951" s="26">
        <v>0.77880000000000005</v>
      </c>
      <c r="D10951" s="26">
        <v>0.22120000000000001</v>
      </c>
      <c r="G10951">
        <v>209</v>
      </c>
    </row>
    <row r="10952" spans="1:7" x14ac:dyDescent="0.35">
      <c r="A10952" s="27" t="s">
        <v>231</v>
      </c>
      <c r="B10952" s="27" t="s">
        <v>267</v>
      </c>
      <c r="C10952" s="28">
        <v>0.24</v>
      </c>
      <c r="D10952" s="28">
        <v>0.76</v>
      </c>
      <c r="E10952" s="29"/>
      <c r="F10952" s="29"/>
      <c r="G10952" s="29" t="s">
        <v>312</v>
      </c>
    </row>
    <row r="10953" spans="1:7" x14ac:dyDescent="0.35">
      <c r="A10953" t="s">
        <v>231</v>
      </c>
      <c r="B10953" t="s">
        <v>266</v>
      </c>
      <c r="C10953" s="26">
        <v>0.28000000000000003</v>
      </c>
      <c r="D10953" s="26">
        <v>0.7</v>
      </c>
      <c r="E10953" s="26">
        <v>0.02</v>
      </c>
      <c r="G10953">
        <v>50</v>
      </c>
    </row>
    <row r="10954" spans="1:7" x14ac:dyDescent="0.35">
      <c r="A10954" t="s">
        <v>231</v>
      </c>
      <c r="B10954" t="s">
        <v>265</v>
      </c>
      <c r="C10954" s="26">
        <v>0.32729999999999998</v>
      </c>
      <c r="D10954" s="26">
        <v>0.67269999999999996</v>
      </c>
      <c r="G10954">
        <v>55</v>
      </c>
    </row>
    <row r="10955" spans="1:7" x14ac:dyDescent="0.35">
      <c r="A10955" t="s">
        <v>232</v>
      </c>
      <c r="B10955" t="s">
        <v>232</v>
      </c>
      <c r="C10955" s="26">
        <v>0.61570000000000003</v>
      </c>
      <c r="D10955" s="26">
        <v>0.3795</v>
      </c>
      <c r="E10955" s="26">
        <v>4.4000000000000003E-3</v>
      </c>
      <c r="F10955" s="26">
        <v>4.0000000000000002E-4</v>
      </c>
      <c r="G10955">
        <v>2735</v>
      </c>
    </row>
    <row r="10957" spans="1:7" x14ac:dyDescent="0.35">
      <c r="A10957" s="1" t="s">
        <v>1375</v>
      </c>
    </row>
    <row r="10958" spans="1:7" x14ac:dyDescent="0.35">
      <c r="A10958" t="s">
        <v>219</v>
      </c>
      <c r="B10958" t="s">
        <v>305</v>
      </c>
      <c r="C10958" t="s">
        <v>303</v>
      </c>
      <c r="D10958" t="s">
        <v>302</v>
      </c>
      <c r="E10958" t="s">
        <v>281</v>
      </c>
      <c r="F10958" t="s">
        <v>286</v>
      </c>
      <c r="G10958" t="s">
        <v>226</v>
      </c>
    </row>
    <row r="10959" spans="1:7" x14ac:dyDescent="0.35">
      <c r="A10959" t="s">
        <v>227</v>
      </c>
      <c r="B10959" t="s">
        <v>252</v>
      </c>
      <c r="C10959" s="26">
        <v>0.44119999999999998</v>
      </c>
      <c r="D10959" s="26">
        <v>0.55879999999999996</v>
      </c>
      <c r="G10959">
        <v>34</v>
      </c>
    </row>
    <row r="10960" spans="1:7" x14ac:dyDescent="0.35">
      <c r="A10960" s="27" t="s">
        <v>227</v>
      </c>
      <c r="B10960" s="27" t="s">
        <v>253</v>
      </c>
      <c r="C10960" s="28">
        <v>0.52</v>
      </c>
      <c r="D10960" s="28">
        <v>0.48</v>
      </c>
      <c r="E10960" s="29"/>
      <c r="F10960" s="29"/>
      <c r="G10960" s="29" t="s">
        <v>312</v>
      </c>
    </row>
    <row r="10961" spans="1:7" x14ac:dyDescent="0.35">
      <c r="A10961" t="s">
        <v>227</v>
      </c>
      <c r="B10961" t="s">
        <v>251</v>
      </c>
      <c r="C10961" s="26">
        <v>0.43099999999999999</v>
      </c>
      <c r="D10961" s="26">
        <v>0.56899999999999995</v>
      </c>
      <c r="G10961">
        <v>58</v>
      </c>
    </row>
    <row r="10962" spans="1:7" x14ac:dyDescent="0.35">
      <c r="A10962" t="s">
        <v>228</v>
      </c>
      <c r="B10962" t="s">
        <v>252</v>
      </c>
      <c r="C10962" s="26">
        <v>0.6986</v>
      </c>
      <c r="D10962" s="26">
        <v>0.30020000000000002</v>
      </c>
      <c r="F10962" s="26">
        <v>1.1000000000000001E-3</v>
      </c>
      <c r="G10962">
        <v>344</v>
      </c>
    </row>
    <row r="10963" spans="1:7" x14ac:dyDescent="0.35">
      <c r="A10963" t="s">
        <v>228</v>
      </c>
      <c r="B10963" t="s">
        <v>253</v>
      </c>
      <c r="C10963" s="26">
        <v>0.78400000000000003</v>
      </c>
      <c r="D10963" s="26">
        <v>0.2036</v>
      </c>
      <c r="E10963" s="26">
        <v>1.24E-2</v>
      </c>
      <c r="G10963">
        <v>222</v>
      </c>
    </row>
    <row r="10964" spans="1:7" x14ac:dyDescent="0.35">
      <c r="A10964" t="s">
        <v>228</v>
      </c>
      <c r="B10964" t="s">
        <v>251</v>
      </c>
      <c r="C10964" s="26">
        <v>0.82950000000000002</v>
      </c>
      <c r="D10964" s="26">
        <v>0.16450000000000001</v>
      </c>
      <c r="E10964" s="26">
        <v>5.1000000000000004E-3</v>
      </c>
      <c r="F10964" s="26">
        <v>8.9999999999999998E-4</v>
      </c>
      <c r="G10964">
        <v>467</v>
      </c>
    </row>
    <row r="10965" spans="1:7" x14ac:dyDescent="0.35">
      <c r="A10965" t="s">
        <v>229</v>
      </c>
      <c r="B10965" t="s">
        <v>252</v>
      </c>
      <c r="C10965" s="26">
        <v>0.66279999999999994</v>
      </c>
      <c r="D10965" s="26">
        <v>0.3216</v>
      </c>
      <c r="E10965" s="26">
        <v>1.41E-2</v>
      </c>
      <c r="F10965" s="26">
        <v>1.5E-3</v>
      </c>
      <c r="G10965">
        <v>199</v>
      </c>
    </row>
    <row r="10966" spans="1:7" x14ac:dyDescent="0.35">
      <c r="A10966" t="s">
        <v>229</v>
      </c>
      <c r="B10966" t="s">
        <v>253</v>
      </c>
      <c r="C10966" s="26">
        <v>0.70709999999999995</v>
      </c>
      <c r="D10966" s="26">
        <v>0.29289999999999999</v>
      </c>
      <c r="G10966">
        <v>145</v>
      </c>
    </row>
    <row r="10967" spans="1:7" x14ac:dyDescent="0.35">
      <c r="A10967" t="s">
        <v>229</v>
      </c>
      <c r="B10967" t="s">
        <v>251</v>
      </c>
      <c r="C10967" s="26">
        <v>0.83140000000000003</v>
      </c>
      <c r="D10967" s="26">
        <v>0.16650000000000001</v>
      </c>
      <c r="E10967" s="26">
        <v>1.2999999999999999E-3</v>
      </c>
      <c r="F10967" s="26">
        <v>8.0000000000000004E-4</v>
      </c>
      <c r="G10967">
        <v>551</v>
      </c>
    </row>
    <row r="10968" spans="1:7" x14ac:dyDescent="0.35">
      <c r="A10968" t="s">
        <v>230</v>
      </c>
      <c r="B10968" t="s">
        <v>252</v>
      </c>
      <c r="C10968" s="26">
        <v>0.60880000000000001</v>
      </c>
      <c r="D10968" s="26">
        <v>0.38769999999999999</v>
      </c>
      <c r="E10968" s="26">
        <v>3.5000000000000001E-3</v>
      </c>
      <c r="G10968">
        <v>159</v>
      </c>
    </row>
    <row r="10969" spans="1:7" x14ac:dyDescent="0.35">
      <c r="A10969" t="s">
        <v>230</v>
      </c>
      <c r="B10969" t="s">
        <v>253</v>
      </c>
      <c r="C10969" s="26">
        <v>0.86270000000000002</v>
      </c>
      <c r="D10969" s="26">
        <v>0.13730000000000001</v>
      </c>
      <c r="G10969">
        <v>110</v>
      </c>
    </row>
    <row r="10970" spans="1:7" x14ac:dyDescent="0.35">
      <c r="A10970" t="s">
        <v>230</v>
      </c>
      <c r="B10970" t="s">
        <v>251</v>
      </c>
      <c r="C10970" s="26">
        <v>0.77300000000000002</v>
      </c>
      <c r="D10970" s="26">
        <v>0.22539999999999999</v>
      </c>
      <c r="E10970" s="26">
        <v>1.6000000000000001E-3</v>
      </c>
      <c r="G10970">
        <v>291</v>
      </c>
    </row>
    <row r="10971" spans="1:7" x14ac:dyDescent="0.35">
      <c r="A10971" t="s">
        <v>231</v>
      </c>
      <c r="B10971" t="s">
        <v>252</v>
      </c>
      <c r="C10971" s="26">
        <v>0.17949999999999999</v>
      </c>
      <c r="D10971" s="26">
        <v>0.82050000000000001</v>
      </c>
      <c r="G10971">
        <v>39</v>
      </c>
    </row>
    <row r="10972" spans="1:7" x14ac:dyDescent="0.35">
      <c r="A10972" s="27" t="s">
        <v>231</v>
      </c>
      <c r="B10972" s="27" t="s">
        <v>253</v>
      </c>
      <c r="C10972" s="28">
        <v>0.29170000000000001</v>
      </c>
      <c r="D10972" s="28">
        <v>0.70830000000000004</v>
      </c>
      <c r="E10972" s="29"/>
      <c r="F10972" s="29"/>
      <c r="G10972" s="29" t="s">
        <v>310</v>
      </c>
    </row>
    <row r="10973" spans="1:7" x14ac:dyDescent="0.35">
      <c r="A10973" t="s">
        <v>231</v>
      </c>
      <c r="B10973" t="s">
        <v>251</v>
      </c>
      <c r="C10973" s="26">
        <v>0.35820000000000002</v>
      </c>
      <c r="D10973" s="26">
        <v>0.62690000000000001</v>
      </c>
      <c r="E10973" s="26">
        <v>1.49E-2</v>
      </c>
      <c r="G10973">
        <v>67</v>
      </c>
    </row>
    <row r="10974" spans="1:7" x14ac:dyDescent="0.35">
      <c r="A10974" t="s">
        <v>232</v>
      </c>
      <c r="B10974" t="s">
        <v>232</v>
      </c>
      <c r="C10974" s="26">
        <v>0.61570000000000003</v>
      </c>
      <c r="D10974" s="26">
        <v>0.3795</v>
      </c>
      <c r="E10974" s="26">
        <v>4.4000000000000003E-3</v>
      </c>
      <c r="F10974" s="26">
        <v>4.0000000000000002E-4</v>
      </c>
      <c r="G10974">
        <v>2735</v>
      </c>
    </row>
    <row r="10976" spans="1:7" x14ac:dyDescent="0.35">
      <c r="A10976" s="1" t="s">
        <v>1376</v>
      </c>
    </row>
    <row r="10977" spans="1:7" x14ac:dyDescent="0.35">
      <c r="A10977" t="s">
        <v>219</v>
      </c>
      <c r="B10977" t="s">
        <v>305</v>
      </c>
      <c r="C10977" t="s">
        <v>303</v>
      </c>
      <c r="D10977" t="s">
        <v>302</v>
      </c>
      <c r="E10977" t="s">
        <v>281</v>
      </c>
      <c r="F10977" t="s">
        <v>286</v>
      </c>
      <c r="G10977" t="s">
        <v>226</v>
      </c>
    </row>
    <row r="10978" spans="1:7" x14ac:dyDescent="0.35">
      <c r="A10978" s="27" t="s">
        <v>227</v>
      </c>
      <c r="B10978" s="27" t="s">
        <v>249</v>
      </c>
      <c r="C10978" s="28">
        <v>0.39290000000000003</v>
      </c>
      <c r="D10978" s="28">
        <v>0.60709999999999997</v>
      </c>
      <c r="E10978" s="29"/>
      <c r="F10978" s="29"/>
      <c r="G10978" s="29" t="s">
        <v>336</v>
      </c>
    </row>
    <row r="10979" spans="1:7" x14ac:dyDescent="0.35">
      <c r="A10979" t="s">
        <v>227</v>
      </c>
      <c r="B10979" t="s">
        <v>248</v>
      </c>
      <c r="C10979" s="26">
        <v>0.47189999999999999</v>
      </c>
      <c r="D10979" s="26">
        <v>0.52810000000000001</v>
      </c>
      <c r="G10979">
        <v>89</v>
      </c>
    </row>
    <row r="10980" spans="1:7" x14ac:dyDescent="0.35">
      <c r="A10980" t="s">
        <v>228</v>
      </c>
      <c r="B10980" t="s">
        <v>249</v>
      </c>
      <c r="C10980" s="26">
        <v>0.79959999999999998</v>
      </c>
      <c r="D10980" s="26">
        <v>0.19739999999999999</v>
      </c>
      <c r="E10980" s="26">
        <v>3.0000000000000001E-3</v>
      </c>
      <c r="G10980">
        <v>274</v>
      </c>
    </row>
    <row r="10981" spans="1:7" x14ac:dyDescent="0.35">
      <c r="A10981" t="s">
        <v>228</v>
      </c>
      <c r="B10981" t="s">
        <v>248</v>
      </c>
      <c r="C10981" s="26">
        <v>0.76919999999999999</v>
      </c>
      <c r="D10981" s="26">
        <v>0.22389999999999999</v>
      </c>
      <c r="E10981" s="26">
        <v>5.7999999999999996E-3</v>
      </c>
      <c r="F10981" s="26">
        <v>1.1000000000000001E-3</v>
      </c>
      <c r="G10981">
        <v>759</v>
      </c>
    </row>
    <row r="10982" spans="1:7" x14ac:dyDescent="0.35">
      <c r="A10982" t="s">
        <v>229</v>
      </c>
      <c r="B10982" t="s">
        <v>249</v>
      </c>
      <c r="C10982" s="26">
        <v>0.79920000000000002</v>
      </c>
      <c r="D10982" s="26">
        <v>0.19850000000000001</v>
      </c>
      <c r="E10982" s="26">
        <v>2.3E-3</v>
      </c>
      <c r="G10982">
        <v>259</v>
      </c>
    </row>
    <row r="10983" spans="1:7" x14ac:dyDescent="0.35">
      <c r="A10983" t="s">
        <v>229</v>
      </c>
      <c r="B10983" t="s">
        <v>248</v>
      </c>
      <c r="C10983" s="26">
        <v>0.75590000000000002</v>
      </c>
      <c r="D10983" s="26">
        <v>0.2382</v>
      </c>
      <c r="E10983" s="26">
        <v>4.7000000000000002E-3</v>
      </c>
      <c r="F10983" s="26">
        <v>1.1999999999999999E-3</v>
      </c>
      <c r="G10983">
        <v>636</v>
      </c>
    </row>
    <row r="10984" spans="1:7" x14ac:dyDescent="0.35">
      <c r="A10984" t="s">
        <v>230</v>
      </c>
      <c r="B10984" t="s">
        <v>249</v>
      </c>
      <c r="C10984" s="26">
        <v>0.76800000000000002</v>
      </c>
      <c r="D10984" s="26">
        <v>0.23200000000000001</v>
      </c>
      <c r="G10984">
        <v>171</v>
      </c>
    </row>
    <row r="10985" spans="1:7" x14ac:dyDescent="0.35">
      <c r="A10985" t="s">
        <v>230</v>
      </c>
      <c r="B10985" t="s">
        <v>248</v>
      </c>
      <c r="C10985" s="26">
        <v>0.73770000000000002</v>
      </c>
      <c r="D10985" s="26">
        <v>0.2596</v>
      </c>
      <c r="E10985" s="26">
        <v>2.7000000000000001E-3</v>
      </c>
      <c r="G10985">
        <v>389</v>
      </c>
    </row>
    <row r="10986" spans="1:7" x14ac:dyDescent="0.35">
      <c r="A10986" s="27" t="s">
        <v>231</v>
      </c>
      <c r="B10986" s="27" t="s">
        <v>249</v>
      </c>
      <c r="C10986" s="28">
        <v>0.26919999999999999</v>
      </c>
      <c r="D10986" s="28">
        <v>0.69230000000000003</v>
      </c>
      <c r="E10986" s="28">
        <v>3.85E-2</v>
      </c>
      <c r="F10986" s="29"/>
      <c r="G10986" s="29" t="s">
        <v>357</v>
      </c>
    </row>
    <row r="10987" spans="1:7" x14ac:dyDescent="0.35">
      <c r="A10987" t="s">
        <v>231</v>
      </c>
      <c r="B10987" t="s">
        <v>248</v>
      </c>
      <c r="C10987" s="26">
        <v>0.29809999999999998</v>
      </c>
      <c r="D10987" s="26">
        <v>0.70189999999999997</v>
      </c>
      <c r="G10987">
        <v>104</v>
      </c>
    </row>
    <row r="10988" spans="1:7" x14ac:dyDescent="0.35">
      <c r="A10988" t="s">
        <v>232</v>
      </c>
      <c r="B10988" t="s">
        <v>232</v>
      </c>
      <c r="C10988" s="26">
        <v>0.61570000000000003</v>
      </c>
      <c r="D10988" s="26">
        <v>0.3795</v>
      </c>
      <c r="E10988" s="26">
        <v>4.4000000000000003E-3</v>
      </c>
      <c r="F10988" s="26">
        <v>4.0000000000000002E-4</v>
      </c>
      <c r="G10988">
        <v>2735</v>
      </c>
    </row>
    <row r="10990" spans="1:7" x14ac:dyDescent="0.35">
      <c r="A10990" s="1" t="s">
        <v>1377</v>
      </c>
    </row>
    <row r="10991" spans="1:7" x14ac:dyDescent="0.35">
      <c r="A10991" t="s">
        <v>219</v>
      </c>
      <c r="B10991" t="s">
        <v>305</v>
      </c>
      <c r="C10991" t="s">
        <v>303</v>
      </c>
      <c r="D10991" t="s">
        <v>302</v>
      </c>
      <c r="E10991" t="s">
        <v>281</v>
      </c>
      <c r="F10991" t="s">
        <v>286</v>
      </c>
      <c r="G10991" t="s">
        <v>226</v>
      </c>
    </row>
    <row r="10992" spans="1:7" x14ac:dyDescent="0.35">
      <c r="A10992" s="27" t="s">
        <v>227</v>
      </c>
      <c r="B10992" s="27" t="s">
        <v>263</v>
      </c>
      <c r="C10992" s="28">
        <v>1</v>
      </c>
      <c r="D10992" s="29"/>
      <c r="E10992" s="29"/>
      <c r="F10992" s="29"/>
      <c r="G10992" s="29" t="s">
        <v>315</v>
      </c>
    </row>
    <row r="10993" spans="1:7" x14ac:dyDescent="0.35">
      <c r="A10993" s="27" t="s">
        <v>227</v>
      </c>
      <c r="B10993" s="27" t="s">
        <v>261</v>
      </c>
      <c r="C10993" s="28">
        <v>0.41670000000000001</v>
      </c>
      <c r="D10993" s="28">
        <v>0.58330000000000004</v>
      </c>
      <c r="E10993" s="29"/>
      <c r="F10993" s="29"/>
      <c r="G10993" s="29" t="s">
        <v>310</v>
      </c>
    </row>
    <row r="10994" spans="1:7" x14ac:dyDescent="0.35">
      <c r="A10994" s="27" t="s">
        <v>227</v>
      </c>
      <c r="B10994" s="27" t="s">
        <v>262</v>
      </c>
      <c r="C10994" s="28">
        <v>0.5</v>
      </c>
      <c r="D10994" s="28">
        <v>0.5</v>
      </c>
      <c r="E10994" s="29"/>
      <c r="F10994" s="29"/>
      <c r="G10994" s="29" t="s">
        <v>314</v>
      </c>
    </row>
    <row r="10995" spans="1:7" x14ac:dyDescent="0.35">
      <c r="A10995" t="s">
        <v>227</v>
      </c>
      <c r="B10995" t="s">
        <v>260</v>
      </c>
      <c r="C10995" s="26">
        <v>0.44319999999999998</v>
      </c>
      <c r="D10995" s="26">
        <v>0.55679999999999996</v>
      </c>
      <c r="G10995">
        <v>88</v>
      </c>
    </row>
    <row r="10996" spans="1:7" x14ac:dyDescent="0.35">
      <c r="A10996" t="s">
        <v>228</v>
      </c>
      <c r="B10996" t="s">
        <v>261</v>
      </c>
      <c r="C10996" s="26">
        <v>0.77910000000000001</v>
      </c>
      <c r="D10996" s="26">
        <v>0.21590000000000001</v>
      </c>
      <c r="E10996" s="26">
        <v>2.8E-3</v>
      </c>
      <c r="F10996" s="26">
        <v>2.0999999999999999E-3</v>
      </c>
      <c r="G10996">
        <v>192</v>
      </c>
    </row>
    <row r="10997" spans="1:7" x14ac:dyDescent="0.35">
      <c r="A10997" s="27" t="s">
        <v>228</v>
      </c>
      <c r="B10997" s="27" t="s">
        <v>263</v>
      </c>
      <c r="C10997" s="28">
        <v>0.66590000000000005</v>
      </c>
      <c r="D10997" s="28">
        <v>0.33410000000000001</v>
      </c>
      <c r="E10997" s="29"/>
      <c r="F10997" s="29"/>
      <c r="G10997" s="29" t="s">
        <v>312</v>
      </c>
    </row>
    <row r="10998" spans="1:7" x14ac:dyDescent="0.35">
      <c r="A10998" s="27" t="s">
        <v>228</v>
      </c>
      <c r="B10998" s="27" t="s">
        <v>236</v>
      </c>
      <c r="C10998" s="28">
        <v>0.46600000000000003</v>
      </c>
      <c r="D10998" s="28">
        <v>0.53400000000000003</v>
      </c>
      <c r="E10998" s="29"/>
      <c r="F10998" s="29"/>
      <c r="G10998" s="29" t="s">
        <v>335</v>
      </c>
    </row>
    <row r="10999" spans="1:7" x14ac:dyDescent="0.35">
      <c r="A10999" t="s">
        <v>228</v>
      </c>
      <c r="B10999" t="s">
        <v>262</v>
      </c>
      <c r="C10999" s="26">
        <v>0.87749999999999995</v>
      </c>
      <c r="D10999" s="26">
        <v>0.1225</v>
      </c>
      <c r="G10999">
        <v>201</v>
      </c>
    </row>
    <row r="11000" spans="1:7" x14ac:dyDescent="0.35">
      <c r="A11000" t="s">
        <v>228</v>
      </c>
      <c r="B11000" t="s">
        <v>260</v>
      </c>
      <c r="C11000" s="26">
        <v>0.75780000000000003</v>
      </c>
      <c r="D11000" s="26">
        <v>0.2344</v>
      </c>
      <c r="E11000" s="26">
        <v>7.1999999999999998E-3</v>
      </c>
      <c r="F11000" s="26">
        <v>5.9999999999999995E-4</v>
      </c>
      <c r="G11000">
        <v>609</v>
      </c>
    </row>
    <row r="11001" spans="1:7" x14ac:dyDescent="0.35">
      <c r="A11001" s="27" t="s">
        <v>229</v>
      </c>
      <c r="B11001" s="27" t="s">
        <v>263</v>
      </c>
      <c r="C11001" s="28">
        <v>1</v>
      </c>
      <c r="D11001" s="29"/>
      <c r="E11001" s="29"/>
      <c r="F11001" s="29"/>
      <c r="G11001" s="29" t="s">
        <v>379</v>
      </c>
    </row>
    <row r="11002" spans="1:7" x14ac:dyDescent="0.35">
      <c r="A11002" t="s">
        <v>229</v>
      </c>
      <c r="B11002" t="s">
        <v>262</v>
      </c>
      <c r="C11002" s="26">
        <v>0.88249999999999995</v>
      </c>
      <c r="D11002" s="26">
        <v>0.1128</v>
      </c>
      <c r="E11002" s="26">
        <v>3.5999999999999999E-3</v>
      </c>
      <c r="F11002" s="26">
        <v>1.1999999999999999E-3</v>
      </c>
      <c r="G11002">
        <v>188</v>
      </c>
    </row>
    <row r="11003" spans="1:7" x14ac:dyDescent="0.35">
      <c r="A11003" t="s">
        <v>229</v>
      </c>
      <c r="B11003" t="s">
        <v>261</v>
      </c>
      <c r="C11003" s="26">
        <v>0.76180000000000003</v>
      </c>
      <c r="D11003" s="26">
        <v>0.2382</v>
      </c>
      <c r="G11003">
        <v>96</v>
      </c>
    </row>
    <row r="11004" spans="1:7" x14ac:dyDescent="0.35">
      <c r="A11004" s="27" t="s">
        <v>229</v>
      </c>
      <c r="B11004" s="27" t="s">
        <v>236</v>
      </c>
      <c r="C11004" s="28">
        <v>1</v>
      </c>
      <c r="D11004" s="29"/>
      <c r="E11004" s="29"/>
      <c r="F11004" s="29"/>
      <c r="G11004" s="29" t="s">
        <v>331</v>
      </c>
    </row>
    <row r="11005" spans="1:7" x14ac:dyDescent="0.35">
      <c r="A11005" t="s">
        <v>229</v>
      </c>
      <c r="B11005" t="s">
        <v>260</v>
      </c>
      <c r="C11005" s="26">
        <v>0.70750000000000002</v>
      </c>
      <c r="D11005" s="26">
        <v>0.2863</v>
      </c>
      <c r="E11005" s="26">
        <v>5.3E-3</v>
      </c>
      <c r="F11005" s="26">
        <v>8.9999999999999998E-4</v>
      </c>
      <c r="G11005">
        <v>596</v>
      </c>
    </row>
    <row r="11006" spans="1:7" x14ac:dyDescent="0.35">
      <c r="A11006" s="27" t="s">
        <v>230</v>
      </c>
      <c r="B11006" s="27" t="s">
        <v>236</v>
      </c>
      <c r="C11006" s="28">
        <v>0.27760000000000001</v>
      </c>
      <c r="D11006" s="28">
        <v>0.72240000000000004</v>
      </c>
      <c r="E11006" s="29"/>
      <c r="F11006" s="29"/>
      <c r="G11006" s="29" t="s">
        <v>337</v>
      </c>
    </row>
    <row r="11007" spans="1:7" x14ac:dyDescent="0.35">
      <c r="A11007" t="s">
        <v>230</v>
      </c>
      <c r="B11007" t="s">
        <v>262</v>
      </c>
      <c r="C11007" s="26">
        <v>0.88939999999999997</v>
      </c>
      <c r="D11007" s="26">
        <v>0.1106</v>
      </c>
      <c r="G11007">
        <v>122</v>
      </c>
    </row>
    <row r="11008" spans="1:7" x14ac:dyDescent="0.35">
      <c r="A11008" t="s">
        <v>230</v>
      </c>
      <c r="B11008" t="s">
        <v>261</v>
      </c>
      <c r="C11008" s="26">
        <v>0.82540000000000002</v>
      </c>
      <c r="D11008" s="26">
        <v>0.17460000000000001</v>
      </c>
      <c r="G11008">
        <v>57</v>
      </c>
    </row>
    <row r="11009" spans="1:7" x14ac:dyDescent="0.35">
      <c r="A11009" s="27" t="s">
        <v>230</v>
      </c>
      <c r="B11009" s="27" t="s">
        <v>263</v>
      </c>
      <c r="C11009" s="28">
        <v>0.92879999999999996</v>
      </c>
      <c r="D11009" s="28">
        <v>7.1199999999999999E-2</v>
      </c>
      <c r="E11009" s="29"/>
      <c r="F11009" s="29"/>
      <c r="G11009" s="29" t="s">
        <v>312</v>
      </c>
    </row>
    <row r="11010" spans="1:7" x14ac:dyDescent="0.35">
      <c r="A11010" t="s">
        <v>230</v>
      </c>
      <c r="B11010" t="s">
        <v>260</v>
      </c>
      <c r="C11010" s="26">
        <v>0.70320000000000005</v>
      </c>
      <c r="D11010" s="26">
        <v>0.29430000000000001</v>
      </c>
      <c r="E11010" s="26">
        <v>2.5999999999999999E-3</v>
      </c>
      <c r="G11010">
        <v>352</v>
      </c>
    </row>
    <row r="11011" spans="1:7" x14ac:dyDescent="0.35">
      <c r="A11011" s="27" t="s">
        <v>231</v>
      </c>
      <c r="B11011" s="27" t="s">
        <v>263</v>
      </c>
      <c r="C11011" s="29"/>
      <c r="D11011" s="28">
        <v>1</v>
      </c>
      <c r="E11011" s="29"/>
      <c r="F11011" s="29"/>
      <c r="G11011" s="29" t="s">
        <v>314</v>
      </c>
    </row>
    <row r="11012" spans="1:7" x14ac:dyDescent="0.35">
      <c r="A11012" t="s">
        <v>231</v>
      </c>
      <c r="B11012" t="s">
        <v>260</v>
      </c>
      <c r="C11012" s="26">
        <v>0.28710000000000002</v>
      </c>
      <c r="D11012" s="26">
        <v>0.70299999999999996</v>
      </c>
      <c r="E11012" s="26">
        <v>9.9000000000000008E-3</v>
      </c>
      <c r="G11012">
        <v>101</v>
      </c>
    </row>
    <row r="11013" spans="1:7" x14ac:dyDescent="0.35">
      <c r="A11013" s="27" t="s">
        <v>231</v>
      </c>
      <c r="B11013" s="27" t="s">
        <v>261</v>
      </c>
      <c r="C11013" s="28">
        <v>0.35</v>
      </c>
      <c r="D11013" s="28">
        <v>0.65</v>
      </c>
      <c r="E11013" s="29"/>
      <c r="F11013" s="29"/>
      <c r="G11013" s="29" t="s">
        <v>350</v>
      </c>
    </row>
    <row r="11014" spans="1:7" x14ac:dyDescent="0.35">
      <c r="A11014" s="27" t="s">
        <v>231</v>
      </c>
      <c r="B11014" s="27" t="s">
        <v>262</v>
      </c>
      <c r="C11014" s="28">
        <v>0.28570000000000001</v>
      </c>
      <c r="D11014" s="28">
        <v>0.71430000000000005</v>
      </c>
      <c r="E11014" s="29"/>
      <c r="F11014" s="29"/>
      <c r="G11014" s="29" t="s">
        <v>339</v>
      </c>
    </row>
    <row r="11015" spans="1:7" x14ac:dyDescent="0.35">
      <c r="A11015" t="s">
        <v>232</v>
      </c>
      <c r="B11015" t="s">
        <v>232</v>
      </c>
      <c r="C11015" s="26">
        <v>0.61570000000000003</v>
      </c>
      <c r="D11015" s="26">
        <v>0.3795</v>
      </c>
      <c r="E11015" s="26">
        <v>4.4000000000000003E-3</v>
      </c>
      <c r="F11015" s="26">
        <v>4.0000000000000002E-4</v>
      </c>
      <c r="G11015">
        <v>2735</v>
      </c>
    </row>
    <row r="11017" spans="1:7" x14ac:dyDescent="0.35">
      <c r="A11017" s="1" t="s">
        <v>1378</v>
      </c>
    </row>
    <row r="11018" spans="1:7" x14ac:dyDescent="0.35">
      <c r="A11018" t="s">
        <v>219</v>
      </c>
      <c r="B11018" t="s">
        <v>305</v>
      </c>
      <c r="C11018" t="s">
        <v>303</v>
      </c>
      <c r="D11018" t="s">
        <v>302</v>
      </c>
      <c r="E11018" t="s">
        <v>281</v>
      </c>
      <c r="F11018" t="s">
        <v>286</v>
      </c>
      <c r="G11018" t="s">
        <v>226</v>
      </c>
    </row>
    <row r="11019" spans="1:7" x14ac:dyDescent="0.35">
      <c r="A11019" s="27" t="s">
        <v>227</v>
      </c>
      <c r="B11019" s="27" t="s">
        <v>368</v>
      </c>
      <c r="C11019" s="28">
        <v>0.41670000000000001</v>
      </c>
      <c r="D11019" s="28">
        <v>0.58330000000000004</v>
      </c>
      <c r="E11019" s="29"/>
      <c r="F11019" s="29"/>
      <c r="G11019" s="29" t="s">
        <v>310</v>
      </c>
    </row>
    <row r="11020" spans="1:7" x14ac:dyDescent="0.35">
      <c r="A11020" t="s">
        <v>227</v>
      </c>
      <c r="B11020" t="s">
        <v>369</v>
      </c>
      <c r="C11020" s="26">
        <v>0.46239999999999998</v>
      </c>
      <c r="D11020" s="26">
        <v>0.53759999999999997</v>
      </c>
      <c r="G11020">
        <v>93</v>
      </c>
    </row>
    <row r="11021" spans="1:7" x14ac:dyDescent="0.35">
      <c r="A11021" t="s">
        <v>228</v>
      </c>
      <c r="B11021" t="s">
        <v>368</v>
      </c>
      <c r="C11021" s="26">
        <v>0.77910000000000001</v>
      </c>
      <c r="D11021" s="26">
        <v>0.21590000000000001</v>
      </c>
      <c r="E11021" s="26">
        <v>2.8E-3</v>
      </c>
      <c r="F11021" s="26">
        <v>2.0999999999999999E-3</v>
      </c>
      <c r="G11021">
        <v>192</v>
      </c>
    </row>
    <row r="11022" spans="1:7" x14ac:dyDescent="0.35">
      <c r="A11022" t="s">
        <v>228</v>
      </c>
      <c r="B11022" t="s">
        <v>369</v>
      </c>
      <c r="C11022" s="26">
        <v>0.77810000000000001</v>
      </c>
      <c r="D11022" s="26">
        <v>0.216</v>
      </c>
      <c r="E11022" s="26">
        <v>5.4999999999999997E-3</v>
      </c>
      <c r="F11022" s="26">
        <v>4.0000000000000002E-4</v>
      </c>
      <c r="G11022">
        <v>841</v>
      </c>
    </row>
    <row r="11023" spans="1:7" x14ac:dyDescent="0.35">
      <c r="A11023" t="s">
        <v>229</v>
      </c>
      <c r="B11023" t="s">
        <v>368</v>
      </c>
      <c r="C11023" s="26">
        <v>0.76180000000000003</v>
      </c>
      <c r="D11023" s="26">
        <v>0.2382</v>
      </c>
      <c r="G11023">
        <v>96</v>
      </c>
    </row>
    <row r="11024" spans="1:7" x14ac:dyDescent="0.35">
      <c r="A11024" t="s">
        <v>229</v>
      </c>
      <c r="B11024" t="s">
        <v>369</v>
      </c>
      <c r="C11024" s="26">
        <v>0.77159999999999995</v>
      </c>
      <c r="D11024" s="26">
        <v>0.2228</v>
      </c>
      <c r="E11024" s="26">
        <v>4.5999999999999999E-3</v>
      </c>
      <c r="F11024" s="26">
        <v>1E-3</v>
      </c>
      <c r="G11024">
        <v>799</v>
      </c>
    </row>
    <row r="11025" spans="1:7" x14ac:dyDescent="0.35">
      <c r="A11025" t="s">
        <v>230</v>
      </c>
      <c r="B11025" t="s">
        <v>368</v>
      </c>
      <c r="C11025" s="26">
        <v>0.82540000000000002</v>
      </c>
      <c r="D11025" s="26">
        <v>0.17460000000000001</v>
      </c>
      <c r="G11025">
        <v>57</v>
      </c>
    </row>
    <row r="11026" spans="1:7" x14ac:dyDescent="0.35">
      <c r="A11026" t="s">
        <v>230</v>
      </c>
      <c r="B11026" t="s">
        <v>369</v>
      </c>
      <c r="C11026" s="26">
        <v>0.73599999999999999</v>
      </c>
      <c r="D11026" s="26">
        <v>0.26200000000000001</v>
      </c>
      <c r="E11026" s="26">
        <v>2E-3</v>
      </c>
      <c r="G11026">
        <v>503</v>
      </c>
    </row>
    <row r="11027" spans="1:7" x14ac:dyDescent="0.35">
      <c r="A11027" s="27" t="s">
        <v>231</v>
      </c>
      <c r="B11027" s="27" t="s">
        <v>368</v>
      </c>
      <c r="C11027" s="28">
        <v>0.35</v>
      </c>
      <c r="D11027" s="28">
        <v>0.65</v>
      </c>
      <c r="E11027" s="29"/>
      <c r="F11027" s="29"/>
      <c r="G11027" s="29" t="s">
        <v>350</v>
      </c>
    </row>
    <row r="11028" spans="1:7" x14ac:dyDescent="0.35">
      <c r="A11028" t="s">
        <v>231</v>
      </c>
      <c r="B11028" t="s">
        <v>369</v>
      </c>
      <c r="C11028" s="26">
        <v>0.28179999999999999</v>
      </c>
      <c r="D11028" s="26">
        <v>0.70909999999999995</v>
      </c>
      <c r="E11028" s="26">
        <v>9.1000000000000004E-3</v>
      </c>
      <c r="G11028">
        <v>110</v>
      </c>
    </row>
    <row r="11029" spans="1:7" x14ac:dyDescent="0.35">
      <c r="A11029" t="s">
        <v>232</v>
      </c>
      <c r="B11029" t="s">
        <v>232</v>
      </c>
      <c r="C11029" s="26">
        <v>0.61570000000000003</v>
      </c>
      <c r="D11029" s="26">
        <v>0.3795</v>
      </c>
      <c r="E11029" s="26">
        <v>4.4000000000000003E-3</v>
      </c>
      <c r="F11029" s="26">
        <v>4.0000000000000002E-4</v>
      </c>
      <c r="G11029">
        <v>2735</v>
      </c>
    </row>
    <row r="11031" spans="1:7" x14ac:dyDescent="0.35">
      <c r="A11031" s="1" t="s">
        <v>1379</v>
      </c>
    </row>
    <row r="11032" spans="1:7" x14ac:dyDescent="0.35">
      <c r="A11032" t="s">
        <v>219</v>
      </c>
      <c r="B11032" t="s">
        <v>305</v>
      </c>
      <c r="C11032" t="s">
        <v>303</v>
      </c>
      <c r="D11032" t="s">
        <v>302</v>
      </c>
      <c r="E11032" t="s">
        <v>281</v>
      </c>
      <c r="F11032" t="s">
        <v>286</v>
      </c>
      <c r="G11032" t="s">
        <v>226</v>
      </c>
    </row>
    <row r="11033" spans="1:7" x14ac:dyDescent="0.35">
      <c r="A11033" t="s">
        <v>227</v>
      </c>
      <c r="B11033" t="s">
        <v>371</v>
      </c>
      <c r="C11033" s="26">
        <v>0.45300000000000001</v>
      </c>
      <c r="D11033" s="26">
        <v>0.54700000000000004</v>
      </c>
      <c r="G11033">
        <v>117</v>
      </c>
    </row>
    <row r="11034" spans="1:7" x14ac:dyDescent="0.35">
      <c r="A11034" t="s">
        <v>228</v>
      </c>
      <c r="B11034" t="s">
        <v>371</v>
      </c>
      <c r="C11034" s="26">
        <v>0.71350000000000002</v>
      </c>
      <c r="D11034" s="26">
        <v>0.28510000000000002</v>
      </c>
      <c r="E11034" s="26">
        <v>6.9999999999999999E-4</v>
      </c>
      <c r="F11034" s="26">
        <v>6.9999999999999999E-4</v>
      </c>
      <c r="G11034">
        <v>292</v>
      </c>
    </row>
    <row r="11035" spans="1:7" x14ac:dyDescent="0.35">
      <c r="A11035" t="s">
        <v>228</v>
      </c>
      <c r="B11035" t="s">
        <v>372</v>
      </c>
      <c r="C11035" s="26">
        <v>0.82830000000000004</v>
      </c>
      <c r="D11035" s="26">
        <v>0.16520000000000001</v>
      </c>
      <c r="E11035" s="26">
        <v>6.4000000000000003E-3</v>
      </c>
      <c r="G11035">
        <v>218</v>
      </c>
    </row>
    <row r="11036" spans="1:7" x14ac:dyDescent="0.35">
      <c r="A11036" t="s">
        <v>228</v>
      </c>
      <c r="B11036" t="s">
        <v>373</v>
      </c>
      <c r="C11036" s="26">
        <v>0.85370000000000001</v>
      </c>
      <c r="D11036" s="26">
        <v>0.13489999999999999</v>
      </c>
      <c r="E11036" s="26">
        <v>1.04E-2</v>
      </c>
      <c r="F11036" s="26">
        <v>1.1000000000000001E-3</v>
      </c>
      <c r="G11036">
        <v>523</v>
      </c>
    </row>
    <row r="11037" spans="1:7" x14ac:dyDescent="0.35">
      <c r="A11037" t="s">
        <v>229</v>
      </c>
      <c r="B11037" t="s">
        <v>371</v>
      </c>
      <c r="C11037" s="26">
        <v>0.76619999999999999</v>
      </c>
      <c r="D11037" s="26">
        <v>0.23019999999999999</v>
      </c>
      <c r="E11037" s="26">
        <v>3.3999999999999998E-3</v>
      </c>
      <c r="F11037" s="26">
        <v>2.0000000000000001E-4</v>
      </c>
      <c r="G11037">
        <v>584</v>
      </c>
    </row>
    <row r="11038" spans="1:7" x14ac:dyDescent="0.35">
      <c r="A11038" t="s">
        <v>229</v>
      </c>
      <c r="B11038" t="s">
        <v>372</v>
      </c>
      <c r="C11038" s="26">
        <v>0.85289999999999999</v>
      </c>
      <c r="D11038" s="26">
        <v>0.1386</v>
      </c>
      <c r="E11038" s="26">
        <v>1.9E-3</v>
      </c>
      <c r="F11038" s="26">
        <v>6.6E-3</v>
      </c>
      <c r="G11038">
        <v>221</v>
      </c>
    </row>
    <row r="11039" spans="1:7" x14ac:dyDescent="0.35">
      <c r="A11039" t="s">
        <v>229</v>
      </c>
      <c r="B11039" t="s">
        <v>373</v>
      </c>
      <c r="C11039" s="26">
        <v>0.75119999999999998</v>
      </c>
      <c r="D11039" s="26">
        <v>0.21179999999999999</v>
      </c>
      <c r="E11039" s="26">
        <v>2.47E-2</v>
      </c>
      <c r="F11039" s="26">
        <v>1.23E-2</v>
      </c>
      <c r="G11039">
        <v>90</v>
      </c>
    </row>
    <row r="11040" spans="1:7" x14ac:dyDescent="0.35">
      <c r="A11040" t="s">
        <v>230</v>
      </c>
      <c r="B11040" t="s">
        <v>371</v>
      </c>
      <c r="C11040" s="26">
        <v>0.74490000000000001</v>
      </c>
      <c r="D11040" s="26">
        <v>0.25509999999999999</v>
      </c>
      <c r="G11040">
        <v>262</v>
      </c>
    </row>
    <row r="11041" spans="1:7" x14ac:dyDescent="0.35">
      <c r="A11041" t="s">
        <v>230</v>
      </c>
      <c r="B11041" t="s">
        <v>372</v>
      </c>
      <c r="C11041" s="26">
        <v>0.86150000000000004</v>
      </c>
      <c r="D11041" s="26">
        <v>0.13850000000000001</v>
      </c>
      <c r="G11041">
        <v>146</v>
      </c>
    </row>
    <row r="11042" spans="1:7" x14ac:dyDescent="0.35">
      <c r="A11042" t="s">
        <v>230</v>
      </c>
      <c r="B11042" t="s">
        <v>373</v>
      </c>
      <c r="C11042" s="26">
        <v>0.7157</v>
      </c>
      <c r="D11042" s="26">
        <v>0.27039999999999997</v>
      </c>
      <c r="E11042" s="26">
        <v>1.3899999999999999E-2</v>
      </c>
      <c r="G11042">
        <v>152</v>
      </c>
    </row>
    <row r="11043" spans="1:7" x14ac:dyDescent="0.35">
      <c r="A11043" t="s">
        <v>231</v>
      </c>
      <c r="B11043" t="s">
        <v>371</v>
      </c>
      <c r="C11043" s="26">
        <v>0.2923</v>
      </c>
      <c r="D11043" s="26">
        <v>0.7</v>
      </c>
      <c r="E11043" s="26">
        <v>7.7000000000000002E-3</v>
      </c>
      <c r="G11043">
        <v>130</v>
      </c>
    </row>
    <row r="11044" spans="1:7" x14ac:dyDescent="0.35">
      <c r="A11044" t="s">
        <v>232</v>
      </c>
      <c r="B11044" t="s">
        <v>232</v>
      </c>
      <c r="C11044" s="26">
        <v>0.61570000000000003</v>
      </c>
      <c r="D11044" s="26">
        <v>0.3795</v>
      </c>
      <c r="E11044" s="26">
        <v>4.4000000000000003E-3</v>
      </c>
      <c r="F11044" s="26">
        <v>4.0000000000000002E-4</v>
      </c>
      <c r="G11044">
        <v>2735</v>
      </c>
    </row>
    <row r="11046" spans="1:7" x14ac:dyDescent="0.35">
      <c r="A11046" s="1" t="s">
        <v>1380</v>
      </c>
    </row>
    <row r="11047" spans="1:7" x14ac:dyDescent="0.35">
      <c r="A11047" t="s">
        <v>219</v>
      </c>
      <c r="B11047" t="s">
        <v>305</v>
      </c>
      <c r="C11047" t="s">
        <v>303</v>
      </c>
      <c r="D11047" t="s">
        <v>302</v>
      </c>
      <c r="E11047" t="s">
        <v>281</v>
      </c>
      <c r="F11047" t="s">
        <v>286</v>
      </c>
      <c r="G11047" t="s">
        <v>226</v>
      </c>
    </row>
    <row r="11048" spans="1:7" x14ac:dyDescent="0.35">
      <c r="A11048" t="s">
        <v>227</v>
      </c>
      <c r="B11048" t="s">
        <v>255</v>
      </c>
      <c r="C11048" s="26">
        <v>0.47189999999999999</v>
      </c>
      <c r="D11048" s="26">
        <v>0.52810000000000001</v>
      </c>
      <c r="G11048">
        <v>89</v>
      </c>
    </row>
    <row r="11049" spans="1:7" x14ac:dyDescent="0.35">
      <c r="A11049" s="27" t="s">
        <v>227</v>
      </c>
      <c r="B11049" s="27" t="s">
        <v>257</v>
      </c>
      <c r="C11049" s="28">
        <v>0.33329999999999999</v>
      </c>
      <c r="D11049" s="28">
        <v>0.66669999999999996</v>
      </c>
      <c r="E11049" s="29"/>
      <c r="F11049" s="29"/>
      <c r="G11049" s="29" t="s">
        <v>335</v>
      </c>
    </row>
    <row r="11050" spans="1:7" x14ac:dyDescent="0.35">
      <c r="A11050" s="27" t="s">
        <v>227</v>
      </c>
      <c r="B11050" s="27" t="s">
        <v>256</v>
      </c>
      <c r="C11050" s="28">
        <v>0.40910000000000002</v>
      </c>
      <c r="D11050" s="28">
        <v>0.59089999999999998</v>
      </c>
      <c r="E11050" s="29"/>
      <c r="F11050" s="29"/>
      <c r="G11050" s="29" t="s">
        <v>347</v>
      </c>
    </row>
    <row r="11051" spans="1:7" x14ac:dyDescent="0.35">
      <c r="A11051" t="s">
        <v>228</v>
      </c>
      <c r="B11051" t="s">
        <v>257</v>
      </c>
      <c r="C11051" s="26">
        <v>0.80910000000000004</v>
      </c>
      <c r="D11051" s="26">
        <v>0.1804</v>
      </c>
      <c r="E11051" s="26">
        <v>1.0500000000000001E-2</v>
      </c>
      <c r="G11051">
        <v>49</v>
      </c>
    </row>
    <row r="11052" spans="1:7" x14ac:dyDescent="0.35">
      <c r="A11052" s="27" t="s">
        <v>228</v>
      </c>
      <c r="B11052" s="27" t="s">
        <v>258</v>
      </c>
      <c r="C11052" s="28">
        <v>0.40529999999999999</v>
      </c>
      <c r="D11052" s="28">
        <v>0.59470000000000001</v>
      </c>
      <c r="E11052" s="29"/>
      <c r="F11052" s="29"/>
      <c r="G11052" s="29" t="s">
        <v>337</v>
      </c>
    </row>
    <row r="11053" spans="1:7" x14ac:dyDescent="0.35">
      <c r="A11053" t="s">
        <v>228</v>
      </c>
      <c r="B11053" t="s">
        <v>256</v>
      </c>
      <c r="C11053" s="26">
        <v>0.80659999999999998</v>
      </c>
      <c r="D11053" s="26">
        <v>0.19189999999999999</v>
      </c>
      <c r="E11053" s="26">
        <v>1.5E-3</v>
      </c>
      <c r="G11053">
        <v>221</v>
      </c>
    </row>
    <row r="11054" spans="1:7" x14ac:dyDescent="0.35">
      <c r="A11054" t="s">
        <v>228</v>
      </c>
      <c r="B11054" t="s">
        <v>255</v>
      </c>
      <c r="C11054" s="26">
        <v>0.76919999999999999</v>
      </c>
      <c r="D11054" s="26">
        <v>0.22389999999999999</v>
      </c>
      <c r="E11054" s="26">
        <v>5.7999999999999996E-3</v>
      </c>
      <c r="F11054" s="26">
        <v>1.1000000000000001E-3</v>
      </c>
      <c r="G11054">
        <v>759</v>
      </c>
    </row>
    <row r="11055" spans="1:7" x14ac:dyDescent="0.35">
      <c r="A11055" t="s">
        <v>229</v>
      </c>
      <c r="B11055" t="s">
        <v>256</v>
      </c>
      <c r="C11055" s="26">
        <v>0.8034</v>
      </c>
      <c r="D11055" s="26">
        <v>0.1966</v>
      </c>
      <c r="G11055">
        <v>207</v>
      </c>
    </row>
    <row r="11056" spans="1:7" x14ac:dyDescent="0.35">
      <c r="A11056" t="s">
        <v>229</v>
      </c>
      <c r="B11056" t="s">
        <v>255</v>
      </c>
      <c r="C11056" s="26">
        <v>0.75590000000000002</v>
      </c>
      <c r="D11056" s="26">
        <v>0.2382</v>
      </c>
      <c r="E11056" s="26">
        <v>4.7000000000000002E-3</v>
      </c>
      <c r="F11056" s="26">
        <v>1.1999999999999999E-3</v>
      </c>
      <c r="G11056">
        <v>636</v>
      </c>
    </row>
    <row r="11057" spans="1:7" x14ac:dyDescent="0.35">
      <c r="A11057" t="s">
        <v>229</v>
      </c>
      <c r="B11057" t="s">
        <v>257</v>
      </c>
      <c r="C11057" s="26">
        <v>0.7762</v>
      </c>
      <c r="D11057" s="26">
        <v>0.2097</v>
      </c>
      <c r="E11057" s="26">
        <v>1.41E-2</v>
      </c>
      <c r="G11057">
        <v>50</v>
      </c>
    </row>
    <row r="11058" spans="1:7" x14ac:dyDescent="0.35">
      <c r="A11058" s="27" t="s">
        <v>229</v>
      </c>
      <c r="B11058" s="27" t="s">
        <v>258</v>
      </c>
      <c r="C11058" s="28">
        <v>1</v>
      </c>
      <c r="D11058" s="29"/>
      <c r="E11058" s="29"/>
      <c r="F11058" s="29"/>
      <c r="G11058" s="29" t="s">
        <v>314</v>
      </c>
    </row>
    <row r="11059" spans="1:7" x14ac:dyDescent="0.35">
      <c r="A11059" t="s">
        <v>230</v>
      </c>
      <c r="B11059" t="s">
        <v>256</v>
      </c>
      <c r="C11059" s="26">
        <v>0.78280000000000005</v>
      </c>
      <c r="D11059" s="26">
        <v>0.2172</v>
      </c>
      <c r="G11059">
        <v>130</v>
      </c>
    </row>
    <row r="11060" spans="1:7" x14ac:dyDescent="0.35">
      <c r="A11060" t="s">
        <v>230</v>
      </c>
      <c r="B11060" t="s">
        <v>255</v>
      </c>
      <c r="C11060" s="26">
        <v>0.73770000000000002</v>
      </c>
      <c r="D11060" s="26">
        <v>0.2596</v>
      </c>
      <c r="E11060" s="26">
        <v>2.7000000000000001E-3</v>
      </c>
      <c r="G11060">
        <v>389</v>
      </c>
    </row>
    <row r="11061" spans="1:7" x14ac:dyDescent="0.35">
      <c r="A11061" t="s">
        <v>230</v>
      </c>
      <c r="B11061" t="s">
        <v>257</v>
      </c>
      <c r="C11061" s="26">
        <v>0.76800000000000002</v>
      </c>
      <c r="D11061" s="26">
        <v>0.23200000000000001</v>
      </c>
      <c r="G11061">
        <v>38</v>
      </c>
    </row>
    <row r="11062" spans="1:7" x14ac:dyDescent="0.35">
      <c r="A11062" s="27" t="s">
        <v>230</v>
      </c>
      <c r="B11062" s="27" t="s">
        <v>258</v>
      </c>
      <c r="C11062" s="28">
        <v>0.17730000000000001</v>
      </c>
      <c r="D11062" s="28">
        <v>0.82269999999999999</v>
      </c>
      <c r="E11062" s="29"/>
      <c r="F11062" s="29"/>
      <c r="G11062" s="29" t="s">
        <v>315</v>
      </c>
    </row>
    <row r="11063" spans="1:7" x14ac:dyDescent="0.35">
      <c r="A11063" s="27" t="s">
        <v>231</v>
      </c>
      <c r="B11063" s="27" t="s">
        <v>257</v>
      </c>
      <c r="C11063" s="29"/>
      <c r="D11063" s="28">
        <v>1</v>
      </c>
      <c r="E11063" s="29"/>
      <c r="F11063" s="29"/>
      <c r="G11063" s="29" t="s">
        <v>335</v>
      </c>
    </row>
    <row r="11064" spans="1:7" x14ac:dyDescent="0.35">
      <c r="A11064" t="s">
        <v>231</v>
      </c>
      <c r="B11064" t="s">
        <v>255</v>
      </c>
      <c r="C11064" s="26">
        <v>0.29809999999999998</v>
      </c>
      <c r="D11064" s="26">
        <v>0.70189999999999997</v>
      </c>
      <c r="G11064">
        <v>104</v>
      </c>
    </row>
    <row r="11065" spans="1:7" x14ac:dyDescent="0.35">
      <c r="A11065" s="27" t="s">
        <v>231</v>
      </c>
      <c r="B11065" s="27" t="s">
        <v>256</v>
      </c>
      <c r="C11065" s="28">
        <v>0.35</v>
      </c>
      <c r="D11065" s="28">
        <v>0.6</v>
      </c>
      <c r="E11065" s="28">
        <v>0.05</v>
      </c>
      <c r="F11065" s="29"/>
      <c r="G11065" s="29" t="s">
        <v>350</v>
      </c>
    </row>
    <row r="11066" spans="1:7" x14ac:dyDescent="0.35">
      <c r="A11066" t="s">
        <v>232</v>
      </c>
      <c r="B11066" t="s">
        <v>232</v>
      </c>
      <c r="C11066" s="26">
        <v>0.61570000000000003</v>
      </c>
      <c r="D11066" s="26">
        <v>0.3795</v>
      </c>
      <c r="E11066" s="26">
        <v>4.4000000000000003E-3</v>
      </c>
      <c r="F11066" s="26">
        <v>4.0000000000000002E-4</v>
      </c>
      <c r="G11066">
        <v>2735</v>
      </c>
    </row>
    <row r="11068" spans="1:7" x14ac:dyDescent="0.35">
      <c r="A11068" s="1" t="s">
        <v>1381</v>
      </c>
    </row>
    <row r="11069" spans="1:7" x14ac:dyDescent="0.35">
      <c r="A11069" t="s">
        <v>219</v>
      </c>
      <c r="B11069" t="s">
        <v>305</v>
      </c>
      <c r="C11069" t="s">
        <v>303</v>
      </c>
      <c r="D11069" t="s">
        <v>302</v>
      </c>
      <c r="E11069" t="s">
        <v>281</v>
      </c>
      <c r="F11069" t="s">
        <v>286</v>
      </c>
      <c r="G11069" t="s">
        <v>226</v>
      </c>
    </row>
    <row r="11070" spans="1:7" x14ac:dyDescent="0.35">
      <c r="A11070" t="s">
        <v>227</v>
      </c>
      <c r="B11070" t="s">
        <v>1341</v>
      </c>
      <c r="C11070" s="26">
        <v>0.41670000000000001</v>
      </c>
      <c r="D11070" s="26">
        <v>0.58330000000000004</v>
      </c>
      <c r="G11070">
        <v>36</v>
      </c>
    </row>
    <row r="11071" spans="1:7" x14ac:dyDescent="0.35">
      <c r="A11071" s="27" t="s">
        <v>227</v>
      </c>
      <c r="B11071" s="27" t="s">
        <v>1342</v>
      </c>
      <c r="C11071" s="29"/>
      <c r="D11071" s="28">
        <v>1</v>
      </c>
      <c r="E11071" s="29"/>
      <c r="F11071" s="29"/>
      <c r="G11071" s="29" t="s">
        <v>331</v>
      </c>
    </row>
    <row r="11072" spans="1:7" x14ac:dyDescent="0.35">
      <c r="A11072" t="s">
        <v>227</v>
      </c>
      <c r="B11072" t="s">
        <v>1343</v>
      </c>
      <c r="C11072" s="26">
        <v>0.47499999999999998</v>
      </c>
      <c r="D11072" s="26">
        <v>0.52500000000000002</v>
      </c>
      <c r="G11072">
        <v>80</v>
      </c>
    </row>
    <row r="11073" spans="1:7" x14ac:dyDescent="0.35">
      <c r="A11073" t="s">
        <v>228</v>
      </c>
      <c r="B11073" t="s">
        <v>1341</v>
      </c>
      <c r="C11073" s="26">
        <v>0.78700000000000003</v>
      </c>
      <c r="D11073" s="26">
        <v>0.21029999999999999</v>
      </c>
      <c r="F11073" s="26">
        <v>2.5999999999999999E-3</v>
      </c>
      <c r="G11073">
        <v>305</v>
      </c>
    </row>
    <row r="11074" spans="1:7" x14ac:dyDescent="0.35">
      <c r="A11074" s="27" t="s">
        <v>228</v>
      </c>
      <c r="B11074" s="27" t="s">
        <v>1342</v>
      </c>
      <c r="C11074" s="28">
        <v>1</v>
      </c>
      <c r="D11074" s="29"/>
      <c r="E11074" s="29"/>
      <c r="F11074" s="29"/>
      <c r="G11074" s="29" t="s">
        <v>331</v>
      </c>
    </row>
    <row r="11075" spans="1:7" x14ac:dyDescent="0.35">
      <c r="A11075" t="s">
        <v>228</v>
      </c>
      <c r="B11075" t="s">
        <v>1343</v>
      </c>
      <c r="C11075" s="26">
        <v>0.77359999999999995</v>
      </c>
      <c r="D11075" s="26">
        <v>0.21929999999999999</v>
      </c>
      <c r="E11075" s="26">
        <v>7.1000000000000004E-3</v>
      </c>
      <c r="G11075">
        <v>727</v>
      </c>
    </row>
    <row r="11076" spans="1:7" x14ac:dyDescent="0.35">
      <c r="A11076" t="s">
        <v>229</v>
      </c>
      <c r="B11076" t="s">
        <v>1341</v>
      </c>
      <c r="C11076" s="26">
        <v>0.75990000000000002</v>
      </c>
      <c r="D11076" s="26">
        <v>0.23810000000000001</v>
      </c>
      <c r="E11076" s="26">
        <v>1E-3</v>
      </c>
      <c r="F11076" s="26">
        <v>1E-3</v>
      </c>
      <c r="G11076">
        <v>273</v>
      </c>
    </row>
    <row r="11077" spans="1:7" x14ac:dyDescent="0.35">
      <c r="A11077" t="s">
        <v>229</v>
      </c>
      <c r="B11077" t="s">
        <v>1343</v>
      </c>
      <c r="C11077" s="26">
        <v>0.77510000000000001</v>
      </c>
      <c r="D11077" s="26">
        <v>0.21879999999999999</v>
      </c>
      <c r="E11077" s="26">
        <v>5.4000000000000003E-3</v>
      </c>
      <c r="F11077" s="26">
        <v>6.9999999999999999E-4</v>
      </c>
      <c r="G11077">
        <v>622</v>
      </c>
    </row>
    <row r="11078" spans="1:7" x14ac:dyDescent="0.35">
      <c r="A11078" t="s">
        <v>230</v>
      </c>
      <c r="B11078" t="s">
        <v>1341</v>
      </c>
      <c r="C11078" s="26">
        <v>0.7631</v>
      </c>
      <c r="D11078" s="26">
        <v>0.2369</v>
      </c>
      <c r="G11078">
        <v>156</v>
      </c>
    </row>
    <row r="11079" spans="1:7" x14ac:dyDescent="0.35">
      <c r="A11079" t="s">
        <v>230</v>
      </c>
      <c r="B11079" t="s">
        <v>1343</v>
      </c>
      <c r="C11079" s="26">
        <v>0.74119999999999997</v>
      </c>
      <c r="D11079" s="26">
        <v>0.25619999999999998</v>
      </c>
      <c r="E11079" s="26">
        <v>2.5999999999999999E-3</v>
      </c>
      <c r="G11079">
        <v>404</v>
      </c>
    </row>
    <row r="11080" spans="1:7" x14ac:dyDescent="0.35">
      <c r="A11080" t="s">
        <v>231</v>
      </c>
      <c r="B11080" t="s">
        <v>1341</v>
      </c>
      <c r="C11080" s="26">
        <v>0.3019</v>
      </c>
      <c r="D11080" s="26">
        <v>0.69810000000000005</v>
      </c>
      <c r="G11080">
        <v>53</v>
      </c>
    </row>
    <row r="11081" spans="1:7" x14ac:dyDescent="0.35">
      <c r="A11081" t="s">
        <v>231</v>
      </c>
      <c r="B11081" t="s">
        <v>1343</v>
      </c>
      <c r="C11081" s="26">
        <v>0.28570000000000001</v>
      </c>
      <c r="D11081" s="26">
        <v>0.70130000000000003</v>
      </c>
      <c r="E11081" s="26">
        <v>1.2999999999999999E-2</v>
      </c>
      <c r="G11081">
        <v>77</v>
      </c>
    </row>
    <row r="11082" spans="1:7" x14ac:dyDescent="0.35">
      <c r="A11082" t="s">
        <v>232</v>
      </c>
      <c r="B11082" t="s">
        <v>232</v>
      </c>
      <c r="C11082" s="26">
        <v>0.61570000000000003</v>
      </c>
      <c r="D11082" s="26">
        <v>0.3795</v>
      </c>
      <c r="E11082" s="26">
        <v>4.4000000000000003E-3</v>
      </c>
      <c r="F11082" s="26">
        <v>4.0000000000000002E-4</v>
      </c>
      <c r="G11082">
        <v>2735</v>
      </c>
    </row>
    <row r="11084" spans="1:7" x14ac:dyDescent="0.35">
      <c r="A11084" s="1" t="s">
        <v>1382</v>
      </c>
    </row>
    <row r="11085" spans="1:7" x14ac:dyDescent="0.35">
      <c r="A11085" t="s">
        <v>219</v>
      </c>
      <c r="B11085" t="s">
        <v>305</v>
      </c>
      <c r="C11085" t="s">
        <v>303</v>
      </c>
      <c r="D11085" t="s">
        <v>302</v>
      </c>
      <c r="E11085" t="s">
        <v>281</v>
      </c>
      <c r="F11085" t="s">
        <v>286</v>
      </c>
      <c r="G11085" t="s">
        <v>226</v>
      </c>
    </row>
    <row r="11086" spans="1:7" x14ac:dyDescent="0.35">
      <c r="A11086" s="27" t="s">
        <v>227</v>
      </c>
      <c r="B11086" s="27" t="s">
        <v>1345</v>
      </c>
      <c r="C11086" s="29"/>
      <c r="D11086" s="28">
        <v>1</v>
      </c>
      <c r="E11086" s="29"/>
      <c r="F11086" s="29"/>
      <c r="G11086" s="29" t="s">
        <v>314</v>
      </c>
    </row>
    <row r="11087" spans="1:7" x14ac:dyDescent="0.35">
      <c r="A11087" t="s">
        <v>227</v>
      </c>
      <c r="B11087" t="s">
        <v>1346</v>
      </c>
      <c r="C11087" s="26">
        <v>0.4194</v>
      </c>
      <c r="D11087" s="26">
        <v>0.5806</v>
      </c>
      <c r="G11087">
        <v>31</v>
      </c>
    </row>
    <row r="11088" spans="1:7" x14ac:dyDescent="0.35">
      <c r="A11088" s="27" t="s">
        <v>227</v>
      </c>
      <c r="B11088" s="27" t="s">
        <v>1347</v>
      </c>
      <c r="C11088" s="28">
        <v>0.44</v>
      </c>
      <c r="D11088" s="28">
        <v>0.56000000000000005</v>
      </c>
      <c r="E11088" s="29"/>
      <c r="F11088" s="29"/>
      <c r="G11088" s="29" t="s">
        <v>312</v>
      </c>
    </row>
    <row r="11089" spans="1:7" x14ac:dyDescent="0.35">
      <c r="A11089" t="s">
        <v>227</v>
      </c>
      <c r="B11089" t="s">
        <v>1348</v>
      </c>
      <c r="C11089" s="26">
        <v>0.49149999999999999</v>
      </c>
      <c r="D11089" s="26">
        <v>0.50849999999999995</v>
      </c>
      <c r="G11089">
        <v>59</v>
      </c>
    </row>
    <row r="11090" spans="1:7" x14ac:dyDescent="0.35">
      <c r="A11090" t="s">
        <v>228</v>
      </c>
      <c r="B11090" t="s">
        <v>1348</v>
      </c>
      <c r="C11090" s="26">
        <v>0.80320000000000003</v>
      </c>
      <c r="D11090" s="26">
        <v>0.19289999999999999</v>
      </c>
      <c r="E11090" s="26">
        <v>3.8999999999999998E-3</v>
      </c>
      <c r="G11090">
        <v>532</v>
      </c>
    </row>
    <row r="11091" spans="1:7" x14ac:dyDescent="0.35">
      <c r="A11091" t="s">
        <v>228</v>
      </c>
      <c r="B11091" t="s">
        <v>1347</v>
      </c>
      <c r="C11091" s="26">
        <v>0.88060000000000005</v>
      </c>
      <c r="D11091" s="26">
        <v>0.10630000000000001</v>
      </c>
      <c r="E11091" s="26">
        <v>1.09E-2</v>
      </c>
      <c r="F11091" s="26">
        <v>2.2000000000000001E-3</v>
      </c>
      <c r="G11091">
        <v>204</v>
      </c>
    </row>
    <row r="11092" spans="1:7" x14ac:dyDescent="0.35">
      <c r="A11092" t="s">
        <v>228</v>
      </c>
      <c r="B11092" t="s">
        <v>1346</v>
      </c>
      <c r="C11092" s="26">
        <v>0.63449999999999995</v>
      </c>
      <c r="D11092" s="26">
        <v>0.3609</v>
      </c>
      <c r="E11092" s="26">
        <v>3.2000000000000002E-3</v>
      </c>
      <c r="F11092" s="26">
        <v>1.4E-3</v>
      </c>
      <c r="G11092">
        <v>286</v>
      </c>
    </row>
    <row r="11093" spans="1:7" x14ac:dyDescent="0.35">
      <c r="A11093" s="27" t="s">
        <v>228</v>
      </c>
      <c r="B11093" s="27" t="s">
        <v>1345</v>
      </c>
      <c r="C11093" s="28">
        <v>1</v>
      </c>
      <c r="D11093" s="29"/>
      <c r="E11093" s="29"/>
      <c r="F11093" s="29"/>
      <c r="G11093" s="29" t="s">
        <v>352</v>
      </c>
    </row>
    <row r="11094" spans="1:7" x14ac:dyDescent="0.35">
      <c r="A11094" s="27" t="s">
        <v>229</v>
      </c>
      <c r="B11094" s="27" t="s">
        <v>1345</v>
      </c>
      <c r="C11094" s="28">
        <v>0.73560000000000003</v>
      </c>
      <c r="D11094" s="28">
        <v>0.26440000000000002</v>
      </c>
      <c r="E11094" s="29"/>
      <c r="F11094" s="29"/>
      <c r="G11094" s="29" t="s">
        <v>357</v>
      </c>
    </row>
    <row r="11095" spans="1:7" x14ac:dyDescent="0.35">
      <c r="A11095" t="s">
        <v>229</v>
      </c>
      <c r="B11095" t="s">
        <v>1346</v>
      </c>
      <c r="C11095" s="26">
        <v>0.65380000000000005</v>
      </c>
      <c r="D11095" s="26">
        <v>0.33100000000000002</v>
      </c>
      <c r="E11095" s="26">
        <v>1.52E-2</v>
      </c>
      <c r="G11095">
        <v>184</v>
      </c>
    </row>
    <row r="11096" spans="1:7" x14ac:dyDescent="0.35">
      <c r="A11096" t="s">
        <v>229</v>
      </c>
      <c r="B11096" t="s">
        <v>1347</v>
      </c>
      <c r="C11096" s="26">
        <v>0.84079999999999999</v>
      </c>
      <c r="D11096" s="26">
        <v>0.1583</v>
      </c>
      <c r="E11096" s="26">
        <v>2.9999999999999997E-4</v>
      </c>
      <c r="F11096" s="26">
        <v>5.9999999999999995E-4</v>
      </c>
      <c r="G11096">
        <v>302</v>
      </c>
    </row>
    <row r="11097" spans="1:7" x14ac:dyDescent="0.35">
      <c r="A11097" t="s">
        <v>229</v>
      </c>
      <c r="B11097" t="s">
        <v>1348</v>
      </c>
      <c r="C11097" s="26">
        <v>0.7792</v>
      </c>
      <c r="D11097" s="26">
        <v>0.21790000000000001</v>
      </c>
      <c r="E11097" s="26">
        <v>1.4E-3</v>
      </c>
      <c r="F11097" s="26">
        <v>1.4E-3</v>
      </c>
      <c r="G11097">
        <v>383</v>
      </c>
    </row>
    <row r="11098" spans="1:7" x14ac:dyDescent="0.35">
      <c r="A11098" t="s">
        <v>230</v>
      </c>
      <c r="B11098" t="s">
        <v>1346</v>
      </c>
      <c r="C11098" s="26">
        <v>0.59230000000000005</v>
      </c>
      <c r="D11098" s="26">
        <v>0.40360000000000001</v>
      </c>
      <c r="E11098" s="26">
        <v>4.1000000000000003E-3</v>
      </c>
      <c r="G11098">
        <v>140</v>
      </c>
    </row>
    <row r="11099" spans="1:7" x14ac:dyDescent="0.35">
      <c r="A11099" t="s">
        <v>230</v>
      </c>
      <c r="B11099" t="s">
        <v>1348</v>
      </c>
      <c r="C11099" s="26">
        <v>0.77510000000000001</v>
      </c>
      <c r="D11099" s="26">
        <v>0.22309999999999999</v>
      </c>
      <c r="E11099" s="26">
        <v>1.8E-3</v>
      </c>
      <c r="G11099">
        <v>259</v>
      </c>
    </row>
    <row r="11100" spans="1:7" x14ac:dyDescent="0.35">
      <c r="A11100" t="s">
        <v>230</v>
      </c>
      <c r="B11100" t="s">
        <v>1347</v>
      </c>
      <c r="C11100" s="26">
        <v>0.80740000000000001</v>
      </c>
      <c r="D11100" s="26">
        <v>0.19259999999999999</v>
      </c>
      <c r="G11100">
        <v>153</v>
      </c>
    </row>
    <row r="11101" spans="1:7" x14ac:dyDescent="0.35">
      <c r="A11101" s="27" t="s">
        <v>230</v>
      </c>
      <c r="B11101" s="27" t="s">
        <v>1345</v>
      </c>
      <c r="C11101" s="28">
        <v>0.9546</v>
      </c>
      <c r="D11101" s="28">
        <v>4.5400000000000003E-2</v>
      </c>
      <c r="E11101" s="29"/>
      <c r="F11101" s="29"/>
      <c r="G11101" s="29" t="s">
        <v>333</v>
      </c>
    </row>
    <row r="11102" spans="1:7" x14ac:dyDescent="0.35">
      <c r="A11102" s="27" t="s">
        <v>231</v>
      </c>
      <c r="B11102" s="27" t="s">
        <v>1345</v>
      </c>
      <c r="C11102" s="28">
        <v>0.33329999999999999</v>
      </c>
      <c r="D11102" s="28">
        <v>0.66669999999999996</v>
      </c>
      <c r="E11102" s="29"/>
      <c r="F11102" s="29"/>
      <c r="G11102" s="29" t="s">
        <v>315</v>
      </c>
    </row>
    <row r="11103" spans="1:7" x14ac:dyDescent="0.35">
      <c r="A11103" t="s">
        <v>231</v>
      </c>
      <c r="B11103" t="s">
        <v>1346</v>
      </c>
      <c r="C11103" s="26">
        <v>0.18179999999999999</v>
      </c>
      <c r="D11103" s="26">
        <v>0.81820000000000004</v>
      </c>
      <c r="G11103">
        <v>33</v>
      </c>
    </row>
    <row r="11104" spans="1:7" x14ac:dyDescent="0.35">
      <c r="A11104" s="27" t="s">
        <v>231</v>
      </c>
      <c r="B11104" s="27" t="s">
        <v>1347</v>
      </c>
      <c r="C11104" s="28">
        <v>0.23080000000000001</v>
      </c>
      <c r="D11104" s="28">
        <v>0.73080000000000001</v>
      </c>
      <c r="E11104" s="28">
        <v>3.85E-2</v>
      </c>
      <c r="F11104" s="29"/>
      <c r="G11104" s="29" t="s">
        <v>357</v>
      </c>
    </row>
    <row r="11105" spans="1:8" x14ac:dyDescent="0.35">
      <c r="A11105" t="s">
        <v>231</v>
      </c>
      <c r="B11105" t="s">
        <v>1348</v>
      </c>
      <c r="C11105" s="26">
        <v>0.36759999999999998</v>
      </c>
      <c r="D11105" s="26">
        <v>0.63239999999999996</v>
      </c>
      <c r="G11105">
        <v>68</v>
      </c>
    </row>
    <row r="11106" spans="1:8" x14ac:dyDescent="0.35">
      <c r="A11106" t="s">
        <v>232</v>
      </c>
      <c r="B11106" t="s">
        <v>232</v>
      </c>
      <c r="C11106" s="26">
        <v>0.61570000000000003</v>
      </c>
      <c r="D11106" s="26">
        <v>0.3795</v>
      </c>
      <c r="E11106" s="26">
        <v>4.4000000000000003E-3</v>
      </c>
      <c r="F11106" s="26">
        <v>4.0000000000000002E-4</v>
      </c>
      <c r="G11106">
        <v>2735</v>
      </c>
    </row>
    <row r="11108" spans="1:8" x14ac:dyDescent="0.35">
      <c r="A11108" s="1" t="s">
        <v>1383</v>
      </c>
    </row>
    <row r="11109" spans="1:8" x14ac:dyDescent="0.35">
      <c r="A11109" t="s">
        <v>219</v>
      </c>
      <c r="B11109" t="s">
        <v>305</v>
      </c>
      <c r="C11109" t="s">
        <v>345</v>
      </c>
      <c r="D11109" t="s">
        <v>303</v>
      </c>
      <c r="E11109" t="s">
        <v>302</v>
      </c>
      <c r="F11109" t="s">
        <v>281</v>
      </c>
      <c r="G11109" t="s">
        <v>286</v>
      </c>
      <c r="H11109" t="s">
        <v>226</v>
      </c>
    </row>
    <row r="11110" spans="1:8" x14ac:dyDescent="0.35">
      <c r="A11110" s="27" t="s">
        <v>227</v>
      </c>
      <c r="B11110" s="27" t="s">
        <v>1341</v>
      </c>
      <c r="C11110" s="27" t="s">
        <v>1345</v>
      </c>
      <c r="D11110" s="29"/>
      <c r="E11110" s="28">
        <v>1</v>
      </c>
      <c r="F11110" s="29"/>
      <c r="G11110" s="29"/>
      <c r="H11110" s="29" t="s">
        <v>331</v>
      </c>
    </row>
    <row r="11111" spans="1:8" x14ac:dyDescent="0.35">
      <c r="A11111" s="27" t="s">
        <v>227</v>
      </c>
      <c r="B11111" s="27" t="s">
        <v>1343</v>
      </c>
      <c r="C11111" s="27" t="s">
        <v>1346</v>
      </c>
      <c r="D11111" s="28">
        <v>0.45</v>
      </c>
      <c r="E11111" s="28">
        <v>0.55000000000000004</v>
      </c>
      <c r="F11111" s="29"/>
      <c r="G11111" s="29"/>
      <c r="H11111" s="29" t="s">
        <v>350</v>
      </c>
    </row>
    <row r="11112" spans="1:8" x14ac:dyDescent="0.35">
      <c r="A11112" t="s">
        <v>227</v>
      </c>
      <c r="B11112" t="s">
        <v>1343</v>
      </c>
      <c r="C11112" t="s">
        <v>1348</v>
      </c>
      <c r="D11112" s="26">
        <v>0.5</v>
      </c>
      <c r="E11112" s="26">
        <v>0.5</v>
      </c>
      <c r="H11112">
        <v>46</v>
      </c>
    </row>
    <row r="11113" spans="1:8" x14ac:dyDescent="0.35">
      <c r="A11113" s="27" t="s">
        <v>227</v>
      </c>
      <c r="B11113" s="27" t="s">
        <v>1341</v>
      </c>
      <c r="C11113" s="27" t="s">
        <v>1347</v>
      </c>
      <c r="D11113" s="28">
        <v>0.41670000000000001</v>
      </c>
      <c r="E11113" s="28">
        <v>0.58330000000000004</v>
      </c>
      <c r="F11113" s="29"/>
      <c r="G11113" s="29"/>
      <c r="H11113" s="29" t="s">
        <v>342</v>
      </c>
    </row>
    <row r="11114" spans="1:8" x14ac:dyDescent="0.35">
      <c r="A11114" s="27" t="s">
        <v>227</v>
      </c>
      <c r="B11114" s="27" t="s">
        <v>1343</v>
      </c>
      <c r="C11114" s="27" t="s">
        <v>1347</v>
      </c>
      <c r="D11114" s="28">
        <v>0.46150000000000002</v>
      </c>
      <c r="E11114" s="28">
        <v>0.53849999999999998</v>
      </c>
      <c r="F11114" s="29"/>
      <c r="G11114" s="29"/>
      <c r="H11114" s="29" t="s">
        <v>341</v>
      </c>
    </row>
    <row r="11115" spans="1:8" x14ac:dyDescent="0.35">
      <c r="A11115" s="27" t="s">
        <v>227</v>
      </c>
      <c r="B11115" s="27" t="s">
        <v>1343</v>
      </c>
      <c r="C11115" s="27" t="s">
        <v>1345</v>
      </c>
      <c r="D11115" s="29"/>
      <c r="E11115" s="28">
        <v>1</v>
      </c>
      <c r="F11115" s="29"/>
      <c r="G11115" s="29"/>
      <c r="H11115" s="29" t="s">
        <v>331</v>
      </c>
    </row>
    <row r="11116" spans="1:8" x14ac:dyDescent="0.35">
      <c r="A11116" s="27" t="s">
        <v>227</v>
      </c>
      <c r="B11116" s="27" t="s">
        <v>1341</v>
      </c>
      <c r="C11116" s="27" t="s">
        <v>1348</v>
      </c>
      <c r="D11116" s="28">
        <v>0.5</v>
      </c>
      <c r="E11116" s="28">
        <v>0.5</v>
      </c>
      <c r="F11116" s="29"/>
      <c r="G11116" s="29"/>
      <c r="H11116" s="29" t="s">
        <v>342</v>
      </c>
    </row>
    <row r="11117" spans="1:8" x14ac:dyDescent="0.35">
      <c r="A11117" s="27" t="s">
        <v>227</v>
      </c>
      <c r="B11117" s="27" t="s">
        <v>1342</v>
      </c>
      <c r="C11117" s="27" t="s">
        <v>1348</v>
      </c>
      <c r="D11117" s="29"/>
      <c r="E11117" s="28">
        <v>1</v>
      </c>
      <c r="F11117" s="29"/>
      <c r="G11117" s="29"/>
      <c r="H11117" s="29" t="s">
        <v>331</v>
      </c>
    </row>
    <row r="11118" spans="1:8" x14ac:dyDescent="0.35">
      <c r="A11118" s="27" t="s">
        <v>227</v>
      </c>
      <c r="B11118" s="27" t="s">
        <v>1341</v>
      </c>
      <c r="C11118" s="27" t="s">
        <v>1346</v>
      </c>
      <c r="D11118" s="28">
        <v>0.36359999999999998</v>
      </c>
      <c r="E11118" s="28">
        <v>0.63639999999999997</v>
      </c>
      <c r="F11118" s="29"/>
      <c r="G11118" s="29"/>
      <c r="H11118" s="29" t="s">
        <v>352</v>
      </c>
    </row>
    <row r="11119" spans="1:8" x14ac:dyDescent="0.35">
      <c r="A11119" t="s">
        <v>228</v>
      </c>
      <c r="B11119" t="s">
        <v>1343</v>
      </c>
      <c r="C11119" t="s">
        <v>1348</v>
      </c>
      <c r="D11119" s="26">
        <v>0.81159999999999999</v>
      </c>
      <c r="E11119" s="26">
        <v>0.1822</v>
      </c>
      <c r="F11119" s="26">
        <v>6.1000000000000004E-3</v>
      </c>
      <c r="H11119">
        <v>352</v>
      </c>
    </row>
    <row r="11120" spans="1:8" x14ac:dyDescent="0.35">
      <c r="A11120" t="s">
        <v>228</v>
      </c>
      <c r="B11120" t="s">
        <v>1343</v>
      </c>
      <c r="C11120" t="s">
        <v>1347</v>
      </c>
      <c r="D11120" s="26">
        <v>0.8982</v>
      </c>
      <c r="E11120" s="26">
        <v>8.5400000000000004E-2</v>
      </c>
      <c r="F11120" s="26">
        <v>1.6400000000000001E-2</v>
      </c>
      <c r="H11120">
        <v>130</v>
      </c>
    </row>
    <row r="11121" spans="1:8" x14ac:dyDescent="0.35">
      <c r="A11121" s="27" t="s">
        <v>228</v>
      </c>
      <c r="B11121" s="27" t="s">
        <v>1343</v>
      </c>
      <c r="C11121" s="27" t="s">
        <v>1345</v>
      </c>
      <c r="D11121" s="28">
        <v>1</v>
      </c>
      <c r="E11121" s="29"/>
      <c r="F11121" s="29"/>
      <c r="G11121" s="29"/>
      <c r="H11121" s="29" t="s">
        <v>335</v>
      </c>
    </row>
    <row r="11122" spans="1:8" x14ac:dyDescent="0.35">
      <c r="A11122" t="s">
        <v>228</v>
      </c>
      <c r="B11122" t="s">
        <v>1341</v>
      </c>
      <c r="C11122" t="s">
        <v>1346</v>
      </c>
      <c r="D11122" s="26">
        <v>0.65749999999999997</v>
      </c>
      <c r="E11122" s="26">
        <v>0.33229999999999998</v>
      </c>
      <c r="G11122" s="26">
        <v>1.0200000000000001E-2</v>
      </c>
      <c r="H11122">
        <v>47</v>
      </c>
    </row>
    <row r="11123" spans="1:8" x14ac:dyDescent="0.35">
      <c r="A11123" s="27" t="s">
        <v>228</v>
      </c>
      <c r="B11123" s="27" t="s">
        <v>1342</v>
      </c>
      <c r="C11123" s="27" t="s">
        <v>1348</v>
      </c>
      <c r="D11123" s="28">
        <v>1</v>
      </c>
      <c r="E11123" s="29"/>
      <c r="F11123" s="29"/>
      <c r="G11123" s="29"/>
      <c r="H11123" s="29" t="s">
        <v>331</v>
      </c>
    </row>
    <row r="11124" spans="1:8" x14ac:dyDescent="0.35">
      <c r="A11124" t="s">
        <v>228</v>
      </c>
      <c r="B11124" t="s">
        <v>1343</v>
      </c>
      <c r="C11124" t="s">
        <v>1346</v>
      </c>
      <c r="D11124" s="26">
        <v>0.63090000000000002</v>
      </c>
      <c r="E11124" s="26">
        <v>0.3654</v>
      </c>
      <c r="F11124" s="26">
        <v>3.7000000000000002E-3</v>
      </c>
      <c r="H11124">
        <v>239</v>
      </c>
    </row>
    <row r="11125" spans="1:8" x14ac:dyDescent="0.35">
      <c r="A11125" s="27" t="s">
        <v>228</v>
      </c>
      <c r="B11125" s="27" t="s">
        <v>1341</v>
      </c>
      <c r="C11125" s="27" t="s">
        <v>1345</v>
      </c>
      <c r="D11125" s="28">
        <v>1</v>
      </c>
      <c r="E11125" s="29"/>
      <c r="F11125" s="29"/>
      <c r="G11125" s="29"/>
      <c r="H11125" s="29" t="s">
        <v>332</v>
      </c>
    </row>
    <row r="11126" spans="1:8" x14ac:dyDescent="0.35">
      <c r="A11126" t="s">
        <v>228</v>
      </c>
      <c r="B11126" t="s">
        <v>1341</v>
      </c>
      <c r="C11126" t="s">
        <v>1348</v>
      </c>
      <c r="D11126" s="26">
        <v>0.78439999999999999</v>
      </c>
      <c r="E11126" s="26">
        <v>0.21560000000000001</v>
      </c>
      <c r="H11126">
        <v>179</v>
      </c>
    </row>
    <row r="11127" spans="1:8" x14ac:dyDescent="0.35">
      <c r="A11127" t="s">
        <v>228</v>
      </c>
      <c r="B11127" t="s">
        <v>1341</v>
      </c>
      <c r="C11127" t="s">
        <v>1347</v>
      </c>
      <c r="D11127" s="26">
        <v>0.84540000000000004</v>
      </c>
      <c r="E11127" s="26">
        <v>0.14810000000000001</v>
      </c>
      <c r="G11127" s="26">
        <v>6.4999999999999997E-3</v>
      </c>
      <c r="H11127">
        <v>74</v>
      </c>
    </row>
    <row r="11128" spans="1:8" x14ac:dyDescent="0.35">
      <c r="A11128" t="s">
        <v>229</v>
      </c>
      <c r="B11128" t="s">
        <v>1343</v>
      </c>
      <c r="C11128" t="s">
        <v>1348</v>
      </c>
      <c r="D11128" s="26">
        <v>0.78300000000000003</v>
      </c>
      <c r="E11128" s="26">
        <v>0.21379999999999999</v>
      </c>
      <c r="F11128" s="26">
        <v>2.0999999999999999E-3</v>
      </c>
      <c r="G11128" s="26">
        <v>1.1000000000000001E-3</v>
      </c>
      <c r="H11128">
        <v>276</v>
      </c>
    </row>
    <row r="11129" spans="1:8" x14ac:dyDescent="0.35">
      <c r="A11129" s="27" t="s">
        <v>229</v>
      </c>
      <c r="B11129" s="27" t="s">
        <v>1341</v>
      </c>
      <c r="C11129" s="27" t="s">
        <v>1345</v>
      </c>
      <c r="D11129" s="28">
        <v>0.87409999999999999</v>
      </c>
      <c r="E11129" s="28">
        <v>0.12590000000000001</v>
      </c>
      <c r="F11129" s="29"/>
      <c r="G11129" s="29"/>
      <c r="H11129" s="29" t="s">
        <v>334</v>
      </c>
    </row>
    <row r="11130" spans="1:8" x14ac:dyDescent="0.35">
      <c r="A11130" t="s">
        <v>229</v>
      </c>
      <c r="B11130" t="s">
        <v>1343</v>
      </c>
      <c r="C11130" t="s">
        <v>1347</v>
      </c>
      <c r="D11130" s="26">
        <v>0.82509999999999994</v>
      </c>
      <c r="E11130" s="26">
        <v>0.17349999999999999</v>
      </c>
      <c r="F11130" s="26">
        <v>5.0000000000000001E-4</v>
      </c>
      <c r="G11130" s="26">
        <v>8.9999999999999998E-4</v>
      </c>
      <c r="H11130">
        <v>198</v>
      </c>
    </row>
    <row r="11131" spans="1:8" x14ac:dyDescent="0.35">
      <c r="A11131" s="27" t="s">
        <v>229</v>
      </c>
      <c r="B11131" s="27" t="s">
        <v>1343</v>
      </c>
      <c r="C11131" s="27" t="s">
        <v>1345</v>
      </c>
      <c r="D11131" s="28">
        <v>0.64200000000000002</v>
      </c>
      <c r="E11131" s="28">
        <v>0.35799999999999998</v>
      </c>
      <c r="F11131" s="29"/>
      <c r="G11131" s="29"/>
      <c r="H11131" s="29" t="s">
        <v>343</v>
      </c>
    </row>
    <row r="11132" spans="1:8" x14ac:dyDescent="0.35">
      <c r="A11132" t="s">
        <v>229</v>
      </c>
      <c r="B11132" t="s">
        <v>1341</v>
      </c>
      <c r="C11132" t="s">
        <v>1348</v>
      </c>
      <c r="D11132" s="26">
        <v>0.77170000000000005</v>
      </c>
      <c r="E11132" s="26">
        <v>0.22620000000000001</v>
      </c>
      <c r="G11132" s="26">
        <v>2.0999999999999999E-3</v>
      </c>
      <c r="H11132">
        <v>107</v>
      </c>
    </row>
    <row r="11133" spans="1:8" x14ac:dyDescent="0.35">
      <c r="A11133" t="s">
        <v>229</v>
      </c>
      <c r="B11133" t="s">
        <v>1343</v>
      </c>
      <c r="C11133" t="s">
        <v>1346</v>
      </c>
      <c r="D11133" s="26">
        <v>0.7097</v>
      </c>
      <c r="E11133" s="26">
        <v>0.27150000000000002</v>
      </c>
      <c r="F11133" s="26">
        <v>1.8800000000000001E-2</v>
      </c>
      <c r="H11133">
        <v>131</v>
      </c>
    </row>
    <row r="11134" spans="1:8" x14ac:dyDescent="0.35">
      <c r="A11134" t="s">
        <v>229</v>
      </c>
      <c r="B11134" t="s">
        <v>1341</v>
      </c>
      <c r="C11134" t="s">
        <v>1346</v>
      </c>
      <c r="D11134" s="26">
        <v>0.50749999999999995</v>
      </c>
      <c r="E11134" s="26">
        <v>0.48680000000000001</v>
      </c>
      <c r="F11134" s="26">
        <v>5.7000000000000002E-3</v>
      </c>
      <c r="H11134">
        <v>53</v>
      </c>
    </row>
    <row r="11135" spans="1:8" x14ac:dyDescent="0.35">
      <c r="A11135" t="s">
        <v>229</v>
      </c>
      <c r="B11135" t="s">
        <v>1341</v>
      </c>
      <c r="C11135" t="s">
        <v>1347</v>
      </c>
      <c r="D11135" s="26">
        <v>0.87</v>
      </c>
      <c r="E11135" s="26">
        <v>0.13</v>
      </c>
      <c r="H11135">
        <v>104</v>
      </c>
    </row>
    <row r="11136" spans="1:8" x14ac:dyDescent="0.35">
      <c r="A11136" t="s">
        <v>230</v>
      </c>
      <c r="B11136" t="s">
        <v>1341</v>
      </c>
      <c r="C11136" t="s">
        <v>1347</v>
      </c>
      <c r="D11136" s="26">
        <v>0.94010000000000005</v>
      </c>
      <c r="E11136" s="26">
        <v>5.9900000000000002E-2</v>
      </c>
      <c r="H11136">
        <v>47</v>
      </c>
    </row>
    <row r="11137" spans="1:8" x14ac:dyDescent="0.35">
      <c r="A11137" s="27" t="s">
        <v>230</v>
      </c>
      <c r="B11137" s="27" t="s">
        <v>1343</v>
      </c>
      <c r="C11137" s="27" t="s">
        <v>1345</v>
      </c>
      <c r="D11137" s="28">
        <v>1</v>
      </c>
      <c r="E11137" s="29"/>
      <c r="F11137" s="29"/>
      <c r="G11137" s="29"/>
      <c r="H11137" s="29" t="s">
        <v>337</v>
      </c>
    </row>
    <row r="11138" spans="1:8" x14ac:dyDescent="0.35">
      <c r="A11138" t="s">
        <v>230</v>
      </c>
      <c r="B11138" t="s">
        <v>1343</v>
      </c>
      <c r="C11138" t="s">
        <v>1346</v>
      </c>
      <c r="D11138" s="26">
        <v>0.58330000000000004</v>
      </c>
      <c r="E11138" s="26">
        <v>0.41099999999999998</v>
      </c>
      <c r="F11138" s="26">
        <v>5.7999999999999996E-3</v>
      </c>
      <c r="H11138">
        <v>110</v>
      </c>
    </row>
    <row r="11139" spans="1:8" x14ac:dyDescent="0.35">
      <c r="A11139" s="27" t="s">
        <v>230</v>
      </c>
      <c r="B11139" s="27" t="s">
        <v>1341</v>
      </c>
      <c r="C11139" s="27" t="s">
        <v>1345</v>
      </c>
      <c r="D11139" s="28">
        <v>0.92769999999999997</v>
      </c>
      <c r="E11139" s="28">
        <v>7.2300000000000003E-2</v>
      </c>
      <c r="F11139" s="29"/>
      <c r="G11139" s="29"/>
      <c r="H11139" s="29" t="s">
        <v>337</v>
      </c>
    </row>
    <row r="11140" spans="1:8" x14ac:dyDescent="0.35">
      <c r="A11140" t="s">
        <v>230</v>
      </c>
      <c r="B11140" t="s">
        <v>1343</v>
      </c>
      <c r="C11140" t="s">
        <v>1347</v>
      </c>
      <c r="D11140" s="26">
        <v>0.73970000000000002</v>
      </c>
      <c r="E11140" s="26">
        <v>0.26029999999999998</v>
      </c>
      <c r="H11140">
        <v>106</v>
      </c>
    </row>
    <row r="11141" spans="1:8" x14ac:dyDescent="0.35">
      <c r="A11141" t="s">
        <v>230</v>
      </c>
      <c r="B11141" t="s">
        <v>1341</v>
      </c>
      <c r="C11141" t="s">
        <v>1348</v>
      </c>
      <c r="D11141" s="26">
        <v>0.6956</v>
      </c>
      <c r="E11141" s="26">
        <v>0.3044</v>
      </c>
      <c r="H11141">
        <v>75</v>
      </c>
    </row>
    <row r="11142" spans="1:8" x14ac:dyDescent="0.35">
      <c r="A11142" t="s">
        <v>230</v>
      </c>
      <c r="B11142" t="s">
        <v>1343</v>
      </c>
      <c r="C11142" t="s">
        <v>1348</v>
      </c>
      <c r="D11142" s="26">
        <v>0.80669999999999997</v>
      </c>
      <c r="E11142" s="26">
        <v>0.1908</v>
      </c>
      <c r="F11142" s="26">
        <v>2.5999999999999999E-3</v>
      </c>
      <c r="H11142">
        <v>184</v>
      </c>
    </row>
    <row r="11143" spans="1:8" x14ac:dyDescent="0.35">
      <c r="A11143" t="s">
        <v>230</v>
      </c>
      <c r="B11143" t="s">
        <v>1341</v>
      </c>
      <c r="C11143" t="s">
        <v>1346</v>
      </c>
      <c r="D11143" s="26">
        <v>0.61419999999999997</v>
      </c>
      <c r="E11143" s="26">
        <v>0.38579999999999998</v>
      </c>
      <c r="H11143">
        <v>30</v>
      </c>
    </row>
    <row r="11144" spans="1:8" x14ac:dyDescent="0.35">
      <c r="A11144" s="27" t="s">
        <v>231</v>
      </c>
      <c r="B11144" s="27" t="s">
        <v>1343</v>
      </c>
      <c r="C11144" s="27" t="s">
        <v>1346</v>
      </c>
      <c r="D11144" s="28">
        <v>0.1905</v>
      </c>
      <c r="E11144" s="28">
        <v>0.8095</v>
      </c>
      <c r="F11144" s="29"/>
      <c r="G11144" s="29"/>
      <c r="H11144" s="29" t="s">
        <v>351</v>
      </c>
    </row>
    <row r="11145" spans="1:8" x14ac:dyDescent="0.35">
      <c r="A11145" s="27" t="s">
        <v>231</v>
      </c>
      <c r="B11145" s="27" t="s">
        <v>1341</v>
      </c>
      <c r="C11145" s="27" t="s">
        <v>1346</v>
      </c>
      <c r="D11145" s="28">
        <v>0.16669999999999999</v>
      </c>
      <c r="E11145" s="28">
        <v>0.83330000000000004</v>
      </c>
      <c r="F11145" s="29"/>
      <c r="G11145" s="29"/>
      <c r="H11145" s="29" t="s">
        <v>342</v>
      </c>
    </row>
    <row r="11146" spans="1:8" x14ac:dyDescent="0.35">
      <c r="A11146" s="27" t="s">
        <v>231</v>
      </c>
      <c r="B11146" s="27" t="s">
        <v>1343</v>
      </c>
      <c r="C11146" s="27" t="s">
        <v>1345</v>
      </c>
      <c r="D11146" s="28">
        <v>0.33329999999999999</v>
      </c>
      <c r="E11146" s="28">
        <v>0.66669999999999996</v>
      </c>
      <c r="F11146" s="29"/>
      <c r="G11146" s="29"/>
      <c r="H11146" s="29" t="s">
        <v>315</v>
      </c>
    </row>
    <row r="11147" spans="1:8" x14ac:dyDescent="0.35">
      <c r="A11147" s="27" t="s">
        <v>231</v>
      </c>
      <c r="B11147" s="27" t="s">
        <v>1343</v>
      </c>
      <c r="C11147" s="27" t="s">
        <v>1347</v>
      </c>
      <c r="D11147" s="28">
        <v>0.2</v>
      </c>
      <c r="E11147" s="28">
        <v>0.73329999999999995</v>
      </c>
      <c r="F11147" s="28">
        <v>6.6699999999999995E-2</v>
      </c>
      <c r="G11147" s="29"/>
      <c r="H11147" s="29" t="s">
        <v>346</v>
      </c>
    </row>
    <row r="11148" spans="1:8" x14ac:dyDescent="0.35">
      <c r="A11148" t="s">
        <v>231</v>
      </c>
      <c r="B11148" t="s">
        <v>1341</v>
      </c>
      <c r="C11148" t="s">
        <v>1348</v>
      </c>
      <c r="D11148" s="26">
        <v>0.36670000000000003</v>
      </c>
      <c r="E11148" s="26">
        <v>0.63329999999999997</v>
      </c>
      <c r="H11148">
        <v>30</v>
      </c>
    </row>
    <row r="11149" spans="1:8" x14ac:dyDescent="0.35">
      <c r="A11149" s="27" t="s">
        <v>231</v>
      </c>
      <c r="B11149" s="27" t="s">
        <v>1341</v>
      </c>
      <c r="C11149" s="27" t="s">
        <v>1347</v>
      </c>
      <c r="D11149" s="28">
        <v>0.2727</v>
      </c>
      <c r="E11149" s="28">
        <v>0.72729999999999995</v>
      </c>
      <c r="F11149" s="29"/>
      <c r="G11149" s="29"/>
      <c r="H11149" s="29" t="s">
        <v>352</v>
      </c>
    </row>
    <row r="11150" spans="1:8" x14ac:dyDescent="0.35">
      <c r="A11150" t="s">
        <v>231</v>
      </c>
      <c r="B11150" t="s">
        <v>1343</v>
      </c>
      <c r="C11150" t="s">
        <v>1348</v>
      </c>
      <c r="D11150" s="26">
        <v>0.36840000000000001</v>
      </c>
      <c r="E11150" s="26">
        <v>0.63160000000000005</v>
      </c>
      <c r="H11150">
        <v>38</v>
      </c>
    </row>
    <row r="11151" spans="1:8" x14ac:dyDescent="0.35">
      <c r="A11151" t="s">
        <v>232</v>
      </c>
      <c r="B11151" t="s">
        <v>232</v>
      </c>
      <c r="C11151" t="s">
        <v>232</v>
      </c>
      <c r="D11151" s="26">
        <v>0.61570000000000003</v>
      </c>
      <c r="E11151" s="26">
        <v>0.3795</v>
      </c>
      <c r="F11151" s="26">
        <v>4.4000000000000003E-3</v>
      </c>
      <c r="G11151" s="26">
        <v>4.0000000000000002E-4</v>
      </c>
      <c r="H11151">
        <v>2735</v>
      </c>
    </row>
    <row r="11153" spans="1:7" x14ac:dyDescent="0.35">
      <c r="A11153" s="1" t="s">
        <v>1384</v>
      </c>
    </row>
    <row r="11154" spans="1:7" x14ac:dyDescent="0.35">
      <c r="A11154" t="s">
        <v>219</v>
      </c>
      <c r="B11154" t="s">
        <v>1351</v>
      </c>
      <c r="C11154" t="s">
        <v>1352</v>
      </c>
      <c r="D11154" t="s">
        <v>1353</v>
      </c>
      <c r="E11154" t="s">
        <v>1354</v>
      </c>
      <c r="F11154" t="s">
        <v>226</v>
      </c>
    </row>
    <row r="11155" spans="1:7" x14ac:dyDescent="0.35">
      <c r="A11155" t="s">
        <v>227</v>
      </c>
      <c r="D11155" s="26">
        <v>0.50939999999999996</v>
      </c>
      <c r="E11155" s="26">
        <v>0.49059999999999998</v>
      </c>
      <c r="F11155">
        <v>53</v>
      </c>
    </row>
    <row r="11156" spans="1:7" x14ac:dyDescent="0.35">
      <c r="A11156" t="s">
        <v>228</v>
      </c>
      <c r="B11156" s="26">
        <v>0.56440000000000001</v>
      </c>
      <c r="C11156" s="26">
        <v>0.2651</v>
      </c>
      <c r="D11156" s="26">
        <v>0.1202</v>
      </c>
      <c r="E11156" s="26">
        <v>5.0299999999999997E-2</v>
      </c>
      <c r="F11156">
        <v>816</v>
      </c>
    </row>
    <row r="11157" spans="1:7" x14ac:dyDescent="0.35">
      <c r="A11157" t="s">
        <v>229</v>
      </c>
      <c r="B11157" s="26">
        <v>0.58320000000000005</v>
      </c>
      <c r="C11157" s="26">
        <v>0.26600000000000001</v>
      </c>
      <c r="D11157" s="26">
        <v>8.7499999999999994E-2</v>
      </c>
      <c r="E11157" s="26">
        <v>6.3299999999999995E-2</v>
      </c>
      <c r="F11157">
        <v>691</v>
      </c>
    </row>
    <row r="11158" spans="1:7" x14ac:dyDescent="0.35">
      <c r="A11158" t="s">
        <v>230</v>
      </c>
      <c r="B11158" s="26">
        <v>0.49419999999999997</v>
      </c>
      <c r="C11158" s="26">
        <v>0.29389999999999999</v>
      </c>
      <c r="D11158" s="26">
        <v>0.1547</v>
      </c>
      <c r="E11158" s="26">
        <v>5.7099999999999998E-2</v>
      </c>
      <c r="F11158">
        <v>406</v>
      </c>
    </row>
    <row r="11159" spans="1:7" x14ac:dyDescent="0.35">
      <c r="A11159" t="s">
        <v>231</v>
      </c>
      <c r="D11159" s="26">
        <v>0.52629999999999999</v>
      </c>
      <c r="E11159" s="26">
        <v>0.47370000000000001</v>
      </c>
      <c r="F11159">
        <v>38</v>
      </c>
    </row>
    <row r="11160" spans="1:7" x14ac:dyDescent="0.35">
      <c r="A11160" t="s">
        <v>232</v>
      </c>
      <c r="B11160" s="26">
        <v>0.4476</v>
      </c>
      <c r="C11160" s="26">
        <v>0.215</v>
      </c>
      <c r="D11160" s="26">
        <v>0.19309999999999999</v>
      </c>
      <c r="E11160" s="26">
        <v>0.14430000000000001</v>
      </c>
      <c r="F11160">
        <v>2004</v>
      </c>
    </row>
    <row r="11162" spans="1:7" x14ac:dyDescent="0.35">
      <c r="A11162" s="1" t="s">
        <v>1385</v>
      </c>
    </row>
    <row r="11163" spans="1:7" x14ac:dyDescent="0.35">
      <c r="A11163" t="s">
        <v>219</v>
      </c>
      <c r="B11163" t="s">
        <v>305</v>
      </c>
      <c r="C11163" t="s">
        <v>1351</v>
      </c>
      <c r="D11163" t="s">
        <v>1352</v>
      </c>
      <c r="E11163" t="s">
        <v>1353</v>
      </c>
      <c r="F11163" t="s">
        <v>1354</v>
      </c>
      <c r="G11163" t="s">
        <v>226</v>
      </c>
    </row>
    <row r="11164" spans="1:7" x14ac:dyDescent="0.35">
      <c r="A11164" s="27" t="s">
        <v>227</v>
      </c>
      <c r="B11164" s="27" t="s">
        <v>242</v>
      </c>
      <c r="C11164" s="29"/>
      <c r="D11164" s="29"/>
      <c r="E11164" s="28">
        <v>0.45450000000000002</v>
      </c>
      <c r="F11164" s="28">
        <v>0.54549999999999998</v>
      </c>
      <c r="G11164" s="29" t="s">
        <v>347</v>
      </c>
    </row>
    <row r="11165" spans="1:7" x14ac:dyDescent="0.35">
      <c r="A11165" t="s">
        <v>227</v>
      </c>
      <c r="B11165" t="s">
        <v>241</v>
      </c>
      <c r="E11165" s="26">
        <v>0.5484</v>
      </c>
      <c r="F11165" s="26">
        <v>0.4516</v>
      </c>
      <c r="G11165">
        <v>31</v>
      </c>
    </row>
    <row r="11166" spans="1:7" x14ac:dyDescent="0.35">
      <c r="A11166" t="s">
        <v>228</v>
      </c>
      <c r="B11166" t="s">
        <v>242</v>
      </c>
      <c r="C11166" s="26">
        <v>0.61899999999999999</v>
      </c>
      <c r="D11166" s="26">
        <v>0.25290000000000001</v>
      </c>
      <c r="E11166" s="26">
        <v>7.4899999999999994E-2</v>
      </c>
      <c r="F11166" s="26">
        <v>5.3100000000000001E-2</v>
      </c>
      <c r="G11166">
        <v>322</v>
      </c>
    </row>
    <row r="11167" spans="1:7" x14ac:dyDescent="0.35">
      <c r="A11167" t="s">
        <v>228</v>
      </c>
      <c r="B11167" t="s">
        <v>241</v>
      </c>
      <c r="C11167" s="26">
        <v>0.53320000000000001</v>
      </c>
      <c r="D11167" s="26">
        <v>0.27200000000000002</v>
      </c>
      <c r="E11167" s="26">
        <v>0.14599999999999999</v>
      </c>
      <c r="F11167" s="26">
        <v>4.8800000000000003E-2</v>
      </c>
      <c r="G11167">
        <v>494</v>
      </c>
    </row>
    <row r="11168" spans="1:7" x14ac:dyDescent="0.35">
      <c r="A11168" t="s">
        <v>229</v>
      </c>
      <c r="B11168" t="s">
        <v>242</v>
      </c>
      <c r="C11168" s="26">
        <v>0.65939999999999999</v>
      </c>
      <c r="D11168" s="26">
        <v>0.21060000000000001</v>
      </c>
      <c r="E11168" s="26">
        <v>5.7599999999999998E-2</v>
      </c>
      <c r="F11168" s="26">
        <v>7.2400000000000006E-2</v>
      </c>
      <c r="G11168">
        <v>221</v>
      </c>
    </row>
    <row r="11169" spans="1:7" x14ac:dyDescent="0.35">
      <c r="A11169" t="s">
        <v>229</v>
      </c>
      <c r="B11169" t="s">
        <v>241</v>
      </c>
      <c r="C11169" s="26">
        <v>0.53839999999999999</v>
      </c>
      <c r="D11169" s="26">
        <v>0.29859999999999998</v>
      </c>
      <c r="E11169" s="26">
        <v>0.1051</v>
      </c>
      <c r="F11169" s="26">
        <v>5.8000000000000003E-2</v>
      </c>
      <c r="G11169">
        <v>470</v>
      </c>
    </row>
    <row r="11170" spans="1:7" x14ac:dyDescent="0.35">
      <c r="A11170" t="s">
        <v>230</v>
      </c>
      <c r="B11170" t="s">
        <v>242</v>
      </c>
      <c r="C11170" s="26">
        <v>0.55049999999999999</v>
      </c>
      <c r="D11170" s="26">
        <v>0.26040000000000002</v>
      </c>
      <c r="E11170" s="26">
        <v>0.15859999999999999</v>
      </c>
      <c r="F11170" s="26">
        <v>3.0499999999999999E-2</v>
      </c>
      <c r="G11170">
        <v>136</v>
      </c>
    </row>
    <row r="11171" spans="1:7" x14ac:dyDescent="0.35">
      <c r="A11171" t="s">
        <v>230</v>
      </c>
      <c r="B11171" t="s">
        <v>241</v>
      </c>
      <c r="C11171" s="26">
        <v>0.46839999999999998</v>
      </c>
      <c r="D11171" s="26">
        <v>0.30930000000000002</v>
      </c>
      <c r="E11171" s="26">
        <v>0.153</v>
      </c>
      <c r="F11171" s="26">
        <v>6.93E-2</v>
      </c>
      <c r="G11171">
        <v>270</v>
      </c>
    </row>
    <row r="11172" spans="1:7" x14ac:dyDescent="0.35">
      <c r="A11172" s="27" t="s">
        <v>231</v>
      </c>
      <c r="B11172" s="27" t="s">
        <v>242</v>
      </c>
      <c r="C11172" s="29"/>
      <c r="D11172" s="29"/>
      <c r="E11172" s="28">
        <v>0.5</v>
      </c>
      <c r="F11172" s="28">
        <v>0.5</v>
      </c>
      <c r="G11172" s="29" t="s">
        <v>307</v>
      </c>
    </row>
    <row r="11173" spans="1:7" x14ac:dyDescent="0.35">
      <c r="A11173" s="27" t="s">
        <v>231</v>
      </c>
      <c r="B11173" s="27" t="s">
        <v>241</v>
      </c>
      <c r="C11173" s="29"/>
      <c r="D11173" s="29"/>
      <c r="E11173" s="28">
        <v>0.53569999999999995</v>
      </c>
      <c r="F11173" s="28">
        <v>0.46429999999999999</v>
      </c>
      <c r="G11173" s="29" t="s">
        <v>336</v>
      </c>
    </row>
    <row r="11174" spans="1:7" x14ac:dyDescent="0.35">
      <c r="A11174" t="s">
        <v>232</v>
      </c>
      <c r="B11174" t="s">
        <v>232</v>
      </c>
      <c r="C11174" s="26">
        <v>0.4476</v>
      </c>
      <c r="D11174" s="26">
        <v>0.215</v>
      </c>
      <c r="E11174" s="26">
        <v>0.19309999999999999</v>
      </c>
      <c r="F11174" s="26">
        <v>0.14430000000000001</v>
      </c>
      <c r="G11174">
        <v>2004</v>
      </c>
    </row>
    <row r="11176" spans="1:7" x14ac:dyDescent="0.35">
      <c r="A11176" s="1" t="s">
        <v>1386</v>
      </c>
    </row>
    <row r="11177" spans="1:7" x14ac:dyDescent="0.35">
      <c r="A11177" t="s">
        <v>219</v>
      </c>
      <c r="B11177" t="s">
        <v>305</v>
      </c>
      <c r="C11177" t="s">
        <v>1351</v>
      </c>
      <c r="D11177" t="s">
        <v>1352</v>
      </c>
      <c r="E11177" t="s">
        <v>1353</v>
      </c>
      <c r="F11177" t="s">
        <v>1354</v>
      </c>
      <c r="G11177" t="s">
        <v>226</v>
      </c>
    </row>
    <row r="11178" spans="1:7" x14ac:dyDescent="0.35">
      <c r="A11178" s="27" t="s">
        <v>227</v>
      </c>
      <c r="B11178" s="27" t="s">
        <v>239</v>
      </c>
      <c r="C11178" s="29"/>
      <c r="D11178" s="29"/>
      <c r="E11178" s="28">
        <v>0.57140000000000002</v>
      </c>
      <c r="F11178" s="28">
        <v>0.42859999999999998</v>
      </c>
      <c r="G11178" s="29" t="s">
        <v>379</v>
      </c>
    </row>
    <row r="11179" spans="1:7" x14ac:dyDescent="0.35">
      <c r="A11179" t="s">
        <v>227</v>
      </c>
      <c r="B11179" t="s">
        <v>238</v>
      </c>
      <c r="E11179" s="26">
        <v>0.48720000000000002</v>
      </c>
      <c r="F11179" s="26">
        <v>0.51280000000000003</v>
      </c>
      <c r="G11179">
        <v>39</v>
      </c>
    </row>
    <row r="11180" spans="1:7" x14ac:dyDescent="0.35">
      <c r="A11180" t="s">
        <v>228</v>
      </c>
      <c r="B11180" t="s">
        <v>239</v>
      </c>
      <c r="C11180" s="26">
        <v>0.5675</v>
      </c>
      <c r="D11180" s="26">
        <v>0.25040000000000001</v>
      </c>
      <c r="E11180" s="26">
        <v>0.1166</v>
      </c>
      <c r="F11180" s="26">
        <v>6.5500000000000003E-2</v>
      </c>
      <c r="G11180">
        <v>230</v>
      </c>
    </row>
    <row r="11181" spans="1:7" x14ac:dyDescent="0.35">
      <c r="A11181" t="s">
        <v>228</v>
      </c>
      <c r="B11181" t="s">
        <v>238</v>
      </c>
      <c r="C11181" s="26">
        <v>0.56359999999999999</v>
      </c>
      <c r="D11181" s="26">
        <v>0.26840000000000003</v>
      </c>
      <c r="E11181" s="26">
        <v>0.121</v>
      </c>
      <c r="F11181" s="26">
        <v>4.6899999999999997E-2</v>
      </c>
      <c r="G11181">
        <v>586</v>
      </c>
    </row>
    <row r="11182" spans="1:7" x14ac:dyDescent="0.35">
      <c r="A11182" t="s">
        <v>229</v>
      </c>
      <c r="B11182" t="s">
        <v>239</v>
      </c>
      <c r="C11182" s="26">
        <v>0.47449999999999998</v>
      </c>
      <c r="D11182" s="26">
        <v>0.3276</v>
      </c>
      <c r="E11182" s="26">
        <v>0.12970000000000001</v>
      </c>
      <c r="F11182" s="26">
        <v>6.8199999999999997E-2</v>
      </c>
      <c r="G11182">
        <v>227</v>
      </c>
    </row>
    <row r="11183" spans="1:7" x14ac:dyDescent="0.35">
      <c r="A11183" t="s">
        <v>229</v>
      </c>
      <c r="B11183" t="s">
        <v>238</v>
      </c>
      <c r="C11183" s="26">
        <v>0.61260000000000003</v>
      </c>
      <c r="D11183" s="26">
        <v>0.24929999999999999</v>
      </c>
      <c r="E11183" s="26">
        <v>7.5999999999999998E-2</v>
      </c>
      <c r="F11183" s="26">
        <v>6.2E-2</v>
      </c>
      <c r="G11183">
        <v>464</v>
      </c>
    </row>
    <row r="11184" spans="1:7" x14ac:dyDescent="0.35">
      <c r="A11184" t="s">
        <v>230</v>
      </c>
      <c r="B11184" t="s">
        <v>239</v>
      </c>
      <c r="C11184" s="26">
        <v>0.38109999999999999</v>
      </c>
      <c r="D11184" s="26">
        <v>0.25119999999999998</v>
      </c>
      <c r="E11184" s="26">
        <v>0.28239999999999998</v>
      </c>
      <c r="F11184" s="26">
        <v>8.5300000000000001E-2</v>
      </c>
      <c r="G11184">
        <v>135</v>
      </c>
    </row>
    <row r="11185" spans="1:7" x14ac:dyDescent="0.35">
      <c r="A11185" t="s">
        <v>230</v>
      </c>
      <c r="B11185" t="s">
        <v>238</v>
      </c>
      <c r="C11185" s="26">
        <v>0.53639999999999999</v>
      </c>
      <c r="D11185" s="26">
        <v>0.30990000000000001</v>
      </c>
      <c r="E11185" s="26">
        <v>0.1071</v>
      </c>
      <c r="F11185" s="26">
        <v>4.6600000000000003E-2</v>
      </c>
      <c r="G11185">
        <v>271</v>
      </c>
    </row>
    <row r="11186" spans="1:7" x14ac:dyDescent="0.35">
      <c r="A11186" s="27" t="s">
        <v>231</v>
      </c>
      <c r="B11186" s="27" t="s">
        <v>239</v>
      </c>
      <c r="C11186" s="29"/>
      <c r="D11186" s="29"/>
      <c r="E11186" s="28">
        <v>0.42859999999999998</v>
      </c>
      <c r="F11186" s="28">
        <v>0.57140000000000002</v>
      </c>
      <c r="G11186" s="29" t="s">
        <v>339</v>
      </c>
    </row>
    <row r="11187" spans="1:7" x14ac:dyDescent="0.35">
      <c r="A11187" t="s">
        <v>231</v>
      </c>
      <c r="B11187" t="s">
        <v>238</v>
      </c>
      <c r="E11187" s="26">
        <v>0.5484</v>
      </c>
      <c r="F11187" s="26">
        <v>0.4516</v>
      </c>
      <c r="G11187">
        <v>31</v>
      </c>
    </row>
    <row r="11188" spans="1:7" x14ac:dyDescent="0.35">
      <c r="A11188" t="s">
        <v>232</v>
      </c>
      <c r="B11188" t="s">
        <v>232</v>
      </c>
      <c r="C11188" s="26">
        <v>0.4476</v>
      </c>
      <c r="D11188" s="26">
        <v>0.215</v>
      </c>
      <c r="E11188" s="26">
        <v>0.19309999999999999</v>
      </c>
      <c r="F11188" s="26">
        <v>0.14430000000000001</v>
      </c>
      <c r="G11188">
        <v>2004</v>
      </c>
    </row>
    <row r="11190" spans="1:7" x14ac:dyDescent="0.35">
      <c r="A11190" s="1" t="s">
        <v>1387</v>
      </c>
    </row>
    <row r="11191" spans="1:7" x14ac:dyDescent="0.35">
      <c r="A11191" t="s">
        <v>219</v>
      </c>
      <c r="B11191" t="s">
        <v>305</v>
      </c>
      <c r="C11191" t="s">
        <v>1351</v>
      </c>
      <c r="D11191" t="s">
        <v>1352</v>
      </c>
      <c r="E11191" t="s">
        <v>1353</v>
      </c>
      <c r="F11191" t="s">
        <v>1354</v>
      </c>
      <c r="G11191" t="s">
        <v>226</v>
      </c>
    </row>
    <row r="11192" spans="1:7" x14ac:dyDescent="0.35">
      <c r="A11192" t="s">
        <v>227</v>
      </c>
      <c r="B11192" t="s">
        <v>244</v>
      </c>
      <c r="E11192" s="26">
        <v>0.5</v>
      </c>
      <c r="F11192" s="26">
        <v>0.5</v>
      </c>
      <c r="G11192">
        <v>34</v>
      </c>
    </row>
    <row r="11193" spans="1:7" x14ac:dyDescent="0.35">
      <c r="A11193" s="27" t="s">
        <v>227</v>
      </c>
      <c r="B11193" s="27" t="s">
        <v>245</v>
      </c>
      <c r="C11193" s="29"/>
      <c r="D11193" s="29"/>
      <c r="E11193" s="28">
        <v>0.55559999999999998</v>
      </c>
      <c r="F11193" s="28">
        <v>0.44440000000000002</v>
      </c>
      <c r="G11193" s="29" t="s">
        <v>353</v>
      </c>
    </row>
    <row r="11194" spans="1:7" x14ac:dyDescent="0.35">
      <c r="A11194" s="27" t="s">
        <v>227</v>
      </c>
      <c r="B11194" s="27" t="s">
        <v>246</v>
      </c>
      <c r="C11194" s="29"/>
      <c r="D11194" s="29"/>
      <c r="E11194" s="29"/>
      <c r="F11194" s="28">
        <v>1</v>
      </c>
      <c r="G11194" s="29" t="s">
        <v>331</v>
      </c>
    </row>
    <row r="11195" spans="1:7" x14ac:dyDescent="0.35">
      <c r="A11195" t="s">
        <v>228</v>
      </c>
      <c r="B11195" t="s">
        <v>244</v>
      </c>
      <c r="C11195" s="26">
        <v>0.59119999999999995</v>
      </c>
      <c r="D11195" s="26">
        <v>0.25180000000000002</v>
      </c>
      <c r="E11195" s="26">
        <v>0.1244</v>
      </c>
      <c r="F11195" s="26">
        <v>3.2500000000000001E-2</v>
      </c>
      <c r="G11195">
        <v>498</v>
      </c>
    </row>
    <row r="11196" spans="1:7" x14ac:dyDescent="0.35">
      <c r="A11196" t="s">
        <v>228</v>
      </c>
      <c r="B11196" t="s">
        <v>245</v>
      </c>
      <c r="C11196" s="26">
        <v>0.52569999999999995</v>
      </c>
      <c r="D11196" s="26">
        <v>0.29349999999999998</v>
      </c>
      <c r="E11196" s="26">
        <v>0.1032</v>
      </c>
      <c r="F11196" s="26">
        <v>7.7600000000000002E-2</v>
      </c>
      <c r="G11196">
        <v>267</v>
      </c>
    </row>
    <row r="11197" spans="1:7" x14ac:dyDescent="0.35">
      <c r="A11197" t="s">
        <v>228</v>
      </c>
      <c r="B11197" t="s">
        <v>246</v>
      </c>
      <c r="C11197" s="26">
        <v>0.48459999999999998</v>
      </c>
      <c r="D11197" s="26">
        <v>0.26290000000000002</v>
      </c>
      <c r="E11197" s="26">
        <v>0.15640000000000001</v>
      </c>
      <c r="F11197" s="26">
        <v>9.6199999999999994E-2</v>
      </c>
      <c r="G11197">
        <v>51</v>
      </c>
    </row>
    <row r="11198" spans="1:7" x14ac:dyDescent="0.35">
      <c r="A11198" t="s">
        <v>229</v>
      </c>
      <c r="B11198" t="s">
        <v>244</v>
      </c>
      <c r="C11198" s="26">
        <v>0.57869999999999999</v>
      </c>
      <c r="D11198" s="26">
        <v>0.26369999999999999</v>
      </c>
      <c r="E11198" s="26">
        <v>8.2799999999999999E-2</v>
      </c>
      <c r="F11198" s="26">
        <v>7.4800000000000005E-2</v>
      </c>
      <c r="G11198">
        <v>434</v>
      </c>
    </row>
    <row r="11199" spans="1:7" x14ac:dyDescent="0.35">
      <c r="A11199" t="s">
        <v>229</v>
      </c>
      <c r="B11199" t="s">
        <v>245</v>
      </c>
      <c r="C11199" s="26">
        <v>0.58979999999999999</v>
      </c>
      <c r="D11199" s="26">
        <v>0.26319999999999999</v>
      </c>
      <c r="E11199" s="26">
        <v>0.10780000000000001</v>
      </c>
      <c r="F11199" s="26">
        <v>3.9199999999999999E-2</v>
      </c>
      <c r="G11199">
        <v>229</v>
      </c>
    </row>
    <row r="11200" spans="1:7" x14ac:dyDescent="0.35">
      <c r="A11200" s="27" t="s">
        <v>229</v>
      </c>
      <c r="B11200" s="27" t="s">
        <v>246</v>
      </c>
      <c r="C11200" s="28">
        <v>0.62770000000000004</v>
      </c>
      <c r="D11200" s="28">
        <v>0.32450000000000001</v>
      </c>
      <c r="E11200" s="28">
        <v>4.7800000000000002E-2</v>
      </c>
      <c r="F11200" s="29"/>
      <c r="G11200" s="29" t="s">
        <v>336</v>
      </c>
    </row>
    <row r="11201" spans="1:7" x14ac:dyDescent="0.35">
      <c r="A11201" t="s">
        <v>230</v>
      </c>
      <c r="B11201" t="s">
        <v>244</v>
      </c>
      <c r="C11201" s="26">
        <v>0.48349999999999999</v>
      </c>
      <c r="D11201" s="26">
        <v>0.30590000000000001</v>
      </c>
      <c r="E11201" s="26">
        <v>0.157</v>
      </c>
      <c r="F11201" s="26">
        <v>5.3600000000000002E-2</v>
      </c>
      <c r="G11201">
        <v>277</v>
      </c>
    </row>
    <row r="11202" spans="1:7" x14ac:dyDescent="0.35">
      <c r="A11202" t="s">
        <v>230</v>
      </c>
      <c r="B11202" t="s">
        <v>245</v>
      </c>
      <c r="C11202" s="26">
        <v>0.50680000000000003</v>
      </c>
      <c r="D11202" s="26">
        <v>0.28570000000000001</v>
      </c>
      <c r="E11202" s="26">
        <v>0.16520000000000001</v>
      </c>
      <c r="F11202" s="26">
        <v>4.24E-2</v>
      </c>
      <c r="G11202">
        <v>109</v>
      </c>
    </row>
    <row r="11203" spans="1:7" x14ac:dyDescent="0.35">
      <c r="A11203" s="27" t="s">
        <v>230</v>
      </c>
      <c r="B11203" s="27" t="s">
        <v>246</v>
      </c>
      <c r="C11203" s="28">
        <v>0.60840000000000005</v>
      </c>
      <c r="D11203" s="28">
        <v>0.13719999999999999</v>
      </c>
      <c r="E11203" s="28">
        <v>6.2399999999999997E-2</v>
      </c>
      <c r="F11203" s="28">
        <v>0.19189999999999999</v>
      </c>
      <c r="G11203" s="29" t="s">
        <v>350</v>
      </c>
    </row>
    <row r="11204" spans="1:7" x14ac:dyDescent="0.35">
      <c r="A11204" s="27" t="s">
        <v>231</v>
      </c>
      <c r="B11204" s="27" t="s">
        <v>244</v>
      </c>
      <c r="C11204" s="29"/>
      <c r="D11204" s="29"/>
      <c r="E11204" s="28">
        <v>0.5</v>
      </c>
      <c r="F11204" s="28">
        <v>0.5</v>
      </c>
      <c r="G11204" s="29" t="s">
        <v>347</v>
      </c>
    </row>
    <row r="11205" spans="1:7" x14ac:dyDescent="0.35">
      <c r="A11205" s="27" t="s">
        <v>231</v>
      </c>
      <c r="B11205" s="27" t="s">
        <v>245</v>
      </c>
      <c r="C11205" s="29"/>
      <c r="D11205" s="29"/>
      <c r="E11205" s="28">
        <v>0.5</v>
      </c>
      <c r="F11205" s="28">
        <v>0.5</v>
      </c>
      <c r="G11205" s="29" t="s">
        <v>379</v>
      </c>
    </row>
    <row r="11206" spans="1:7" x14ac:dyDescent="0.35">
      <c r="A11206" s="27" t="s">
        <v>231</v>
      </c>
      <c r="B11206" s="27" t="s">
        <v>246</v>
      </c>
      <c r="C11206" s="29"/>
      <c r="D11206" s="29"/>
      <c r="E11206" s="28">
        <v>1</v>
      </c>
      <c r="F11206" s="29"/>
      <c r="G11206" s="29" t="s">
        <v>314</v>
      </c>
    </row>
    <row r="11207" spans="1:7" x14ac:dyDescent="0.35">
      <c r="A11207" t="s">
        <v>232</v>
      </c>
      <c r="B11207" t="s">
        <v>232</v>
      </c>
      <c r="C11207" s="26">
        <v>0.4476</v>
      </c>
      <c r="D11207" s="26">
        <v>0.215</v>
      </c>
      <c r="E11207" s="26">
        <v>0.19309999999999999</v>
      </c>
      <c r="F11207" s="26">
        <v>0.14430000000000001</v>
      </c>
      <c r="G11207">
        <v>2004</v>
      </c>
    </row>
    <row r="11209" spans="1:7" x14ac:dyDescent="0.35">
      <c r="A11209" s="1" t="s">
        <v>1388</v>
      </c>
    </row>
    <row r="11210" spans="1:7" x14ac:dyDescent="0.35">
      <c r="A11210" t="s">
        <v>219</v>
      </c>
      <c r="B11210" t="s">
        <v>305</v>
      </c>
      <c r="C11210" t="s">
        <v>1351</v>
      </c>
      <c r="D11210" t="s">
        <v>1352</v>
      </c>
      <c r="E11210" t="s">
        <v>1353</v>
      </c>
      <c r="F11210" t="s">
        <v>1354</v>
      </c>
      <c r="G11210" t="s">
        <v>226</v>
      </c>
    </row>
    <row r="11211" spans="1:7" x14ac:dyDescent="0.35">
      <c r="A11211" s="27" t="s">
        <v>227</v>
      </c>
      <c r="B11211" s="27" t="s">
        <v>363</v>
      </c>
      <c r="C11211" s="29"/>
      <c r="D11211" s="29"/>
      <c r="E11211" s="28">
        <v>0.4118</v>
      </c>
      <c r="F11211" s="28">
        <v>0.58819999999999995</v>
      </c>
      <c r="G11211" s="29" t="s">
        <v>343</v>
      </c>
    </row>
    <row r="11212" spans="1:7" x14ac:dyDescent="0.35">
      <c r="A11212" s="27" t="s">
        <v>227</v>
      </c>
      <c r="B11212" s="27" t="s">
        <v>360</v>
      </c>
      <c r="C11212" s="29"/>
      <c r="D11212" s="29"/>
      <c r="E11212" s="28">
        <v>0.5</v>
      </c>
      <c r="F11212" s="28">
        <v>0.5</v>
      </c>
      <c r="G11212" s="29" t="s">
        <v>342</v>
      </c>
    </row>
    <row r="11213" spans="1:7" x14ac:dyDescent="0.35">
      <c r="A11213" s="27" t="s">
        <v>227</v>
      </c>
      <c r="B11213" s="27" t="s">
        <v>362</v>
      </c>
      <c r="C11213" s="29"/>
      <c r="D11213" s="29"/>
      <c r="E11213" s="28">
        <v>0.8</v>
      </c>
      <c r="F11213" s="28">
        <v>0.2</v>
      </c>
      <c r="G11213" s="29" t="s">
        <v>307</v>
      </c>
    </row>
    <row r="11214" spans="1:7" x14ac:dyDescent="0.35">
      <c r="A11214" s="27" t="s">
        <v>227</v>
      </c>
      <c r="B11214" s="27" t="s">
        <v>361</v>
      </c>
      <c r="C11214" s="29"/>
      <c r="D11214" s="29"/>
      <c r="E11214" s="28">
        <v>0.36359999999999998</v>
      </c>
      <c r="F11214" s="28">
        <v>0.63639999999999997</v>
      </c>
      <c r="G11214" s="29" t="s">
        <v>352</v>
      </c>
    </row>
    <row r="11215" spans="1:7" x14ac:dyDescent="0.35">
      <c r="A11215" t="s">
        <v>228</v>
      </c>
      <c r="B11215" t="s">
        <v>362</v>
      </c>
      <c r="C11215" s="26">
        <v>0.57899999999999996</v>
      </c>
      <c r="D11215" s="26">
        <v>0.22270000000000001</v>
      </c>
      <c r="E11215" s="26">
        <v>0.12709999999999999</v>
      </c>
      <c r="F11215" s="26">
        <v>7.1199999999999999E-2</v>
      </c>
      <c r="G11215">
        <v>184</v>
      </c>
    </row>
    <row r="11216" spans="1:7" x14ac:dyDescent="0.35">
      <c r="A11216" t="s">
        <v>228</v>
      </c>
      <c r="B11216" t="s">
        <v>363</v>
      </c>
      <c r="C11216" s="26">
        <v>0.48859999999999998</v>
      </c>
      <c r="D11216" s="26">
        <v>0.253</v>
      </c>
      <c r="E11216" s="26">
        <v>0.19320000000000001</v>
      </c>
      <c r="F11216" s="26">
        <v>6.5299999999999997E-2</v>
      </c>
      <c r="G11216">
        <v>167</v>
      </c>
    </row>
    <row r="11217" spans="1:7" x14ac:dyDescent="0.35">
      <c r="A11217" t="s">
        <v>228</v>
      </c>
      <c r="B11217" t="s">
        <v>361</v>
      </c>
      <c r="C11217" s="26">
        <v>0.56140000000000001</v>
      </c>
      <c r="D11217" s="26">
        <v>0.29320000000000002</v>
      </c>
      <c r="E11217" s="26">
        <v>9.0200000000000002E-2</v>
      </c>
      <c r="F11217" s="26">
        <v>5.5199999999999999E-2</v>
      </c>
      <c r="G11217">
        <v>166</v>
      </c>
    </row>
    <row r="11218" spans="1:7" x14ac:dyDescent="0.35">
      <c r="A11218" t="s">
        <v>228</v>
      </c>
      <c r="B11218" t="s">
        <v>360</v>
      </c>
      <c r="C11218" s="26">
        <v>0.65210000000000001</v>
      </c>
      <c r="D11218" s="26">
        <v>0.27339999999999998</v>
      </c>
      <c r="E11218" s="26">
        <v>5.96E-2</v>
      </c>
      <c r="F11218" s="26">
        <v>1.49E-2</v>
      </c>
      <c r="G11218">
        <v>204</v>
      </c>
    </row>
    <row r="11219" spans="1:7" x14ac:dyDescent="0.35">
      <c r="A11219" t="s">
        <v>229</v>
      </c>
      <c r="B11219" t="s">
        <v>361</v>
      </c>
      <c r="C11219" s="26">
        <v>0.57120000000000004</v>
      </c>
      <c r="D11219" s="26">
        <v>0.27700000000000002</v>
      </c>
      <c r="E11219" s="26">
        <v>7.6899999999999996E-2</v>
      </c>
      <c r="F11219" s="26">
        <v>7.4899999999999994E-2</v>
      </c>
      <c r="G11219">
        <v>201</v>
      </c>
    </row>
    <row r="11220" spans="1:7" x14ac:dyDescent="0.35">
      <c r="A11220" t="s">
        <v>229</v>
      </c>
      <c r="B11220" t="s">
        <v>360</v>
      </c>
      <c r="C11220" s="26">
        <v>0.43709999999999999</v>
      </c>
      <c r="D11220" s="26">
        <v>0.31319999999999998</v>
      </c>
      <c r="E11220" s="26">
        <v>0.16</v>
      </c>
      <c r="F11220" s="26">
        <v>8.9700000000000002E-2</v>
      </c>
      <c r="G11220">
        <v>113</v>
      </c>
    </row>
    <row r="11221" spans="1:7" x14ac:dyDescent="0.35">
      <c r="A11221" t="s">
        <v>229</v>
      </c>
      <c r="B11221" t="s">
        <v>362</v>
      </c>
      <c r="C11221" s="26">
        <v>0.59919999999999995</v>
      </c>
      <c r="D11221" s="26">
        <v>0.24560000000000001</v>
      </c>
      <c r="E11221" s="26">
        <v>0.12089999999999999</v>
      </c>
      <c r="F11221" s="26">
        <v>3.4200000000000001E-2</v>
      </c>
      <c r="G11221">
        <v>129</v>
      </c>
    </row>
    <row r="11222" spans="1:7" x14ac:dyDescent="0.35">
      <c r="A11222" t="s">
        <v>229</v>
      </c>
      <c r="B11222" t="s">
        <v>363</v>
      </c>
      <c r="C11222" s="26">
        <v>0.59519999999999995</v>
      </c>
      <c r="D11222" s="26">
        <v>0.28760000000000002</v>
      </c>
      <c r="E11222" s="26">
        <v>6.7100000000000007E-2</v>
      </c>
      <c r="F11222" s="26">
        <v>5.0099999999999999E-2</v>
      </c>
      <c r="G11222">
        <v>153</v>
      </c>
    </row>
    <row r="11223" spans="1:7" x14ac:dyDescent="0.35">
      <c r="A11223" t="s">
        <v>230</v>
      </c>
      <c r="B11223" t="s">
        <v>361</v>
      </c>
      <c r="C11223" s="26">
        <v>0.505</v>
      </c>
      <c r="D11223" s="26">
        <v>0.35510000000000003</v>
      </c>
      <c r="E11223" s="26">
        <v>0.1042</v>
      </c>
      <c r="F11223" s="26">
        <v>3.5700000000000003E-2</v>
      </c>
      <c r="G11223">
        <v>92</v>
      </c>
    </row>
    <row r="11224" spans="1:7" x14ac:dyDescent="0.35">
      <c r="A11224" t="s">
        <v>230</v>
      </c>
      <c r="B11224" t="s">
        <v>363</v>
      </c>
      <c r="C11224" s="26">
        <v>0.52200000000000002</v>
      </c>
      <c r="D11224" s="26">
        <v>0.2107</v>
      </c>
      <c r="E11224" s="26">
        <v>0.1993</v>
      </c>
      <c r="F11224" s="26">
        <v>6.8099999999999994E-2</v>
      </c>
      <c r="G11224">
        <v>96</v>
      </c>
    </row>
    <row r="11225" spans="1:7" x14ac:dyDescent="0.35">
      <c r="A11225" t="s">
        <v>230</v>
      </c>
      <c r="B11225" t="s">
        <v>362</v>
      </c>
      <c r="C11225" s="26">
        <v>0.4032</v>
      </c>
      <c r="D11225" s="26">
        <v>0.31169999999999998</v>
      </c>
      <c r="E11225" s="26">
        <v>0.24460000000000001</v>
      </c>
      <c r="F11225" s="26">
        <v>4.0500000000000001E-2</v>
      </c>
      <c r="G11225">
        <v>102</v>
      </c>
    </row>
    <row r="11226" spans="1:7" x14ac:dyDescent="0.35">
      <c r="A11226" t="s">
        <v>230</v>
      </c>
      <c r="B11226" t="s">
        <v>360</v>
      </c>
      <c r="C11226" s="26">
        <v>0.53439999999999999</v>
      </c>
      <c r="D11226" s="26">
        <v>0.2369</v>
      </c>
      <c r="E11226" s="26">
        <v>0.1067</v>
      </c>
      <c r="F11226" s="26">
        <v>0.122</v>
      </c>
      <c r="G11226">
        <v>79</v>
      </c>
    </row>
    <row r="11227" spans="1:7" x14ac:dyDescent="0.35">
      <c r="A11227" s="27" t="s">
        <v>231</v>
      </c>
      <c r="B11227" s="27" t="s">
        <v>360</v>
      </c>
      <c r="C11227" s="29"/>
      <c r="D11227" s="29"/>
      <c r="E11227" s="28">
        <v>0.44440000000000002</v>
      </c>
      <c r="F11227" s="28">
        <v>0.55559999999999998</v>
      </c>
      <c r="G11227" s="29" t="s">
        <v>334</v>
      </c>
    </row>
    <row r="11228" spans="1:7" x14ac:dyDescent="0.35">
      <c r="A11228" s="27" t="s">
        <v>231</v>
      </c>
      <c r="B11228" s="27" t="s">
        <v>362</v>
      </c>
      <c r="C11228" s="29"/>
      <c r="D11228" s="29"/>
      <c r="E11228" s="28">
        <v>1</v>
      </c>
      <c r="F11228" s="29"/>
      <c r="G11228" s="29" t="s">
        <v>314</v>
      </c>
    </row>
    <row r="11229" spans="1:7" x14ac:dyDescent="0.35">
      <c r="A11229" s="27" t="s">
        <v>231</v>
      </c>
      <c r="B11229" s="27" t="s">
        <v>361</v>
      </c>
      <c r="C11229" s="29"/>
      <c r="D11229" s="29"/>
      <c r="E11229" s="28">
        <v>0.4118</v>
      </c>
      <c r="F11229" s="28">
        <v>0.58819999999999995</v>
      </c>
      <c r="G11229" s="29" t="s">
        <v>343</v>
      </c>
    </row>
    <row r="11230" spans="1:7" x14ac:dyDescent="0.35">
      <c r="A11230" s="27" t="s">
        <v>231</v>
      </c>
      <c r="B11230" s="27" t="s">
        <v>363</v>
      </c>
      <c r="C11230" s="29"/>
      <c r="D11230" s="29"/>
      <c r="E11230" s="28">
        <v>0.83330000000000004</v>
      </c>
      <c r="F11230" s="28">
        <v>0.16669999999999999</v>
      </c>
      <c r="G11230" s="29" t="s">
        <v>335</v>
      </c>
    </row>
    <row r="11231" spans="1:7" x14ac:dyDescent="0.35">
      <c r="A11231" t="s">
        <v>232</v>
      </c>
      <c r="B11231" t="s">
        <v>232</v>
      </c>
      <c r="C11231" s="26">
        <v>0.4476</v>
      </c>
      <c r="D11231" s="26">
        <v>0.215</v>
      </c>
      <c r="E11231" s="26">
        <v>0.19309999999999999</v>
      </c>
      <c r="F11231" s="26">
        <v>0.14430000000000001</v>
      </c>
      <c r="G11231">
        <v>1770</v>
      </c>
    </row>
    <row r="11233" spans="1:7" x14ac:dyDescent="0.35">
      <c r="A11233" s="1" t="s">
        <v>1389</v>
      </c>
    </row>
    <row r="11234" spans="1:7" x14ac:dyDescent="0.35">
      <c r="A11234" t="s">
        <v>219</v>
      </c>
      <c r="B11234" t="s">
        <v>305</v>
      </c>
      <c r="C11234" t="s">
        <v>1351</v>
      </c>
      <c r="D11234" t="s">
        <v>1352</v>
      </c>
      <c r="E11234" t="s">
        <v>1353</v>
      </c>
      <c r="F11234" t="s">
        <v>1354</v>
      </c>
      <c r="G11234" t="s">
        <v>226</v>
      </c>
    </row>
    <row r="11235" spans="1:7" x14ac:dyDescent="0.35">
      <c r="A11235" s="27" t="s">
        <v>227</v>
      </c>
      <c r="B11235" s="27" t="s">
        <v>267</v>
      </c>
      <c r="C11235" s="29"/>
      <c r="D11235" s="29"/>
      <c r="E11235" s="28">
        <v>0.91669999999999996</v>
      </c>
      <c r="F11235" s="28">
        <v>8.3299999999999999E-2</v>
      </c>
      <c r="G11235" s="29" t="s">
        <v>342</v>
      </c>
    </row>
    <row r="11236" spans="1:7" x14ac:dyDescent="0.35">
      <c r="A11236" s="27" t="s">
        <v>227</v>
      </c>
      <c r="B11236" s="27" t="s">
        <v>266</v>
      </c>
      <c r="C11236" s="29"/>
      <c r="D11236" s="29"/>
      <c r="E11236" s="28">
        <v>0.36840000000000001</v>
      </c>
      <c r="F11236" s="28">
        <v>0.63160000000000005</v>
      </c>
      <c r="G11236" s="29" t="s">
        <v>349</v>
      </c>
    </row>
    <row r="11237" spans="1:7" x14ac:dyDescent="0.35">
      <c r="A11237" s="27" t="s">
        <v>227</v>
      </c>
      <c r="B11237" s="27" t="s">
        <v>265</v>
      </c>
      <c r="C11237" s="29"/>
      <c r="D11237" s="29"/>
      <c r="E11237" s="28">
        <v>0.40910000000000002</v>
      </c>
      <c r="F11237" s="28">
        <v>0.59089999999999998</v>
      </c>
      <c r="G11237" s="29" t="s">
        <v>347</v>
      </c>
    </row>
    <row r="11238" spans="1:7" x14ac:dyDescent="0.35">
      <c r="A11238" t="s">
        <v>228</v>
      </c>
      <c r="B11238" t="s">
        <v>267</v>
      </c>
      <c r="C11238" s="26">
        <v>0.55620000000000003</v>
      </c>
      <c r="D11238" s="26">
        <v>0.23369999999999999</v>
      </c>
      <c r="E11238" s="26">
        <v>0.157</v>
      </c>
      <c r="F11238" s="26">
        <v>5.2999999999999999E-2</v>
      </c>
      <c r="G11238">
        <v>155</v>
      </c>
    </row>
    <row r="11239" spans="1:7" x14ac:dyDescent="0.35">
      <c r="A11239" t="s">
        <v>228</v>
      </c>
      <c r="B11239" t="s">
        <v>265</v>
      </c>
      <c r="C11239" s="26">
        <v>0.58179999999999998</v>
      </c>
      <c r="D11239" s="26">
        <v>0.24049999999999999</v>
      </c>
      <c r="E11239" s="26">
        <v>0.14000000000000001</v>
      </c>
      <c r="F11239" s="26">
        <v>3.7699999999999997E-2</v>
      </c>
      <c r="G11239">
        <v>298</v>
      </c>
    </row>
    <row r="11240" spans="1:7" x14ac:dyDescent="0.35">
      <c r="A11240" s="27" t="s">
        <v>228</v>
      </c>
      <c r="B11240" s="27" t="s">
        <v>236</v>
      </c>
      <c r="C11240" s="28">
        <v>1</v>
      </c>
      <c r="D11240" s="29"/>
      <c r="E11240" s="29"/>
      <c r="F11240" s="29"/>
      <c r="G11240" s="29" t="s">
        <v>314</v>
      </c>
    </row>
    <row r="11241" spans="1:7" x14ac:dyDescent="0.35">
      <c r="A11241" t="s">
        <v>228</v>
      </c>
      <c r="B11241" t="s">
        <v>266</v>
      </c>
      <c r="C11241" s="26">
        <v>0.5413</v>
      </c>
      <c r="D11241" s="26">
        <v>0.30590000000000001</v>
      </c>
      <c r="E11241" s="26">
        <v>0.09</v>
      </c>
      <c r="F11241" s="26">
        <v>6.2799999999999995E-2</v>
      </c>
      <c r="G11241">
        <v>361</v>
      </c>
    </row>
    <row r="11242" spans="1:7" x14ac:dyDescent="0.35">
      <c r="A11242" t="s">
        <v>229</v>
      </c>
      <c r="B11242" t="s">
        <v>266</v>
      </c>
      <c r="C11242" s="26">
        <v>0.52380000000000004</v>
      </c>
      <c r="D11242" s="26">
        <v>0.31659999999999999</v>
      </c>
      <c r="E11242" s="26">
        <v>0.1203</v>
      </c>
      <c r="F11242" s="26">
        <v>3.9300000000000002E-2</v>
      </c>
      <c r="G11242">
        <v>278</v>
      </c>
    </row>
    <row r="11243" spans="1:7" x14ac:dyDescent="0.35">
      <c r="A11243" t="s">
        <v>229</v>
      </c>
      <c r="B11243" t="s">
        <v>267</v>
      </c>
      <c r="C11243" s="26">
        <v>0.59109999999999996</v>
      </c>
      <c r="D11243" s="26">
        <v>0.2422</v>
      </c>
      <c r="E11243" s="26">
        <v>9.9099999999999994E-2</v>
      </c>
      <c r="F11243" s="26">
        <v>6.7699999999999996E-2</v>
      </c>
      <c r="G11243">
        <v>161</v>
      </c>
    </row>
    <row r="11244" spans="1:7" x14ac:dyDescent="0.35">
      <c r="A11244" t="s">
        <v>229</v>
      </c>
      <c r="B11244" t="s">
        <v>265</v>
      </c>
      <c r="C11244" s="26">
        <v>0.62090000000000001</v>
      </c>
      <c r="D11244" s="26">
        <v>0.2422</v>
      </c>
      <c r="E11244" s="26">
        <v>5.8900000000000001E-2</v>
      </c>
      <c r="F11244" s="26">
        <v>7.8E-2</v>
      </c>
      <c r="G11244">
        <v>252</v>
      </c>
    </row>
    <row r="11245" spans="1:7" x14ac:dyDescent="0.35">
      <c r="A11245" t="s">
        <v>230</v>
      </c>
      <c r="B11245" t="s">
        <v>267</v>
      </c>
      <c r="C11245" s="26">
        <v>0.53039999999999998</v>
      </c>
      <c r="D11245" s="26">
        <v>0.31290000000000001</v>
      </c>
      <c r="E11245" s="26">
        <v>0.1069</v>
      </c>
      <c r="F11245" s="26">
        <v>4.9799999999999997E-2</v>
      </c>
      <c r="G11245">
        <v>88</v>
      </c>
    </row>
    <row r="11246" spans="1:7" x14ac:dyDescent="0.35">
      <c r="A11246" t="s">
        <v>230</v>
      </c>
      <c r="B11246" t="s">
        <v>266</v>
      </c>
      <c r="C11246" s="26">
        <v>0.41089999999999999</v>
      </c>
      <c r="D11246" s="26">
        <v>0.31530000000000002</v>
      </c>
      <c r="E11246" s="26">
        <v>0.15740000000000001</v>
      </c>
      <c r="F11246" s="26">
        <v>0.11650000000000001</v>
      </c>
      <c r="G11246">
        <v>162</v>
      </c>
    </row>
    <row r="11247" spans="1:7" x14ac:dyDescent="0.35">
      <c r="A11247" t="s">
        <v>230</v>
      </c>
      <c r="B11247" t="s">
        <v>265</v>
      </c>
      <c r="C11247" s="26">
        <v>0.54069999999999996</v>
      </c>
      <c r="D11247" s="26">
        <v>0.26750000000000002</v>
      </c>
      <c r="E11247" s="26">
        <v>0.17730000000000001</v>
      </c>
      <c r="F11247" s="26">
        <v>1.4500000000000001E-2</v>
      </c>
      <c r="G11247">
        <v>156</v>
      </c>
    </row>
    <row r="11248" spans="1:7" x14ac:dyDescent="0.35">
      <c r="A11248" s="27" t="s">
        <v>231</v>
      </c>
      <c r="B11248" s="27" t="s">
        <v>267</v>
      </c>
      <c r="C11248" s="29"/>
      <c r="D11248" s="29"/>
      <c r="E11248" s="28">
        <v>0.33329999999999999</v>
      </c>
      <c r="F11248" s="28">
        <v>0.66669999999999996</v>
      </c>
      <c r="G11248" s="29" t="s">
        <v>335</v>
      </c>
    </row>
    <row r="11249" spans="1:7" x14ac:dyDescent="0.35">
      <c r="A11249" s="27" t="s">
        <v>231</v>
      </c>
      <c r="B11249" s="27" t="s">
        <v>266</v>
      </c>
      <c r="C11249" s="29"/>
      <c r="D11249" s="29"/>
      <c r="E11249" s="28">
        <v>0.57140000000000002</v>
      </c>
      <c r="F11249" s="28">
        <v>0.42859999999999998</v>
      </c>
      <c r="G11249" s="29" t="s">
        <v>379</v>
      </c>
    </row>
    <row r="11250" spans="1:7" x14ac:dyDescent="0.35">
      <c r="A11250" s="27" t="s">
        <v>231</v>
      </c>
      <c r="B11250" s="27" t="s">
        <v>265</v>
      </c>
      <c r="C11250" s="29"/>
      <c r="D11250" s="29"/>
      <c r="E11250" s="28">
        <v>0.55559999999999998</v>
      </c>
      <c r="F11250" s="28">
        <v>0.44440000000000002</v>
      </c>
      <c r="G11250" s="29" t="s">
        <v>353</v>
      </c>
    </row>
    <row r="11251" spans="1:7" x14ac:dyDescent="0.35">
      <c r="A11251" t="s">
        <v>232</v>
      </c>
      <c r="B11251" t="s">
        <v>232</v>
      </c>
      <c r="C11251" s="26">
        <v>0.4476</v>
      </c>
      <c r="D11251" s="26">
        <v>0.215</v>
      </c>
      <c r="E11251" s="26">
        <v>0.19309999999999999</v>
      </c>
      <c r="F11251" s="26">
        <v>0.14430000000000001</v>
      </c>
      <c r="G11251">
        <v>2004</v>
      </c>
    </row>
    <row r="11253" spans="1:7" x14ac:dyDescent="0.35">
      <c r="A11253" s="1" t="s">
        <v>1390</v>
      </c>
    </row>
    <row r="11254" spans="1:7" x14ac:dyDescent="0.35">
      <c r="A11254" t="s">
        <v>219</v>
      </c>
      <c r="B11254" t="s">
        <v>305</v>
      </c>
      <c r="C11254" t="s">
        <v>1351</v>
      </c>
      <c r="D11254" t="s">
        <v>1352</v>
      </c>
      <c r="E11254" t="s">
        <v>1353</v>
      </c>
      <c r="F11254" t="s">
        <v>1354</v>
      </c>
      <c r="G11254" t="s">
        <v>226</v>
      </c>
    </row>
    <row r="11255" spans="1:7" x14ac:dyDescent="0.35">
      <c r="A11255" s="27" t="s">
        <v>227</v>
      </c>
      <c r="B11255" s="27" t="s">
        <v>252</v>
      </c>
      <c r="C11255" s="29"/>
      <c r="D11255" s="29"/>
      <c r="E11255" s="28">
        <v>0.4667</v>
      </c>
      <c r="F11255" s="28">
        <v>0.5333</v>
      </c>
      <c r="G11255" s="29" t="s">
        <v>346</v>
      </c>
    </row>
    <row r="11256" spans="1:7" x14ac:dyDescent="0.35">
      <c r="A11256" s="27" t="s">
        <v>227</v>
      </c>
      <c r="B11256" s="27" t="s">
        <v>253</v>
      </c>
      <c r="C11256" s="29"/>
      <c r="D11256" s="29"/>
      <c r="E11256" s="28">
        <v>0.30769999999999997</v>
      </c>
      <c r="F11256" s="28">
        <v>0.69230000000000003</v>
      </c>
      <c r="G11256" s="29" t="s">
        <v>341</v>
      </c>
    </row>
    <row r="11257" spans="1:7" x14ac:dyDescent="0.35">
      <c r="A11257" s="27" t="s">
        <v>227</v>
      </c>
      <c r="B11257" s="27" t="s">
        <v>251</v>
      </c>
      <c r="C11257" s="29"/>
      <c r="D11257" s="29"/>
      <c r="E11257" s="28">
        <v>0.64</v>
      </c>
      <c r="F11257" s="28">
        <v>0.36</v>
      </c>
      <c r="G11257" s="29" t="s">
        <v>312</v>
      </c>
    </row>
    <row r="11258" spans="1:7" x14ac:dyDescent="0.35">
      <c r="A11258" t="s">
        <v>228</v>
      </c>
      <c r="B11258" t="s">
        <v>252</v>
      </c>
      <c r="C11258" s="26">
        <v>0.67300000000000004</v>
      </c>
      <c r="D11258" s="26">
        <v>0.1993</v>
      </c>
      <c r="E11258" s="26">
        <v>9.6199999999999994E-2</v>
      </c>
      <c r="F11258" s="26">
        <v>3.1399999999999997E-2</v>
      </c>
      <c r="G11258">
        <v>258</v>
      </c>
    </row>
    <row r="11259" spans="1:7" x14ac:dyDescent="0.35">
      <c r="A11259" t="s">
        <v>228</v>
      </c>
      <c r="B11259" t="s">
        <v>253</v>
      </c>
      <c r="C11259" s="26">
        <v>0.6119</v>
      </c>
      <c r="D11259" s="26">
        <v>0.24060000000000001</v>
      </c>
      <c r="E11259" s="26">
        <v>0.12089999999999999</v>
      </c>
      <c r="F11259" s="26">
        <v>2.6499999999999999E-2</v>
      </c>
      <c r="G11259">
        <v>173</v>
      </c>
    </row>
    <row r="11260" spans="1:7" x14ac:dyDescent="0.35">
      <c r="A11260" t="s">
        <v>228</v>
      </c>
      <c r="B11260" t="s">
        <v>251</v>
      </c>
      <c r="C11260" s="26">
        <v>0.48330000000000001</v>
      </c>
      <c r="D11260" s="26">
        <v>0.31230000000000002</v>
      </c>
      <c r="E11260" s="26">
        <v>0.1336</v>
      </c>
      <c r="F11260" s="26">
        <v>7.0800000000000002E-2</v>
      </c>
      <c r="G11260">
        <v>385</v>
      </c>
    </row>
    <row r="11261" spans="1:7" x14ac:dyDescent="0.35">
      <c r="A11261" t="s">
        <v>229</v>
      </c>
      <c r="B11261" t="s">
        <v>252</v>
      </c>
      <c r="C11261" s="26">
        <v>0.57930000000000004</v>
      </c>
      <c r="D11261" s="26">
        <v>0.23319999999999999</v>
      </c>
      <c r="E11261" s="26">
        <v>0.12130000000000001</v>
      </c>
      <c r="F11261" s="26">
        <v>6.6199999999999995E-2</v>
      </c>
      <c r="G11261">
        <v>141</v>
      </c>
    </row>
    <row r="11262" spans="1:7" x14ac:dyDescent="0.35">
      <c r="A11262" t="s">
        <v>229</v>
      </c>
      <c r="B11262" t="s">
        <v>253</v>
      </c>
      <c r="C11262" s="26">
        <v>0.58130000000000004</v>
      </c>
      <c r="D11262" s="26">
        <v>0.28000000000000003</v>
      </c>
      <c r="E11262" s="26">
        <v>0.1075</v>
      </c>
      <c r="F11262" s="26">
        <v>3.1199999999999999E-2</v>
      </c>
      <c r="G11262">
        <v>110</v>
      </c>
    </row>
    <row r="11263" spans="1:7" x14ac:dyDescent="0.35">
      <c r="A11263" t="s">
        <v>229</v>
      </c>
      <c r="B11263" t="s">
        <v>251</v>
      </c>
      <c r="C11263" s="26">
        <v>0.58499999999999996</v>
      </c>
      <c r="D11263" s="26">
        <v>0.27210000000000001</v>
      </c>
      <c r="E11263" s="26">
        <v>7.17E-2</v>
      </c>
      <c r="F11263" s="26">
        <v>7.1300000000000002E-2</v>
      </c>
      <c r="G11263">
        <v>440</v>
      </c>
    </row>
    <row r="11264" spans="1:7" x14ac:dyDescent="0.35">
      <c r="A11264" t="s">
        <v>230</v>
      </c>
      <c r="B11264" t="s">
        <v>252</v>
      </c>
      <c r="C11264" s="26">
        <v>0.50339999999999996</v>
      </c>
      <c r="D11264" s="26">
        <v>0.31869999999999998</v>
      </c>
      <c r="E11264" s="26">
        <v>0.1532</v>
      </c>
      <c r="F11264" s="26">
        <v>2.4799999999999999E-2</v>
      </c>
      <c r="G11264">
        <v>104</v>
      </c>
    </row>
    <row r="11265" spans="1:7" x14ac:dyDescent="0.35">
      <c r="A11265" t="s">
        <v>230</v>
      </c>
      <c r="B11265" t="s">
        <v>253</v>
      </c>
      <c r="C11265" s="26">
        <v>0.49669999999999997</v>
      </c>
      <c r="D11265" s="26">
        <v>0.21929999999999999</v>
      </c>
      <c r="E11265" s="26">
        <v>0.2069</v>
      </c>
      <c r="F11265" s="26">
        <v>7.7100000000000002E-2</v>
      </c>
      <c r="G11265">
        <v>87</v>
      </c>
    </row>
    <row r="11266" spans="1:7" x14ac:dyDescent="0.35">
      <c r="A11266" t="s">
        <v>230</v>
      </c>
      <c r="B11266" t="s">
        <v>251</v>
      </c>
      <c r="C11266" s="26">
        <v>0.49</v>
      </c>
      <c r="D11266" s="26">
        <v>0.31330000000000002</v>
      </c>
      <c r="E11266" s="26">
        <v>0.13550000000000001</v>
      </c>
      <c r="F11266" s="26">
        <v>6.1199999999999997E-2</v>
      </c>
      <c r="G11266">
        <v>215</v>
      </c>
    </row>
    <row r="11267" spans="1:7" x14ac:dyDescent="0.35">
      <c r="A11267" s="27" t="s">
        <v>231</v>
      </c>
      <c r="B11267" s="27" t="s">
        <v>252</v>
      </c>
      <c r="C11267" s="29"/>
      <c r="D11267" s="29"/>
      <c r="E11267" s="28">
        <v>0.71430000000000005</v>
      </c>
      <c r="F11267" s="28">
        <v>0.28570000000000001</v>
      </c>
      <c r="G11267" s="29" t="s">
        <v>339</v>
      </c>
    </row>
    <row r="11268" spans="1:7" x14ac:dyDescent="0.35">
      <c r="A11268" s="27" t="s">
        <v>231</v>
      </c>
      <c r="B11268" s="27" t="s">
        <v>253</v>
      </c>
      <c r="C11268" s="29"/>
      <c r="D11268" s="29"/>
      <c r="E11268" s="28">
        <v>0.57140000000000002</v>
      </c>
      <c r="F11268" s="28">
        <v>0.42859999999999998</v>
      </c>
      <c r="G11268" s="29" t="s">
        <v>339</v>
      </c>
    </row>
    <row r="11269" spans="1:7" x14ac:dyDescent="0.35">
      <c r="A11269" s="27" t="s">
        <v>231</v>
      </c>
      <c r="B11269" s="27" t="s">
        <v>251</v>
      </c>
      <c r="C11269" s="29"/>
      <c r="D11269" s="29"/>
      <c r="E11269" s="28">
        <v>0.45829999999999999</v>
      </c>
      <c r="F11269" s="28">
        <v>0.54169999999999996</v>
      </c>
      <c r="G11269" s="29" t="s">
        <v>310</v>
      </c>
    </row>
    <row r="11270" spans="1:7" x14ac:dyDescent="0.35">
      <c r="A11270" t="s">
        <v>232</v>
      </c>
      <c r="B11270" t="s">
        <v>232</v>
      </c>
      <c r="C11270" s="26">
        <v>0.4476</v>
      </c>
      <c r="D11270" s="26">
        <v>0.215</v>
      </c>
      <c r="E11270" s="26">
        <v>0.19309999999999999</v>
      </c>
      <c r="F11270" s="26">
        <v>0.14430000000000001</v>
      </c>
      <c r="G11270">
        <v>2004</v>
      </c>
    </row>
    <row r="11272" spans="1:7" x14ac:dyDescent="0.35">
      <c r="A11272" s="1" t="s">
        <v>1391</v>
      </c>
    </row>
    <row r="11273" spans="1:7" x14ac:dyDescent="0.35">
      <c r="A11273" t="s">
        <v>219</v>
      </c>
      <c r="B11273" t="s">
        <v>305</v>
      </c>
      <c r="C11273" t="s">
        <v>1351</v>
      </c>
      <c r="D11273" t="s">
        <v>1352</v>
      </c>
      <c r="E11273" t="s">
        <v>1353</v>
      </c>
      <c r="F11273" t="s">
        <v>1354</v>
      </c>
      <c r="G11273" t="s">
        <v>226</v>
      </c>
    </row>
    <row r="11274" spans="1:7" x14ac:dyDescent="0.35">
      <c r="A11274" s="27" t="s">
        <v>227</v>
      </c>
      <c r="B11274" s="27" t="s">
        <v>249</v>
      </c>
      <c r="C11274" s="29"/>
      <c r="D11274" s="29"/>
      <c r="E11274" s="28">
        <v>0.63639999999999997</v>
      </c>
      <c r="F11274" s="28">
        <v>0.36359999999999998</v>
      </c>
      <c r="G11274" s="29" t="s">
        <v>352</v>
      </c>
    </row>
    <row r="11275" spans="1:7" x14ac:dyDescent="0.35">
      <c r="A11275" t="s">
        <v>227</v>
      </c>
      <c r="B11275" t="s">
        <v>248</v>
      </c>
      <c r="E11275" s="26">
        <v>0.47620000000000001</v>
      </c>
      <c r="F11275" s="26">
        <v>0.52380000000000004</v>
      </c>
      <c r="G11275">
        <v>42</v>
      </c>
    </row>
    <row r="11276" spans="1:7" x14ac:dyDescent="0.35">
      <c r="A11276" t="s">
        <v>228</v>
      </c>
      <c r="B11276" t="s">
        <v>249</v>
      </c>
      <c r="C11276" s="26">
        <v>0.49230000000000002</v>
      </c>
      <c r="D11276" s="26">
        <v>0.28460000000000002</v>
      </c>
      <c r="E11276" s="26">
        <v>0.16639999999999999</v>
      </c>
      <c r="F11276" s="26">
        <v>5.67E-2</v>
      </c>
      <c r="G11276">
        <v>222</v>
      </c>
    </row>
    <row r="11277" spans="1:7" x14ac:dyDescent="0.35">
      <c r="A11277" t="s">
        <v>228</v>
      </c>
      <c r="B11277" t="s">
        <v>248</v>
      </c>
      <c r="C11277" s="26">
        <v>0.59630000000000005</v>
      </c>
      <c r="D11277" s="26">
        <v>0.25640000000000002</v>
      </c>
      <c r="E11277" s="26">
        <v>9.98E-2</v>
      </c>
      <c r="F11277" s="26">
        <v>4.7500000000000001E-2</v>
      </c>
      <c r="G11277">
        <v>594</v>
      </c>
    </row>
    <row r="11278" spans="1:7" x14ac:dyDescent="0.35">
      <c r="A11278" t="s">
        <v>229</v>
      </c>
      <c r="B11278" t="s">
        <v>249</v>
      </c>
      <c r="C11278" s="26">
        <v>0.54369999999999996</v>
      </c>
      <c r="D11278" s="26">
        <v>0.29959999999999998</v>
      </c>
      <c r="E11278" s="26">
        <v>8.2400000000000001E-2</v>
      </c>
      <c r="F11278" s="26">
        <v>7.4300000000000005E-2</v>
      </c>
      <c r="G11278">
        <v>204</v>
      </c>
    </row>
    <row r="11279" spans="1:7" x14ac:dyDescent="0.35">
      <c r="A11279" t="s">
        <v>229</v>
      </c>
      <c r="B11279" t="s">
        <v>248</v>
      </c>
      <c r="C11279" s="26">
        <v>0.60370000000000001</v>
      </c>
      <c r="D11279" s="26">
        <v>0.2485</v>
      </c>
      <c r="E11279" s="26">
        <v>9.01E-2</v>
      </c>
      <c r="F11279" s="26">
        <v>5.7700000000000001E-2</v>
      </c>
      <c r="G11279">
        <v>487</v>
      </c>
    </row>
    <row r="11280" spans="1:7" x14ac:dyDescent="0.35">
      <c r="A11280" t="s">
        <v>230</v>
      </c>
      <c r="B11280" t="s">
        <v>249</v>
      </c>
      <c r="C11280" s="26">
        <v>0.45960000000000001</v>
      </c>
      <c r="D11280" s="26">
        <v>0.2681</v>
      </c>
      <c r="E11280" s="26">
        <v>0.17419999999999999</v>
      </c>
      <c r="F11280" s="26">
        <v>9.8100000000000007E-2</v>
      </c>
      <c r="G11280">
        <v>129</v>
      </c>
    </row>
    <row r="11281" spans="1:7" x14ac:dyDescent="0.35">
      <c r="A11281" t="s">
        <v>230</v>
      </c>
      <c r="B11281" t="s">
        <v>248</v>
      </c>
      <c r="C11281" s="26">
        <v>0.51259999999999994</v>
      </c>
      <c r="D11281" s="26">
        <v>0.30759999999999998</v>
      </c>
      <c r="E11281" s="26">
        <v>0.14449999999999999</v>
      </c>
      <c r="F11281" s="26">
        <v>3.5400000000000001E-2</v>
      </c>
      <c r="G11281">
        <v>277</v>
      </c>
    </row>
    <row r="11282" spans="1:7" x14ac:dyDescent="0.35">
      <c r="A11282" s="27" t="s">
        <v>231</v>
      </c>
      <c r="B11282" s="27" t="s">
        <v>249</v>
      </c>
      <c r="C11282" s="29"/>
      <c r="D11282" s="29"/>
      <c r="E11282" s="28">
        <v>0.57140000000000002</v>
      </c>
      <c r="F11282" s="28">
        <v>0.42859999999999998</v>
      </c>
      <c r="G11282" s="29" t="s">
        <v>339</v>
      </c>
    </row>
    <row r="11283" spans="1:7" x14ac:dyDescent="0.35">
      <c r="A11283" t="s">
        <v>231</v>
      </c>
      <c r="B11283" t="s">
        <v>248</v>
      </c>
      <c r="E11283" s="26">
        <v>0.5161</v>
      </c>
      <c r="F11283" s="26">
        <v>0.4839</v>
      </c>
      <c r="G11283">
        <v>31</v>
      </c>
    </row>
    <row r="11284" spans="1:7" x14ac:dyDescent="0.35">
      <c r="A11284" t="s">
        <v>232</v>
      </c>
      <c r="B11284" t="s">
        <v>232</v>
      </c>
      <c r="C11284" s="26">
        <v>0.4476</v>
      </c>
      <c r="D11284" s="26">
        <v>0.215</v>
      </c>
      <c r="E11284" s="26">
        <v>0.19309999999999999</v>
      </c>
      <c r="F11284" s="26">
        <v>0.14430000000000001</v>
      </c>
      <c r="G11284">
        <v>2004</v>
      </c>
    </row>
    <row r="11286" spans="1:7" x14ac:dyDescent="0.35">
      <c r="A11286" s="1" t="s">
        <v>1392</v>
      </c>
    </row>
    <row r="11287" spans="1:7" x14ac:dyDescent="0.35">
      <c r="A11287" t="s">
        <v>219</v>
      </c>
      <c r="B11287" t="s">
        <v>305</v>
      </c>
      <c r="C11287" t="s">
        <v>1351</v>
      </c>
      <c r="D11287" t="s">
        <v>1352</v>
      </c>
      <c r="E11287" t="s">
        <v>1353</v>
      </c>
      <c r="F11287" t="s">
        <v>1354</v>
      </c>
      <c r="G11287" t="s">
        <v>226</v>
      </c>
    </row>
    <row r="11288" spans="1:7" x14ac:dyDescent="0.35">
      <c r="A11288" s="27" t="s">
        <v>227</v>
      </c>
      <c r="B11288" s="27" t="s">
        <v>263</v>
      </c>
      <c r="C11288" s="29"/>
      <c r="D11288" s="29"/>
      <c r="E11288" s="28">
        <v>0.33329999999999999</v>
      </c>
      <c r="F11288" s="28">
        <v>0.66669999999999996</v>
      </c>
      <c r="G11288" s="29" t="s">
        <v>315</v>
      </c>
    </row>
    <row r="11289" spans="1:7" x14ac:dyDescent="0.35">
      <c r="A11289" s="27" t="s">
        <v>227</v>
      </c>
      <c r="B11289" s="27" t="s">
        <v>261</v>
      </c>
      <c r="C11289" s="29"/>
      <c r="D11289" s="29"/>
      <c r="E11289" s="28">
        <v>0.7</v>
      </c>
      <c r="F11289" s="28">
        <v>0.3</v>
      </c>
      <c r="G11289" s="29" t="s">
        <v>307</v>
      </c>
    </row>
    <row r="11290" spans="1:7" x14ac:dyDescent="0.35">
      <c r="A11290" s="27" t="s">
        <v>227</v>
      </c>
      <c r="B11290" s="27" t="s">
        <v>262</v>
      </c>
      <c r="C11290" s="29"/>
      <c r="D11290" s="29"/>
      <c r="E11290" s="28">
        <v>1</v>
      </c>
      <c r="F11290" s="29"/>
      <c r="G11290" s="29" t="s">
        <v>331</v>
      </c>
    </row>
    <row r="11291" spans="1:7" x14ac:dyDescent="0.35">
      <c r="A11291" t="s">
        <v>227</v>
      </c>
      <c r="B11291" t="s">
        <v>260</v>
      </c>
      <c r="E11291" s="26">
        <v>0.46150000000000002</v>
      </c>
      <c r="F11291" s="26">
        <v>0.53849999999999998</v>
      </c>
      <c r="G11291">
        <v>39</v>
      </c>
    </row>
    <row r="11292" spans="1:7" x14ac:dyDescent="0.35">
      <c r="A11292" s="27" t="s">
        <v>228</v>
      </c>
      <c r="B11292" s="27" t="s">
        <v>263</v>
      </c>
      <c r="C11292" s="28">
        <v>0.78480000000000005</v>
      </c>
      <c r="D11292" s="28">
        <v>0.13789999999999999</v>
      </c>
      <c r="E11292" s="28">
        <v>3.32E-2</v>
      </c>
      <c r="F11292" s="28">
        <v>4.3999999999999997E-2</v>
      </c>
      <c r="G11292" s="29" t="s">
        <v>353</v>
      </c>
    </row>
    <row r="11293" spans="1:7" x14ac:dyDescent="0.35">
      <c r="A11293" t="s">
        <v>228</v>
      </c>
      <c r="B11293" t="s">
        <v>261</v>
      </c>
      <c r="C11293" s="26">
        <v>0.60660000000000003</v>
      </c>
      <c r="D11293" s="26">
        <v>0.26369999999999999</v>
      </c>
      <c r="E11293" s="26">
        <v>6.5199999999999994E-2</v>
      </c>
      <c r="F11293" s="26">
        <v>6.4399999999999999E-2</v>
      </c>
      <c r="G11293">
        <v>152</v>
      </c>
    </row>
    <row r="11294" spans="1:7" x14ac:dyDescent="0.35">
      <c r="A11294" s="27" t="s">
        <v>228</v>
      </c>
      <c r="B11294" s="27" t="s">
        <v>236</v>
      </c>
      <c r="C11294" s="28">
        <v>0.71309999999999996</v>
      </c>
      <c r="D11294" s="28">
        <v>0.28689999999999999</v>
      </c>
      <c r="E11294" s="29"/>
      <c r="F11294" s="29"/>
      <c r="G11294" s="29" t="s">
        <v>332</v>
      </c>
    </row>
    <row r="11295" spans="1:7" x14ac:dyDescent="0.35">
      <c r="A11295" t="s">
        <v>228</v>
      </c>
      <c r="B11295" t="s">
        <v>262</v>
      </c>
      <c r="C11295" s="26">
        <v>0.6371</v>
      </c>
      <c r="D11295" s="26">
        <v>0.25009999999999999</v>
      </c>
      <c r="E11295" s="26">
        <v>9.6600000000000005E-2</v>
      </c>
      <c r="F11295" s="26">
        <v>1.6199999999999999E-2</v>
      </c>
      <c r="G11295">
        <v>179</v>
      </c>
    </row>
    <row r="11296" spans="1:7" x14ac:dyDescent="0.35">
      <c r="A11296" t="s">
        <v>228</v>
      </c>
      <c r="B11296" t="s">
        <v>260</v>
      </c>
      <c r="C11296" s="26">
        <v>0.52100000000000002</v>
      </c>
      <c r="D11296" s="26">
        <v>0.27350000000000002</v>
      </c>
      <c r="E11296" s="26">
        <v>0.14860000000000001</v>
      </c>
      <c r="F11296" s="26">
        <v>5.6899999999999999E-2</v>
      </c>
      <c r="G11296">
        <v>462</v>
      </c>
    </row>
    <row r="11297" spans="1:7" x14ac:dyDescent="0.35">
      <c r="A11297" s="27" t="s">
        <v>229</v>
      </c>
      <c r="B11297" s="27" t="s">
        <v>263</v>
      </c>
      <c r="C11297" s="28">
        <v>0.64480000000000004</v>
      </c>
      <c r="D11297" s="28">
        <v>0.15570000000000001</v>
      </c>
      <c r="E11297" s="28">
        <v>0.19950000000000001</v>
      </c>
      <c r="F11297" s="29"/>
      <c r="G11297" s="29" t="s">
        <v>379</v>
      </c>
    </row>
    <row r="11298" spans="1:7" x14ac:dyDescent="0.35">
      <c r="A11298" t="s">
        <v>229</v>
      </c>
      <c r="B11298" t="s">
        <v>262</v>
      </c>
      <c r="C11298" s="26">
        <v>0.64159999999999995</v>
      </c>
      <c r="D11298" s="26">
        <v>0.26329999999999998</v>
      </c>
      <c r="E11298" s="26">
        <v>3.7600000000000001E-2</v>
      </c>
      <c r="F11298" s="26">
        <v>5.7500000000000002E-2</v>
      </c>
      <c r="G11298">
        <v>161</v>
      </c>
    </row>
    <row r="11299" spans="1:7" x14ac:dyDescent="0.35">
      <c r="A11299" t="s">
        <v>229</v>
      </c>
      <c r="B11299" t="s">
        <v>261</v>
      </c>
      <c r="C11299" s="26">
        <v>0.53320000000000001</v>
      </c>
      <c r="D11299" s="26">
        <v>0.36459999999999998</v>
      </c>
      <c r="E11299" s="26">
        <v>6.6900000000000001E-2</v>
      </c>
      <c r="F11299" s="26">
        <v>3.5299999999999998E-2</v>
      </c>
      <c r="G11299">
        <v>72</v>
      </c>
    </row>
    <row r="11300" spans="1:7" x14ac:dyDescent="0.35">
      <c r="A11300" t="s">
        <v>229</v>
      </c>
      <c r="B11300" t="s">
        <v>260</v>
      </c>
      <c r="C11300" s="26">
        <v>0.55810000000000004</v>
      </c>
      <c r="D11300" s="26">
        <v>0.2442</v>
      </c>
      <c r="E11300" s="26">
        <v>0.11940000000000001</v>
      </c>
      <c r="F11300" s="26">
        <v>7.8299999999999995E-2</v>
      </c>
      <c r="G11300">
        <v>443</v>
      </c>
    </row>
    <row r="11301" spans="1:7" x14ac:dyDescent="0.35">
      <c r="A11301" s="27" t="s">
        <v>229</v>
      </c>
      <c r="B11301" s="27" t="s">
        <v>236</v>
      </c>
      <c r="C11301" s="29"/>
      <c r="D11301" s="28">
        <v>1</v>
      </c>
      <c r="E11301" s="29"/>
      <c r="F11301" s="29"/>
      <c r="G11301" s="29" t="s">
        <v>331</v>
      </c>
    </row>
    <row r="11302" spans="1:7" x14ac:dyDescent="0.35">
      <c r="A11302" t="s">
        <v>230</v>
      </c>
      <c r="B11302" t="s">
        <v>262</v>
      </c>
      <c r="C11302" s="26">
        <v>0.56879999999999997</v>
      </c>
      <c r="D11302" s="26">
        <v>0.32650000000000001</v>
      </c>
      <c r="E11302" s="26">
        <v>7.7899999999999997E-2</v>
      </c>
      <c r="F11302" s="26">
        <v>2.6700000000000002E-2</v>
      </c>
      <c r="G11302">
        <v>100</v>
      </c>
    </row>
    <row r="11303" spans="1:7" x14ac:dyDescent="0.35">
      <c r="A11303" t="s">
        <v>230</v>
      </c>
      <c r="B11303" t="s">
        <v>260</v>
      </c>
      <c r="C11303" s="26">
        <v>0.42899999999999999</v>
      </c>
      <c r="D11303" s="26">
        <v>0.31909999999999999</v>
      </c>
      <c r="E11303" s="26">
        <v>0.19359999999999999</v>
      </c>
      <c r="F11303" s="26">
        <v>5.8200000000000002E-2</v>
      </c>
      <c r="G11303">
        <v>236</v>
      </c>
    </row>
    <row r="11304" spans="1:7" x14ac:dyDescent="0.35">
      <c r="A11304" t="s">
        <v>230</v>
      </c>
      <c r="B11304" t="s">
        <v>261</v>
      </c>
      <c r="C11304" s="26">
        <v>0.65090000000000003</v>
      </c>
      <c r="D11304" s="26">
        <v>0.16189999999999999</v>
      </c>
      <c r="E11304" s="26">
        <v>8.9399999999999993E-2</v>
      </c>
      <c r="F11304" s="26">
        <v>9.7799999999999998E-2</v>
      </c>
      <c r="G11304">
        <v>44</v>
      </c>
    </row>
    <row r="11305" spans="1:7" x14ac:dyDescent="0.35">
      <c r="A11305" s="27" t="s">
        <v>230</v>
      </c>
      <c r="B11305" s="27" t="s">
        <v>263</v>
      </c>
      <c r="C11305" s="28">
        <v>0.7853</v>
      </c>
      <c r="D11305" s="28">
        <v>0.13800000000000001</v>
      </c>
      <c r="E11305" s="28">
        <v>7.6600000000000001E-2</v>
      </c>
      <c r="F11305" s="29"/>
      <c r="G11305" s="29" t="s">
        <v>328</v>
      </c>
    </row>
    <row r="11306" spans="1:7" x14ac:dyDescent="0.35">
      <c r="A11306" s="27" t="s">
        <v>230</v>
      </c>
      <c r="B11306" s="27" t="s">
        <v>236</v>
      </c>
      <c r="C11306" s="28">
        <v>0.57110000000000005</v>
      </c>
      <c r="D11306" s="28">
        <v>0.4289</v>
      </c>
      <c r="E11306" s="29"/>
      <c r="F11306" s="29"/>
      <c r="G11306" s="29" t="s">
        <v>315</v>
      </c>
    </row>
    <row r="11307" spans="1:7" x14ac:dyDescent="0.35">
      <c r="A11307" s="27" t="s">
        <v>231</v>
      </c>
      <c r="B11307" s="27" t="s">
        <v>260</v>
      </c>
      <c r="C11307" s="29"/>
      <c r="D11307" s="29"/>
      <c r="E11307" s="28">
        <v>0.48280000000000001</v>
      </c>
      <c r="F11307" s="28">
        <v>0.51719999999999999</v>
      </c>
      <c r="G11307" s="29" t="s">
        <v>329</v>
      </c>
    </row>
    <row r="11308" spans="1:7" x14ac:dyDescent="0.35">
      <c r="A11308" s="27" t="s">
        <v>231</v>
      </c>
      <c r="B11308" s="27" t="s">
        <v>262</v>
      </c>
      <c r="C11308" s="29"/>
      <c r="D11308" s="29"/>
      <c r="E11308" s="28">
        <v>1</v>
      </c>
      <c r="F11308" s="29"/>
      <c r="G11308" s="29" t="s">
        <v>314</v>
      </c>
    </row>
    <row r="11309" spans="1:7" x14ac:dyDescent="0.35">
      <c r="A11309" s="27" t="s">
        <v>231</v>
      </c>
      <c r="B11309" s="27" t="s">
        <v>261</v>
      </c>
      <c r="C11309" s="29"/>
      <c r="D11309" s="29"/>
      <c r="E11309" s="28">
        <v>0.57140000000000002</v>
      </c>
      <c r="F11309" s="28">
        <v>0.42859999999999998</v>
      </c>
      <c r="G11309" s="29" t="s">
        <v>339</v>
      </c>
    </row>
    <row r="11310" spans="1:7" x14ac:dyDescent="0.35">
      <c r="A11310" t="s">
        <v>232</v>
      </c>
      <c r="B11310" t="s">
        <v>232</v>
      </c>
      <c r="C11310" s="26">
        <v>0.4476</v>
      </c>
      <c r="D11310" s="26">
        <v>0.215</v>
      </c>
      <c r="E11310" s="26">
        <v>0.19309999999999999</v>
      </c>
      <c r="F11310" s="26">
        <v>0.14430000000000001</v>
      </c>
      <c r="G11310">
        <v>2004</v>
      </c>
    </row>
    <row r="11312" spans="1:7" x14ac:dyDescent="0.35">
      <c r="A11312" s="1" t="s">
        <v>1393</v>
      </c>
    </row>
    <row r="11313" spans="1:7" x14ac:dyDescent="0.35">
      <c r="A11313" t="s">
        <v>219</v>
      </c>
      <c r="B11313" t="s">
        <v>305</v>
      </c>
      <c r="C11313" t="s">
        <v>1351</v>
      </c>
      <c r="D11313" t="s">
        <v>1352</v>
      </c>
      <c r="E11313" t="s">
        <v>1353</v>
      </c>
      <c r="F11313" t="s">
        <v>1354</v>
      </c>
      <c r="G11313" t="s">
        <v>226</v>
      </c>
    </row>
    <row r="11314" spans="1:7" x14ac:dyDescent="0.35">
      <c r="A11314" s="27" t="s">
        <v>227</v>
      </c>
      <c r="B11314" s="27" t="s">
        <v>368</v>
      </c>
      <c r="C11314" s="29"/>
      <c r="D11314" s="29"/>
      <c r="E11314" s="28">
        <v>0.7</v>
      </c>
      <c r="F11314" s="28">
        <v>0.3</v>
      </c>
      <c r="G11314" s="29" t="s">
        <v>307</v>
      </c>
    </row>
    <row r="11315" spans="1:7" x14ac:dyDescent="0.35">
      <c r="A11315" t="s">
        <v>227</v>
      </c>
      <c r="B11315" t="s">
        <v>369</v>
      </c>
      <c r="E11315" s="26">
        <v>0.46510000000000001</v>
      </c>
      <c r="F11315" s="26">
        <v>0.53490000000000004</v>
      </c>
      <c r="G11315">
        <v>43</v>
      </c>
    </row>
    <row r="11316" spans="1:7" x14ac:dyDescent="0.35">
      <c r="A11316" t="s">
        <v>228</v>
      </c>
      <c r="B11316" t="s">
        <v>368</v>
      </c>
      <c r="C11316" s="26">
        <v>0.60660000000000003</v>
      </c>
      <c r="D11316" s="26">
        <v>0.26369999999999999</v>
      </c>
      <c r="E11316" s="26">
        <v>6.5199999999999994E-2</v>
      </c>
      <c r="F11316" s="26">
        <v>6.4399999999999999E-2</v>
      </c>
      <c r="G11316">
        <v>152</v>
      </c>
    </row>
    <row r="11317" spans="1:7" x14ac:dyDescent="0.35">
      <c r="A11317" t="s">
        <v>228</v>
      </c>
      <c r="B11317" t="s">
        <v>369</v>
      </c>
      <c r="C11317" s="26">
        <v>0.55410000000000004</v>
      </c>
      <c r="D11317" s="26">
        <v>0.26540000000000002</v>
      </c>
      <c r="E11317" s="26">
        <v>0.1336</v>
      </c>
      <c r="F11317" s="26">
        <v>4.6899999999999997E-2</v>
      </c>
      <c r="G11317">
        <v>664</v>
      </c>
    </row>
    <row r="11318" spans="1:7" x14ac:dyDescent="0.35">
      <c r="A11318" t="s">
        <v>229</v>
      </c>
      <c r="B11318" t="s">
        <v>368</v>
      </c>
      <c r="C11318" s="26">
        <v>0.53320000000000001</v>
      </c>
      <c r="D11318" s="26">
        <v>0.36459999999999998</v>
      </c>
      <c r="E11318" s="26">
        <v>6.6900000000000001E-2</v>
      </c>
      <c r="F11318" s="26">
        <v>3.5299999999999998E-2</v>
      </c>
      <c r="G11318">
        <v>72</v>
      </c>
    </row>
    <row r="11319" spans="1:7" x14ac:dyDescent="0.35">
      <c r="A11319" t="s">
        <v>229</v>
      </c>
      <c r="B11319" t="s">
        <v>369</v>
      </c>
      <c r="C11319" s="26">
        <v>0.59189999999999998</v>
      </c>
      <c r="D11319" s="26">
        <v>0.249</v>
      </c>
      <c r="E11319" s="26">
        <v>9.0999999999999998E-2</v>
      </c>
      <c r="F11319" s="26">
        <v>6.8199999999999997E-2</v>
      </c>
      <c r="G11319">
        <v>619</v>
      </c>
    </row>
    <row r="11320" spans="1:7" x14ac:dyDescent="0.35">
      <c r="A11320" t="s">
        <v>230</v>
      </c>
      <c r="B11320" t="s">
        <v>368</v>
      </c>
      <c r="C11320" s="26">
        <v>0.65090000000000003</v>
      </c>
      <c r="D11320" s="26">
        <v>0.16189999999999999</v>
      </c>
      <c r="E11320" s="26">
        <v>8.9399999999999993E-2</v>
      </c>
      <c r="F11320" s="26">
        <v>9.7799999999999998E-2</v>
      </c>
      <c r="G11320">
        <v>44</v>
      </c>
    </row>
    <row r="11321" spans="1:7" x14ac:dyDescent="0.35">
      <c r="A11321" t="s">
        <v>230</v>
      </c>
      <c r="B11321" t="s">
        <v>369</v>
      </c>
      <c r="C11321" s="26">
        <v>0.4672</v>
      </c>
      <c r="D11321" s="26">
        <v>0.31669999999999998</v>
      </c>
      <c r="E11321" s="26">
        <v>0.16600000000000001</v>
      </c>
      <c r="F11321" s="26">
        <v>5.0099999999999999E-2</v>
      </c>
      <c r="G11321">
        <v>362</v>
      </c>
    </row>
    <row r="11322" spans="1:7" x14ac:dyDescent="0.35">
      <c r="A11322" s="27" t="s">
        <v>231</v>
      </c>
      <c r="B11322" s="27" t="s">
        <v>368</v>
      </c>
      <c r="C11322" s="29"/>
      <c r="D11322" s="29"/>
      <c r="E11322" s="28">
        <v>0.57140000000000002</v>
      </c>
      <c r="F11322" s="28">
        <v>0.42859999999999998</v>
      </c>
      <c r="G11322" s="29" t="s">
        <v>339</v>
      </c>
    </row>
    <row r="11323" spans="1:7" x14ac:dyDescent="0.35">
      <c r="A11323" t="s">
        <v>231</v>
      </c>
      <c r="B11323" t="s">
        <v>369</v>
      </c>
      <c r="E11323" s="26">
        <v>0.5161</v>
      </c>
      <c r="F11323" s="26">
        <v>0.4839</v>
      </c>
      <c r="G11323">
        <v>31</v>
      </c>
    </row>
    <row r="11324" spans="1:7" x14ac:dyDescent="0.35">
      <c r="A11324" t="s">
        <v>232</v>
      </c>
      <c r="B11324" t="s">
        <v>232</v>
      </c>
      <c r="C11324" s="26">
        <v>0.4476</v>
      </c>
      <c r="D11324" s="26">
        <v>0.215</v>
      </c>
      <c r="E11324" s="26">
        <v>0.19309999999999999</v>
      </c>
      <c r="F11324" s="26">
        <v>0.14430000000000001</v>
      </c>
      <c r="G11324">
        <v>2004</v>
      </c>
    </row>
    <row r="11326" spans="1:7" x14ac:dyDescent="0.35">
      <c r="A11326" s="1" t="s">
        <v>1394</v>
      </c>
    </row>
    <row r="11327" spans="1:7" x14ac:dyDescent="0.35">
      <c r="A11327" t="s">
        <v>219</v>
      </c>
      <c r="B11327" t="s">
        <v>305</v>
      </c>
      <c r="C11327" t="s">
        <v>1351</v>
      </c>
      <c r="D11327" t="s">
        <v>1352</v>
      </c>
      <c r="E11327" t="s">
        <v>1353</v>
      </c>
      <c r="F11327" t="s">
        <v>1354</v>
      </c>
      <c r="G11327" t="s">
        <v>226</v>
      </c>
    </row>
    <row r="11328" spans="1:7" x14ac:dyDescent="0.35">
      <c r="A11328" t="s">
        <v>227</v>
      </c>
      <c r="B11328" t="s">
        <v>371</v>
      </c>
      <c r="E11328" s="26">
        <v>0.50939999999999996</v>
      </c>
      <c r="F11328" s="26">
        <v>0.49059999999999998</v>
      </c>
      <c r="G11328">
        <v>53</v>
      </c>
    </row>
    <row r="11329" spans="1:7" x14ac:dyDescent="0.35">
      <c r="A11329" t="s">
        <v>228</v>
      </c>
      <c r="B11329" t="s">
        <v>371</v>
      </c>
      <c r="C11329" s="26">
        <v>0.4425</v>
      </c>
      <c r="D11329" s="26">
        <v>0.32779999999999998</v>
      </c>
      <c r="E11329" s="26">
        <v>0.1575</v>
      </c>
      <c r="F11329" s="26">
        <v>7.22E-2</v>
      </c>
      <c r="G11329">
        <v>199</v>
      </c>
    </row>
    <row r="11330" spans="1:7" x14ac:dyDescent="0.35">
      <c r="A11330" t="s">
        <v>228</v>
      </c>
      <c r="B11330" t="s">
        <v>372</v>
      </c>
      <c r="C11330" s="26">
        <v>0.75419999999999998</v>
      </c>
      <c r="D11330" s="26">
        <v>0.13700000000000001</v>
      </c>
      <c r="E11330" s="26">
        <v>6.88E-2</v>
      </c>
      <c r="F11330" s="26">
        <v>0.04</v>
      </c>
      <c r="G11330">
        <v>182</v>
      </c>
    </row>
    <row r="11331" spans="1:7" x14ac:dyDescent="0.35">
      <c r="A11331" t="s">
        <v>228</v>
      </c>
      <c r="B11331" t="s">
        <v>373</v>
      </c>
      <c r="C11331" s="26">
        <v>0.65990000000000004</v>
      </c>
      <c r="D11331" s="26">
        <v>0.22220000000000001</v>
      </c>
      <c r="E11331" s="26">
        <v>8.9599999999999999E-2</v>
      </c>
      <c r="F11331" s="26">
        <v>2.8199999999999999E-2</v>
      </c>
      <c r="G11331">
        <v>435</v>
      </c>
    </row>
    <row r="11332" spans="1:7" x14ac:dyDescent="0.35">
      <c r="A11332" t="s">
        <v>229</v>
      </c>
      <c r="B11332" t="s">
        <v>371</v>
      </c>
      <c r="C11332" s="26">
        <v>0.57389999999999997</v>
      </c>
      <c r="D11332" s="26">
        <v>0.27329999999999999</v>
      </c>
      <c r="E11332" s="26">
        <v>8.8200000000000001E-2</v>
      </c>
      <c r="F11332" s="26">
        <v>6.4600000000000005E-2</v>
      </c>
      <c r="G11332">
        <v>442</v>
      </c>
    </row>
    <row r="11333" spans="1:7" x14ac:dyDescent="0.35">
      <c r="A11333" t="s">
        <v>229</v>
      </c>
      <c r="B11333" t="s">
        <v>372</v>
      </c>
      <c r="C11333" s="26">
        <v>0.74360000000000004</v>
      </c>
      <c r="D11333" s="26">
        <v>0.18459999999999999</v>
      </c>
      <c r="E11333" s="26">
        <v>4.6399999999999997E-2</v>
      </c>
      <c r="F11333" s="26">
        <v>2.5399999999999999E-2</v>
      </c>
      <c r="G11333">
        <v>183</v>
      </c>
    </row>
    <row r="11334" spans="1:7" x14ac:dyDescent="0.35">
      <c r="A11334" t="s">
        <v>229</v>
      </c>
      <c r="B11334" t="s">
        <v>373</v>
      </c>
      <c r="C11334" s="26">
        <v>0.57150000000000001</v>
      </c>
      <c r="D11334" s="26">
        <v>0.18090000000000001</v>
      </c>
      <c r="E11334" s="26">
        <v>0.1492</v>
      </c>
      <c r="F11334" s="26">
        <v>9.8400000000000001E-2</v>
      </c>
      <c r="G11334">
        <v>66</v>
      </c>
    </row>
    <row r="11335" spans="1:7" x14ac:dyDescent="0.35">
      <c r="A11335" t="s">
        <v>230</v>
      </c>
      <c r="B11335" t="s">
        <v>371</v>
      </c>
      <c r="C11335" s="26">
        <v>0.49830000000000002</v>
      </c>
      <c r="D11335" s="26">
        <v>0.28270000000000001</v>
      </c>
      <c r="E11335" s="26">
        <v>0.1583</v>
      </c>
      <c r="F11335" s="26">
        <v>6.0699999999999997E-2</v>
      </c>
      <c r="G11335">
        <v>171</v>
      </c>
    </row>
    <row r="11336" spans="1:7" x14ac:dyDescent="0.35">
      <c r="A11336" t="s">
        <v>230</v>
      </c>
      <c r="B11336" t="s">
        <v>372</v>
      </c>
      <c r="C11336" s="26">
        <v>0.61399999999999999</v>
      </c>
      <c r="D11336" s="26">
        <v>0.2349</v>
      </c>
      <c r="E11336" s="26">
        <v>0.1222</v>
      </c>
      <c r="F11336" s="26">
        <v>2.8799999999999999E-2</v>
      </c>
      <c r="G11336">
        <v>128</v>
      </c>
    </row>
    <row r="11337" spans="1:7" x14ac:dyDescent="0.35">
      <c r="A11337" t="s">
        <v>230</v>
      </c>
      <c r="B11337" t="s">
        <v>373</v>
      </c>
      <c r="C11337" s="26">
        <v>0.40179999999999999</v>
      </c>
      <c r="D11337" s="26">
        <v>0.40079999999999999</v>
      </c>
      <c r="E11337" s="26">
        <v>0.14879999999999999</v>
      </c>
      <c r="F11337" s="26">
        <v>4.8599999999999997E-2</v>
      </c>
      <c r="G11337">
        <v>107</v>
      </c>
    </row>
    <row r="11338" spans="1:7" x14ac:dyDescent="0.35">
      <c r="A11338" t="s">
        <v>231</v>
      </c>
      <c r="B11338" t="s">
        <v>371</v>
      </c>
      <c r="E11338" s="26">
        <v>0.52629999999999999</v>
      </c>
      <c r="F11338" s="26">
        <v>0.47370000000000001</v>
      </c>
      <c r="G11338">
        <v>38</v>
      </c>
    </row>
    <row r="11339" spans="1:7" x14ac:dyDescent="0.35">
      <c r="A11339" t="s">
        <v>232</v>
      </c>
      <c r="B11339" t="s">
        <v>232</v>
      </c>
      <c r="C11339" s="26">
        <v>0.4476</v>
      </c>
      <c r="D11339" s="26">
        <v>0.215</v>
      </c>
      <c r="E11339" s="26">
        <v>0.19309999999999999</v>
      </c>
      <c r="F11339" s="26">
        <v>0.14430000000000001</v>
      </c>
      <c r="G11339">
        <v>2004</v>
      </c>
    </row>
    <row r="11341" spans="1:7" x14ac:dyDescent="0.35">
      <c r="A11341" s="1" t="s">
        <v>1395</v>
      </c>
    </row>
    <row r="11342" spans="1:7" x14ac:dyDescent="0.35">
      <c r="A11342" t="s">
        <v>219</v>
      </c>
      <c r="B11342" t="s">
        <v>305</v>
      </c>
      <c r="C11342" t="s">
        <v>1351</v>
      </c>
      <c r="D11342" t="s">
        <v>1352</v>
      </c>
      <c r="E11342" t="s">
        <v>1353</v>
      </c>
      <c r="F11342" t="s">
        <v>1354</v>
      </c>
      <c r="G11342" t="s">
        <v>226</v>
      </c>
    </row>
    <row r="11343" spans="1:7" x14ac:dyDescent="0.35">
      <c r="A11343" t="s">
        <v>227</v>
      </c>
      <c r="B11343" t="s">
        <v>255</v>
      </c>
      <c r="E11343" s="26">
        <v>0.47620000000000001</v>
      </c>
      <c r="F11343" s="26">
        <v>0.52380000000000004</v>
      </c>
      <c r="G11343">
        <v>42</v>
      </c>
    </row>
    <row r="11344" spans="1:7" x14ac:dyDescent="0.35">
      <c r="A11344" s="27" t="s">
        <v>227</v>
      </c>
      <c r="B11344" s="27" t="s">
        <v>256</v>
      </c>
      <c r="C11344" s="29"/>
      <c r="D11344" s="29"/>
      <c r="E11344" s="28">
        <v>0.55559999999999998</v>
      </c>
      <c r="F11344" s="28">
        <v>0.44440000000000002</v>
      </c>
      <c r="G11344" s="29" t="s">
        <v>334</v>
      </c>
    </row>
    <row r="11345" spans="1:7" x14ac:dyDescent="0.35">
      <c r="A11345" s="27" t="s">
        <v>227</v>
      </c>
      <c r="B11345" s="27" t="s">
        <v>257</v>
      </c>
      <c r="C11345" s="29"/>
      <c r="D11345" s="29"/>
      <c r="E11345" s="28">
        <v>1</v>
      </c>
      <c r="F11345" s="29"/>
      <c r="G11345" s="29" t="s">
        <v>314</v>
      </c>
    </row>
    <row r="11346" spans="1:7" x14ac:dyDescent="0.35">
      <c r="A11346" t="s">
        <v>228</v>
      </c>
      <c r="B11346" t="s">
        <v>255</v>
      </c>
      <c r="C11346" s="26">
        <v>0.59630000000000005</v>
      </c>
      <c r="D11346" s="26">
        <v>0.25640000000000002</v>
      </c>
      <c r="E11346" s="26">
        <v>9.98E-2</v>
      </c>
      <c r="F11346" s="26">
        <v>4.7500000000000001E-2</v>
      </c>
      <c r="G11346">
        <v>594</v>
      </c>
    </row>
    <row r="11347" spans="1:7" x14ac:dyDescent="0.35">
      <c r="A11347" s="27" t="s">
        <v>228</v>
      </c>
      <c r="B11347" s="27" t="s">
        <v>258</v>
      </c>
      <c r="C11347" s="28">
        <v>1</v>
      </c>
      <c r="D11347" s="29"/>
      <c r="E11347" s="29"/>
      <c r="F11347" s="29"/>
      <c r="G11347" s="29" t="s">
        <v>315</v>
      </c>
    </row>
    <row r="11348" spans="1:7" x14ac:dyDescent="0.35">
      <c r="A11348" t="s">
        <v>228</v>
      </c>
      <c r="B11348" t="s">
        <v>256</v>
      </c>
      <c r="C11348" s="26">
        <v>0.4652</v>
      </c>
      <c r="D11348" s="26">
        <v>0.28860000000000002</v>
      </c>
      <c r="E11348" s="26">
        <v>0.17929999999999999</v>
      </c>
      <c r="F11348" s="26">
        <v>6.6900000000000001E-2</v>
      </c>
      <c r="G11348">
        <v>178</v>
      </c>
    </row>
    <row r="11349" spans="1:7" x14ac:dyDescent="0.35">
      <c r="A11349" t="s">
        <v>228</v>
      </c>
      <c r="B11349" t="s">
        <v>257</v>
      </c>
      <c r="C11349" s="26">
        <v>0.59009999999999996</v>
      </c>
      <c r="D11349" s="26">
        <v>0.28149999999999997</v>
      </c>
      <c r="E11349" s="26">
        <v>0.11550000000000001</v>
      </c>
      <c r="F11349" s="26">
        <v>1.2999999999999999E-2</v>
      </c>
      <c r="G11349">
        <v>41</v>
      </c>
    </row>
    <row r="11350" spans="1:7" x14ac:dyDescent="0.35">
      <c r="A11350" t="s">
        <v>229</v>
      </c>
      <c r="B11350" t="s">
        <v>256</v>
      </c>
      <c r="C11350" s="26">
        <v>0.56730000000000003</v>
      </c>
      <c r="D11350" s="26">
        <v>0.26329999999999998</v>
      </c>
      <c r="E11350" s="26">
        <v>8.1500000000000003E-2</v>
      </c>
      <c r="F11350" s="26">
        <v>8.7800000000000003E-2</v>
      </c>
      <c r="G11350">
        <v>160</v>
      </c>
    </row>
    <row r="11351" spans="1:7" x14ac:dyDescent="0.35">
      <c r="A11351" t="s">
        <v>229</v>
      </c>
      <c r="B11351" t="s">
        <v>255</v>
      </c>
      <c r="C11351" s="26">
        <v>0.60370000000000001</v>
      </c>
      <c r="D11351" s="26">
        <v>0.2485</v>
      </c>
      <c r="E11351" s="26">
        <v>9.01E-2</v>
      </c>
      <c r="F11351" s="26">
        <v>5.7700000000000001E-2</v>
      </c>
      <c r="G11351">
        <v>487</v>
      </c>
    </row>
    <row r="11352" spans="1:7" x14ac:dyDescent="0.35">
      <c r="A11352" t="s">
        <v>229</v>
      </c>
      <c r="B11352" t="s">
        <v>257</v>
      </c>
      <c r="C11352" s="26">
        <v>0.41749999999999998</v>
      </c>
      <c r="D11352" s="26">
        <v>0.4929</v>
      </c>
      <c r="E11352" s="26">
        <v>8.5599999999999996E-2</v>
      </c>
      <c r="F11352" s="26">
        <v>4.0000000000000001E-3</v>
      </c>
      <c r="G11352">
        <v>42</v>
      </c>
    </row>
    <row r="11353" spans="1:7" x14ac:dyDescent="0.35">
      <c r="A11353" s="27" t="s">
        <v>229</v>
      </c>
      <c r="B11353" s="27" t="s">
        <v>258</v>
      </c>
      <c r="C11353" s="28">
        <v>0.77590000000000003</v>
      </c>
      <c r="D11353" s="29"/>
      <c r="E11353" s="28">
        <v>0.22409999999999999</v>
      </c>
      <c r="F11353" s="29"/>
      <c r="G11353" s="29" t="s">
        <v>314</v>
      </c>
    </row>
    <row r="11354" spans="1:7" x14ac:dyDescent="0.35">
      <c r="A11354" t="s">
        <v>230</v>
      </c>
      <c r="B11354" t="s">
        <v>255</v>
      </c>
      <c r="C11354" s="26">
        <v>0.51259999999999994</v>
      </c>
      <c r="D11354" s="26">
        <v>0.30759999999999998</v>
      </c>
      <c r="E11354" s="26">
        <v>0.14449999999999999</v>
      </c>
      <c r="F11354" s="26">
        <v>3.5400000000000001E-2</v>
      </c>
      <c r="G11354">
        <v>277</v>
      </c>
    </row>
    <row r="11355" spans="1:7" x14ac:dyDescent="0.35">
      <c r="A11355" s="27" t="s">
        <v>230</v>
      </c>
      <c r="B11355" s="27" t="s">
        <v>258</v>
      </c>
      <c r="C11355" s="29"/>
      <c r="D11355" s="28">
        <v>0.76470000000000005</v>
      </c>
      <c r="E11355" s="29"/>
      <c r="F11355" s="28">
        <v>0.23530000000000001</v>
      </c>
      <c r="G11355" s="29" t="s">
        <v>314</v>
      </c>
    </row>
    <row r="11356" spans="1:7" x14ac:dyDescent="0.35">
      <c r="A11356" t="s">
        <v>230</v>
      </c>
      <c r="B11356" t="s">
        <v>256</v>
      </c>
      <c r="C11356" s="26">
        <v>0.49430000000000002</v>
      </c>
      <c r="D11356" s="26">
        <v>0.30609999999999998</v>
      </c>
      <c r="E11356" s="26">
        <v>0.15989999999999999</v>
      </c>
      <c r="F11356" s="26">
        <v>3.9699999999999999E-2</v>
      </c>
      <c r="G11356">
        <v>98</v>
      </c>
    </row>
    <row r="11357" spans="1:7" x14ac:dyDescent="0.35">
      <c r="A11357" s="27" t="s">
        <v>230</v>
      </c>
      <c r="B11357" s="27" t="s">
        <v>257</v>
      </c>
      <c r="C11357" s="28">
        <v>0.33960000000000001</v>
      </c>
      <c r="D11357" s="28">
        <v>0.11550000000000001</v>
      </c>
      <c r="E11357" s="28">
        <v>0.23130000000000001</v>
      </c>
      <c r="F11357" s="28">
        <v>0.31369999999999998</v>
      </c>
      <c r="G11357" s="29" t="s">
        <v>329</v>
      </c>
    </row>
    <row r="11358" spans="1:7" x14ac:dyDescent="0.35">
      <c r="A11358" t="s">
        <v>231</v>
      </c>
      <c r="B11358" t="s">
        <v>255</v>
      </c>
      <c r="E11358" s="26">
        <v>0.5161</v>
      </c>
      <c r="F11358" s="26">
        <v>0.4839</v>
      </c>
      <c r="G11358">
        <v>31</v>
      </c>
    </row>
    <row r="11359" spans="1:7" x14ac:dyDescent="0.35">
      <c r="A11359" s="27" t="s">
        <v>231</v>
      </c>
      <c r="B11359" s="27" t="s">
        <v>256</v>
      </c>
      <c r="C11359" s="29"/>
      <c r="D11359" s="29"/>
      <c r="E11359" s="28">
        <v>0.57140000000000002</v>
      </c>
      <c r="F11359" s="28">
        <v>0.42859999999999998</v>
      </c>
      <c r="G11359" s="29" t="s">
        <v>339</v>
      </c>
    </row>
    <row r="11360" spans="1:7" x14ac:dyDescent="0.35">
      <c r="A11360" t="s">
        <v>232</v>
      </c>
      <c r="B11360" t="s">
        <v>232</v>
      </c>
      <c r="C11360" s="26">
        <v>0.4476</v>
      </c>
      <c r="D11360" s="26">
        <v>0.215</v>
      </c>
      <c r="E11360" s="26">
        <v>0.19309999999999999</v>
      </c>
      <c r="F11360" s="26">
        <v>0.14430000000000001</v>
      </c>
      <c r="G11360">
        <v>2004</v>
      </c>
    </row>
    <row r="11362" spans="1:7" x14ac:dyDescent="0.35">
      <c r="A11362" s="1" t="s">
        <v>1396</v>
      </c>
    </row>
    <row r="11363" spans="1:7" x14ac:dyDescent="0.35">
      <c r="A11363" t="s">
        <v>219</v>
      </c>
      <c r="B11363" t="s">
        <v>305</v>
      </c>
      <c r="C11363" t="s">
        <v>1351</v>
      </c>
      <c r="D11363" t="s">
        <v>1352</v>
      </c>
      <c r="E11363" t="s">
        <v>1353</v>
      </c>
      <c r="F11363" t="s">
        <v>1354</v>
      </c>
      <c r="G11363" t="s">
        <v>226</v>
      </c>
    </row>
    <row r="11364" spans="1:7" x14ac:dyDescent="0.35">
      <c r="A11364" s="27" t="s">
        <v>227</v>
      </c>
      <c r="B11364" s="27" t="s">
        <v>1341</v>
      </c>
      <c r="C11364" s="29"/>
      <c r="D11364" s="29"/>
      <c r="E11364" s="28">
        <v>0.6</v>
      </c>
      <c r="F11364" s="28">
        <v>0.4</v>
      </c>
      <c r="G11364" s="29" t="s">
        <v>346</v>
      </c>
    </row>
    <row r="11365" spans="1:7" x14ac:dyDescent="0.35">
      <c r="A11365" t="s">
        <v>227</v>
      </c>
      <c r="B11365" t="s">
        <v>1343</v>
      </c>
      <c r="E11365" s="26">
        <v>0.47370000000000001</v>
      </c>
      <c r="F11365" s="26">
        <v>0.52629999999999999</v>
      </c>
      <c r="G11365">
        <v>38</v>
      </c>
    </row>
    <row r="11366" spans="1:7" x14ac:dyDescent="0.35">
      <c r="A11366" t="s">
        <v>228</v>
      </c>
      <c r="B11366" t="s">
        <v>1341</v>
      </c>
      <c r="C11366" s="26">
        <v>0.5575</v>
      </c>
      <c r="D11366" s="26">
        <v>0.2152</v>
      </c>
      <c r="E11366" s="26">
        <v>0.1716</v>
      </c>
      <c r="F11366" s="26">
        <v>5.5800000000000002E-2</v>
      </c>
      <c r="G11366">
        <v>238</v>
      </c>
    </row>
    <row r="11367" spans="1:7" x14ac:dyDescent="0.35">
      <c r="A11367" s="27" t="s">
        <v>228</v>
      </c>
      <c r="B11367" s="27" t="s">
        <v>1342</v>
      </c>
      <c r="C11367" s="28">
        <v>1</v>
      </c>
      <c r="D11367" s="29"/>
      <c r="E11367" s="29"/>
      <c r="F11367" s="29"/>
      <c r="G11367" s="29" t="s">
        <v>331</v>
      </c>
    </row>
    <row r="11368" spans="1:7" x14ac:dyDescent="0.35">
      <c r="A11368" t="s">
        <v>228</v>
      </c>
      <c r="B11368" t="s">
        <v>1343</v>
      </c>
      <c r="C11368" s="26">
        <v>0.56459999999999999</v>
      </c>
      <c r="D11368" s="26">
        <v>0.28770000000000001</v>
      </c>
      <c r="E11368" s="26">
        <v>9.9299999999999999E-2</v>
      </c>
      <c r="F11368" s="26">
        <v>4.8399999999999999E-2</v>
      </c>
      <c r="G11368">
        <v>577</v>
      </c>
    </row>
    <row r="11369" spans="1:7" x14ac:dyDescent="0.35">
      <c r="A11369" t="s">
        <v>229</v>
      </c>
      <c r="B11369" t="s">
        <v>1341</v>
      </c>
      <c r="C11369" s="26">
        <v>0.64170000000000005</v>
      </c>
      <c r="D11369" s="26">
        <v>0.19969999999999999</v>
      </c>
      <c r="E11369" s="26">
        <v>9.06E-2</v>
      </c>
      <c r="F11369" s="26">
        <v>6.8000000000000005E-2</v>
      </c>
      <c r="G11369">
        <v>202</v>
      </c>
    </row>
    <row r="11370" spans="1:7" x14ac:dyDescent="0.35">
      <c r="A11370" t="s">
        <v>229</v>
      </c>
      <c r="B11370" t="s">
        <v>1343</v>
      </c>
      <c r="C11370" s="26">
        <v>0.55530000000000002</v>
      </c>
      <c r="D11370" s="26">
        <v>0.29759999999999998</v>
      </c>
      <c r="E11370" s="26">
        <v>8.5999999999999993E-2</v>
      </c>
      <c r="F11370" s="26">
        <v>6.1100000000000002E-2</v>
      </c>
      <c r="G11370">
        <v>489</v>
      </c>
    </row>
    <row r="11371" spans="1:7" x14ac:dyDescent="0.35">
      <c r="A11371" t="s">
        <v>230</v>
      </c>
      <c r="B11371" t="s">
        <v>1341</v>
      </c>
      <c r="C11371" s="26">
        <v>0.47870000000000001</v>
      </c>
      <c r="D11371" s="26">
        <v>0.317</v>
      </c>
      <c r="E11371" s="26">
        <v>0.14849999999999999</v>
      </c>
      <c r="F11371" s="26">
        <v>5.5800000000000002E-2</v>
      </c>
      <c r="G11371">
        <v>117</v>
      </c>
    </row>
    <row r="11372" spans="1:7" x14ac:dyDescent="0.35">
      <c r="A11372" t="s">
        <v>230</v>
      </c>
      <c r="B11372" t="s">
        <v>1343</v>
      </c>
      <c r="C11372" s="26">
        <v>0.50139999999999996</v>
      </c>
      <c r="D11372" s="26">
        <v>0.28339999999999999</v>
      </c>
      <c r="E11372" s="26">
        <v>0.15759999999999999</v>
      </c>
      <c r="F11372" s="26">
        <v>5.7700000000000001E-2</v>
      </c>
      <c r="G11372">
        <v>289</v>
      </c>
    </row>
    <row r="11373" spans="1:7" x14ac:dyDescent="0.35">
      <c r="A11373" s="27" t="s">
        <v>231</v>
      </c>
      <c r="B11373" s="27" t="s">
        <v>1341</v>
      </c>
      <c r="C11373" s="29"/>
      <c r="D11373" s="29"/>
      <c r="E11373" s="28">
        <v>0.5</v>
      </c>
      <c r="F11373" s="28">
        <v>0.5</v>
      </c>
      <c r="G11373" s="29" t="s">
        <v>348</v>
      </c>
    </row>
    <row r="11374" spans="1:7" x14ac:dyDescent="0.35">
      <c r="A11374" s="27" t="s">
        <v>231</v>
      </c>
      <c r="B11374" s="27" t="s">
        <v>1343</v>
      </c>
      <c r="C11374" s="29"/>
      <c r="D11374" s="29"/>
      <c r="E11374" s="28">
        <v>0.54549999999999998</v>
      </c>
      <c r="F11374" s="28">
        <v>0.45450000000000002</v>
      </c>
      <c r="G11374" s="29" t="s">
        <v>347</v>
      </c>
    </row>
    <row r="11375" spans="1:7" x14ac:dyDescent="0.35">
      <c r="A11375" t="s">
        <v>232</v>
      </c>
      <c r="B11375" t="s">
        <v>232</v>
      </c>
      <c r="C11375" s="26">
        <v>0.4476</v>
      </c>
      <c r="D11375" s="26">
        <v>0.215</v>
      </c>
      <c r="E11375" s="26">
        <v>0.19309999999999999</v>
      </c>
      <c r="F11375" s="26">
        <v>0.14430000000000001</v>
      </c>
      <c r="G11375">
        <v>2004</v>
      </c>
    </row>
    <row r="11377" spans="1:7" x14ac:dyDescent="0.35">
      <c r="A11377" s="1" t="s">
        <v>1397</v>
      </c>
    </row>
    <row r="11378" spans="1:7" x14ac:dyDescent="0.35">
      <c r="A11378" t="s">
        <v>219</v>
      </c>
      <c r="B11378" t="s">
        <v>305</v>
      </c>
      <c r="C11378" t="s">
        <v>1351</v>
      </c>
      <c r="D11378" t="s">
        <v>1352</v>
      </c>
      <c r="E11378" t="s">
        <v>1353</v>
      </c>
      <c r="F11378" t="s">
        <v>1354</v>
      </c>
      <c r="G11378" t="s">
        <v>226</v>
      </c>
    </row>
    <row r="11379" spans="1:7" x14ac:dyDescent="0.35">
      <c r="A11379" s="27" t="s">
        <v>227</v>
      </c>
      <c r="B11379" s="27" t="s">
        <v>1347</v>
      </c>
      <c r="C11379" s="29"/>
      <c r="D11379" s="29"/>
      <c r="E11379" s="28">
        <v>0.81820000000000004</v>
      </c>
      <c r="F11379" s="28">
        <v>0.18179999999999999</v>
      </c>
      <c r="G11379" s="29" t="s">
        <v>352</v>
      </c>
    </row>
    <row r="11380" spans="1:7" x14ac:dyDescent="0.35">
      <c r="A11380" s="27" t="s">
        <v>227</v>
      </c>
      <c r="B11380" s="27" t="s">
        <v>1348</v>
      </c>
      <c r="C11380" s="29"/>
      <c r="D11380" s="29"/>
      <c r="E11380" s="28">
        <v>0.4138</v>
      </c>
      <c r="F11380" s="28">
        <v>0.58620000000000005</v>
      </c>
      <c r="G11380" s="29" t="s">
        <v>329</v>
      </c>
    </row>
    <row r="11381" spans="1:7" x14ac:dyDescent="0.35">
      <c r="A11381" s="27" t="s">
        <v>227</v>
      </c>
      <c r="B11381" s="27" t="s">
        <v>1346</v>
      </c>
      <c r="C11381" s="29"/>
      <c r="D11381" s="29"/>
      <c r="E11381" s="28">
        <v>0.46150000000000002</v>
      </c>
      <c r="F11381" s="28">
        <v>0.53849999999999998</v>
      </c>
      <c r="G11381" s="29" t="s">
        <v>341</v>
      </c>
    </row>
    <row r="11382" spans="1:7" x14ac:dyDescent="0.35">
      <c r="A11382" s="27" t="s">
        <v>228</v>
      </c>
      <c r="B11382" s="27" t="s">
        <v>1345</v>
      </c>
      <c r="C11382" s="28">
        <v>0.3634</v>
      </c>
      <c r="D11382" s="28">
        <v>0.32669999999999999</v>
      </c>
      <c r="E11382" s="28">
        <v>0.155</v>
      </c>
      <c r="F11382" s="28">
        <v>0.155</v>
      </c>
      <c r="G11382" s="29" t="s">
        <v>352</v>
      </c>
    </row>
    <row r="11383" spans="1:7" x14ac:dyDescent="0.35">
      <c r="A11383" t="s">
        <v>228</v>
      </c>
      <c r="B11383" t="s">
        <v>1347</v>
      </c>
      <c r="C11383" s="26">
        <v>0.49630000000000002</v>
      </c>
      <c r="D11383" s="26">
        <v>0.33700000000000002</v>
      </c>
      <c r="E11383" s="26">
        <v>0.115</v>
      </c>
      <c r="F11383" s="26">
        <v>5.1700000000000003E-2</v>
      </c>
      <c r="G11383">
        <v>169</v>
      </c>
    </row>
    <row r="11384" spans="1:7" x14ac:dyDescent="0.35">
      <c r="A11384" t="s">
        <v>228</v>
      </c>
      <c r="B11384" t="s">
        <v>1346</v>
      </c>
      <c r="C11384" s="26">
        <v>0.63919999999999999</v>
      </c>
      <c r="D11384" s="26">
        <v>0.23300000000000001</v>
      </c>
      <c r="E11384" s="26">
        <v>9.2399999999999996E-2</v>
      </c>
      <c r="F11384" s="26">
        <v>3.5400000000000001E-2</v>
      </c>
      <c r="G11384">
        <v>205</v>
      </c>
    </row>
    <row r="11385" spans="1:7" x14ac:dyDescent="0.35">
      <c r="A11385" t="s">
        <v>228</v>
      </c>
      <c r="B11385" t="s">
        <v>1348</v>
      </c>
      <c r="C11385" s="26">
        <v>0.57220000000000004</v>
      </c>
      <c r="D11385" s="26">
        <v>0.24610000000000001</v>
      </c>
      <c r="E11385" s="26">
        <v>0.1313</v>
      </c>
      <c r="F11385" s="26">
        <v>5.0299999999999997E-2</v>
      </c>
      <c r="G11385">
        <v>431</v>
      </c>
    </row>
    <row r="11386" spans="1:7" x14ac:dyDescent="0.35">
      <c r="A11386" s="27" t="s">
        <v>229</v>
      </c>
      <c r="B11386" s="27" t="s">
        <v>1345</v>
      </c>
      <c r="C11386" s="28">
        <v>0.36990000000000001</v>
      </c>
      <c r="D11386" s="28">
        <v>0.56459999999999999</v>
      </c>
      <c r="E11386" s="28">
        <v>1.7299999999999999E-2</v>
      </c>
      <c r="F11386" s="28">
        <v>4.8099999999999997E-2</v>
      </c>
      <c r="G11386" s="29" t="s">
        <v>353</v>
      </c>
    </row>
    <row r="11387" spans="1:7" x14ac:dyDescent="0.35">
      <c r="A11387" t="s">
        <v>229</v>
      </c>
      <c r="B11387" t="s">
        <v>1346</v>
      </c>
      <c r="C11387" s="26">
        <v>0.62190000000000001</v>
      </c>
      <c r="D11387" s="26">
        <v>0.22470000000000001</v>
      </c>
      <c r="E11387" s="26">
        <v>8.8400000000000006E-2</v>
      </c>
      <c r="F11387" s="26">
        <v>6.5000000000000002E-2</v>
      </c>
      <c r="G11387">
        <v>126</v>
      </c>
    </row>
    <row r="11388" spans="1:7" x14ac:dyDescent="0.35">
      <c r="A11388" t="s">
        <v>229</v>
      </c>
      <c r="B11388" t="s">
        <v>1347</v>
      </c>
      <c r="C11388" s="26">
        <v>0.57040000000000002</v>
      </c>
      <c r="D11388" s="26">
        <v>0.2727</v>
      </c>
      <c r="E11388" s="26">
        <v>5.6000000000000001E-2</v>
      </c>
      <c r="F11388" s="26">
        <v>0.1009</v>
      </c>
      <c r="G11388">
        <v>243</v>
      </c>
    </row>
    <row r="11389" spans="1:7" x14ac:dyDescent="0.35">
      <c r="A11389" t="s">
        <v>229</v>
      </c>
      <c r="B11389" t="s">
        <v>1348</v>
      </c>
      <c r="C11389" s="26">
        <v>0.5897</v>
      </c>
      <c r="D11389" s="26">
        <v>0.25979999999999998</v>
      </c>
      <c r="E11389" s="26">
        <v>0.11260000000000001</v>
      </c>
      <c r="F11389" s="26">
        <v>3.7999999999999999E-2</v>
      </c>
      <c r="G11389">
        <v>304</v>
      </c>
    </row>
    <row r="11390" spans="1:7" x14ac:dyDescent="0.35">
      <c r="A11390" s="27" t="s">
        <v>230</v>
      </c>
      <c r="B11390" s="27" t="s">
        <v>1345</v>
      </c>
      <c r="C11390" s="28">
        <v>0.34250000000000003</v>
      </c>
      <c r="D11390" s="28">
        <v>0.32819999999999999</v>
      </c>
      <c r="E11390" s="28">
        <v>4.7500000000000001E-2</v>
      </c>
      <c r="F11390" s="28">
        <v>0.28179999999999999</v>
      </c>
      <c r="G11390" s="29" t="s">
        <v>339</v>
      </c>
    </row>
    <row r="11391" spans="1:7" x14ac:dyDescent="0.35">
      <c r="A11391" t="s">
        <v>230</v>
      </c>
      <c r="B11391" t="s">
        <v>1347</v>
      </c>
      <c r="C11391" s="26">
        <v>0.40770000000000001</v>
      </c>
      <c r="D11391" s="26">
        <v>0.3256</v>
      </c>
      <c r="E11391" s="26">
        <v>0.183</v>
      </c>
      <c r="F11391" s="26">
        <v>8.3799999999999999E-2</v>
      </c>
      <c r="G11391">
        <v>114</v>
      </c>
    </row>
    <row r="11392" spans="1:7" x14ac:dyDescent="0.35">
      <c r="A11392" t="s">
        <v>230</v>
      </c>
      <c r="B11392" t="s">
        <v>1348</v>
      </c>
      <c r="C11392" s="26">
        <v>0.55549999999999999</v>
      </c>
      <c r="D11392" s="26">
        <v>0.27029999999999998</v>
      </c>
      <c r="E11392" s="26">
        <v>0.13769999999999999</v>
      </c>
      <c r="F11392" s="26">
        <v>3.6499999999999998E-2</v>
      </c>
      <c r="G11392">
        <v>198</v>
      </c>
    </row>
    <row r="11393" spans="1:8" x14ac:dyDescent="0.35">
      <c r="A11393" t="s">
        <v>230</v>
      </c>
      <c r="B11393" t="s">
        <v>1346</v>
      </c>
      <c r="C11393" s="26">
        <v>0.4894</v>
      </c>
      <c r="D11393" s="26">
        <v>0.3024</v>
      </c>
      <c r="E11393" s="26">
        <v>0.1711</v>
      </c>
      <c r="F11393" s="26">
        <v>3.6999999999999998E-2</v>
      </c>
      <c r="G11393">
        <v>87</v>
      </c>
    </row>
    <row r="11394" spans="1:8" x14ac:dyDescent="0.35">
      <c r="A11394" s="27" t="s">
        <v>231</v>
      </c>
      <c r="B11394" s="27" t="s">
        <v>1345</v>
      </c>
      <c r="C11394" s="29"/>
      <c r="D11394" s="29"/>
      <c r="E11394" s="28">
        <v>1</v>
      </c>
      <c r="F11394" s="29"/>
      <c r="G11394" s="29" t="s">
        <v>331</v>
      </c>
    </row>
    <row r="11395" spans="1:8" x14ac:dyDescent="0.35">
      <c r="A11395" s="27" t="s">
        <v>231</v>
      </c>
      <c r="B11395" s="27" t="s">
        <v>1348</v>
      </c>
      <c r="C11395" s="29"/>
      <c r="D11395" s="29"/>
      <c r="E11395" s="28">
        <v>0.44</v>
      </c>
      <c r="F11395" s="28">
        <v>0.56000000000000005</v>
      </c>
      <c r="G11395" s="29" t="s">
        <v>312</v>
      </c>
    </row>
    <row r="11396" spans="1:8" x14ac:dyDescent="0.35">
      <c r="A11396" s="27" t="s">
        <v>231</v>
      </c>
      <c r="B11396" s="27" t="s">
        <v>1347</v>
      </c>
      <c r="C11396" s="29"/>
      <c r="D11396" s="29"/>
      <c r="E11396" s="28">
        <v>0.66669999999999996</v>
      </c>
      <c r="F11396" s="28">
        <v>0.33329999999999999</v>
      </c>
      <c r="G11396" s="29" t="s">
        <v>335</v>
      </c>
    </row>
    <row r="11397" spans="1:8" x14ac:dyDescent="0.35">
      <c r="A11397" s="27" t="s">
        <v>231</v>
      </c>
      <c r="B11397" s="27" t="s">
        <v>1346</v>
      </c>
      <c r="C11397" s="29"/>
      <c r="D11397" s="29"/>
      <c r="E11397" s="28">
        <v>0.66669999999999996</v>
      </c>
      <c r="F11397" s="28">
        <v>0.33329999999999999</v>
      </c>
      <c r="G11397" s="29" t="s">
        <v>335</v>
      </c>
    </row>
    <row r="11398" spans="1:8" x14ac:dyDescent="0.35">
      <c r="A11398" t="s">
        <v>232</v>
      </c>
      <c r="B11398" t="s">
        <v>232</v>
      </c>
      <c r="C11398" s="26">
        <v>0.4476</v>
      </c>
      <c r="D11398" s="26">
        <v>0.215</v>
      </c>
      <c r="E11398" s="26">
        <v>0.19309999999999999</v>
      </c>
      <c r="F11398" s="26">
        <v>0.14430000000000001</v>
      </c>
      <c r="G11398">
        <v>2004</v>
      </c>
    </row>
    <row r="11400" spans="1:8" x14ac:dyDescent="0.35">
      <c r="A11400" s="1" t="s">
        <v>1398</v>
      </c>
    </row>
    <row r="11401" spans="1:8" x14ac:dyDescent="0.35">
      <c r="A11401" t="s">
        <v>219</v>
      </c>
      <c r="B11401" t="s">
        <v>305</v>
      </c>
      <c r="C11401" t="s">
        <v>345</v>
      </c>
      <c r="D11401" t="s">
        <v>1351</v>
      </c>
      <c r="E11401" t="s">
        <v>1352</v>
      </c>
      <c r="F11401" t="s">
        <v>1353</v>
      </c>
      <c r="G11401" t="s">
        <v>1354</v>
      </c>
      <c r="H11401" t="s">
        <v>226</v>
      </c>
    </row>
    <row r="11402" spans="1:8" x14ac:dyDescent="0.35">
      <c r="A11402" s="27" t="s">
        <v>227</v>
      </c>
      <c r="B11402" s="27" t="s">
        <v>1343</v>
      </c>
      <c r="C11402" s="27" t="s">
        <v>1347</v>
      </c>
      <c r="D11402" s="29"/>
      <c r="E11402" s="29"/>
      <c r="F11402" s="28">
        <v>0.83330000000000004</v>
      </c>
      <c r="G11402" s="28">
        <v>0.16669999999999999</v>
      </c>
      <c r="H11402" s="29" t="s">
        <v>335</v>
      </c>
    </row>
    <row r="11403" spans="1:8" x14ac:dyDescent="0.35">
      <c r="A11403" s="27" t="s">
        <v>227</v>
      </c>
      <c r="B11403" s="27" t="s">
        <v>1341</v>
      </c>
      <c r="C11403" s="27" t="s">
        <v>1347</v>
      </c>
      <c r="D11403" s="29"/>
      <c r="E11403" s="29"/>
      <c r="F11403" s="28">
        <v>0.8</v>
      </c>
      <c r="G11403" s="28">
        <v>0.2</v>
      </c>
      <c r="H11403" s="29" t="s">
        <v>332</v>
      </c>
    </row>
    <row r="11404" spans="1:8" x14ac:dyDescent="0.35">
      <c r="A11404" s="27" t="s">
        <v>227</v>
      </c>
      <c r="B11404" s="27" t="s">
        <v>1343</v>
      </c>
      <c r="C11404" s="27" t="s">
        <v>1346</v>
      </c>
      <c r="D11404" s="29"/>
      <c r="E11404" s="29"/>
      <c r="F11404" s="28">
        <v>0.44440000000000002</v>
      </c>
      <c r="G11404" s="28">
        <v>0.55559999999999998</v>
      </c>
      <c r="H11404" s="29" t="s">
        <v>334</v>
      </c>
    </row>
    <row r="11405" spans="1:8" x14ac:dyDescent="0.35">
      <c r="A11405" s="27" t="s">
        <v>227</v>
      </c>
      <c r="B11405" s="27" t="s">
        <v>1343</v>
      </c>
      <c r="C11405" s="27" t="s">
        <v>1348</v>
      </c>
      <c r="D11405" s="29"/>
      <c r="E11405" s="29"/>
      <c r="F11405" s="28">
        <v>0.39129999999999998</v>
      </c>
      <c r="G11405" s="28">
        <v>0.60870000000000002</v>
      </c>
      <c r="H11405" s="29" t="s">
        <v>328</v>
      </c>
    </row>
    <row r="11406" spans="1:8" x14ac:dyDescent="0.35">
      <c r="A11406" s="27" t="s">
        <v>227</v>
      </c>
      <c r="B11406" s="27" t="s">
        <v>1341</v>
      </c>
      <c r="C11406" s="27" t="s">
        <v>1348</v>
      </c>
      <c r="D11406" s="29"/>
      <c r="E11406" s="29"/>
      <c r="F11406" s="28">
        <v>0.5</v>
      </c>
      <c r="G11406" s="28">
        <v>0.5</v>
      </c>
      <c r="H11406" s="29" t="s">
        <v>335</v>
      </c>
    </row>
    <row r="11407" spans="1:8" x14ac:dyDescent="0.35">
      <c r="A11407" s="27" t="s">
        <v>227</v>
      </c>
      <c r="B11407" s="27" t="s">
        <v>1341</v>
      </c>
      <c r="C11407" s="27" t="s">
        <v>1346</v>
      </c>
      <c r="D11407" s="29"/>
      <c r="E11407" s="29"/>
      <c r="F11407" s="28">
        <v>0.5</v>
      </c>
      <c r="G11407" s="28">
        <v>0.5</v>
      </c>
      <c r="H11407" s="29" t="s">
        <v>337</v>
      </c>
    </row>
    <row r="11408" spans="1:8" x14ac:dyDescent="0.35">
      <c r="A11408" s="27" t="s">
        <v>228</v>
      </c>
      <c r="B11408" s="27" t="s">
        <v>1343</v>
      </c>
      <c r="C11408" s="27" t="s">
        <v>1345</v>
      </c>
      <c r="D11408" s="28">
        <v>0.33579999999999999</v>
      </c>
      <c r="E11408" s="28">
        <v>0.22140000000000001</v>
      </c>
      <c r="F11408" s="28">
        <v>0.22140000000000001</v>
      </c>
      <c r="G11408" s="28">
        <v>0.22140000000000001</v>
      </c>
      <c r="H11408" s="29" t="s">
        <v>335</v>
      </c>
    </row>
    <row r="11409" spans="1:8" x14ac:dyDescent="0.35">
      <c r="A11409" t="s">
        <v>228</v>
      </c>
      <c r="B11409" t="s">
        <v>1343</v>
      </c>
      <c r="C11409" t="s">
        <v>1347</v>
      </c>
      <c r="D11409" s="26">
        <v>0.45950000000000002</v>
      </c>
      <c r="E11409" s="26">
        <v>0.40860000000000002</v>
      </c>
      <c r="F11409" s="26">
        <v>9.5399999999999999E-2</v>
      </c>
      <c r="G11409" s="26">
        <v>3.6499999999999998E-2</v>
      </c>
      <c r="H11409">
        <v>108</v>
      </c>
    </row>
    <row r="11410" spans="1:8" x14ac:dyDescent="0.35">
      <c r="A11410" s="27" t="s">
        <v>228</v>
      </c>
      <c r="B11410" s="27" t="s">
        <v>1342</v>
      </c>
      <c r="C11410" s="27" t="s">
        <v>1348</v>
      </c>
      <c r="D11410" s="28">
        <v>1</v>
      </c>
      <c r="E11410" s="29"/>
      <c r="F11410" s="29"/>
      <c r="G11410" s="29"/>
      <c r="H11410" s="29" t="s">
        <v>331</v>
      </c>
    </row>
    <row r="11411" spans="1:8" x14ac:dyDescent="0.35">
      <c r="A11411" t="s">
        <v>228</v>
      </c>
      <c r="B11411" t="s">
        <v>1341</v>
      </c>
      <c r="C11411" t="s">
        <v>1346</v>
      </c>
      <c r="D11411" s="26">
        <v>0.59250000000000003</v>
      </c>
      <c r="E11411" s="26">
        <v>0.1497</v>
      </c>
      <c r="F11411" s="26">
        <v>0.25779999999999997</v>
      </c>
      <c r="H11411">
        <v>33</v>
      </c>
    </row>
    <row r="11412" spans="1:8" x14ac:dyDescent="0.35">
      <c r="A11412" t="s">
        <v>228</v>
      </c>
      <c r="B11412" t="s">
        <v>1343</v>
      </c>
      <c r="C11412" t="s">
        <v>1346</v>
      </c>
      <c r="D11412" s="26">
        <v>0.64690000000000003</v>
      </c>
      <c r="E11412" s="26">
        <v>0.24660000000000001</v>
      </c>
      <c r="F11412" s="26">
        <v>6.5299999999999997E-2</v>
      </c>
      <c r="G11412" s="26">
        <v>4.1200000000000001E-2</v>
      </c>
      <c r="H11412">
        <v>172</v>
      </c>
    </row>
    <row r="11413" spans="1:8" x14ac:dyDescent="0.35">
      <c r="A11413" t="s">
        <v>228</v>
      </c>
      <c r="B11413" t="s">
        <v>1343</v>
      </c>
      <c r="C11413" t="s">
        <v>1348</v>
      </c>
      <c r="D11413" s="26">
        <v>0.57820000000000005</v>
      </c>
      <c r="E11413" s="26">
        <v>0.26250000000000001</v>
      </c>
      <c r="F11413" s="26">
        <v>0.1118</v>
      </c>
      <c r="G11413" s="26">
        <v>4.7500000000000001E-2</v>
      </c>
      <c r="H11413">
        <v>291</v>
      </c>
    </row>
    <row r="11414" spans="1:8" x14ac:dyDescent="0.35">
      <c r="A11414" t="s">
        <v>228</v>
      </c>
      <c r="B11414" t="s">
        <v>1341</v>
      </c>
      <c r="C11414" t="s">
        <v>1347</v>
      </c>
      <c r="D11414" s="26">
        <v>0.57450000000000001</v>
      </c>
      <c r="E11414" s="26">
        <v>0.18490000000000001</v>
      </c>
      <c r="F11414" s="26">
        <v>0.15670000000000001</v>
      </c>
      <c r="G11414" s="26">
        <v>8.3799999999999999E-2</v>
      </c>
      <c r="H11414">
        <v>61</v>
      </c>
    </row>
    <row r="11415" spans="1:8" x14ac:dyDescent="0.35">
      <c r="A11415" s="27" t="s">
        <v>228</v>
      </c>
      <c r="B11415" s="27" t="s">
        <v>1341</v>
      </c>
      <c r="C11415" s="27" t="s">
        <v>1345</v>
      </c>
      <c r="D11415" s="28">
        <v>0.42770000000000002</v>
      </c>
      <c r="E11415" s="28">
        <v>0.57230000000000003</v>
      </c>
      <c r="F11415" s="29"/>
      <c r="G11415" s="29"/>
      <c r="H11415" s="29" t="s">
        <v>332</v>
      </c>
    </row>
    <row r="11416" spans="1:8" x14ac:dyDescent="0.35">
      <c r="A11416" t="s">
        <v>228</v>
      </c>
      <c r="B11416" t="s">
        <v>1341</v>
      </c>
      <c r="C11416" t="s">
        <v>1348</v>
      </c>
      <c r="D11416" s="26">
        <v>0.5514</v>
      </c>
      <c r="E11416" s="26">
        <v>0.22090000000000001</v>
      </c>
      <c r="F11416" s="26">
        <v>0.1709</v>
      </c>
      <c r="G11416" s="26">
        <v>5.6800000000000003E-2</v>
      </c>
      <c r="H11416">
        <v>139</v>
      </c>
    </row>
    <row r="11417" spans="1:8" x14ac:dyDescent="0.35">
      <c r="A11417" t="s">
        <v>229</v>
      </c>
      <c r="B11417" t="s">
        <v>1341</v>
      </c>
      <c r="C11417" t="s">
        <v>1348</v>
      </c>
      <c r="D11417" s="26">
        <v>0.69130000000000003</v>
      </c>
      <c r="E11417" s="26">
        <v>0.1424</v>
      </c>
      <c r="F11417" s="26">
        <v>0.1384</v>
      </c>
      <c r="G11417" s="26">
        <v>2.7799999999999998E-2</v>
      </c>
      <c r="H11417">
        <v>80</v>
      </c>
    </row>
    <row r="11418" spans="1:8" x14ac:dyDescent="0.35">
      <c r="A11418" t="s">
        <v>229</v>
      </c>
      <c r="B11418" t="s">
        <v>1341</v>
      </c>
      <c r="C11418" t="s">
        <v>1347</v>
      </c>
      <c r="D11418" s="26">
        <v>0.53939999999999999</v>
      </c>
      <c r="E11418" s="26">
        <v>0.28399999999999997</v>
      </c>
      <c r="F11418" s="26">
        <v>6.4399999999999999E-2</v>
      </c>
      <c r="G11418" s="26">
        <v>0.11210000000000001</v>
      </c>
      <c r="H11418">
        <v>83</v>
      </c>
    </row>
    <row r="11419" spans="1:8" x14ac:dyDescent="0.35">
      <c r="A11419" t="s">
        <v>229</v>
      </c>
      <c r="B11419" t="s">
        <v>1341</v>
      </c>
      <c r="C11419" t="s">
        <v>1346</v>
      </c>
      <c r="D11419" s="26">
        <v>0.86260000000000003</v>
      </c>
      <c r="E11419" s="26">
        <v>3.4099999999999998E-2</v>
      </c>
      <c r="F11419" s="26">
        <v>5.7999999999999996E-3</v>
      </c>
      <c r="G11419" s="26">
        <v>9.7500000000000003E-2</v>
      </c>
      <c r="H11419">
        <v>33</v>
      </c>
    </row>
    <row r="11420" spans="1:8" x14ac:dyDescent="0.35">
      <c r="A11420" t="s">
        <v>229</v>
      </c>
      <c r="B11420" t="s">
        <v>1343</v>
      </c>
      <c r="C11420" t="s">
        <v>1346</v>
      </c>
      <c r="D11420" s="26">
        <v>0.55610000000000004</v>
      </c>
      <c r="E11420" s="26">
        <v>0.27679999999999999</v>
      </c>
      <c r="F11420" s="26">
        <v>0.1109</v>
      </c>
      <c r="G11420" s="26">
        <v>5.62E-2</v>
      </c>
      <c r="H11420">
        <v>93</v>
      </c>
    </row>
    <row r="11421" spans="1:8" x14ac:dyDescent="0.35">
      <c r="A11421" t="s">
        <v>229</v>
      </c>
      <c r="B11421" t="s">
        <v>1343</v>
      </c>
      <c r="C11421" t="s">
        <v>1347</v>
      </c>
      <c r="D11421" s="26">
        <v>0.58789999999999998</v>
      </c>
      <c r="E11421" s="26">
        <v>0.26640000000000003</v>
      </c>
      <c r="F11421" s="26">
        <v>5.1200000000000002E-2</v>
      </c>
      <c r="G11421" s="26">
        <v>9.4600000000000004E-2</v>
      </c>
      <c r="H11421">
        <v>160</v>
      </c>
    </row>
    <row r="11422" spans="1:8" x14ac:dyDescent="0.35">
      <c r="A11422" s="27" t="s">
        <v>229</v>
      </c>
      <c r="B11422" s="27" t="s">
        <v>1341</v>
      </c>
      <c r="C11422" s="27" t="s">
        <v>1345</v>
      </c>
      <c r="D11422" s="28">
        <v>0.31909999999999999</v>
      </c>
      <c r="E11422" s="28">
        <v>0.61370000000000002</v>
      </c>
      <c r="F11422" s="29"/>
      <c r="G11422" s="28">
        <v>6.7199999999999996E-2</v>
      </c>
      <c r="H11422" s="29" t="s">
        <v>335</v>
      </c>
    </row>
    <row r="11423" spans="1:8" x14ac:dyDescent="0.35">
      <c r="A11423" s="27" t="s">
        <v>229</v>
      </c>
      <c r="B11423" s="27" t="s">
        <v>1343</v>
      </c>
      <c r="C11423" s="27" t="s">
        <v>1345</v>
      </c>
      <c r="D11423" s="28">
        <v>0.41670000000000001</v>
      </c>
      <c r="E11423" s="28">
        <v>0.51939999999999997</v>
      </c>
      <c r="F11423" s="28">
        <v>3.3300000000000003E-2</v>
      </c>
      <c r="G11423" s="28">
        <v>3.0499999999999999E-2</v>
      </c>
      <c r="H11423" s="29" t="s">
        <v>342</v>
      </c>
    </row>
    <row r="11424" spans="1:8" x14ac:dyDescent="0.35">
      <c r="A11424" t="s">
        <v>229</v>
      </c>
      <c r="B11424" t="s">
        <v>1343</v>
      </c>
      <c r="C11424" t="s">
        <v>1348</v>
      </c>
      <c r="D11424" s="26">
        <v>0.53990000000000005</v>
      </c>
      <c r="E11424" s="26">
        <v>0.31730000000000003</v>
      </c>
      <c r="F11424" s="26">
        <v>9.9900000000000003E-2</v>
      </c>
      <c r="G11424" s="26">
        <v>4.2900000000000001E-2</v>
      </c>
      <c r="H11424">
        <v>224</v>
      </c>
    </row>
    <row r="11425" spans="1:8" x14ac:dyDescent="0.35">
      <c r="A11425" t="s">
        <v>230</v>
      </c>
      <c r="B11425" t="s">
        <v>1343</v>
      </c>
      <c r="C11425" t="s">
        <v>1347</v>
      </c>
      <c r="D11425" s="26">
        <v>0.43609999999999999</v>
      </c>
      <c r="E11425" s="26">
        <v>0.27929999999999999</v>
      </c>
      <c r="F11425" s="26">
        <v>0.14649999999999999</v>
      </c>
      <c r="G11425" s="26">
        <v>0.1381</v>
      </c>
      <c r="H11425">
        <v>74</v>
      </c>
    </row>
    <row r="11426" spans="1:8" x14ac:dyDescent="0.35">
      <c r="A11426" t="s">
        <v>230</v>
      </c>
      <c r="B11426" t="s">
        <v>1343</v>
      </c>
      <c r="C11426" t="s">
        <v>1348</v>
      </c>
      <c r="D11426" s="26">
        <v>0.56740000000000002</v>
      </c>
      <c r="E11426" s="26">
        <v>0.24229999999999999</v>
      </c>
      <c r="F11426" s="26">
        <v>0.1615</v>
      </c>
      <c r="G11426" s="26">
        <v>2.8799999999999999E-2</v>
      </c>
      <c r="H11426">
        <v>141</v>
      </c>
    </row>
    <row r="11427" spans="1:8" x14ac:dyDescent="0.35">
      <c r="A11427" t="s">
        <v>230</v>
      </c>
      <c r="B11427" t="s">
        <v>1343</v>
      </c>
      <c r="C11427" t="s">
        <v>1346</v>
      </c>
      <c r="D11427" s="26">
        <v>0.37369999999999998</v>
      </c>
      <c r="E11427" s="26">
        <v>0.43070000000000003</v>
      </c>
      <c r="F11427" s="26">
        <v>0.16550000000000001</v>
      </c>
      <c r="G11427" s="26">
        <v>3.0099999999999998E-2</v>
      </c>
      <c r="H11427">
        <v>70</v>
      </c>
    </row>
    <row r="11428" spans="1:8" x14ac:dyDescent="0.35">
      <c r="A11428" s="27" t="s">
        <v>230</v>
      </c>
      <c r="B11428" s="27" t="s">
        <v>1341</v>
      </c>
      <c r="C11428" s="27" t="s">
        <v>1345</v>
      </c>
      <c r="D11428" s="28">
        <v>7.6100000000000001E-2</v>
      </c>
      <c r="E11428" s="28">
        <v>0.46189999999999998</v>
      </c>
      <c r="F11428" s="29"/>
      <c r="G11428" s="28">
        <v>0.46189999999999998</v>
      </c>
      <c r="H11428" s="29" t="s">
        <v>315</v>
      </c>
    </row>
    <row r="11429" spans="1:8" x14ac:dyDescent="0.35">
      <c r="A11429" s="27" t="s">
        <v>230</v>
      </c>
      <c r="B11429" s="27" t="s">
        <v>1343</v>
      </c>
      <c r="C11429" s="27" t="s">
        <v>1345</v>
      </c>
      <c r="D11429" s="28">
        <v>0.7591</v>
      </c>
      <c r="E11429" s="28">
        <v>0.11899999999999999</v>
      </c>
      <c r="F11429" s="28">
        <v>0.12189999999999999</v>
      </c>
      <c r="G11429" s="29"/>
      <c r="H11429" s="29" t="s">
        <v>337</v>
      </c>
    </row>
    <row r="11430" spans="1:8" x14ac:dyDescent="0.35">
      <c r="A11430" s="27" t="s">
        <v>230</v>
      </c>
      <c r="B11430" s="27" t="s">
        <v>1341</v>
      </c>
      <c r="C11430" s="27" t="s">
        <v>1346</v>
      </c>
      <c r="D11430" s="28">
        <v>0.75609999999999999</v>
      </c>
      <c r="E11430" s="28">
        <v>7.0000000000000001E-3</v>
      </c>
      <c r="F11430" s="28">
        <v>0.18390000000000001</v>
      </c>
      <c r="G11430" s="28">
        <v>5.2999999999999999E-2</v>
      </c>
      <c r="H11430" s="29" t="s">
        <v>343</v>
      </c>
    </row>
    <row r="11431" spans="1:8" x14ac:dyDescent="0.35">
      <c r="A11431" t="s">
        <v>230</v>
      </c>
      <c r="B11431" t="s">
        <v>1341</v>
      </c>
      <c r="C11431" t="s">
        <v>1348</v>
      </c>
      <c r="D11431" s="26">
        <v>0.52080000000000004</v>
      </c>
      <c r="E11431" s="26">
        <v>0.35199999999999998</v>
      </c>
      <c r="F11431" s="26">
        <v>6.8199999999999997E-2</v>
      </c>
      <c r="G11431" s="26">
        <v>5.91E-2</v>
      </c>
      <c r="H11431">
        <v>57</v>
      </c>
    </row>
    <row r="11432" spans="1:8" x14ac:dyDescent="0.35">
      <c r="A11432" t="s">
        <v>230</v>
      </c>
      <c r="B11432" t="s">
        <v>1341</v>
      </c>
      <c r="C11432" t="s">
        <v>1347</v>
      </c>
      <c r="D11432" s="26">
        <v>0.3639</v>
      </c>
      <c r="E11432" s="26">
        <v>0.39679999999999999</v>
      </c>
      <c r="F11432" s="26">
        <v>0.2392</v>
      </c>
      <c r="H11432">
        <v>40</v>
      </c>
    </row>
    <row r="11433" spans="1:8" x14ac:dyDescent="0.35">
      <c r="A11433" s="27" t="s">
        <v>231</v>
      </c>
      <c r="B11433" s="27" t="s">
        <v>1343</v>
      </c>
      <c r="C11433" s="27" t="s">
        <v>1345</v>
      </c>
      <c r="D11433" s="29"/>
      <c r="E11433" s="29"/>
      <c r="F11433" s="28">
        <v>1</v>
      </c>
      <c r="G11433" s="29"/>
      <c r="H11433" s="29" t="s">
        <v>331</v>
      </c>
    </row>
    <row r="11434" spans="1:8" x14ac:dyDescent="0.35">
      <c r="A11434" s="27" t="s">
        <v>231</v>
      </c>
      <c r="B11434" s="27" t="s">
        <v>1343</v>
      </c>
      <c r="C11434" s="27" t="s">
        <v>1348</v>
      </c>
      <c r="D11434" s="29"/>
      <c r="E11434" s="29"/>
      <c r="F11434" s="28">
        <v>0.5</v>
      </c>
      <c r="G11434" s="28">
        <v>0.5</v>
      </c>
      <c r="H11434" s="29" t="s">
        <v>379</v>
      </c>
    </row>
    <row r="11435" spans="1:8" x14ac:dyDescent="0.35">
      <c r="A11435" s="27" t="s">
        <v>231</v>
      </c>
      <c r="B11435" s="27" t="s">
        <v>1341</v>
      </c>
      <c r="C11435" s="27" t="s">
        <v>1346</v>
      </c>
      <c r="D11435" s="29"/>
      <c r="E11435" s="29"/>
      <c r="F11435" s="28">
        <v>1</v>
      </c>
      <c r="G11435" s="29"/>
      <c r="H11435" s="29" t="s">
        <v>314</v>
      </c>
    </row>
    <row r="11436" spans="1:8" x14ac:dyDescent="0.35">
      <c r="A11436" s="27" t="s">
        <v>231</v>
      </c>
      <c r="B11436" s="27" t="s">
        <v>1341</v>
      </c>
      <c r="C11436" s="27" t="s">
        <v>1348</v>
      </c>
      <c r="D11436" s="29"/>
      <c r="E11436" s="29"/>
      <c r="F11436" s="28">
        <v>0.36359999999999998</v>
      </c>
      <c r="G11436" s="28">
        <v>0.63639999999999997</v>
      </c>
      <c r="H11436" s="29" t="s">
        <v>352</v>
      </c>
    </row>
    <row r="11437" spans="1:8" x14ac:dyDescent="0.35">
      <c r="A11437" s="27" t="s">
        <v>231</v>
      </c>
      <c r="B11437" s="27" t="s">
        <v>1343</v>
      </c>
      <c r="C11437" s="27" t="s">
        <v>1346</v>
      </c>
      <c r="D11437" s="29"/>
      <c r="E11437" s="29"/>
      <c r="F11437" s="28">
        <v>0.5</v>
      </c>
      <c r="G11437" s="28">
        <v>0.5</v>
      </c>
      <c r="H11437" s="29" t="s">
        <v>337</v>
      </c>
    </row>
    <row r="11438" spans="1:8" x14ac:dyDescent="0.35">
      <c r="A11438" s="27" t="s">
        <v>231</v>
      </c>
      <c r="B11438" s="27" t="s">
        <v>1341</v>
      </c>
      <c r="C11438" s="27" t="s">
        <v>1347</v>
      </c>
      <c r="D11438" s="29"/>
      <c r="E11438" s="29"/>
      <c r="F11438" s="28">
        <v>0.66669999999999996</v>
      </c>
      <c r="G11438" s="28">
        <v>0.33329999999999999</v>
      </c>
      <c r="H11438" s="29" t="s">
        <v>315</v>
      </c>
    </row>
    <row r="11439" spans="1:8" x14ac:dyDescent="0.35">
      <c r="A11439" s="27" t="s">
        <v>231</v>
      </c>
      <c r="B11439" s="27" t="s">
        <v>1343</v>
      </c>
      <c r="C11439" s="27" t="s">
        <v>1347</v>
      </c>
      <c r="D11439" s="29"/>
      <c r="E11439" s="29"/>
      <c r="F11439" s="28">
        <v>0.66669999999999996</v>
      </c>
      <c r="G11439" s="28">
        <v>0.33329999999999999</v>
      </c>
      <c r="H11439" s="29" t="s">
        <v>315</v>
      </c>
    </row>
    <row r="11440" spans="1:8" x14ac:dyDescent="0.35">
      <c r="A11440" t="s">
        <v>232</v>
      </c>
      <c r="B11440" t="s">
        <v>232</v>
      </c>
      <c r="C11440" t="s">
        <v>232</v>
      </c>
      <c r="D11440" s="26">
        <v>0.4476</v>
      </c>
      <c r="E11440" s="26">
        <v>0.215</v>
      </c>
      <c r="F11440" s="26">
        <v>0.19309999999999999</v>
      </c>
      <c r="G11440" s="26">
        <v>0.14430000000000001</v>
      </c>
      <c r="H11440">
        <v>2004</v>
      </c>
    </row>
    <row r="11442" spans="1:16" x14ac:dyDescent="0.35">
      <c r="A11442" s="1" t="s">
        <v>1399</v>
      </c>
    </row>
    <row r="11443" spans="1:16" x14ac:dyDescent="0.35">
      <c r="A11443" t="s">
        <v>219</v>
      </c>
      <c r="B11443" t="s">
        <v>550</v>
      </c>
      <c r="C11443" t="s">
        <v>1400</v>
      </c>
      <c r="D11443" t="s">
        <v>281</v>
      </c>
      <c r="E11443" t="s">
        <v>1401</v>
      </c>
      <c r="F11443" t="s">
        <v>1402</v>
      </c>
      <c r="G11443" t="s">
        <v>1403</v>
      </c>
      <c r="H11443" t="s">
        <v>1404</v>
      </c>
      <c r="I11443" t="s">
        <v>1405</v>
      </c>
      <c r="J11443" t="s">
        <v>286</v>
      </c>
      <c r="K11443" t="s">
        <v>1406</v>
      </c>
      <c r="L11443" t="s">
        <v>1407</v>
      </c>
      <c r="M11443" t="s">
        <v>1408</v>
      </c>
      <c r="N11443" t="s">
        <v>326</v>
      </c>
      <c r="O11443" t="s">
        <v>226</v>
      </c>
    </row>
    <row r="11444" spans="1:16" x14ac:dyDescent="0.35">
      <c r="A11444" t="s">
        <v>227</v>
      </c>
      <c r="B11444" s="26">
        <v>0.95540000000000003</v>
      </c>
      <c r="C11444" s="26">
        <v>1.2699999999999999E-2</v>
      </c>
      <c r="D11444" s="26">
        <v>1.9099999999999999E-2</v>
      </c>
      <c r="E11444" s="26">
        <v>6.4000000000000003E-3</v>
      </c>
      <c r="G11444" s="26">
        <v>6.4000000000000003E-3</v>
      </c>
      <c r="O11444">
        <v>157</v>
      </c>
    </row>
    <row r="11445" spans="1:16" x14ac:dyDescent="0.35">
      <c r="A11445" t="s">
        <v>228</v>
      </c>
      <c r="B11445" s="26">
        <v>0.85229999999999995</v>
      </c>
      <c r="C11445" s="26">
        <v>5.5599999999999997E-2</v>
      </c>
      <c r="D11445" s="26">
        <v>5.2200000000000003E-2</v>
      </c>
      <c r="E11445" s="26">
        <v>1.15E-2</v>
      </c>
      <c r="F11445" s="26">
        <v>1.2800000000000001E-2</v>
      </c>
      <c r="G11445" s="26">
        <v>7.1999999999999998E-3</v>
      </c>
      <c r="H11445" s="26">
        <v>1.03E-2</v>
      </c>
      <c r="I11445" s="26">
        <v>1.2999999999999999E-2</v>
      </c>
      <c r="J11445" s="26">
        <v>1E-3</v>
      </c>
      <c r="K11445" s="26">
        <v>1.1999999999999999E-3</v>
      </c>
      <c r="M11445" s="26">
        <v>2.8999999999999998E-3</v>
      </c>
      <c r="N11445" s="26">
        <v>1.8E-3</v>
      </c>
      <c r="O11445">
        <v>1010</v>
      </c>
    </row>
    <row r="11446" spans="1:16" x14ac:dyDescent="0.35">
      <c r="A11446" t="s">
        <v>229</v>
      </c>
      <c r="B11446" s="26">
        <v>0.90669999999999995</v>
      </c>
      <c r="C11446" s="26">
        <v>2.75E-2</v>
      </c>
      <c r="D11446" s="26">
        <v>3.3799999999999997E-2</v>
      </c>
      <c r="E11446" s="26">
        <v>1.2E-2</v>
      </c>
      <c r="F11446" s="26">
        <v>7.7999999999999996E-3</v>
      </c>
      <c r="G11446" s="26">
        <v>1.2E-2</v>
      </c>
      <c r="H11446" s="26">
        <v>6.6E-3</v>
      </c>
      <c r="I11446" s="26">
        <v>8.0000000000000004E-4</v>
      </c>
      <c r="J11446" s="26">
        <v>4.0000000000000001E-3</v>
      </c>
      <c r="K11446" s="26">
        <v>3.3E-3</v>
      </c>
      <c r="L11446" s="26">
        <v>3.0999999999999999E-3</v>
      </c>
      <c r="O11446">
        <v>872</v>
      </c>
    </row>
    <row r="11447" spans="1:16" x14ac:dyDescent="0.35">
      <c r="A11447" t="s">
        <v>230</v>
      </c>
      <c r="B11447" s="26">
        <v>0.85850000000000004</v>
      </c>
      <c r="C11447" s="26">
        <v>4.48E-2</v>
      </c>
      <c r="D11447" s="26">
        <v>4.4200000000000003E-2</v>
      </c>
      <c r="E11447" s="26">
        <v>1.5100000000000001E-2</v>
      </c>
      <c r="F11447" s="26">
        <v>1.7299999999999999E-2</v>
      </c>
      <c r="G11447" s="26">
        <v>2.8E-3</v>
      </c>
      <c r="H11447" s="26">
        <v>1.3100000000000001E-2</v>
      </c>
      <c r="I11447" s="26">
        <v>1.54E-2</v>
      </c>
      <c r="J11447" s="26">
        <v>5.5999999999999999E-3</v>
      </c>
      <c r="K11447" s="26">
        <v>5.5999999999999999E-3</v>
      </c>
      <c r="N11447" s="26">
        <v>2.9999999999999997E-4</v>
      </c>
      <c r="O11447">
        <v>544</v>
      </c>
    </row>
    <row r="11448" spans="1:16" x14ac:dyDescent="0.35">
      <c r="A11448" t="s">
        <v>231</v>
      </c>
      <c r="B11448" s="26">
        <v>0.95089999999999997</v>
      </c>
      <c r="C11448" s="26">
        <v>1.84E-2</v>
      </c>
      <c r="D11448" s="26">
        <v>6.1000000000000004E-3</v>
      </c>
      <c r="E11448" s="26">
        <v>1.23E-2</v>
      </c>
      <c r="F11448" s="26">
        <v>1.23E-2</v>
      </c>
      <c r="G11448" s="26">
        <v>6.1000000000000004E-3</v>
      </c>
      <c r="J11448" s="26">
        <v>6.1000000000000004E-3</v>
      </c>
      <c r="O11448">
        <v>163</v>
      </c>
    </row>
    <row r="11449" spans="1:16" x14ac:dyDescent="0.35">
      <c r="A11449" t="s">
        <v>232</v>
      </c>
      <c r="B11449" s="26">
        <v>0.91120000000000001</v>
      </c>
      <c r="C11449" s="26">
        <v>2.9899999999999999E-2</v>
      </c>
      <c r="D11449" s="26">
        <v>2.8400000000000002E-2</v>
      </c>
      <c r="E11449" s="26">
        <v>1.14E-2</v>
      </c>
      <c r="F11449" s="26">
        <v>9.7000000000000003E-3</v>
      </c>
      <c r="G11449" s="26">
        <v>7.7000000000000002E-3</v>
      </c>
      <c r="H11449" s="26">
        <v>5.1000000000000004E-3</v>
      </c>
      <c r="I11449" s="26">
        <v>4.1999999999999997E-3</v>
      </c>
      <c r="J11449" s="26">
        <v>3.5000000000000001E-3</v>
      </c>
      <c r="K11449" s="26">
        <v>1.6999999999999999E-3</v>
      </c>
      <c r="L11449" s="26">
        <v>8.9999999999999998E-4</v>
      </c>
      <c r="M11449" s="26">
        <v>5.9999999999999995E-4</v>
      </c>
      <c r="N11449" s="26">
        <v>4.0000000000000002E-4</v>
      </c>
      <c r="O11449">
        <v>2746</v>
      </c>
    </row>
    <row r="11451" spans="1:16" x14ac:dyDescent="0.35">
      <c r="A11451" s="1" t="s">
        <v>1409</v>
      </c>
    </row>
    <row r="11452" spans="1:16" x14ac:dyDescent="0.35">
      <c r="A11452" t="s">
        <v>219</v>
      </c>
      <c r="B11452" t="s">
        <v>305</v>
      </c>
      <c r="C11452" t="s">
        <v>550</v>
      </c>
      <c r="D11452" t="s">
        <v>1400</v>
      </c>
      <c r="E11452" t="s">
        <v>281</v>
      </c>
      <c r="F11452" t="s">
        <v>1401</v>
      </c>
      <c r="G11452" t="s">
        <v>1402</v>
      </c>
      <c r="H11452" t="s">
        <v>1403</v>
      </c>
      <c r="I11452" t="s">
        <v>1404</v>
      </c>
      <c r="J11452" t="s">
        <v>1405</v>
      </c>
      <c r="K11452" t="s">
        <v>286</v>
      </c>
      <c r="L11452" t="s">
        <v>1406</v>
      </c>
      <c r="M11452" t="s">
        <v>1407</v>
      </c>
      <c r="N11452" t="s">
        <v>1408</v>
      </c>
      <c r="O11452" t="s">
        <v>326</v>
      </c>
      <c r="P11452" t="s">
        <v>226</v>
      </c>
    </row>
    <row r="11453" spans="1:16" x14ac:dyDescent="0.35">
      <c r="A11453" t="s">
        <v>227</v>
      </c>
      <c r="B11453" t="s">
        <v>242</v>
      </c>
      <c r="C11453" s="26">
        <v>0.97009999999999996</v>
      </c>
      <c r="E11453" s="26">
        <v>2.9899999999999999E-2</v>
      </c>
      <c r="P11453">
        <v>67</v>
      </c>
    </row>
    <row r="11454" spans="1:16" x14ac:dyDescent="0.35">
      <c r="A11454" t="s">
        <v>227</v>
      </c>
      <c r="B11454" t="s">
        <v>241</v>
      </c>
      <c r="C11454" s="26">
        <v>0.94440000000000002</v>
      </c>
      <c r="D11454" s="26">
        <v>2.2200000000000001E-2</v>
      </c>
      <c r="E11454" s="26">
        <v>1.11E-2</v>
      </c>
      <c r="F11454" s="26">
        <v>1.11E-2</v>
      </c>
      <c r="H11454" s="26">
        <v>1.11E-2</v>
      </c>
      <c r="P11454">
        <v>90</v>
      </c>
    </row>
    <row r="11455" spans="1:16" x14ac:dyDescent="0.35">
      <c r="A11455" t="s">
        <v>228</v>
      </c>
      <c r="B11455" t="s">
        <v>242</v>
      </c>
      <c r="C11455" s="26">
        <v>0.85799999999999998</v>
      </c>
      <c r="D11455" s="26">
        <v>3.5400000000000001E-2</v>
      </c>
      <c r="E11455" s="26">
        <v>6.7400000000000002E-2</v>
      </c>
      <c r="F11455" s="26">
        <v>7.4999999999999997E-3</v>
      </c>
      <c r="G11455" s="26">
        <v>1.15E-2</v>
      </c>
      <c r="H11455" s="26">
        <v>3.3E-3</v>
      </c>
      <c r="I11455" s="26">
        <v>8.5000000000000006E-3</v>
      </c>
      <c r="J11455" s="26">
        <v>1.3899999999999999E-2</v>
      </c>
      <c r="K11455" s="26">
        <v>1.5E-3</v>
      </c>
      <c r="O11455" s="26">
        <v>4.8999999999999998E-3</v>
      </c>
      <c r="P11455">
        <v>392</v>
      </c>
    </row>
    <row r="11456" spans="1:16" x14ac:dyDescent="0.35">
      <c r="A11456" t="s">
        <v>228</v>
      </c>
      <c r="B11456" t="s">
        <v>241</v>
      </c>
      <c r="C11456" s="26">
        <v>0.84889999999999999</v>
      </c>
      <c r="D11456" s="26">
        <v>6.7100000000000007E-2</v>
      </c>
      <c r="E11456" s="26">
        <v>4.3499999999999997E-2</v>
      </c>
      <c r="F11456" s="26">
        <v>1.37E-2</v>
      </c>
      <c r="G11456" s="26">
        <v>1.35E-2</v>
      </c>
      <c r="H11456" s="26">
        <v>9.4000000000000004E-3</v>
      </c>
      <c r="I11456" s="26">
        <v>1.14E-2</v>
      </c>
      <c r="J11456" s="26">
        <v>1.2500000000000001E-2</v>
      </c>
      <c r="K11456" s="26">
        <v>6.9999999999999999E-4</v>
      </c>
      <c r="L11456" s="26">
        <v>1.9E-3</v>
      </c>
      <c r="N11456" s="26">
        <v>4.4999999999999997E-3</v>
      </c>
      <c r="P11456">
        <v>618</v>
      </c>
    </row>
    <row r="11457" spans="1:16" x14ac:dyDescent="0.35">
      <c r="A11457" t="s">
        <v>229</v>
      </c>
      <c r="B11457" t="s">
        <v>242</v>
      </c>
      <c r="C11457" s="26">
        <v>0.89190000000000003</v>
      </c>
      <c r="D11457" s="26">
        <v>3.9600000000000003E-2</v>
      </c>
      <c r="E11457" s="26">
        <v>4.2700000000000002E-2</v>
      </c>
      <c r="F11457" s="26">
        <v>8.8000000000000005E-3</v>
      </c>
      <c r="G11457" s="26">
        <v>7.9000000000000008E-3</v>
      </c>
      <c r="H11457" s="26">
        <v>6.7999999999999996E-3</v>
      </c>
      <c r="I11457" s="26">
        <v>1.2999999999999999E-3</v>
      </c>
      <c r="J11457" s="26">
        <v>1.6000000000000001E-3</v>
      </c>
      <c r="K11457" s="26">
        <v>7.9000000000000008E-3</v>
      </c>
      <c r="P11457">
        <v>284</v>
      </c>
    </row>
    <row r="11458" spans="1:16" x14ac:dyDescent="0.35">
      <c r="A11458" t="s">
        <v>229</v>
      </c>
      <c r="B11458" t="s">
        <v>241</v>
      </c>
      <c r="C11458" s="26">
        <v>0.9163</v>
      </c>
      <c r="D11458" s="26">
        <v>1.9699999999999999E-2</v>
      </c>
      <c r="E11458" s="26">
        <v>2.7900000000000001E-2</v>
      </c>
      <c r="F11458" s="26">
        <v>1.4200000000000001E-2</v>
      </c>
      <c r="G11458" s="26">
        <v>7.7000000000000002E-3</v>
      </c>
      <c r="H11458" s="26">
        <v>1.5299999999999999E-2</v>
      </c>
      <c r="I11458" s="26">
        <v>0.01</v>
      </c>
      <c r="J11458" s="26">
        <v>2.9999999999999997E-4</v>
      </c>
      <c r="K11458" s="26">
        <v>1.4E-3</v>
      </c>
      <c r="L11458" s="26">
        <v>5.4000000000000003E-3</v>
      </c>
      <c r="M11458" s="26">
        <v>5.1000000000000004E-3</v>
      </c>
      <c r="P11458">
        <v>588</v>
      </c>
    </row>
    <row r="11459" spans="1:16" x14ac:dyDescent="0.35">
      <c r="A11459" t="s">
        <v>230</v>
      </c>
      <c r="B11459" t="s">
        <v>242</v>
      </c>
      <c r="C11459" s="26">
        <v>0.84179999999999999</v>
      </c>
      <c r="D11459" s="26">
        <v>4.9099999999999998E-2</v>
      </c>
      <c r="E11459" s="26">
        <v>8.3000000000000004E-2</v>
      </c>
      <c r="F11459" s="26">
        <v>4.4999999999999997E-3</v>
      </c>
      <c r="G11459" s="26">
        <v>3.7000000000000002E-3</v>
      </c>
      <c r="H11459" s="26">
        <v>2.8E-3</v>
      </c>
      <c r="I11459" s="26">
        <v>2.2800000000000001E-2</v>
      </c>
      <c r="J11459" s="26">
        <v>2.4500000000000001E-2</v>
      </c>
      <c r="O11459" s="26">
        <v>8.9999999999999998E-4</v>
      </c>
      <c r="P11459">
        <v>184</v>
      </c>
    </row>
    <row r="11460" spans="1:16" x14ac:dyDescent="0.35">
      <c r="A11460" t="s">
        <v>230</v>
      </c>
      <c r="B11460" t="s">
        <v>241</v>
      </c>
      <c r="C11460" s="26">
        <v>0.86660000000000004</v>
      </c>
      <c r="D11460" s="26">
        <v>4.2799999999999998E-2</v>
      </c>
      <c r="E11460" s="26">
        <v>2.52E-2</v>
      </c>
      <c r="F11460" s="26">
        <v>2.0199999999999999E-2</v>
      </c>
      <c r="G11460" s="26">
        <v>2.3900000000000001E-2</v>
      </c>
      <c r="H11460" s="26">
        <v>2.8E-3</v>
      </c>
      <c r="I11460" s="26">
        <v>8.3000000000000001E-3</v>
      </c>
      <c r="J11460" s="26">
        <v>1.09E-2</v>
      </c>
      <c r="K11460" s="26">
        <v>8.3000000000000001E-3</v>
      </c>
      <c r="L11460" s="26">
        <v>8.3000000000000001E-3</v>
      </c>
      <c r="P11460">
        <v>360</v>
      </c>
    </row>
    <row r="11461" spans="1:16" x14ac:dyDescent="0.35">
      <c r="A11461" t="s">
        <v>231</v>
      </c>
      <c r="B11461" t="s">
        <v>242</v>
      </c>
      <c r="C11461" s="26">
        <v>0.92449999999999999</v>
      </c>
      <c r="D11461" s="26">
        <v>1.89E-2</v>
      </c>
      <c r="E11461" s="26">
        <v>1.89E-2</v>
      </c>
      <c r="F11461" s="26">
        <v>1.89E-2</v>
      </c>
      <c r="K11461" s="26">
        <v>1.89E-2</v>
      </c>
      <c r="P11461">
        <v>53</v>
      </c>
    </row>
    <row r="11462" spans="1:16" x14ac:dyDescent="0.35">
      <c r="A11462" t="s">
        <v>231</v>
      </c>
      <c r="B11462" t="s">
        <v>241</v>
      </c>
      <c r="C11462" s="26">
        <v>0.96360000000000001</v>
      </c>
      <c r="D11462" s="26">
        <v>1.8200000000000001E-2</v>
      </c>
      <c r="F11462" s="26">
        <v>9.1000000000000004E-3</v>
      </c>
      <c r="G11462" s="26">
        <v>1.8200000000000001E-2</v>
      </c>
      <c r="H11462" s="26">
        <v>9.1000000000000004E-3</v>
      </c>
      <c r="P11462">
        <v>110</v>
      </c>
    </row>
    <row r="11463" spans="1:16" x14ac:dyDescent="0.35">
      <c r="A11463" t="s">
        <v>232</v>
      </c>
      <c r="B11463" t="s">
        <v>232</v>
      </c>
      <c r="C11463" s="26">
        <v>0.91120000000000001</v>
      </c>
      <c r="D11463" s="26">
        <v>2.9899999999999999E-2</v>
      </c>
      <c r="E11463" s="26">
        <v>2.8400000000000002E-2</v>
      </c>
      <c r="F11463" s="26">
        <v>1.14E-2</v>
      </c>
      <c r="G11463" s="26">
        <v>9.7000000000000003E-3</v>
      </c>
      <c r="H11463" s="26">
        <v>7.7000000000000002E-3</v>
      </c>
      <c r="I11463" s="26">
        <v>5.1000000000000004E-3</v>
      </c>
      <c r="J11463" s="26">
        <v>4.1999999999999997E-3</v>
      </c>
      <c r="K11463" s="26">
        <v>3.5000000000000001E-3</v>
      </c>
      <c r="L11463" s="26">
        <v>1.6999999999999999E-3</v>
      </c>
      <c r="M11463" s="26">
        <v>8.9999999999999998E-4</v>
      </c>
      <c r="N11463" s="26">
        <v>5.9999999999999995E-4</v>
      </c>
      <c r="O11463" s="26">
        <v>4.0000000000000002E-4</v>
      </c>
      <c r="P11463">
        <v>2746</v>
      </c>
    </row>
    <row r="11465" spans="1:16" x14ac:dyDescent="0.35">
      <c r="A11465" s="1" t="s">
        <v>1410</v>
      </c>
    </row>
    <row r="11466" spans="1:16" x14ac:dyDescent="0.35">
      <c r="A11466" t="s">
        <v>219</v>
      </c>
      <c r="B11466" t="s">
        <v>305</v>
      </c>
      <c r="C11466" t="s">
        <v>550</v>
      </c>
      <c r="D11466" t="s">
        <v>1400</v>
      </c>
      <c r="E11466" t="s">
        <v>281</v>
      </c>
      <c r="F11466" t="s">
        <v>1401</v>
      </c>
      <c r="G11466" t="s">
        <v>1402</v>
      </c>
      <c r="H11466" t="s">
        <v>1403</v>
      </c>
      <c r="I11466" t="s">
        <v>1404</v>
      </c>
      <c r="J11466" t="s">
        <v>1405</v>
      </c>
      <c r="K11466" t="s">
        <v>286</v>
      </c>
      <c r="L11466" t="s">
        <v>1406</v>
      </c>
      <c r="M11466" t="s">
        <v>1407</v>
      </c>
      <c r="N11466" t="s">
        <v>1408</v>
      </c>
      <c r="O11466" t="s">
        <v>326</v>
      </c>
      <c r="P11466" t="s">
        <v>226</v>
      </c>
    </row>
    <row r="11467" spans="1:16" x14ac:dyDescent="0.35">
      <c r="A11467" t="s">
        <v>227</v>
      </c>
      <c r="B11467" t="s">
        <v>239</v>
      </c>
      <c r="C11467" s="26">
        <v>0.9516</v>
      </c>
      <c r="D11467" s="26">
        <v>1.61E-2</v>
      </c>
      <c r="E11467" s="26">
        <v>1.61E-2</v>
      </c>
      <c r="F11467" s="26">
        <v>1.61E-2</v>
      </c>
      <c r="P11467">
        <v>62</v>
      </c>
    </row>
    <row r="11468" spans="1:16" x14ac:dyDescent="0.35">
      <c r="A11468" t="s">
        <v>227</v>
      </c>
      <c r="B11468" t="s">
        <v>238</v>
      </c>
      <c r="C11468" s="26">
        <v>0.95789999999999997</v>
      </c>
      <c r="D11468" s="26">
        <v>1.0500000000000001E-2</v>
      </c>
      <c r="E11468" s="26">
        <v>2.1100000000000001E-2</v>
      </c>
      <c r="H11468" s="26">
        <v>1.0500000000000001E-2</v>
      </c>
      <c r="P11468">
        <v>95</v>
      </c>
    </row>
    <row r="11469" spans="1:16" x14ac:dyDescent="0.35">
      <c r="A11469" t="s">
        <v>228</v>
      </c>
      <c r="B11469" t="s">
        <v>239</v>
      </c>
      <c r="C11469" s="26">
        <v>0.83130000000000004</v>
      </c>
      <c r="D11469" s="26">
        <v>4.5199999999999997E-2</v>
      </c>
      <c r="E11469" s="26">
        <v>5.3199999999999997E-2</v>
      </c>
      <c r="F11469" s="26">
        <v>1.7299999999999999E-2</v>
      </c>
      <c r="G11469" s="26">
        <v>1.9099999999999999E-2</v>
      </c>
      <c r="H11469" s="26">
        <v>5.8999999999999999E-3</v>
      </c>
      <c r="I11469" s="26">
        <v>8.6E-3</v>
      </c>
      <c r="J11469" s="26">
        <v>2.52E-2</v>
      </c>
      <c r="K11469" s="26">
        <v>2.7000000000000001E-3</v>
      </c>
      <c r="O11469" s="26">
        <v>2.7000000000000001E-3</v>
      </c>
      <c r="P11469">
        <v>323</v>
      </c>
    </row>
    <row r="11470" spans="1:16" x14ac:dyDescent="0.35">
      <c r="A11470" t="s">
        <v>228</v>
      </c>
      <c r="B11470" t="s">
        <v>238</v>
      </c>
      <c r="C11470" s="26">
        <v>0.85770000000000002</v>
      </c>
      <c r="D11470" s="26">
        <v>5.8299999999999998E-2</v>
      </c>
      <c r="E11470" s="26">
        <v>5.1900000000000002E-2</v>
      </c>
      <c r="F11470" s="26">
        <v>9.9000000000000008E-3</v>
      </c>
      <c r="G11470" s="26">
        <v>1.11E-2</v>
      </c>
      <c r="H11470" s="26">
        <v>7.4999999999999997E-3</v>
      </c>
      <c r="I11470" s="26">
        <v>1.0800000000000001E-2</v>
      </c>
      <c r="J11470" s="26">
        <v>9.7999999999999997E-3</v>
      </c>
      <c r="K11470" s="26">
        <v>5.0000000000000001E-4</v>
      </c>
      <c r="L11470" s="26">
        <v>1.5E-3</v>
      </c>
      <c r="N11470" s="26">
        <v>3.5999999999999999E-3</v>
      </c>
      <c r="O11470" s="26">
        <v>1.5E-3</v>
      </c>
      <c r="P11470">
        <v>687</v>
      </c>
    </row>
    <row r="11471" spans="1:16" x14ac:dyDescent="0.35">
      <c r="A11471" t="s">
        <v>229</v>
      </c>
      <c r="B11471" t="s">
        <v>239</v>
      </c>
      <c r="C11471" s="26">
        <v>0.89670000000000005</v>
      </c>
      <c r="D11471" s="26">
        <v>2.3900000000000001E-2</v>
      </c>
      <c r="E11471" s="26">
        <v>5.9499999999999997E-2</v>
      </c>
      <c r="F11471" s="26">
        <v>4.3E-3</v>
      </c>
      <c r="G11471" s="26">
        <v>3.3E-3</v>
      </c>
      <c r="H11471" s="26">
        <v>8.0000000000000004E-4</v>
      </c>
      <c r="I11471" s="26">
        <v>1.1900000000000001E-2</v>
      </c>
      <c r="P11471">
        <v>329</v>
      </c>
    </row>
    <row r="11472" spans="1:16" x14ac:dyDescent="0.35">
      <c r="A11472" t="s">
        <v>229</v>
      </c>
      <c r="B11472" t="s">
        <v>238</v>
      </c>
      <c r="C11472" s="26">
        <v>0.91020000000000001</v>
      </c>
      <c r="D11472" s="26">
        <v>2.8799999999999999E-2</v>
      </c>
      <c r="E11472" s="26">
        <v>2.47E-2</v>
      </c>
      <c r="F11472" s="26">
        <v>1.4800000000000001E-2</v>
      </c>
      <c r="G11472" s="26">
        <v>9.4000000000000004E-3</v>
      </c>
      <c r="H11472" s="26">
        <v>1.5900000000000001E-2</v>
      </c>
      <c r="I11472" s="26">
        <v>4.7000000000000002E-3</v>
      </c>
      <c r="J11472" s="26">
        <v>1.1000000000000001E-3</v>
      </c>
      <c r="K11472" s="26">
        <v>5.4000000000000003E-3</v>
      </c>
      <c r="L11472" s="26">
        <v>4.4999999999999997E-3</v>
      </c>
      <c r="M11472" s="26">
        <v>4.1999999999999997E-3</v>
      </c>
      <c r="P11472">
        <v>543</v>
      </c>
    </row>
    <row r="11473" spans="1:16" x14ac:dyDescent="0.35">
      <c r="A11473" t="s">
        <v>230</v>
      </c>
      <c r="B11473" t="s">
        <v>239</v>
      </c>
      <c r="C11473" s="26">
        <v>0.88370000000000004</v>
      </c>
      <c r="D11473" s="26">
        <v>6.2100000000000002E-2</v>
      </c>
      <c r="E11473" s="26">
        <v>1.15E-2</v>
      </c>
      <c r="F11473" s="26">
        <v>2.0899999999999998E-2</v>
      </c>
      <c r="G11473" s="26">
        <v>9.4999999999999998E-3</v>
      </c>
      <c r="I11473" s="26">
        <v>2.2200000000000001E-2</v>
      </c>
      <c r="J11473" s="26">
        <v>2.8999999999999998E-3</v>
      </c>
      <c r="L11473" s="26">
        <v>1.9E-2</v>
      </c>
      <c r="O11473" s="26">
        <v>1E-3</v>
      </c>
      <c r="P11473">
        <v>205</v>
      </c>
    </row>
    <row r="11474" spans="1:16" x14ac:dyDescent="0.35">
      <c r="A11474" t="s">
        <v>230</v>
      </c>
      <c r="B11474" t="s">
        <v>238</v>
      </c>
      <c r="C11474" s="26">
        <v>0.84789999999999999</v>
      </c>
      <c r="D11474" s="26">
        <v>3.7600000000000001E-2</v>
      </c>
      <c r="E11474" s="26">
        <v>5.7799999999999997E-2</v>
      </c>
      <c r="F11474" s="26">
        <v>1.2699999999999999E-2</v>
      </c>
      <c r="G11474" s="26">
        <v>2.06E-2</v>
      </c>
      <c r="H11474" s="26">
        <v>3.8999999999999998E-3</v>
      </c>
      <c r="I11474" s="26">
        <v>9.2999999999999992E-3</v>
      </c>
      <c r="J11474" s="26">
        <v>2.06E-2</v>
      </c>
      <c r="K11474" s="26">
        <v>7.9000000000000008E-3</v>
      </c>
      <c r="P11474">
        <v>339</v>
      </c>
    </row>
    <row r="11475" spans="1:16" x14ac:dyDescent="0.35">
      <c r="A11475" t="s">
        <v>231</v>
      </c>
      <c r="B11475" t="s">
        <v>239</v>
      </c>
      <c r="C11475" s="26">
        <v>0.96430000000000005</v>
      </c>
      <c r="D11475" s="26">
        <v>1.7899999999999999E-2</v>
      </c>
      <c r="F11475" s="26">
        <v>1.7899999999999999E-2</v>
      </c>
      <c r="G11475" s="26">
        <v>1.7899999999999999E-2</v>
      </c>
      <c r="H11475" s="26">
        <v>1.7899999999999999E-2</v>
      </c>
      <c r="P11475">
        <v>56</v>
      </c>
    </row>
    <row r="11476" spans="1:16" x14ac:dyDescent="0.35">
      <c r="A11476" t="s">
        <v>231</v>
      </c>
      <c r="B11476" t="s">
        <v>238</v>
      </c>
      <c r="C11476" s="26">
        <v>0.94389999999999996</v>
      </c>
      <c r="D11476" s="26">
        <v>1.8700000000000001E-2</v>
      </c>
      <c r="E11476" s="26">
        <v>9.2999999999999992E-3</v>
      </c>
      <c r="F11476" s="26">
        <v>9.2999999999999992E-3</v>
      </c>
      <c r="G11476" s="26">
        <v>9.2999999999999992E-3</v>
      </c>
      <c r="K11476" s="26">
        <v>9.2999999999999992E-3</v>
      </c>
      <c r="P11476">
        <v>107</v>
      </c>
    </row>
    <row r="11477" spans="1:16" x14ac:dyDescent="0.35">
      <c r="A11477" t="s">
        <v>232</v>
      </c>
      <c r="B11477" t="s">
        <v>232</v>
      </c>
      <c r="C11477" s="26">
        <v>0.91120000000000001</v>
      </c>
      <c r="D11477" s="26">
        <v>2.9899999999999999E-2</v>
      </c>
      <c r="E11477" s="26">
        <v>2.8400000000000002E-2</v>
      </c>
      <c r="F11477" s="26">
        <v>1.14E-2</v>
      </c>
      <c r="G11477" s="26">
        <v>9.7000000000000003E-3</v>
      </c>
      <c r="H11477" s="26">
        <v>7.7000000000000002E-3</v>
      </c>
      <c r="I11477" s="26">
        <v>5.1000000000000004E-3</v>
      </c>
      <c r="J11477" s="26">
        <v>4.1999999999999997E-3</v>
      </c>
      <c r="K11477" s="26">
        <v>3.5000000000000001E-3</v>
      </c>
      <c r="L11477" s="26">
        <v>1.6999999999999999E-3</v>
      </c>
      <c r="M11477" s="26">
        <v>8.9999999999999998E-4</v>
      </c>
      <c r="N11477" s="26">
        <v>5.9999999999999995E-4</v>
      </c>
      <c r="O11477" s="26">
        <v>4.0000000000000002E-4</v>
      </c>
      <c r="P11477">
        <v>2746</v>
      </c>
    </row>
    <row r="11479" spans="1:16" x14ac:dyDescent="0.35">
      <c r="A11479" s="1" t="s">
        <v>1411</v>
      </c>
    </row>
    <row r="11480" spans="1:16" x14ac:dyDescent="0.35">
      <c r="A11480" t="s">
        <v>219</v>
      </c>
      <c r="B11480" t="s">
        <v>305</v>
      </c>
      <c r="C11480" t="s">
        <v>550</v>
      </c>
      <c r="D11480" t="s">
        <v>1400</v>
      </c>
      <c r="E11480" t="s">
        <v>281</v>
      </c>
      <c r="F11480" t="s">
        <v>1401</v>
      </c>
      <c r="G11480" t="s">
        <v>1402</v>
      </c>
      <c r="H11480" t="s">
        <v>1403</v>
      </c>
      <c r="I11480" t="s">
        <v>1404</v>
      </c>
      <c r="J11480" t="s">
        <v>1405</v>
      </c>
      <c r="K11480" t="s">
        <v>286</v>
      </c>
      <c r="L11480" t="s">
        <v>1406</v>
      </c>
      <c r="M11480" t="s">
        <v>1407</v>
      </c>
      <c r="N11480" t="s">
        <v>1408</v>
      </c>
      <c r="O11480" t="s">
        <v>326</v>
      </c>
      <c r="P11480" t="s">
        <v>226</v>
      </c>
    </row>
    <row r="11481" spans="1:16" x14ac:dyDescent="0.35">
      <c r="A11481" t="s">
        <v>227</v>
      </c>
      <c r="B11481" t="s">
        <v>244</v>
      </c>
      <c r="C11481" s="26">
        <v>0.9677</v>
      </c>
      <c r="D11481" s="26">
        <v>1.0800000000000001E-2</v>
      </c>
      <c r="E11481" s="26">
        <v>1.0800000000000001E-2</v>
      </c>
      <c r="F11481" s="26">
        <v>1.0800000000000001E-2</v>
      </c>
      <c r="P11481">
        <v>93</v>
      </c>
    </row>
    <row r="11482" spans="1:16" x14ac:dyDescent="0.35">
      <c r="A11482" t="s">
        <v>227</v>
      </c>
      <c r="B11482" t="s">
        <v>245</v>
      </c>
      <c r="C11482" s="26">
        <v>0.94230000000000003</v>
      </c>
      <c r="D11482" s="26">
        <v>1.9199999999999998E-2</v>
      </c>
      <c r="E11482" s="26">
        <v>3.85E-2</v>
      </c>
      <c r="P11482">
        <v>52</v>
      </c>
    </row>
    <row r="11483" spans="1:16" x14ac:dyDescent="0.35">
      <c r="A11483" s="27" t="s">
        <v>227</v>
      </c>
      <c r="B11483" s="27" t="s">
        <v>246</v>
      </c>
      <c r="C11483" s="28">
        <v>0.91669999999999996</v>
      </c>
      <c r="D11483" s="29"/>
      <c r="E11483" s="29"/>
      <c r="F11483" s="29"/>
      <c r="G11483" s="29"/>
      <c r="H11483" s="28">
        <v>8.3299999999999999E-2</v>
      </c>
      <c r="I11483" s="29"/>
      <c r="J11483" s="29"/>
      <c r="K11483" s="29"/>
      <c r="L11483" s="29"/>
      <c r="M11483" s="29"/>
      <c r="N11483" s="29"/>
      <c r="O11483" s="29"/>
      <c r="P11483" s="29" t="s">
        <v>342</v>
      </c>
    </row>
    <row r="11484" spans="1:16" x14ac:dyDescent="0.35">
      <c r="A11484" t="s">
        <v>228</v>
      </c>
      <c r="B11484" t="s">
        <v>244</v>
      </c>
      <c r="C11484" s="26">
        <v>0.87790000000000001</v>
      </c>
      <c r="D11484" s="26">
        <v>4.82E-2</v>
      </c>
      <c r="E11484" s="26">
        <v>3.3500000000000002E-2</v>
      </c>
      <c r="F11484" s="26">
        <v>6.4999999999999997E-3</v>
      </c>
      <c r="G11484" s="26">
        <v>1.47E-2</v>
      </c>
      <c r="H11484" s="26">
        <v>5.0000000000000001E-3</v>
      </c>
      <c r="I11484" s="26">
        <v>1.15E-2</v>
      </c>
      <c r="J11484" s="26">
        <v>1.0200000000000001E-2</v>
      </c>
      <c r="K11484" s="26">
        <v>1.5E-3</v>
      </c>
      <c r="N11484" s="26">
        <v>2.5999999999999999E-3</v>
      </c>
      <c r="O11484" s="26">
        <v>1.2999999999999999E-3</v>
      </c>
      <c r="P11484">
        <v>621</v>
      </c>
    </row>
    <row r="11485" spans="1:16" x14ac:dyDescent="0.35">
      <c r="A11485" t="s">
        <v>228</v>
      </c>
      <c r="B11485" t="s">
        <v>245</v>
      </c>
      <c r="C11485" s="26">
        <v>0.78839999999999999</v>
      </c>
      <c r="D11485" s="26">
        <v>8.0299999999999996E-2</v>
      </c>
      <c r="E11485" s="26">
        <v>8.9700000000000002E-2</v>
      </c>
      <c r="F11485" s="26">
        <v>2.1600000000000001E-2</v>
      </c>
      <c r="G11485" s="26">
        <v>1.14E-2</v>
      </c>
      <c r="H11485" s="26">
        <v>1.41E-2</v>
      </c>
      <c r="I11485" s="26">
        <v>1.0200000000000001E-2</v>
      </c>
      <c r="J11485" s="26">
        <v>2.2700000000000001E-2</v>
      </c>
      <c r="L11485" s="26">
        <v>4.3E-3</v>
      </c>
      <c r="N11485" s="26">
        <v>4.3E-3</v>
      </c>
      <c r="P11485">
        <v>322</v>
      </c>
    </row>
    <row r="11486" spans="1:16" x14ac:dyDescent="0.35">
      <c r="A11486" t="s">
        <v>228</v>
      </c>
      <c r="B11486" t="s">
        <v>246</v>
      </c>
      <c r="C11486" s="26">
        <v>0.86899999999999999</v>
      </c>
      <c r="D11486" s="26">
        <v>2.5399999999999999E-2</v>
      </c>
      <c r="E11486" s="26">
        <v>7.51E-2</v>
      </c>
      <c r="F11486" s="26">
        <v>1.7299999999999999E-2</v>
      </c>
      <c r="O11486" s="26">
        <v>1.32E-2</v>
      </c>
      <c r="P11486">
        <v>67</v>
      </c>
    </row>
    <row r="11487" spans="1:16" x14ac:dyDescent="0.35">
      <c r="A11487" t="s">
        <v>229</v>
      </c>
      <c r="B11487" t="s">
        <v>244</v>
      </c>
      <c r="C11487" s="26">
        <v>0.92100000000000004</v>
      </c>
      <c r="D11487" s="26">
        <v>1.7899999999999999E-2</v>
      </c>
      <c r="E11487" s="26">
        <v>2.52E-2</v>
      </c>
      <c r="F11487" s="26">
        <v>1.3299999999999999E-2</v>
      </c>
      <c r="G11487" s="26">
        <v>0.01</v>
      </c>
      <c r="H11487" s="26">
        <v>1.26E-2</v>
      </c>
      <c r="I11487" s="26">
        <v>5.1999999999999998E-3</v>
      </c>
      <c r="J11487" s="26">
        <v>2.9999999999999997E-4</v>
      </c>
      <c r="K11487" s="26">
        <v>5.4999999999999997E-3</v>
      </c>
      <c r="L11487" s="26">
        <v>4.4999999999999997E-3</v>
      </c>
      <c r="M11487" s="26">
        <v>4.4999999999999997E-3</v>
      </c>
      <c r="P11487">
        <v>545</v>
      </c>
    </row>
    <row r="11488" spans="1:16" x14ac:dyDescent="0.35">
      <c r="A11488" t="s">
        <v>229</v>
      </c>
      <c r="B11488" t="s">
        <v>245</v>
      </c>
      <c r="C11488" s="26">
        <v>0.8508</v>
      </c>
      <c r="D11488" s="26">
        <v>5.9499999999999997E-2</v>
      </c>
      <c r="E11488" s="26">
        <v>6.4299999999999996E-2</v>
      </c>
      <c r="F11488" s="26">
        <v>1.03E-2</v>
      </c>
      <c r="G11488" s="26">
        <v>2.7000000000000001E-3</v>
      </c>
      <c r="H11488" s="26">
        <v>1.23E-2</v>
      </c>
      <c r="I11488" s="26">
        <v>1.03E-2</v>
      </c>
      <c r="J11488" s="26">
        <v>2.3999999999999998E-3</v>
      </c>
      <c r="K11488" s="26">
        <v>6.9999999999999999E-4</v>
      </c>
      <c r="L11488" s="26">
        <v>6.9999999999999999E-4</v>
      </c>
      <c r="P11488">
        <v>283</v>
      </c>
    </row>
    <row r="11489" spans="1:16" x14ac:dyDescent="0.35">
      <c r="A11489" t="s">
        <v>229</v>
      </c>
      <c r="B11489" t="s">
        <v>246</v>
      </c>
      <c r="C11489" s="26">
        <v>0.98499999999999999</v>
      </c>
      <c r="D11489" s="26">
        <v>1.9E-3</v>
      </c>
      <c r="F11489" s="26">
        <v>3.3E-3</v>
      </c>
      <c r="G11489" s="26">
        <v>3.3E-3</v>
      </c>
      <c r="H11489" s="26">
        <v>1.9E-3</v>
      </c>
      <c r="I11489" s="26">
        <v>6.4999999999999997E-3</v>
      </c>
      <c r="P11489">
        <v>44</v>
      </c>
    </row>
    <row r="11490" spans="1:16" x14ac:dyDescent="0.35">
      <c r="A11490" t="s">
        <v>230</v>
      </c>
      <c r="B11490" t="s">
        <v>244</v>
      </c>
      <c r="C11490" s="26">
        <v>0.88329999999999997</v>
      </c>
      <c r="D11490" s="26">
        <v>4.8800000000000003E-2</v>
      </c>
      <c r="E11490" s="26">
        <v>2.0199999999999999E-2</v>
      </c>
      <c r="F11490" s="26">
        <v>1.35E-2</v>
      </c>
      <c r="G11490" s="26">
        <v>1.3599999999999999E-2</v>
      </c>
      <c r="H11490" s="26">
        <v>1.2999999999999999E-3</v>
      </c>
      <c r="I11490" s="26">
        <v>1.8599999999999998E-2</v>
      </c>
      <c r="J11490" s="26">
        <v>1.26E-2</v>
      </c>
      <c r="K11490" s="26">
        <v>7.9000000000000008E-3</v>
      </c>
      <c r="L11490" s="26">
        <v>7.9000000000000008E-3</v>
      </c>
      <c r="O11490" s="26">
        <v>4.0000000000000002E-4</v>
      </c>
      <c r="P11490">
        <v>363</v>
      </c>
    </row>
    <row r="11491" spans="1:16" x14ac:dyDescent="0.35">
      <c r="A11491" t="s">
        <v>230</v>
      </c>
      <c r="B11491" t="s">
        <v>245</v>
      </c>
      <c r="C11491" s="26">
        <v>0.78720000000000001</v>
      </c>
      <c r="D11491" s="26">
        <v>2.64E-2</v>
      </c>
      <c r="E11491" s="26">
        <v>0.113</v>
      </c>
      <c r="F11491" s="26">
        <v>2.1700000000000001E-2</v>
      </c>
      <c r="G11491" s="26">
        <v>3.0099999999999998E-2</v>
      </c>
      <c r="H11491" s="26">
        <v>7.1999999999999998E-3</v>
      </c>
      <c r="J11491" s="26">
        <v>2.53E-2</v>
      </c>
      <c r="P11491">
        <v>155</v>
      </c>
    </row>
    <row r="11492" spans="1:16" x14ac:dyDescent="0.35">
      <c r="A11492" s="27" t="s">
        <v>230</v>
      </c>
      <c r="B11492" s="27" t="s">
        <v>246</v>
      </c>
      <c r="C11492" s="28">
        <v>0.88129999999999997</v>
      </c>
      <c r="D11492" s="28">
        <v>9.5000000000000001E-2</v>
      </c>
      <c r="E11492" s="28">
        <v>2.3599999999999999E-2</v>
      </c>
      <c r="F11492" s="29"/>
      <c r="G11492" s="29"/>
      <c r="H11492" s="29"/>
      <c r="I11492" s="29"/>
      <c r="J11492" s="29"/>
      <c r="K11492" s="29"/>
      <c r="L11492" s="29"/>
      <c r="M11492" s="29"/>
      <c r="N11492" s="29"/>
      <c r="O11492" s="29"/>
      <c r="P11492" s="29" t="s">
        <v>357</v>
      </c>
    </row>
    <row r="11493" spans="1:16" x14ac:dyDescent="0.35">
      <c r="A11493" t="s">
        <v>231</v>
      </c>
      <c r="B11493" t="s">
        <v>244</v>
      </c>
      <c r="C11493" s="26">
        <v>0.94679999999999997</v>
      </c>
      <c r="D11493" s="26">
        <v>2.1299999999999999E-2</v>
      </c>
      <c r="F11493" s="26">
        <v>2.1299999999999999E-2</v>
      </c>
      <c r="G11493" s="26">
        <v>1.06E-2</v>
      </c>
      <c r="H11493" s="26">
        <v>1.06E-2</v>
      </c>
      <c r="K11493" s="26">
        <v>1.06E-2</v>
      </c>
      <c r="P11493">
        <v>94</v>
      </c>
    </row>
    <row r="11494" spans="1:16" x14ac:dyDescent="0.35">
      <c r="A11494" t="s">
        <v>231</v>
      </c>
      <c r="B11494" t="s">
        <v>245</v>
      </c>
      <c r="C11494" s="26">
        <v>0.94640000000000002</v>
      </c>
      <c r="D11494" s="26">
        <v>1.7899999999999999E-2</v>
      </c>
      <c r="E11494" s="26">
        <v>1.7899999999999999E-2</v>
      </c>
      <c r="G11494" s="26">
        <v>1.7899999999999999E-2</v>
      </c>
      <c r="P11494">
        <v>56</v>
      </c>
    </row>
    <row r="11495" spans="1:16" x14ac:dyDescent="0.35">
      <c r="A11495" s="27" t="s">
        <v>231</v>
      </c>
      <c r="B11495" s="27" t="s">
        <v>246</v>
      </c>
      <c r="C11495" s="28">
        <v>1</v>
      </c>
      <c r="D11495" s="29"/>
      <c r="E11495" s="29"/>
      <c r="F11495" s="29"/>
      <c r="G11495" s="29"/>
      <c r="H11495" s="29"/>
      <c r="I11495" s="29"/>
      <c r="J11495" s="29"/>
      <c r="K11495" s="29"/>
      <c r="L11495" s="29"/>
      <c r="M11495" s="29"/>
      <c r="N11495" s="29"/>
      <c r="O11495" s="29"/>
      <c r="P11495" s="29" t="s">
        <v>341</v>
      </c>
    </row>
    <row r="11496" spans="1:16" x14ac:dyDescent="0.35">
      <c r="A11496" t="s">
        <v>232</v>
      </c>
      <c r="B11496" t="s">
        <v>232</v>
      </c>
      <c r="C11496" s="26">
        <v>0.91120000000000001</v>
      </c>
      <c r="D11496" s="26">
        <v>2.9899999999999999E-2</v>
      </c>
      <c r="E11496" s="26">
        <v>2.8400000000000002E-2</v>
      </c>
      <c r="F11496" s="26">
        <v>1.14E-2</v>
      </c>
      <c r="G11496" s="26">
        <v>9.7000000000000003E-3</v>
      </c>
      <c r="H11496" s="26">
        <v>7.7000000000000002E-3</v>
      </c>
      <c r="I11496" s="26">
        <v>5.1000000000000004E-3</v>
      </c>
      <c r="J11496" s="26">
        <v>4.1999999999999997E-3</v>
      </c>
      <c r="K11496" s="26">
        <v>3.5000000000000001E-3</v>
      </c>
      <c r="L11496" s="26">
        <v>1.6999999999999999E-3</v>
      </c>
      <c r="M11496" s="26">
        <v>8.9999999999999998E-4</v>
      </c>
      <c r="N11496" s="26">
        <v>5.9999999999999995E-4</v>
      </c>
      <c r="O11496" s="26">
        <v>4.0000000000000002E-4</v>
      </c>
      <c r="P11496">
        <v>2746</v>
      </c>
    </row>
    <row r="11498" spans="1:16" x14ac:dyDescent="0.35">
      <c r="A11498" s="1" t="s">
        <v>1412</v>
      </c>
    </row>
    <row r="11499" spans="1:16" x14ac:dyDescent="0.35">
      <c r="A11499" t="s">
        <v>219</v>
      </c>
      <c r="B11499" t="s">
        <v>305</v>
      </c>
      <c r="C11499" t="s">
        <v>550</v>
      </c>
      <c r="D11499" t="s">
        <v>1400</v>
      </c>
      <c r="E11499" t="s">
        <v>281</v>
      </c>
      <c r="F11499" t="s">
        <v>1401</v>
      </c>
      <c r="G11499" t="s">
        <v>1402</v>
      </c>
      <c r="H11499" t="s">
        <v>1403</v>
      </c>
      <c r="I11499" t="s">
        <v>1404</v>
      </c>
      <c r="J11499" t="s">
        <v>1405</v>
      </c>
      <c r="K11499" t="s">
        <v>286</v>
      </c>
      <c r="L11499" t="s">
        <v>1406</v>
      </c>
      <c r="M11499" t="s">
        <v>1407</v>
      </c>
      <c r="N11499" t="s">
        <v>1408</v>
      </c>
      <c r="O11499" t="s">
        <v>326</v>
      </c>
      <c r="P11499" t="s">
        <v>226</v>
      </c>
    </row>
    <row r="11500" spans="1:16" x14ac:dyDescent="0.35">
      <c r="A11500" t="s">
        <v>227</v>
      </c>
      <c r="B11500" t="s">
        <v>360</v>
      </c>
      <c r="C11500" s="26">
        <v>0.97440000000000004</v>
      </c>
      <c r="H11500" s="26">
        <v>2.5600000000000001E-2</v>
      </c>
      <c r="P11500">
        <v>39</v>
      </c>
    </row>
    <row r="11501" spans="1:16" x14ac:dyDescent="0.35">
      <c r="A11501" s="27" t="s">
        <v>227</v>
      </c>
      <c r="B11501" s="27" t="s">
        <v>361</v>
      </c>
      <c r="C11501" s="28">
        <v>0.93100000000000005</v>
      </c>
      <c r="D11501" s="28">
        <v>3.4500000000000003E-2</v>
      </c>
      <c r="E11501" s="28">
        <v>3.4500000000000003E-2</v>
      </c>
      <c r="F11501" s="29"/>
      <c r="G11501" s="29"/>
      <c r="H11501" s="29"/>
      <c r="I11501" s="29"/>
      <c r="J11501" s="29"/>
      <c r="K11501" s="29"/>
      <c r="L11501" s="29"/>
      <c r="M11501" s="29"/>
      <c r="N11501" s="29"/>
      <c r="O11501" s="29"/>
      <c r="P11501" s="29" t="s">
        <v>329</v>
      </c>
    </row>
    <row r="11502" spans="1:16" x14ac:dyDescent="0.35">
      <c r="A11502" t="s">
        <v>227</v>
      </c>
      <c r="B11502" t="s">
        <v>362</v>
      </c>
      <c r="C11502" s="26">
        <v>0.94589999999999996</v>
      </c>
      <c r="D11502" s="26">
        <v>2.7E-2</v>
      </c>
      <c r="F11502" s="26">
        <v>2.7E-2</v>
      </c>
      <c r="P11502">
        <v>37</v>
      </c>
    </row>
    <row r="11503" spans="1:16" x14ac:dyDescent="0.35">
      <c r="A11503" t="s">
        <v>227</v>
      </c>
      <c r="B11503" t="s">
        <v>363</v>
      </c>
      <c r="C11503" s="26">
        <v>0.95450000000000002</v>
      </c>
      <c r="E11503" s="26">
        <v>4.5499999999999999E-2</v>
      </c>
      <c r="P11503">
        <v>44</v>
      </c>
    </row>
    <row r="11504" spans="1:16" x14ac:dyDescent="0.35">
      <c r="A11504" t="s">
        <v>228</v>
      </c>
      <c r="B11504" t="s">
        <v>360</v>
      </c>
      <c r="C11504" s="26">
        <v>0.85109999999999997</v>
      </c>
      <c r="D11504" s="26">
        <v>3.5099999999999999E-2</v>
      </c>
      <c r="E11504" s="26">
        <v>8.3599999999999994E-2</v>
      </c>
      <c r="F11504" s="26">
        <v>7.6E-3</v>
      </c>
      <c r="G11504" s="26">
        <v>3.3E-3</v>
      </c>
      <c r="H11504" s="26">
        <v>1.54E-2</v>
      </c>
      <c r="I11504" s="26">
        <v>1.2999999999999999E-2</v>
      </c>
      <c r="J11504" s="26">
        <v>1.23E-2</v>
      </c>
      <c r="K11504" s="26">
        <v>2.8E-3</v>
      </c>
      <c r="L11504" s="26">
        <v>6.0000000000000001E-3</v>
      </c>
      <c r="N11504" s="26">
        <v>1.0200000000000001E-2</v>
      </c>
      <c r="O11504" s="26">
        <v>1.8E-3</v>
      </c>
      <c r="P11504">
        <v>255</v>
      </c>
    </row>
    <row r="11505" spans="1:16" x14ac:dyDescent="0.35">
      <c r="A11505" t="s">
        <v>228</v>
      </c>
      <c r="B11505" t="s">
        <v>361</v>
      </c>
      <c r="C11505" s="26">
        <v>0.86719999999999997</v>
      </c>
      <c r="D11505" s="26">
        <v>7.0800000000000002E-2</v>
      </c>
      <c r="E11505" s="26">
        <v>1.7399999999999999E-2</v>
      </c>
      <c r="F11505" s="26">
        <v>1.1299999999999999E-2</v>
      </c>
      <c r="G11505" s="26">
        <v>1.34E-2</v>
      </c>
      <c r="H11505" s="26">
        <v>4.8999999999999998E-3</v>
      </c>
      <c r="I11505" s="26">
        <v>1.4999999999999999E-2</v>
      </c>
      <c r="J11505" s="26">
        <v>1.1900000000000001E-2</v>
      </c>
      <c r="K11505" s="26">
        <v>1.6999999999999999E-3</v>
      </c>
      <c r="O11505" s="26">
        <v>3.5000000000000001E-3</v>
      </c>
      <c r="P11505">
        <v>189</v>
      </c>
    </row>
    <row r="11506" spans="1:16" x14ac:dyDescent="0.35">
      <c r="A11506" t="s">
        <v>228</v>
      </c>
      <c r="B11506" t="s">
        <v>363</v>
      </c>
      <c r="C11506" s="26">
        <v>0.83660000000000001</v>
      </c>
      <c r="D11506" s="26">
        <v>6.7199999999999996E-2</v>
      </c>
      <c r="E11506" s="26">
        <v>6.3500000000000001E-2</v>
      </c>
      <c r="F11506" s="26">
        <v>3.8999999999999998E-3</v>
      </c>
      <c r="G11506" s="26">
        <v>1.8800000000000001E-2</v>
      </c>
      <c r="H11506" s="26">
        <v>7.4000000000000003E-3</v>
      </c>
      <c r="I11506" s="26">
        <v>5.4000000000000003E-3</v>
      </c>
      <c r="J11506" s="26">
        <v>1.2E-2</v>
      </c>
      <c r="O11506" s="26">
        <v>2.3999999999999998E-3</v>
      </c>
      <c r="P11506">
        <v>207</v>
      </c>
    </row>
    <row r="11507" spans="1:16" x14ac:dyDescent="0.35">
      <c r="A11507" t="s">
        <v>228</v>
      </c>
      <c r="B11507" t="s">
        <v>362</v>
      </c>
      <c r="C11507" s="26">
        <v>0.87180000000000002</v>
      </c>
      <c r="D11507" s="26">
        <v>4.8399999999999999E-2</v>
      </c>
      <c r="E11507" s="26">
        <v>4.6899999999999997E-2</v>
      </c>
      <c r="F11507" s="26">
        <v>5.1999999999999998E-3</v>
      </c>
      <c r="G11507" s="26">
        <v>1.1000000000000001E-3</v>
      </c>
      <c r="H11507" s="26">
        <v>5.1000000000000004E-3</v>
      </c>
      <c r="I11507" s="26">
        <v>8.5000000000000006E-3</v>
      </c>
      <c r="J11507" s="26">
        <v>2.06E-2</v>
      </c>
      <c r="N11507" s="26">
        <v>3.5999999999999999E-3</v>
      </c>
      <c r="P11507">
        <v>231</v>
      </c>
    </row>
    <row r="11508" spans="1:16" x14ac:dyDescent="0.35">
      <c r="A11508" t="s">
        <v>229</v>
      </c>
      <c r="B11508" t="s">
        <v>363</v>
      </c>
      <c r="C11508" s="26">
        <v>0.93189999999999995</v>
      </c>
      <c r="D11508" s="26">
        <v>7.4999999999999997E-3</v>
      </c>
      <c r="E11508" s="26">
        <v>2.1000000000000001E-2</v>
      </c>
      <c r="F11508" s="26">
        <v>4.7000000000000002E-3</v>
      </c>
      <c r="G11508" s="26">
        <v>2.0799999999999999E-2</v>
      </c>
      <c r="H11508" s="26">
        <v>1.61E-2</v>
      </c>
      <c r="J11508" s="26">
        <v>2.8E-3</v>
      </c>
      <c r="K11508" s="26">
        <v>1.9E-3</v>
      </c>
      <c r="L11508" s="26">
        <v>1E-3</v>
      </c>
      <c r="P11508">
        <v>186</v>
      </c>
    </row>
    <row r="11509" spans="1:16" x14ac:dyDescent="0.35">
      <c r="A11509" t="s">
        <v>229</v>
      </c>
      <c r="B11509" t="s">
        <v>360</v>
      </c>
      <c r="C11509" s="26">
        <v>0.88839999999999997</v>
      </c>
      <c r="D11509" s="26">
        <v>1.7600000000000001E-2</v>
      </c>
      <c r="E11509" s="26">
        <v>6.54E-2</v>
      </c>
      <c r="F11509" s="26">
        <v>9.7999999999999997E-3</v>
      </c>
      <c r="I11509" s="26">
        <v>1.8700000000000001E-2</v>
      </c>
      <c r="P11509">
        <v>162</v>
      </c>
    </row>
    <row r="11510" spans="1:16" x14ac:dyDescent="0.35">
      <c r="A11510" t="s">
        <v>229</v>
      </c>
      <c r="B11510" t="s">
        <v>361</v>
      </c>
      <c r="C11510" s="26">
        <v>0.90080000000000005</v>
      </c>
      <c r="D11510" s="26">
        <v>3.6999999999999998E-2</v>
      </c>
      <c r="E11510" s="26">
        <v>2.1499999999999998E-2</v>
      </c>
      <c r="F11510" s="26">
        <v>2.46E-2</v>
      </c>
      <c r="G11510" s="26">
        <v>8.3999999999999995E-3</v>
      </c>
      <c r="H11510" s="26">
        <v>2.41E-2</v>
      </c>
      <c r="I11510" s="26">
        <v>8.8999999999999999E-3</v>
      </c>
      <c r="J11510" s="26">
        <v>6.9999999999999999E-4</v>
      </c>
      <c r="K11510" s="26">
        <v>5.0000000000000001E-4</v>
      </c>
      <c r="L11510" s="26">
        <v>8.3999999999999995E-3</v>
      </c>
      <c r="M11510" s="26">
        <v>8.3999999999999995E-3</v>
      </c>
      <c r="P11510">
        <v>232</v>
      </c>
    </row>
    <row r="11511" spans="1:16" x14ac:dyDescent="0.35">
      <c r="A11511" t="s">
        <v>229</v>
      </c>
      <c r="B11511" t="s">
        <v>362</v>
      </c>
      <c r="C11511" s="26">
        <v>0.94689999999999996</v>
      </c>
      <c r="D11511" s="26">
        <v>3.15E-2</v>
      </c>
      <c r="E11511" s="26">
        <v>2.0500000000000001E-2</v>
      </c>
      <c r="G11511" s="26">
        <v>1.1000000000000001E-3</v>
      </c>
      <c r="H11511" s="26">
        <v>5.9999999999999995E-4</v>
      </c>
      <c r="P11511">
        <v>168</v>
      </c>
    </row>
    <row r="11512" spans="1:16" x14ac:dyDescent="0.35">
      <c r="A11512" t="s">
        <v>230</v>
      </c>
      <c r="B11512" t="s">
        <v>360</v>
      </c>
      <c r="C11512" s="26">
        <v>0.78139999999999998</v>
      </c>
      <c r="D11512" s="26">
        <v>7.22E-2</v>
      </c>
      <c r="E11512" s="26">
        <v>0.1072</v>
      </c>
      <c r="F11512" s="26">
        <v>9.4000000000000004E-3</v>
      </c>
      <c r="G11512" s="26">
        <v>6.4000000000000003E-3</v>
      </c>
      <c r="H11512" s="26">
        <v>4.8999999999999998E-3</v>
      </c>
      <c r="I11512" s="26">
        <v>2.98E-2</v>
      </c>
      <c r="J11512" s="26">
        <v>3.1300000000000001E-2</v>
      </c>
      <c r="P11512">
        <v>118</v>
      </c>
    </row>
    <row r="11513" spans="1:16" x14ac:dyDescent="0.35">
      <c r="A11513" t="s">
        <v>230</v>
      </c>
      <c r="B11513" t="s">
        <v>363</v>
      </c>
      <c r="C11513" s="26">
        <v>0.87560000000000004</v>
      </c>
      <c r="D11513" s="26">
        <v>3.9800000000000002E-2</v>
      </c>
      <c r="E11513" s="26">
        <v>3.3300000000000003E-2</v>
      </c>
      <c r="F11513" s="26">
        <v>7.7000000000000002E-3</v>
      </c>
      <c r="G11513" s="26">
        <v>5.3999999999999999E-2</v>
      </c>
      <c r="I11513" s="26">
        <v>3.8999999999999998E-3</v>
      </c>
      <c r="J11513" s="26">
        <v>2.3E-3</v>
      </c>
      <c r="P11513">
        <v>124</v>
      </c>
    </row>
    <row r="11514" spans="1:16" x14ac:dyDescent="0.35">
      <c r="A11514" t="s">
        <v>230</v>
      </c>
      <c r="B11514" t="s">
        <v>361</v>
      </c>
      <c r="C11514" s="26">
        <v>0.87660000000000005</v>
      </c>
      <c r="D11514" s="26">
        <v>4.48E-2</v>
      </c>
      <c r="E11514" s="26">
        <v>2.6599999999999999E-2</v>
      </c>
      <c r="G11514" s="26">
        <v>3.5999999999999999E-3</v>
      </c>
      <c r="H11514" s="26">
        <v>3.7000000000000002E-3</v>
      </c>
      <c r="J11514" s="26">
        <v>3.1300000000000001E-2</v>
      </c>
      <c r="L11514" s="26">
        <v>2.1899999999999999E-2</v>
      </c>
      <c r="P11514">
        <v>105</v>
      </c>
    </row>
    <row r="11515" spans="1:16" x14ac:dyDescent="0.35">
      <c r="A11515" t="s">
        <v>230</v>
      </c>
      <c r="B11515" t="s">
        <v>362</v>
      </c>
      <c r="C11515" s="26">
        <v>0.88919999999999999</v>
      </c>
      <c r="D11515" s="26">
        <v>3.5299999999999998E-2</v>
      </c>
      <c r="E11515" s="26">
        <v>2.1000000000000001E-2</v>
      </c>
      <c r="F11515" s="26">
        <v>4.8300000000000003E-2</v>
      </c>
      <c r="G11515" s="26">
        <v>5.1000000000000004E-3</v>
      </c>
      <c r="I11515" s="26">
        <v>2.3599999999999999E-2</v>
      </c>
      <c r="O11515" s="26">
        <v>1.1999999999999999E-3</v>
      </c>
      <c r="P11515">
        <v>141</v>
      </c>
    </row>
    <row r="11516" spans="1:16" x14ac:dyDescent="0.35">
      <c r="A11516" s="27" t="s">
        <v>231</v>
      </c>
      <c r="B11516" s="27" t="s">
        <v>362</v>
      </c>
      <c r="C11516" s="28">
        <v>0.93100000000000005</v>
      </c>
      <c r="D11516" s="28">
        <v>6.9000000000000006E-2</v>
      </c>
      <c r="E11516" s="29"/>
      <c r="F11516" s="29"/>
      <c r="G11516" s="29"/>
      <c r="H11516" s="29"/>
      <c r="I11516" s="29"/>
      <c r="J11516" s="29"/>
      <c r="K11516" s="29"/>
      <c r="L11516" s="29"/>
      <c r="M11516" s="29"/>
      <c r="N11516" s="29"/>
      <c r="O11516" s="29"/>
      <c r="P11516" s="29" t="s">
        <v>329</v>
      </c>
    </row>
    <row r="11517" spans="1:16" x14ac:dyDescent="0.35">
      <c r="A11517" t="s">
        <v>231</v>
      </c>
      <c r="B11517" t="s">
        <v>361</v>
      </c>
      <c r="C11517" s="26">
        <v>0.94</v>
      </c>
      <c r="F11517" s="26">
        <v>0.02</v>
      </c>
      <c r="G11517" s="26">
        <v>0.02</v>
      </c>
      <c r="K11517" s="26">
        <v>0.02</v>
      </c>
      <c r="P11517">
        <v>50</v>
      </c>
    </row>
    <row r="11518" spans="1:16" x14ac:dyDescent="0.35">
      <c r="A11518" t="s">
        <v>231</v>
      </c>
      <c r="B11518" t="s">
        <v>360</v>
      </c>
      <c r="C11518" s="26">
        <v>0.97729999999999995</v>
      </c>
      <c r="D11518" s="26">
        <v>2.2700000000000001E-2</v>
      </c>
      <c r="P11518">
        <v>44</v>
      </c>
    </row>
    <row r="11519" spans="1:16" x14ac:dyDescent="0.35">
      <c r="A11519" s="27" t="s">
        <v>231</v>
      </c>
      <c r="B11519" s="27" t="s">
        <v>363</v>
      </c>
      <c r="C11519" s="28">
        <v>0.96150000000000002</v>
      </c>
      <c r="D11519" s="29"/>
      <c r="E11519" s="28">
        <v>3.85E-2</v>
      </c>
      <c r="F11519" s="29"/>
      <c r="G11519" s="29"/>
      <c r="H11519" s="29"/>
      <c r="I11519" s="29"/>
      <c r="J11519" s="29"/>
      <c r="K11519" s="29"/>
      <c r="L11519" s="29"/>
      <c r="M11519" s="29"/>
      <c r="N11519" s="29"/>
      <c r="O11519" s="29"/>
      <c r="P11519" s="29" t="s">
        <v>357</v>
      </c>
    </row>
    <row r="11520" spans="1:16" x14ac:dyDescent="0.35">
      <c r="A11520" t="s">
        <v>232</v>
      </c>
      <c r="B11520" t="s">
        <v>232</v>
      </c>
      <c r="C11520" s="26">
        <v>0.91120000000000001</v>
      </c>
      <c r="D11520" s="26">
        <v>2.9899999999999999E-2</v>
      </c>
      <c r="E11520" s="26">
        <v>2.8400000000000002E-2</v>
      </c>
      <c r="F11520" s="26">
        <v>1.14E-2</v>
      </c>
      <c r="G11520" s="26">
        <v>9.7000000000000003E-3</v>
      </c>
      <c r="H11520" s="26">
        <v>7.7000000000000002E-3</v>
      </c>
      <c r="I11520" s="26">
        <v>5.1000000000000004E-3</v>
      </c>
      <c r="J11520" s="26">
        <v>4.1999999999999997E-3</v>
      </c>
      <c r="K11520" s="26">
        <v>3.5000000000000001E-3</v>
      </c>
      <c r="L11520" s="26">
        <v>1.6999999999999999E-3</v>
      </c>
      <c r="M11520" s="26">
        <v>8.9999999999999998E-4</v>
      </c>
      <c r="N11520" s="26">
        <v>5.9999999999999995E-4</v>
      </c>
      <c r="O11520" s="26">
        <v>4.0000000000000002E-4</v>
      </c>
      <c r="P11520">
        <v>2416</v>
      </c>
    </row>
    <row r="11522" spans="1:16" x14ac:dyDescent="0.35">
      <c r="A11522" s="1" t="s">
        <v>1413</v>
      </c>
    </row>
    <row r="11523" spans="1:16" x14ac:dyDescent="0.35">
      <c r="A11523" t="s">
        <v>219</v>
      </c>
      <c r="B11523" t="s">
        <v>305</v>
      </c>
      <c r="C11523" t="s">
        <v>550</v>
      </c>
      <c r="D11523" t="s">
        <v>1400</v>
      </c>
      <c r="E11523" t="s">
        <v>281</v>
      </c>
      <c r="F11523" t="s">
        <v>1401</v>
      </c>
      <c r="G11523" t="s">
        <v>1402</v>
      </c>
      <c r="H11523" t="s">
        <v>1403</v>
      </c>
      <c r="I11523" t="s">
        <v>1404</v>
      </c>
      <c r="J11523" t="s">
        <v>1405</v>
      </c>
      <c r="K11523" t="s">
        <v>286</v>
      </c>
      <c r="L11523" t="s">
        <v>1406</v>
      </c>
      <c r="M11523" t="s">
        <v>1407</v>
      </c>
      <c r="N11523" t="s">
        <v>1408</v>
      </c>
      <c r="O11523" t="s">
        <v>326</v>
      </c>
      <c r="P11523" t="s">
        <v>226</v>
      </c>
    </row>
    <row r="11524" spans="1:16" x14ac:dyDescent="0.35">
      <c r="A11524" t="s">
        <v>227</v>
      </c>
      <c r="B11524" t="s">
        <v>267</v>
      </c>
      <c r="C11524" s="26">
        <v>0.94289999999999996</v>
      </c>
      <c r="D11524" s="26">
        <v>2.86E-2</v>
      </c>
      <c r="F11524" s="26">
        <v>2.86E-2</v>
      </c>
      <c r="P11524">
        <v>35</v>
      </c>
    </row>
    <row r="11525" spans="1:16" x14ac:dyDescent="0.35">
      <c r="A11525" t="s">
        <v>227</v>
      </c>
      <c r="B11525" t="s">
        <v>266</v>
      </c>
      <c r="C11525" s="26">
        <v>0.96550000000000002</v>
      </c>
      <c r="E11525" s="26">
        <v>3.4500000000000003E-2</v>
      </c>
      <c r="P11525">
        <v>58</v>
      </c>
    </row>
    <row r="11526" spans="1:16" x14ac:dyDescent="0.35">
      <c r="A11526" t="s">
        <v>227</v>
      </c>
      <c r="B11526" t="s">
        <v>265</v>
      </c>
      <c r="C11526" s="26">
        <v>0.95309999999999995</v>
      </c>
      <c r="D11526" s="26">
        <v>1.5599999999999999E-2</v>
      </c>
      <c r="E11526" s="26">
        <v>1.5599999999999999E-2</v>
      </c>
      <c r="H11526" s="26">
        <v>1.5599999999999999E-2</v>
      </c>
      <c r="P11526">
        <v>64</v>
      </c>
    </row>
    <row r="11527" spans="1:16" x14ac:dyDescent="0.35">
      <c r="A11527" t="s">
        <v>228</v>
      </c>
      <c r="B11527" t="s">
        <v>267</v>
      </c>
      <c r="C11527" s="26">
        <v>0.81220000000000003</v>
      </c>
      <c r="D11527" s="26">
        <v>0.126</v>
      </c>
      <c r="E11527" s="26">
        <v>2.0299999999999999E-2</v>
      </c>
      <c r="F11527" s="26">
        <v>2.0799999999999999E-2</v>
      </c>
      <c r="G11527" s="26">
        <v>1.2E-2</v>
      </c>
      <c r="H11527" s="26">
        <v>8.5000000000000006E-3</v>
      </c>
      <c r="I11527" s="26">
        <v>2.1000000000000001E-2</v>
      </c>
      <c r="J11527" s="26">
        <v>2.5499999999999998E-2</v>
      </c>
      <c r="K11527" s="26">
        <v>3.3E-3</v>
      </c>
      <c r="L11527" s="26">
        <v>7.0000000000000001E-3</v>
      </c>
      <c r="N11527" s="26">
        <v>7.0000000000000001E-3</v>
      </c>
      <c r="P11527">
        <v>194</v>
      </c>
    </row>
    <row r="11528" spans="1:16" x14ac:dyDescent="0.35">
      <c r="A11528" t="s">
        <v>228</v>
      </c>
      <c r="B11528" t="s">
        <v>265</v>
      </c>
      <c r="C11528" s="26">
        <v>0.90229999999999999</v>
      </c>
      <c r="D11528" s="26">
        <v>4.65E-2</v>
      </c>
      <c r="E11528" s="26">
        <v>2.81E-2</v>
      </c>
      <c r="F11528" s="26">
        <v>5.0000000000000001E-3</v>
      </c>
      <c r="G11528" s="26">
        <v>1.3100000000000001E-2</v>
      </c>
      <c r="H11528" s="26">
        <v>3.3999999999999998E-3</v>
      </c>
      <c r="I11528" s="26">
        <v>2.8999999999999998E-3</v>
      </c>
      <c r="J11528" s="26">
        <v>1.4E-3</v>
      </c>
      <c r="N11528" s="26">
        <v>2.0999999999999999E-3</v>
      </c>
      <c r="O11528" s="26">
        <v>2.2000000000000001E-3</v>
      </c>
      <c r="P11528">
        <v>373</v>
      </c>
    </row>
    <row r="11529" spans="1:16" x14ac:dyDescent="0.35">
      <c r="A11529" s="27" t="s">
        <v>228</v>
      </c>
      <c r="B11529" s="27" t="s">
        <v>236</v>
      </c>
      <c r="C11529" s="28">
        <v>0.5</v>
      </c>
      <c r="D11529" s="29"/>
      <c r="E11529" s="29"/>
      <c r="F11529" s="29"/>
      <c r="G11529" s="29"/>
      <c r="H11529" s="29"/>
      <c r="I11529" s="29"/>
      <c r="J11529" s="28">
        <v>0.5</v>
      </c>
      <c r="K11529" s="29"/>
      <c r="L11529" s="29"/>
      <c r="M11529" s="29"/>
      <c r="N11529" s="29"/>
      <c r="O11529" s="29"/>
      <c r="P11529" s="29" t="s">
        <v>314</v>
      </c>
    </row>
    <row r="11530" spans="1:16" x14ac:dyDescent="0.35">
      <c r="A11530" t="s">
        <v>228</v>
      </c>
      <c r="B11530" t="s">
        <v>266</v>
      </c>
      <c r="C11530" s="26">
        <v>0.8246</v>
      </c>
      <c r="D11530" s="26">
        <v>3.6799999999999999E-2</v>
      </c>
      <c r="E11530" s="26">
        <v>0.09</v>
      </c>
      <c r="F11530" s="26">
        <v>1.43E-2</v>
      </c>
      <c r="G11530" s="26">
        <v>1.2999999999999999E-2</v>
      </c>
      <c r="H11530" s="26">
        <v>1.06E-2</v>
      </c>
      <c r="I11530" s="26">
        <v>1.35E-2</v>
      </c>
      <c r="J11530" s="26">
        <v>1.15E-2</v>
      </c>
      <c r="K11530" s="26">
        <v>1E-3</v>
      </c>
      <c r="N11530" s="26">
        <v>2.0999999999999999E-3</v>
      </c>
      <c r="O11530" s="26">
        <v>2.0999999999999999E-3</v>
      </c>
      <c r="P11530">
        <v>441</v>
      </c>
    </row>
    <row r="11531" spans="1:16" x14ac:dyDescent="0.35">
      <c r="A11531" t="s">
        <v>229</v>
      </c>
      <c r="B11531" t="s">
        <v>266</v>
      </c>
      <c r="C11531" s="26">
        <v>0.90359999999999996</v>
      </c>
      <c r="D11531" s="26">
        <v>2.4899999999999999E-2</v>
      </c>
      <c r="E11531" s="26">
        <v>5.79E-2</v>
      </c>
      <c r="F11531" s="26">
        <v>1.1599999999999999E-2</v>
      </c>
      <c r="G11531" s="26">
        <v>2.0999999999999999E-3</v>
      </c>
      <c r="H11531" s="26">
        <v>7.9000000000000008E-3</v>
      </c>
      <c r="J11531" s="26">
        <v>1.9E-3</v>
      </c>
      <c r="K11531" s="26">
        <v>5.0000000000000001E-4</v>
      </c>
      <c r="L11531" s="26">
        <v>5.0000000000000001E-4</v>
      </c>
      <c r="P11531">
        <v>350</v>
      </c>
    </row>
    <row r="11532" spans="1:16" x14ac:dyDescent="0.35">
      <c r="A11532" t="s">
        <v>229</v>
      </c>
      <c r="B11532" t="s">
        <v>267</v>
      </c>
      <c r="C11532" s="26">
        <v>0.82279999999999998</v>
      </c>
      <c r="D11532" s="26">
        <v>5.1900000000000002E-2</v>
      </c>
      <c r="E11532" s="26">
        <v>4.3299999999999998E-2</v>
      </c>
      <c r="F11532" s="26">
        <v>2.8500000000000001E-2</v>
      </c>
      <c r="G11532" s="26">
        <v>1.4E-2</v>
      </c>
      <c r="H11532" s="26">
        <v>4.2200000000000001E-2</v>
      </c>
      <c r="I11532" s="26">
        <v>2.5700000000000001E-2</v>
      </c>
      <c r="J11532" s="26">
        <v>8.0000000000000004E-4</v>
      </c>
      <c r="L11532" s="26">
        <v>1.4E-2</v>
      </c>
      <c r="M11532" s="26">
        <v>1.4E-2</v>
      </c>
      <c r="P11532">
        <v>197</v>
      </c>
    </row>
    <row r="11533" spans="1:16" x14ac:dyDescent="0.35">
      <c r="A11533" t="s">
        <v>229</v>
      </c>
      <c r="B11533" t="s">
        <v>265</v>
      </c>
      <c r="C11533" s="26">
        <v>0.9506</v>
      </c>
      <c r="D11533" s="26">
        <v>1.7399999999999999E-2</v>
      </c>
      <c r="E11533" s="26">
        <v>1.1299999999999999E-2</v>
      </c>
      <c r="F11533" s="26">
        <v>4.1999999999999997E-3</v>
      </c>
      <c r="G11533" s="26">
        <v>8.8999999999999999E-3</v>
      </c>
      <c r="I11533" s="26">
        <v>1.9E-3</v>
      </c>
      <c r="K11533" s="26">
        <v>8.5000000000000006E-3</v>
      </c>
      <c r="P11533">
        <v>325</v>
      </c>
    </row>
    <row r="11534" spans="1:16" x14ac:dyDescent="0.35">
      <c r="A11534" t="s">
        <v>230</v>
      </c>
      <c r="B11534" t="s">
        <v>267</v>
      </c>
      <c r="C11534" s="26">
        <v>0.87749999999999995</v>
      </c>
      <c r="D11534" s="26">
        <v>6.5799999999999997E-2</v>
      </c>
      <c r="E11534" s="26">
        <v>2.41E-2</v>
      </c>
      <c r="G11534" s="26">
        <v>8.6E-3</v>
      </c>
      <c r="H11534" s="26">
        <v>4.3E-3</v>
      </c>
      <c r="I11534" s="26">
        <v>4.3E-3</v>
      </c>
      <c r="J11534" s="26">
        <v>1.12E-2</v>
      </c>
      <c r="K11534" s="26">
        <v>2.58E-2</v>
      </c>
      <c r="P11534">
        <v>116</v>
      </c>
    </row>
    <row r="11535" spans="1:16" x14ac:dyDescent="0.35">
      <c r="A11535" t="s">
        <v>230</v>
      </c>
      <c r="B11535" t="s">
        <v>266</v>
      </c>
      <c r="C11535" s="26">
        <v>0.7742</v>
      </c>
      <c r="D11535" s="26">
        <v>5.2200000000000003E-2</v>
      </c>
      <c r="E11535" s="26">
        <v>9.9900000000000003E-2</v>
      </c>
      <c r="F11535" s="26">
        <v>3.56E-2</v>
      </c>
      <c r="G11535" s="26">
        <v>2.5100000000000001E-2</v>
      </c>
      <c r="H11535" s="26">
        <v>2.5999999999999999E-3</v>
      </c>
      <c r="I11535" s="26">
        <v>1.83E-2</v>
      </c>
      <c r="J11535" s="26">
        <v>3.2199999999999999E-2</v>
      </c>
      <c r="P11535">
        <v>224</v>
      </c>
    </row>
    <row r="11536" spans="1:16" x14ac:dyDescent="0.35">
      <c r="A11536" t="s">
        <v>230</v>
      </c>
      <c r="B11536" t="s">
        <v>265</v>
      </c>
      <c r="C11536" s="26">
        <v>0.91920000000000002</v>
      </c>
      <c r="D11536" s="26">
        <v>2.8000000000000001E-2</v>
      </c>
      <c r="E11536" s="26">
        <v>7.9000000000000008E-3</v>
      </c>
      <c r="F11536" s="26">
        <v>5.5999999999999999E-3</v>
      </c>
      <c r="G11536" s="26">
        <v>1.52E-2</v>
      </c>
      <c r="H11536" s="26">
        <v>2.2000000000000001E-3</v>
      </c>
      <c r="I11536" s="26">
        <v>1.3100000000000001E-2</v>
      </c>
      <c r="J11536" s="26">
        <v>3.5000000000000001E-3</v>
      </c>
      <c r="L11536" s="26">
        <v>1.3100000000000001E-2</v>
      </c>
      <c r="O11536" s="26">
        <v>6.9999999999999999E-4</v>
      </c>
      <c r="P11536">
        <v>204</v>
      </c>
    </row>
    <row r="11537" spans="1:16" x14ac:dyDescent="0.35">
      <c r="A11537" t="s">
        <v>231</v>
      </c>
      <c r="B11537" t="s">
        <v>267</v>
      </c>
      <c r="C11537" s="26">
        <v>0.97060000000000002</v>
      </c>
      <c r="F11537" s="26">
        <v>2.9399999999999999E-2</v>
      </c>
      <c r="G11537" s="26">
        <v>2.9399999999999999E-2</v>
      </c>
      <c r="H11537" s="26">
        <v>2.9399999999999999E-2</v>
      </c>
      <c r="P11537">
        <v>34</v>
      </c>
    </row>
    <row r="11538" spans="1:16" x14ac:dyDescent="0.35">
      <c r="A11538" t="s">
        <v>231</v>
      </c>
      <c r="B11538" t="s">
        <v>266</v>
      </c>
      <c r="C11538" s="26">
        <v>0.9194</v>
      </c>
      <c r="D11538" s="26">
        <v>4.8399999999999999E-2</v>
      </c>
      <c r="E11538" s="26">
        <v>1.61E-2</v>
      </c>
      <c r="G11538" s="26">
        <v>1.61E-2</v>
      </c>
      <c r="P11538">
        <v>62</v>
      </c>
    </row>
    <row r="11539" spans="1:16" x14ac:dyDescent="0.35">
      <c r="A11539" t="s">
        <v>231</v>
      </c>
      <c r="B11539" t="s">
        <v>265</v>
      </c>
      <c r="C11539" s="26">
        <v>0.97009999999999996</v>
      </c>
      <c r="F11539" s="26">
        <v>1.49E-2</v>
      </c>
      <c r="K11539" s="26">
        <v>1.49E-2</v>
      </c>
      <c r="P11539">
        <v>67</v>
      </c>
    </row>
    <row r="11540" spans="1:16" x14ac:dyDescent="0.35">
      <c r="A11540" t="s">
        <v>232</v>
      </c>
      <c r="B11540" t="s">
        <v>232</v>
      </c>
      <c r="C11540" s="26">
        <v>0.91120000000000001</v>
      </c>
      <c r="D11540" s="26">
        <v>2.9899999999999999E-2</v>
      </c>
      <c r="E11540" s="26">
        <v>2.8400000000000002E-2</v>
      </c>
      <c r="F11540" s="26">
        <v>1.14E-2</v>
      </c>
      <c r="G11540" s="26">
        <v>9.7000000000000003E-3</v>
      </c>
      <c r="H11540" s="26">
        <v>7.7000000000000002E-3</v>
      </c>
      <c r="I11540" s="26">
        <v>5.1000000000000004E-3</v>
      </c>
      <c r="J11540" s="26">
        <v>4.1999999999999997E-3</v>
      </c>
      <c r="K11540" s="26">
        <v>3.5000000000000001E-3</v>
      </c>
      <c r="L11540" s="26">
        <v>1.6999999999999999E-3</v>
      </c>
      <c r="M11540" s="26">
        <v>8.9999999999999998E-4</v>
      </c>
      <c r="N11540" s="26">
        <v>5.9999999999999995E-4</v>
      </c>
      <c r="O11540" s="26">
        <v>4.0000000000000002E-4</v>
      </c>
      <c r="P11540">
        <v>2746</v>
      </c>
    </row>
    <row r="11542" spans="1:16" x14ac:dyDescent="0.35">
      <c r="A11542" s="1" t="s">
        <v>1414</v>
      </c>
    </row>
    <row r="11543" spans="1:16" x14ac:dyDescent="0.35">
      <c r="A11543" t="s">
        <v>219</v>
      </c>
      <c r="B11543" t="s">
        <v>305</v>
      </c>
      <c r="C11543" t="s">
        <v>550</v>
      </c>
      <c r="D11543" t="s">
        <v>1400</v>
      </c>
      <c r="E11543" t="s">
        <v>281</v>
      </c>
      <c r="F11543" t="s">
        <v>1401</v>
      </c>
      <c r="G11543" t="s">
        <v>1402</v>
      </c>
      <c r="H11543" t="s">
        <v>1403</v>
      </c>
      <c r="I11543" t="s">
        <v>1404</v>
      </c>
      <c r="J11543" t="s">
        <v>1405</v>
      </c>
      <c r="K11543" t="s">
        <v>286</v>
      </c>
      <c r="L11543" t="s">
        <v>1406</v>
      </c>
      <c r="M11543" t="s">
        <v>1407</v>
      </c>
      <c r="N11543" t="s">
        <v>1408</v>
      </c>
      <c r="O11543" t="s">
        <v>326</v>
      </c>
      <c r="P11543" t="s">
        <v>226</v>
      </c>
    </row>
    <row r="11544" spans="1:16" x14ac:dyDescent="0.35">
      <c r="A11544" t="s">
        <v>227</v>
      </c>
      <c r="B11544" t="s">
        <v>252</v>
      </c>
      <c r="C11544" s="26">
        <v>0.9778</v>
      </c>
      <c r="D11544" s="26">
        <v>2.2200000000000001E-2</v>
      </c>
      <c r="P11544">
        <v>45</v>
      </c>
    </row>
    <row r="11545" spans="1:16" x14ac:dyDescent="0.35">
      <c r="A11545" t="s">
        <v>227</v>
      </c>
      <c r="B11545" t="s">
        <v>253</v>
      </c>
      <c r="C11545" s="26">
        <v>0.93940000000000001</v>
      </c>
      <c r="E11545" s="26">
        <v>3.0300000000000001E-2</v>
      </c>
      <c r="F11545" s="26">
        <v>3.0300000000000001E-2</v>
      </c>
      <c r="P11545">
        <v>33</v>
      </c>
    </row>
    <row r="11546" spans="1:16" x14ac:dyDescent="0.35">
      <c r="A11546" t="s">
        <v>227</v>
      </c>
      <c r="B11546" t="s">
        <v>251</v>
      </c>
      <c r="C11546" s="26">
        <v>0.94940000000000002</v>
      </c>
      <c r="D11546" s="26">
        <v>1.2699999999999999E-2</v>
      </c>
      <c r="E11546" s="26">
        <v>2.53E-2</v>
      </c>
      <c r="H11546" s="26">
        <v>1.2699999999999999E-2</v>
      </c>
      <c r="P11546">
        <v>79</v>
      </c>
    </row>
    <row r="11547" spans="1:16" x14ac:dyDescent="0.35">
      <c r="A11547" t="s">
        <v>228</v>
      </c>
      <c r="B11547" t="s">
        <v>252</v>
      </c>
      <c r="C11547" s="26">
        <v>0.87019999999999997</v>
      </c>
      <c r="D11547" s="26">
        <v>1.9E-2</v>
      </c>
      <c r="E11547" s="26">
        <v>9.06E-2</v>
      </c>
      <c r="F11547" s="26">
        <v>2.0999999999999999E-3</v>
      </c>
      <c r="G11547" s="26">
        <v>1.18E-2</v>
      </c>
      <c r="H11547" s="26">
        <v>1.1000000000000001E-3</v>
      </c>
      <c r="I11547" s="26">
        <v>5.1999999999999998E-3</v>
      </c>
      <c r="J11547" s="26">
        <v>6.8999999999999999E-3</v>
      </c>
      <c r="P11547">
        <v>335</v>
      </c>
    </row>
    <row r="11548" spans="1:16" x14ac:dyDescent="0.35">
      <c r="A11548" t="s">
        <v>228</v>
      </c>
      <c r="B11548" t="s">
        <v>253</v>
      </c>
      <c r="C11548" s="26">
        <v>0.82509999999999994</v>
      </c>
      <c r="D11548" s="26">
        <v>6.3500000000000001E-2</v>
      </c>
      <c r="E11548" s="26">
        <v>5.7299999999999997E-2</v>
      </c>
      <c r="F11548" s="26">
        <v>1.52E-2</v>
      </c>
      <c r="G11548" s="26">
        <v>1.78E-2</v>
      </c>
      <c r="H11548" s="26">
        <v>3.8999999999999998E-3</v>
      </c>
      <c r="I11548" s="26">
        <v>3.3E-3</v>
      </c>
      <c r="J11548" s="26">
        <v>2.24E-2</v>
      </c>
      <c r="K11548" s="26">
        <v>2.7000000000000001E-3</v>
      </c>
      <c r="N11548" s="26">
        <v>4.1000000000000003E-3</v>
      </c>
      <c r="O11548" s="26">
        <v>2.7000000000000001E-3</v>
      </c>
      <c r="P11548">
        <v>217</v>
      </c>
    </row>
    <row r="11549" spans="1:16" x14ac:dyDescent="0.35">
      <c r="A11549" t="s">
        <v>228</v>
      </c>
      <c r="B11549" t="s">
        <v>251</v>
      </c>
      <c r="C11549" s="26">
        <v>0.85189999999999999</v>
      </c>
      <c r="D11549" s="26">
        <v>7.6700000000000004E-2</v>
      </c>
      <c r="E11549" s="26">
        <v>2.41E-2</v>
      </c>
      <c r="F11549" s="26">
        <v>1.6199999999999999E-2</v>
      </c>
      <c r="G11549" s="26">
        <v>1.1299999999999999E-2</v>
      </c>
      <c r="H11549" s="26">
        <v>1.2699999999999999E-2</v>
      </c>
      <c r="I11549" s="26">
        <v>1.6799999999999999E-2</v>
      </c>
      <c r="J11549" s="26">
        <v>1.3100000000000001E-2</v>
      </c>
      <c r="K11549" s="26">
        <v>8.9999999999999998E-4</v>
      </c>
      <c r="L11549" s="26">
        <v>2.5000000000000001E-3</v>
      </c>
      <c r="N11549" s="26">
        <v>4.3E-3</v>
      </c>
      <c r="O11549" s="26">
        <v>2.5000000000000001E-3</v>
      </c>
      <c r="P11549">
        <v>458</v>
      </c>
    </row>
    <row r="11550" spans="1:16" x14ac:dyDescent="0.35">
      <c r="A11550" t="s">
        <v>229</v>
      </c>
      <c r="B11550" t="s">
        <v>252</v>
      </c>
      <c r="C11550" s="26">
        <v>0.90600000000000003</v>
      </c>
      <c r="D11550" s="26">
        <v>1.9599999999999999E-2</v>
      </c>
      <c r="E11550" s="26">
        <v>4.5699999999999998E-2</v>
      </c>
      <c r="F11550" s="26">
        <v>4.4999999999999997E-3</v>
      </c>
      <c r="G11550" s="26">
        <v>8.0000000000000004E-4</v>
      </c>
      <c r="H11550" s="26">
        <v>1.14E-2</v>
      </c>
      <c r="I11550" s="26">
        <v>1.14E-2</v>
      </c>
      <c r="J11550" s="26">
        <v>8.0000000000000004E-4</v>
      </c>
      <c r="K11550" s="26">
        <v>1.5E-3</v>
      </c>
      <c r="L11550" s="26">
        <v>8.0000000000000004E-4</v>
      </c>
      <c r="P11550">
        <v>196</v>
      </c>
    </row>
    <row r="11551" spans="1:16" x14ac:dyDescent="0.35">
      <c r="A11551" t="s">
        <v>229</v>
      </c>
      <c r="B11551" t="s">
        <v>253</v>
      </c>
      <c r="C11551" s="26">
        <v>0.91669999999999996</v>
      </c>
      <c r="D11551" s="26">
        <v>2.6700000000000002E-2</v>
      </c>
      <c r="E11551" s="26">
        <v>3.5000000000000003E-2</v>
      </c>
      <c r="F11551" s="26">
        <v>2.8E-3</v>
      </c>
      <c r="G11551" s="26">
        <v>1E-3</v>
      </c>
      <c r="H11551" s="26">
        <v>5.0000000000000001E-4</v>
      </c>
      <c r="I11551" s="26">
        <v>2.8E-3</v>
      </c>
      <c r="K11551" s="26">
        <v>1.6899999999999998E-2</v>
      </c>
      <c r="P11551">
        <v>140</v>
      </c>
    </row>
    <row r="11552" spans="1:16" x14ac:dyDescent="0.35">
      <c r="A11552" t="s">
        <v>229</v>
      </c>
      <c r="B11552" t="s">
        <v>251</v>
      </c>
      <c r="C11552" s="26">
        <v>0.90380000000000005</v>
      </c>
      <c r="D11552" s="26">
        <v>3.09E-2</v>
      </c>
      <c r="E11552" s="26">
        <v>2.87E-2</v>
      </c>
      <c r="F11552" s="26">
        <v>1.7899999999999999E-2</v>
      </c>
      <c r="G11552" s="26">
        <v>1.2699999999999999E-2</v>
      </c>
      <c r="H11552" s="26">
        <v>1.5800000000000002E-2</v>
      </c>
      <c r="I11552" s="26">
        <v>5.8999999999999999E-3</v>
      </c>
      <c r="J11552" s="26">
        <v>1E-3</v>
      </c>
      <c r="K11552" s="26">
        <v>8.9999999999999998E-4</v>
      </c>
      <c r="L11552" s="26">
        <v>5.3E-3</v>
      </c>
      <c r="M11552" s="26">
        <v>5.3E-3</v>
      </c>
      <c r="P11552">
        <v>536</v>
      </c>
    </row>
    <row r="11553" spans="1:16" x14ac:dyDescent="0.35">
      <c r="A11553" t="s">
        <v>230</v>
      </c>
      <c r="B11553" t="s">
        <v>252</v>
      </c>
      <c r="C11553" s="26">
        <v>0.7883</v>
      </c>
      <c r="D11553" s="26">
        <v>4.3999999999999997E-2</v>
      </c>
      <c r="E11553" s="26">
        <v>0.115</v>
      </c>
      <c r="F11553" s="26">
        <v>2.3199999999999998E-2</v>
      </c>
      <c r="G11553" s="26">
        <v>2.5700000000000001E-2</v>
      </c>
      <c r="H11553" s="26">
        <v>3.5999999999999999E-3</v>
      </c>
      <c r="J11553" s="26">
        <v>2.2100000000000002E-2</v>
      </c>
      <c r="P11553">
        <v>153</v>
      </c>
    </row>
    <row r="11554" spans="1:16" x14ac:dyDescent="0.35">
      <c r="A11554" t="s">
        <v>230</v>
      </c>
      <c r="B11554" t="s">
        <v>253</v>
      </c>
      <c r="C11554" s="26">
        <v>0.84650000000000003</v>
      </c>
      <c r="D11554" s="26">
        <v>5.0900000000000001E-2</v>
      </c>
      <c r="E11554" s="26">
        <v>3.0000000000000001E-3</v>
      </c>
      <c r="F11554" s="26">
        <v>3.0000000000000001E-3</v>
      </c>
      <c r="G11554" s="26">
        <v>3.1099999999999999E-2</v>
      </c>
      <c r="I11554" s="26">
        <v>2.9600000000000001E-2</v>
      </c>
      <c r="J11554" s="26">
        <v>9.4000000000000004E-3</v>
      </c>
      <c r="K11554" s="26">
        <v>2.9600000000000001E-2</v>
      </c>
      <c r="P11554">
        <v>105</v>
      </c>
    </row>
    <row r="11555" spans="1:16" x14ac:dyDescent="0.35">
      <c r="A11555" t="s">
        <v>230</v>
      </c>
      <c r="B11555" t="s">
        <v>251</v>
      </c>
      <c r="C11555" s="26">
        <v>0.89429999999999998</v>
      </c>
      <c r="D11555" s="26">
        <v>4.3200000000000002E-2</v>
      </c>
      <c r="E11555" s="26">
        <v>2.5999999999999999E-2</v>
      </c>
      <c r="F11555" s="26">
        <v>1.55E-2</v>
      </c>
      <c r="G11555" s="26">
        <v>8.8000000000000005E-3</v>
      </c>
      <c r="H11555" s="26">
        <v>3.3E-3</v>
      </c>
      <c r="I11555" s="26">
        <v>1.34E-2</v>
      </c>
      <c r="J11555" s="26">
        <v>1.44E-2</v>
      </c>
      <c r="L11555" s="26">
        <v>0.01</v>
      </c>
      <c r="O11555" s="26">
        <v>5.0000000000000001E-4</v>
      </c>
      <c r="P11555">
        <v>286</v>
      </c>
    </row>
    <row r="11556" spans="1:16" x14ac:dyDescent="0.35">
      <c r="A11556" t="s">
        <v>231</v>
      </c>
      <c r="B11556" t="s">
        <v>252</v>
      </c>
      <c r="C11556" s="26">
        <v>0.91839999999999999</v>
      </c>
      <c r="D11556" s="26">
        <v>2.0400000000000001E-2</v>
      </c>
      <c r="E11556" s="26">
        <v>2.0400000000000001E-2</v>
      </c>
      <c r="F11556" s="26">
        <v>2.0400000000000001E-2</v>
      </c>
      <c r="G11556" s="26">
        <v>2.0400000000000001E-2</v>
      </c>
      <c r="H11556" s="26">
        <v>2.0400000000000001E-2</v>
      </c>
      <c r="K11556" s="26">
        <v>2.0400000000000001E-2</v>
      </c>
      <c r="P11556">
        <v>49</v>
      </c>
    </row>
    <row r="11557" spans="1:16" x14ac:dyDescent="0.35">
      <c r="A11557" s="27" t="s">
        <v>231</v>
      </c>
      <c r="B11557" s="27" t="s">
        <v>253</v>
      </c>
      <c r="C11557" s="28">
        <v>0.96550000000000002</v>
      </c>
      <c r="D11557" s="28">
        <v>3.4500000000000003E-2</v>
      </c>
      <c r="E11557" s="29"/>
      <c r="F11557" s="29"/>
      <c r="G11557" s="29"/>
      <c r="H11557" s="29"/>
      <c r="I11557" s="29"/>
      <c r="J11557" s="29"/>
      <c r="K11557" s="29"/>
      <c r="L11557" s="29"/>
      <c r="M11557" s="29"/>
      <c r="N11557" s="29"/>
      <c r="O11557" s="29"/>
      <c r="P11557" s="29" t="s">
        <v>329</v>
      </c>
    </row>
    <row r="11558" spans="1:16" x14ac:dyDescent="0.35">
      <c r="A11558" t="s">
        <v>231</v>
      </c>
      <c r="B11558" t="s">
        <v>251</v>
      </c>
      <c r="C11558" s="26">
        <v>0.9647</v>
      </c>
      <c r="D11558" s="26">
        <v>1.18E-2</v>
      </c>
      <c r="F11558" s="26">
        <v>1.18E-2</v>
      </c>
      <c r="G11558" s="26">
        <v>1.18E-2</v>
      </c>
      <c r="P11558">
        <v>85</v>
      </c>
    </row>
    <row r="11559" spans="1:16" x14ac:dyDescent="0.35">
      <c r="A11559" t="s">
        <v>232</v>
      </c>
      <c r="B11559" t="s">
        <v>232</v>
      </c>
      <c r="C11559" s="26">
        <v>0.91120000000000001</v>
      </c>
      <c r="D11559" s="26">
        <v>2.9899999999999999E-2</v>
      </c>
      <c r="E11559" s="26">
        <v>2.8400000000000002E-2</v>
      </c>
      <c r="F11559" s="26">
        <v>1.14E-2</v>
      </c>
      <c r="G11559" s="26">
        <v>9.7000000000000003E-3</v>
      </c>
      <c r="H11559" s="26">
        <v>7.7000000000000002E-3</v>
      </c>
      <c r="I11559" s="26">
        <v>5.1000000000000004E-3</v>
      </c>
      <c r="J11559" s="26">
        <v>4.1999999999999997E-3</v>
      </c>
      <c r="K11559" s="26">
        <v>3.5000000000000001E-3</v>
      </c>
      <c r="L11559" s="26">
        <v>1.6999999999999999E-3</v>
      </c>
      <c r="M11559" s="26">
        <v>8.9999999999999998E-4</v>
      </c>
      <c r="N11559" s="26">
        <v>5.9999999999999995E-4</v>
      </c>
      <c r="O11559" s="26">
        <v>4.0000000000000002E-4</v>
      </c>
      <c r="P11559">
        <v>2746</v>
      </c>
    </row>
    <row r="11561" spans="1:16" x14ac:dyDescent="0.35">
      <c r="A11561" s="1" t="s">
        <v>1415</v>
      </c>
    </row>
    <row r="11562" spans="1:16" x14ac:dyDescent="0.35">
      <c r="A11562" t="s">
        <v>219</v>
      </c>
      <c r="B11562" t="s">
        <v>305</v>
      </c>
      <c r="C11562" t="s">
        <v>550</v>
      </c>
      <c r="D11562" t="s">
        <v>1400</v>
      </c>
      <c r="E11562" t="s">
        <v>281</v>
      </c>
      <c r="F11562" t="s">
        <v>1401</v>
      </c>
      <c r="G11562" t="s">
        <v>1402</v>
      </c>
      <c r="H11562" t="s">
        <v>1403</v>
      </c>
      <c r="I11562" t="s">
        <v>1404</v>
      </c>
      <c r="J11562" t="s">
        <v>1405</v>
      </c>
      <c r="K11562" t="s">
        <v>286</v>
      </c>
      <c r="L11562" t="s">
        <v>1406</v>
      </c>
      <c r="M11562" t="s">
        <v>1407</v>
      </c>
      <c r="N11562" t="s">
        <v>1408</v>
      </c>
      <c r="O11562" t="s">
        <v>326</v>
      </c>
      <c r="P11562" t="s">
        <v>226</v>
      </c>
    </row>
    <row r="11563" spans="1:16" x14ac:dyDescent="0.35">
      <c r="A11563" t="s">
        <v>227</v>
      </c>
      <c r="B11563" t="s">
        <v>249</v>
      </c>
      <c r="C11563" s="26">
        <v>0.95120000000000005</v>
      </c>
      <c r="F11563" s="26">
        <v>2.4400000000000002E-2</v>
      </c>
      <c r="H11563" s="26">
        <v>2.4400000000000002E-2</v>
      </c>
      <c r="P11563">
        <v>41</v>
      </c>
    </row>
    <row r="11564" spans="1:16" x14ac:dyDescent="0.35">
      <c r="A11564" t="s">
        <v>227</v>
      </c>
      <c r="B11564" t="s">
        <v>248</v>
      </c>
      <c r="C11564" s="26">
        <v>0.95689999999999997</v>
      </c>
      <c r="D11564" s="26">
        <v>1.72E-2</v>
      </c>
      <c r="E11564" s="26">
        <v>2.5899999999999999E-2</v>
      </c>
      <c r="P11564">
        <v>116</v>
      </c>
    </row>
    <row r="11565" spans="1:16" x14ac:dyDescent="0.35">
      <c r="A11565" t="s">
        <v>228</v>
      </c>
      <c r="B11565" t="s">
        <v>249</v>
      </c>
      <c r="C11565" s="26">
        <v>0.89</v>
      </c>
      <c r="D11565" s="26">
        <v>4.5100000000000001E-2</v>
      </c>
      <c r="E11565" s="26">
        <v>3.0099999999999998E-2</v>
      </c>
      <c r="F11565" s="26">
        <v>8.0999999999999996E-3</v>
      </c>
      <c r="G11565" s="26">
        <v>2.7000000000000001E-3</v>
      </c>
      <c r="H11565" s="26">
        <v>5.4000000000000003E-3</v>
      </c>
      <c r="I11565" s="26">
        <v>1.7299999999999999E-2</v>
      </c>
      <c r="J11565" s="26">
        <v>6.1000000000000004E-3</v>
      </c>
      <c r="N11565" s="26">
        <v>2.8E-3</v>
      </c>
      <c r="O11565" s="26">
        <v>3.0999999999999999E-3</v>
      </c>
      <c r="P11565">
        <v>272</v>
      </c>
    </row>
    <row r="11566" spans="1:16" x14ac:dyDescent="0.35">
      <c r="A11566" t="s">
        <v>228</v>
      </c>
      <c r="B11566" t="s">
        <v>248</v>
      </c>
      <c r="C11566" s="26">
        <v>0.83599999999999997</v>
      </c>
      <c r="D11566" s="26">
        <v>6.0100000000000001E-2</v>
      </c>
      <c r="E11566" s="26">
        <v>6.1600000000000002E-2</v>
      </c>
      <c r="F11566" s="26">
        <v>1.29E-2</v>
      </c>
      <c r="G11566" s="26">
        <v>1.7100000000000001E-2</v>
      </c>
      <c r="H11566" s="26">
        <v>8.0000000000000002E-3</v>
      </c>
      <c r="I11566" s="26">
        <v>7.3000000000000001E-3</v>
      </c>
      <c r="J11566" s="26">
        <v>1.6E-2</v>
      </c>
      <c r="K11566" s="26">
        <v>1.4E-3</v>
      </c>
      <c r="L11566" s="26">
        <v>1.6999999999999999E-3</v>
      </c>
      <c r="N11566" s="26">
        <v>2.8999999999999998E-3</v>
      </c>
      <c r="O11566" s="26">
        <v>1.1999999999999999E-3</v>
      </c>
      <c r="P11566">
        <v>738</v>
      </c>
    </row>
    <row r="11567" spans="1:16" x14ac:dyDescent="0.35">
      <c r="A11567" t="s">
        <v>229</v>
      </c>
      <c r="B11567" t="s">
        <v>249</v>
      </c>
      <c r="C11567" s="26">
        <v>0.9304</v>
      </c>
      <c r="D11567" s="26">
        <v>2.1700000000000001E-2</v>
      </c>
      <c r="E11567" s="26">
        <v>2.07E-2</v>
      </c>
      <c r="F11567" s="26">
        <v>1.34E-2</v>
      </c>
      <c r="G11567" s="26">
        <v>2.1899999999999999E-2</v>
      </c>
      <c r="H11567" s="26">
        <v>1.4E-3</v>
      </c>
      <c r="I11567" s="26">
        <v>1.0699999999999999E-2</v>
      </c>
      <c r="J11567" s="26">
        <v>5.0000000000000001E-4</v>
      </c>
      <c r="L11567" s="26">
        <v>9.5999999999999992E-3</v>
      </c>
      <c r="M11567" s="26">
        <v>9.5999999999999992E-3</v>
      </c>
      <c r="P11567">
        <v>252</v>
      </c>
    </row>
    <row r="11568" spans="1:16" x14ac:dyDescent="0.35">
      <c r="A11568" t="s">
        <v>229</v>
      </c>
      <c r="B11568" t="s">
        <v>248</v>
      </c>
      <c r="C11568" s="26">
        <v>0.89529999999999998</v>
      </c>
      <c r="D11568" s="26">
        <v>3.0300000000000001E-2</v>
      </c>
      <c r="E11568" s="26">
        <v>0.04</v>
      </c>
      <c r="F11568" s="26">
        <v>1.14E-2</v>
      </c>
      <c r="G11568" s="26">
        <v>1E-3</v>
      </c>
      <c r="H11568" s="26">
        <v>1.7000000000000001E-2</v>
      </c>
      <c r="I11568" s="26">
        <v>4.5999999999999999E-3</v>
      </c>
      <c r="J11568" s="26">
        <v>8.9999999999999998E-4</v>
      </c>
      <c r="K11568" s="26">
        <v>5.8999999999999999E-3</v>
      </c>
      <c r="L11568" s="26">
        <v>2.9999999999999997E-4</v>
      </c>
      <c r="P11568">
        <v>620</v>
      </c>
    </row>
    <row r="11569" spans="1:16" x14ac:dyDescent="0.35">
      <c r="A11569" t="s">
        <v>230</v>
      </c>
      <c r="B11569" t="s">
        <v>249</v>
      </c>
      <c r="C11569" s="26">
        <v>0.90300000000000002</v>
      </c>
      <c r="D11569" s="26">
        <v>4.0399999999999998E-2</v>
      </c>
      <c r="E11569" s="26">
        <v>2.93E-2</v>
      </c>
      <c r="F11569" s="26">
        <v>2.7300000000000001E-2</v>
      </c>
      <c r="G11569" s="26">
        <v>8.3999999999999995E-3</v>
      </c>
      <c r="H11569" s="26">
        <v>2.8E-3</v>
      </c>
      <c r="I11569" s="26">
        <v>1.7100000000000001E-2</v>
      </c>
      <c r="J11569" s="26">
        <v>8.9999999999999998E-4</v>
      </c>
      <c r="P11569">
        <v>166</v>
      </c>
    </row>
    <row r="11570" spans="1:16" x14ac:dyDescent="0.35">
      <c r="A11570" t="s">
        <v>230</v>
      </c>
      <c r="B11570" t="s">
        <v>248</v>
      </c>
      <c r="C11570" s="26">
        <v>0.83679999999999999</v>
      </c>
      <c r="D11570" s="26">
        <v>4.7E-2</v>
      </c>
      <c r="E11570" s="26">
        <v>5.1400000000000001E-2</v>
      </c>
      <c r="F11570" s="26">
        <v>9.1000000000000004E-3</v>
      </c>
      <c r="G11570" s="26">
        <v>2.1600000000000001E-2</v>
      </c>
      <c r="H11570" s="26">
        <v>2.8E-3</v>
      </c>
      <c r="I11570" s="26">
        <v>1.11E-2</v>
      </c>
      <c r="J11570" s="26">
        <v>2.24E-2</v>
      </c>
      <c r="K11570" s="26">
        <v>8.3000000000000001E-3</v>
      </c>
      <c r="L11570" s="26">
        <v>8.3000000000000001E-3</v>
      </c>
      <c r="O11570" s="26">
        <v>4.0000000000000002E-4</v>
      </c>
      <c r="P11570">
        <v>378</v>
      </c>
    </row>
    <row r="11571" spans="1:16" x14ac:dyDescent="0.35">
      <c r="A11571" t="s">
        <v>231</v>
      </c>
      <c r="B11571" t="s">
        <v>249</v>
      </c>
      <c r="C11571" s="26">
        <v>1</v>
      </c>
      <c r="P11571">
        <v>35</v>
      </c>
    </row>
    <row r="11572" spans="1:16" x14ac:dyDescent="0.35">
      <c r="A11572" t="s">
        <v>231</v>
      </c>
      <c r="B11572" t="s">
        <v>248</v>
      </c>
      <c r="C11572" s="26">
        <v>0.9375</v>
      </c>
      <c r="D11572" s="26">
        <v>2.3400000000000001E-2</v>
      </c>
      <c r="E11572" s="26">
        <v>7.7999999999999996E-3</v>
      </c>
      <c r="F11572" s="26">
        <v>1.5599999999999999E-2</v>
      </c>
      <c r="G11572" s="26">
        <v>1.5599999999999999E-2</v>
      </c>
      <c r="H11572" s="26">
        <v>7.7999999999999996E-3</v>
      </c>
      <c r="K11572" s="26">
        <v>7.7999999999999996E-3</v>
      </c>
      <c r="P11572">
        <v>128</v>
      </c>
    </row>
    <row r="11573" spans="1:16" x14ac:dyDescent="0.35">
      <c r="A11573" t="s">
        <v>232</v>
      </c>
      <c r="B11573" t="s">
        <v>232</v>
      </c>
      <c r="C11573" s="26">
        <v>0.91120000000000001</v>
      </c>
      <c r="D11573" s="26">
        <v>2.9899999999999999E-2</v>
      </c>
      <c r="E11573" s="26">
        <v>2.8400000000000002E-2</v>
      </c>
      <c r="F11573" s="26">
        <v>1.14E-2</v>
      </c>
      <c r="G11573" s="26">
        <v>9.7000000000000003E-3</v>
      </c>
      <c r="H11573" s="26">
        <v>7.7000000000000002E-3</v>
      </c>
      <c r="I11573" s="26">
        <v>5.1000000000000004E-3</v>
      </c>
      <c r="J11573" s="26">
        <v>4.1999999999999997E-3</v>
      </c>
      <c r="K11573" s="26">
        <v>3.5000000000000001E-3</v>
      </c>
      <c r="L11573" s="26">
        <v>1.6999999999999999E-3</v>
      </c>
      <c r="M11573" s="26">
        <v>8.9999999999999998E-4</v>
      </c>
      <c r="N11573" s="26">
        <v>5.9999999999999995E-4</v>
      </c>
      <c r="O11573" s="26">
        <v>4.0000000000000002E-4</v>
      </c>
      <c r="P11573">
        <v>2746</v>
      </c>
    </row>
    <row r="11575" spans="1:16" x14ac:dyDescent="0.35">
      <c r="A11575" s="1" t="s">
        <v>1416</v>
      </c>
    </row>
    <row r="11576" spans="1:16" x14ac:dyDescent="0.35">
      <c r="A11576" t="s">
        <v>219</v>
      </c>
      <c r="B11576" t="s">
        <v>305</v>
      </c>
      <c r="C11576" t="s">
        <v>550</v>
      </c>
      <c r="D11576" t="s">
        <v>1400</v>
      </c>
      <c r="E11576" t="s">
        <v>281</v>
      </c>
      <c r="F11576" t="s">
        <v>1401</v>
      </c>
      <c r="G11576" t="s">
        <v>1402</v>
      </c>
      <c r="H11576" t="s">
        <v>1403</v>
      </c>
      <c r="I11576" t="s">
        <v>1404</v>
      </c>
      <c r="J11576" t="s">
        <v>1405</v>
      </c>
      <c r="K11576" t="s">
        <v>286</v>
      </c>
      <c r="L11576" t="s">
        <v>1406</v>
      </c>
      <c r="M11576" t="s">
        <v>1407</v>
      </c>
      <c r="N11576" t="s">
        <v>1408</v>
      </c>
      <c r="O11576" t="s">
        <v>326</v>
      </c>
      <c r="P11576" t="s">
        <v>226</v>
      </c>
    </row>
    <row r="11577" spans="1:16" x14ac:dyDescent="0.35">
      <c r="A11577" s="27" t="s">
        <v>227</v>
      </c>
      <c r="B11577" s="27" t="s">
        <v>263</v>
      </c>
      <c r="C11577" s="28">
        <v>1</v>
      </c>
      <c r="D11577" s="29"/>
      <c r="E11577" s="29"/>
      <c r="F11577" s="29"/>
      <c r="G11577" s="29"/>
      <c r="H11577" s="29"/>
      <c r="I11577" s="29"/>
      <c r="J11577" s="29"/>
      <c r="K11577" s="29"/>
      <c r="L11577" s="29"/>
      <c r="M11577" s="29"/>
      <c r="N11577" s="29"/>
      <c r="O11577" s="29"/>
      <c r="P11577" s="29" t="s">
        <v>315</v>
      </c>
    </row>
    <row r="11578" spans="1:16" x14ac:dyDescent="0.35">
      <c r="A11578" t="s">
        <v>227</v>
      </c>
      <c r="B11578" t="s">
        <v>261</v>
      </c>
      <c r="C11578" s="26">
        <v>0.93940000000000001</v>
      </c>
      <c r="D11578" s="26">
        <v>3.0300000000000001E-2</v>
      </c>
      <c r="H11578" s="26">
        <v>3.0300000000000001E-2</v>
      </c>
      <c r="P11578">
        <v>33</v>
      </c>
    </row>
    <row r="11579" spans="1:16" x14ac:dyDescent="0.35">
      <c r="A11579" s="27" t="s">
        <v>227</v>
      </c>
      <c r="B11579" s="27" t="s">
        <v>262</v>
      </c>
      <c r="C11579" s="28">
        <v>1</v>
      </c>
      <c r="D11579" s="29"/>
      <c r="E11579" s="29"/>
      <c r="F11579" s="29"/>
      <c r="G11579" s="29"/>
      <c r="H11579" s="29"/>
      <c r="I11579" s="29"/>
      <c r="J11579" s="29"/>
      <c r="K11579" s="29"/>
      <c r="L11579" s="29"/>
      <c r="M11579" s="29"/>
      <c r="N11579" s="29"/>
      <c r="O11579" s="29"/>
      <c r="P11579" s="29" t="s">
        <v>315</v>
      </c>
    </row>
    <row r="11580" spans="1:16" x14ac:dyDescent="0.35">
      <c r="A11580" t="s">
        <v>227</v>
      </c>
      <c r="B11580" t="s">
        <v>260</v>
      </c>
      <c r="C11580" s="26">
        <v>0.95760000000000001</v>
      </c>
      <c r="D11580" s="26">
        <v>8.5000000000000006E-3</v>
      </c>
      <c r="E11580" s="26">
        <v>2.5399999999999999E-2</v>
      </c>
      <c r="F11580" s="26">
        <v>8.5000000000000006E-3</v>
      </c>
      <c r="P11580">
        <v>118</v>
      </c>
    </row>
    <row r="11581" spans="1:16" x14ac:dyDescent="0.35">
      <c r="A11581" t="s">
        <v>228</v>
      </c>
      <c r="B11581" t="s">
        <v>261</v>
      </c>
      <c r="C11581" s="26">
        <v>0.87729999999999997</v>
      </c>
      <c r="D11581" s="26">
        <v>2.18E-2</v>
      </c>
      <c r="E11581" s="26">
        <v>5.28E-2</v>
      </c>
      <c r="F11581" s="26">
        <v>2.6200000000000001E-2</v>
      </c>
      <c r="G11581" s="26">
        <v>3.3999999999999998E-3</v>
      </c>
      <c r="I11581" s="26">
        <v>2.7400000000000001E-2</v>
      </c>
      <c r="P11581">
        <v>189</v>
      </c>
    </row>
    <row r="11582" spans="1:16" x14ac:dyDescent="0.35">
      <c r="A11582" s="27" t="s">
        <v>228</v>
      </c>
      <c r="B11582" s="27" t="s">
        <v>263</v>
      </c>
      <c r="C11582" s="28">
        <v>0.76649999999999996</v>
      </c>
      <c r="D11582" s="28">
        <v>0.14269999999999999</v>
      </c>
      <c r="E11582" s="28">
        <v>4.6600000000000003E-2</v>
      </c>
      <c r="F11582" s="29"/>
      <c r="G11582" s="28">
        <v>1.3599999999999999E-2</v>
      </c>
      <c r="H11582" s="29"/>
      <c r="I11582" s="29"/>
      <c r="J11582" s="28">
        <v>1.3599999999999999E-2</v>
      </c>
      <c r="K11582" s="28">
        <v>3.0700000000000002E-2</v>
      </c>
      <c r="L11582" s="29"/>
      <c r="M11582" s="29"/>
      <c r="N11582" s="29"/>
      <c r="O11582" s="29"/>
      <c r="P11582" s="29" t="s">
        <v>310</v>
      </c>
    </row>
    <row r="11583" spans="1:16" x14ac:dyDescent="0.35">
      <c r="A11583" s="27" t="s">
        <v>228</v>
      </c>
      <c r="B11583" s="27" t="s">
        <v>236</v>
      </c>
      <c r="C11583" s="28">
        <v>1</v>
      </c>
      <c r="D11583" s="29"/>
      <c r="E11583" s="29"/>
      <c r="F11583" s="29"/>
      <c r="G11583" s="29"/>
      <c r="H11583" s="29"/>
      <c r="I11583" s="29"/>
      <c r="J11583" s="29"/>
      <c r="K11583" s="29"/>
      <c r="L11583" s="29"/>
      <c r="M11583" s="29"/>
      <c r="N11583" s="29"/>
      <c r="O11583" s="29"/>
      <c r="P11583" s="29" t="s">
        <v>332</v>
      </c>
    </row>
    <row r="11584" spans="1:16" x14ac:dyDescent="0.35">
      <c r="A11584" t="s">
        <v>228</v>
      </c>
      <c r="B11584" t="s">
        <v>262</v>
      </c>
      <c r="C11584" s="26">
        <v>0.80330000000000001</v>
      </c>
      <c r="D11584" s="26">
        <v>9.2600000000000002E-2</v>
      </c>
      <c r="E11584" s="26">
        <v>1.61E-2</v>
      </c>
      <c r="F11584" s="26">
        <v>1.66E-2</v>
      </c>
      <c r="G11584" s="26">
        <v>5.0599999999999999E-2</v>
      </c>
      <c r="H11584" s="26">
        <v>1.8499999999999999E-2</v>
      </c>
      <c r="I11584" s="26">
        <v>1.15E-2</v>
      </c>
      <c r="J11584" s="26">
        <v>3.4299999999999997E-2</v>
      </c>
      <c r="L11584" s="26">
        <v>7.3000000000000001E-3</v>
      </c>
      <c r="N11584" s="26">
        <v>1.26E-2</v>
      </c>
      <c r="O11584" s="26">
        <v>5.7000000000000002E-3</v>
      </c>
      <c r="P11584">
        <v>195</v>
      </c>
    </row>
    <row r="11585" spans="1:16" x14ac:dyDescent="0.35">
      <c r="A11585" t="s">
        <v>228</v>
      </c>
      <c r="B11585" t="s">
        <v>260</v>
      </c>
      <c r="C11585" s="26">
        <v>0.85819999999999996</v>
      </c>
      <c r="D11585" s="26">
        <v>5.4600000000000003E-2</v>
      </c>
      <c r="E11585" s="26">
        <v>6.2100000000000002E-2</v>
      </c>
      <c r="F11585" s="26">
        <v>5.8999999999999999E-3</v>
      </c>
      <c r="G11585" s="26">
        <v>5.8999999999999999E-3</v>
      </c>
      <c r="H11585" s="26">
        <v>6.7999999999999996E-3</v>
      </c>
      <c r="I11585" s="26">
        <v>5.0000000000000001E-3</v>
      </c>
      <c r="J11585" s="26">
        <v>1.1599999999999999E-2</v>
      </c>
      <c r="K11585" s="26">
        <v>6.9999999999999999E-4</v>
      </c>
      <c r="N11585" s="26">
        <v>1.4E-3</v>
      </c>
      <c r="O11585" s="26">
        <v>1.4E-3</v>
      </c>
      <c r="P11585">
        <v>597</v>
      </c>
    </row>
    <row r="11586" spans="1:16" x14ac:dyDescent="0.35">
      <c r="A11586" s="27" t="s">
        <v>229</v>
      </c>
      <c r="B11586" s="27" t="s">
        <v>263</v>
      </c>
      <c r="C11586" s="28">
        <v>0.83360000000000001</v>
      </c>
      <c r="D11586" s="28">
        <v>0.1613</v>
      </c>
      <c r="E11586" s="28">
        <v>5.1000000000000004E-3</v>
      </c>
      <c r="F11586" s="29"/>
      <c r="G11586" s="29"/>
      <c r="H11586" s="29"/>
      <c r="I11586" s="29"/>
      <c r="J11586" s="29"/>
      <c r="K11586" s="29"/>
      <c r="L11586" s="29"/>
      <c r="M11586" s="29"/>
      <c r="N11586" s="29"/>
      <c r="O11586" s="29"/>
      <c r="P11586" s="29" t="s">
        <v>341</v>
      </c>
    </row>
    <row r="11587" spans="1:16" x14ac:dyDescent="0.35">
      <c r="A11587" t="s">
        <v>229</v>
      </c>
      <c r="B11587" t="s">
        <v>262</v>
      </c>
      <c r="C11587" s="26">
        <v>0.87860000000000005</v>
      </c>
      <c r="D11587" s="26">
        <v>1.1599999999999999E-2</v>
      </c>
      <c r="E11587" s="26">
        <v>3.9E-2</v>
      </c>
      <c r="F11587" s="26">
        <v>2.1100000000000001E-2</v>
      </c>
      <c r="G11587" s="26">
        <v>2.5600000000000001E-2</v>
      </c>
      <c r="H11587" s="26">
        <v>2.1499999999999998E-2</v>
      </c>
      <c r="I11587" s="26">
        <v>1.2800000000000001E-2</v>
      </c>
      <c r="J11587" s="26">
        <v>4.0000000000000002E-4</v>
      </c>
      <c r="K11587" s="26">
        <v>1.2800000000000001E-2</v>
      </c>
      <c r="L11587" s="26">
        <v>1.15E-2</v>
      </c>
      <c r="M11587" s="26">
        <v>1.15E-2</v>
      </c>
      <c r="P11587">
        <v>179</v>
      </c>
    </row>
    <row r="11588" spans="1:16" x14ac:dyDescent="0.35">
      <c r="A11588" t="s">
        <v>229</v>
      </c>
      <c r="B11588" t="s">
        <v>261</v>
      </c>
      <c r="C11588" s="26">
        <v>0.93869999999999998</v>
      </c>
      <c r="D11588" s="26">
        <v>4.2299999999999997E-2</v>
      </c>
      <c r="E11588" s="26">
        <v>6.9999999999999999E-4</v>
      </c>
      <c r="F11588" s="26">
        <v>1.95E-2</v>
      </c>
      <c r="G11588" s="26">
        <v>1.1999999999999999E-3</v>
      </c>
      <c r="H11588" s="26">
        <v>1.72E-2</v>
      </c>
      <c r="P11588">
        <v>94</v>
      </c>
    </row>
    <row r="11589" spans="1:16" x14ac:dyDescent="0.35">
      <c r="A11589" s="27" t="s">
        <v>229</v>
      </c>
      <c r="B11589" s="27" t="s">
        <v>236</v>
      </c>
      <c r="C11589" s="28">
        <v>1</v>
      </c>
      <c r="D11589" s="29"/>
      <c r="E11589" s="29"/>
      <c r="F11589" s="29"/>
      <c r="G11589" s="29"/>
      <c r="H11589" s="29"/>
      <c r="I11589" s="29"/>
      <c r="J11589" s="29"/>
      <c r="K11589" s="29"/>
      <c r="L11589" s="29"/>
      <c r="M11589" s="29"/>
      <c r="N11589" s="29"/>
      <c r="O11589" s="29"/>
      <c r="P11589" s="29" t="s">
        <v>331</v>
      </c>
    </row>
    <row r="11590" spans="1:16" x14ac:dyDescent="0.35">
      <c r="A11590" t="s">
        <v>229</v>
      </c>
      <c r="B11590" t="s">
        <v>260</v>
      </c>
      <c r="C11590" s="26">
        <v>0.91410000000000002</v>
      </c>
      <c r="D11590" s="26">
        <v>2.6599999999999999E-2</v>
      </c>
      <c r="E11590" s="26">
        <v>4.1200000000000001E-2</v>
      </c>
      <c r="F11590" s="26">
        <v>6.0000000000000001E-3</v>
      </c>
      <c r="G11590" s="26">
        <v>1.1999999999999999E-3</v>
      </c>
      <c r="H11590" s="26">
        <v>6.4000000000000003E-3</v>
      </c>
      <c r="I11590" s="26">
        <v>5.5999999999999999E-3</v>
      </c>
      <c r="J11590" s="26">
        <v>1.1999999999999999E-3</v>
      </c>
      <c r="K11590" s="26">
        <v>8.9999999999999998E-4</v>
      </c>
      <c r="L11590" s="26">
        <v>2.9999999999999997E-4</v>
      </c>
      <c r="P11590">
        <v>585</v>
      </c>
    </row>
    <row r="11591" spans="1:16" x14ac:dyDescent="0.35">
      <c r="A11591" s="27" t="s">
        <v>230</v>
      </c>
      <c r="B11591" s="27" t="s">
        <v>236</v>
      </c>
      <c r="C11591" s="28">
        <v>0.2409</v>
      </c>
      <c r="D11591" s="29"/>
      <c r="E11591" s="28">
        <v>0.7591</v>
      </c>
      <c r="F11591" s="29"/>
      <c r="G11591" s="29"/>
      <c r="H11591" s="29"/>
      <c r="I11591" s="29"/>
      <c r="J11591" s="29"/>
      <c r="K11591" s="29"/>
      <c r="L11591" s="29"/>
      <c r="M11591" s="29"/>
      <c r="N11591" s="29"/>
      <c r="O11591" s="29"/>
      <c r="P11591" s="29" t="s">
        <v>337</v>
      </c>
    </row>
    <row r="11592" spans="1:16" x14ac:dyDescent="0.35">
      <c r="A11592" t="s">
        <v>230</v>
      </c>
      <c r="B11592" t="s">
        <v>262</v>
      </c>
      <c r="C11592" s="26">
        <v>0.83389999999999997</v>
      </c>
      <c r="D11592" s="26">
        <v>6.8400000000000002E-2</v>
      </c>
      <c r="E11592" s="26">
        <v>6.6000000000000003E-2</v>
      </c>
      <c r="F11592" s="26">
        <v>1.8E-3</v>
      </c>
      <c r="G11592" s="26">
        <v>1.8100000000000002E-2</v>
      </c>
      <c r="H11592" s="26">
        <v>1.1900000000000001E-2</v>
      </c>
      <c r="I11592" s="26">
        <v>6.1000000000000004E-3</v>
      </c>
      <c r="J11592" s="26">
        <v>7.7999999999999996E-3</v>
      </c>
      <c r="P11592">
        <v>118</v>
      </c>
    </row>
    <row r="11593" spans="1:16" x14ac:dyDescent="0.35">
      <c r="A11593" t="s">
        <v>230</v>
      </c>
      <c r="B11593" t="s">
        <v>261</v>
      </c>
      <c r="C11593" s="26">
        <v>0.95589999999999997</v>
      </c>
      <c r="D11593" s="26">
        <v>2.7699999999999999E-2</v>
      </c>
      <c r="E11593" s="26">
        <v>1.6299999999999999E-2</v>
      </c>
      <c r="F11593" s="26">
        <v>6.8999999999999999E-3</v>
      </c>
      <c r="G11593" s="26">
        <v>6.8999999999999999E-3</v>
      </c>
      <c r="P11593">
        <v>56</v>
      </c>
    </row>
    <row r="11594" spans="1:16" x14ac:dyDescent="0.35">
      <c r="A11594" s="27" t="s">
        <v>230</v>
      </c>
      <c r="B11594" s="27" t="s">
        <v>263</v>
      </c>
      <c r="C11594" s="28">
        <v>0.59599999999999997</v>
      </c>
      <c r="D11594" s="28">
        <v>0.27079999999999999</v>
      </c>
      <c r="E11594" s="28">
        <v>2.5000000000000001E-2</v>
      </c>
      <c r="F11594" s="28">
        <v>0.1082</v>
      </c>
      <c r="G11594" s="29"/>
      <c r="H11594" s="29"/>
      <c r="I11594" s="28">
        <v>8.3199999999999996E-2</v>
      </c>
      <c r="J11594" s="28">
        <v>0.1082</v>
      </c>
      <c r="K11594" s="29"/>
      <c r="L11594" s="29"/>
      <c r="M11594" s="29"/>
      <c r="N11594" s="29"/>
      <c r="O11594" s="29"/>
      <c r="P11594" s="29" t="s">
        <v>310</v>
      </c>
    </row>
    <row r="11595" spans="1:16" x14ac:dyDescent="0.35">
      <c r="A11595" t="s">
        <v>230</v>
      </c>
      <c r="B11595" t="s">
        <v>260</v>
      </c>
      <c r="C11595" s="26">
        <v>0.85640000000000005</v>
      </c>
      <c r="D11595" s="26">
        <v>3.9699999999999999E-2</v>
      </c>
      <c r="E11595" s="26">
        <v>3.6999999999999998E-2</v>
      </c>
      <c r="F11595" s="26">
        <v>1.8200000000000001E-2</v>
      </c>
      <c r="G11595" s="26">
        <v>1.9599999999999999E-2</v>
      </c>
      <c r="H11595" s="26">
        <v>1.4E-3</v>
      </c>
      <c r="I11595" s="26">
        <v>1.61E-2</v>
      </c>
      <c r="J11595" s="26">
        <v>1.8700000000000001E-2</v>
      </c>
      <c r="K11595" s="26">
        <v>8.0999999999999996E-3</v>
      </c>
      <c r="L11595" s="26">
        <v>8.0999999999999996E-3</v>
      </c>
      <c r="O11595" s="26">
        <v>4.0000000000000002E-4</v>
      </c>
      <c r="P11595">
        <v>342</v>
      </c>
    </row>
    <row r="11596" spans="1:16" x14ac:dyDescent="0.35">
      <c r="A11596" s="27" t="s">
        <v>231</v>
      </c>
      <c r="B11596" s="27" t="s">
        <v>263</v>
      </c>
      <c r="C11596" s="28">
        <v>1</v>
      </c>
      <c r="D11596" s="29"/>
      <c r="E11596" s="29"/>
      <c r="F11596" s="29"/>
      <c r="G11596" s="29"/>
      <c r="H11596" s="29"/>
      <c r="I11596" s="29"/>
      <c r="J11596" s="29"/>
      <c r="K11596" s="29"/>
      <c r="L11596" s="29"/>
      <c r="M11596" s="29"/>
      <c r="N11596" s="29"/>
      <c r="O11596" s="29"/>
      <c r="P11596" s="29" t="s">
        <v>314</v>
      </c>
    </row>
    <row r="11597" spans="1:16" x14ac:dyDescent="0.35">
      <c r="A11597" t="s">
        <v>231</v>
      </c>
      <c r="B11597" t="s">
        <v>260</v>
      </c>
      <c r="C11597" s="26">
        <v>0.94310000000000005</v>
      </c>
      <c r="D11597" s="26">
        <v>2.4400000000000002E-2</v>
      </c>
      <c r="E11597" s="26">
        <v>8.0999999999999996E-3</v>
      </c>
      <c r="F11597" s="26">
        <v>8.0999999999999996E-3</v>
      </c>
      <c r="G11597" s="26">
        <v>8.0999999999999996E-3</v>
      </c>
      <c r="K11597" s="26">
        <v>8.0999999999999996E-3</v>
      </c>
      <c r="P11597">
        <v>123</v>
      </c>
    </row>
    <row r="11598" spans="1:16" x14ac:dyDescent="0.35">
      <c r="A11598" s="27" t="s">
        <v>231</v>
      </c>
      <c r="B11598" s="27" t="s">
        <v>261</v>
      </c>
      <c r="C11598" s="28">
        <v>0.96299999999999997</v>
      </c>
      <c r="D11598" s="29"/>
      <c r="E11598" s="29"/>
      <c r="F11598" s="28">
        <v>3.6999999999999998E-2</v>
      </c>
      <c r="G11598" s="28">
        <v>3.6999999999999998E-2</v>
      </c>
      <c r="H11598" s="28">
        <v>3.6999999999999998E-2</v>
      </c>
      <c r="I11598" s="29"/>
      <c r="J11598" s="29"/>
      <c r="K11598" s="29"/>
      <c r="L11598" s="29"/>
      <c r="M11598" s="29"/>
      <c r="N11598" s="29"/>
      <c r="O11598" s="29"/>
      <c r="P11598" s="29" t="s">
        <v>338</v>
      </c>
    </row>
    <row r="11599" spans="1:16" x14ac:dyDescent="0.35">
      <c r="A11599" s="27" t="s">
        <v>231</v>
      </c>
      <c r="B11599" s="27" t="s">
        <v>262</v>
      </c>
      <c r="C11599" s="28">
        <v>1</v>
      </c>
      <c r="D11599" s="29"/>
      <c r="E11599" s="29"/>
      <c r="F11599" s="29"/>
      <c r="G11599" s="29"/>
      <c r="H11599" s="29"/>
      <c r="I11599" s="29"/>
      <c r="J11599" s="29"/>
      <c r="K11599" s="29"/>
      <c r="L11599" s="29"/>
      <c r="M11599" s="29"/>
      <c r="N11599" s="29"/>
      <c r="O11599" s="29"/>
      <c r="P11599" s="29" t="s">
        <v>352</v>
      </c>
    </row>
    <row r="11600" spans="1:16" x14ac:dyDescent="0.35">
      <c r="A11600" t="s">
        <v>232</v>
      </c>
      <c r="B11600" t="s">
        <v>232</v>
      </c>
      <c r="C11600" s="26">
        <v>0.91120000000000001</v>
      </c>
      <c r="D11600" s="26">
        <v>2.9899999999999999E-2</v>
      </c>
      <c r="E11600" s="26">
        <v>2.8400000000000002E-2</v>
      </c>
      <c r="F11600" s="26">
        <v>1.14E-2</v>
      </c>
      <c r="G11600" s="26">
        <v>9.7000000000000003E-3</v>
      </c>
      <c r="H11600" s="26">
        <v>7.7000000000000002E-3</v>
      </c>
      <c r="I11600" s="26">
        <v>5.1000000000000004E-3</v>
      </c>
      <c r="J11600" s="26">
        <v>4.1999999999999997E-3</v>
      </c>
      <c r="K11600" s="26">
        <v>3.5000000000000001E-3</v>
      </c>
      <c r="L11600" s="26">
        <v>1.6999999999999999E-3</v>
      </c>
      <c r="M11600" s="26">
        <v>8.9999999999999998E-4</v>
      </c>
      <c r="N11600" s="26">
        <v>5.9999999999999995E-4</v>
      </c>
      <c r="O11600" s="26">
        <v>4.0000000000000002E-4</v>
      </c>
      <c r="P11600">
        <v>2746</v>
      </c>
    </row>
    <row r="11602" spans="1:16" x14ac:dyDescent="0.35">
      <c r="A11602" s="1" t="s">
        <v>1417</v>
      </c>
    </row>
    <row r="11603" spans="1:16" x14ac:dyDescent="0.35">
      <c r="A11603" t="s">
        <v>219</v>
      </c>
      <c r="B11603" t="s">
        <v>305</v>
      </c>
      <c r="C11603" t="s">
        <v>550</v>
      </c>
      <c r="D11603" t="s">
        <v>1400</v>
      </c>
      <c r="E11603" t="s">
        <v>281</v>
      </c>
      <c r="F11603" t="s">
        <v>1401</v>
      </c>
      <c r="G11603" t="s">
        <v>1402</v>
      </c>
      <c r="H11603" t="s">
        <v>1403</v>
      </c>
      <c r="I11603" t="s">
        <v>1404</v>
      </c>
      <c r="J11603" t="s">
        <v>1405</v>
      </c>
      <c r="K11603" t="s">
        <v>286</v>
      </c>
      <c r="L11603" t="s">
        <v>1406</v>
      </c>
      <c r="M11603" t="s">
        <v>1407</v>
      </c>
      <c r="N11603" t="s">
        <v>1408</v>
      </c>
      <c r="O11603" t="s">
        <v>326</v>
      </c>
      <c r="P11603" t="s">
        <v>226</v>
      </c>
    </row>
    <row r="11604" spans="1:16" x14ac:dyDescent="0.35">
      <c r="A11604" t="s">
        <v>227</v>
      </c>
      <c r="B11604" t="s">
        <v>368</v>
      </c>
      <c r="C11604" s="26">
        <v>0.93940000000000001</v>
      </c>
      <c r="D11604" s="26">
        <v>3.0300000000000001E-2</v>
      </c>
      <c r="H11604" s="26">
        <v>3.0300000000000001E-2</v>
      </c>
      <c r="P11604">
        <v>33</v>
      </c>
    </row>
    <row r="11605" spans="1:16" x14ac:dyDescent="0.35">
      <c r="A11605" t="s">
        <v>227</v>
      </c>
      <c r="B11605" t="s">
        <v>369</v>
      </c>
      <c r="C11605" s="26">
        <v>0.9597</v>
      </c>
      <c r="D11605" s="26">
        <v>8.0999999999999996E-3</v>
      </c>
      <c r="E11605" s="26">
        <v>2.4199999999999999E-2</v>
      </c>
      <c r="F11605" s="26">
        <v>8.0999999999999996E-3</v>
      </c>
      <c r="P11605">
        <v>124</v>
      </c>
    </row>
    <row r="11606" spans="1:16" x14ac:dyDescent="0.35">
      <c r="A11606" t="s">
        <v>228</v>
      </c>
      <c r="B11606" t="s">
        <v>368</v>
      </c>
      <c r="C11606" s="26">
        <v>0.87729999999999997</v>
      </c>
      <c r="D11606" s="26">
        <v>2.18E-2</v>
      </c>
      <c r="E11606" s="26">
        <v>5.28E-2</v>
      </c>
      <c r="F11606" s="26">
        <v>2.6200000000000001E-2</v>
      </c>
      <c r="G11606" s="26">
        <v>3.3999999999999998E-3</v>
      </c>
      <c r="I11606" s="26">
        <v>2.7400000000000001E-2</v>
      </c>
      <c r="P11606">
        <v>189</v>
      </c>
    </row>
    <row r="11607" spans="1:16" x14ac:dyDescent="0.35">
      <c r="A11607" t="s">
        <v>228</v>
      </c>
      <c r="B11607" t="s">
        <v>369</v>
      </c>
      <c r="C11607" s="26">
        <v>0.84609999999999996</v>
      </c>
      <c r="D11607" s="26">
        <v>6.3799999999999996E-2</v>
      </c>
      <c r="E11607" s="26">
        <v>5.1999999999999998E-2</v>
      </c>
      <c r="F11607" s="26">
        <v>7.9000000000000008E-3</v>
      </c>
      <c r="G11607" s="26">
        <v>1.4999999999999999E-2</v>
      </c>
      <c r="H11607" s="26">
        <v>8.9999999999999993E-3</v>
      </c>
      <c r="I11607" s="26">
        <v>6.1999999999999998E-3</v>
      </c>
      <c r="J11607" s="26">
        <v>1.6199999999999999E-2</v>
      </c>
      <c r="K11607" s="26">
        <v>1.1999999999999999E-3</v>
      </c>
      <c r="L11607" s="26">
        <v>1.5E-3</v>
      </c>
      <c r="N11607" s="26">
        <v>3.5999999999999999E-3</v>
      </c>
      <c r="O11607" s="26">
        <v>2.2000000000000001E-3</v>
      </c>
      <c r="P11607">
        <v>821</v>
      </c>
    </row>
    <row r="11608" spans="1:16" x14ac:dyDescent="0.35">
      <c r="A11608" t="s">
        <v>229</v>
      </c>
      <c r="B11608" t="s">
        <v>368</v>
      </c>
      <c r="C11608" s="26">
        <v>0.93869999999999998</v>
      </c>
      <c r="D11608" s="26">
        <v>4.2299999999999997E-2</v>
      </c>
      <c r="E11608" s="26">
        <v>6.9999999999999999E-4</v>
      </c>
      <c r="F11608" s="26">
        <v>1.95E-2</v>
      </c>
      <c r="G11608" s="26">
        <v>1.1999999999999999E-3</v>
      </c>
      <c r="H11608" s="26">
        <v>1.72E-2</v>
      </c>
      <c r="P11608">
        <v>94</v>
      </c>
    </row>
    <row r="11609" spans="1:16" x14ac:dyDescent="0.35">
      <c r="A11609" t="s">
        <v>229</v>
      </c>
      <c r="B11609" t="s">
        <v>369</v>
      </c>
      <c r="C11609" s="26">
        <v>0.90100000000000002</v>
      </c>
      <c r="D11609" s="26">
        <v>2.4899999999999999E-2</v>
      </c>
      <c r="E11609" s="26">
        <v>3.9699999999999999E-2</v>
      </c>
      <c r="F11609" s="26">
        <v>1.0699999999999999E-2</v>
      </c>
      <c r="G11609" s="26">
        <v>8.9999999999999993E-3</v>
      </c>
      <c r="H11609" s="26">
        <v>1.0999999999999999E-2</v>
      </c>
      <c r="I11609" s="26">
        <v>7.7000000000000002E-3</v>
      </c>
      <c r="J11609" s="26">
        <v>8.9999999999999998E-4</v>
      </c>
      <c r="K11609" s="26">
        <v>4.7000000000000002E-3</v>
      </c>
      <c r="L11609" s="26">
        <v>3.8999999999999998E-3</v>
      </c>
      <c r="M11609" s="26">
        <v>3.7000000000000002E-3</v>
      </c>
      <c r="P11609">
        <v>778</v>
      </c>
    </row>
    <row r="11610" spans="1:16" x14ac:dyDescent="0.35">
      <c r="A11610" t="s">
        <v>230</v>
      </c>
      <c r="B11610" t="s">
        <v>368</v>
      </c>
      <c r="C11610" s="26">
        <v>0.95589999999999997</v>
      </c>
      <c r="D11610" s="26">
        <v>2.7699999999999999E-2</v>
      </c>
      <c r="E11610" s="26">
        <v>1.6299999999999999E-2</v>
      </c>
      <c r="F11610" s="26">
        <v>6.8999999999999999E-3</v>
      </c>
      <c r="G11610" s="26">
        <v>6.8999999999999999E-3</v>
      </c>
      <c r="P11610">
        <v>56</v>
      </c>
    </row>
    <row r="11611" spans="1:16" x14ac:dyDescent="0.35">
      <c r="A11611" t="s">
        <v>230</v>
      </c>
      <c r="B11611" t="s">
        <v>369</v>
      </c>
      <c r="C11611" s="26">
        <v>0.84360000000000002</v>
      </c>
      <c r="D11611" s="26">
        <v>4.7500000000000001E-2</v>
      </c>
      <c r="E11611" s="26">
        <v>4.8399999999999999E-2</v>
      </c>
      <c r="F11611" s="26">
        <v>1.6299999999999999E-2</v>
      </c>
      <c r="G11611" s="26">
        <v>1.89E-2</v>
      </c>
      <c r="H11611" s="26">
        <v>3.2000000000000002E-3</v>
      </c>
      <c r="I11611" s="26">
        <v>1.5100000000000001E-2</v>
      </c>
      <c r="J11611" s="26">
        <v>1.77E-2</v>
      </c>
      <c r="K11611" s="26">
        <v>6.4000000000000003E-3</v>
      </c>
      <c r="L11611" s="26">
        <v>6.4000000000000003E-3</v>
      </c>
      <c r="O11611" s="26">
        <v>2.9999999999999997E-4</v>
      </c>
      <c r="P11611">
        <v>488</v>
      </c>
    </row>
    <row r="11612" spans="1:16" x14ac:dyDescent="0.35">
      <c r="A11612" s="27" t="s">
        <v>231</v>
      </c>
      <c r="B11612" s="27" t="s">
        <v>368</v>
      </c>
      <c r="C11612" s="28">
        <v>0.96299999999999997</v>
      </c>
      <c r="D11612" s="29"/>
      <c r="E11612" s="29"/>
      <c r="F11612" s="28">
        <v>3.6999999999999998E-2</v>
      </c>
      <c r="G11612" s="28">
        <v>3.6999999999999998E-2</v>
      </c>
      <c r="H11612" s="28">
        <v>3.6999999999999998E-2</v>
      </c>
      <c r="I11612" s="29"/>
      <c r="J11612" s="29"/>
      <c r="K11612" s="29"/>
      <c r="L11612" s="29"/>
      <c r="M11612" s="29"/>
      <c r="N11612" s="29"/>
      <c r="O11612" s="29"/>
      <c r="P11612" s="29" t="s">
        <v>338</v>
      </c>
    </row>
    <row r="11613" spans="1:16" x14ac:dyDescent="0.35">
      <c r="A11613" t="s">
        <v>231</v>
      </c>
      <c r="B11613" t="s">
        <v>369</v>
      </c>
      <c r="C11613" s="26">
        <v>0.94850000000000001</v>
      </c>
      <c r="D11613" s="26">
        <v>2.2100000000000002E-2</v>
      </c>
      <c r="E11613" s="26">
        <v>7.4000000000000003E-3</v>
      </c>
      <c r="F11613" s="26">
        <v>7.4000000000000003E-3</v>
      </c>
      <c r="G11613" s="26">
        <v>7.4000000000000003E-3</v>
      </c>
      <c r="K11613" s="26">
        <v>7.4000000000000003E-3</v>
      </c>
      <c r="P11613">
        <v>136</v>
      </c>
    </row>
    <row r="11614" spans="1:16" x14ac:dyDescent="0.35">
      <c r="A11614" t="s">
        <v>232</v>
      </c>
      <c r="B11614" t="s">
        <v>232</v>
      </c>
      <c r="C11614" s="26">
        <v>0.91120000000000001</v>
      </c>
      <c r="D11614" s="26">
        <v>2.9899999999999999E-2</v>
      </c>
      <c r="E11614" s="26">
        <v>2.8400000000000002E-2</v>
      </c>
      <c r="F11614" s="26">
        <v>1.14E-2</v>
      </c>
      <c r="G11614" s="26">
        <v>9.7000000000000003E-3</v>
      </c>
      <c r="H11614" s="26">
        <v>7.7000000000000002E-3</v>
      </c>
      <c r="I11614" s="26">
        <v>5.1000000000000004E-3</v>
      </c>
      <c r="J11614" s="26">
        <v>4.1999999999999997E-3</v>
      </c>
      <c r="K11614" s="26">
        <v>3.5000000000000001E-3</v>
      </c>
      <c r="L11614" s="26">
        <v>1.6999999999999999E-3</v>
      </c>
      <c r="M11614" s="26">
        <v>8.9999999999999998E-4</v>
      </c>
      <c r="N11614" s="26">
        <v>5.9999999999999995E-4</v>
      </c>
      <c r="O11614" s="26">
        <v>4.0000000000000002E-4</v>
      </c>
      <c r="P11614">
        <v>2746</v>
      </c>
    </row>
    <row r="11616" spans="1:16" x14ac:dyDescent="0.35">
      <c r="A11616" s="1" t="s">
        <v>1418</v>
      </c>
    </row>
    <row r="11617" spans="1:16" x14ac:dyDescent="0.35">
      <c r="A11617" t="s">
        <v>219</v>
      </c>
      <c r="B11617" t="s">
        <v>305</v>
      </c>
      <c r="C11617" t="s">
        <v>550</v>
      </c>
      <c r="D11617" t="s">
        <v>1400</v>
      </c>
      <c r="E11617" t="s">
        <v>281</v>
      </c>
      <c r="F11617" t="s">
        <v>1401</v>
      </c>
      <c r="G11617" t="s">
        <v>1402</v>
      </c>
      <c r="H11617" t="s">
        <v>1403</v>
      </c>
      <c r="I11617" t="s">
        <v>1404</v>
      </c>
      <c r="J11617" t="s">
        <v>1405</v>
      </c>
      <c r="K11617" t="s">
        <v>286</v>
      </c>
      <c r="L11617" t="s">
        <v>1406</v>
      </c>
      <c r="M11617" t="s">
        <v>1407</v>
      </c>
      <c r="N11617" t="s">
        <v>1408</v>
      </c>
      <c r="O11617" t="s">
        <v>326</v>
      </c>
      <c r="P11617" t="s">
        <v>226</v>
      </c>
    </row>
    <row r="11618" spans="1:16" x14ac:dyDescent="0.35">
      <c r="A11618" t="s">
        <v>227</v>
      </c>
      <c r="B11618" t="s">
        <v>371</v>
      </c>
      <c r="C11618" s="26">
        <v>0.95540000000000003</v>
      </c>
      <c r="D11618" s="26">
        <v>1.2699999999999999E-2</v>
      </c>
      <c r="E11618" s="26">
        <v>1.9099999999999999E-2</v>
      </c>
      <c r="F11618" s="26">
        <v>6.4000000000000003E-3</v>
      </c>
      <c r="H11618" s="26">
        <v>6.4000000000000003E-3</v>
      </c>
      <c r="P11618">
        <v>157</v>
      </c>
    </row>
    <row r="11619" spans="1:16" x14ac:dyDescent="0.35">
      <c r="A11619" t="s">
        <v>228</v>
      </c>
      <c r="B11619" t="s">
        <v>371</v>
      </c>
      <c r="C11619" s="26">
        <v>0.89810000000000001</v>
      </c>
      <c r="D11619" s="26">
        <v>8.6999999999999994E-3</v>
      </c>
      <c r="E11619" s="26">
        <v>5.74E-2</v>
      </c>
      <c r="F11619" s="26">
        <v>9.4000000000000004E-3</v>
      </c>
      <c r="G11619" s="26">
        <v>1.2800000000000001E-2</v>
      </c>
      <c r="H11619" s="26">
        <v>6.9999999999999999E-4</v>
      </c>
      <c r="I11619" s="26">
        <v>6.4000000000000003E-3</v>
      </c>
      <c r="J11619" s="26">
        <v>6.4000000000000003E-3</v>
      </c>
      <c r="O11619" s="26">
        <v>6.9999999999999999E-4</v>
      </c>
      <c r="P11619">
        <v>288</v>
      </c>
    </row>
    <row r="11620" spans="1:16" x14ac:dyDescent="0.35">
      <c r="A11620" t="s">
        <v>228</v>
      </c>
      <c r="B11620" t="s">
        <v>372</v>
      </c>
      <c r="C11620" s="26">
        <v>0.75270000000000004</v>
      </c>
      <c r="D11620" s="26">
        <v>0.1007</v>
      </c>
      <c r="E11620" s="26">
        <v>6.7000000000000004E-2</v>
      </c>
      <c r="F11620" s="26">
        <v>4.8399999999999999E-2</v>
      </c>
      <c r="G11620" s="26">
        <v>2.12E-2</v>
      </c>
      <c r="H11620" s="26">
        <v>5.0000000000000001E-3</v>
      </c>
      <c r="I11620" s="26">
        <v>1.4500000000000001E-2</v>
      </c>
      <c r="J11620" s="26">
        <v>7.9000000000000008E-3</v>
      </c>
      <c r="K11620" s="26">
        <v>1.1599999999999999E-2</v>
      </c>
      <c r="P11620">
        <v>213</v>
      </c>
    </row>
    <row r="11621" spans="1:16" x14ac:dyDescent="0.35">
      <c r="A11621" t="s">
        <v>228</v>
      </c>
      <c r="B11621" t="s">
        <v>373</v>
      </c>
      <c r="C11621" s="26">
        <v>0.81159999999999999</v>
      </c>
      <c r="D11621" s="26">
        <v>0.1095</v>
      </c>
      <c r="E11621" s="26">
        <v>4.1700000000000001E-2</v>
      </c>
      <c r="F11621" s="26">
        <v>6.1999999999999998E-3</v>
      </c>
      <c r="G11621" s="26">
        <v>1.0800000000000001E-2</v>
      </c>
      <c r="H11621" s="26">
        <v>1.6500000000000001E-2</v>
      </c>
      <c r="I11621" s="26">
        <v>1.4800000000000001E-2</v>
      </c>
      <c r="J11621" s="26">
        <v>2.3099999999999999E-2</v>
      </c>
      <c r="L11621" s="26">
        <v>3.0999999999999999E-3</v>
      </c>
      <c r="N11621" s="26">
        <v>7.4000000000000003E-3</v>
      </c>
      <c r="O11621" s="26">
        <v>3.5999999999999999E-3</v>
      </c>
      <c r="P11621">
        <v>509</v>
      </c>
    </row>
    <row r="11622" spans="1:16" x14ac:dyDescent="0.35">
      <c r="A11622" t="s">
        <v>229</v>
      </c>
      <c r="B11622" t="s">
        <v>371</v>
      </c>
      <c r="C11622" s="26">
        <v>0.91159999999999997</v>
      </c>
      <c r="D11622" s="26">
        <v>2.3900000000000001E-2</v>
      </c>
      <c r="E11622" s="26">
        <v>3.3300000000000003E-2</v>
      </c>
      <c r="F11622" s="26">
        <v>1.15E-2</v>
      </c>
      <c r="G11622" s="26">
        <v>8.0999999999999996E-3</v>
      </c>
      <c r="H11622" s="26">
        <v>1.24E-2</v>
      </c>
      <c r="I11622" s="26">
        <v>6.4000000000000003E-3</v>
      </c>
      <c r="J11622" s="26">
        <v>4.0000000000000002E-4</v>
      </c>
      <c r="K11622" s="26">
        <v>3.5999999999999999E-3</v>
      </c>
      <c r="L11622" s="26">
        <v>3.5999999999999999E-3</v>
      </c>
      <c r="M11622" s="26">
        <v>3.3999999999999998E-3</v>
      </c>
      <c r="P11622">
        <v>568</v>
      </c>
    </row>
    <row r="11623" spans="1:16" x14ac:dyDescent="0.35">
      <c r="A11623" t="s">
        <v>229</v>
      </c>
      <c r="B11623" t="s">
        <v>372</v>
      </c>
      <c r="C11623" s="26">
        <v>0.87139999999999995</v>
      </c>
      <c r="D11623" s="26">
        <v>5.4699999999999999E-2</v>
      </c>
      <c r="E11623" s="26">
        <v>2.98E-2</v>
      </c>
      <c r="F11623" s="26">
        <v>2.2100000000000002E-2</v>
      </c>
      <c r="G11623" s="26">
        <v>6.7000000000000002E-3</v>
      </c>
      <c r="H11623" s="26">
        <v>1.06E-2</v>
      </c>
      <c r="I11623" s="26">
        <v>6.7000000000000002E-3</v>
      </c>
      <c r="J11623" s="26">
        <v>8.6E-3</v>
      </c>
      <c r="K11623" s="26">
        <v>6.7000000000000002E-3</v>
      </c>
      <c r="P11623">
        <v>216</v>
      </c>
    </row>
    <row r="11624" spans="1:16" x14ac:dyDescent="0.35">
      <c r="A11624" t="s">
        <v>229</v>
      </c>
      <c r="B11624" t="s">
        <v>373</v>
      </c>
      <c r="C11624" s="26">
        <v>0.80359999999999998</v>
      </c>
      <c r="D11624" s="26">
        <v>0.1011</v>
      </c>
      <c r="E11624" s="26">
        <v>5.74E-2</v>
      </c>
      <c r="F11624" s="26">
        <v>1.26E-2</v>
      </c>
      <c r="I11624" s="26">
        <v>1.26E-2</v>
      </c>
      <c r="K11624" s="26">
        <v>1.26E-2</v>
      </c>
      <c r="P11624">
        <v>88</v>
      </c>
    </row>
    <row r="11625" spans="1:16" x14ac:dyDescent="0.35">
      <c r="A11625" t="s">
        <v>230</v>
      </c>
      <c r="B11625" t="s">
        <v>371</v>
      </c>
      <c r="C11625" s="26">
        <v>0.87139999999999995</v>
      </c>
      <c r="D11625" s="26">
        <v>0.03</v>
      </c>
      <c r="E11625" s="26">
        <v>4.2500000000000003E-2</v>
      </c>
      <c r="F11625" s="26">
        <v>1.49E-2</v>
      </c>
      <c r="G11625" s="26">
        <v>1.61E-2</v>
      </c>
      <c r="H11625" s="26">
        <v>1.1999999999999999E-3</v>
      </c>
      <c r="I11625" s="26">
        <v>1.61E-2</v>
      </c>
      <c r="J11625" s="26">
        <v>1.49E-2</v>
      </c>
      <c r="K11625" s="26">
        <v>6.8999999999999999E-3</v>
      </c>
      <c r="L11625" s="26">
        <v>6.8999999999999999E-3</v>
      </c>
      <c r="P11625">
        <v>256</v>
      </c>
    </row>
    <row r="11626" spans="1:16" x14ac:dyDescent="0.35">
      <c r="A11626" t="s">
        <v>230</v>
      </c>
      <c r="B11626" t="s">
        <v>372</v>
      </c>
      <c r="C11626" s="26">
        <v>0.80049999999999999</v>
      </c>
      <c r="D11626" s="26">
        <v>9.9099999999999994E-2</v>
      </c>
      <c r="E11626" s="26">
        <v>5.5100000000000003E-2</v>
      </c>
      <c r="F11626" s="26">
        <v>1.47E-2</v>
      </c>
      <c r="G11626" s="26">
        <v>2.5700000000000001E-2</v>
      </c>
      <c r="J11626" s="26">
        <v>3.5499999999999997E-2</v>
      </c>
      <c r="O11626" s="26">
        <v>4.8999999999999998E-3</v>
      </c>
      <c r="P11626">
        <v>139</v>
      </c>
    </row>
    <row r="11627" spans="1:16" x14ac:dyDescent="0.35">
      <c r="A11627" t="s">
        <v>230</v>
      </c>
      <c r="B11627" t="s">
        <v>373</v>
      </c>
      <c r="C11627" s="26">
        <v>0.80359999999999998</v>
      </c>
      <c r="D11627" s="26">
        <v>0.1139</v>
      </c>
      <c r="E11627" s="26">
        <v>4.9700000000000001E-2</v>
      </c>
      <c r="F11627" s="26">
        <v>1.6400000000000001E-2</v>
      </c>
      <c r="G11627" s="26">
        <v>2.1299999999999999E-2</v>
      </c>
      <c r="H11627" s="26">
        <v>1.4200000000000001E-2</v>
      </c>
      <c r="J11627" s="26">
        <v>9.2999999999999992E-3</v>
      </c>
      <c r="P11627">
        <v>149</v>
      </c>
    </row>
    <row r="11628" spans="1:16" x14ac:dyDescent="0.35">
      <c r="A11628" t="s">
        <v>231</v>
      </c>
      <c r="B11628" t="s">
        <v>371</v>
      </c>
      <c r="C11628" s="26">
        <v>0.95089999999999997</v>
      </c>
      <c r="D11628" s="26">
        <v>1.84E-2</v>
      </c>
      <c r="E11628" s="26">
        <v>6.1000000000000004E-3</v>
      </c>
      <c r="F11628" s="26">
        <v>1.23E-2</v>
      </c>
      <c r="G11628" s="26">
        <v>1.23E-2</v>
      </c>
      <c r="H11628" s="26">
        <v>6.1000000000000004E-3</v>
      </c>
      <c r="K11628" s="26">
        <v>6.1000000000000004E-3</v>
      </c>
      <c r="P11628">
        <v>163</v>
      </c>
    </row>
    <row r="11629" spans="1:16" x14ac:dyDescent="0.35">
      <c r="A11629" t="s">
        <v>232</v>
      </c>
      <c r="B11629" t="s">
        <v>232</v>
      </c>
      <c r="C11629" s="26">
        <v>0.91120000000000001</v>
      </c>
      <c r="D11629" s="26">
        <v>2.9899999999999999E-2</v>
      </c>
      <c r="E11629" s="26">
        <v>2.8400000000000002E-2</v>
      </c>
      <c r="F11629" s="26">
        <v>1.14E-2</v>
      </c>
      <c r="G11629" s="26">
        <v>9.7000000000000003E-3</v>
      </c>
      <c r="H11629" s="26">
        <v>7.7000000000000002E-3</v>
      </c>
      <c r="I11629" s="26">
        <v>5.1000000000000004E-3</v>
      </c>
      <c r="J11629" s="26">
        <v>4.1999999999999997E-3</v>
      </c>
      <c r="K11629" s="26">
        <v>3.5000000000000001E-3</v>
      </c>
      <c r="L11629" s="26">
        <v>1.6999999999999999E-3</v>
      </c>
      <c r="M11629" s="26">
        <v>8.9999999999999998E-4</v>
      </c>
      <c r="N11629" s="26">
        <v>5.9999999999999995E-4</v>
      </c>
      <c r="O11629" s="26">
        <v>4.0000000000000002E-4</v>
      </c>
      <c r="P11629">
        <v>2746</v>
      </c>
    </row>
    <row r="11631" spans="1:16" x14ac:dyDescent="0.35">
      <c r="A11631" s="1" t="s">
        <v>1419</v>
      </c>
    </row>
    <row r="11632" spans="1:16" x14ac:dyDescent="0.35">
      <c r="A11632" t="s">
        <v>219</v>
      </c>
      <c r="B11632" t="s">
        <v>305</v>
      </c>
      <c r="C11632" t="s">
        <v>550</v>
      </c>
      <c r="D11632" t="s">
        <v>1400</v>
      </c>
      <c r="E11632" t="s">
        <v>281</v>
      </c>
      <c r="F11632" t="s">
        <v>1401</v>
      </c>
      <c r="G11632" t="s">
        <v>1402</v>
      </c>
      <c r="H11632" t="s">
        <v>1403</v>
      </c>
      <c r="I11632" t="s">
        <v>1404</v>
      </c>
      <c r="J11632" t="s">
        <v>1405</v>
      </c>
      <c r="K11632" t="s">
        <v>286</v>
      </c>
      <c r="L11632" t="s">
        <v>1406</v>
      </c>
      <c r="M11632" t="s">
        <v>1407</v>
      </c>
      <c r="N11632" t="s">
        <v>1408</v>
      </c>
      <c r="O11632" t="s">
        <v>326</v>
      </c>
      <c r="P11632" t="s">
        <v>226</v>
      </c>
    </row>
    <row r="11633" spans="1:16" x14ac:dyDescent="0.35">
      <c r="A11633" t="s">
        <v>227</v>
      </c>
      <c r="B11633" t="s">
        <v>255</v>
      </c>
      <c r="C11633" s="26">
        <v>0.95689999999999997</v>
      </c>
      <c r="D11633" s="26">
        <v>1.72E-2</v>
      </c>
      <c r="E11633" s="26">
        <v>2.5899999999999999E-2</v>
      </c>
      <c r="P11633">
        <v>116</v>
      </c>
    </row>
    <row r="11634" spans="1:16" x14ac:dyDescent="0.35">
      <c r="A11634" s="27" t="s">
        <v>227</v>
      </c>
      <c r="B11634" s="27" t="s">
        <v>257</v>
      </c>
      <c r="C11634" s="28">
        <v>1</v>
      </c>
      <c r="D11634" s="29"/>
      <c r="E11634" s="29"/>
      <c r="F11634" s="29"/>
      <c r="G11634" s="29"/>
      <c r="H11634" s="29"/>
      <c r="I11634" s="29"/>
      <c r="J11634" s="29"/>
      <c r="K11634" s="29"/>
      <c r="L11634" s="29"/>
      <c r="M11634" s="29"/>
      <c r="N11634" s="29"/>
      <c r="O11634" s="29"/>
      <c r="P11634" s="29" t="s">
        <v>333</v>
      </c>
    </row>
    <row r="11635" spans="1:16" x14ac:dyDescent="0.35">
      <c r="A11635" t="s">
        <v>227</v>
      </c>
      <c r="B11635" t="s">
        <v>256</v>
      </c>
      <c r="C11635" s="26">
        <v>0.93940000000000001</v>
      </c>
      <c r="F11635" s="26">
        <v>3.0300000000000001E-2</v>
      </c>
      <c r="H11635" s="26">
        <v>3.0300000000000001E-2</v>
      </c>
      <c r="P11635">
        <v>33</v>
      </c>
    </row>
    <row r="11636" spans="1:16" x14ac:dyDescent="0.35">
      <c r="A11636" t="s">
        <v>228</v>
      </c>
      <c r="B11636" t="s">
        <v>257</v>
      </c>
      <c r="C11636" s="26">
        <v>0.88739999999999997</v>
      </c>
      <c r="D11636" s="26">
        <v>1.84E-2</v>
      </c>
      <c r="E11636" s="26">
        <v>6.3799999999999996E-2</v>
      </c>
      <c r="H11636" s="26">
        <v>3.04E-2</v>
      </c>
      <c r="I11636" s="26">
        <v>1.0500000000000001E-2</v>
      </c>
      <c r="J11636" s="26">
        <v>7.9000000000000008E-3</v>
      </c>
      <c r="P11636">
        <v>49</v>
      </c>
    </row>
    <row r="11637" spans="1:16" x14ac:dyDescent="0.35">
      <c r="A11637" s="27" t="s">
        <v>228</v>
      </c>
      <c r="B11637" s="27" t="s">
        <v>258</v>
      </c>
      <c r="C11637" s="28">
        <v>0.79079999999999995</v>
      </c>
      <c r="D11637" s="28">
        <v>0.2092</v>
      </c>
      <c r="E11637" s="29"/>
      <c r="F11637" s="29"/>
      <c r="G11637" s="29"/>
      <c r="H11637" s="29"/>
      <c r="I11637" s="29"/>
      <c r="J11637" s="29"/>
      <c r="K11637" s="29"/>
      <c r="L11637" s="29"/>
      <c r="M11637" s="29"/>
      <c r="N11637" s="29"/>
      <c r="O11637" s="29"/>
      <c r="P11637" s="29" t="s">
        <v>337</v>
      </c>
    </row>
    <row r="11638" spans="1:16" x14ac:dyDescent="0.35">
      <c r="A11638" t="s">
        <v>228</v>
      </c>
      <c r="B11638" t="s">
        <v>256</v>
      </c>
      <c r="C11638" s="26">
        <v>0.89290000000000003</v>
      </c>
      <c r="D11638" s="26">
        <v>4.7100000000000003E-2</v>
      </c>
      <c r="E11638" s="26">
        <v>2.35E-2</v>
      </c>
      <c r="F11638" s="26">
        <v>0.01</v>
      </c>
      <c r="G11638" s="26">
        <v>3.3E-3</v>
      </c>
      <c r="I11638" s="26">
        <v>1.9199999999999998E-2</v>
      </c>
      <c r="J11638" s="26">
        <v>5.7999999999999996E-3</v>
      </c>
      <c r="N11638" s="26">
        <v>3.5000000000000001E-3</v>
      </c>
      <c r="O11638" s="26">
        <v>3.8E-3</v>
      </c>
      <c r="P11638">
        <v>219</v>
      </c>
    </row>
    <row r="11639" spans="1:16" x14ac:dyDescent="0.35">
      <c r="A11639" t="s">
        <v>228</v>
      </c>
      <c r="B11639" t="s">
        <v>255</v>
      </c>
      <c r="C11639" s="26">
        <v>0.83599999999999997</v>
      </c>
      <c r="D11639" s="26">
        <v>6.0100000000000001E-2</v>
      </c>
      <c r="E11639" s="26">
        <v>6.1600000000000002E-2</v>
      </c>
      <c r="F11639" s="26">
        <v>1.29E-2</v>
      </c>
      <c r="G11639" s="26">
        <v>1.7100000000000001E-2</v>
      </c>
      <c r="H11639" s="26">
        <v>8.0000000000000002E-3</v>
      </c>
      <c r="I11639" s="26">
        <v>7.3000000000000001E-3</v>
      </c>
      <c r="J11639" s="26">
        <v>1.6E-2</v>
      </c>
      <c r="K11639" s="26">
        <v>1.4E-3</v>
      </c>
      <c r="L11639" s="26">
        <v>1.6999999999999999E-3</v>
      </c>
      <c r="N11639" s="26">
        <v>2.8999999999999998E-3</v>
      </c>
      <c r="O11639" s="26">
        <v>1.1999999999999999E-3</v>
      </c>
      <c r="P11639">
        <v>738</v>
      </c>
    </row>
    <row r="11640" spans="1:16" x14ac:dyDescent="0.35">
      <c r="A11640" t="s">
        <v>229</v>
      </c>
      <c r="B11640" t="s">
        <v>256</v>
      </c>
      <c r="C11640" s="26">
        <v>0.92279999999999995</v>
      </c>
      <c r="D11640" s="26">
        <v>2.5000000000000001E-2</v>
      </c>
      <c r="E11640" s="26">
        <v>2.18E-2</v>
      </c>
      <c r="F11640" s="26">
        <v>1.3599999999999999E-2</v>
      </c>
      <c r="G11640" s="26">
        <v>2.6599999999999999E-2</v>
      </c>
      <c r="H11640" s="26">
        <v>1.6999999999999999E-3</v>
      </c>
      <c r="I11640" s="26">
        <v>1.29E-2</v>
      </c>
      <c r="J11640" s="26">
        <v>6.9999999999999999E-4</v>
      </c>
      <c r="L11640" s="26">
        <v>1.17E-2</v>
      </c>
      <c r="M11640" s="26">
        <v>1.17E-2</v>
      </c>
      <c r="P11640">
        <v>200</v>
      </c>
    </row>
    <row r="11641" spans="1:16" x14ac:dyDescent="0.35">
      <c r="A11641" t="s">
        <v>229</v>
      </c>
      <c r="B11641" t="s">
        <v>255</v>
      </c>
      <c r="C11641" s="26">
        <v>0.89529999999999998</v>
      </c>
      <c r="D11641" s="26">
        <v>3.0300000000000001E-2</v>
      </c>
      <c r="E11641" s="26">
        <v>0.04</v>
      </c>
      <c r="F11641" s="26">
        <v>1.14E-2</v>
      </c>
      <c r="G11641" s="26">
        <v>1E-3</v>
      </c>
      <c r="H11641" s="26">
        <v>1.7000000000000001E-2</v>
      </c>
      <c r="I11641" s="26">
        <v>4.5999999999999999E-3</v>
      </c>
      <c r="J11641" s="26">
        <v>8.9999999999999998E-4</v>
      </c>
      <c r="K11641" s="26">
        <v>5.8999999999999999E-3</v>
      </c>
      <c r="L11641" s="26">
        <v>2.9999999999999997E-4</v>
      </c>
      <c r="P11641">
        <v>620</v>
      </c>
    </row>
    <row r="11642" spans="1:16" x14ac:dyDescent="0.35">
      <c r="A11642" t="s">
        <v>229</v>
      </c>
      <c r="B11642" t="s">
        <v>257</v>
      </c>
      <c r="C11642" s="26">
        <v>0.96609999999999996</v>
      </c>
      <c r="D11642" s="26">
        <v>6.1000000000000004E-3</v>
      </c>
      <c r="E11642" s="26">
        <v>1.54E-2</v>
      </c>
      <c r="F11642" s="26">
        <v>1.23E-2</v>
      </c>
      <c r="P11642">
        <v>50</v>
      </c>
    </row>
    <row r="11643" spans="1:16" x14ac:dyDescent="0.35">
      <c r="A11643" s="27" t="s">
        <v>229</v>
      </c>
      <c r="B11643" s="27" t="s">
        <v>258</v>
      </c>
      <c r="C11643" s="28">
        <v>1</v>
      </c>
      <c r="D11643" s="29"/>
      <c r="E11643" s="29"/>
      <c r="F11643" s="29"/>
      <c r="G11643" s="29"/>
      <c r="H11643" s="29"/>
      <c r="I11643" s="29"/>
      <c r="J11643" s="29"/>
      <c r="K11643" s="29"/>
      <c r="L11643" s="29"/>
      <c r="M11643" s="29"/>
      <c r="N11643" s="29"/>
      <c r="O11643" s="29"/>
      <c r="P11643" s="29" t="s">
        <v>314</v>
      </c>
    </row>
    <row r="11644" spans="1:16" x14ac:dyDescent="0.35">
      <c r="A11644" t="s">
        <v>230</v>
      </c>
      <c r="B11644" t="s">
        <v>256</v>
      </c>
      <c r="C11644" s="26">
        <v>0.90859999999999996</v>
      </c>
      <c r="D11644" s="26">
        <v>4.5100000000000001E-2</v>
      </c>
      <c r="E11644" s="26">
        <v>3.6799999999999999E-2</v>
      </c>
      <c r="F11644" s="26">
        <v>9.4999999999999998E-3</v>
      </c>
      <c r="G11644" s="26">
        <v>7.3000000000000001E-3</v>
      </c>
      <c r="H11644" s="26">
        <v>3.5999999999999999E-3</v>
      </c>
      <c r="J11644" s="26">
        <v>1.1000000000000001E-3</v>
      </c>
      <c r="P11644">
        <v>126</v>
      </c>
    </row>
    <row r="11645" spans="1:16" x14ac:dyDescent="0.35">
      <c r="A11645" t="s">
        <v>230</v>
      </c>
      <c r="B11645" t="s">
        <v>255</v>
      </c>
      <c r="C11645" s="26">
        <v>0.83679999999999999</v>
      </c>
      <c r="D11645" s="26">
        <v>4.7E-2</v>
      </c>
      <c r="E11645" s="26">
        <v>5.1400000000000001E-2</v>
      </c>
      <c r="F11645" s="26">
        <v>9.1000000000000004E-3</v>
      </c>
      <c r="G11645" s="26">
        <v>2.1600000000000001E-2</v>
      </c>
      <c r="H11645" s="26">
        <v>2.8E-3</v>
      </c>
      <c r="I11645" s="26">
        <v>1.11E-2</v>
      </c>
      <c r="J11645" s="26">
        <v>2.24E-2</v>
      </c>
      <c r="K11645" s="26">
        <v>8.3000000000000001E-3</v>
      </c>
      <c r="L11645" s="26">
        <v>8.3000000000000001E-3</v>
      </c>
      <c r="O11645" s="26">
        <v>4.0000000000000002E-4</v>
      </c>
      <c r="P11645">
        <v>378</v>
      </c>
    </row>
    <row r="11646" spans="1:16" x14ac:dyDescent="0.35">
      <c r="A11646" t="s">
        <v>230</v>
      </c>
      <c r="B11646" t="s">
        <v>257</v>
      </c>
      <c r="C11646" s="26">
        <v>0.87239999999999995</v>
      </c>
      <c r="D11646" s="26">
        <v>2.7199999999999998E-2</v>
      </c>
      <c r="E11646" s="26">
        <v>4.1999999999999997E-3</v>
      </c>
      <c r="F11646" s="26">
        <v>9.6299999999999997E-2</v>
      </c>
      <c r="G11646" s="26">
        <v>1.3599999999999999E-2</v>
      </c>
      <c r="I11646" s="26">
        <v>8.2400000000000001E-2</v>
      </c>
      <c r="P11646">
        <v>37</v>
      </c>
    </row>
    <row r="11647" spans="1:16" x14ac:dyDescent="0.35">
      <c r="A11647" s="27" t="s">
        <v>230</v>
      </c>
      <c r="B11647" s="27" t="s">
        <v>258</v>
      </c>
      <c r="C11647" s="28">
        <v>1</v>
      </c>
      <c r="D11647" s="29"/>
      <c r="E11647" s="29"/>
      <c r="F11647" s="29"/>
      <c r="G11647" s="29"/>
      <c r="H11647" s="29"/>
      <c r="I11647" s="29"/>
      <c r="J11647" s="29"/>
      <c r="K11647" s="29"/>
      <c r="L11647" s="29"/>
      <c r="M11647" s="29"/>
      <c r="N11647" s="29"/>
      <c r="O11647" s="29"/>
      <c r="P11647" s="29" t="s">
        <v>315</v>
      </c>
    </row>
    <row r="11648" spans="1:16" x14ac:dyDescent="0.35">
      <c r="A11648" s="27" t="s">
        <v>231</v>
      </c>
      <c r="B11648" s="27" t="s">
        <v>257</v>
      </c>
      <c r="C11648" s="28">
        <v>1</v>
      </c>
      <c r="D11648" s="29"/>
      <c r="E11648" s="29"/>
      <c r="F11648" s="29"/>
      <c r="G11648" s="29"/>
      <c r="H11648" s="29"/>
      <c r="I11648" s="29"/>
      <c r="J11648" s="29"/>
      <c r="K11648" s="29"/>
      <c r="L11648" s="29"/>
      <c r="M11648" s="29"/>
      <c r="N11648" s="29"/>
      <c r="O11648" s="29"/>
      <c r="P11648" s="29" t="s">
        <v>339</v>
      </c>
    </row>
    <row r="11649" spans="1:16" x14ac:dyDescent="0.35">
      <c r="A11649" t="s">
        <v>231</v>
      </c>
      <c r="B11649" t="s">
        <v>255</v>
      </c>
      <c r="C11649" s="26">
        <v>0.9375</v>
      </c>
      <c r="D11649" s="26">
        <v>2.3400000000000001E-2</v>
      </c>
      <c r="E11649" s="26">
        <v>7.7999999999999996E-3</v>
      </c>
      <c r="F11649" s="26">
        <v>1.5599999999999999E-2</v>
      </c>
      <c r="G11649" s="26">
        <v>1.5599999999999999E-2</v>
      </c>
      <c r="H11649" s="26">
        <v>7.7999999999999996E-3</v>
      </c>
      <c r="K11649" s="26">
        <v>7.7999999999999996E-3</v>
      </c>
      <c r="P11649">
        <v>128</v>
      </c>
    </row>
    <row r="11650" spans="1:16" x14ac:dyDescent="0.35">
      <c r="A11650" s="27" t="s">
        <v>231</v>
      </c>
      <c r="B11650" s="27" t="s">
        <v>256</v>
      </c>
      <c r="C11650" s="28">
        <v>1</v>
      </c>
      <c r="D11650" s="29"/>
      <c r="E11650" s="29"/>
      <c r="F11650" s="29"/>
      <c r="G11650" s="29"/>
      <c r="H11650" s="29"/>
      <c r="I11650" s="29"/>
      <c r="J11650" s="29"/>
      <c r="K11650" s="29"/>
      <c r="L11650" s="29"/>
      <c r="M11650" s="29"/>
      <c r="N11650" s="29"/>
      <c r="O11650" s="29"/>
      <c r="P11650" s="29" t="s">
        <v>336</v>
      </c>
    </row>
    <row r="11651" spans="1:16" x14ac:dyDescent="0.35">
      <c r="A11651" t="s">
        <v>232</v>
      </c>
      <c r="B11651" t="s">
        <v>232</v>
      </c>
      <c r="C11651" s="26">
        <v>0.91120000000000001</v>
      </c>
      <c r="D11651" s="26">
        <v>2.9899999999999999E-2</v>
      </c>
      <c r="E11651" s="26">
        <v>2.8400000000000002E-2</v>
      </c>
      <c r="F11651" s="26">
        <v>1.14E-2</v>
      </c>
      <c r="G11651" s="26">
        <v>9.7000000000000003E-3</v>
      </c>
      <c r="H11651" s="26">
        <v>7.7000000000000002E-3</v>
      </c>
      <c r="I11651" s="26">
        <v>5.1000000000000004E-3</v>
      </c>
      <c r="J11651" s="26">
        <v>4.1999999999999997E-3</v>
      </c>
      <c r="K11651" s="26">
        <v>3.5000000000000001E-3</v>
      </c>
      <c r="L11651" s="26">
        <v>1.6999999999999999E-3</v>
      </c>
      <c r="M11651" s="26">
        <v>8.9999999999999998E-4</v>
      </c>
      <c r="N11651" s="26">
        <v>5.9999999999999995E-4</v>
      </c>
      <c r="O11651" s="26">
        <v>4.0000000000000002E-4</v>
      </c>
      <c r="P11651">
        <v>2746</v>
      </c>
    </row>
    <row r="11653" spans="1:16" x14ac:dyDescent="0.35">
      <c r="A11653" s="1" t="s">
        <v>1420</v>
      </c>
    </row>
    <row r="11654" spans="1:16" x14ac:dyDescent="0.35">
      <c r="A11654" t="s">
        <v>219</v>
      </c>
      <c r="B11654" t="s">
        <v>305</v>
      </c>
      <c r="C11654" t="s">
        <v>550</v>
      </c>
      <c r="D11654" t="s">
        <v>1400</v>
      </c>
      <c r="E11654" t="s">
        <v>281</v>
      </c>
      <c r="F11654" t="s">
        <v>1401</v>
      </c>
      <c r="G11654" t="s">
        <v>1402</v>
      </c>
      <c r="H11654" t="s">
        <v>1403</v>
      </c>
      <c r="I11654" t="s">
        <v>1404</v>
      </c>
      <c r="J11654" t="s">
        <v>1405</v>
      </c>
      <c r="K11654" t="s">
        <v>286</v>
      </c>
      <c r="L11654" t="s">
        <v>1406</v>
      </c>
      <c r="M11654" t="s">
        <v>1407</v>
      </c>
      <c r="N11654" t="s">
        <v>1408</v>
      </c>
      <c r="O11654" t="s">
        <v>326</v>
      </c>
      <c r="P11654" t="s">
        <v>226</v>
      </c>
    </row>
    <row r="11655" spans="1:16" x14ac:dyDescent="0.35">
      <c r="A11655" t="s">
        <v>227</v>
      </c>
      <c r="B11655" t="s">
        <v>1341</v>
      </c>
      <c r="C11655" s="26">
        <v>0.97919999999999996</v>
      </c>
      <c r="D11655" s="26">
        <v>2.0799999999999999E-2</v>
      </c>
      <c r="P11655">
        <v>48</v>
      </c>
    </row>
    <row r="11656" spans="1:16" x14ac:dyDescent="0.35">
      <c r="A11656" s="27" t="s">
        <v>227</v>
      </c>
      <c r="B11656" s="27" t="s">
        <v>1342</v>
      </c>
      <c r="C11656" s="28">
        <v>1</v>
      </c>
      <c r="D11656" s="29"/>
      <c r="E11656" s="29"/>
      <c r="F11656" s="29"/>
      <c r="G11656" s="29"/>
      <c r="H11656" s="29"/>
      <c r="I11656" s="29"/>
      <c r="J11656" s="29"/>
      <c r="K11656" s="29"/>
      <c r="L11656" s="29"/>
      <c r="M11656" s="29"/>
      <c r="N11656" s="29"/>
      <c r="O11656" s="29"/>
      <c r="P11656" s="29" t="s">
        <v>331</v>
      </c>
    </row>
    <row r="11657" spans="1:16" x14ac:dyDescent="0.35">
      <c r="A11657" t="s">
        <v>227</v>
      </c>
      <c r="B11657" t="s">
        <v>1343</v>
      </c>
      <c r="C11657" s="26">
        <v>0.94440000000000002</v>
      </c>
      <c r="D11657" s="26">
        <v>9.2999999999999992E-3</v>
      </c>
      <c r="E11657" s="26">
        <v>2.7799999999999998E-2</v>
      </c>
      <c r="F11657" s="26">
        <v>9.2999999999999992E-3</v>
      </c>
      <c r="H11657" s="26">
        <v>9.2999999999999992E-3</v>
      </c>
      <c r="P11657">
        <v>108</v>
      </c>
    </row>
    <row r="11658" spans="1:16" x14ac:dyDescent="0.35">
      <c r="A11658" t="s">
        <v>228</v>
      </c>
      <c r="B11658" t="s">
        <v>1341</v>
      </c>
      <c r="C11658" s="26">
        <v>0.83789999999999998</v>
      </c>
      <c r="D11658" s="26">
        <v>0.1067</v>
      </c>
      <c r="E11658" s="26">
        <v>2.75E-2</v>
      </c>
      <c r="F11658" s="26">
        <v>1.35E-2</v>
      </c>
      <c r="G11658" s="26">
        <v>7.0000000000000001E-3</v>
      </c>
      <c r="H11658" s="26">
        <v>8.8999999999999999E-3</v>
      </c>
      <c r="I11658" s="26">
        <v>9.2999999999999992E-3</v>
      </c>
      <c r="J11658" s="26">
        <v>1.67E-2</v>
      </c>
      <c r="K11658" s="26">
        <v>1.9E-3</v>
      </c>
      <c r="L11658" s="26">
        <v>4.1000000000000003E-3</v>
      </c>
      <c r="N11658" s="26">
        <v>7.0000000000000001E-3</v>
      </c>
      <c r="O11658" s="26">
        <v>1.2999999999999999E-3</v>
      </c>
      <c r="P11658">
        <v>297</v>
      </c>
    </row>
    <row r="11659" spans="1:16" x14ac:dyDescent="0.35">
      <c r="A11659" s="27" t="s">
        <v>228</v>
      </c>
      <c r="B11659" s="27" t="s">
        <v>1342</v>
      </c>
      <c r="C11659" s="28">
        <v>1</v>
      </c>
      <c r="D11659" s="29"/>
      <c r="E11659" s="29"/>
      <c r="F11659" s="29"/>
      <c r="G11659" s="29"/>
      <c r="H11659" s="29"/>
      <c r="I11659" s="29"/>
      <c r="J11659" s="29"/>
      <c r="K11659" s="29"/>
      <c r="L11659" s="29"/>
      <c r="M11659" s="29"/>
      <c r="N11659" s="29"/>
      <c r="O11659" s="29"/>
      <c r="P11659" s="29" t="s">
        <v>331</v>
      </c>
    </row>
    <row r="11660" spans="1:16" x14ac:dyDescent="0.35">
      <c r="A11660" t="s">
        <v>228</v>
      </c>
      <c r="B11660" t="s">
        <v>1343</v>
      </c>
      <c r="C11660" s="26">
        <v>0.85750000000000004</v>
      </c>
      <c r="D11660" s="26">
        <v>3.4700000000000002E-2</v>
      </c>
      <c r="E11660" s="26">
        <v>6.2600000000000003E-2</v>
      </c>
      <c r="F11660" s="26">
        <v>1.0699999999999999E-2</v>
      </c>
      <c r="G11660" s="26">
        <v>1.52E-2</v>
      </c>
      <c r="H11660" s="26">
        <v>6.4999999999999997E-3</v>
      </c>
      <c r="I11660" s="26">
        <v>1.0800000000000001E-2</v>
      </c>
      <c r="J11660" s="26">
        <v>1.15E-2</v>
      </c>
      <c r="K11660" s="26">
        <v>5.9999999999999995E-4</v>
      </c>
      <c r="N11660" s="26">
        <v>1.1999999999999999E-3</v>
      </c>
      <c r="O11660" s="26">
        <v>2E-3</v>
      </c>
      <c r="P11660">
        <v>712</v>
      </c>
    </row>
    <row r="11661" spans="1:16" x14ac:dyDescent="0.35">
      <c r="A11661" t="s">
        <v>229</v>
      </c>
      <c r="B11661" t="s">
        <v>1341</v>
      </c>
      <c r="C11661" s="26">
        <v>0.86819999999999997</v>
      </c>
      <c r="D11661" s="26">
        <v>3.7600000000000001E-2</v>
      </c>
      <c r="E11661" s="26">
        <v>3.3700000000000001E-2</v>
      </c>
      <c r="F11661" s="26">
        <v>1.3299999999999999E-2</v>
      </c>
      <c r="G11661" s="26">
        <v>1.9699999999999999E-2</v>
      </c>
      <c r="H11661" s="26">
        <v>1.9800000000000002E-2</v>
      </c>
      <c r="I11661" s="26">
        <v>1.8599999999999998E-2</v>
      </c>
      <c r="J11661" s="26">
        <v>5.0000000000000001E-4</v>
      </c>
      <c r="K11661" s="26">
        <v>9.5999999999999992E-3</v>
      </c>
      <c r="L11661" s="26">
        <v>9.5999999999999992E-3</v>
      </c>
      <c r="M11661" s="26">
        <v>9.5999999999999992E-3</v>
      </c>
      <c r="P11661">
        <v>265</v>
      </c>
    </row>
    <row r="11662" spans="1:16" x14ac:dyDescent="0.35">
      <c r="A11662" t="s">
        <v>229</v>
      </c>
      <c r="B11662" t="s">
        <v>1343</v>
      </c>
      <c r="C11662" s="26">
        <v>0.92520000000000002</v>
      </c>
      <c r="D11662" s="26">
        <v>2.2700000000000001E-2</v>
      </c>
      <c r="E11662" s="26">
        <v>3.3799999999999997E-2</v>
      </c>
      <c r="F11662" s="26">
        <v>1.14E-2</v>
      </c>
      <c r="G11662" s="26">
        <v>2.0999999999999999E-3</v>
      </c>
      <c r="H11662" s="26">
        <v>8.2000000000000007E-3</v>
      </c>
      <c r="I11662" s="26">
        <v>8.0000000000000004E-4</v>
      </c>
      <c r="J11662" s="26">
        <v>8.9999999999999998E-4</v>
      </c>
      <c r="K11662" s="26">
        <v>1.2999999999999999E-3</v>
      </c>
      <c r="L11662" s="26">
        <v>2.9999999999999997E-4</v>
      </c>
      <c r="P11662">
        <v>607</v>
      </c>
    </row>
    <row r="11663" spans="1:16" x14ac:dyDescent="0.35">
      <c r="A11663" t="s">
        <v>230</v>
      </c>
      <c r="B11663" t="s">
        <v>1341</v>
      </c>
      <c r="C11663" s="26">
        <v>0.89939999999999998</v>
      </c>
      <c r="D11663" s="26">
        <v>4.4400000000000002E-2</v>
      </c>
      <c r="E11663" s="26">
        <v>1.5900000000000001E-2</v>
      </c>
      <c r="G11663" s="26">
        <v>9.1000000000000004E-3</v>
      </c>
      <c r="H11663" s="26">
        <v>3.0999999999999999E-3</v>
      </c>
      <c r="J11663" s="26">
        <v>4.8999999999999998E-3</v>
      </c>
      <c r="K11663" s="26">
        <v>1.8200000000000001E-2</v>
      </c>
      <c r="L11663" s="26">
        <v>1.8200000000000001E-2</v>
      </c>
      <c r="P11663">
        <v>150</v>
      </c>
    </row>
    <row r="11664" spans="1:16" x14ac:dyDescent="0.35">
      <c r="A11664" t="s">
        <v>230</v>
      </c>
      <c r="B11664" t="s">
        <v>1343</v>
      </c>
      <c r="C11664" s="26">
        <v>0.84040000000000004</v>
      </c>
      <c r="D11664" s="26">
        <v>4.4999999999999998E-2</v>
      </c>
      <c r="E11664" s="26">
        <v>5.67E-2</v>
      </c>
      <c r="F11664" s="26">
        <v>2.18E-2</v>
      </c>
      <c r="G11664" s="26">
        <v>2.0899999999999998E-2</v>
      </c>
      <c r="H11664" s="26">
        <v>2.7000000000000001E-3</v>
      </c>
      <c r="I11664" s="26">
        <v>1.8800000000000001E-2</v>
      </c>
      <c r="J11664" s="26">
        <v>0.02</v>
      </c>
      <c r="O11664" s="26">
        <v>4.0000000000000002E-4</v>
      </c>
      <c r="P11664">
        <v>394</v>
      </c>
    </row>
    <row r="11665" spans="1:16" x14ac:dyDescent="0.35">
      <c r="A11665" t="s">
        <v>231</v>
      </c>
      <c r="B11665" t="s">
        <v>1341</v>
      </c>
      <c r="C11665" s="26">
        <v>0.96879999999999999</v>
      </c>
      <c r="D11665" s="26">
        <v>1.5599999999999999E-2</v>
      </c>
      <c r="K11665" s="26">
        <v>1.5599999999999999E-2</v>
      </c>
      <c r="P11665">
        <v>64</v>
      </c>
    </row>
    <row r="11666" spans="1:16" x14ac:dyDescent="0.35">
      <c r="A11666" t="s">
        <v>231</v>
      </c>
      <c r="B11666" t="s">
        <v>1343</v>
      </c>
      <c r="C11666" s="26">
        <v>0.93940000000000001</v>
      </c>
      <c r="D11666" s="26">
        <v>2.0199999999999999E-2</v>
      </c>
      <c r="E11666" s="26">
        <v>1.01E-2</v>
      </c>
      <c r="F11666" s="26">
        <v>2.0199999999999999E-2</v>
      </c>
      <c r="G11666" s="26">
        <v>2.0199999999999999E-2</v>
      </c>
      <c r="H11666" s="26">
        <v>1.01E-2</v>
      </c>
      <c r="P11666">
        <v>99</v>
      </c>
    </row>
    <row r="11667" spans="1:16" x14ac:dyDescent="0.35">
      <c r="A11667" t="s">
        <v>232</v>
      </c>
      <c r="B11667" t="s">
        <v>232</v>
      </c>
      <c r="C11667" s="26">
        <v>0.91120000000000001</v>
      </c>
      <c r="D11667" s="26">
        <v>2.9899999999999999E-2</v>
      </c>
      <c r="E11667" s="26">
        <v>2.8400000000000002E-2</v>
      </c>
      <c r="F11667" s="26">
        <v>1.14E-2</v>
      </c>
      <c r="G11667" s="26">
        <v>9.7000000000000003E-3</v>
      </c>
      <c r="H11667" s="26">
        <v>7.7000000000000002E-3</v>
      </c>
      <c r="I11667" s="26">
        <v>5.1000000000000004E-3</v>
      </c>
      <c r="J11667" s="26">
        <v>4.1999999999999997E-3</v>
      </c>
      <c r="K11667" s="26">
        <v>3.5000000000000001E-3</v>
      </c>
      <c r="L11667" s="26">
        <v>1.6999999999999999E-3</v>
      </c>
      <c r="M11667" s="26">
        <v>8.9999999999999998E-4</v>
      </c>
      <c r="N11667" s="26">
        <v>5.9999999999999995E-4</v>
      </c>
      <c r="O11667" s="26">
        <v>4.0000000000000002E-4</v>
      </c>
      <c r="P11667">
        <v>2746</v>
      </c>
    </row>
    <row r="11669" spans="1:16" x14ac:dyDescent="0.35">
      <c r="A11669" s="1" t="s">
        <v>1421</v>
      </c>
    </row>
    <row r="11670" spans="1:16" x14ac:dyDescent="0.35">
      <c r="A11670" t="s">
        <v>219</v>
      </c>
      <c r="B11670" t="s">
        <v>305</v>
      </c>
      <c r="C11670" t="s">
        <v>550</v>
      </c>
      <c r="D11670" t="s">
        <v>1400</v>
      </c>
      <c r="E11670" t="s">
        <v>281</v>
      </c>
      <c r="F11670" t="s">
        <v>1401</v>
      </c>
      <c r="G11670" t="s">
        <v>1402</v>
      </c>
      <c r="H11670" t="s">
        <v>1403</v>
      </c>
      <c r="I11670" t="s">
        <v>1404</v>
      </c>
      <c r="J11670" t="s">
        <v>1405</v>
      </c>
      <c r="K11670" t="s">
        <v>286</v>
      </c>
      <c r="L11670" t="s">
        <v>1406</v>
      </c>
      <c r="M11670" t="s">
        <v>1407</v>
      </c>
      <c r="N11670" t="s">
        <v>1408</v>
      </c>
      <c r="O11670" t="s">
        <v>326</v>
      </c>
      <c r="P11670" t="s">
        <v>226</v>
      </c>
    </row>
    <row r="11671" spans="1:16" x14ac:dyDescent="0.35">
      <c r="A11671" s="27" t="s">
        <v>227</v>
      </c>
      <c r="B11671" s="27" t="s">
        <v>1345</v>
      </c>
      <c r="C11671" s="28">
        <v>1</v>
      </c>
      <c r="D11671" s="29"/>
      <c r="E11671" s="29"/>
      <c r="F11671" s="29"/>
      <c r="G11671" s="29"/>
      <c r="H11671" s="29"/>
      <c r="I11671" s="29"/>
      <c r="J11671" s="29"/>
      <c r="K11671" s="29"/>
      <c r="L11671" s="29"/>
      <c r="M11671" s="29"/>
      <c r="N11671" s="29"/>
      <c r="O11671" s="29"/>
      <c r="P11671" s="29" t="s">
        <v>314</v>
      </c>
    </row>
    <row r="11672" spans="1:16" x14ac:dyDescent="0.35">
      <c r="A11672" t="s">
        <v>227</v>
      </c>
      <c r="B11672" t="s">
        <v>1346</v>
      </c>
      <c r="C11672" s="26">
        <v>0.97440000000000004</v>
      </c>
      <c r="D11672" s="26">
        <v>2.5600000000000001E-2</v>
      </c>
      <c r="P11672">
        <v>39</v>
      </c>
    </row>
    <row r="11673" spans="1:16" x14ac:dyDescent="0.35">
      <c r="A11673" t="s">
        <v>227</v>
      </c>
      <c r="B11673" t="s">
        <v>1347</v>
      </c>
      <c r="C11673" s="26">
        <v>0.9143</v>
      </c>
      <c r="D11673" s="26">
        <v>2.86E-2</v>
      </c>
      <c r="F11673" s="26">
        <v>2.86E-2</v>
      </c>
      <c r="H11673" s="26">
        <v>2.86E-2</v>
      </c>
      <c r="P11673">
        <v>35</v>
      </c>
    </row>
    <row r="11674" spans="1:16" x14ac:dyDescent="0.35">
      <c r="A11674" t="s">
        <v>227</v>
      </c>
      <c r="B11674" t="s">
        <v>1348</v>
      </c>
      <c r="C11674" s="26">
        <v>0.96299999999999997</v>
      </c>
      <c r="E11674" s="26">
        <v>3.6999999999999998E-2</v>
      </c>
      <c r="P11674">
        <v>81</v>
      </c>
    </row>
    <row r="11675" spans="1:16" x14ac:dyDescent="0.35">
      <c r="A11675" t="s">
        <v>228</v>
      </c>
      <c r="B11675" t="s">
        <v>1348</v>
      </c>
      <c r="C11675" s="26">
        <v>0.85160000000000002</v>
      </c>
      <c r="D11675" s="26">
        <v>6.2300000000000001E-2</v>
      </c>
      <c r="E11675" s="26">
        <v>4.4400000000000002E-2</v>
      </c>
      <c r="F11675" s="26">
        <v>1.6400000000000001E-2</v>
      </c>
      <c r="G11675" s="26">
        <v>7.7000000000000002E-3</v>
      </c>
      <c r="H11675" s="26">
        <v>6.6E-3</v>
      </c>
      <c r="I11675" s="26">
        <v>1.23E-2</v>
      </c>
      <c r="J11675" s="26">
        <v>1.78E-2</v>
      </c>
      <c r="N11675" s="26">
        <v>3.2000000000000002E-3</v>
      </c>
      <c r="O11675" s="26">
        <v>1.6000000000000001E-3</v>
      </c>
      <c r="P11675">
        <v>518</v>
      </c>
    </row>
    <row r="11676" spans="1:16" x14ac:dyDescent="0.35">
      <c r="A11676" t="s">
        <v>228</v>
      </c>
      <c r="B11676" t="s">
        <v>1347</v>
      </c>
      <c r="C11676" s="26">
        <v>0.83930000000000005</v>
      </c>
      <c r="D11676" s="26">
        <v>8.7599999999999997E-2</v>
      </c>
      <c r="E11676" s="26">
        <v>2.0299999999999999E-2</v>
      </c>
      <c r="F11676" s="26">
        <v>1.1299999999999999E-2</v>
      </c>
      <c r="G11676" s="26">
        <v>1.7999999999999999E-2</v>
      </c>
      <c r="H11676" s="26">
        <v>1.1599999999999999E-2</v>
      </c>
      <c r="I11676" s="26">
        <v>9.7000000000000003E-3</v>
      </c>
      <c r="J11676" s="26">
        <v>6.7999999999999996E-3</v>
      </c>
      <c r="K11676" s="26">
        <v>5.1999999999999998E-3</v>
      </c>
      <c r="O11676" s="26">
        <v>4.8999999999999998E-3</v>
      </c>
      <c r="P11676">
        <v>200</v>
      </c>
    </row>
    <row r="11677" spans="1:16" x14ac:dyDescent="0.35">
      <c r="A11677" t="s">
        <v>228</v>
      </c>
      <c r="B11677" t="s">
        <v>1346</v>
      </c>
      <c r="C11677" s="26">
        <v>0.86960000000000004</v>
      </c>
      <c r="D11677" s="26">
        <v>1.9099999999999999E-2</v>
      </c>
      <c r="E11677" s="26">
        <v>9.5200000000000007E-2</v>
      </c>
      <c r="F11677" s="26">
        <v>8.9999999999999998E-4</v>
      </c>
      <c r="G11677" s="26">
        <v>7.4000000000000003E-3</v>
      </c>
      <c r="H11677" s="26">
        <v>1.4E-3</v>
      </c>
      <c r="I11677" s="26">
        <v>3.0999999999999999E-3</v>
      </c>
      <c r="J11677" s="26">
        <v>4.1999999999999997E-3</v>
      </c>
      <c r="P11677">
        <v>281</v>
      </c>
    </row>
    <row r="11678" spans="1:16" x14ac:dyDescent="0.35">
      <c r="A11678" s="27" t="s">
        <v>228</v>
      </c>
      <c r="B11678" s="27" t="s">
        <v>1345</v>
      </c>
      <c r="C11678" s="28">
        <v>0.7712</v>
      </c>
      <c r="D11678" s="28">
        <v>5.45E-2</v>
      </c>
      <c r="E11678" s="29"/>
      <c r="F11678" s="28">
        <v>1.9300000000000001E-2</v>
      </c>
      <c r="G11678" s="28">
        <v>0.155</v>
      </c>
      <c r="H11678" s="28">
        <v>5.45E-2</v>
      </c>
      <c r="I11678" s="28">
        <v>5.45E-2</v>
      </c>
      <c r="J11678" s="28">
        <v>5.45E-2</v>
      </c>
      <c r="K11678" s="29"/>
      <c r="L11678" s="28">
        <v>5.45E-2</v>
      </c>
      <c r="M11678" s="29"/>
      <c r="N11678" s="28">
        <v>5.45E-2</v>
      </c>
      <c r="O11678" s="29"/>
      <c r="P11678" s="29" t="s">
        <v>352</v>
      </c>
    </row>
    <row r="11679" spans="1:16" x14ac:dyDescent="0.35">
      <c r="A11679" s="27" t="s">
        <v>229</v>
      </c>
      <c r="B11679" s="27" t="s">
        <v>1345</v>
      </c>
      <c r="C11679" s="28">
        <v>0.99060000000000004</v>
      </c>
      <c r="D11679" s="29"/>
      <c r="E11679" s="29"/>
      <c r="F11679" s="28">
        <v>3.3999999999999998E-3</v>
      </c>
      <c r="G11679" s="28">
        <v>6.0000000000000001E-3</v>
      </c>
      <c r="H11679" s="29"/>
      <c r="I11679" s="29"/>
      <c r="J11679" s="29"/>
      <c r="K11679" s="29"/>
      <c r="L11679" s="29"/>
      <c r="M11679" s="29"/>
      <c r="N11679" s="29"/>
      <c r="O11679" s="29"/>
      <c r="P11679" s="29" t="s">
        <v>357</v>
      </c>
    </row>
    <row r="11680" spans="1:16" x14ac:dyDescent="0.35">
      <c r="A11680" t="s">
        <v>229</v>
      </c>
      <c r="B11680" t="s">
        <v>1346</v>
      </c>
      <c r="C11680" s="26">
        <v>0.9163</v>
      </c>
      <c r="D11680" s="26">
        <v>1.9800000000000002E-2</v>
      </c>
      <c r="E11680" s="26">
        <v>0.05</v>
      </c>
      <c r="F11680" s="26">
        <v>1.6000000000000001E-3</v>
      </c>
      <c r="G11680" s="26">
        <v>8.0000000000000004E-4</v>
      </c>
      <c r="I11680" s="26">
        <v>1.24E-2</v>
      </c>
      <c r="J11680" s="26">
        <v>8.0000000000000004E-4</v>
      </c>
      <c r="L11680" s="26">
        <v>8.0000000000000004E-4</v>
      </c>
      <c r="P11680">
        <v>180</v>
      </c>
    </row>
    <row r="11681" spans="1:17" x14ac:dyDescent="0.35">
      <c r="A11681" t="s">
        <v>229</v>
      </c>
      <c r="B11681" t="s">
        <v>1347</v>
      </c>
      <c r="C11681" s="26">
        <v>0.90110000000000001</v>
      </c>
      <c r="D11681" s="26">
        <v>2.8299999999999999E-2</v>
      </c>
      <c r="E11681" s="26">
        <v>2.4E-2</v>
      </c>
      <c r="F11681" s="26">
        <v>3.3799999999999997E-2</v>
      </c>
      <c r="G11681" s="26">
        <v>1.2800000000000001E-2</v>
      </c>
      <c r="H11681" s="26">
        <v>2.07E-2</v>
      </c>
      <c r="I11681" s="26">
        <v>1.11E-2</v>
      </c>
      <c r="J11681" s="26">
        <v>8.9999999999999998E-4</v>
      </c>
      <c r="K11681" s="26">
        <v>5.9999999999999995E-4</v>
      </c>
      <c r="L11681" s="26">
        <v>1.0500000000000001E-2</v>
      </c>
      <c r="M11681" s="26">
        <v>1.0500000000000001E-2</v>
      </c>
      <c r="P11681">
        <v>297</v>
      </c>
    </row>
    <row r="11682" spans="1:17" x14ac:dyDescent="0.35">
      <c r="A11682" t="s">
        <v>229</v>
      </c>
      <c r="B11682" t="s">
        <v>1348</v>
      </c>
      <c r="C11682" s="26">
        <v>0.90059999999999996</v>
      </c>
      <c r="D11682" s="26">
        <v>3.2300000000000002E-2</v>
      </c>
      <c r="E11682" s="26">
        <v>3.4799999999999998E-2</v>
      </c>
      <c r="F11682" s="26">
        <v>3.3E-3</v>
      </c>
      <c r="G11682" s="26">
        <v>7.7999999999999996E-3</v>
      </c>
      <c r="H11682" s="26">
        <v>1.26E-2</v>
      </c>
      <c r="I11682" s="26">
        <v>1.5E-3</v>
      </c>
      <c r="J11682" s="26">
        <v>6.9999999999999999E-4</v>
      </c>
      <c r="K11682" s="26">
        <v>8.2000000000000007E-3</v>
      </c>
      <c r="P11682">
        <v>369</v>
      </c>
    </row>
    <row r="11683" spans="1:17" x14ac:dyDescent="0.35">
      <c r="A11683" t="s">
        <v>230</v>
      </c>
      <c r="B11683" t="s">
        <v>1346</v>
      </c>
      <c r="C11683" s="26">
        <v>0.74039999999999995</v>
      </c>
      <c r="D11683" s="26">
        <v>6.0900000000000003E-2</v>
      </c>
      <c r="E11683" s="26">
        <v>0.13500000000000001</v>
      </c>
      <c r="F11683" s="26">
        <v>2.75E-2</v>
      </c>
      <c r="G11683" s="26">
        <v>3.1800000000000002E-2</v>
      </c>
      <c r="H11683" s="26">
        <v>4.3E-3</v>
      </c>
      <c r="J11683" s="26">
        <v>2.75E-2</v>
      </c>
      <c r="P11683">
        <v>135</v>
      </c>
    </row>
    <row r="11684" spans="1:17" x14ac:dyDescent="0.35">
      <c r="A11684" t="s">
        <v>230</v>
      </c>
      <c r="B11684" t="s">
        <v>1348</v>
      </c>
      <c r="C11684" s="26">
        <v>0.89959999999999996</v>
      </c>
      <c r="D11684" s="26">
        <v>3.7999999999999999E-2</v>
      </c>
      <c r="E11684" s="26">
        <v>9.9000000000000008E-3</v>
      </c>
      <c r="F11684" s="26">
        <v>3.0999999999999999E-3</v>
      </c>
      <c r="G11684" s="26">
        <v>1.32E-2</v>
      </c>
      <c r="H11684" s="26">
        <v>1.9E-3</v>
      </c>
      <c r="I11684" s="26">
        <v>1.1299999999999999E-2</v>
      </c>
      <c r="J11684" s="26">
        <v>3.5999999999999999E-3</v>
      </c>
      <c r="K11684" s="26">
        <v>1.1299999999999999E-2</v>
      </c>
      <c r="L11684" s="26">
        <v>1.1299999999999999E-2</v>
      </c>
      <c r="O11684" s="26">
        <v>5.9999999999999995E-4</v>
      </c>
      <c r="P11684">
        <v>253</v>
      </c>
    </row>
    <row r="11685" spans="1:17" x14ac:dyDescent="0.35">
      <c r="A11685" t="s">
        <v>230</v>
      </c>
      <c r="B11685" t="s">
        <v>1347</v>
      </c>
      <c r="C11685" s="26">
        <v>0.86909999999999998</v>
      </c>
      <c r="D11685" s="26">
        <v>4.4600000000000001E-2</v>
      </c>
      <c r="E11685" s="26">
        <v>3.8600000000000002E-2</v>
      </c>
      <c r="F11685" s="26">
        <v>2.8400000000000002E-2</v>
      </c>
      <c r="G11685" s="26">
        <v>1.1299999999999999E-2</v>
      </c>
      <c r="H11685" s="26">
        <v>3.5000000000000001E-3</v>
      </c>
      <c r="I11685" s="26">
        <v>2.75E-2</v>
      </c>
      <c r="J11685" s="26">
        <v>2.8500000000000001E-2</v>
      </c>
      <c r="P11685">
        <v>148</v>
      </c>
    </row>
    <row r="11686" spans="1:17" x14ac:dyDescent="0.35">
      <c r="A11686" s="27" t="s">
        <v>230</v>
      </c>
      <c r="B11686" s="27" t="s">
        <v>1345</v>
      </c>
      <c r="C11686" s="28">
        <v>0.9546</v>
      </c>
      <c r="D11686" s="28">
        <v>4.5400000000000003E-2</v>
      </c>
      <c r="E11686" s="29"/>
      <c r="F11686" s="29"/>
      <c r="G11686" s="28">
        <v>4.5400000000000003E-2</v>
      </c>
      <c r="H11686" s="29"/>
      <c r="I11686" s="29"/>
      <c r="J11686" s="29"/>
      <c r="K11686" s="29"/>
      <c r="L11686" s="29"/>
      <c r="M11686" s="29"/>
      <c r="N11686" s="29"/>
      <c r="O11686" s="29"/>
      <c r="P11686" s="29" t="s">
        <v>333</v>
      </c>
    </row>
    <row r="11687" spans="1:17" x14ac:dyDescent="0.35">
      <c r="A11687" s="27" t="s">
        <v>231</v>
      </c>
      <c r="B11687" s="27" t="s">
        <v>1345</v>
      </c>
      <c r="C11687" s="28">
        <v>0.75</v>
      </c>
      <c r="D11687" s="29"/>
      <c r="E11687" s="29"/>
      <c r="F11687" s="28">
        <v>0.25</v>
      </c>
      <c r="G11687" s="29"/>
      <c r="H11687" s="29"/>
      <c r="I11687" s="29"/>
      <c r="J11687" s="29"/>
      <c r="K11687" s="29"/>
      <c r="L11687" s="29"/>
      <c r="M11687" s="29"/>
      <c r="N11687" s="29"/>
      <c r="O11687" s="29"/>
      <c r="P11687" s="29" t="s">
        <v>337</v>
      </c>
    </row>
    <row r="11688" spans="1:17" x14ac:dyDescent="0.35">
      <c r="A11688" t="s">
        <v>231</v>
      </c>
      <c r="B11688" t="s">
        <v>1346</v>
      </c>
      <c r="C11688" s="26">
        <v>0.92500000000000004</v>
      </c>
      <c r="E11688" s="26">
        <v>2.5000000000000001E-2</v>
      </c>
      <c r="F11688" s="26">
        <v>2.5000000000000001E-2</v>
      </c>
      <c r="G11688" s="26">
        <v>2.5000000000000001E-2</v>
      </c>
      <c r="H11688" s="26">
        <v>2.5000000000000001E-2</v>
      </c>
      <c r="K11688" s="26">
        <v>2.5000000000000001E-2</v>
      </c>
      <c r="P11688">
        <v>40</v>
      </c>
    </row>
    <row r="11689" spans="1:17" x14ac:dyDescent="0.35">
      <c r="A11689" t="s">
        <v>231</v>
      </c>
      <c r="B11689" t="s">
        <v>1347</v>
      </c>
      <c r="C11689" s="26">
        <v>1</v>
      </c>
      <c r="P11689">
        <v>34</v>
      </c>
    </row>
    <row r="11690" spans="1:17" x14ac:dyDescent="0.35">
      <c r="A11690" t="s">
        <v>231</v>
      </c>
      <c r="B11690" t="s">
        <v>1348</v>
      </c>
      <c r="C11690" s="26">
        <v>0.95289999999999997</v>
      </c>
      <c r="D11690" s="26">
        <v>3.5299999999999998E-2</v>
      </c>
      <c r="G11690" s="26">
        <v>1.18E-2</v>
      </c>
      <c r="P11690">
        <v>85</v>
      </c>
    </row>
    <row r="11691" spans="1:17" x14ac:dyDescent="0.35">
      <c r="A11691" t="s">
        <v>232</v>
      </c>
      <c r="B11691" t="s">
        <v>232</v>
      </c>
      <c r="C11691" s="26">
        <v>0.91120000000000001</v>
      </c>
      <c r="D11691" s="26">
        <v>2.9899999999999999E-2</v>
      </c>
      <c r="E11691" s="26">
        <v>2.8400000000000002E-2</v>
      </c>
      <c r="F11691" s="26">
        <v>1.14E-2</v>
      </c>
      <c r="G11691" s="26">
        <v>9.7000000000000003E-3</v>
      </c>
      <c r="H11691" s="26">
        <v>7.7000000000000002E-3</v>
      </c>
      <c r="I11691" s="26">
        <v>5.1000000000000004E-3</v>
      </c>
      <c r="J11691" s="26">
        <v>4.1999999999999997E-3</v>
      </c>
      <c r="K11691" s="26">
        <v>3.5000000000000001E-3</v>
      </c>
      <c r="L11691" s="26">
        <v>1.6999999999999999E-3</v>
      </c>
      <c r="M11691" s="26">
        <v>8.9999999999999998E-4</v>
      </c>
      <c r="N11691" s="26">
        <v>5.9999999999999995E-4</v>
      </c>
      <c r="O11691" s="26">
        <v>4.0000000000000002E-4</v>
      </c>
      <c r="P11691">
        <v>2746</v>
      </c>
    </row>
    <row r="11693" spans="1:17" x14ac:dyDescent="0.35">
      <c r="A11693" s="1" t="s">
        <v>1422</v>
      </c>
    </row>
    <row r="11694" spans="1:17" x14ac:dyDescent="0.35">
      <c r="A11694" t="s">
        <v>219</v>
      </c>
      <c r="B11694" t="s">
        <v>305</v>
      </c>
      <c r="C11694" t="s">
        <v>345</v>
      </c>
      <c r="D11694" t="s">
        <v>550</v>
      </c>
      <c r="E11694" t="s">
        <v>1400</v>
      </c>
      <c r="F11694" t="s">
        <v>281</v>
      </c>
      <c r="G11694" t="s">
        <v>1401</v>
      </c>
      <c r="H11694" t="s">
        <v>1402</v>
      </c>
      <c r="I11694" t="s">
        <v>1403</v>
      </c>
      <c r="J11694" t="s">
        <v>1404</v>
      </c>
      <c r="K11694" t="s">
        <v>1405</v>
      </c>
      <c r="L11694" t="s">
        <v>286</v>
      </c>
      <c r="M11694" t="s">
        <v>1406</v>
      </c>
      <c r="N11694" t="s">
        <v>1407</v>
      </c>
      <c r="O11694" t="s">
        <v>1408</v>
      </c>
      <c r="P11694" t="s">
        <v>326</v>
      </c>
      <c r="Q11694" t="s">
        <v>226</v>
      </c>
    </row>
    <row r="11695" spans="1:17" x14ac:dyDescent="0.35">
      <c r="A11695" s="27" t="s">
        <v>227</v>
      </c>
      <c r="B11695" s="27" t="s">
        <v>1341</v>
      </c>
      <c r="C11695" s="27" t="s">
        <v>1345</v>
      </c>
      <c r="D11695" s="28">
        <v>1</v>
      </c>
      <c r="E11695" s="29"/>
      <c r="F11695" s="29"/>
      <c r="G11695" s="29"/>
      <c r="H11695" s="29"/>
      <c r="I11695" s="29"/>
      <c r="J11695" s="29"/>
      <c r="K11695" s="29"/>
      <c r="L11695" s="29"/>
      <c r="M11695" s="29"/>
      <c r="N11695" s="29"/>
      <c r="O11695" s="29"/>
      <c r="P11695" s="29"/>
      <c r="Q11695" s="29" t="s">
        <v>331</v>
      </c>
    </row>
    <row r="11696" spans="1:17" x14ac:dyDescent="0.35">
      <c r="A11696" s="27" t="s">
        <v>227</v>
      </c>
      <c r="B11696" s="27" t="s">
        <v>1343</v>
      </c>
      <c r="C11696" s="27" t="s">
        <v>1346</v>
      </c>
      <c r="D11696" s="28">
        <v>1</v>
      </c>
      <c r="E11696" s="29"/>
      <c r="F11696" s="29"/>
      <c r="G11696" s="29"/>
      <c r="H11696" s="29"/>
      <c r="I11696" s="29"/>
      <c r="J11696" s="29"/>
      <c r="K11696" s="29"/>
      <c r="L11696" s="29"/>
      <c r="M11696" s="29"/>
      <c r="N11696" s="29"/>
      <c r="O11696" s="29"/>
      <c r="P11696" s="29"/>
      <c r="Q11696" s="29" t="s">
        <v>357</v>
      </c>
    </row>
    <row r="11697" spans="1:17" x14ac:dyDescent="0.35">
      <c r="A11697" t="s">
        <v>227</v>
      </c>
      <c r="B11697" t="s">
        <v>1343</v>
      </c>
      <c r="C11697" t="s">
        <v>1348</v>
      </c>
      <c r="D11697" s="26">
        <v>0.94920000000000004</v>
      </c>
      <c r="F11697" s="26">
        <v>5.0799999999999998E-2</v>
      </c>
      <c r="Q11697">
        <v>59</v>
      </c>
    </row>
    <row r="11698" spans="1:17" x14ac:dyDescent="0.35">
      <c r="A11698" s="27" t="s">
        <v>227</v>
      </c>
      <c r="B11698" s="27" t="s">
        <v>1341</v>
      </c>
      <c r="C11698" s="27" t="s">
        <v>1347</v>
      </c>
      <c r="D11698" s="28">
        <v>1</v>
      </c>
      <c r="E11698" s="29"/>
      <c r="F11698" s="29"/>
      <c r="G11698" s="29"/>
      <c r="H11698" s="29"/>
      <c r="I11698" s="29"/>
      <c r="J11698" s="29"/>
      <c r="K11698" s="29"/>
      <c r="L11698" s="29"/>
      <c r="M11698" s="29"/>
      <c r="N11698" s="29"/>
      <c r="O11698" s="29"/>
      <c r="P11698" s="29"/>
      <c r="Q11698" s="29" t="s">
        <v>341</v>
      </c>
    </row>
    <row r="11699" spans="1:17" x14ac:dyDescent="0.35">
      <c r="A11699" s="27" t="s">
        <v>227</v>
      </c>
      <c r="B11699" s="27" t="s">
        <v>1343</v>
      </c>
      <c r="C11699" s="27" t="s">
        <v>1347</v>
      </c>
      <c r="D11699" s="28">
        <v>0.86360000000000003</v>
      </c>
      <c r="E11699" s="28">
        <v>4.5499999999999999E-2</v>
      </c>
      <c r="F11699" s="29"/>
      <c r="G11699" s="28">
        <v>4.5499999999999999E-2</v>
      </c>
      <c r="H11699" s="29"/>
      <c r="I11699" s="28">
        <v>4.5499999999999999E-2</v>
      </c>
      <c r="J11699" s="29"/>
      <c r="K11699" s="29"/>
      <c r="L11699" s="29"/>
      <c r="M11699" s="29"/>
      <c r="N11699" s="29"/>
      <c r="O11699" s="29"/>
      <c r="P11699" s="29"/>
      <c r="Q11699" s="29" t="s">
        <v>347</v>
      </c>
    </row>
    <row r="11700" spans="1:17" x14ac:dyDescent="0.35">
      <c r="A11700" s="27" t="s">
        <v>227</v>
      </c>
      <c r="B11700" s="27" t="s">
        <v>1343</v>
      </c>
      <c r="C11700" s="27" t="s">
        <v>1345</v>
      </c>
      <c r="D11700" s="28">
        <v>1</v>
      </c>
      <c r="E11700" s="29"/>
      <c r="F11700" s="29"/>
      <c r="G11700" s="29"/>
      <c r="H11700" s="29"/>
      <c r="I11700" s="29"/>
      <c r="J11700" s="29"/>
      <c r="K11700" s="29"/>
      <c r="L11700" s="29"/>
      <c r="M11700" s="29"/>
      <c r="N11700" s="29"/>
      <c r="O11700" s="29"/>
      <c r="P11700" s="29"/>
      <c r="Q11700" s="29" t="s">
        <v>331</v>
      </c>
    </row>
    <row r="11701" spans="1:17" x14ac:dyDescent="0.35">
      <c r="A11701" s="27" t="s">
        <v>227</v>
      </c>
      <c r="B11701" s="27" t="s">
        <v>1342</v>
      </c>
      <c r="C11701" s="27" t="s">
        <v>1348</v>
      </c>
      <c r="D11701" s="28">
        <v>1</v>
      </c>
      <c r="E11701" s="29"/>
      <c r="F11701" s="29"/>
      <c r="G11701" s="29"/>
      <c r="H11701" s="29"/>
      <c r="I11701" s="29"/>
      <c r="J11701" s="29"/>
      <c r="K11701" s="29"/>
      <c r="L11701" s="29"/>
      <c r="M11701" s="29"/>
      <c r="N11701" s="29"/>
      <c r="O11701" s="29"/>
      <c r="P11701" s="29"/>
      <c r="Q11701" s="29" t="s">
        <v>331</v>
      </c>
    </row>
    <row r="11702" spans="1:17" x14ac:dyDescent="0.35">
      <c r="A11702" s="27" t="s">
        <v>227</v>
      </c>
      <c r="B11702" s="27" t="s">
        <v>1341</v>
      </c>
      <c r="C11702" s="27" t="s">
        <v>1348</v>
      </c>
      <c r="D11702" s="28">
        <v>1</v>
      </c>
      <c r="E11702" s="29"/>
      <c r="F11702" s="29"/>
      <c r="G11702" s="29"/>
      <c r="H11702" s="29"/>
      <c r="I11702" s="29"/>
      <c r="J11702" s="29"/>
      <c r="K11702" s="29"/>
      <c r="L11702" s="29"/>
      <c r="M11702" s="29"/>
      <c r="N11702" s="29"/>
      <c r="O11702" s="29"/>
      <c r="P11702" s="29"/>
      <c r="Q11702" s="29" t="s">
        <v>351</v>
      </c>
    </row>
    <row r="11703" spans="1:17" x14ac:dyDescent="0.35">
      <c r="A11703" s="27" t="s">
        <v>227</v>
      </c>
      <c r="B11703" s="27" t="s">
        <v>1341</v>
      </c>
      <c r="C11703" s="27" t="s">
        <v>1346</v>
      </c>
      <c r="D11703" s="28">
        <v>0.92310000000000003</v>
      </c>
      <c r="E11703" s="28">
        <v>7.6899999999999996E-2</v>
      </c>
      <c r="F11703" s="29"/>
      <c r="G11703" s="29"/>
      <c r="H11703" s="29"/>
      <c r="I11703" s="29"/>
      <c r="J11703" s="29"/>
      <c r="K11703" s="29"/>
      <c r="L11703" s="29"/>
      <c r="M11703" s="29"/>
      <c r="N11703" s="29"/>
      <c r="O11703" s="29"/>
      <c r="P11703" s="29"/>
      <c r="Q11703" s="29" t="s">
        <v>341</v>
      </c>
    </row>
    <row r="11704" spans="1:17" x14ac:dyDescent="0.35">
      <c r="A11704" t="s">
        <v>228</v>
      </c>
      <c r="B11704" t="s">
        <v>1343</v>
      </c>
      <c r="C11704" t="s">
        <v>1348</v>
      </c>
      <c r="D11704" s="26">
        <v>0.85929999999999995</v>
      </c>
      <c r="E11704" s="26">
        <v>3.8699999999999998E-2</v>
      </c>
      <c r="F11704" s="26">
        <v>5.0099999999999999E-2</v>
      </c>
      <c r="G11704" s="26">
        <v>2.0299999999999999E-2</v>
      </c>
      <c r="H11704" s="26">
        <v>5.8999999999999999E-3</v>
      </c>
      <c r="I11704" s="26">
        <v>7.7000000000000002E-3</v>
      </c>
      <c r="J11704" s="26">
        <v>1.66E-2</v>
      </c>
      <c r="K11704" s="26">
        <v>1.9400000000000001E-2</v>
      </c>
      <c r="O11704" s="26">
        <v>2.5000000000000001E-3</v>
      </c>
      <c r="P11704" s="26">
        <v>2.5000000000000001E-3</v>
      </c>
      <c r="Q11704">
        <v>345</v>
      </c>
    </row>
    <row r="11705" spans="1:17" x14ac:dyDescent="0.35">
      <c r="A11705" t="s">
        <v>228</v>
      </c>
      <c r="B11705" t="s">
        <v>1343</v>
      </c>
      <c r="C11705" t="s">
        <v>1347</v>
      </c>
      <c r="D11705" s="26">
        <v>0.85770000000000002</v>
      </c>
      <c r="E11705" s="26">
        <v>5.6000000000000001E-2</v>
      </c>
      <c r="F11705" s="26">
        <v>3.09E-2</v>
      </c>
      <c r="G11705" s="26">
        <v>3.0000000000000001E-3</v>
      </c>
      <c r="H11705" s="26">
        <v>2.75E-2</v>
      </c>
      <c r="I11705" s="26">
        <v>1.3100000000000001E-2</v>
      </c>
      <c r="J11705" s="26">
        <v>1.14E-2</v>
      </c>
      <c r="K11705" s="26">
        <v>3.3999999999999998E-3</v>
      </c>
      <c r="L11705" s="26">
        <v>3.3999999999999998E-3</v>
      </c>
      <c r="P11705" s="26">
        <v>4.4999999999999997E-3</v>
      </c>
      <c r="Q11705">
        <v>126</v>
      </c>
    </row>
    <row r="11706" spans="1:17" x14ac:dyDescent="0.35">
      <c r="A11706" s="27" t="s">
        <v>228</v>
      </c>
      <c r="B11706" s="27" t="s">
        <v>1343</v>
      </c>
      <c r="C11706" s="27" t="s">
        <v>1345</v>
      </c>
      <c r="D11706" s="28">
        <v>0.77859999999999996</v>
      </c>
      <c r="E11706" s="29"/>
      <c r="F11706" s="29"/>
      <c r="G11706" s="29"/>
      <c r="H11706" s="28">
        <v>0.22140000000000001</v>
      </c>
      <c r="I11706" s="29"/>
      <c r="J11706" s="29"/>
      <c r="K11706" s="29"/>
      <c r="L11706" s="29"/>
      <c r="M11706" s="29"/>
      <c r="N11706" s="29"/>
      <c r="O11706" s="29"/>
      <c r="P11706" s="29"/>
      <c r="Q11706" s="29" t="s">
        <v>335</v>
      </c>
    </row>
    <row r="11707" spans="1:17" x14ac:dyDescent="0.35">
      <c r="A11707" t="s">
        <v>228</v>
      </c>
      <c r="B11707" t="s">
        <v>1341</v>
      </c>
      <c r="C11707" t="s">
        <v>1346</v>
      </c>
      <c r="D11707" s="26">
        <v>0.93100000000000005</v>
      </c>
      <c r="E11707" s="26">
        <v>1.7299999999999999E-2</v>
      </c>
      <c r="F11707" s="26">
        <v>4.48E-2</v>
      </c>
      <c r="J11707" s="26">
        <v>7.0000000000000001E-3</v>
      </c>
      <c r="Q11707">
        <v>46</v>
      </c>
    </row>
    <row r="11708" spans="1:17" x14ac:dyDescent="0.35">
      <c r="A11708" t="s">
        <v>228</v>
      </c>
      <c r="B11708" t="s">
        <v>1341</v>
      </c>
      <c r="C11708" t="s">
        <v>1348</v>
      </c>
      <c r="D11708" s="26">
        <v>0.83479999999999999</v>
      </c>
      <c r="E11708" s="26">
        <v>0.1069</v>
      </c>
      <c r="F11708" s="26">
        <v>3.4700000000000002E-2</v>
      </c>
      <c r="G11708" s="26">
        <v>9.4999999999999998E-3</v>
      </c>
      <c r="H11708" s="26">
        <v>1.0999999999999999E-2</v>
      </c>
      <c r="I11708" s="26">
        <v>4.5999999999999999E-3</v>
      </c>
      <c r="J11708" s="26">
        <v>4.5999999999999999E-3</v>
      </c>
      <c r="K11708" s="26">
        <v>1.54E-2</v>
      </c>
      <c r="O11708" s="26">
        <v>4.5999999999999999E-3</v>
      </c>
      <c r="Q11708">
        <v>172</v>
      </c>
    </row>
    <row r="11709" spans="1:17" x14ac:dyDescent="0.35">
      <c r="A11709" s="27" t="s">
        <v>228</v>
      </c>
      <c r="B11709" s="27" t="s">
        <v>1342</v>
      </c>
      <c r="C11709" s="27" t="s">
        <v>1348</v>
      </c>
      <c r="D11709" s="28">
        <v>1</v>
      </c>
      <c r="E11709" s="29"/>
      <c r="F11709" s="29"/>
      <c r="G11709" s="29"/>
      <c r="H11709" s="29"/>
      <c r="I11709" s="29"/>
      <c r="J11709" s="29"/>
      <c r="K11709" s="29"/>
      <c r="L11709" s="29"/>
      <c r="M11709" s="29"/>
      <c r="N11709" s="29"/>
      <c r="O11709" s="29"/>
      <c r="P11709" s="29"/>
      <c r="Q11709" s="29" t="s">
        <v>331</v>
      </c>
    </row>
    <row r="11710" spans="1:17" x14ac:dyDescent="0.35">
      <c r="A11710" t="s">
        <v>228</v>
      </c>
      <c r="B11710" t="s">
        <v>1343</v>
      </c>
      <c r="C11710" t="s">
        <v>1346</v>
      </c>
      <c r="D11710" s="26">
        <v>0.86</v>
      </c>
      <c r="E11710" s="26">
        <v>1.9400000000000001E-2</v>
      </c>
      <c r="F11710" s="26">
        <v>0.1031</v>
      </c>
      <c r="G11710" s="26">
        <v>1.1000000000000001E-3</v>
      </c>
      <c r="H11710" s="26">
        <v>8.6E-3</v>
      </c>
      <c r="I11710" s="26">
        <v>1.6000000000000001E-3</v>
      </c>
      <c r="J11710" s="26">
        <v>2.5000000000000001E-3</v>
      </c>
      <c r="K11710" s="26">
        <v>4.8999999999999998E-3</v>
      </c>
      <c r="Q11710">
        <v>235</v>
      </c>
    </row>
    <row r="11711" spans="1:17" x14ac:dyDescent="0.35">
      <c r="A11711" t="s">
        <v>228</v>
      </c>
      <c r="B11711" t="s">
        <v>1341</v>
      </c>
      <c r="C11711" t="s">
        <v>1347</v>
      </c>
      <c r="D11711" s="26">
        <v>0.80420000000000003</v>
      </c>
      <c r="E11711" s="26">
        <v>0.14779999999999999</v>
      </c>
      <c r="G11711" s="26">
        <v>2.7099999999999999E-2</v>
      </c>
      <c r="I11711" s="26">
        <v>8.6E-3</v>
      </c>
      <c r="J11711" s="26">
        <v>6.4999999999999997E-3</v>
      </c>
      <c r="K11711" s="26">
        <v>1.3100000000000001E-2</v>
      </c>
      <c r="L11711" s="26">
        <v>8.6E-3</v>
      </c>
      <c r="P11711" s="26">
        <v>5.7000000000000002E-3</v>
      </c>
      <c r="Q11711">
        <v>74</v>
      </c>
    </row>
    <row r="11712" spans="1:17" x14ac:dyDescent="0.35">
      <c r="A11712" s="27" t="s">
        <v>228</v>
      </c>
      <c r="B11712" s="27" t="s">
        <v>1341</v>
      </c>
      <c r="C11712" s="27" t="s">
        <v>1345</v>
      </c>
      <c r="D11712" s="28">
        <v>0.754</v>
      </c>
      <c r="E11712" s="28">
        <v>0.1817</v>
      </c>
      <c r="F11712" s="29"/>
      <c r="G11712" s="28">
        <v>6.4299999999999996E-2</v>
      </c>
      <c r="H11712" s="29"/>
      <c r="I11712" s="28">
        <v>0.1817</v>
      </c>
      <c r="J11712" s="28">
        <v>0.1817</v>
      </c>
      <c r="K11712" s="28">
        <v>0.1817</v>
      </c>
      <c r="L11712" s="29"/>
      <c r="M11712" s="28">
        <v>0.1817</v>
      </c>
      <c r="N11712" s="29"/>
      <c r="O11712" s="28">
        <v>0.1817</v>
      </c>
      <c r="P11712" s="29"/>
      <c r="Q11712" s="29" t="s">
        <v>332</v>
      </c>
    </row>
    <row r="11713" spans="1:17" x14ac:dyDescent="0.35">
      <c r="A11713" t="s">
        <v>229</v>
      </c>
      <c r="B11713" t="s">
        <v>1343</v>
      </c>
      <c r="C11713" t="s">
        <v>1348</v>
      </c>
      <c r="D11713" s="26">
        <v>0.93</v>
      </c>
      <c r="E11713" s="26">
        <v>2.4199999999999999E-2</v>
      </c>
      <c r="F11713" s="26">
        <v>3.0200000000000001E-2</v>
      </c>
      <c r="G11713" s="26">
        <v>2.8E-3</v>
      </c>
      <c r="H11713" s="26">
        <v>1.6999999999999999E-3</v>
      </c>
      <c r="I11713" s="26">
        <v>8.5000000000000006E-3</v>
      </c>
      <c r="J11713" s="26">
        <v>1.1000000000000001E-3</v>
      </c>
      <c r="K11713" s="26">
        <v>1.1000000000000001E-3</v>
      </c>
      <c r="L11713" s="26">
        <v>2.2000000000000001E-3</v>
      </c>
      <c r="Q11713">
        <v>265</v>
      </c>
    </row>
    <row r="11714" spans="1:17" x14ac:dyDescent="0.35">
      <c r="A11714" t="s">
        <v>229</v>
      </c>
      <c r="B11714" t="s">
        <v>1341</v>
      </c>
      <c r="C11714" t="s">
        <v>1346</v>
      </c>
      <c r="D11714" s="26">
        <v>0.93340000000000001</v>
      </c>
      <c r="E11714" s="26">
        <v>8.6999999999999994E-3</v>
      </c>
      <c r="F11714" s="26">
        <v>8.6999999999999994E-3</v>
      </c>
      <c r="G11714" s="26">
        <v>5.7000000000000002E-3</v>
      </c>
      <c r="J11714" s="26">
        <v>4.36E-2</v>
      </c>
      <c r="Q11714">
        <v>53</v>
      </c>
    </row>
    <row r="11715" spans="1:17" x14ac:dyDescent="0.35">
      <c r="A11715" t="s">
        <v>229</v>
      </c>
      <c r="B11715" t="s">
        <v>1341</v>
      </c>
      <c r="C11715" t="s">
        <v>1347</v>
      </c>
      <c r="D11715" s="26">
        <v>0.85550000000000004</v>
      </c>
      <c r="E11715" s="26">
        <v>4.2700000000000002E-2</v>
      </c>
      <c r="F11715" s="26">
        <v>3.6499999999999998E-2</v>
      </c>
      <c r="G11715" s="26">
        <v>3.3599999999999998E-2</v>
      </c>
      <c r="H11715" s="26">
        <v>3.1800000000000002E-2</v>
      </c>
      <c r="I11715" s="26">
        <v>3.2800000000000003E-2</v>
      </c>
      <c r="J11715" s="26">
        <v>3.1800000000000002E-2</v>
      </c>
      <c r="K11715" s="26">
        <v>1.8E-3</v>
      </c>
      <c r="M11715" s="26">
        <v>3.1800000000000002E-2</v>
      </c>
      <c r="N11715" s="26">
        <v>3.1800000000000002E-2</v>
      </c>
      <c r="Q11715">
        <v>99</v>
      </c>
    </row>
    <row r="11716" spans="1:17" x14ac:dyDescent="0.35">
      <c r="A11716" t="s">
        <v>229</v>
      </c>
      <c r="B11716" t="s">
        <v>1343</v>
      </c>
      <c r="C11716" t="s">
        <v>1346</v>
      </c>
      <c r="D11716" s="26">
        <v>0.90939999999999999</v>
      </c>
      <c r="E11716" s="26">
        <v>2.4199999999999999E-2</v>
      </c>
      <c r="F11716" s="26">
        <v>6.6400000000000001E-2</v>
      </c>
      <c r="H11716" s="26">
        <v>1.1999999999999999E-3</v>
      </c>
      <c r="K11716" s="26">
        <v>1.1999999999999999E-3</v>
      </c>
      <c r="M11716" s="26">
        <v>1.1999999999999999E-3</v>
      </c>
      <c r="Q11716">
        <v>127</v>
      </c>
    </row>
    <row r="11717" spans="1:17" x14ac:dyDescent="0.35">
      <c r="A11717" t="s">
        <v>229</v>
      </c>
      <c r="B11717" t="s">
        <v>1343</v>
      </c>
      <c r="C11717" t="s">
        <v>1347</v>
      </c>
      <c r="D11717" s="26">
        <v>0.92349999999999999</v>
      </c>
      <c r="E11717" s="26">
        <v>2.1299999999999999E-2</v>
      </c>
      <c r="F11717" s="26">
        <v>1.78E-2</v>
      </c>
      <c r="G11717" s="26">
        <v>3.39E-2</v>
      </c>
      <c r="H11717" s="26">
        <v>3.5000000000000001E-3</v>
      </c>
      <c r="I11717" s="26">
        <v>1.47E-2</v>
      </c>
      <c r="J11717" s="26">
        <v>8.9999999999999998E-4</v>
      </c>
      <c r="K11717" s="26">
        <v>5.0000000000000001E-4</v>
      </c>
      <c r="L11717" s="26">
        <v>8.9999999999999998E-4</v>
      </c>
      <c r="Q11717">
        <v>198</v>
      </c>
    </row>
    <row r="11718" spans="1:17" x14ac:dyDescent="0.35">
      <c r="A11718" s="27" t="s">
        <v>229</v>
      </c>
      <c r="B11718" s="27" t="s">
        <v>1341</v>
      </c>
      <c r="C11718" s="27" t="s">
        <v>1345</v>
      </c>
      <c r="D11718" s="28">
        <v>0.98509999999999998</v>
      </c>
      <c r="E11718" s="29"/>
      <c r="F11718" s="29"/>
      <c r="G11718" s="29"/>
      <c r="H11718" s="28">
        <v>1.49E-2</v>
      </c>
      <c r="I11718" s="29"/>
      <c r="J11718" s="29"/>
      <c r="K11718" s="29"/>
      <c r="L11718" s="29"/>
      <c r="M11718" s="29"/>
      <c r="N11718" s="29"/>
      <c r="O11718" s="29"/>
      <c r="P11718" s="29"/>
      <c r="Q11718" s="29" t="s">
        <v>334</v>
      </c>
    </row>
    <row r="11719" spans="1:17" x14ac:dyDescent="0.35">
      <c r="A11719" s="27" t="s">
        <v>229</v>
      </c>
      <c r="B11719" s="27" t="s">
        <v>1343</v>
      </c>
      <c r="C11719" s="27" t="s">
        <v>1345</v>
      </c>
      <c r="D11719" s="28">
        <v>0.99429999999999996</v>
      </c>
      <c r="E11719" s="29"/>
      <c r="F11719" s="29"/>
      <c r="G11719" s="28">
        <v>5.7000000000000002E-3</v>
      </c>
      <c r="H11719" s="29"/>
      <c r="I11719" s="29"/>
      <c r="J11719" s="29"/>
      <c r="K11719" s="29"/>
      <c r="L11719" s="29"/>
      <c r="M11719" s="29"/>
      <c r="N11719" s="29"/>
      <c r="O11719" s="29"/>
      <c r="P11719" s="29"/>
      <c r="Q11719" s="29" t="s">
        <v>343</v>
      </c>
    </row>
    <row r="11720" spans="1:17" x14ac:dyDescent="0.35">
      <c r="A11720" t="s">
        <v>229</v>
      </c>
      <c r="B11720" t="s">
        <v>1341</v>
      </c>
      <c r="C11720" t="s">
        <v>1348</v>
      </c>
      <c r="D11720" s="26">
        <v>0.84240000000000004</v>
      </c>
      <c r="E11720" s="26">
        <v>4.8500000000000001E-2</v>
      </c>
      <c r="F11720" s="26">
        <v>4.41E-2</v>
      </c>
      <c r="G11720" s="26">
        <v>4.4000000000000003E-3</v>
      </c>
      <c r="H11720" s="26">
        <v>0.02</v>
      </c>
      <c r="I11720" s="26">
        <v>2.07E-2</v>
      </c>
      <c r="J11720" s="26">
        <v>2.2000000000000001E-3</v>
      </c>
      <c r="L11720" s="26">
        <v>0.02</v>
      </c>
      <c r="Q11720">
        <v>104</v>
      </c>
    </row>
    <row r="11721" spans="1:17" x14ac:dyDescent="0.35">
      <c r="A11721" t="s">
        <v>230</v>
      </c>
      <c r="B11721" t="s">
        <v>1343</v>
      </c>
      <c r="C11721" t="s">
        <v>1346</v>
      </c>
      <c r="D11721" s="26">
        <v>0.63939999999999997</v>
      </c>
      <c r="E11721" s="26">
        <v>8.1799999999999998E-2</v>
      </c>
      <c r="F11721" s="26">
        <v>0.18679999999999999</v>
      </c>
      <c r="G11721" s="26">
        <v>3.9800000000000002E-2</v>
      </c>
      <c r="H11721" s="26">
        <v>4.5999999999999999E-2</v>
      </c>
      <c r="I11721" s="26">
        <v>6.1999999999999998E-3</v>
      </c>
      <c r="K11721" s="26">
        <v>3.9800000000000002E-2</v>
      </c>
      <c r="Q11721">
        <v>106</v>
      </c>
    </row>
    <row r="11722" spans="1:17" x14ac:dyDescent="0.35">
      <c r="A11722" s="27" t="s">
        <v>230</v>
      </c>
      <c r="B11722" s="27" t="s">
        <v>1341</v>
      </c>
      <c r="C11722" s="27" t="s">
        <v>1345</v>
      </c>
      <c r="D11722" s="28">
        <v>0.92769999999999997</v>
      </c>
      <c r="E11722" s="28">
        <v>7.2300000000000003E-2</v>
      </c>
      <c r="F11722" s="29"/>
      <c r="G11722" s="29"/>
      <c r="H11722" s="28">
        <v>7.2300000000000003E-2</v>
      </c>
      <c r="I11722" s="29"/>
      <c r="J11722" s="29"/>
      <c r="K11722" s="29"/>
      <c r="L11722" s="29"/>
      <c r="M11722" s="29"/>
      <c r="N11722" s="29"/>
      <c r="O11722" s="29"/>
      <c r="P11722" s="29"/>
      <c r="Q11722" s="29" t="s">
        <v>337</v>
      </c>
    </row>
    <row r="11723" spans="1:17" x14ac:dyDescent="0.35">
      <c r="A11723" t="s">
        <v>230</v>
      </c>
      <c r="B11723" t="s">
        <v>1343</v>
      </c>
      <c r="C11723" t="s">
        <v>1348</v>
      </c>
      <c r="D11723" s="26">
        <v>0.92310000000000003</v>
      </c>
      <c r="E11723" s="26">
        <v>2.76E-2</v>
      </c>
      <c r="F11723" s="26">
        <v>8.6999999999999994E-3</v>
      </c>
      <c r="G11723" s="26">
        <v>4.1999999999999997E-3</v>
      </c>
      <c r="H11723" s="26">
        <v>1.5599999999999999E-2</v>
      </c>
      <c r="I11723" s="26">
        <v>2.5999999999999999E-3</v>
      </c>
      <c r="J11723" s="26">
        <v>1.5599999999999999E-2</v>
      </c>
      <c r="K11723" s="26">
        <v>3.3999999999999998E-3</v>
      </c>
      <c r="P11723" s="26">
        <v>8.0000000000000004E-4</v>
      </c>
      <c r="Q11723">
        <v>180</v>
      </c>
    </row>
    <row r="11724" spans="1:17" x14ac:dyDescent="0.35">
      <c r="A11724" t="s">
        <v>230</v>
      </c>
      <c r="B11724" t="s">
        <v>1343</v>
      </c>
      <c r="C11724" t="s">
        <v>1347</v>
      </c>
      <c r="D11724" s="26">
        <v>0.83389999999999997</v>
      </c>
      <c r="E11724" s="26">
        <v>5.1499999999999997E-2</v>
      </c>
      <c r="F11724" s="26">
        <v>4.7899999999999998E-2</v>
      </c>
      <c r="G11724" s="26">
        <v>4.2799999999999998E-2</v>
      </c>
      <c r="H11724" s="26">
        <v>1.1900000000000001E-2</v>
      </c>
      <c r="J11724" s="26">
        <v>4.1399999999999999E-2</v>
      </c>
      <c r="K11724" s="26">
        <v>3.78E-2</v>
      </c>
      <c r="Q11724">
        <v>104</v>
      </c>
    </row>
    <row r="11725" spans="1:17" x14ac:dyDescent="0.35">
      <c r="A11725" t="s">
        <v>230</v>
      </c>
      <c r="B11725" t="s">
        <v>1341</v>
      </c>
      <c r="C11725" t="s">
        <v>1348</v>
      </c>
      <c r="D11725" s="26">
        <v>0.83799999999999997</v>
      </c>
      <c r="E11725" s="26">
        <v>6.5299999999999997E-2</v>
      </c>
      <c r="F11725" s="26">
        <v>1.3100000000000001E-2</v>
      </c>
      <c r="H11725" s="26">
        <v>6.7000000000000002E-3</v>
      </c>
      <c r="K11725" s="26">
        <v>4.1000000000000003E-3</v>
      </c>
      <c r="L11725" s="26">
        <v>4.0800000000000003E-2</v>
      </c>
      <c r="M11725" s="26">
        <v>4.0800000000000003E-2</v>
      </c>
      <c r="Q11725">
        <v>73</v>
      </c>
    </row>
    <row r="11726" spans="1:17" x14ac:dyDescent="0.35">
      <c r="A11726" t="s">
        <v>230</v>
      </c>
      <c r="B11726" t="s">
        <v>1341</v>
      </c>
      <c r="C11726" t="s">
        <v>1347</v>
      </c>
      <c r="D11726" s="26">
        <v>0.93879999999999997</v>
      </c>
      <c r="E11726" s="26">
        <v>3.09E-2</v>
      </c>
      <c r="F11726" s="26">
        <v>2.0199999999999999E-2</v>
      </c>
      <c r="H11726" s="26">
        <v>1.01E-2</v>
      </c>
      <c r="I11726" s="26">
        <v>1.04E-2</v>
      </c>
      <c r="K11726" s="26">
        <v>1.01E-2</v>
      </c>
      <c r="Q11726">
        <v>44</v>
      </c>
    </row>
    <row r="11727" spans="1:17" x14ac:dyDescent="0.35">
      <c r="A11727" s="27" t="s">
        <v>230</v>
      </c>
      <c r="B11727" s="27" t="s">
        <v>1343</v>
      </c>
      <c r="C11727" s="27" t="s">
        <v>1345</v>
      </c>
      <c r="D11727" s="28">
        <v>1</v>
      </c>
      <c r="E11727" s="29"/>
      <c r="F11727" s="29"/>
      <c r="G11727" s="29"/>
      <c r="H11727" s="29"/>
      <c r="I11727" s="29"/>
      <c r="J11727" s="29"/>
      <c r="K11727" s="29"/>
      <c r="L11727" s="29"/>
      <c r="M11727" s="29"/>
      <c r="N11727" s="29"/>
      <c r="O11727" s="29"/>
      <c r="P11727" s="29"/>
      <c r="Q11727" s="29" t="s">
        <v>337</v>
      </c>
    </row>
    <row r="11728" spans="1:17" x14ac:dyDescent="0.35">
      <c r="A11728" s="27" t="s">
        <v>230</v>
      </c>
      <c r="B11728" s="27" t="s">
        <v>1341</v>
      </c>
      <c r="C11728" s="27" t="s">
        <v>1346</v>
      </c>
      <c r="D11728" s="28">
        <v>0.96730000000000005</v>
      </c>
      <c r="E11728" s="28">
        <v>1.4E-2</v>
      </c>
      <c r="F11728" s="28">
        <v>1.8700000000000001E-2</v>
      </c>
      <c r="G11728" s="29"/>
      <c r="H11728" s="29"/>
      <c r="I11728" s="29"/>
      <c r="J11728" s="29"/>
      <c r="K11728" s="29"/>
      <c r="L11728" s="29"/>
      <c r="M11728" s="29"/>
      <c r="N11728" s="29"/>
      <c r="O11728" s="29"/>
      <c r="P11728" s="29"/>
      <c r="Q11728" s="29" t="s">
        <v>329</v>
      </c>
    </row>
    <row r="11729" spans="1:17" x14ac:dyDescent="0.35">
      <c r="A11729" t="s">
        <v>231</v>
      </c>
      <c r="B11729" t="s">
        <v>1343</v>
      </c>
      <c r="C11729" t="s">
        <v>1348</v>
      </c>
      <c r="D11729" s="26">
        <v>0.94</v>
      </c>
      <c r="E11729" s="26">
        <v>0.04</v>
      </c>
      <c r="H11729" s="26">
        <v>0.02</v>
      </c>
      <c r="Q11729">
        <v>50</v>
      </c>
    </row>
    <row r="11730" spans="1:17" x14ac:dyDescent="0.35">
      <c r="A11730" s="27" t="s">
        <v>231</v>
      </c>
      <c r="B11730" s="27" t="s">
        <v>1343</v>
      </c>
      <c r="C11730" s="27" t="s">
        <v>1345</v>
      </c>
      <c r="D11730" s="28">
        <v>0.66669999999999996</v>
      </c>
      <c r="E11730" s="29"/>
      <c r="F11730" s="29"/>
      <c r="G11730" s="28">
        <v>0.33329999999999999</v>
      </c>
      <c r="H11730" s="29"/>
      <c r="I11730" s="29"/>
      <c r="J11730" s="29"/>
      <c r="K11730" s="29"/>
      <c r="L11730" s="29"/>
      <c r="M11730" s="29"/>
      <c r="N11730" s="29"/>
      <c r="O11730" s="29"/>
      <c r="P11730" s="29"/>
      <c r="Q11730" s="29" t="s">
        <v>315</v>
      </c>
    </row>
    <row r="11731" spans="1:17" x14ac:dyDescent="0.35">
      <c r="A11731" t="s">
        <v>231</v>
      </c>
      <c r="B11731" t="s">
        <v>1341</v>
      </c>
      <c r="C11731" t="s">
        <v>1348</v>
      </c>
      <c r="D11731" s="26">
        <v>0.97140000000000004</v>
      </c>
      <c r="E11731" s="26">
        <v>2.86E-2</v>
      </c>
      <c r="Q11731">
        <v>35</v>
      </c>
    </row>
    <row r="11732" spans="1:17" x14ac:dyDescent="0.35">
      <c r="A11732" s="27" t="s">
        <v>231</v>
      </c>
      <c r="B11732" s="27" t="s">
        <v>1341</v>
      </c>
      <c r="C11732" s="27" t="s">
        <v>1345</v>
      </c>
      <c r="D11732" s="28">
        <v>1</v>
      </c>
      <c r="E11732" s="29"/>
      <c r="F11732" s="29"/>
      <c r="G11732" s="29"/>
      <c r="H11732" s="29"/>
      <c r="I11732" s="29"/>
      <c r="J11732" s="29"/>
      <c r="K11732" s="29"/>
      <c r="L11732" s="29"/>
      <c r="M11732" s="29"/>
      <c r="N11732" s="29"/>
      <c r="O11732" s="29"/>
      <c r="P11732" s="29"/>
      <c r="Q11732" s="29" t="s">
        <v>331</v>
      </c>
    </row>
    <row r="11733" spans="1:17" x14ac:dyDescent="0.35">
      <c r="A11733" s="27" t="s">
        <v>231</v>
      </c>
      <c r="B11733" s="27" t="s">
        <v>1343</v>
      </c>
      <c r="C11733" s="27" t="s">
        <v>1346</v>
      </c>
      <c r="D11733" s="28">
        <v>0.92310000000000003</v>
      </c>
      <c r="E11733" s="29"/>
      <c r="F11733" s="28">
        <v>3.85E-2</v>
      </c>
      <c r="G11733" s="28">
        <v>3.85E-2</v>
      </c>
      <c r="H11733" s="28">
        <v>3.85E-2</v>
      </c>
      <c r="I11733" s="28">
        <v>3.85E-2</v>
      </c>
      <c r="J11733" s="29"/>
      <c r="K11733" s="29"/>
      <c r="L11733" s="29"/>
      <c r="M11733" s="29"/>
      <c r="N11733" s="29"/>
      <c r="O11733" s="29"/>
      <c r="P11733" s="29"/>
      <c r="Q11733" s="29" t="s">
        <v>357</v>
      </c>
    </row>
    <row r="11734" spans="1:17" x14ac:dyDescent="0.35">
      <c r="A11734" s="27" t="s">
        <v>231</v>
      </c>
      <c r="B11734" s="27" t="s">
        <v>1341</v>
      </c>
      <c r="C11734" s="27" t="s">
        <v>1346</v>
      </c>
      <c r="D11734" s="28">
        <v>0.92859999999999998</v>
      </c>
      <c r="E11734" s="29"/>
      <c r="F11734" s="29"/>
      <c r="G11734" s="29"/>
      <c r="H11734" s="29"/>
      <c r="I11734" s="29"/>
      <c r="J11734" s="29"/>
      <c r="K11734" s="29"/>
      <c r="L11734" s="28">
        <v>7.1400000000000005E-2</v>
      </c>
      <c r="M11734" s="29"/>
      <c r="N11734" s="29"/>
      <c r="O11734" s="29"/>
      <c r="P11734" s="29"/>
      <c r="Q11734" s="29" t="s">
        <v>379</v>
      </c>
    </row>
    <row r="11735" spans="1:17" x14ac:dyDescent="0.35">
      <c r="A11735" s="27" t="s">
        <v>231</v>
      </c>
      <c r="B11735" s="27" t="s">
        <v>1341</v>
      </c>
      <c r="C11735" s="27" t="s">
        <v>1347</v>
      </c>
      <c r="D11735" s="28">
        <v>1</v>
      </c>
      <c r="E11735" s="29"/>
      <c r="F11735" s="29"/>
      <c r="G11735" s="29"/>
      <c r="H11735" s="29"/>
      <c r="I11735" s="29"/>
      <c r="J11735" s="29"/>
      <c r="K11735" s="29"/>
      <c r="L11735" s="29"/>
      <c r="M11735" s="29"/>
      <c r="N11735" s="29"/>
      <c r="O11735" s="29"/>
      <c r="P11735" s="29"/>
      <c r="Q11735" s="29" t="s">
        <v>379</v>
      </c>
    </row>
    <row r="11736" spans="1:17" x14ac:dyDescent="0.35">
      <c r="A11736" s="27" t="s">
        <v>231</v>
      </c>
      <c r="B11736" s="27" t="s">
        <v>1343</v>
      </c>
      <c r="C11736" s="27" t="s">
        <v>1347</v>
      </c>
      <c r="D11736" s="28">
        <v>1</v>
      </c>
      <c r="E11736" s="29"/>
      <c r="F11736" s="29"/>
      <c r="G11736" s="29"/>
      <c r="H11736" s="29"/>
      <c r="I11736" s="29"/>
      <c r="J11736" s="29"/>
      <c r="K11736" s="29"/>
      <c r="L11736" s="29"/>
      <c r="M11736" s="29"/>
      <c r="N11736" s="29"/>
      <c r="O11736" s="29"/>
      <c r="P11736" s="29"/>
      <c r="Q11736" s="29" t="s">
        <v>350</v>
      </c>
    </row>
    <row r="11737" spans="1:17" x14ac:dyDescent="0.35">
      <c r="A11737" t="s">
        <v>232</v>
      </c>
      <c r="B11737" t="s">
        <v>232</v>
      </c>
      <c r="C11737" t="s">
        <v>232</v>
      </c>
      <c r="D11737" s="26">
        <v>0.91120000000000001</v>
      </c>
      <c r="E11737" s="26">
        <v>2.9899999999999999E-2</v>
      </c>
      <c r="F11737" s="26">
        <v>2.8400000000000002E-2</v>
      </c>
      <c r="G11737" s="26">
        <v>1.14E-2</v>
      </c>
      <c r="H11737" s="26">
        <v>9.7000000000000003E-3</v>
      </c>
      <c r="I11737" s="26">
        <v>7.7000000000000002E-3</v>
      </c>
      <c r="J11737" s="26">
        <v>5.1000000000000004E-3</v>
      </c>
      <c r="K11737" s="26">
        <v>4.1999999999999997E-3</v>
      </c>
      <c r="L11737" s="26">
        <v>3.5000000000000001E-3</v>
      </c>
      <c r="M11737" s="26">
        <v>1.6999999999999999E-3</v>
      </c>
      <c r="N11737" s="26">
        <v>8.9999999999999998E-4</v>
      </c>
      <c r="O11737" s="26">
        <v>5.9999999999999995E-4</v>
      </c>
      <c r="P11737" s="26">
        <v>4.0000000000000002E-4</v>
      </c>
      <c r="Q11737">
        <v>2746</v>
      </c>
    </row>
    <row r="11739" spans="1:17" x14ac:dyDescent="0.35">
      <c r="A11739" s="1" t="s">
        <v>1423</v>
      </c>
    </row>
    <row r="11740" spans="1:17" x14ac:dyDescent="0.35">
      <c r="A11740" t="s">
        <v>219</v>
      </c>
      <c r="B11740" t="s">
        <v>1424</v>
      </c>
      <c r="C11740" t="s">
        <v>1425</v>
      </c>
      <c r="D11740" t="s">
        <v>1426</v>
      </c>
      <c r="E11740" t="s">
        <v>1427</v>
      </c>
      <c r="F11740" t="s">
        <v>281</v>
      </c>
      <c r="G11740" t="s">
        <v>286</v>
      </c>
      <c r="H11740" t="s">
        <v>226</v>
      </c>
    </row>
    <row r="11741" spans="1:17" x14ac:dyDescent="0.35">
      <c r="A11741" t="s">
        <v>227</v>
      </c>
      <c r="B11741" s="26">
        <v>0.90059999999999996</v>
      </c>
      <c r="C11741" s="26">
        <v>5.5899999999999998E-2</v>
      </c>
      <c r="D11741" s="26">
        <v>3.73E-2</v>
      </c>
      <c r="F11741" s="26">
        <v>6.1999999999999998E-3</v>
      </c>
      <c r="H11741">
        <v>161</v>
      </c>
    </row>
    <row r="11742" spans="1:17" x14ac:dyDescent="0.35">
      <c r="A11742" t="s">
        <v>228</v>
      </c>
      <c r="B11742" s="26">
        <v>0.84519999999999995</v>
      </c>
      <c r="C11742" s="26">
        <v>7.4999999999999997E-2</v>
      </c>
      <c r="D11742" s="26">
        <v>4.1500000000000002E-2</v>
      </c>
      <c r="E11742" s="26">
        <v>1.8599999999999998E-2</v>
      </c>
      <c r="F11742" s="26">
        <v>1.7899999999999999E-2</v>
      </c>
      <c r="G11742" s="26">
        <v>1.6999999999999999E-3</v>
      </c>
      <c r="H11742">
        <v>1033</v>
      </c>
    </row>
    <row r="11743" spans="1:17" x14ac:dyDescent="0.35">
      <c r="A11743" t="s">
        <v>229</v>
      </c>
      <c r="B11743" s="26">
        <v>0.84309999999999996</v>
      </c>
      <c r="C11743" s="26">
        <v>7.0099999999999996E-2</v>
      </c>
      <c r="D11743" s="26">
        <v>4.99E-2</v>
      </c>
      <c r="E11743" s="26">
        <v>1.29E-2</v>
      </c>
      <c r="F11743" s="26">
        <v>1.8100000000000002E-2</v>
      </c>
      <c r="G11743" s="26">
        <v>6.0000000000000001E-3</v>
      </c>
      <c r="H11743">
        <v>895</v>
      </c>
    </row>
    <row r="11744" spans="1:17" x14ac:dyDescent="0.35">
      <c r="A11744" t="s">
        <v>230</v>
      </c>
      <c r="B11744" s="26">
        <v>0.87939999999999996</v>
      </c>
      <c r="C11744" s="26">
        <v>5.1200000000000002E-2</v>
      </c>
      <c r="D11744" s="26">
        <v>4.4400000000000002E-2</v>
      </c>
      <c r="E11744" s="26">
        <v>1.8200000000000001E-2</v>
      </c>
      <c r="F11744" s="26">
        <v>6.6E-3</v>
      </c>
      <c r="G11744" s="26">
        <v>2.9999999999999997E-4</v>
      </c>
      <c r="H11744">
        <v>560</v>
      </c>
    </row>
    <row r="11745" spans="1:9" x14ac:dyDescent="0.35">
      <c r="A11745" t="s">
        <v>231</v>
      </c>
      <c r="B11745" s="26">
        <v>0.85980000000000001</v>
      </c>
      <c r="C11745" s="26">
        <v>9.7600000000000006E-2</v>
      </c>
      <c r="D11745" s="26">
        <v>6.1000000000000004E-3</v>
      </c>
      <c r="E11745" s="26">
        <v>1.83E-2</v>
      </c>
      <c r="F11745" s="26">
        <v>1.2200000000000001E-2</v>
      </c>
      <c r="G11745" s="26">
        <v>6.1000000000000004E-3</v>
      </c>
      <c r="H11745">
        <v>164</v>
      </c>
    </row>
    <row r="11746" spans="1:9" x14ac:dyDescent="0.35">
      <c r="A11746" t="s">
        <v>232</v>
      </c>
      <c r="B11746" s="26">
        <v>0.86029999999999995</v>
      </c>
      <c r="C11746" s="26">
        <v>7.46E-2</v>
      </c>
      <c r="D11746" s="26">
        <v>3.3799999999999997E-2</v>
      </c>
      <c r="E11746" s="26">
        <v>1.4E-2</v>
      </c>
      <c r="F11746" s="26">
        <v>1.35E-2</v>
      </c>
      <c r="G11746" s="26">
        <v>3.7000000000000002E-3</v>
      </c>
      <c r="H11746">
        <v>2813</v>
      </c>
    </row>
    <row r="11748" spans="1:9" x14ac:dyDescent="0.35">
      <c r="A11748" s="1" t="s">
        <v>1428</v>
      </c>
    </row>
    <row r="11749" spans="1:9" x14ac:dyDescent="0.35">
      <c r="A11749" t="s">
        <v>219</v>
      </c>
      <c r="B11749" t="s">
        <v>305</v>
      </c>
      <c r="C11749" t="s">
        <v>1424</v>
      </c>
      <c r="D11749" t="s">
        <v>1425</v>
      </c>
      <c r="E11749" t="s">
        <v>1426</v>
      </c>
      <c r="F11749" t="s">
        <v>1427</v>
      </c>
      <c r="G11749" t="s">
        <v>281</v>
      </c>
      <c r="H11749" t="s">
        <v>286</v>
      </c>
      <c r="I11749" t="s">
        <v>226</v>
      </c>
    </row>
    <row r="11750" spans="1:9" x14ac:dyDescent="0.35">
      <c r="A11750" t="s">
        <v>227</v>
      </c>
      <c r="B11750" t="s">
        <v>242</v>
      </c>
      <c r="C11750" s="26">
        <v>0.89710000000000001</v>
      </c>
      <c r="D11750" s="26">
        <v>2.9399999999999999E-2</v>
      </c>
      <c r="E11750" s="26">
        <v>5.8799999999999998E-2</v>
      </c>
      <c r="G11750" s="26">
        <v>1.47E-2</v>
      </c>
      <c r="I11750">
        <v>68</v>
      </c>
    </row>
    <row r="11751" spans="1:9" x14ac:dyDescent="0.35">
      <c r="A11751" t="s">
        <v>227</v>
      </c>
      <c r="B11751" t="s">
        <v>241</v>
      </c>
      <c r="C11751" s="26">
        <v>0.9032</v>
      </c>
      <c r="D11751" s="26">
        <v>7.5300000000000006E-2</v>
      </c>
      <c r="E11751" s="26">
        <v>2.1499999999999998E-2</v>
      </c>
      <c r="I11751">
        <v>93</v>
      </c>
    </row>
    <row r="11752" spans="1:9" x14ac:dyDescent="0.35">
      <c r="A11752" t="s">
        <v>228</v>
      </c>
      <c r="B11752" t="s">
        <v>242</v>
      </c>
      <c r="C11752" s="26">
        <v>0.82040000000000002</v>
      </c>
      <c r="D11752" s="26">
        <v>8.6199999999999999E-2</v>
      </c>
      <c r="E11752" s="26">
        <v>5.2999999999999999E-2</v>
      </c>
      <c r="F11752" s="26">
        <v>3.2500000000000001E-2</v>
      </c>
      <c r="G11752" s="26">
        <v>6.7999999999999996E-3</v>
      </c>
      <c r="H11752" s="26">
        <v>1.1000000000000001E-3</v>
      </c>
      <c r="I11752">
        <v>402</v>
      </c>
    </row>
    <row r="11753" spans="1:9" x14ac:dyDescent="0.35">
      <c r="A11753" t="s">
        <v>228</v>
      </c>
      <c r="B11753" t="s">
        <v>241</v>
      </c>
      <c r="C11753" s="26">
        <v>0.85940000000000005</v>
      </c>
      <c r="D11753" s="26">
        <v>6.8599999999999994E-2</v>
      </c>
      <c r="E11753" s="26">
        <v>3.5000000000000003E-2</v>
      </c>
      <c r="F11753" s="26">
        <v>1.06E-2</v>
      </c>
      <c r="G11753" s="26">
        <v>2.4299999999999999E-2</v>
      </c>
      <c r="H11753" s="26">
        <v>2.0999999999999999E-3</v>
      </c>
      <c r="I11753">
        <v>631</v>
      </c>
    </row>
    <row r="11754" spans="1:9" x14ac:dyDescent="0.35">
      <c r="A11754" t="s">
        <v>229</v>
      </c>
      <c r="B11754" t="s">
        <v>242</v>
      </c>
      <c r="C11754" s="26">
        <v>0.77490000000000003</v>
      </c>
      <c r="D11754" s="26">
        <v>0.1022</v>
      </c>
      <c r="E11754" s="26">
        <v>7.2999999999999995E-2</v>
      </c>
      <c r="F11754" s="26">
        <v>5.1999999999999998E-3</v>
      </c>
      <c r="G11754" s="26">
        <v>3.0599999999999999E-2</v>
      </c>
      <c r="H11754" s="26">
        <v>1.41E-2</v>
      </c>
      <c r="I11754">
        <v>292</v>
      </c>
    </row>
    <row r="11755" spans="1:9" x14ac:dyDescent="0.35">
      <c r="A11755" t="s">
        <v>229</v>
      </c>
      <c r="B11755" t="s">
        <v>241</v>
      </c>
      <c r="C11755" s="26">
        <v>0.88670000000000004</v>
      </c>
      <c r="D11755" s="26">
        <v>4.9599999999999998E-2</v>
      </c>
      <c r="E11755" s="26">
        <v>3.5099999999999999E-2</v>
      </c>
      <c r="F11755" s="26">
        <v>1.78E-2</v>
      </c>
      <c r="G11755" s="26">
        <v>0.01</v>
      </c>
      <c r="H11755" s="26">
        <v>8.0000000000000004E-4</v>
      </c>
      <c r="I11755">
        <v>603</v>
      </c>
    </row>
    <row r="11756" spans="1:9" x14ac:dyDescent="0.35">
      <c r="A11756" t="s">
        <v>230</v>
      </c>
      <c r="B11756" t="s">
        <v>242</v>
      </c>
      <c r="C11756" s="26">
        <v>0.90200000000000002</v>
      </c>
      <c r="D11756" s="26">
        <v>3.9800000000000002E-2</v>
      </c>
      <c r="E11756" s="26">
        <v>4.6699999999999998E-2</v>
      </c>
      <c r="G11756" s="26">
        <v>1.06E-2</v>
      </c>
      <c r="H11756" s="26">
        <v>8.0000000000000004E-4</v>
      </c>
      <c r="I11756">
        <v>189</v>
      </c>
    </row>
    <row r="11757" spans="1:9" x14ac:dyDescent="0.35">
      <c r="A11757" t="s">
        <v>230</v>
      </c>
      <c r="B11757" t="s">
        <v>241</v>
      </c>
      <c r="C11757" s="26">
        <v>0.8679</v>
      </c>
      <c r="D11757" s="26">
        <v>5.7000000000000002E-2</v>
      </c>
      <c r="E11757" s="26">
        <v>4.3200000000000002E-2</v>
      </c>
      <c r="F11757" s="26">
        <v>2.75E-2</v>
      </c>
      <c r="G11757" s="26">
        <v>4.4999999999999997E-3</v>
      </c>
      <c r="I11757">
        <v>371</v>
      </c>
    </row>
    <row r="11758" spans="1:9" x14ac:dyDescent="0.35">
      <c r="A11758" t="s">
        <v>231</v>
      </c>
      <c r="B11758" t="s">
        <v>242</v>
      </c>
      <c r="C11758" s="26">
        <v>0.81479999999999997</v>
      </c>
      <c r="D11758" s="26">
        <v>0.12959999999999999</v>
      </c>
      <c r="F11758" s="26">
        <v>1.8499999999999999E-2</v>
      </c>
      <c r="G11758" s="26">
        <v>1.8499999999999999E-2</v>
      </c>
      <c r="H11758" s="26">
        <v>1.8499999999999999E-2</v>
      </c>
      <c r="I11758">
        <v>54</v>
      </c>
    </row>
    <row r="11759" spans="1:9" x14ac:dyDescent="0.35">
      <c r="A11759" t="s">
        <v>231</v>
      </c>
      <c r="B11759" t="s">
        <v>241</v>
      </c>
      <c r="C11759" s="26">
        <v>0.88180000000000003</v>
      </c>
      <c r="D11759" s="26">
        <v>8.1799999999999998E-2</v>
      </c>
      <c r="E11759" s="26">
        <v>9.1000000000000004E-3</v>
      </c>
      <c r="F11759" s="26">
        <v>1.8200000000000001E-2</v>
      </c>
      <c r="G11759" s="26">
        <v>9.1000000000000004E-3</v>
      </c>
      <c r="I11759">
        <v>110</v>
      </c>
    </row>
    <row r="11760" spans="1:9" x14ac:dyDescent="0.35">
      <c r="A11760" t="s">
        <v>232</v>
      </c>
      <c r="B11760" t="s">
        <v>232</v>
      </c>
      <c r="C11760" s="26">
        <v>0.86029999999999995</v>
      </c>
      <c r="D11760" s="26">
        <v>7.46E-2</v>
      </c>
      <c r="E11760" s="26">
        <v>3.3799999999999997E-2</v>
      </c>
      <c r="F11760" s="26">
        <v>1.4E-2</v>
      </c>
      <c r="G11760" s="26">
        <v>1.35E-2</v>
      </c>
      <c r="H11760" s="26">
        <v>3.7000000000000002E-3</v>
      </c>
      <c r="I11760">
        <v>2813</v>
      </c>
    </row>
    <row r="11762" spans="1:9" x14ac:dyDescent="0.35">
      <c r="A11762" s="1" t="s">
        <v>1429</v>
      </c>
    </row>
    <row r="11763" spans="1:9" x14ac:dyDescent="0.35">
      <c r="A11763" t="s">
        <v>219</v>
      </c>
      <c r="B11763" t="s">
        <v>305</v>
      </c>
      <c r="C11763" t="s">
        <v>1424</v>
      </c>
      <c r="D11763" t="s">
        <v>1425</v>
      </c>
      <c r="E11763" t="s">
        <v>1426</v>
      </c>
      <c r="F11763" t="s">
        <v>1427</v>
      </c>
      <c r="G11763" t="s">
        <v>281</v>
      </c>
      <c r="H11763" t="s">
        <v>286</v>
      </c>
      <c r="I11763" t="s">
        <v>226</v>
      </c>
    </row>
    <row r="11764" spans="1:9" x14ac:dyDescent="0.35">
      <c r="A11764" t="s">
        <v>227</v>
      </c>
      <c r="B11764" t="s">
        <v>239</v>
      </c>
      <c r="C11764" s="26">
        <v>0.80649999999999999</v>
      </c>
      <c r="D11764" s="26">
        <v>0.129</v>
      </c>
      <c r="E11764" s="26">
        <v>4.8399999999999999E-2</v>
      </c>
      <c r="G11764" s="26">
        <v>1.61E-2</v>
      </c>
      <c r="I11764">
        <v>62</v>
      </c>
    </row>
    <row r="11765" spans="1:9" x14ac:dyDescent="0.35">
      <c r="A11765" t="s">
        <v>227</v>
      </c>
      <c r="B11765" t="s">
        <v>238</v>
      </c>
      <c r="C11765" s="26">
        <v>0.95960000000000001</v>
      </c>
      <c r="D11765" s="26">
        <v>1.01E-2</v>
      </c>
      <c r="E11765" s="26">
        <v>3.0300000000000001E-2</v>
      </c>
      <c r="I11765">
        <v>99</v>
      </c>
    </row>
    <row r="11766" spans="1:9" x14ac:dyDescent="0.35">
      <c r="A11766" t="s">
        <v>228</v>
      </c>
      <c r="B11766" t="s">
        <v>239</v>
      </c>
      <c r="C11766" s="26">
        <v>0.84599999999999997</v>
      </c>
      <c r="D11766" s="26">
        <v>9.4500000000000001E-2</v>
      </c>
      <c r="E11766" s="26">
        <v>4.0599999999999997E-2</v>
      </c>
      <c r="F11766" s="26">
        <v>1.0200000000000001E-2</v>
      </c>
      <c r="G11766" s="26">
        <v>4.8999999999999998E-3</v>
      </c>
      <c r="H11766" s="26">
        <v>3.7000000000000002E-3</v>
      </c>
      <c r="I11766">
        <v>330</v>
      </c>
    </row>
    <row r="11767" spans="1:9" x14ac:dyDescent="0.35">
      <c r="A11767" t="s">
        <v>228</v>
      </c>
      <c r="B11767" t="s">
        <v>238</v>
      </c>
      <c r="C11767" s="26">
        <v>0.84499999999999997</v>
      </c>
      <c r="D11767" s="26">
        <v>7.0000000000000007E-2</v>
      </c>
      <c r="E11767" s="26">
        <v>4.1799999999999997E-2</v>
      </c>
      <c r="F11767" s="26">
        <v>2.07E-2</v>
      </c>
      <c r="G11767" s="26">
        <v>2.1299999999999999E-2</v>
      </c>
      <c r="H11767" s="26">
        <v>1.1999999999999999E-3</v>
      </c>
      <c r="I11767">
        <v>703</v>
      </c>
    </row>
    <row r="11768" spans="1:9" x14ac:dyDescent="0.35">
      <c r="A11768" t="s">
        <v>229</v>
      </c>
      <c r="B11768" t="s">
        <v>239</v>
      </c>
      <c r="C11768" s="26">
        <v>0.80730000000000002</v>
      </c>
      <c r="D11768" s="26">
        <v>6.7900000000000002E-2</v>
      </c>
      <c r="E11768" s="26">
        <v>6.2199999999999998E-2</v>
      </c>
      <c r="F11768" s="26">
        <v>2.8299999999999999E-2</v>
      </c>
      <c r="G11768" s="26">
        <v>2.3699999999999999E-2</v>
      </c>
      <c r="H11768" s="26">
        <v>1.0500000000000001E-2</v>
      </c>
      <c r="I11768">
        <v>332</v>
      </c>
    </row>
    <row r="11769" spans="1:9" x14ac:dyDescent="0.35">
      <c r="A11769" t="s">
        <v>229</v>
      </c>
      <c r="B11769" t="s">
        <v>238</v>
      </c>
      <c r="C11769" s="26">
        <v>0.85529999999999995</v>
      </c>
      <c r="D11769" s="26">
        <v>7.0800000000000002E-2</v>
      </c>
      <c r="E11769" s="26">
        <v>4.5699999999999998E-2</v>
      </c>
      <c r="F11769" s="26">
        <v>7.6E-3</v>
      </c>
      <c r="G11769" s="26">
        <v>1.61E-2</v>
      </c>
      <c r="H11769" s="26">
        <v>4.4999999999999997E-3</v>
      </c>
      <c r="I11769">
        <v>563</v>
      </c>
    </row>
    <row r="11770" spans="1:9" x14ac:dyDescent="0.35">
      <c r="A11770" t="s">
        <v>230</v>
      </c>
      <c r="B11770" t="s">
        <v>239</v>
      </c>
      <c r="C11770" s="26">
        <v>0.84619999999999995</v>
      </c>
      <c r="D11770" s="26">
        <v>6.88E-2</v>
      </c>
      <c r="E11770" s="26">
        <v>5.4300000000000001E-2</v>
      </c>
      <c r="F11770" s="26">
        <v>2.0799999999999999E-2</v>
      </c>
      <c r="G11770" s="26">
        <v>9.9000000000000008E-3</v>
      </c>
      <c r="I11770">
        <v>211</v>
      </c>
    </row>
    <row r="11771" spans="1:9" x14ac:dyDescent="0.35">
      <c r="A11771" t="s">
        <v>230</v>
      </c>
      <c r="B11771" t="s">
        <v>238</v>
      </c>
      <c r="C11771" s="26">
        <v>0.89370000000000005</v>
      </c>
      <c r="D11771" s="26">
        <v>4.36E-2</v>
      </c>
      <c r="E11771" s="26">
        <v>4.0099999999999997E-2</v>
      </c>
      <c r="F11771" s="26">
        <v>1.7100000000000001E-2</v>
      </c>
      <c r="G11771" s="26">
        <v>5.1000000000000004E-3</v>
      </c>
      <c r="H11771" s="26">
        <v>4.0000000000000002E-4</v>
      </c>
      <c r="I11771">
        <v>349</v>
      </c>
    </row>
    <row r="11772" spans="1:9" x14ac:dyDescent="0.35">
      <c r="A11772" t="s">
        <v>231</v>
      </c>
      <c r="B11772" t="s">
        <v>239</v>
      </c>
      <c r="C11772" s="26">
        <v>0.87719999999999998</v>
      </c>
      <c r="D11772" s="26">
        <v>0.1053</v>
      </c>
      <c r="F11772" s="26">
        <v>1.7500000000000002E-2</v>
      </c>
      <c r="I11772">
        <v>57</v>
      </c>
    </row>
    <row r="11773" spans="1:9" x14ac:dyDescent="0.35">
      <c r="A11773" t="s">
        <v>231</v>
      </c>
      <c r="B11773" t="s">
        <v>238</v>
      </c>
      <c r="C11773" s="26">
        <v>0.85050000000000003</v>
      </c>
      <c r="D11773" s="26">
        <v>9.35E-2</v>
      </c>
      <c r="E11773" s="26">
        <v>9.2999999999999992E-3</v>
      </c>
      <c r="F11773" s="26">
        <v>1.8700000000000001E-2</v>
      </c>
      <c r="G11773" s="26">
        <v>1.8700000000000001E-2</v>
      </c>
      <c r="H11773" s="26">
        <v>9.2999999999999992E-3</v>
      </c>
      <c r="I11773">
        <v>107</v>
      </c>
    </row>
    <row r="11774" spans="1:9" x14ac:dyDescent="0.35">
      <c r="A11774" t="s">
        <v>232</v>
      </c>
      <c r="B11774" t="s">
        <v>232</v>
      </c>
      <c r="C11774" s="26">
        <v>0.86029999999999995</v>
      </c>
      <c r="D11774" s="26">
        <v>7.46E-2</v>
      </c>
      <c r="E11774" s="26">
        <v>3.3799999999999997E-2</v>
      </c>
      <c r="F11774" s="26">
        <v>1.4E-2</v>
      </c>
      <c r="G11774" s="26">
        <v>1.35E-2</v>
      </c>
      <c r="H11774" s="26">
        <v>3.7000000000000002E-3</v>
      </c>
      <c r="I11774">
        <v>2813</v>
      </c>
    </row>
    <row r="11776" spans="1:9" x14ac:dyDescent="0.35">
      <c r="A11776" s="1" t="s">
        <v>1430</v>
      </c>
    </row>
    <row r="11777" spans="1:9" x14ac:dyDescent="0.35">
      <c r="A11777" t="s">
        <v>219</v>
      </c>
      <c r="B11777" t="s">
        <v>305</v>
      </c>
      <c r="C11777" t="s">
        <v>1424</v>
      </c>
      <c r="D11777" t="s">
        <v>1425</v>
      </c>
      <c r="E11777" t="s">
        <v>1426</v>
      </c>
      <c r="F11777" t="s">
        <v>1427</v>
      </c>
      <c r="G11777" t="s">
        <v>281</v>
      </c>
      <c r="H11777" t="s">
        <v>286</v>
      </c>
      <c r="I11777" t="s">
        <v>226</v>
      </c>
    </row>
    <row r="11778" spans="1:9" x14ac:dyDescent="0.35">
      <c r="A11778" t="s">
        <v>227</v>
      </c>
      <c r="B11778" t="s">
        <v>244</v>
      </c>
      <c r="C11778" s="26">
        <v>0.875</v>
      </c>
      <c r="D11778" s="26">
        <v>6.25E-2</v>
      </c>
      <c r="E11778" s="26">
        <v>5.21E-2</v>
      </c>
      <c r="G11778" s="26">
        <v>1.04E-2</v>
      </c>
      <c r="I11778">
        <v>96</v>
      </c>
    </row>
    <row r="11779" spans="1:9" x14ac:dyDescent="0.35">
      <c r="A11779" t="s">
        <v>227</v>
      </c>
      <c r="B11779" t="s">
        <v>245</v>
      </c>
      <c r="C11779" s="26">
        <v>0.94340000000000002</v>
      </c>
      <c r="D11779" s="26">
        <v>5.6599999999999998E-2</v>
      </c>
      <c r="I11779">
        <v>53</v>
      </c>
    </row>
    <row r="11780" spans="1:9" x14ac:dyDescent="0.35">
      <c r="A11780" s="27" t="s">
        <v>227</v>
      </c>
      <c r="B11780" s="27" t="s">
        <v>246</v>
      </c>
      <c r="C11780" s="28">
        <v>0.91669999999999996</v>
      </c>
      <c r="D11780" s="29"/>
      <c r="E11780" s="28">
        <v>8.3299999999999999E-2</v>
      </c>
      <c r="F11780" s="29"/>
      <c r="G11780" s="29"/>
      <c r="H11780" s="29"/>
      <c r="I11780" s="29" t="s">
        <v>342</v>
      </c>
    </row>
    <row r="11781" spans="1:9" x14ac:dyDescent="0.35">
      <c r="A11781" t="s">
        <v>228</v>
      </c>
      <c r="B11781" t="s">
        <v>244</v>
      </c>
      <c r="C11781" s="26">
        <v>0.84870000000000001</v>
      </c>
      <c r="D11781" s="26">
        <v>6.8500000000000005E-2</v>
      </c>
      <c r="E11781" s="26">
        <v>4.2599999999999999E-2</v>
      </c>
      <c r="F11781" s="26">
        <v>1.9300000000000001E-2</v>
      </c>
      <c r="G11781" s="26">
        <v>1.83E-2</v>
      </c>
      <c r="H11781" s="26">
        <v>2.7000000000000001E-3</v>
      </c>
      <c r="I11781">
        <v>638</v>
      </c>
    </row>
    <row r="11782" spans="1:9" x14ac:dyDescent="0.35">
      <c r="A11782" t="s">
        <v>228</v>
      </c>
      <c r="B11782" t="s">
        <v>245</v>
      </c>
      <c r="C11782" s="26">
        <v>0.87880000000000003</v>
      </c>
      <c r="D11782" s="26">
        <v>5.1900000000000002E-2</v>
      </c>
      <c r="E11782" s="26">
        <v>2.9700000000000001E-2</v>
      </c>
      <c r="F11782" s="26">
        <v>1.7999999999999999E-2</v>
      </c>
      <c r="G11782" s="26">
        <v>2.1499999999999998E-2</v>
      </c>
      <c r="I11782">
        <v>328</v>
      </c>
    </row>
    <row r="11783" spans="1:9" x14ac:dyDescent="0.35">
      <c r="A11783" t="s">
        <v>228</v>
      </c>
      <c r="B11783" t="s">
        <v>246</v>
      </c>
      <c r="C11783" s="26">
        <v>0.67569999999999997</v>
      </c>
      <c r="D11783" s="26">
        <v>0.23050000000000001</v>
      </c>
      <c r="E11783" s="26">
        <v>7.9799999999999996E-2</v>
      </c>
      <c r="F11783" s="26">
        <v>1.4E-2</v>
      </c>
      <c r="I11783">
        <v>67</v>
      </c>
    </row>
    <row r="11784" spans="1:9" x14ac:dyDescent="0.35">
      <c r="A11784" t="s">
        <v>229</v>
      </c>
      <c r="B11784" t="s">
        <v>244</v>
      </c>
      <c r="C11784" s="26">
        <v>0.85660000000000003</v>
      </c>
      <c r="D11784" s="26">
        <v>6.93E-2</v>
      </c>
      <c r="E11784" s="26">
        <v>5.0999999999999997E-2</v>
      </c>
      <c r="F11784" s="26">
        <v>7.7999999999999996E-3</v>
      </c>
      <c r="G11784" s="26">
        <v>1.03E-2</v>
      </c>
      <c r="H11784" s="26">
        <v>5.0000000000000001E-3</v>
      </c>
      <c r="I11784">
        <v>557</v>
      </c>
    </row>
    <row r="11785" spans="1:9" x14ac:dyDescent="0.35">
      <c r="A11785" t="s">
        <v>229</v>
      </c>
      <c r="B11785" t="s">
        <v>245</v>
      </c>
      <c r="C11785" s="26">
        <v>0.83150000000000002</v>
      </c>
      <c r="D11785" s="26">
        <v>5.28E-2</v>
      </c>
      <c r="E11785" s="26">
        <v>3.6299999999999999E-2</v>
      </c>
      <c r="F11785" s="26">
        <v>2.6700000000000002E-2</v>
      </c>
      <c r="G11785" s="26">
        <v>4.2799999999999998E-2</v>
      </c>
      <c r="H11785" s="26">
        <v>9.9000000000000008E-3</v>
      </c>
      <c r="I11785">
        <v>293</v>
      </c>
    </row>
    <row r="11786" spans="1:9" x14ac:dyDescent="0.35">
      <c r="A11786" t="s">
        <v>229</v>
      </c>
      <c r="B11786" t="s">
        <v>246</v>
      </c>
      <c r="C11786" s="26">
        <v>0.72219999999999995</v>
      </c>
      <c r="D11786" s="26">
        <v>0.16289999999999999</v>
      </c>
      <c r="E11786" s="26">
        <v>0.10059999999999999</v>
      </c>
      <c r="F11786" s="26">
        <v>1.2500000000000001E-2</v>
      </c>
      <c r="G11786" s="26">
        <v>1.8E-3</v>
      </c>
      <c r="I11786">
        <v>45</v>
      </c>
    </row>
    <row r="11787" spans="1:9" x14ac:dyDescent="0.35">
      <c r="A11787" t="s">
        <v>230</v>
      </c>
      <c r="B11787" t="s">
        <v>244</v>
      </c>
      <c r="C11787" s="26">
        <v>0.87690000000000001</v>
      </c>
      <c r="D11787" s="26">
        <v>5.04E-2</v>
      </c>
      <c r="E11787" s="26">
        <v>5.0799999999999998E-2</v>
      </c>
      <c r="F11787" s="26">
        <v>1.72E-2</v>
      </c>
      <c r="G11787" s="26">
        <v>4.3E-3</v>
      </c>
      <c r="H11787" s="26">
        <v>4.0000000000000002E-4</v>
      </c>
      <c r="I11787">
        <v>370</v>
      </c>
    </row>
    <row r="11788" spans="1:9" x14ac:dyDescent="0.35">
      <c r="A11788" t="s">
        <v>230</v>
      </c>
      <c r="B11788" t="s">
        <v>245</v>
      </c>
      <c r="C11788" s="26">
        <v>0.91200000000000003</v>
      </c>
      <c r="D11788" s="26">
        <v>1.7999999999999999E-2</v>
      </c>
      <c r="E11788" s="26">
        <v>3.2099999999999997E-2</v>
      </c>
      <c r="F11788" s="26">
        <v>2.41E-2</v>
      </c>
      <c r="G11788" s="26">
        <v>1.38E-2</v>
      </c>
      <c r="I11788">
        <v>161</v>
      </c>
    </row>
    <row r="11789" spans="1:9" x14ac:dyDescent="0.35">
      <c r="A11789" s="27" t="s">
        <v>230</v>
      </c>
      <c r="B11789" s="27" t="s">
        <v>246</v>
      </c>
      <c r="C11789" s="28">
        <v>0.74150000000000005</v>
      </c>
      <c r="D11789" s="28">
        <v>0.23980000000000001</v>
      </c>
      <c r="E11789" s="28">
        <v>1.8700000000000001E-2</v>
      </c>
      <c r="F11789" s="29"/>
      <c r="G11789" s="29"/>
      <c r="H11789" s="29"/>
      <c r="I11789" s="29" t="s">
        <v>329</v>
      </c>
    </row>
    <row r="11790" spans="1:9" x14ac:dyDescent="0.35">
      <c r="A11790" t="s">
        <v>231</v>
      </c>
      <c r="B11790" t="s">
        <v>244</v>
      </c>
      <c r="C11790" s="26">
        <v>0.83160000000000001</v>
      </c>
      <c r="D11790" s="26">
        <v>0.1158</v>
      </c>
      <c r="F11790" s="26">
        <v>2.1100000000000001E-2</v>
      </c>
      <c r="G11790" s="26">
        <v>2.1100000000000001E-2</v>
      </c>
      <c r="H11790" s="26">
        <v>1.0500000000000001E-2</v>
      </c>
      <c r="I11790">
        <v>95</v>
      </c>
    </row>
    <row r="11791" spans="1:9" x14ac:dyDescent="0.35">
      <c r="A11791" t="s">
        <v>231</v>
      </c>
      <c r="B11791" t="s">
        <v>245</v>
      </c>
      <c r="C11791" s="26">
        <v>0.89290000000000003</v>
      </c>
      <c r="D11791" s="26">
        <v>7.1400000000000005E-2</v>
      </c>
      <c r="E11791" s="26">
        <v>1.7899999999999999E-2</v>
      </c>
      <c r="F11791" s="26">
        <v>1.7899999999999999E-2</v>
      </c>
      <c r="I11791">
        <v>56</v>
      </c>
    </row>
    <row r="11792" spans="1:9" x14ac:dyDescent="0.35">
      <c r="A11792" s="27" t="s">
        <v>231</v>
      </c>
      <c r="B11792" s="27" t="s">
        <v>246</v>
      </c>
      <c r="C11792" s="28">
        <v>0.92310000000000003</v>
      </c>
      <c r="D11792" s="28">
        <v>7.6899999999999996E-2</v>
      </c>
      <c r="E11792" s="29"/>
      <c r="F11792" s="29"/>
      <c r="G11792" s="29"/>
      <c r="H11792" s="29"/>
      <c r="I11792" s="29" t="s">
        <v>341</v>
      </c>
    </row>
    <row r="11793" spans="1:9" x14ac:dyDescent="0.35">
      <c r="A11793" t="s">
        <v>232</v>
      </c>
      <c r="B11793" t="s">
        <v>232</v>
      </c>
      <c r="C11793" s="26">
        <v>0.86029999999999995</v>
      </c>
      <c r="D11793" s="26">
        <v>7.46E-2</v>
      </c>
      <c r="E11793" s="26">
        <v>3.3799999999999997E-2</v>
      </c>
      <c r="F11793" s="26">
        <v>1.4E-2</v>
      </c>
      <c r="G11793" s="26">
        <v>1.35E-2</v>
      </c>
      <c r="H11793" s="26">
        <v>3.7000000000000002E-3</v>
      </c>
      <c r="I11793">
        <v>2813</v>
      </c>
    </row>
    <row r="11795" spans="1:9" x14ac:dyDescent="0.35">
      <c r="A11795" s="1" t="s">
        <v>1431</v>
      </c>
    </row>
    <row r="11796" spans="1:9" x14ac:dyDescent="0.35">
      <c r="A11796" t="s">
        <v>219</v>
      </c>
      <c r="B11796" t="s">
        <v>305</v>
      </c>
      <c r="C11796" t="s">
        <v>1424</v>
      </c>
      <c r="D11796" t="s">
        <v>1425</v>
      </c>
      <c r="E11796" t="s">
        <v>1426</v>
      </c>
      <c r="F11796" t="s">
        <v>1427</v>
      </c>
      <c r="G11796" t="s">
        <v>281</v>
      </c>
      <c r="H11796" t="s">
        <v>286</v>
      </c>
      <c r="I11796" t="s">
        <v>226</v>
      </c>
    </row>
    <row r="11797" spans="1:9" x14ac:dyDescent="0.35">
      <c r="A11797" t="s">
        <v>227</v>
      </c>
      <c r="B11797" t="s">
        <v>360</v>
      </c>
      <c r="C11797" s="26">
        <v>0.89739999999999998</v>
      </c>
      <c r="D11797" s="26">
        <v>5.1299999999999998E-2</v>
      </c>
      <c r="E11797" s="26">
        <v>5.1299999999999998E-2</v>
      </c>
      <c r="I11797">
        <v>39</v>
      </c>
    </row>
    <row r="11798" spans="1:9" x14ac:dyDescent="0.35">
      <c r="A11798" t="s">
        <v>227</v>
      </c>
      <c r="B11798" t="s">
        <v>361</v>
      </c>
      <c r="C11798" s="26">
        <v>1</v>
      </c>
      <c r="I11798">
        <v>32</v>
      </c>
    </row>
    <row r="11799" spans="1:9" x14ac:dyDescent="0.35">
      <c r="A11799" t="s">
        <v>227</v>
      </c>
      <c r="B11799" t="s">
        <v>362</v>
      </c>
      <c r="C11799" s="26">
        <v>0.8649</v>
      </c>
      <c r="D11799" s="26">
        <v>0.1081</v>
      </c>
      <c r="G11799" s="26">
        <v>2.7E-2</v>
      </c>
      <c r="I11799">
        <v>37</v>
      </c>
    </row>
    <row r="11800" spans="1:9" x14ac:dyDescent="0.35">
      <c r="A11800" t="s">
        <v>227</v>
      </c>
      <c r="B11800" t="s">
        <v>363</v>
      </c>
      <c r="C11800" s="26">
        <v>0.86670000000000003</v>
      </c>
      <c r="D11800" s="26">
        <v>4.4400000000000002E-2</v>
      </c>
      <c r="E11800" s="26">
        <v>8.8900000000000007E-2</v>
      </c>
      <c r="I11800">
        <v>45</v>
      </c>
    </row>
    <row r="11801" spans="1:9" x14ac:dyDescent="0.35">
      <c r="A11801" t="s">
        <v>228</v>
      </c>
      <c r="B11801" t="s">
        <v>360</v>
      </c>
      <c r="C11801" s="26">
        <v>0.77780000000000005</v>
      </c>
      <c r="D11801" s="26">
        <v>0.1191</v>
      </c>
      <c r="E11801" s="26">
        <v>4.7E-2</v>
      </c>
      <c r="F11801" s="26">
        <v>2.9000000000000001E-2</v>
      </c>
      <c r="G11801" s="26">
        <v>2.2200000000000001E-2</v>
      </c>
      <c r="H11801" s="26">
        <v>4.8999999999999998E-3</v>
      </c>
      <c r="I11801">
        <v>258</v>
      </c>
    </row>
    <row r="11802" spans="1:9" x14ac:dyDescent="0.35">
      <c r="A11802" t="s">
        <v>228</v>
      </c>
      <c r="B11802" t="s">
        <v>361</v>
      </c>
      <c r="C11802" s="26">
        <v>0.88859999999999995</v>
      </c>
      <c r="D11802" s="26">
        <v>9.5299999999999996E-2</v>
      </c>
      <c r="E11802" s="26">
        <v>8.8000000000000005E-3</v>
      </c>
      <c r="F11802" s="26">
        <v>3.8E-3</v>
      </c>
      <c r="G11802" s="26">
        <v>3.3999999999999998E-3</v>
      </c>
      <c r="I11802">
        <v>194</v>
      </c>
    </row>
    <row r="11803" spans="1:9" x14ac:dyDescent="0.35">
      <c r="A11803" t="s">
        <v>228</v>
      </c>
      <c r="B11803" t="s">
        <v>363</v>
      </c>
      <c r="C11803" s="26">
        <v>0.84209999999999996</v>
      </c>
      <c r="D11803" s="26">
        <v>4.2700000000000002E-2</v>
      </c>
      <c r="E11803" s="26">
        <v>9.5100000000000004E-2</v>
      </c>
      <c r="F11803" s="26">
        <v>1.5699999999999999E-2</v>
      </c>
      <c r="G11803" s="26">
        <v>4.4999999999999997E-3</v>
      </c>
      <c r="I11803">
        <v>212</v>
      </c>
    </row>
    <row r="11804" spans="1:9" x14ac:dyDescent="0.35">
      <c r="A11804" t="s">
        <v>228</v>
      </c>
      <c r="B11804" t="s">
        <v>362</v>
      </c>
      <c r="C11804" s="26">
        <v>0.89559999999999995</v>
      </c>
      <c r="D11804" s="26">
        <v>6.08E-2</v>
      </c>
      <c r="E11804" s="26">
        <v>2.3199999999999998E-2</v>
      </c>
      <c r="F11804" s="26">
        <v>1.43E-2</v>
      </c>
      <c r="G11804" s="26">
        <v>6.1000000000000004E-3</v>
      </c>
      <c r="I11804">
        <v>236</v>
      </c>
    </row>
    <row r="11805" spans="1:9" x14ac:dyDescent="0.35">
      <c r="A11805" t="s">
        <v>229</v>
      </c>
      <c r="B11805" t="s">
        <v>363</v>
      </c>
      <c r="C11805" s="26">
        <v>0.83240000000000003</v>
      </c>
      <c r="D11805" s="26">
        <v>8.14E-2</v>
      </c>
      <c r="E11805" s="26">
        <v>5.9299999999999999E-2</v>
      </c>
      <c r="F11805" s="26">
        <v>1.9599999999999999E-2</v>
      </c>
      <c r="G11805" s="26">
        <v>7.1999999999999998E-3</v>
      </c>
      <c r="I11805">
        <v>191</v>
      </c>
    </row>
    <row r="11806" spans="1:9" x14ac:dyDescent="0.35">
      <c r="A11806" t="s">
        <v>229</v>
      </c>
      <c r="B11806" t="s">
        <v>360</v>
      </c>
      <c r="C11806" s="26">
        <v>0.80630000000000002</v>
      </c>
      <c r="D11806" s="26">
        <v>0.1123</v>
      </c>
      <c r="E11806" s="26">
        <v>5.6399999999999999E-2</v>
      </c>
      <c r="F11806" s="26">
        <v>5.4000000000000003E-3</v>
      </c>
      <c r="G11806" s="26">
        <v>3.3999999999999998E-3</v>
      </c>
      <c r="H11806" s="26">
        <v>1.6199999999999999E-2</v>
      </c>
      <c r="I11806">
        <v>164</v>
      </c>
    </row>
    <row r="11807" spans="1:9" x14ac:dyDescent="0.35">
      <c r="A11807" t="s">
        <v>229</v>
      </c>
      <c r="B11807" t="s">
        <v>361</v>
      </c>
      <c r="C11807" s="26">
        <v>0.86660000000000004</v>
      </c>
      <c r="D11807" s="26">
        <v>5.9499999999999997E-2</v>
      </c>
      <c r="E11807" s="26">
        <v>5.0500000000000003E-2</v>
      </c>
      <c r="F11807" s="26">
        <v>3.7000000000000002E-3</v>
      </c>
      <c r="G11807" s="26">
        <v>1.9699999999999999E-2</v>
      </c>
      <c r="I11807">
        <v>243</v>
      </c>
    </row>
    <row r="11808" spans="1:9" x14ac:dyDescent="0.35">
      <c r="A11808" t="s">
        <v>229</v>
      </c>
      <c r="B11808" t="s">
        <v>362</v>
      </c>
      <c r="C11808" s="26">
        <v>0.84919999999999995</v>
      </c>
      <c r="D11808" s="26">
        <v>5.2200000000000003E-2</v>
      </c>
      <c r="E11808" s="26">
        <v>4.58E-2</v>
      </c>
      <c r="F11808" s="26">
        <v>3.3599999999999998E-2</v>
      </c>
      <c r="G11808" s="26">
        <v>1.9099999999999999E-2</v>
      </c>
      <c r="I11808">
        <v>171</v>
      </c>
    </row>
    <row r="11809" spans="1:9" x14ac:dyDescent="0.35">
      <c r="A11809" t="s">
        <v>230</v>
      </c>
      <c r="B11809" t="s">
        <v>360</v>
      </c>
      <c r="C11809" s="26">
        <v>0.88329999999999997</v>
      </c>
      <c r="D11809" s="26">
        <v>8.0699999999999994E-2</v>
      </c>
      <c r="E11809" s="26">
        <v>2.3599999999999999E-2</v>
      </c>
      <c r="F11809" s="26">
        <v>6.1999999999999998E-3</v>
      </c>
      <c r="G11809" s="26">
        <v>6.3E-3</v>
      </c>
      <c r="I11809">
        <v>120</v>
      </c>
    </row>
    <row r="11810" spans="1:9" x14ac:dyDescent="0.35">
      <c r="A11810" t="s">
        <v>230</v>
      </c>
      <c r="B11810" t="s">
        <v>363</v>
      </c>
      <c r="C11810" s="26">
        <v>0.95109999999999995</v>
      </c>
      <c r="D11810" s="26">
        <v>2.3400000000000001E-2</v>
      </c>
      <c r="E11810" s="26">
        <v>2.5499999999999998E-2</v>
      </c>
      <c r="I11810">
        <v>127</v>
      </c>
    </row>
    <row r="11811" spans="1:9" x14ac:dyDescent="0.35">
      <c r="A11811" t="s">
        <v>230</v>
      </c>
      <c r="B11811" t="s">
        <v>361</v>
      </c>
      <c r="C11811" s="26">
        <v>0.86839999999999995</v>
      </c>
      <c r="D11811" s="26">
        <v>7.7499999999999999E-2</v>
      </c>
      <c r="E11811" s="26">
        <v>2.9399999999999999E-2</v>
      </c>
      <c r="F11811" s="26">
        <v>2.12E-2</v>
      </c>
      <c r="G11811" s="26">
        <v>3.5000000000000001E-3</v>
      </c>
      <c r="I11811">
        <v>109</v>
      </c>
    </row>
    <row r="11812" spans="1:9" x14ac:dyDescent="0.35">
      <c r="A11812" t="s">
        <v>230</v>
      </c>
      <c r="B11812" t="s">
        <v>362</v>
      </c>
      <c r="C11812" s="26">
        <v>0.83350000000000002</v>
      </c>
      <c r="D11812" s="26">
        <v>3.9100000000000003E-2</v>
      </c>
      <c r="E11812" s="26">
        <v>9.4100000000000003E-2</v>
      </c>
      <c r="F11812" s="26">
        <v>2.1499999999999998E-2</v>
      </c>
      <c r="G11812" s="26">
        <v>1.0699999999999999E-2</v>
      </c>
      <c r="H11812" s="26">
        <v>1.1000000000000001E-3</v>
      </c>
      <c r="I11812">
        <v>148</v>
      </c>
    </row>
    <row r="11813" spans="1:9" x14ac:dyDescent="0.35">
      <c r="A11813" s="27" t="s">
        <v>231</v>
      </c>
      <c r="B11813" s="27" t="s">
        <v>362</v>
      </c>
      <c r="C11813" s="28">
        <v>0.96550000000000002</v>
      </c>
      <c r="D11813" s="28">
        <v>3.4500000000000003E-2</v>
      </c>
      <c r="E11813" s="29"/>
      <c r="F11813" s="29"/>
      <c r="G11813" s="29"/>
      <c r="H11813" s="29"/>
      <c r="I11813" s="29" t="s">
        <v>329</v>
      </c>
    </row>
    <row r="11814" spans="1:9" x14ac:dyDescent="0.35">
      <c r="A11814" t="s">
        <v>231</v>
      </c>
      <c r="B11814" t="s">
        <v>361</v>
      </c>
      <c r="C11814" s="26">
        <v>0.8</v>
      </c>
      <c r="D11814" s="26">
        <v>0.12</v>
      </c>
      <c r="E11814" s="26">
        <v>0.02</v>
      </c>
      <c r="F11814" s="26">
        <v>0.02</v>
      </c>
      <c r="G11814" s="26">
        <v>0.02</v>
      </c>
      <c r="H11814" s="26">
        <v>0.02</v>
      </c>
      <c r="I11814">
        <v>50</v>
      </c>
    </row>
    <row r="11815" spans="1:9" x14ac:dyDescent="0.35">
      <c r="A11815" t="s">
        <v>231</v>
      </c>
      <c r="B11815" t="s">
        <v>360</v>
      </c>
      <c r="C11815" s="26">
        <v>0.90910000000000002</v>
      </c>
      <c r="D11815" s="26">
        <v>9.0899999999999995E-2</v>
      </c>
      <c r="I11815">
        <v>44</v>
      </c>
    </row>
    <row r="11816" spans="1:9" x14ac:dyDescent="0.35">
      <c r="A11816" s="27" t="s">
        <v>231</v>
      </c>
      <c r="B11816" s="27" t="s">
        <v>363</v>
      </c>
      <c r="C11816" s="28">
        <v>0.81479999999999997</v>
      </c>
      <c r="D11816" s="28">
        <v>0.14810000000000001</v>
      </c>
      <c r="E11816" s="29"/>
      <c r="F11816" s="28">
        <v>3.6999999999999998E-2</v>
      </c>
      <c r="G11816" s="29"/>
      <c r="H11816" s="29"/>
      <c r="I11816" s="29" t="s">
        <v>338</v>
      </c>
    </row>
    <row r="11817" spans="1:9" x14ac:dyDescent="0.35">
      <c r="A11817" t="s">
        <v>232</v>
      </c>
      <c r="B11817" t="s">
        <v>232</v>
      </c>
      <c r="C11817" s="26">
        <v>0.86029999999999995</v>
      </c>
      <c r="D11817" s="26">
        <v>7.46E-2</v>
      </c>
      <c r="E11817" s="26">
        <v>3.3799999999999997E-2</v>
      </c>
      <c r="F11817" s="26">
        <v>1.4E-2</v>
      </c>
      <c r="G11817" s="26">
        <v>1.35E-2</v>
      </c>
      <c r="H11817" s="26">
        <v>3.7000000000000002E-3</v>
      </c>
      <c r="I11817">
        <v>2476</v>
      </c>
    </row>
    <row r="11819" spans="1:9" x14ac:dyDescent="0.35">
      <c r="A11819" s="1" t="s">
        <v>1432</v>
      </c>
    </row>
    <row r="11820" spans="1:9" x14ac:dyDescent="0.35">
      <c r="A11820" t="s">
        <v>219</v>
      </c>
      <c r="B11820" t="s">
        <v>305</v>
      </c>
      <c r="C11820" t="s">
        <v>1424</v>
      </c>
      <c r="D11820" t="s">
        <v>1425</v>
      </c>
      <c r="E11820" t="s">
        <v>1426</v>
      </c>
      <c r="F11820" t="s">
        <v>1427</v>
      </c>
      <c r="G11820" t="s">
        <v>281</v>
      </c>
      <c r="H11820" t="s">
        <v>286</v>
      </c>
      <c r="I11820" t="s">
        <v>226</v>
      </c>
    </row>
    <row r="11821" spans="1:9" x14ac:dyDescent="0.35">
      <c r="A11821" t="s">
        <v>227</v>
      </c>
      <c r="B11821" t="s">
        <v>267</v>
      </c>
      <c r="C11821" s="26">
        <v>0.97219999999999995</v>
      </c>
      <c r="D11821" s="26">
        <v>2.7799999999999998E-2</v>
      </c>
      <c r="I11821">
        <v>36</v>
      </c>
    </row>
    <row r="11822" spans="1:9" x14ac:dyDescent="0.35">
      <c r="A11822" t="s">
        <v>227</v>
      </c>
      <c r="B11822" t="s">
        <v>266</v>
      </c>
      <c r="C11822" s="26">
        <v>0.89829999999999999</v>
      </c>
      <c r="D11822" s="26">
        <v>6.7799999999999999E-2</v>
      </c>
      <c r="E11822" s="26">
        <v>3.39E-2</v>
      </c>
      <c r="I11822">
        <v>59</v>
      </c>
    </row>
    <row r="11823" spans="1:9" x14ac:dyDescent="0.35">
      <c r="A11823" t="s">
        <v>227</v>
      </c>
      <c r="B11823" t="s">
        <v>265</v>
      </c>
      <c r="C11823" s="26">
        <v>0.86360000000000003</v>
      </c>
      <c r="D11823" s="26">
        <v>6.0600000000000001E-2</v>
      </c>
      <c r="E11823" s="26">
        <v>6.0600000000000001E-2</v>
      </c>
      <c r="G11823" s="26">
        <v>1.52E-2</v>
      </c>
      <c r="I11823">
        <v>66</v>
      </c>
    </row>
    <row r="11824" spans="1:9" x14ac:dyDescent="0.35">
      <c r="A11824" t="s">
        <v>228</v>
      </c>
      <c r="B11824" t="s">
        <v>267</v>
      </c>
      <c r="C11824" s="26">
        <v>0.89990000000000003</v>
      </c>
      <c r="D11824" s="26">
        <v>6.2399999999999997E-2</v>
      </c>
      <c r="E11824" s="26">
        <v>2.6599999999999999E-2</v>
      </c>
      <c r="F11824" s="26">
        <v>6.4999999999999997E-3</v>
      </c>
      <c r="G11824" s="26">
        <v>1.4E-3</v>
      </c>
      <c r="H11824" s="26">
        <v>3.2000000000000002E-3</v>
      </c>
      <c r="I11824">
        <v>199</v>
      </c>
    </row>
    <row r="11825" spans="1:9" x14ac:dyDescent="0.35">
      <c r="A11825" t="s">
        <v>228</v>
      </c>
      <c r="B11825" t="s">
        <v>265</v>
      </c>
      <c r="C11825" s="26">
        <v>0.82450000000000001</v>
      </c>
      <c r="D11825" s="26">
        <v>7.1800000000000003E-2</v>
      </c>
      <c r="E11825" s="26">
        <v>5.6300000000000003E-2</v>
      </c>
      <c r="F11825" s="26">
        <v>1.9599999999999999E-2</v>
      </c>
      <c r="G11825" s="26">
        <v>2.4799999999999999E-2</v>
      </c>
      <c r="H11825" s="26">
        <v>2.8999999999999998E-3</v>
      </c>
      <c r="I11825">
        <v>384</v>
      </c>
    </row>
    <row r="11826" spans="1:9" x14ac:dyDescent="0.35">
      <c r="A11826" s="27" t="s">
        <v>228</v>
      </c>
      <c r="B11826" s="27" t="s">
        <v>236</v>
      </c>
      <c r="C11826" s="28">
        <v>0.5</v>
      </c>
      <c r="D11826" s="28">
        <v>0.5</v>
      </c>
      <c r="E11826" s="29"/>
      <c r="F11826" s="29"/>
      <c r="G11826" s="29"/>
      <c r="H11826" s="29"/>
      <c r="I11826" s="29" t="s">
        <v>314</v>
      </c>
    </row>
    <row r="11827" spans="1:9" x14ac:dyDescent="0.35">
      <c r="A11827" t="s">
        <v>228</v>
      </c>
      <c r="B11827" t="s">
        <v>266</v>
      </c>
      <c r="C11827" s="26">
        <v>0.84919999999999995</v>
      </c>
      <c r="D11827" s="26">
        <v>7.6499999999999999E-2</v>
      </c>
      <c r="E11827" s="26">
        <v>3.3500000000000002E-2</v>
      </c>
      <c r="F11827" s="26">
        <v>2.2800000000000001E-2</v>
      </c>
      <c r="G11827" s="26">
        <v>1.7999999999999999E-2</v>
      </c>
      <c r="I11827">
        <v>448</v>
      </c>
    </row>
    <row r="11828" spans="1:9" x14ac:dyDescent="0.35">
      <c r="A11828" t="s">
        <v>229</v>
      </c>
      <c r="B11828" t="s">
        <v>266</v>
      </c>
      <c r="C11828" s="26">
        <v>0.83789999999999998</v>
      </c>
      <c r="D11828" s="26">
        <v>6.4399999999999999E-2</v>
      </c>
      <c r="E11828" s="26">
        <v>3.44E-2</v>
      </c>
      <c r="F11828" s="26">
        <v>2.93E-2</v>
      </c>
      <c r="G11828" s="26">
        <v>2.64E-2</v>
      </c>
      <c r="H11828" s="26">
        <v>7.6E-3</v>
      </c>
      <c r="I11828">
        <v>359</v>
      </c>
    </row>
    <row r="11829" spans="1:9" x14ac:dyDescent="0.35">
      <c r="A11829" t="s">
        <v>229</v>
      </c>
      <c r="B11829" t="s">
        <v>267</v>
      </c>
      <c r="C11829" s="26">
        <v>0.87090000000000001</v>
      </c>
      <c r="D11829" s="26">
        <v>3.2399999999999998E-2</v>
      </c>
      <c r="E11829" s="26">
        <v>7.9399999999999998E-2</v>
      </c>
      <c r="F11829" s="26">
        <v>4.4999999999999997E-3</v>
      </c>
      <c r="G11829" s="26">
        <v>1.2800000000000001E-2</v>
      </c>
      <c r="I11829">
        <v>201</v>
      </c>
    </row>
    <row r="11830" spans="1:9" x14ac:dyDescent="0.35">
      <c r="A11830" t="s">
        <v>229</v>
      </c>
      <c r="B11830" t="s">
        <v>265</v>
      </c>
      <c r="C11830" s="26">
        <v>0.83309999999999995</v>
      </c>
      <c r="D11830" s="26">
        <v>9.2899999999999996E-2</v>
      </c>
      <c r="E11830" s="26">
        <v>4.6600000000000003E-2</v>
      </c>
      <c r="F11830" s="26">
        <v>5.0000000000000001E-3</v>
      </c>
      <c r="G11830" s="26">
        <v>1.46E-2</v>
      </c>
      <c r="H11830" s="26">
        <v>7.7999999999999996E-3</v>
      </c>
      <c r="I11830">
        <v>335</v>
      </c>
    </row>
    <row r="11831" spans="1:9" x14ac:dyDescent="0.35">
      <c r="A11831" t="s">
        <v>230</v>
      </c>
      <c r="B11831" t="s">
        <v>267</v>
      </c>
      <c r="C11831" s="26">
        <v>0.81040000000000001</v>
      </c>
      <c r="D11831" s="26">
        <v>5.5199999999999999E-2</v>
      </c>
      <c r="E11831" s="26">
        <v>7.3200000000000001E-2</v>
      </c>
      <c r="F11831" s="26">
        <v>5.2999999999999999E-2</v>
      </c>
      <c r="G11831" s="26">
        <v>8.3000000000000001E-3</v>
      </c>
      <c r="I11831">
        <v>119</v>
      </c>
    </row>
    <row r="11832" spans="1:9" x14ac:dyDescent="0.35">
      <c r="A11832" t="s">
        <v>230</v>
      </c>
      <c r="B11832" t="s">
        <v>266</v>
      </c>
      <c r="C11832" s="26">
        <v>0.92900000000000005</v>
      </c>
      <c r="D11832" s="26">
        <v>1.5900000000000001E-2</v>
      </c>
      <c r="E11832" s="26">
        <v>4.1200000000000001E-2</v>
      </c>
      <c r="F11832" s="26">
        <v>3.2000000000000002E-3</v>
      </c>
      <c r="G11832" s="26">
        <v>9.9000000000000008E-3</v>
      </c>
      <c r="H11832" s="26">
        <v>8.0000000000000004E-4</v>
      </c>
      <c r="I11832">
        <v>232</v>
      </c>
    </row>
    <row r="11833" spans="1:9" x14ac:dyDescent="0.35">
      <c r="A11833" t="s">
        <v>230</v>
      </c>
      <c r="B11833" t="s">
        <v>265</v>
      </c>
      <c r="C11833" s="26">
        <v>0.87280000000000002</v>
      </c>
      <c r="D11833" s="26">
        <v>7.9500000000000001E-2</v>
      </c>
      <c r="E11833" s="26">
        <v>3.2000000000000001E-2</v>
      </c>
      <c r="F11833" s="26">
        <v>1.29E-2</v>
      </c>
      <c r="G11833" s="26">
        <v>2.8E-3</v>
      </c>
      <c r="I11833">
        <v>209</v>
      </c>
    </row>
    <row r="11834" spans="1:9" x14ac:dyDescent="0.35">
      <c r="A11834" t="s">
        <v>231</v>
      </c>
      <c r="B11834" t="s">
        <v>267</v>
      </c>
      <c r="C11834" s="26">
        <v>0.79410000000000003</v>
      </c>
      <c r="D11834" s="26">
        <v>0.14710000000000001</v>
      </c>
      <c r="F11834" s="26">
        <v>5.8799999999999998E-2</v>
      </c>
      <c r="I11834">
        <v>34</v>
      </c>
    </row>
    <row r="11835" spans="1:9" x14ac:dyDescent="0.35">
      <c r="A11835" t="s">
        <v>231</v>
      </c>
      <c r="B11835" t="s">
        <v>266</v>
      </c>
      <c r="C11835" s="26">
        <v>0.9355</v>
      </c>
      <c r="D11835" s="26">
        <v>3.2300000000000002E-2</v>
      </c>
      <c r="E11835" s="26">
        <v>1.61E-2</v>
      </c>
      <c r="G11835" s="26">
        <v>1.61E-2</v>
      </c>
      <c r="I11835">
        <v>62</v>
      </c>
    </row>
    <row r="11836" spans="1:9" x14ac:dyDescent="0.35">
      <c r="A11836" t="s">
        <v>231</v>
      </c>
      <c r="B11836" t="s">
        <v>265</v>
      </c>
      <c r="C11836" s="26">
        <v>0.82350000000000001</v>
      </c>
      <c r="D11836" s="26">
        <v>0.13239999999999999</v>
      </c>
      <c r="F11836" s="26">
        <v>1.47E-2</v>
      </c>
      <c r="G11836" s="26">
        <v>1.47E-2</v>
      </c>
      <c r="H11836" s="26">
        <v>1.47E-2</v>
      </c>
      <c r="I11836">
        <v>68</v>
      </c>
    </row>
    <row r="11837" spans="1:9" x14ac:dyDescent="0.35">
      <c r="A11837" t="s">
        <v>232</v>
      </c>
      <c r="B11837" t="s">
        <v>232</v>
      </c>
      <c r="C11837" s="26">
        <v>0.86029999999999995</v>
      </c>
      <c r="D11837" s="26">
        <v>7.46E-2</v>
      </c>
      <c r="E11837" s="26">
        <v>3.3799999999999997E-2</v>
      </c>
      <c r="F11837" s="26">
        <v>1.4E-2</v>
      </c>
      <c r="G11837" s="26">
        <v>1.35E-2</v>
      </c>
      <c r="H11837" s="26">
        <v>3.7000000000000002E-3</v>
      </c>
      <c r="I11837">
        <v>2813</v>
      </c>
    </row>
    <row r="11839" spans="1:9" x14ac:dyDescent="0.35">
      <c r="A11839" s="1" t="s">
        <v>1433</v>
      </c>
    </row>
    <row r="11840" spans="1:9" x14ac:dyDescent="0.35">
      <c r="A11840" t="s">
        <v>219</v>
      </c>
      <c r="B11840" t="s">
        <v>305</v>
      </c>
      <c r="C11840" t="s">
        <v>1424</v>
      </c>
      <c r="D11840" t="s">
        <v>1425</v>
      </c>
      <c r="E11840" t="s">
        <v>1426</v>
      </c>
      <c r="F11840" t="s">
        <v>1427</v>
      </c>
      <c r="G11840" t="s">
        <v>281</v>
      </c>
      <c r="H11840" t="s">
        <v>286</v>
      </c>
      <c r="I11840" t="s">
        <v>226</v>
      </c>
    </row>
    <row r="11841" spans="1:9" x14ac:dyDescent="0.35">
      <c r="A11841" t="s">
        <v>227</v>
      </c>
      <c r="B11841" t="s">
        <v>252</v>
      </c>
      <c r="C11841" s="26">
        <v>0.93330000000000002</v>
      </c>
      <c r="D11841" s="26">
        <v>4.4400000000000002E-2</v>
      </c>
      <c r="G11841" s="26">
        <v>2.2200000000000001E-2</v>
      </c>
      <c r="I11841">
        <v>45</v>
      </c>
    </row>
    <row r="11842" spans="1:9" x14ac:dyDescent="0.35">
      <c r="A11842" t="s">
        <v>227</v>
      </c>
      <c r="B11842" t="s">
        <v>253</v>
      </c>
      <c r="C11842" s="26">
        <v>0.85289999999999999</v>
      </c>
      <c r="D11842" s="26">
        <v>5.8799999999999998E-2</v>
      </c>
      <c r="E11842" s="26">
        <v>8.8200000000000001E-2</v>
      </c>
      <c r="I11842">
        <v>34</v>
      </c>
    </row>
    <row r="11843" spans="1:9" x14ac:dyDescent="0.35">
      <c r="A11843" t="s">
        <v>227</v>
      </c>
      <c r="B11843" t="s">
        <v>251</v>
      </c>
      <c r="C11843" s="26">
        <v>0.90239999999999998</v>
      </c>
      <c r="D11843" s="26">
        <v>6.0999999999999999E-2</v>
      </c>
      <c r="E11843" s="26">
        <v>3.6600000000000001E-2</v>
      </c>
      <c r="I11843">
        <v>82</v>
      </c>
    </row>
    <row r="11844" spans="1:9" x14ac:dyDescent="0.35">
      <c r="A11844" t="s">
        <v>228</v>
      </c>
      <c r="B11844" t="s">
        <v>252</v>
      </c>
      <c r="C11844" s="26">
        <v>0.89559999999999995</v>
      </c>
      <c r="D11844" s="26">
        <v>3.7400000000000003E-2</v>
      </c>
      <c r="E11844" s="26">
        <v>4.2099999999999999E-2</v>
      </c>
      <c r="F11844" s="26">
        <v>2.5000000000000001E-3</v>
      </c>
      <c r="G11844" s="26">
        <v>2.1100000000000001E-2</v>
      </c>
      <c r="H11844" s="26">
        <v>1.2999999999999999E-3</v>
      </c>
      <c r="I11844">
        <v>344</v>
      </c>
    </row>
    <row r="11845" spans="1:9" x14ac:dyDescent="0.35">
      <c r="A11845" t="s">
        <v>228</v>
      </c>
      <c r="B11845" t="s">
        <v>253</v>
      </c>
      <c r="C11845" s="26">
        <v>0.80920000000000003</v>
      </c>
      <c r="D11845" s="26">
        <v>0.1263</v>
      </c>
      <c r="E11845" s="26">
        <v>2.8500000000000001E-2</v>
      </c>
      <c r="F11845" s="26">
        <v>2.53E-2</v>
      </c>
      <c r="G11845" s="26">
        <v>8.6E-3</v>
      </c>
      <c r="H11845" s="26">
        <v>2E-3</v>
      </c>
      <c r="I11845">
        <v>222</v>
      </c>
    </row>
    <row r="11846" spans="1:9" x14ac:dyDescent="0.35">
      <c r="A11846" t="s">
        <v>228</v>
      </c>
      <c r="B11846" t="s">
        <v>251</v>
      </c>
      <c r="C11846" s="26">
        <v>0.82679999999999998</v>
      </c>
      <c r="D11846" s="26">
        <v>7.8299999999999995E-2</v>
      </c>
      <c r="E11846" s="26">
        <v>4.6800000000000001E-2</v>
      </c>
      <c r="F11846" s="26">
        <v>2.6499999999999999E-2</v>
      </c>
      <c r="G11846" s="26">
        <v>1.9699999999999999E-2</v>
      </c>
      <c r="H11846" s="26">
        <v>1.9E-3</v>
      </c>
      <c r="I11846">
        <v>467</v>
      </c>
    </row>
    <row r="11847" spans="1:9" x14ac:dyDescent="0.35">
      <c r="A11847" t="s">
        <v>229</v>
      </c>
      <c r="B11847" t="s">
        <v>252</v>
      </c>
      <c r="C11847" s="26">
        <v>0.85309999999999997</v>
      </c>
      <c r="D11847" s="26">
        <v>5.2900000000000003E-2</v>
      </c>
      <c r="E11847" s="26">
        <v>2.4E-2</v>
      </c>
      <c r="F11847" s="26">
        <v>1.9E-2</v>
      </c>
      <c r="G11847" s="26">
        <v>3.9800000000000002E-2</v>
      </c>
      <c r="H11847" s="26">
        <v>1.12E-2</v>
      </c>
      <c r="I11847">
        <v>199</v>
      </c>
    </row>
    <row r="11848" spans="1:9" x14ac:dyDescent="0.35">
      <c r="A11848" t="s">
        <v>229</v>
      </c>
      <c r="B11848" t="s">
        <v>253</v>
      </c>
      <c r="C11848" s="26">
        <v>0.81389999999999996</v>
      </c>
      <c r="D11848" s="26">
        <v>0.1023</v>
      </c>
      <c r="E11848" s="26">
        <v>4.6600000000000003E-2</v>
      </c>
      <c r="F11848" s="26">
        <v>3.5000000000000001E-3</v>
      </c>
      <c r="G11848" s="26">
        <v>1.78E-2</v>
      </c>
      <c r="H11848" s="26">
        <v>1.5900000000000001E-2</v>
      </c>
      <c r="I11848">
        <v>145</v>
      </c>
    </row>
    <row r="11849" spans="1:9" x14ac:dyDescent="0.35">
      <c r="A11849" t="s">
        <v>229</v>
      </c>
      <c r="B11849" t="s">
        <v>251</v>
      </c>
      <c r="C11849" s="26">
        <v>0.84860000000000002</v>
      </c>
      <c r="D11849" s="26">
        <v>6.6299999999999998E-2</v>
      </c>
      <c r="E11849" s="26">
        <v>6.0900000000000003E-2</v>
      </c>
      <c r="F11849" s="26">
        <v>1.3599999999999999E-2</v>
      </c>
      <c r="G11849" s="26">
        <v>9.7999999999999997E-3</v>
      </c>
      <c r="H11849" s="26">
        <v>8.0000000000000004E-4</v>
      </c>
      <c r="I11849">
        <v>551</v>
      </c>
    </row>
    <row r="11850" spans="1:9" x14ac:dyDescent="0.35">
      <c r="A11850" t="s">
        <v>230</v>
      </c>
      <c r="B11850" t="s">
        <v>252</v>
      </c>
      <c r="C11850" s="26">
        <v>0.93759999999999999</v>
      </c>
      <c r="D11850" s="26">
        <v>1.8200000000000001E-2</v>
      </c>
      <c r="E11850" s="26">
        <v>2.6599999999999999E-2</v>
      </c>
      <c r="G11850" s="26">
        <v>1.7600000000000001E-2</v>
      </c>
      <c r="I11850">
        <v>159</v>
      </c>
    </row>
    <row r="11851" spans="1:9" x14ac:dyDescent="0.35">
      <c r="A11851" t="s">
        <v>230</v>
      </c>
      <c r="B11851" t="s">
        <v>253</v>
      </c>
      <c r="C11851" s="26">
        <v>0.9224</v>
      </c>
      <c r="D11851" s="26">
        <v>3.5200000000000002E-2</v>
      </c>
      <c r="E11851" s="26">
        <v>3.4700000000000002E-2</v>
      </c>
      <c r="G11851" s="26">
        <v>6.1000000000000004E-3</v>
      </c>
      <c r="H11851" s="26">
        <v>1.4E-3</v>
      </c>
      <c r="I11851">
        <v>110</v>
      </c>
    </row>
    <row r="11852" spans="1:9" x14ac:dyDescent="0.35">
      <c r="A11852" t="s">
        <v>230</v>
      </c>
      <c r="B11852" t="s">
        <v>251</v>
      </c>
      <c r="C11852" s="26">
        <v>0.83789999999999998</v>
      </c>
      <c r="D11852" s="26">
        <v>7.1800000000000003E-2</v>
      </c>
      <c r="E11852" s="26">
        <v>5.5899999999999998E-2</v>
      </c>
      <c r="F11852" s="26">
        <v>3.2800000000000003E-2</v>
      </c>
      <c r="G11852" s="26">
        <v>1.6000000000000001E-3</v>
      </c>
      <c r="I11852">
        <v>291</v>
      </c>
    </row>
    <row r="11853" spans="1:9" x14ac:dyDescent="0.35">
      <c r="A11853" t="s">
        <v>231</v>
      </c>
      <c r="B11853" t="s">
        <v>252</v>
      </c>
      <c r="C11853" s="26">
        <v>0.85709999999999997</v>
      </c>
      <c r="D11853" s="26">
        <v>8.1600000000000006E-2</v>
      </c>
      <c r="F11853" s="26">
        <v>4.0800000000000003E-2</v>
      </c>
      <c r="H11853" s="26">
        <v>2.0400000000000001E-2</v>
      </c>
      <c r="I11853">
        <v>49</v>
      </c>
    </row>
    <row r="11854" spans="1:9" x14ac:dyDescent="0.35">
      <c r="A11854" t="s">
        <v>231</v>
      </c>
      <c r="B11854" t="s">
        <v>253</v>
      </c>
      <c r="C11854" s="26">
        <v>0.93330000000000002</v>
      </c>
      <c r="D11854" s="26">
        <v>6.6699999999999995E-2</v>
      </c>
      <c r="I11854">
        <v>30</v>
      </c>
    </row>
    <row r="11855" spans="1:9" x14ac:dyDescent="0.35">
      <c r="A11855" t="s">
        <v>231</v>
      </c>
      <c r="B11855" t="s">
        <v>251</v>
      </c>
      <c r="C11855" s="26">
        <v>0.83530000000000004</v>
      </c>
      <c r="D11855" s="26">
        <v>0.1176</v>
      </c>
      <c r="E11855" s="26">
        <v>1.18E-2</v>
      </c>
      <c r="F11855" s="26">
        <v>1.18E-2</v>
      </c>
      <c r="G11855" s="26">
        <v>2.35E-2</v>
      </c>
      <c r="I11855">
        <v>85</v>
      </c>
    </row>
    <row r="11856" spans="1:9" x14ac:dyDescent="0.35">
      <c r="A11856" t="s">
        <v>232</v>
      </c>
      <c r="B11856" t="s">
        <v>232</v>
      </c>
      <c r="C11856" s="26">
        <v>0.86029999999999995</v>
      </c>
      <c r="D11856" s="26">
        <v>7.46E-2</v>
      </c>
      <c r="E11856" s="26">
        <v>3.3799999999999997E-2</v>
      </c>
      <c r="F11856" s="26">
        <v>1.4E-2</v>
      </c>
      <c r="G11856" s="26">
        <v>1.35E-2</v>
      </c>
      <c r="H11856" s="26">
        <v>3.7000000000000002E-3</v>
      </c>
      <c r="I11856">
        <v>2813</v>
      </c>
    </row>
    <row r="11858" spans="1:9" x14ac:dyDescent="0.35">
      <c r="A11858" s="1" t="s">
        <v>1434</v>
      </c>
    </row>
    <row r="11859" spans="1:9" x14ac:dyDescent="0.35">
      <c r="A11859" t="s">
        <v>219</v>
      </c>
      <c r="B11859" t="s">
        <v>305</v>
      </c>
      <c r="C11859" t="s">
        <v>1424</v>
      </c>
      <c r="D11859" t="s">
        <v>1425</v>
      </c>
      <c r="E11859" t="s">
        <v>1426</v>
      </c>
      <c r="F11859" t="s">
        <v>1427</v>
      </c>
      <c r="G11859" t="s">
        <v>281</v>
      </c>
      <c r="H11859" t="s">
        <v>286</v>
      </c>
      <c r="I11859" t="s">
        <v>226</v>
      </c>
    </row>
    <row r="11860" spans="1:9" x14ac:dyDescent="0.35">
      <c r="A11860" t="s">
        <v>227</v>
      </c>
      <c r="B11860" t="s">
        <v>249</v>
      </c>
      <c r="C11860" s="26">
        <v>0.90910000000000002</v>
      </c>
      <c r="D11860" s="26">
        <v>4.5499999999999999E-2</v>
      </c>
      <c r="E11860" s="26">
        <v>4.5499999999999999E-2</v>
      </c>
      <c r="I11860">
        <v>44</v>
      </c>
    </row>
    <row r="11861" spans="1:9" x14ac:dyDescent="0.35">
      <c r="A11861" t="s">
        <v>227</v>
      </c>
      <c r="B11861" t="s">
        <v>248</v>
      </c>
      <c r="C11861" s="26">
        <v>0.89739999999999998</v>
      </c>
      <c r="D11861" s="26">
        <v>5.9799999999999999E-2</v>
      </c>
      <c r="E11861" s="26">
        <v>3.4200000000000001E-2</v>
      </c>
      <c r="G11861" s="26">
        <v>8.5000000000000006E-3</v>
      </c>
      <c r="I11861">
        <v>117</v>
      </c>
    </row>
    <row r="11862" spans="1:9" x14ac:dyDescent="0.35">
      <c r="A11862" t="s">
        <v>228</v>
      </c>
      <c r="B11862" t="s">
        <v>249</v>
      </c>
      <c r="C11862" s="26">
        <v>0.78779999999999994</v>
      </c>
      <c r="D11862" s="26">
        <v>0.1032</v>
      </c>
      <c r="E11862" s="26">
        <v>5.5599999999999997E-2</v>
      </c>
      <c r="F11862" s="26">
        <v>3.1600000000000003E-2</v>
      </c>
      <c r="G11862" s="26">
        <v>2.0500000000000001E-2</v>
      </c>
      <c r="H11862" s="26">
        <v>1.1999999999999999E-3</v>
      </c>
      <c r="I11862">
        <v>274</v>
      </c>
    </row>
    <row r="11863" spans="1:9" x14ac:dyDescent="0.35">
      <c r="A11863" t="s">
        <v>228</v>
      </c>
      <c r="B11863" t="s">
        <v>248</v>
      </c>
      <c r="C11863" s="26">
        <v>0.86970000000000003</v>
      </c>
      <c r="D11863" s="26">
        <v>6.3E-2</v>
      </c>
      <c r="E11863" s="26">
        <v>3.5499999999999997E-2</v>
      </c>
      <c r="F11863" s="26">
        <v>1.2999999999999999E-2</v>
      </c>
      <c r="G11863" s="26">
        <v>1.6799999999999999E-2</v>
      </c>
      <c r="H11863" s="26">
        <v>2E-3</v>
      </c>
      <c r="I11863">
        <v>759</v>
      </c>
    </row>
    <row r="11864" spans="1:9" x14ac:dyDescent="0.35">
      <c r="A11864" t="s">
        <v>229</v>
      </c>
      <c r="B11864" t="s">
        <v>249</v>
      </c>
      <c r="C11864" s="26">
        <v>0.82940000000000003</v>
      </c>
      <c r="D11864" s="26">
        <v>6.9199999999999998E-2</v>
      </c>
      <c r="E11864" s="26">
        <v>7.9699999999999993E-2</v>
      </c>
      <c r="F11864" s="26">
        <v>1.1900000000000001E-2</v>
      </c>
      <c r="G11864" s="26">
        <v>9.1999999999999998E-3</v>
      </c>
      <c r="H11864" s="26">
        <v>5.0000000000000001E-4</v>
      </c>
      <c r="I11864">
        <v>259</v>
      </c>
    </row>
    <row r="11865" spans="1:9" x14ac:dyDescent="0.35">
      <c r="A11865" t="s">
        <v>229</v>
      </c>
      <c r="B11865" t="s">
        <v>248</v>
      </c>
      <c r="C11865" s="26">
        <v>0.84970000000000001</v>
      </c>
      <c r="D11865" s="26">
        <v>7.0499999999999993E-2</v>
      </c>
      <c r="E11865" s="26">
        <v>3.5299999999999998E-2</v>
      </c>
      <c r="F11865" s="26">
        <v>1.3299999999999999E-2</v>
      </c>
      <c r="G11865" s="26">
        <v>2.24E-2</v>
      </c>
      <c r="H11865" s="26">
        <v>8.6999999999999994E-3</v>
      </c>
      <c r="I11865">
        <v>636</v>
      </c>
    </row>
    <row r="11866" spans="1:9" x14ac:dyDescent="0.35">
      <c r="A11866" t="s">
        <v>230</v>
      </c>
      <c r="B11866" t="s">
        <v>249</v>
      </c>
      <c r="C11866" s="26">
        <v>0.84560000000000002</v>
      </c>
      <c r="D11866" s="26">
        <v>7.85E-2</v>
      </c>
      <c r="E11866" s="26">
        <v>5.6500000000000002E-2</v>
      </c>
      <c r="F11866" s="26">
        <v>1.9400000000000001E-2</v>
      </c>
      <c r="I11866">
        <v>171</v>
      </c>
    </row>
    <row r="11867" spans="1:9" x14ac:dyDescent="0.35">
      <c r="A11867" t="s">
        <v>230</v>
      </c>
      <c r="B11867" t="s">
        <v>248</v>
      </c>
      <c r="C11867" s="26">
        <v>0.89659999999999995</v>
      </c>
      <c r="D11867" s="26">
        <v>3.73E-2</v>
      </c>
      <c r="E11867" s="26">
        <v>3.8199999999999998E-2</v>
      </c>
      <c r="F11867" s="26">
        <v>1.7600000000000001E-2</v>
      </c>
      <c r="G11867" s="26">
        <v>9.9000000000000008E-3</v>
      </c>
      <c r="H11867" s="26">
        <v>4.0000000000000002E-4</v>
      </c>
      <c r="I11867">
        <v>389</v>
      </c>
    </row>
    <row r="11868" spans="1:9" x14ac:dyDescent="0.35">
      <c r="A11868" t="s">
        <v>231</v>
      </c>
      <c r="B11868" t="s">
        <v>249</v>
      </c>
      <c r="C11868" s="26">
        <v>0.8</v>
      </c>
      <c r="D11868" s="26">
        <v>0.1429</v>
      </c>
      <c r="F11868" s="26">
        <v>2.86E-2</v>
      </c>
      <c r="G11868" s="26">
        <v>2.86E-2</v>
      </c>
      <c r="I11868">
        <v>35</v>
      </c>
    </row>
    <row r="11869" spans="1:9" x14ac:dyDescent="0.35">
      <c r="A11869" t="s">
        <v>231</v>
      </c>
      <c r="B11869" t="s">
        <v>248</v>
      </c>
      <c r="C11869" s="26">
        <v>0.876</v>
      </c>
      <c r="D11869" s="26">
        <v>8.5300000000000001E-2</v>
      </c>
      <c r="E11869" s="26">
        <v>7.7999999999999996E-3</v>
      </c>
      <c r="F11869" s="26">
        <v>1.55E-2</v>
      </c>
      <c r="G11869" s="26">
        <v>7.7999999999999996E-3</v>
      </c>
      <c r="H11869" s="26">
        <v>7.7999999999999996E-3</v>
      </c>
      <c r="I11869">
        <v>129</v>
      </c>
    </row>
    <row r="11870" spans="1:9" x14ac:dyDescent="0.35">
      <c r="A11870" t="s">
        <v>232</v>
      </c>
      <c r="B11870" t="s">
        <v>232</v>
      </c>
      <c r="C11870" s="26">
        <v>0.86029999999999995</v>
      </c>
      <c r="D11870" s="26">
        <v>7.46E-2</v>
      </c>
      <c r="E11870" s="26">
        <v>3.3799999999999997E-2</v>
      </c>
      <c r="F11870" s="26">
        <v>1.4E-2</v>
      </c>
      <c r="G11870" s="26">
        <v>1.35E-2</v>
      </c>
      <c r="H11870" s="26">
        <v>3.7000000000000002E-3</v>
      </c>
      <c r="I11870">
        <v>2813</v>
      </c>
    </row>
    <row r="11872" spans="1:9" x14ac:dyDescent="0.35">
      <c r="A11872" s="1" t="s">
        <v>1435</v>
      </c>
    </row>
    <row r="11873" spans="1:9" x14ac:dyDescent="0.35">
      <c r="A11873" t="s">
        <v>219</v>
      </c>
      <c r="B11873" t="s">
        <v>305</v>
      </c>
      <c r="C11873" t="s">
        <v>1424</v>
      </c>
      <c r="D11873" t="s">
        <v>1425</v>
      </c>
      <c r="E11873" t="s">
        <v>1426</v>
      </c>
      <c r="F11873" t="s">
        <v>1427</v>
      </c>
      <c r="G11873" t="s">
        <v>281</v>
      </c>
      <c r="H11873" t="s">
        <v>286</v>
      </c>
      <c r="I11873" t="s">
        <v>226</v>
      </c>
    </row>
    <row r="11874" spans="1:9" x14ac:dyDescent="0.35">
      <c r="A11874" s="27" t="s">
        <v>227</v>
      </c>
      <c r="B11874" s="27" t="s">
        <v>263</v>
      </c>
      <c r="C11874" s="28">
        <v>1</v>
      </c>
      <c r="D11874" s="29"/>
      <c r="E11874" s="29"/>
      <c r="F11874" s="29"/>
      <c r="G11874" s="29"/>
      <c r="H11874" s="29"/>
      <c r="I11874" s="29" t="s">
        <v>315</v>
      </c>
    </row>
    <row r="11875" spans="1:9" x14ac:dyDescent="0.35">
      <c r="A11875" t="s">
        <v>227</v>
      </c>
      <c r="B11875" t="s">
        <v>261</v>
      </c>
      <c r="C11875" s="26">
        <v>0.84850000000000003</v>
      </c>
      <c r="D11875" s="26">
        <v>6.0600000000000001E-2</v>
      </c>
      <c r="E11875" s="26">
        <v>9.0899999999999995E-2</v>
      </c>
      <c r="I11875">
        <v>33</v>
      </c>
    </row>
    <row r="11876" spans="1:9" x14ac:dyDescent="0.35">
      <c r="A11876" s="27" t="s">
        <v>227</v>
      </c>
      <c r="B11876" s="27" t="s">
        <v>262</v>
      </c>
      <c r="C11876" s="28">
        <v>1</v>
      </c>
      <c r="D11876" s="29"/>
      <c r="E11876" s="29"/>
      <c r="F11876" s="29"/>
      <c r="G11876" s="29"/>
      <c r="H11876" s="29"/>
      <c r="I11876" s="29" t="s">
        <v>315</v>
      </c>
    </row>
    <row r="11877" spans="1:9" x14ac:dyDescent="0.35">
      <c r="A11877" t="s">
        <v>227</v>
      </c>
      <c r="B11877" t="s">
        <v>260</v>
      </c>
      <c r="C11877" s="26">
        <v>0.90980000000000005</v>
      </c>
      <c r="D11877" s="26">
        <v>5.74E-2</v>
      </c>
      <c r="E11877" s="26">
        <v>2.46E-2</v>
      </c>
      <c r="G11877" s="26">
        <v>8.2000000000000007E-3</v>
      </c>
      <c r="I11877">
        <v>122</v>
      </c>
    </row>
    <row r="11878" spans="1:9" x14ac:dyDescent="0.35">
      <c r="A11878" t="s">
        <v>228</v>
      </c>
      <c r="B11878" t="s">
        <v>261</v>
      </c>
      <c r="C11878" s="26">
        <v>0.81499999999999995</v>
      </c>
      <c r="D11878" s="26">
        <v>0.08</v>
      </c>
      <c r="E11878" s="26">
        <v>4.6199999999999998E-2</v>
      </c>
      <c r="F11878" s="26">
        <v>4.0599999999999997E-2</v>
      </c>
      <c r="G11878" s="26">
        <v>1.83E-2</v>
      </c>
      <c r="I11878">
        <v>192</v>
      </c>
    </row>
    <row r="11879" spans="1:9" x14ac:dyDescent="0.35">
      <c r="A11879" s="27" t="s">
        <v>228</v>
      </c>
      <c r="B11879" s="27" t="s">
        <v>263</v>
      </c>
      <c r="C11879" s="28">
        <v>0.88990000000000002</v>
      </c>
      <c r="D11879" s="28">
        <v>5.8599999999999999E-2</v>
      </c>
      <c r="E11879" s="29"/>
      <c r="F11879" s="28">
        <v>5.1400000000000001E-2</v>
      </c>
      <c r="G11879" s="29"/>
      <c r="H11879" s="29"/>
      <c r="I11879" s="29" t="s">
        <v>312</v>
      </c>
    </row>
    <row r="11880" spans="1:9" x14ac:dyDescent="0.35">
      <c r="A11880" s="27" t="s">
        <v>228</v>
      </c>
      <c r="B11880" s="27" t="s">
        <v>236</v>
      </c>
      <c r="C11880" s="28">
        <v>1</v>
      </c>
      <c r="D11880" s="29"/>
      <c r="E11880" s="29"/>
      <c r="F11880" s="29"/>
      <c r="G11880" s="29"/>
      <c r="H11880" s="29"/>
      <c r="I11880" s="29" t="s">
        <v>335</v>
      </c>
    </row>
    <row r="11881" spans="1:9" x14ac:dyDescent="0.35">
      <c r="A11881" t="s">
        <v>228</v>
      </c>
      <c r="B11881" t="s">
        <v>262</v>
      </c>
      <c r="C11881" s="26">
        <v>0.81200000000000006</v>
      </c>
      <c r="D11881" s="26">
        <v>0.10290000000000001</v>
      </c>
      <c r="E11881" s="26">
        <v>6.0999999999999999E-2</v>
      </c>
      <c r="F11881" s="26">
        <v>5.4999999999999997E-3</v>
      </c>
      <c r="G11881" s="26">
        <v>1.6199999999999999E-2</v>
      </c>
      <c r="H11881" s="26">
        <v>2.5000000000000001E-3</v>
      </c>
      <c r="I11881">
        <v>201</v>
      </c>
    </row>
    <row r="11882" spans="1:9" x14ac:dyDescent="0.35">
      <c r="A11882" t="s">
        <v>228</v>
      </c>
      <c r="B11882" t="s">
        <v>260</v>
      </c>
      <c r="C11882" s="26">
        <v>0.8609</v>
      </c>
      <c r="D11882" s="26">
        <v>6.7100000000000007E-2</v>
      </c>
      <c r="E11882" s="26">
        <v>3.6499999999999998E-2</v>
      </c>
      <c r="F11882" s="26">
        <v>1.43E-2</v>
      </c>
      <c r="G11882" s="26">
        <v>1.9E-2</v>
      </c>
      <c r="H11882" s="26">
        <v>2.0999999999999999E-3</v>
      </c>
      <c r="I11882">
        <v>609</v>
      </c>
    </row>
    <row r="11883" spans="1:9" x14ac:dyDescent="0.35">
      <c r="A11883" s="27" t="s">
        <v>229</v>
      </c>
      <c r="B11883" s="27" t="s">
        <v>263</v>
      </c>
      <c r="C11883" s="28">
        <v>0.77010000000000001</v>
      </c>
      <c r="D11883" s="29"/>
      <c r="E11883" s="28">
        <v>6.93E-2</v>
      </c>
      <c r="F11883" s="29"/>
      <c r="G11883" s="28">
        <v>0.16059999999999999</v>
      </c>
      <c r="H11883" s="29"/>
      <c r="I11883" s="29" t="s">
        <v>379</v>
      </c>
    </row>
    <row r="11884" spans="1:9" x14ac:dyDescent="0.35">
      <c r="A11884" t="s">
        <v>229</v>
      </c>
      <c r="B11884" t="s">
        <v>262</v>
      </c>
      <c r="C11884" s="26">
        <v>0.80889999999999995</v>
      </c>
      <c r="D11884" s="26">
        <v>7.2599999999999998E-2</v>
      </c>
      <c r="E11884" s="26">
        <v>9.3200000000000005E-2</v>
      </c>
      <c r="F11884" s="26">
        <v>1.5E-3</v>
      </c>
      <c r="G11884" s="26">
        <v>1.1299999999999999E-2</v>
      </c>
      <c r="H11884" s="26">
        <v>1.2500000000000001E-2</v>
      </c>
      <c r="I11884">
        <v>188</v>
      </c>
    </row>
    <row r="11885" spans="1:9" x14ac:dyDescent="0.35">
      <c r="A11885" t="s">
        <v>229</v>
      </c>
      <c r="B11885" t="s">
        <v>261</v>
      </c>
      <c r="C11885" s="26">
        <v>0.82110000000000005</v>
      </c>
      <c r="D11885" s="26">
        <v>0.1172</v>
      </c>
      <c r="E11885" s="26">
        <v>3.7100000000000001E-2</v>
      </c>
      <c r="F11885" s="26">
        <v>2.24E-2</v>
      </c>
      <c r="G11885" s="26">
        <v>2.2000000000000001E-3</v>
      </c>
      <c r="I11885">
        <v>96</v>
      </c>
    </row>
    <row r="11886" spans="1:9" x14ac:dyDescent="0.35">
      <c r="A11886" s="27" t="s">
        <v>229</v>
      </c>
      <c r="B11886" s="27" t="s">
        <v>236</v>
      </c>
      <c r="C11886" s="28">
        <v>1</v>
      </c>
      <c r="D11886" s="29"/>
      <c r="E11886" s="29"/>
      <c r="F11886" s="29"/>
      <c r="G11886" s="29"/>
      <c r="H11886" s="29"/>
      <c r="I11886" s="29" t="s">
        <v>331</v>
      </c>
    </row>
    <row r="11887" spans="1:9" x14ac:dyDescent="0.35">
      <c r="A11887" t="s">
        <v>229</v>
      </c>
      <c r="B11887" t="s">
        <v>260</v>
      </c>
      <c r="C11887" s="26">
        <v>0.86870000000000003</v>
      </c>
      <c r="D11887" s="26">
        <v>5.8700000000000002E-2</v>
      </c>
      <c r="E11887" s="26">
        <v>3.0800000000000001E-2</v>
      </c>
      <c r="F11887" s="26">
        <v>1.6500000000000001E-2</v>
      </c>
      <c r="G11887" s="26">
        <v>2.0799999999999999E-2</v>
      </c>
      <c r="H11887" s="26">
        <v>4.4999999999999997E-3</v>
      </c>
      <c r="I11887">
        <v>596</v>
      </c>
    </row>
    <row r="11888" spans="1:9" x14ac:dyDescent="0.35">
      <c r="A11888" s="27" t="s">
        <v>230</v>
      </c>
      <c r="B11888" s="27" t="s">
        <v>236</v>
      </c>
      <c r="C11888" s="28">
        <v>0.96340000000000003</v>
      </c>
      <c r="D11888" s="28">
        <v>3.6600000000000001E-2</v>
      </c>
      <c r="E11888" s="29"/>
      <c r="F11888" s="29"/>
      <c r="G11888" s="29"/>
      <c r="H11888" s="29"/>
      <c r="I11888" s="29" t="s">
        <v>337</v>
      </c>
    </row>
    <row r="11889" spans="1:9" x14ac:dyDescent="0.35">
      <c r="A11889" t="s">
        <v>230</v>
      </c>
      <c r="B11889" t="s">
        <v>262</v>
      </c>
      <c r="C11889" s="26">
        <v>0.84260000000000002</v>
      </c>
      <c r="D11889" s="26">
        <v>0.10440000000000001</v>
      </c>
      <c r="E11889" s="26">
        <v>3.5299999999999998E-2</v>
      </c>
      <c r="F11889" s="26">
        <v>5.8999999999999999E-3</v>
      </c>
      <c r="G11889" s="26">
        <v>1.18E-2</v>
      </c>
      <c r="I11889">
        <v>122</v>
      </c>
    </row>
    <row r="11890" spans="1:9" x14ac:dyDescent="0.35">
      <c r="A11890" t="s">
        <v>230</v>
      </c>
      <c r="B11890" t="s">
        <v>261</v>
      </c>
      <c r="C11890" s="26">
        <v>0.92179999999999995</v>
      </c>
      <c r="D11890" s="26">
        <v>1.7600000000000001E-2</v>
      </c>
      <c r="E11890" s="26">
        <v>5.3800000000000001E-2</v>
      </c>
      <c r="G11890" s="26">
        <v>6.7999999999999996E-3</v>
      </c>
      <c r="I11890">
        <v>57</v>
      </c>
    </row>
    <row r="11891" spans="1:9" x14ac:dyDescent="0.35">
      <c r="A11891" s="27" t="s">
        <v>230</v>
      </c>
      <c r="B11891" s="27" t="s">
        <v>263</v>
      </c>
      <c r="C11891" s="28">
        <v>0.51339999999999997</v>
      </c>
      <c r="D11891" s="28">
        <v>0.39729999999999999</v>
      </c>
      <c r="E11891" s="28">
        <v>7.2499999999999995E-2</v>
      </c>
      <c r="F11891" s="28">
        <v>1.6799999999999999E-2</v>
      </c>
      <c r="G11891" s="29"/>
      <c r="H11891" s="29"/>
      <c r="I11891" s="29" t="s">
        <v>312</v>
      </c>
    </row>
    <row r="11892" spans="1:9" x14ac:dyDescent="0.35">
      <c r="A11892" t="s">
        <v>230</v>
      </c>
      <c r="B11892" t="s">
        <v>260</v>
      </c>
      <c r="C11892" s="26">
        <v>0.88690000000000002</v>
      </c>
      <c r="D11892" s="26">
        <v>3.8100000000000002E-2</v>
      </c>
      <c r="E11892" s="26">
        <v>4.4400000000000002E-2</v>
      </c>
      <c r="F11892" s="26">
        <v>2.46E-2</v>
      </c>
      <c r="G11892" s="26">
        <v>5.5999999999999999E-3</v>
      </c>
      <c r="H11892" s="26">
        <v>4.0000000000000002E-4</v>
      </c>
      <c r="I11892">
        <v>352</v>
      </c>
    </row>
    <row r="11893" spans="1:9" x14ac:dyDescent="0.35">
      <c r="A11893" s="27" t="s">
        <v>231</v>
      </c>
      <c r="B11893" s="27" t="s">
        <v>263</v>
      </c>
      <c r="C11893" s="28">
        <v>1</v>
      </c>
      <c r="D11893" s="29"/>
      <c r="E11893" s="29"/>
      <c r="F11893" s="29"/>
      <c r="G11893" s="29"/>
      <c r="H11893" s="29"/>
      <c r="I11893" s="29" t="s">
        <v>314</v>
      </c>
    </row>
    <row r="11894" spans="1:9" x14ac:dyDescent="0.35">
      <c r="A11894" t="s">
        <v>231</v>
      </c>
      <c r="B11894" t="s">
        <v>260</v>
      </c>
      <c r="C11894" s="26">
        <v>0.8548</v>
      </c>
      <c r="D11894" s="26">
        <v>9.6799999999999997E-2</v>
      </c>
      <c r="E11894" s="26">
        <v>8.0999999999999996E-3</v>
      </c>
      <c r="F11894" s="26">
        <v>1.61E-2</v>
      </c>
      <c r="G11894" s="26">
        <v>1.61E-2</v>
      </c>
      <c r="H11894" s="26">
        <v>8.0999999999999996E-3</v>
      </c>
      <c r="I11894">
        <v>124</v>
      </c>
    </row>
    <row r="11895" spans="1:9" x14ac:dyDescent="0.35">
      <c r="A11895" s="27" t="s">
        <v>231</v>
      </c>
      <c r="B11895" s="27" t="s">
        <v>261</v>
      </c>
      <c r="C11895" s="28">
        <v>0.81479999999999997</v>
      </c>
      <c r="D11895" s="28">
        <v>0.14810000000000001</v>
      </c>
      <c r="E11895" s="29"/>
      <c r="F11895" s="28">
        <v>3.6999999999999998E-2</v>
      </c>
      <c r="G11895" s="29"/>
      <c r="H11895" s="29"/>
      <c r="I11895" s="29" t="s">
        <v>338</v>
      </c>
    </row>
    <row r="11896" spans="1:9" x14ac:dyDescent="0.35">
      <c r="A11896" s="27" t="s">
        <v>231</v>
      </c>
      <c r="B11896" s="27" t="s">
        <v>262</v>
      </c>
      <c r="C11896" s="28">
        <v>1</v>
      </c>
      <c r="D11896" s="29"/>
      <c r="E11896" s="29"/>
      <c r="F11896" s="29"/>
      <c r="G11896" s="29"/>
      <c r="H11896" s="29"/>
      <c r="I11896" s="29" t="s">
        <v>352</v>
      </c>
    </row>
    <row r="11897" spans="1:9" x14ac:dyDescent="0.35">
      <c r="A11897" t="s">
        <v>232</v>
      </c>
      <c r="B11897" t="s">
        <v>232</v>
      </c>
      <c r="C11897" s="26">
        <v>0.86029999999999995</v>
      </c>
      <c r="D11897" s="26">
        <v>7.46E-2</v>
      </c>
      <c r="E11897" s="26">
        <v>3.3799999999999997E-2</v>
      </c>
      <c r="F11897" s="26">
        <v>1.4E-2</v>
      </c>
      <c r="G11897" s="26">
        <v>1.35E-2</v>
      </c>
      <c r="H11897" s="26">
        <v>3.7000000000000002E-3</v>
      </c>
      <c r="I11897">
        <v>2813</v>
      </c>
    </row>
    <row r="11899" spans="1:9" x14ac:dyDescent="0.35">
      <c r="A11899" s="1" t="s">
        <v>1436</v>
      </c>
    </row>
    <row r="11900" spans="1:9" x14ac:dyDescent="0.35">
      <c r="A11900" t="s">
        <v>219</v>
      </c>
      <c r="B11900" t="s">
        <v>305</v>
      </c>
      <c r="C11900" t="s">
        <v>1424</v>
      </c>
      <c r="D11900" t="s">
        <v>1425</v>
      </c>
      <c r="E11900" t="s">
        <v>1426</v>
      </c>
      <c r="F11900" t="s">
        <v>1427</v>
      </c>
      <c r="G11900" t="s">
        <v>281</v>
      </c>
      <c r="H11900" t="s">
        <v>286</v>
      </c>
      <c r="I11900" t="s">
        <v>226</v>
      </c>
    </row>
    <row r="11901" spans="1:9" x14ac:dyDescent="0.35">
      <c r="A11901" t="s">
        <v>227</v>
      </c>
      <c r="B11901" t="s">
        <v>368</v>
      </c>
      <c r="C11901" s="26">
        <v>0.84850000000000003</v>
      </c>
      <c r="D11901" s="26">
        <v>6.0600000000000001E-2</v>
      </c>
      <c r="E11901" s="26">
        <v>9.0899999999999995E-2</v>
      </c>
      <c r="I11901">
        <v>33</v>
      </c>
    </row>
    <row r="11902" spans="1:9" x14ac:dyDescent="0.35">
      <c r="A11902" t="s">
        <v>227</v>
      </c>
      <c r="B11902" t="s">
        <v>369</v>
      </c>
      <c r="C11902" s="26">
        <v>0.91410000000000002</v>
      </c>
      <c r="D11902" s="26">
        <v>5.4699999999999999E-2</v>
      </c>
      <c r="E11902" s="26">
        <v>2.3400000000000001E-2</v>
      </c>
      <c r="G11902" s="26">
        <v>7.7999999999999996E-3</v>
      </c>
      <c r="I11902">
        <v>128</v>
      </c>
    </row>
    <row r="11903" spans="1:9" x14ac:dyDescent="0.35">
      <c r="A11903" t="s">
        <v>228</v>
      </c>
      <c r="B11903" t="s">
        <v>368</v>
      </c>
      <c r="C11903" s="26">
        <v>0.81499999999999995</v>
      </c>
      <c r="D11903" s="26">
        <v>0.08</v>
      </c>
      <c r="E11903" s="26">
        <v>4.6199999999999998E-2</v>
      </c>
      <c r="F11903" s="26">
        <v>4.0599999999999997E-2</v>
      </c>
      <c r="G11903" s="26">
        <v>1.83E-2</v>
      </c>
      <c r="I11903">
        <v>192</v>
      </c>
    </row>
    <row r="11904" spans="1:9" x14ac:dyDescent="0.35">
      <c r="A11904" t="s">
        <v>228</v>
      </c>
      <c r="B11904" t="s">
        <v>369</v>
      </c>
      <c r="C11904" s="26">
        <v>0.85260000000000002</v>
      </c>
      <c r="D11904" s="26">
        <v>7.3800000000000004E-2</v>
      </c>
      <c r="E11904" s="26">
        <v>4.0399999999999998E-2</v>
      </c>
      <c r="F11904" s="26">
        <v>1.3299999999999999E-2</v>
      </c>
      <c r="G11904" s="26">
        <v>1.78E-2</v>
      </c>
      <c r="H11904" s="26">
        <v>2.2000000000000001E-3</v>
      </c>
      <c r="I11904">
        <v>841</v>
      </c>
    </row>
    <row r="11905" spans="1:9" x14ac:dyDescent="0.35">
      <c r="A11905" t="s">
        <v>229</v>
      </c>
      <c r="B11905" t="s">
        <v>368</v>
      </c>
      <c r="C11905" s="26">
        <v>0.82110000000000005</v>
      </c>
      <c r="D11905" s="26">
        <v>0.1172</v>
      </c>
      <c r="E11905" s="26">
        <v>3.7100000000000001E-2</v>
      </c>
      <c r="F11905" s="26">
        <v>2.24E-2</v>
      </c>
      <c r="G11905" s="26">
        <v>2.2000000000000001E-3</v>
      </c>
      <c r="I11905">
        <v>96</v>
      </c>
    </row>
    <row r="11906" spans="1:9" x14ac:dyDescent="0.35">
      <c r="A11906" t="s">
        <v>229</v>
      </c>
      <c r="B11906" t="s">
        <v>369</v>
      </c>
      <c r="C11906" s="26">
        <v>0.84689999999999999</v>
      </c>
      <c r="D11906" s="26">
        <v>6.1899999999999997E-2</v>
      </c>
      <c r="E11906" s="26">
        <v>5.21E-2</v>
      </c>
      <c r="F11906" s="26">
        <v>1.12E-2</v>
      </c>
      <c r="G11906" s="26">
        <v>2.0799999999999999E-2</v>
      </c>
      <c r="H11906" s="26">
        <v>7.0000000000000001E-3</v>
      </c>
      <c r="I11906">
        <v>799</v>
      </c>
    </row>
    <row r="11907" spans="1:9" x14ac:dyDescent="0.35">
      <c r="A11907" t="s">
        <v>230</v>
      </c>
      <c r="B11907" t="s">
        <v>368</v>
      </c>
      <c r="C11907" s="26">
        <v>0.92179999999999995</v>
      </c>
      <c r="D11907" s="26">
        <v>1.7600000000000001E-2</v>
      </c>
      <c r="E11907" s="26">
        <v>5.3800000000000001E-2</v>
      </c>
      <c r="G11907" s="26">
        <v>6.7999999999999996E-3</v>
      </c>
      <c r="I11907">
        <v>57</v>
      </c>
    </row>
    <row r="11908" spans="1:9" x14ac:dyDescent="0.35">
      <c r="A11908" t="s">
        <v>230</v>
      </c>
      <c r="B11908" t="s">
        <v>369</v>
      </c>
      <c r="C11908" s="26">
        <v>0.87290000000000001</v>
      </c>
      <c r="D11908" s="26">
        <v>5.6300000000000003E-2</v>
      </c>
      <c r="E11908" s="26">
        <v>4.2900000000000001E-2</v>
      </c>
      <c r="F11908" s="26">
        <v>2.1000000000000001E-2</v>
      </c>
      <c r="G11908" s="26">
        <v>6.4999999999999997E-3</v>
      </c>
      <c r="H11908" s="26">
        <v>2.9999999999999997E-4</v>
      </c>
      <c r="I11908">
        <v>503</v>
      </c>
    </row>
    <row r="11909" spans="1:9" x14ac:dyDescent="0.35">
      <c r="A11909" s="27" t="s">
        <v>231</v>
      </c>
      <c r="B11909" s="27" t="s">
        <v>368</v>
      </c>
      <c r="C11909" s="28">
        <v>0.81479999999999997</v>
      </c>
      <c r="D11909" s="28">
        <v>0.14810000000000001</v>
      </c>
      <c r="E11909" s="29"/>
      <c r="F11909" s="28">
        <v>3.6999999999999998E-2</v>
      </c>
      <c r="G11909" s="29"/>
      <c r="H11909" s="29"/>
      <c r="I11909" s="29" t="s">
        <v>338</v>
      </c>
    </row>
    <row r="11910" spans="1:9" x14ac:dyDescent="0.35">
      <c r="A11910" t="s">
        <v>231</v>
      </c>
      <c r="B11910" t="s">
        <v>369</v>
      </c>
      <c r="C11910" s="26">
        <v>0.86860000000000004</v>
      </c>
      <c r="D11910" s="26">
        <v>8.7599999999999997E-2</v>
      </c>
      <c r="E11910" s="26">
        <v>7.3000000000000001E-3</v>
      </c>
      <c r="F11910" s="26">
        <v>1.46E-2</v>
      </c>
      <c r="G11910" s="26">
        <v>1.46E-2</v>
      </c>
      <c r="H11910" s="26">
        <v>7.3000000000000001E-3</v>
      </c>
      <c r="I11910">
        <v>137</v>
      </c>
    </row>
    <row r="11911" spans="1:9" x14ac:dyDescent="0.35">
      <c r="A11911" t="s">
        <v>232</v>
      </c>
      <c r="B11911" t="s">
        <v>232</v>
      </c>
      <c r="C11911" s="26">
        <v>0.86029999999999995</v>
      </c>
      <c r="D11911" s="26">
        <v>7.46E-2</v>
      </c>
      <c r="E11911" s="26">
        <v>3.3799999999999997E-2</v>
      </c>
      <c r="F11911" s="26">
        <v>1.4E-2</v>
      </c>
      <c r="G11911" s="26">
        <v>1.35E-2</v>
      </c>
      <c r="H11911" s="26">
        <v>3.7000000000000002E-3</v>
      </c>
      <c r="I11911">
        <v>2813</v>
      </c>
    </row>
    <row r="11913" spans="1:9" x14ac:dyDescent="0.35">
      <c r="A11913" s="1" t="s">
        <v>1437</v>
      </c>
    </row>
    <row r="11914" spans="1:9" x14ac:dyDescent="0.35">
      <c r="A11914" t="s">
        <v>219</v>
      </c>
      <c r="B11914" t="s">
        <v>305</v>
      </c>
      <c r="C11914" t="s">
        <v>1424</v>
      </c>
      <c r="D11914" t="s">
        <v>1425</v>
      </c>
      <c r="E11914" t="s">
        <v>1426</v>
      </c>
      <c r="F11914" t="s">
        <v>1427</v>
      </c>
      <c r="G11914" t="s">
        <v>281</v>
      </c>
      <c r="H11914" t="s">
        <v>286</v>
      </c>
      <c r="I11914" t="s">
        <v>226</v>
      </c>
    </row>
    <row r="11915" spans="1:9" x14ac:dyDescent="0.35">
      <c r="A11915" t="s">
        <v>227</v>
      </c>
      <c r="B11915" t="s">
        <v>371</v>
      </c>
      <c r="C11915" s="26">
        <v>0.90059999999999996</v>
      </c>
      <c r="D11915" s="26">
        <v>5.5899999999999998E-2</v>
      </c>
      <c r="E11915" s="26">
        <v>3.73E-2</v>
      </c>
      <c r="G11915" s="26">
        <v>6.1999999999999998E-3</v>
      </c>
      <c r="I11915">
        <v>161</v>
      </c>
    </row>
    <row r="11916" spans="1:9" x14ac:dyDescent="0.35">
      <c r="A11916" t="s">
        <v>228</v>
      </c>
      <c r="B11916" t="s">
        <v>371</v>
      </c>
      <c r="C11916" s="26">
        <v>0.82299999999999995</v>
      </c>
      <c r="D11916" s="26">
        <v>8.7300000000000003E-2</v>
      </c>
      <c r="E11916" s="26">
        <v>4.3200000000000002E-2</v>
      </c>
      <c r="F11916" s="26">
        <v>2.6100000000000002E-2</v>
      </c>
      <c r="G11916" s="26">
        <v>1.9800000000000002E-2</v>
      </c>
      <c r="H11916" s="26">
        <v>6.9999999999999999E-4</v>
      </c>
      <c r="I11916">
        <v>292</v>
      </c>
    </row>
    <row r="11917" spans="1:9" x14ac:dyDescent="0.35">
      <c r="A11917" t="s">
        <v>228</v>
      </c>
      <c r="B11917" t="s">
        <v>372</v>
      </c>
      <c r="C11917" s="26">
        <v>0.81979999999999997</v>
      </c>
      <c r="D11917" s="26">
        <v>8.6499999999999994E-2</v>
      </c>
      <c r="E11917" s="26">
        <v>4.0800000000000003E-2</v>
      </c>
      <c r="F11917" s="26">
        <v>3.1800000000000002E-2</v>
      </c>
      <c r="G11917" s="26">
        <v>1.14E-2</v>
      </c>
      <c r="H11917" s="26">
        <v>9.7000000000000003E-3</v>
      </c>
      <c r="I11917">
        <v>218</v>
      </c>
    </row>
    <row r="11918" spans="1:9" x14ac:dyDescent="0.35">
      <c r="A11918" t="s">
        <v>228</v>
      </c>
      <c r="B11918" t="s">
        <v>373</v>
      </c>
      <c r="C11918" s="26">
        <v>0.88039999999999996</v>
      </c>
      <c r="D11918" s="26">
        <v>5.62E-2</v>
      </c>
      <c r="E11918" s="26">
        <v>3.95E-2</v>
      </c>
      <c r="F11918" s="26">
        <v>5.7000000000000002E-3</v>
      </c>
      <c r="G11918" s="26">
        <v>1.6799999999999999E-2</v>
      </c>
      <c r="H11918" s="26">
        <v>1.4E-3</v>
      </c>
      <c r="I11918">
        <v>523</v>
      </c>
    </row>
    <row r="11919" spans="1:9" x14ac:dyDescent="0.35">
      <c r="A11919" t="s">
        <v>229</v>
      </c>
      <c r="B11919" t="s">
        <v>371</v>
      </c>
      <c r="C11919" s="26">
        <v>0.84289999999999998</v>
      </c>
      <c r="D11919" s="26">
        <v>7.0300000000000001E-2</v>
      </c>
      <c r="E11919" s="26">
        <v>5.0700000000000002E-2</v>
      </c>
      <c r="F11919" s="26">
        <v>1.21E-2</v>
      </c>
      <c r="G11919" s="26">
        <v>1.78E-2</v>
      </c>
      <c r="H11919" s="26">
        <v>6.1000000000000004E-3</v>
      </c>
      <c r="I11919">
        <v>584</v>
      </c>
    </row>
    <row r="11920" spans="1:9" x14ac:dyDescent="0.35">
      <c r="A11920" t="s">
        <v>229</v>
      </c>
      <c r="B11920" t="s">
        <v>372</v>
      </c>
      <c r="C11920" s="26">
        <v>0.83509999999999995</v>
      </c>
      <c r="D11920" s="26">
        <v>7.8200000000000006E-2</v>
      </c>
      <c r="E11920" s="26">
        <v>4.6199999999999998E-2</v>
      </c>
      <c r="F11920" s="26">
        <v>2.35E-2</v>
      </c>
      <c r="G11920" s="26">
        <v>1.04E-2</v>
      </c>
      <c r="H11920" s="26">
        <v>6.6E-3</v>
      </c>
      <c r="I11920">
        <v>221</v>
      </c>
    </row>
    <row r="11921" spans="1:9" x14ac:dyDescent="0.35">
      <c r="A11921" t="s">
        <v>229</v>
      </c>
      <c r="B11921" t="s">
        <v>373</v>
      </c>
      <c r="C11921" s="26">
        <v>0.86329999999999996</v>
      </c>
      <c r="D11921" s="26">
        <v>4.9299999999999997E-2</v>
      </c>
      <c r="E11921" s="26">
        <v>2.8199999999999999E-2</v>
      </c>
      <c r="F11921" s="26">
        <v>1.8700000000000001E-2</v>
      </c>
      <c r="G11921" s="26">
        <v>4.0500000000000001E-2</v>
      </c>
      <c r="I11921">
        <v>90</v>
      </c>
    </row>
    <row r="11922" spans="1:9" x14ac:dyDescent="0.35">
      <c r="A11922" t="s">
        <v>230</v>
      </c>
      <c r="B11922" t="s">
        <v>371</v>
      </c>
      <c r="C11922" s="26">
        <v>0.8841</v>
      </c>
      <c r="D11922" s="26">
        <v>4.6300000000000001E-2</v>
      </c>
      <c r="E11922" s="26">
        <v>4.53E-2</v>
      </c>
      <c r="F11922" s="26">
        <v>1.9800000000000002E-2</v>
      </c>
      <c r="G11922" s="26">
        <v>4.4999999999999997E-3</v>
      </c>
      <c r="I11922">
        <v>262</v>
      </c>
    </row>
    <row r="11923" spans="1:9" x14ac:dyDescent="0.35">
      <c r="A11923" t="s">
        <v>230</v>
      </c>
      <c r="B11923" t="s">
        <v>372</v>
      </c>
      <c r="C11923" s="26">
        <v>0.75980000000000003</v>
      </c>
      <c r="D11923" s="26">
        <v>0.1101</v>
      </c>
      <c r="E11923" s="26">
        <v>7.46E-2</v>
      </c>
      <c r="F11923" s="26">
        <v>4.7000000000000002E-3</v>
      </c>
      <c r="G11923" s="26">
        <v>4.6100000000000002E-2</v>
      </c>
      <c r="H11923" s="26">
        <v>4.7000000000000002E-3</v>
      </c>
      <c r="I11923">
        <v>146</v>
      </c>
    </row>
    <row r="11924" spans="1:9" x14ac:dyDescent="0.35">
      <c r="A11924" t="s">
        <v>230</v>
      </c>
      <c r="B11924" t="s">
        <v>373</v>
      </c>
      <c r="C11924" s="26">
        <v>0.90310000000000001</v>
      </c>
      <c r="D11924" s="26">
        <v>5.57E-2</v>
      </c>
      <c r="E11924" s="26">
        <v>2.52E-2</v>
      </c>
      <c r="F11924" s="26">
        <v>1.3899999999999999E-2</v>
      </c>
      <c r="G11924" s="26">
        <v>2.0999999999999999E-3</v>
      </c>
      <c r="I11924">
        <v>152</v>
      </c>
    </row>
    <row r="11925" spans="1:9" x14ac:dyDescent="0.35">
      <c r="A11925" t="s">
        <v>231</v>
      </c>
      <c r="B11925" t="s">
        <v>371</v>
      </c>
      <c r="C11925" s="26">
        <v>0.85980000000000001</v>
      </c>
      <c r="D11925" s="26">
        <v>9.7600000000000006E-2</v>
      </c>
      <c r="E11925" s="26">
        <v>6.1000000000000004E-3</v>
      </c>
      <c r="F11925" s="26">
        <v>1.83E-2</v>
      </c>
      <c r="G11925" s="26">
        <v>1.2200000000000001E-2</v>
      </c>
      <c r="H11925" s="26">
        <v>6.1000000000000004E-3</v>
      </c>
      <c r="I11925">
        <v>164</v>
      </c>
    </row>
    <row r="11926" spans="1:9" x14ac:dyDescent="0.35">
      <c r="A11926" t="s">
        <v>232</v>
      </c>
      <c r="B11926" t="s">
        <v>232</v>
      </c>
      <c r="C11926" s="26">
        <v>0.86029999999999995</v>
      </c>
      <c r="D11926" s="26">
        <v>7.46E-2</v>
      </c>
      <c r="E11926" s="26">
        <v>3.3799999999999997E-2</v>
      </c>
      <c r="F11926" s="26">
        <v>1.4E-2</v>
      </c>
      <c r="G11926" s="26">
        <v>1.35E-2</v>
      </c>
      <c r="H11926" s="26">
        <v>3.7000000000000002E-3</v>
      </c>
      <c r="I11926">
        <v>2813</v>
      </c>
    </row>
    <row r="11928" spans="1:9" x14ac:dyDescent="0.35">
      <c r="A11928" s="1" t="s">
        <v>1438</v>
      </c>
    </row>
    <row r="11929" spans="1:9" x14ac:dyDescent="0.35">
      <c r="A11929" t="s">
        <v>219</v>
      </c>
      <c r="B11929" t="s">
        <v>305</v>
      </c>
      <c r="C11929" t="s">
        <v>1424</v>
      </c>
      <c r="D11929" t="s">
        <v>1425</v>
      </c>
      <c r="E11929" t="s">
        <v>1426</v>
      </c>
      <c r="F11929" t="s">
        <v>1427</v>
      </c>
      <c r="G11929" t="s">
        <v>281</v>
      </c>
      <c r="H11929" t="s">
        <v>286</v>
      </c>
      <c r="I11929" t="s">
        <v>226</v>
      </c>
    </row>
    <row r="11930" spans="1:9" x14ac:dyDescent="0.35">
      <c r="A11930" t="s">
        <v>227</v>
      </c>
      <c r="B11930" t="s">
        <v>255</v>
      </c>
      <c r="C11930" s="26">
        <v>0.89739999999999998</v>
      </c>
      <c r="D11930" s="26">
        <v>5.9799999999999999E-2</v>
      </c>
      <c r="E11930" s="26">
        <v>3.4200000000000001E-2</v>
      </c>
      <c r="G11930" s="26">
        <v>8.5000000000000006E-3</v>
      </c>
      <c r="I11930">
        <v>117</v>
      </c>
    </row>
    <row r="11931" spans="1:9" x14ac:dyDescent="0.35">
      <c r="A11931" s="27" t="s">
        <v>227</v>
      </c>
      <c r="B11931" s="27" t="s">
        <v>257</v>
      </c>
      <c r="C11931" s="28">
        <v>0.77780000000000005</v>
      </c>
      <c r="D11931" s="28">
        <v>0.1111</v>
      </c>
      <c r="E11931" s="28">
        <v>0.1111</v>
      </c>
      <c r="F11931" s="29"/>
      <c r="G11931" s="29"/>
      <c r="H11931" s="29"/>
      <c r="I11931" s="29" t="s">
        <v>334</v>
      </c>
    </row>
    <row r="11932" spans="1:9" x14ac:dyDescent="0.35">
      <c r="A11932" t="s">
        <v>227</v>
      </c>
      <c r="B11932" t="s">
        <v>256</v>
      </c>
      <c r="C11932" s="26">
        <v>0.94289999999999996</v>
      </c>
      <c r="D11932" s="26">
        <v>2.86E-2</v>
      </c>
      <c r="E11932" s="26">
        <v>2.86E-2</v>
      </c>
      <c r="I11932">
        <v>35</v>
      </c>
    </row>
    <row r="11933" spans="1:9" x14ac:dyDescent="0.35">
      <c r="A11933" t="s">
        <v>228</v>
      </c>
      <c r="B11933" t="s">
        <v>257</v>
      </c>
      <c r="C11933" s="26">
        <v>0.83579999999999999</v>
      </c>
      <c r="D11933" s="26">
        <v>7.6300000000000007E-2</v>
      </c>
      <c r="E11933" s="26">
        <v>4.2299999999999997E-2</v>
      </c>
      <c r="F11933" s="26">
        <v>1.84E-2</v>
      </c>
      <c r="G11933" s="26">
        <v>2.7099999999999999E-2</v>
      </c>
      <c r="I11933">
        <v>49</v>
      </c>
    </row>
    <row r="11934" spans="1:9" x14ac:dyDescent="0.35">
      <c r="A11934" s="27" t="s">
        <v>228</v>
      </c>
      <c r="B11934" s="27" t="s">
        <v>258</v>
      </c>
      <c r="C11934" s="28">
        <v>1</v>
      </c>
      <c r="D11934" s="29"/>
      <c r="E11934" s="29"/>
      <c r="F11934" s="29"/>
      <c r="G11934" s="29"/>
      <c r="H11934" s="29"/>
      <c r="I11934" s="29" t="s">
        <v>337</v>
      </c>
    </row>
    <row r="11935" spans="1:9" x14ac:dyDescent="0.35">
      <c r="A11935" t="s">
        <v>228</v>
      </c>
      <c r="B11935" t="s">
        <v>256</v>
      </c>
      <c r="C11935" s="26">
        <v>0.77259999999999995</v>
      </c>
      <c r="D11935" s="26">
        <v>0.1113</v>
      </c>
      <c r="E11935" s="26">
        <v>5.9799999999999999E-2</v>
      </c>
      <c r="F11935" s="26">
        <v>3.5200000000000002E-2</v>
      </c>
      <c r="G11935" s="26">
        <v>1.9599999999999999E-2</v>
      </c>
      <c r="H11935" s="26">
        <v>1.5E-3</v>
      </c>
      <c r="I11935">
        <v>221</v>
      </c>
    </row>
    <row r="11936" spans="1:9" x14ac:dyDescent="0.35">
      <c r="A11936" t="s">
        <v>228</v>
      </c>
      <c r="B11936" t="s">
        <v>255</v>
      </c>
      <c r="C11936" s="26">
        <v>0.86970000000000003</v>
      </c>
      <c r="D11936" s="26">
        <v>6.3E-2</v>
      </c>
      <c r="E11936" s="26">
        <v>3.5499999999999997E-2</v>
      </c>
      <c r="F11936" s="26">
        <v>1.2999999999999999E-2</v>
      </c>
      <c r="G11936" s="26">
        <v>1.6799999999999999E-2</v>
      </c>
      <c r="H11936" s="26">
        <v>2E-3</v>
      </c>
      <c r="I11936">
        <v>759</v>
      </c>
    </row>
    <row r="11937" spans="1:9" x14ac:dyDescent="0.35">
      <c r="A11937" t="s">
        <v>229</v>
      </c>
      <c r="B11937" t="s">
        <v>256</v>
      </c>
      <c r="C11937" s="26">
        <v>0.82989999999999997</v>
      </c>
      <c r="D11937" s="26">
        <v>7.1400000000000005E-2</v>
      </c>
      <c r="E11937" s="26">
        <v>8.3099999999999993E-2</v>
      </c>
      <c r="F11937" s="26">
        <v>5.1999999999999998E-3</v>
      </c>
      <c r="G11937" s="26">
        <v>9.7999999999999997E-3</v>
      </c>
      <c r="H11937" s="26">
        <v>5.9999999999999995E-4</v>
      </c>
      <c r="I11937">
        <v>207</v>
      </c>
    </row>
    <row r="11938" spans="1:9" x14ac:dyDescent="0.35">
      <c r="A11938" t="s">
        <v>229</v>
      </c>
      <c r="B11938" t="s">
        <v>255</v>
      </c>
      <c r="C11938" s="26">
        <v>0.84970000000000001</v>
      </c>
      <c r="D11938" s="26">
        <v>7.0499999999999993E-2</v>
      </c>
      <c r="E11938" s="26">
        <v>3.5299999999999998E-2</v>
      </c>
      <c r="F11938" s="26">
        <v>1.3299999999999999E-2</v>
      </c>
      <c r="G11938" s="26">
        <v>2.24E-2</v>
      </c>
      <c r="H11938" s="26">
        <v>8.6999999999999994E-3</v>
      </c>
      <c r="I11938">
        <v>636</v>
      </c>
    </row>
    <row r="11939" spans="1:9" x14ac:dyDescent="0.35">
      <c r="A11939" t="s">
        <v>229</v>
      </c>
      <c r="B11939" t="s">
        <v>257</v>
      </c>
      <c r="C11939" s="26">
        <v>0.82579999999999998</v>
      </c>
      <c r="D11939" s="26">
        <v>5.8599999999999999E-2</v>
      </c>
      <c r="E11939" s="26">
        <v>6.3200000000000006E-2</v>
      </c>
      <c r="F11939" s="26">
        <v>4.6300000000000001E-2</v>
      </c>
      <c r="G11939" s="26">
        <v>6.1000000000000004E-3</v>
      </c>
      <c r="I11939">
        <v>50</v>
      </c>
    </row>
    <row r="11940" spans="1:9" x14ac:dyDescent="0.35">
      <c r="A11940" s="27" t="s">
        <v>229</v>
      </c>
      <c r="B11940" s="27" t="s">
        <v>258</v>
      </c>
      <c r="C11940" s="28">
        <v>1</v>
      </c>
      <c r="D11940" s="29"/>
      <c r="E11940" s="29"/>
      <c r="F11940" s="29"/>
      <c r="G11940" s="29"/>
      <c r="H11940" s="29"/>
      <c r="I11940" s="29" t="s">
        <v>314</v>
      </c>
    </row>
    <row r="11941" spans="1:9" x14ac:dyDescent="0.35">
      <c r="A11941" t="s">
        <v>230</v>
      </c>
      <c r="B11941" t="s">
        <v>256</v>
      </c>
      <c r="C11941" s="26">
        <v>0.82799999999999996</v>
      </c>
      <c r="D11941" s="26">
        <v>9.9699999999999997E-2</v>
      </c>
      <c r="E11941" s="26">
        <v>5.16E-2</v>
      </c>
      <c r="F11941" s="26">
        <v>2.07E-2</v>
      </c>
      <c r="I11941">
        <v>130</v>
      </c>
    </row>
    <row r="11942" spans="1:9" x14ac:dyDescent="0.35">
      <c r="A11942" t="s">
        <v>230</v>
      </c>
      <c r="B11942" t="s">
        <v>255</v>
      </c>
      <c r="C11942" s="26">
        <v>0.89659999999999995</v>
      </c>
      <c r="D11942" s="26">
        <v>3.73E-2</v>
      </c>
      <c r="E11942" s="26">
        <v>3.8199999999999998E-2</v>
      </c>
      <c r="F11942" s="26">
        <v>1.7600000000000001E-2</v>
      </c>
      <c r="G11942" s="26">
        <v>9.9000000000000008E-3</v>
      </c>
      <c r="H11942" s="26">
        <v>4.0000000000000002E-4</v>
      </c>
      <c r="I11942">
        <v>389</v>
      </c>
    </row>
    <row r="11943" spans="1:9" x14ac:dyDescent="0.35">
      <c r="A11943" t="s">
        <v>230</v>
      </c>
      <c r="B11943" t="s">
        <v>257</v>
      </c>
      <c r="C11943" s="26">
        <v>0.89590000000000003</v>
      </c>
      <c r="D11943" s="26">
        <v>7.7000000000000002E-3</v>
      </c>
      <c r="E11943" s="26">
        <v>0.08</v>
      </c>
      <c r="F11943" s="26">
        <v>1.6400000000000001E-2</v>
      </c>
      <c r="I11943">
        <v>38</v>
      </c>
    </row>
    <row r="11944" spans="1:9" x14ac:dyDescent="0.35">
      <c r="A11944" s="27" t="s">
        <v>230</v>
      </c>
      <c r="B11944" s="27" t="s">
        <v>258</v>
      </c>
      <c r="C11944" s="28">
        <v>1</v>
      </c>
      <c r="D11944" s="29"/>
      <c r="E11944" s="29"/>
      <c r="F11944" s="29"/>
      <c r="G11944" s="29"/>
      <c r="H11944" s="29"/>
      <c r="I11944" s="29" t="s">
        <v>315</v>
      </c>
    </row>
    <row r="11945" spans="1:9" x14ac:dyDescent="0.35">
      <c r="A11945" s="27" t="s">
        <v>231</v>
      </c>
      <c r="B11945" s="27" t="s">
        <v>257</v>
      </c>
      <c r="C11945" s="28">
        <v>1</v>
      </c>
      <c r="D11945" s="29"/>
      <c r="E11945" s="29"/>
      <c r="F11945" s="29"/>
      <c r="G11945" s="29"/>
      <c r="H11945" s="29"/>
      <c r="I11945" s="29" t="s">
        <v>339</v>
      </c>
    </row>
    <row r="11946" spans="1:9" x14ac:dyDescent="0.35">
      <c r="A11946" t="s">
        <v>231</v>
      </c>
      <c r="B11946" t="s">
        <v>255</v>
      </c>
      <c r="C11946" s="26">
        <v>0.876</v>
      </c>
      <c r="D11946" s="26">
        <v>8.5300000000000001E-2</v>
      </c>
      <c r="E11946" s="26">
        <v>7.7999999999999996E-3</v>
      </c>
      <c r="F11946" s="26">
        <v>1.55E-2</v>
      </c>
      <c r="G11946" s="26">
        <v>7.7999999999999996E-3</v>
      </c>
      <c r="H11946" s="26">
        <v>7.7999999999999996E-3</v>
      </c>
      <c r="I11946">
        <v>129</v>
      </c>
    </row>
    <row r="11947" spans="1:9" x14ac:dyDescent="0.35">
      <c r="A11947" s="27" t="s">
        <v>231</v>
      </c>
      <c r="B11947" s="27" t="s">
        <v>256</v>
      </c>
      <c r="C11947" s="28">
        <v>0.75</v>
      </c>
      <c r="D11947" s="28">
        <v>0.17860000000000001</v>
      </c>
      <c r="E11947" s="29"/>
      <c r="F11947" s="28">
        <v>3.5700000000000003E-2</v>
      </c>
      <c r="G11947" s="28">
        <v>3.5700000000000003E-2</v>
      </c>
      <c r="H11947" s="29"/>
      <c r="I11947" s="29" t="s">
        <v>336</v>
      </c>
    </row>
    <row r="11948" spans="1:9" x14ac:dyDescent="0.35">
      <c r="A11948" t="s">
        <v>232</v>
      </c>
      <c r="B11948" t="s">
        <v>232</v>
      </c>
      <c r="C11948" s="26">
        <v>0.86029999999999995</v>
      </c>
      <c r="D11948" s="26">
        <v>7.46E-2</v>
      </c>
      <c r="E11948" s="26">
        <v>3.3799999999999997E-2</v>
      </c>
      <c r="F11948" s="26">
        <v>1.4E-2</v>
      </c>
      <c r="G11948" s="26">
        <v>1.35E-2</v>
      </c>
      <c r="H11948" s="26">
        <v>3.7000000000000002E-3</v>
      </c>
      <c r="I11948">
        <v>2813</v>
      </c>
    </row>
    <row r="11950" spans="1:9" x14ac:dyDescent="0.35">
      <c r="A11950" s="1" t="s">
        <v>1439</v>
      </c>
    </row>
    <row r="11951" spans="1:9" x14ac:dyDescent="0.35">
      <c r="A11951" t="s">
        <v>219</v>
      </c>
      <c r="B11951" t="s">
        <v>305</v>
      </c>
      <c r="C11951" t="s">
        <v>1424</v>
      </c>
      <c r="D11951" t="s">
        <v>1425</v>
      </c>
      <c r="E11951" t="s">
        <v>1426</v>
      </c>
      <c r="F11951" t="s">
        <v>1427</v>
      </c>
      <c r="G11951" t="s">
        <v>281</v>
      </c>
      <c r="H11951" t="s">
        <v>286</v>
      </c>
      <c r="I11951" t="s">
        <v>226</v>
      </c>
    </row>
    <row r="11952" spans="1:9" x14ac:dyDescent="0.35">
      <c r="A11952" t="s">
        <v>227</v>
      </c>
      <c r="B11952" t="s">
        <v>1341</v>
      </c>
      <c r="C11952" s="26">
        <v>0.89800000000000002</v>
      </c>
      <c r="D11952" s="26">
        <v>6.1199999999999997E-2</v>
      </c>
      <c r="E11952" s="26">
        <v>4.0800000000000003E-2</v>
      </c>
      <c r="I11952">
        <v>49</v>
      </c>
    </row>
    <row r="11953" spans="1:9" x14ac:dyDescent="0.35">
      <c r="A11953" s="27" t="s">
        <v>227</v>
      </c>
      <c r="B11953" s="27" t="s">
        <v>1342</v>
      </c>
      <c r="C11953" s="28">
        <v>1</v>
      </c>
      <c r="D11953" s="29"/>
      <c r="E11953" s="29"/>
      <c r="F11953" s="29"/>
      <c r="G11953" s="29"/>
      <c r="H11953" s="29"/>
      <c r="I11953" s="29" t="s">
        <v>331</v>
      </c>
    </row>
    <row r="11954" spans="1:9" x14ac:dyDescent="0.35">
      <c r="A11954" t="s">
        <v>227</v>
      </c>
      <c r="B11954" t="s">
        <v>1343</v>
      </c>
      <c r="C11954" s="26">
        <v>0.90090000000000003</v>
      </c>
      <c r="D11954" s="26">
        <v>5.4100000000000002E-2</v>
      </c>
      <c r="E11954" s="26">
        <v>3.5999999999999997E-2</v>
      </c>
      <c r="G11954" s="26">
        <v>8.9999999999999993E-3</v>
      </c>
      <c r="I11954">
        <v>111</v>
      </c>
    </row>
    <row r="11955" spans="1:9" x14ac:dyDescent="0.35">
      <c r="A11955" t="s">
        <v>228</v>
      </c>
      <c r="B11955" t="s">
        <v>1341</v>
      </c>
      <c r="C11955" s="26">
        <v>0.83989999999999998</v>
      </c>
      <c r="D11955" s="26">
        <v>9.6500000000000002E-2</v>
      </c>
      <c r="E11955" s="26">
        <v>0.02</v>
      </c>
      <c r="F11955" s="26">
        <v>2.7300000000000001E-2</v>
      </c>
      <c r="G11955" s="26">
        <v>1.6199999999999999E-2</v>
      </c>
      <c r="I11955">
        <v>305</v>
      </c>
    </row>
    <row r="11956" spans="1:9" x14ac:dyDescent="0.35">
      <c r="A11956" s="27" t="s">
        <v>228</v>
      </c>
      <c r="B11956" s="27" t="s">
        <v>1342</v>
      </c>
      <c r="C11956" s="28">
        <v>1</v>
      </c>
      <c r="D11956" s="29"/>
      <c r="E11956" s="29"/>
      <c r="F11956" s="29"/>
      <c r="G11956" s="29"/>
      <c r="H11956" s="29"/>
      <c r="I11956" s="29" t="s">
        <v>331</v>
      </c>
    </row>
    <row r="11957" spans="1:9" x14ac:dyDescent="0.35">
      <c r="A11957" t="s">
        <v>228</v>
      </c>
      <c r="B11957" t="s">
        <v>1343</v>
      </c>
      <c r="C11957" s="26">
        <v>0.84670000000000001</v>
      </c>
      <c r="D11957" s="26">
        <v>6.6400000000000001E-2</v>
      </c>
      <c r="E11957" s="26">
        <v>5.0700000000000002E-2</v>
      </c>
      <c r="F11957" s="26">
        <v>1.4999999999999999E-2</v>
      </c>
      <c r="G11957" s="26">
        <v>1.8700000000000001E-2</v>
      </c>
      <c r="H11957" s="26">
        <v>2.5000000000000001E-3</v>
      </c>
      <c r="I11957">
        <v>727</v>
      </c>
    </row>
    <row r="11958" spans="1:9" x14ac:dyDescent="0.35">
      <c r="A11958" t="s">
        <v>229</v>
      </c>
      <c r="B11958" t="s">
        <v>1341</v>
      </c>
      <c r="C11958" s="26">
        <v>0.88570000000000004</v>
      </c>
      <c r="D11958" s="26">
        <v>2.8199999999999999E-2</v>
      </c>
      <c r="E11958" s="26">
        <v>6.1400000000000003E-2</v>
      </c>
      <c r="F11958" s="26">
        <v>4.5999999999999999E-3</v>
      </c>
      <c r="G11958" s="26">
        <v>1.0999999999999999E-2</v>
      </c>
      <c r="H11958" s="26">
        <v>9.1000000000000004E-3</v>
      </c>
      <c r="I11958">
        <v>273</v>
      </c>
    </row>
    <row r="11959" spans="1:9" x14ac:dyDescent="0.35">
      <c r="A11959" t="s">
        <v>229</v>
      </c>
      <c r="B11959" t="s">
        <v>1343</v>
      </c>
      <c r="C11959" s="26">
        <v>0.82230000000000003</v>
      </c>
      <c r="D11959" s="26">
        <v>9.0499999999999997E-2</v>
      </c>
      <c r="E11959" s="26">
        <v>4.4299999999999999E-2</v>
      </c>
      <c r="F11959" s="26">
        <v>1.6899999999999998E-2</v>
      </c>
      <c r="G11959" s="26">
        <v>2.1499999999999998E-2</v>
      </c>
      <c r="H11959" s="26">
        <v>4.4999999999999997E-3</v>
      </c>
      <c r="I11959">
        <v>622</v>
      </c>
    </row>
    <row r="11960" spans="1:9" x14ac:dyDescent="0.35">
      <c r="A11960" t="s">
        <v>230</v>
      </c>
      <c r="B11960" t="s">
        <v>1341</v>
      </c>
      <c r="C11960" s="26">
        <v>0.83950000000000002</v>
      </c>
      <c r="D11960" s="26">
        <v>6.54E-2</v>
      </c>
      <c r="E11960" s="26">
        <v>3.5900000000000001E-2</v>
      </c>
      <c r="F11960" s="26">
        <v>5.5300000000000002E-2</v>
      </c>
      <c r="G11960" s="26">
        <v>3.8E-3</v>
      </c>
      <c r="I11960">
        <v>156</v>
      </c>
    </row>
    <row r="11961" spans="1:9" x14ac:dyDescent="0.35">
      <c r="A11961" t="s">
        <v>230</v>
      </c>
      <c r="B11961" t="s">
        <v>1343</v>
      </c>
      <c r="C11961" s="26">
        <v>0.89710000000000001</v>
      </c>
      <c r="D11961" s="26">
        <v>4.4900000000000002E-2</v>
      </c>
      <c r="E11961" s="26">
        <v>4.82E-2</v>
      </c>
      <c r="F11961" s="26">
        <v>1.6999999999999999E-3</v>
      </c>
      <c r="G11961" s="26">
        <v>7.7999999999999996E-3</v>
      </c>
      <c r="H11961" s="26">
        <v>4.0000000000000002E-4</v>
      </c>
      <c r="I11961">
        <v>404</v>
      </c>
    </row>
    <row r="11962" spans="1:9" x14ac:dyDescent="0.35">
      <c r="A11962" t="s">
        <v>231</v>
      </c>
      <c r="B11962" t="s">
        <v>1341</v>
      </c>
      <c r="C11962" s="26">
        <v>0.84619999999999995</v>
      </c>
      <c r="D11962" s="26">
        <v>9.2299999999999993E-2</v>
      </c>
      <c r="F11962" s="26">
        <v>3.0800000000000001E-2</v>
      </c>
      <c r="G11962" s="26">
        <v>1.54E-2</v>
      </c>
      <c r="H11962" s="26">
        <v>1.54E-2</v>
      </c>
      <c r="I11962">
        <v>65</v>
      </c>
    </row>
    <row r="11963" spans="1:9" x14ac:dyDescent="0.35">
      <c r="A11963" t="s">
        <v>231</v>
      </c>
      <c r="B11963" t="s">
        <v>1343</v>
      </c>
      <c r="C11963" s="26">
        <v>0.86870000000000003</v>
      </c>
      <c r="D11963" s="26">
        <v>0.10100000000000001</v>
      </c>
      <c r="E11963" s="26">
        <v>1.01E-2</v>
      </c>
      <c r="F11963" s="26">
        <v>1.01E-2</v>
      </c>
      <c r="G11963" s="26">
        <v>1.01E-2</v>
      </c>
      <c r="I11963">
        <v>99</v>
      </c>
    </row>
    <row r="11964" spans="1:9" x14ac:dyDescent="0.35">
      <c r="A11964" t="s">
        <v>232</v>
      </c>
      <c r="B11964" t="s">
        <v>232</v>
      </c>
      <c r="C11964" s="26">
        <v>0.86029999999999995</v>
      </c>
      <c r="D11964" s="26">
        <v>7.46E-2</v>
      </c>
      <c r="E11964" s="26">
        <v>3.3799999999999997E-2</v>
      </c>
      <c r="F11964" s="26">
        <v>1.4E-2</v>
      </c>
      <c r="G11964" s="26">
        <v>1.35E-2</v>
      </c>
      <c r="H11964" s="26">
        <v>3.7000000000000002E-3</v>
      </c>
      <c r="I11964">
        <v>2813</v>
      </c>
    </row>
    <row r="11966" spans="1:9" x14ac:dyDescent="0.35">
      <c r="A11966" s="1" t="s">
        <v>1440</v>
      </c>
    </row>
    <row r="11967" spans="1:9" x14ac:dyDescent="0.35">
      <c r="A11967" t="s">
        <v>219</v>
      </c>
      <c r="B11967" t="s">
        <v>305</v>
      </c>
      <c r="C11967" t="s">
        <v>1424</v>
      </c>
      <c r="D11967" t="s">
        <v>1425</v>
      </c>
      <c r="E11967" t="s">
        <v>1426</v>
      </c>
      <c r="F11967" t="s">
        <v>1427</v>
      </c>
      <c r="G11967" t="s">
        <v>281</v>
      </c>
      <c r="H11967" t="s">
        <v>286</v>
      </c>
      <c r="I11967" t="s">
        <v>226</v>
      </c>
    </row>
    <row r="11968" spans="1:9" x14ac:dyDescent="0.35">
      <c r="A11968" s="27" t="s">
        <v>227</v>
      </c>
      <c r="B11968" s="27" t="s">
        <v>1345</v>
      </c>
      <c r="C11968" s="28">
        <v>1</v>
      </c>
      <c r="D11968" s="29"/>
      <c r="E11968" s="29"/>
      <c r="F11968" s="29"/>
      <c r="G11968" s="29"/>
      <c r="H11968" s="29"/>
      <c r="I11968" s="29" t="s">
        <v>314</v>
      </c>
    </row>
    <row r="11969" spans="1:9" x14ac:dyDescent="0.35">
      <c r="A11969" t="s">
        <v>227</v>
      </c>
      <c r="B11969" t="s">
        <v>1346</v>
      </c>
      <c r="C11969" s="26">
        <v>0.92310000000000003</v>
      </c>
      <c r="D11969" s="26">
        <v>5.1299999999999998E-2</v>
      </c>
      <c r="G11969" s="26">
        <v>2.5600000000000001E-2</v>
      </c>
      <c r="I11969">
        <v>39</v>
      </c>
    </row>
    <row r="11970" spans="1:9" x14ac:dyDescent="0.35">
      <c r="A11970" t="s">
        <v>227</v>
      </c>
      <c r="B11970" t="s">
        <v>1347</v>
      </c>
      <c r="C11970" s="26">
        <v>0.94440000000000002</v>
      </c>
      <c r="D11970" s="26">
        <v>2.7799999999999998E-2</v>
      </c>
      <c r="E11970" s="26">
        <v>2.7799999999999998E-2</v>
      </c>
      <c r="I11970">
        <v>36</v>
      </c>
    </row>
    <row r="11971" spans="1:9" x14ac:dyDescent="0.35">
      <c r="A11971" t="s">
        <v>227</v>
      </c>
      <c r="B11971" t="s">
        <v>1348</v>
      </c>
      <c r="C11971" s="26">
        <v>0.86899999999999999</v>
      </c>
      <c r="D11971" s="26">
        <v>7.1400000000000005E-2</v>
      </c>
      <c r="E11971" s="26">
        <v>5.9499999999999997E-2</v>
      </c>
      <c r="I11971">
        <v>84</v>
      </c>
    </row>
    <row r="11972" spans="1:9" x14ac:dyDescent="0.35">
      <c r="A11972" t="s">
        <v>228</v>
      </c>
      <c r="B11972" t="s">
        <v>1348</v>
      </c>
      <c r="C11972" s="26">
        <v>0.85</v>
      </c>
      <c r="D11972" s="26">
        <v>6.7799999999999999E-2</v>
      </c>
      <c r="E11972" s="26">
        <v>4.2799999999999998E-2</v>
      </c>
      <c r="F11972" s="26">
        <v>2.3599999999999999E-2</v>
      </c>
      <c r="G11972" s="26">
        <v>1.32E-2</v>
      </c>
      <c r="H11972" s="26">
        <v>2.5999999999999999E-3</v>
      </c>
      <c r="I11972">
        <v>532</v>
      </c>
    </row>
    <row r="11973" spans="1:9" x14ac:dyDescent="0.35">
      <c r="A11973" t="s">
        <v>228</v>
      </c>
      <c r="B11973" t="s">
        <v>1347</v>
      </c>
      <c r="C11973" s="26">
        <v>0.81200000000000006</v>
      </c>
      <c r="D11973" s="26">
        <v>0.1106</v>
      </c>
      <c r="E11973" s="26">
        <v>4.7300000000000002E-2</v>
      </c>
      <c r="F11973" s="26">
        <v>8.2000000000000007E-3</v>
      </c>
      <c r="G11973" s="26">
        <v>0.02</v>
      </c>
      <c r="H11973" s="26">
        <v>1.9E-3</v>
      </c>
      <c r="I11973">
        <v>204</v>
      </c>
    </row>
    <row r="11974" spans="1:9" x14ac:dyDescent="0.35">
      <c r="A11974" t="s">
        <v>228</v>
      </c>
      <c r="B11974" t="s">
        <v>1346</v>
      </c>
      <c r="C11974" s="26">
        <v>0.87719999999999998</v>
      </c>
      <c r="D11974" s="26">
        <v>5.2499999999999998E-2</v>
      </c>
      <c r="E11974" s="26">
        <v>3.8199999999999998E-2</v>
      </c>
      <c r="F11974" s="26">
        <v>4.5999999999999999E-3</v>
      </c>
      <c r="G11974" s="26">
        <v>2.7400000000000001E-2</v>
      </c>
      <c r="I11974">
        <v>286</v>
      </c>
    </row>
    <row r="11975" spans="1:9" x14ac:dyDescent="0.35">
      <c r="A11975" s="27" t="s">
        <v>228</v>
      </c>
      <c r="B11975" s="27" t="s">
        <v>1345</v>
      </c>
      <c r="C11975" s="28">
        <v>0.63549999999999995</v>
      </c>
      <c r="D11975" s="28">
        <v>0.20949999999999999</v>
      </c>
      <c r="E11975" s="29"/>
      <c r="F11975" s="28">
        <v>0.155</v>
      </c>
      <c r="G11975" s="29"/>
      <c r="H11975" s="29"/>
      <c r="I11975" s="29" t="s">
        <v>352</v>
      </c>
    </row>
    <row r="11976" spans="1:9" x14ac:dyDescent="0.35">
      <c r="A11976" s="27" t="s">
        <v>229</v>
      </c>
      <c r="B11976" s="27" t="s">
        <v>1345</v>
      </c>
      <c r="C11976" s="28">
        <v>0.9849</v>
      </c>
      <c r="D11976" s="28">
        <v>1.17E-2</v>
      </c>
      <c r="E11976" s="29"/>
      <c r="F11976" s="29"/>
      <c r="G11976" s="28">
        <v>3.3999999999999998E-3</v>
      </c>
      <c r="H11976" s="29"/>
      <c r="I11976" s="29" t="s">
        <v>357</v>
      </c>
    </row>
    <row r="11977" spans="1:9" x14ac:dyDescent="0.35">
      <c r="A11977" t="s">
        <v>229</v>
      </c>
      <c r="B11977" t="s">
        <v>1346</v>
      </c>
      <c r="C11977" s="26">
        <v>0.86499999999999999</v>
      </c>
      <c r="D11977" s="26">
        <v>4.53E-2</v>
      </c>
      <c r="E11977" s="26">
        <v>1.4200000000000001E-2</v>
      </c>
      <c r="F11977" s="26">
        <v>8.5000000000000006E-3</v>
      </c>
      <c r="G11977" s="26">
        <v>5.5E-2</v>
      </c>
      <c r="H11977" s="26">
        <v>1.2E-2</v>
      </c>
      <c r="I11977">
        <v>184</v>
      </c>
    </row>
    <row r="11978" spans="1:9" x14ac:dyDescent="0.35">
      <c r="A11978" t="s">
        <v>229</v>
      </c>
      <c r="B11978" t="s">
        <v>1347</v>
      </c>
      <c r="C11978" s="26">
        <v>0.84870000000000001</v>
      </c>
      <c r="D11978" s="26">
        <v>5.79E-2</v>
      </c>
      <c r="E11978" s="26">
        <v>6.8000000000000005E-2</v>
      </c>
      <c r="F11978" s="26">
        <v>1.2699999999999999E-2</v>
      </c>
      <c r="G11978" s="26">
        <v>1.2200000000000001E-2</v>
      </c>
      <c r="H11978" s="26">
        <v>5.9999999999999995E-4</v>
      </c>
      <c r="I11978">
        <v>302</v>
      </c>
    </row>
    <row r="11979" spans="1:9" x14ac:dyDescent="0.35">
      <c r="A11979" t="s">
        <v>229</v>
      </c>
      <c r="B11979" t="s">
        <v>1348</v>
      </c>
      <c r="C11979" s="26">
        <v>0.82130000000000003</v>
      </c>
      <c r="D11979" s="26">
        <v>9.2399999999999996E-2</v>
      </c>
      <c r="E11979" s="26">
        <v>5.7299999999999997E-2</v>
      </c>
      <c r="F11979" s="26">
        <v>1.5699999999999999E-2</v>
      </c>
      <c r="G11979" s="26">
        <v>6.3E-3</v>
      </c>
      <c r="H11979" s="26">
        <v>7.1000000000000004E-3</v>
      </c>
      <c r="I11979">
        <v>383</v>
      </c>
    </row>
    <row r="11980" spans="1:9" x14ac:dyDescent="0.35">
      <c r="A11980" t="s">
        <v>230</v>
      </c>
      <c r="B11980" t="s">
        <v>1346</v>
      </c>
      <c r="C11980" s="26">
        <v>0.93859999999999999</v>
      </c>
      <c r="D11980" s="26">
        <v>1.3599999999999999E-2</v>
      </c>
      <c r="E11980" s="26">
        <v>3.1300000000000001E-2</v>
      </c>
      <c r="G11980" s="26">
        <v>1.6500000000000001E-2</v>
      </c>
      <c r="I11980">
        <v>140</v>
      </c>
    </row>
    <row r="11981" spans="1:9" x14ac:dyDescent="0.35">
      <c r="A11981" t="s">
        <v>230</v>
      </c>
      <c r="B11981" t="s">
        <v>1348</v>
      </c>
      <c r="C11981" s="26">
        <v>0.89429999999999998</v>
      </c>
      <c r="D11981" s="26">
        <v>5.0900000000000001E-2</v>
      </c>
      <c r="E11981" s="26">
        <v>3.6999999999999998E-2</v>
      </c>
      <c r="F11981" s="26">
        <v>1.2999999999999999E-2</v>
      </c>
      <c r="G11981" s="26">
        <v>4.3E-3</v>
      </c>
      <c r="H11981" s="26">
        <v>5.9999999999999995E-4</v>
      </c>
      <c r="I11981">
        <v>259</v>
      </c>
    </row>
    <row r="11982" spans="1:9" x14ac:dyDescent="0.35">
      <c r="A11982" t="s">
        <v>230</v>
      </c>
      <c r="B11982" t="s">
        <v>1347</v>
      </c>
      <c r="C11982" s="26">
        <v>0.80179999999999996</v>
      </c>
      <c r="D11982" s="26">
        <v>8.4699999999999998E-2</v>
      </c>
      <c r="E11982" s="26">
        <v>6.7400000000000002E-2</v>
      </c>
      <c r="F11982" s="26">
        <v>4.2799999999999998E-2</v>
      </c>
      <c r="G11982" s="26">
        <v>3.3E-3</v>
      </c>
      <c r="I11982">
        <v>153</v>
      </c>
    </row>
    <row r="11983" spans="1:9" x14ac:dyDescent="0.35">
      <c r="A11983" s="27" t="s">
        <v>230</v>
      </c>
      <c r="B11983" s="27" t="s">
        <v>1345</v>
      </c>
      <c r="C11983" s="28">
        <v>0.9546</v>
      </c>
      <c r="D11983" s="29"/>
      <c r="E11983" s="28">
        <v>4.5400000000000003E-2</v>
      </c>
      <c r="F11983" s="29"/>
      <c r="G11983" s="29"/>
      <c r="H11983" s="29"/>
      <c r="I11983" s="29" t="s">
        <v>333</v>
      </c>
    </row>
    <row r="11984" spans="1:9" x14ac:dyDescent="0.35">
      <c r="A11984" s="27" t="s">
        <v>231</v>
      </c>
      <c r="B11984" s="27" t="s">
        <v>1345</v>
      </c>
      <c r="C11984" s="28">
        <v>0.75</v>
      </c>
      <c r="D11984" s="28">
        <v>0.25</v>
      </c>
      <c r="E11984" s="29"/>
      <c r="F11984" s="29"/>
      <c r="G11984" s="29"/>
      <c r="H11984" s="29"/>
      <c r="I11984" s="29" t="s">
        <v>337</v>
      </c>
    </row>
    <row r="11985" spans="1:10" x14ac:dyDescent="0.35">
      <c r="A11985" t="s">
        <v>231</v>
      </c>
      <c r="B11985" t="s">
        <v>1346</v>
      </c>
      <c r="C11985" s="26">
        <v>0.85</v>
      </c>
      <c r="D11985" s="26">
        <v>7.4999999999999997E-2</v>
      </c>
      <c r="F11985" s="26">
        <v>0.05</v>
      </c>
      <c r="H11985" s="26">
        <v>2.5000000000000001E-2</v>
      </c>
      <c r="I11985">
        <v>40</v>
      </c>
    </row>
    <row r="11986" spans="1:10" x14ac:dyDescent="0.35">
      <c r="A11986" t="s">
        <v>231</v>
      </c>
      <c r="B11986" t="s">
        <v>1347</v>
      </c>
      <c r="C11986" s="26">
        <v>0.91180000000000005</v>
      </c>
      <c r="D11986" s="26">
        <v>5.8799999999999998E-2</v>
      </c>
      <c r="G11986" s="26">
        <v>2.9399999999999999E-2</v>
      </c>
      <c r="I11986">
        <v>34</v>
      </c>
    </row>
    <row r="11987" spans="1:10" x14ac:dyDescent="0.35">
      <c r="A11987" t="s">
        <v>231</v>
      </c>
      <c r="B11987" t="s">
        <v>1348</v>
      </c>
      <c r="C11987" s="26">
        <v>0.8488</v>
      </c>
      <c r="D11987" s="26">
        <v>0.1163</v>
      </c>
      <c r="E11987" s="26">
        <v>1.1599999999999999E-2</v>
      </c>
      <c r="F11987" s="26">
        <v>1.1599999999999999E-2</v>
      </c>
      <c r="G11987" s="26">
        <v>1.1599999999999999E-2</v>
      </c>
      <c r="I11987">
        <v>86</v>
      </c>
    </row>
    <row r="11988" spans="1:10" x14ac:dyDescent="0.35">
      <c r="A11988" t="s">
        <v>232</v>
      </c>
      <c r="B11988" t="s">
        <v>232</v>
      </c>
      <c r="C11988" s="26">
        <v>0.86029999999999995</v>
      </c>
      <c r="D11988" s="26">
        <v>7.46E-2</v>
      </c>
      <c r="E11988" s="26">
        <v>3.3799999999999997E-2</v>
      </c>
      <c r="F11988" s="26">
        <v>1.4E-2</v>
      </c>
      <c r="G11988" s="26">
        <v>1.35E-2</v>
      </c>
      <c r="H11988" s="26">
        <v>3.7000000000000002E-3</v>
      </c>
      <c r="I11988">
        <v>2813</v>
      </c>
    </row>
    <row r="11990" spans="1:10" x14ac:dyDescent="0.35">
      <c r="A11990" s="1" t="s">
        <v>1441</v>
      </c>
    </row>
    <row r="11991" spans="1:10" x14ac:dyDescent="0.35">
      <c r="A11991" t="s">
        <v>219</v>
      </c>
      <c r="B11991" t="s">
        <v>305</v>
      </c>
      <c r="C11991" t="s">
        <v>345</v>
      </c>
      <c r="D11991" t="s">
        <v>1424</v>
      </c>
      <c r="E11991" t="s">
        <v>1425</v>
      </c>
      <c r="F11991" t="s">
        <v>1426</v>
      </c>
      <c r="G11991" t="s">
        <v>1427</v>
      </c>
      <c r="H11991" t="s">
        <v>281</v>
      </c>
      <c r="I11991" t="s">
        <v>286</v>
      </c>
      <c r="J11991" t="s">
        <v>226</v>
      </c>
    </row>
    <row r="11992" spans="1:10" x14ac:dyDescent="0.35">
      <c r="A11992" s="27" t="s">
        <v>227</v>
      </c>
      <c r="B11992" s="27" t="s">
        <v>1341</v>
      </c>
      <c r="C11992" s="27" t="s">
        <v>1345</v>
      </c>
      <c r="D11992" s="28">
        <v>1</v>
      </c>
      <c r="E11992" s="29"/>
      <c r="F11992" s="29"/>
      <c r="G11992" s="29"/>
      <c r="H11992" s="29"/>
      <c r="I11992" s="29"/>
      <c r="J11992" s="29" t="s">
        <v>331</v>
      </c>
    </row>
    <row r="11993" spans="1:10" x14ac:dyDescent="0.35">
      <c r="A11993" s="27" t="s">
        <v>227</v>
      </c>
      <c r="B11993" s="27" t="s">
        <v>1343</v>
      </c>
      <c r="C11993" s="27" t="s">
        <v>1346</v>
      </c>
      <c r="D11993" s="28">
        <v>0.92310000000000003</v>
      </c>
      <c r="E11993" s="28">
        <v>3.85E-2</v>
      </c>
      <c r="F11993" s="29"/>
      <c r="G11993" s="29"/>
      <c r="H11993" s="28">
        <v>3.85E-2</v>
      </c>
      <c r="I11993" s="29"/>
      <c r="J11993" s="29" t="s">
        <v>357</v>
      </c>
    </row>
    <row r="11994" spans="1:10" x14ac:dyDescent="0.35">
      <c r="A11994" t="s">
        <v>227</v>
      </c>
      <c r="B11994" t="s">
        <v>1343</v>
      </c>
      <c r="C11994" t="s">
        <v>1348</v>
      </c>
      <c r="D11994" s="26">
        <v>0.86890000000000001</v>
      </c>
      <c r="E11994" s="26">
        <v>6.5600000000000006E-2</v>
      </c>
      <c r="F11994" s="26">
        <v>6.5600000000000006E-2</v>
      </c>
      <c r="J11994">
        <v>61</v>
      </c>
    </row>
    <row r="11995" spans="1:10" x14ac:dyDescent="0.35">
      <c r="A11995" s="27" t="s">
        <v>227</v>
      </c>
      <c r="B11995" s="27" t="s">
        <v>1341</v>
      </c>
      <c r="C11995" s="27" t="s">
        <v>1347</v>
      </c>
      <c r="D11995" s="28">
        <v>0.92310000000000003</v>
      </c>
      <c r="E11995" s="29"/>
      <c r="F11995" s="28">
        <v>7.6899999999999996E-2</v>
      </c>
      <c r="G11995" s="29"/>
      <c r="H11995" s="29"/>
      <c r="I11995" s="29"/>
      <c r="J11995" s="29" t="s">
        <v>341</v>
      </c>
    </row>
    <row r="11996" spans="1:10" x14ac:dyDescent="0.35">
      <c r="A11996" s="27" t="s">
        <v>227</v>
      </c>
      <c r="B11996" s="27" t="s">
        <v>1343</v>
      </c>
      <c r="C11996" s="27" t="s">
        <v>1347</v>
      </c>
      <c r="D11996" s="28">
        <v>0.95650000000000002</v>
      </c>
      <c r="E11996" s="28">
        <v>4.3499999999999997E-2</v>
      </c>
      <c r="F11996" s="29"/>
      <c r="G11996" s="29"/>
      <c r="H11996" s="29"/>
      <c r="I11996" s="29"/>
      <c r="J11996" s="29" t="s">
        <v>328</v>
      </c>
    </row>
    <row r="11997" spans="1:10" x14ac:dyDescent="0.35">
      <c r="A11997" s="27" t="s">
        <v>227</v>
      </c>
      <c r="B11997" s="27" t="s">
        <v>1343</v>
      </c>
      <c r="C11997" s="27" t="s">
        <v>1345</v>
      </c>
      <c r="D11997" s="28">
        <v>1</v>
      </c>
      <c r="E11997" s="29"/>
      <c r="F11997" s="29"/>
      <c r="G11997" s="29"/>
      <c r="H11997" s="29"/>
      <c r="I11997" s="29"/>
      <c r="J11997" s="29" t="s">
        <v>331</v>
      </c>
    </row>
    <row r="11998" spans="1:10" x14ac:dyDescent="0.35">
      <c r="A11998" s="27" t="s">
        <v>227</v>
      </c>
      <c r="B11998" s="27" t="s">
        <v>1342</v>
      </c>
      <c r="C11998" s="27" t="s">
        <v>1348</v>
      </c>
      <c r="D11998" s="28">
        <v>1</v>
      </c>
      <c r="E11998" s="29"/>
      <c r="F11998" s="29"/>
      <c r="G11998" s="29"/>
      <c r="H11998" s="29"/>
      <c r="I11998" s="29"/>
      <c r="J11998" s="29" t="s">
        <v>331</v>
      </c>
    </row>
    <row r="11999" spans="1:10" x14ac:dyDescent="0.35">
      <c r="A11999" s="27" t="s">
        <v>227</v>
      </c>
      <c r="B11999" s="27" t="s">
        <v>1341</v>
      </c>
      <c r="C11999" s="27" t="s">
        <v>1348</v>
      </c>
      <c r="D11999" s="28">
        <v>0.86360000000000003</v>
      </c>
      <c r="E11999" s="28">
        <v>9.0899999999999995E-2</v>
      </c>
      <c r="F11999" s="28">
        <v>4.5499999999999999E-2</v>
      </c>
      <c r="G11999" s="29"/>
      <c r="H11999" s="29"/>
      <c r="I11999" s="29"/>
      <c r="J11999" s="29" t="s">
        <v>347</v>
      </c>
    </row>
    <row r="12000" spans="1:10" x14ac:dyDescent="0.35">
      <c r="A12000" s="27" t="s">
        <v>227</v>
      </c>
      <c r="B12000" s="27" t="s">
        <v>1341</v>
      </c>
      <c r="C12000" s="27" t="s">
        <v>1346</v>
      </c>
      <c r="D12000" s="28">
        <v>0.92310000000000003</v>
      </c>
      <c r="E12000" s="28">
        <v>7.6899999999999996E-2</v>
      </c>
      <c r="F12000" s="29"/>
      <c r="G12000" s="29"/>
      <c r="H12000" s="29"/>
      <c r="I12000" s="29"/>
      <c r="J12000" s="29" t="s">
        <v>341</v>
      </c>
    </row>
    <row r="12001" spans="1:10" x14ac:dyDescent="0.35">
      <c r="A12001" t="s">
        <v>228</v>
      </c>
      <c r="B12001" t="s">
        <v>1343</v>
      </c>
      <c r="C12001" t="s">
        <v>1348</v>
      </c>
      <c r="D12001" s="26">
        <v>0.84340000000000004</v>
      </c>
      <c r="E12001" s="26">
        <v>7.2800000000000004E-2</v>
      </c>
      <c r="F12001" s="26">
        <v>5.8999999999999997E-2</v>
      </c>
      <c r="G12001" s="26">
        <v>1.3299999999999999E-2</v>
      </c>
      <c r="H12001" s="26">
        <v>7.3000000000000001E-3</v>
      </c>
      <c r="I12001" s="26">
        <v>4.1000000000000003E-3</v>
      </c>
      <c r="J12001">
        <v>352</v>
      </c>
    </row>
    <row r="12002" spans="1:10" x14ac:dyDescent="0.35">
      <c r="A12002" t="s">
        <v>228</v>
      </c>
      <c r="B12002" t="s">
        <v>1343</v>
      </c>
      <c r="C12002" t="s">
        <v>1347</v>
      </c>
      <c r="D12002" s="26">
        <v>0.82089999999999996</v>
      </c>
      <c r="E12002" s="26">
        <v>7.8899999999999998E-2</v>
      </c>
      <c r="F12002" s="26">
        <v>5.6899999999999999E-2</v>
      </c>
      <c r="G12002" s="26">
        <v>1.23E-2</v>
      </c>
      <c r="H12002" s="26">
        <v>2.8199999999999999E-2</v>
      </c>
      <c r="I12002" s="26">
        <v>2.8E-3</v>
      </c>
      <c r="J12002">
        <v>130</v>
      </c>
    </row>
    <row r="12003" spans="1:10" x14ac:dyDescent="0.35">
      <c r="A12003" s="27" t="s">
        <v>228</v>
      </c>
      <c r="B12003" s="27" t="s">
        <v>1343</v>
      </c>
      <c r="C12003" s="27" t="s">
        <v>1345</v>
      </c>
      <c r="D12003" s="28">
        <v>0.55720000000000003</v>
      </c>
      <c r="E12003" s="28">
        <v>0.22140000000000001</v>
      </c>
      <c r="F12003" s="29"/>
      <c r="G12003" s="28">
        <v>0.22140000000000001</v>
      </c>
      <c r="H12003" s="29"/>
      <c r="I12003" s="29"/>
      <c r="J12003" s="29" t="s">
        <v>335</v>
      </c>
    </row>
    <row r="12004" spans="1:10" x14ac:dyDescent="0.35">
      <c r="A12004" t="s">
        <v>228</v>
      </c>
      <c r="B12004" t="s">
        <v>1341</v>
      </c>
      <c r="C12004" t="s">
        <v>1346</v>
      </c>
      <c r="D12004" s="26">
        <v>0.82379999999999998</v>
      </c>
      <c r="E12004" s="26">
        <v>0.13619999999999999</v>
      </c>
      <c r="F12004" s="26">
        <v>0.04</v>
      </c>
      <c r="J12004">
        <v>47</v>
      </c>
    </row>
    <row r="12005" spans="1:10" x14ac:dyDescent="0.35">
      <c r="A12005" t="s">
        <v>228</v>
      </c>
      <c r="B12005" t="s">
        <v>1341</v>
      </c>
      <c r="C12005" t="s">
        <v>1348</v>
      </c>
      <c r="D12005" s="26">
        <v>0.85909999999999997</v>
      </c>
      <c r="E12005" s="26">
        <v>0.06</v>
      </c>
      <c r="F12005" s="26">
        <v>1.43E-2</v>
      </c>
      <c r="G12005" s="26">
        <v>4.2599999999999999E-2</v>
      </c>
      <c r="H12005" s="26">
        <v>2.4E-2</v>
      </c>
      <c r="J12005">
        <v>179</v>
      </c>
    </row>
    <row r="12006" spans="1:10" x14ac:dyDescent="0.35">
      <c r="A12006" s="27" t="s">
        <v>228</v>
      </c>
      <c r="B12006" s="27" t="s">
        <v>1342</v>
      </c>
      <c r="C12006" s="27" t="s">
        <v>1348</v>
      </c>
      <c r="D12006" s="28">
        <v>1</v>
      </c>
      <c r="E12006" s="29"/>
      <c r="F12006" s="29"/>
      <c r="G12006" s="29"/>
      <c r="H12006" s="29"/>
      <c r="I12006" s="29"/>
      <c r="J12006" s="29" t="s">
        <v>331</v>
      </c>
    </row>
    <row r="12007" spans="1:10" x14ac:dyDescent="0.35">
      <c r="A12007" t="s">
        <v>228</v>
      </c>
      <c r="B12007" t="s">
        <v>1343</v>
      </c>
      <c r="C12007" t="s">
        <v>1346</v>
      </c>
      <c r="D12007" s="26">
        <v>0.88560000000000005</v>
      </c>
      <c r="E12007" s="26">
        <v>3.9399999999999998E-2</v>
      </c>
      <c r="F12007" s="26">
        <v>3.7900000000000003E-2</v>
      </c>
      <c r="G12007" s="26">
        <v>5.4000000000000003E-3</v>
      </c>
      <c r="H12007" s="26">
        <v>3.1800000000000002E-2</v>
      </c>
      <c r="J12007">
        <v>239</v>
      </c>
    </row>
    <row r="12008" spans="1:10" x14ac:dyDescent="0.35">
      <c r="A12008" t="s">
        <v>228</v>
      </c>
      <c r="B12008" t="s">
        <v>1341</v>
      </c>
      <c r="C12008" t="s">
        <v>1347</v>
      </c>
      <c r="D12008" s="26">
        <v>0.7944</v>
      </c>
      <c r="E12008" s="26">
        <v>0.1739</v>
      </c>
      <c r="F12008" s="26">
        <v>2.7900000000000001E-2</v>
      </c>
      <c r="H12008" s="26">
        <v>3.8E-3</v>
      </c>
      <c r="J12008">
        <v>74</v>
      </c>
    </row>
    <row r="12009" spans="1:10" x14ac:dyDescent="0.35">
      <c r="A12009" s="27" t="s">
        <v>228</v>
      </c>
      <c r="B12009" s="27" t="s">
        <v>1341</v>
      </c>
      <c r="C12009" s="27" t="s">
        <v>1345</v>
      </c>
      <c r="D12009" s="28">
        <v>0.81830000000000003</v>
      </c>
      <c r="E12009" s="28">
        <v>0.1817</v>
      </c>
      <c r="F12009" s="29"/>
      <c r="G12009" s="29"/>
      <c r="H12009" s="29"/>
      <c r="I12009" s="29"/>
      <c r="J12009" s="29" t="s">
        <v>332</v>
      </c>
    </row>
    <row r="12010" spans="1:10" x14ac:dyDescent="0.35">
      <c r="A12010" t="s">
        <v>229</v>
      </c>
      <c r="B12010" t="s">
        <v>1343</v>
      </c>
      <c r="C12010" t="s">
        <v>1348</v>
      </c>
      <c r="D12010" s="26">
        <v>0.81510000000000005</v>
      </c>
      <c r="E12010" s="26">
        <v>0.10970000000000001</v>
      </c>
      <c r="F12010" s="26">
        <v>4.3099999999999999E-2</v>
      </c>
      <c r="G12010" s="26">
        <v>2.3E-2</v>
      </c>
      <c r="H12010" s="26">
        <v>8.0000000000000002E-3</v>
      </c>
      <c r="I12010" s="26">
        <v>1.1000000000000001E-3</v>
      </c>
      <c r="J12010">
        <v>276</v>
      </c>
    </row>
    <row r="12011" spans="1:10" x14ac:dyDescent="0.35">
      <c r="A12011" t="s">
        <v>229</v>
      </c>
      <c r="B12011" t="s">
        <v>1341</v>
      </c>
      <c r="C12011" t="s">
        <v>1346</v>
      </c>
      <c r="D12011" s="26">
        <v>0.97970000000000002</v>
      </c>
      <c r="F12011" s="26">
        <v>2.8999999999999998E-3</v>
      </c>
      <c r="G12011" s="26">
        <v>1.7299999999999999E-2</v>
      </c>
      <c r="J12011">
        <v>53</v>
      </c>
    </row>
    <row r="12012" spans="1:10" x14ac:dyDescent="0.35">
      <c r="A12012" t="s">
        <v>229</v>
      </c>
      <c r="B12012" t="s">
        <v>1341</v>
      </c>
      <c r="C12012" t="s">
        <v>1347</v>
      </c>
      <c r="D12012" s="26">
        <v>0.89910000000000001</v>
      </c>
      <c r="E12012" s="26">
        <v>3.2000000000000002E-3</v>
      </c>
      <c r="F12012" s="26">
        <v>6.3799999999999996E-2</v>
      </c>
      <c r="G12012" s="26">
        <v>3.3E-3</v>
      </c>
      <c r="H12012" s="26">
        <v>3.0700000000000002E-2</v>
      </c>
      <c r="J12012">
        <v>104</v>
      </c>
    </row>
    <row r="12013" spans="1:10" x14ac:dyDescent="0.35">
      <c r="A12013" t="s">
        <v>229</v>
      </c>
      <c r="B12013" t="s">
        <v>1343</v>
      </c>
      <c r="C12013" t="s">
        <v>1346</v>
      </c>
      <c r="D12013" s="26">
        <v>0.82120000000000004</v>
      </c>
      <c r="E12013" s="26">
        <v>6.2600000000000003E-2</v>
      </c>
      <c r="F12013" s="26">
        <v>1.8499999999999999E-2</v>
      </c>
      <c r="G12013" s="26">
        <v>5.1000000000000004E-3</v>
      </c>
      <c r="H12013" s="26">
        <v>7.5999999999999998E-2</v>
      </c>
      <c r="I12013" s="26">
        <v>1.66E-2</v>
      </c>
      <c r="J12013">
        <v>131</v>
      </c>
    </row>
    <row r="12014" spans="1:10" x14ac:dyDescent="0.35">
      <c r="A12014" t="s">
        <v>229</v>
      </c>
      <c r="B12014" t="s">
        <v>1343</v>
      </c>
      <c r="C12014" t="s">
        <v>1347</v>
      </c>
      <c r="D12014" s="26">
        <v>0.82150000000000001</v>
      </c>
      <c r="E12014" s="26">
        <v>8.7300000000000003E-2</v>
      </c>
      <c r="F12014" s="26">
        <v>7.0300000000000001E-2</v>
      </c>
      <c r="G12014" s="26">
        <v>1.78E-2</v>
      </c>
      <c r="H12014" s="26">
        <v>2.2000000000000001E-3</v>
      </c>
      <c r="I12014" s="26">
        <v>8.9999999999999998E-4</v>
      </c>
      <c r="J12014">
        <v>198</v>
      </c>
    </row>
    <row r="12015" spans="1:10" x14ac:dyDescent="0.35">
      <c r="A12015" s="27" t="s">
        <v>229</v>
      </c>
      <c r="B12015" s="27" t="s">
        <v>1341</v>
      </c>
      <c r="C12015" s="27" t="s">
        <v>1345</v>
      </c>
      <c r="D12015" s="28">
        <v>1</v>
      </c>
      <c r="E12015" s="29"/>
      <c r="F12015" s="29"/>
      <c r="G12015" s="29"/>
      <c r="H12015" s="29"/>
      <c r="I12015" s="29"/>
      <c r="J12015" s="29" t="s">
        <v>334</v>
      </c>
    </row>
    <row r="12016" spans="1:10" x14ac:dyDescent="0.35">
      <c r="A12016" s="27" t="s">
        <v>229</v>
      </c>
      <c r="B12016" s="27" t="s">
        <v>1343</v>
      </c>
      <c r="C12016" s="27" t="s">
        <v>1345</v>
      </c>
      <c r="D12016" s="28">
        <v>0.97470000000000001</v>
      </c>
      <c r="E12016" s="28">
        <v>1.9599999999999999E-2</v>
      </c>
      <c r="F12016" s="29"/>
      <c r="G12016" s="29"/>
      <c r="H12016" s="28">
        <v>5.7000000000000002E-3</v>
      </c>
      <c r="I12016" s="29"/>
      <c r="J12016" s="29" t="s">
        <v>343</v>
      </c>
    </row>
    <row r="12017" spans="1:10" x14ac:dyDescent="0.35">
      <c r="A12017" t="s">
        <v>229</v>
      </c>
      <c r="B12017" t="s">
        <v>1341</v>
      </c>
      <c r="C12017" t="s">
        <v>1348</v>
      </c>
      <c r="D12017" s="26">
        <v>0.83360000000000001</v>
      </c>
      <c r="E12017" s="26">
        <v>5.74E-2</v>
      </c>
      <c r="F12017" s="26">
        <v>8.5900000000000004E-2</v>
      </c>
      <c r="G12017" s="26">
        <v>1.1000000000000001E-3</v>
      </c>
      <c r="H12017" s="26">
        <v>2.7000000000000001E-3</v>
      </c>
      <c r="I12017" s="26">
        <v>1.9300000000000001E-2</v>
      </c>
      <c r="J12017">
        <v>107</v>
      </c>
    </row>
    <row r="12018" spans="1:10" x14ac:dyDescent="0.35">
      <c r="A12018" t="s">
        <v>230</v>
      </c>
      <c r="B12018" t="s">
        <v>1343</v>
      </c>
      <c r="C12018" t="s">
        <v>1346</v>
      </c>
      <c r="D12018" s="26">
        <v>0.91510000000000002</v>
      </c>
      <c r="E12018" s="26">
        <v>1.9199999999999998E-2</v>
      </c>
      <c r="F12018" s="26">
        <v>4.2500000000000003E-2</v>
      </c>
      <c r="H12018" s="26">
        <v>2.3300000000000001E-2</v>
      </c>
      <c r="J12018">
        <v>110</v>
      </c>
    </row>
    <row r="12019" spans="1:10" x14ac:dyDescent="0.35">
      <c r="A12019" s="27" t="s">
        <v>230</v>
      </c>
      <c r="B12019" s="27" t="s">
        <v>1341</v>
      </c>
      <c r="C12019" s="27" t="s">
        <v>1345</v>
      </c>
      <c r="D12019" s="28">
        <v>1</v>
      </c>
      <c r="E12019" s="29"/>
      <c r="F12019" s="29"/>
      <c r="G12019" s="29"/>
      <c r="H12019" s="29"/>
      <c r="I12019" s="29"/>
      <c r="J12019" s="29" t="s">
        <v>337</v>
      </c>
    </row>
    <row r="12020" spans="1:10" x14ac:dyDescent="0.35">
      <c r="A12020" t="s">
        <v>230</v>
      </c>
      <c r="B12020" t="s">
        <v>1343</v>
      </c>
      <c r="C12020" t="s">
        <v>1348</v>
      </c>
      <c r="D12020" s="26">
        <v>0.9244</v>
      </c>
      <c r="E12020" s="26">
        <v>4.41E-2</v>
      </c>
      <c r="F12020" s="26">
        <v>2.5600000000000001E-2</v>
      </c>
      <c r="G12020" s="26">
        <v>2.5999999999999999E-3</v>
      </c>
      <c r="H12020" s="26">
        <v>2.5999999999999999E-3</v>
      </c>
      <c r="I12020" s="26">
        <v>8.0000000000000004E-4</v>
      </c>
      <c r="J12020">
        <v>184</v>
      </c>
    </row>
    <row r="12021" spans="1:10" x14ac:dyDescent="0.35">
      <c r="A12021" t="s">
        <v>230</v>
      </c>
      <c r="B12021" t="s">
        <v>1343</v>
      </c>
      <c r="C12021" t="s">
        <v>1347</v>
      </c>
      <c r="D12021" s="26">
        <v>0.83179999999999998</v>
      </c>
      <c r="E12021" s="26">
        <v>6.9599999999999995E-2</v>
      </c>
      <c r="F12021" s="26">
        <v>9.2200000000000004E-2</v>
      </c>
      <c r="G12021" s="26">
        <v>1.5E-3</v>
      </c>
      <c r="H12021" s="26">
        <v>4.8999999999999998E-3</v>
      </c>
      <c r="J12021">
        <v>106</v>
      </c>
    </row>
    <row r="12022" spans="1:10" x14ac:dyDescent="0.35">
      <c r="A12022" t="s">
        <v>230</v>
      </c>
      <c r="B12022" t="s">
        <v>1341</v>
      </c>
      <c r="C12022" t="s">
        <v>1348</v>
      </c>
      <c r="D12022" s="26">
        <v>0.81869999999999998</v>
      </c>
      <c r="E12022" s="26">
        <v>6.8000000000000005E-2</v>
      </c>
      <c r="F12022" s="26">
        <v>6.5500000000000003E-2</v>
      </c>
      <c r="G12022" s="26">
        <v>3.9100000000000003E-2</v>
      </c>
      <c r="H12022" s="26">
        <v>8.6E-3</v>
      </c>
      <c r="J12022">
        <v>75</v>
      </c>
    </row>
    <row r="12023" spans="1:10" x14ac:dyDescent="0.35">
      <c r="A12023" t="s">
        <v>230</v>
      </c>
      <c r="B12023" t="s">
        <v>1341</v>
      </c>
      <c r="C12023" t="s">
        <v>1347</v>
      </c>
      <c r="D12023" s="26">
        <v>0.74299999999999999</v>
      </c>
      <c r="E12023" s="26">
        <v>0.1144</v>
      </c>
      <c r="F12023" s="26">
        <v>1.8800000000000001E-2</v>
      </c>
      <c r="G12023" s="26">
        <v>0.12379999999999999</v>
      </c>
      <c r="J12023">
        <v>47</v>
      </c>
    </row>
    <row r="12024" spans="1:10" x14ac:dyDescent="0.35">
      <c r="A12024" s="27" t="s">
        <v>230</v>
      </c>
      <c r="B12024" s="27" t="s">
        <v>1343</v>
      </c>
      <c r="C12024" s="27" t="s">
        <v>1345</v>
      </c>
      <c r="D12024" s="28">
        <v>0.87809999999999999</v>
      </c>
      <c r="E12024" s="29"/>
      <c r="F12024" s="28">
        <v>0.12189999999999999</v>
      </c>
      <c r="G12024" s="29"/>
      <c r="H12024" s="29"/>
      <c r="I12024" s="29"/>
      <c r="J12024" s="29" t="s">
        <v>337</v>
      </c>
    </row>
    <row r="12025" spans="1:10" x14ac:dyDescent="0.35">
      <c r="A12025" t="s">
        <v>230</v>
      </c>
      <c r="B12025" t="s">
        <v>1341</v>
      </c>
      <c r="C12025" t="s">
        <v>1346</v>
      </c>
      <c r="D12025" s="26">
        <v>0.99570000000000003</v>
      </c>
      <c r="F12025" s="26">
        <v>4.3E-3</v>
      </c>
      <c r="J12025">
        <v>30</v>
      </c>
    </row>
    <row r="12026" spans="1:10" x14ac:dyDescent="0.35">
      <c r="A12026" t="s">
        <v>231</v>
      </c>
      <c r="B12026" t="s">
        <v>1343</v>
      </c>
      <c r="C12026" t="s">
        <v>1348</v>
      </c>
      <c r="D12026" s="26">
        <v>0.84</v>
      </c>
      <c r="E12026" s="26">
        <v>0.14000000000000001</v>
      </c>
      <c r="F12026" s="26">
        <v>0.02</v>
      </c>
      <c r="J12026">
        <v>50</v>
      </c>
    </row>
    <row r="12027" spans="1:10" x14ac:dyDescent="0.35">
      <c r="A12027" s="27" t="s">
        <v>231</v>
      </c>
      <c r="B12027" s="27" t="s">
        <v>1343</v>
      </c>
      <c r="C12027" s="27" t="s">
        <v>1345</v>
      </c>
      <c r="D12027" s="28">
        <v>0.66669999999999996</v>
      </c>
      <c r="E12027" s="28">
        <v>0.33329999999999999</v>
      </c>
      <c r="F12027" s="29"/>
      <c r="G12027" s="29"/>
      <c r="H12027" s="29"/>
      <c r="I12027" s="29"/>
      <c r="J12027" s="29" t="s">
        <v>315</v>
      </c>
    </row>
    <row r="12028" spans="1:10" x14ac:dyDescent="0.35">
      <c r="A12028" t="s">
        <v>231</v>
      </c>
      <c r="B12028" t="s">
        <v>1341</v>
      </c>
      <c r="C12028" t="s">
        <v>1348</v>
      </c>
      <c r="D12028" s="26">
        <v>0.86109999999999998</v>
      </c>
      <c r="E12028" s="26">
        <v>8.3299999999999999E-2</v>
      </c>
      <c r="G12028" s="26">
        <v>2.7799999999999998E-2</v>
      </c>
      <c r="H12028" s="26">
        <v>2.7799999999999998E-2</v>
      </c>
      <c r="J12028">
        <v>36</v>
      </c>
    </row>
    <row r="12029" spans="1:10" x14ac:dyDescent="0.35">
      <c r="A12029" s="27" t="s">
        <v>231</v>
      </c>
      <c r="B12029" s="27" t="s">
        <v>1341</v>
      </c>
      <c r="C12029" s="27" t="s">
        <v>1345</v>
      </c>
      <c r="D12029" s="28">
        <v>1</v>
      </c>
      <c r="E12029" s="29"/>
      <c r="F12029" s="29"/>
      <c r="G12029" s="29"/>
      <c r="H12029" s="29"/>
      <c r="I12029" s="29"/>
      <c r="J12029" s="29" t="s">
        <v>331</v>
      </c>
    </row>
    <row r="12030" spans="1:10" x14ac:dyDescent="0.35">
      <c r="A12030" s="27" t="s">
        <v>231</v>
      </c>
      <c r="B12030" s="27" t="s">
        <v>1343</v>
      </c>
      <c r="C12030" s="27" t="s">
        <v>1346</v>
      </c>
      <c r="D12030" s="28">
        <v>0.92310000000000003</v>
      </c>
      <c r="E12030" s="28">
        <v>3.85E-2</v>
      </c>
      <c r="F12030" s="29"/>
      <c r="G12030" s="28">
        <v>3.85E-2</v>
      </c>
      <c r="H12030" s="29"/>
      <c r="I12030" s="29"/>
      <c r="J12030" s="29" t="s">
        <v>357</v>
      </c>
    </row>
    <row r="12031" spans="1:10" x14ac:dyDescent="0.35">
      <c r="A12031" s="27" t="s">
        <v>231</v>
      </c>
      <c r="B12031" s="27" t="s">
        <v>1341</v>
      </c>
      <c r="C12031" s="27" t="s">
        <v>1346</v>
      </c>
      <c r="D12031" s="28">
        <v>0.71430000000000005</v>
      </c>
      <c r="E12031" s="28">
        <v>0.1429</v>
      </c>
      <c r="F12031" s="29"/>
      <c r="G12031" s="28">
        <v>7.1400000000000005E-2</v>
      </c>
      <c r="H12031" s="29"/>
      <c r="I12031" s="28">
        <v>7.1400000000000005E-2</v>
      </c>
      <c r="J12031" s="29" t="s">
        <v>379</v>
      </c>
    </row>
    <row r="12032" spans="1:10" x14ac:dyDescent="0.35">
      <c r="A12032" s="27" t="s">
        <v>231</v>
      </c>
      <c r="B12032" s="27" t="s">
        <v>1341</v>
      </c>
      <c r="C12032" s="27" t="s">
        <v>1347</v>
      </c>
      <c r="D12032" s="28">
        <v>0.92859999999999998</v>
      </c>
      <c r="E12032" s="28">
        <v>7.1400000000000005E-2</v>
      </c>
      <c r="F12032" s="29"/>
      <c r="G12032" s="29"/>
      <c r="H12032" s="29"/>
      <c r="I12032" s="29"/>
      <c r="J12032" s="29" t="s">
        <v>379</v>
      </c>
    </row>
    <row r="12033" spans="1:10" x14ac:dyDescent="0.35">
      <c r="A12033" s="27" t="s">
        <v>231</v>
      </c>
      <c r="B12033" s="27" t="s">
        <v>1343</v>
      </c>
      <c r="C12033" s="27" t="s">
        <v>1347</v>
      </c>
      <c r="D12033" s="28">
        <v>0.9</v>
      </c>
      <c r="E12033" s="28">
        <v>0.05</v>
      </c>
      <c r="F12033" s="29"/>
      <c r="G12033" s="29"/>
      <c r="H12033" s="28">
        <v>0.05</v>
      </c>
      <c r="I12033" s="29"/>
      <c r="J12033" s="29" t="s">
        <v>350</v>
      </c>
    </row>
    <row r="12034" spans="1:10" x14ac:dyDescent="0.35">
      <c r="A12034" t="s">
        <v>232</v>
      </c>
      <c r="B12034" t="s">
        <v>232</v>
      </c>
      <c r="C12034" t="s">
        <v>232</v>
      </c>
      <c r="D12034" s="26">
        <v>0.86029999999999995</v>
      </c>
      <c r="E12034" s="26">
        <v>7.46E-2</v>
      </c>
      <c r="F12034" s="26">
        <v>3.3799999999999997E-2</v>
      </c>
      <c r="G12034" s="26">
        <v>1.4E-2</v>
      </c>
      <c r="H12034" s="26">
        <v>1.35E-2</v>
      </c>
      <c r="I12034" s="26">
        <v>3.7000000000000002E-3</v>
      </c>
      <c r="J12034">
        <v>2813</v>
      </c>
    </row>
    <row r="12036" spans="1:10" x14ac:dyDescent="0.35">
      <c r="A12036" s="1" t="s">
        <v>1442</v>
      </c>
    </row>
    <row r="12037" spans="1:10" x14ac:dyDescent="0.35">
      <c r="A12037" t="s">
        <v>219</v>
      </c>
      <c r="B12037" t="s">
        <v>1424</v>
      </c>
      <c r="C12037" t="s">
        <v>1425</v>
      </c>
      <c r="D12037" t="s">
        <v>1426</v>
      </c>
      <c r="E12037" t="s">
        <v>1427</v>
      </c>
      <c r="F12037" t="s">
        <v>281</v>
      </c>
      <c r="G12037" t="s">
        <v>286</v>
      </c>
      <c r="H12037" t="s">
        <v>226</v>
      </c>
    </row>
    <row r="12038" spans="1:10" x14ac:dyDescent="0.35">
      <c r="A12038" t="s">
        <v>227</v>
      </c>
      <c r="B12038" s="26">
        <v>0.85089999999999999</v>
      </c>
      <c r="C12038" s="26">
        <v>6.2100000000000002E-2</v>
      </c>
      <c r="D12038" s="26">
        <v>4.9700000000000001E-2</v>
      </c>
      <c r="E12038" s="26">
        <v>3.73E-2</v>
      </c>
      <c r="H12038">
        <v>161</v>
      </c>
    </row>
    <row r="12039" spans="1:10" x14ac:dyDescent="0.35">
      <c r="A12039" t="s">
        <v>228</v>
      </c>
      <c r="B12039" s="26">
        <v>0.64080000000000004</v>
      </c>
      <c r="C12039" s="26">
        <v>0.1883</v>
      </c>
      <c r="D12039" s="26">
        <v>7.4700000000000003E-2</v>
      </c>
      <c r="E12039" s="26">
        <v>7.7600000000000002E-2</v>
      </c>
      <c r="F12039" s="26">
        <v>1.41E-2</v>
      </c>
      <c r="G12039" s="26">
        <v>4.4000000000000003E-3</v>
      </c>
      <c r="H12039">
        <v>1033</v>
      </c>
    </row>
    <row r="12040" spans="1:10" x14ac:dyDescent="0.35">
      <c r="A12040" t="s">
        <v>229</v>
      </c>
      <c r="B12040" s="26">
        <v>0.7651</v>
      </c>
      <c r="C12040" s="26">
        <v>0.10829999999999999</v>
      </c>
      <c r="D12040" s="26">
        <v>6.8500000000000005E-2</v>
      </c>
      <c r="E12040" s="26">
        <v>4.8099999999999997E-2</v>
      </c>
      <c r="F12040" s="26">
        <v>6.6E-3</v>
      </c>
      <c r="G12040" s="26">
        <v>3.3E-3</v>
      </c>
      <c r="H12040">
        <v>895</v>
      </c>
    </row>
    <row r="12041" spans="1:10" x14ac:dyDescent="0.35">
      <c r="A12041" t="s">
        <v>230</v>
      </c>
      <c r="B12041" s="26">
        <v>0.82450000000000001</v>
      </c>
      <c r="C12041" s="26">
        <v>8.0199999999999994E-2</v>
      </c>
      <c r="D12041" s="26">
        <v>5.5100000000000003E-2</v>
      </c>
      <c r="E12041" s="26">
        <v>2.7300000000000001E-2</v>
      </c>
      <c r="F12041" s="26">
        <v>1.2800000000000001E-2</v>
      </c>
      <c r="H12041">
        <v>560</v>
      </c>
    </row>
    <row r="12042" spans="1:10" x14ac:dyDescent="0.35">
      <c r="A12042" t="s">
        <v>231</v>
      </c>
      <c r="B12042" s="26">
        <v>0.878</v>
      </c>
      <c r="C12042" s="26">
        <v>4.8800000000000003E-2</v>
      </c>
      <c r="D12042" s="26">
        <v>1.83E-2</v>
      </c>
      <c r="E12042" s="26">
        <v>4.8800000000000003E-2</v>
      </c>
      <c r="F12042" s="26">
        <v>6.1000000000000004E-3</v>
      </c>
      <c r="H12042">
        <v>164</v>
      </c>
    </row>
    <row r="12043" spans="1:10" x14ac:dyDescent="0.35">
      <c r="A12043" t="s">
        <v>232</v>
      </c>
      <c r="B12043" s="26">
        <v>0.79069999999999996</v>
      </c>
      <c r="C12043" s="26">
        <v>9.7799999999999998E-2</v>
      </c>
      <c r="D12043" s="26">
        <v>5.1799999999999999E-2</v>
      </c>
      <c r="E12043" s="26">
        <v>5.04E-2</v>
      </c>
      <c r="F12043" s="26">
        <v>7.4999999999999997E-3</v>
      </c>
      <c r="G12043" s="26">
        <v>1.8E-3</v>
      </c>
      <c r="H12043">
        <v>2813</v>
      </c>
    </row>
    <row r="12045" spans="1:10" x14ac:dyDescent="0.35">
      <c r="A12045" s="1" t="s">
        <v>1443</v>
      </c>
    </row>
    <row r="12046" spans="1:10" x14ac:dyDescent="0.35">
      <c r="A12046" t="s">
        <v>219</v>
      </c>
      <c r="B12046" t="s">
        <v>305</v>
      </c>
      <c r="C12046" t="s">
        <v>1424</v>
      </c>
      <c r="D12046" t="s">
        <v>1425</v>
      </c>
      <c r="E12046" t="s">
        <v>1426</v>
      </c>
      <c r="F12046" t="s">
        <v>1427</v>
      </c>
      <c r="G12046" t="s">
        <v>281</v>
      </c>
      <c r="H12046" t="s">
        <v>286</v>
      </c>
      <c r="I12046" t="s">
        <v>226</v>
      </c>
    </row>
    <row r="12047" spans="1:10" x14ac:dyDescent="0.35">
      <c r="A12047" t="s">
        <v>227</v>
      </c>
      <c r="B12047" t="s">
        <v>242</v>
      </c>
      <c r="C12047" s="26">
        <v>0.80879999999999996</v>
      </c>
      <c r="D12047" s="26">
        <v>8.8200000000000001E-2</v>
      </c>
      <c r="E12047" s="26">
        <v>4.41E-2</v>
      </c>
      <c r="F12047" s="26">
        <v>5.8799999999999998E-2</v>
      </c>
      <c r="I12047">
        <v>68</v>
      </c>
    </row>
    <row r="12048" spans="1:10" x14ac:dyDescent="0.35">
      <c r="A12048" t="s">
        <v>227</v>
      </c>
      <c r="B12048" t="s">
        <v>241</v>
      </c>
      <c r="C12048" s="26">
        <v>0.88170000000000004</v>
      </c>
      <c r="D12048" s="26">
        <v>4.2999999999999997E-2</v>
      </c>
      <c r="E12048" s="26">
        <v>5.3800000000000001E-2</v>
      </c>
      <c r="F12048" s="26">
        <v>2.1499999999999998E-2</v>
      </c>
      <c r="I12048">
        <v>93</v>
      </c>
    </row>
    <row r="12049" spans="1:9" x14ac:dyDescent="0.35">
      <c r="A12049" t="s">
        <v>228</v>
      </c>
      <c r="B12049" t="s">
        <v>242</v>
      </c>
      <c r="C12049" s="26">
        <v>0.62239999999999995</v>
      </c>
      <c r="D12049" s="26">
        <v>0.2084</v>
      </c>
      <c r="E12049" s="26">
        <v>5.2900000000000003E-2</v>
      </c>
      <c r="F12049" s="26">
        <v>0.1011</v>
      </c>
      <c r="G12049" s="26">
        <v>1.52E-2</v>
      </c>
      <c r="I12049">
        <v>402</v>
      </c>
    </row>
    <row r="12050" spans="1:9" x14ac:dyDescent="0.35">
      <c r="A12050" t="s">
        <v>228</v>
      </c>
      <c r="B12050" t="s">
        <v>241</v>
      </c>
      <c r="C12050" s="26">
        <v>0.65129999999999999</v>
      </c>
      <c r="D12050" s="26">
        <v>0.1769</v>
      </c>
      <c r="E12050" s="26">
        <v>8.7099999999999997E-2</v>
      </c>
      <c r="F12050" s="26">
        <v>6.4299999999999996E-2</v>
      </c>
      <c r="G12050" s="26">
        <v>1.35E-2</v>
      </c>
      <c r="H12050" s="26">
        <v>6.8999999999999999E-3</v>
      </c>
      <c r="I12050">
        <v>631</v>
      </c>
    </row>
    <row r="12051" spans="1:9" x14ac:dyDescent="0.35">
      <c r="A12051" t="s">
        <v>229</v>
      </c>
      <c r="B12051" t="s">
        <v>242</v>
      </c>
      <c r="C12051" s="26">
        <v>0.71460000000000001</v>
      </c>
      <c r="D12051" s="26">
        <v>0.1361</v>
      </c>
      <c r="E12051" s="26">
        <v>9.06E-2</v>
      </c>
      <c r="F12051" s="26">
        <v>4.2500000000000003E-2</v>
      </c>
      <c r="G12051" s="26">
        <v>8.5000000000000006E-3</v>
      </c>
      <c r="H12051" s="26">
        <v>7.7000000000000002E-3</v>
      </c>
      <c r="I12051">
        <v>292</v>
      </c>
    </row>
    <row r="12052" spans="1:9" x14ac:dyDescent="0.35">
      <c r="A12052" t="s">
        <v>229</v>
      </c>
      <c r="B12052" t="s">
        <v>241</v>
      </c>
      <c r="C12052" s="26">
        <v>0.7974</v>
      </c>
      <c r="D12052" s="26">
        <v>9.06E-2</v>
      </c>
      <c r="E12052" s="26">
        <v>5.4399999999999997E-2</v>
      </c>
      <c r="F12052" s="26">
        <v>5.1799999999999999E-2</v>
      </c>
      <c r="G12052" s="26">
        <v>5.3E-3</v>
      </c>
      <c r="H12052" s="26">
        <v>5.0000000000000001E-4</v>
      </c>
      <c r="I12052">
        <v>603</v>
      </c>
    </row>
    <row r="12053" spans="1:9" x14ac:dyDescent="0.35">
      <c r="A12053" t="s">
        <v>230</v>
      </c>
      <c r="B12053" t="s">
        <v>242</v>
      </c>
      <c r="C12053" s="26">
        <v>0.75860000000000005</v>
      </c>
      <c r="D12053" s="26">
        <v>0.1109</v>
      </c>
      <c r="E12053" s="26">
        <v>6.4500000000000002E-2</v>
      </c>
      <c r="F12053" s="26">
        <v>2.81E-2</v>
      </c>
      <c r="G12053" s="26">
        <v>3.7900000000000003E-2</v>
      </c>
      <c r="I12053">
        <v>189</v>
      </c>
    </row>
    <row r="12054" spans="1:9" x14ac:dyDescent="0.35">
      <c r="A12054" t="s">
        <v>230</v>
      </c>
      <c r="B12054" t="s">
        <v>241</v>
      </c>
      <c r="C12054" s="26">
        <v>0.85819999999999996</v>
      </c>
      <c r="D12054" s="26">
        <v>6.4500000000000002E-2</v>
      </c>
      <c r="E12054" s="26">
        <v>5.04E-2</v>
      </c>
      <c r="F12054" s="26">
        <v>2.69E-2</v>
      </c>
      <c r="I12054">
        <v>371</v>
      </c>
    </row>
    <row r="12055" spans="1:9" x14ac:dyDescent="0.35">
      <c r="A12055" t="s">
        <v>231</v>
      </c>
      <c r="B12055" t="s">
        <v>242</v>
      </c>
      <c r="C12055" s="26">
        <v>0.87039999999999995</v>
      </c>
      <c r="D12055" s="26">
        <v>5.5599999999999997E-2</v>
      </c>
      <c r="F12055" s="26">
        <v>5.5599999999999997E-2</v>
      </c>
      <c r="G12055" s="26">
        <v>1.8499999999999999E-2</v>
      </c>
      <c r="I12055">
        <v>54</v>
      </c>
    </row>
    <row r="12056" spans="1:9" x14ac:dyDescent="0.35">
      <c r="A12056" t="s">
        <v>231</v>
      </c>
      <c r="B12056" t="s">
        <v>241</v>
      </c>
      <c r="C12056" s="26">
        <v>0.88180000000000003</v>
      </c>
      <c r="D12056" s="26">
        <v>4.5499999999999999E-2</v>
      </c>
      <c r="E12056" s="26">
        <v>2.7300000000000001E-2</v>
      </c>
      <c r="F12056" s="26">
        <v>4.5499999999999999E-2</v>
      </c>
      <c r="I12056">
        <v>110</v>
      </c>
    </row>
    <row r="12057" spans="1:9" x14ac:dyDescent="0.35">
      <c r="A12057" t="s">
        <v>232</v>
      </c>
      <c r="B12057" t="s">
        <v>232</v>
      </c>
      <c r="C12057" s="26">
        <v>0.79069999999999996</v>
      </c>
      <c r="D12057" s="26">
        <v>9.7799999999999998E-2</v>
      </c>
      <c r="E12057" s="26">
        <v>5.1799999999999999E-2</v>
      </c>
      <c r="F12057" s="26">
        <v>5.04E-2</v>
      </c>
      <c r="G12057" s="26">
        <v>7.4999999999999997E-3</v>
      </c>
      <c r="H12057" s="26">
        <v>1.8E-3</v>
      </c>
      <c r="I12057">
        <v>2813</v>
      </c>
    </row>
    <row r="12059" spans="1:9" x14ac:dyDescent="0.35">
      <c r="A12059" s="1" t="s">
        <v>1444</v>
      </c>
    </row>
    <row r="12060" spans="1:9" x14ac:dyDescent="0.35">
      <c r="A12060" t="s">
        <v>219</v>
      </c>
      <c r="B12060" t="s">
        <v>305</v>
      </c>
      <c r="C12060" t="s">
        <v>1424</v>
      </c>
      <c r="D12060" t="s">
        <v>1425</v>
      </c>
      <c r="E12060" t="s">
        <v>1426</v>
      </c>
      <c r="F12060" t="s">
        <v>1427</v>
      </c>
      <c r="G12060" t="s">
        <v>281</v>
      </c>
      <c r="H12060" t="s">
        <v>286</v>
      </c>
      <c r="I12060" t="s">
        <v>226</v>
      </c>
    </row>
    <row r="12061" spans="1:9" x14ac:dyDescent="0.35">
      <c r="A12061" t="s">
        <v>227</v>
      </c>
      <c r="B12061" t="s">
        <v>239</v>
      </c>
      <c r="C12061" s="26">
        <v>0.80649999999999999</v>
      </c>
      <c r="D12061" s="26">
        <v>8.0600000000000005E-2</v>
      </c>
      <c r="E12061" s="26">
        <v>8.0600000000000005E-2</v>
      </c>
      <c r="F12061" s="26">
        <v>3.2300000000000002E-2</v>
      </c>
      <c r="I12061">
        <v>62</v>
      </c>
    </row>
    <row r="12062" spans="1:9" x14ac:dyDescent="0.35">
      <c r="A12062" t="s">
        <v>227</v>
      </c>
      <c r="B12062" t="s">
        <v>238</v>
      </c>
      <c r="C12062" s="26">
        <v>0.87880000000000003</v>
      </c>
      <c r="D12062" s="26">
        <v>5.0500000000000003E-2</v>
      </c>
      <c r="E12062" s="26">
        <v>3.0300000000000001E-2</v>
      </c>
      <c r="F12062" s="26">
        <v>4.0399999999999998E-2</v>
      </c>
      <c r="I12062">
        <v>99</v>
      </c>
    </row>
    <row r="12063" spans="1:9" x14ac:dyDescent="0.35">
      <c r="A12063" t="s">
        <v>228</v>
      </c>
      <c r="B12063" t="s">
        <v>239</v>
      </c>
      <c r="C12063" s="26">
        <v>0.64149999999999996</v>
      </c>
      <c r="D12063" s="26">
        <v>0.18529999999999999</v>
      </c>
      <c r="E12063" s="26">
        <v>8.5099999999999995E-2</v>
      </c>
      <c r="F12063" s="26">
        <v>7.8799999999999995E-2</v>
      </c>
      <c r="G12063" s="26">
        <v>9.4000000000000004E-3</v>
      </c>
      <c r="I12063">
        <v>330</v>
      </c>
    </row>
    <row r="12064" spans="1:9" x14ac:dyDescent="0.35">
      <c r="A12064" t="s">
        <v>228</v>
      </c>
      <c r="B12064" t="s">
        <v>238</v>
      </c>
      <c r="C12064" s="26">
        <v>0.64059999999999995</v>
      </c>
      <c r="D12064" s="26">
        <v>0.18909999999999999</v>
      </c>
      <c r="E12064" s="26">
        <v>7.1999999999999995E-2</v>
      </c>
      <c r="F12064" s="26">
        <v>7.7299999999999994E-2</v>
      </c>
      <c r="G12064" s="26">
        <v>1.54E-2</v>
      </c>
      <c r="H12064" s="26">
        <v>5.5999999999999999E-3</v>
      </c>
      <c r="I12064">
        <v>703</v>
      </c>
    </row>
    <row r="12065" spans="1:9" x14ac:dyDescent="0.35">
      <c r="A12065" t="s">
        <v>229</v>
      </c>
      <c r="B12065" t="s">
        <v>239</v>
      </c>
      <c r="C12065" s="26">
        <v>0.81159999999999999</v>
      </c>
      <c r="D12065" s="26">
        <v>7.6600000000000001E-2</v>
      </c>
      <c r="E12065" s="26">
        <v>4.48E-2</v>
      </c>
      <c r="F12065" s="26">
        <v>5.2999999999999999E-2</v>
      </c>
      <c r="G12065" s="26">
        <v>1.41E-2</v>
      </c>
      <c r="I12065">
        <v>332</v>
      </c>
    </row>
    <row r="12066" spans="1:9" x14ac:dyDescent="0.35">
      <c r="A12066" t="s">
        <v>229</v>
      </c>
      <c r="B12066" t="s">
        <v>238</v>
      </c>
      <c r="C12066" s="26">
        <v>0.74919999999999998</v>
      </c>
      <c r="D12066" s="26">
        <v>0.1192</v>
      </c>
      <c r="E12066" s="26">
        <v>7.6600000000000001E-2</v>
      </c>
      <c r="F12066" s="26">
        <v>4.65E-2</v>
      </c>
      <c r="G12066" s="26">
        <v>4.0000000000000001E-3</v>
      </c>
      <c r="H12066" s="26">
        <v>4.4999999999999997E-3</v>
      </c>
      <c r="I12066">
        <v>563</v>
      </c>
    </row>
    <row r="12067" spans="1:9" x14ac:dyDescent="0.35">
      <c r="A12067" t="s">
        <v>230</v>
      </c>
      <c r="B12067" t="s">
        <v>239</v>
      </c>
      <c r="C12067" s="26">
        <v>0.80249999999999999</v>
      </c>
      <c r="D12067" s="26">
        <v>9.4E-2</v>
      </c>
      <c r="E12067" s="26">
        <v>7.46E-2</v>
      </c>
      <c r="F12067" s="26">
        <v>2.5899999999999999E-2</v>
      </c>
      <c r="G12067" s="26">
        <v>3.0000000000000001E-3</v>
      </c>
      <c r="I12067">
        <v>211</v>
      </c>
    </row>
    <row r="12068" spans="1:9" x14ac:dyDescent="0.35">
      <c r="A12068" t="s">
        <v>230</v>
      </c>
      <c r="B12068" t="s">
        <v>238</v>
      </c>
      <c r="C12068" s="26">
        <v>0.83399999999999996</v>
      </c>
      <c r="D12068" s="26">
        <v>7.4200000000000002E-2</v>
      </c>
      <c r="E12068" s="26">
        <v>4.6699999999999998E-2</v>
      </c>
      <c r="F12068" s="26">
        <v>2.7900000000000001E-2</v>
      </c>
      <c r="G12068" s="26">
        <v>1.7100000000000001E-2</v>
      </c>
      <c r="I12068">
        <v>349</v>
      </c>
    </row>
    <row r="12069" spans="1:9" x14ac:dyDescent="0.35">
      <c r="A12069" t="s">
        <v>231</v>
      </c>
      <c r="B12069" t="s">
        <v>239</v>
      </c>
      <c r="C12069" s="26">
        <v>0.94740000000000002</v>
      </c>
      <c r="D12069" s="26">
        <v>1.7500000000000002E-2</v>
      </c>
      <c r="E12069" s="26">
        <v>1.7500000000000002E-2</v>
      </c>
      <c r="F12069" s="26">
        <v>1.7500000000000002E-2</v>
      </c>
      <c r="I12069">
        <v>57</v>
      </c>
    </row>
    <row r="12070" spans="1:9" x14ac:dyDescent="0.35">
      <c r="A12070" t="s">
        <v>231</v>
      </c>
      <c r="B12070" t="s">
        <v>238</v>
      </c>
      <c r="C12070" s="26">
        <v>0.84109999999999996</v>
      </c>
      <c r="D12070" s="26">
        <v>6.54E-2</v>
      </c>
      <c r="E12070" s="26">
        <v>1.8700000000000001E-2</v>
      </c>
      <c r="F12070" s="26">
        <v>6.54E-2</v>
      </c>
      <c r="G12070" s="26">
        <v>9.2999999999999992E-3</v>
      </c>
      <c r="I12070">
        <v>107</v>
      </c>
    </row>
    <row r="12071" spans="1:9" x14ac:dyDescent="0.35">
      <c r="A12071" t="s">
        <v>232</v>
      </c>
      <c r="B12071" t="s">
        <v>232</v>
      </c>
      <c r="C12071" s="26">
        <v>0.79069999999999996</v>
      </c>
      <c r="D12071" s="26">
        <v>9.7799999999999998E-2</v>
      </c>
      <c r="E12071" s="26">
        <v>5.1799999999999999E-2</v>
      </c>
      <c r="F12071" s="26">
        <v>5.04E-2</v>
      </c>
      <c r="G12071" s="26">
        <v>7.4999999999999997E-3</v>
      </c>
      <c r="H12071" s="26">
        <v>1.8E-3</v>
      </c>
      <c r="I12071">
        <v>2813</v>
      </c>
    </row>
    <row r="12073" spans="1:9" x14ac:dyDescent="0.35">
      <c r="A12073" s="1" t="s">
        <v>1445</v>
      </c>
    </row>
    <row r="12074" spans="1:9" x14ac:dyDescent="0.35">
      <c r="A12074" t="s">
        <v>219</v>
      </c>
      <c r="B12074" t="s">
        <v>305</v>
      </c>
      <c r="C12074" t="s">
        <v>1424</v>
      </c>
      <c r="D12074" t="s">
        <v>1425</v>
      </c>
      <c r="E12074" t="s">
        <v>1426</v>
      </c>
      <c r="F12074" t="s">
        <v>1427</v>
      </c>
      <c r="G12074" t="s">
        <v>281</v>
      </c>
      <c r="H12074" t="s">
        <v>286</v>
      </c>
      <c r="I12074" t="s">
        <v>226</v>
      </c>
    </row>
    <row r="12075" spans="1:9" x14ac:dyDescent="0.35">
      <c r="A12075" t="s">
        <v>227</v>
      </c>
      <c r="B12075" t="s">
        <v>244</v>
      </c>
      <c r="C12075" s="26">
        <v>0.83330000000000004</v>
      </c>
      <c r="D12075" s="26">
        <v>6.25E-2</v>
      </c>
      <c r="E12075" s="26">
        <v>5.21E-2</v>
      </c>
      <c r="F12075" s="26">
        <v>5.21E-2</v>
      </c>
      <c r="I12075">
        <v>96</v>
      </c>
    </row>
    <row r="12076" spans="1:9" x14ac:dyDescent="0.35">
      <c r="A12076" t="s">
        <v>227</v>
      </c>
      <c r="B12076" t="s">
        <v>245</v>
      </c>
      <c r="C12076" s="26">
        <v>0.90569999999999995</v>
      </c>
      <c r="D12076" s="26">
        <v>5.6599999999999998E-2</v>
      </c>
      <c r="E12076" s="26">
        <v>1.89E-2</v>
      </c>
      <c r="F12076" s="26">
        <v>1.89E-2</v>
      </c>
      <c r="I12076">
        <v>53</v>
      </c>
    </row>
    <row r="12077" spans="1:9" x14ac:dyDescent="0.35">
      <c r="A12077" s="27" t="s">
        <v>227</v>
      </c>
      <c r="B12077" s="27" t="s">
        <v>246</v>
      </c>
      <c r="C12077" s="28">
        <v>0.75</v>
      </c>
      <c r="D12077" s="28">
        <v>8.3299999999999999E-2</v>
      </c>
      <c r="E12077" s="28">
        <v>0.16669999999999999</v>
      </c>
      <c r="F12077" s="29"/>
      <c r="G12077" s="29"/>
      <c r="H12077" s="29"/>
      <c r="I12077" s="29" t="s">
        <v>342</v>
      </c>
    </row>
    <row r="12078" spans="1:9" x14ac:dyDescent="0.35">
      <c r="A12078" t="s">
        <v>228</v>
      </c>
      <c r="B12078" t="s">
        <v>244</v>
      </c>
      <c r="C12078" s="26">
        <v>0.63719999999999999</v>
      </c>
      <c r="D12078" s="26">
        <v>0.1951</v>
      </c>
      <c r="E12078" s="26">
        <v>6.6600000000000006E-2</v>
      </c>
      <c r="F12078" s="26">
        <v>7.5200000000000003E-2</v>
      </c>
      <c r="G12078" s="26">
        <v>0.02</v>
      </c>
      <c r="H12078" s="26">
        <v>5.8999999999999999E-3</v>
      </c>
      <c r="I12078">
        <v>638</v>
      </c>
    </row>
    <row r="12079" spans="1:9" x14ac:dyDescent="0.35">
      <c r="A12079" t="s">
        <v>228</v>
      </c>
      <c r="B12079" t="s">
        <v>245</v>
      </c>
      <c r="C12079" s="26">
        <v>0.66500000000000004</v>
      </c>
      <c r="D12079" s="26">
        <v>0.1646</v>
      </c>
      <c r="E12079" s="26">
        <v>0.10009999999999999</v>
      </c>
      <c r="F12079" s="26">
        <v>6.4500000000000002E-2</v>
      </c>
      <c r="G12079" s="26">
        <v>3.8999999999999998E-3</v>
      </c>
      <c r="H12079" s="26">
        <v>2E-3</v>
      </c>
      <c r="I12079">
        <v>328</v>
      </c>
    </row>
    <row r="12080" spans="1:9" x14ac:dyDescent="0.35">
      <c r="A12080" t="s">
        <v>228</v>
      </c>
      <c r="B12080" t="s">
        <v>246</v>
      </c>
      <c r="C12080" s="26">
        <v>0.57650000000000001</v>
      </c>
      <c r="D12080" s="26">
        <v>0.2203</v>
      </c>
      <c r="E12080" s="26">
        <v>4.8599999999999997E-2</v>
      </c>
      <c r="F12080" s="26">
        <v>0.1545</v>
      </c>
      <c r="I12080">
        <v>67</v>
      </c>
    </row>
    <row r="12081" spans="1:9" x14ac:dyDescent="0.35">
      <c r="A12081" t="s">
        <v>229</v>
      </c>
      <c r="B12081" t="s">
        <v>244</v>
      </c>
      <c r="C12081" s="26">
        <v>0.77790000000000004</v>
      </c>
      <c r="D12081" s="26">
        <v>7.5700000000000003E-2</v>
      </c>
      <c r="E12081" s="26">
        <v>7.9899999999999999E-2</v>
      </c>
      <c r="F12081" s="26">
        <v>5.5899999999999998E-2</v>
      </c>
      <c r="G12081" s="26">
        <v>5.8999999999999999E-3</v>
      </c>
      <c r="H12081" s="26">
        <v>4.7999999999999996E-3</v>
      </c>
      <c r="I12081">
        <v>557</v>
      </c>
    </row>
    <row r="12082" spans="1:9" x14ac:dyDescent="0.35">
      <c r="A12082" t="s">
        <v>229</v>
      </c>
      <c r="B12082" t="s">
        <v>245</v>
      </c>
      <c r="C12082" s="26">
        <v>0.74409999999999998</v>
      </c>
      <c r="D12082" s="26">
        <v>0.1716</v>
      </c>
      <c r="E12082" s="26">
        <v>3.7499999999999999E-2</v>
      </c>
      <c r="F12082" s="26">
        <v>3.6999999999999998E-2</v>
      </c>
      <c r="G12082" s="26">
        <v>9.9000000000000008E-3</v>
      </c>
      <c r="I12082">
        <v>293</v>
      </c>
    </row>
    <row r="12083" spans="1:9" x14ac:dyDescent="0.35">
      <c r="A12083" t="s">
        <v>229</v>
      </c>
      <c r="B12083" t="s">
        <v>246</v>
      </c>
      <c r="C12083" s="26">
        <v>0.69869999999999999</v>
      </c>
      <c r="D12083" s="26">
        <v>0.2324</v>
      </c>
      <c r="E12083" s="26">
        <v>6.8900000000000003E-2</v>
      </c>
      <c r="I12083">
        <v>45</v>
      </c>
    </row>
    <row r="12084" spans="1:9" x14ac:dyDescent="0.35">
      <c r="A12084" t="s">
        <v>230</v>
      </c>
      <c r="B12084" t="s">
        <v>244</v>
      </c>
      <c r="C12084" s="26">
        <v>0.82379999999999998</v>
      </c>
      <c r="D12084" s="26">
        <v>7.3800000000000004E-2</v>
      </c>
      <c r="E12084" s="26">
        <v>6.0900000000000003E-2</v>
      </c>
      <c r="F12084" s="26">
        <v>3.2099999999999997E-2</v>
      </c>
      <c r="G12084" s="26">
        <v>9.4999999999999998E-3</v>
      </c>
      <c r="I12084">
        <v>370</v>
      </c>
    </row>
    <row r="12085" spans="1:9" x14ac:dyDescent="0.35">
      <c r="A12085" t="s">
        <v>230</v>
      </c>
      <c r="B12085" t="s">
        <v>245</v>
      </c>
      <c r="C12085" s="26">
        <v>0.83150000000000002</v>
      </c>
      <c r="D12085" s="26">
        <v>7.7700000000000005E-2</v>
      </c>
      <c r="E12085" s="26">
        <v>4.8099999999999997E-2</v>
      </c>
      <c r="F12085" s="26">
        <v>1.8499999999999999E-2</v>
      </c>
      <c r="G12085" s="26">
        <v>2.4199999999999999E-2</v>
      </c>
      <c r="I12085">
        <v>161</v>
      </c>
    </row>
    <row r="12086" spans="1:9" x14ac:dyDescent="0.35">
      <c r="A12086" s="27" t="s">
        <v>230</v>
      </c>
      <c r="B12086" s="27" t="s">
        <v>246</v>
      </c>
      <c r="C12086" s="28">
        <v>0.79849999999999999</v>
      </c>
      <c r="D12086" s="28">
        <v>0.1847</v>
      </c>
      <c r="E12086" s="28">
        <v>1.12E-2</v>
      </c>
      <c r="F12086" s="28">
        <v>5.5999999999999999E-3</v>
      </c>
      <c r="G12086" s="29"/>
      <c r="H12086" s="29"/>
      <c r="I12086" s="29" t="s">
        <v>329</v>
      </c>
    </row>
    <row r="12087" spans="1:9" x14ac:dyDescent="0.35">
      <c r="A12087" t="s">
        <v>231</v>
      </c>
      <c r="B12087" t="s">
        <v>244</v>
      </c>
      <c r="C12087" s="26">
        <v>0.86319999999999997</v>
      </c>
      <c r="D12087" s="26">
        <v>6.3200000000000006E-2</v>
      </c>
      <c r="E12087" s="26">
        <v>1.0500000000000001E-2</v>
      </c>
      <c r="F12087" s="26">
        <v>5.2600000000000001E-2</v>
      </c>
      <c r="G12087" s="26">
        <v>1.0500000000000001E-2</v>
      </c>
      <c r="I12087">
        <v>95</v>
      </c>
    </row>
    <row r="12088" spans="1:9" x14ac:dyDescent="0.35">
      <c r="A12088" t="s">
        <v>231</v>
      </c>
      <c r="B12088" t="s">
        <v>245</v>
      </c>
      <c r="C12088" s="26">
        <v>0.91069999999999995</v>
      </c>
      <c r="D12088" s="26">
        <v>1.7899999999999999E-2</v>
      </c>
      <c r="E12088" s="26">
        <v>1.7899999999999999E-2</v>
      </c>
      <c r="F12088" s="26">
        <v>5.3600000000000002E-2</v>
      </c>
      <c r="I12088">
        <v>56</v>
      </c>
    </row>
    <row r="12089" spans="1:9" x14ac:dyDescent="0.35">
      <c r="A12089" s="27" t="s">
        <v>231</v>
      </c>
      <c r="B12089" s="27" t="s">
        <v>246</v>
      </c>
      <c r="C12089" s="28">
        <v>0.84619999999999995</v>
      </c>
      <c r="D12089" s="28">
        <v>7.6899999999999996E-2</v>
      </c>
      <c r="E12089" s="28">
        <v>7.6899999999999996E-2</v>
      </c>
      <c r="F12089" s="29"/>
      <c r="G12089" s="29"/>
      <c r="H12089" s="29"/>
      <c r="I12089" s="29" t="s">
        <v>341</v>
      </c>
    </row>
    <row r="12090" spans="1:9" x14ac:dyDescent="0.35">
      <c r="A12090" t="s">
        <v>232</v>
      </c>
      <c r="B12090" t="s">
        <v>232</v>
      </c>
      <c r="C12090" s="26">
        <v>0.79069999999999996</v>
      </c>
      <c r="D12090" s="26">
        <v>9.7799999999999998E-2</v>
      </c>
      <c r="E12090" s="26">
        <v>5.1799999999999999E-2</v>
      </c>
      <c r="F12090" s="26">
        <v>5.04E-2</v>
      </c>
      <c r="G12090" s="26">
        <v>7.4999999999999997E-3</v>
      </c>
      <c r="H12090" s="26">
        <v>1.8E-3</v>
      </c>
      <c r="I12090">
        <v>2813</v>
      </c>
    </row>
    <row r="12092" spans="1:9" x14ac:dyDescent="0.35">
      <c r="A12092" s="1" t="s">
        <v>1446</v>
      </c>
    </row>
    <row r="12093" spans="1:9" x14ac:dyDescent="0.35">
      <c r="A12093" t="s">
        <v>219</v>
      </c>
      <c r="B12093" t="s">
        <v>305</v>
      </c>
      <c r="C12093" t="s">
        <v>1424</v>
      </c>
      <c r="D12093" t="s">
        <v>1425</v>
      </c>
      <c r="E12093" t="s">
        <v>1426</v>
      </c>
      <c r="F12093" t="s">
        <v>1427</v>
      </c>
      <c r="G12093" t="s">
        <v>281</v>
      </c>
      <c r="H12093" t="s">
        <v>286</v>
      </c>
      <c r="I12093" t="s">
        <v>226</v>
      </c>
    </row>
    <row r="12094" spans="1:9" x14ac:dyDescent="0.35">
      <c r="A12094" t="s">
        <v>227</v>
      </c>
      <c r="B12094" t="s">
        <v>360</v>
      </c>
      <c r="C12094" s="26">
        <v>0.82050000000000001</v>
      </c>
      <c r="D12094" s="26">
        <v>7.6899999999999996E-2</v>
      </c>
      <c r="E12094" s="26">
        <v>5.1299999999999998E-2</v>
      </c>
      <c r="F12094" s="26">
        <v>5.1299999999999998E-2</v>
      </c>
      <c r="I12094">
        <v>39</v>
      </c>
    </row>
    <row r="12095" spans="1:9" x14ac:dyDescent="0.35">
      <c r="A12095" t="s">
        <v>227</v>
      </c>
      <c r="B12095" t="s">
        <v>361</v>
      </c>
      <c r="C12095" s="26">
        <v>0.9375</v>
      </c>
      <c r="D12095" s="26">
        <v>3.1199999999999999E-2</v>
      </c>
      <c r="F12095" s="26">
        <v>3.1199999999999999E-2</v>
      </c>
      <c r="I12095">
        <v>32</v>
      </c>
    </row>
    <row r="12096" spans="1:9" x14ac:dyDescent="0.35">
      <c r="A12096" t="s">
        <v>227</v>
      </c>
      <c r="B12096" t="s">
        <v>362</v>
      </c>
      <c r="C12096" s="26">
        <v>0.78380000000000005</v>
      </c>
      <c r="D12096" s="26">
        <v>0.1081</v>
      </c>
      <c r="E12096" s="26">
        <v>5.4100000000000002E-2</v>
      </c>
      <c r="F12096" s="26">
        <v>5.4100000000000002E-2</v>
      </c>
      <c r="I12096">
        <v>37</v>
      </c>
    </row>
    <row r="12097" spans="1:9" x14ac:dyDescent="0.35">
      <c r="A12097" t="s">
        <v>227</v>
      </c>
      <c r="B12097" t="s">
        <v>363</v>
      </c>
      <c r="C12097" s="26">
        <v>0.84440000000000004</v>
      </c>
      <c r="D12097" s="26">
        <v>4.4400000000000002E-2</v>
      </c>
      <c r="E12097" s="26">
        <v>8.8900000000000007E-2</v>
      </c>
      <c r="F12097" s="26">
        <v>2.2200000000000001E-2</v>
      </c>
      <c r="I12097">
        <v>45</v>
      </c>
    </row>
    <row r="12098" spans="1:9" x14ac:dyDescent="0.35">
      <c r="A12098" t="s">
        <v>228</v>
      </c>
      <c r="B12098" t="s">
        <v>360</v>
      </c>
      <c r="C12098" s="26">
        <v>0.59840000000000004</v>
      </c>
      <c r="D12098" s="26">
        <v>0.20780000000000001</v>
      </c>
      <c r="E12098" s="26">
        <v>4.9099999999999998E-2</v>
      </c>
      <c r="F12098" s="26">
        <v>7.5899999999999995E-2</v>
      </c>
      <c r="G12098" s="26">
        <v>5.1999999999999998E-2</v>
      </c>
      <c r="H12098" s="26">
        <v>1.6799999999999999E-2</v>
      </c>
      <c r="I12098">
        <v>258</v>
      </c>
    </row>
    <row r="12099" spans="1:9" x14ac:dyDescent="0.35">
      <c r="A12099" t="s">
        <v>228</v>
      </c>
      <c r="B12099" t="s">
        <v>361</v>
      </c>
      <c r="C12099" s="26">
        <v>0.6169</v>
      </c>
      <c r="D12099" s="26">
        <v>0.21410000000000001</v>
      </c>
      <c r="E12099" s="26">
        <v>9.5899999999999999E-2</v>
      </c>
      <c r="F12099" s="26">
        <v>5.4699999999999999E-2</v>
      </c>
      <c r="G12099" s="26">
        <v>1.38E-2</v>
      </c>
      <c r="H12099" s="26">
        <v>4.4999999999999997E-3</v>
      </c>
      <c r="I12099">
        <v>194</v>
      </c>
    </row>
    <row r="12100" spans="1:9" x14ac:dyDescent="0.35">
      <c r="A12100" t="s">
        <v>228</v>
      </c>
      <c r="B12100" t="s">
        <v>363</v>
      </c>
      <c r="C12100" s="26">
        <v>0.68169999999999997</v>
      </c>
      <c r="D12100" s="26">
        <v>0.1424</v>
      </c>
      <c r="E12100" s="26">
        <v>0.12189999999999999</v>
      </c>
      <c r="F12100" s="26">
        <v>5.3999999999999999E-2</v>
      </c>
      <c r="I12100">
        <v>212</v>
      </c>
    </row>
    <row r="12101" spans="1:9" x14ac:dyDescent="0.35">
      <c r="A12101" t="s">
        <v>228</v>
      </c>
      <c r="B12101" t="s">
        <v>362</v>
      </c>
      <c r="C12101" s="26">
        <v>0.64</v>
      </c>
      <c r="D12101" s="26">
        <v>0.20680000000000001</v>
      </c>
      <c r="E12101" s="26">
        <v>0.04</v>
      </c>
      <c r="F12101" s="26">
        <v>0.1132</v>
      </c>
      <c r="I12101">
        <v>236</v>
      </c>
    </row>
    <row r="12102" spans="1:9" x14ac:dyDescent="0.35">
      <c r="A12102" t="s">
        <v>229</v>
      </c>
      <c r="B12102" t="s">
        <v>363</v>
      </c>
      <c r="C12102" s="26">
        <v>0.76880000000000004</v>
      </c>
      <c r="D12102" s="26">
        <v>0.10829999999999999</v>
      </c>
      <c r="E12102" s="26">
        <v>5.0900000000000001E-2</v>
      </c>
      <c r="F12102" s="26">
        <v>5.3699999999999998E-2</v>
      </c>
      <c r="G12102" s="26">
        <v>1.8E-3</v>
      </c>
      <c r="H12102" s="26">
        <v>1.6400000000000001E-2</v>
      </c>
      <c r="I12102">
        <v>191</v>
      </c>
    </row>
    <row r="12103" spans="1:9" x14ac:dyDescent="0.35">
      <c r="A12103" t="s">
        <v>229</v>
      </c>
      <c r="B12103" t="s">
        <v>360</v>
      </c>
      <c r="C12103" s="26">
        <v>0.69710000000000005</v>
      </c>
      <c r="D12103" s="26">
        <v>0.14779999999999999</v>
      </c>
      <c r="E12103" s="26">
        <v>7.9399999999999998E-2</v>
      </c>
      <c r="F12103" s="26">
        <v>0.04</v>
      </c>
      <c r="G12103" s="26">
        <v>3.56E-2</v>
      </c>
      <c r="I12103">
        <v>164</v>
      </c>
    </row>
    <row r="12104" spans="1:9" x14ac:dyDescent="0.35">
      <c r="A12104" t="s">
        <v>229</v>
      </c>
      <c r="B12104" t="s">
        <v>361</v>
      </c>
      <c r="C12104" s="26">
        <v>0.82469999999999999</v>
      </c>
      <c r="D12104" s="26">
        <v>7.8799999999999995E-2</v>
      </c>
      <c r="E12104" s="26">
        <v>6.83E-2</v>
      </c>
      <c r="F12104" s="26">
        <v>2.8299999999999999E-2</v>
      </c>
      <c r="I12104">
        <v>243</v>
      </c>
    </row>
    <row r="12105" spans="1:9" x14ac:dyDescent="0.35">
      <c r="A12105" t="s">
        <v>229</v>
      </c>
      <c r="B12105" t="s">
        <v>362</v>
      </c>
      <c r="C12105" s="26">
        <v>0.75790000000000002</v>
      </c>
      <c r="D12105" s="26">
        <v>0.1065</v>
      </c>
      <c r="E12105" s="26">
        <v>7.1900000000000006E-2</v>
      </c>
      <c r="F12105" s="26">
        <v>6.1100000000000002E-2</v>
      </c>
      <c r="G12105" s="26">
        <v>2.5999999999999999E-3</v>
      </c>
      <c r="I12105">
        <v>171</v>
      </c>
    </row>
    <row r="12106" spans="1:9" x14ac:dyDescent="0.35">
      <c r="A12106" t="s">
        <v>230</v>
      </c>
      <c r="B12106" t="s">
        <v>360</v>
      </c>
      <c r="C12106" s="26">
        <v>0.79490000000000005</v>
      </c>
      <c r="D12106" s="26">
        <v>0.1066</v>
      </c>
      <c r="E12106" s="26">
        <v>4.7600000000000003E-2</v>
      </c>
      <c r="F12106" s="26">
        <v>1.5800000000000002E-2</v>
      </c>
      <c r="G12106" s="26">
        <v>3.5099999999999999E-2</v>
      </c>
      <c r="I12106">
        <v>120</v>
      </c>
    </row>
    <row r="12107" spans="1:9" x14ac:dyDescent="0.35">
      <c r="A12107" t="s">
        <v>230</v>
      </c>
      <c r="B12107" t="s">
        <v>363</v>
      </c>
      <c r="C12107" s="26">
        <v>0.78800000000000003</v>
      </c>
      <c r="D12107" s="26">
        <v>0.14910000000000001</v>
      </c>
      <c r="E12107" s="26">
        <v>2.4400000000000002E-2</v>
      </c>
      <c r="F12107" s="26">
        <v>1.55E-2</v>
      </c>
      <c r="G12107" s="26">
        <v>2.3099999999999999E-2</v>
      </c>
      <c r="I12107">
        <v>127</v>
      </c>
    </row>
    <row r="12108" spans="1:9" x14ac:dyDescent="0.35">
      <c r="A12108" t="s">
        <v>230</v>
      </c>
      <c r="B12108" t="s">
        <v>361</v>
      </c>
      <c r="C12108" s="26">
        <v>0.85440000000000005</v>
      </c>
      <c r="D12108" s="26">
        <v>2.58E-2</v>
      </c>
      <c r="E12108" s="26">
        <v>8.1000000000000003E-2</v>
      </c>
      <c r="F12108" s="26">
        <v>3.8800000000000001E-2</v>
      </c>
      <c r="I12108">
        <v>109</v>
      </c>
    </row>
    <row r="12109" spans="1:9" x14ac:dyDescent="0.35">
      <c r="A12109" t="s">
        <v>230</v>
      </c>
      <c r="B12109" t="s">
        <v>362</v>
      </c>
      <c r="C12109" s="26">
        <v>0.84119999999999995</v>
      </c>
      <c r="D12109" s="26">
        <v>6.6199999999999995E-2</v>
      </c>
      <c r="E12109" s="26">
        <v>5.1299999999999998E-2</v>
      </c>
      <c r="F12109" s="26">
        <v>3.78E-2</v>
      </c>
      <c r="G12109" s="26">
        <v>3.5000000000000001E-3</v>
      </c>
      <c r="I12109">
        <v>148</v>
      </c>
    </row>
    <row r="12110" spans="1:9" x14ac:dyDescent="0.35">
      <c r="A12110" s="27" t="s">
        <v>231</v>
      </c>
      <c r="B12110" s="27" t="s">
        <v>362</v>
      </c>
      <c r="C12110" s="28">
        <v>0.93100000000000005</v>
      </c>
      <c r="D12110" s="28">
        <v>3.4500000000000003E-2</v>
      </c>
      <c r="E12110" s="29"/>
      <c r="F12110" s="28">
        <v>3.4500000000000003E-2</v>
      </c>
      <c r="G12110" s="29"/>
      <c r="H12110" s="29"/>
      <c r="I12110" s="29" t="s">
        <v>329</v>
      </c>
    </row>
    <row r="12111" spans="1:9" x14ac:dyDescent="0.35">
      <c r="A12111" t="s">
        <v>231</v>
      </c>
      <c r="B12111" t="s">
        <v>361</v>
      </c>
      <c r="C12111" s="26">
        <v>0.82</v>
      </c>
      <c r="D12111" s="26">
        <v>0.1</v>
      </c>
      <c r="E12111" s="26">
        <v>0.02</v>
      </c>
      <c r="F12111" s="26">
        <v>0.04</v>
      </c>
      <c r="G12111" s="26">
        <v>0.02</v>
      </c>
      <c r="I12111">
        <v>50</v>
      </c>
    </row>
    <row r="12112" spans="1:9" x14ac:dyDescent="0.35">
      <c r="A12112" t="s">
        <v>231</v>
      </c>
      <c r="B12112" t="s">
        <v>360</v>
      </c>
      <c r="C12112" s="26">
        <v>0.90910000000000002</v>
      </c>
      <c r="D12112" s="26">
        <v>2.2700000000000001E-2</v>
      </c>
      <c r="E12112" s="26">
        <v>4.5499999999999999E-2</v>
      </c>
      <c r="F12112" s="26">
        <v>2.2700000000000001E-2</v>
      </c>
      <c r="I12112">
        <v>44</v>
      </c>
    </row>
    <row r="12113" spans="1:9" x14ac:dyDescent="0.35">
      <c r="A12113" s="27" t="s">
        <v>231</v>
      </c>
      <c r="B12113" s="27" t="s">
        <v>363</v>
      </c>
      <c r="C12113" s="28">
        <v>0.96299999999999997</v>
      </c>
      <c r="D12113" s="28">
        <v>3.6999999999999998E-2</v>
      </c>
      <c r="E12113" s="29"/>
      <c r="F12113" s="29"/>
      <c r="G12113" s="29"/>
      <c r="H12113" s="29"/>
      <c r="I12113" s="29" t="s">
        <v>338</v>
      </c>
    </row>
    <row r="12114" spans="1:9" x14ac:dyDescent="0.35">
      <c r="A12114" t="s">
        <v>232</v>
      </c>
      <c r="B12114" t="s">
        <v>232</v>
      </c>
      <c r="C12114" s="26">
        <v>0.79069999999999996</v>
      </c>
      <c r="D12114" s="26">
        <v>9.7799999999999998E-2</v>
      </c>
      <c r="E12114" s="26">
        <v>5.1799999999999999E-2</v>
      </c>
      <c r="F12114" s="26">
        <v>5.04E-2</v>
      </c>
      <c r="G12114" s="26">
        <v>7.4999999999999997E-3</v>
      </c>
      <c r="H12114" s="26">
        <v>1.8E-3</v>
      </c>
      <c r="I12114">
        <v>2476</v>
      </c>
    </row>
    <row r="12116" spans="1:9" x14ac:dyDescent="0.35">
      <c r="A12116" s="1" t="s">
        <v>1447</v>
      </c>
    </row>
    <row r="12117" spans="1:9" x14ac:dyDescent="0.35">
      <c r="A12117" t="s">
        <v>219</v>
      </c>
      <c r="B12117" t="s">
        <v>305</v>
      </c>
      <c r="C12117" t="s">
        <v>1424</v>
      </c>
      <c r="D12117" t="s">
        <v>1425</v>
      </c>
      <c r="E12117" t="s">
        <v>1426</v>
      </c>
      <c r="F12117" t="s">
        <v>1427</v>
      </c>
      <c r="G12117" t="s">
        <v>281</v>
      </c>
      <c r="H12117" t="s">
        <v>286</v>
      </c>
      <c r="I12117" t="s">
        <v>226</v>
      </c>
    </row>
    <row r="12118" spans="1:9" x14ac:dyDescent="0.35">
      <c r="A12118" t="s">
        <v>227</v>
      </c>
      <c r="B12118" t="s">
        <v>267</v>
      </c>
      <c r="C12118" s="26">
        <v>0.80559999999999998</v>
      </c>
      <c r="D12118" s="26">
        <v>8.3299999999999999E-2</v>
      </c>
      <c r="E12118" s="26">
        <v>5.5599999999999997E-2</v>
      </c>
      <c r="F12118" s="26">
        <v>5.5599999999999997E-2</v>
      </c>
      <c r="I12118">
        <v>36</v>
      </c>
    </row>
    <row r="12119" spans="1:9" x14ac:dyDescent="0.35">
      <c r="A12119" t="s">
        <v>227</v>
      </c>
      <c r="B12119" t="s">
        <v>266</v>
      </c>
      <c r="C12119" s="26">
        <v>0.84750000000000003</v>
      </c>
      <c r="D12119" s="26">
        <v>6.7799999999999999E-2</v>
      </c>
      <c r="E12119" s="26">
        <v>5.0799999999999998E-2</v>
      </c>
      <c r="F12119" s="26">
        <v>3.39E-2</v>
      </c>
      <c r="I12119">
        <v>59</v>
      </c>
    </row>
    <row r="12120" spans="1:9" x14ac:dyDescent="0.35">
      <c r="A12120" t="s">
        <v>227</v>
      </c>
      <c r="B12120" t="s">
        <v>265</v>
      </c>
      <c r="C12120" s="26">
        <v>0.87880000000000003</v>
      </c>
      <c r="D12120" s="26">
        <v>4.5499999999999999E-2</v>
      </c>
      <c r="E12120" s="26">
        <v>4.5499999999999999E-2</v>
      </c>
      <c r="F12120" s="26">
        <v>3.0300000000000001E-2</v>
      </c>
      <c r="I12120">
        <v>66</v>
      </c>
    </row>
    <row r="12121" spans="1:9" x14ac:dyDescent="0.35">
      <c r="A12121" t="s">
        <v>228</v>
      </c>
      <c r="B12121" t="s">
        <v>267</v>
      </c>
      <c r="C12121" s="26">
        <v>0.76419999999999999</v>
      </c>
      <c r="D12121" s="26">
        <v>0.11799999999999999</v>
      </c>
      <c r="E12121" s="26">
        <v>4.3799999999999999E-2</v>
      </c>
      <c r="F12121" s="26">
        <v>6.6199999999999995E-2</v>
      </c>
      <c r="G12121" s="26">
        <v>4.7000000000000002E-3</v>
      </c>
      <c r="H12121" s="26">
        <v>3.2000000000000002E-3</v>
      </c>
      <c r="I12121">
        <v>199</v>
      </c>
    </row>
    <row r="12122" spans="1:9" x14ac:dyDescent="0.35">
      <c r="A12122" t="s">
        <v>228</v>
      </c>
      <c r="B12122" t="s">
        <v>265</v>
      </c>
      <c r="C12122" s="26">
        <v>0.61070000000000002</v>
      </c>
      <c r="D12122" s="26">
        <v>0.19800000000000001</v>
      </c>
      <c r="E12122" s="26">
        <v>7.7600000000000002E-2</v>
      </c>
      <c r="F12122" s="26">
        <v>9.3600000000000003E-2</v>
      </c>
      <c r="G12122" s="26">
        <v>2.01E-2</v>
      </c>
      <c r="I12122">
        <v>384</v>
      </c>
    </row>
    <row r="12123" spans="1:9" x14ac:dyDescent="0.35">
      <c r="A12123" s="27" t="s">
        <v>228</v>
      </c>
      <c r="B12123" s="27" t="s">
        <v>236</v>
      </c>
      <c r="C12123" s="28">
        <v>0.5</v>
      </c>
      <c r="D12123" s="29"/>
      <c r="E12123" s="28">
        <v>0.5</v>
      </c>
      <c r="F12123" s="29"/>
      <c r="G12123" s="29"/>
      <c r="H12123" s="29"/>
      <c r="I12123" s="29" t="s">
        <v>314</v>
      </c>
    </row>
    <row r="12124" spans="1:9" x14ac:dyDescent="0.35">
      <c r="A12124" t="s">
        <v>228</v>
      </c>
      <c r="B12124" t="s">
        <v>266</v>
      </c>
      <c r="C12124" s="26">
        <v>0.62260000000000004</v>
      </c>
      <c r="D12124" s="26">
        <v>0.2107</v>
      </c>
      <c r="E12124" s="26">
        <v>7.7600000000000002E-2</v>
      </c>
      <c r="F12124" s="26">
        <v>6.7500000000000004E-2</v>
      </c>
      <c r="G12124" s="26">
        <v>1.23E-2</v>
      </c>
      <c r="H12124" s="26">
        <v>9.4000000000000004E-3</v>
      </c>
      <c r="I12124">
        <v>448</v>
      </c>
    </row>
    <row r="12125" spans="1:9" x14ac:dyDescent="0.35">
      <c r="A12125" t="s">
        <v>229</v>
      </c>
      <c r="B12125" t="s">
        <v>266</v>
      </c>
      <c r="C12125" s="26">
        <v>0.71089999999999998</v>
      </c>
      <c r="D12125" s="26">
        <v>0.1449</v>
      </c>
      <c r="E12125" s="26">
        <v>7.9899999999999999E-2</v>
      </c>
      <c r="F12125" s="26">
        <v>4.6600000000000003E-2</v>
      </c>
      <c r="G12125" s="26">
        <v>8.6E-3</v>
      </c>
      <c r="H12125" s="26">
        <v>9.1000000000000004E-3</v>
      </c>
      <c r="I12125">
        <v>359</v>
      </c>
    </row>
    <row r="12126" spans="1:9" x14ac:dyDescent="0.35">
      <c r="A12126" t="s">
        <v>229</v>
      </c>
      <c r="B12126" t="s">
        <v>267</v>
      </c>
      <c r="C12126" s="26">
        <v>0.81699999999999995</v>
      </c>
      <c r="D12126" s="26">
        <v>5.2499999999999998E-2</v>
      </c>
      <c r="E12126" s="26">
        <v>7.2999999999999995E-2</v>
      </c>
      <c r="F12126" s="26">
        <v>5.7500000000000002E-2</v>
      </c>
      <c r="I12126">
        <v>201</v>
      </c>
    </row>
    <row r="12127" spans="1:9" x14ac:dyDescent="0.35">
      <c r="A12127" t="s">
        <v>229</v>
      </c>
      <c r="B12127" t="s">
        <v>265</v>
      </c>
      <c r="C12127" s="26">
        <v>0.77910000000000001</v>
      </c>
      <c r="D12127" s="26">
        <v>0.10920000000000001</v>
      </c>
      <c r="E12127" s="26">
        <v>5.8000000000000003E-2</v>
      </c>
      <c r="F12127" s="26">
        <v>4.4699999999999997E-2</v>
      </c>
      <c r="G12127" s="26">
        <v>8.3000000000000001E-3</v>
      </c>
      <c r="H12127" s="26">
        <v>6.9999999999999999E-4</v>
      </c>
      <c r="I12127">
        <v>335</v>
      </c>
    </row>
    <row r="12128" spans="1:9" x14ac:dyDescent="0.35">
      <c r="A12128" t="s">
        <v>230</v>
      </c>
      <c r="B12128" t="s">
        <v>267</v>
      </c>
      <c r="C12128" s="26">
        <v>0.8619</v>
      </c>
      <c r="D12128" s="26">
        <v>5.1299999999999998E-2</v>
      </c>
      <c r="E12128" s="26">
        <v>4.0599999999999997E-2</v>
      </c>
      <c r="F12128" s="26">
        <v>4.2000000000000003E-2</v>
      </c>
      <c r="G12128" s="26">
        <v>4.1000000000000003E-3</v>
      </c>
      <c r="I12128">
        <v>119</v>
      </c>
    </row>
    <row r="12129" spans="1:9" x14ac:dyDescent="0.35">
      <c r="A12129" t="s">
        <v>230</v>
      </c>
      <c r="B12129" t="s">
        <v>266</v>
      </c>
      <c r="C12129" s="26">
        <v>0.81810000000000005</v>
      </c>
      <c r="D12129" s="26">
        <v>0.10780000000000001</v>
      </c>
      <c r="E12129" s="26">
        <v>4.0500000000000001E-2</v>
      </c>
      <c r="F12129" s="26">
        <v>1.7999999999999999E-2</v>
      </c>
      <c r="G12129" s="26">
        <v>1.5599999999999999E-2</v>
      </c>
      <c r="I12129">
        <v>232</v>
      </c>
    </row>
    <row r="12130" spans="1:9" x14ac:dyDescent="0.35">
      <c r="A12130" t="s">
        <v>230</v>
      </c>
      <c r="B12130" t="s">
        <v>265</v>
      </c>
      <c r="C12130" s="26">
        <v>0.81040000000000001</v>
      </c>
      <c r="D12130" s="26">
        <v>7.1499999999999994E-2</v>
      </c>
      <c r="E12130" s="26">
        <v>7.5399999999999995E-2</v>
      </c>
      <c r="F12130" s="26">
        <v>2.76E-2</v>
      </c>
      <c r="G12130" s="26">
        <v>1.4999999999999999E-2</v>
      </c>
      <c r="I12130">
        <v>209</v>
      </c>
    </row>
    <row r="12131" spans="1:9" x14ac:dyDescent="0.35">
      <c r="A12131" t="s">
        <v>231</v>
      </c>
      <c r="B12131" t="s">
        <v>267</v>
      </c>
      <c r="C12131" s="26">
        <v>0.85289999999999999</v>
      </c>
      <c r="D12131" s="26">
        <v>8.8200000000000001E-2</v>
      </c>
      <c r="E12131" s="26">
        <v>2.9399999999999999E-2</v>
      </c>
      <c r="F12131" s="26">
        <v>2.9399999999999999E-2</v>
      </c>
      <c r="I12131">
        <v>34</v>
      </c>
    </row>
    <row r="12132" spans="1:9" x14ac:dyDescent="0.35">
      <c r="A12132" t="s">
        <v>231</v>
      </c>
      <c r="B12132" t="s">
        <v>266</v>
      </c>
      <c r="C12132" s="26">
        <v>0.9516</v>
      </c>
      <c r="D12132" s="26">
        <v>1.61E-2</v>
      </c>
      <c r="F12132" s="26">
        <v>3.2300000000000002E-2</v>
      </c>
      <c r="I12132">
        <v>62</v>
      </c>
    </row>
    <row r="12133" spans="1:9" x14ac:dyDescent="0.35">
      <c r="A12133" t="s">
        <v>231</v>
      </c>
      <c r="B12133" t="s">
        <v>265</v>
      </c>
      <c r="C12133" s="26">
        <v>0.82350000000000001</v>
      </c>
      <c r="D12133" s="26">
        <v>5.8799999999999998E-2</v>
      </c>
      <c r="E12133" s="26">
        <v>2.9399999999999999E-2</v>
      </c>
      <c r="F12133" s="26">
        <v>7.3499999999999996E-2</v>
      </c>
      <c r="G12133" s="26">
        <v>1.47E-2</v>
      </c>
      <c r="I12133">
        <v>68</v>
      </c>
    </row>
    <row r="12134" spans="1:9" x14ac:dyDescent="0.35">
      <c r="A12134" t="s">
        <v>232</v>
      </c>
      <c r="B12134" t="s">
        <v>232</v>
      </c>
      <c r="C12134" s="26">
        <v>0.79069999999999996</v>
      </c>
      <c r="D12134" s="26">
        <v>9.7799999999999998E-2</v>
      </c>
      <c r="E12134" s="26">
        <v>5.1799999999999999E-2</v>
      </c>
      <c r="F12134" s="26">
        <v>5.04E-2</v>
      </c>
      <c r="G12134" s="26">
        <v>7.4999999999999997E-3</v>
      </c>
      <c r="H12134" s="26">
        <v>1.8E-3</v>
      </c>
      <c r="I12134">
        <v>2813</v>
      </c>
    </row>
    <row r="12136" spans="1:9" x14ac:dyDescent="0.35">
      <c r="A12136" s="1" t="s">
        <v>1448</v>
      </c>
    </row>
    <row r="12137" spans="1:9" x14ac:dyDescent="0.35">
      <c r="A12137" t="s">
        <v>219</v>
      </c>
      <c r="B12137" t="s">
        <v>305</v>
      </c>
      <c r="C12137" t="s">
        <v>1424</v>
      </c>
      <c r="D12137" t="s">
        <v>1425</v>
      </c>
      <c r="E12137" t="s">
        <v>1426</v>
      </c>
      <c r="F12137" t="s">
        <v>1427</v>
      </c>
      <c r="G12137" t="s">
        <v>281</v>
      </c>
      <c r="H12137" t="s">
        <v>286</v>
      </c>
      <c r="I12137" t="s">
        <v>226</v>
      </c>
    </row>
    <row r="12138" spans="1:9" x14ac:dyDescent="0.35">
      <c r="A12138" t="s">
        <v>227</v>
      </c>
      <c r="B12138" t="s">
        <v>252</v>
      </c>
      <c r="C12138" s="26">
        <v>0.88890000000000002</v>
      </c>
      <c r="D12138" s="26">
        <v>6.6699999999999995E-2</v>
      </c>
      <c r="F12138" s="26">
        <v>4.4400000000000002E-2</v>
      </c>
      <c r="I12138">
        <v>45</v>
      </c>
    </row>
    <row r="12139" spans="1:9" x14ac:dyDescent="0.35">
      <c r="A12139" t="s">
        <v>227</v>
      </c>
      <c r="B12139" t="s">
        <v>253</v>
      </c>
      <c r="C12139" s="26">
        <v>0.88239999999999996</v>
      </c>
      <c r="E12139" s="26">
        <v>5.8799999999999998E-2</v>
      </c>
      <c r="F12139" s="26">
        <v>5.8799999999999998E-2</v>
      </c>
      <c r="I12139">
        <v>34</v>
      </c>
    </row>
    <row r="12140" spans="1:9" x14ac:dyDescent="0.35">
      <c r="A12140" t="s">
        <v>227</v>
      </c>
      <c r="B12140" t="s">
        <v>251</v>
      </c>
      <c r="C12140" s="26">
        <v>0.81710000000000005</v>
      </c>
      <c r="D12140" s="26">
        <v>8.5400000000000004E-2</v>
      </c>
      <c r="E12140" s="26">
        <v>7.3200000000000001E-2</v>
      </c>
      <c r="F12140" s="26">
        <v>2.4400000000000002E-2</v>
      </c>
      <c r="I12140">
        <v>82</v>
      </c>
    </row>
    <row r="12141" spans="1:9" x14ac:dyDescent="0.35">
      <c r="A12141" t="s">
        <v>228</v>
      </c>
      <c r="B12141" t="s">
        <v>252</v>
      </c>
      <c r="C12141" s="26">
        <v>0.67369999999999997</v>
      </c>
      <c r="D12141" s="26">
        <v>0.19170000000000001</v>
      </c>
      <c r="E12141" s="26">
        <v>6.0900000000000003E-2</v>
      </c>
      <c r="F12141" s="26">
        <v>7.2099999999999997E-2</v>
      </c>
      <c r="G12141" s="26">
        <v>1.6999999999999999E-3</v>
      </c>
      <c r="I12141">
        <v>344</v>
      </c>
    </row>
    <row r="12142" spans="1:9" x14ac:dyDescent="0.35">
      <c r="A12142" t="s">
        <v>228</v>
      </c>
      <c r="B12142" t="s">
        <v>253</v>
      </c>
      <c r="C12142" s="26">
        <v>0.61419999999999997</v>
      </c>
      <c r="D12142" s="26">
        <v>0.21290000000000001</v>
      </c>
      <c r="E12142" s="26">
        <v>4.3400000000000001E-2</v>
      </c>
      <c r="F12142" s="26">
        <v>8.8900000000000007E-2</v>
      </c>
      <c r="G12142" s="26">
        <v>2.4400000000000002E-2</v>
      </c>
      <c r="H12142" s="26">
        <v>1.6199999999999999E-2</v>
      </c>
      <c r="I12142">
        <v>222</v>
      </c>
    </row>
    <row r="12143" spans="1:9" x14ac:dyDescent="0.35">
      <c r="A12143" t="s">
        <v>228</v>
      </c>
      <c r="B12143" t="s">
        <v>251</v>
      </c>
      <c r="C12143" s="26">
        <v>0.63009999999999999</v>
      </c>
      <c r="D12143" s="26">
        <v>0.17549999999999999</v>
      </c>
      <c r="E12143" s="26">
        <v>9.7500000000000003E-2</v>
      </c>
      <c r="F12143" s="26">
        <v>7.6600000000000001E-2</v>
      </c>
      <c r="G12143" s="26">
        <v>1.8100000000000002E-2</v>
      </c>
      <c r="H12143" s="26">
        <v>2.3E-3</v>
      </c>
      <c r="I12143">
        <v>467</v>
      </c>
    </row>
    <row r="12144" spans="1:9" x14ac:dyDescent="0.35">
      <c r="A12144" t="s">
        <v>229</v>
      </c>
      <c r="B12144" t="s">
        <v>252</v>
      </c>
      <c r="C12144" s="26">
        <v>0.70930000000000004</v>
      </c>
      <c r="D12144" s="26">
        <v>0.15909999999999999</v>
      </c>
      <c r="E12144" s="26">
        <v>6.0600000000000001E-2</v>
      </c>
      <c r="F12144" s="26">
        <v>5.6899999999999999E-2</v>
      </c>
      <c r="G12144" s="26">
        <v>1.41E-2</v>
      </c>
      <c r="I12144">
        <v>199</v>
      </c>
    </row>
    <row r="12145" spans="1:9" x14ac:dyDescent="0.35">
      <c r="A12145" t="s">
        <v>229</v>
      </c>
      <c r="B12145" t="s">
        <v>253</v>
      </c>
      <c r="C12145" s="26">
        <v>0.76100000000000001</v>
      </c>
      <c r="D12145" s="26">
        <v>0.1278</v>
      </c>
      <c r="E12145" s="26">
        <v>5.6099999999999997E-2</v>
      </c>
      <c r="F12145" s="26">
        <v>3.9199999999999999E-2</v>
      </c>
      <c r="G12145" s="26">
        <v>1.5900000000000001E-2</v>
      </c>
      <c r="I12145">
        <v>145</v>
      </c>
    </row>
    <row r="12146" spans="1:9" x14ac:dyDescent="0.35">
      <c r="A12146" t="s">
        <v>229</v>
      </c>
      <c r="B12146" t="s">
        <v>251</v>
      </c>
      <c r="C12146" s="26">
        <v>0.78769999999999996</v>
      </c>
      <c r="D12146" s="26">
        <v>8.2699999999999996E-2</v>
      </c>
      <c r="E12146" s="26">
        <v>7.5499999999999998E-2</v>
      </c>
      <c r="F12146" s="26">
        <v>4.7699999999999999E-2</v>
      </c>
      <c r="G12146" s="26">
        <v>6.9999999999999999E-4</v>
      </c>
      <c r="H12146" s="26">
        <v>5.7000000000000002E-3</v>
      </c>
      <c r="I12146">
        <v>551</v>
      </c>
    </row>
    <row r="12147" spans="1:9" x14ac:dyDescent="0.35">
      <c r="A12147" t="s">
        <v>230</v>
      </c>
      <c r="B12147" t="s">
        <v>252</v>
      </c>
      <c r="C12147" s="26">
        <v>0.81389999999999996</v>
      </c>
      <c r="D12147" s="26">
        <v>9.6199999999999994E-2</v>
      </c>
      <c r="E12147" s="26">
        <v>4.5999999999999999E-3</v>
      </c>
      <c r="F12147" s="26">
        <v>3.6200000000000003E-2</v>
      </c>
      <c r="G12147" s="26">
        <v>4.9099999999999998E-2</v>
      </c>
      <c r="I12147">
        <v>159</v>
      </c>
    </row>
    <row r="12148" spans="1:9" x14ac:dyDescent="0.35">
      <c r="A12148" t="s">
        <v>230</v>
      </c>
      <c r="B12148" t="s">
        <v>253</v>
      </c>
      <c r="C12148" s="26">
        <v>0.79259999999999997</v>
      </c>
      <c r="D12148" s="26">
        <v>8.14E-2</v>
      </c>
      <c r="E12148" s="26">
        <v>7.8899999999999998E-2</v>
      </c>
      <c r="F12148" s="26">
        <v>4.5699999999999998E-2</v>
      </c>
      <c r="G12148" s="26">
        <v>1.4E-3</v>
      </c>
      <c r="I12148">
        <v>110</v>
      </c>
    </row>
    <row r="12149" spans="1:9" x14ac:dyDescent="0.35">
      <c r="A12149" t="s">
        <v>230</v>
      </c>
      <c r="B12149" t="s">
        <v>251</v>
      </c>
      <c r="C12149" s="26">
        <v>0.84030000000000005</v>
      </c>
      <c r="D12149" s="26">
        <v>7.2400000000000006E-2</v>
      </c>
      <c r="E12149" s="26">
        <v>7.0400000000000004E-2</v>
      </c>
      <c r="F12149" s="26">
        <v>1.6899999999999998E-2</v>
      </c>
      <c r="I12149">
        <v>291</v>
      </c>
    </row>
    <row r="12150" spans="1:9" x14ac:dyDescent="0.35">
      <c r="A12150" t="s">
        <v>231</v>
      </c>
      <c r="B12150" t="s">
        <v>252</v>
      </c>
      <c r="C12150" s="26">
        <v>0.95920000000000005</v>
      </c>
      <c r="D12150" s="26">
        <v>2.0400000000000001E-2</v>
      </c>
      <c r="F12150" s="26">
        <v>2.0400000000000001E-2</v>
      </c>
      <c r="I12150">
        <v>49</v>
      </c>
    </row>
    <row r="12151" spans="1:9" x14ac:dyDescent="0.35">
      <c r="A12151" t="s">
        <v>231</v>
      </c>
      <c r="B12151" t="s">
        <v>253</v>
      </c>
      <c r="C12151" s="26">
        <v>0.86670000000000003</v>
      </c>
      <c r="D12151" s="26">
        <v>0.1</v>
      </c>
      <c r="F12151" s="26">
        <v>3.3300000000000003E-2</v>
      </c>
      <c r="I12151">
        <v>30</v>
      </c>
    </row>
    <row r="12152" spans="1:9" x14ac:dyDescent="0.35">
      <c r="A12152" t="s">
        <v>231</v>
      </c>
      <c r="B12152" t="s">
        <v>251</v>
      </c>
      <c r="C12152" s="26">
        <v>0.83530000000000004</v>
      </c>
      <c r="D12152" s="26">
        <v>4.7100000000000003E-2</v>
      </c>
      <c r="E12152" s="26">
        <v>3.5299999999999998E-2</v>
      </c>
      <c r="F12152" s="26">
        <v>7.0599999999999996E-2</v>
      </c>
      <c r="G12152" s="26">
        <v>1.18E-2</v>
      </c>
      <c r="I12152">
        <v>85</v>
      </c>
    </row>
    <row r="12153" spans="1:9" x14ac:dyDescent="0.35">
      <c r="A12153" t="s">
        <v>232</v>
      </c>
      <c r="B12153" t="s">
        <v>232</v>
      </c>
      <c r="C12153" s="26">
        <v>0.79069999999999996</v>
      </c>
      <c r="D12153" s="26">
        <v>9.7799999999999998E-2</v>
      </c>
      <c r="E12153" s="26">
        <v>5.1799999999999999E-2</v>
      </c>
      <c r="F12153" s="26">
        <v>5.04E-2</v>
      </c>
      <c r="G12153" s="26">
        <v>7.4999999999999997E-3</v>
      </c>
      <c r="H12153" s="26">
        <v>1.8E-3</v>
      </c>
      <c r="I12153">
        <v>2813</v>
      </c>
    </row>
    <row r="12155" spans="1:9" x14ac:dyDescent="0.35">
      <c r="A12155" s="1" t="s">
        <v>1449</v>
      </c>
    </row>
    <row r="12156" spans="1:9" x14ac:dyDescent="0.35">
      <c r="A12156" t="s">
        <v>219</v>
      </c>
      <c r="B12156" t="s">
        <v>305</v>
      </c>
      <c r="C12156" t="s">
        <v>1424</v>
      </c>
      <c r="D12156" t="s">
        <v>1425</v>
      </c>
      <c r="E12156" t="s">
        <v>1426</v>
      </c>
      <c r="F12156" t="s">
        <v>1427</v>
      </c>
      <c r="G12156" t="s">
        <v>281</v>
      </c>
      <c r="H12156" t="s">
        <v>286</v>
      </c>
      <c r="I12156" t="s">
        <v>226</v>
      </c>
    </row>
    <row r="12157" spans="1:9" x14ac:dyDescent="0.35">
      <c r="A12157" t="s">
        <v>227</v>
      </c>
      <c r="B12157" t="s">
        <v>249</v>
      </c>
      <c r="C12157" s="26">
        <v>0.79549999999999998</v>
      </c>
      <c r="D12157" s="26">
        <v>6.8199999999999997E-2</v>
      </c>
      <c r="E12157" s="26">
        <v>0.11360000000000001</v>
      </c>
      <c r="F12157" s="26">
        <v>2.2700000000000001E-2</v>
      </c>
      <c r="I12157">
        <v>44</v>
      </c>
    </row>
    <row r="12158" spans="1:9" x14ac:dyDescent="0.35">
      <c r="A12158" t="s">
        <v>227</v>
      </c>
      <c r="B12158" t="s">
        <v>248</v>
      </c>
      <c r="C12158" s="26">
        <v>0.87180000000000002</v>
      </c>
      <c r="D12158" s="26">
        <v>5.9799999999999999E-2</v>
      </c>
      <c r="E12158" s="26">
        <v>2.5600000000000001E-2</v>
      </c>
      <c r="F12158" s="26">
        <v>4.2700000000000002E-2</v>
      </c>
      <c r="I12158">
        <v>117</v>
      </c>
    </row>
    <row r="12159" spans="1:9" x14ac:dyDescent="0.35">
      <c r="A12159" t="s">
        <v>228</v>
      </c>
      <c r="B12159" t="s">
        <v>249</v>
      </c>
      <c r="C12159" s="26">
        <v>0.58779999999999999</v>
      </c>
      <c r="D12159" s="26">
        <v>0.2034</v>
      </c>
      <c r="E12159" s="26">
        <v>8.0100000000000005E-2</v>
      </c>
      <c r="F12159" s="26">
        <v>0.1017</v>
      </c>
      <c r="G12159" s="26">
        <v>2.69E-2</v>
      </c>
      <c r="I12159">
        <v>274</v>
      </c>
    </row>
    <row r="12160" spans="1:9" x14ac:dyDescent="0.35">
      <c r="A12160" t="s">
        <v>228</v>
      </c>
      <c r="B12160" t="s">
        <v>248</v>
      </c>
      <c r="C12160" s="26">
        <v>0.66339999999999999</v>
      </c>
      <c r="D12160" s="26">
        <v>0.18190000000000001</v>
      </c>
      <c r="E12160" s="26">
        <v>7.2400000000000006E-2</v>
      </c>
      <c r="F12160" s="26">
        <v>6.7400000000000002E-2</v>
      </c>
      <c r="G12160" s="26">
        <v>8.6999999999999994E-3</v>
      </c>
      <c r="H12160" s="26">
        <v>6.3E-3</v>
      </c>
      <c r="I12160">
        <v>759</v>
      </c>
    </row>
    <row r="12161" spans="1:9" x14ac:dyDescent="0.35">
      <c r="A12161" t="s">
        <v>229</v>
      </c>
      <c r="B12161" t="s">
        <v>249</v>
      </c>
      <c r="C12161" s="26">
        <v>0.76890000000000003</v>
      </c>
      <c r="D12161" s="26">
        <v>0.1041</v>
      </c>
      <c r="E12161" s="26">
        <v>8.5599999999999996E-2</v>
      </c>
      <c r="F12161" s="26">
        <v>4.0099999999999997E-2</v>
      </c>
      <c r="G12161" s="26">
        <v>1.2999999999999999E-3</v>
      </c>
      <c r="I12161">
        <v>259</v>
      </c>
    </row>
    <row r="12162" spans="1:9" x14ac:dyDescent="0.35">
      <c r="A12162" t="s">
        <v>229</v>
      </c>
      <c r="B12162" t="s">
        <v>248</v>
      </c>
      <c r="C12162" s="26">
        <v>0.76319999999999999</v>
      </c>
      <c r="D12162" s="26">
        <v>0.1104</v>
      </c>
      <c r="E12162" s="26">
        <v>6.0199999999999997E-2</v>
      </c>
      <c r="F12162" s="26">
        <v>5.21E-2</v>
      </c>
      <c r="G12162" s="26">
        <v>9.1999999999999998E-3</v>
      </c>
      <c r="H12162" s="26">
        <v>5.0000000000000001E-3</v>
      </c>
      <c r="I12162">
        <v>636</v>
      </c>
    </row>
    <row r="12163" spans="1:9" x14ac:dyDescent="0.35">
      <c r="A12163" t="s">
        <v>230</v>
      </c>
      <c r="B12163" t="s">
        <v>249</v>
      </c>
      <c r="C12163" s="26">
        <v>0.83760000000000001</v>
      </c>
      <c r="D12163" s="26">
        <v>7.6600000000000001E-2</v>
      </c>
      <c r="E12163" s="26">
        <v>7.7200000000000005E-2</v>
      </c>
      <c r="F12163" s="26">
        <v>7.7999999999999996E-3</v>
      </c>
      <c r="G12163" s="26">
        <v>8.0000000000000004E-4</v>
      </c>
      <c r="I12163">
        <v>171</v>
      </c>
    </row>
    <row r="12164" spans="1:9" x14ac:dyDescent="0.35">
      <c r="A12164" t="s">
        <v>230</v>
      </c>
      <c r="B12164" t="s">
        <v>248</v>
      </c>
      <c r="C12164" s="26">
        <v>0.81789999999999996</v>
      </c>
      <c r="D12164" s="26">
        <v>8.2000000000000003E-2</v>
      </c>
      <c r="E12164" s="26">
        <v>4.3900000000000002E-2</v>
      </c>
      <c r="F12164" s="26">
        <v>3.7199999999999997E-2</v>
      </c>
      <c r="G12164" s="26">
        <v>1.89E-2</v>
      </c>
      <c r="I12164">
        <v>389</v>
      </c>
    </row>
    <row r="12165" spans="1:9" x14ac:dyDescent="0.35">
      <c r="A12165" t="s">
        <v>231</v>
      </c>
      <c r="B12165" t="s">
        <v>249</v>
      </c>
      <c r="C12165" s="26">
        <v>0.8</v>
      </c>
      <c r="D12165" s="26">
        <v>8.5699999999999998E-2</v>
      </c>
      <c r="E12165" s="26">
        <v>5.7099999999999998E-2</v>
      </c>
      <c r="F12165" s="26">
        <v>5.7099999999999998E-2</v>
      </c>
      <c r="I12165">
        <v>35</v>
      </c>
    </row>
    <row r="12166" spans="1:9" x14ac:dyDescent="0.35">
      <c r="A12166" t="s">
        <v>231</v>
      </c>
      <c r="B12166" t="s">
        <v>248</v>
      </c>
      <c r="C12166" s="26">
        <v>0.8992</v>
      </c>
      <c r="D12166" s="26">
        <v>3.8800000000000001E-2</v>
      </c>
      <c r="E12166" s="26">
        <v>7.7999999999999996E-3</v>
      </c>
      <c r="F12166" s="26">
        <v>4.65E-2</v>
      </c>
      <c r="G12166" s="26">
        <v>7.7999999999999996E-3</v>
      </c>
      <c r="I12166">
        <v>129</v>
      </c>
    </row>
    <row r="12167" spans="1:9" x14ac:dyDescent="0.35">
      <c r="A12167" t="s">
        <v>232</v>
      </c>
      <c r="B12167" t="s">
        <v>232</v>
      </c>
      <c r="C12167" s="26">
        <v>0.79069999999999996</v>
      </c>
      <c r="D12167" s="26">
        <v>9.7799999999999998E-2</v>
      </c>
      <c r="E12167" s="26">
        <v>5.1799999999999999E-2</v>
      </c>
      <c r="F12167" s="26">
        <v>5.04E-2</v>
      </c>
      <c r="G12167" s="26">
        <v>7.4999999999999997E-3</v>
      </c>
      <c r="H12167" s="26">
        <v>1.8E-3</v>
      </c>
      <c r="I12167">
        <v>2813</v>
      </c>
    </row>
    <row r="12169" spans="1:9" x14ac:dyDescent="0.35">
      <c r="A12169" s="1" t="s">
        <v>1450</v>
      </c>
    </row>
    <row r="12170" spans="1:9" x14ac:dyDescent="0.35">
      <c r="A12170" t="s">
        <v>219</v>
      </c>
      <c r="B12170" t="s">
        <v>305</v>
      </c>
      <c r="C12170" t="s">
        <v>1424</v>
      </c>
      <c r="D12170" t="s">
        <v>1425</v>
      </c>
      <c r="E12170" t="s">
        <v>1426</v>
      </c>
      <c r="F12170" t="s">
        <v>1427</v>
      </c>
      <c r="G12170" t="s">
        <v>281</v>
      </c>
      <c r="H12170" t="s">
        <v>286</v>
      </c>
      <c r="I12170" t="s">
        <v>226</v>
      </c>
    </row>
    <row r="12171" spans="1:9" x14ac:dyDescent="0.35">
      <c r="A12171" s="27" t="s">
        <v>227</v>
      </c>
      <c r="B12171" s="27" t="s">
        <v>263</v>
      </c>
      <c r="C12171" s="28">
        <v>1</v>
      </c>
      <c r="D12171" s="29"/>
      <c r="E12171" s="29"/>
      <c r="F12171" s="29"/>
      <c r="G12171" s="29"/>
      <c r="H12171" s="29"/>
      <c r="I12171" s="29" t="s">
        <v>315</v>
      </c>
    </row>
    <row r="12172" spans="1:9" x14ac:dyDescent="0.35">
      <c r="A12172" t="s">
        <v>227</v>
      </c>
      <c r="B12172" t="s">
        <v>261</v>
      </c>
      <c r="C12172" s="26">
        <v>0.54549999999999998</v>
      </c>
      <c r="D12172" s="26">
        <v>0.21210000000000001</v>
      </c>
      <c r="E12172" s="26">
        <v>9.0899999999999995E-2</v>
      </c>
      <c r="F12172" s="26">
        <v>0.1515</v>
      </c>
      <c r="I12172">
        <v>33</v>
      </c>
    </row>
    <row r="12173" spans="1:9" x14ac:dyDescent="0.35">
      <c r="A12173" s="27" t="s">
        <v>227</v>
      </c>
      <c r="B12173" s="27" t="s">
        <v>262</v>
      </c>
      <c r="C12173" s="28">
        <v>1</v>
      </c>
      <c r="D12173" s="29"/>
      <c r="E12173" s="29"/>
      <c r="F12173" s="29"/>
      <c r="G12173" s="29"/>
      <c r="H12173" s="29"/>
      <c r="I12173" s="29" t="s">
        <v>315</v>
      </c>
    </row>
    <row r="12174" spans="1:9" x14ac:dyDescent="0.35">
      <c r="A12174" t="s">
        <v>227</v>
      </c>
      <c r="B12174" t="s">
        <v>260</v>
      </c>
      <c r="C12174" s="26">
        <v>0.92620000000000002</v>
      </c>
      <c r="D12174" s="26">
        <v>2.46E-2</v>
      </c>
      <c r="E12174" s="26">
        <v>4.1000000000000002E-2</v>
      </c>
      <c r="F12174" s="26">
        <v>8.2000000000000007E-3</v>
      </c>
      <c r="I12174">
        <v>122</v>
      </c>
    </row>
    <row r="12175" spans="1:9" x14ac:dyDescent="0.35">
      <c r="A12175" t="s">
        <v>228</v>
      </c>
      <c r="B12175" t="s">
        <v>261</v>
      </c>
      <c r="C12175" s="26">
        <v>0.40389999999999998</v>
      </c>
      <c r="D12175" s="26">
        <v>0.35</v>
      </c>
      <c r="E12175" s="26">
        <v>9.0200000000000002E-2</v>
      </c>
      <c r="F12175" s="26">
        <v>0.1193</v>
      </c>
      <c r="G12175" s="26">
        <v>1.95E-2</v>
      </c>
      <c r="H12175" s="26">
        <v>1.7100000000000001E-2</v>
      </c>
      <c r="I12175">
        <v>192</v>
      </c>
    </row>
    <row r="12176" spans="1:9" x14ac:dyDescent="0.35">
      <c r="A12176" s="27" t="s">
        <v>228</v>
      </c>
      <c r="B12176" s="27" t="s">
        <v>263</v>
      </c>
      <c r="C12176" s="28">
        <v>0.76629999999999998</v>
      </c>
      <c r="D12176" s="28">
        <v>0.1197</v>
      </c>
      <c r="E12176" s="28">
        <v>6.25E-2</v>
      </c>
      <c r="F12176" s="28">
        <v>2.2100000000000002E-2</v>
      </c>
      <c r="G12176" s="28">
        <v>2.93E-2</v>
      </c>
      <c r="H12176" s="29"/>
      <c r="I12176" s="29" t="s">
        <v>312</v>
      </c>
    </row>
    <row r="12177" spans="1:9" x14ac:dyDescent="0.35">
      <c r="A12177" s="27" t="s">
        <v>228</v>
      </c>
      <c r="B12177" s="27" t="s">
        <v>236</v>
      </c>
      <c r="C12177" s="28">
        <v>0.2268</v>
      </c>
      <c r="D12177" s="28">
        <v>0.10539999999999999</v>
      </c>
      <c r="E12177" s="28">
        <v>0.13370000000000001</v>
      </c>
      <c r="F12177" s="28">
        <v>0.53400000000000003</v>
      </c>
      <c r="G12177" s="29"/>
      <c r="H12177" s="29"/>
      <c r="I12177" s="29" t="s">
        <v>335</v>
      </c>
    </row>
    <row r="12178" spans="1:9" x14ac:dyDescent="0.35">
      <c r="A12178" t="s">
        <v>228</v>
      </c>
      <c r="B12178" t="s">
        <v>262</v>
      </c>
      <c r="C12178" s="26">
        <v>0.5827</v>
      </c>
      <c r="D12178" s="26">
        <v>0.1893</v>
      </c>
      <c r="E12178" s="26">
        <v>0.1106</v>
      </c>
      <c r="F12178" s="26">
        <v>0.1023</v>
      </c>
      <c r="G12178" s="26">
        <v>1.18E-2</v>
      </c>
      <c r="H12178" s="26">
        <v>3.3E-3</v>
      </c>
      <c r="I12178">
        <v>201</v>
      </c>
    </row>
    <row r="12179" spans="1:9" x14ac:dyDescent="0.35">
      <c r="A12179" t="s">
        <v>228</v>
      </c>
      <c r="B12179" t="s">
        <v>260</v>
      </c>
      <c r="C12179" s="26">
        <v>0.7319</v>
      </c>
      <c r="D12179" s="26">
        <v>0.13969999999999999</v>
      </c>
      <c r="E12179" s="26">
        <v>5.9799999999999999E-2</v>
      </c>
      <c r="F12179" s="26">
        <v>5.4800000000000001E-2</v>
      </c>
      <c r="G12179" s="26">
        <v>1.2800000000000001E-2</v>
      </c>
      <c r="H12179" s="26">
        <v>8.9999999999999998E-4</v>
      </c>
      <c r="I12179">
        <v>609</v>
      </c>
    </row>
    <row r="12180" spans="1:9" x14ac:dyDescent="0.35">
      <c r="A12180" s="27" t="s">
        <v>229</v>
      </c>
      <c r="B12180" s="27" t="s">
        <v>263</v>
      </c>
      <c r="C12180" s="28">
        <v>0.65390000000000004</v>
      </c>
      <c r="D12180" s="28">
        <v>0.19040000000000001</v>
      </c>
      <c r="E12180" s="29"/>
      <c r="F12180" s="28">
        <v>0.15570000000000001</v>
      </c>
      <c r="G12180" s="29"/>
      <c r="H12180" s="29"/>
      <c r="I12180" s="29" t="s">
        <v>379</v>
      </c>
    </row>
    <row r="12181" spans="1:9" x14ac:dyDescent="0.35">
      <c r="A12181" t="s">
        <v>229</v>
      </c>
      <c r="B12181" t="s">
        <v>262</v>
      </c>
      <c r="C12181" s="26">
        <v>0.73319999999999996</v>
      </c>
      <c r="D12181" s="26">
        <v>9.1499999999999998E-2</v>
      </c>
      <c r="E12181" s="26">
        <v>0.124</v>
      </c>
      <c r="F12181" s="26">
        <v>3.9399999999999998E-2</v>
      </c>
      <c r="H12181" s="26">
        <v>1.1900000000000001E-2</v>
      </c>
      <c r="I12181">
        <v>188</v>
      </c>
    </row>
    <row r="12182" spans="1:9" x14ac:dyDescent="0.35">
      <c r="A12182" t="s">
        <v>229</v>
      </c>
      <c r="B12182" t="s">
        <v>261</v>
      </c>
      <c r="C12182" s="26">
        <v>0.47210000000000002</v>
      </c>
      <c r="D12182" s="26">
        <v>0.28720000000000001</v>
      </c>
      <c r="E12182" s="26">
        <v>9.3700000000000006E-2</v>
      </c>
      <c r="F12182" s="26">
        <v>0.1469</v>
      </c>
      <c r="I12182">
        <v>96</v>
      </c>
    </row>
    <row r="12183" spans="1:9" x14ac:dyDescent="0.35">
      <c r="A12183" s="27" t="s">
        <v>229</v>
      </c>
      <c r="B12183" s="27" t="s">
        <v>236</v>
      </c>
      <c r="C12183" s="29"/>
      <c r="D12183" s="29"/>
      <c r="E12183" s="29"/>
      <c r="F12183" s="28">
        <v>1</v>
      </c>
      <c r="G12183" s="29"/>
      <c r="H12183" s="29"/>
      <c r="I12183" s="29" t="s">
        <v>331</v>
      </c>
    </row>
    <row r="12184" spans="1:9" x14ac:dyDescent="0.35">
      <c r="A12184" t="s">
        <v>229</v>
      </c>
      <c r="B12184" t="s">
        <v>260</v>
      </c>
      <c r="C12184" s="26">
        <v>0.86399999999999999</v>
      </c>
      <c r="D12184" s="26">
        <v>6.6000000000000003E-2</v>
      </c>
      <c r="E12184" s="26">
        <v>3.61E-2</v>
      </c>
      <c r="F12184" s="26">
        <v>2.1999999999999999E-2</v>
      </c>
      <c r="G12184" s="26">
        <v>1.1900000000000001E-2</v>
      </c>
      <c r="I12184">
        <v>596</v>
      </c>
    </row>
    <row r="12185" spans="1:9" x14ac:dyDescent="0.35">
      <c r="A12185" s="27" t="s">
        <v>230</v>
      </c>
      <c r="B12185" s="27" t="s">
        <v>236</v>
      </c>
      <c r="C12185" s="28">
        <v>0.12189999999999999</v>
      </c>
      <c r="D12185" s="28">
        <v>0.15570000000000001</v>
      </c>
      <c r="E12185" s="29"/>
      <c r="F12185" s="29"/>
      <c r="G12185" s="28">
        <v>0.72240000000000004</v>
      </c>
      <c r="H12185" s="29"/>
      <c r="I12185" s="29" t="s">
        <v>337</v>
      </c>
    </row>
    <row r="12186" spans="1:9" x14ac:dyDescent="0.35">
      <c r="A12186" t="s">
        <v>230</v>
      </c>
      <c r="B12186" t="s">
        <v>262</v>
      </c>
      <c r="C12186" s="26">
        <v>0.81950000000000001</v>
      </c>
      <c r="D12186" s="26">
        <v>0.1003</v>
      </c>
      <c r="E12186" s="26">
        <v>3.9600000000000003E-2</v>
      </c>
      <c r="F12186" s="26">
        <v>3.4700000000000002E-2</v>
      </c>
      <c r="G12186" s="26">
        <v>5.8999999999999999E-3</v>
      </c>
      <c r="I12186">
        <v>122</v>
      </c>
    </row>
    <row r="12187" spans="1:9" x14ac:dyDescent="0.35">
      <c r="A12187" t="s">
        <v>230</v>
      </c>
      <c r="B12187" t="s">
        <v>261</v>
      </c>
      <c r="C12187" s="26">
        <v>0.76929999999999998</v>
      </c>
      <c r="D12187" s="26">
        <v>8.2799999999999999E-2</v>
      </c>
      <c r="E12187" s="26">
        <v>6.7000000000000002E-3</v>
      </c>
      <c r="F12187" s="26">
        <v>0.1009</v>
      </c>
      <c r="G12187" s="26">
        <v>4.0399999999999998E-2</v>
      </c>
      <c r="I12187">
        <v>57</v>
      </c>
    </row>
    <row r="12188" spans="1:9" x14ac:dyDescent="0.35">
      <c r="A12188" s="27" t="s">
        <v>230</v>
      </c>
      <c r="B12188" s="27" t="s">
        <v>263</v>
      </c>
      <c r="C12188" s="28">
        <v>0.36559999999999998</v>
      </c>
      <c r="D12188" s="28">
        <v>0.47399999999999998</v>
      </c>
      <c r="E12188" s="28">
        <v>0.14369999999999999</v>
      </c>
      <c r="F12188" s="28">
        <v>1.6799999999999999E-2</v>
      </c>
      <c r="G12188" s="29"/>
      <c r="H12188" s="29"/>
      <c r="I12188" s="29" t="s">
        <v>312</v>
      </c>
    </row>
    <row r="12189" spans="1:9" x14ac:dyDescent="0.35">
      <c r="A12189" t="s">
        <v>230</v>
      </c>
      <c r="B12189" t="s">
        <v>260</v>
      </c>
      <c r="C12189" s="26">
        <v>0.85460000000000003</v>
      </c>
      <c r="D12189" s="26">
        <v>6.5299999999999997E-2</v>
      </c>
      <c r="E12189" s="26">
        <v>6.6299999999999998E-2</v>
      </c>
      <c r="F12189" s="26">
        <v>1.21E-2</v>
      </c>
      <c r="G12189" s="26">
        <v>1.6999999999999999E-3</v>
      </c>
      <c r="I12189">
        <v>352</v>
      </c>
    </row>
    <row r="12190" spans="1:9" x14ac:dyDescent="0.35">
      <c r="A12190" s="27" t="s">
        <v>231</v>
      </c>
      <c r="B12190" s="27" t="s">
        <v>263</v>
      </c>
      <c r="C12190" s="28">
        <v>1</v>
      </c>
      <c r="D12190" s="29"/>
      <c r="E12190" s="29"/>
      <c r="F12190" s="29"/>
      <c r="G12190" s="29"/>
      <c r="H12190" s="29"/>
      <c r="I12190" s="29" t="s">
        <v>314</v>
      </c>
    </row>
    <row r="12191" spans="1:9" x14ac:dyDescent="0.35">
      <c r="A12191" t="s">
        <v>231</v>
      </c>
      <c r="B12191" t="s">
        <v>260</v>
      </c>
      <c r="C12191" s="26">
        <v>0.9274</v>
      </c>
      <c r="D12191" s="26">
        <v>4.0300000000000002E-2</v>
      </c>
      <c r="E12191" s="26">
        <v>1.61E-2</v>
      </c>
      <c r="F12191" s="26">
        <v>8.0999999999999996E-3</v>
      </c>
      <c r="G12191" s="26">
        <v>8.0999999999999996E-3</v>
      </c>
      <c r="I12191">
        <v>124</v>
      </c>
    </row>
    <row r="12192" spans="1:9" x14ac:dyDescent="0.35">
      <c r="A12192" s="27" t="s">
        <v>231</v>
      </c>
      <c r="B12192" s="27" t="s">
        <v>261</v>
      </c>
      <c r="C12192" s="28">
        <v>0.62960000000000005</v>
      </c>
      <c r="D12192" s="28">
        <v>0.1111</v>
      </c>
      <c r="E12192" s="28">
        <v>3.6999999999999998E-2</v>
      </c>
      <c r="F12192" s="28">
        <v>0.22220000000000001</v>
      </c>
      <c r="G12192" s="29"/>
      <c r="H12192" s="29"/>
      <c r="I12192" s="29" t="s">
        <v>338</v>
      </c>
    </row>
    <row r="12193" spans="1:9" x14ac:dyDescent="0.35">
      <c r="A12193" s="27" t="s">
        <v>231</v>
      </c>
      <c r="B12193" s="27" t="s">
        <v>262</v>
      </c>
      <c r="C12193" s="28">
        <v>0.90910000000000002</v>
      </c>
      <c r="D12193" s="29"/>
      <c r="E12193" s="29"/>
      <c r="F12193" s="28">
        <v>9.0899999999999995E-2</v>
      </c>
      <c r="G12193" s="29"/>
      <c r="H12193" s="29"/>
      <c r="I12193" s="29" t="s">
        <v>352</v>
      </c>
    </row>
    <row r="12194" spans="1:9" x14ac:dyDescent="0.35">
      <c r="A12194" t="s">
        <v>232</v>
      </c>
      <c r="B12194" t="s">
        <v>232</v>
      </c>
      <c r="C12194" s="26">
        <v>0.79069999999999996</v>
      </c>
      <c r="D12194" s="26">
        <v>9.7799999999999998E-2</v>
      </c>
      <c r="E12194" s="26">
        <v>5.1799999999999999E-2</v>
      </c>
      <c r="F12194" s="26">
        <v>5.04E-2</v>
      </c>
      <c r="G12194" s="26">
        <v>7.4999999999999997E-3</v>
      </c>
      <c r="H12194" s="26">
        <v>1.8E-3</v>
      </c>
      <c r="I12194">
        <v>2813</v>
      </c>
    </row>
    <row r="12196" spans="1:9" x14ac:dyDescent="0.35">
      <c r="A12196" s="1" t="s">
        <v>1451</v>
      </c>
    </row>
    <row r="12197" spans="1:9" x14ac:dyDescent="0.35">
      <c r="A12197" t="s">
        <v>219</v>
      </c>
      <c r="B12197" t="s">
        <v>305</v>
      </c>
      <c r="C12197" t="s">
        <v>1424</v>
      </c>
      <c r="D12197" t="s">
        <v>1425</v>
      </c>
      <c r="E12197" t="s">
        <v>1426</v>
      </c>
      <c r="F12197" t="s">
        <v>1427</v>
      </c>
      <c r="G12197" t="s">
        <v>281</v>
      </c>
      <c r="H12197" t="s">
        <v>286</v>
      </c>
      <c r="I12197" t="s">
        <v>226</v>
      </c>
    </row>
    <row r="12198" spans="1:9" x14ac:dyDescent="0.35">
      <c r="A12198" t="s">
        <v>227</v>
      </c>
      <c r="B12198" t="s">
        <v>368</v>
      </c>
      <c r="C12198" s="26">
        <v>0.54549999999999998</v>
      </c>
      <c r="D12198" s="26">
        <v>0.21210000000000001</v>
      </c>
      <c r="E12198" s="26">
        <v>9.0899999999999995E-2</v>
      </c>
      <c r="F12198" s="26">
        <v>0.1515</v>
      </c>
      <c r="I12198">
        <v>33</v>
      </c>
    </row>
    <row r="12199" spans="1:9" x14ac:dyDescent="0.35">
      <c r="A12199" t="s">
        <v>227</v>
      </c>
      <c r="B12199" t="s">
        <v>369</v>
      </c>
      <c r="C12199" s="26">
        <v>0.92969999999999997</v>
      </c>
      <c r="D12199" s="26">
        <v>2.3400000000000001E-2</v>
      </c>
      <c r="E12199" s="26">
        <v>3.9100000000000003E-2</v>
      </c>
      <c r="F12199" s="26">
        <v>7.7999999999999996E-3</v>
      </c>
      <c r="I12199">
        <v>128</v>
      </c>
    </row>
    <row r="12200" spans="1:9" x14ac:dyDescent="0.35">
      <c r="A12200" t="s">
        <v>228</v>
      </c>
      <c r="B12200" t="s">
        <v>368</v>
      </c>
      <c r="C12200" s="26">
        <v>0.40389999999999998</v>
      </c>
      <c r="D12200" s="26">
        <v>0.35</v>
      </c>
      <c r="E12200" s="26">
        <v>9.0200000000000002E-2</v>
      </c>
      <c r="F12200" s="26">
        <v>0.1193</v>
      </c>
      <c r="G12200" s="26">
        <v>1.95E-2</v>
      </c>
      <c r="H12200" s="26">
        <v>1.7100000000000001E-2</v>
      </c>
      <c r="I12200">
        <v>192</v>
      </c>
    </row>
    <row r="12201" spans="1:9" x14ac:dyDescent="0.35">
      <c r="A12201" t="s">
        <v>228</v>
      </c>
      <c r="B12201" t="s">
        <v>369</v>
      </c>
      <c r="C12201" s="26">
        <v>0.69810000000000005</v>
      </c>
      <c r="D12201" s="26">
        <v>0.1492</v>
      </c>
      <c r="E12201" s="26">
        <v>7.0900000000000005E-2</v>
      </c>
      <c r="F12201" s="26">
        <v>6.7599999999999993E-2</v>
      </c>
      <c r="G12201" s="26">
        <v>1.2800000000000001E-2</v>
      </c>
      <c r="H12201" s="26">
        <v>1.4E-3</v>
      </c>
      <c r="I12201">
        <v>841</v>
      </c>
    </row>
    <row r="12202" spans="1:9" x14ac:dyDescent="0.35">
      <c r="A12202" t="s">
        <v>229</v>
      </c>
      <c r="B12202" t="s">
        <v>368</v>
      </c>
      <c r="C12202" s="26">
        <v>0.47210000000000002</v>
      </c>
      <c r="D12202" s="26">
        <v>0.28720000000000001</v>
      </c>
      <c r="E12202" s="26">
        <v>9.3700000000000006E-2</v>
      </c>
      <c r="F12202" s="26">
        <v>0.1469</v>
      </c>
      <c r="I12202">
        <v>96</v>
      </c>
    </row>
    <row r="12203" spans="1:9" x14ac:dyDescent="0.35">
      <c r="A12203" t="s">
        <v>229</v>
      </c>
      <c r="B12203" t="s">
        <v>369</v>
      </c>
      <c r="C12203" s="26">
        <v>0.81620000000000004</v>
      </c>
      <c r="D12203" s="26">
        <v>7.7100000000000002E-2</v>
      </c>
      <c r="E12203" s="26">
        <v>6.4100000000000004E-2</v>
      </c>
      <c r="F12203" s="26">
        <v>3.09E-2</v>
      </c>
      <c r="G12203" s="26">
        <v>7.7000000000000002E-3</v>
      </c>
      <c r="H12203" s="26">
        <v>3.8999999999999998E-3</v>
      </c>
      <c r="I12203">
        <v>799</v>
      </c>
    </row>
    <row r="12204" spans="1:9" x14ac:dyDescent="0.35">
      <c r="A12204" t="s">
        <v>230</v>
      </c>
      <c r="B12204" t="s">
        <v>368</v>
      </c>
      <c r="C12204" s="26">
        <v>0.76929999999999998</v>
      </c>
      <c r="D12204" s="26">
        <v>8.2799999999999999E-2</v>
      </c>
      <c r="E12204" s="26">
        <v>6.7000000000000002E-3</v>
      </c>
      <c r="F12204" s="26">
        <v>0.1009</v>
      </c>
      <c r="G12204" s="26">
        <v>4.0399999999999998E-2</v>
      </c>
      <c r="I12204">
        <v>57</v>
      </c>
    </row>
    <row r="12205" spans="1:9" x14ac:dyDescent="0.35">
      <c r="A12205" t="s">
        <v>230</v>
      </c>
      <c r="B12205" t="s">
        <v>369</v>
      </c>
      <c r="C12205" s="26">
        <v>0.83299999999999996</v>
      </c>
      <c r="D12205" s="26">
        <v>7.9799999999999996E-2</v>
      </c>
      <c r="E12205" s="26">
        <v>6.2600000000000003E-2</v>
      </c>
      <c r="F12205" s="26">
        <v>1.6E-2</v>
      </c>
      <c r="G12205" s="26">
        <v>8.6E-3</v>
      </c>
      <c r="I12205">
        <v>503</v>
      </c>
    </row>
    <row r="12206" spans="1:9" x14ac:dyDescent="0.35">
      <c r="A12206" s="27" t="s">
        <v>231</v>
      </c>
      <c r="B12206" s="27" t="s">
        <v>368</v>
      </c>
      <c r="C12206" s="28">
        <v>0.62960000000000005</v>
      </c>
      <c r="D12206" s="28">
        <v>0.1111</v>
      </c>
      <c r="E12206" s="28">
        <v>3.6999999999999998E-2</v>
      </c>
      <c r="F12206" s="28">
        <v>0.22220000000000001</v>
      </c>
      <c r="G12206" s="29"/>
      <c r="H12206" s="29"/>
      <c r="I12206" s="29" t="s">
        <v>338</v>
      </c>
    </row>
    <row r="12207" spans="1:9" x14ac:dyDescent="0.35">
      <c r="A12207" t="s">
        <v>231</v>
      </c>
      <c r="B12207" t="s">
        <v>369</v>
      </c>
      <c r="C12207" s="26">
        <v>0.92700000000000005</v>
      </c>
      <c r="D12207" s="26">
        <v>3.6499999999999998E-2</v>
      </c>
      <c r="E12207" s="26">
        <v>1.46E-2</v>
      </c>
      <c r="F12207" s="26">
        <v>1.46E-2</v>
      </c>
      <c r="G12207" s="26">
        <v>7.3000000000000001E-3</v>
      </c>
      <c r="I12207">
        <v>137</v>
      </c>
    </row>
    <row r="12208" spans="1:9" x14ac:dyDescent="0.35">
      <c r="A12208" t="s">
        <v>232</v>
      </c>
      <c r="B12208" t="s">
        <v>232</v>
      </c>
      <c r="C12208" s="26">
        <v>0.79069999999999996</v>
      </c>
      <c r="D12208" s="26">
        <v>9.7799999999999998E-2</v>
      </c>
      <c r="E12208" s="26">
        <v>5.1799999999999999E-2</v>
      </c>
      <c r="F12208" s="26">
        <v>5.04E-2</v>
      </c>
      <c r="G12208" s="26">
        <v>7.4999999999999997E-3</v>
      </c>
      <c r="H12208" s="26">
        <v>1.8E-3</v>
      </c>
      <c r="I12208">
        <v>2813</v>
      </c>
    </row>
    <row r="12210" spans="1:9" x14ac:dyDescent="0.35">
      <c r="A12210" s="1" t="s">
        <v>1452</v>
      </c>
    </row>
    <row r="12211" spans="1:9" x14ac:dyDescent="0.35">
      <c r="A12211" t="s">
        <v>219</v>
      </c>
      <c r="B12211" t="s">
        <v>305</v>
      </c>
      <c r="C12211" t="s">
        <v>1424</v>
      </c>
      <c r="D12211" t="s">
        <v>1425</v>
      </c>
      <c r="E12211" t="s">
        <v>1426</v>
      </c>
      <c r="F12211" t="s">
        <v>1427</v>
      </c>
      <c r="G12211" t="s">
        <v>281</v>
      </c>
      <c r="H12211" t="s">
        <v>286</v>
      </c>
      <c r="I12211" t="s">
        <v>226</v>
      </c>
    </row>
    <row r="12212" spans="1:9" x14ac:dyDescent="0.35">
      <c r="A12212" t="s">
        <v>227</v>
      </c>
      <c r="B12212" t="s">
        <v>371</v>
      </c>
      <c r="C12212" s="26">
        <v>0.85089999999999999</v>
      </c>
      <c r="D12212" s="26">
        <v>6.2100000000000002E-2</v>
      </c>
      <c r="E12212" s="26">
        <v>4.9700000000000001E-2</v>
      </c>
      <c r="F12212" s="26">
        <v>3.73E-2</v>
      </c>
      <c r="I12212">
        <v>161</v>
      </c>
    </row>
    <row r="12213" spans="1:9" x14ac:dyDescent="0.35">
      <c r="A12213" t="s">
        <v>228</v>
      </c>
      <c r="B12213" t="s">
        <v>371</v>
      </c>
      <c r="C12213" s="26">
        <v>0.64510000000000001</v>
      </c>
      <c r="D12213" s="26">
        <v>0.1807</v>
      </c>
      <c r="E12213" s="26">
        <v>6.5500000000000003E-2</v>
      </c>
      <c r="F12213" s="26">
        <v>8.2500000000000004E-2</v>
      </c>
      <c r="G12213" s="26">
        <v>1.9800000000000002E-2</v>
      </c>
      <c r="H12213" s="26">
        <v>6.4000000000000003E-3</v>
      </c>
      <c r="I12213">
        <v>292</v>
      </c>
    </row>
    <row r="12214" spans="1:9" x14ac:dyDescent="0.35">
      <c r="A12214" t="s">
        <v>228</v>
      </c>
      <c r="B12214" t="s">
        <v>372</v>
      </c>
      <c r="C12214" s="26">
        <v>0.55969999999999998</v>
      </c>
      <c r="D12214" s="26">
        <v>0.28120000000000001</v>
      </c>
      <c r="E12214" s="26">
        <v>7.3899999999999993E-2</v>
      </c>
      <c r="F12214" s="26">
        <v>5.67E-2</v>
      </c>
      <c r="G12214" s="26">
        <v>1.5699999999999999E-2</v>
      </c>
      <c r="H12214" s="26">
        <v>1.29E-2</v>
      </c>
      <c r="I12214">
        <v>218</v>
      </c>
    </row>
    <row r="12215" spans="1:9" x14ac:dyDescent="0.35">
      <c r="A12215" t="s">
        <v>228</v>
      </c>
      <c r="B12215" t="s">
        <v>373</v>
      </c>
      <c r="C12215" s="26">
        <v>0.65269999999999995</v>
      </c>
      <c r="D12215" s="26">
        <v>0.17829999999999999</v>
      </c>
      <c r="E12215" s="26">
        <v>8.7099999999999997E-2</v>
      </c>
      <c r="F12215" s="26">
        <v>7.5700000000000003E-2</v>
      </c>
      <c r="G12215" s="26">
        <v>6.3E-3</v>
      </c>
      <c r="I12215">
        <v>523</v>
      </c>
    </row>
    <row r="12216" spans="1:9" x14ac:dyDescent="0.35">
      <c r="A12216" t="s">
        <v>229</v>
      </c>
      <c r="B12216" t="s">
        <v>371</v>
      </c>
      <c r="C12216" s="26">
        <v>0.77959999999999996</v>
      </c>
      <c r="D12216" s="26">
        <v>0.1036</v>
      </c>
      <c r="E12216" s="26">
        <v>6.4399999999999999E-2</v>
      </c>
      <c r="F12216" s="26">
        <v>4.2900000000000001E-2</v>
      </c>
      <c r="G12216" s="26">
        <v>6.3E-3</v>
      </c>
      <c r="H12216" s="26">
        <v>3.2000000000000002E-3</v>
      </c>
      <c r="I12216">
        <v>584</v>
      </c>
    </row>
    <row r="12217" spans="1:9" x14ac:dyDescent="0.35">
      <c r="A12217" t="s">
        <v>229</v>
      </c>
      <c r="B12217" t="s">
        <v>372</v>
      </c>
      <c r="C12217" s="26">
        <v>0.57520000000000004</v>
      </c>
      <c r="D12217" s="26">
        <v>0.19220000000000001</v>
      </c>
      <c r="E12217" s="26">
        <v>0.114</v>
      </c>
      <c r="F12217" s="26">
        <v>0.10539999999999999</v>
      </c>
      <c r="G12217" s="26">
        <v>6.6E-3</v>
      </c>
      <c r="H12217" s="26">
        <v>6.6E-3</v>
      </c>
      <c r="I12217">
        <v>221</v>
      </c>
    </row>
    <row r="12218" spans="1:9" x14ac:dyDescent="0.35">
      <c r="A12218" t="s">
        <v>229</v>
      </c>
      <c r="B12218" t="s">
        <v>373</v>
      </c>
      <c r="C12218" s="26">
        <v>0.61919999999999997</v>
      </c>
      <c r="D12218" s="26">
        <v>0.1148</v>
      </c>
      <c r="E12218" s="26">
        <v>0.1268</v>
      </c>
      <c r="F12218" s="26">
        <v>0.12330000000000001</v>
      </c>
      <c r="G12218" s="26">
        <v>1.5900000000000001E-2</v>
      </c>
      <c r="I12218">
        <v>90</v>
      </c>
    </row>
    <row r="12219" spans="1:9" x14ac:dyDescent="0.35">
      <c r="A12219" t="s">
        <v>230</v>
      </c>
      <c r="B12219" t="s">
        <v>371</v>
      </c>
      <c r="C12219" s="26">
        <v>0.83660000000000001</v>
      </c>
      <c r="D12219" s="26">
        <v>7.2800000000000004E-2</v>
      </c>
      <c r="E12219" s="26">
        <v>5.4199999999999998E-2</v>
      </c>
      <c r="F12219" s="26">
        <v>2.2100000000000002E-2</v>
      </c>
      <c r="G12219" s="26">
        <v>1.43E-2</v>
      </c>
      <c r="I12219">
        <v>262</v>
      </c>
    </row>
    <row r="12220" spans="1:9" x14ac:dyDescent="0.35">
      <c r="A12220" t="s">
        <v>230</v>
      </c>
      <c r="B12220" t="s">
        <v>372</v>
      </c>
      <c r="C12220" s="26">
        <v>0.69110000000000005</v>
      </c>
      <c r="D12220" s="26">
        <v>0.1527</v>
      </c>
      <c r="E12220" s="26">
        <v>9.8199999999999996E-2</v>
      </c>
      <c r="F12220" s="26">
        <v>5.33E-2</v>
      </c>
      <c r="G12220" s="26">
        <v>4.7000000000000002E-3</v>
      </c>
      <c r="I12220">
        <v>146</v>
      </c>
    </row>
    <row r="12221" spans="1:9" x14ac:dyDescent="0.35">
      <c r="A12221" t="s">
        <v>230</v>
      </c>
      <c r="B12221" t="s">
        <v>373</v>
      </c>
      <c r="C12221" s="26">
        <v>0.80769999999999997</v>
      </c>
      <c r="D12221" s="26">
        <v>9.4899999999999998E-2</v>
      </c>
      <c r="E12221" s="26">
        <v>4.1700000000000001E-2</v>
      </c>
      <c r="F12221" s="26">
        <v>4.87E-2</v>
      </c>
      <c r="G12221" s="26">
        <v>7.0000000000000001E-3</v>
      </c>
      <c r="I12221">
        <v>152</v>
      </c>
    </row>
    <row r="12222" spans="1:9" x14ac:dyDescent="0.35">
      <c r="A12222" t="s">
        <v>231</v>
      </c>
      <c r="B12222" t="s">
        <v>371</v>
      </c>
      <c r="C12222" s="26">
        <v>0.878</v>
      </c>
      <c r="D12222" s="26">
        <v>4.8800000000000003E-2</v>
      </c>
      <c r="E12222" s="26">
        <v>1.83E-2</v>
      </c>
      <c r="F12222" s="26">
        <v>4.8800000000000003E-2</v>
      </c>
      <c r="G12222" s="26">
        <v>6.1000000000000004E-3</v>
      </c>
      <c r="I12222">
        <v>164</v>
      </c>
    </row>
    <row r="12223" spans="1:9" x14ac:dyDescent="0.35">
      <c r="A12223" t="s">
        <v>232</v>
      </c>
      <c r="B12223" t="s">
        <v>232</v>
      </c>
      <c r="C12223" s="26">
        <v>0.79069999999999996</v>
      </c>
      <c r="D12223" s="26">
        <v>9.7799999999999998E-2</v>
      </c>
      <c r="E12223" s="26">
        <v>5.1799999999999999E-2</v>
      </c>
      <c r="F12223" s="26">
        <v>5.04E-2</v>
      </c>
      <c r="G12223" s="26">
        <v>7.4999999999999997E-3</v>
      </c>
      <c r="H12223" s="26">
        <v>1.8E-3</v>
      </c>
      <c r="I12223">
        <v>2813</v>
      </c>
    </row>
    <row r="12225" spans="1:9" x14ac:dyDescent="0.35">
      <c r="A12225" s="1" t="s">
        <v>1453</v>
      </c>
    </row>
    <row r="12226" spans="1:9" x14ac:dyDescent="0.35">
      <c r="A12226" t="s">
        <v>219</v>
      </c>
      <c r="B12226" t="s">
        <v>305</v>
      </c>
      <c r="C12226" t="s">
        <v>1424</v>
      </c>
      <c r="D12226" t="s">
        <v>1425</v>
      </c>
      <c r="E12226" t="s">
        <v>1426</v>
      </c>
      <c r="F12226" t="s">
        <v>1427</v>
      </c>
      <c r="G12226" t="s">
        <v>281</v>
      </c>
      <c r="H12226" t="s">
        <v>286</v>
      </c>
      <c r="I12226" t="s">
        <v>226</v>
      </c>
    </row>
    <row r="12227" spans="1:9" x14ac:dyDescent="0.35">
      <c r="A12227" t="s">
        <v>227</v>
      </c>
      <c r="B12227" t="s">
        <v>255</v>
      </c>
      <c r="C12227" s="26">
        <v>0.87180000000000002</v>
      </c>
      <c r="D12227" s="26">
        <v>5.9799999999999999E-2</v>
      </c>
      <c r="E12227" s="26">
        <v>2.5600000000000001E-2</v>
      </c>
      <c r="F12227" s="26">
        <v>4.2700000000000002E-2</v>
      </c>
      <c r="I12227">
        <v>117</v>
      </c>
    </row>
    <row r="12228" spans="1:9" x14ac:dyDescent="0.35">
      <c r="A12228" s="27" t="s">
        <v>227</v>
      </c>
      <c r="B12228" s="27" t="s">
        <v>257</v>
      </c>
      <c r="C12228" s="28">
        <v>0.77780000000000005</v>
      </c>
      <c r="D12228" s="28">
        <v>0.1111</v>
      </c>
      <c r="E12228" s="28">
        <v>0.1111</v>
      </c>
      <c r="F12228" s="29"/>
      <c r="G12228" s="29"/>
      <c r="H12228" s="29"/>
      <c r="I12228" s="29" t="s">
        <v>334</v>
      </c>
    </row>
    <row r="12229" spans="1:9" x14ac:dyDescent="0.35">
      <c r="A12229" t="s">
        <v>227</v>
      </c>
      <c r="B12229" t="s">
        <v>256</v>
      </c>
      <c r="C12229" s="26">
        <v>0.8</v>
      </c>
      <c r="D12229" s="26">
        <v>5.7099999999999998E-2</v>
      </c>
      <c r="E12229" s="26">
        <v>0.1143</v>
      </c>
      <c r="F12229" s="26">
        <v>2.86E-2</v>
      </c>
      <c r="I12229">
        <v>35</v>
      </c>
    </row>
    <row r="12230" spans="1:9" x14ac:dyDescent="0.35">
      <c r="A12230" t="s">
        <v>228</v>
      </c>
      <c r="B12230" t="s">
        <v>257</v>
      </c>
      <c r="C12230" s="26">
        <v>0.49969999999999998</v>
      </c>
      <c r="D12230" s="26">
        <v>0.2165</v>
      </c>
      <c r="E12230" s="26">
        <v>0.1133</v>
      </c>
      <c r="F12230" s="26">
        <v>8.43E-2</v>
      </c>
      <c r="G12230" s="26">
        <v>8.6199999999999999E-2</v>
      </c>
      <c r="I12230">
        <v>49</v>
      </c>
    </row>
    <row r="12231" spans="1:9" x14ac:dyDescent="0.35">
      <c r="A12231" s="27" t="s">
        <v>228</v>
      </c>
      <c r="B12231" s="27" t="s">
        <v>258</v>
      </c>
      <c r="C12231" s="28">
        <v>0.90190000000000003</v>
      </c>
      <c r="D12231" s="29"/>
      <c r="E12231" s="28">
        <v>9.8100000000000007E-2</v>
      </c>
      <c r="F12231" s="29"/>
      <c r="G12231" s="29"/>
      <c r="H12231" s="29"/>
      <c r="I12231" s="29" t="s">
        <v>337</v>
      </c>
    </row>
    <row r="12232" spans="1:9" x14ac:dyDescent="0.35">
      <c r="A12232" t="s">
        <v>228</v>
      </c>
      <c r="B12232" t="s">
        <v>256</v>
      </c>
      <c r="C12232" s="26">
        <v>0.59960000000000002</v>
      </c>
      <c r="D12232" s="26">
        <v>0.20530000000000001</v>
      </c>
      <c r="E12232" s="26">
        <v>7.2499999999999995E-2</v>
      </c>
      <c r="F12232" s="26">
        <v>0.1079</v>
      </c>
      <c r="G12232" s="26">
        <v>1.4800000000000001E-2</v>
      </c>
      <c r="I12232">
        <v>221</v>
      </c>
    </row>
    <row r="12233" spans="1:9" x14ac:dyDescent="0.35">
      <c r="A12233" t="s">
        <v>228</v>
      </c>
      <c r="B12233" t="s">
        <v>255</v>
      </c>
      <c r="C12233" s="26">
        <v>0.66339999999999999</v>
      </c>
      <c r="D12233" s="26">
        <v>0.18190000000000001</v>
      </c>
      <c r="E12233" s="26">
        <v>7.2400000000000006E-2</v>
      </c>
      <c r="F12233" s="26">
        <v>6.7400000000000002E-2</v>
      </c>
      <c r="G12233" s="26">
        <v>8.6999999999999994E-3</v>
      </c>
      <c r="H12233" s="26">
        <v>6.3E-3</v>
      </c>
      <c r="I12233">
        <v>759</v>
      </c>
    </row>
    <row r="12234" spans="1:9" x14ac:dyDescent="0.35">
      <c r="A12234" t="s">
        <v>229</v>
      </c>
      <c r="B12234" t="s">
        <v>256</v>
      </c>
      <c r="C12234" s="26">
        <v>0.75800000000000001</v>
      </c>
      <c r="D12234" s="26">
        <v>0.1178</v>
      </c>
      <c r="E12234" s="26">
        <v>7.5800000000000006E-2</v>
      </c>
      <c r="F12234" s="26">
        <v>4.6899999999999997E-2</v>
      </c>
      <c r="G12234" s="26">
        <v>1.5E-3</v>
      </c>
      <c r="I12234">
        <v>207</v>
      </c>
    </row>
    <row r="12235" spans="1:9" x14ac:dyDescent="0.35">
      <c r="A12235" t="s">
        <v>229</v>
      </c>
      <c r="B12235" t="s">
        <v>255</v>
      </c>
      <c r="C12235" s="26">
        <v>0.76319999999999999</v>
      </c>
      <c r="D12235" s="26">
        <v>0.1104</v>
      </c>
      <c r="E12235" s="26">
        <v>6.0199999999999997E-2</v>
      </c>
      <c r="F12235" s="26">
        <v>5.21E-2</v>
      </c>
      <c r="G12235" s="26">
        <v>9.1999999999999998E-3</v>
      </c>
      <c r="H12235" s="26">
        <v>5.0000000000000001E-3</v>
      </c>
      <c r="I12235">
        <v>636</v>
      </c>
    </row>
    <row r="12236" spans="1:9" x14ac:dyDescent="0.35">
      <c r="A12236" t="s">
        <v>229</v>
      </c>
      <c r="B12236" t="s">
        <v>257</v>
      </c>
      <c r="C12236" s="26">
        <v>0.82430000000000003</v>
      </c>
      <c r="D12236" s="26">
        <v>3.56E-2</v>
      </c>
      <c r="E12236" s="26">
        <v>0.13400000000000001</v>
      </c>
      <c r="F12236" s="26">
        <v>6.1000000000000004E-3</v>
      </c>
      <c r="I12236">
        <v>50</v>
      </c>
    </row>
    <row r="12237" spans="1:9" x14ac:dyDescent="0.35">
      <c r="A12237" s="27" t="s">
        <v>229</v>
      </c>
      <c r="B12237" s="27" t="s">
        <v>258</v>
      </c>
      <c r="C12237" s="28">
        <v>0.77590000000000003</v>
      </c>
      <c r="D12237" s="29"/>
      <c r="E12237" s="28">
        <v>0.22409999999999999</v>
      </c>
      <c r="F12237" s="29"/>
      <c r="G12237" s="29"/>
      <c r="H12237" s="29"/>
      <c r="I12237" s="29" t="s">
        <v>314</v>
      </c>
    </row>
    <row r="12238" spans="1:9" x14ac:dyDescent="0.35">
      <c r="A12238" t="s">
        <v>230</v>
      </c>
      <c r="B12238" t="s">
        <v>256</v>
      </c>
      <c r="C12238" s="26">
        <v>0.82609999999999995</v>
      </c>
      <c r="D12238" s="26">
        <v>8.4500000000000006E-2</v>
      </c>
      <c r="E12238" s="26">
        <v>8.6199999999999999E-2</v>
      </c>
      <c r="F12238" s="26">
        <v>2.0999999999999999E-3</v>
      </c>
      <c r="G12238" s="26">
        <v>1.1000000000000001E-3</v>
      </c>
      <c r="I12238">
        <v>130</v>
      </c>
    </row>
    <row r="12239" spans="1:9" x14ac:dyDescent="0.35">
      <c r="A12239" t="s">
        <v>230</v>
      </c>
      <c r="B12239" t="s">
        <v>255</v>
      </c>
      <c r="C12239" s="26">
        <v>0.81789999999999996</v>
      </c>
      <c r="D12239" s="26">
        <v>8.2000000000000003E-2</v>
      </c>
      <c r="E12239" s="26">
        <v>4.3900000000000002E-2</v>
      </c>
      <c r="F12239" s="26">
        <v>3.7199999999999997E-2</v>
      </c>
      <c r="G12239" s="26">
        <v>1.89E-2</v>
      </c>
      <c r="I12239">
        <v>389</v>
      </c>
    </row>
    <row r="12240" spans="1:9" x14ac:dyDescent="0.35">
      <c r="A12240" t="s">
        <v>230</v>
      </c>
      <c r="B12240" t="s">
        <v>257</v>
      </c>
      <c r="C12240" s="26">
        <v>0.86480000000000001</v>
      </c>
      <c r="D12240" s="26">
        <v>5.4600000000000003E-2</v>
      </c>
      <c r="E12240" s="26">
        <v>5.1400000000000001E-2</v>
      </c>
      <c r="F12240" s="26">
        <v>2.92E-2</v>
      </c>
      <c r="I12240">
        <v>38</v>
      </c>
    </row>
    <row r="12241" spans="1:9" x14ac:dyDescent="0.35">
      <c r="A12241" s="27" t="s">
        <v>230</v>
      </c>
      <c r="B12241" s="27" t="s">
        <v>258</v>
      </c>
      <c r="C12241" s="28">
        <v>1</v>
      </c>
      <c r="D12241" s="29"/>
      <c r="E12241" s="29"/>
      <c r="F12241" s="29"/>
      <c r="G12241" s="29"/>
      <c r="H12241" s="29"/>
      <c r="I12241" s="29" t="s">
        <v>315</v>
      </c>
    </row>
    <row r="12242" spans="1:9" x14ac:dyDescent="0.35">
      <c r="A12242" s="27" t="s">
        <v>231</v>
      </c>
      <c r="B12242" s="27" t="s">
        <v>257</v>
      </c>
      <c r="C12242" s="28">
        <v>1</v>
      </c>
      <c r="D12242" s="29"/>
      <c r="E12242" s="29"/>
      <c r="F12242" s="29"/>
      <c r="G12242" s="29"/>
      <c r="H12242" s="29"/>
      <c r="I12242" s="29" t="s">
        <v>339</v>
      </c>
    </row>
    <row r="12243" spans="1:9" x14ac:dyDescent="0.35">
      <c r="A12243" t="s">
        <v>231</v>
      </c>
      <c r="B12243" t="s">
        <v>255</v>
      </c>
      <c r="C12243" s="26">
        <v>0.8992</v>
      </c>
      <c r="D12243" s="26">
        <v>3.8800000000000001E-2</v>
      </c>
      <c r="E12243" s="26">
        <v>7.7999999999999996E-3</v>
      </c>
      <c r="F12243" s="26">
        <v>4.65E-2</v>
      </c>
      <c r="G12243" s="26">
        <v>7.7999999999999996E-3</v>
      </c>
      <c r="I12243">
        <v>129</v>
      </c>
    </row>
    <row r="12244" spans="1:9" x14ac:dyDescent="0.35">
      <c r="A12244" s="27" t="s">
        <v>231</v>
      </c>
      <c r="B12244" s="27" t="s">
        <v>256</v>
      </c>
      <c r="C12244" s="28">
        <v>0.75</v>
      </c>
      <c r="D12244" s="28">
        <v>0.1071</v>
      </c>
      <c r="E12244" s="28">
        <v>7.1400000000000005E-2</v>
      </c>
      <c r="F12244" s="28">
        <v>7.1400000000000005E-2</v>
      </c>
      <c r="G12244" s="29"/>
      <c r="H12244" s="29"/>
      <c r="I12244" s="29" t="s">
        <v>336</v>
      </c>
    </row>
    <row r="12245" spans="1:9" x14ac:dyDescent="0.35">
      <c r="A12245" t="s">
        <v>232</v>
      </c>
      <c r="B12245" t="s">
        <v>232</v>
      </c>
      <c r="C12245" s="26">
        <v>0.79069999999999996</v>
      </c>
      <c r="D12245" s="26">
        <v>9.7799999999999998E-2</v>
      </c>
      <c r="E12245" s="26">
        <v>5.1799999999999999E-2</v>
      </c>
      <c r="F12245" s="26">
        <v>5.04E-2</v>
      </c>
      <c r="G12245" s="26">
        <v>7.4999999999999997E-3</v>
      </c>
      <c r="H12245" s="26">
        <v>1.8E-3</v>
      </c>
      <c r="I12245">
        <v>2813</v>
      </c>
    </row>
    <row r="12247" spans="1:9" x14ac:dyDescent="0.35">
      <c r="A12247" s="1" t="s">
        <v>1454</v>
      </c>
    </row>
    <row r="12248" spans="1:9" x14ac:dyDescent="0.35">
      <c r="A12248" t="s">
        <v>219</v>
      </c>
      <c r="B12248" t="s">
        <v>305</v>
      </c>
      <c r="C12248" t="s">
        <v>1424</v>
      </c>
      <c r="D12248" t="s">
        <v>1425</v>
      </c>
      <c r="E12248" t="s">
        <v>1426</v>
      </c>
      <c r="F12248" t="s">
        <v>1427</v>
      </c>
      <c r="G12248" t="s">
        <v>281</v>
      </c>
      <c r="H12248" t="s">
        <v>286</v>
      </c>
      <c r="I12248" t="s">
        <v>226</v>
      </c>
    </row>
    <row r="12249" spans="1:9" x14ac:dyDescent="0.35">
      <c r="A12249" t="s">
        <v>227</v>
      </c>
      <c r="B12249" t="s">
        <v>1341</v>
      </c>
      <c r="C12249" s="26">
        <v>0.8367</v>
      </c>
      <c r="D12249" s="26">
        <v>2.0400000000000001E-2</v>
      </c>
      <c r="E12249" s="26">
        <v>6.1199999999999997E-2</v>
      </c>
      <c r="F12249" s="26">
        <v>8.1600000000000006E-2</v>
      </c>
      <c r="I12249">
        <v>49</v>
      </c>
    </row>
    <row r="12250" spans="1:9" x14ac:dyDescent="0.35">
      <c r="A12250" s="27" t="s">
        <v>227</v>
      </c>
      <c r="B12250" s="27" t="s">
        <v>1342</v>
      </c>
      <c r="C12250" s="28">
        <v>1</v>
      </c>
      <c r="D12250" s="29"/>
      <c r="E12250" s="29"/>
      <c r="F12250" s="29"/>
      <c r="G12250" s="29"/>
      <c r="H12250" s="29"/>
      <c r="I12250" s="29" t="s">
        <v>331</v>
      </c>
    </row>
    <row r="12251" spans="1:9" x14ac:dyDescent="0.35">
      <c r="A12251" t="s">
        <v>227</v>
      </c>
      <c r="B12251" t="s">
        <v>1343</v>
      </c>
      <c r="C12251" s="26">
        <v>0.85589999999999999</v>
      </c>
      <c r="D12251" s="26">
        <v>8.1100000000000005E-2</v>
      </c>
      <c r="E12251" s="26">
        <v>4.4999999999999998E-2</v>
      </c>
      <c r="F12251" s="26">
        <v>1.7999999999999999E-2</v>
      </c>
      <c r="I12251">
        <v>111</v>
      </c>
    </row>
    <row r="12252" spans="1:9" x14ac:dyDescent="0.35">
      <c r="A12252" t="s">
        <v>228</v>
      </c>
      <c r="B12252" t="s">
        <v>1341</v>
      </c>
      <c r="C12252" s="26">
        <v>0.64749999999999996</v>
      </c>
      <c r="D12252" s="26">
        <v>0.1777</v>
      </c>
      <c r="E12252" s="26">
        <v>5.0099999999999999E-2</v>
      </c>
      <c r="F12252" s="26">
        <v>0.11600000000000001</v>
      </c>
      <c r="G12252" s="26">
        <v>6.7999999999999996E-3</v>
      </c>
      <c r="H12252" s="26">
        <v>1.9E-3</v>
      </c>
      <c r="I12252">
        <v>305</v>
      </c>
    </row>
    <row r="12253" spans="1:9" x14ac:dyDescent="0.35">
      <c r="A12253" s="27" t="s">
        <v>228</v>
      </c>
      <c r="B12253" s="27" t="s">
        <v>1342</v>
      </c>
      <c r="C12253" s="29"/>
      <c r="D12253" s="29"/>
      <c r="E12253" s="28">
        <v>1</v>
      </c>
      <c r="F12253" s="29"/>
      <c r="G12253" s="29"/>
      <c r="H12253" s="29"/>
      <c r="I12253" s="29" t="s">
        <v>331</v>
      </c>
    </row>
    <row r="12254" spans="1:9" x14ac:dyDescent="0.35">
      <c r="A12254" t="s">
        <v>228</v>
      </c>
      <c r="B12254" t="s">
        <v>1343</v>
      </c>
      <c r="C12254" s="26">
        <v>0.64100000000000001</v>
      </c>
      <c r="D12254" s="26">
        <v>0.19359999999999999</v>
      </c>
      <c r="E12254" s="26">
        <v>8.0500000000000002E-2</v>
      </c>
      <c r="F12254" s="26">
        <v>6.2100000000000002E-2</v>
      </c>
      <c r="G12254" s="26">
        <v>1.7299999999999999E-2</v>
      </c>
      <c r="H12254" s="26">
        <v>5.4999999999999997E-3</v>
      </c>
      <c r="I12254">
        <v>727</v>
      </c>
    </row>
    <row r="12255" spans="1:9" x14ac:dyDescent="0.35">
      <c r="A12255" t="s">
        <v>229</v>
      </c>
      <c r="B12255" t="s">
        <v>1341</v>
      </c>
      <c r="C12255" s="26">
        <v>0.80559999999999998</v>
      </c>
      <c r="D12255" s="26">
        <v>7.0000000000000007E-2</v>
      </c>
      <c r="E12255" s="26">
        <v>7.3899999999999993E-2</v>
      </c>
      <c r="F12255" s="26">
        <v>4.8099999999999997E-2</v>
      </c>
      <c r="G12255" s="26">
        <v>2.3E-3</v>
      </c>
      <c r="I12255">
        <v>273</v>
      </c>
    </row>
    <row r="12256" spans="1:9" x14ac:dyDescent="0.35">
      <c r="A12256" t="s">
        <v>229</v>
      </c>
      <c r="B12256" t="s">
        <v>1343</v>
      </c>
      <c r="C12256" s="26">
        <v>0.74529999999999996</v>
      </c>
      <c r="D12256" s="26">
        <v>0.127</v>
      </c>
      <c r="E12256" s="26">
        <v>6.59E-2</v>
      </c>
      <c r="F12256" s="26">
        <v>4.8099999999999997E-2</v>
      </c>
      <c r="G12256" s="26">
        <v>8.6999999999999994E-3</v>
      </c>
      <c r="H12256" s="26">
        <v>4.8999999999999998E-3</v>
      </c>
      <c r="I12256">
        <v>622</v>
      </c>
    </row>
    <row r="12257" spans="1:9" x14ac:dyDescent="0.35">
      <c r="A12257" t="s">
        <v>230</v>
      </c>
      <c r="B12257" t="s">
        <v>1341</v>
      </c>
      <c r="C12257" s="26">
        <v>0.87470000000000003</v>
      </c>
      <c r="D12257" s="26">
        <v>2.86E-2</v>
      </c>
      <c r="E12257" s="26">
        <v>0.06</v>
      </c>
      <c r="F12257" s="26">
        <v>3.3700000000000001E-2</v>
      </c>
      <c r="G12257" s="26">
        <v>3.0000000000000001E-3</v>
      </c>
      <c r="I12257">
        <v>156</v>
      </c>
    </row>
    <row r="12258" spans="1:9" x14ac:dyDescent="0.35">
      <c r="A12258" t="s">
        <v>230</v>
      </c>
      <c r="B12258" t="s">
        <v>1343</v>
      </c>
      <c r="C12258" s="26">
        <v>0.80220000000000002</v>
      </c>
      <c r="D12258" s="26">
        <v>0.1032</v>
      </c>
      <c r="E12258" s="26">
        <v>5.2999999999999999E-2</v>
      </c>
      <c r="F12258" s="26">
        <v>2.4400000000000002E-2</v>
      </c>
      <c r="G12258" s="26">
        <v>1.72E-2</v>
      </c>
      <c r="I12258">
        <v>404</v>
      </c>
    </row>
    <row r="12259" spans="1:9" x14ac:dyDescent="0.35">
      <c r="A12259" t="s">
        <v>231</v>
      </c>
      <c r="B12259" t="s">
        <v>1341</v>
      </c>
      <c r="C12259" s="26">
        <v>0.86150000000000004</v>
      </c>
      <c r="D12259" s="26">
        <v>6.1499999999999999E-2</v>
      </c>
      <c r="E12259" s="26">
        <v>1.54E-2</v>
      </c>
      <c r="F12259" s="26">
        <v>4.6199999999999998E-2</v>
      </c>
      <c r="G12259" s="26">
        <v>1.54E-2</v>
      </c>
      <c r="I12259">
        <v>65</v>
      </c>
    </row>
    <row r="12260" spans="1:9" x14ac:dyDescent="0.35">
      <c r="A12260" t="s">
        <v>231</v>
      </c>
      <c r="B12260" t="s">
        <v>1343</v>
      </c>
      <c r="C12260" s="26">
        <v>0.88890000000000002</v>
      </c>
      <c r="D12260" s="26">
        <v>4.0399999999999998E-2</v>
      </c>
      <c r="E12260" s="26">
        <v>2.0199999999999999E-2</v>
      </c>
      <c r="F12260" s="26">
        <v>5.0500000000000003E-2</v>
      </c>
      <c r="I12260">
        <v>99</v>
      </c>
    </row>
    <row r="12261" spans="1:9" x14ac:dyDescent="0.35">
      <c r="A12261" t="s">
        <v>232</v>
      </c>
      <c r="B12261" t="s">
        <v>232</v>
      </c>
      <c r="C12261" s="26">
        <v>0.79069999999999996</v>
      </c>
      <c r="D12261" s="26">
        <v>9.7799999999999998E-2</v>
      </c>
      <c r="E12261" s="26">
        <v>5.1799999999999999E-2</v>
      </c>
      <c r="F12261" s="26">
        <v>5.04E-2</v>
      </c>
      <c r="G12261" s="26">
        <v>7.4999999999999997E-3</v>
      </c>
      <c r="H12261" s="26">
        <v>1.8E-3</v>
      </c>
      <c r="I12261">
        <v>2813</v>
      </c>
    </row>
    <row r="12263" spans="1:9" x14ac:dyDescent="0.35">
      <c r="A12263" s="1" t="s">
        <v>1455</v>
      </c>
    </row>
    <row r="12264" spans="1:9" x14ac:dyDescent="0.35">
      <c r="A12264" t="s">
        <v>219</v>
      </c>
      <c r="B12264" t="s">
        <v>305</v>
      </c>
      <c r="C12264" t="s">
        <v>1424</v>
      </c>
      <c r="D12264" t="s">
        <v>1425</v>
      </c>
      <c r="E12264" t="s">
        <v>1426</v>
      </c>
      <c r="F12264" t="s">
        <v>1427</v>
      </c>
      <c r="G12264" t="s">
        <v>281</v>
      </c>
      <c r="H12264" t="s">
        <v>286</v>
      </c>
      <c r="I12264" t="s">
        <v>226</v>
      </c>
    </row>
    <row r="12265" spans="1:9" x14ac:dyDescent="0.35">
      <c r="A12265" s="27" t="s">
        <v>227</v>
      </c>
      <c r="B12265" s="27" t="s">
        <v>1345</v>
      </c>
      <c r="C12265" s="28">
        <v>1</v>
      </c>
      <c r="D12265" s="29"/>
      <c r="E12265" s="29"/>
      <c r="F12265" s="29"/>
      <c r="G12265" s="29"/>
      <c r="H12265" s="29"/>
      <c r="I12265" s="29" t="s">
        <v>314</v>
      </c>
    </row>
    <row r="12266" spans="1:9" x14ac:dyDescent="0.35">
      <c r="A12266" t="s">
        <v>227</v>
      </c>
      <c r="B12266" t="s">
        <v>1346</v>
      </c>
      <c r="C12266" s="26">
        <v>0.84619999999999995</v>
      </c>
      <c r="D12266" s="26">
        <v>7.6899999999999996E-2</v>
      </c>
      <c r="F12266" s="26">
        <v>7.6899999999999996E-2</v>
      </c>
      <c r="I12266">
        <v>39</v>
      </c>
    </row>
    <row r="12267" spans="1:9" x14ac:dyDescent="0.35">
      <c r="A12267" t="s">
        <v>227</v>
      </c>
      <c r="B12267" t="s">
        <v>1347</v>
      </c>
      <c r="C12267" s="26">
        <v>0.80559999999999998</v>
      </c>
      <c r="D12267" s="26">
        <v>8.3299999999999999E-2</v>
      </c>
      <c r="E12267" s="26">
        <v>0.1111</v>
      </c>
      <c r="I12267">
        <v>36</v>
      </c>
    </row>
    <row r="12268" spans="1:9" x14ac:dyDescent="0.35">
      <c r="A12268" t="s">
        <v>227</v>
      </c>
      <c r="B12268" t="s">
        <v>1348</v>
      </c>
      <c r="C12268" s="26">
        <v>0.86899999999999999</v>
      </c>
      <c r="D12268" s="26">
        <v>4.7600000000000003E-2</v>
      </c>
      <c r="E12268" s="26">
        <v>4.7600000000000003E-2</v>
      </c>
      <c r="F12268" s="26">
        <v>3.5700000000000003E-2</v>
      </c>
      <c r="I12268">
        <v>84</v>
      </c>
    </row>
    <row r="12269" spans="1:9" x14ac:dyDescent="0.35">
      <c r="A12269" t="s">
        <v>228</v>
      </c>
      <c r="B12269" t="s">
        <v>1348</v>
      </c>
      <c r="C12269" s="26">
        <v>0.61480000000000001</v>
      </c>
      <c r="D12269" s="26">
        <v>0.2107</v>
      </c>
      <c r="E12269" s="26">
        <v>9.3799999999999994E-2</v>
      </c>
      <c r="F12269" s="26">
        <v>7.3999999999999996E-2</v>
      </c>
      <c r="G12269" s="26">
        <v>4.5999999999999999E-3</v>
      </c>
      <c r="H12269" s="26">
        <v>2.0999999999999999E-3</v>
      </c>
      <c r="I12269">
        <v>532</v>
      </c>
    </row>
    <row r="12270" spans="1:9" x14ac:dyDescent="0.35">
      <c r="A12270" t="s">
        <v>228</v>
      </c>
      <c r="B12270" t="s">
        <v>1347</v>
      </c>
      <c r="C12270" s="26">
        <v>0.63249999999999995</v>
      </c>
      <c r="D12270" s="26">
        <v>0.16</v>
      </c>
      <c r="E12270" s="26">
        <v>7.3599999999999999E-2</v>
      </c>
      <c r="F12270" s="26">
        <v>9.8900000000000002E-2</v>
      </c>
      <c r="G12270" s="26">
        <v>3.5000000000000003E-2</v>
      </c>
      <c r="I12270">
        <v>204</v>
      </c>
    </row>
    <row r="12271" spans="1:9" x14ac:dyDescent="0.35">
      <c r="A12271" t="s">
        <v>228</v>
      </c>
      <c r="B12271" t="s">
        <v>1346</v>
      </c>
      <c r="C12271" s="26">
        <v>0.6865</v>
      </c>
      <c r="D12271" s="26">
        <v>0.17680000000000001</v>
      </c>
      <c r="E12271" s="26">
        <v>4.1200000000000001E-2</v>
      </c>
      <c r="F12271" s="26">
        <v>6.3200000000000006E-2</v>
      </c>
      <c r="G12271" s="26">
        <v>1.95E-2</v>
      </c>
      <c r="H12271" s="26">
        <v>1.2800000000000001E-2</v>
      </c>
      <c r="I12271">
        <v>286</v>
      </c>
    </row>
    <row r="12272" spans="1:9" x14ac:dyDescent="0.35">
      <c r="A12272" s="27" t="s">
        <v>228</v>
      </c>
      <c r="B12272" s="27" t="s">
        <v>1345</v>
      </c>
      <c r="C12272" s="28">
        <v>0.80020000000000002</v>
      </c>
      <c r="D12272" s="28">
        <v>2.5600000000000001E-2</v>
      </c>
      <c r="E12272" s="28">
        <v>1.9300000000000001E-2</v>
      </c>
      <c r="F12272" s="28">
        <v>0.155</v>
      </c>
      <c r="G12272" s="29"/>
      <c r="H12272" s="29"/>
      <c r="I12272" s="29" t="s">
        <v>352</v>
      </c>
    </row>
    <row r="12273" spans="1:10" x14ac:dyDescent="0.35">
      <c r="A12273" s="27" t="s">
        <v>229</v>
      </c>
      <c r="B12273" s="27" t="s">
        <v>1345</v>
      </c>
      <c r="C12273" s="28">
        <v>0.86409999999999998</v>
      </c>
      <c r="D12273" s="28">
        <v>0.1065</v>
      </c>
      <c r="E12273" s="28">
        <v>1.17E-2</v>
      </c>
      <c r="F12273" s="28">
        <v>1.77E-2</v>
      </c>
      <c r="G12273" s="29"/>
      <c r="H12273" s="29"/>
      <c r="I12273" s="29" t="s">
        <v>357</v>
      </c>
    </row>
    <row r="12274" spans="1:10" x14ac:dyDescent="0.35">
      <c r="A12274" t="s">
        <v>229</v>
      </c>
      <c r="B12274" t="s">
        <v>1346</v>
      </c>
      <c r="C12274" s="26">
        <v>0.75509999999999999</v>
      </c>
      <c r="D12274" s="26">
        <v>0.1323</v>
      </c>
      <c r="E12274" s="26">
        <v>5.1700000000000003E-2</v>
      </c>
      <c r="F12274" s="26">
        <v>5.9299999999999999E-2</v>
      </c>
      <c r="G12274" s="26">
        <v>1.6000000000000001E-3</v>
      </c>
      <c r="I12274">
        <v>184</v>
      </c>
    </row>
    <row r="12275" spans="1:10" x14ac:dyDescent="0.35">
      <c r="A12275" t="s">
        <v>229</v>
      </c>
      <c r="B12275" t="s">
        <v>1347</v>
      </c>
      <c r="C12275" s="26">
        <v>0.75160000000000005</v>
      </c>
      <c r="D12275" s="26">
        <v>9.5500000000000002E-2</v>
      </c>
      <c r="E12275" s="26">
        <v>9.5799999999999996E-2</v>
      </c>
      <c r="F12275" s="26">
        <v>4.58E-2</v>
      </c>
      <c r="G12275" s="26">
        <v>1.1000000000000001E-3</v>
      </c>
      <c r="H12275" s="26">
        <v>1.01E-2</v>
      </c>
      <c r="I12275">
        <v>302</v>
      </c>
    </row>
    <row r="12276" spans="1:10" x14ac:dyDescent="0.35">
      <c r="A12276" t="s">
        <v>229</v>
      </c>
      <c r="B12276" t="s">
        <v>1348</v>
      </c>
      <c r="C12276" s="26">
        <v>0.77210000000000001</v>
      </c>
      <c r="D12276" s="26">
        <v>0.10589999999999999</v>
      </c>
      <c r="E12276" s="26">
        <v>6.2199999999999998E-2</v>
      </c>
      <c r="F12276" s="26">
        <v>4.65E-2</v>
      </c>
      <c r="G12276" s="26">
        <v>1.2699999999999999E-2</v>
      </c>
      <c r="H12276" s="26">
        <v>6.9999999999999999E-4</v>
      </c>
      <c r="I12276">
        <v>383</v>
      </c>
    </row>
    <row r="12277" spans="1:10" x14ac:dyDescent="0.35">
      <c r="A12277" t="s">
        <v>230</v>
      </c>
      <c r="B12277" t="s">
        <v>1346</v>
      </c>
      <c r="C12277" s="26">
        <v>0.78769999999999996</v>
      </c>
      <c r="D12277" s="26">
        <v>8.1900000000000001E-2</v>
      </c>
      <c r="E12277" s="26">
        <v>9.4999999999999998E-3</v>
      </c>
      <c r="F12277" s="26">
        <v>6.6100000000000006E-2</v>
      </c>
      <c r="G12277" s="26">
        <v>5.4800000000000001E-2</v>
      </c>
      <c r="I12277">
        <v>140</v>
      </c>
    </row>
    <row r="12278" spans="1:10" x14ac:dyDescent="0.35">
      <c r="A12278" t="s">
        <v>230</v>
      </c>
      <c r="B12278" t="s">
        <v>1348</v>
      </c>
      <c r="C12278" s="26">
        <v>0.84030000000000005</v>
      </c>
      <c r="D12278" s="26">
        <v>0.1019</v>
      </c>
      <c r="E12278" s="26">
        <v>3.5200000000000002E-2</v>
      </c>
      <c r="F12278" s="26">
        <v>2.0799999999999999E-2</v>
      </c>
      <c r="G12278" s="26">
        <v>1.9E-3</v>
      </c>
      <c r="I12278">
        <v>259</v>
      </c>
    </row>
    <row r="12279" spans="1:10" x14ac:dyDescent="0.35">
      <c r="A12279" t="s">
        <v>230</v>
      </c>
      <c r="B12279" t="s">
        <v>1347</v>
      </c>
      <c r="C12279" s="26">
        <v>0.82299999999999995</v>
      </c>
      <c r="D12279" s="26">
        <v>4.7E-2</v>
      </c>
      <c r="E12279" s="26">
        <v>0.1197</v>
      </c>
      <c r="F12279" s="26">
        <v>1.04E-2</v>
      </c>
      <c r="I12279">
        <v>153</v>
      </c>
    </row>
    <row r="12280" spans="1:10" x14ac:dyDescent="0.35">
      <c r="A12280" s="27" t="s">
        <v>230</v>
      </c>
      <c r="B12280" s="27" t="s">
        <v>1345</v>
      </c>
      <c r="C12280" s="28">
        <v>0.8649</v>
      </c>
      <c r="D12280" s="29"/>
      <c r="E12280" s="28">
        <v>0.1351</v>
      </c>
      <c r="F12280" s="29"/>
      <c r="G12280" s="29"/>
      <c r="H12280" s="29"/>
      <c r="I12280" s="29" t="s">
        <v>333</v>
      </c>
    </row>
    <row r="12281" spans="1:10" x14ac:dyDescent="0.35">
      <c r="A12281" s="27" t="s">
        <v>231</v>
      </c>
      <c r="B12281" s="27" t="s">
        <v>1345</v>
      </c>
      <c r="C12281" s="28">
        <v>0.5</v>
      </c>
      <c r="D12281" s="29"/>
      <c r="E12281" s="29"/>
      <c r="F12281" s="28">
        <v>0.5</v>
      </c>
      <c r="G12281" s="29"/>
      <c r="H12281" s="29"/>
      <c r="I12281" s="29" t="s">
        <v>337</v>
      </c>
    </row>
    <row r="12282" spans="1:10" x14ac:dyDescent="0.35">
      <c r="A12282" t="s">
        <v>231</v>
      </c>
      <c r="B12282" t="s">
        <v>1346</v>
      </c>
      <c r="C12282" s="26">
        <v>0.97499999999999998</v>
      </c>
      <c r="F12282" s="26">
        <v>2.5000000000000001E-2</v>
      </c>
      <c r="I12282">
        <v>40</v>
      </c>
    </row>
    <row r="12283" spans="1:10" x14ac:dyDescent="0.35">
      <c r="A12283" t="s">
        <v>231</v>
      </c>
      <c r="B12283" t="s">
        <v>1347</v>
      </c>
      <c r="C12283" s="26">
        <v>0.85289999999999999</v>
      </c>
      <c r="D12283" s="26">
        <v>5.8799999999999998E-2</v>
      </c>
      <c r="E12283" s="26">
        <v>2.9399999999999999E-2</v>
      </c>
      <c r="F12283" s="26">
        <v>5.8799999999999998E-2</v>
      </c>
      <c r="I12283">
        <v>34</v>
      </c>
    </row>
    <row r="12284" spans="1:10" x14ac:dyDescent="0.35">
      <c r="A12284" t="s">
        <v>231</v>
      </c>
      <c r="B12284" t="s">
        <v>1348</v>
      </c>
      <c r="C12284" s="26">
        <v>0.86050000000000004</v>
      </c>
      <c r="D12284" s="26">
        <v>6.9800000000000001E-2</v>
      </c>
      <c r="E12284" s="26">
        <v>2.3300000000000001E-2</v>
      </c>
      <c r="F12284" s="26">
        <v>3.49E-2</v>
      </c>
      <c r="G12284" s="26">
        <v>1.1599999999999999E-2</v>
      </c>
      <c r="I12284">
        <v>86</v>
      </c>
    </row>
    <row r="12285" spans="1:10" x14ac:dyDescent="0.35">
      <c r="A12285" t="s">
        <v>232</v>
      </c>
      <c r="B12285" t="s">
        <v>232</v>
      </c>
      <c r="C12285" s="26">
        <v>0.79069999999999996</v>
      </c>
      <c r="D12285" s="26">
        <v>9.7799999999999998E-2</v>
      </c>
      <c r="E12285" s="26">
        <v>5.1799999999999999E-2</v>
      </c>
      <c r="F12285" s="26">
        <v>5.04E-2</v>
      </c>
      <c r="G12285" s="26">
        <v>7.4999999999999997E-3</v>
      </c>
      <c r="H12285" s="26">
        <v>1.8E-3</v>
      </c>
      <c r="I12285">
        <v>2813</v>
      </c>
    </row>
    <row r="12287" spans="1:10" x14ac:dyDescent="0.35">
      <c r="A12287" s="1" t="s">
        <v>1456</v>
      </c>
    </row>
    <row r="12288" spans="1:10" x14ac:dyDescent="0.35">
      <c r="A12288" t="s">
        <v>219</v>
      </c>
      <c r="B12288" t="s">
        <v>305</v>
      </c>
      <c r="C12288" t="s">
        <v>345</v>
      </c>
      <c r="D12288" t="s">
        <v>1424</v>
      </c>
      <c r="E12288" t="s">
        <v>1425</v>
      </c>
      <c r="F12288" t="s">
        <v>1426</v>
      </c>
      <c r="G12288" t="s">
        <v>1427</v>
      </c>
      <c r="H12288" t="s">
        <v>281</v>
      </c>
      <c r="I12288" t="s">
        <v>286</v>
      </c>
      <c r="J12288" t="s">
        <v>226</v>
      </c>
    </row>
    <row r="12289" spans="1:10" x14ac:dyDescent="0.35">
      <c r="A12289" s="27" t="s">
        <v>227</v>
      </c>
      <c r="B12289" s="27" t="s">
        <v>1341</v>
      </c>
      <c r="C12289" s="27" t="s">
        <v>1345</v>
      </c>
      <c r="D12289" s="28">
        <v>1</v>
      </c>
      <c r="E12289" s="29"/>
      <c r="F12289" s="29"/>
      <c r="G12289" s="29"/>
      <c r="H12289" s="29"/>
      <c r="I12289" s="29"/>
      <c r="J12289" s="29" t="s">
        <v>331</v>
      </c>
    </row>
    <row r="12290" spans="1:10" x14ac:dyDescent="0.35">
      <c r="A12290" s="27" t="s">
        <v>227</v>
      </c>
      <c r="B12290" s="27" t="s">
        <v>1343</v>
      </c>
      <c r="C12290" s="27" t="s">
        <v>1346</v>
      </c>
      <c r="D12290" s="28">
        <v>0.84619999999999995</v>
      </c>
      <c r="E12290" s="28">
        <v>0.1154</v>
      </c>
      <c r="F12290" s="29"/>
      <c r="G12290" s="28">
        <v>3.85E-2</v>
      </c>
      <c r="H12290" s="29"/>
      <c r="I12290" s="29"/>
      <c r="J12290" s="29" t="s">
        <v>357</v>
      </c>
    </row>
    <row r="12291" spans="1:10" x14ac:dyDescent="0.35">
      <c r="A12291" t="s">
        <v>227</v>
      </c>
      <c r="B12291" t="s">
        <v>1343</v>
      </c>
      <c r="C12291" t="s">
        <v>1348</v>
      </c>
      <c r="D12291" s="26">
        <v>0.86890000000000001</v>
      </c>
      <c r="E12291" s="26">
        <v>6.5600000000000006E-2</v>
      </c>
      <c r="F12291" s="26">
        <v>4.9200000000000001E-2</v>
      </c>
      <c r="G12291" s="26">
        <v>1.6400000000000001E-2</v>
      </c>
      <c r="J12291">
        <v>61</v>
      </c>
    </row>
    <row r="12292" spans="1:10" x14ac:dyDescent="0.35">
      <c r="A12292" s="27" t="s">
        <v>227</v>
      </c>
      <c r="B12292" s="27" t="s">
        <v>1341</v>
      </c>
      <c r="C12292" s="27" t="s">
        <v>1347</v>
      </c>
      <c r="D12292" s="28">
        <v>0.76919999999999999</v>
      </c>
      <c r="E12292" s="28">
        <v>7.6899999999999996E-2</v>
      </c>
      <c r="F12292" s="28">
        <v>0.15379999999999999</v>
      </c>
      <c r="G12292" s="29"/>
      <c r="H12292" s="29"/>
      <c r="I12292" s="29"/>
      <c r="J12292" s="29" t="s">
        <v>341</v>
      </c>
    </row>
    <row r="12293" spans="1:10" x14ac:dyDescent="0.35">
      <c r="A12293" s="27" t="s">
        <v>227</v>
      </c>
      <c r="B12293" s="27" t="s">
        <v>1343</v>
      </c>
      <c r="C12293" s="27" t="s">
        <v>1347</v>
      </c>
      <c r="D12293" s="28">
        <v>0.82609999999999995</v>
      </c>
      <c r="E12293" s="28">
        <v>8.6999999999999994E-2</v>
      </c>
      <c r="F12293" s="28">
        <v>8.6999999999999994E-2</v>
      </c>
      <c r="G12293" s="29"/>
      <c r="H12293" s="29"/>
      <c r="I12293" s="29"/>
      <c r="J12293" s="29" t="s">
        <v>328</v>
      </c>
    </row>
    <row r="12294" spans="1:10" x14ac:dyDescent="0.35">
      <c r="A12294" s="27" t="s">
        <v>227</v>
      </c>
      <c r="B12294" s="27" t="s">
        <v>1343</v>
      </c>
      <c r="C12294" s="27" t="s">
        <v>1345</v>
      </c>
      <c r="D12294" s="28">
        <v>1</v>
      </c>
      <c r="E12294" s="29"/>
      <c r="F12294" s="29"/>
      <c r="G12294" s="29"/>
      <c r="H12294" s="29"/>
      <c r="I12294" s="29"/>
      <c r="J12294" s="29" t="s">
        <v>331</v>
      </c>
    </row>
    <row r="12295" spans="1:10" x14ac:dyDescent="0.35">
      <c r="A12295" s="27" t="s">
        <v>227</v>
      </c>
      <c r="B12295" s="27" t="s">
        <v>1342</v>
      </c>
      <c r="C12295" s="27" t="s">
        <v>1348</v>
      </c>
      <c r="D12295" s="28">
        <v>1</v>
      </c>
      <c r="E12295" s="29"/>
      <c r="F12295" s="29"/>
      <c r="G12295" s="29"/>
      <c r="H12295" s="29"/>
      <c r="I12295" s="29"/>
      <c r="J12295" s="29" t="s">
        <v>331</v>
      </c>
    </row>
    <row r="12296" spans="1:10" x14ac:dyDescent="0.35">
      <c r="A12296" s="27" t="s">
        <v>227</v>
      </c>
      <c r="B12296" s="27" t="s">
        <v>1341</v>
      </c>
      <c r="C12296" s="27" t="s">
        <v>1348</v>
      </c>
      <c r="D12296" s="28">
        <v>0.86360000000000003</v>
      </c>
      <c r="E12296" s="29"/>
      <c r="F12296" s="28">
        <v>4.5499999999999999E-2</v>
      </c>
      <c r="G12296" s="28">
        <v>9.0899999999999995E-2</v>
      </c>
      <c r="H12296" s="29"/>
      <c r="I12296" s="29"/>
      <c r="J12296" s="29" t="s">
        <v>347</v>
      </c>
    </row>
    <row r="12297" spans="1:10" x14ac:dyDescent="0.35">
      <c r="A12297" s="27" t="s">
        <v>227</v>
      </c>
      <c r="B12297" s="27" t="s">
        <v>1341</v>
      </c>
      <c r="C12297" s="27" t="s">
        <v>1346</v>
      </c>
      <c r="D12297" s="28">
        <v>0.84619999999999995</v>
      </c>
      <c r="E12297" s="29"/>
      <c r="F12297" s="29"/>
      <c r="G12297" s="28">
        <v>0.15379999999999999</v>
      </c>
      <c r="H12297" s="29"/>
      <c r="I12297" s="29"/>
      <c r="J12297" s="29" t="s">
        <v>341</v>
      </c>
    </row>
    <row r="12298" spans="1:10" x14ac:dyDescent="0.35">
      <c r="A12298" t="s">
        <v>228</v>
      </c>
      <c r="B12298" t="s">
        <v>1343</v>
      </c>
      <c r="C12298" t="s">
        <v>1348</v>
      </c>
      <c r="D12298" s="26">
        <v>0.59330000000000005</v>
      </c>
      <c r="E12298" s="26">
        <v>0.22670000000000001</v>
      </c>
      <c r="F12298" s="26">
        <v>0.1183</v>
      </c>
      <c r="G12298" s="26">
        <v>5.5199999999999999E-2</v>
      </c>
      <c r="H12298" s="26">
        <v>4.8999999999999998E-3</v>
      </c>
      <c r="I12298" s="26">
        <v>1.6000000000000001E-3</v>
      </c>
      <c r="J12298">
        <v>352</v>
      </c>
    </row>
    <row r="12299" spans="1:10" x14ac:dyDescent="0.35">
      <c r="A12299" t="s">
        <v>228</v>
      </c>
      <c r="B12299" t="s">
        <v>1343</v>
      </c>
      <c r="C12299" t="s">
        <v>1347</v>
      </c>
      <c r="D12299" s="26">
        <v>0.66210000000000002</v>
      </c>
      <c r="E12299" s="26">
        <v>0.14610000000000001</v>
      </c>
      <c r="F12299" s="26">
        <v>5.6500000000000002E-2</v>
      </c>
      <c r="G12299" s="26">
        <v>8.2799999999999999E-2</v>
      </c>
      <c r="H12299" s="26">
        <v>5.2499999999999998E-2</v>
      </c>
      <c r="J12299">
        <v>130</v>
      </c>
    </row>
    <row r="12300" spans="1:10" x14ac:dyDescent="0.35">
      <c r="A12300" s="27" t="s">
        <v>228</v>
      </c>
      <c r="B12300" s="27" t="s">
        <v>1343</v>
      </c>
      <c r="C12300" s="27" t="s">
        <v>1345</v>
      </c>
      <c r="D12300" s="28">
        <v>0.96350000000000002</v>
      </c>
      <c r="E12300" s="28">
        <v>3.6499999999999998E-2</v>
      </c>
      <c r="F12300" s="29"/>
      <c r="G12300" s="29"/>
      <c r="H12300" s="29"/>
      <c r="I12300" s="29"/>
      <c r="J12300" s="29" t="s">
        <v>335</v>
      </c>
    </row>
    <row r="12301" spans="1:10" x14ac:dyDescent="0.35">
      <c r="A12301" t="s">
        <v>228</v>
      </c>
      <c r="B12301" t="s">
        <v>1341</v>
      </c>
      <c r="C12301" t="s">
        <v>1346</v>
      </c>
      <c r="D12301" s="26">
        <v>0.73129999999999995</v>
      </c>
      <c r="E12301" s="26">
        <v>0.15010000000000001</v>
      </c>
      <c r="F12301" s="26">
        <v>3.3099999999999997E-2</v>
      </c>
      <c r="G12301" s="26">
        <v>5.1700000000000003E-2</v>
      </c>
      <c r="H12301" s="26">
        <v>3.3799999999999997E-2</v>
      </c>
      <c r="J12301">
        <v>47</v>
      </c>
    </row>
    <row r="12302" spans="1:10" x14ac:dyDescent="0.35">
      <c r="A12302" t="s">
        <v>228</v>
      </c>
      <c r="B12302" t="s">
        <v>1341</v>
      </c>
      <c r="C12302" t="s">
        <v>1348</v>
      </c>
      <c r="D12302" s="26">
        <v>0.66469999999999996</v>
      </c>
      <c r="E12302" s="26">
        <v>0.1855</v>
      </c>
      <c r="F12302" s="26">
        <v>3.3300000000000003E-2</v>
      </c>
      <c r="G12302" s="26">
        <v>0.10929999999999999</v>
      </c>
      <c r="H12302" s="26">
        <v>4.1999999999999997E-3</v>
      </c>
      <c r="I12302" s="26">
        <v>2.8999999999999998E-3</v>
      </c>
      <c r="J12302">
        <v>179</v>
      </c>
    </row>
    <row r="12303" spans="1:10" x14ac:dyDescent="0.35">
      <c r="A12303" s="27" t="s">
        <v>228</v>
      </c>
      <c r="B12303" s="27" t="s">
        <v>1342</v>
      </c>
      <c r="C12303" s="27" t="s">
        <v>1348</v>
      </c>
      <c r="D12303" s="29"/>
      <c r="E12303" s="29"/>
      <c r="F12303" s="28">
        <v>1</v>
      </c>
      <c r="G12303" s="29"/>
      <c r="H12303" s="29"/>
      <c r="I12303" s="29"/>
      <c r="J12303" s="29" t="s">
        <v>331</v>
      </c>
    </row>
    <row r="12304" spans="1:10" x14ac:dyDescent="0.35">
      <c r="A12304" t="s">
        <v>228</v>
      </c>
      <c r="B12304" t="s">
        <v>1343</v>
      </c>
      <c r="C12304" t="s">
        <v>1346</v>
      </c>
      <c r="D12304" s="26">
        <v>0.67949999999999999</v>
      </c>
      <c r="E12304" s="26">
        <v>0.18099999999999999</v>
      </c>
      <c r="F12304" s="26">
        <v>4.2500000000000003E-2</v>
      </c>
      <c r="G12304" s="26">
        <v>6.5000000000000002E-2</v>
      </c>
      <c r="H12304" s="26">
        <v>1.72E-2</v>
      </c>
      <c r="I12304" s="26">
        <v>1.4800000000000001E-2</v>
      </c>
      <c r="J12304">
        <v>239</v>
      </c>
    </row>
    <row r="12305" spans="1:10" x14ac:dyDescent="0.35">
      <c r="A12305" t="s">
        <v>228</v>
      </c>
      <c r="B12305" t="s">
        <v>1341</v>
      </c>
      <c r="C12305" t="s">
        <v>1347</v>
      </c>
      <c r="D12305" s="26">
        <v>0.57340000000000002</v>
      </c>
      <c r="E12305" s="26">
        <v>0.18779999999999999</v>
      </c>
      <c r="F12305" s="26">
        <v>0.10780000000000001</v>
      </c>
      <c r="G12305" s="26">
        <v>0.13100000000000001</v>
      </c>
      <c r="J12305">
        <v>74</v>
      </c>
    </row>
    <row r="12306" spans="1:10" x14ac:dyDescent="0.35">
      <c r="A12306" s="27" t="s">
        <v>228</v>
      </c>
      <c r="B12306" s="27" t="s">
        <v>1341</v>
      </c>
      <c r="C12306" s="27" t="s">
        <v>1345</v>
      </c>
      <c r="D12306" s="28">
        <v>0.41920000000000002</v>
      </c>
      <c r="E12306" s="29"/>
      <c r="F12306" s="28">
        <v>6.4299999999999996E-2</v>
      </c>
      <c r="G12306" s="28">
        <v>0.51649999999999996</v>
      </c>
      <c r="H12306" s="29"/>
      <c r="I12306" s="29"/>
      <c r="J12306" s="29" t="s">
        <v>332</v>
      </c>
    </row>
    <row r="12307" spans="1:10" x14ac:dyDescent="0.35">
      <c r="A12307" t="s">
        <v>229</v>
      </c>
      <c r="B12307" t="s">
        <v>1343</v>
      </c>
      <c r="C12307" t="s">
        <v>1348</v>
      </c>
      <c r="D12307" s="26">
        <v>0.77510000000000001</v>
      </c>
      <c r="E12307" s="26">
        <v>0.129</v>
      </c>
      <c r="F12307" s="26">
        <v>4.4200000000000003E-2</v>
      </c>
      <c r="G12307" s="26">
        <v>3.2000000000000001E-2</v>
      </c>
      <c r="H12307" s="26">
        <v>1.8700000000000001E-2</v>
      </c>
      <c r="I12307" s="26">
        <v>1.1000000000000001E-3</v>
      </c>
      <c r="J12307">
        <v>276</v>
      </c>
    </row>
    <row r="12308" spans="1:10" x14ac:dyDescent="0.35">
      <c r="A12308" t="s">
        <v>229</v>
      </c>
      <c r="B12308" t="s">
        <v>1341</v>
      </c>
      <c r="C12308" t="s">
        <v>1346</v>
      </c>
      <c r="D12308" s="26">
        <v>0.89159999999999995</v>
      </c>
      <c r="E12308" s="26">
        <v>1.72E-2</v>
      </c>
      <c r="F12308" s="26">
        <v>7.6899999999999996E-2</v>
      </c>
      <c r="G12308" s="26">
        <v>8.6999999999999994E-3</v>
      </c>
      <c r="H12308" s="26">
        <v>5.7000000000000002E-3</v>
      </c>
      <c r="J12308">
        <v>53</v>
      </c>
    </row>
    <row r="12309" spans="1:10" x14ac:dyDescent="0.35">
      <c r="A12309" t="s">
        <v>229</v>
      </c>
      <c r="B12309" t="s">
        <v>1341</v>
      </c>
      <c r="C12309" t="s">
        <v>1347</v>
      </c>
      <c r="D12309" s="26">
        <v>0.82530000000000003</v>
      </c>
      <c r="E12309" s="26">
        <v>9.3799999999999994E-2</v>
      </c>
      <c r="F12309" s="26">
        <v>4.3799999999999999E-2</v>
      </c>
      <c r="G12309" s="26">
        <v>3.39E-2</v>
      </c>
      <c r="H12309" s="26">
        <v>3.2000000000000002E-3</v>
      </c>
      <c r="J12309">
        <v>104</v>
      </c>
    </row>
    <row r="12310" spans="1:10" x14ac:dyDescent="0.35">
      <c r="A12310" t="s">
        <v>229</v>
      </c>
      <c r="B12310" t="s">
        <v>1343</v>
      </c>
      <c r="C12310" t="s">
        <v>1346</v>
      </c>
      <c r="D12310" s="26">
        <v>0.70289999999999997</v>
      </c>
      <c r="E12310" s="26">
        <v>0.17630000000000001</v>
      </c>
      <c r="F12310" s="26">
        <v>4.2099999999999999E-2</v>
      </c>
      <c r="G12310" s="26">
        <v>7.8600000000000003E-2</v>
      </c>
      <c r="J12310">
        <v>131</v>
      </c>
    </row>
    <row r="12311" spans="1:10" x14ac:dyDescent="0.35">
      <c r="A12311" t="s">
        <v>229</v>
      </c>
      <c r="B12311" t="s">
        <v>1343</v>
      </c>
      <c r="C12311" t="s">
        <v>1347</v>
      </c>
      <c r="D12311" s="26">
        <v>0.71209999999999996</v>
      </c>
      <c r="E12311" s="26">
        <v>9.64E-2</v>
      </c>
      <c r="F12311" s="26">
        <v>0.12379999999999999</v>
      </c>
      <c r="G12311" s="26">
        <v>5.2200000000000003E-2</v>
      </c>
      <c r="I12311" s="26">
        <v>1.5599999999999999E-2</v>
      </c>
      <c r="J12311">
        <v>198</v>
      </c>
    </row>
    <row r="12312" spans="1:10" x14ac:dyDescent="0.35">
      <c r="A12312" s="27" t="s">
        <v>229</v>
      </c>
      <c r="B12312" s="27" t="s">
        <v>1341</v>
      </c>
      <c r="C12312" s="27" t="s">
        <v>1345</v>
      </c>
      <c r="D12312" s="28">
        <v>0.73599999999999999</v>
      </c>
      <c r="E12312" s="28">
        <v>0.26400000000000001</v>
      </c>
      <c r="F12312" s="29"/>
      <c r="G12312" s="29"/>
      <c r="H12312" s="29"/>
      <c r="I12312" s="29"/>
      <c r="J12312" s="29" t="s">
        <v>334</v>
      </c>
    </row>
    <row r="12313" spans="1:10" x14ac:dyDescent="0.35">
      <c r="A12313" s="27" t="s">
        <v>229</v>
      </c>
      <c r="B12313" s="27" t="s">
        <v>1343</v>
      </c>
      <c r="C12313" s="27" t="s">
        <v>1345</v>
      </c>
      <c r="D12313" s="28">
        <v>0.95079999999999998</v>
      </c>
      <c r="E12313" s="29"/>
      <c r="F12313" s="28">
        <v>1.9599999999999999E-2</v>
      </c>
      <c r="G12313" s="28">
        <v>2.9600000000000001E-2</v>
      </c>
      <c r="H12313" s="29"/>
      <c r="I12313" s="29"/>
      <c r="J12313" s="29" t="s">
        <v>343</v>
      </c>
    </row>
    <row r="12314" spans="1:10" x14ac:dyDescent="0.35">
      <c r="A12314" t="s">
        <v>229</v>
      </c>
      <c r="B12314" t="s">
        <v>1341</v>
      </c>
      <c r="C12314" t="s">
        <v>1348</v>
      </c>
      <c r="D12314" s="26">
        <v>0.76590000000000003</v>
      </c>
      <c r="E12314" s="26">
        <v>5.96E-2</v>
      </c>
      <c r="F12314" s="26">
        <v>9.8199999999999996E-2</v>
      </c>
      <c r="G12314" s="26">
        <v>7.5700000000000003E-2</v>
      </c>
      <c r="H12314" s="26">
        <v>5.9999999999999995E-4</v>
      </c>
      <c r="J12314">
        <v>107</v>
      </c>
    </row>
    <row r="12315" spans="1:10" x14ac:dyDescent="0.35">
      <c r="A12315" t="s">
        <v>230</v>
      </c>
      <c r="B12315" t="s">
        <v>1343</v>
      </c>
      <c r="C12315" t="s">
        <v>1346</v>
      </c>
      <c r="D12315" s="26">
        <v>0.74670000000000003</v>
      </c>
      <c r="E12315" s="26">
        <v>0.1157</v>
      </c>
      <c r="F12315" s="26">
        <v>1.34E-2</v>
      </c>
      <c r="G12315" s="26">
        <v>4.6699999999999998E-2</v>
      </c>
      <c r="H12315" s="26">
        <v>7.7399999999999997E-2</v>
      </c>
      <c r="J12315">
        <v>110</v>
      </c>
    </row>
    <row r="12316" spans="1:10" x14ac:dyDescent="0.35">
      <c r="A12316" s="27" t="s">
        <v>230</v>
      </c>
      <c r="B12316" s="27" t="s">
        <v>1341</v>
      </c>
      <c r="C12316" s="27" t="s">
        <v>1345</v>
      </c>
      <c r="D12316" s="28">
        <v>0.85709999999999997</v>
      </c>
      <c r="E12316" s="29"/>
      <c r="F12316" s="28">
        <v>0.1429</v>
      </c>
      <c r="G12316" s="29"/>
      <c r="H12316" s="29"/>
      <c r="I12316" s="29"/>
      <c r="J12316" s="29" t="s">
        <v>337</v>
      </c>
    </row>
    <row r="12317" spans="1:10" x14ac:dyDescent="0.35">
      <c r="A12317" t="s">
        <v>230</v>
      </c>
      <c r="B12317" t="s">
        <v>1343</v>
      </c>
      <c r="C12317" t="s">
        <v>1348</v>
      </c>
      <c r="D12317" s="26">
        <v>0.82630000000000003</v>
      </c>
      <c r="E12317" s="26">
        <v>0.1177</v>
      </c>
      <c r="F12317" s="26">
        <v>3.3599999999999998E-2</v>
      </c>
      <c r="G12317" s="26">
        <v>2.23E-2</v>
      </c>
      <c r="J12317">
        <v>184</v>
      </c>
    </row>
    <row r="12318" spans="1:10" x14ac:dyDescent="0.35">
      <c r="A12318" t="s">
        <v>230</v>
      </c>
      <c r="B12318" t="s">
        <v>1343</v>
      </c>
      <c r="C12318" t="s">
        <v>1347</v>
      </c>
      <c r="D12318" s="26">
        <v>0.80020000000000002</v>
      </c>
      <c r="E12318" s="26">
        <v>6.9500000000000006E-2</v>
      </c>
      <c r="F12318" s="26">
        <v>0.1195</v>
      </c>
      <c r="G12318" s="26">
        <v>1.0800000000000001E-2</v>
      </c>
      <c r="J12318">
        <v>106</v>
      </c>
    </row>
    <row r="12319" spans="1:10" x14ac:dyDescent="0.35">
      <c r="A12319" t="s">
        <v>230</v>
      </c>
      <c r="B12319" t="s">
        <v>1341</v>
      </c>
      <c r="C12319" t="s">
        <v>1348</v>
      </c>
      <c r="D12319" s="26">
        <v>0.87549999999999994</v>
      </c>
      <c r="E12319" s="26">
        <v>6.1899999999999997E-2</v>
      </c>
      <c r="F12319" s="26">
        <v>3.9100000000000003E-2</v>
      </c>
      <c r="G12319" s="26">
        <v>1.6899999999999998E-2</v>
      </c>
      <c r="H12319" s="26">
        <v>6.6E-3</v>
      </c>
      <c r="J12319">
        <v>75</v>
      </c>
    </row>
    <row r="12320" spans="1:10" x14ac:dyDescent="0.35">
      <c r="A12320" t="s">
        <v>230</v>
      </c>
      <c r="B12320" t="s">
        <v>1341</v>
      </c>
      <c r="C12320" t="s">
        <v>1347</v>
      </c>
      <c r="D12320" s="26">
        <v>0.86770000000000003</v>
      </c>
      <c r="E12320" s="26">
        <v>2.8999999999999998E-3</v>
      </c>
      <c r="F12320" s="26">
        <v>0.12</v>
      </c>
      <c r="G12320" s="26">
        <v>9.4000000000000004E-3</v>
      </c>
      <c r="J12320">
        <v>47</v>
      </c>
    </row>
    <row r="12321" spans="1:10" x14ac:dyDescent="0.35">
      <c r="A12321" s="27" t="s">
        <v>230</v>
      </c>
      <c r="B12321" s="27" t="s">
        <v>1343</v>
      </c>
      <c r="C12321" s="27" t="s">
        <v>1345</v>
      </c>
      <c r="D12321" s="28">
        <v>0.87809999999999999</v>
      </c>
      <c r="E12321" s="29"/>
      <c r="F12321" s="28">
        <v>0.12189999999999999</v>
      </c>
      <c r="G12321" s="29"/>
      <c r="H12321" s="29"/>
      <c r="I12321" s="29"/>
      <c r="J12321" s="29" t="s">
        <v>337</v>
      </c>
    </row>
    <row r="12322" spans="1:10" x14ac:dyDescent="0.35">
      <c r="A12322" t="s">
        <v>230</v>
      </c>
      <c r="B12322" t="s">
        <v>1341</v>
      </c>
      <c r="C12322" t="s">
        <v>1346</v>
      </c>
      <c r="D12322" s="26">
        <v>0.88700000000000001</v>
      </c>
      <c r="G12322" s="26">
        <v>0.113</v>
      </c>
      <c r="J12322">
        <v>30</v>
      </c>
    </row>
    <row r="12323" spans="1:10" x14ac:dyDescent="0.35">
      <c r="A12323" t="s">
        <v>231</v>
      </c>
      <c r="B12323" t="s">
        <v>1343</v>
      </c>
      <c r="C12323" t="s">
        <v>1348</v>
      </c>
      <c r="D12323" s="26">
        <v>0.9</v>
      </c>
      <c r="E12323" s="26">
        <v>0.04</v>
      </c>
      <c r="F12323" s="26">
        <v>0.02</v>
      </c>
      <c r="G12323" s="26">
        <v>0.04</v>
      </c>
      <c r="J12323">
        <v>50</v>
      </c>
    </row>
    <row r="12324" spans="1:10" x14ac:dyDescent="0.35">
      <c r="A12324" s="27" t="s">
        <v>231</v>
      </c>
      <c r="B12324" s="27" t="s">
        <v>1343</v>
      </c>
      <c r="C12324" s="27" t="s">
        <v>1345</v>
      </c>
      <c r="D12324" s="28">
        <v>0.66669999999999996</v>
      </c>
      <c r="E12324" s="29"/>
      <c r="F12324" s="29"/>
      <c r="G12324" s="28">
        <v>0.33329999999999999</v>
      </c>
      <c r="H12324" s="29"/>
      <c r="I12324" s="29"/>
      <c r="J12324" s="29" t="s">
        <v>315</v>
      </c>
    </row>
    <row r="12325" spans="1:10" x14ac:dyDescent="0.35">
      <c r="A12325" t="s">
        <v>231</v>
      </c>
      <c r="B12325" t="s">
        <v>1341</v>
      </c>
      <c r="C12325" t="s">
        <v>1348</v>
      </c>
      <c r="D12325" s="26">
        <v>0.80559999999999998</v>
      </c>
      <c r="E12325" s="26">
        <v>0.1111</v>
      </c>
      <c r="F12325" s="26">
        <v>2.7799999999999998E-2</v>
      </c>
      <c r="G12325" s="26">
        <v>2.7799999999999998E-2</v>
      </c>
      <c r="H12325" s="26">
        <v>2.7799999999999998E-2</v>
      </c>
      <c r="J12325">
        <v>36</v>
      </c>
    </row>
    <row r="12326" spans="1:10" x14ac:dyDescent="0.35">
      <c r="A12326" s="27" t="s">
        <v>231</v>
      </c>
      <c r="B12326" s="27" t="s">
        <v>1341</v>
      </c>
      <c r="C12326" s="27" t="s">
        <v>1345</v>
      </c>
      <c r="D12326" s="29"/>
      <c r="E12326" s="29"/>
      <c r="F12326" s="29"/>
      <c r="G12326" s="28">
        <v>1</v>
      </c>
      <c r="H12326" s="29"/>
      <c r="I12326" s="29"/>
      <c r="J12326" s="29" t="s">
        <v>331</v>
      </c>
    </row>
    <row r="12327" spans="1:10" x14ac:dyDescent="0.35">
      <c r="A12327" s="27" t="s">
        <v>231</v>
      </c>
      <c r="B12327" s="27" t="s">
        <v>1343</v>
      </c>
      <c r="C12327" s="27" t="s">
        <v>1346</v>
      </c>
      <c r="D12327" s="28">
        <v>0.96150000000000002</v>
      </c>
      <c r="E12327" s="29"/>
      <c r="F12327" s="29"/>
      <c r="G12327" s="28">
        <v>3.85E-2</v>
      </c>
      <c r="H12327" s="29"/>
      <c r="I12327" s="29"/>
      <c r="J12327" s="29" t="s">
        <v>357</v>
      </c>
    </row>
    <row r="12328" spans="1:10" x14ac:dyDescent="0.35">
      <c r="A12328" s="27" t="s">
        <v>231</v>
      </c>
      <c r="B12328" s="27" t="s">
        <v>1341</v>
      </c>
      <c r="C12328" s="27" t="s">
        <v>1346</v>
      </c>
      <c r="D12328" s="28">
        <v>1</v>
      </c>
      <c r="E12328" s="29"/>
      <c r="F12328" s="29"/>
      <c r="G12328" s="29"/>
      <c r="H12328" s="29"/>
      <c r="I12328" s="29"/>
      <c r="J12328" s="29" t="s">
        <v>379</v>
      </c>
    </row>
    <row r="12329" spans="1:10" x14ac:dyDescent="0.35">
      <c r="A12329" s="27" t="s">
        <v>231</v>
      </c>
      <c r="B12329" s="27" t="s">
        <v>1341</v>
      </c>
      <c r="C12329" s="27" t="s">
        <v>1347</v>
      </c>
      <c r="D12329" s="28">
        <v>0.92859999999999998</v>
      </c>
      <c r="E12329" s="29"/>
      <c r="F12329" s="29"/>
      <c r="G12329" s="28">
        <v>7.1400000000000005E-2</v>
      </c>
      <c r="H12329" s="29"/>
      <c r="I12329" s="29"/>
      <c r="J12329" s="29" t="s">
        <v>379</v>
      </c>
    </row>
    <row r="12330" spans="1:10" x14ac:dyDescent="0.35">
      <c r="A12330" s="27" t="s">
        <v>231</v>
      </c>
      <c r="B12330" s="27" t="s">
        <v>1343</v>
      </c>
      <c r="C12330" s="27" t="s">
        <v>1347</v>
      </c>
      <c r="D12330" s="28">
        <v>0.8</v>
      </c>
      <c r="E12330" s="28">
        <v>0.1</v>
      </c>
      <c r="F12330" s="28">
        <v>0.05</v>
      </c>
      <c r="G12330" s="28">
        <v>0.05</v>
      </c>
      <c r="H12330" s="29"/>
      <c r="I12330" s="29"/>
      <c r="J12330" s="29" t="s">
        <v>350</v>
      </c>
    </row>
    <row r="12331" spans="1:10" x14ac:dyDescent="0.35">
      <c r="A12331" t="s">
        <v>232</v>
      </c>
      <c r="B12331" t="s">
        <v>232</v>
      </c>
      <c r="C12331" t="s">
        <v>232</v>
      </c>
      <c r="D12331" s="26">
        <v>0.79069999999999996</v>
      </c>
      <c r="E12331" s="26">
        <v>9.7799999999999998E-2</v>
      </c>
      <c r="F12331" s="26">
        <v>5.1799999999999999E-2</v>
      </c>
      <c r="G12331" s="26">
        <v>5.04E-2</v>
      </c>
      <c r="H12331" s="26">
        <v>7.4999999999999997E-3</v>
      </c>
      <c r="I12331" s="26">
        <v>1.8E-3</v>
      </c>
      <c r="J12331">
        <v>2813</v>
      </c>
    </row>
    <row r="12333" spans="1:10" x14ac:dyDescent="0.35">
      <c r="A12333" s="1" t="s">
        <v>1457</v>
      </c>
    </row>
    <row r="12334" spans="1:10" x14ac:dyDescent="0.35">
      <c r="A12334" t="s">
        <v>219</v>
      </c>
      <c r="B12334" t="s">
        <v>1424</v>
      </c>
      <c r="C12334" t="s">
        <v>1427</v>
      </c>
      <c r="D12334" t="s">
        <v>281</v>
      </c>
      <c r="E12334" t="s">
        <v>1426</v>
      </c>
      <c r="F12334" t="s">
        <v>1425</v>
      </c>
      <c r="G12334" t="s">
        <v>286</v>
      </c>
      <c r="H12334" t="s">
        <v>226</v>
      </c>
    </row>
    <row r="12335" spans="1:10" x14ac:dyDescent="0.35">
      <c r="A12335" t="s">
        <v>227</v>
      </c>
      <c r="B12335" s="26">
        <v>0.94410000000000005</v>
      </c>
      <c r="C12335" s="26">
        <v>2.4799999999999999E-2</v>
      </c>
      <c r="D12335" s="26">
        <v>6.1999999999999998E-3</v>
      </c>
      <c r="E12335" s="26">
        <v>1.24E-2</v>
      </c>
      <c r="F12335" s="26">
        <v>1.24E-2</v>
      </c>
      <c r="H12335">
        <v>161</v>
      </c>
    </row>
    <row r="12336" spans="1:10" x14ac:dyDescent="0.35">
      <c r="A12336" t="s">
        <v>228</v>
      </c>
      <c r="B12336" s="26">
        <v>0.89390000000000003</v>
      </c>
      <c r="C12336" s="26">
        <v>2.7799999999999998E-2</v>
      </c>
      <c r="D12336" s="26">
        <v>2.64E-2</v>
      </c>
      <c r="E12336" s="26">
        <v>2.9600000000000001E-2</v>
      </c>
      <c r="F12336" s="26">
        <v>2.23E-2</v>
      </c>
      <c r="H12336">
        <v>1033</v>
      </c>
    </row>
    <row r="12337" spans="1:9" x14ac:dyDescent="0.35">
      <c r="A12337" t="s">
        <v>229</v>
      </c>
      <c r="B12337" s="26">
        <v>0.89980000000000004</v>
      </c>
      <c r="C12337" s="26">
        <v>1.7500000000000002E-2</v>
      </c>
      <c r="D12337" s="26">
        <v>2.81E-2</v>
      </c>
      <c r="E12337" s="26">
        <v>4.3700000000000003E-2</v>
      </c>
      <c r="F12337" s="26">
        <v>7.9000000000000008E-3</v>
      </c>
      <c r="G12337" s="26">
        <v>3.0000000000000001E-3</v>
      </c>
      <c r="H12337">
        <v>895</v>
      </c>
    </row>
    <row r="12338" spans="1:9" x14ac:dyDescent="0.35">
      <c r="A12338" t="s">
        <v>230</v>
      </c>
      <c r="B12338" s="26">
        <v>0.92290000000000005</v>
      </c>
      <c r="C12338" s="26">
        <v>2.9499999999999998E-2</v>
      </c>
      <c r="D12338" s="26">
        <v>4.4000000000000003E-3</v>
      </c>
      <c r="E12338" s="26">
        <v>2.7099999999999999E-2</v>
      </c>
      <c r="F12338" s="26">
        <v>1.61E-2</v>
      </c>
      <c r="H12338">
        <v>560</v>
      </c>
    </row>
    <row r="12339" spans="1:9" x14ac:dyDescent="0.35">
      <c r="A12339" t="s">
        <v>231</v>
      </c>
      <c r="B12339" s="26">
        <v>0.93289999999999995</v>
      </c>
      <c r="C12339" s="26">
        <v>2.4400000000000002E-2</v>
      </c>
      <c r="D12339" s="26">
        <v>3.0499999999999999E-2</v>
      </c>
      <c r="F12339" s="26">
        <v>1.2200000000000001E-2</v>
      </c>
      <c r="H12339">
        <v>164</v>
      </c>
    </row>
    <row r="12340" spans="1:9" x14ac:dyDescent="0.35">
      <c r="A12340" t="s">
        <v>232</v>
      </c>
      <c r="B12340" s="26">
        <v>0.91669999999999996</v>
      </c>
      <c r="C12340" s="26">
        <v>2.3599999999999999E-2</v>
      </c>
      <c r="D12340" s="26">
        <v>2.29E-2</v>
      </c>
      <c r="E12340" s="26">
        <v>2.2700000000000001E-2</v>
      </c>
      <c r="F12340" s="26">
        <v>1.3299999999999999E-2</v>
      </c>
      <c r="G12340" s="26">
        <v>8.9999999999999998E-4</v>
      </c>
      <c r="H12340">
        <v>2813</v>
      </c>
    </row>
    <row r="12342" spans="1:9" x14ac:dyDescent="0.35">
      <c r="A12342" s="1" t="s">
        <v>1458</v>
      </c>
    </row>
    <row r="12343" spans="1:9" x14ac:dyDescent="0.35">
      <c r="A12343" t="s">
        <v>219</v>
      </c>
      <c r="B12343" t="s">
        <v>305</v>
      </c>
      <c r="C12343" t="s">
        <v>1424</v>
      </c>
      <c r="D12343" t="s">
        <v>1427</v>
      </c>
      <c r="E12343" t="s">
        <v>281</v>
      </c>
      <c r="F12343" t="s">
        <v>1426</v>
      </c>
      <c r="G12343" t="s">
        <v>1425</v>
      </c>
      <c r="H12343" t="s">
        <v>286</v>
      </c>
      <c r="I12343" t="s">
        <v>226</v>
      </c>
    </row>
    <row r="12344" spans="1:9" x14ac:dyDescent="0.35">
      <c r="A12344" t="s">
        <v>227</v>
      </c>
      <c r="B12344" t="s">
        <v>242</v>
      </c>
      <c r="C12344" s="26">
        <v>0.91180000000000005</v>
      </c>
      <c r="D12344" s="26">
        <v>2.9399999999999999E-2</v>
      </c>
      <c r="F12344" s="26">
        <v>2.9399999999999999E-2</v>
      </c>
      <c r="G12344" s="26">
        <v>2.9399999999999999E-2</v>
      </c>
      <c r="I12344">
        <v>68</v>
      </c>
    </row>
    <row r="12345" spans="1:9" x14ac:dyDescent="0.35">
      <c r="A12345" t="s">
        <v>227</v>
      </c>
      <c r="B12345" t="s">
        <v>241</v>
      </c>
      <c r="C12345" s="26">
        <v>0.9677</v>
      </c>
      <c r="D12345" s="26">
        <v>2.1499999999999998E-2</v>
      </c>
      <c r="E12345" s="26">
        <v>1.0800000000000001E-2</v>
      </c>
      <c r="I12345">
        <v>93</v>
      </c>
    </row>
    <row r="12346" spans="1:9" x14ac:dyDescent="0.35">
      <c r="A12346" t="s">
        <v>228</v>
      </c>
      <c r="B12346" t="s">
        <v>242</v>
      </c>
      <c r="C12346" s="26">
        <v>0.88859999999999995</v>
      </c>
      <c r="D12346" s="26">
        <v>1.6199999999999999E-2</v>
      </c>
      <c r="E12346" s="26">
        <v>3.3399999999999999E-2</v>
      </c>
      <c r="F12346" s="26">
        <v>3.2500000000000001E-2</v>
      </c>
      <c r="G12346" s="26">
        <v>2.92E-2</v>
      </c>
      <c r="I12346">
        <v>402</v>
      </c>
    </row>
    <row r="12347" spans="1:9" x14ac:dyDescent="0.35">
      <c r="A12347" t="s">
        <v>228</v>
      </c>
      <c r="B12347" t="s">
        <v>241</v>
      </c>
      <c r="C12347" s="26">
        <v>0.89690000000000003</v>
      </c>
      <c r="D12347" s="26">
        <v>3.44E-2</v>
      </c>
      <c r="E12347" s="26">
        <v>2.2499999999999999E-2</v>
      </c>
      <c r="F12347" s="26">
        <v>2.7900000000000001E-2</v>
      </c>
      <c r="G12347" s="26">
        <v>1.83E-2</v>
      </c>
      <c r="I12347">
        <v>631</v>
      </c>
    </row>
    <row r="12348" spans="1:9" x14ac:dyDescent="0.35">
      <c r="A12348" t="s">
        <v>229</v>
      </c>
      <c r="B12348" t="s">
        <v>242</v>
      </c>
      <c r="C12348" s="26">
        <v>0.87570000000000003</v>
      </c>
      <c r="D12348" s="26">
        <v>1.4500000000000001E-2</v>
      </c>
      <c r="E12348" s="26">
        <v>4.2299999999999997E-2</v>
      </c>
      <c r="F12348" s="26">
        <v>5.3800000000000001E-2</v>
      </c>
      <c r="G12348" s="26">
        <v>7.3000000000000001E-3</v>
      </c>
      <c r="H12348" s="26">
        <v>6.4000000000000003E-3</v>
      </c>
      <c r="I12348">
        <v>292</v>
      </c>
    </row>
    <row r="12349" spans="1:9" x14ac:dyDescent="0.35">
      <c r="A12349" t="s">
        <v>229</v>
      </c>
      <c r="B12349" t="s">
        <v>241</v>
      </c>
      <c r="C12349" s="26">
        <v>0.9153</v>
      </c>
      <c r="D12349" s="26">
        <v>1.9300000000000001E-2</v>
      </c>
      <c r="E12349" s="26">
        <v>1.9E-2</v>
      </c>
      <c r="F12349" s="26">
        <v>3.7199999999999997E-2</v>
      </c>
      <c r="G12349" s="26">
        <v>8.3999999999999995E-3</v>
      </c>
      <c r="H12349" s="26">
        <v>8.0000000000000004E-4</v>
      </c>
      <c r="I12349">
        <v>603</v>
      </c>
    </row>
    <row r="12350" spans="1:9" x14ac:dyDescent="0.35">
      <c r="A12350" t="s">
        <v>230</v>
      </c>
      <c r="B12350" t="s">
        <v>242</v>
      </c>
      <c r="C12350" s="26">
        <v>0.90410000000000001</v>
      </c>
      <c r="D12350" s="26">
        <v>3.61E-2</v>
      </c>
      <c r="E12350" s="26">
        <v>6.1000000000000004E-3</v>
      </c>
      <c r="F12350" s="26">
        <v>2.7199999999999998E-2</v>
      </c>
      <c r="G12350" s="26">
        <v>2.6499999999999999E-2</v>
      </c>
      <c r="I12350">
        <v>189</v>
      </c>
    </row>
    <row r="12351" spans="1:9" x14ac:dyDescent="0.35">
      <c r="A12351" t="s">
        <v>230</v>
      </c>
      <c r="B12351" t="s">
        <v>241</v>
      </c>
      <c r="C12351" s="26">
        <v>0.9325</v>
      </c>
      <c r="D12351" s="26">
        <v>2.6200000000000001E-2</v>
      </c>
      <c r="E12351" s="26">
        <v>3.5000000000000001E-3</v>
      </c>
      <c r="F12351" s="26">
        <v>2.7099999999999999E-2</v>
      </c>
      <c r="G12351" s="26">
        <v>1.0699999999999999E-2</v>
      </c>
      <c r="I12351">
        <v>371</v>
      </c>
    </row>
    <row r="12352" spans="1:9" x14ac:dyDescent="0.35">
      <c r="A12352" t="s">
        <v>231</v>
      </c>
      <c r="B12352" t="s">
        <v>242</v>
      </c>
      <c r="C12352" s="26">
        <v>0.90739999999999998</v>
      </c>
      <c r="D12352" s="26">
        <v>3.6999999999999998E-2</v>
      </c>
      <c r="E12352" s="26">
        <v>5.5599999999999997E-2</v>
      </c>
      <c r="I12352">
        <v>54</v>
      </c>
    </row>
    <row r="12353" spans="1:9" x14ac:dyDescent="0.35">
      <c r="A12353" t="s">
        <v>231</v>
      </c>
      <c r="B12353" t="s">
        <v>241</v>
      </c>
      <c r="C12353" s="26">
        <v>0.94550000000000001</v>
      </c>
      <c r="D12353" s="26">
        <v>1.8200000000000001E-2</v>
      </c>
      <c r="E12353" s="26">
        <v>1.8200000000000001E-2</v>
      </c>
      <c r="G12353" s="26">
        <v>1.8200000000000001E-2</v>
      </c>
      <c r="I12353">
        <v>110</v>
      </c>
    </row>
    <row r="12354" spans="1:9" x14ac:dyDescent="0.35">
      <c r="A12354" t="s">
        <v>232</v>
      </c>
      <c r="B12354" t="s">
        <v>232</v>
      </c>
      <c r="C12354" s="26">
        <v>0.91669999999999996</v>
      </c>
      <c r="D12354" s="26">
        <v>2.3599999999999999E-2</v>
      </c>
      <c r="E12354" s="26">
        <v>2.29E-2</v>
      </c>
      <c r="F12354" s="26">
        <v>2.2700000000000001E-2</v>
      </c>
      <c r="G12354" s="26">
        <v>1.3299999999999999E-2</v>
      </c>
      <c r="H12354" s="26">
        <v>8.9999999999999998E-4</v>
      </c>
      <c r="I12354">
        <v>2813</v>
      </c>
    </row>
    <row r="12356" spans="1:9" x14ac:dyDescent="0.35">
      <c r="A12356" s="1" t="s">
        <v>1459</v>
      </c>
    </row>
    <row r="12357" spans="1:9" x14ac:dyDescent="0.35">
      <c r="A12357" t="s">
        <v>219</v>
      </c>
      <c r="B12357" t="s">
        <v>305</v>
      </c>
      <c r="C12357" t="s">
        <v>1424</v>
      </c>
      <c r="D12357" t="s">
        <v>1427</v>
      </c>
      <c r="E12357" t="s">
        <v>281</v>
      </c>
      <c r="F12357" t="s">
        <v>1426</v>
      </c>
      <c r="G12357" t="s">
        <v>1425</v>
      </c>
      <c r="H12357" t="s">
        <v>286</v>
      </c>
      <c r="I12357" t="s">
        <v>226</v>
      </c>
    </row>
    <row r="12358" spans="1:9" x14ac:dyDescent="0.35">
      <c r="A12358" t="s">
        <v>227</v>
      </c>
      <c r="B12358" t="s">
        <v>239</v>
      </c>
      <c r="C12358" s="26">
        <v>0.9839</v>
      </c>
      <c r="D12358" s="26">
        <v>1.61E-2</v>
      </c>
      <c r="I12358">
        <v>62</v>
      </c>
    </row>
    <row r="12359" spans="1:9" x14ac:dyDescent="0.35">
      <c r="A12359" t="s">
        <v>227</v>
      </c>
      <c r="B12359" t="s">
        <v>238</v>
      </c>
      <c r="C12359" s="26">
        <v>0.91920000000000002</v>
      </c>
      <c r="D12359" s="26">
        <v>3.0300000000000001E-2</v>
      </c>
      <c r="E12359" s="26">
        <v>1.01E-2</v>
      </c>
      <c r="F12359" s="26">
        <v>2.0199999999999999E-2</v>
      </c>
      <c r="G12359" s="26">
        <v>2.0199999999999999E-2</v>
      </c>
      <c r="I12359">
        <v>99</v>
      </c>
    </row>
    <row r="12360" spans="1:9" x14ac:dyDescent="0.35">
      <c r="A12360" t="s">
        <v>228</v>
      </c>
      <c r="B12360" t="s">
        <v>239</v>
      </c>
      <c r="C12360" s="26">
        <v>0.94130000000000003</v>
      </c>
      <c r="D12360" s="26">
        <v>2.3099999999999999E-2</v>
      </c>
      <c r="E12360" s="26">
        <v>1.6500000000000001E-2</v>
      </c>
      <c r="F12360" s="26">
        <v>1.2800000000000001E-2</v>
      </c>
      <c r="G12360" s="26">
        <v>6.4000000000000003E-3</v>
      </c>
      <c r="I12360">
        <v>330</v>
      </c>
    </row>
    <row r="12361" spans="1:9" x14ac:dyDescent="0.35">
      <c r="A12361" t="s">
        <v>228</v>
      </c>
      <c r="B12361" t="s">
        <v>238</v>
      </c>
      <c r="C12361" s="26">
        <v>0.88160000000000005</v>
      </c>
      <c r="D12361" s="26">
        <v>2.9000000000000001E-2</v>
      </c>
      <c r="E12361" s="26">
        <v>2.9000000000000001E-2</v>
      </c>
      <c r="F12361" s="26">
        <v>3.4000000000000002E-2</v>
      </c>
      <c r="G12361" s="26">
        <v>2.6499999999999999E-2</v>
      </c>
      <c r="I12361">
        <v>703</v>
      </c>
    </row>
    <row r="12362" spans="1:9" x14ac:dyDescent="0.35">
      <c r="A12362" t="s">
        <v>229</v>
      </c>
      <c r="B12362" t="s">
        <v>239</v>
      </c>
      <c r="C12362" s="26">
        <v>0.91469999999999996</v>
      </c>
      <c r="D12362" s="26">
        <v>9.5999999999999992E-3</v>
      </c>
      <c r="E12362" s="26">
        <v>2.86E-2</v>
      </c>
      <c r="F12362" s="26">
        <v>2.75E-2</v>
      </c>
      <c r="G12362" s="26">
        <v>9.7999999999999997E-3</v>
      </c>
      <c r="H12362" s="26">
        <v>9.7999999999999997E-3</v>
      </c>
      <c r="I12362">
        <v>332</v>
      </c>
    </row>
    <row r="12363" spans="1:9" x14ac:dyDescent="0.35">
      <c r="A12363" t="s">
        <v>229</v>
      </c>
      <c r="B12363" t="s">
        <v>238</v>
      </c>
      <c r="C12363" s="26">
        <v>0.89470000000000005</v>
      </c>
      <c r="D12363" s="26">
        <v>2.01E-2</v>
      </c>
      <c r="E12363" s="26">
        <v>2.8000000000000001E-2</v>
      </c>
      <c r="F12363" s="26">
        <v>4.9200000000000001E-2</v>
      </c>
      <c r="G12363" s="26">
        <v>7.3000000000000001E-3</v>
      </c>
      <c r="H12363" s="26">
        <v>6.9999999999999999E-4</v>
      </c>
      <c r="I12363">
        <v>563</v>
      </c>
    </row>
    <row r="12364" spans="1:9" x14ac:dyDescent="0.35">
      <c r="A12364" t="s">
        <v>230</v>
      </c>
      <c r="B12364" t="s">
        <v>239</v>
      </c>
      <c r="C12364" s="26">
        <v>0.92279999999999995</v>
      </c>
      <c r="D12364" s="26">
        <v>3.1600000000000003E-2</v>
      </c>
      <c r="E12364" s="26">
        <v>3.8999999999999998E-3</v>
      </c>
      <c r="F12364" s="26">
        <v>3.8699999999999998E-2</v>
      </c>
      <c r="G12364" s="26">
        <v>3.0000000000000001E-3</v>
      </c>
      <c r="I12364">
        <v>211</v>
      </c>
    </row>
    <row r="12365" spans="1:9" x14ac:dyDescent="0.35">
      <c r="A12365" t="s">
        <v>230</v>
      </c>
      <c r="B12365" t="s">
        <v>238</v>
      </c>
      <c r="C12365" s="26">
        <v>0.92300000000000004</v>
      </c>
      <c r="D12365" s="26">
        <v>2.86E-2</v>
      </c>
      <c r="E12365" s="26">
        <v>4.5999999999999999E-3</v>
      </c>
      <c r="F12365" s="26">
        <v>2.2100000000000002E-2</v>
      </c>
      <c r="G12365" s="26">
        <v>2.1700000000000001E-2</v>
      </c>
      <c r="I12365">
        <v>349</v>
      </c>
    </row>
    <row r="12366" spans="1:9" x14ac:dyDescent="0.35">
      <c r="A12366" t="s">
        <v>231</v>
      </c>
      <c r="B12366" t="s">
        <v>239</v>
      </c>
      <c r="C12366" s="26">
        <v>0.96489999999999998</v>
      </c>
      <c r="E12366" s="26">
        <v>3.5099999999999999E-2</v>
      </c>
      <c r="I12366">
        <v>57</v>
      </c>
    </row>
    <row r="12367" spans="1:9" x14ac:dyDescent="0.35">
      <c r="A12367" t="s">
        <v>231</v>
      </c>
      <c r="B12367" t="s">
        <v>238</v>
      </c>
      <c r="C12367" s="26">
        <v>0.91590000000000005</v>
      </c>
      <c r="D12367" s="26">
        <v>3.7400000000000003E-2</v>
      </c>
      <c r="E12367" s="26">
        <v>2.8000000000000001E-2</v>
      </c>
      <c r="G12367" s="26">
        <v>1.8700000000000001E-2</v>
      </c>
      <c r="I12367">
        <v>107</v>
      </c>
    </row>
    <row r="12368" spans="1:9" x14ac:dyDescent="0.35">
      <c r="A12368" t="s">
        <v>232</v>
      </c>
      <c r="B12368" t="s">
        <v>232</v>
      </c>
      <c r="C12368" s="26">
        <v>0.91669999999999996</v>
      </c>
      <c r="D12368" s="26">
        <v>2.3599999999999999E-2</v>
      </c>
      <c r="E12368" s="26">
        <v>2.29E-2</v>
      </c>
      <c r="F12368" s="26">
        <v>2.2700000000000001E-2</v>
      </c>
      <c r="G12368" s="26">
        <v>1.3299999999999999E-2</v>
      </c>
      <c r="H12368" s="26">
        <v>8.9999999999999998E-4</v>
      </c>
      <c r="I12368">
        <v>2813</v>
      </c>
    </row>
    <row r="12370" spans="1:9" x14ac:dyDescent="0.35">
      <c r="A12370" s="1" t="s">
        <v>1460</v>
      </c>
    </row>
    <row r="12371" spans="1:9" x14ac:dyDescent="0.35">
      <c r="A12371" t="s">
        <v>219</v>
      </c>
      <c r="B12371" t="s">
        <v>305</v>
      </c>
      <c r="C12371" t="s">
        <v>1424</v>
      </c>
      <c r="D12371" t="s">
        <v>1427</v>
      </c>
      <c r="E12371" t="s">
        <v>281</v>
      </c>
      <c r="F12371" t="s">
        <v>1426</v>
      </c>
      <c r="G12371" t="s">
        <v>1425</v>
      </c>
      <c r="H12371" t="s">
        <v>286</v>
      </c>
      <c r="I12371" t="s">
        <v>226</v>
      </c>
    </row>
    <row r="12372" spans="1:9" x14ac:dyDescent="0.35">
      <c r="A12372" t="s">
        <v>227</v>
      </c>
      <c r="B12372" t="s">
        <v>244</v>
      </c>
      <c r="C12372" s="26">
        <v>0.9375</v>
      </c>
      <c r="D12372" s="26">
        <v>2.0799999999999999E-2</v>
      </c>
      <c r="F12372" s="26">
        <v>2.0799999999999999E-2</v>
      </c>
      <c r="G12372" s="26">
        <v>2.0799999999999999E-2</v>
      </c>
      <c r="I12372">
        <v>96</v>
      </c>
    </row>
    <row r="12373" spans="1:9" x14ac:dyDescent="0.35">
      <c r="A12373" t="s">
        <v>227</v>
      </c>
      <c r="B12373" t="s">
        <v>245</v>
      </c>
      <c r="C12373" s="26">
        <v>0.94340000000000002</v>
      </c>
      <c r="D12373" s="26">
        <v>3.7699999999999997E-2</v>
      </c>
      <c r="E12373" s="26">
        <v>1.89E-2</v>
      </c>
      <c r="I12373">
        <v>53</v>
      </c>
    </row>
    <row r="12374" spans="1:9" x14ac:dyDescent="0.35">
      <c r="A12374" s="27" t="s">
        <v>227</v>
      </c>
      <c r="B12374" s="27" t="s">
        <v>246</v>
      </c>
      <c r="C12374" s="28">
        <v>1</v>
      </c>
      <c r="D12374" s="29"/>
      <c r="E12374" s="29"/>
      <c r="F12374" s="29"/>
      <c r="G12374" s="29"/>
      <c r="H12374" s="29"/>
      <c r="I12374" s="29" t="s">
        <v>342</v>
      </c>
    </row>
    <row r="12375" spans="1:9" x14ac:dyDescent="0.35">
      <c r="A12375" t="s">
        <v>228</v>
      </c>
      <c r="B12375" t="s">
        <v>244</v>
      </c>
      <c r="C12375" s="26">
        <v>0.88339999999999996</v>
      </c>
      <c r="D12375" s="26">
        <v>3.0099999999999998E-2</v>
      </c>
      <c r="E12375" s="26">
        <v>3.1399999999999997E-2</v>
      </c>
      <c r="F12375" s="26">
        <v>4.1300000000000003E-2</v>
      </c>
      <c r="G12375" s="26">
        <v>1.3899999999999999E-2</v>
      </c>
      <c r="I12375">
        <v>638</v>
      </c>
    </row>
    <row r="12376" spans="1:9" x14ac:dyDescent="0.35">
      <c r="A12376" t="s">
        <v>228</v>
      </c>
      <c r="B12376" t="s">
        <v>245</v>
      </c>
      <c r="C12376" s="26">
        <v>0.90600000000000003</v>
      </c>
      <c r="D12376" s="26">
        <v>2.7799999999999998E-2</v>
      </c>
      <c r="E12376" s="26">
        <v>1.83E-2</v>
      </c>
      <c r="F12376" s="26">
        <v>3.3E-3</v>
      </c>
      <c r="G12376" s="26">
        <v>4.4600000000000001E-2</v>
      </c>
      <c r="I12376">
        <v>328</v>
      </c>
    </row>
    <row r="12377" spans="1:9" x14ac:dyDescent="0.35">
      <c r="A12377" t="s">
        <v>228</v>
      </c>
      <c r="B12377" t="s">
        <v>246</v>
      </c>
      <c r="C12377" s="26">
        <v>0.94479999999999997</v>
      </c>
      <c r="D12377" s="26">
        <v>6.0000000000000001E-3</v>
      </c>
      <c r="E12377" s="26">
        <v>1.21E-2</v>
      </c>
      <c r="F12377" s="26">
        <v>2.5100000000000001E-2</v>
      </c>
      <c r="G12377" s="26">
        <v>1.21E-2</v>
      </c>
      <c r="I12377">
        <v>67</v>
      </c>
    </row>
    <row r="12378" spans="1:9" x14ac:dyDescent="0.35">
      <c r="A12378" t="s">
        <v>229</v>
      </c>
      <c r="B12378" t="s">
        <v>244</v>
      </c>
      <c r="C12378" s="26">
        <v>0.91700000000000004</v>
      </c>
      <c r="D12378" s="26">
        <v>1.6E-2</v>
      </c>
      <c r="E12378" s="26">
        <v>2.7900000000000001E-2</v>
      </c>
      <c r="F12378" s="26">
        <v>3.2199999999999999E-2</v>
      </c>
      <c r="G12378" s="26">
        <v>6.1999999999999998E-3</v>
      </c>
      <c r="H12378" s="26">
        <v>6.9999999999999999E-4</v>
      </c>
      <c r="I12378">
        <v>557</v>
      </c>
    </row>
    <row r="12379" spans="1:9" x14ac:dyDescent="0.35">
      <c r="A12379" t="s">
        <v>229</v>
      </c>
      <c r="B12379" t="s">
        <v>245</v>
      </c>
      <c r="C12379" s="26">
        <v>0.86419999999999997</v>
      </c>
      <c r="D12379" s="26">
        <v>2.3699999999999999E-2</v>
      </c>
      <c r="E12379" s="26">
        <v>2.4400000000000002E-2</v>
      </c>
      <c r="F12379" s="26">
        <v>7.3899999999999993E-2</v>
      </c>
      <c r="G12379" s="26">
        <v>3.8999999999999998E-3</v>
      </c>
      <c r="H12379" s="26">
        <v>9.9000000000000008E-3</v>
      </c>
      <c r="I12379">
        <v>293</v>
      </c>
    </row>
    <row r="12380" spans="1:9" x14ac:dyDescent="0.35">
      <c r="A12380" t="s">
        <v>229</v>
      </c>
      <c r="B12380" t="s">
        <v>246</v>
      </c>
      <c r="C12380" s="26">
        <v>0.8458</v>
      </c>
      <c r="D12380" s="26">
        <v>6.1999999999999998E-3</v>
      </c>
      <c r="E12380" s="26">
        <v>4.8899999999999999E-2</v>
      </c>
      <c r="F12380" s="26">
        <v>4.8899999999999999E-2</v>
      </c>
      <c r="G12380" s="26">
        <v>5.0299999999999997E-2</v>
      </c>
      <c r="I12380">
        <v>45</v>
      </c>
    </row>
    <row r="12381" spans="1:9" x14ac:dyDescent="0.35">
      <c r="A12381" t="s">
        <v>230</v>
      </c>
      <c r="B12381" t="s">
        <v>244</v>
      </c>
      <c r="C12381" s="26">
        <v>0.91080000000000005</v>
      </c>
      <c r="D12381" s="26">
        <v>3.1899999999999998E-2</v>
      </c>
      <c r="E12381" s="26">
        <v>2.5000000000000001E-3</v>
      </c>
      <c r="F12381" s="26">
        <v>3.6200000000000003E-2</v>
      </c>
      <c r="G12381" s="26">
        <v>1.8599999999999998E-2</v>
      </c>
      <c r="I12381">
        <v>370</v>
      </c>
    </row>
    <row r="12382" spans="1:9" x14ac:dyDescent="0.35">
      <c r="A12382" t="s">
        <v>230</v>
      </c>
      <c r="B12382" t="s">
        <v>245</v>
      </c>
      <c r="C12382" s="26">
        <v>0.95089999999999997</v>
      </c>
      <c r="D12382" s="26">
        <v>2.8799999999999999E-2</v>
      </c>
      <c r="E12382" s="26">
        <v>6.8999999999999999E-3</v>
      </c>
      <c r="F12382" s="26">
        <v>4.4999999999999997E-3</v>
      </c>
      <c r="G12382" s="26">
        <v>8.8999999999999999E-3</v>
      </c>
      <c r="I12382">
        <v>161</v>
      </c>
    </row>
    <row r="12383" spans="1:9" x14ac:dyDescent="0.35">
      <c r="A12383" s="27" t="s">
        <v>230</v>
      </c>
      <c r="B12383" s="27" t="s">
        <v>246</v>
      </c>
      <c r="C12383" s="28">
        <v>0.94520000000000004</v>
      </c>
      <c r="D12383" s="29"/>
      <c r="E12383" s="28">
        <v>1.83E-2</v>
      </c>
      <c r="F12383" s="28">
        <v>1.83E-2</v>
      </c>
      <c r="G12383" s="28">
        <v>1.83E-2</v>
      </c>
      <c r="H12383" s="29"/>
      <c r="I12383" s="29" t="s">
        <v>329</v>
      </c>
    </row>
    <row r="12384" spans="1:9" x14ac:dyDescent="0.35">
      <c r="A12384" t="s">
        <v>231</v>
      </c>
      <c r="B12384" t="s">
        <v>244</v>
      </c>
      <c r="C12384" s="26">
        <v>0.91579999999999995</v>
      </c>
      <c r="D12384" s="26">
        <v>2.1100000000000001E-2</v>
      </c>
      <c r="E12384" s="26">
        <v>5.2600000000000001E-2</v>
      </c>
      <c r="G12384" s="26">
        <v>1.0500000000000001E-2</v>
      </c>
      <c r="I12384">
        <v>95</v>
      </c>
    </row>
    <row r="12385" spans="1:9" x14ac:dyDescent="0.35">
      <c r="A12385" t="s">
        <v>231</v>
      </c>
      <c r="B12385" t="s">
        <v>245</v>
      </c>
      <c r="C12385" s="26">
        <v>0.94640000000000002</v>
      </c>
      <c r="D12385" s="26">
        <v>3.5700000000000003E-2</v>
      </c>
      <c r="G12385" s="26">
        <v>1.7899999999999999E-2</v>
      </c>
      <c r="I12385">
        <v>56</v>
      </c>
    </row>
    <row r="12386" spans="1:9" x14ac:dyDescent="0.35">
      <c r="A12386" s="27" t="s">
        <v>231</v>
      </c>
      <c r="B12386" s="27" t="s">
        <v>246</v>
      </c>
      <c r="C12386" s="28">
        <v>1</v>
      </c>
      <c r="D12386" s="29"/>
      <c r="E12386" s="29"/>
      <c r="F12386" s="29"/>
      <c r="G12386" s="29"/>
      <c r="H12386" s="29"/>
      <c r="I12386" s="29" t="s">
        <v>341</v>
      </c>
    </row>
    <row r="12387" spans="1:9" x14ac:dyDescent="0.35">
      <c r="A12387" t="s">
        <v>232</v>
      </c>
      <c r="B12387" t="s">
        <v>232</v>
      </c>
      <c r="C12387" s="26">
        <v>0.91669999999999996</v>
      </c>
      <c r="D12387" s="26">
        <v>2.3599999999999999E-2</v>
      </c>
      <c r="E12387" s="26">
        <v>2.29E-2</v>
      </c>
      <c r="F12387" s="26">
        <v>2.2700000000000001E-2</v>
      </c>
      <c r="G12387" s="26">
        <v>1.3299999999999999E-2</v>
      </c>
      <c r="H12387" s="26">
        <v>8.9999999999999998E-4</v>
      </c>
      <c r="I12387">
        <v>2813</v>
      </c>
    </row>
    <row r="12389" spans="1:9" x14ac:dyDescent="0.35">
      <c r="A12389" s="1" t="s">
        <v>1461</v>
      </c>
    </row>
    <row r="12390" spans="1:9" x14ac:dyDescent="0.35">
      <c r="A12390" t="s">
        <v>219</v>
      </c>
      <c r="B12390" t="s">
        <v>305</v>
      </c>
      <c r="C12390" t="s">
        <v>1424</v>
      </c>
      <c r="D12390" t="s">
        <v>1427</v>
      </c>
      <c r="E12390" t="s">
        <v>281</v>
      </c>
      <c r="F12390" t="s">
        <v>1426</v>
      </c>
      <c r="G12390" t="s">
        <v>1425</v>
      </c>
      <c r="H12390" t="s">
        <v>286</v>
      </c>
      <c r="I12390" t="s">
        <v>226</v>
      </c>
    </row>
    <row r="12391" spans="1:9" x14ac:dyDescent="0.35">
      <c r="A12391" t="s">
        <v>227</v>
      </c>
      <c r="B12391" t="s">
        <v>360</v>
      </c>
      <c r="C12391" s="26">
        <v>0.97440000000000004</v>
      </c>
      <c r="D12391" s="26">
        <v>2.5600000000000001E-2</v>
      </c>
      <c r="I12391">
        <v>39</v>
      </c>
    </row>
    <row r="12392" spans="1:9" x14ac:dyDescent="0.35">
      <c r="A12392" t="s">
        <v>227</v>
      </c>
      <c r="B12392" t="s">
        <v>361</v>
      </c>
      <c r="C12392" s="26">
        <v>0.96879999999999999</v>
      </c>
      <c r="F12392" s="26">
        <v>3.1199999999999999E-2</v>
      </c>
      <c r="I12392">
        <v>32</v>
      </c>
    </row>
    <row r="12393" spans="1:9" x14ac:dyDescent="0.35">
      <c r="A12393" t="s">
        <v>227</v>
      </c>
      <c r="B12393" t="s">
        <v>362</v>
      </c>
      <c r="C12393" s="26">
        <v>0.89190000000000003</v>
      </c>
      <c r="D12393" s="26">
        <v>8.1100000000000005E-2</v>
      </c>
      <c r="G12393" s="26">
        <v>2.7E-2</v>
      </c>
      <c r="I12393">
        <v>37</v>
      </c>
    </row>
    <row r="12394" spans="1:9" x14ac:dyDescent="0.35">
      <c r="A12394" t="s">
        <v>227</v>
      </c>
      <c r="B12394" t="s">
        <v>363</v>
      </c>
      <c r="C12394" s="26">
        <v>0.93330000000000002</v>
      </c>
      <c r="E12394" s="26">
        <v>2.2200000000000001E-2</v>
      </c>
      <c r="F12394" s="26">
        <v>2.2200000000000001E-2</v>
      </c>
      <c r="G12394" s="26">
        <v>2.2200000000000001E-2</v>
      </c>
      <c r="I12394">
        <v>45</v>
      </c>
    </row>
    <row r="12395" spans="1:9" x14ac:dyDescent="0.35">
      <c r="A12395" t="s">
        <v>228</v>
      </c>
      <c r="B12395" t="s">
        <v>360</v>
      </c>
      <c r="C12395" s="26">
        <v>0.87539999999999996</v>
      </c>
      <c r="D12395" s="26">
        <v>2.69E-2</v>
      </c>
      <c r="E12395" s="26">
        <v>3.3000000000000002E-2</v>
      </c>
      <c r="F12395" s="26">
        <v>3.7600000000000001E-2</v>
      </c>
      <c r="G12395" s="26">
        <v>2.7199999999999998E-2</v>
      </c>
      <c r="I12395">
        <v>258</v>
      </c>
    </row>
    <row r="12396" spans="1:9" x14ac:dyDescent="0.35">
      <c r="A12396" t="s">
        <v>228</v>
      </c>
      <c r="B12396" t="s">
        <v>361</v>
      </c>
      <c r="C12396" s="26">
        <v>0.86580000000000001</v>
      </c>
      <c r="D12396" s="26">
        <v>0.03</v>
      </c>
      <c r="E12396" s="26">
        <v>1.5699999999999999E-2</v>
      </c>
      <c r="F12396" s="26">
        <v>3.5799999999999998E-2</v>
      </c>
      <c r="G12396" s="26">
        <v>5.2699999999999997E-2</v>
      </c>
      <c r="I12396">
        <v>194</v>
      </c>
    </row>
    <row r="12397" spans="1:9" x14ac:dyDescent="0.35">
      <c r="A12397" t="s">
        <v>228</v>
      </c>
      <c r="B12397" t="s">
        <v>363</v>
      </c>
      <c r="C12397" s="26">
        <v>0.9083</v>
      </c>
      <c r="D12397" s="26">
        <v>5.1999999999999998E-2</v>
      </c>
      <c r="E12397" s="26">
        <v>8.6999999999999994E-3</v>
      </c>
      <c r="F12397" s="26">
        <v>2.1100000000000001E-2</v>
      </c>
      <c r="G12397" s="26">
        <v>9.7999999999999997E-3</v>
      </c>
      <c r="I12397">
        <v>212</v>
      </c>
    </row>
    <row r="12398" spans="1:9" x14ac:dyDescent="0.35">
      <c r="A12398" t="s">
        <v>228</v>
      </c>
      <c r="B12398" t="s">
        <v>362</v>
      </c>
      <c r="C12398" s="26">
        <v>0.91869999999999996</v>
      </c>
      <c r="D12398" s="26">
        <v>1.04E-2</v>
      </c>
      <c r="E12398" s="26">
        <v>4.2900000000000001E-2</v>
      </c>
      <c r="F12398" s="26">
        <v>1.9900000000000001E-2</v>
      </c>
      <c r="G12398" s="26">
        <v>8.0999999999999996E-3</v>
      </c>
      <c r="I12398">
        <v>236</v>
      </c>
    </row>
    <row r="12399" spans="1:9" x14ac:dyDescent="0.35">
      <c r="A12399" t="s">
        <v>229</v>
      </c>
      <c r="B12399" t="s">
        <v>363</v>
      </c>
      <c r="C12399" s="26">
        <v>0.86850000000000005</v>
      </c>
      <c r="D12399" s="26">
        <v>2.3699999999999999E-2</v>
      </c>
      <c r="E12399" s="26">
        <v>5.5599999999999997E-2</v>
      </c>
      <c r="F12399" s="26">
        <v>5.0200000000000002E-2</v>
      </c>
      <c r="G12399" s="26">
        <v>1E-3</v>
      </c>
      <c r="H12399" s="26">
        <v>8.9999999999999998E-4</v>
      </c>
      <c r="I12399">
        <v>191</v>
      </c>
    </row>
    <row r="12400" spans="1:9" x14ac:dyDescent="0.35">
      <c r="A12400" t="s">
        <v>229</v>
      </c>
      <c r="B12400" t="s">
        <v>360</v>
      </c>
      <c r="C12400" s="26">
        <v>0.86260000000000003</v>
      </c>
      <c r="D12400" s="26">
        <v>2.1600000000000001E-2</v>
      </c>
      <c r="E12400" s="26">
        <v>2.2200000000000001E-2</v>
      </c>
      <c r="F12400" s="26">
        <v>5.4699999999999999E-2</v>
      </c>
      <c r="G12400" s="26">
        <v>2.2700000000000001E-2</v>
      </c>
      <c r="H12400" s="26">
        <v>1.6199999999999999E-2</v>
      </c>
      <c r="I12400">
        <v>164</v>
      </c>
    </row>
    <row r="12401" spans="1:9" x14ac:dyDescent="0.35">
      <c r="A12401" t="s">
        <v>229</v>
      </c>
      <c r="B12401" t="s">
        <v>361</v>
      </c>
      <c r="C12401" s="26">
        <v>0.91139999999999999</v>
      </c>
      <c r="D12401" s="26">
        <v>1.5599999999999999E-2</v>
      </c>
      <c r="E12401" s="26">
        <v>1.5299999999999999E-2</v>
      </c>
      <c r="F12401" s="26">
        <v>5.4899999999999997E-2</v>
      </c>
      <c r="G12401" s="26">
        <v>2.8999999999999998E-3</v>
      </c>
      <c r="I12401">
        <v>243</v>
      </c>
    </row>
    <row r="12402" spans="1:9" x14ac:dyDescent="0.35">
      <c r="A12402" t="s">
        <v>229</v>
      </c>
      <c r="B12402" t="s">
        <v>362</v>
      </c>
      <c r="C12402" s="26">
        <v>0.92600000000000005</v>
      </c>
      <c r="D12402" s="26">
        <v>6.1999999999999998E-3</v>
      </c>
      <c r="E12402" s="26">
        <v>4.65E-2</v>
      </c>
      <c r="F12402" s="26">
        <v>2.0299999999999999E-2</v>
      </c>
      <c r="G12402" s="26">
        <v>1E-3</v>
      </c>
      <c r="I12402">
        <v>171</v>
      </c>
    </row>
    <row r="12403" spans="1:9" x14ac:dyDescent="0.35">
      <c r="A12403" t="s">
        <v>230</v>
      </c>
      <c r="B12403" t="s">
        <v>360</v>
      </c>
      <c r="C12403" s="26">
        <v>0.90910000000000002</v>
      </c>
      <c r="D12403" s="26">
        <v>6.7000000000000004E-2</v>
      </c>
      <c r="E12403" s="26">
        <v>9.5999999999999992E-3</v>
      </c>
      <c r="F12403" s="26">
        <v>4.7000000000000002E-3</v>
      </c>
      <c r="G12403" s="26">
        <v>9.4999999999999998E-3</v>
      </c>
      <c r="I12403">
        <v>120</v>
      </c>
    </row>
    <row r="12404" spans="1:9" x14ac:dyDescent="0.35">
      <c r="A12404" t="s">
        <v>230</v>
      </c>
      <c r="B12404" t="s">
        <v>363</v>
      </c>
      <c r="C12404" s="26">
        <v>0.91859999999999997</v>
      </c>
      <c r="D12404" s="26">
        <v>2.5399999999999999E-2</v>
      </c>
      <c r="E12404" s="26">
        <v>8.8000000000000005E-3</v>
      </c>
      <c r="F12404" s="26">
        <v>2.3099999999999999E-2</v>
      </c>
      <c r="G12404" s="26">
        <v>2.4199999999999999E-2</v>
      </c>
      <c r="I12404">
        <v>127</v>
      </c>
    </row>
    <row r="12405" spans="1:9" x14ac:dyDescent="0.35">
      <c r="A12405" t="s">
        <v>230</v>
      </c>
      <c r="B12405" t="s">
        <v>361</v>
      </c>
      <c r="C12405" s="26">
        <v>0.92949999999999999</v>
      </c>
      <c r="D12405" s="26">
        <v>3.6600000000000001E-2</v>
      </c>
      <c r="E12405" s="26">
        <v>1.1000000000000001E-3</v>
      </c>
      <c r="F12405" s="26">
        <v>2.93E-2</v>
      </c>
      <c r="G12405" s="26">
        <v>3.5999999999999999E-3</v>
      </c>
      <c r="I12405">
        <v>109</v>
      </c>
    </row>
    <row r="12406" spans="1:9" x14ac:dyDescent="0.35">
      <c r="A12406" t="s">
        <v>230</v>
      </c>
      <c r="B12406" t="s">
        <v>362</v>
      </c>
      <c r="C12406" s="26">
        <v>0.91669999999999996</v>
      </c>
      <c r="D12406" s="26">
        <v>7.1999999999999998E-3</v>
      </c>
      <c r="F12406" s="26">
        <v>4.6399999999999997E-2</v>
      </c>
      <c r="G12406" s="26">
        <v>2.9700000000000001E-2</v>
      </c>
      <c r="I12406">
        <v>148</v>
      </c>
    </row>
    <row r="12407" spans="1:9" x14ac:dyDescent="0.35">
      <c r="A12407" s="27" t="s">
        <v>231</v>
      </c>
      <c r="B12407" s="27" t="s">
        <v>362</v>
      </c>
      <c r="C12407" s="28">
        <v>1</v>
      </c>
      <c r="D12407" s="29"/>
      <c r="E12407" s="29"/>
      <c r="F12407" s="29"/>
      <c r="G12407" s="29"/>
      <c r="H12407" s="29"/>
      <c r="I12407" s="29" t="s">
        <v>329</v>
      </c>
    </row>
    <row r="12408" spans="1:9" x14ac:dyDescent="0.35">
      <c r="A12408" t="s">
        <v>231</v>
      </c>
      <c r="B12408" t="s">
        <v>361</v>
      </c>
      <c r="C12408" s="26">
        <v>0.84</v>
      </c>
      <c r="D12408" s="26">
        <v>0.06</v>
      </c>
      <c r="E12408" s="26">
        <v>0.06</v>
      </c>
      <c r="G12408" s="26">
        <v>0.04</v>
      </c>
      <c r="I12408">
        <v>50</v>
      </c>
    </row>
    <row r="12409" spans="1:9" x14ac:dyDescent="0.35">
      <c r="A12409" t="s">
        <v>231</v>
      </c>
      <c r="B12409" t="s">
        <v>360</v>
      </c>
      <c r="C12409" s="26">
        <v>0.97729999999999995</v>
      </c>
      <c r="E12409" s="26">
        <v>2.2700000000000001E-2</v>
      </c>
      <c r="I12409">
        <v>44</v>
      </c>
    </row>
    <row r="12410" spans="1:9" x14ac:dyDescent="0.35">
      <c r="A12410" s="27" t="s">
        <v>231</v>
      </c>
      <c r="B12410" s="27" t="s">
        <v>363</v>
      </c>
      <c r="C12410" s="28">
        <v>0.92589999999999995</v>
      </c>
      <c r="D12410" s="28">
        <v>3.6999999999999998E-2</v>
      </c>
      <c r="E12410" s="28">
        <v>3.6999999999999998E-2</v>
      </c>
      <c r="F12410" s="29"/>
      <c r="G12410" s="29"/>
      <c r="H12410" s="29"/>
      <c r="I12410" s="29" t="s">
        <v>338</v>
      </c>
    </row>
    <row r="12411" spans="1:9" x14ac:dyDescent="0.35">
      <c r="A12411" t="s">
        <v>232</v>
      </c>
      <c r="B12411" t="s">
        <v>232</v>
      </c>
      <c r="C12411" s="26">
        <v>0.91669999999999996</v>
      </c>
      <c r="D12411" s="26">
        <v>2.3599999999999999E-2</v>
      </c>
      <c r="E12411" s="26">
        <v>2.29E-2</v>
      </c>
      <c r="F12411" s="26">
        <v>2.2700000000000001E-2</v>
      </c>
      <c r="G12411" s="26">
        <v>1.3299999999999999E-2</v>
      </c>
      <c r="H12411" s="26">
        <v>8.9999999999999998E-4</v>
      </c>
      <c r="I12411">
        <v>2476</v>
      </c>
    </row>
    <row r="12413" spans="1:9" x14ac:dyDescent="0.35">
      <c r="A12413" s="1" t="s">
        <v>1462</v>
      </c>
    </row>
    <row r="12414" spans="1:9" x14ac:dyDescent="0.35">
      <c r="A12414" t="s">
        <v>219</v>
      </c>
      <c r="B12414" t="s">
        <v>305</v>
      </c>
      <c r="C12414" t="s">
        <v>1424</v>
      </c>
      <c r="D12414" t="s">
        <v>1427</v>
      </c>
      <c r="E12414" t="s">
        <v>281</v>
      </c>
      <c r="F12414" t="s">
        <v>1426</v>
      </c>
      <c r="G12414" t="s">
        <v>1425</v>
      </c>
      <c r="H12414" t="s">
        <v>286</v>
      </c>
      <c r="I12414" t="s">
        <v>226</v>
      </c>
    </row>
    <row r="12415" spans="1:9" x14ac:dyDescent="0.35">
      <c r="A12415" t="s">
        <v>227</v>
      </c>
      <c r="B12415" t="s">
        <v>267</v>
      </c>
      <c r="C12415" s="26">
        <v>0.91669999999999996</v>
      </c>
      <c r="D12415" s="26">
        <v>5.5599999999999997E-2</v>
      </c>
      <c r="G12415" s="26">
        <v>2.7799999999999998E-2</v>
      </c>
      <c r="I12415">
        <v>36</v>
      </c>
    </row>
    <row r="12416" spans="1:9" x14ac:dyDescent="0.35">
      <c r="A12416" t="s">
        <v>227</v>
      </c>
      <c r="B12416" t="s">
        <v>266</v>
      </c>
      <c r="C12416" s="26">
        <v>0.94920000000000004</v>
      </c>
      <c r="D12416" s="26">
        <v>3.39E-2</v>
      </c>
      <c r="E12416" s="26">
        <v>1.6899999999999998E-2</v>
      </c>
      <c r="I12416">
        <v>59</v>
      </c>
    </row>
    <row r="12417" spans="1:9" x14ac:dyDescent="0.35">
      <c r="A12417" t="s">
        <v>227</v>
      </c>
      <c r="B12417" t="s">
        <v>265</v>
      </c>
      <c r="C12417" s="26">
        <v>0.95450000000000002</v>
      </c>
      <c r="F12417" s="26">
        <v>3.0300000000000001E-2</v>
      </c>
      <c r="G12417" s="26">
        <v>1.52E-2</v>
      </c>
      <c r="I12417">
        <v>66</v>
      </c>
    </row>
    <row r="12418" spans="1:9" x14ac:dyDescent="0.35">
      <c r="A12418" t="s">
        <v>228</v>
      </c>
      <c r="B12418" t="s">
        <v>267</v>
      </c>
      <c r="C12418" s="26">
        <v>0.88439999999999996</v>
      </c>
      <c r="D12418" s="26">
        <v>1.9599999999999999E-2</v>
      </c>
      <c r="E12418" s="26">
        <v>4.4299999999999999E-2</v>
      </c>
      <c r="F12418" s="26">
        <v>7.7999999999999996E-3</v>
      </c>
      <c r="G12418" s="26">
        <v>4.3900000000000002E-2</v>
      </c>
      <c r="I12418">
        <v>199</v>
      </c>
    </row>
    <row r="12419" spans="1:9" x14ac:dyDescent="0.35">
      <c r="A12419" t="s">
        <v>228</v>
      </c>
      <c r="B12419" t="s">
        <v>265</v>
      </c>
      <c r="C12419" s="26">
        <v>0.89980000000000004</v>
      </c>
      <c r="D12419" s="26">
        <v>2.7699999999999999E-2</v>
      </c>
      <c r="E12419" s="26">
        <v>2.6700000000000002E-2</v>
      </c>
      <c r="F12419" s="26">
        <v>4.0800000000000003E-2</v>
      </c>
      <c r="G12419" s="26">
        <v>5.0000000000000001E-3</v>
      </c>
      <c r="I12419">
        <v>384</v>
      </c>
    </row>
    <row r="12420" spans="1:9" x14ac:dyDescent="0.35">
      <c r="A12420" s="27" t="s">
        <v>228</v>
      </c>
      <c r="B12420" s="27" t="s">
        <v>236</v>
      </c>
      <c r="C12420" s="28">
        <v>1</v>
      </c>
      <c r="D12420" s="29"/>
      <c r="E12420" s="29"/>
      <c r="F12420" s="29"/>
      <c r="G12420" s="29"/>
      <c r="H12420" s="29"/>
      <c r="I12420" s="29" t="s">
        <v>314</v>
      </c>
    </row>
    <row r="12421" spans="1:9" x14ac:dyDescent="0.35">
      <c r="A12421" t="s">
        <v>228</v>
      </c>
      <c r="B12421" t="s">
        <v>266</v>
      </c>
      <c r="C12421" s="26">
        <v>0.8901</v>
      </c>
      <c r="D12421" s="26">
        <v>3.1699999999999999E-2</v>
      </c>
      <c r="E12421" s="26">
        <v>1.9300000000000001E-2</v>
      </c>
      <c r="F12421" s="26">
        <v>2.7699999999999999E-2</v>
      </c>
      <c r="G12421" s="26">
        <v>3.1199999999999999E-2</v>
      </c>
      <c r="I12421">
        <v>448</v>
      </c>
    </row>
    <row r="12422" spans="1:9" x14ac:dyDescent="0.35">
      <c r="A12422" t="s">
        <v>229</v>
      </c>
      <c r="B12422" t="s">
        <v>266</v>
      </c>
      <c r="C12422" s="26">
        <v>0.85509999999999997</v>
      </c>
      <c r="D12422" s="26">
        <v>2.29E-2</v>
      </c>
      <c r="E12422" s="26">
        <v>3.9600000000000003E-2</v>
      </c>
      <c r="F12422" s="26">
        <v>6.5100000000000005E-2</v>
      </c>
      <c r="G12422" s="26">
        <v>9.5999999999999992E-3</v>
      </c>
      <c r="H12422" s="26">
        <v>7.6E-3</v>
      </c>
      <c r="I12422">
        <v>359</v>
      </c>
    </row>
    <row r="12423" spans="1:9" x14ac:dyDescent="0.35">
      <c r="A12423" t="s">
        <v>229</v>
      </c>
      <c r="B12423" t="s">
        <v>267</v>
      </c>
      <c r="C12423" s="26">
        <v>0.89459999999999995</v>
      </c>
      <c r="D12423" s="26">
        <v>2.7E-2</v>
      </c>
      <c r="E12423" s="26">
        <v>1.95E-2</v>
      </c>
      <c r="F12423" s="26">
        <v>4.19E-2</v>
      </c>
      <c r="G12423" s="26">
        <v>1.7000000000000001E-2</v>
      </c>
      <c r="I12423">
        <v>201</v>
      </c>
    </row>
    <row r="12424" spans="1:9" x14ac:dyDescent="0.35">
      <c r="A12424" t="s">
        <v>229</v>
      </c>
      <c r="B12424" t="s">
        <v>265</v>
      </c>
      <c r="C12424" s="26">
        <v>0.93500000000000005</v>
      </c>
      <c r="D12424" s="26">
        <v>8.6999999999999994E-3</v>
      </c>
      <c r="E12424" s="26">
        <v>2.3900000000000001E-2</v>
      </c>
      <c r="F12424" s="26">
        <v>2.8899999999999999E-2</v>
      </c>
      <c r="G12424" s="26">
        <v>2.3E-3</v>
      </c>
      <c r="H12424" s="26">
        <v>1.1000000000000001E-3</v>
      </c>
      <c r="I12424">
        <v>335</v>
      </c>
    </row>
    <row r="12425" spans="1:9" x14ac:dyDescent="0.35">
      <c r="A12425" t="s">
        <v>230</v>
      </c>
      <c r="B12425" t="s">
        <v>267</v>
      </c>
      <c r="C12425" s="26">
        <v>0.92300000000000004</v>
      </c>
      <c r="D12425" s="26">
        <v>3.5099999999999999E-2</v>
      </c>
      <c r="E12425" s="26">
        <v>8.2000000000000007E-3</v>
      </c>
      <c r="F12425" s="26">
        <v>8.0999999999999996E-3</v>
      </c>
      <c r="G12425" s="26">
        <v>2.5700000000000001E-2</v>
      </c>
      <c r="I12425">
        <v>119</v>
      </c>
    </row>
    <row r="12426" spans="1:9" x14ac:dyDescent="0.35">
      <c r="A12426" t="s">
        <v>230</v>
      </c>
      <c r="B12426" t="s">
        <v>266</v>
      </c>
      <c r="C12426" s="26">
        <v>0.91690000000000005</v>
      </c>
      <c r="D12426" s="26">
        <v>3.7999999999999999E-2</v>
      </c>
      <c r="E12426" s="26">
        <v>5.7000000000000002E-3</v>
      </c>
      <c r="F12426" s="26">
        <v>3.0499999999999999E-2</v>
      </c>
      <c r="G12426" s="26">
        <v>8.8999999999999999E-3</v>
      </c>
      <c r="I12426">
        <v>232</v>
      </c>
    </row>
    <row r="12427" spans="1:9" x14ac:dyDescent="0.35">
      <c r="A12427" t="s">
        <v>230</v>
      </c>
      <c r="B12427" t="s">
        <v>265</v>
      </c>
      <c r="C12427" s="26">
        <v>0.92810000000000004</v>
      </c>
      <c r="D12427" s="26">
        <v>1.9300000000000001E-2</v>
      </c>
      <c r="E12427" s="26">
        <v>1.2999999999999999E-3</v>
      </c>
      <c r="F12427" s="26">
        <v>3.4200000000000001E-2</v>
      </c>
      <c r="G12427" s="26">
        <v>1.7100000000000001E-2</v>
      </c>
      <c r="I12427">
        <v>209</v>
      </c>
    </row>
    <row r="12428" spans="1:9" x14ac:dyDescent="0.35">
      <c r="A12428" t="s">
        <v>231</v>
      </c>
      <c r="B12428" t="s">
        <v>267</v>
      </c>
      <c r="C12428" s="26">
        <v>0.85289999999999999</v>
      </c>
      <c r="D12428" s="26">
        <v>2.9399999999999999E-2</v>
      </c>
      <c r="E12428" s="26">
        <v>5.8799999999999998E-2</v>
      </c>
      <c r="G12428" s="26">
        <v>5.8799999999999998E-2</v>
      </c>
      <c r="I12428">
        <v>34</v>
      </c>
    </row>
    <row r="12429" spans="1:9" x14ac:dyDescent="0.35">
      <c r="A12429" t="s">
        <v>231</v>
      </c>
      <c r="B12429" t="s">
        <v>266</v>
      </c>
      <c r="C12429" s="26">
        <v>0.9677</v>
      </c>
      <c r="D12429" s="26">
        <v>3.2300000000000002E-2</v>
      </c>
      <c r="I12429">
        <v>62</v>
      </c>
    </row>
    <row r="12430" spans="1:9" x14ac:dyDescent="0.35">
      <c r="A12430" t="s">
        <v>231</v>
      </c>
      <c r="B12430" t="s">
        <v>265</v>
      </c>
      <c r="C12430" s="26">
        <v>0.94120000000000004</v>
      </c>
      <c r="D12430" s="26">
        <v>1.47E-2</v>
      </c>
      <c r="E12430" s="26">
        <v>4.41E-2</v>
      </c>
      <c r="I12430">
        <v>68</v>
      </c>
    </row>
    <row r="12431" spans="1:9" x14ac:dyDescent="0.35">
      <c r="A12431" t="s">
        <v>232</v>
      </c>
      <c r="B12431" t="s">
        <v>232</v>
      </c>
      <c r="C12431" s="26">
        <v>0.91669999999999996</v>
      </c>
      <c r="D12431" s="26">
        <v>2.3599999999999999E-2</v>
      </c>
      <c r="E12431" s="26">
        <v>2.29E-2</v>
      </c>
      <c r="F12431" s="26">
        <v>2.2700000000000001E-2</v>
      </c>
      <c r="G12431" s="26">
        <v>1.3299999999999999E-2</v>
      </c>
      <c r="H12431" s="26">
        <v>8.9999999999999998E-4</v>
      </c>
      <c r="I12431">
        <v>2813</v>
      </c>
    </row>
    <row r="12433" spans="1:9" x14ac:dyDescent="0.35">
      <c r="A12433" s="1" t="s">
        <v>1463</v>
      </c>
    </row>
    <row r="12434" spans="1:9" x14ac:dyDescent="0.35">
      <c r="A12434" t="s">
        <v>219</v>
      </c>
      <c r="B12434" t="s">
        <v>305</v>
      </c>
      <c r="C12434" t="s">
        <v>1424</v>
      </c>
      <c r="D12434" t="s">
        <v>1427</v>
      </c>
      <c r="E12434" t="s">
        <v>281</v>
      </c>
      <c r="F12434" t="s">
        <v>1426</v>
      </c>
      <c r="G12434" t="s">
        <v>1425</v>
      </c>
      <c r="H12434" t="s">
        <v>286</v>
      </c>
      <c r="I12434" t="s">
        <v>226</v>
      </c>
    </row>
    <row r="12435" spans="1:9" x14ac:dyDescent="0.35">
      <c r="A12435" t="s">
        <v>227</v>
      </c>
      <c r="B12435" t="s">
        <v>252</v>
      </c>
      <c r="C12435" s="26">
        <v>0.93330000000000002</v>
      </c>
      <c r="D12435" s="26">
        <v>2.2200000000000001E-2</v>
      </c>
      <c r="E12435" s="26">
        <v>2.2200000000000001E-2</v>
      </c>
      <c r="G12435" s="26">
        <v>2.2200000000000001E-2</v>
      </c>
      <c r="I12435">
        <v>45</v>
      </c>
    </row>
    <row r="12436" spans="1:9" x14ac:dyDescent="0.35">
      <c r="A12436" t="s">
        <v>227</v>
      </c>
      <c r="B12436" t="s">
        <v>253</v>
      </c>
      <c r="C12436" s="26">
        <v>0.94120000000000004</v>
      </c>
      <c r="F12436" s="26">
        <v>2.9399999999999999E-2</v>
      </c>
      <c r="G12436" s="26">
        <v>2.9399999999999999E-2</v>
      </c>
      <c r="I12436">
        <v>34</v>
      </c>
    </row>
    <row r="12437" spans="1:9" x14ac:dyDescent="0.35">
      <c r="A12437" t="s">
        <v>227</v>
      </c>
      <c r="B12437" t="s">
        <v>251</v>
      </c>
      <c r="C12437" s="26">
        <v>0.95120000000000005</v>
      </c>
      <c r="D12437" s="26">
        <v>3.6600000000000001E-2</v>
      </c>
      <c r="F12437" s="26">
        <v>1.2200000000000001E-2</v>
      </c>
      <c r="I12437">
        <v>82</v>
      </c>
    </row>
    <row r="12438" spans="1:9" x14ac:dyDescent="0.35">
      <c r="A12438" t="s">
        <v>228</v>
      </c>
      <c r="B12438" t="s">
        <v>252</v>
      </c>
      <c r="C12438" s="26">
        <v>0.94569999999999999</v>
      </c>
      <c r="D12438" s="26">
        <v>1.3599999999999999E-2</v>
      </c>
      <c r="E12438" s="26">
        <v>2.9100000000000001E-2</v>
      </c>
      <c r="F12438" s="26">
        <v>3.0000000000000001E-3</v>
      </c>
      <c r="G12438" s="26">
        <v>8.6E-3</v>
      </c>
      <c r="I12438">
        <v>344</v>
      </c>
    </row>
    <row r="12439" spans="1:9" x14ac:dyDescent="0.35">
      <c r="A12439" t="s">
        <v>228</v>
      </c>
      <c r="B12439" t="s">
        <v>253</v>
      </c>
      <c r="C12439" s="26">
        <v>0.8538</v>
      </c>
      <c r="D12439" s="26">
        <v>3.0800000000000001E-2</v>
      </c>
      <c r="E12439" s="26">
        <v>4.0599999999999997E-2</v>
      </c>
      <c r="F12439" s="26">
        <v>4.8399999999999999E-2</v>
      </c>
      <c r="G12439" s="26">
        <v>2.64E-2</v>
      </c>
      <c r="I12439">
        <v>222</v>
      </c>
    </row>
    <row r="12440" spans="1:9" x14ac:dyDescent="0.35">
      <c r="A12440" t="s">
        <v>228</v>
      </c>
      <c r="B12440" t="s">
        <v>251</v>
      </c>
      <c r="C12440" s="26">
        <v>0.87619999999999998</v>
      </c>
      <c r="D12440" s="26">
        <v>3.5999999999999997E-2</v>
      </c>
      <c r="E12440" s="26">
        <v>1.8599999999999998E-2</v>
      </c>
      <c r="F12440" s="26">
        <v>3.9399999999999998E-2</v>
      </c>
      <c r="G12440" s="26">
        <v>2.98E-2</v>
      </c>
      <c r="I12440">
        <v>467</v>
      </c>
    </row>
    <row r="12441" spans="1:9" x14ac:dyDescent="0.35">
      <c r="A12441" t="s">
        <v>229</v>
      </c>
      <c r="B12441" t="s">
        <v>252</v>
      </c>
      <c r="C12441" s="26">
        <v>0.8972</v>
      </c>
      <c r="D12441" s="26">
        <v>1.5599999999999999E-2</v>
      </c>
      <c r="E12441" s="26">
        <v>3.8699999999999998E-2</v>
      </c>
      <c r="F12441" s="26">
        <v>3.73E-2</v>
      </c>
      <c r="H12441" s="26">
        <v>1.12E-2</v>
      </c>
      <c r="I12441">
        <v>199</v>
      </c>
    </row>
    <row r="12442" spans="1:9" x14ac:dyDescent="0.35">
      <c r="A12442" t="s">
        <v>229</v>
      </c>
      <c r="B12442" t="s">
        <v>253</v>
      </c>
      <c r="C12442" s="26">
        <v>0.89480000000000004</v>
      </c>
      <c r="D12442" s="26">
        <v>2.8299999999999999E-2</v>
      </c>
      <c r="E12442" s="26">
        <v>3.32E-2</v>
      </c>
      <c r="F12442" s="26">
        <v>2.9600000000000001E-2</v>
      </c>
      <c r="G12442" s="26">
        <v>1.4200000000000001E-2</v>
      </c>
      <c r="I12442">
        <v>145</v>
      </c>
    </row>
    <row r="12443" spans="1:9" x14ac:dyDescent="0.35">
      <c r="A12443" t="s">
        <v>229</v>
      </c>
      <c r="B12443" t="s">
        <v>251</v>
      </c>
      <c r="C12443" s="26">
        <v>0.90239999999999998</v>
      </c>
      <c r="D12443" s="26">
        <v>1.47E-2</v>
      </c>
      <c r="E12443" s="26">
        <v>2.24E-2</v>
      </c>
      <c r="F12443" s="26">
        <v>5.0599999999999999E-2</v>
      </c>
      <c r="G12443" s="26">
        <v>8.9999999999999993E-3</v>
      </c>
      <c r="H12443" s="26">
        <v>8.0000000000000004E-4</v>
      </c>
      <c r="I12443">
        <v>551</v>
      </c>
    </row>
    <row r="12444" spans="1:9" x14ac:dyDescent="0.35">
      <c r="A12444" t="s">
        <v>230</v>
      </c>
      <c r="B12444" t="s">
        <v>252</v>
      </c>
      <c r="C12444" s="26">
        <v>0.94430000000000003</v>
      </c>
      <c r="D12444" s="26">
        <v>4.2099999999999999E-2</v>
      </c>
      <c r="E12444" s="26">
        <v>3.5000000000000001E-3</v>
      </c>
      <c r="F12444" s="26">
        <v>1.1000000000000001E-3</v>
      </c>
      <c r="G12444" s="26">
        <v>9.1000000000000004E-3</v>
      </c>
      <c r="I12444">
        <v>159</v>
      </c>
    </row>
    <row r="12445" spans="1:9" x14ac:dyDescent="0.35">
      <c r="A12445" t="s">
        <v>230</v>
      </c>
      <c r="B12445" t="s">
        <v>253</v>
      </c>
      <c r="C12445" s="26">
        <v>0.91379999999999995</v>
      </c>
      <c r="D12445" s="26">
        <v>7.6E-3</v>
      </c>
      <c r="E12445" s="26">
        <v>7.6E-3</v>
      </c>
      <c r="F12445" s="26">
        <v>3.7900000000000003E-2</v>
      </c>
      <c r="G12445" s="26">
        <v>3.32E-2</v>
      </c>
      <c r="I12445">
        <v>110</v>
      </c>
    </row>
    <row r="12446" spans="1:9" x14ac:dyDescent="0.35">
      <c r="A12446" t="s">
        <v>230</v>
      </c>
      <c r="B12446" t="s">
        <v>251</v>
      </c>
      <c r="C12446" s="26">
        <v>0.91620000000000001</v>
      </c>
      <c r="D12446" s="26">
        <v>3.1199999999999999E-2</v>
      </c>
      <c r="E12446" s="26">
        <v>3.7000000000000002E-3</v>
      </c>
      <c r="F12446" s="26">
        <v>3.5499999999999997E-2</v>
      </c>
      <c r="G12446" s="26">
        <v>1.35E-2</v>
      </c>
      <c r="I12446">
        <v>291</v>
      </c>
    </row>
    <row r="12447" spans="1:9" x14ac:dyDescent="0.35">
      <c r="A12447" t="s">
        <v>231</v>
      </c>
      <c r="B12447" t="s">
        <v>252</v>
      </c>
      <c r="C12447" s="26">
        <v>0.95920000000000005</v>
      </c>
      <c r="E12447" s="26">
        <v>4.0800000000000003E-2</v>
      </c>
      <c r="I12447">
        <v>49</v>
      </c>
    </row>
    <row r="12448" spans="1:9" x14ac:dyDescent="0.35">
      <c r="A12448" t="s">
        <v>231</v>
      </c>
      <c r="B12448" t="s">
        <v>253</v>
      </c>
      <c r="C12448" s="26">
        <v>0.9667</v>
      </c>
      <c r="E12448" s="26">
        <v>3.3300000000000003E-2</v>
      </c>
      <c r="I12448">
        <v>30</v>
      </c>
    </row>
    <row r="12449" spans="1:9" x14ac:dyDescent="0.35">
      <c r="A12449" t="s">
        <v>231</v>
      </c>
      <c r="B12449" t="s">
        <v>251</v>
      </c>
      <c r="C12449" s="26">
        <v>0.90590000000000004</v>
      </c>
      <c r="D12449" s="26">
        <v>4.7100000000000003E-2</v>
      </c>
      <c r="E12449" s="26">
        <v>2.35E-2</v>
      </c>
      <c r="G12449" s="26">
        <v>2.35E-2</v>
      </c>
      <c r="I12449">
        <v>85</v>
      </c>
    </row>
    <row r="12450" spans="1:9" x14ac:dyDescent="0.35">
      <c r="A12450" t="s">
        <v>232</v>
      </c>
      <c r="B12450" t="s">
        <v>232</v>
      </c>
      <c r="C12450" s="26">
        <v>0.91669999999999996</v>
      </c>
      <c r="D12450" s="26">
        <v>2.3599999999999999E-2</v>
      </c>
      <c r="E12450" s="26">
        <v>2.29E-2</v>
      </c>
      <c r="F12450" s="26">
        <v>2.2700000000000001E-2</v>
      </c>
      <c r="G12450" s="26">
        <v>1.3299999999999999E-2</v>
      </c>
      <c r="H12450" s="26">
        <v>8.9999999999999998E-4</v>
      </c>
      <c r="I12450">
        <v>2813</v>
      </c>
    </row>
    <row r="12452" spans="1:9" x14ac:dyDescent="0.35">
      <c r="A12452" s="1" t="s">
        <v>1464</v>
      </c>
    </row>
    <row r="12453" spans="1:9" x14ac:dyDescent="0.35">
      <c r="A12453" t="s">
        <v>219</v>
      </c>
      <c r="B12453" t="s">
        <v>305</v>
      </c>
      <c r="C12453" t="s">
        <v>1424</v>
      </c>
      <c r="D12453" t="s">
        <v>1427</v>
      </c>
      <c r="E12453" t="s">
        <v>281</v>
      </c>
      <c r="F12453" t="s">
        <v>1426</v>
      </c>
      <c r="G12453" t="s">
        <v>1425</v>
      </c>
      <c r="H12453" t="s">
        <v>286</v>
      </c>
      <c r="I12453" t="s">
        <v>226</v>
      </c>
    </row>
    <row r="12454" spans="1:9" x14ac:dyDescent="0.35">
      <c r="A12454" t="s">
        <v>227</v>
      </c>
      <c r="B12454" t="s">
        <v>249</v>
      </c>
      <c r="C12454" s="26">
        <v>0.90910000000000002</v>
      </c>
      <c r="D12454" s="26">
        <v>4.5499999999999999E-2</v>
      </c>
      <c r="F12454" s="26">
        <v>2.2700000000000001E-2</v>
      </c>
      <c r="G12454" s="26">
        <v>2.2700000000000001E-2</v>
      </c>
      <c r="I12454">
        <v>44</v>
      </c>
    </row>
    <row r="12455" spans="1:9" x14ac:dyDescent="0.35">
      <c r="A12455" t="s">
        <v>227</v>
      </c>
      <c r="B12455" t="s">
        <v>248</v>
      </c>
      <c r="C12455" s="26">
        <v>0.95730000000000004</v>
      </c>
      <c r="D12455" s="26">
        <v>1.7100000000000001E-2</v>
      </c>
      <c r="E12455" s="26">
        <v>8.5000000000000006E-3</v>
      </c>
      <c r="F12455" s="26">
        <v>8.5000000000000006E-3</v>
      </c>
      <c r="G12455" s="26">
        <v>8.5000000000000006E-3</v>
      </c>
      <c r="I12455">
        <v>117</v>
      </c>
    </row>
    <row r="12456" spans="1:9" x14ac:dyDescent="0.35">
      <c r="A12456" t="s">
        <v>228</v>
      </c>
      <c r="B12456" t="s">
        <v>249</v>
      </c>
      <c r="C12456" s="26">
        <v>0.89870000000000005</v>
      </c>
      <c r="D12456" s="26">
        <v>2.29E-2</v>
      </c>
      <c r="E12456" s="26">
        <v>8.3000000000000001E-3</v>
      </c>
      <c r="F12456" s="26">
        <v>5.67E-2</v>
      </c>
      <c r="G12456" s="26">
        <v>1.34E-2</v>
      </c>
      <c r="I12456">
        <v>274</v>
      </c>
    </row>
    <row r="12457" spans="1:9" x14ac:dyDescent="0.35">
      <c r="A12457" t="s">
        <v>228</v>
      </c>
      <c r="B12457" t="s">
        <v>248</v>
      </c>
      <c r="C12457" s="26">
        <v>0.89180000000000004</v>
      </c>
      <c r="D12457" s="26">
        <v>2.9899999999999999E-2</v>
      </c>
      <c r="E12457" s="26">
        <v>3.4200000000000001E-2</v>
      </c>
      <c r="F12457" s="26">
        <v>1.7999999999999999E-2</v>
      </c>
      <c r="G12457" s="26">
        <v>2.6100000000000002E-2</v>
      </c>
      <c r="I12457">
        <v>759</v>
      </c>
    </row>
    <row r="12458" spans="1:9" x14ac:dyDescent="0.35">
      <c r="A12458" t="s">
        <v>229</v>
      </c>
      <c r="B12458" t="s">
        <v>249</v>
      </c>
      <c r="C12458" s="26">
        <v>0.88380000000000003</v>
      </c>
      <c r="D12458" s="26">
        <v>8.0999999999999996E-3</v>
      </c>
      <c r="E12458" s="26">
        <v>3.4299999999999997E-2</v>
      </c>
      <c r="F12458" s="26">
        <v>6.2700000000000006E-2</v>
      </c>
      <c r="G12458" s="26">
        <v>1.06E-2</v>
      </c>
      <c r="H12458" s="26">
        <v>5.0000000000000001E-4</v>
      </c>
      <c r="I12458">
        <v>259</v>
      </c>
    </row>
    <row r="12459" spans="1:9" x14ac:dyDescent="0.35">
      <c r="A12459" t="s">
        <v>229</v>
      </c>
      <c r="B12459" t="s">
        <v>248</v>
      </c>
      <c r="C12459" s="26">
        <v>0.90769999999999995</v>
      </c>
      <c r="D12459" s="26">
        <v>2.1999999999999999E-2</v>
      </c>
      <c r="E12459" s="26">
        <v>2.5100000000000001E-2</v>
      </c>
      <c r="F12459" s="26">
        <v>3.44E-2</v>
      </c>
      <c r="G12459" s="26">
        <v>6.6E-3</v>
      </c>
      <c r="H12459" s="26">
        <v>4.1999999999999997E-3</v>
      </c>
      <c r="I12459">
        <v>636</v>
      </c>
    </row>
    <row r="12460" spans="1:9" x14ac:dyDescent="0.35">
      <c r="A12460" t="s">
        <v>230</v>
      </c>
      <c r="B12460" t="s">
        <v>249</v>
      </c>
      <c r="C12460" s="26">
        <v>0.91239999999999999</v>
      </c>
      <c r="D12460" s="26">
        <v>2.3900000000000001E-2</v>
      </c>
      <c r="E12460" s="26">
        <v>2.5999999999999999E-3</v>
      </c>
      <c r="F12460" s="26">
        <v>5.5800000000000002E-2</v>
      </c>
      <c r="G12460" s="26">
        <v>5.3E-3</v>
      </c>
      <c r="I12460">
        <v>171</v>
      </c>
    </row>
    <row r="12461" spans="1:9" x14ac:dyDescent="0.35">
      <c r="A12461" t="s">
        <v>230</v>
      </c>
      <c r="B12461" t="s">
        <v>248</v>
      </c>
      <c r="C12461" s="26">
        <v>0.92830000000000001</v>
      </c>
      <c r="D12461" s="26">
        <v>3.2399999999999998E-2</v>
      </c>
      <c r="E12461" s="26">
        <v>5.3E-3</v>
      </c>
      <c r="F12461" s="26">
        <v>1.2500000000000001E-2</v>
      </c>
      <c r="G12461" s="26">
        <v>2.1499999999999998E-2</v>
      </c>
      <c r="I12461">
        <v>389</v>
      </c>
    </row>
    <row r="12462" spans="1:9" x14ac:dyDescent="0.35">
      <c r="A12462" t="s">
        <v>231</v>
      </c>
      <c r="B12462" t="s">
        <v>249</v>
      </c>
      <c r="C12462" s="26">
        <v>0.94289999999999996</v>
      </c>
      <c r="E12462" s="26">
        <v>2.86E-2</v>
      </c>
      <c r="G12462" s="26">
        <v>2.86E-2</v>
      </c>
      <c r="I12462">
        <v>35</v>
      </c>
    </row>
    <row r="12463" spans="1:9" x14ac:dyDescent="0.35">
      <c r="A12463" t="s">
        <v>231</v>
      </c>
      <c r="B12463" t="s">
        <v>248</v>
      </c>
      <c r="C12463" s="26">
        <v>0.93020000000000003</v>
      </c>
      <c r="D12463" s="26">
        <v>3.1E-2</v>
      </c>
      <c r="E12463" s="26">
        <v>3.1E-2</v>
      </c>
      <c r="G12463" s="26">
        <v>7.7999999999999996E-3</v>
      </c>
      <c r="I12463">
        <v>129</v>
      </c>
    </row>
    <row r="12464" spans="1:9" x14ac:dyDescent="0.35">
      <c r="A12464" t="s">
        <v>232</v>
      </c>
      <c r="B12464" t="s">
        <v>232</v>
      </c>
      <c r="C12464" s="26">
        <v>0.91669999999999996</v>
      </c>
      <c r="D12464" s="26">
        <v>2.3599999999999999E-2</v>
      </c>
      <c r="E12464" s="26">
        <v>2.29E-2</v>
      </c>
      <c r="F12464" s="26">
        <v>2.2700000000000001E-2</v>
      </c>
      <c r="G12464" s="26">
        <v>1.3299999999999999E-2</v>
      </c>
      <c r="H12464" s="26">
        <v>8.9999999999999998E-4</v>
      </c>
      <c r="I12464">
        <v>2813</v>
      </c>
    </row>
    <row r="12466" spans="1:9" x14ac:dyDescent="0.35">
      <c r="A12466" s="1" t="s">
        <v>1465</v>
      </c>
    </row>
    <row r="12467" spans="1:9" x14ac:dyDescent="0.35">
      <c r="A12467" t="s">
        <v>219</v>
      </c>
      <c r="B12467" t="s">
        <v>305</v>
      </c>
      <c r="C12467" t="s">
        <v>1424</v>
      </c>
      <c r="D12467" t="s">
        <v>1427</v>
      </c>
      <c r="E12467" t="s">
        <v>281</v>
      </c>
      <c r="F12467" t="s">
        <v>1426</v>
      </c>
      <c r="G12467" t="s">
        <v>1425</v>
      </c>
      <c r="H12467" t="s">
        <v>286</v>
      </c>
      <c r="I12467" t="s">
        <v>226</v>
      </c>
    </row>
    <row r="12468" spans="1:9" x14ac:dyDescent="0.35">
      <c r="A12468" s="27" t="s">
        <v>227</v>
      </c>
      <c r="B12468" s="27" t="s">
        <v>263</v>
      </c>
      <c r="C12468" s="28">
        <v>1</v>
      </c>
      <c r="D12468" s="29"/>
      <c r="E12468" s="29"/>
      <c r="F12468" s="29"/>
      <c r="G12468" s="29"/>
      <c r="H12468" s="29"/>
      <c r="I12468" s="29" t="s">
        <v>315</v>
      </c>
    </row>
    <row r="12469" spans="1:9" x14ac:dyDescent="0.35">
      <c r="A12469" t="s">
        <v>227</v>
      </c>
      <c r="B12469" t="s">
        <v>261</v>
      </c>
      <c r="C12469" s="26">
        <v>0.93940000000000001</v>
      </c>
      <c r="D12469" s="26">
        <v>3.0300000000000001E-2</v>
      </c>
      <c r="E12469" s="26">
        <v>3.0300000000000001E-2</v>
      </c>
      <c r="I12469">
        <v>33</v>
      </c>
    </row>
    <row r="12470" spans="1:9" x14ac:dyDescent="0.35">
      <c r="A12470" s="27" t="s">
        <v>227</v>
      </c>
      <c r="B12470" s="27" t="s">
        <v>262</v>
      </c>
      <c r="C12470" s="28">
        <v>1</v>
      </c>
      <c r="D12470" s="29"/>
      <c r="E12470" s="29"/>
      <c r="F12470" s="29"/>
      <c r="G12470" s="29"/>
      <c r="H12470" s="29"/>
      <c r="I12470" s="29" t="s">
        <v>315</v>
      </c>
    </row>
    <row r="12471" spans="1:9" x14ac:dyDescent="0.35">
      <c r="A12471" t="s">
        <v>227</v>
      </c>
      <c r="B12471" t="s">
        <v>260</v>
      </c>
      <c r="C12471" s="26">
        <v>0.94259999999999999</v>
      </c>
      <c r="D12471" s="26">
        <v>2.46E-2</v>
      </c>
      <c r="F12471" s="26">
        <v>1.6400000000000001E-2</v>
      </c>
      <c r="G12471" s="26">
        <v>1.6400000000000001E-2</v>
      </c>
      <c r="I12471">
        <v>122</v>
      </c>
    </row>
    <row r="12472" spans="1:9" x14ac:dyDescent="0.35">
      <c r="A12472" t="s">
        <v>228</v>
      </c>
      <c r="B12472" t="s">
        <v>261</v>
      </c>
      <c r="C12472" s="26">
        <v>0.94730000000000003</v>
      </c>
      <c r="D12472" s="26">
        <v>6.1000000000000004E-3</v>
      </c>
      <c r="E12472" s="26">
        <v>9.4999999999999998E-3</v>
      </c>
      <c r="F12472" s="26">
        <v>2.86E-2</v>
      </c>
      <c r="G12472" s="26">
        <v>8.5000000000000006E-3</v>
      </c>
      <c r="I12472">
        <v>192</v>
      </c>
    </row>
    <row r="12473" spans="1:9" x14ac:dyDescent="0.35">
      <c r="A12473" s="27" t="s">
        <v>228</v>
      </c>
      <c r="B12473" s="27" t="s">
        <v>263</v>
      </c>
      <c r="C12473" s="28">
        <v>0.9577</v>
      </c>
      <c r="D12473" s="28">
        <v>2.93E-2</v>
      </c>
      <c r="E12473" s="29"/>
      <c r="F12473" s="29"/>
      <c r="G12473" s="28">
        <v>1.2999999999999999E-2</v>
      </c>
      <c r="H12473" s="29"/>
      <c r="I12473" s="29" t="s">
        <v>312</v>
      </c>
    </row>
    <row r="12474" spans="1:9" x14ac:dyDescent="0.35">
      <c r="A12474" s="27" t="s">
        <v>228</v>
      </c>
      <c r="B12474" s="27" t="s">
        <v>236</v>
      </c>
      <c r="C12474" s="28">
        <v>0.82730000000000004</v>
      </c>
      <c r="D12474" s="29"/>
      <c r="E12474" s="28">
        <v>3.9E-2</v>
      </c>
      <c r="F12474" s="28">
        <v>0.13370000000000001</v>
      </c>
      <c r="G12474" s="29"/>
      <c r="H12474" s="29"/>
      <c r="I12474" s="29" t="s">
        <v>335</v>
      </c>
    </row>
    <row r="12475" spans="1:9" x14ac:dyDescent="0.35">
      <c r="A12475" t="s">
        <v>228</v>
      </c>
      <c r="B12475" t="s">
        <v>262</v>
      </c>
      <c r="C12475" s="26">
        <v>0.84109999999999996</v>
      </c>
      <c r="D12475" s="26">
        <v>3.3099999999999997E-2</v>
      </c>
      <c r="E12475" s="26">
        <v>1.6799999999999999E-2</v>
      </c>
      <c r="F12475" s="26">
        <v>6.5699999999999995E-2</v>
      </c>
      <c r="G12475" s="26">
        <v>4.3200000000000002E-2</v>
      </c>
      <c r="I12475">
        <v>201</v>
      </c>
    </row>
    <row r="12476" spans="1:9" x14ac:dyDescent="0.35">
      <c r="A12476" t="s">
        <v>228</v>
      </c>
      <c r="B12476" t="s">
        <v>260</v>
      </c>
      <c r="C12476" s="26">
        <v>0.89</v>
      </c>
      <c r="D12476" s="26">
        <v>3.3399999999999999E-2</v>
      </c>
      <c r="E12476" s="26">
        <v>3.5099999999999999E-2</v>
      </c>
      <c r="F12476" s="26">
        <v>0.02</v>
      </c>
      <c r="G12476" s="26">
        <v>2.1499999999999998E-2</v>
      </c>
      <c r="I12476">
        <v>609</v>
      </c>
    </row>
    <row r="12477" spans="1:9" x14ac:dyDescent="0.35">
      <c r="A12477" s="27" t="s">
        <v>229</v>
      </c>
      <c r="B12477" s="27" t="s">
        <v>263</v>
      </c>
      <c r="C12477" s="28">
        <v>1</v>
      </c>
      <c r="D12477" s="29"/>
      <c r="E12477" s="29"/>
      <c r="F12477" s="29"/>
      <c r="G12477" s="29"/>
      <c r="H12477" s="29"/>
      <c r="I12477" s="29" t="s">
        <v>379</v>
      </c>
    </row>
    <row r="12478" spans="1:9" x14ac:dyDescent="0.35">
      <c r="A12478" t="s">
        <v>229</v>
      </c>
      <c r="B12478" t="s">
        <v>262</v>
      </c>
      <c r="C12478" s="26">
        <v>0.88060000000000005</v>
      </c>
      <c r="D12478" s="26">
        <v>9.5999999999999992E-3</v>
      </c>
      <c r="E12478" s="26">
        <v>2.3300000000000001E-2</v>
      </c>
      <c r="F12478" s="26">
        <v>7.0699999999999999E-2</v>
      </c>
      <c r="G12478" s="26">
        <v>1.46E-2</v>
      </c>
      <c r="H12478" s="26">
        <v>1.1999999999999999E-3</v>
      </c>
      <c r="I12478">
        <v>188</v>
      </c>
    </row>
    <row r="12479" spans="1:9" x14ac:dyDescent="0.35">
      <c r="A12479" t="s">
        <v>229</v>
      </c>
      <c r="B12479" t="s">
        <v>261</v>
      </c>
      <c r="C12479" s="26">
        <v>0.8619</v>
      </c>
      <c r="D12479" s="26">
        <v>5.7299999999999997E-2</v>
      </c>
      <c r="E12479" s="26">
        <v>2.24E-2</v>
      </c>
      <c r="F12479" s="26">
        <v>5.8400000000000001E-2</v>
      </c>
      <c r="I12479">
        <v>96</v>
      </c>
    </row>
    <row r="12480" spans="1:9" x14ac:dyDescent="0.35">
      <c r="A12480" s="27" t="s">
        <v>229</v>
      </c>
      <c r="B12480" s="27" t="s">
        <v>236</v>
      </c>
      <c r="C12480" s="28">
        <v>1</v>
      </c>
      <c r="D12480" s="29"/>
      <c r="E12480" s="29"/>
      <c r="F12480" s="29"/>
      <c r="G12480" s="29"/>
      <c r="H12480" s="29"/>
      <c r="I12480" s="29" t="s">
        <v>331</v>
      </c>
    </row>
    <row r="12481" spans="1:9" x14ac:dyDescent="0.35">
      <c r="A12481" t="s">
        <v>229</v>
      </c>
      <c r="B12481" t="s">
        <v>260</v>
      </c>
      <c r="C12481" s="26">
        <v>0.91620000000000001</v>
      </c>
      <c r="D12481" s="26">
        <v>1.1299999999999999E-2</v>
      </c>
      <c r="E12481" s="26">
        <v>3.3099999999999997E-2</v>
      </c>
      <c r="F12481" s="26">
        <v>2.76E-2</v>
      </c>
      <c r="G12481" s="26">
        <v>7.0000000000000001E-3</v>
      </c>
      <c r="H12481" s="26">
        <v>4.7999999999999996E-3</v>
      </c>
      <c r="I12481">
        <v>596</v>
      </c>
    </row>
    <row r="12482" spans="1:9" x14ac:dyDescent="0.35">
      <c r="A12482" s="27" t="s">
        <v>230</v>
      </c>
      <c r="B12482" s="27" t="s">
        <v>236</v>
      </c>
      <c r="C12482" s="28">
        <v>1</v>
      </c>
      <c r="D12482" s="29"/>
      <c r="E12482" s="29"/>
      <c r="F12482" s="29"/>
      <c r="G12482" s="29"/>
      <c r="H12482" s="29"/>
      <c r="I12482" s="29" t="s">
        <v>337</v>
      </c>
    </row>
    <row r="12483" spans="1:9" x14ac:dyDescent="0.35">
      <c r="A12483" t="s">
        <v>230</v>
      </c>
      <c r="B12483" t="s">
        <v>262</v>
      </c>
      <c r="C12483" s="26">
        <v>0.93859999999999999</v>
      </c>
      <c r="D12483" s="26">
        <v>3.1600000000000003E-2</v>
      </c>
      <c r="F12483" s="26">
        <v>5.8999999999999999E-3</v>
      </c>
      <c r="G12483" s="26">
        <v>2.3900000000000001E-2</v>
      </c>
      <c r="I12483">
        <v>122</v>
      </c>
    </row>
    <row r="12484" spans="1:9" x14ac:dyDescent="0.35">
      <c r="A12484" t="s">
        <v>230</v>
      </c>
      <c r="B12484" t="s">
        <v>261</v>
      </c>
      <c r="C12484" s="26">
        <v>0.95299999999999996</v>
      </c>
      <c r="D12484" s="26">
        <v>4.0399999999999998E-2</v>
      </c>
      <c r="G12484" s="26">
        <v>6.7000000000000002E-3</v>
      </c>
      <c r="I12484">
        <v>57</v>
      </c>
    </row>
    <row r="12485" spans="1:9" x14ac:dyDescent="0.35">
      <c r="A12485" s="27" t="s">
        <v>230</v>
      </c>
      <c r="B12485" s="27" t="s">
        <v>263</v>
      </c>
      <c r="C12485" s="28">
        <v>0.91210000000000002</v>
      </c>
      <c r="D12485" s="29"/>
      <c r="E12485" s="28">
        <v>3.3500000000000002E-2</v>
      </c>
      <c r="F12485" s="28">
        <v>5.4399999999999997E-2</v>
      </c>
      <c r="G12485" s="29"/>
      <c r="H12485" s="29"/>
      <c r="I12485" s="29" t="s">
        <v>312</v>
      </c>
    </row>
    <row r="12486" spans="1:9" x14ac:dyDescent="0.35">
      <c r="A12486" t="s">
        <v>230</v>
      </c>
      <c r="B12486" t="s">
        <v>260</v>
      </c>
      <c r="C12486" s="26">
        <v>0.91320000000000001</v>
      </c>
      <c r="D12486" s="26">
        <v>2.8000000000000001E-2</v>
      </c>
      <c r="E12486" s="26">
        <v>5.4999999999999997E-3</v>
      </c>
      <c r="F12486" s="26">
        <v>3.6600000000000001E-2</v>
      </c>
      <c r="G12486" s="26">
        <v>1.67E-2</v>
      </c>
      <c r="I12486">
        <v>352</v>
      </c>
    </row>
    <row r="12487" spans="1:9" x14ac:dyDescent="0.35">
      <c r="A12487" s="27" t="s">
        <v>231</v>
      </c>
      <c r="B12487" s="27" t="s">
        <v>263</v>
      </c>
      <c r="C12487" s="28">
        <v>1</v>
      </c>
      <c r="D12487" s="29"/>
      <c r="E12487" s="29"/>
      <c r="F12487" s="29"/>
      <c r="G12487" s="29"/>
      <c r="H12487" s="29"/>
      <c r="I12487" s="29" t="s">
        <v>314</v>
      </c>
    </row>
    <row r="12488" spans="1:9" x14ac:dyDescent="0.35">
      <c r="A12488" t="s">
        <v>231</v>
      </c>
      <c r="B12488" t="s">
        <v>260</v>
      </c>
      <c r="C12488" s="26">
        <v>0.9274</v>
      </c>
      <c r="D12488" s="26">
        <v>2.4199999999999999E-2</v>
      </c>
      <c r="E12488" s="26">
        <v>4.0300000000000002E-2</v>
      </c>
      <c r="G12488" s="26">
        <v>8.0999999999999996E-3</v>
      </c>
      <c r="I12488">
        <v>124</v>
      </c>
    </row>
    <row r="12489" spans="1:9" x14ac:dyDescent="0.35">
      <c r="A12489" s="27" t="s">
        <v>231</v>
      </c>
      <c r="B12489" s="27" t="s">
        <v>261</v>
      </c>
      <c r="C12489" s="28">
        <v>0.92589999999999995</v>
      </c>
      <c r="D12489" s="28">
        <v>3.6999999999999998E-2</v>
      </c>
      <c r="E12489" s="29"/>
      <c r="F12489" s="29"/>
      <c r="G12489" s="28">
        <v>3.6999999999999998E-2</v>
      </c>
      <c r="H12489" s="29"/>
      <c r="I12489" s="29" t="s">
        <v>338</v>
      </c>
    </row>
    <row r="12490" spans="1:9" x14ac:dyDescent="0.35">
      <c r="A12490" s="27" t="s">
        <v>231</v>
      </c>
      <c r="B12490" s="27" t="s">
        <v>262</v>
      </c>
      <c r="C12490" s="28">
        <v>1</v>
      </c>
      <c r="D12490" s="29"/>
      <c r="E12490" s="29"/>
      <c r="F12490" s="29"/>
      <c r="G12490" s="29"/>
      <c r="H12490" s="29"/>
      <c r="I12490" s="29" t="s">
        <v>352</v>
      </c>
    </row>
    <row r="12491" spans="1:9" x14ac:dyDescent="0.35">
      <c r="A12491" t="s">
        <v>232</v>
      </c>
      <c r="B12491" t="s">
        <v>232</v>
      </c>
      <c r="C12491" s="26">
        <v>0.91669999999999996</v>
      </c>
      <c r="D12491" s="26">
        <v>2.3599999999999999E-2</v>
      </c>
      <c r="E12491" s="26">
        <v>2.29E-2</v>
      </c>
      <c r="F12491" s="26">
        <v>2.2700000000000001E-2</v>
      </c>
      <c r="G12491" s="26">
        <v>1.3299999999999999E-2</v>
      </c>
      <c r="H12491" s="26">
        <v>8.9999999999999998E-4</v>
      </c>
      <c r="I12491">
        <v>2813</v>
      </c>
    </row>
    <row r="12493" spans="1:9" x14ac:dyDescent="0.35">
      <c r="A12493" s="1" t="s">
        <v>1466</v>
      </c>
    </row>
    <row r="12494" spans="1:9" x14ac:dyDescent="0.35">
      <c r="A12494" t="s">
        <v>219</v>
      </c>
      <c r="B12494" t="s">
        <v>305</v>
      </c>
      <c r="C12494" t="s">
        <v>1424</v>
      </c>
      <c r="D12494" t="s">
        <v>1427</v>
      </c>
      <c r="E12494" t="s">
        <v>281</v>
      </c>
      <c r="F12494" t="s">
        <v>1426</v>
      </c>
      <c r="G12494" t="s">
        <v>1425</v>
      </c>
      <c r="H12494" t="s">
        <v>286</v>
      </c>
      <c r="I12494" t="s">
        <v>226</v>
      </c>
    </row>
    <row r="12495" spans="1:9" x14ac:dyDescent="0.35">
      <c r="A12495" t="s">
        <v>227</v>
      </c>
      <c r="B12495" t="s">
        <v>368</v>
      </c>
      <c r="C12495" s="26">
        <v>0.93940000000000001</v>
      </c>
      <c r="D12495" s="26">
        <v>3.0300000000000001E-2</v>
      </c>
      <c r="E12495" s="26">
        <v>3.0300000000000001E-2</v>
      </c>
      <c r="I12495">
        <v>33</v>
      </c>
    </row>
    <row r="12496" spans="1:9" x14ac:dyDescent="0.35">
      <c r="A12496" t="s">
        <v>227</v>
      </c>
      <c r="B12496" t="s">
        <v>369</v>
      </c>
      <c r="C12496" s="26">
        <v>0.94530000000000003</v>
      </c>
      <c r="D12496" s="26">
        <v>2.3400000000000001E-2</v>
      </c>
      <c r="F12496" s="26">
        <v>1.5599999999999999E-2</v>
      </c>
      <c r="G12496" s="26">
        <v>1.5599999999999999E-2</v>
      </c>
      <c r="I12496">
        <v>128</v>
      </c>
    </row>
    <row r="12497" spans="1:9" x14ac:dyDescent="0.35">
      <c r="A12497" t="s">
        <v>228</v>
      </c>
      <c r="B12497" t="s">
        <v>368</v>
      </c>
      <c r="C12497" s="26">
        <v>0.94730000000000003</v>
      </c>
      <c r="D12497" s="26">
        <v>6.1000000000000004E-3</v>
      </c>
      <c r="E12497" s="26">
        <v>9.4999999999999998E-3</v>
      </c>
      <c r="F12497" s="26">
        <v>2.86E-2</v>
      </c>
      <c r="G12497" s="26">
        <v>8.5000000000000006E-3</v>
      </c>
      <c r="I12497">
        <v>192</v>
      </c>
    </row>
    <row r="12498" spans="1:9" x14ac:dyDescent="0.35">
      <c r="A12498" t="s">
        <v>228</v>
      </c>
      <c r="B12498" t="s">
        <v>369</v>
      </c>
      <c r="C12498" s="26">
        <v>0.88100000000000001</v>
      </c>
      <c r="D12498" s="26">
        <v>3.3000000000000002E-2</v>
      </c>
      <c r="E12498" s="26">
        <v>3.0499999999999999E-2</v>
      </c>
      <c r="F12498" s="26">
        <v>2.98E-2</v>
      </c>
      <c r="G12498" s="26">
        <v>2.5600000000000001E-2</v>
      </c>
      <c r="I12498">
        <v>841</v>
      </c>
    </row>
    <row r="12499" spans="1:9" x14ac:dyDescent="0.35">
      <c r="A12499" t="s">
        <v>229</v>
      </c>
      <c r="B12499" t="s">
        <v>368</v>
      </c>
      <c r="C12499" s="26">
        <v>0.8619</v>
      </c>
      <c r="D12499" s="26">
        <v>5.7299999999999997E-2</v>
      </c>
      <c r="E12499" s="26">
        <v>2.24E-2</v>
      </c>
      <c r="F12499" s="26">
        <v>5.8400000000000001E-2</v>
      </c>
      <c r="I12499">
        <v>96</v>
      </c>
    </row>
    <row r="12500" spans="1:9" x14ac:dyDescent="0.35">
      <c r="A12500" t="s">
        <v>229</v>
      </c>
      <c r="B12500" t="s">
        <v>369</v>
      </c>
      <c r="C12500" s="26">
        <v>0.90639999999999998</v>
      </c>
      <c r="D12500" s="26">
        <v>1.0500000000000001E-2</v>
      </c>
      <c r="E12500" s="26">
        <v>2.9100000000000001E-2</v>
      </c>
      <c r="F12500" s="26">
        <v>4.1099999999999998E-2</v>
      </c>
      <c r="G12500" s="26">
        <v>9.2999999999999992E-3</v>
      </c>
      <c r="H12500" s="26">
        <v>3.5000000000000001E-3</v>
      </c>
      <c r="I12500">
        <v>799</v>
      </c>
    </row>
    <row r="12501" spans="1:9" x14ac:dyDescent="0.35">
      <c r="A12501" t="s">
        <v>230</v>
      </c>
      <c r="B12501" t="s">
        <v>368</v>
      </c>
      <c r="C12501" s="26">
        <v>0.95299999999999996</v>
      </c>
      <c r="D12501" s="26">
        <v>4.0399999999999998E-2</v>
      </c>
      <c r="G12501" s="26">
        <v>6.7000000000000002E-3</v>
      </c>
      <c r="I12501">
        <v>57</v>
      </c>
    </row>
    <row r="12502" spans="1:9" x14ac:dyDescent="0.35">
      <c r="A12502" t="s">
        <v>230</v>
      </c>
      <c r="B12502" t="s">
        <v>369</v>
      </c>
      <c r="C12502" s="26">
        <v>0.91830000000000001</v>
      </c>
      <c r="D12502" s="26">
        <v>2.7900000000000001E-2</v>
      </c>
      <c r="E12502" s="26">
        <v>5.1000000000000004E-3</v>
      </c>
      <c r="F12502" s="26">
        <v>3.1300000000000001E-2</v>
      </c>
      <c r="G12502" s="26">
        <v>1.7500000000000002E-2</v>
      </c>
      <c r="I12502">
        <v>503</v>
      </c>
    </row>
    <row r="12503" spans="1:9" x14ac:dyDescent="0.35">
      <c r="A12503" s="27" t="s">
        <v>231</v>
      </c>
      <c r="B12503" s="27" t="s">
        <v>368</v>
      </c>
      <c r="C12503" s="28">
        <v>0.92589999999999995</v>
      </c>
      <c r="D12503" s="28">
        <v>3.6999999999999998E-2</v>
      </c>
      <c r="E12503" s="29"/>
      <c r="F12503" s="29"/>
      <c r="G12503" s="28">
        <v>3.6999999999999998E-2</v>
      </c>
      <c r="H12503" s="29"/>
      <c r="I12503" s="29" t="s">
        <v>338</v>
      </c>
    </row>
    <row r="12504" spans="1:9" x14ac:dyDescent="0.35">
      <c r="A12504" t="s">
        <v>231</v>
      </c>
      <c r="B12504" t="s">
        <v>369</v>
      </c>
      <c r="C12504" s="26">
        <v>0.93430000000000002</v>
      </c>
      <c r="D12504" s="26">
        <v>2.1899999999999999E-2</v>
      </c>
      <c r="E12504" s="26">
        <v>3.6499999999999998E-2</v>
      </c>
      <c r="G12504" s="26">
        <v>7.3000000000000001E-3</v>
      </c>
      <c r="I12504">
        <v>137</v>
      </c>
    </row>
    <row r="12505" spans="1:9" x14ac:dyDescent="0.35">
      <c r="A12505" t="s">
        <v>232</v>
      </c>
      <c r="B12505" t="s">
        <v>232</v>
      </c>
      <c r="C12505" s="26">
        <v>0.91669999999999996</v>
      </c>
      <c r="D12505" s="26">
        <v>2.3599999999999999E-2</v>
      </c>
      <c r="E12505" s="26">
        <v>2.29E-2</v>
      </c>
      <c r="F12505" s="26">
        <v>2.2700000000000001E-2</v>
      </c>
      <c r="G12505" s="26">
        <v>1.3299999999999999E-2</v>
      </c>
      <c r="H12505" s="26">
        <v>8.9999999999999998E-4</v>
      </c>
      <c r="I12505">
        <v>2813</v>
      </c>
    </row>
    <row r="12507" spans="1:9" x14ac:dyDescent="0.35">
      <c r="A12507" s="1" t="s">
        <v>1467</v>
      </c>
    </row>
    <row r="12508" spans="1:9" x14ac:dyDescent="0.35">
      <c r="A12508" t="s">
        <v>219</v>
      </c>
      <c r="B12508" t="s">
        <v>305</v>
      </c>
      <c r="C12508" t="s">
        <v>1424</v>
      </c>
      <c r="D12508" t="s">
        <v>1427</v>
      </c>
      <c r="E12508" t="s">
        <v>281</v>
      </c>
      <c r="F12508" t="s">
        <v>1426</v>
      </c>
      <c r="G12508" t="s">
        <v>1425</v>
      </c>
      <c r="H12508" t="s">
        <v>286</v>
      </c>
      <c r="I12508" t="s">
        <v>226</v>
      </c>
    </row>
    <row r="12509" spans="1:9" x14ac:dyDescent="0.35">
      <c r="A12509" t="s">
        <v>227</v>
      </c>
      <c r="B12509" t="s">
        <v>371</v>
      </c>
      <c r="C12509" s="26">
        <v>0.94410000000000005</v>
      </c>
      <c r="D12509" s="26">
        <v>2.4799999999999999E-2</v>
      </c>
      <c r="E12509" s="26">
        <v>6.1999999999999998E-3</v>
      </c>
      <c r="F12509" s="26">
        <v>1.24E-2</v>
      </c>
      <c r="G12509" s="26">
        <v>1.24E-2</v>
      </c>
      <c r="I12509">
        <v>161</v>
      </c>
    </row>
    <row r="12510" spans="1:9" x14ac:dyDescent="0.35">
      <c r="A12510" t="s">
        <v>228</v>
      </c>
      <c r="B12510" t="s">
        <v>371</v>
      </c>
      <c r="C12510" s="26">
        <v>0.90180000000000005</v>
      </c>
      <c r="D12510" s="26">
        <v>2.1899999999999999E-2</v>
      </c>
      <c r="E12510" s="26">
        <v>2.1100000000000001E-2</v>
      </c>
      <c r="F12510" s="26">
        <v>3.4599999999999999E-2</v>
      </c>
      <c r="G12510" s="26">
        <v>2.0500000000000001E-2</v>
      </c>
      <c r="I12510">
        <v>292</v>
      </c>
    </row>
    <row r="12511" spans="1:9" x14ac:dyDescent="0.35">
      <c r="A12511" t="s">
        <v>228</v>
      </c>
      <c r="B12511" t="s">
        <v>372</v>
      </c>
      <c r="C12511" s="26">
        <v>0.89959999999999996</v>
      </c>
      <c r="D12511" s="26">
        <v>4.0500000000000001E-2</v>
      </c>
      <c r="E12511" s="26">
        <v>2.2700000000000001E-2</v>
      </c>
      <c r="F12511" s="26">
        <v>1.7000000000000001E-2</v>
      </c>
      <c r="G12511" s="26">
        <v>2.0199999999999999E-2</v>
      </c>
      <c r="I12511">
        <v>218</v>
      </c>
    </row>
    <row r="12512" spans="1:9" x14ac:dyDescent="0.35">
      <c r="A12512" t="s">
        <v>228</v>
      </c>
      <c r="B12512" t="s">
        <v>373</v>
      </c>
      <c r="C12512" s="26">
        <v>0.88200000000000001</v>
      </c>
      <c r="D12512" s="26">
        <v>3.2800000000000003E-2</v>
      </c>
      <c r="E12512" s="26">
        <v>3.4299999999999997E-2</v>
      </c>
      <c r="F12512" s="26">
        <v>2.5600000000000001E-2</v>
      </c>
      <c r="G12512" s="26">
        <v>2.52E-2</v>
      </c>
      <c r="I12512">
        <v>523</v>
      </c>
    </row>
    <row r="12513" spans="1:9" x14ac:dyDescent="0.35">
      <c r="A12513" t="s">
        <v>229</v>
      </c>
      <c r="B12513" t="s">
        <v>371</v>
      </c>
      <c r="C12513" s="26">
        <v>0.89759999999999995</v>
      </c>
      <c r="D12513" s="26">
        <v>1.7399999999999999E-2</v>
      </c>
      <c r="E12513" s="26">
        <v>2.8899999999999999E-2</v>
      </c>
      <c r="F12513" s="26">
        <v>4.5600000000000002E-2</v>
      </c>
      <c r="G12513" s="26">
        <v>7.6E-3</v>
      </c>
      <c r="H12513" s="26">
        <v>2.8999999999999998E-3</v>
      </c>
      <c r="I12513">
        <v>584</v>
      </c>
    </row>
    <row r="12514" spans="1:9" x14ac:dyDescent="0.35">
      <c r="A12514" t="s">
        <v>229</v>
      </c>
      <c r="B12514" t="s">
        <v>372</v>
      </c>
      <c r="C12514" s="26">
        <v>0.93689999999999996</v>
      </c>
      <c r="E12514" s="26">
        <v>1.9699999999999999E-2</v>
      </c>
      <c r="F12514" s="26">
        <v>1.7999999999999999E-2</v>
      </c>
      <c r="G12514" s="26">
        <v>1.89E-2</v>
      </c>
      <c r="H12514" s="26">
        <v>6.6E-3</v>
      </c>
      <c r="I12514">
        <v>221</v>
      </c>
    </row>
    <row r="12515" spans="1:9" x14ac:dyDescent="0.35">
      <c r="A12515" t="s">
        <v>229</v>
      </c>
      <c r="B12515" t="s">
        <v>373</v>
      </c>
      <c r="C12515" s="26">
        <v>0.90659999999999996</v>
      </c>
      <c r="D12515" s="26">
        <v>5.2900000000000003E-2</v>
      </c>
      <c r="E12515" s="26">
        <v>1.5900000000000001E-2</v>
      </c>
      <c r="F12515" s="26">
        <v>2.47E-2</v>
      </c>
      <c r="I12515">
        <v>90</v>
      </c>
    </row>
    <row r="12516" spans="1:9" x14ac:dyDescent="0.35">
      <c r="A12516" t="s">
        <v>230</v>
      </c>
      <c r="B12516" t="s">
        <v>371</v>
      </c>
      <c r="C12516" s="26">
        <v>0.92620000000000002</v>
      </c>
      <c r="D12516" s="26">
        <v>3.09E-2</v>
      </c>
      <c r="E12516" s="26">
        <v>1.1000000000000001E-3</v>
      </c>
      <c r="F12516" s="26">
        <v>2.64E-2</v>
      </c>
      <c r="G12516" s="26">
        <v>1.54E-2</v>
      </c>
      <c r="I12516">
        <v>262</v>
      </c>
    </row>
    <row r="12517" spans="1:9" x14ac:dyDescent="0.35">
      <c r="A12517" t="s">
        <v>230</v>
      </c>
      <c r="B12517" t="s">
        <v>372</v>
      </c>
      <c r="C12517" s="26">
        <v>0.93730000000000002</v>
      </c>
      <c r="D12517" s="26">
        <v>1.4200000000000001E-2</v>
      </c>
      <c r="E12517" s="26">
        <v>1.4200000000000001E-2</v>
      </c>
      <c r="F12517" s="26">
        <v>2.01E-2</v>
      </c>
      <c r="G12517" s="26">
        <v>1.4200000000000001E-2</v>
      </c>
      <c r="I12517">
        <v>146</v>
      </c>
    </row>
    <row r="12518" spans="1:9" x14ac:dyDescent="0.35">
      <c r="A12518" t="s">
        <v>230</v>
      </c>
      <c r="B12518" t="s">
        <v>373</v>
      </c>
      <c r="C12518" s="26">
        <v>0.89559999999999995</v>
      </c>
      <c r="D12518" s="26">
        <v>2.7799999999999998E-2</v>
      </c>
      <c r="E12518" s="26">
        <v>2.0899999999999998E-2</v>
      </c>
      <c r="F12518" s="26">
        <v>3.4799999999999998E-2</v>
      </c>
      <c r="G12518" s="26">
        <v>2.0899999999999998E-2</v>
      </c>
      <c r="I12518">
        <v>152</v>
      </c>
    </row>
    <row r="12519" spans="1:9" x14ac:dyDescent="0.35">
      <c r="A12519" t="s">
        <v>231</v>
      </c>
      <c r="B12519" t="s">
        <v>371</v>
      </c>
      <c r="C12519" s="26">
        <v>0.93289999999999995</v>
      </c>
      <c r="D12519" s="26">
        <v>2.4400000000000002E-2</v>
      </c>
      <c r="E12519" s="26">
        <v>3.0499999999999999E-2</v>
      </c>
      <c r="G12519" s="26">
        <v>1.2200000000000001E-2</v>
      </c>
      <c r="I12519">
        <v>164</v>
      </c>
    </row>
    <row r="12520" spans="1:9" x14ac:dyDescent="0.35">
      <c r="A12520" t="s">
        <v>232</v>
      </c>
      <c r="B12520" t="s">
        <v>232</v>
      </c>
      <c r="C12520" s="26">
        <v>0.91669999999999996</v>
      </c>
      <c r="D12520" s="26">
        <v>2.3599999999999999E-2</v>
      </c>
      <c r="E12520" s="26">
        <v>2.29E-2</v>
      </c>
      <c r="F12520" s="26">
        <v>2.2700000000000001E-2</v>
      </c>
      <c r="G12520" s="26">
        <v>1.3299999999999999E-2</v>
      </c>
      <c r="H12520" s="26">
        <v>8.9999999999999998E-4</v>
      </c>
      <c r="I12520">
        <v>2813</v>
      </c>
    </row>
    <row r="12522" spans="1:9" x14ac:dyDescent="0.35">
      <c r="A12522" s="1" t="s">
        <v>1468</v>
      </c>
    </row>
    <row r="12523" spans="1:9" x14ac:dyDescent="0.35">
      <c r="A12523" t="s">
        <v>219</v>
      </c>
      <c r="B12523" t="s">
        <v>305</v>
      </c>
      <c r="C12523" t="s">
        <v>1424</v>
      </c>
      <c r="D12523" t="s">
        <v>1427</v>
      </c>
      <c r="E12523" t="s">
        <v>281</v>
      </c>
      <c r="F12523" t="s">
        <v>1426</v>
      </c>
      <c r="G12523" t="s">
        <v>1425</v>
      </c>
      <c r="H12523" t="s">
        <v>286</v>
      </c>
      <c r="I12523" t="s">
        <v>226</v>
      </c>
    </row>
    <row r="12524" spans="1:9" x14ac:dyDescent="0.35">
      <c r="A12524" t="s">
        <v>227</v>
      </c>
      <c r="B12524" t="s">
        <v>255</v>
      </c>
      <c r="C12524" s="26">
        <v>0.95730000000000004</v>
      </c>
      <c r="D12524" s="26">
        <v>1.7100000000000001E-2</v>
      </c>
      <c r="E12524" s="26">
        <v>8.5000000000000006E-3</v>
      </c>
      <c r="F12524" s="26">
        <v>8.5000000000000006E-3</v>
      </c>
      <c r="G12524" s="26">
        <v>8.5000000000000006E-3</v>
      </c>
      <c r="I12524">
        <v>117</v>
      </c>
    </row>
    <row r="12525" spans="1:9" x14ac:dyDescent="0.35">
      <c r="A12525" s="27" t="s">
        <v>227</v>
      </c>
      <c r="B12525" s="27" t="s">
        <v>257</v>
      </c>
      <c r="C12525" s="28">
        <v>0.88890000000000002</v>
      </c>
      <c r="D12525" s="28">
        <v>0.1111</v>
      </c>
      <c r="E12525" s="29"/>
      <c r="F12525" s="29"/>
      <c r="G12525" s="29"/>
      <c r="H12525" s="29"/>
      <c r="I12525" s="29" t="s">
        <v>334</v>
      </c>
    </row>
    <row r="12526" spans="1:9" x14ac:dyDescent="0.35">
      <c r="A12526" t="s">
        <v>227</v>
      </c>
      <c r="B12526" t="s">
        <v>256</v>
      </c>
      <c r="C12526" s="26">
        <v>0.9143</v>
      </c>
      <c r="D12526" s="26">
        <v>2.86E-2</v>
      </c>
      <c r="F12526" s="26">
        <v>2.86E-2</v>
      </c>
      <c r="G12526" s="26">
        <v>2.86E-2</v>
      </c>
      <c r="I12526">
        <v>35</v>
      </c>
    </row>
    <row r="12527" spans="1:9" x14ac:dyDescent="0.35">
      <c r="A12527" t="s">
        <v>228</v>
      </c>
      <c r="B12527" t="s">
        <v>257</v>
      </c>
      <c r="C12527" s="26">
        <v>0.8649</v>
      </c>
      <c r="D12527" s="26">
        <v>8.6199999999999999E-2</v>
      </c>
      <c r="F12527" s="26">
        <v>4.8899999999999999E-2</v>
      </c>
      <c r="I12527">
        <v>49</v>
      </c>
    </row>
    <row r="12528" spans="1:9" x14ac:dyDescent="0.35">
      <c r="A12528" s="27" t="s">
        <v>228</v>
      </c>
      <c r="B12528" s="27" t="s">
        <v>258</v>
      </c>
      <c r="C12528" s="28">
        <v>1</v>
      </c>
      <c r="D12528" s="29"/>
      <c r="E12528" s="29"/>
      <c r="F12528" s="29"/>
      <c r="G12528" s="29"/>
      <c r="H12528" s="29"/>
      <c r="I12528" s="29" t="s">
        <v>337</v>
      </c>
    </row>
    <row r="12529" spans="1:9" x14ac:dyDescent="0.35">
      <c r="A12529" t="s">
        <v>228</v>
      </c>
      <c r="B12529" t="s">
        <v>256</v>
      </c>
      <c r="C12529" s="26">
        <v>0.90369999999999995</v>
      </c>
      <c r="D12529" s="26">
        <v>9.7999999999999997E-3</v>
      </c>
      <c r="E12529" s="26">
        <v>1.03E-2</v>
      </c>
      <c r="F12529" s="26">
        <v>5.9700000000000003E-2</v>
      </c>
      <c r="G12529" s="26">
        <v>1.66E-2</v>
      </c>
      <c r="I12529">
        <v>221</v>
      </c>
    </row>
    <row r="12530" spans="1:9" x14ac:dyDescent="0.35">
      <c r="A12530" t="s">
        <v>228</v>
      </c>
      <c r="B12530" t="s">
        <v>255</v>
      </c>
      <c r="C12530" s="26">
        <v>0.89180000000000004</v>
      </c>
      <c r="D12530" s="26">
        <v>2.9899999999999999E-2</v>
      </c>
      <c r="E12530" s="26">
        <v>3.4200000000000001E-2</v>
      </c>
      <c r="F12530" s="26">
        <v>1.7999999999999999E-2</v>
      </c>
      <c r="G12530" s="26">
        <v>2.6100000000000002E-2</v>
      </c>
      <c r="I12530">
        <v>759</v>
      </c>
    </row>
    <row r="12531" spans="1:9" x14ac:dyDescent="0.35">
      <c r="A12531" t="s">
        <v>229</v>
      </c>
      <c r="B12531" t="s">
        <v>256</v>
      </c>
      <c r="C12531" s="26">
        <v>0.88190000000000002</v>
      </c>
      <c r="D12531" s="26">
        <v>4.7999999999999996E-3</v>
      </c>
      <c r="E12531" s="26">
        <v>4.1099999999999998E-2</v>
      </c>
      <c r="F12531" s="26">
        <v>5.8700000000000002E-2</v>
      </c>
      <c r="G12531" s="26">
        <v>1.2800000000000001E-2</v>
      </c>
      <c r="H12531" s="26">
        <v>5.9999999999999995E-4</v>
      </c>
      <c r="I12531">
        <v>207</v>
      </c>
    </row>
    <row r="12532" spans="1:9" x14ac:dyDescent="0.35">
      <c r="A12532" t="s">
        <v>229</v>
      </c>
      <c r="B12532" t="s">
        <v>255</v>
      </c>
      <c r="C12532" s="26">
        <v>0.90769999999999995</v>
      </c>
      <c r="D12532" s="26">
        <v>2.1999999999999999E-2</v>
      </c>
      <c r="E12532" s="26">
        <v>2.5100000000000001E-2</v>
      </c>
      <c r="F12532" s="26">
        <v>3.44E-2</v>
      </c>
      <c r="G12532" s="26">
        <v>6.6E-3</v>
      </c>
      <c r="H12532" s="26">
        <v>4.1999999999999997E-3</v>
      </c>
      <c r="I12532">
        <v>636</v>
      </c>
    </row>
    <row r="12533" spans="1:9" x14ac:dyDescent="0.35">
      <c r="A12533" t="s">
        <v>229</v>
      </c>
      <c r="B12533" t="s">
        <v>257</v>
      </c>
      <c r="C12533" s="26">
        <v>0.89219999999999999</v>
      </c>
      <c r="D12533" s="26">
        <v>2.47E-2</v>
      </c>
      <c r="F12533" s="26">
        <v>8.3199999999999996E-2</v>
      </c>
      <c r="I12533">
        <v>50</v>
      </c>
    </row>
    <row r="12534" spans="1:9" x14ac:dyDescent="0.35">
      <c r="A12534" s="27" t="s">
        <v>229</v>
      </c>
      <c r="B12534" s="27" t="s">
        <v>258</v>
      </c>
      <c r="C12534" s="28">
        <v>1</v>
      </c>
      <c r="D12534" s="29"/>
      <c r="E12534" s="29"/>
      <c r="F12534" s="29"/>
      <c r="G12534" s="29"/>
      <c r="H12534" s="29"/>
      <c r="I12534" s="29" t="s">
        <v>314</v>
      </c>
    </row>
    <row r="12535" spans="1:9" x14ac:dyDescent="0.35">
      <c r="A12535" t="s">
        <v>230</v>
      </c>
      <c r="B12535" t="s">
        <v>256</v>
      </c>
      <c r="C12535" s="26">
        <v>0.91400000000000003</v>
      </c>
      <c r="D12535" s="26">
        <v>2.75E-2</v>
      </c>
      <c r="E12535" s="26">
        <v>3.3999999999999998E-3</v>
      </c>
      <c r="F12535" s="26">
        <v>5.1700000000000003E-2</v>
      </c>
      <c r="G12535" s="26">
        <v>3.3999999999999998E-3</v>
      </c>
      <c r="I12535">
        <v>130</v>
      </c>
    </row>
    <row r="12536" spans="1:9" x14ac:dyDescent="0.35">
      <c r="A12536" t="s">
        <v>230</v>
      </c>
      <c r="B12536" t="s">
        <v>255</v>
      </c>
      <c r="C12536" s="26">
        <v>0.92830000000000001</v>
      </c>
      <c r="D12536" s="26">
        <v>3.2399999999999998E-2</v>
      </c>
      <c r="E12536" s="26">
        <v>5.3E-3</v>
      </c>
      <c r="F12536" s="26">
        <v>1.2500000000000001E-2</v>
      </c>
      <c r="G12536" s="26">
        <v>2.1499999999999998E-2</v>
      </c>
      <c r="I12536">
        <v>389</v>
      </c>
    </row>
    <row r="12537" spans="1:9" x14ac:dyDescent="0.35">
      <c r="A12537" t="s">
        <v>230</v>
      </c>
      <c r="B12537" t="s">
        <v>257</v>
      </c>
      <c r="C12537" s="26">
        <v>0.89849999999999997</v>
      </c>
      <c r="D12537" s="26">
        <v>1.2500000000000001E-2</v>
      </c>
      <c r="F12537" s="26">
        <v>7.6100000000000001E-2</v>
      </c>
      <c r="G12537" s="26">
        <v>1.2800000000000001E-2</v>
      </c>
      <c r="I12537">
        <v>38</v>
      </c>
    </row>
    <row r="12538" spans="1:9" x14ac:dyDescent="0.35">
      <c r="A12538" s="27" t="s">
        <v>230</v>
      </c>
      <c r="B12538" s="27" t="s">
        <v>258</v>
      </c>
      <c r="C12538" s="28">
        <v>1</v>
      </c>
      <c r="D12538" s="29"/>
      <c r="E12538" s="29"/>
      <c r="F12538" s="29"/>
      <c r="G12538" s="29"/>
      <c r="H12538" s="29"/>
      <c r="I12538" s="29" t="s">
        <v>315</v>
      </c>
    </row>
    <row r="12539" spans="1:9" x14ac:dyDescent="0.35">
      <c r="A12539" s="27" t="s">
        <v>231</v>
      </c>
      <c r="B12539" s="27" t="s">
        <v>257</v>
      </c>
      <c r="C12539" s="28">
        <v>1</v>
      </c>
      <c r="D12539" s="29"/>
      <c r="E12539" s="29"/>
      <c r="F12539" s="29"/>
      <c r="G12539" s="29"/>
      <c r="H12539" s="29"/>
      <c r="I12539" s="29" t="s">
        <v>339</v>
      </c>
    </row>
    <row r="12540" spans="1:9" x14ac:dyDescent="0.35">
      <c r="A12540" t="s">
        <v>231</v>
      </c>
      <c r="B12540" t="s">
        <v>255</v>
      </c>
      <c r="C12540" s="26">
        <v>0.93020000000000003</v>
      </c>
      <c r="D12540" s="26">
        <v>3.1E-2</v>
      </c>
      <c r="E12540" s="26">
        <v>3.1E-2</v>
      </c>
      <c r="G12540" s="26">
        <v>7.7999999999999996E-3</v>
      </c>
      <c r="I12540">
        <v>129</v>
      </c>
    </row>
    <row r="12541" spans="1:9" x14ac:dyDescent="0.35">
      <c r="A12541" s="27" t="s">
        <v>231</v>
      </c>
      <c r="B12541" s="27" t="s">
        <v>256</v>
      </c>
      <c r="C12541" s="28">
        <v>0.92859999999999998</v>
      </c>
      <c r="D12541" s="29"/>
      <c r="E12541" s="28">
        <v>3.5700000000000003E-2</v>
      </c>
      <c r="F12541" s="29"/>
      <c r="G12541" s="28">
        <v>3.5700000000000003E-2</v>
      </c>
      <c r="H12541" s="29"/>
      <c r="I12541" s="29" t="s">
        <v>336</v>
      </c>
    </row>
    <row r="12542" spans="1:9" x14ac:dyDescent="0.35">
      <c r="A12542" t="s">
        <v>232</v>
      </c>
      <c r="B12542" t="s">
        <v>232</v>
      </c>
      <c r="C12542" s="26">
        <v>0.91669999999999996</v>
      </c>
      <c r="D12542" s="26">
        <v>2.3599999999999999E-2</v>
      </c>
      <c r="E12542" s="26">
        <v>2.29E-2</v>
      </c>
      <c r="F12542" s="26">
        <v>2.2700000000000001E-2</v>
      </c>
      <c r="G12542" s="26">
        <v>1.3299999999999999E-2</v>
      </c>
      <c r="H12542" s="26">
        <v>8.9999999999999998E-4</v>
      </c>
      <c r="I12542">
        <v>2813</v>
      </c>
    </row>
    <row r="12544" spans="1:9" x14ac:dyDescent="0.35">
      <c r="A12544" s="1" t="s">
        <v>1469</v>
      </c>
    </row>
    <row r="12545" spans="1:9" x14ac:dyDescent="0.35">
      <c r="A12545" t="s">
        <v>219</v>
      </c>
      <c r="B12545" t="s">
        <v>305</v>
      </c>
      <c r="C12545" t="s">
        <v>1424</v>
      </c>
      <c r="D12545" t="s">
        <v>1427</v>
      </c>
      <c r="E12545" t="s">
        <v>281</v>
      </c>
      <c r="F12545" t="s">
        <v>1426</v>
      </c>
      <c r="G12545" t="s">
        <v>1425</v>
      </c>
      <c r="H12545" t="s">
        <v>286</v>
      </c>
      <c r="I12545" t="s">
        <v>226</v>
      </c>
    </row>
    <row r="12546" spans="1:9" x14ac:dyDescent="0.35">
      <c r="A12546" t="s">
        <v>227</v>
      </c>
      <c r="B12546" t="s">
        <v>1341</v>
      </c>
      <c r="C12546" s="26">
        <v>0.95920000000000005</v>
      </c>
      <c r="D12546" s="26">
        <v>2.0400000000000001E-2</v>
      </c>
      <c r="G12546" s="26">
        <v>2.0400000000000001E-2</v>
      </c>
      <c r="I12546">
        <v>49</v>
      </c>
    </row>
    <row r="12547" spans="1:9" x14ac:dyDescent="0.35">
      <c r="A12547" s="27" t="s">
        <v>227</v>
      </c>
      <c r="B12547" s="27" t="s">
        <v>1342</v>
      </c>
      <c r="C12547" s="28">
        <v>1</v>
      </c>
      <c r="D12547" s="29"/>
      <c r="E12547" s="29"/>
      <c r="F12547" s="29"/>
      <c r="G12547" s="29"/>
      <c r="H12547" s="29"/>
      <c r="I12547" s="29" t="s">
        <v>331</v>
      </c>
    </row>
    <row r="12548" spans="1:9" x14ac:dyDescent="0.35">
      <c r="A12548" t="s">
        <v>227</v>
      </c>
      <c r="B12548" t="s">
        <v>1343</v>
      </c>
      <c r="C12548" s="26">
        <v>0.93689999999999996</v>
      </c>
      <c r="D12548" s="26">
        <v>2.7E-2</v>
      </c>
      <c r="E12548" s="26">
        <v>8.9999999999999993E-3</v>
      </c>
      <c r="F12548" s="26">
        <v>1.7999999999999999E-2</v>
      </c>
      <c r="G12548" s="26">
        <v>8.9999999999999993E-3</v>
      </c>
      <c r="I12548">
        <v>111</v>
      </c>
    </row>
    <row r="12549" spans="1:9" x14ac:dyDescent="0.35">
      <c r="A12549" t="s">
        <v>228</v>
      </c>
      <c r="B12549" t="s">
        <v>1341</v>
      </c>
      <c r="C12549" s="26">
        <v>0.87219999999999998</v>
      </c>
      <c r="D12549" s="26">
        <v>3.7100000000000001E-2</v>
      </c>
      <c r="E12549" s="26">
        <v>2.12E-2</v>
      </c>
      <c r="F12549" s="26">
        <v>3.9699999999999999E-2</v>
      </c>
      <c r="G12549" s="26">
        <v>2.9700000000000001E-2</v>
      </c>
      <c r="I12549">
        <v>305</v>
      </c>
    </row>
    <row r="12550" spans="1:9" x14ac:dyDescent="0.35">
      <c r="A12550" s="27" t="s">
        <v>228</v>
      </c>
      <c r="B12550" s="27" t="s">
        <v>1342</v>
      </c>
      <c r="C12550" s="28">
        <v>1</v>
      </c>
      <c r="D12550" s="29"/>
      <c r="E12550" s="29"/>
      <c r="F12550" s="29"/>
      <c r="G12550" s="29"/>
      <c r="H12550" s="29"/>
      <c r="I12550" s="29" t="s">
        <v>331</v>
      </c>
    </row>
    <row r="12551" spans="1:9" x14ac:dyDescent="0.35">
      <c r="A12551" t="s">
        <v>228</v>
      </c>
      <c r="B12551" t="s">
        <v>1343</v>
      </c>
      <c r="C12551" s="26">
        <v>0.90239999999999998</v>
      </c>
      <c r="D12551" s="26">
        <v>2.4E-2</v>
      </c>
      <c r="E12551" s="26">
        <v>2.87E-2</v>
      </c>
      <c r="F12551" s="26">
        <v>2.5499999999999998E-2</v>
      </c>
      <c r="G12551" s="26">
        <v>1.9300000000000001E-2</v>
      </c>
      <c r="I12551">
        <v>727</v>
      </c>
    </row>
    <row r="12552" spans="1:9" x14ac:dyDescent="0.35">
      <c r="A12552" t="s">
        <v>229</v>
      </c>
      <c r="B12552" t="s">
        <v>1341</v>
      </c>
      <c r="C12552" s="26">
        <v>0.89959999999999996</v>
      </c>
      <c r="D12552" s="26">
        <v>1.6799999999999999E-2</v>
      </c>
      <c r="E12552" s="26">
        <v>3.4000000000000002E-2</v>
      </c>
      <c r="F12552" s="26">
        <v>4.4600000000000001E-2</v>
      </c>
      <c r="G12552" s="26">
        <v>4.8999999999999998E-3</v>
      </c>
      <c r="I12552">
        <v>273</v>
      </c>
    </row>
    <row r="12553" spans="1:9" x14ac:dyDescent="0.35">
      <c r="A12553" t="s">
        <v>229</v>
      </c>
      <c r="B12553" t="s">
        <v>1343</v>
      </c>
      <c r="C12553" s="26">
        <v>0.89990000000000003</v>
      </c>
      <c r="D12553" s="26">
        <v>1.78E-2</v>
      </c>
      <c r="E12553" s="26">
        <v>2.52E-2</v>
      </c>
      <c r="F12553" s="26">
        <v>4.3200000000000002E-2</v>
      </c>
      <c r="G12553" s="26">
        <v>9.4000000000000004E-3</v>
      </c>
      <c r="H12553" s="26">
        <v>4.4999999999999997E-3</v>
      </c>
      <c r="I12553">
        <v>622</v>
      </c>
    </row>
    <row r="12554" spans="1:9" x14ac:dyDescent="0.35">
      <c r="A12554" t="s">
        <v>230</v>
      </c>
      <c r="B12554" t="s">
        <v>1341</v>
      </c>
      <c r="C12554" s="26">
        <v>0.92369999999999997</v>
      </c>
      <c r="D12554" s="26">
        <v>2.5100000000000001E-2</v>
      </c>
      <c r="E12554" s="26">
        <v>6.7000000000000002E-3</v>
      </c>
      <c r="F12554" s="26">
        <v>2.3199999999999998E-2</v>
      </c>
      <c r="G12554" s="26">
        <v>2.1299999999999999E-2</v>
      </c>
      <c r="I12554">
        <v>156</v>
      </c>
    </row>
    <row r="12555" spans="1:9" x14ac:dyDescent="0.35">
      <c r="A12555" t="s">
        <v>230</v>
      </c>
      <c r="B12555" t="s">
        <v>1343</v>
      </c>
      <c r="C12555" s="26">
        <v>0.92259999999999998</v>
      </c>
      <c r="D12555" s="26">
        <v>3.15E-2</v>
      </c>
      <c r="E12555" s="26">
        <v>3.3999999999999998E-3</v>
      </c>
      <c r="F12555" s="26">
        <v>2.8799999999999999E-2</v>
      </c>
      <c r="G12555" s="26">
        <v>1.37E-2</v>
      </c>
      <c r="I12555">
        <v>404</v>
      </c>
    </row>
    <row r="12556" spans="1:9" x14ac:dyDescent="0.35">
      <c r="A12556" t="s">
        <v>231</v>
      </c>
      <c r="B12556" t="s">
        <v>1341</v>
      </c>
      <c r="C12556" s="26">
        <v>0.92310000000000003</v>
      </c>
      <c r="D12556" s="26">
        <v>1.54E-2</v>
      </c>
      <c r="E12556" s="26">
        <v>4.6199999999999998E-2</v>
      </c>
      <c r="G12556" s="26">
        <v>1.54E-2</v>
      </c>
      <c r="I12556">
        <v>65</v>
      </c>
    </row>
    <row r="12557" spans="1:9" x14ac:dyDescent="0.35">
      <c r="A12557" t="s">
        <v>231</v>
      </c>
      <c r="B12557" t="s">
        <v>1343</v>
      </c>
      <c r="C12557" s="26">
        <v>0.93940000000000001</v>
      </c>
      <c r="D12557" s="26">
        <v>3.0300000000000001E-2</v>
      </c>
      <c r="E12557" s="26">
        <v>2.0199999999999999E-2</v>
      </c>
      <c r="G12557" s="26">
        <v>1.01E-2</v>
      </c>
      <c r="I12557">
        <v>99</v>
      </c>
    </row>
    <row r="12558" spans="1:9" x14ac:dyDescent="0.35">
      <c r="A12558" t="s">
        <v>232</v>
      </c>
      <c r="B12558" t="s">
        <v>232</v>
      </c>
      <c r="C12558" s="26">
        <v>0.91669999999999996</v>
      </c>
      <c r="D12558" s="26">
        <v>2.3599999999999999E-2</v>
      </c>
      <c r="E12558" s="26">
        <v>2.29E-2</v>
      </c>
      <c r="F12558" s="26">
        <v>2.2700000000000001E-2</v>
      </c>
      <c r="G12558" s="26">
        <v>1.3299999999999999E-2</v>
      </c>
      <c r="H12558" s="26">
        <v>8.9999999999999998E-4</v>
      </c>
      <c r="I12558">
        <v>2813</v>
      </c>
    </row>
    <row r="12560" spans="1:9" x14ac:dyDescent="0.35">
      <c r="A12560" s="1" t="s">
        <v>1470</v>
      </c>
    </row>
    <row r="12561" spans="1:9" x14ac:dyDescent="0.35">
      <c r="A12561" t="s">
        <v>219</v>
      </c>
      <c r="B12561" t="s">
        <v>305</v>
      </c>
      <c r="C12561" t="s">
        <v>1424</v>
      </c>
      <c r="D12561" t="s">
        <v>1427</v>
      </c>
      <c r="E12561" t="s">
        <v>281</v>
      </c>
      <c r="F12561" t="s">
        <v>1426</v>
      </c>
      <c r="G12561" t="s">
        <v>1425</v>
      </c>
      <c r="H12561" t="s">
        <v>286</v>
      </c>
      <c r="I12561" t="s">
        <v>226</v>
      </c>
    </row>
    <row r="12562" spans="1:9" x14ac:dyDescent="0.35">
      <c r="A12562" s="27" t="s">
        <v>227</v>
      </c>
      <c r="B12562" s="27" t="s">
        <v>1345</v>
      </c>
      <c r="C12562" s="28">
        <v>1</v>
      </c>
      <c r="D12562" s="29"/>
      <c r="E12562" s="29"/>
      <c r="F12562" s="29"/>
      <c r="G12562" s="29"/>
      <c r="H12562" s="29"/>
      <c r="I12562" s="29" t="s">
        <v>314</v>
      </c>
    </row>
    <row r="12563" spans="1:9" x14ac:dyDescent="0.35">
      <c r="A12563" t="s">
        <v>227</v>
      </c>
      <c r="B12563" t="s">
        <v>1346</v>
      </c>
      <c r="C12563" s="26">
        <v>0.94869999999999999</v>
      </c>
      <c r="D12563" s="26">
        <v>2.5600000000000001E-2</v>
      </c>
      <c r="E12563" s="26">
        <v>2.5600000000000001E-2</v>
      </c>
      <c r="I12563">
        <v>39</v>
      </c>
    </row>
    <row r="12564" spans="1:9" x14ac:dyDescent="0.35">
      <c r="A12564" t="s">
        <v>227</v>
      </c>
      <c r="B12564" t="s">
        <v>1347</v>
      </c>
      <c r="C12564" s="26">
        <v>0.91669999999999996</v>
      </c>
      <c r="D12564" s="26">
        <v>5.5599999999999997E-2</v>
      </c>
      <c r="F12564" s="26">
        <v>2.7799999999999998E-2</v>
      </c>
      <c r="I12564">
        <v>36</v>
      </c>
    </row>
    <row r="12565" spans="1:9" x14ac:dyDescent="0.35">
      <c r="A12565" t="s">
        <v>227</v>
      </c>
      <c r="B12565" t="s">
        <v>1348</v>
      </c>
      <c r="C12565" s="26">
        <v>0.95240000000000002</v>
      </c>
      <c r="D12565" s="26">
        <v>1.1900000000000001E-2</v>
      </c>
      <c r="F12565" s="26">
        <v>1.1900000000000001E-2</v>
      </c>
      <c r="G12565" s="26">
        <v>2.3800000000000002E-2</v>
      </c>
      <c r="I12565">
        <v>84</v>
      </c>
    </row>
    <row r="12566" spans="1:9" x14ac:dyDescent="0.35">
      <c r="A12566" t="s">
        <v>228</v>
      </c>
      <c r="B12566" t="s">
        <v>1348</v>
      </c>
      <c r="C12566" s="26">
        <v>0.89980000000000004</v>
      </c>
      <c r="D12566" s="26">
        <v>2.9000000000000001E-2</v>
      </c>
      <c r="E12566" s="26">
        <v>2.0799999999999999E-2</v>
      </c>
      <c r="F12566" s="26">
        <v>3.0499999999999999E-2</v>
      </c>
      <c r="G12566" s="26">
        <v>1.9800000000000002E-2</v>
      </c>
      <c r="I12566">
        <v>532</v>
      </c>
    </row>
    <row r="12567" spans="1:9" x14ac:dyDescent="0.35">
      <c r="A12567" t="s">
        <v>228</v>
      </c>
      <c r="B12567" t="s">
        <v>1347</v>
      </c>
      <c r="C12567" s="26">
        <v>0.82179999999999997</v>
      </c>
      <c r="D12567" s="26">
        <v>4.3999999999999997E-2</v>
      </c>
      <c r="E12567" s="26">
        <v>2.4E-2</v>
      </c>
      <c r="F12567" s="26">
        <v>6.8599999999999994E-2</v>
      </c>
      <c r="G12567" s="26">
        <v>4.1500000000000002E-2</v>
      </c>
      <c r="I12567">
        <v>204</v>
      </c>
    </row>
    <row r="12568" spans="1:9" x14ac:dyDescent="0.35">
      <c r="A12568" t="s">
        <v>228</v>
      </c>
      <c r="B12568" t="s">
        <v>1346</v>
      </c>
      <c r="C12568" s="26">
        <v>0.93189999999999995</v>
      </c>
      <c r="D12568" s="26">
        <v>1.41E-2</v>
      </c>
      <c r="E12568" s="26">
        <v>4.1799999999999997E-2</v>
      </c>
      <c r="F12568" s="26">
        <v>1.6000000000000001E-3</v>
      </c>
      <c r="G12568" s="26">
        <v>1.06E-2</v>
      </c>
      <c r="I12568">
        <v>286</v>
      </c>
    </row>
    <row r="12569" spans="1:9" x14ac:dyDescent="0.35">
      <c r="A12569" s="27" t="s">
        <v>228</v>
      </c>
      <c r="B12569" s="27" t="s">
        <v>1345</v>
      </c>
      <c r="C12569" s="28">
        <v>0.92620000000000002</v>
      </c>
      <c r="D12569" s="28">
        <v>1.9300000000000001E-2</v>
      </c>
      <c r="E12569" s="29"/>
      <c r="F12569" s="29"/>
      <c r="G12569" s="28">
        <v>5.45E-2</v>
      </c>
      <c r="H12569" s="29"/>
      <c r="I12569" s="29" t="s">
        <v>352</v>
      </c>
    </row>
    <row r="12570" spans="1:9" x14ac:dyDescent="0.35">
      <c r="A12570" s="27" t="s">
        <v>229</v>
      </c>
      <c r="B12570" s="27" t="s">
        <v>1345</v>
      </c>
      <c r="C12570" s="28">
        <v>0.98460000000000003</v>
      </c>
      <c r="D12570" s="28">
        <v>6.0000000000000001E-3</v>
      </c>
      <c r="E12570" s="28">
        <v>3.3999999999999998E-3</v>
      </c>
      <c r="F12570" s="29"/>
      <c r="G12570" s="28">
        <v>6.0000000000000001E-3</v>
      </c>
      <c r="H12570" s="29"/>
      <c r="I12570" s="29" t="s">
        <v>357</v>
      </c>
    </row>
    <row r="12571" spans="1:9" x14ac:dyDescent="0.35">
      <c r="A12571" t="s">
        <v>229</v>
      </c>
      <c r="B12571" t="s">
        <v>1346</v>
      </c>
      <c r="C12571" s="26">
        <v>0.88839999999999997</v>
      </c>
      <c r="D12571" s="26">
        <v>1.5299999999999999E-2</v>
      </c>
      <c r="E12571" s="26">
        <v>5.6099999999999997E-2</v>
      </c>
      <c r="F12571" s="26">
        <v>2.8199999999999999E-2</v>
      </c>
      <c r="H12571" s="26">
        <v>1.2E-2</v>
      </c>
      <c r="I12571">
        <v>184</v>
      </c>
    </row>
    <row r="12572" spans="1:9" x14ac:dyDescent="0.35">
      <c r="A12572" t="s">
        <v>229</v>
      </c>
      <c r="B12572" t="s">
        <v>1347</v>
      </c>
      <c r="C12572" s="26">
        <v>0.86899999999999999</v>
      </c>
      <c r="D12572" s="26">
        <v>1.89E-2</v>
      </c>
      <c r="E12572" s="26">
        <v>1.52E-2</v>
      </c>
      <c r="F12572" s="26">
        <v>8.3299999999999999E-2</v>
      </c>
      <c r="G12572" s="26">
        <v>1.3599999999999999E-2</v>
      </c>
      <c r="I12572">
        <v>302</v>
      </c>
    </row>
    <row r="12573" spans="1:9" x14ac:dyDescent="0.35">
      <c r="A12573" t="s">
        <v>229</v>
      </c>
      <c r="B12573" t="s">
        <v>1348</v>
      </c>
      <c r="C12573" s="26">
        <v>0.91930000000000001</v>
      </c>
      <c r="D12573" s="26">
        <v>1.8200000000000001E-2</v>
      </c>
      <c r="E12573" s="26">
        <v>2.53E-2</v>
      </c>
      <c r="F12573" s="26">
        <v>2.8199999999999999E-2</v>
      </c>
      <c r="G12573" s="26">
        <v>8.0000000000000002E-3</v>
      </c>
      <c r="H12573" s="26">
        <v>1.1000000000000001E-3</v>
      </c>
      <c r="I12573">
        <v>383</v>
      </c>
    </row>
    <row r="12574" spans="1:9" x14ac:dyDescent="0.35">
      <c r="A12574" t="s">
        <v>230</v>
      </c>
      <c r="B12574" t="s">
        <v>1346</v>
      </c>
      <c r="C12574" s="26">
        <v>0.9345</v>
      </c>
      <c r="D12574" s="26">
        <v>5.3499999999999999E-2</v>
      </c>
      <c r="F12574" s="26">
        <v>1.2999999999999999E-3</v>
      </c>
      <c r="G12574" s="26">
        <v>1.0699999999999999E-2</v>
      </c>
      <c r="I12574">
        <v>140</v>
      </c>
    </row>
    <row r="12575" spans="1:9" x14ac:dyDescent="0.35">
      <c r="A12575" t="s">
        <v>230</v>
      </c>
      <c r="B12575" t="s">
        <v>1348</v>
      </c>
      <c r="C12575" s="26">
        <v>0.90529999999999999</v>
      </c>
      <c r="D12575" s="26">
        <v>1.84E-2</v>
      </c>
      <c r="E12575" s="26">
        <v>7.1999999999999998E-3</v>
      </c>
      <c r="F12575" s="26">
        <v>4.2500000000000003E-2</v>
      </c>
      <c r="G12575" s="26">
        <v>2.6499999999999999E-2</v>
      </c>
      <c r="I12575">
        <v>259</v>
      </c>
    </row>
    <row r="12576" spans="1:9" x14ac:dyDescent="0.35">
      <c r="A12576" t="s">
        <v>230</v>
      </c>
      <c r="B12576" t="s">
        <v>1347</v>
      </c>
      <c r="C12576" s="26">
        <v>0.93889999999999996</v>
      </c>
      <c r="D12576" s="26">
        <v>3.2199999999999999E-2</v>
      </c>
      <c r="E12576" s="26">
        <v>3.2000000000000002E-3</v>
      </c>
      <c r="F12576" s="26">
        <v>2.2499999999999999E-2</v>
      </c>
      <c r="G12576" s="26">
        <v>3.3E-3</v>
      </c>
      <c r="I12576">
        <v>153</v>
      </c>
    </row>
    <row r="12577" spans="1:10" x14ac:dyDescent="0.35">
      <c r="A12577" s="27" t="s">
        <v>230</v>
      </c>
      <c r="B12577" s="27" t="s">
        <v>1345</v>
      </c>
      <c r="C12577" s="28">
        <v>1</v>
      </c>
      <c r="D12577" s="29"/>
      <c r="E12577" s="29"/>
      <c r="F12577" s="29"/>
      <c r="G12577" s="29"/>
      <c r="H12577" s="29"/>
      <c r="I12577" s="29" t="s">
        <v>333</v>
      </c>
    </row>
    <row r="12578" spans="1:10" x14ac:dyDescent="0.35">
      <c r="A12578" s="27" t="s">
        <v>231</v>
      </c>
      <c r="B12578" s="27" t="s">
        <v>1345</v>
      </c>
      <c r="C12578" s="28">
        <v>0.5</v>
      </c>
      <c r="D12578" s="28">
        <v>0.5</v>
      </c>
      <c r="E12578" s="29"/>
      <c r="F12578" s="29"/>
      <c r="G12578" s="29"/>
      <c r="H12578" s="29"/>
      <c r="I12578" s="29" t="s">
        <v>337</v>
      </c>
    </row>
    <row r="12579" spans="1:10" x14ac:dyDescent="0.35">
      <c r="A12579" t="s">
        <v>231</v>
      </c>
      <c r="B12579" t="s">
        <v>1346</v>
      </c>
      <c r="C12579" s="26">
        <v>0.95</v>
      </c>
      <c r="E12579" s="26">
        <v>0.05</v>
      </c>
      <c r="I12579">
        <v>40</v>
      </c>
    </row>
    <row r="12580" spans="1:10" x14ac:dyDescent="0.35">
      <c r="A12580" t="s">
        <v>231</v>
      </c>
      <c r="B12580" t="s">
        <v>1347</v>
      </c>
      <c r="C12580" s="26">
        <v>0.94120000000000004</v>
      </c>
      <c r="D12580" s="26">
        <v>2.9399999999999999E-2</v>
      </c>
      <c r="G12580" s="26">
        <v>2.9399999999999999E-2</v>
      </c>
      <c r="I12580">
        <v>34</v>
      </c>
    </row>
    <row r="12581" spans="1:10" x14ac:dyDescent="0.35">
      <c r="A12581" t="s">
        <v>231</v>
      </c>
      <c r="B12581" t="s">
        <v>1348</v>
      </c>
      <c r="C12581" s="26">
        <v>0.94189999999999996</v>
      </c>
      <c r="D12581" s="26">
        <v>1.1599999999999999E-2</v>
      </c>
      <c r="E12581" s="26">
        <v>3.49E-2</v>
      </c>
      <c r="G12581" s="26">
        <v>1.1599999999999999E-2</v>
      </c>
      <c r="I12581">
        <v>86</v>
      </c>
    </row>
    <row r="12582" spans="1:10" x14ac:dyDescent="0.35">
      <c r="A12582" t="s">
        <v>232</v>
      </c>
      <c r="B12582" t="s">
        <v>232</v>
      </c>
      <c r="C12582" s="26">
        <v>0.91669999999999996</v>
      </c>
      <c r="D12582" s="26">
        <v>2.3599999999999999E-2</v>
      </c>
      <c r="E12582" s="26">
        <v>2.29E-2</v>
      </c>
      <c r="F12582" s="26">
        <v>2.2700000000000001E-2</v>
      </c>
      <c r="G12582" s="26">
        <v>1.3299999999999999E-2</v>
      </c>
      <c r="H12582" s="26">
        <v>8.9999999999999998E-4</v>
      </c>
      <c r="I12582">
        <v>2813</v>
      </c>
    </row>
    <row r="12584" spans="1:10" x14ac:dyDescent="0.35">
      <c r="A12584" s="1" t="s">
        <v>1471</v>
      </c>
    </row>
    <row r="12585" spans="1:10" x14ac:dyDescent="0.35">
      <c r="A12585" t="s">
        <v>219</v>
      </c>
      <c r="B12585" t="s">
        <v>305</v>
      </c>
      <c r="C12585" t="s">
        <v>345</v>
      </c>
      <c r="D12585" t="s">
        <v>1424</v>
      </c>
      <c r="E12585" t="s">
        <v>1427</v>
      </c>
      <c r="F12585" t="s">
        <v>281</v>
      </c>
      <c r="G12585" t="s">
        <v>1426</v>
      </c>
      <c r="H12585" t="s">
        <v>1425</v>
      </c>
      <c r="I12585" t="s">
        <v>286</v>
      </c>
      <c r="J12585" t="s">
        <v>226</v>
      </c>
    </row>
    <row r="12586" spans="1:10" x14ac:dyDescent="0.35">
      <c r="A12586" s="27" t="s">
        <v>227</v>
      </c>
      <c r="B12586" s="27" t="s">
        <v>1341</v>
      </c>
      <c r="C12586" s="27" t="s">
        <v>1345</v>
      </c>
      <c r="D12586" s="28">
        <v>1</v>
      </c>
      <c r="E12586" s="29"/>
      <c r="F12586" s="29"/>
      <c r="G12586" s="29"/>
      <c r="H12586" s="29"/>
      <c r="I12586" s="29"/>
      <c r="J12586" s="29" t="s">
        <v>331</v>
      </c>
    </row>
    <row r="12587" spans="1:10" x14ac:dyDescent="0.35">
      <c r="A12587" s="27" t="s">
        <v>227</v>
      </c>
      <c r="B12587" s="27" t="s">
        <v>1343</v>
      </c>
      <c r="C12587" s="27" t="s">
        <v>1346</v>
      </c>
      <c r="D12587" s="28">
        <v>0.92310000000000003</v>
      </c>
      <c r="E12587" s="28">
        <v>3.85E-2</v>
      </c>
      <c r="F12587" s="28">
        <v>3.85E-2</v>
      </c>
      <c r="G12587" s="29"/>
      <c r="H12587" s="29"/>
      <c r="I12587" s="29"/>
      <c r="J12587" s="29" t="s">
        <v>357</v>
      </c>
    </row>
    <row r="12588" spans="1:10" x14ac:dyDescent="0.35">
      <c r="A12588" t="s">
        <v>227</v>
      </c>
      <c r="B12588" t="s">
        <v>1343</v>
      </c>
      <c r="C12588" t="s">
        <v>1348</v>
      </c>
      <c r="D12588" s="26">
        <v>0.96719999999999995</v>
      </c>
      <c r="G12588" s="26">
        <v>1.6400000000000001E-2</v>
      </c>
      <c r="H12588" s="26">
        <v>1.6400000000000001E-2</v>
      </c>
      <c r="J12588">
        <v>61</v>
      </c>
    </row>
    <row r="12589" spans="1:10" x14ac:dyDescent="0.35">
      <c r="A12589" s="27" t="s">
        <v>227</v>
      </c>
      <c r="B12589" s="27" t="s">
        <v>1341</v>
      </c>
      <c r="C12589" s="27" t="s">
        <v>1347</v>
      </c>
      <c r="D12589" s="28">
        <v>1</v>
      </c>
      <c r="E12589" s="29"/>
      <c r="F12589" s="29"/>
      <c r="G12589" s="29"/>
      <c r="H12589" s="29"/>
      <c r="I12589" s="29"/>
      <c r="J12589" s="29" t="s">
        <v>341</v>
      </c>
    </row>
    <row r="12590" spans="1:10" x14ac:dyDescent="0.35">
      <c r="A12590" s="27" t="s">
        <v>227</v>
      </c>
      <c r="B12590" s="27" t="s">
        <v>1343</v>
      </c>
      <c r="C12590" s="27" t="s">
        <v>1347</v>
      </c>
      <c r="D12590" s="28">
        <v>0.86960000000000004</v>
      </c>
      <c r="E12590" s="28">
        <v>8.6999999999999994E-2</v>
      </c>
      <c r="F12590" s="29"/>
      <c r="G12590" s="28">
        <v>4.3499999999999997E-2</v>
      </c>
      <c r="H12590" s="29"/>
      <c r="I12590" s="29"/>
      <c r="J12590" s="29" t="s">
        <v>328</v>
      </c>
    </row>
    <row r="12591" spans="1:10" x14ac:dyDescent="0.35">
      <c r="A12591" s="27" t="s">
        <v>227</v>
      </c>
      <c r="B12591" s="27" t="s">
        <v>1343</v>
      </c>
      <c r="C12591" s="27" t="s">
        <v>1345</v>
      </c>
      <c r="D12591" s="28">
        <v>1</v>
      </c>
      <c r="E12591" s="29"/>
      <c r="F12591" s="29"/>
      <c r="G12591" s="29"/>
      <c r="H12591" s="29"/>
      <c r="I12591" s="29"/>
      <c r="J12591" s="29" t="s">
        <v>331</v>
      </c>
    </row>
    <row r="12592" spans="1:10" x14ac:dyDescent="0.35">
      <c r="A12592" s="27" t="s">
        <v>227</v>
      </c>
      <c r="B12592" s="27" t="s">
        <v>1342</v>
      </c>
      <c r="C12592" s="27" t="s">
        <v>1348</v>
      </c>
      <c r="D12592" s="28">
        <v>1</v>
      </c>
      <c r="E12592" s="29"/>
      <c r="F12592" s="29"/>
      <c r="G12592" s="29"/>
      <c r="H12592" s="29"/>
      <c r="I12592" s="29"/>
      <c r="J12592" s="29" t="s">
        <v>331</v>
      </c>
    </row>
    <row r="12593" spans="1:10" x14ac:dyDescent="0.35">
      <c r="A12593" s="27" t="s">
        <v>227</v>
      </c>
      <c r="B12593" s="27" t="s">
        <v>1341</v>
      </c>
      <c r="C12593" s="27" t="s">
        <v>1348</v>
      </c>
      <c r="D12593" s="28">
        <v>0.90910000000000002</v>
      </c>
      <c r="E12593" s="28">
        <v>4.5499999999999999E-2</v>
      </c>
      <c r="F12593" s="29"/>
      <c r="G12593" s="29"/>
      <c r="H12593" s="28">
        <v>4.5499999999999999E-2</v>
      </c>
      <c r="I12593" s="29"/>
      <c r="J12593" s="29" t="s">
        <v>347</v>
      </c>
    </row>
    <row r="12594" spans="1:10" x14ac:dyDescent="0.35">
      <c r="A12594" s="27" t="s">
        <v>227</v>
      </c>
      <c r="B12594" s="27" t="s">
        <v>1341</v>
      </c>
      <c r="C12594" s="27" t="s">
        <v>1346</v>
      </c>
      <c r="D12594" s="28">
        <v>1</v>
      </c>
      <c r="E12594" s="29"/>
      <c r="F12594" s="29"/>
      <c r="G12594" s="29"/>
      <c r="H12594" s="29"/>
      <c r="I12594" s="29"/>
      <c r="J12594" s="29" t="s">
        <v>341</v>
      </c>
    </row>
    <row r="12595" spans="1:10" x14ac:dyDescent="0.35">
      <c r="A12595" t="s">
        <v>228</v>
      </c>
      <c r="B12595" t="s">
        <v>1343</v>
      </c>
      <c r="C12595" t="s">
        <v>1348</v>
      </c>
      <c r="D12595" s="26">
        <v>0.89900000000000002</v>
      </c>
      <c r="E12595" s="26">
        <v>3.9399999999999998E-2</v>
      </c>
      <c r="F12595" s="26">
        <v>1.5800000000000002E-2</v>
      </c>
      <c r="G12595" s="26">
        <v>2.2700000000000001E-2</v>
      </c>
      <c r="H12595" s="26">
        <v>2.3E-2</v>
      </c>
      <c r="J12595">
        <v>352</v>
      </c>
    </row>
    <row r="12596" spans="1:10" x14ac:dyDescent="0.35">
      <c r="A12596" t="s">
        <v>228</v>
      </c>
      <c r="B12596" t="s">
        <v>1343</v>
      </c>
      <c r="C12596" t="s">
        <v>1347</v>
      </c>
      <c r="D12596" s="26">
        <v>0.85680000000000001</v>
      </c>
      <c r="E12596" s="26">
        <v>2.8E-3</v>
      </c>
      <c r="F12596" s="26">
        <v>3.61E-2</v>
      </c>
      <c r="G12596" s="26">
        <v>7.8E-2</v>
      </c>
      <c r="H12596" s="26">
        <v>2.6200000000000001E-2</v>
      </c>
      <c r="J12596">
        <v>130</v>
      </c>
    </row>
    <row r="12597" spans="1:10" x14ac:dyDescent="0.35">
      <c r="A12597" s="27" t="s">
        <v>228</v>
      </c>
      <c r="B12597" s="27" t="s">
        <v>1343</v>
      </c>
      <c r="C12597" s="27" t="s">
        <v>1345</v>
      </c>
      <c r="D12597" s="28">
        <v>1</v>
      </c>
      <c r="E12597" s="29"/>
      <c r="F12597" s="29"/>
      <c r="G12597" s="29"/>
      <c r="H12597" s="29"/>
      <c r="I12597" s="29"/>
      <c r="J12597" s="29" t="s">
        <v>335</v>
      </c>
    </row>
    <row r="12598" spans="1:10" x14ac:dyDescent="0.35">
      <c r="A12598" t="s">
        <v>228</v>
      </c>
      <c r="B12598" t="s">
        <v>1341</v>
      </c>
      <c r="C12598" t="s">
        <v>1346</v>
      </c>
      <c r="D12598" s="26">
        <v>0.96589999999999998</v>
      </c>
      <c r="E12598" s="26">
        <v>1.17E-2</v>
      </c>
      <c r="F12598" s="26">
        <v>1.55E-2</v>
      </c>
      <c r="H12598" s="26">
        <v>6.8999999999999999E-3</v>
      </c>
      <c r="J12598">
        <v>47</v>
      </c>
    </row>
    <row r="12599" spans="1:10" x14ac:dyDescent="0.35">
      <c r="A12599" t="s">
        <v>228</v>
      </c>
      <c r="B12599" t="s">
        <v>1341</v>
      </c>
      <c r="C12599" t="s">
        <v>1348</v>
      </c>
      <c r="D12599" s="26">
        <v>0.89929999999999999</v>
      </c>
      <c r="E12599" s="26">
        <v>1.0800000000000001E-2</v>
      </c>
      <c r="F12599" s="26">
        <v>3.0200000000000001E-2</v>
      </c>
      <c r="G12599" s="26">
        <v>4.5199999999999997E-2</v>
      </c>
      <c r="H12599" s="26">
        <v>1.44E-2</v>
      </c>
      <c r="J12599">
        <v>179</v>
      </c>
    </row>
    <row r="12600" spans="1:10" x14ac:dyDescent="0.35">
      <c r="A12600" s="27" t="s">
        <v>228</v>
      </c>
      <c r="B12600" s="27" t="s">
        <v>1342</v>
      </c>
      <c r="C12600" s="27" t="s">
        <v>1348</v>
      </c>
      <c r="D12600" s="28">
        <v>1</v>
      </c>
      <c r="E12600" s="29"/>
      <c r="F12600" s="29"/>
      <c r="G12600" s="29"/>
      <c r="H12600" s="29"/>
      <c r="I12600" s="29"/>
      <c r="J12600" s="29" t="s">
        <v>331</v>
      </c>
    </row>
    <row r="12601" spans="1:10" x14ac:dyDescent="0.35">
      <c r="A12601" t="s">
        <v>228</v>
      </c>
      <c r="B12601" t="s">
        <v>1343</v>
      </c>
      <c r="C12601" t="s">
        <v>1346</v>
      </c>
      <c r="D12601" s="26">
        <v>0.92659999999999998</v>
      </c>
      <c r="E12601" s="26">
        <v>1.4500000000000001E-2</v>
      </c>
      <c r="F12601" s="26">
        <v>4.5999999999999999E-2</v>
      </c>
      <c r="G12601" s="26">
        <v>1.8E-3</v>
      </c>
      <c r="H12601" s="26">
        <v>1.12E-2</v>
      </c>
      <c r="J12601">
        <v>239</v>
      </c>
    </row>
    <row r="12602" spans="1:10" x14ac:dyDescent="0.35">
      <c r="A12602" t="s">
        <v>228</v>
      </c>
      <c r="B12602" t="s">
        <v>1341</v>
      </c>
      <c r="C12602" t="s">
        <v>1347</v>
      </c>
      <c r="D12602" s="26">
        <v>0.75190000000000001</v>
      </c>
      <c r="E12602" s="26">
        <v>0.1263</v>
      </c>
      <c r="G12602" s="26">
        <v>4.9700000000000001E-2</v>
      </c>
      <c r="H12602" s="26">
        <v>7.2099999999999997E-2</v>
      </c>
      <c r="J12602">
        <v>74</v>
      </c>
    </row>
    <row r="12603" spans="1:10" x14ac:dyDescent="0.35">
      <c r="A12603" s="27" t="s">
        <v>228</v>
      </c>
      <c r="B12603" s="27" t="s">
        <v>1341</v>
      </c>
      <c r="C12603" s="27" t="s">
        <v>1345</v>
      </c>
      <c r="D12603" s="28">
        <v>0.754</v>
      </c>
      <c r="E12603" s="28">
        <v>6.4299999999999996E-2</v>
      </c>
      <c r="F12603" s="29"/>
      <c r="G12603" s="29"/>
      <c r="H12603" s="28">
        <v>0.1817</v>
      </c>
      <c r="I12603" s="29"/>
      <c r="J12603" s="29" t="s">
        <v>332</v>
      </c>
    </row>
    <row r="12604" spans="1:10" x14ac:dyDescent="0.35">
      <c r="A12604" t="s">
        <v>229</v>
      </c>
      <c r="B12604" t="s">
        <v>1343</v>
      </c>
      <c r="C12604" t="s">
        <v>1348</v>
      </c>
      <c r="D12604" s="26">
        <v>0.94789999999999996</v>
      </c>
      <c r="E12604" s="26">
        <v>1.8200000000000001E-2</v>
      </c>
      <c r="F12604" s="26">
        <v>8.0000000000000002E-3</v>
      </c>
      <c r="G12604" s="26">
        <v>1.44E-2</v>
      </c>
      <c r="H12604" s="26">
        <v>9.9000000000000008E-3</v>
      </c>
      <c r="I12604" s="26">
        <v>1.6000000000000001E-3</v>
      </c>
      <c r="J12604">
        <v>276</v>
      </c>
    </row>
    <row r="12605" spans="1:10" x14ac:dyDescent="0.35">
      <c r="A12605" t="s">
        <v>229</v>
      </c>
      <c r="B12605" t="s">
        <v>1341</v>
      </c>
      <c r="C12605" t="s">
        <v>1346</v>
      </c>
      <c r="D12605" s="26">
        <v>0.98799999999999999</v>
      </c>
      <c r="F12605" s="26">
        <v>8.6999999999999994E-3</v>
      </c>
      <c r="G12605" s="26">
        <v>3.3E-3</v>
      </c>
      <c r="J12605">
        <v>53</v>
      </c>
    </row>
    <row r="12606" spans="1:10" x14ac:dyDescent="0.35">
      <c r="A12606" t="s">
        <v>229</v>
      </c>
      <c r="B12606" t="s">
        <v>1341</v>
      </c>
      <c r="C12606" t="s">
        <v>1347</v>
      </c>
      <c r="D12606" s="26">
        <v>0.8982</v>
      </c>
      <c r="E12606" s="26">
        <v>2.5899999999999999E-2</v>
      </c>
      <c r="F12606" s="26">
        <v>1.2800000000000001E-2</v>
      </c>
      <c r="G12606" s="26">
        <v>5.5800000000000002E-2</v>
      </c>
      <c r="H12606" s="26">
        <v>7.4000000000000003E-3</v>
      </c>
      <c r="J12606">
        <v>104</v>
      </c>
    </row>
    <row r="12607" spans="1:10" x14ac:dyDescent="0.35">
      <c r="A12607" t="s">
        <v>229</v>
      </c>
      <c r="B12607" t="s">
        <v>1343</v>
      </c>
      <c r="C12607" t="s">
        <v>1346</v>
      </c>
      <c r="D12607" s="26">
        <v>0.85029999999999994</v>
      </c>
      <c r="E12607" s="26">
        <v>2.1100000000000001E-2</v>
      </c>
      <c r="F12607" s="26">
        <v>7.4200000000000002E-2</v>
      </c>
      <c r="G12607" s="26">
        <v>3.7699999999999997E-2</v>
      </c>
      <c r="I12607" s="26">
        <v>1.66E-2</v>
      </c>
      <c r="J12607">
        <v>131</v>
      </c>
    </row>
    <row r="12608" spans="1:10" x14ac:dyDescent="0.35">
      <c r="A12608" t="s">
        <v>229</v>
      </c>
      <c r="B12608" t="s">
        <v>1343</v>
      </c>
      <c r="C12608" t="s">
        <v>1347</v>
      </c>
      <c r="D12608" s="26">
        <v>0.85319999999999996</v>
      </c>
      <c r="E12608" s="26">
        <v>1.52E-2</v>
      </c>
      <c r="F12608" s="26">
        <v>1.6500000000000001E-2</v>
      </c>
      <c r="G12608" s="26">
        <v>9.8100000000000007E-2</v>
      </c>
      <c r="H12608" s="26">
        <v>1.6899999999999998E-2</v>
      </c>
      <c r="J12608">
        <v>198</v>
      </c>
    </row>
    <row r="12609" spans="1:10" x14ac:dyDescent="0.35">
      <c r="A12609" s="27" t="s">
        <v>229</v>
      </c>
      <c r="B12609" s="27" t="s">
        <v>1341</v>
      </c>
      <c r="C12609" s="27" t="s">
        <v>1345</v>
      </c>
      <c r="D12609" s="28">
        <v>0.98509999999999998</v>
      </c>
      <c r="E12609" s="29"/>
      <c r="F12609" s="29"/>
      <c r="G12609" s="29"/>
      <c r="H12609" s="28">
        <v>1.49E-2</v>
      </c>
      <c r="I12609" s="29"/>
      <c r="J12609" s="29" t="s">
        <v>334</v>
      </c>
    </row>
    <row r="12610" spans="1:10" x14ac:dyDescent="0.35">
      <c r="A12610" s="27" t="s">
        <v>229</v>
      </c>
      <c r="B12610" s="27" t="s">
        <v>1343</v>
      </c>
      <c r="C12610" s="27" t="s">
        <v>1345</v>
      </c>
      <c r="D12610" s="28">
        <v>0.98429999999999995</v>
      </c>
      <c r="E12610" s="28">
        <v>1.01E-2</v>
      </c>
      <c r="F12610" s="28">
        <v>5.7000000000000002E-3</v>
      </c>
      <c r="G12610" s="29"/>
      <c r="H12610" s="29"/>
      <c r="I12610" s="29"/>
      <c r="J12610" s="29" t="s">
        <v>343</v>
      </c>
    </row>
    <row r="12611" spans="1:10" x14ac:dyDescent="0.35">
      <c r="A12611" t="s">
        <v>229</v>
      </c>
      <c r="B12611" t="s">
        <v>1341</v>
      </c>
      <c r="C12611" t="s">
        <v>1348</v>
      </c>
      <c r="D12611" s="26">
        <v>0.86170000000000002</v>
      </c>
      <c r="E12611" s="26">
        <v>1.8200000000000001E-2</v>
      </c>
      <c r="F12611" s="26">
        <v>0.06</v>
      </c>
      <c r="G12611" s="26">
        <v>5.5800000000000002E-2</v>
      </c>
      <c r="H12611" s="26">
        <v>4.3E-3</v>
      </c>
      <c r="J12611">
        <v>107</v>
      </c>
    </row>
    <row r="12612" spans="1:10" x14ac:dyDescent="0.35">
      <c r="A12612" t="s">
        <v>230</v>
      </c>
      <c r="B12612" t="s">
        <v>1343</v>
      </c>
      <c r="C12612" t="s">
        <v>1346</v>
      </c>
      <c r="D12612" s="26">
        <v>0.9093</v>
      </c>
      <c r="E12612" s="26">
        <v>7.5600000000000001E-2</v>
      </c>
      <c r="G12612" s="26">
        <v>1.8E-3</v>
      </c>
      <c r="H12612" s="26">
        <v>1.3299999999999999E-2</v>
      </c>
      <c r="J12612">
        <v>110</v>
      </c>
    </row>
    <row r="12613" spans="1:10" x14ac:dyDescent="0.35">
      <c r="A12613" s="27" t="s">
        <v>230</v>
      </c>
      <c r="B12613" s="27" t="s">
        <v>1341</v>
      </c>
      <c r="C12613" s="27" t="s">
        <v>1345</v>
      </c>
      <c r="D12613" s="28">
        <v>1</v>
      </c>
      <c r="E12613" s="29"/>
      <c r="F12613" s="29"/>
      <c r="G12613" s="29"/>
      <c r="H12613" s="29"/>
      <c r="I12613" s="29"/>
      <c r="J12613" s="29" t="s">
        <v>337</v>
      </c>
    </row>
    <row r="12614" spans="1:10" x14ac:dyDescent="0.35">
      <c r="A12614" t="s">
        <v>230</v>
      </c>
      <c r="B12614" t="s">
        <v>1343</v>
      </c>
      <c r="C12614" t="s">
        <v>1348</v>
      </c>
      <c r="D12614" s="26">
        <v>0.90890000000000004</v>
      </c>
      <c r="E12614" s="26">
        <v>2.41E-2</v>
      </c>
      <c r="F12614" s="26">
        <v>6.7000000000000002E-3</v>
      </c>
      <c r="G12614" s="26">
        <v>4.1300000000000003E-2</v>
      </c>
      <c r="H12614" s="26">
        <v>1.9E-2</v>
      </c>
      <c r="J12614">
        <v>184</v>
      </c>
    </row>
    <row r="12615" spans="1:10" x14ac:dyDescent="0.35">
      <c r="A12615" t="s">
        <v>230</v>
      </c>
      <c r="B12615" t="s">
        <v>1343</v>
      </c>
      <c r="C12615" t="s">
        <v>1347</v>
      </c>
      <c r="D12615" s="26">
        <v>0.95620000000000005</v>
      </c>
      <c r="E12615" s="26">
        <v>9.7000000000000003E-3</v>
      </c>
      <c r="G12615" s="26">
        <v>2.92E-2</v>
      </c>
      <c r="H12615" s="26">
        <v>4.8999999999999998E-3</v>
      </c>
      <c r="J12615">
        <v>106</v>
      </c>
    </row>
    <row r="12616" spans="1:10" x14ac:dyDescent="0.35">
      <c r="A12616" t="s">
        <v>230</v>
      </c>
      <c r="B12616" t="s">
        <v>1341</v>
      </c>
      <c r="C12616" t="s">
        <v>1348</v>
      </c>
      <c r="D12616" s="26">
        <v>0.89629999999999999</v>
      </c>
      <c r="E12616" s="26">
        <v>4.0000000000000001E-3</v>
      </c>
      <c r="F12616" s="26">
        <v>8.6E-3</v>
      </c>
      <c r="G12616" s="26">
        <v>4.5600000000000002E-2</v>
      </c>
      <c r="H12616" s="26">
        <v>4.5600000000000002E-2</v>
      </c>
      <c r="J12616">
        <v>75</v>
      </c>
    </row>
    <row r="12617" spans="1:10" x14ac:dyDescent="0.35">
      <c r="A12617" t="s">
        <v>230</v>
      </c>
      <c r="B12617" t="s">
        <v>1341</v>
      </c>
      <c r="C12617" t="s">
        <v>1347</v>
      </c>
      <c r="D12617" s="26">
        <v>0.90490000000000004</v>
      </c>
      <c r="E12617" s="26">
        <v>7.6200000000000004E-2</v>
      </c>
      <c r="F12617" s="26">
        <v>9.4000000000000004E-3</v>
      </c>
      <c r="G12617" s="26">
        <v>9.4000000000000004E-3</v>
      </c>
      <c r="J12617">
        <v>47</v>
      </c>
    </row>
    <row r="12618" spans="1:10" x14ac:dyDescent="0.35">
      <c r="A12618" s="27" t="s">
        <v>230</v>
      </c>
      <c r="B12618" s="27" t="s">
        <v>1343</v>
      </c>
      <c r="C12618" s="27" t="s">
        <v>1345</v>
      </c>
      <c r="D12618" s="28">
        <v>1</v>
      </c>
      <c r="E12618" s="29"/>
      <c r="F12618" s="29"/>
      <c r="G12618" s="29"/>
      <c r="H12618" s="29"/>
      <c r="I12618" s="29"/>
      <c r="J12618" s="29" t="s">
        <v>337</v>
      </c>
    </row>
    <row r="12619" spans="1:10" x14ac:dyDescent="0.35">
      <c r="A12619" t="s">
        <v>230</v>
      </c>
      <c r="B12619" t="s">
        <v>1341</v>
      </c>
      <c r="C12619" t="s">
        <v>1346</v>
      </c>
      <c r="D12619" s="26">
        <v>0.99570000000000003</v>
      </c>
      <c r="H12619" s="26">
        <v>4.3E-3</v>
      </c>
      <c r="J12619">
        <v>30</v>
      </c>
    </row>
    <row r="12620" spans="1:10" x14ac:dyDescent="0.35">
      <c r="A12620" t="s">
        <v>231</v>
      </c>
      <c r="B12620" t="s">
        <v>1343</v>
      </c>
      <c r="C12620" t="s">
        <v>1348</v>
      </c>
      <c r="D12620" s="26">
        <v>0.96</v>
      </c>
      <c r="F12620" s="26">
        <v>0.04</v>
      </c>
      <c r="J12620">
        <v>50</v>
      </c>
    </row>
    <row r="12621" spans="1:10" x14ac:dyDescent="0.35">
      <c r="A12621" s="27" t="s">
        <v>231</v>
      </c>
      <c r="B12621" s="27" t="s">
        <v>1343</v>
      </c>
      <c r="C12621" s="27" t="s">
        <v>1345</v>
      </c>
      <c r="D12621" s="28">
        <v>0.33329999999999999</v>
      </c>
      <c r="E12621" s="28">
        <v>0.66669999999999996</v>
      </c>
      <c r="F12621" s="29"/>
      <c r="G12621" s="29"/>
      <c r="H12621" s="29"/>
      <c r="I12621" s="29"/>
      <c r="J12621" s="29" t="s">
        <v>315</v>
      </c>
    </row>
    <row r="12622" spans="1:10" x14ac:dyDescent="0.35">
      <c r="A12622" t="s">
        <v>231</v>
      </c>
      <c r="B12622" t="s">
        <v>1341</v>
      </c>
      <c r="C12622" t="s">
        <v>1348</v>
      </c>
      <c r="D12622" s="26">
        <v>0.91669999999999996</v>
      </c>
      <c r="E12622" s="26">
        <v>2.7799999999999998E-2</v>
      </c>
      <c r="F12622" s="26">
        <v>2.7799999999999998E-2</v>
      </c>
      <c r="H12622" s="26">
        <v>2.7799999999999998E-2</v>
      </c>
      <c r="J12622">
        <v>36</v>
      </c>
    </row>
    <row r="12623" spans="1:10" x14ac:dyDescent="0.35">
      <c r="A12623" s="27" t="s">
        <v>231</v>
      </c>
      <c r="B12623" s="27" t="s">
        <v>1341</v>
      </c>
      <c r="C12623" s="27" t="s">
        <v>1345</v>
      </c>
      <c r="D12623" s="28">
        <v>1</v>
      </c>
      <c r="E12623" s="29"/>
      <c r="F12623" s="29"/>
      <c r="G12623" s="29"/>
      <c r="H12623" s="29"/>
      <c r="I12623" s="29"/>
      <c r="J12623" s="29" t="s">
        <v>331</v>
      </c>
    </row>
    <row r="12624" spans="1:10" x14ac:dyDescent="0.35">
      <c r="A12624" s="27" t="s">
        <v>231</v>
      </c>
      <c r="B12624" s="27" t="s">
        <v>1343</v>
      </c>
      <c r="C12624" s="27" t="s">
        <v>1346</v>
      </c>
      <c r="D12624" s="28">
        <v>1</v>
      </c>
      <c r="E12624" s="29"/>
      <c r="F12624" s="29"/>
      <c r="G12624" s="29"/>
      <c r="H12624" s="29"/>
      <c r="I12624" s="29"/>
      <c r="J12624" s="29" t="s">
        <v>357</v>
      </c>
    </row>
    <row r="12625" spans="1:10" x14ac:dyDescent="0.35">
      <c r="A12625" s="27" t="s">
        <v>231</v>
      </c>
      <c r="B12625" s="27" t="s">
        <v>1341</v>
      </c>
      <c r="C12625" s="27" t="s">
        <v>1346</v>
      </c>
      <c r="D12625" s="28">
        <v>0.85709999999999997</v>
      </c>
      <c r="E12625" s="29"/>
      <c r="F12625" s="28">
        <v>0.1429</v>
      </c>
      <c r="G12625" s="29"/>
      <c r="H12625" s="29"/>
      <c r="I12625" s="29"/>
      <c r="J12625" s="29" t="s">
        <v>379</v>
      </c>
    </row>
    <row r="12626" spans="1:10" x14ac:dyDescent="0.35">
      <c r="A12626" s="27" t="s">
        <v>231</v>
      </c>
      <c r="B12626" s="27" t="s">
        <v>1341</v>
      </c>
      <c r="C12626" s="27" t="s">
        <v>1347</v>
      </c>
      <c r="D12626" s="28">
        <v>1</v>
      </c>
      <c r="E12626" s="29"/>
      <c r="F12626" s="29"/>
      <c r="G12626" s="29"/>
      <c r="H12626" s="29"/>
      <c r="I12626" s="29"/>
      <c r="J12626" s="29" t="s">
        <v>379</v>
      </c>
    </row>
    <row r="12627" spans="1:10" x14ac:dyDescent="0.35">
      <c r="A12627" s="27" t="s">
        <v>231</v>
      </c>
      <c r="B12627" s="27" t="s">
        <v>1343</v>
      </c>
      <c r="C12627" s="27" t="s">
        <v>1347</v>
      </c>
      <c r="D12627" s="28">
        <v>0.9</v>
      </c>
      <c r="E12627" s="28">
        <v>0.05</v>
      </c>
      <c r="F12627" s="29"/>
      <c r="G12627" s="29"/>
      <c r="H12627" s="28">
        <v>0.05</v>
      </c>
      <c r="I12627" s="29"/>
      <c r="J12627" s="29" t="s">
        <v>350</v>
      </c>
    </row>
    <row r="12628" spans="1:10" x14ac:dyDescent="0.35">
      <c r="A12628" t="s">
        <v>232</v>
      </c>
      <c r="B12628" t="s">
        <v>232</v>
      </c>
      <c r="C12628" t="s">
        <v>232</v>
      </c>
      <c r="D12628" s="26">
        <v>0.91669999999999996</v>
      </c>
      <c r="E12628" s="26">
        <v>2.3599999999999999E-2</v>
      </c>
      <c r="F12628" s="26">
        <v>2.29E-2</v>
      </c>
      <c r="G12628" s="26">
        <v>2.2700000000000001E-2</v>
      </c>
      <c r="H12628" s="26">
        <v>1.3299999999999999E-2</v>
      </c>
      <c r="I12628" s="26">
        <v>8.9999999999999998E-4</v>
      </c>
      <c r="J12628">
        <v>2813</v>
      </c>
    </row>
    <row r="12630" spans="1:10" x14ac:dyDescent="0.35">
      <c r="A12630" s="1" t="s">
        <v>1472</v>
      </c>
    </row>
    <row r="12631" spans="1:10" x14ac:dyDescent="0.35">
      <c r="A12631" t="s">
        <v>219</v>
      </c>
      <c r="B12631" t="s">
        <v>1424</v>
      </c>
      <c r="C12631" t="s">
        <v>1426</v>
      </c>
      <c r="D12631" t="s">
        <v>1425</v>
      </c>
      <c r="E12631" t="s">
        <v>1427</v>
      </c>
      <c r="F12631" t="s">
        <v>281</v>
      </c>
      <c r="G12631" t="s">
        <v>286</v>
      </c>
      <c r="H12631" t="s">
        <v>226</v>
      </c>
    </row>
    <row r="12632" spans="1:10" x14ac:dyDescent="0.35">
      <c r="A12632" t="s">
        <v>227</v>
      </c>
      <c r="B12632" s="26">
        <v>0.9627</v>
      </c>
      <c r="D12632" s="26">
        <v>1.24E-2</v>
      </c>
      <c r="E12632" s="26">
        <v>1.8599999999999998E-2</v>
      </c>
      <c r="F12632" s="26">
        <v>6.1999999999999998E-3</v>
      </c>
      <c r="H12632">
        <v>161</v>
      </c>
    </row>
    <row r="12633" spans="1:10" x14ac:dyDescent="0.35">
      <c r="A12633" t="s">
        <v>228</v>
      </c>
      <c r="B12633" s="26">
        <v>0.91590000000000005</v>
      </c>
      <c r="C12633" s="26">
        <v>2.24E-2</v>
      </c>
      <c r="D12633" s="26">
        <v>3.7400000000000003E-2</v>
      </c>
      <c r="E12633" s="26">
        <v>1.6400000000000001E-2</v>
      </c>
      <c r="F12633" s="26">
        <v>4.8999999999999998E-3</v>
      </c>
      <c r="G12633" s="26">
        <v>2.8999999999999998E-3</v>
      </c>
      <c r="H12633">
        <v>1033</v>
      </c>
    </row>
    <row r="12634" spans="1:10" x14ac:dyDescent="0.35">
      <c r="A12634" t="s">
        <v>229</v>
      </c>
      <c r="B12634" s="26">
        <v>0.91749999999999998</v>
      </c>
      <c r="C12634" s="26">
        <v>4.6199999999999998E-2</v>
      </c>
      <c r="D12634" s="26">
        <v>1.54E-2</v>
      </c>
      <c r="E12634" s="26">
        <v>1.41E-2</v>
      </c>
      <c r="F12634" s="26">
        <v>6.4000000000000003E-3</v>
      </c>
      <c r="G12634" s="26">
        <v>2.9999999999999997E-4</v>
      </c>
      <c r="H12634">
        <v>895</v>
      </c>
    </row>
    <row r="12635" spans="1:10" x14ac:dyDescent="0.35">
      <c r="A12635" t="s">
        <v>230</v>
      </c>
      <c r="B12635" s="26">
        <v>0.92600000000000005</v>
      </c>
      <c r="C12635" s="26">
        <v>2.4500000000000001E-2</v>
      </c>
      <c r="D12635" s="26">
        <v>1.9099999999999999E-2</v>
      </c>
      <c r="E12635" s="26">
        <v>2.3599999999999999E-2</v>
      </c>
      <c r="F12635" s="26">
        <v>6.6E-3</v>
      </c>
      <c r="G12635" s="26">
        <v>2.9999999999999997E-4</v>
      </c>
      <c r="H12635">
        <v>560</v>
      </c>
    </row>
    <row r="12636" spans="1:10" x14ac:dyDescent="0.35">
      <c r="A12636" t="s">
        <v>231</v>
      </c>
      <c r="B12636" s="26">
        <v>0.95730000000000004</v>
      </c>
      <c r="C12636" s="26">
        <v>1.83E-2</v>
      </c>
      <c r="D12636" s="26">
        <v>1.83E-2</v>
      </c>
      <c r="E12636" s="26">
        <v>6.1000000000000004E-3</v>
      </c>
      <c r="H12636">
        <v>164</v>
      </c>
    </row>
    <row r="12637" spans="1:10" x14ac:dyDescent="0.35">
      <c r="A12637" t="s">
        <v>232</v>
      </c>
      <c r="B12637" s="26">
        <v>0.93579999999999997</v>
      </c>
      <c r="C12637" s="26">
        <v>2.4899999999999999E-2</v>
      </c>
      <c r="D12637" s="26">
        <v>2.0400000000000001E-2</v>
      </c>
      <c r="E12637" s="26">
        <v>1.3899999999999999E-2</v>
      </c>
      <c r="F12637" s="26">
        <v>4.4000000000000003E-3</v>
      </c>
      <c r="G12637" s="26">
        <v>6.9999999999999999E-4</v>
      </c>
      <c r="H12637">
        <v>2813</v>
      </c>
    </row>
    <row r="12639" spans="1:10" x14ac:dyDescent="0.35">
      <c r="A12639" s="1" t="s">
        <v>1473</v>
      </c>
    </row>
    <row r="12640" spans="1:10" x14ac:dyDescent="0.35">
      <c r="A12640" t="s">
        <v>219</v>
      </c>
      <c r="B12640" t="s">
        <v>305</v>
      </c>
      <c r="C12640" t="s">
        <v>1424</v>
      </c>
      <c r="D12640" t="s">
        <v>1426</v>
      </c>
      <c r="E12640" t="s">
        <v>1425</v>
      </c>
      <c r="F12640" t="s">
        <v>1427</v>
      </c>
      <c r="G12640" t="s">
        <v>281</v>
      </c>
      <c r="H12640" t="s">
        <v>286</v>
      </c>
      <c r="I12640" t="s">
        <v>226</v>
      </c>
    </row>
    <row r="12641" spans="1:9" x14ac:dyDescent="0.35">
      <c r="A12641" t="s">
        <v>227</v>
      </c>
      <c r="B12641" t="s">
        <v>242</v>
      </c>
      <c r="C12641" s="26">
        <v>0.97060000000000002</v>
      </c>
      <c r="E12641" s="26">
        <v>1.47E-2</v>
      </c>
      <c r="F12641" s="26">
        <v>1.47E-2</v>
      </c>
      <c r="I12641">
        <v>68</v>
      </c>
    </row>
    <row r="12642" spans="1:9" x14ac:dyDescent="0.35">
      <c r="A12642" t="s">
        <v>227</v>
      </c>
      <c r="B12642" t="s">
        <v>241</v>
      </c>
      <c r="C12642" s="26">
        <v>0.95699999999999996</v>
      </c>
      <c r="E12642" s="26">
        <v>1.0800000000000001E-2</v>
      </c>
      <c r="F12642" s="26">
        <v>2.1499999999999998E-2</v>
      </c>
      <c r="G12642" s="26">
        <v>1.0800000000000001E-2</v>
      </c>
      <c r="I12642">
        <v>93</v>
      </c>
    </row>
    <row r="12643" spans="1:9" x14ac:dyDescent="0.35">
      <c r="A12643" t="s">
        <v>228</v>
      </c>
      <c r="B12643" t="s">
        <v>242</v>
      </c>
      <c r="C12643" s="26">
        <v>0.84899999999999998</v>
      </c>
      <c r="D12643" s="26">
        <v>3.7400000000000003E-2</v>
      </c>
      <c r="E12643" s="26">
        <v>6.0699999999999997E-2</v>
      </c>
      <c r="F12643" s="26">
        <v>4.19E-2</v>
      </c>
      <c r="G12643" s="26">
        <v>0.01</v>
      </c>
      <c r="H12643" s="26">
        <v>1E-3</v>
      </c>
      <c r="I12643">
        <v>402</v>
      </c>
    </row>
    <row r="12644" spans="1:9" x14ac:dyDescent="0.35">
      <c r="A12644" t="s">
        <v>228</v>
      </c>
      <c r="B12644" t="s">
        <v>241</v>
      </c>
      <c r="C12644" s="26">
        <v>0.95409999999999995</v>
      </c>
      <c r="D12644" s="26">
        <v>1.3899999999999999E-2</v>
      </c>
      <c r="E12644" s="26">
        <v>2.41E-2</v>
      </c>
      <c r="F12644" s="26">
        <v>1.9E-3</v>
      </c>
      <c r="G12644" s="26">
        <v>2E-3</v>
      </c>
      <c r="H12644" s="26">
        <v>4.0000000000000001E-3</v>
      </c>
      <c r="I12644">
        <v>631</v>
      </c>
    </row>
    <row r="12645" spans="1:9" x14ac:dyDescent="0.35">
      <c r="A12645" t="s">
        <v>229</v>
      </c>
      <c r="B12645" t="s">
        <v>242</v>
      </c>
      <c r="C12645" s="26">
        <v>0.90380000000000005</v>
      </c>
      <c r="D12645" s="26">
        <v>4.9000000000000002E-2</v>
      </c>
      <c r="E12645" s="26">
        <v>3.0800000000000001E-2</v>
      </c>
      <c r="F12645" s="26">
        <v>9.1999999999999998E-3</v>
      </c>
      <c r="G12645" s="26">
        <v>7.3000000000000001E-3</v>
      </c>
      <c r="I12645">
        <v>292</v>
      </c>
    </row>
    <row r="12646" spans="1:9" x14ac:dyDescent="0.35">
      <c r="A12646" t="s">
        <v>229</v>
      </c>
      <c r="B12646" t="s">
        <v>241</v>
      </c>
      <c r="C12646" s="26">
        <v>0.92630000000000001</v>
      </c>
      <c r="D12646" s="26">
        <v>4.4400000000000002E-2</v>
      </c>
      <c r="E12646" s="26">
        <v>5.5999999999999999E-3</v>
      </c>
      <c r="F12646" s="26">
        <v>1.72E-2</v>
      </c>
      <c r="G12646" s="26">
        <v>5.8999999999999999E-3</v>
      </c>
      <c r="H12646" s="26">
        <v>5.0000000000000001E-4</v>
      </c>
      <c r="I12646">
        <v>603</v>
      </c>
    </row>
    <row r="12647" spans="1:9" x14ac:dyDescent="0.35">
      <c r="A12647" t="s">
        <v>230</v>
      </c>
      <c r="B12647" t="s">
        <v>242</v>
      </c>
      <c r="C12647" s="26">
        <v>0.9153</v>
      </c>
      <c r="D12647" s="26">
        <v>8.8000000000000005E-3</v>
      </c>
      <c r="E12647" s="26">
        <v>2.47E-2</v>
      </c>
      <c r="F12647" s="26">
        <v>3.2599999999999997E-2</v>
      </c>
      <c r="G12647" s="26">
        <v>1.8599999999999998E-2</v>
      </c>
      <c r="I12647">
        <v>189</v>
      </c>
    </row>
    <row r="12648" spans="1:9" x14ac:dyDescent="0.35">
      <c r="A12648" t="s">
        <v>230</v>
      </c>
      <c r="B12648" t="s">
        <v>241</v>
      </c>
      <c r="C12648" s="26">
        <v>0.93140000000000001</v>
      </c>
      <c r="D12648" s="26">
        <v>3.2500000000000001E-2</v>
      </c>
      <c r="E12648" s="26">
        <v>1.6299999999999999E-2</v>
      </c>
      <c r="F12648" s="26">
        <v>1.9E-2</v>
      </c>
      <c r="G12648" s="26">
        <v>4.0000000000000002E-4</v>
      </c>
      <c r="H12648" s="26">
        <v>4.0000000000000002E-4</v>
      </c>
      <c r="I12648">
        <v>371</v>
      </c>
    </row>
    <row r="12649" spans="1:9" x14ac:dyDescent="0.35">
      <c r="A12649" t="s">
        <v>231</v>
      </c>
      <c r="B12649" t="s">
        <v>242</v>
      </c>
      <c r="C12649" s="26">
        <v>0.96299999999999997</v>
      </c>
      <c r="D12649" s="26">
        <v>1.8499999999999999E-2</v>
      </c>
      <c r="E12649" s="26">
        <v>1.8499999999999999E-2</v>
      </c>
      <c r="I12649">
        <v>54</v>
      </c>
    </row>
    <row r="12650" spans="1:9" x14ac:dyDescent="0.35">
      <c r="A12650" t="s">
        <v>231</v>
      </c>
      <c r="B12650" t="s">
        <v>241</v>
      </c>
      <c r="C12650" s="26">
        <v>0.95450000000000002</v>
      </c>
      <c r="D12650" s="26">
        <v>1.8200000000000001E-2</v>
      </c>
      <c r="E12650" s="26">
        <v>1.8200000000000001E-2</v>
      </c>
      <c r="F12650" s="26">
        <v>9.1000000000000004E-3</v>
      </c>
      <c r="I12650">
        <v>110</v>
      </c>
    </row>
    <row r="12651" spans="1:9" x14ac:dyDescent="0.35">
      <c r="A12651" t="s">
        <v>232</v>
      </c>
      <c r="B12651" t="s">
        <v>232</v>
      </c>
      <c r="C12651" s="26">
        <v>0.93579999999999997</v>
      </c>
      <c r="D12651" s="26">
        <v>2.4899999999999999E-2</v>
      </c>
      <c r="E12651" s="26">
        <v>2.0400000000000001E-2</v>
      </c>
      <c r="F12651" s="26">
        <v>1.3899999999999999E-2</v>
      </c>
      <c r="G12651" s="26">
        <v>4.4000000000000003E-3</v>
      </c>
      <c r="H12651" s="26">
        <v>6.9999999999999999E-4</v>
      </c>
      <c r="I12651">
        <v>2813</v>
      </c>
    </row>
    <row r="12653" spans="1:9" x14ac:dyDescent="0.35">
      <c r="A12653" s="1" t="s">
        <v>1474</v>
      </c>
    </row>
    <row r="12654" spans="1:9" x14ac:dyDescent="0.35">
      <c r="A12654" t="s">
        <v>219</v>
      </c>
      <c r="B12654" t="s">
        <v>305</v>
      </c>
      <c r="C12654" t="s">
        <v>1424</v>
      </c>
      <c r="D12654" t="s">
        <v>1426</v>
      </c>
      <c r="E12654" t="s">
        <v>1425</v>
      </c>
      <c r="F12654" t="s">
        <v>1427</v>
      </c>
      <c r="G12654" t="s">
        <v>281</v>
      </c>
      <c r="H12654" t="s">
        <v>286</v>
      </c>
      <c r="I12654" t="s">
        <v>226</v>
      </c>
    </row>
    <row r="12655" spans="1:9" x14ac:dyDescent="0.35">
      <c r="A12655" t="s">
        <v>227</v>
      </c>
      <c r="B12655" t="s">
        <v>239</v>
      </c>
      <c r="C12655" s="26">
        <v>0.9677</v>
      </c>
      <c r="F12655" s="26">
        <v>3.2300000000000002E-2</v>
      </c>
      <c r="I12655">
        <v>62</v>
      </c>
    </row>
    <row r="12656" spans="1:9" x14ac:dyDescent="0.35">
      <c r="A12656" t="s">
        <v>227</v>
      </c>
      <c r="B12656" t="s">
        <v>238</v>
      </c>
      <c r="C12656" s="26">
        <v>0.95960000000000001</v>
      </c>
      <c r="E12656" s="26">
        <v>2.0199999999999999E-2</v>
      </c>
      <c r="F12656" s="26">
        <v>1.01E-2</v>
      </c>
      <c r="G12656" s="26">
        <v>1.01E-2</v>
      </c>
      <c r="I12656">
        <v>99</v>
      </c>
    </row>
    <row r="12657" spans="1:9" x14ac:dyDescent="0.35">
      <c r="A12657" t="s">
        <v>228</v>
      </c>
      <c r="B12657" t="s">
        <v>239</v>
      </c>
      <c r="C12657" s="26">
        <v>0.93569999999999998</v>
      </c>
      <c r="D12657" s="26">
        <v>1.01E-2</v>
      </c>
      <c r="E12657" s="26">
        <v>3.9300000000000002E-2</v>
      </c>
      <c r="F12657" s="26">
        <v>3.7000000000000002E-3</v>
      </c>
      <c r="G12657" s="26">
        <v>9.2999999999999992E-3</v>
      </c>
      <c r="H12657" s="26">
        <v>1.6999999999999999E-3</v>
      </c>
      <c r="I12657">
        <v>330</v>
      </c>
    </row>
    <row r="12658" spans="1:9" x14ac:dyDescent="0.35">
      <c r="A12658" t="s">
        <v>228</v>
      </c>
      <c r="B12658" t="s">
        <v>238</v>
      </c>
      <c r="C12658" s="26">
        <v>0.91080000000000005</v>
      </c>
      <c r="D12658" s="26">
        <v>2.5600000000000001E-2</v>
      </c>
      <c r="E12658" s="26">
        <v>3.6900000000000002E-2</v>
      </c>
      <c r="F12658" s="26">
        <v>1.9699999999999999E-2</v>
      </c>
      <c r="G12658" s="26">
        <v>3.7000000000000002E-3</v>
      </c>
      <c r="H12658" s="26">
        <v>3.2000000000000002E-3</v>
      </c>
      <c r="I12658">
        <v>703</v>
      </c>
    </row>
    <row r="12659" spans="1:9" x14ac:dyDescent="0.35">
      <c r="A12659" t="s">
        <v>229</v>
      </c>
      <c r="B12659" t="s">
        <v>239</v>
      </c>
      <c r="C12659" s="26">
        <v>0.91639999999999999</v>
      </c>
      <c r="D12659" s="26">
        <v>3.2899999999999999E-2</v>
      </c>
      <c r="E12659" s="26">
        <v>1.2500000000000001E-2</v>
      </c>
      <c r="F12659" s="26">
        <v>1.49E-2</v>
      </c>
      <c r="G12659" s="26">
        <v>2.3300000000000001E-2</v>
      </c>
      <c r="I12659">
        <v>332</v>
      </c>
    </row>
    <row r="12660" spans="1:9" x14ac:dyDescent="0.35">
      <c r="A12660" t="s">
        <v>229</v>
      </c>
      <c r="B12660" t="s">
        <v>238</v>
      </c>
      <c r="C12660" s="26">
        <v>0.91790000000000005</v>
      </c>
      <c r="D12660" s="26">
        <v>5.0799999999999998E-2</v>
      </c>
      <c r="E12660" s="26">
        <v>1.6400000000000001E-2</v>
      </c>
      <c r="F12660" s="26">
        <v>1.38E-2</v>
      </c>
      <c r="G12660" s="26">
        <v>6.9999999999999999E-4</v>
      </c>
      <c r="H12660" s="26">
        <v>4.0000000000000002E-4</v>
      </c>
      <c r="I12660">
        <v>563</v>
      </c>
    </row>
    <row r="12661" spans="1:9" x14ac:dyDescent="0.35">
      <c r="A12661" t="s">
        <v>230</v>
      </c>
      <c r="B12661" t="s">
        <v>239</v>
      </c>
      <c r="C12661" s="26">
        <v>0.95050000000000001</v>
      </c>
      <c r="D12661" s="26">
        <v>2.0899999999999998E-2</v>
      </c>
      <c r="E12661" s="26">
        <v>2.3800000000000002E-2</v>
      </c>
      <c r="F12661" s="26">
        <v>8.9999999999999998E-4</v>
      </c>
      <c r="G12661" s="26">
        <v>3.0000000000000001E-3</v>
      </c>
      <c r="H12661" s="26">
        <v>8.9999999999999998E-4</v>
      </c>
      <c r="I12661">
        <v>211</v>
      </c>
    </row>
    <row r="12662" spans="1:9" x14ac:dyDescent="0.35">
      <c r="A12662" t="s">
        <v>230</v>
      </c>
      <c r="B12662" t="s">
        <v>238</v>
      </c>
      <c r="C12662" s="26">
        <v>0.91539999999999999</v>
      </c>
      <c r="D12662" s="26">
        <v>2.6100000000000002E-2</v>
      </c>
      <c r="E12662" s="26">
        <v>1.7100000000000001E-2</v>
      </c>
      <c r="F12662" s="26">
        <v>3.3399999999999999E-2</v>
      </c>
      <c r="G12662" s="26">
        <v>8.0999999999999996E-3</v>
      </c>
      <c r="I12662">
        <v>349</v>
      </c>
    </row>
    <row r="12663" spans="1:9" x14ac:dyDescent="0.35">
      <c r="A12663" t="s">
        <v>231</v>
      </c>
      <c r="B12663" t="s">
        <v>239</v>
      </c>
      <c r="C12663" s="26">
        <v>1</v>
      </c>
      <c r="I12663">
        <v>57</v>
      </c>
    </row>
    <row r="12664" spans="1:9" x14ac:dyDescent="0.35">
      <c r="A12664" t="s">
        <v>231</v>
      </c>
      <c r="B12664" t="s">
        <v>238</v>
      </c>
      <c r="C12664" s="26">
        <v>0.93459999999999999</v>
      </c>
      <c r="D12664" s="26">
        <v>2.8000000000000001E-2</v>
      </c>
      <c r="E12664" s="26">
        <v>2.8000000000000001E-2</v>
      </c>
      <c r="F12664" s="26">
        <v>9.2999999999999992E-3</v>
      </c>
      <c r="I12664">
        <v>107</v>
      </c>
    </row>
    <row r="12665" spans="1:9" x14ac:dyDescent="0.35">
      <c r="A12665" t="s">
        <v>232</v>
      </c>
      <c r="B12665" t="s">
        <v>232</v>
      </c>
      <c r="C12665" s="26">
        <v>0.93579999999999997</v>
      </c>
      <c r="D12665" s="26">
        <v>2.4899999999999999E-2</v>
      </c>
      <c r="E12665" s="26">
        <v>2.0400000000000001E-2</v>
      </c>
      <c r="F12665" s="26">
        <v>1.3899999999999999E-2</v>
      </c>
      <c r="G12665" s="26">
        <v>4.4000000000000003E-3</v>
      </c>
      <c r="H12665" s="26">
        <v>6.9999999999999999E-4</v>
      </c>
      <c r="I12665">
        <v>2813</v>
      </c>
    </row>
    <row r="12667" spans="1:9" x14ac:dyDescent="0.35">
      <c r="A12667" s="1" t="s">
        <v>1475</v>
      </c>
    </row>
    <row r="12668" spans="1:9" x14ac:dyDescent="0.35">
      <c r="A12668" t="s">
        <v>219</v>
      </c>
      <c r="B12668" t="s">
        <v>305</v>
      </c>
      <c r="C12668" t="s">
        <v>1424</v>
      </c>
      <c r="D12668" t="s">
        <v>1426</v>
      </c>
      <c r="E12668" t="s">
        <v>1425</v>
      </c>
      <c r="F12668" t="s">
        <v>1427</v>
      </c>
      <c r="G12668" t="s">
        <v>281</v>
      </c>
      <c r="H12668" t="s">
        <v>286</v>
      </c>
      <c r="I12668" t="s">
        <v>226</v>
      </c>
    </row>
    <row r="12669" spans="1:9" x14ac:dyDescent="0.35">
      <c r="A12669" t="s">
        <v>227</v>
      </c>
      <c r="B12669" t="s">
        <v>244</v>
      </c>
      <c r="C12669" s="26">
        <v>0.96879999999999999</v>
      </c>
      <c r="E12669" s="26">
        <v>2.0799999999999999E-2</v>
      </c>
      <c r="F12669" s="26">
        <v>1.04E-2</v>
      </c>
      <c r="I12669">
        <v>96</v>
      </c>
    </row>
    <row r="12670" spans="1:9" x14ac:dyDescent="0.35">
      <c r="A12670" t="s">
        <v>227</v>
      </c>
      <c r="B12670" t="s">
        <v>245</v>
      </c>
      <c r="C12670" s="26">
        <v>0.94340000000000002</v>
      </c>
      <c r="F12670" s="26">
        <v>3.7699999999999997E-2</v>
      </c>
      <c r="G12670" s="26">
        <v>1.89E-2</v>
      </c>
      <c r="I12670">
        <v>53</v>
      </c>
    </row>
    <row r="12671" spans="1:9" x14ac:dyDescent="0.35">
      <c r="A12671" s="27" t="s">
        <v>227</v>
      </c>
      <c r="B12671" s="27" t="s">
        <v>246</v>
      </c>
      <c r="C12671" s="28">
        <v>1</v>
      </c>
      <c r="D12671" s="29"/>
      <c r="E12671" s="29"/>
      <c r="F12671" s="29"/>
      <c r="G12671" s="29"/>
      <c r="H12671" s="29"/>
      <c r="I12671" s="29" t="s">
        <v>342</v>
      </c>
    </row>
    <row r="12672" spans="1:9" x14ac:dyDescent="0.35">
      <c r="A12672" t="s">
        <v>228</v>
      </c>
      <c r="B12672" t="s">
        <v>244</v>
      </c>
      <c r="C12672" s="26">
        <v>0.90810000000000002</v>
      </c>
      <c r="D12672" s="26">
        <v>2.1399999999999999E-2</v>
      </c>
      <c r="E12672" s="26">
        <v>4.7600000000000003E-2</v>
      </c>
      <c r="F12672" s="26">
        <v>1.66E-2</v>
      </c>
      <c r="G12672" s="26">
        <v>3.5999999999999999E-3</v>
      </c>
      <c r="H12672" s="26">
        <v>2.7000000000000001E-3</v>
      </c>
      <c r="I12672">
        <v>638</v>
      </c>
    </row>
    <row r="12673" spans="1:9" x14ac:dyDescent="0.35">
      <c r="A12673" t="s">
        <v>228</v>
      </c>
      <c r="B12673" t="s">
        <v>245</v>
      </c>
      <c r="C12673" s="26">
        <v>0.93520000000000003</v>
      </c>
      <c r="D12673" s="26">
        <v>2.6100000000000002E-2</v>
      </c>
      <c r="E12673" s="26">
        <v>9.2999999999999992E-3</v>
      </c>
      <c r="F12673" s="26">
        <v>1.61E-2</v>
      </c>
      <c r="G12673" s="26">
        <v>9.1000000000000004E-3</v>
      </c>
      <c r="H12673" s="26">
        <v>4.1999999999999997E-3</v>
      </c>
      <c r="I12673">
        <v>328</v>
      </c>
    </row>
    <row r="12674" spans="1:9" x14ac:dyDescent="0.35">
      <c r="A12674" t="s">
        <v>228</v>
      </c>
      <c r="B12674" t="s">
        <v>246</v>
      </c>
      <c r="C12674" s="26">
        <v>0.91190000000000004</v>
      </c>
      <c r="D12674" s="26">
        <v>1.7100000000000001E-2</v>
      </c>
      <c r="E12674" s="26">
        <v>5.45E-2</v>
      </c>
      <c r="F12674" s="26">
        <v>1.6500000000000001E-2</v>
      </c>
      <c r="I12674">
        <v>67</v>
      </c>
    </row>
    <row r="12675" spans="1:9" x14ac:dyDescent="0.35">
      <c r="A12675" t="s">
        <v>229</v>
      </c>
      <c r="B12675" t="s">
        <v>244</v>
      </c>
      <c r="C12675" s="26">
        <v>0.91810000000000003</v>
      </c>
      <c r="D12675" s="26">
        <v>5.0500000000000003E-2</v>
      </c>
      <c r="E12675" s="26">
        <v>1.43E-2</v>
      </c>
      <c r="F12675" s="26">
        <v>1.26E-2</v>
      </c>
      <c r="G12675" s="26">
        <v>4.0000000000000001E-3</v>
      </c>
      <c r="H12675" s="26">
        <v>5.0000000000000001E-4</v>
      </c>
      <c r="I12675">
        <v>557</v>
      </c>
    </row>
    <row r="12676" spans="1:9" x14ac:dyDescent="0.35">
      <c r="A12676" t="s">
        <v>229</v>
      </c>
      <c r="B12676" t="s">
        <v>245</v>
      </c>
      <c r="C12676" s="26">
        <v>0.91969999999999996</v>
      </c>
      <c r="D12676" s="26">
        <v>3.3000000000000002E-2</v>
      </c>
      <c r="E12676" s="26">
        <v>1.18E-2</v>
      </c>
      <c r="F12676" s="26">
        <v>2.1100000000000001E-2</v>
      </c>
      <c r="G12676" s="26">
        <v>1.4500000000000001E-2</v>
      </c>
      <c r="I12676">
        <v>293</v>
      </c>
    </row>
    <row r="12677" spans="1:9" x14ac:dyDescent="0.35">
      <c r="A12677" t="s">
        <v>229</v>
      </c>
      <c r="B12677" t="s">
        <v>246</v>
      </c>
      <c r="C12677" s="26">
        <v>0.89959999999999996</v>
      </c>
      <c r="D12677" s="26">
        <v>5.33E-2</v>
      </c>
      <c r="E12677" s="26">
        <v>4.7100000000000003E-2</v>
      </c>
      <c r="I12677">
        <v>45</v>
      </c>
    </row>
    <row r="12678" spans="1:9" x14ac:dyDescent="0.35">
      <c r="A12678" t="s">
        <v>230</v>
      </c>
      <c r="B12678" t="s">
        <v>244</v>
      </c>
      <c r="C12678" s="26">
        <v>0.90669999999999995</v>
      </c>
      <c r="D12678" s="26">
        <v>3.4099999999999998E-2</v>
      </c>
      <c r="E12678" s="26">
        <v>2.5000000000000001E-2</v>
      </c>
      <c r="F12678" s="26">
        <v>2.5899999999999999E-2</v>
      </c>
      <c r="G12678" s="26">
        <v>7.7999999999999996E-3</v>
      </c>
      <c r="H12678" s="26">
        <v>4.0000000000000002E-4</v>
      </c>
      <c r="I12678">
        <v>370</v>
      </c>
    </row>
    <row r="12679" spans="1:9" x14ac:dyDescent="0.35">
      <c r="A12679" t="s">
        <v>230</v>
      </c>
      <c r="B12679" t="s">
        <v>245</v>
      </c>
      <c r="C12679" s="26">
        <v>0.96679999999999999</v>
      </c>
      <c r="E12679" s="26">
        <v>6.7999999999999996E-3</v>
      </c>
      <c r="F12679" s="26">
        <v>2.18E-2</v>
      </c>
      <c r="G12679" s="26">
        <v>4.4999999999999997E-3</v>
      </c>
      <c r="I12679">
        <v>161</v>
      </c>
    </row>
    <row r="12680" spans="1:9" x14ac:dyDescent="0.35">
      <c r="A12680" s="27" t="s">
        <v>230</v>
      </c>
      <c r="B12680" s="27" t="s">
        <v>246</v>
      </c>
      <c r="C12680" s="28">
        <v>0.98170000000000002</v>
      </c>
      <c r="D12680" s="28">
        <v>1.83E-2</v>
      </c>
      <c r="E12680" s="29"/>
      <c r="F12680" s="29"/>
      <c r="G12680" s="29"/>
      <c r="H12680" s="29"/>
      <c r="I12680" s="29" t="s">
        <v>329</v>
      </c>
    </row>
    <row r="12681" spans="1:9" x14ac:dyDescent="0.35">
      <c r="A12681" t="s">
        <v>231</v>
      </c>
      <c r="B12681" t="s">
        <v>244</v>
      </c>
      <c r="C12681" s="26">
        <v>0.95789999999999997</v>
      </c>
      <c r="D12681" s="26">
        <v>2.1100000000000001E-2</v>
      </c>
      <c r="E12681" s="26">
        <v>2.1100000000000001E-2</v>
      </c>
      <c r="I12681">
        <v>95</v>
      </c>
    </row>
    <row r="12682" spans="1:9" x14ac:dyDescent="0.35">
      <c r="A12682" t="s">
        <v>231</v>
      </c>
      <c r="B12682" t="s">
        <v>245</v>
      </c>
      <c r="C12682" s="26">
        <v>0.94640000000000002</v>
      </c>
      <c r="D12682" s="26">
        <v>1.7899999999999999E-2</v>
      </c>
      <c r="E12682" s="26">
        <v>1.7899999999999999E-2</v>
      </c>
      <c r="F12682" s="26">
        <v>1.7899999999999999E-2</v>
      </c>
      <c r="I12682">
        <v>56</v>
      </c>
    </row>
    <row r="12683" spans="1:9" x14ac:dyDescent="0.35">
      <c r="A12683" s="27" t="s">
        <v>231</v>
      </c>
      <c r="B12683" s="27" t="s">
        <v>246</v>
      </c>
      <c r="C12683" s="28">
        <v>1</v>
      </c>
      <c r="D12683" s="29"/>
      <c r="E12683" s="29"/>
      <c r="F12683" s="29"/>
      <c r="G12683" s="29"/>
      <c r="H12683" s="29"/>
      <c r="I12683" s="29" t="s">
        <v>341</v>
      </c>
    </row>
    <row r="12684" spans="1:9" x14ac:dyDescent="0.35">
      <c r="A12684" t="s">
        <v>232</v>
      </c>
      <c r="B12684" t="s">
        <v>232</v>
      </c>
      <c r="C12684" s="26">
        <v>0.93579999999999997</v>
      </c>
      <c r="D12684" s="26">
        <v>2.4899999999999999E-2</v>
      </c>
      <c r="E12684" s="26">
        <v>2.0400000000000001E-2</v>
      </c>
      <c r="F12684" s="26">
        <v>1.3899999999999999E-2</v>
      </c>
      <c r="G12684" s="26">
        <v>4.4000000000000003E-3</v>
      </c>
      <c r="H12684" s="26">
        <v>6.9999999999999999E-4</v>
      </c>
      <c r="I12684">
        <v>2813</v>
      </c>
    </row>
    <row r="12686" spans="1:9" x14ac:dyDescent="0.35">
      <c r="A12686" s="1" t="s">
        <v>1476</v>
      </c>
    </row>
    <row r="12687" spans="1:9" x14ac:dyDescent="0.35">
      <c r="A12687" t="s">
        <v>219</v>
      </c>
      <c r="B12687" t="s">
        <v>305</v>
      </c>
      <c r="C12687" t="s">
        <v>1424</v>
      </c>
      <c r="D12687" t="s">
        <v>1426</v>
      </c>
      <c r="E12687" t="s">
        <v>1425</v>
      </c>
      <c r="F12687" t="s">
        <v>1427</v>
      </c>
      <c r="G12687" t="s">
        <v>281</v>
      </c>
      <c r="H12687" t="s">
        <v>286</v>
      </c>
      <c r="I12687" t="s">
        <v>226</v>
      </c>
    </row>
    <row r="12688" spans="1:9" x14ac:dyDescent="0.35">
      <c r="A12688" t="s">
        <v>227</v>
      </c>
      <c r="B12688" t="s">
        <v>360</v>
      </c>
      <c r="C12688" s="26">
        <v>0.94869999999999999</v>
      </c>
      <c r="F12688" s="26">
        <v>2.5600000000000001E-2</v>
      </c>
      <c r="G12688" s="26">
        <v>2.5600000000000001E-2</v>
      </c>
      <c r="I12688">
        <v>39</v>
      </c>
    </row>
    <row r="12689" spans="1:9" x14ac:dyDescent="0.35">
      <c r="A12689" t="s">
        <v>227</v>
      </c>
      <c r="B12689" t="s">
        <v>361</v>
      </c>
      <c r="C12689" s="26">
        <v>0.96879999999999999</v>
      </c>
      <c r="E12689" s="26">
        <v>3.1199999999999999E-2</v>
      </c>
      <c r="I12689">
        <v>32</v>
      </c>
    </row>
    <row r="12690" spans="1:9" x14ac:dyDescent="0.35">
      <c r="A12690" t="s">
        <v>227</v>
      </c>
      <c r="B12690" t="s">
        <v>362</v>
      </c>
      <c r="C12690" s="26">
        <v>0.97299999999999998</v>
      </c>
      <c r="E12690" s="26">
        <v>2.7E-2</v>
      </c>
      <c r="I12690">
        <v>37</v>
      </c>
    </row>
    <row r="12691" spans="1:9" x14ac:dyDescent="0.35">
      <c r="A12691" t="s">
        <v>227</v>
      </c>
      <c r="B12691" t="s">
        <v>363</v>
      </c>
      <c r="C12691" s="26">
        <v>0.9778</v>
      </c>
      <c r="F12691" s="26">
        <v>2.2200000000000001E-2</v>
      </c>
      <c r="I12691">
        <v>45</v>
      </c>
    </row>
    <row r="12692" spans="1:9" x14ac:dyDescent="0.35">
      <c r="A12692" t="s">
        <v>228</v>
      </c>
      <c r="B12692" t="s">
        <v>360</v>
      </c>
      <c r="C12692" s="26">
        <v>0.90129999999999999</v>
      </c>
      <c r="D12692" s="26">
        <v>9.1000000000000004E-3</v>
      </c>
      <c r="E12692" s="26">
        <v>4.2500000000000003E-2</v>
      </c>
      <c r="F12692" s="26">
        <v>3.3399999999999999E-2</v>
      </c>
      <c r="G12692" s="26">
        <v>9.1999999999999998E-3</v>
      </c>
      <c r="H12692" s="26">
        <v>4.5999999999999999E-3</v>
      </c>
      <c r="I12692">
        <v>258</v>
      </c>
    </row>
    <row r="12693" spans="1:9" x14ac:dyDescent="0.35">
      <c r="A12693" t="s">
        <v>228</v>
      </c>
      <c r="B12693" t="s">
        <v>361</v>
      </c>
      <c r="C12693" s="26">
        <v>0.91539999999999999</v>
      </c>
      <c r="D12693" s="26">
        <v>3.8699999999999998E-2</v>
      </c>
      <c r="E12693" s="26">
        <v>4.1300000000000003E-2</v>
      </c>
      <c r="F12693" s="26">
        <v>2.3E-3</v>
      </c>
      <c r="G12693" s="26">
        <v>2.3E-3</v>
      </c>
      <c r="I12693">
        <v>194</v>
      </c>
    </row>
    <row r="12694" spans="1:9" x14ac:dyDescent="0.35">
      <c r="A12694" t="s">
        <v>228</v>
      </c>
      <c r="B12694" t="s">
        <v>363</v>
      </c>
      <c r="C12694" s="26">
        <v>0.94589999999999996</v>
      </c>
      <c r="D12694" s="26">
        <v>1.46E-2</v>
      </c>
      <c r="E12694" s="26">
        <v>3.4500000000000003E-2</v>
      </c>
      <c r="G12694" s="26">
        <v>1.5E-3</v>
      </c>
      <c r="H12694" s="26">
        <v>3.5000000000000001E-3</v>
      </c>
      <c r="I12694">
        <v>212</v>
      </c>
    </row>
    <row r="12695" spans="1:9" x14ac:dyDescent="0.35">
      <c r="A12695" t="s">
        <v>228</v>
      </c>
      <c r="B12695" t="s">
        <v>362</v>
      </c>
      <c r="C12695" s="26">
        <v>0.88780000000000003</v>
      </c>
      <c r="D12695" s="26">
        <v>2.7099999999999999E-2</v>
      </c>
      <c r="E12695" s="26">
        <v>3.2399999999999998E-2</v>
      </c>
      <c r="F12695" s="26">
        <v>3.9800000000000002E-2</v>
      </c>
      <c r="G12695" s="26">
        <v>7.7999999999999996E-3</v>
      </c>
      <c r="H12695" s="26">
        <v>5.0000000000000001E-3</v>
      </c>
      <c r="I12695">
        <v>236</v>
      </c>
    </row>
    <row r="12696" spans="1:9" x14ac:dyDescent="0.35">
      <c r="A12696" t="s">
        <v>229</v>
      </c>
      <c r="B12696" t="s">
        <v>363</v>
      </c>
      <c r="C12696" s="26">
        <v>0.91790000000000005</v>
      </c>
      <c r="D12696" s="26">
        <v>2.06E-2</v>
      </c>
      <c r="E12696" s="26">
        <v>1.8200000000000001E-2</v>
      </c>
      <c r="F12696" s="26">
        <v>3.6999999999999998E-2</v>
      </c>
      <c r="G12696" s="26">
        <v>6.4000000000000003E-3</v>
      </c>
      <c r="I12696">
        <v>191</v>
      </c>
    </row>
    <row r="12697" spans="1:9" x14ac:dyDescent="0.35">
      <c r="A12697" t="s">
        <v>229</v>
      </c>
      <c r="B12697" t="s">
        <v>360</v>
      </c>
      <c r="C12697" s="26">
        <v>0.95279999999999998</v>
      </c>
      <c r="D12697" s="26">
        <v>1.9400000000000001E-2</v>
      </c>
      <c r="E12697" s="26">
        <v>2.3300000000000001E-2</v>
      </c>
      <c r="F12697" s="26">
        <v>3.8E-3</v>
      </c>
      <c r="G12697" s="26">
        <v>5.9999999999999995E-4</v>
      </c>
      <c r="I12697">
        <v>164</v>
      </c>
    </row>
    <row r="12698" spans="1:9" x14ac:dyDescent="0.35">
      <c r="A12698" t="s">
        <v>229</v>
      </c>
      <c r="B12698" t="s">
        <v>361</v>
      </c>
      <c r="C12698" s="26">
        <v>0.89680000000000004</v>
      </c>
      <c r="D12698" s="26">
        <v>8.0199999999999994E-2</v>
      </c>
      <c r="E12698" s="26">
        <v>1.5699999999999999E-2</v>
      </c>
      <c r="F12698" s="26">
        <v>6.9999999999999999E-4</v>
      </c>
      <c r="G12698" s="26">
        <v>6.6E-3</v>
      </c>
      <c r="I12698">
        <v>243</v>
      </c>
    </row>
    <row r="12699" spans="1:9" x14ac:dyDescent="0.35">
      <c r="A12699" t="s">
        <v>229</v>
      </c>
      <c r="B12699" t="s">
        <v>362</v>
      </c>
      <c r="C12699" s="26">
        <v>0.92959999999999998</v>
      </c>
      <c r="D12699" s="26">
        <v>1.67E-2</v>
      </c>
      <c r="F12699" s="26">
        <v>3.8199999999999998E-2</v>
      </c>
      <c r="G12699" s="26">
        <v>1.55E-2</v>
      </c>
      <c r="I12699">
        <v>171</v>
      </c>
    </row>
    <row r="12700" spans="1:9" x14ac:dyDescent="0.35">
      <c r="A12700" t="s">
        <v>230</v>
      </c>
      <c r="B12700" t="s">
        <v>360</v>
      </c>
      <c r="C12700" s="26">
        <v>0.92369999999999997</v>
      </c>
      <c r="D12700" s="26">
        <v>4.7000000000000002E-3</v>
      </c>
      <c r="E12700" s="26">
        <v>4.7000000000000002E-3</v>
      </c>
      <c r="F12700" s="26">
        <v>3.0200000000000001E-2</v>
      </c>
      <c r="G12700" s="26">
        <v>3.5099999999999999E-2</v>
      </c>
      <c r="H12700" s="26">
        <v>1.5E-3</v>
      </c>
      <c r="I12700">
        <v>120</v>
      </c>
    </row>
    <row r="12701" spans="1:9" x14ac:dyDescent="0.35">
      <c r="A12701" t="s">
        <v>230</v>
      </c>
      <c r="B12701" t="s">
        <v>363</v>
      </c>
      <c r="C12701" s="26">
        <v>0.89890000000000003</v>
      </c>
      <c r="D12701" s="26">
        <v>2.4199999999999999E-2</v>
      </c>
      <c r="E12701" s="26">
        <v>4.99E-2</v>
      </c>
      <c r="F12701" s="26">
        <v>2.69E-2</v>
      </c>
      <c r="I12701">
        <v>127</v>
      </c>
    </row>
    <row r="12702" spans="1:9" x14ac:dyDescent="0.35">
      <c r="A12702" t="s">
        <v>230</v>
      </c>
      <c r="B12702" t="s">
        <v>361</v>
      </c>
      <c r="C12702" s="26">
        <v>0.93279999999999996</v>
      </c>
      <c r="D12702" s="26">
        <v>6.3700000000000007E-2</v>
      </c>
      <c r="F12702" s="26">
        <v>3.5000000000000001E-3</v>
      </c>
      <c r="I12702">
        <v>109</v>
      </c>
    </row>
    <row r="12703" spans="1:9" x14ac:dyDescent="0.35">
      <c r="A12703" t="s">
        <v>230</v>
      </c>
      <c r="B12703" t="s">
        <v>362</v>
      </c>
      <c r="C12703" s="26">
        <v>0.94879999999999998</v>
      </c>
      <c r="D12703" s="26">
        <v>3.5999999999999999E-3</v>
      </c>
      <c r="E12703" s="26">
        <v>2.6200000000000001E-2</v>
      </c>
      <c r="F12703" s="26">
        <v>2.1499999999999998E-2</v>
      </c>
      <c r="I12703">
        <v>148</v>
      </c>
    </row>
    <row r="12704" spans="1:9" x14ac:dyDescent="0.35">
      <c r="A12704" s="27" t="s">
        <v>231</v>
      </c>
      <c r="B12704" s="27" t="s">
        <v>362</v>
      </c>
      <c r="C12704" s="28">
        <v>0.96550000000000002</v>
      </c>
      <c r="D12704" s="28">
        <v>3.4500000000000003E-2</v>
      </c>
      <c r="E12704" s="29"/>
      <c r="F12704" s="29"/>
      <c r="G12704" s="29"/>
      <c r="H12704" s="29"/>
      <c r="I12704" s="29" t="s">
        <v>329</v>
      </c>
    </row>
    <row r="12705" spans="1:9" x14ac:dyDescent="0.35">
      <c r="A12705" t="s">
        <v>231</v>
      </c>
      <c r="B12705" t="s">
        <v>361</v>
      </c>
      <c r="C12705" s="26">
        <v>0.92</v>
      </c>
      <c r="D12705" s="26">
        <v>0.02</v>
      </c>
      <c r="E12705" s="26">
        <v>0.04</v>
      </c>
      <c r="F12705" s="26">
        <v>0.02</v>
      </c>
      <c r="I12705">
        <v>50</v>
      </c>
    </row>
    <row r="12706" spans="1:9" x14ac:dyDescent="0.35">
      <c r="A12706" t="s">
        <v>231</v>
      </c>
      <c r="B12706" t="s">
        <v>360</v>
      </c>
      <c r="C12706" s="26">
        <v>0.97729999999999995</v>
      </c>
      <c r="D12706" s="26">
        <v>2.2700000000000001E-2</v>
      </c>
      <c r="I12706">
        <v>44</v>
      </c>
    </row>
    <row r="12707" spans="1:9" x14ac:dyDescent="0.35">
      <c r="A12707" s="27" t="s">
        <v>231</v>
      </c>
      <c r="B12707" s="27" t="s">
        <v>363</v>
      </c>
      <c r="C12707" s="28">
        <v>0.96299999999999997</v>
      </c>
      <c r="D12707" s="29"/>
      <c r="E12707" s="28">
        <v>3.6999999999999998E-2</v>
      </c>
      <c r="F12707" s="29"/>
      <c r="G12707" s="29"/>
      <c r="H12707" s="29"/>
      <c r="I12707" s="29" t="s">
        <v>338</v>
      </c>
    </row>
    <row r="12708" spans="1:9" x14ac:dyDescent="0.35">
      <c r="A12708" t="s">
        <v>232</v>
      </c>
      <c r="B12708" t="s">
        <v>232</v>
      </c>
      <c r="C12708" s="26">
        <v>0.93579999999999997</v>
      </c>
      <c r="D12708" s="26">
        <v>2.4899999999999999E-2</v>
      </c>
      <c r="E12708" s="26">
        <v>2.0400000000000001E-2</v>
      </c>
      <c r="F12708" s="26">
        <v>1.3899999999999999E-2</v>
      </c>
      <c r="G12708" s="26">
        <v>4.4000000000000003E-3</v>
      </c>
      <c r="H12708" s="26">
        <v>6.9999999999999999E-4</v>
      </c>
      <c r="I12708">
        <v>2476</v>
      </c>
    </row>
    <row r="12710" spans="1:9" x14ac:dyDescent="0.35">
      <c r="A12710" s="1" t="s">
        <v>1477</v>
      </c>
    </row>
    <row r="12711" spans="1:9" x14ac:dyDescent="0.35">
      <c r="A12711" t="s">
        <v>219</v>
      </c>
      <c r="B12711" t="s">
        <v>305</v>
      </c>
      <c r="C12711" t="s">
        <v>1424</v>
      </c>
      <c r="D12711" t="s">
        <v>1426</v>
      </c>
      <c r="E12711" t="s">
        <v>1425</v>
      </c>
      <c r="F12711" t="s">
        <v>1427</v>
      </c>
      <c r="G12711" t="s">
        <v>281</v>
      </c>
      <c r="H12711" t="s">
        <v>286</v>
      </c>
      <c r="I12711" t="s">
        <v>226</v>
      </c>
    </row>
    <row r="12712" spans="1:9" x14ac:dyDescent="0.35">
      <c r="A12712" t="s">
        <v>227</v>
      </c>
      <c r="B12712" t="s">
        <v>267</v>
      </c>
      <c r="C12712" s="26">
        <v>0.97219999999999995</v>
      </c>
      <c r="G12712" s="26">
        <v>2.7799999999999998E-2</v>
      </c>
      <c r="I12712">
        <v>36</v>
      </c>
    </row>
    <row r="12713" spans="1:9" x14ac:dyDescent="0.35">
      <c r="A12713" t="s">
        <v>227</v>
      </c>
      <c r="B12713" t="s">
        <v>266</v>
      </c>
      <c r="C12713" s="26">
        <v>0.94920000000000004</v>
      </c>
      <c r="E12713" s="26">
        <v>1.6899999999999998E-2</v>
      </c>
      <c r="F12713" s="26">
        <v>3.39E-2</v>
      </c>
      <c r="I12713">
        <v>59</v>
      </c>
    </row>
    <row r="12714" spans="1:9" x14ac:dyDescent="0.35">
      <c r="A12714" t="s">
        <v>227</v>
      </c>
      <c r="B12714" t="s">
        <v>265</v>
      </c>
      <c r="C12714" s="26">
        <v>0.96970000000000001</v>
      </c>
      <c r="E12714" s="26">
        <v>1.52E-2</v>
      </c>
      <c r="F12714" s="26">
        <v>1.52E-2</v>
      </c>
      <c r="I12714">
        <v>66</v>
      </c>
    </row>
    <row r="12715" spans="1:9" x14ac:dyDescent="0.35">
      <c r="A12715" t="s">
        <v>228</v>
      </c>
      <c r="B12715" t="s">
        <v>267</v>
      </c>
      <c r="C12715" s="26">
        <v>0.87809999999999999</v>
      </c>
      <c r="D12715" s="26">
        <v>4.0500000000000001E-2</v>
      </c>
      <c r="E12715" s="26">
        <v>3.04E-2</v>
      </c>
      <c r="F12715" s="26">
        <v>3.27E-2</v>
      </c>
      <c r="G12715" s="26">
        <v>3.2000000000000002E-3</v>
      </c>
      <c r="H12715" s="26">
        <v>1.5100000000000001E-2</v>
      </c>
      <c r="I12715">
        <v>199</v>
      </c>
    </row>
    <row r="12716" spans="1:9" x14ac:dyDescent="0.35">
      <c r="A12716" t="s">
        <v>228</v>
      </c>
      <c r="B12716" t="s">
        <v>265</v>
      </c>
      <c r="C12716" s="26">
        <v>0.92500000000000004</v>
      </c>
      <c r="D12716" s="26">
        <v>2.01E-2</v>
      </c>
      <c r="E12716" s="26">
        <v>3.6700000000000003E-2</v>
      </c>
      <c r="F12716" s="26">
        <v>1.4500000000000001E-2</v>
      </c>
      <c r="G12716" s="26">
        <v>2.8E-3</v>
      </c>
      <c r="H12716" s="26">
        <v>8.9999999999999998E-4</v>
      </c>
      <c r="I12716">
        <v>384</v>
      </c>
    </row>
    <row r="12717" spans="1:9" x14ac:dyDescent="0.35">
      <c r="A12717" s="27" t="s">
        <v>228</v>
      </c>
      <c r="B12717" s="27" t="s">
        <v>236</v>
      </c>
      <c r="C12717" s="28">
        <v>0.5</v>
      </c>
      <c r="D12717" s="29"/>
      <c r="E12717" s="28">
        <v>0.5</v>
      </c>
      <c r="F12717" s="29"/>
      <c r="G12717" s="29"/>
      <c r="H12717" s="29"/>
      <c r="I12717" s="29" t="s">
        <v>314</v>
      </c>
    </row>
    <row r="12718" spans="1:9" x14ac:dyDescent="0.35">
      <c r="A12718" t="s">
        <v>228</v>
      </c>
      <c r="B12718" t="s">
        <v>266</v>
      </c>
      <c r="C12718" s="26">
        <v>0.92910000000000004</v>
      </c>
      <c r="D12718" s="26">
        <v>1.77E-2</v>
      </c>
      <c r="E12718" s="26">
        <v>3.3599999999999998E-2</v>
      </c>
      <c r="F12718" s="26">
        <v>1.1900000000000001E-2</v>
      </c>
      <c r="G12718" s="26">
        <v>7.7999999999999996E-3</v>
      </c>
      <c r="I12718">
        <v>448</v>
      </c>
    </row>
    <row r="12719" spans="1:9" x14ac:dyDescent="0.35">
      <c r="A12719" t="s">
        <v>229</v>
      </c>
      <c r="B12719" t="s">
        <v>266</v>
      </c>
      <c r="C12719" s="26">
        <v>0.92669999999999997</v>
      </c>
      <c r="D12719" s="26">
        <v>3.3599999999999998E-2</v>
      </c>
      <c r="E12719" s="26">
        <v>1.0699999999999999E-2</v>
      </c>
      <c r="F12719" s="26">
        <v>2.0400000000000001E-2</v>
      </c>
      <c r="G12719" s="26">
        <v>8.6E-3</v>
      </c>
      <c r="I12719">
        <v>359</v>
      </c>
    </row>
    <row r="12720" spans="1:9" x14ac:dyDescent="0.35">
      <c r="A12720" t="s">
        <v>229</v>
      </c>
      <c r="B12720" t="s">
        <v>267</v>
      </c>
      <c r="C12720" s="26">
        <v>0.91539999999999999</v>
      </c>
      <c r="D12720" s="26">
        <v>2.7799999999999998E-2</v>
      </c>
      <c r="E12720" s="26">
        <v>3.9800000000000002E-2</v>
      </c>
      <c r="F12720" s="26">
        <v>1.9E-3</v>
      </c>
      <c r="G12720" s="26">
        <v>1.5100000000000001E-2</v>
      </c>
      <c r="I12720">
        <v>201</v>
      </c>
    </row>
    <row r="12721" spans="1:9" x14ac:dyDescent="0.35">
      <c r="A12721" t="s">
        <v>229</v>
      </c>
      <c r="B12721" t="s">
        <v>265</v>
      </c>
      <c r="C12721" s="26">
        <v>0.91190000000000004</v>
      </c>
      <c r="D12721" s="26">
        <v>6.4600000000000005E-2</v>
      </c>
      <c r="E12721" s="26">
        <v>6.8999999999999999E-3</v>
      </c>
      <c r="F12721" s="26">
        <v>1.54E-2</v>
      </c>
      <c r="G12721" s="26">
        <v>5.9999999999999995E-4</v>
      </c>
      <c r="H12721" s="26">
        <v>6.9999999999999999E-4</v>
      </c>
      <c r="I12721">
        <v>335</v>
      </c>
    </row>
    <row r="12722" spans="1:9" x14ac:dyDescent="0.35">
      <c r="A12722" t="s">
        <v>230</v>
      </c>
      <c r="B12722" t="s">
        <v>267</v>
      </c>
      <c r="C12722" s="26">
        <v>0.93340000000000001</v>
      </c>
      <c r="D12722" s="26">
        <v>2.86E-2</v>
      </c>
      <c r="F12722" s="26">
        <v>3.39E-2</v>
      </c>
      <c r="G12722" s="26">
        <v>4.1000000000000003E-3</v>
      </c>
      <c r="I12722">
        <v>119</v>
      </c>
    </row>
    <row r="12723" spans="1:9" x14ac:dyDescent="0.35">
      <c r="A12723" t="s">
        <v>230</v>
      </c>
      <c r="B12723" t="s">
        <v>266</v>
      </c>
      <c r="C12723" s="26">
        <v>0.90500000000000003</v>
      </c>
      <c r="D12723" s="26">
        <v>1.49E-2</v>
      </c>
      <c r="E12723" s="26">
        <v>3.4700000000000002E-2</v>
      </c>
      <c r="F12723" s="26">
        <v>2.98E-2</v>
      </c>
      <c r="G12723" s="26">
        <v>1.5599999999999999E-2</v>
      </c>
      <c r="I12723">
        <v>232</v>
      </c>
    </row>
    <row r="12724" spans="1:9" x14ac:dyDescent="0.35">
      <c r="A12724" t="s">
        <v>230</v>
      </c>
      <c r="B12724" t="s">
        <v>265</v>
      </c>
      <c r="C12724" s="26">
        <v>0.94020000000000004</v>
      </c>
      <c r="D12724" s="26">
        <v>3.0599999999999999E-2</v>
      </c>
      <c r="E12724" s="26">
        <v>1.5699999999999999E-2</v>
      </c>
      <c r="F12724" s="26">
        <v>1.29E-2</v>
      </c>
      <c r="H12724" s="26">
        <v>6.9999999999999999E-4</v>
      </c>
      <c r="I12724">
        <v>209</v>
      </c>
    </row>
    <row r="12725" spans="1:9" x14ac:dyDescent="0.35">
      <c r="A12725" t="s">
        <v>231</v>
      </c>
      <c r="B12725" t="s">
        <v>267</v>
      </c>
      <c r="C12725" s="26">
        <v>0.85289999999999999</v>
      </c>
      <c r="D12725" s="26">
        <v>5.8799999999999998E-2</v>
      </c>
      <c r="E12725" s="26">
        <v>5.8799999999999998E-2</v>
      </c>
      <c r="F12725" s="26">
        <v>2.9399999999999999E-2</v>
      </c>
      <c r="I12725">
        <v>34</v>
      </c>
    </row>
    <row r="12726" spans="1:9" x14ac:dyDescent="0.35">
      <c r="A12726" t="s">
        <v>231</v>
      </c>
      <c r="B12726" t="s">
        <v>266</v>
      </c>
      <c r="C12726" s="26">
        <v>0.9839</v>
      </c>
      <c r="E12726" s="26">
        <v>1.61E-2</v>
      </c>
      <c r="I12726">
        <v>62</v>
      </c>
    </row>
    <row r="12727" spans="1:9" x14ac:dyDescent="0.35">
      <c r="A12727" t="s">
        <v>231</v>
      </c>
      <c r="B12727" t="s">
        <v>265</v>
      </c>
      <c r="C12727" s="26">
        <v>0.98529999999999995</v>
      </c>
      <c r="D12727" s="26">
        <v>1.47E-2</v>
      </c>
      <c r="I12727">
        <v>68</v>
      </c>
    </row>
    <row r="12728" spans="1:9" x14ac:dyDescent="0.35">
      <c r="A12728" t="s">
        <v>232</v>
      </c>
      <c r="B12728" t="s">
        <v>232</v>
      </c>
      <c r="C12728" s="26">
        <v>0.93579999999999997</v>
      </c>
      <c r="D12728" s="26">
        <v>2.4899999999999999E-2</v>
      </c>
      <c r="E12728" s="26">
        <v>2.0400000000000001E-2</v>
      </c>
      <c r="F12728" s="26">
        <v>1.3899999999999999E-2</v>
      </c>
      <c r="G12728" s="26">
        <v>4.4000000000000003E-3</v>
      </c>
      <c r="H12728" s="26">
        <v>6.9999999999999999E-4</v>
      </c>
      <c r="I12728">
        <v>2813</v>
      </c>
    </row>
    <row r="12730" spans="1:9" x14ac:dyDescent="0.35">
      <c r="A12730" s="1" t="s">
        <v>1478</v>
      </c>
    </row>
    <row r="12731" spans="1:9" x14ac:dyDescent="0.35">
      <c r="A12731" t="s">
        <v>219</v>
      </c>
      <c r="B12731" t="s">
        <v>305</v>
      </c>
      <c r="C12731" t="s">
        <v>1424</v>
      </c>
      <c r="D12731" t="s">
        <v>1426</v>
      </c>
      <c r="E12731" t="s">
        <v>1425</v>
      </c>
      <c r="F12731" t="s">
        <v>1427</v>
      </c>
      <c r="G12731" t="s">
        <v>281</v>
      </c>
      <c r="H12731" t="s">
        <v>286</v>
      </c>
      <c r="I12731" t="s">
        <v>226</v>
      </c>
    </row>
    <row r="12732" spans="1:9" x14ac:dyDescent="0.35">
      <c r="A12732" t="s">
        <v>227</v>
      </c>
      <c r="B12732" t="s">
        <v>252</v>
      </c>
      <c r="C12732" s="26">
        <v>0.9556</v>
      </c>
      <c r="F12732" s="26">
        <v>2.2200000000000001E-2</v>
      </c>
      <c r="G12732" s="26">
        <v>2.2200000000000001E-2</v>
      </c>
      <c r="I12732">
        <v>45</v>
      </c>
    </row>
    <row r="12733" spans="1:9" x14ac:dyDescent="0.35">
      <c r="A12733" t="s">
        <v>227</v>
      </c>
      <c r="B12733" t="s">
        <v>253</v>
      </c>
      <c r="C12733" s="26">
        <v>0.97060000000000002</v>
      </c>
      <c r="F12733" s="26">
        <v>2.9399999999999999E-2</v>
      </c>
      <c r="I12733">
        <v>34</v>
      </c>
    </row>
    <row r="12734" spans="1:9" x14ac:dyDescent="0.35">
      <c r="A12734" t="s">
        <v>227</v>
      </c>
      <c r="B12734" t="s">
        <v>251</v>
      </c>
      <c r="C12734" s="26">
        <v>0.96340000000000003</v>
      </c>
      <c r="E12734" s="26">
        <v>2.4400000000000002E-2</v>
      </c>
      <c r="F12734" s="26">
        <v>1.2200000000000001E-2</v>
      </c>
      <c r="I12734">
        <v>82</v>
      </c>
    </row>
    <row r="12735" spans="1:9" x14ac:dyDescent="0.35">
      <c r="A12735" t="s">
        <v>228</v>
      </c>
      <c r="B12735" t="s">
        <v>252</v>
      </c>
      <c r="C12735" s="26">
        <v>0.96050000000000002</v>
      </c>
      <c r="D12735" s="26">
        <v>3.2000000000000002E-3</v>
      </c>
      <c r="E12735" s="26">
        <v>1.5E-3</v>
      </c>
      <c r="F12735" s="26">
        <v>2.5999999999999999E-2</v>
      </c>
      <c r="G12735" s="26">
        <v>8.8999999999999999E-3</v>
      </c>
      <c r="I12735">
        <v>344</v>
      </c>
    </row>
    <row r="12736" spans="1:9" x14ac:dyDescent="0.35">
      <c r="A12736" t="s">
        <v>228</v>
      </c>
      <c r="B12736" t="s">
        <v>253</v>
      </c>
      <c r="C12736" s="26">
        <v>0.86609999999999998</v>
      </c>
      <c r="D12736" s="26">
        <v>2.7699999999999999E-2</v>
      </c>
      <c r="E12736" s="26">
        <v>7.7100000000000002E-2</v>
      </c>
      <c r="F12736" s="26">
        <v>2.29E-2</v>
      </c>
      <c r="G12736" s="26">
        <v>4.4000000000000003E-3</v>
      </c>
      <c r="H12736" s="26">
        <v>1.8E-3</v>
      </c>
      <c r="I12736">
        <v>222</v>
      </c>
    </row>
    <row r="12737" spans="1:9" x14ac:dyDescent="0.35">
      <c r="A12737" t="s">
        <v>228</v>
      </c>
      <c r="B12737" t="s">
        <v>251</v>
      </c>
      <c r="C12737" s="26">
        <v>0.9073</v>
      </c>
      <c r="D12737" s="26">
        <v>3.32E-2</v>
      </c>
      <c r="E12737" s="26">
        <v>4.4600000000000001E-2</v>
      </c>
      <c r="F12737" s="26">
        <v>7.1999999999999998E-3</v>
      </c>
      <c r="G12737" s="26">
        <v>2.3999999999999998E-3</v>
      </c>
      <c r="H12737" s="26">
        <v>5.4000000000000003E-3</v>
      </c>
      <c r="I12737">
        <v>467</v>
      </c>
    </row>
    <row r="12738" spans="1:9" x14ac:dyDescent="0.35">
      <c r="A12738" t="s">
        <v>229</v>
      </c>
      <c r="B12738" t="s">
        <v>252</v>
      </c>
      <c r="C12738" s="26">
        <v>0.95789999999999997</v>
      </c>
      <c r="D12738" s="26">
        <v>1.34E-2</v>
      </c>
      <c r="E12738" s="26">
        <v>4.0000000000000002E-4</v>
      </c>
      <c r="F12738" s="26">
        <v>2.6700000000000002E-2</v>
      </c>
      <c r="G12738" s="26">
        <v>1.5E-3</v>
      </c>
      <c r="I12738">
        <v>199</v>
      </c>
    </row>
    <row r="12739" spans="1:9" x14ac:dyDescent="0.35">
      <c r="A12739" t="s">
        <v>229</v>
      </c>
      <c r="B12739" t="s">
        <v>253</v>
      </c>
      <c r="C12739" s="26">
        <v>0.89829999999999999</v>
      </c>
      <c r="D12739" s="26">
        <v>5.79E-2</v>
      </c>
      <c r="E12739" s="26">
        <v>4.24E-2</v>
      </c>
      <c r="F12739" s="26">
        <v>1.4E-3</v>
      </c>
      <c r="I12739">
        <v>145</v>
      </c>
    </row>
    <row r="12740" spans="1:9" x14ac:dyDescent="0.35">
      <c r="A12740" t="s">
        <v>229</v>
      </c>
      <c r="B12740" t="s">
        <v>251</v>
      </c>
      <c r="C12740" s="26">
        <v>0.90820000000000001</v>
      </c>
      <c r="D12740" s="26">
        <v>5.5E-2</v>
      </c>
      <c r="E12740" s="26">
        <v>1.2500000000000001E-2</v>
      </c>
      <c r="F12740" s="26">
        <v>1.3299999999999999E-2</v>
      </c>
      <c r="G12740" s="26">
        <v>1.04E-2</v>
      </c>
      <c r="H12740" s="26">
        <v>5.9999999999999995E-4</v>
      </c>
      <c r="I12740">
        <v>551</v>
      </c>
    </row>
    <row r="12741" spans="1:9" x14ac:dyDescent="0.35">
      <c r="A12741" t="s">
        <v>230</v>
      </c>
      <c r="B12741" t="s">
        <v>252</v>
      </c>
      <c r="C12741" s="26">
        <v>0.92430000000000001</v>
      </c>
      <c r="D12741" s="26">
        <v>2.1000000000000001E-2</v>
      </c>
      <c r="E12741" s="26">
        <v>6.8999999999999999E-3</v>
      </c>
      <c r="F12741" s="26">
        <v>2.2100000000000002E-2</v>
      </c>
      <c r="G12741" s="26">
        <v>2.5600000000000001E-2</v>
      </c>
      <c r="I12741">
        <v>159</v>
      </c>
    </row>
    <row r="12742" spans="1:9" x14ac:dyDescent="0.35">
      <c r="A12742" t="s">
        <v>230</v>
      </c>
      <c r="B12742" t="s">
        <v>253</v>
      </c>
      <c r="C12742" s="26">
        <v>0.95430000000000004</v>
      </c>
      <c r="D12742" s="26">
        <v>9.4999999999999998E-3</v>
      </c>
      <c r="E12742" s="26">
        <v>3.4700000000000002E-2</v>
      </c>
      <c r="H12742" s="26">
        <v>1.4E-3</v>
      </c>
      <c r="I12742">
        <v>110</v>
      </c>
    </row>
    <row r="12743" spans="1:9" x14ac:dyDescent="0.35">
      <c r="A12743" t="s">
        <v>230</v>
      </c>
      <c r="B12743" t="s">
        <v>251</v>
      </c>
      <c r="C12743" s="26">
        <v>0.91710000000000003</v>
      </c>
      <c r="D12743" s="26">
        <v>3.1199999999999999E-2</v>
      </c>
      <c r="E12743" s="26">
        <v>1.9400000000000001E-2</v>
      </c>
      <c r="F12743" s="26">
        <v>3.2300000000000002E-2</v>
      </c>
      <c r="I12743">
        <v>291</v>
      </c>
    </row>
    <row r="12744" spans="1:9" x14ac:dyDescent="0.35">
      <c r="A12744" t="s">
        <v>231</v>
      </c>
      <c r="B12744" t="s">
        <v>252</v>
      </c>
      <c r="C12744" s="26">
        <v>0.97960000000000003</v>
      </c>
      <c r="D12744" s="26">
        <v>2.0400000000000001E-2</v>
      </c>
      <c r="I12744">
        <v>49</v>
      </c>
    </row>
    <row r="12745" spans="1:9" x14ac:dyDescent="0.35">
      <c r="A12745" t="s">
        <v>231</v>
      </c>
      <c r="B12745" t="s">
        <v>253</v>
      </c>
      <c r="C12745" s="26">
        <v>0.9667</v>
      </c>
      <c r="E12745" s="26">
        <v>3.3300000000000003E-2</v>
      </c>
      <c r="I12745">
        <v>30</v>
      </c>
    </row>
    <row r="12746" spans="1:9" x14ac:dyDescent="0.35">
      <c r="A12746" t="s">
        <v>231</v>
      </c>
      <c r="B12746" t="s">
        <v>251</v>
      </c>
      <c r="C12746" s="26">
        <v>0.94120000000000004</v>
      </c>
      <c r="D12746" s="26">
        <v>2.35E-2</v>
      </c>
      <c r="E12746" s="26">
        <v>2.35E-2</v>
      </c>
      <c r="F12746" s="26">
        <v>1.18E-2</v>
      </c>
      <c r="I12746">
        <v>85</v>
      </c>
    </row>
    <row r="12747" spans="1:9" x14ac:dyDescent="0.35">
      <c r="A12747" t="s">
        <v>232</v>
      </c>
      <c r="B12747" t="s">
        <v>232</v>
      </c>
      <c r="C12747" s="26">
        <v>0.93579999999999997</v>
      </c>
      <c r="D12747" s="26">
        <v>2.4899999999999999E-2</v>
      </c>
      <c r="E12747" s="26">
        <v>2.0400000000000001E-2</v>
      </c>
      <c r="F12747" s="26">
        <v>1.3899999999999999E-2</v>
      </c>
      <c r="G12747" s="26">
        <v>4.4000000000000003E-3</v>
      </c>
      <c r="H12747" s="26">
        <v>6.9999999999999999E-4</v>
      </c>
      <c r="I12747">
        <v>2813</v>
      </c>
    </row>
    <row r="12749" spans="1:9" x14ac:dyDescent="0.35">
      <c r="A12749" s="1" t="s">
        <v>1479</v>
      </c>
    </row>
    <row r="12750" spans="1:9" x14ac:dyDescent="0.35">
      <c r="A12750" t="s">
        <v>219</v>
      </c>
      <c r="B12750" t="s">
        <v>305</v>
      </c>
      <c r="C12750" t="s">
        <v>1424</v>
      </c>
      <c r="D12750" t="s">
        <v>1426</v>
      </c>
      <c r="E12750" t="s">
        <v>1425</v>
      </c>
      <c r="F12750" t="s">
        <v>1427</v>
      </c>
      <c r="G12750" t="s">
        <v>281</v>
      </c>
      <c r="H12750" t="s">
        <v>286</v>
      </c>
      <c r="I12750" t="s">
        <v>226</v>
      </c>
    </row>
    <row r="12751" spans="1:9" x14ac:dyDescent="0.35">
      <c r="A12751" t="s">
        <v>227</v>
      </c>
      <c r="B12751" t="s">
        <v>249</v>
      </c>
      <c r="C12751" s="26">
        <v>0.97729999999999995</v>
      </c>
      <c r="E12751" s="26">
        <v>2.2700000000000001E-2</v>
      </c>
      <c r="I12751">
        <v>44</v>
      </c>
    </row>
    <row r="12752" spans="1:9" x14ac:dyDescent="0.35">
      <c r="A12752" t="s">
        <v>227</v>
      </c>
      <c r="B12752" t="s">
        <v>248</v>
      </c>
      <c r="C12752" s="26">
        <v>0.95730000000000004</v>
      </c>
      <c r="E12752" s="26">
        <v>8.5000000000000006E-3</v>
      </c>
      <c r="F12752" s="26">
        <v>2.5600000000000001E-2</v>
      </c>
      <c r="G12752" s="26">
        <v>8.5000000000000006E-3</v>
      </c>
      <c r="I12752">
        <v>117</v>
      </c>
    </row>
    <row r="12753" spans="1:9" x14ac:dyDescent="0.35">
      <c r="A12753" t="s">
        <v>228</v>
      </c>
      <c r="B12753" t="s">
        <v>249</v>
      </c>
      <c r="C12753" s="26">
        <v>0.91400000000000003</v>
      </c>
      <c r="D12753" s="26">
        <v>1.66E-2</v>
      </c>
      <c r="E12753" s="26">
        <v>5.5300000000000002E-2</v>
      </c>
      <c r="F12753" s="26">
        <v>1.14E-2</v>
      </c>
      <c r="H12753" s="26">
        <v>2.8E-3</v>
      </c>
      <c r="I12753">
        <v>274</v>
      </c>
    </row>
    <row r="12754" spans="1:9" x14ac:dyDescent="0.35">
      <c r="A12754" t="s">
        <v>228</v>
      </c>
      <c r="B12754" t="s">
        <v>248</v>
      </c>
      <c r="C12754" s="26">
        <v>0.91669999999999996</v>
      </c>
      <c r="D12754" s="26">
        <v>2.4899999999999999E-2</v>
      </c>
      <c r="E12754" s="26">
        <v>2.98E-2</v>
      </c>
      <c r="F12754" s="26">
        <v>1.8599999999999998E-2</v>
      </c>
      <c r="G12754" s="26">
        <v>7.0000000000000001E-3</v>
      </c>
      <c r="H12754" s="26">
        <v>3.0000000000000001E-3</v>
      </c>
      <c r="I12754">
        <v>759</v>
      </c>
    </row>
    <row r="12755" spans="1:9" x14ac:dyDescent="0.35">
      <c r="A12755" t="s">
        <v>229</v>
      </c>
      <c r="B12755" t="s">
        <v>249</v>
      </c>
      <c r="C12755" s="26">
        <v>0.90069999999999995</v>
      </c>
      <c r="D12755" s="26">
        <v>6.3399999999999998E-2</v>
      </c>
      <c r="E12755" s="26">
        <v>2.23E-2</v>
      </c>
      <c r="F12755" s="26">
        <v>5.7000000000000002E-3</v>
      </c>
      <c r="G12755" s="26">
        <v>7.9000000000000008E-3</v>
      </c>
      <c r="I12755">
        <v>259</v>
      </c>
    </row>
    <row r="12756" spans="1:9" x14ac:dyDescent="0.35">
      <c r="A12756" t="s">
        <v>229</v>
      </c>
      <c r="B12756" t="s">
        <v>248</v>
      </c>
      <c r="C12756" s="26">
        <v>0.92569999999999997</v>
      </c>
      <c r="D12756" s="26">
        <v>3.78E-2</v>
      </c>
      <c r="E12756" s="26">
        <v>1.21E-2</v>
      </c>
      <c r="F12756" s="26">
        <v>1.8200000000000001E-2</v>
      </c>
      <c r="G12756" s="26">
        <v>5.7000000000000002E-3</v>
      </c>
      <c r="H12756" s="26">
        <v>5.0000000000000001E-4</v>
      </c>
      <c r="I12756">
        <v>636</v>
      </c>
    </row>
    <row r="12757" spans="1:9" x14ac:dyDescent="0.35">
      <c r="A12757" t="s">
        <v>230</v>
      </c>
      <c r="B12757" t="s">
        <v>249</v>
      </c>
      <c r="C12757" s="26">
        <v>0.91059999999999997</v>
      </c>
      <c r="D12757" s="26">
        <v>2.2100000000000002E-2</v>
      </c>
      <c r="E12757" s="26">
        <v>3.27E-2</v>
      </c>
      <c r="F12757" s="26">
        <v>3.4599999999999999E-2</v>
      </c>
      <c r="I12757">
        <v>171</v>
      </c>
    </row>
    <row r="12758" spans="1:9" x14ac:dyDescent="0.35">
      <c r="A12758" t="s">
        <v>230</v>
      </c>
      <c r="B12758" t="s">
        <v>248</v>
      </c>
      <c r="C12758" s="26">
        <v>0.93379999999999996</v>
      </c>
      <c r="D12758" s="26">
        <v>2.5700000000000001E-2</v>
      </c>
      <c r="E12758" s="26">
        <v>1.2200000000000001E-2</v>
      </c>
      <c r="F12758" s="26">
        <v>1.7999999999999999E-2</v>
      </c>
      <c r="G12758" s="26">
        <v>9.9000000000000008E-3</v>
      </c>
      <c r="H12758" s="26">
        <v>4.0000000000000002E-4</v>
      </c>
      <c r="I12758">
        <v>389</v>
      </c>
    </row>
    <row r="12759" spans="1:9" x14ac:dyDescent="0.35">
      <c r="A12759" t="s">
        <v>231</v>
      </c>
      <c r="B12759" t="s">
        <v>249</v>
      </c>
      <c r="C12759" s="26">
        <v>0.97140000000000004</v>
      </c>
      <c r="E12759" s="26">
        <v>2.86E-2</v>
      </c>
      <c r="I12759">
        <v>35</v>
      </c>
    </row>
    <row r="12760" spans="1:9" x14ac:dyDescent="0.35">
      <c r="A12760" t="s">
        <v>231</v>
      </c>
      <c r="B12760" t="s">
        <v>248</v>
      </c>
      <c r="C12760" s="26">
        <v>0.95350000000000001</v>
      </c>
      <c r="D12760" s="26">
        <v>2.3300000000000001E-2</v>
      </c>
      <c r="E12760" s="26">
        <v>1.55E-2</v>
      </c>
      <c r="F12760" s="26">
        <v>7.7999999999999996E-3</v>
      </c>
      <c r="I12760">
        <v>129</v>
      </c>
    </row>
    <row r="12761" spans="1:9" x14ac:dyDescent="0.35">
      <c r="A12761" t="s">
        <v>232</v>
      </c>
      <c r="B12761" t="s">
        <v>232</v>
      </c>
      <c r="C12761" s="26">
        <v>0.93579999999999997</v>
      </c>
      <c r="D12761" s="26">
        <v>2.4899999999999999E-2</v>
      </c>
      <c r="E12761" s="26">
        <v>2.0400000000000001E-2</v>
      </c>
      <c r="F12761" s="26">
        <v>1.3899999999999999E-2</v>
      </c>
      <c r="G12761" s="26">
        <v>4.4000000000000003E-3</v>
      </c>
      <c r="H12761" s="26">
        <v>6.9999999999999999E-4</v>
      </c>
      <c r="I12761">
        <v>2813</v>
      </c>
    </row>
    <row r="12763" spans="1:9" x14ac:dyDescent="0.35">
      <c r="A12763" s="1" t="s">
        <v>1480</v>
      </c>
    </row>
    <row r="12764" spans="1:9" x14ac:dyDescent="0.35">
      <c r="A12764" t="s">
        <v>219</v>
      </c>
      <c r="B12764" t="s">
        <v>305</v>
      </c>
      <c r="C12764" t="s">
        <v>1424</v>
      </c>
      <c r="D12764" t="s">
        <v>1426</v>
      </c>
      <c r="E12764" t="s">
        <v>1425</v>
      </c>
      <c r="F12764" t="s">
        <v>1427</v>
      </c>
      <c r="G12764" t="s">
        <v>281</v>
      </c>
      <c r="H12764" t="s">
        <v>286</v>
      </c>
      <c r="I12764" t="s">
        <v>226</v>
      </c>
    </row>
    <row r="12765" spans="1:9" x14ac:dyDescent="0.35">
      <c r="A12765" s="27" t="s">
        <v>227</v>
      </c>
      <c r="B12765" s="27" t="s">
        <v>263</v>
      </c>
      <c r="C12765" s="28">
        <v>1</v>
      </c>
      <c r="D12765" s="29"/>
      <c r="E12765" s="29"/>
      <c r="F12765" s="29"/>
      <c r="G12765" s="29"/>
      <c r="H12765" s="29"/>
      <c r="I12765" s="29" t="s">
        <v>315</v>
      </c>
    </row>
    <row r="12766" spans="1:9" x14ac:dyDescent="0.35">
      <c r="A12766" t="s">
        <v>227</v>
      </c>
      <c r="B12766" t="s">
        <v>261</v>
      </c>
      <c r="C12766" s="26">
        <v>0.90910000000000002</v>
      </c>
      <c r="E12766" s="26">
        <v>3.0300000000000001E-2</v>
      </c>
      <c r="F12766" s="26">
        <v>6.0600000000000001E-2</v>
      </c>
      <c r="I12766">
        <v>33</v>
      </c>
    </row>
    <row r="12767" spans="1:9" x14ac:dyDescent="0.35">
      <c r="A12767" s="27" t="s">
        <v>227</v>
      </c>
      <c r="B12767" s="27" t="s">
        <v>262</v>
      </c>
      <c r="C12767" s="28">
        <v>1</v>
      </c>
      <c r="D12767" s="29"/>
      <c r="E12767" s="29"/>
      <c r="F12767" s="29"/>
      <c r="G12767" s="29"/>
      <c r="H12767" s="29"/>
      <c r="I12767" s="29" t="s">
        <v>315</v>
      </c>
    </row>
    <row r="12768" spans="1:9" x14ac:dyDescent="0.35">
      <c r="A12768" t="s">
        <v>227</v>
      </c>
      <c r="B12768" t="s">
        <v>260</v>
      </c>
      <c r="C12768" s="26">
        <v>0.97540000000000004</v>
      </c>
      <c r="E12768" s="26">
        <v>8.2000000000000007E-3</v>
      </c>
      <c r="F12768" s="26">
        <v>8.2000000000000007E-3</v>
      </c>
      <c r="G12768" s="26">
        <v>8.2000000000000007E-3</v>
      </c>
      <c r="I12768">
        <v>122</v>
      </c>
    </row>
    <row r="12769" spans="1:9" x14ac:dyDescent="0.35">
      <c r="A12769" t="s">
        <v>228</v>
      </c>
      <c r="B12769" t="s">
        <v>261</v>
      </c>
      <c r="C12769" s="26">
        <v>0.86760000000000004</v>
      </c>
      <c r="D12769" s="26">
        <v>5.21E-2</v>
      </c>
      <c r="E12769" s="26">
        <v>5.45E-2</v>
      </c>
      <c r="F12769" s="26">
        <v>2.3199999999999998E-2</v>
      </c>
      <c r="G12769" s="26">
        <v>2.5000000000000001E-3</v>
      </c>
      <c r="I12769">
        <v>192</v>
      </c>
    </row>
    <row r="12770" spans="1:9" x14ac:dyDescent="0.35">
      <c r="A12770" s="27" t="s">
        <v>228</v>
      </c>
      <c r="B12770" s="27" t="s">
        <v>263</v>
      </c>
      <c r="C12770" s="28">
        <v>0.90810000000000002</v>
      </c>
      <c r="D12770" s="28">
        <v>6.25E-2</v>
      </c>
      <c r="E12770" s="29"/>
      <c r="F12770" s="29"/>
      <c r="G12770" s="28">
        <v>2.93E-2</v>
      </c>
      <c r="H12770" s="29"/>
      <c r="I12770" s="29" t="s">
        <v>312</v>
      </c>
    </row>
    <row r="12771" spans="1:9" x14ac:dyDescent="0.35">
      <c r="A12771" s="27" t="s">
        <v>228</v>
      </c>
      <c r="B12771" s="27" t="s">
        <v>236</v>
      </c>
      <c r="C12771" s="28">
        <v>0.86629999999999996</v>
      </c>
      <c r="D12771" s="29"/>
      <c r="E12771" s="28">
        <v>0.13370000000000001</v>
      </c>
      <c r="F12771" s="29"/>
      <c r="G12771" s="29"/>
      <c r="H12771" s="29"/>
      <c r="I12771" s="29" t="s">
        <v>335</v>
      </c>
    </row>
    <row r="12772" spans="1:9" x14ac:dyDescent="0.35">
      <c r="A12772" t="s">
        <v>228</v>
      </c>
      <c r="B12772" t="s">
        <v>262</v>
      </c>
      <c r="C12772" s="26">
        <v>0.92659999999999998</v>
      </c>
      <c r="D12772" s="26">
        <v>2.0899999999999998E-2</v>
      </c>
      <c r="E12772" s="26">
        <v>3.6499999999999998E-2</v>
      </c>
      <c r="F12772" s="26">
        <v>1.26E-2</v>
      </c>
      <c r="G12772" s="26">
        <v>3.3E-3</v>
      </c>
      <c r="I12772">
        <v>201</v>
      </c>
    </row>
    <row r="12773" spans="1:9" x14ac:dyDescent="0.35">
      <c r="A12773" t="s">
        <v>228</v>
      </c>
      <c r="B12773" t="s">
        <v>260</v>
      </c>
      <c r="C12773" s="26">
        <v>0.92910000000000004</v>
      </c>
      <c r="D12773" s="26">
        <v>1.24E-2</v>
      </c>
      <c r="E12773" s="26">
        <v>3.2399999999999998E-2</v>
      </c>
      <c r="F12773" s="26">
        <v>1.5900000000000001E-2</v>
      </c>
      <c r="G12773" s="26">
        <v>5.4000000000000003E-3</v>
      </c>
      <c r="H12773" s="26">
        <v>4.7000000000000002E-3</v>
      </c>
      <c r="I12773">
        <v>609</v>
      </c>
    </row>
    <row r="12774" spans="1:9" x14ac:dyDescent="0.35">
      <c r="A12774" s="27" t="s">
        <v>229</v>
      </c>
      <c r="B12774" s="27" t="s">
        <v>263</v>
      </c>
      <c r="C12774" s="28">
        <v>1</v>
      </c>
      <c r="D12774" s="29"/>
      <c r="E12774" s="29"/>
      <c r="F12774" s="29"/>
      <c r="G12774" s="29"/>
      <c r="H12774" s="29"/>
      <c r="I12774" s="29" t="s">
        <v>379</v>
      </c>
    </row>
    <row r="12775" spans="1:9" x14ac:dyDescent="0.35">
      <c r="A12775" t="s">
        <v>229</v>
      </c>
      <c r="B12775" t="s">
        <v>262</v>
      </c>
      <c r="C12775" s="26">
        <v>0.9194</v>
      </c>
      <c r="D12775" s="26">
        <v>6.59E-2</v>
      </c>
      <c r="E12775" s="26">
        <v>1.1900000000000001E-2</v>
      </c>
      <c r="F12775" s="26">
        <v>1.5E-3</v>
      </c>
      <c r="H12775" s="26">
        <v>1.1999999999999999E-3</v>
      </c>
      <c r="I12775">
        <v>188</v>
      </c>
    </row>
    <row r="12776" spans="1:9" x14ac:dyDescent="0.35">
      <c r="A12776" t="s">
        <v>229</v>
      </c>
      <c r="B12776" t="s">
        <v>261</v>
      </c>
      <c r="C12776" s="26">
        <v>0.85399999999999998</v>
      </c>
      <c r="D12776" s="26">
        <v>0.12139999999999999</v>
      </c>
      <c r="E12776" s="26">
        <v>2.0199999999999999E-2</v>
      </c>
      <c r="F12776" s="26">
        <v>4.4999999999999997E-3</v>
      </c>
      <c r="I12776">
        <v>96</v>
      </c>
    </row>
    <row r="12777" spans="1:9" x14ac:dyDescent="0.35">
      <c r="A12777" s="27" t="s">
        <v>229</v>
      </c>
      <c r="B12777" s="27" t="s">
        <v>236</v>
      </c>
      <c r="C12777" s="28">
        <v>1</v>
      </c>
      <c r="D12777" s="29"/>
      <c r="E12777" s="29"/>
      <c r="F12777" s="29"/>
      <c r="G12777" s="29"/>
      <c r="H12777" s="29"/>
      <c r="I12777" s="29" t="s">
        <v>331</v>
      </c>
    </row>
    <row r="12778" spans="1:9" x14ac:dyDescent="0.35">
      <c r="A12778" t="s">
        <v>229</v>
      </c>
      <c r="B12778" t="s">
        <v>260</v>
      </c>
      <c r="C12778" s="26">
        <v>0.93069999999999997</v>
      </c>
      <c r="D12778" s="26">
        <v>1.77E-2</v>
      </c>
      <c r="E12778" s="26">
        <v>1.6500000000000001E-2</v>
      </c>
      <c r="F12778" s="26">
        <v>2.3400000000000001E-2</v>
      </c>
      <c r="G12778" s="26">
        <v>1.17E-2</v>
      </c>
      <c r="I12778">
        <v>596</v>
      </c>
    </row>
    <row r="12779" spans="1:9" x14ac:dyDescent="0.35">
      <c r="A12779" s="27" t="s">
        <v>230</v>
      </c>
      <c r="B12779" s="27" t="s">
        <v>236</v>
      </c>
      <c r="C12779" s="28">
        <v>0.96340000000000003</v>
      </c>
      <c r="D12779" s="29"/>
      <c r="E12779" s="29"/>
      <c r="F12779" s="29"/>
      <c r="G12779" s="29"/>
      <c r="H12779" s="28">
        <v>3.6600000000000001E-2</v>
      </c>
      <c r="I12779" s="29" t="s">
        <v>337</v>
      </c>
    </row>
    <row r="12780" spans="1:9" x14ac:dyDescent="0.35">
      <c r="A12780" t="s">
        <v>230</v>
      </c>
      <c r="B12780" t="s">
        <v>262</v>
      </c>
      <c r="C12780" s="26">
        <v>0.90849999999999997</v>
      </c>
      <c r="D12780" s="26">
        <v>4.19E-2</v>
      </c>
      <c r="E12780" s="26">
        <v>6.0000000000000001E-3</v>
      </c>
      <c r="F12780" s="26">
        <v>4.36E-2</v>
      </c>
      <c r="I12780">
        <v>122</v>
      </c>
    </row>
    <row r="12781" spans="1:9" x14ac:dyDescent="0.35">
      <c r="A12781" t="s">
        <v>230</v>
      </c>
      <c r="B12781" t="s">
        <v>261</v>
      </c>
      <c r="C12781" s="26">
        <v>0.91059999999999997</v>
      </c>
      <c r="D12781" s="26">
        <v>4.7E-2</v>
      </c>
      <c r="F12781" s="26">
        <v>4.0399999999999998E-2</v>
      </c>
      <c r="G12781" s="26">
        <v>2E-3</v>
      </c>
      <c r="I12781">
        <v>57</v>
      </c>
    </row>
    <row r="12782" spans="1:9" x14ac:dyDescent="0.35">
      <c r="A12782" s="27" t="s">
        <v>230</v>
      </c>
      <c r="B12782" s="27" t="s">
        <v>263</v>
      </c>
      <c r="C12782" s="28">
        <v>0.94430000000000003</v>
      </c>
      <c r="D12782" s="28">
        <v>5.57E-2</v>
      </c>
      <c r="E12782" s="29"/>
      <c r="F12782" s="29"/>
      <c r="G12782" s="29"/>
      <c r="H12782" s="29"/>
      <c r="I12782" s="29" t="s">
        <v>312</v>
      </c>
    </row>
    <row r="12783" spans="1:9" x14ac:dyDescent="0.35">
      <c r="A12783" t="s">
        <v>230</v>
      </c>
      <c r="B12783" t="s">
        <v>260</v>
      </c>
      <c r="C12783" s="26">
        <v>0.93189999999999995</v>
      </c>
      <c r="D12783" s="26">
        <v>1.5900000000000001E-2</v>
      </c>
      <c r="E12783" s="26">
        <v>2.63E-2</v>
      </c>
      <c r="F12783" s="26">
        <v>1.6799999999999999E-2</v>
      </c>
      <c r="G12783" s="26">
        <v>9.1000000000000004E-3</v>
      </c>
      <c r="I12783">
        <v>352</v>
      </c>
    </row>
    <row r="12784" spans="1:9" x14ac:dyDescent="0.35">
      <c r="A12784" s="27" t="s">
        <v>231</v>
      </c>
      <c r="B12784" s="27" t="s">
        <v>263</v>
      </c>
      <c r="C12784" s="28">
        <v>1</v>
      </c>
      <c r="D12784" s="29"/>
      <c r="E12784" s="29"/>
      <c r="F12784" s="29"/>
      <c r="G12784" s="29"/>
      <c r="H12784" s="29"/>
      <c r="I12784" s="29" t="s">
        <v>314</v>
      </c>
    </row>
    <row r="12785" spans="1:9" x14ac:dyDescent="0.35">
      <c r="A12785" t="s">
        <v>231</v>
      </c>
      <c r="B12785" t="s">
        <v>260</v>
      </c>
      <c r="C12785" s="26">
        <v>0.9677</v>
      </c>
      <c r="D12785" s="26">
        <v>1.61E-2</v>
      </c>
      <c r="E12785" s="26">
        <v>1.61E-2</v>
      </c>
      <c r="I12785">
        <v>124</v>
      </c>
    </row>
    <row r="12786" spans="1:9" x14ac:dyDescent="0.35">
      <c r="A12786" s="27" t="s">
        <v>231</v>
      </c>
      <c r="B12786" s="27" t="s">
        <v>261</v>
      </c>
      <c r="C12786" s="28">
        <v>0.88890000000000002</v>
      </c>
      <c r="D12786" s="28">
        <v>3.6999999999999998E-2</v>
      </c>
      <c r="E12786" s="28">
        <v>3.6999999999999998E-2</v>
      </c>
      <c r="F12786" s="28">
        <v>3.6999999999999998E-2</v>
      </c>
      <c r="G12786" s="29"/>
      <c r="H12786" s="29"/>
      <c r="I12786" s="29" t="s">
        <v>338</v>
      </c>
    </row>
    <row r="12787" spans="1:9" x14ac:dyDescent="0.35">
      <c r="A12787" s="27" t="s">
        <v>231</v>
      </c>
      <c r="B12787" s="27" t="s">
        <v>262</v>
      </c>
      <c r="C12787" s="28">
        <v>1</v>
      </c>
      <c r="D12787" s="29"/>
      <c r="E12787" s="29"/>
      <c r="F12787" s="29"/>
      <c r="G12787" s="29"/>
      <c r="H12787" s="29"/>
      <c r="I12787" s="29" t="s">
        <v>352</v>
      </c>
    </row>
    <row r="12788" spans="1:9" x14ac:dyDescent="0.35">
      <c r="A12788" t="s">
        <v>232</v>
      </c>
      <c r="B12788" t="s">
        <v>232</v>
      </c>
      <c r="C12788" s="26">
        <v>0.93579999999999997</v>
      </c>
      <c r="D12788" s="26">
        <v>2.4899999999999999E-2</v>
      </c>
      <c r="E12788" s="26">
        <v>2.0400000000000001E-2</v>
      </c>
      <c r="F12788" s="26">
        <v>1.3899999999999999E-2</v>
      </c>
      <c r="G12788" s="26">
        <v>4.4000000000000003E-3</v>
      </c>
      <c r="H12788" s="26">
        <v>6.9999999999999999E-4</v>
      </c>
      <c r="I12788">
        <v>2813</v>
      </c>
    </row>
    <row r="12790" spans="1:9" x14ac:dyDescent="0.35">
      <c r="A12790" s="1" t="s">
        <v>1481</v>
      </c>
    </row>
    <row r="12791" spans="1:9" x14ac:dyDescent="0.35">
      <c r="A12791" t="s">
        <v>219</v>
      </c>
      <c r="B12791" t="s">
        <v>305</v>
      </c>
      <c r="C12791" t="s">
        <v>1424</v>
      </c>
      <c r="D12791" t="s">
        <v>1426</v>
      </c>
      <c r="E12791" t="s">
        <v>1425</v>
      </c>
      <c r="F12791" t="s">
        <v>1427</v>
      </c>
      <c r="G12791" t="s">
        <v>281</v>
      </c>
      <c r="H12791" t="s">
        <v>286</v>
      </c>
      <c r="I12791" t="s">
        <v>226</v>
      </c>
    </row>
    <row r="12792" spans="1:9" x14ac:dyDescent="0.35">
      <c r="A12792" t="s">
        <v>227</v>
      </c>
      <c r="B12792" t="s">
        <v>368</v>
      </c>
      <c r="C12792" s="26">
        <v>0.90910000000000002</v>
      </c>
      <c r="E12792" s="26">
        <v>3.0300000000000001E-2</v>
      </c>
      <c r="F12792" s="26">
        <v>6.0600000000000001E-2</v>
      </c>
      <c r="I12792">
        <v>33</v>
      </c>
    </row>
    <row r="12793" spans="1:9" x14ac:dyDescent="0.35">
      <c r="A12793" t="s">
        <v>227</v>
      </c>
      <c r="B12793" t="s">
        <v>369</v>
      </c>
      <c r="C12793" s="26">
        <v>0.97660000000000002</v>
      </c>
      <c r="E12793" s="26">
        <v>7.7999999999999996E-3</v>
      </c>
      <c r="F12793" s="26">
        <v>7.7999999999999996E-3</v>
      </c>
      <c r="G12793" s="26">
        <v>7.7999999999999996E-3</v>
      </c>
      <c r="I12793">
        <v>128</v>
      </c>
    </row>
    <row r="12794" spans="1:9" x14ac:dyDescent="0.35">
      <c r="A12794" t="s">
        <v>228</v>
      </c>
      <c r="B12794" t="s">
        <v>368</v>
      </c>
      <c r="C12794" s="26">
        <v>0.86760000000000004</v>
      </c>
      <c r="D12794" s="26">
        <v>5.21E-2</v>
      </c>
      <c r="E12794" s="26">
        <v>5.45E-2</v>
      </c>
      <c r="F12794" s="26">
        <v>2.3199999999999998E-2</v>
      </c>
      <c r="G12794" s="26">
        <v>2.5000000000000001E-3</v>
      </c>
      <c r="I12794">
        <v>192</v>
      </c>
    </row>
    <row r="12795" spans="1:9" x14ac:dyDescent="0.35">
      <c r="A12795" t="s">
        <v>228</v>
      </c>
      <c r="B12795" t="s">
        <v>369</v>
      </c>
      <c r="C12795" s="26">
        <v>0.92759999999999998</v>
      </c>
      <c r="D12795" s="26">
        <v>1.5299999999999999E-2</v>
      </c>
      <c r="E12795" s="26">
        <v>3.3300000000000003E-2</v>
      </c>
      <c r="F12795" s="26">
        <v>1.4800000000000001E-2</v>
      </c>
      <c r="G12795" s="26">
        <v>5.4999999999999997E-3</v>
      </c>
      <c r="H12795" s="26">
        <v>3.5999999999999999E-3</v>
      </c>
      <c r="I12795">
        <v>841</v>
      </c>
    </row>
    <row r="12796" spans="1:9" x14ac:dyDescent="0.35">
      <c r="A12796" t="s">
        <v>229</v>
      </c>
      <c r="B12796" t="s">
        <v>368</v>
      </c>
      <c r="C12796" s="26">
        <v>0.85399999999999998</v>
      </c>
      <c r="D12796" s="26">
        <v>0.12139999999999999</v>
      </c>
      <c r="E12796" s="26">
        <v>2.0199999999999999E-2</v>
      </c>
      <c r="F12796" s="26">
        <v>4.4999999999999997E-3</v>
      </c>
      <c r="I12796">
        <v>96</v>
      </c>
    </row>
    <row r="12797" spans="1:9" x14ac:dyDescent="0.35">
      <c r="A12797" t="s">
        <v>229</v>
      </c>
      <c r="B12797" t="s">
        <v>369</v>
      </c>
      <c r="C12797" s="26">
        <v>0.92859999999999998</v>
      </c>
      <c r="D12797" s="26">
        <v>3.3099999999999997E-2</v>
      </c>
      <c r="E12797" s="26">
        <v>1.46E-2</v>
      </c>
      <c r="F12797" s="26">
        <v>1.5699999999999999E-2</v>
      </c>
      <c r="G12797" s="26">
        <v>7.6E-3</v>
      </c>
      <c r="H12797" s="26">
        <v>4.0000000000000002E-4</v>
      </c>
      <c r="I12797">
        <v>799</v>
      </c>
    </row>
    <row r="12798" spans="1:9" x14ac:dyDescent="0.35">
      <c r="A12798" t="s">
        <v>230</v>
      </c>
      <c r="B12798" t="s">
        <v>368</v>
      </c>
      <c r="C12798" s="26">
        <v>0.91059999999999997</v>
      </c>
      <c r="D12798" s="26">
        <v>4.7E-2</v>
      </c>
      <c r="F12798" s="26">
        <v>4.0399999999999998E-2</v>
      </c>
      <c r="G12798" s="26">
        <v>2E-3</v>
      </c>
      <c r="I12798">
        <v>57</v>
      </c>
    </row>
    <row r="12799" spans="1:9" x14ac:dyDescent="0.35">
      <c r="A12799" t="s">
        <v>230</v>
      </c>
      <c r="B12799" t="s">
        <v>369</v>
      </c>
      <c r="C12799" s="26">
        <v>0.92830000000000001</v>
      </c>
      <c r="D12799" s="26">
        <v>2.1000000000000001E-2</v>
      </c>
      <c r="E12799" s="26">
        <v>2.1999999999999999E-2</v>
      </c>
      <c r="F12799" s="26">
        <v>2.1000000000000001E-2</v>
      </c>
      <c r="G12799" s="26">
        <v>7.3000000000000001E-3</v>
      </c>
      <c r="H12799" s="26">
        <v>2.9999999999999997E-4</v>
      </c>
      <c r="I12799">
        <v>503</v>
      </c>
    </row>
    <row r="12800" spans="1:9" x14ac:dyDescent="0.35">
      <c r="A12800" s="27" t="s">
        <v>231</v>
      </c>
      <c r="B12800" s="27" t="s">
        <v>368</v>
      </c>
      <c r="C12800" s="28">
        <v>0.88890000000000002</v>
      </c>
      <c r="D12800" s="28">
        <v>3.6999999999999998E-2</v>
      </c>
      <c r="E12800" s="28">
        <v>3.6999999999999998E-2</v>
      </c>
      <c r="F12800" s="28">
        <v>3.6999999999999998E-2</v>
      </c>
      <c r="G12800" s="29"/>
      <c r="H12800" s="29"/>
      <c r="I12800" s="29" t="s">
        <v>338</v>
      </c>
    </row>
    <row r="12801" spans="1:9" x14ac:dyDescent="0.35">
      <c r="A12801" t="s">
        <v>231</v>
      </c>
      <c r="B12801" t="s">
        <v>369</v>
      </c>
      <c r="C12801" s="26">
        <v>0.9708</v>
      </c>
      <c r="D12801" s="26">
        <v>1.46E-2</v>
      </c>
      <c r="E12801" s="26">
        <v>1.46E-2</v>
      </c>
      <c r="I12801">
        <v>137</v>
      </c>
    </row>
    <row r="12802" spans="1:9" x14ac:dyDescent="0.35">
      <c r="A12802" t="s">
        <v>232</v>
      </c>
      <c r="B12802" t="s">
        <v>232</v>
      </c>
      <c r="C12802" s="26">
        <v>0.93579999999999997</v>
      </c>
      <c r="D12802" s="26">
        <v>2.4899999999999999E-2</v>
      </c>
      <c r="E12802" s="26">
        <v>2.0400000000000001E-2</v>
      </c>
      <c r="F12802" s="26">
        <v>1.3899999999999999E-2</v>
      </c>
      <c r="G12802" s="26">
        <v>4.4000000000000003E-3</v>
      </c>
      <c r="H12802" s="26">
        <v>6.9999999999999999E-4</v>
      </c>
      <c r="I12802">
        <v>2813</v>
      </c>
    </row>
    <row r="12804" spans="1:9" x14ac:dyDescent="0.35">
      <c r="A12804" s="1" t="s">
        <v>1482</v>
      </c>
    </row>
    <row r="12805" spans="1:9" x14ac:dyDescent="0.35">
      <c r="A12805" t="s">
        <v>219</v>
      </c>
      <c r="B12805" t="s">
        <v>305</v>
      </c>
      <c r="C12805" t="s">
        <v>1424</v>
      </c>
      <c r="D12805" t="s">
        <v>1426</v>
      </c>
      <c r="E12805" t="s">
        <v>1425</v>
      </c>
      <c r="F12805" t="s">
        <v>1427</v>
      </c>
      <c r="G12805" t="s">
        <v>281</v>
      </c>
      <c r="H12805" t="s">
        <v>286</v>
      </c>
      <c r="I12805" t="s">
        <v>226</v>
      </c>
    </row>
    <row r="12806" spans="1:9" x14ac:dyDescent="0.35">
      <c r="A12806" t="s">
        <v>227</v>
      </c>
      <c r="B12806" t="s">
        <v>371</v>
      </c>
      <c r="C12806" s="26">
        <v>0.9627</v>
      </c>
      <c r="E12806" s="26">
        <v>1.24E-2</v>
      </c>
      <c r="F12806" s="26">
        <v>1.8599999999999998E-2</v>
      </c>
      <c r="G12806" s="26">
        <v>6.1999999999999998E-3</v>
      </c>
      <c r="I12806">
        <v>161</v>
      </c>
    </row>
    <row r="12807" spans="1:9" x14ac:dyDescent="0.35">
      <c r="A12807" t="s">
        <v>228</v>
      </c>
      <c r="B12807" t="s">
        <v>371</v>
      </c>
      <c r="C12807" s="26">
        <v>0.89629999999999999</v>
      </c>
      <c r="D12807" s="26">
        <v>2.2599999999999999E-2</v>
      </c>
      <c r="E12807" s="26">
        <v>5.7200000000000001E-2</v>
      </c>
      <c r="F12807" s="26">
        <v>2.18E-2</v>
      </c>
      <c r="G12807" s="26">
        <v>1.4E-3</v>
      </c>
      <c r="H12807" s="26">
        <v>6.9999999999999999E-4</v>
      </c>
      <c r="I12807">
        <v>292</v>
      </c>
    </row>
    <row r="12808" spans="1:9" x14ac:dyDescent="0.35">
      <c r="A12808" t="s">
        <v>228</v>
      </c>
      <c r="B12808" t="s">
        <v>372</v>
      </c>
      <c r="C12808" s="26">
        <v>0.94010000000000005</v>
      </c>
      <c r="D12808" s="26">
        <v>5.7000000000000002E-3</v>
      </c>
      <c r="E12808" s="26">
        <v>2.23E-2</v>
      </c>
      <c r="F12808" s="26">
        <v>7.7000000000000002E-3</v>
      </c>
      <c r="G12808" s="26">
        <v>2.4199999999999999E-2</v>
      </c>
      <c r="I12808">
        <v>218</v>
      </c>
    </row>
    <row r="12809" spans="1:9" x14ac:dyDescent="0.35">
      <c r="A12809" t="s">
        <v>228</v>
      </c>
      <c r="B12809" t="s">
        <v>373</v>
      </c>
      <c r="C12809" s="26">
        <v>0.93679999999999997</v>
      </c>
      <c r="D12809" s="26">
        <v>2.58E-2</v>
      </c>
      <c r="E12809" s="26">
        <v>1.44E-2</v>
      </c>
      <c r="F12809" s="26">
        <v>1.11E-2</v>
      </c>
      <c r="G12809" s="26">
        <v>5.4000000000000003E-3</v>
      </c>
      <c r="H12809" s="26">
        <v>6.4999999999999997E-3</v>
      </c>
      <c r="I12809">
        <v>523</v>
      </c>
    </row>
    <row r="12810" spans="1:9" x14ac:dyDescent="0.35">
      <c r="A12810" t="s">
        <v>229</v>
      </c>
      <c r="B12810" t="s">
        <v>371</v>
      </c>
      <c r="C12810" s="26">
        <v>0.91410000000000002</v>
      </c>
      <c r="D12810" s="26">
        <v>4.9099999999999998E-2</v>
      </c>
      <c r="E12810" s="26">
        <v>1.5900000000000001E-2</v>
      </c>
      <c r="F12810" s="26">
        <v>1.4500000000000001E-2</v>
      </c>
      <c r="G12810" s="26">
        <v>6.4999999999999997E-3</v>
      </c>
      <c r="I12810">
        <v>584</v>
      </c>
    </row>
    <row r="12811" spans="1:9" x14ac:dyDescent="0.35">
      <c r="A12811" t="s">
        <v>229</v>
      </c>
      <c r="B12811" t="s">
        <v>372</v>
      </c>
      <c r="C12811" s="26">
        <v>0.94340000000000002</v>
      </c>
      <c r="D12811" s="26">
        <v>1.23E-2</v>
      </c>
      <c r="E12811" s="26">
        <v>1.5100000000000001E-2</v>
      </c>
      <c r="F12811" s="26">
        <v>1.4200000000000001E-2</v>
      </c>
      <c r="G12811" s="26">
        <v>8.5000000000000006E-3</v>
      </c>
      <c r="H12811" s="26">
        <v>6.6E-3</v>
      </c>
      <c r="I12811">
        <v>221</v>
      </c>
    </row>
    <row r="12812" spans="1:9" x14ac:dyDescent="0.35">
      <c r="A12812" t="s">
        <v>229</v>
      </c>
      <c r="B12812" t="s">
        <v>373</v>
      </c>
      <c r="C12812" s="26">
        <v>0.98770000000000002</v>
      </c>
      <c r="D12812" s="26">
        <v>1.23E-2</v>
      </c>
      <c r="I12812">
        <v>90</v>
      </c>
    </row>
    <row r="12813" spans="1:9" x14ac:dyDescent="0.35">
      <c r="A12813" t="s">
        <v>230</v>
      </c>
      <c r="B12813" t="s">
        <v>371</v>
      </c>
      <c r="C12813" s="26">
        <v>0.91520000000000001</v>
      </c>
      <c r="D12813" s="26">
        <v>2.86E-2</v>
      </c>
      <c r="E12813" s="26">
        <v>2.0899999999999998E-2</v>
      </c>
      <c r="F12813" s="26">
        <v>2.75E-2</v>
      </c>
      <c r="G12813" s="26">
        <v>7.7000000000000002E-3</v>
      </c>
      <c r="I12813">
        <v>262</v>
      </c>
    </row>
    <row r="12814" spans="1:9" x14ac:dyDescent="0.35">
      <c r="A12814" t="s">
        <v>230</v>
      </c>
      <c r="B12814" t="s">
        <v>372</v>
      </c>
      <c r="C12814" s="26">
        <v>0.9456</v>
      </c>
      <c r="D12814" s="26">
        <v>4.7000000000000002E-3</v>
      </c>
      <c r="E12814" s="26">
        <v>3.5499999999999997E-2</v>
      </c>
      <c r="F12814" s="26">
        <v>4.7000000000000002E-3</v>
      </c>
      <c r="G12814" s="26">
        <v>4.7000000000000002E-3</v>
      </c>
      <c r="H12814" s="26">
        <v>4.7000000000000002E-3</v>
      </c>
      <c r="I12814">
        <v>146</v>
      </c>
    </row>
    <row r="12815" spans="1:9" x14ac:dyDescent="0.35">
      <c r="A12815" t="s">
        <v>230</v>
      </c>
      <c r="B12815" t="s">
        <v>373</v>
      </c>
      <c r="C12815" s="26">
        <v>0.98609999999999998</v>
      </c>
      <c r="D12815" s="26">
        <v>7.0000000000000001E-3</v>
      </c>
      <c r="F12815" s="26">
        <v>7.0000000000000001E-3</v>
      </c>
      <c r="I12815">
        <v>152</v>
      </c>
    </row>
    <row r="12816" spans="1:9" x14ac:dyDescent="0.35">
      <c r="A12816" t="s">
        <v>231</v>
      </c>
      <c r="B12816" t="s">
        <v>371</v>
      </c>
      <c r="C12816" s="26">
        <v>0.95730000000000004</v>
      </c>
      <c r="D12816" s="26">
        <v>1.83E-2</v>
      </c>
      <c r="E12816" s="26">
        <v>1.83E-2</v>
      </c>
      <c r="F12816" s="26">
        <v>6.1000000000000004E-3</v>
      </c>
      <c r="I12816">
        <v>164</v>
      </c>
    </row>
    <row r="12817" spans="1:9" x14ac:dyDescent="0.35">
      <c r="A12817" t="s">
        <v>232</v>
      </c>
      <c r="B12817" t="s">
        <v>232</v>
      </c>
      <c r="C12817" s="26">
        <v>0.93579999999999997</v>
      </c>
      <c r="D12817" s="26">
        <v>2.4899999999999999E-2</v>
      </c>
      <c r="E12817" s="26">
        <v>2.0400000000000001E-2</v>
      </c>
      <c r="F12817" s="26">
        <v>1.3899999999999999E-2</v>
      </c>
      <c r="G12817" s="26">
        <v>4.4000000000000003E-3</v>
      </c>
      <c r="H12817" s="26">
        <v>6.9999999999999999E-4</v>
      </c>
      <c r="I12817">
        <v>2813</v>
      </c>
    </row>
    <row r="12819" spans="1:9" x14ac:dyDescent="0.35">
      <c r="A12819" s="1" t="s">
        <v>1483</v>
      </c>
    </row>
    <row r="12820" spans="1:9" x14ac:dyDescent="0.35">
      <c r="A12820" t="s">
        <v>219</v>
      </c>
      <c r="B12820" t="s">
        <v>305</v>
      </c>
      <c r="C12820" t="s">
        <v>1424</v>
      </c>
      <c r="D12820" t="s">
        <v>1426</v>
      </c>
      <c r="E12820" t="s">
        <v>1425</v>
      </c>
      <c r="F12820" t="s">
        <v>1427</v>
      </c>
      <c r="G12820" t="s">
        <v>281</v>
      </c>
      <c r="H12820" t="s">
        <v>286</v>
      </c>
      <c r="I12820" t="s">
        <v>226</v>
      </c>
    </row>
    <row r="12821" spans="1:9" x14ac:dyDescent="0.35">
      <c r="A12821" t="s">
        <v>227</v>
      </c>
      <c r="B12821" t="s">
        <v>255</v>
      </c>
      <c r="C12821" s="26">
        <v>0.95730000000000004</v>
      </c>
      <c r="E12821" s="26">
        <v>8.5000000000000006E-3</v>
      </c>
      <c r="F12821" s="26">
        <v>2.5600000000000001E-2</v>
      </c>
      <c r="G12821" s="26">
        <v>8.5000000000000006E-3</v>
      </c>
      <c r="I12821">
        <v>117</v>
      </c>
    </row>
    <row r="12822" spans="1:9" x14ac:dyDescent="0.35">
      <c r="A12822" s="27" t="s">
        <v>227</v>
      </c>
      <c r="B12822" s="27" t="s">
        <v>257</v>
      </c>
      <c r="C12822" s="28">
        <v>0.88890000000000002</v>
      </c>
      <c r="D12822" s="29"/>
      <c r="E12822" s="28">
        <v>0.1111</v>
      </c>
      <c r="F12822" s="29"/>
      <c r="G12822" s="29"/>
      <c r="H12822" s="29"/>
      <c r="I12822" s="29" t="s">
        <v>334</v>
      </c>
    </row>
    <row r="12823" spans="1:9" x14ac:dyDescent="0.35">
      <c r="A12823" t="s">
        <v>227</v>
      </c>
      <c r="B12823" t="s">
        <v>256</v>
      </c>
      <c r="C12823" s="26">
        <v>1</v>
      </c>
      <c r="I12823">
        <v>35</v>
      </c>
    </row>
    <row r="12824" spans="1:9" x14ac:dyDescent="0.35">
      <c r="A12824" t="s">
        <v>228</v>
      </c>
      <c r="B12824" t="s">
        <v>257</v>
      </c>
      <c r="C12824" s="26">
        <v>0.89790000000000003</v>
      </c>
      <c r="E12824" s="26">
        <v>0.1021</v>
      </c>
      <c r="I12824">
        <v>49</v>
      </c>
    </row>
    <row r="12825" spans="1:9" x14ac:dyDescent="0.35">
      <c r="A12825" s="27" t="s">
        <v>228</v>
      </c>
      <c r="B12825" s="27" t="s">
        <v>258</v>
      </c>
      <c r="C12825" s="28">
        <v>1</v>
      </c>
      <c r="D12825" s="29"/>
      <c r="E12825" s="29"/>
      <c r="F12825" s="29"/>
      <c r="G12825" s="29"/>
      <c r="H12825" s="29"/>
      <c r="I12825" s="29" t="s">
        <v>337</v>
      </c>
    </row>
    <row r="12826" spans="1:9" x14ac:dyDescent="0.35">
      <c r="A12826" t="s">
        <v>228</v>
      </c>
      <c r="B12826" t="s">
        <v>256</v>
      </c>
      <c r="C12826" s="26">
        <v>0.91549999999999998</v>
      </c>
      <c r="D12826" s="26">
        <v>2.06E-2</v>
      </c>
      <c r="E12826" s="26">
        <v>4.6399999999999997E-2</v>
      </c>
      <c r="F12826" s="26">
        <v>1.41E-2</v>
      </c>
      <c r="H12826" s="26">
        <v>3.3999999999999998E-3</v>
      </c>
      <c r="I12826">
        <v>221</v>
      </c>
    </row>
    <row r="12827" spans="1:9" x14ac:dyDescent="0.35">
      <c r="A12827" t="s">
        <v>228</v>
      </c>
      <c r="B12827" t="s">
        <v>255</v>
      </c>
      <c r="C12827" s="26">
        <v>0.91669999999999996</v>
      </c>
      <c r="D12827" s="26">
        <v>2.4899999999999999E-2</v>
      </c>
      <c r="E12827" s="26">
        <v>2.98E-2</v>
      </c>
      <c r="F12827" s="26">
        <v>1.8599999999999998E-2</v>
      </c>
      <c r="G12827" s="26">
        <v>7.0000000000000001E-3</v>
      </c>
      <c r="H12827" s="26">
        <v>3.0000000000000001E-3</v>
      </c>
      <c r="I12827">
        <v>759</v>
      </c>
    </row>
    <row r="12828" spans="1:9" x14ac:dyDescent="0.35">
      <c r="A12828" t="s">
        <v>229</v>
      </c>
      <c r="B12828" t="s">
        <v>256</v>
      </c>
      <c r="C12828" s="26">
        <v>0.8962</v>
      </c>
      <c r="D12828" s="26">
        <v>6.6299999999999998E-2</v>
      </c>
      <c r="E12828" s="26">
        <v>2.4299999999999999E-2</v>
      </c>
      <c r="F12828" s="26">
        <v>3.7000000000000002E-3</v>
      </c>
      <c r="G12828" s="26">
        <v>9.4999999999999998E-3</v>
      </c>
      <c r="I12828">
        <v>207</v>
      </c>
    </row>
    <row r="12829" spans="1:9" x14ac:dyDescent="0.35">
      <c r="A12829" t="s">
        <v>229</v>
      </c>
      <c r="B12829" t="s">
        <v>255</v>
      </c>
      <c r="C12829" s="26">
        <v>0.92569999999999997</v>
      </c>
      <c r="D12829" s="26">
        <v>3.78E-2</v>
      </c>
      <c r="E12829" s="26">
        <v>1.21E-2</v>
      </c>
      <c r="F12829" s="26">
        <v>1.8200000000000001E-2</v>
      </c>
      <c r="G12829" s="26">
        <v>5.7000000000000002E-3</v>
      </c>
      <c r="H12829" s="26">
        <v>5.0000000000000001E-4</v>
      </c>
      <c r="I12829">
        <v>636</v>
      </c>
    </row>
    <row r="12830" spans="1:9" x14ac:dyDescent="0.35">
      <c r="A12830" t="s">
        <v>229</v>
      </c>
      <c r="B12830" t="s">
        <v>257</v>
      </c>
      <c r="C12830" s="26">
        <v>0.92279999999999995</v>
      </c>
      <c r="D12830" s="26">
        <v>4.9399999999999999E-2</v>
      </c>
      <c r="E12830" s="26">
        <v>1.23E-2</v>
      </c>
      <c r="F12830" s="26">
        <v>1.54E-2</v>
      </c>
      <c r="I12830">
        <v>50</v>
      </c>
    </row>
    <row r="12831" spans="1:9" x14ac:dyDescent="0.35">
      <c r="A12831" s="27" t="s">
        <v>229</v>
      </c>
      <c r="B12831" s="27" t="s">
        <v>258</v>
      </c>
      <c r="C12831" s="28">
        <v>1</v>
      </c>
      <c r="D12831" s="29"/>
      <c r="E12831" s="29"/>
      <c r="F12831" s="29"/>
      <c r="G12831" s="29"/>
      <c r="H12831" s="29"/>
      <c r="I12831" s="29" t="s">
        <v>314</v>
      </c>
    </row>
    <row r="12832" spans="1:9" x14ac:dyDescent="0.35">
      <c r="A12832" t="s">
        <v>230</v>
      </c>
      <c r="B12832" t="s">
        <v>256</v>
      </c>
      <c r="C12832" s="26">
        <v>0.94620000000000004</v>
      </c>
      <c r="D12832" s="26">
        <v>8.0000000000000002E-3</v>
      </c>
      <c r="E12832" s="26">
        <v>2.18E-2</v>
      </c>
      <c r="F12832" s="26">
        <v>2.41E-2</v>
      </c>
      <c r="I12832">
        <v>130</v>
      </c>
    </row>
    <row r="12833" spans="1:9" x14ac:dyDescent="0.35">
      <c r="A12833" t="s">
        <v>230</v>
      </c>
      <c r="B12833" t="s">
        <v>255</v>
      </c>
      <c r="C12833" s="26">
        <v>0.93379999999999996</v>
      </c>
      <c r="D12833" s="26">
        <v>2.5700000000000001E-2</v>
      </c>
      <c r="E12833" s="26">
        <v>1.2200000000000001E-2</v>
      </c>
      <c r="F12833" s="26">
        <v>1.7999999999999999E-2</v>
      </c>
      <c r="G12833" s="26">
        <v>9.9000000000000008E-3</v>
      </c>
      <c r="H12833" s="26">
        <v>4.0000000000000002E-4</v>
      </c>
      <c r="I12833">
        <v>389</v>
      </c>
    </row>
    <row r="12834" spans="1:9" x14ac:dyDescent="0.35">
      <c r="A12834" t="s">
        <v>230</v>
      </c>
      <c r="B12834" t="s">
        <v>257</v>
      </c>
      <c r="C12834" s="26">
        <v>0.77159999999999995</v>
      </c>
      <c r="D12834" s="26">
        <v>7.6100000000000001E-2</v>
      </c>
      <c r="E12834" s="26">
        <v>7.6100000000000001E-2</v>
      </c>
      <c r="F12834" s="26">
        <v>7.6100000000000001E-2</v>
      </c>
      <c r="I12834">
        <v>38</v>
      </c>
    </row>
    <row r="12835" spans="1:9" x14ac:dyDescent="0.35">
      <c r="A12835" s="27" t="s">
        <v>230</v>
      </c>
      <c r="B12835" s="27" t="s">
        <v>258</v>
      </c>
      <c r="C12835" s="28">
        <v>1</v>
      </c>
      <c r="D12835" s="29"/>
      <c r="E12835" s="29"/>
      <c r="F12835" s="29"/>
      <c r="G12835" s="29"/>
      <c r="H12835" s="29"/>
      <c r="I12835" s="29" t="s">
        <v>315</v>
      </c>
    </row>
    <row r="12836" spans="1:9" x14ac:dyDescent="0.35">
      <c r="A12836" s="27" t="s">
        <v>231</v>
      </c>
      <c r="B12836" s="27" t="s">
        <v>257</v>
      </c>
      <c r="C12836" s="28">
        <v>1</v>
      </c>
      <c r="D12836" s="29"/>
      <c r="E12836" s="29"/>
      <c r="F12836" s="29"/>
      <c r="G12836" s="29"/>
      <c r="H12836" s="29"/>
      <c r="I12836" s="29" t="s">
        <v>339</v>
      </c>
    </row>
    <row r="12837" spans="1:9" x14ac:dyDescent="0.35">
      <c r="A12837" t="s">
        <v>231</v>
      </c>
      <c r="B12837" t="s">
        <v>255</v>
      </c>
      <c r="C12837" s="26">
        <v>0.95350000000000001</v>
      </c>
      <c r="D12837" s="26">
        <v>2.3300000000000001E-2</v>
      </c>
      <c r="E12837" s="26">
        <v>1.55E-2</v>
      </c>
      <c r="F12837" s="26">
        <v>7.7999999999999996E-3</v>
      </c>
      <c r="I12837">
        <v>129</v>
      </c>
    </row>
    <row r="12838" spans="1:9" x14ac:dyDescent="0.35">
      <c r="A12838" s="27" t="s">
        <v>231</v>
      </c>
      <c r="B12838" s="27" t="s">
        <v>256</v>
      </c>
      <c r="C12838" s="28">
        <v>0.96430000000000005</v>
      </c>
      <c r="D12838" s="29"/>
      <c r="E12838" s="28">
        <v>3.5700000000000003E-2</v>
      </c>
      <c r="F12838" s="29"/>
      <c r="G12838" s="29"/>
      <c r="H12838" s="29"/>
      <c r="I12838" s="29" t="s">
        <v>336</v>
      </c>
    </row>
    <row r="12839" spans="1:9" x14ac:dyDescent="0.35">
      <c r="A12839" t="s">
        <v>232</v>
      </c>
      <c r="B12839" t="s">
        <v>232</v>
      </c>
      <c r="C12839" s="26">
        <v>0.93579999999999997</v>
      </c>
      <c r="D12839" s="26">
        <v>2.4899999999999999E-2</v>
      </c>
      <c r="E12839" s="26">
        <v>2.0400000000000001E-2</v>
      </c>
      <c r="F12839" s="26">
        <v>1.3899999999999999E-2</v>
      </c>
      <c r="G12839" s="26">
        <v>4.4000000000000003E-3</v>
      </c>
      <c r="H12839" s="26">
        <v>6.9999999999999999E-4</v>
      </c>
      <c r="I12839">
        <v>2813</v>
      </c>
    </row>
    <row r="12841" spans="1:9" x14ac:dyDescent="0.35">
      <c r="A12841" s="1" t="s">
        <v>1484</v>
      </c>
    </row>
    <row r="12842" spans="1:9" x14ac:dyDescent="0.35">
      <c r="A12842" t="s">
        <v>219</v>
      </c>
      <c r="B12842" t="s">
        <v>305</v>
      </c>
      <c r="C12842" t="s">
        <v>1424</v>
      </c>
      <c r="D12842" t="s">
        <v>1426</v>
      </c>
      <c r="E12842" t="s">
        <v>1425</v>
      </c>
      <c r="F12842" t="s">
        <v>1427</v>
      </c>
      <c r="G12842" t="s">
        <v>281</v>
      </c>
      <c r="H12842" t="s">
        <v>286</v>
      </c>
      <c r="I12842" t="s">
        <v>226</v>
      </c>
    </row>
    <row r="12843" spans="1:9" x14ac:dyDescent="0.35">
      <c r="A12843" t="s">
        <v>227</v>
      </c>
      <c r="B12843" t="s">
        <v>1341</v>
      </c>
      <c r="C12843" s="26">
        <v>0.97960000000000003</v>
      </c>
      <c r="G12843" s="26">
        <v>2.0400000000000001E-2</v>
      </c>
      <c r="I12843">
        <v>49</v>
      </c>
    </row>
    <row r="12844" spans="1:9" x14ac:dyDescent="0.35">
      <c r="A12844" s="27" t="s">
        <v>227</v>
      </c>
      <c r="B12844" s="27" t="s">
        <v>1342</v>
      </c>
      <c r="C12844" s="28">
        <v>1</v>
      </c>
      <c r="D12844" s="29"/>
      <c r="E12844" s="29"/>
      <c r="F12844" s="29"/>
      <c r="G12844" s="29"/>
      <c r="H12844" s="29"/>
      <c r="I12844" s="29" t="s">
        <v>331</v>
      </c>
    </row>
    <row r="12845" spans="1:9" x14ac:dyDescent="0.35">
      <c r="A12845" t="s">
        <v>227</v>
      </c>
      <c r="B12845" t="s">
        <v>1343</v>
      </c>
      <c r="C12845" s="26">
        <v>0.95499999999999996</v>
      </c>
      <c r="E12845" s="26">
        <v>1.7999999999999999E-2</v>
      </c>
      <c r="F12845" s="26">
        <v>2.7E-2</v>
      </c>
      <c r="I12845">
        <v>111</v>
      </c>
    </row>
    <row r="12846" spans="1:9" x14ac:dyDescent="0.35">
      <c r="A12846" t="s">
        <v>228</v>
      </c>
      <c r="B12846" t="s">
        <v>1341</v>
      </c>
      <c r="C12846" s="26">
        <v>0.88160000000000005</v>
      </c>
      <c r="D12846" s="26">
        <v>5.2999999999999999E-2</v>
      </c>
      <c r="E12846" s="26">
        <v>4.2599999999999999E-2</v>
      </c>
      <c r="F12846" s="26">
        <v>1.5699999999999999E-2</v>
      </c>
      <c r="G12846" s="26">
        <v>1.9E-3</v>
      </c>
      <c r="H12846" s="26">
        <v>5.1999999999999998E-3</v>
      </c>
      <c r="I12846">
        <v>305</v>
      </c>
    </row>
    <row r="12847" spans="1:9" x14ac:dyDescent="0.35">
      <c r="A12847" s="27" t="s">
        <v>228</v>
      </c>
      <c r="B12847" s="27" t="s">
        <v>1342</v>
      </c>
      <c r="C12847" s="28">
        <v>1</v>
      </c>
      <c r="D12847" s="29"/>
      <c r="E12847" s="29"/>
      <c r="F12847" s="29"/>
      <c r="G12847" s="29"/>
      <c r="H12847" s="29"/>
      <c r="I12847" s="29" t="s">
        <v>331</v>
      </c>
    </row>
    <row r="12848" spans="1:9" x14ac:dyDescent="0.35">
      <c r="A12848" t="s">
        <v>228</v>
      </c>
      <c r="B12848" t="s">
        <v>1343</v>
      </c>
      <c r="C12848" s="26">
        <v>0.92979999999999996</v>
      </c>
      <c r="D12848" s="26">
        <v>9.9000000000000008E-3</v>
      </c>
      <c r="E12848" s="26">
        <v>3.5499999999999997E-2</v>
      </c>
      <c r="F12848" s="26">
        <v>1.6799999999999999E-2</v>
      </c>
      <c r="G12848" s="26">
        <v>6.1999999999999998E-3</v>
      </c>
      <c r="H12848" s="26">
        <v>2E-3</v>
      </c>
      <c r="I12848">
        <v>727</v>
      </c>
    </row>
    <row r="12849" spans="1:9" x14ac:dyDescent="0.35">
      <c r="A12849" t="s">
        <v>229</v>
      </c>
      <c r="B12849" t="s">
        <v>1341</v>
      </c>
      <c r="C12849" s="26">
        <v>0.88239999999999996</v>
      </c>
      <c r="D12849" s="26">
        <v>8.0100000000000005E-2</v>
      </c>
      <c r="E12849" s="26">
        <v>2.5899999999999999E-2</v>
      </c>
      <c r="F12849" s="26">
        <v>1.2999999999999999E-3</v>
      </c>
      <c r="G12849" s="26">
        <v>1.0200000000000001E-2</v>
      </c>
      <c r="I12849">
        <v>273</v>
      </c>
    </row>
    <row r="12850" spans="1:9" x14ac:dyDescent="0.35">
      <c r="A12850" t="s">
        <v>229</v>
      </c>
      <c r="B12850" t="s">
        <v>1343</v>
      </c>
      <c r="C12850" s="26">
        <v>0.93459999999999999</v>
      </c>
      <c r="D12850" s="26">
        <v>2.9700000000000001E-2</v>
      </c>
      <c r="E12850" s="26">
        <v>1.03E-2</v>
      </c>
      <c r="F12850" s="26">
        <v>2.0299999999999999E-2</v>
      </c>
      <c r="G12850" s="26">
        <v>4.5999999999999999E-3</v>
      </c>
      <c r="H12850" s="26">
        <v>5.0000000000000001E-4</v>
      </c>
      <c r="I12850">
        <v>622</v>
      </c>
    </row>
    <row r="12851" spans="1:9" x14ac:dyDescent="0.35">
      <c r="A12851" t="s">
        <v>230</v>
      </c>
      <c r="B12851" t="s">
        <v>1341</v>
      </c>
      <c r="C12851" s="26">
        <v>0.91659999999999997</v>
      </c>
      <c r="D12851" s="26">
        <v>5.8299999999999998E-2</v>
      </c>
      <c r="F12851" s="26">
        <v>2.1299999999999999E-2</v>
      </c>
      <c r="G12851" s="26">
        <v>3.0000000000000001E-3</v>
      </c>
      <c r="H12851" s="26">
        <v>8.9999999999999998E-4</v>
      </c>
      <c r="I12851">
        <v>156</v>
      </c>
    </row>
    <row r="12852" spans="1:9" x14ac:dyDescent="0.35">
      <c r="A12852" t="s">
        <v>230</v>
      </c>
      <c r="B12852" t="s">
        <v>1343</v>
      </c>
      <c r="C12852" s="26">
        <v>0.93010000000000004</v>
      </c>
      <c r="D12852" s="26">
        <v>9.4999999999999998E-3</v>
      </c>
      <c r="E12852" s="26">
        <v>2.76E-2</v>
      </c>
      <c r="F12852" s="26">
        <v>2.46E-2</v>
      </c>
      <c r="G12852" s="26">
        <v>8.2000000000000007E-3</v>
      </c>
      <c r="I12852">
        <v>404</v>
      </c>
    </row>
    <row r="12853" spans="1:9" x14ac:dyDescent="0.35">
      <c r="A12853" t="s">
        <v>231</v>
      </c>
      <c r="B12853" t="s">
        <v>1341</v>
      </c>
      <c r="C12853" s="26">
        <v>0.9385</v>
      </c>
      <c r="D12853" s="26">
        <v>3.0800000000000001E-2</v>
      </c>
      <c r="E12853" s="26">
        <v>1.54E-2</v>
      </c>
      <c r="F12853" s="26">
        <v>1.54E-2</v>
      </c>
      <c r="I12853">
        <v>65</v>
      </c>
    </row>
    <row r="12854" spans="1:9" x14ac:dyDescent="0.35">
      <c r="A12854" t="s">
        <v>231</v>
      </c>
      <c r="B12854" t="s">
        <v>1343</v>
      </c>
      <c r="C12854" s="26">
        <v>0.96970000000000001</v>
      </c>
      <c r="D12854" s="26">
        <v>1.01E-2</v>
      </c>
      <c r="E12854" s="26">
        <v>2.0199999999999999E-2</v>
      </c>
      <c r="I12854">
        <v>99</v>
      </c>
    </row>
    <row r="12855" spans="1:9" x14ac:dyDescent="0.35">
      <c r="A12855" t="s">
        <v>232</v>
      </c>
      <c r="B12855" t="s">
        <v>232</v>
      </c>
      <c r="C12855" s="26">
        <v>0.93579999999999997</v>
      </c>
      <c r="D12855" s="26">
        <v>2.4899999999999999E-2</v>
      </c>
      <c r="E12855" s="26">
        <v>2.0400000000000001E-2</v>
      </c>
      <c r="F12855" s="26">
        <v>1.3899999999999999E-2</v>
      </c>
      <c r="G12855" s="26">
        <v>4.4000000000000003E-3</v>
      </c>
      <c r="H12855" s="26">
        <v>6.9999999999999999E-4</v>
      </c>
      <c r="I12855">
        <v>2813</v>
      </c>
    </row>
    <row r="12857" spans="1:9" x14ac:dyDescent="0.35">
      <c r="A12857" s="1" t="s">
        <v>1485</v>
      </c>
    </row>
    <row r="12858" spans="1:9" x14ac:dyDescent="0.35">
      <c r="A12858" t="s">
        <v>219</v>
      </c>
      <c r="B12858" t="s">
        <v>305</v>
      </c>
      <c r="C12858" t="s">
        <v>1424</v>
      </c>
      <c r="D12858" t="s">
        <v>1426</v>
      </c>
      <c r="E12858" t="s">
        <v>1425</v>
      </c>
      <c r="F12858" t="s">
        <v>1427</v>
      </c>
      <c r="G12858" t="s">
        <v>281</v>
      </c>
      <c r="H12858" t="s">
        <v>286</v>
      </c>
      <c r="I12858" t="s">
        <v>226</v>
      </c>
    </row>
    <row r="12859" spans="1:9" x14ac:dyDescent="0.35">
      <c r="A12859" s="27" t="s">
        <v>227</v>
      </c>
      <c r="B12859" s="27" t="s">
        <v>1345</v>
      </c>
      <c r="C12859" s="28">
        <v>1</v>
      </c>
      <c r="D12859" s="29"/>
      <c r="E12859" s="29"/>
      <c r="F12859" s="29"/>
      <c r="G12859" s="29"/>
      <c r="H12859" s="29"/>
      <c r="I12859" s="29" t="s">
        <v>314</v>
      </c>
    </row>
    <row r="12860" spans="1:9" x14ac:dyDescent="0.35">
      <c r="A12860" t="s">
        <v>227</v>
      </c>
      <c r="B12860" t="s">
        <v>1346</v>
      </c>
      <c r="C12860" s="26">
        <v>0.94869999999999999</v>
      </c>
      <c r="F12860" s="26">
        <v>2.5600000000000001E-2</v>
      </c>
      <c r="G12860" s="26">
        <v>2.5600000000000001E-2</v>
      </c>
      <c r="I12860">
        <v>39</v>
      </c>
    </row>
    <row r="12861" spans="1:9" x14ac:dyDescent="0.35">
      <c r="A12861" t="s">
        <v>227</v>
      </c>
      <c r="B12861" t="s">
        <v>1347</v>
      </c>
      <c r="C12861" s="26">
        <v>0.97219999999999995</v>
      </c>
      <c r="E12861" s="26">
        <v>2.7799999999999998E-2</v>
      </c>
      <c r="I12861">
        <v>36</v>
      </c>
    </row>
    <row r="12862" spans="1:9" x14ac:dyDescent="0.35">
      <c r="A12862" t="s">
        <v>227</v>
      </c>
      <c r="B12862" t="s">
        <v>1348</v>
      </c>
      <c r="C12862" s="26">
        <v>0.96430000000000005</v>
      </c>
      <c r="E12862" s="26">
        <v>1.1900000000000001E-2</v>
      </c>
      <c r="F12862" s="26">
        <v>2.3800000000000002E-2</v>
      </c>
      <c r="I12862">
        <v>84</v>
      </c>
    </row>
    <row r="12863" spans="1:9" x14ac:dyDescent="0.35">
      <c r="A12863" t="s">
        <v>228</v>
      </c>
      <c r="B12863" t="s">
        <v>1348</v>
      </c>
      <c r="C12863" s="26">
        <v>0.91590000000000005</v>
      </c>
      <c r="D12863" s="26">
        <v>2.06E-2</v>
      </c>
      <c r="E12863" s="26">
        <v>5.0500000000000003E-2</v>
      </c>
      <c r="F12863" s="26">
        <v>7.1000000000000004E-3</v>
      </c>
      <c r="G12863" s="26">
        <v>2.5999999999999999E-3</v>
      </c>
      <c r="H12863" s="26">
        <v>3.2000000000000002E-3</v>
      </c>
      <c r="I12863">
        <v>532</v>
      </c>
    </row>
    <row r="12864" spans="1:9" x14ac:dyDescent="0.35">
      <c r="A12864" t="s">
        <v>228</v>
      </c>
      <c r="B12864" t="s">
        <v>1347</v>
      </c>
      <c r="C12864" s="26">
        <v>0.86750000000000005</v>
      </c>
      <c r="D12864" s="26">
        <v>5.5500000000000001E-2</v>
      </c>
      <c r="E12864" s="26">
        <v>4.7699999999999999E-2</v>
      </c>
      <c r="F12864" s="26">
        <v>2.5000000000000001E-2</v>
      </c>
      <c r="H12864" s="26">
        <v>4.4000000000000003E-3</v>
      </c>
      <c r="I12864">
        <v>204</v>
      </c>
    </row>
    <row r="12865" spans="1:9" x14ac:dyDescent="0.35">
      <c r="A12865" t="s">
        <v>228</v>
      </c>
      <c r="B12865" t="s">
        <v>1346</v>
      </c>
      <c r="C12865" s="26">
        <v>0.94889999999999997</v>
      </c>
      <c r="D12865" s="26">
        <v>3.8999999999999998E-3</v>
      </c>
      <c r="E12865" s="26">
        <v>1.9E-3</v>
      </c>
      <c r="F12865" s="26">
        <v>3.04E-2</v>
      </c>
      <c r="G12865" s="26">
        <v>1.35E-2</v>
      </c>
      <c r="H12865" s="26">
        <v>1.4E-3</v>
      </c>
      <c r="I12865">
        <v>286</v>
      </c>
    </row>
    <row r="12866" spans="1:9" x14ac:dyDescent="0.35">
      <c r="A12866" s="27" t="s">
        <v>228</v>
      </c>
      <c r="B12866" s="27" t="s">
        <v>1345</v>
      </c>
      <c r="C12866" s="28">
        <v>0.94550000000000001</v>
      </c>
      <c r="D12866" s="29"/>
      <c r="E12866" s="28">
        <v>5.45E-2</v>
      </c>
      <c r="F12866" s="29"/>
      <c r="G12866" s="29"/>
      <c r="H12866" s="29"/>
      <c r="I12866" s="29" t="s">
        <v>352</v>
      </c>
    </row>
    <row r="12867" spans="1:9" x14ac:dyDescent="0.35">
      <c r="A12867" s="27" t="s">
        <v>229</v>
      </c>
      <c r="B12867" s="27" t="s">
        <v>1345</v>
      </c>
      <c r="C12867" s="28">
        <v>1</v>
      </c>
      <c r="D12867" s="29"/>
      <c r="E12867" s="29"/>
      <c r="F12867" s="29"/>
      <c r="G12867" s="29"/>
      <c r="H12867" s="29"/>
      <c r="I12867" s="29" t="s">
        <v>357</v>
      </c>
    </row>
    <row r="12868" spans="1:9" x14ac:dyDescent="0.35">
      <c r="A12868" t="s">
        <v>229</v>
      </c>
      <c r="B12868" t="s">
        <v>1346</v>
      </c>
      <c r="C12868" s="26">
        <v>0.95660000000000001</v>
      </c>
      <c r="D12868" s="26">
        <v>1.2E-2</v>
      </c>
      <c r="E12868" s="26">
        <v>5.0000000000000001E-4</v>
      </c>
      <c r="F12868" s="26">
        <v>2.93E-2</v>
      </c>
      <c r="G12868" s="26">
        <v>1.6000000000000001E-3</v>
      </c>
      <c r="I12868">
        <v>184</v>
      </c>
    </row>
    <row r="12869" spans="1:9" x14ac:dyDescent="0.35">
      <c r="A12869" t="s">
        <v>229</v>
      </c>
      <c r="B12869" t="s">
        <v>1347</v>
      </c>
      <c r="C12869" s="26">
        <v>0.87429999999999997</v>
      </c>
      <c r="D12869" s="26">
        <v>7.7899999999999997E-2</v>
      </c>
      <c r="E12869" s="26">
        <v>2.3099999999999999E-2</v>
      </c>
      <c r="F12869" s="26">
        <v>7.4000000000000003E-3</v>
      </c>
      <c r="G12869" s="26">
        <v>1.7299999999999999E-2</v>
      </c>
      <c r="I12869">
        <v>302</v>
      </c>
    </row>
    <row r="12870" spans="1:9" x14ac:dyDescent="0.35">
      <c r="A12870" t="s">
        <v>229</v>
      </c>
      <c r="B12870" t="s">
        <v>1348</v>
      </c>
      <c r="C12870" s="26">
        <v>0.92249999999999999</v>
      </c>
      <c r="D12870" s="26">
        <v>4.4200000000000003E-2</v>
      </c>
      <c r="E12870" s="26">
        <v>1.8200000000000001E-2</v>
      </c>
      <c r="F12870" s="26">
        <v>1.23E-2</v>
      </c>
      <c r="G12870" s="26">
        <v>2.0999999999999999E-3</v>
      </c>
      <c r="H12870" s="26">
        <v>6.9999999999999999E-4</v>
      </c>
      <c r="I12870">
        <v>383</v>
      </c>
    </row>
    <row r="12871" spans="1:9" x14ac:dyDescent="0.35">
      <c r="A12871" t="s">
        <v>230</v>
      </c>
      <c r="B12871" t="s">
        <v>1346</v>
      </c>
      <c r="C12871" s="26">
        <v>0.92049999999999998</v>
      </c>
      <c r="D12871" s="26">
        <v>2.47E-2</v>
      </c>
      <c r="E12871" s="26">
        <v>4.1000000000000003E-3</v>
      </c>
      <c r="F12871" s="26">
        <v>2.47E-2</v>
      </c>
      <c r="G12871" s="26">
        <v>2.5999999999999999E-2</v>
      </c>
      <c r="I12871">
        <v>140</v>
      </c>
    </row>
    <row r="12872" spans="1:9" x14ac:dyDescent="0.35">
      <c r="A12872" t="s">
        <v>230</v>
      </c>
      <c r="B12872" t="s">
        <v>1348</v>
      </c>
      <c r="C12872" s="26">
        <v>0.91300000000000003</v>
      </c>
      <c r="D12872" s="26">
        <v>3.5200000000000002E-2</v>
      </c>
      <c r="E12872" s="26">
        <v>2.6499999999999999E-2</v>
      </c>
      <c r="F12872" s="26">
        <v>2.2800000000000001E-2</v>
      </c>
      <c r="G12872" s="26">
        <v>1.9E-3</v>
      </c>
      <c r="H12872" s="26">
        <v>5.9999999999999995E-4</v>
      </c>
      <c r="I12872">
        <v>259</v>
      </c>
    </row>
    <row r="12873" spans="1:9" x14ac:dyDescent="0.35">
      <c r="A12873" t="s">
        <v>230</v>
      </c>
      <c r="B12873" t="s">
        <v>1347</v>
      </c>
      <c r="C12873" s="26">
        <v>0.94740000000000002</v>
      </c>
      <c r="D12873" s="26">
        <v>7.4999999999999997E-3</v>
      </c>
      <c r="E12873" s="26">
        <v>1.9300000000000001E-2</v>
      </c>
      <c r="F12873" s="26">
        <v>2.58E-2</v>
      </c>
      <c r="I12873">
        <v>153</v>
      </c>
    </row>
    <row r="12874" spans="1:9" x14ac:dyDescent="0.35">
      <c r="A12874" s="27" t="s">
        <v>230</v>
      </c>
      <c r="B12874" s="27" t="s">
        <v>1345</v>
      </c>
      <c r="C12874" s="28">
        <v>1</v>
      </c>
      <c r="D12874" s="29"/>
      <c r="E12874" s="29"/>
      <c r="F12874" s="29"/>
      <c r="G12874" s="29"/>
      <c r="H12874" s="29"/>
      <c r="I12874" s="29" t="s">
        <v>333</v>
      </c>
    </row>
    <row r="12875" spans="1:9" x14ac:dyDescent="0.35">
      <c r="A12875" s="27" t="s">
        <v>231</v>
      </c>
      <c r="B12875" s="27" t="s">
        <v>1345</v>
      </c>
      <c r="C12875" s="28">
        <v>1</v>
      </c>
      <c r="D12875" s="29"/>
      <c r="E12875" s="29"/>
      <c r="F12875" s="29"/>
      <c r="G12875" s="29"/>
      <c r="H12875" s="29"/>
      <c r="I12875" s="29" t="s">
        <v>337</v>
      </c>
    </row>
    <row r="12876" spans="1:9" x14ac:dyDescent="0.35">
      <c r="A12876" t="s">
        <v>231</v>
      </c>
      <c r="B12876" t="s">
        <v>1346</v>
      </c>
      <c r="C12876" s="26">
        <v>1</v>
      </c>
      <c r="I12876">
        <v>40</v>
      </c>
    </row>
    <row r="12877" spans="1:9" x14ac:dyDescent="0.35">
      <c r="A12877" t="s">
        <v>231</v>
      </c>
      <c r="B12877" t="s">
        <v>1347</v>
      </c>
      <c r="C12877" s="26">
        <v>0.94120000000000004</v>
      </c>
      <c r="D12877" s="26">
        <v>2.9399999999999999E-2</v>
      </c>
      <c r="E12877" s="26">
        <v>2.9399999999999999E-2</v>
      </c>
      <c r="I12877">
        <v>34</v>
      </c>
    </row>
    <row r="12878" spans="1:9" x14ac:dyDescent="0.35">
      <c r="A12878" t="s">
        <v>231</v>
      </c>
      <c r="B12878" t="s">
        <v>1348</v>
      </c>
      <c r="C12878" s="26">
        <v>0.94189999999999996</v>
      </c>
      <c r="D12878" s="26">
        <v>2.3300000000000001E-2</v>
      </c>
      <c r="E12878" s="26">
        <v>2.3300000000000001E-2</v>
      </c>
      <c r="F12878" s="26">
        <v>1.1599999999999999E-2</v>
      </c>
      <c r="I12878">
        <v>86</v>
      </c>
    </row>
    <row r="12879" spans="1:9" x14ac:dyDescent="0.35">
      <c r="A12879" t="s">
        <v>232</v>
      </c>
      <c r="B12879" t="s">
        <v>232</v>
      </c>
      <c r="C12879" s="26">
        <v>0.93579999999999997</v>
      </c>
      <c r="D12879" s="26">
        <v>2.4899999999999999E-2</v>
      </c>
      <c r="E12879" s="26">
        <v>2.0400000000000001E-2</v>
      </c>
      <c r="F12879" s="26">
        <v>1.3899999999999999E-2</v>
      </c>
      <c r="G12879" s="26">
        <v>4.4000000000000003E-3</v>
      </c>
      <c r="H12879" s="26">
        <v>6.9999999999999999E-4</v>
      </c>
      <c r="I12879">
        <v>2813</v>
      </c>
    </row>
    <row r="12881" spans="1:10" x14ac:dyDescent="0.35">
      <c r="A12881" s="1" t="s">
        <v>1486</v>
      </c>
    </row>
    <row r="12882" spans="1:10" x14ac:dyDescent="0.35">
      <c r="A12882" t="s">
        <v>219</v>
      </c>
      <c r="B12882" t="s">
        <v>305</v>
      </c>
      <c r="C12882" t="s">
        <v>345</v>
      </c>
      <c r="D12882" t="s">
        <v>1424</v>
      </c>
      <c r="E12882" t="s">
        <v>1426</v>
      </c>
      <c r="F12882" t="s">
        <v>1425</v>
      </c>
      <c r="G12882" t="s">
        <v>1427</v>
      </c>
      <c r="H12882" t="s">
        <v>281</v>
      </c>
      <c r="I12882" t="s">
        <v>286</v>
      </c>
      <c r="J12882" t="s">
        <v>226</v>
      </c>
    </row>
    <row r="12883" spans="1:10" x14ac:dyDescent="0.35">
      <c r="A12883" s="27" t="s">
        <v>227</v>
      </c>
      <c r="B12883" s="27" t="s">
        <v>1341</v>
      </c>
      <c r="C12883" s="27" t="s">
        <v>1345</v>
      </c>
      <c r="D12883" s="28">
        <v>1</v>
      </c>
      <c r="E12883" s="29"/>
      <c r="F12883" s="29"/>
      <c r="G12883" s="29"/>
      <c r="H12883" s="29"/>
      <c r="I12883" s="29"/>
      <c r="J12883" s="29" t="s">
        <v>331</v>
      </c>
    </row>
    <row r="12884" spans="1:10" x14ac:dyDescent="0.35">
      <c r="A12884" s="27" t="s">
        <v>227</v>
      </c>
      <c r="B12884" s="27" t="s">
        <v>1343</v>
      </c>
      <c r="C12884" s="27" t="s">
        <v>1346</v>
      </c>
      <c r="D12884" s="28">
        <v>0.96150000000000002</v>
      </c>
      <c r="E12884" s="29"/>
      <c r="F12884" s="29"/>
      <c r="G12884" s="28">
        <v>3.85E-2</v>
      </c>
      <c r="H12884" s="29"/>
      <c r="I12884" s="29"/>
      <c r="J12884" s="29" t="s">
        <v>357</v>
      </c>
    </row>
    <row r="12885" spans="1:10" x14ac:dyDescent="0.35">
      <c r="A12885" t="s">
        <v>227</v>
      </c>
      <c r="B12885" t="s">
        <v>1343</v>
      </c>
      <c r="C12885" t="s">
        <v>1348</v>
      </c>
      <c r="D12885" s="26">
        <v>0.95079999999999998</v>
      </c>
      <c r="F12885" s="26">
        <v>1.6400000000000001E-2</v>
      </c>
      <c r="G12885" s="26">
        <v>3.2800000000000003E-2</v>
      </c>
      <c r="J12885">
        <v>61</v>
      </c>
    </row>
    <row r="12886" spans="1:10" x14ac:dyDescent="0.35">
      <c r="A12886" s="27" t="s">
        <v>227</v>
      </c>
      <c r="B12886" s="27" t="s">
        <v>1341</v>
      </c>
      <c r="C12886" s="27" t="s">
        <v>1347</v>
      </c>
      <c r="D12886" s="28">
        <v>1</v>
      </c>
      <c r="E12886" s="29"/>
      <c r="F12886" s="29"/>
      <c r="G12886" s="29"/>
      <c r="H12886" s="29"/>
      <c r="I12886" s="29"/>
      <c r="J12886" s="29" t="s">
        <v>341</v>
      </c>
    </row>
    <row r="12887" spans="1:10" x14ac:dyDescent="0.35">
      <c r="A12887" s="27" t="s">
        <v>227</v>
      </c>
      <c r="B12887" s="27" t="s">
        <v>1343</v>
      </c>
      <c r="C12887" s="27" t="s">
        <v>1347</v>
      </c>
      <c r="D12887" s="28">
        <v>0.95650000000000002</v>
      </c>
      <c r="E12887" s="29"/>
      <c r="F12887" s="28">
        <v>4.3499999999999997E-2</v>
      </c>
      <c r="G12887" s="29"/>
      <c r="H12887" s="29"/>
      <c r="I12887" s="29"/>
      <c r="J12887" s="29" t="s">
        <v>328</v>
      </c>
    </row>
    <row r="12888" spans="1:10" x14ac:dyDescent="0.35">
      <c r="A12888" s="27" t="s">
        <v>227</v>
      </c>
      <c r="B12888" s="27" t="s">
        <v>1343</v>
      </c>
      <c r="C12888" s="27" t="s">
        <v>1345</v>
      </c>
      <c r="D12888" s="28">
        <v>1</v>
      </c>
      <c r="E12888" s="29"/>
      <c r="F12888" s="29"/>
      <c r="G12888" s="29"/>
      <c r="H12888" s="29"/>
      <c r="I12888" s="29"/>
      <c r="J12888" s="29" t="s">
        <v>331</v>
      </c>
    </row>
    <row r="12889" spans="1:10" x14ac:dyDescent="0.35">
      <c r="A12889" s="27" t="s">
        <v>227</v>
      </c>
      <c r="B12889" s="27" t="s">
        <v>1342</v>
      </c>
      <c r="C12889" s="27" t="s">
        <v>1348</v>
      </c>
      <c r="D12889" s="28">
        <v>1</v>
      </c>
      <c r="E12889" s="29"/>
      <c r="F12889" s="29"/>
      <c r="G12889" s="29"/>
      <c r="H12889" s="29"/>
      <c r="I12889" s="29"/>
      <c r="J12889" s="29" t="s">
        <v>331</v>
      </c>
    </row>
    <row r="12890" spans="1:10" x14ac:dyDescent="0.35">
      <c r="A12890" s="27" t="s">
        <v>227</v>
      </c>
      <c r="B12890" s="27" t="s">
        <v>1341</v>
      </c>
      <c r="C12890" s="27" t="s">
        <v>1348</v>
      </c>
      <c r="D12890" s="28">
        <v>1</v>
      </c>
      <c r="E12890" s="29"/>
      <c r="F12890" s="29"/>
      <c r="G12890" s="29"/>
      <c r="H12890" s="29"/>
      <c r="I12890" s="29"/>
      <c r="J12890" s="29" t="s">
        <v>347</v>
      </c>
    </row>
    <row r="12891" spans="1:10" x14ac:dyDescent="0.35">
      <c r="A12891" s="27" t="s">
        <v>227</v>
      </c>
      <c r="B12891" s="27" t="s">
        <v>1341</v>
      </c>
      <c r="C12891" s="27" t="s">
        <v>1346</v>
      </c>
      <c r="D12891" s="28">
        <v>0.92310000000000003</v>
      </c>
      <c r="E12891" s="29"/>
      <c r="F12891" s="29"/>
      <c r="G12891" s="29"/>
      <c r="H12891" s="28">
        <v>7.6899999999999996E-2</v>
      </c>
      <c r="I12891" s="29"/>
      <c r="J12891" s="29" t="s">
        <v>341</v>
      </c>
    </row>
    <row r="12892" spans="1:10" x14ac:dyDescent="0.35">
      <c r="A12892" t="s">
        <v>228</v>
      </c>
      <c r="B12892" t="s">
        <v>1343</v>
      </c>
      <c r="C12892" t="s">
        <v>1348</v>
      </c>
      <c r="D12892" s="26">
        <v>0.93489999999999995</v>
      </c>
      <c r="E12892" s="26">
        <v>9.4999999999999998E-3</v>
      </c>
      <c r="F12892" s="26">
        <v>4.8800000000000003E-2</v>
      </c>
      <c r="G12892" s="26">
        <v>1.1000000000000001E-3</v>
      </c>
      <c r="H12892" s="26">
        <v>4.1000000000000003E-3</v>
      </c>
      <c r="I12892" s="26">
        <v>1.6000000000000001E-3</v>
      </c>
      <c r="J12892">
        <v>352</v>
      </c>
    </row>
    <row r="12893" spans="1:10" x14ac:dyDescent="0.35">
      <c r="A12893" t="s">
        <v>228</v>
      </c>
      <c r="B12893" t="s">
        <v>1343</v>
      </c>
      <c r="C12893" t="s">
        <v>1347</v>
      </c>
      <c r="D12893" s="26">
        <v>0.87880000000000003</v>
      </c>
      <c r="E12893" s="26">
        <v>2.1499999999999998E-2</v>
      </c>
      <c r="F12893" s="26">
        <v>6.5000000000000002E-2</v>
      </c>
      <c r="G12893" s="26">
        <v>2.8199999999999999E-2</v>
      </c>
      <c r="I12893" s="26">
        <v>6.6E-3</v>
      </c>
      <c r="J12893">
        <v>130</v>
      </c>
    </row>
    <row r="12894" spans="1:10" x14ac:dyDescent="0.35">
      <c r="A12894" s="27" t="s">
        <v>228</v>
      </c>
      <c r="B12894" s="27" t="s">
        <v>1343</v>
      </c>
      <c r="C12894" s="27" t="s">
        <v>1345</v>
      </c>
      <c r="D12894" s="28">
        <v>1</v>
      </c>
      <c r="E12894" s="29"/>
      <c r="F12894" s="29"/>
      <c r="G12894" s="29"/>
      <c r="H12894" s="29"/>
      <c r="I12894" s="29"/>
      <c r="J12894" s="29" t="s">
        <v>335</v>
      </c>
    </row>
    <row r="12895" spans="1:10" x14ac:dyDescent="0.35">
      <c r="A12895" t="s">
        <v>228</v>
      </c>
      <c r="B12895" t="s">
        <v>1341</v>
      </c>
      <c r="C12895" t="s">
        <v>1346</v>
      </c>
      <c r="D12895" s="26">
        <v>0.96740000000000004</v>
      </c>
      <c r="F12895" s="26">
        <v>6.8999999999999999E-3</v>
      </c>
      <c r="H12895" s="26">
        <v>1.55E-2</v>
      </c>
      <c r="I12895" s="26">
        <v>1.0200000000000001E-2</v>
      </c>
      <c r="J12895">
        <v>47</v>
      </c>
    </row>
    <row r="12896" spans="1:10" x14ac:dyDescent="0.35">
      <c r="A12896" t="s">
        <v>228</v>
      </c>
      <c r="B12896" t="s">
        <v>1341</v>
      </c>
      <c r="C12896" t="s">
        <v>1348</v>
      </c>
      <c r="D12896" s="26">
        <v>0.88</v>
      </c>
      <c r="E12896" s="26">
        <v>4.1000000000000002E-2</v>
      </c>
      <c r="F12896" s="26">
        <v>5.45E-2</v>
      </c>
      <c r="G12896" s="26">
        <v>1.8200000000000001E-2</v>
      </c>
      <c r="I12896" s="26">
        <v>6.1999999999999998E-3</v>
      </c>
      <c r="J12896">
        <v>179</v>
      </c>
    </row>
    <row r="12897" spans="1:10" x14ac:dyDescent="0.35">
      <c r="A12897" s="27" t="s">
        <v>228</v>
      </c>
      <c r="B12897" s="27" t="s">
        <v>1342</v>
      </c>
      <c r="C12897" s="27" t="s">
        <v>1348</v>
      </c>
      <c r="D12897" s="28">
        <v>1</v>
      </c>
      <c r="E12897" s="29"/>
      <c r="F12897" s="29"/>
      <c r="G12897" s="29"/>
      <c r="H12897" s="29"/>
      <c r="I12897" s="29"/>
      <c r="J12897" s="29" t="s">
        <v>331</v>
      </c>
    </row>
    <row r="12898" spans="1:10" x14ac:dyDescent="0.35">
      <c r="A12898" t="s">
        <v>228</v>
      </c>
      <c r="B12898" t="s">
        <v>1343</v>
      </c>
      <c r="C12898" t="s">
        <v>1346</v>
      </c>
      <c r="D12898" s="26">
        <v>0.94599999999999995</v>
      </c>
      <c r="E12898" s="26">
        <v>4.4999999999999997E-3</v>
      </c>
      <c r="F12898" s="26">
        <v>1.1000000000000001E-3</v>
      </c>
      <c r="G12898" s="26">
        <v>3.5200000000000002E-2</v>
      </c>
      <c r="H12898" s="26">
        <v>1.32E-2</v>
      </c>
      <c r="J12898">
        <v>239</v>
      </c>
    </row>
    <row r="12899" spans="1:10" x14ac:dyDescent="0.35">
      <c r="A12899" t="s">
        <v>228</v>
      </c>
      <c r="B12899" t="s">
        <v>1341</v>
      </c>
      <c r="C12899" t="s">
        <v>1347</v>
      </c>
      <c r="D12899" s="26">
        <v>0.8448</v>
      </c>
      <c r="E12899" s="26">
        <v>0.12330000000000001</v>
      </c>
      <c r="F12899" s="26">
        <v>1.3100000000000001E-2</v>
      </c>
      <c r="G12899" s="26">
        <v>1.8800000000000001E-2</v>
      </c>
      <c r="J12899">
        <v>74</v>
      </c>
    </row>
    <row r="12900" spans="1:10" x14ac:dyDescent="0.35">
      <c r="A12900" s="27" t="s">
        <v>228</v>
      </c>
      <c r="B12900" s="27" t="s">
        <v>1341</v>
      </c>
      <c r="C12900" s="27" t="s">
        <v>1345</v>
      </c>
      <c r="D12900" s="28">
        <v>0.81830000000000003</v>
      </c>
      <c r="E12900" s="29"/>
      <c r="F12900" s="28">
        <v>0.1817</v>
      </c>
      <c r="G12900" s="29"/>
      <c r="H12900" s="29"/>
      <c r="I12900" s="29"/>
      <c r="J12900" s="29" t="s">
        <v>332</v>
      </c>
    </row>
    <row r="12901" spans="1:10" x14ac:dyDescent="0.35">
      <c r="A12901" t="s">
        <v>229</v>
      </c>
      <c r="B12901" t="s">
        <v>1343</v>
      </c>
      <c r="C12901" t="s">
        <v>1348</v>
      </c>
      <c r="D12901" s="26">
        <v>0.96960000000000002</v>
      </c>
      <c r="E12901" s="26">
        <v>1.12E-2</v>
      </c>
      <c r="G12901" s="26">
        <v>1.7100000000000001E-2</v>
      </c>
      <c r="H12901" s="26">
        <v>1.1000000000000001E-3</v>
      </c>
      <c r="I12901" s="26">
        <v>1.1000000000000001E-3</v>
      </c>
      <c r="J12901">
        <v>276</v>
      </c>
    </row>
    <row r="12902" spans="1:10" x14ac:dyDescent="0.35">
      <c r="A12902" t="s">
        <v>229</v>
      </c>
      <c r="B12902" t="s">
        <v>1341</v>
      </c>
      <c r="C12902" t="s">
        <v>1346</v>
      </c>
      <c r="D12902" s="26">
        <v>0.99709999999999999</v>
      </c>
      <c r="H12902" s="26">
        <v>2.8999999999999998E-3</v>
      </c>
      <c r="J12902">
        <v>53</v>
      </c>
    </row>
    <row r="12903" spans="1:10" x14ac:dyDescent="0.35">
      <c r="A12903" t="s">
        <v>229</v>
      </c>
      <c r="B12903" t="s">
        <v>1341</v>
      </c>
      <c r="C12903" t="s">
        <v>1347</v>
      </c>
      <c r="D12903" s="26">
        <v>0.88790000000000002</v>
      </c>
      <c r="E12903" s="26">
        <v>8.7900000000000006E-2</v>
      </c>
      <c r="H12903" s="26">
        <v>2.4199999999999999E-2</v>
      </c>
      <c r="J12903">
        <v>104</v>
      </c>
    </row>
    <row r="12904" spans="1:10" x14ac:dyDescent="0.35">
      <c r="A12904" t="s">
        <v>229</v>
      </c>
      <c r="B12904" t="s">
        <v>1343</v>
      </c>
      <c r="C12904" t="s">
        <v>1346</v>
      </c>
      <c r="D12904" s="26">
        <v>0.94110000000000005</v>
      </c>
      <c r="E12904" s="26">
        <v>1.66E-2</v>
      </c>
      <c r="F12904" s="26">
        <v>5.9999999999999995E-4</v>
      </c>
      <c r="G12904" s="26">
        <v>4.0500000000000001E-2</v>
      </c>
      <c r="H12904" s="26">
        <v>1.1000000000000001E-3</v>
      </c>
      <c r="J12904">
        <v>131</v>
      </c>
    </row>
    <row r="12905" spans="1:10" x14ac:dyDescent="0.35">
      <c r="A12905" t="s">
        <v>229</v>
      </c>
      <c r="B12905" t="s">
        <v>1343</v>
      </c>
      <c r="C12905" t="s">
        <v>1347</v>
      </c>
      <c r="D12905" s="26">
        <v>0.86699999999999999</v>
      </c>
      <c r="E12905" s="26">
        <v>7.2599999999999998E-2</v>
      </c>
      <c r="F12905" s="26">
        <v>3.5499999999999997E-2</v>
      </c>
      <c r="G12905" s="26">
        <v>1.14E-2</v>
      </c>
      <c r="H12905" s="26">
        <v>1.35E-2</v>
      </c>
      <c r="J12905">
        <v>198</v>
      </c>
    </row>
    <row r="12906" spans="1:10" x14ac:dyDescent="0.35">
      <c r="A12906" s="27" t="s">
        <v>229</v>
      </c>
      <c r="B12906" s="27" t="s">
        <v>1341</v>
      </c>
      <c r="C12906" s="27" t="s">
        <v>1345</v>
      </c>
      <c r="D12906" s="28">
        <v>1</v>
      </c>
      <c r="E12906" s="29"/>
      <c r="F12906" s="29"/>
      <c r="G12906" s="29"/>
      <c r="H12906" s="29"/>
      <c r="I12906" s="29"/>
      <c r="J12906" s="29" t="s">
        <v>334</v>
      </c>
    </row>
    <row r="12907" spans="1:10" x14ac:dyDescent="0.35">
      <c r="A12907" s="27" t="s">
        <v>229</v>
      </c>
      <c r="B12907" s="27" t="s">
        <v>1343</v>
      </c>
      <c r="C12907" s="27" t="s">
        <v>1345</v>
      </c>
      <c r="D12907" s="28">
        <v>1</v>
      </c>
      <c r="E12907" s="29"/>
      <c r="F12907" s="29"/>
      <c r="G12907" s="29"/>
      <c r="H12907" s="29"/>
      <c r="I12907" s="29"/>
      <c r="J12907" s="29" t="s">
        <v>343</v>
      </c>
    </row>
    <row r="12908" spans="1:10" x14ac:dyDescent="0.35">
      <c r="A12908" t="s">
        <v>229</v>
      </c>
      <c r="B12908" t="s">
        <v>1341</v>
      </c>
      <c r="C12908" t="s">
        <v>1348</v>
      </c>
      <c r="D12908" s="26">
        <v>0.82789999999999997</v>
      </c>
      <c r="E12908" s="26">
        <v>0.1105</v>
      </c>
      <c r="F12908" s="26">
        <v>5.4699999999999999E-2</v>
      </c>
      <c r="G12908" s="26">
        <v>2.7000000000000001E-3</v>
      </c>
      <c r="H12908" s="26">
        <v>4.3E-3</v>
      </c>
      <c r="J12908">
        <v>107</v>
      </c>
    </row>
    <row r="12909" spans="1:10" x14ac:dyDescent="0.35">
      <c r="A12909" t="s">
        <v>230</v>
      </c>
      <c r="B12909" t="s">
        <v>1343</v>
      </c>
      <c r="C12909" t="s">
        <v>1346</v>
      </c>
      <c r="D12909" s="26">
        <v>0.92259999999999998</v>
      </c>
      <c r="F12909" s="26">
        <v>5.7999999999999996E-3</v>
      </c>
      <c r="G12909" s="26">
        <v>3.49E-2</v>
      </c>
      <c r="H12909" s="26">
        <v>3.6700000000000003E-2</v>
      </c>
      <c r="J12909">
        <v>110</v>
      </c>
    </row>
    <row r="12910" spans="1:10" x14ac:dyDescent="0.35">
      <c r="A12910" s="27" t="s">
        <v>230</v>
      </c>
      <c r="B12910" s="27" t="s">
        <v>1341</v>
      </c>
      <c r="C12910" s="27" t="s">
        <v>1345</v>
      </c>
      <c r="D12910" s="28">
        <v>1</v>
      </c>
      <c r="E12910" s="29"/>
      <c r="F12910" s="29"/>
      <c r="G12910" s="29"/>
      <c r="H12910" s="29"/>
      <c r="I12910" s="29"/>
      <c r="J12910" s="29" t="s">
        <v>337</v>
      </c>
    </row>
    <row r="12911" spans="1:10" x14ac:dyDescent="0.35">
      <c r="A12911" t="s">
        <v>230</v>
      </c>
      <c r="B12911" t="s">
        <v>1343</v>
      </c>
      <c r="C12911" t="s">
        <v>1348</v>
      </c>
      <c r="D12911" s="26">
        <v>0.9163</v>
      </c>
      <c r="E12911" s="26">
        <v>1.55E-2</v>
      </c>
      <c r="F12911" s="26">
        <v>3.7100000000000001E-2</v>
      </c>
      <c r="G12911" s="26">
        <v>3.1099999999999999E-2</v>
      </c>
      <c r="J12911">
        <v>184</v>
      </c>
    </row>
    <row r="12912" spans="1:10" x14ac:dyDescent="0.35">
      <c r="A12912" t="s">
        <v>230</v>
      </c>
      <c r="B12912" t="s">
        <v>1343</v>
      </c>
      <c r="C12912" t="s">
        <v>1347</v>
      </c>
      <c r="D12912" s="26">
        <v>0.95950000000000002</v>
      </c>
      <c r="E12912" s="26">
        <v>6.4000000000000003E-3</v>
      </c>
      <c r="F12912" s="26">
        <v>2.92E-2</v>
      </c>
      <c r="G12912" s="26">
        <v>4.8999999999999998E-3</v>
      </c>
      <c r="J12912">
        <v>106</v>
      </c>
    </row>
    <row r="12913" spans="1:10" x14ac:dyDescent="0.35">
      <c r="A12913" t="s">
        <v>230</v>
      </c>
      <c r="B12913" t="s">
        <v>1341</v>
      </c>
      <c r="C12913" t="s">
        <v>1348</v>
      </c>
      <c r="D12913" s="26">
        <v>0.90469999999999995</v>
      </c>
      <c r="E12913" s="26">
        <v>8.4699999999999998E-2</v>
      </c>
      <c r="G12913" s="26">
        <v>2E-3</v>
      </c>
      <c r="H12913" s="26">
        <v>6.6E-3</v>
      </c>
      <c r="I12913" s="26">
        <v>2E-3</v>
      </c>
      <c r="J12913">
        <v>75</v>
      </c>
    </row>
    <row r="12914" spans="1:10" x14ac:dyDescent="0.35">
      <c r="A12914" t="s">
        <v>230</v>
      </c>
      <c r="B12914" t="s">
        <v>1341</v>
      </c>
      <c r="C12914" t="s">
        <v>1347</v>
      </c>
      <c r="D12914" s="26">
        <v>0.92379999999999995</v>
      </c>
      <c r="E12914" s="26">
        <v>9.5999999999999992E-3</v>
      </c>
      <c r="G12914" s="26">
        <v>6.6600000000000006E-2</v>
      </c>
      <c r="J12914">
        <v>47</v>
      </c>
    </row>
    <row r="12915" spans="1:10" x14ac:dyDescent="0.35">
      <c r="A12915" s="27" t="s">
        <v>230</v>
      </c>
      <c r="B12915" s="27" t="s">
        <v>1343</v>
      </c>
      <c r="C12915" s="27" t="s">
        <v>1345</v>
      </c>
      <c r="D12915" s="28">
        <v>1</v>
      </c>
      <c r="E12915" s="29"/>
      <c r="F12915" s="29"/>
      <c r="G12915" s="29"/>
      <c r="H12915" s="29"/>
      <c r="I12915" s="29"/>
      <c r="J12915" s="29" t="s">
        <v>337</v>
      </c>
    </row>
    <row r="12916" spans="1:10" x14ac:dyDescent="0.35">
      <c r="A12916" t="s">
        <v>230</v>
      </c>
      <c r="B12916" t="s">
        <v>1341</v>
      </c>
      <c r="C12916" t="s">
        <v>1346</v>
      </c>
      <c r="D12916" s="26">
        <v>0.9153</v>
      </c>
      <c r="E12916" s="26">
        <v>8.4699999999999998E-2</v>
      </c>
      <c r="J12916">
        <v>30</v>
      </c>
    </row>
    <row r="12917" spans="1:10" x14ac:dyDescent="0.35">
      <c r="A12917" t="s">
        <v>231</v>
      </c>
      <c r="B12917" t="s">
        <v>1343</v>
      </c>
      <c r="C12917" t="s">
        <v>1348</v>
      </c>
      <c r="D12917" s="26">
        <v>0.96</v>
      </c>
      <c r="E12917" s="26">
        <v>0.02</v>
      </c>
      <c r="F12917" s="26">
        <v>0.02</v>
      </c>
      <c r="J12917">
        <v>50</v>
      </c>
    </row>
    <row r="12918" spans="1:10" x14ac:dyDescent="0.35">
      <c r="A12918" s="27" t="s">
        <v>231</v>
      </c>
      <c r="B12918" s="27" t="s">
        <v>1343</v>
      </c>
      <c r="C12918" s="27" t="s">
        <v>1345</v>
      </c>
      <c r="D12918" s="28">
        <v>1</v>
      </c>
      <c r="E12918" s="29"/>
      <c r="F12918" s="29"/>
      <c r="G12918" s="29"/>
      <c r="H12918" s="29"/>
      <c r="I12918" s="29"/>
      <c r="J12918" s="29" t="s">
        <v>315</v>
      </c>
    </row>
    <row r="12919" spans="1:10" x14ac:dyDescent="0.35">
      <c r="A12919" t="s">
        <v>231</v>
      </c>
      <c r="B12919" t="s">
        <v>1341</v>
      </c>
      <c r="C12919" t="s">
        <v>1348</v>
      </c>
      <c r="D12919" s="26">
        <v>0.91669999999999996</v>
      </c>
      <c r="E12919" s="26">
        <v>2.7799999999999998E-2</v>
      </c>
      <c r="F12919" s="26">
        <v>2.7799999999999998E-2</v>
      </c>
      <c r="G12919" s="26">
        <v>2.7799999999999998E-2</v>
      </c>
      <c r="J12919">
        <v>36</v>
      </c>
    </row>
    <row r="12920" spans="1:10" x14ac:dyDescent="0.35">
      <c r="A12920" s="27" t="s">
        <v>231</v>
      </c>
      <c r="B12920" s="27" t="s">
        <v>1341</v>
      </c>
      <c r="C12920" s="27" t="s">
        <v>1345</v>
      </c>
      <c r="D12920" s="28">
        <v>1</v>
      </c>
      <c r="E12920" s="29"/>
      <c r="F12920" s="29"/>
      <c r="G12920" s="29"/>
      <c r="H12920" s="29"/>
      <c r="I12920" s="29"/>
      <c r="J12920" s="29" t="s">
        <v>331</v>
      </c>
    </row>
    <row r="12921" spans="1:10" x14ac:dyDescent="0.35">
      <c r="A12921" s="27" t="s">
        <v>231</v>
      </c>
      <c r="B12921" s="27" t="s">
        <v>1343</v>
      </c>
      <c r="C12921" s="27" t="s">
        <v>1346</v>
      </c>
      <c r="D12921" s="28">
        <v>1</v>
      </c>
      <c r="E12921" s="29"/>
      <c r="F12921" s="29"/>
      <c r="G12921" s="29"/>
      <c r="H12921" s="29"/>
      <c r="I12921" s="29"/>
      <c r="J12921" s="29" t="s">
        <v>357</v>
      </c>
    </row>
    <row r="12922" spans="1:10" x14ac:dyDescent="0.35">
      <c r="A12922" s="27" t="s">
        <v>231</v>
      </c>
      <c r="B12922" s="27" t="s">
        <v>1341</v>
      </c>
      <c r="C12922" s="27" t="s">
        <v>1346</v>
      </c>
      <c r="D12922" s="28">
        <v>1</v>
      </c>
      <c r="E12922" s="29"/>
      <c r="F12922" s="29"/>
      <c r="G12922" s="29"/>
      <c r="H12922" s="29"/>
      <c r="I12922" s="29"/>
      <c r="J12922" s="29" t="s">
        <v>379</v>
      </c>
    </row>
    <row r="12923" spans="1:10" x14ac:dyDescent="0.35">
      <c r="A12923" s="27" t="s">
        <v>231</v>
      </c>
      <c r="B12923" s="27" t="s">
        <v>1341</v>
      </c>
      <c r="C12923" s="27" t="s">
        <v>1347</v>
      </c>
      <c r="D12923" s="28">
        <v>0.92859999999999998</v>
      </c>
      <c r="E12923" s="28">
        <v>7.1400000000000005E-2</v>
      </c>
      <c r="F12923" s="29"/>
      <c r="G12923" s="29"/>
      <c r="H12923" s="29"/>
      <c r="I12923" s="29"/>
      <c r="J12923" s="29" t="s">
        <v>379</v>
      </c>
    </row>
    <row r="12924" spans="1:10" x14ac:dyDescent="0.35">
      <c r="A12924" s="27" t="s">
        <v>231</v>
      </c>
      <c r="B12924" s="27" t="s">
        <v>1343</v>
      </c>
      <c r="C12924" s="27" t="s">
        <v>1347</v>
      </c>
      <c r="D12924" s="28">
        <v>0.95</v>
      </c>
      <c r="E12924" s="29"/>
      <c r="F12924" s="28">
        <v>0.05</v>
      </c>
      <c r="G12924" s="29"/>
      <c r="H12924" s="29"/>
      <c r="I12924" s="29"/>
      <c r="J12924" s="29" t="s">
        <v>350</v>
      </c>
    </row>
    <row r="12925" spans="1:10" x14ac:dyDescent="0.35">
      <c r="A12925" t="s">
        <v>232</v>
      </c>
      <c r="B12925" t="s">
        <v>232</v>
      </c>
      <c r="C12925" t="s">
        <v>232</v>
      </c>
      <c r="D12925" s="26">
        <v>0.93579999999999997</v>
      </c>
      <c r="E12925" s="26">
        <v>2.4899999999999999E-2</v>
      </c>
      <c r="F12925" s="26">
        <v>2.0400000000000001E-2</v>
      </c>
      <c r="G12925" s="26">
        <v>1.3899999999999999E-2</v>
      </c>
      <c r="H12925" s="26">
        <v>4.4000000000000003E-3</v>
      </c>
      <c r="I12925" s="26">
        <v>6.9999999999999999E-4</v>
      </c>
      <c r="J12925">
        <v>2813</v>
      </c>
    </row>
    <row r="12927" spans="1:10" x14ac:dyDescent="0.35">
      <c r="A12927" s="1" t="s">
        <v>1487</v>
      </c>
    </row>
    <row r="12928" spans="1:10" x14ac:dyDescent="0.35">
      <c r="A12928" t="s">
        <v>219</v>
      </c>
      <c r="B12928" t="s">
        <v>1424</v>
      </c>
      <c r="C12928" t="s">
        <v>1425</v>
      </c>
      <c r="D12928" t="s">
        <v>1427</v>
      </c>
      <c r="E12928" t="s">
        <v>281</v>
      </c>
      <c r="F12928" t="s">
        <v>1426</v>
      </c>
      <c r="G12928" t="s">
        <v>286</v>
      </c>
      <c r="H12928" t="s">
        <v>226</v>
      </c>
    </row>
    <row r="12929" spans="1:9" x14ac:dyDescent="0.35">
      <c r="A12929" t="s">
        <v>227</v>
      </c>
      <c r="B12929" s="26">
        <v>0.95030000000000003</v>
      </c>
      <c r="C12929" s="26">
        <v>1.8599999999999998E-2</v>
      </c>
      <c r="D12929" s="26">
        <v>1.8599999999999998E-2</v>
      </c>
      <c r="E12929" s="26">
        <v>6.1999999999999998E-3</v>
      </c>
      <c r="F12929" s="26">
        <v>6.1999999999999998E-3</v>
      </c>
      <c r="H12929">
        <v>161</v>
      </c>
    </row>
    <row r="12930" spans="1:9" x14ac:dyDescent="0.35">
      <c r="A12930" t="s">
        <v>228</v>
      </c>
      <c r="B12930" s="26">
        <v>0.96240000000000003</v>
      </c>
      <c r="C12930" s="26">
        <v>1.0699999999999999E-2</v>
      </c>
      <c r="D12930" s="26">
        <v>8.6E-3</v>
      </c>
      <c r="E12930" s="26">
        <v>8.3000000000000001E-3</v>
      </c>
      <c r="F12930" s="26">
        <v>8.8999999999999999E-3</v>
      </c>
      <c r="G12930" s="26">
        <v>1.1999999999999999E-3</v>
      </c>
      <c r="H12930">
        <v>1033</v>
      </c>
    </row>
    <row r="12931" spans="1:9" x14ac:dyDescent="0.35">
      <c r="A12931" t="s">
        <v>229</v>
      </c>
      <c r="B12931" s="26">
        <v>0.97650000000000003</v>
      </c>
      <c r="C12931" s="26">
        <v>1.5E-3</v>
      </c>
      <c r="D12931" s="26">
        <v>6.8999999999999999E-3</v>
      </c>
      <c r="E12931" s="26">
        <v>5.7000000000000002E-3</v>
      </c>
      <c r="F12931" s="26">
        <v>6.1999999999999998E-3</v>
      </c>
      <c r="G12931" s="26">
        <v>3.3E-3</v>
      </c>
      <c r="H12931">
        <v>895</v>
      </c>
    </row>
    <row r="12932" spans="1:9" x14ac:dyDescent="0.35">
      <c r="A12932" t="s">
        <v>230</v>
      </c>
      <c r="B12932" s="26">
        <v>0.98329999999999995</v>
      </c>
      <c r="C12932" s="26">
        <v>2.0999999999999999E-3</v>
      </c>
      <c r="D12932" s="26">
        <v>8.9999999999999998E-4</v>
      </c>
      <c r="E12932" s="26">
        <v>2.0999999999999999E-3</v>
      </c>
      <c r="F12932" s="26">
        <v>1.1599999999999999E-2</v>
      </c>
      <c r="H12932">
        <v>560</v>
      </c>
    </row>
    <row r="12933" spans="1:9" x14ac:dyDescent="0.35">
      <c r="A12933" t="s">
        <v>231</v>
      </c>
      <c r="B12933" s="26">
        <v>0.96950000000000003</v>
      </c>
      <c r="C12933" s="26">
        <v>1.83E-2</v>
      </c>
      <c r="D12933" s="26">
        <v>6.1000000000000004E-3</v>
      </c>
      <c r="E12933" s="26">
        <v>6.1000000000000004E-3</v>
      </c>
      <c r="H12933">
        <v>164</v>
      </c>
    </row>
    <row r="12934" spans="1:9" x14ac:dyDescent="0.35">
      <c r="A12934" t="s">
        <v>232</v>
      </c>
      <c r="B12934" s="26">
        <v>0.96850000000000003</v>
      </c>
      <c r="C12934" s="26">
        <v>1.0500000000000001E-2</v>
      </c>
      <c r="D12934" s="26">
        <v>8.2000000000000007E-3</v>
      </c>
      <c r="E12934" s="26">
        <v>6.0000000000000001E-3</v>
      </c>
      <c r="F12934" s="26">
        <v>5.5999999999999999E-3</v>
      </c>
      <c r="G12934" s="26">
        <v>1.1999999999999999E-3</v>
      </c>
      <c r="H12934">
        <v>2813</v>
      </c>
    </row>
    <row r="12936" spans="1:9" x14ac:dyDescent="0.35">
      <c r="A12936" s="1" t="s">
        <v>1488</v>
      </c>
    </row>
    <row r="12937" spans="1:9" x14ac:dyDescent="0.35">
      <c r="A12937" t="s">
        <v>219</v>
      </c>
      <c r="B12937" t="s">
        <v>305</v>
      </c>
      <c r="C12937" t="s">
        <v>1424</v>
      </c>
      <c r="D12937" t="s">
        <v>1425</v>
      </c>
      <c r="E12937" t="s">
        <v>1427</v>
      </c>
      <c r="F12937" t="s">
        <v>281</v>
      </c>
      <c r="G12937" t="s">
        <v>1426</v>
      </c>
      <c r="H12937" t="s">
        <v>286</v>
      </c>
      <c r="I12937" t="s">
        <v>226</v>
      </c>
    </row>
    <row r="12938" spans="1:9" x14ac:dyDescent="0.35">
      <c r="A12938" t="s">
        <v>227</v>
      </c>
      <c r="B12938" t="s">
        <v>242</v>
      </c>
      <c r="C12938" s="26">
        <v>0.95589999999999997</v>
      </c>
      <c r="D12938" s="26">
        <v>4.41E-2</v>
      </c>
      <c r="I12938">
        <v>68</v>
      </c>
    </row>
    <row r="12939" spans="1:9" x14ac:dyDescent="0.35">
      <c r="A12939" t="s">
        <v>227</v>
      </c>
      <c r="B12939" t="s">
        <v>241</v>
      </c>
      <c r="C12939" s="26">
        <v>0.94620000000000004</v>
      </c>
      <c r="E12939" s="26">
        <v>3.2300000000000002E-2</v>
      </c>
      <c r="F12939" s="26">
        <v>1.0800000000000001E-2</v>
      </c>
      <c r="G12939" s="26">
        <v>1.0800000000000001E-2</v>
      </c>
      <c r="I12939">
        <v>93</v>
      </c>
    </row>
    <row r="12940" spans="1:9" x14ac:dyDescent="0.35">
      <c r="A12940" t="s">
        <v>228</v>
      </c>
      <c r="B12940" t="s">
        <v>242</v>
      </c>
      <c r="C12940" s="26">
        <v>0.95250000000000001</v>
      </c>
      <c r="D12940" s="26">
        <v>5.1000000000000004E-3</v>
      </c>
      <c r="E12940" s="26">
        <v>1.1599999999999999E-2</v>
      </c>
      <c r="F12940" s="26">
        <v>1.2800000000000001E-2</v>
      </c>
      <c r="G12940" s="26">
        <v>1.7999999999999999E-2</v>
      </c>
      <c r="I12940">
        <v>402</v>
      </c>
    </row>
    <row r="12941" spans="1:9" x14ac:dyDescent="0.35">
      <c r="A12941" t="s">
        <v>228</v>
      </c>
      <c r="B12941" t="s">
        <v>241</v>
      </c>
      <c r="C12941" s="26">
        <v>0.96809999999999996</v>
      </c>
      <c r="D12941" s="26">
        <v>1.38E-2</v>
      </c>
      <c r="E12941" s="26">
        <v>6.7999999999999996E-3</v>
      </c>
      <c r="F12941" s="26">
        <v>5.7000000000000002E-3</v>
      </c>
      <c r="G12941" s="26">
        <v>3.7000000000000002E-3</v>
      </c>
      <c r="H12941" s="26">
        <v>1.8E-3</v>
      </c>
      <c r="I12941">
        <v>631</v>
      </c>
    </row>
    <row r="12942" spans="1:9" x14ac:dyDescent="0.35">
      <c r="A12942" t="s">
        <v>229</v>
      </c>
      <c r="B12942" t="s">
        <v>242</v>
      </c>
      <c r="C12942" s="26">
        <v>0.96599999999999997</v>
      </c>
      <c r="D12942" s="26">
        <v>8.0000000000000004E-4</v>
      </c>
      <c r="E12942" s="26">
        <v>2.0000000000000001E-4</v>
      </c>
      <c r="F12942" s="26">
        <v>1.0699999999999999E-2</v>
      </c>
      <c r="G12942" s="26">
        <v>1.46E-2</v>
      </c>
      <c r="H12942" s="26">
        <v>7.7000000000000002E-3</v>
      </c>
      <c r="I12942">
        <v>292</v>
      </c>
    </row>
    <row r="12943" spans="1:9" x14ac:dyDescent="0.35">
      <c r="A12943" t="s">
        <v>229</v>
      </c>
      <c r="B12943" t="s">
        <v>241</v>
      </c>
      <c r="C12943" s="26">
        <v>0.98319999999999996</v>
      </c>
      <c r="D12943" s="26">
        <v>1.8E-3</v>
      </c>
      <c r="E12943" s="26">
        <v>1.11E-2</v>
      </c>
      <c r="F12943" s="26">
        <v>2.5000000000000001E-3</v>
      </c>
      <c r="G12943" s="26">
        <v>8.9999999999999998E-4</v>
      </c>
      <c r="H12943" s="26">
        <v>5.0000000000000001E-4</v>
      </c>
      <c r="I12943">
        <v>603</v>
      </c>
    </row>
    <row r="12944" spans="1:9" x14ac:dyDescent="0.35">
      <c r="A12944" t="s">
        <v>230</v>
      </c>
      <c r="B12944" t="s">
        <v>242</v>
      </c>
      <c r="C12944" s="26">
        <v>0.98240000000000005</v>
      </c>
      <c r="D12944" s="26">
        <v>6.1999999999999998E-3</v>
      </c>
      <c r="E12944" s="26">
        <v>2.7000000000000001E-3</v>
      </c>
      <c r="F12944" s="26">
        <v>6.1000000000000004E-3</v>
      </c>
      <c r="G12944" s="26">
        <v>2.5999999999999999E-3</v>
      </c>
      <c r="I12944">
        <v>189</v>
      </c>
    </row>
    <row r="12945" spans="1:9" x14ac:dyDescent="0.35">
      <c r="A12945" t="s">
        <v>230</v>
      </c>
      <c r="B12945" t="s">
        <v>241</v>
      </c>
      <c r="C12945" s="26">
        <v>0.98370000000000002</v>
      </c>
      <c r="G12945" s="26">
        <v>1.6299999999999999E-2</v>
      </c>
      <c r="I12945">
        <v>371</v>
      </c>
    </row>
    <row r="12946" spans="1:9" x14ac:dyDescent="0.35">
      <c r="A12946" t="s">
        <v>231</v>
      </c>
      <c r="B12946" t="s">
        <v>242</v>
      </c>
      <c r="C12946" s="26">
        <v>0.94440000000000002</v>
      </c>
      <c r="D12946" s="26">
        <v>1.8499999999999999E-2</v>
      </c>
      <c r="E12946" s="26">
        <v>1.8499999999999999E-2</v>
      </c>
      <c r="F12946" s="26">
        <v>1.8499999999999999E-2</v>
      </c>
      <c r="I12946">
        <v>54</v>
      </c>
    </row>
    <row r="12947" spans="1:9" x14ac:dyDescent="0.35">
      <c r="A12947" t="s">
        <v>231</v>
      </c>
      <c r="B12947" t="s">
        <v>241</v>
      </c>
      <c r="C12947" s="26">
        <v>0.98180000000000001</v>
      </c>
      <c r="D12947" s="26">
        <v>1.8200000000000001E-2</v>
      </c>
      <c r="I12947">
        <v>110</v>
      </c>
    </row>
    <row r="12948" spans="1:9" x14ac:dyDescent="0.35">
      <c r="A12948" t="s">
        <v>232</v>
      </c>
      <c r="B12948" t="s">
        <v>232</v>
      </c>
      <c r="C12948" s="26">
        <v>0.96850000000000003</v>
      </c>
      <c r="D12948" s="26">
        <v>1.0500000000000001E-2</v>
      </c>
      <c r="E12948" s="26">
        <v>8.2000000000000007E-3</v>
      </c>
      <c r="F12948" s="26">
        <v>6.0000000000000001E-3</v>
      </c>
      <c r="G12948" s="26">
        <v>5.5999999999999999E-3</v>
      </c>
      <c r="H12948" s="26">
        <v>1.1999999999999999E-3</v>
      </c>
      <c r="I12948">
        <v>2813</v>
      </c>
    </row>
    <row r="12950" spans="1:9" x14ac:dyDescent="0.35">
      <c r="A12950" s="1" t="s">
        <v>1489</v>
      </c>
    </row>
    <row r="12951" spans="1:9" x14ac:dyDescent="0.35">
      <c r="A12951" t="s">
        <v>219</v>
      </c>
      <c r="B12951" t="s">
        <v>305</v>
      </c>
      <c r="C12951" t="s">
        <v>1424</v>
      </c>
      <c r="D12951" t="s">
        <v>1425</v>
      </c>
      <c r="E12951" t="s">
        <v>1427</v>
      </c>
      <c r="F12951" t="s">
        <v>281</v>
      </c>
      <c r="G12951" t="s">
        <v>1426</v>
      </c>
      <c r="H12951" t="s">
        <v>286</v>
      </c>
      <c r="I12951" t="s">
        <v>226</v>
      </c>
    </row>
    <row r="12952" spans="1:9" x14ac:dyDescent="0.35">
      <c r="A12952" t="s">
        <v>227</v>
      </c>
      <c r="B12952" t="s">
        <v>239</v>
      </c>
      <c r="C12952" s="26">
        <v>0.9677</v>
      </c>
      <c r="D12952" s="26">
        <v>1.61E-2</v>
      </c>
      <c r="E12952" s="26">
        <v>1.61E-2</v>
      </c>
      <c r="I12952">
        <v>62</v>
      </c>
    </row>
    <row r="12953" spans="1:9" x14ac:dyDescent="0.35">
      <c r="A12953" t="s">
        <v>227</v>
      </c>
      <c r="B12953" t="s">
        <v>238</v>
      </c>
      <c r="C12953" s="26">
        <v>0.93940000000000001</v>
      </c>
      <c r="D12953" s="26">
        <v>2.0199999999999999E-2</v>
      </c>
      <c r="E12953" s="26">
        <v>2.0199999999999999E-2</v>
      </c>
      <c r="F12953" s="26">
        <v>1.01E-2</v>
      </c>
      <c r="G12953" s="26">
        <v>1.01E-2</v>
      </c>
      <c r="I12953">
        <v>99</v>
      </c>
    </row>
    <row r="12954" spans="1:9" x14ac:dyDescent="0.35">
      <c r="A12954" t="s">
        <v>228</v>
      </c>
      <c r="B12954" t="s">
        <v>239</v>
      </c>
      <c r="C12954" s="26">
        <v>0.96430000000000005</v>
      </c>
      <c r="D12954" s="26">
        <v>2E-3</v>
      </c>
      <c r="E12954" s="26">
        <v>4.3E-3</v>
      </c>
      <c r="F12954" s="26">
        <v>7.6E-3</v>
      </c>
      <c r="G12954" s="26">
        <v>2.18E-2</v>
      </c>
      <c r="I12954">
        <v>330</v>
      </c>
    </row>
    <row r="12955" spans="1:9" x14ac:dyDescent="0.35">
      <c r="A12955" t="s">
        <v>228</v>
      </c>
      <c r="B12955" t="s">
        <v>238</v>
      </c>
      <c r="C12955" s="26">
        <v>0.96189999999999998</v>
      </c>
      <c r="D12955" s="26">
        <v>1.29E-2</v>
      </c>
      <c r="E12955" s="26">
        <v>9.5999999999999992E-3</v>
      </c>
      <c r="F12955" s="26">
        <v>8.5000000000000006E-3</v>
      </c>
      <c r="G12955" s="26">
        <v>5.5999999999999999E-3</v>
      </c>
      <c r="H12955" s="26">
        <v>1.5E-3</v>
      </c>
      <c r="I12955">
        <v>703</v>
      </c>
    </row>
    <row r="12956" spans="1:9" x14ac:dyDescent="0.35">
      <c r="A12956" t="s">
        <v>229</v>
      </c>
      <c r="B12956" t="s">
        <v>239</v>
      </c>
      <c r="C12956" s="26">
        <v>0.97850000000000004</v>
      </c>
      <c r="D12956" s="26">
        <v>1E-3</v>
      </c>
      <c r="E12956" s="26">
        <v>2.3E-3</v>
      </c>
      <c r="F12956" s="26">
        <v>1.7000000000000001E-2</v>
      </c>
      <c r="G12956" s="26">
        <v>1.1000000000000001E-3</v>
      </c>
      <c r="I12956">
        <v>332</v>
      </c>
    </row>
    <row r="12957" spans="1:9" x14ac:dyDescent="0.35">
      <c r="A12957" t="s">
        <v>229</v>
      </c>
      <c r="B12957" t="s">
        <v>238</v>
      </c>
      <c r="C12957" s="26">
        <v>0.9758</v>
      </c>
      <c r="D12957" s="26">
        <v>1.6000000000000001E-3</v>
      </c>
      <c r="E12957" s="26">
        <v>8.3999999999999995E-3</v>
      </c>
      <c r="F12957" s="26">
        <v>1.8E-3</v>
      </c>
      <c r="G12957" s="26">
        <v>8.0000000000000002E-3</v>
      </c>
      <c r="H12957" s="26">
        <v>4.4999999999999997E-3</v>
      </c>
      <c r="I12957">
        <v>563</v>
      </c>
    </row>
    <row r="12958" spans="1:9" x14ac:dyDescent="0.35">
      <c r="A12958" t="s">
        <v>230</v>
      </c>
      <c r="B12958" t="s">
        <v>239</v>
      </c>
      <c r="C12958" s="26">
        <v>0.97019999999999995</v>
      </c>
      <c r="D12958" s="26">
        <v>6.0000000000000001E-3</v>
      </c>
      <c r="F12958" s="26">
        <v>6.0000000000000001E-3</v>
      </c>
      <c r="G12958" s="26">
        <v>1.7899999999999999E-2</v>
      </c>
      <c r="I12958">
        <v>211</v>
      </c>
    </row>
    <row r="12959" spans="1:9" x14ac:dyDescent="0.35">
      <c r="A12959" t="s">
        <v>230</v>
      </c>
      <c r="B12959" t="s">
        <v>238</v>
      </c>
      <c r="C12959" s="26">
        <v>0.9889</v>
      </c>
      <c r="D12959" s="26">
        <v>4.0000000000000002E-4</v>
      </c>
      <c r="E12959" s="26">
        <v>1.2999999999999999E-3</v>
      </c>
      <c r="F12959" s="26">
        <v>4.0000000000000002E-4</v>
      </c>
      <c r="G12959" s="26">
        <v>8.9999999999999993E-3</v>
      </c>
      <c r="I12959">
        <v>349</v>
      </c>
    </row>
    <row r="12960" spans="1:9" x14ac:dyDescent="0.35">
      <c r="A12960" t="s">
        <v>231</v>
      </c>
      <c r="B12960" t="s">
        <v>239</v>
      </c>
      <c r="C12960" s="26">
        <v>0.94740000000000002</v>
      </c>
      <c r="D12960" s="26">
        <v>1.7500000000000002E-2</v>
      </c>
      <c r="E12960" s="26">
        <v>1.7500000000000002E-2</v>
      </c>
      <c r="F12960" s="26">
        <v>1.7500000000000002E-2</v>
      </c>
      <c r="I12960">
        <v>57</v>
      </c>
    </row>
    <row r="12961" spans="1:9" x14ac:dyDescent="0.35">
      <c r="A12961" t="s">
        <v>231</v>
      </c>
      <c r="B12961" t="s">
        <v>238</v>
      </c>
      <c r="C12961" s="26">
        <v>0.98129999999999995</v>
      </c>
      <c r="D12961" s="26">
        <v>1.8700000000000001E-2</v>
      </c>
      <c r="I12961">
        <v>107</v>
      </c>
    </row>
    <row r="12962" spans="1:9" x14ac:dyDescent="0.35">
      <c r="A12962" t="s">
        <v>232</v>
      </c>
      <c r="B12962" t="s">
        <v>232</v>
      </c>
      <c r="C12962" s="26">
        <v>0.96850000000000003</v>
      </c>
      <c r="D12962" s="26">
        <v>1.0500000000000001E-2</v>
      </c>
      <c r="E12962" s="26">
        <v>8.2000000000000007E-3</v>
      </c>
      <c r="F12962" s="26">
        <v>6.0000000000000001E-3</v>
      </c>
      <c r="G12962" s="26">
        <v>5.5999999999999999E-3</v>
      </c>
      <c r="H12962" s="26">
        <v>1.1999999999999999E-3</v>
      </c>
      <c r="I12962">
        <v>2813</v>
      </c>
    </row>
    <row r="12964" spans="1:9" x14ac:dyDescent="0.35">
      <c r="A12964" s="1" t="s">
        <v>1490</v>
      </c>
    </row>
    <row r="12965" spans="1:9" x14ac:dyDescent="0.35">
      <c r="A12965" t="s">
        <v>219</v>
      </c>
      <c r="B12965" t="s">
        <v>305</v>
      </c>
      <c r="C12965" t="s">
        <v>1424</v>
      </c>
      <c r="D12965" t="s">
        <v>1425</v>
      </c>
      <c r="E12965" t="s">
        <v>1427</v>
      </c>
      <c r="F12965" t="s">
        <v>281</v>
      </c>
      <c r="G12965" t="s">
        <v>1426</v>
      </c>
      <c r="H12965" t="s">
        <v>286</v>
      </c>
      <c r="I12965" t="s">
        <v>226</v>
      </c>
    </row>
    <row r="12966" spans="1:9" x14ac:dyDescent="0.35">
      <c r="A12966" t="s">
        <v>227</v>
      </c>
      <c r="B12966" t="s">
        <v>244</v>
      </c>
      <c r="C12966" s="26">
        <v>0.96879999999999999</v>
      </c>
      <c r="D12966" s="26">
        <v>2.0799999999999999E-2</v>
      </c>
      <c r="E12966" s="26">
        <v>1.04E-2</v>
      </c>
      <c r="I12966">
        <v>96</v>
      </c>
    </row>
    <row r="12967" spans="1:9" x14ac:dyDescent="0.35">
      <c r="A12967" t="s">
        <v>227</v>
      </c>
      <c r="B12967" t="s">
        <v>245</v>
      </c>
      <c r="C12967" s="26">
        <v>0.96230000000000004</v>
      </c>
      <c r="E12967" s="26">
        <v>1.89E-2</v>
      </c>
      <c r="F12967" s="26">
        <v>1.89E-2</v>
      </c>
      <c r="I12967">
        <v>53</v>
      </c>
    </row>
    <row r="12968" spans="1:9" x14ac:dyDescent="0.35">
      <c r="A12968" s="27" t="s">
        <v>227</v>
      </c>
      <c r="B12968" s="27" t="s">
        <v>246</v>
      </c>
      <c r="C12968" s="28">
        <v>0.75</v>
      </c>
      <c r="D12968" s="28">
        <v>8.3299999999999999E-2</v>
      </c>
      <c r="E12968" s="28">
        <v>8.3299999999999999E-2</v>
      </c>
      <c r="F12968" s="29"/>
      <c r="G12968" s="28">
        <v>8.3299999999999999E-2</v>
      </c>
      <c r="H12968" s="29"/>
      <c r="I12968" s="29" t="s">
        <v>342</v>
      </c>
    </row>
    <row r="12969" spans="1:9" x14ac:dyDescent="0.35">
      <c r="A12969" t="s">
        <v>228</v>
      </c>
      <c r="B12969" t="s">
        <v>244</v>
      </c>
      <c r="C12969" s="26">
        <v>0.96230000000000004</v>
      </c>
      <c r="D12969" s="26">
        <v>1.11E-2</v>
      </c>
      <c r="E12969" s="26">
        <v>1.11E-2</v>
      </c>
      <c r="F12969" s="26">
        <v>7.1000000000000004E-3</v>
      </c>
      <c r="G12969" s="26">
        <v>8.3999999999999995E-3</v>
      </c>
      <c r="I12969">
        <v>638</v>
      </c>
    </row>
    <row r="12970" spans="1:9" x14ac:dyDescent="0.35">
      <c r="A12970" t="s">
        <v>228</v>
      </c>
      <c r="B12970" t="s">
        <v>245</v>
      </c>
      <c r="C12970" s="26">
        <v>0.95760000000000001</v>
      </c>
      <c r="D12970" s="26">
        <v>1.23E-2</v>
      </c>
      <c r="E12970" s="26">
        <v>4.7000000000000002E-3</v>
      </c>
      <c r="F12970" s="26">
        <v>1.3100000000000001E-2</v>
      </c>
      <c r="G12970" s="26">
        <v>8.0999999999999996E-3</v>
      </c>
      <c r="H12970" s="26">
        <v>4.1999999999999997E-3</v>
      </c>
      <c r="I12970">
        <v>328</v>
      </c>
    </row>
    <row r="12971" spans="1:9" x14ac:dyDescent="0.35">
      <c r="A12971" t="s">
        <v>228</v>
      </c>
      <c r="B12971" t="s">
        <v>246</v>
      </c>
      <c r="C12971" s="26">
        <v>0.9829</v>
      </c>
      <c r="G12971" s="26">
        <v>1.7100000000000001E-2</v>
      </c>
      <c r="I12971">
        <v>67</v>
      </c>
    </row>
    <row r="12972" spans="1:9" x14ac:dyDescent="0.35">
      <c r="A12972" t="s">
        <v>229</v>
      </c>
      <c r="B12972" t="s">
        <v>244</v>
      </c>
      <c r="C12972" s="26">
        <v>0.9758</v>
      </c>
      <c r="D12972" s="26">
        <v>1.8E-3</v>
      </c>
      <c r="E12972" s="26">
        <v>6.0000000000000001E-3</v>
      </c>
      <c r="F12972" s="26">
        <v>7.0000000000000001E-3</v>
      </c>
      <c r="G12972" s="26">
        <v>4.5999999999999999E-3</v>
      </c>
      <c r="H12972" s="26">
        <v>4.7999999999999996E-3</v>
      </c>
      <c r="I12972">
        <v>557</v>
      </c>
    </row>
    <row r="12973" spans="1:9" x14ac:dyDescent="0.35">
      <c r="A12973" t="s">
        <v>229</v>
      </c>
      <c r="B12973" t="s">
        <v>245</v>
      </c>
      <c r="C12973" s="26">
        <v>0.97350000000000003</v>
      </c>
      <c r="D12973" s="26">
        <v>6.9999999999999999E-4</v>
      </c>
      <c r="E12973" s="26">
        <v>1.06E-2</v>
      </c>
      <c r="F12973" s="26">
        <v>3.3E-3</v>
      </c>
      <c r="G12973" s="26">
        <v>1.1900000000000001E-2</v>
      </c>
      <c r="I12973">
        <v>293</v>
      </c>
    </row>
    <row r="12974" spans="1:9" x14ac:dyDescent="0.35">
      <c r="A12974" t="s">
        <v>229</v>
      </c>
      <c r="B12974" t="s">
        <v>246</v>
      </c>
      <c r="C12974" s="26">
        <v>1</v>
      </c>
      <c r="I12974">
        <v>45</v>
      </c>
    </row>
    <row r="12975" spans="1:9" x14ac:dyDescent="0.35">
      <c r="A12975" t="s">
        <v>230</v>
      </c>
      <c r="B12975" t="s">
        <v>244</v>
      </c>
      <c r="C12975" s="26">
        <v>0.98270000000000002</v>
      </c>
      <c r="D12975" s="26">
        <v>1.6999999999999999E-3</v>
      </c>
      <c r="G12975" s="26">
        <v>1.5599999999999999E-2</v>
      </c>
      <c r="I12975">
        <v>370</v>
      </c>
    </row>
    <row r="12976" spans="1:9" x14ac:dyDescent="0.35">
      <c r="A12976" t="s">
        <v>230</v>
      </c>
      <c r="B12976" t="s">
        <v>245</v>
      </c>
      <c r="C12976" s="26">
        <v>0.98160000000000003</v>
      </c>
      <c r="D12976" s="26">
        <v>3.5000000000000001E-3</v>
      </c>
      <c r="E12976" s="26">
        <v>3.5000000000000001E-3</v>
      </c>
      <c r="F12976" s="26">
        <v>8.0000000000000002E-3</v>
      </c>
      <c r="G12976" s="26">
        <v>3.3999999999999998E-3</v>
      </c>
      <c r="I12976">
        <v>161</v>
      </c>
    </row>
    <row r="12977" spans="1:9" x14ac:dyDescent="0.35">
      <c r="A12977" s="27" t="s">
        <v>230</v>
      </c>
      <c r="B12977" s="27" t="s">
        <v>246</v>
      </c>
      <c r="C12977" s="28">
        <v>1</v>
      </c>
      <c r="D12977" s="29"/>
      <c r="E12977" s="29"/>
      <c r="F12977" s="29"/>
      <c r="G12977" s="29"/>
      <c r="H12977" s="29"/>
      <c r="I12977" s="29" t="s">
        <v>329</v>
      </c>
    </row>
    <row r="12978" spans="1:9" x14ac:dyDescent="0.35">
      <c r="A12978" t="s">
        <v>231</v>
      </c>
      <c r="B12978" t="s">
        <v>244</v>
      </c>
      <c r="C12978" s="26">
        <v>0.96840000000000004</v>
      </c>
      <c r="D12978" s="26">
        <v>2.1100000000000001E-2</v>
      </c>
      <c r="E12978" s="26">
        <v>1.0500000000000001E-2</v>
      </c>
      <c r="I12978">
        <v>95</v>
      </c>
    </row>
    <row r="12979" spans="1:9" x14ac:dyDescent="0.35">
      <c r="A12979" t="s">
        <v>231</v>
      </c>
      <c r="B12979" t="s">
        <v>245</v>
      </c>
      <c r="C12979" s="26">
        <v>0.96430000000000005</v>
      </c>
      <c r="D12979" s="26">
        <v>1.7899999999999999E-2</v>
      </c>
      <c r="F12979" s="26">
        <v>1.7899999999999999E-2</v>
      </c>
      <c r="I12979">
        <v>56</v>
      </c>
    </row>
    <row r="12980" spans="1:9" x14ac:dyDescent="0.35">
      <c r="A12980" s="27" t="s">
        <v>231</v>
      </c>
      <c r="B12980" s="27" t="s">
        <v>246</v>
      </c>
      <c r="C12980" s="28">
        <v>1</v>
      </c>
      <c r="D12980" s="29"/>
      <c r="E12980" s="29"/>
      <c r="F12980" s="29"/>
      <c r="G12980" s="29"/>
      <c r="H12980" s="29"/>
      <c r="I12980" s="29" t="s">
        <v>341</v>
      </c>
    </row>
    <row r="12981" spans="1:9" x14ac:dyDescent="0.35">
      <c r="A12981" t="s">
        <v>232</v>
      </c>
      <c r="B12981" t="s">
        <v>232</v>
      </c>
      <c r="C12981" s="26">
        <v>0.96850000000000003</v>
      </c>
      <c r="D12981" s="26">
        <v>1.0500000000000001E-2</v>
      </c>
      <c r="E12981" s="26">
        <v>8.2000000000000007E-3</v>
      </c>
      <c r="F12981" s="26">
        <v>6.0000000000000001E-3</v>
      </c>
      <c r="G12981" s="26">
        <v>5.5999999999999999E-3</v>
      </c>
      <c r="H12981" s="26">
        <v>1.1999999999999999E-3</v>
      </c>
      <c r="I12981">
        <v>2813</v>
      </c>
    </row>
    <row r="12983" spans="1:9" x14ac:dyDescent="0.35">
      <c r="A12983" s="1" t="s">
        <v>1491</v>
      </c>
    </row>
    <row r="12984" spans="1:9" x14ac:dyDescent="0.35">
      <c r="A12984" t="s">
        <v>219</v>
      </c>
      <c r="B12984" t="s">
        <v>305</v>
      </c>
      <c r="C12984" t="s">
        <v>1424</v>
      </c>
      <c r="D12984" t="s">
        <v>1425</v>
      </c>
      <c r="E12984" t="s">
        <v>1427</v>
      </c>
      <c r="F12984" t="s">
        <v>281</v>
      </c>
      <c r="G12984" t="s">
        <v>1426</v>
      </c>
      <c r="H12984" t="s">
        <v>286</v>
      </c>
      <c r="I12984" t="s">
        <v>226</v>
      </c>
    </row>
    <row r="12985" spans="1:9" x14ac:dyDescent="0.35">
      <c r="A12985" t="s">
        <v>227</v>
      </c>
      <c r="B12985" t="s">
        <v>360</v>
      </c>
      <c r="C12985" s="26">
        <v>0.87180000000000002</v>
      </c>
      <c r="D12985" s="26">
        <v>2.5600000000000001E-2</v>
      </c>
      <c r="E12985" s="26">
        <v>5.1299999999999998E-2</v>
      </c>
      <c r="F12985" s="26">
        <v>2.5600000000000001E-2</v>
      </c>
      <c r="G12985" s="26">
        <v>2.5600000000000001E-2</v>
      </c>
      <c r="I12985">
        <v>39</v>
      </c>
    </row>
    <row r="12986" spans="1:9" x14ac:dyDescent="0.35">
      <c r="A12986" t="s">
        <v>227</v>
      </c>
      <c r="B12986" t="s">
        <v>361</v>
      </c>
      <c r="C12986" s="26">
        <v>1</v>
      </c>
      <c r="I12986">
        <v>32</v>
      </c>
    </row>
    <row r="12987" spans="1:9" x14ac:dyDescent="0.35">
      <c r="A12987" t="s">
        <v>227</v>
      </c>
      <c r="B12987" t="s">
        <v>362</v>
      </c>
      <c r="C12987" s="26">
        <v>1</v>
      </c>
      <c r="I12987">
        <v>37</v>
      </c>
    </row>
    <row r="12988" spans="1:9" x14ac:dyDescent="0.35">
      <c r="A12988" t="s">
        <v>227</v>
      </c>
      <c r="B12988" t="s">
        <v>363</v>
      </c>
      <c r="C12988" s="26">
        <v>0.93330000000000002</v>
      </c>
      <c r="D12988" s="26">
        <v>4.4400000000000002E-2</v>
      </c>
      <c r="E12988" s="26">
        <v>2.2200000000000001E-2</v>
      </c>
      <c r="I12988">
        <v>45</v>
      </c>
    </row>
    <row r="12989" spans="1:9" x14ac:dyDescent="0.35">
      <c r="A12989" t="s">
        <v>228</v>
      </c>
      <c r="B12989" t="s">
        <v>360</v>
      </c>
      <c r="C12989" s="26">
        <v>0.95740000000000003</v>
      </c>
      <c r="D12989" s="26">
        <v>1.89E-2</v>
      </c>
      <c r="E12989" s="26">
        <v>3.0000000000000001E-3</v>
      </c>
      <c r="F12989" s="26">
        <v>1.34E-2</v>
      </c>
      <c r="G12989" s="26">
        <v>7.1999999999999998E-3</v>
      </c>
      <c r="I12989">
        <v>258</v>
      </c>
    </row>
    <row r="12990" spans="1:9" x14ac:dyDescent="0.35">
      <c r="A12990" t="s">
        <v>228</v>
      </c>
      <c r="B12990" t="s">
        <v>361</v>
      </c>
      <c r="C12990" s="26">
        <v>0.95130000000000003</v>
      </c>
      <c r="D12990" s="26">
        <v>2.3800000000000002E-2</v>
      </c>
      <c r="E12990" s="26">
        <v>1.55E-2</v>
      </c>
      <c r="F12990" s="26">
        <v>4.4999999999999997E-3</v>
      </c>
      <c r="H12990" s="26">
        <v>4.7999999999999996E-3</v>
      </c>
      <c r="I12990">
        <v>194</v>
      </c>
    </row>
    <row r="12991" spans="1:9" x14ac:dyDescent="0.35">
      <c r="A12991" t="s">
        <v>228</v>
      </c>
      <c r="B12991" t="s">
        <v>363</v>
      </c>
      <c r="C12991" s="26">
        <v>0.97629999999999995</v>
      </c>
      <c r="E12991" s="26">
        <v>2.8E-3</v>
      </c>
      <c r="F12991" s="26">
        <v>3.5000000000000001E-3</v>
      </c>
      <c r="G12991" s="26">
        <v>1.7399999999999999E-2</v>
      </c>
      <c r="I12991">
        <v>212</v>
      </c>
    </row>
    <row r="12992" spans="1:9" x14ac:dyDescent="0.35">
      <c r="A12992" t="s">
        <v>228</v>
      </c>
      <c r="B12992" t="s">
        <v>362</v>
      </c>
      <c r="C12992" s="26">
        <v>0.95569999999999999</v>
      </c>
      <c r="D12992" s="26">
        <v>2.8E-3</v>
      </c>
      <c r="E12992" s="26">
        <v>1.43E-2</v>
      </c>
      <c r="F12992" s="26">
        <v>1.2800000000000001E-2</v>
      </c>
      <c r="G12992" s="26">
        <v>1.44E-2</v>
      </c>
      <c r="I12992">
        <v>236</v>
      </c>
    </row>
    <row r="12993" spans="1:9" x14ac:dyDescent="0.35">
      <c r="A12993" t="s">
        <v>229</v>
      </c>
      <c r="B12993" t="s">
        <v>363</v>
      </c>
      <c r="C12993" s="26">
        <v>0.97340000000000004</v>
      </c>
      <c r="D12993" s="26">
        <v>5.0000000000000001E-4</v>
      </c>
      <c r="F12993" s="26">
        <v>9.1000000000000004E-3</v>
      </c>
      <c r="G12993" s="26">
        <v>5.0000000000000001E-4</v>
      </c>
      <c r="H12993" s="26">
        <v>1.6400000000000001E-2</v>
      </c>
      <c r="I12993">
        <v>191</v>
      </c>
    </row>
    <row r="12994" spans="1:9" x14ac:dyDescent="0.35">
      <c r="A12994" t="s">
        <v>229</v>
      </c>
      <c r="B12994" t="s">
        <v>360</v>
      </c>
      <c r="C12994" s="26">
        <v>0.98370000000000002</v>
      </c>
      <c r="D12994" s="26">
        <v>7.7000000000000002E-3</v>
      </c>
      <c r="E12994" s="26">
        <v>6.4999999999999997E-3</v>
      </c>
      <c r="F12994" s="26">
        <v>2.0999999999999999E-3</v>
      </c>
      <c r="I12994">
        <v>164</v>
      </c>
    </row>
    <row r="12995" spans="1:9" x14ac:dyDescent="0.35">
      <c r="A12995" t="s">
        <v>229</v>
      </c>
      <c r="B12995" t="s">
        <v>361</v>
      </c>
      <c r="C12995" s="26">
        <v>0.98380000000000001</v>
      </c>
      <c r="D12995" s="26">
        <v>4.0000000000000002E-4</v>
      </c>
      <c r="E12995" s="26">
        <v>5.0000000000000001E-4</v>
      </c>
      <c r="G12995" s="26">
        <v>1.5299999999999999E-2</v>
      </c>
      <c r="I12995">
        <v>243</v>
      </c>
    </row>
    <row r="12996" spans="1:9" x14ac:dyDescent="0.35">
      <c r="A12996" t="s">
        <v>229</v>
      </c>
      <c r="B12996" t="s">
        <v>362</v>
      </c>
      <c r="C12996" s="26">
        <v>0.98019999999999996</v>
      </c>
      <c r="E12996" s="26">
        <v>1E-3</v>
      </c>
      <c r="F12996" s="26">
        <v>1.7500000000000002E-2</v>
      </c>
      <c r="G12996" s="26">
        <v>1.1999999999999999E-3</v>
      </c>
      <c r="I12996">
        <v>171</v>
      </c>
    </row>
    <row r="12997" spans="1:9" x14ac:dyDescent="0.35">
      <c r="A12997" t="s">
        <v>230</v>
      </c>
      <c r="B12997" t="s">
        <v>360</v>
      </c>
      <c r="C12997" s="26">
        <v>0.98540000000000005</v>
      </c>
      <c r="D12997" s="26">
        <v>9.7000000000000003E-3</v>
      </c>
      <c r="F12997" s="26">
        <v>4.8999999999999998E-3</v>
      </c>
      <c r="I12997">
        <v>120</v>
      </c>
    </row>
    <row r="12998" spans="1:9" x14ac:dyDescent="0.35">
      <c r="A12998" t="s">
        <v>230</v>
      </c>
      <c r="B12998" t="s">
        <v>363</v>
      </c>
      <c r="C12998" s="26">
        <v>0.99109999999999998</v>
      </c>
      <c r="D12998" s="26">
        <v>1.1999999999999999E-3</v>
      </c>
      <c r="E12998" s="26">
        <v>3.8999999999999998E-3</v>
      </c>
      <c r="F12998" s="26">
        <v>3.8E-3</v>
      </c>
      <c r="I12998">
        <v>127</v>
      </c>
    </row>
    <row r="12999" spans="1:9" x14ac:dyDescent="0.35">
      <c r="A12999" t="s">
        <v>230</v>
      </c>
      <c r="B12999" t="s">
        <v>361</v>
      </c>
      <c r="C12999" s="26">
        <v>0.95650000000000002</v>
      </c>
      <c r="F12999" s="26">
        <v>1.1000000000000001E-3</v>
      </c>
      <c r="G12999" s="26">
        <v>4.2500000000000003E-2</v>
      </c>
      <c r="I12999">
        <v>109</v>
      </c>
    </row>
    <row r="13000" spans="1:9" x14ac:dyDescent="0.35">
      <c r="A13000" t="s">
        <v>230</v>
      </c>
      <c r="B13000" t="s">
        <v>362</v>
      </c>
      <c r="C13000" s="26">
        <v>1</v>
      </c>
      <c r="I13000">
        <v>148</v>
      </c>
    </row>
    <row r="13001" spans="1:9" x14ac:dyDescent="0.35">
      <c r="A13001" s="27" t="s">
        <v>231</v>
      </c>
      <c r="B13001" s="27" t="s">
        <v>362</v>
      </c>
      <c r="C13001" s="28">
        <v>1</v>
      </c>
      <c r="D13001" s="29"/>
      <c r="E13001" s="29"/>
      <c r="F13001" s="29"/>
      <c r="G13001" s="29"/>
      <c r="H13001" s="29"/>
      <c r="I13001" s="29" t="s">
        <v>329</v>
      </c>
    </row>
    <row r="13002" spans="1:9" x14ac:dyDescent="0.35">
      <c r="A13002" t="s">
        <v>231</v>
      </c>
      <c r="B13002" t="s">
        <v>361</v>
      </c>
      <c r="C13002" s="26">
        <v>0.98</v>
      </c>
      <c r="D13002" s="26">
        <v>0.02</v>
      </c>
      <c r="I13002">
        <v>50</v>
      </c>
    </row>
    <row r="13003" spans="1:9" x14ac:dyDescent="0.35">
      <c r="A13003" t="s">
        <v>231</v>
      </c>
      <c r="B13003" t="s">
        <v>360</v>
      </c>
      <c r="C13003" s="26">
        <v>0.95450000000000002</v>
      </c>
      <c r="D13003" s="26">
        <v>2.2700000000000001E-2</v>
      </c>
      <c r="F13003" s="26">
        <v>2.2700000000000001E-2</v>
      </c>
      <c r="I13003">
        <v>44</v>
      </c>
    </row>
    <row r="13004" spans="1:9" x14ac:dyDescent="0.35">
      <c r="A13004" s="27" t="s">
        <v>231</v>
      </c>
      <c r="B13004" s="27" t="s">
        <v>363</v>
      </c>
      <c r="C13004" s="28">
        <v>0.92589999999999995</v>
      </c>
      <c r="D13004" s="28">
        <v>3.6999999999999998E-2</v>
      </c>
      <c r="E13004" s="28">
        <v>3.6999999999999998E-2</v>
      </c>
      <c r="F13004" s="29"/>
      <c r="G13004" s="29"/>
      <c r="H13004" s="29"/>
      <c r="I13004" s="29" t="s">
        <v>338</v>
      </c>
    </row>
    <row r="13005" spans="1:9" x14ac:dyDescent="0.35">
      <c r="A13005" t="s">
        <v>232</v>
      </c>
      <c r="B13005" t="s">
        <v>232</v>
      </c>
      <c r="C13005" s="26">
        <v>0.96850000000000003</v>
      </c>
      <c r="D13005" s="26">
        <v>1.0500000000000001E-2</v>
      </c>
      <c r="E13005" s="26">
        <v>8.2000000000000007E-3</v>
      </c>
      <c r="F13005" s="26">
        <v>6.0000000000000001E-3</v>
      </c>
      <c r="G13005" s="26">
        <v>5.5999999999999999E-3</v>
      </c>
      <c r="H13005" s="26">
        <v>1.1999999999999999E-3</v>
      </c>
      <c r="I13005">
        <v>2476</v>
      </c>
    </row>
    <row r="13007" spans="1:9" x14ac:dyDescent="0.35">
      <c r="A13007" s="1" t="s">
        <v>1492</v>
      </c>
    </row>
    <row r="13008" spans="1:9" x14ac:dyDescent="0.35">
      <c r="A13008" t="s">
        <v>219</v>
      </c>
      <c r="B13008" t="s">
        <v>305</v>
      </c>
      <c r="C13008" t="s">
        <v>1424</v>
      </c>
      <c r="D13008" t="s">
        <v>1425</v>
      </c>
      <c r="E13008" t="s">
        <v>1427</v>
      </c>
      <c r="F13008" t="s">
        <v>281</v>
      </c>
      <c r="G13008" t="s">
        <v>1426</v>
      </c>
      <c r="H13008" t="s">
        <v>286</v>
      </c>
      <c r="I13008" t="s">
        <v>226</v>
      </c>
    </row>
    <row r="13009" spans="1:9" x14ac:dyDescent="0.35">
      <c r="A13009" t="s">
        <v>227</v>
      </c>
      <c r="B13009" t="s">
        <v>267</v>
      </c>
      <c r="C13009" s="26">
        <v>0.94440000000000002</v>
      </c>
      <c r="E13009" s="26">
        <v>2.7799999999999998E-2</v>
      </c>
      <c r="F13009" s="26">
        <v>2.7799999999999998E-2</v>
      </c>
      <c r="I13009">
        <v>36</v>
      </c>
    </row>
    <row r="13010" spans="1:9" x14ac:dyDescent="0.35">
      <c r="A13010" t="s">
        <v>227</v>
      </c>
      <c r="B13010" t="s">
        <v>266</v>
      </c>
      <c r="C13010" s="26">
        <v>0.98309999999999997</v>
      </c>
      <c r="D13010" s="26">
        <v>1.6899999999999998E-2</v>
      </c>
      <c r="I13010">
        <v>59</v>
      </c>
    </row>
    <row r="13011" spans="1:9" x14ac:dyDescent="0.35">
      <c r="A13011" t="s">
        <v>227</v>
      </c>
      <c r="B13011" t="s">
        <v>265</v>
      </c>
      <c r="C13011" s="26">
        <v>0.92420000000000002</v>
      </c>
      <c r="D13011" s="26">
        <v>3.0300000000000001E-2</v>
      </c>
      <c r="E13011" s="26">
        <v>3.0300000000000001E-2</v>
      </c>
      <c r="G13011" s="26">
        <v>1.52E-2</v>
      </c>
      <c r="I13011">
        <v>66</v>
      </c>
    </row>
    <row r="13012" spans="1:9" x14ac:dyDescent="0.35">
      <c r="A13012" t="s">
        <v>228</v>
      </c>
      <c r="B13012" t="s">
        <v>267</v>
      </c>
      <c r="C13012" s="26">
        <v>0.95120000000000005</v>
      </c>
      <c r="D13012" s="26">
        <v>1.38E-2</v>
      </c>
      <c r="E13012" s="26">
        <v>6.3E-3</v>
      </c>
      <c r="F13012" s="26">
        <v>2.0500000000000001E-2</v>
      </c>
      <c r="G13012" s="26">
        <v>8.0999999999999996E-3</v>
      </c>
      <c r="I13012">
        <v>199</v>
      </c>
    </row>
    <row r="13013" spans="1:9" x14ac:dyDescent="0.35">
      <c r="A13013" t="s">
        <v>228</v>
      </c>
      <c r="B13013" t="s">
        <v>265</v>
      </c>
      <c r="C13013" s="26">
        <v>0.97889999999999999</v>
      </c>
      <c r="D13013" s="26">
        <v>5.8999999999999999E-3</v>
      </c>
      <c r="E13013" s="26">
        <v>1.5E-3</v>
      </c>
      <c r="F13013" s="26">
        <v>1.9E-3</v>
      </c>
      <c r="G13013" s="26">
        <v>1.1900000000000001E-2</v>
      </c>
      <c r="I13013">
        <v>384</v>
      </c>
    </row>
    <row r="13014" spans="1:9" x14ac:dyDescent="0.35">
      <c r="A13014" s="27" t="s">
        <v>228</v>
      </c>
      <c r="B13014" s="27" t="s">
        <v>236</v>
      </c>
      <c r="C13014" s="28">
        <v>1</v>
      </c>
      <c r="D13014" s="29"/>
      <c r="E13014" s="29"/>
      <c r="F13014" s="29"/>
      <c r="G13014" s="29"/>
      <c r="H13014" s="29"/>
      <c r="I13014" s="29" t="s">
        <v>314</v>
      </c>
    </row>
    <row r="13015" spans="1:9" x14ac:dyDescent="0.35">
      <c r="A13015" t="s">
        <v>228</v>
      </c>
      <c r="B13015" t="s">
        <v>266</v>
      </c>
      <c r="C13015" s="26">
        <v>0.94979999999999998</v>
      </c>
      <c r="D13015" s="26">
        <v>1.43E-2</v>
      </c>
      <c r="E13015" s="26">
        <v>1.6799999999999999E-2</v>
      </c>
      <c r="F13015" s="26">
        <v>9.7999999999999997E-3</v>
      </c>
      <c r="G13015" s="26">
        <v>6.4999999999999997E-3</v>
      </c>
      <c r="H13015" s="26">
        <v>2.8E-3</v>
      </c>
      <c r="I13015">
        <v>448</v>
      </c>
    </row>
    <row r="13016" spans="1:9" x14ac:dyDescent="0.35">
      <c r="A13016" t="s">
        <v>229</v>
      </c>
      <c r="B13016" t="s">
        <v>266</v>
      </c>
      <c r="C13016" s="26">
        <v>0.96</v>
      </c>
      <c r="D13016" s="26">
        <v>1.8E-3</v>
      </c>
      <c r="E13016" s="26">
        <v>1.0500000000000001E-2</v>
      </c>
      <c r="F13016" s="26">
        <v>9.7000000000000003E-3</v>
      </c>
      <c r="G13016" s="26">
        <v>8.8999999999999999E-3</v>
      </c>
      <c r="H13016" s="26">
        <v>9.1000000000000004E-3</v>
      </c>
      <c r="I13016">
        <v>359</v>
      </c>
    </row>
    <row r="13017" spans="1:9" x14ac:dyDescent="0.35">
      <c r="A13017" t="s">
        <v>229</v>
      </c>
      <c r="B13017" t="s">
        <v>267</v>
      </c>
      <c r="C13017" s="26">
        <v>0.99539999999999995</v>
      </c>
      <c r="E13017" s="26">
        <v>4.0000000000000002E-4</v>
      </c>
      <c r="F13017" s="26">
        <v>3.8E-3</v>
      </c>
      <c r="G13017" s="26">
        <v>4.0000000000000002E-4</v>
      </c>
      <c r="I13017">
        <v>201</v>
      </c>
    </row>
    <row r="13018" spans="1:9" x14ac:dyDescent="0.35">
      <c r="A13018" t="s">
        <v>229</v>
      </c>
      <c r="B13018" t="s">
        <v>265</v>
      </c>
      <c r="C13018" s="26">
        <v>0.97919999999999996</v>
      </c>
      <c r="D13018" s="26">
        <v>1.9E-3</v>
      </c>
      <c r="E13018" s="26">
        <v>7.4000000000000003E-3</v>
      </c>
      <c r="F13018" s="26">
        <v>3.7000000000000002E-3</v>
      </c>
      <c r="G13018" s="26">
        <v>7.1000000000000004E-3</v>
      </c>
      <c r="H13018" s="26">
        <v>6.9999999999999999E-4</v>
      </c>
      <c r="I13018">
        <v>335</v>
      </c>
    </row>
    <row r="13019" spans="1:9" x14ac:dyDescent="0.35">
      <c r="A13019" t="s">
        <v>230</v>
      </c>
      <c r="B13019" t="s">
        <v>267</v>
      </c>
      <c r="C13019" s="26">
        <v>0.98770000000000002</v>
      </c>
      <c r="E13019" s="26">
        <v>4.1000000000000003E-3</v>
      </c>
      <c r="F13019" s="26">
        <v>4.1000000000000003E-3</v>
      </c>
      <c r="G13019" s="26">
        <v>4.0000000000000001E-3</v>
      </c>
      <c r="I13019">
        <v>119</v>
      </c>
    </row>
    <row r="13020" spans="1:9" x14ac:dyDescent="0.35">
      <c r="A13020" t="s">
        <v>230</v>
      </c>
      <c r="B13020" t="s">
        <v>266</v>
      </c>
      <c r="C13020" s="26">
        <v>0.97940000000000005</v>
      </c>
      <c r="D13020" s="26">
        <v>2.5000000000000001E-3</v>
      </c>
      <c r="F13020" s="26">
        <v>3.2000000000000002E-3</v>
      </c>
      <c r="G13020" s="26">
        <v>1.49E-2</v>
      </c>
      <c r="I13020">
        <v>232</v>
      </c>
    </row>
    <row r="13021" spans="1:9" x14ac:dyDescent="0.35">
      <c r="A13021" t="s">
        <v>230</v>
      </c>
      <c r="B13021" t="s">
        <v>265</v>
      </c>
      <c r="C13021" s="26">
        <v>0.98429999999999995</v>
      </c>
      <c r="D13021" s="26">
        <v>2.8E-3</v>
      </c>
      <c r="G13021" s="26">
        <v>1.29E-2</v>
      </c>
      <c r="I13021">
        <v>209</v>
      </c>
    </row>
    <row r="13022" spans="1:9" x14ac:dyDescent="0.35">
      <c r="A13022" t="s">
        <v>231</v>
      </c>
      <c r="B13022" t="s">
        <v>267</v>
      </c>
      <c r="C13022" s="26">
        <v>0.97060000000000002</v>
      </c>
      <c r="D13022" s="26">
        <v>2.9399999999999999E-2</v>
      </c>
      <c r="I13022">
        <v>34</v>
      </c>
    </row>
    <row r="13023" spans="1:9" x14ac:dyDescent="0.35">
      <c r="A13023" t="s">
        <v>231</v>
      </c>
      <c r="B13023" t="s">
        <v>266</v>
      </c>
      <c r="C13023" s="26">
        <v>0.9839</v>
      </c>
      <c r="F13023" s="26">
        <v>1.61E-2</v>
      </c>
      <c r="I13023">
        <v>62</v>
      </c>
    </row>
    <row r="13024" spans="1:9" x14ac:dyDescent="0.35">
      <c r="A13024" t="s">
        <v>231</v>
      </c>
      <c r="B13024" t="s">
        <v>265</v>
      </c>
      <c r="C13024" s="26">
        <v>0.95589999999999997</v>
      </c>
      <c r="D13024" s="26">
        <v>2.9399999999999999E-2</v>
      </c>
      <c r="E13024" s="26">
        <v>1.47E-2</v>
      </c>
      <c r="I13024">
        <v>68</v>
      </c>
    </row>
    <row r="13025" spans="1:9" x14ac:dyDescent="0.35">
      <c r="A13025" t="s">
        <v>232</v>
      </c>
      <c r="B13025" t="s">
        <v>232</v>
      </c>
      <c r="C13025" s="26">
        <v>0.96850000000000003</v>
      </c>
      <c r="D13025" s="26">
        <v>1.0500000000000001E-2</v>
      </c>
      <c r="E13025" s="26">
        <v>8.2000000000000007E-3</v>
      </c>
      <c r="F13025" s="26">
        <v>6.0000000000000001E-3</v>
      </c>
      <c r="G13025" s="26">
        <v>5.5999999999999999E-3</v>
      </c>
      <c r="H13025" s="26">
        <v>1.1999999999999999E-3</v>
      </c>
      <c r="I13025">
        <v>2813</v>
      </c>
    </row>
    <row r="13027" spans="1:9" x14ac:dyDescent="0.35">
      <c r="A13027" s="1" t="s">
        <v>1493</v>
      </c>
    </row>
    <row r="13028" spans="1:9" x14ac:dyDescent="0.35">
      <c r="A13028" t="s">
        <v>219</v>
      </c>
      <c r="B13028" t="s">
        <v>305</v>
      </c>
      <c r="C13028" t="s">
        <v>1424</v>
      </c>
      <c r="D13028" t="s">
        <v>1425</v>
      </c>
      <c r="E13028" t="s">
        <v>1427</v>
      </c>
      <c r="F13028" t="s">
        <v>281</v>
      </c>
      <c r="G13028" t="s">
        <v>1426</v>
      </c>
      <c r="H13028" t="s">
        <v>286</v>
      </c>
      <c r="I13028" t="s">
        <v>226</v>
      </c>
    </row>
    <row r="13029" spans="1:9" x14ac:dyDescent="0.35">
      <c r="A13029" t="s">
        <v>227</v>
      </c>
      <c r="B13029" t="s">
        <v>252</v>
      </c>
      <c r="C13029" s="26">
        <v>0.9778</v>
      </c>
      <c r="F13029" s="26">
        <v>2.2200000000000001E-2</v>
      </c>
      <c r="I13029">
        <v>45</v>
      </c>
    </row>
    <row r="13030" spans="1:9" x14ac:dyDescent="0.35">
      <c r="A13030" t="s">
        <v>227</v>
      </c>
      <c r="B13030" t="s">
        <v>253</v>
      </c>
      <c r="C13030" s="26">
        <v>0.94120000000000004</v>
      </c>
      <c r="D13030" s="26">
        <v>5.8799999999999998E-2</v>
      </c>
      <c r="I13030">
        <v>34</v>
      </c>
    </row>
    <row r="13031" spans="1:9" x14ac:dyDescent="0.35">
      <c r="A13031" t="s">
        <v>227</v>
      </c>
      <c r="B13031" t="s">
        <v>251</v>
      </c>
      <c r="C13031" s="26">
        <v>0.93899999999999995</v>
      </c>
      <c r="D13031" s="26">
        <v>1.2200000000000001E-2</v>
      </c>
      <c r="E13031" s="26">
        <v>3.6600000000000001E-2</v>
      </c>
      <c r="G13031" s="26">
        <v>1.2200000000000001E-2</v>
      </c>
      <c r="I13031">
        <v>82</v>
      </c>
    </row>
    <row r="13032" spans="1:9" x14ac:dyDescent="0.35">
      <c r="A13032" t="s">
        <v>228</v>
      </c>
      <c r="B13032" t="s">
        <v>252</v>
      </c>
      <c r="C13032" s="26">
        <v>0.97989999999999999</v>
      </c>
      <c r="D13032" s="26">
        <v>4.1000000000000003E-3</v>
      </c>
      <c r="E13032" s="26">
        <v>2E-3</v>
      </c>
      <c r="F13032" s="26">
        <v>1.06E-2</v>
      </c>
      <c r="G13032" s="26">
        <v>3.3E-3</v>
      </c>
      <c r="I13032">
        <v>344</v>
      </c>
    </row>
    <row r="13033" spans="1:9" x14ac:dyDescent="0.35">
      <c r="A13033" t="s">
        <v>228</v>
      </c>
      <c r="B13033" t="s">
        <v>253</v>
      </c>
      <c r="C13033" s="26">
        <v>0.98360000000000003</v>
      </c>
      <c r="D13033" s="26">
        <v>6.7000000000000002E-3</v>
      </c>
      <c r="E13033" s="26">
        <v>1.8E-3</v>
      </c>
      <c r="F13033" s="26">
        <v>6.7000000000000002E-3</v>
      </c>
      <c r="G13033" s="26">
        <v>1.1999999999999999E-3</v>
      </c>
      <c r="I13033">
        <v>222</v>
      </c>
    </row>
    <row r="13034" spans="1:9" x14ac:dyDescent="0.35">
      <c r="A13034" t="s">
        <v>228</v>
      </c>
      <c r="B13034" t="s">
        <v>251</v>
      </c>
      <c r="C13034" s="26">
        <v>0.9415</v>
      </c>
      <c r="D13034" s="26">
        <v>1.6799999999999999E-2</v>
      </c>
      <c r="E13034" s="26">
        <v>1.5900000000000001E-2</v>
      </c>
      <c r="F13034" s="26">
        <v>7.3000000000000001E-3</v>
      </c>
      <c r="G13034" s="26">
        <v>1.6E-2</v>
      </c>
      <c r="H13034" s="26">
        <v>2.5000000000000001E-3</v>
      </c>
      <c r="I13034">
        <v>467</v>
      </c>
    </row>
    <row r="13035" spans="1:9" x14ac:dyDescent="0.35">
      <c r="A13035" t="s">
        <v>229</v>
      </c>
      <c r="B13035" t="s">
        <v>252</v>
      </c>
      <c r="C13035" s="26">
        <v>0.99619999999999997</v>
      </c>
      <c r="D13035" s="26">
        <v>4.0000000000000002E-4</v>
      </c>
      <c r="F13035" s="26">
        <v>3.0000000000000001E-3</v>
      </c>
      <c r="G13035" s="26">
        <v>4.0000000000000002E-4</v>
      </c>
      <c r="I13035">
        <v>199</v>
      </c>
    </row>
    <row r="13036" spans="1:9" x14ac:dyDescent="0.35">
      <c r="A13036" t="s">
        <v>229</v>
      </c>
      <c r="B13036" t="s">
        <v>253</v>
      </c>
      <c r="C13036" s="26">
        <v>0.99419999999999997</v>
      </c>
      <c r="F13036" s="26">
        <v>5.3E-3</v>
      </c>
      <c r="G13036" s="26">
        <v>5.0000000000000001E-4</v>
      </c>
      <c r="I13036">
        <v>145</v>
      </c>
    </row>
    <row r="13037" spans="1:9" x14ac:dyDescent="0.35">
      <c r="A13037" t="s">
        <v>229</v>
      </c>
      <c r="B13037" t="s">
        <v>251</v>
      </c>
      <c r="C13037" s="26">
        <v>0.96319999999999995</v>
      </c>
      <c r="D13037" s="26">
        <v>2.3E-3</v>
      </c>
      <c r="E13037" s="26">
        <v>1.17E-2</v>
      </c>
      <c r="F13037" s="26">
        <v>6.7999999999999996E-3</v>
      </c>
      <c r="G13037" s="26">
        <v>1.03E-2</v>
      </c>
      <c r="H13037" s="26">
        <v>5.7000000000000002E-3</v>
      </c>
      <c r="I13037">
        <v>551</v>
      </c>
    </row>
    <row r="13038" spans="1:9" x14ac:dyDescent="0.35">
      <c r="A13038" t="s">
        <v>230</v>
      </c>
      <c r="B13038" t="s">
        <v>252</v>
      </c>
      <c r="C13038" s="26">
        <v>0.98839999999999995</v>
      </c>
      <c r="D13038" s="26">
        <v>3.5000000000000001E-3</v>
      </c>
      <c r="F13038" s="26">
        <v>8.0999999999999996E-3</v>
      </c>
      <c r="I13038">
        <v>159</v>
      </c>
    </row>
    <row r="13039" spans="1:9" x14ac:dyDescent="0.35">
      <c r="A13039" t="s">
        <v>230</v>
      </c>
      <c r="B13039" t="s">
        <v>253</v>
      </c>
      <c r="C13039" s="26">
        <v>1</v>
      </c>
      <c r="I13039">
        <v>110</v>
      </c>
    </row>
    <row r="13040" spans="1:9" x14ac:dyDescent="0.35">
      <c r="A13040" t="s">
        <v>230</v>
      </c>
      <c r="B13040" t="s">
        <v>251</v>
      </c>
      <c r="C13040" s="26">
        <v>0.97529999999999994</v>
      </c>
      <c r="D13040" s="26">
        <v>2.0999999999999999E-3</v>
      </c>
      <c r="E13040" s="26">
        <v>1.6000000000000001E-3</v>
      </c>
      <c r="G13040" s="26">
        <v>2.1000000000000001E-2</v>
      </c>
      <c r="I13040">
        <v>291</v>
      </c>
    </row>
    <row r="13041" spans="1:9" x14ac:dyDescent="0.35">
      <c r="A13041" t="s">
        <v>231</v>
      </c>
      <c r="B13041" t="s">
        <v>252</v>
      </c>
      <c r="C13041" s="26">
        <v>0.97960000000000003</v>
      </c>
      <c r="F13041" s="26">
        <v>2.0400000000000001E-2</v>
      </c>
      <c r="I13041">
        <v>49</v>
      </c>
    </row>
    <row r="13042" spans="1:9" x14ac:dyDescent="0.35">
      <c r="A13042" t="s">
        <v>231</v>
      </c>
      <c r="B13042" t="s">
        <v>253</v>
      </c>
      <c r="C13042" s="26">
        <v>0.9667</v>
      </c>
      <c r="D13042" s="26">
        <v>3.3300000000000003E-2</v>
      </c>
      <c r="I13042">
        <v>30</v>
      </c>
    </row>
    <row r="13043" spans="1:9" x14ac:dyDescent="0.35">
      <c r="A13043" t="s">
        <v>231</v>
      </c>
      <c r="B13043" t="s">
        <v>251</v>
      </c>
      <c r="C13043" s="26">
        <v>0.9647</v>
      </c>
      <c r="D13043" s="26">
        <v>2.35E-2</v>
      </c>
      <c r="E13043" s="26">
        <v>1.18E-2</v>
      </c>
      <c r="I13043">
        <v>85</v>
      </c>
    </row>
    <row r="13044" spans="1:9" x14ac:dyDescent="0.35">
      <c r="A13044" t="s">
        <v>232</v>
      </c>
      <c r="B13044" t="s">
        <v>232</v>
      </c>
      <c r="C13044" s="26">
        <v>0.96850000000000003</v>
      </c>
      <c r="D13044" s="26">
        <v>1.0500000000000001E-2</v>
      </c>
      <c r="E13044" s="26">
        <v>8.2000000000000007E-3</v>
      </c>
      <c r="F13044" s="26">
        <v>6.0000000000000001E-3</v>
      </c>
      <c r="G13044" s="26">
        <v>5.5999999999999999E-3</v>
      </c>
      <c r="H13044" s="26">
        <v>1.1999999999999999E-3</v>
      </c>
      <c r="I13044">
        <v>2813</v>
      </c>
    </row>
    <row r="13046" spans="1:9" x14ac:dyDescent="0.35">
      <c r="A13046" s="1" t="s">
        <v>1494</v>
      </c>
    </row>
    <row r="13047" spans="1:9" x14ac:dyDescent="0.35">
      <c r="A13047" t="s">
        <v>219</v>
      </c>
      <c r="B13047" t="s">
        <v>305</v>
      </c>
      <c r="C13047" t="s">
        <v>1424</v>
      </c>
      <c r="D13047" t="s">
        <v>1425</v>
      </c>
      <c r="E13047" t="s">
        <v>1427</v>
      </c>
      <c r="F13047" t="s">
        <v>281</v>
      </c>
      <c r="G13047" t="s">
        <v>1426</v>
      </c>
      <c r="H13047" t="s">
        <v>286</v>
      </c>
      <c r="I13047" t="s">
        <v>226</v>
      </c>
    </row>
    <row r="13048" spans="1:9" x14ac:dyDescent="0.35">
      <c r="A13048" t="s">
        <v>227</v>
      </c>
      <c r="B13048" t="s">
        <v>249</v>
      </c>
      <c r="C13048" s="26">
        <v>0.86360000000000003</v>
      </c>
      <c r="D13048" s="26">
        <v>6.8199999999999997E-2</v>
      </c>
      <c r="E13048" s="26">
        <v>4.5499999999999999E-2</v>
      </c>
      <c r="G13048" s="26">
        <v>2.2700000000000001E-2</v>
      </c>
      <c r="I13048">
        <v>44</v>
      </c>
    </row>
    <row r="13049" spans="1:9" x14ac:dyDescent="0.35">
      <c r="A13049" t="s">
        <v>227</v>
      </c>
      <c r="B13049" t="s">
        <v>248</v>
      </c>
      <c r="C13049" s="26">
        <v>0.9829</v>
      </c>
      <c r="E13049" s="26">
        <v>8.5000000000000006E-3</v>
      </c>
      <c r="F13049" s="26">
        <v>8.5000000000000006E-3</v>
      </c>
      <c r="I13049">
        <v>117</v>
      </c>
    </row>
    <row r="13050" spans="1:9" x14ac:dyDescent="0.35">
      <c r="A13050" t="s">
        <v>228</v>
      </c>
      <c r="B13050" t="s">
        <v>249</v>
      </c>
      <c r="C13050" s="26">
        <v>0.93889999999999996</v>
      </c>
      <c r="D13050" s="26">
        <v>1.9400000000000001E-2</v>
      </c>
      <c r="E13050" s="26">
        <v>2.2200000000000001E-2</v>
      </c>
      <c r="F13050" s="26">
        <v>3.5999999999999999E-3</v>
      </c>
      <c r="G13050" s="26">
        <v>1.5800000000000002E-2</v>
      </c>
      <c r="I13050">
        <v>274</v>
      </c>
    </row>
    <row r="13051" spans="1:9" x14ac:dyDescent="0.35">
      <c r="A13051" t="s">
        <v>228</v>
      </c>
      <c r="B13051" t="s">
        <v>248</v>
      </c>
      <c r="C13051" s="26">
        <v>0.97240000000000004</v>
      </c>
      <c r="D13051" s="26">
        <v>6.8999999999999999E-3</v>
      </c>
      <c r="E13051" s="26">
        <v>2.7000000000000001E-3</v>
      </c>
      <c r="F13051" s="26">
        <v>1.03E-2</v>
      </c>
      <c r="G13051" s="26">
        <v>6.0000000000000001E-3</v>
      </c>
      <c r="H13051" s="26">
        <v>1.6999999999999999E-3</v>
      </c>
      <c r="I13051">
        <v>759</v>
      </c>
    </row>
    <row r="13052" spans="1:9" x14ac:dyDescent="0.35">
      <c r="A13052" t="s">
        <v>229</v>
      </c>
      <c r="B13052" t="s">
        <v>249</v>
      </c>
      <c r="C13052" s="26">
        <v>0.97689999999999999</v>
      </c>
      <c r="D13052" s="26">
        <v>1E-3</v>
      </c>
      <c r="E13052" s="26">
        <v>1.17E-2</v>
      </c>
      <c r="F13052" s="26">
        <v>1.0200000000000001E-2</v>
      </c>
      <c r="G13052" s="26">
        <v>2.9999999999999997E-4</v>
      </c>
      <c r="I13052">
        <v>259</v>
      </c>
    </row>
    <row r="13053" spans="1:9" x14ac:dyDescent="0.35">
      <c r="A13053" t="s">
        <v>229</v>
      </c>
      <c r="B13053" t="s">
        <v>248</v>
      </c>
      <c r="C13053" s="26">
        <v>0.97629999999999995</v>
      </c>
      <c r="D13053" s="26">
        <v>1.6999999999999999E-3</v>
      </c>
      <c r="E13053" s="26">
        <v>4.4999999999999997E-3</v>
      </c>
      <c r="F13053" s="26">
        <v>3.5000000000000001E-3</v>
      </c>
      <c r="G13053" s="26">
        <v>9.1000000000000004E-3</v>
      </c>
      <c r="H13053" s="26">
        <v>5.0000000000000001E-3</v>
      </c>
      <c r="I13053">
        <v>636</v>
      </c>
    </row>
    <row r="13054" spans="1:9" x14ac:dyDescent="0.35">
      <c r="A13054" t="s">
        <v>230</v>
      </c>
      <c r="B13054" t="s">
        <v>249</v>
      </c>
      <c r="C13054" s="26">
        <v>0.98050000000000004</v>
      </c>
      <c r="D13054" s="26">
        <v>3.5000000000000001E-3</v>
      </c>
      <c r="G13054" s="26">
        <v>1.6E-2</v>
      </c>
      <c r="I13054">
        <v>171</v>
      </c>
    </row>
    <row r="13055" spans="1:9" x14ac:dyDescent="0.35">
      <c r="A13055" t="s">
        <v>230</v>
      </c>
      <c r="B13055" t="s">
        <v>248</v>
      </c>
      <c r="C13055" s="26">
        <v>0.98470000000000002</v>
      </c>
      <c r="D13055" s="26">
        <v>1.4E-3</v>
      </c>
      <c r="E13055" s="26">
        <v>1.4E-3</v>
      </c>
      <c r="F13055" s="26">
        <v>3.0999999999999999E-3</v>
      </c>
      <c r="G13055" s="26">
        <v>9.4999999999999998E-3</v>
      </c>
      <c r="I13055">
        <v>389</v>
      </c>
    </row>
    <row r="13056" spans="1:9" x14ac:dyDescent="0.35">
      <c r="A13056" t="s">
        <v>231</v>
      </c>
      <c r="B13056" t="s">
        <v>249</v>
      </c>
      <c r="C13056" s="26">
        <v>0.97140000000000004</v>
      </c>
      <c r="D13056" s="26">
        <v>2.86E-2</v>
      </c>
      <c r="I13056">
        <v>35</v>
      </c>
    </row>
    <row r="13057" spans="1:9" x14ac:dyDescent="0.35">
      <c r="A13057" t="s">
        <v>231</v>
      </c>
      <c r="B13057" t="s">
        <v>248</v>
      </c>
      <c r="C13057" s="26">
        <v>0.96899999999999997</v>
      </c>
      <c r="D13057" s="26">
        <v>1.55E-2</v>
      </c>
      <c r="E13057" s="26">
        <v>7.7999999999999996E-3</v>
      </c>
      <c r="F13057" s="26">
        <v>7.7999999999999996E-3</v>
      </c>
      <c r="I13057">
        <v>129</v>
      </c>
    </row>
    <row r="13058" spans="1:9" x14ac:dyDescent="0.35">
      <c r="A13058" t="s">
        <v>232</v>
      </c>
      <c r="B13058" t="s">
        <v>232</v>
      </c>
      <c r="C13058" s="26">
        <v>0.96850000000000003</v>
      </c>
      <c r="D13058" s="26">
        <v>1.0500000000000001E-2</v>
      </c>
      <c r="E13058" s="26">
        <v>8.2000000000000007E-3</v>
      </c>
      <c r="F13058" s="26">
        <v>6.0000000000000001E-3</v>
      </c>
      <c r="G13058" s="26">
        <v>5.5999999999999999E-3</v>
      </c>
      <c r="H13058" s="26">
        <v>1.1999999999999999E-3</v>
      </c>
      <c r="I13058">
        <v>2813</v>
      </c>
    </row>
    <row r="13060" spans="1:9" x14ac:dyDescent="0.35">
      <c r="A13060" s="1" t="s">
        <v>1495</v>
      </c>
    </row>
    <row r="13061" spans="1:9" x14ac:dyDescent="0.35">
      <c r="A13061" t="s">
        <v>219</v>
      </c>
      <c r="B13061" t="s">
        <v>305</v>
      </c>
      <c r="C13061" t="s">
        <v>1424</v>
      </c>
      <c r="D13061" t="s">
        <v>1425</v>
      </c>
      <c r="E13061" t="s">
        <v>1427</v>
      </c>
      <c r="F13061" t="s">
        <v>281</v>
      </c>
      <c r="G13061" t="s">
        <v>1426</v>
      </c>
      <c r="H13061" t="s">
        <v>286</v>
      </c>
      <c r="I13061" t="s">
        <v>226</v>
      </c>
    </row>
    <row r="13062" spans="1:9" x14ac:dyDescent="0.35">
      <c r="A13062" s="27" t="s">
        <v>227</v>
      </c>
      <c r="B13062" s="27" t="s">
        <v>263</v>
      </c>
      <c r="C13062" s="28">
        <v>1</v>
      </c>
      <c r="D13062" s="29"/>
      <c r="E13062" s="29"/>
      <c r="F13062" s="29"/>
      <c r="G13062" s="29"/>
      <c r="H13062" s="29"/>
      <c r="I13062" s="29" t="s">
        <v>315</v>
      </c>
    </row>
    <row r="13063" spans="1:9" x14ac:dyDescent="0.35">
      <c r="A13063" t="s">
        <v>227</v>
      </c>
      <c r="B13063" t="s">
        <v>261</v>
      </c>
      <c r="C13063" s="26">
        <v>0.96970000000000001</v>
      </c>
      <c r="G13063" s="26">
        <v>3.0300000000000001E-2</v>
      </c>
      <c r="I13063">
        <v>33</v>
      </c>
    </row>
    <row r="13064" spans="1:9" x14ac:dyDescent="0.35">
      <c r="A13064" s="27" t="s">
        <v>227</v>
      </c>
      <c r="B13064" s="27" t="s">
        <v>262</v>
      </c>
      <c r="C13064" s="28">
        <v>0.66669999999999996</v>
      </c>
      <c r="D13064" s="29"/>
      <c r="E13064" s="28">
        <v>0.33329999999999999</v>
      </c>
      <c r="F13064" s="29"/>
      <c r="G13064" s="29"/>
      <c r="H13064" s="29"/>
      <c r="I13064" s="29" t="s">
        <v>315</v>
      </c>
    </row>
    <row r="13065" spans="1:9" x14ac:dyDescent="0.35">
      <c r="A13065" t="s">
        <v>227</v>
      </c>
      <c r="B13065" t="s">
        <v>260</v>
      </c>
      <c r="C13065" s="26">
        <v>0.95079999999999998</v>
      </c>
      <c r="D13065" s="26">
        <v>2.46E-2</v>
      </c>
      <c r="E13065" s="26">
        <v>1.6400000000000001E-2</v>
      </c>
      <c r="F13065" s="26">
        <v>8.2000000000000007E-3</v>
      </c>
      <c r="I13065">
        <v>122</v>
      </c>
    </row>
    <row r="13066" spans="1:9" x14ac:dyDescent="0.35">
      <c r="A13066" t="s">
        <v>228</v>
      </c>
      <c r="B13066" t="s">
        <v>261</v>
      </c>
      <c r="C13066" s="26">
        <v>0.93869999999999998</v>
      </c>
      <c r="D13066" s="26">
        <v>2.1999999999999999E-2</v>
      </c>
      <c r="E13066" s="26">
        <v>2.23E-2</v>
      </c>
      <c r="F13066" s="26">
        <v>2.5000000000000001E-3</v>
      </c>
      <c r="G13066" s="26">
        <v>8.5000000000000006E-3</v>
      </c>
      <c r="H13066" s="26">
        <v>6.0000000000000001E-3</v>
      </c>
      <c r="I13066">
        <v>192</v>
      </c>
    </row>
    <row r="13067" spans="1:9" x14ac:dyDescent="0.35">
      <c r="A13067" s="27" t="s">
        <v>228</v>
      </c>
      <c r="B13067" s="27" t="s">
        <v>263</v>
      </c>
      <c r="C13067" s="28">
        <v>0.97070000000000001</v>
      </c>
      <c r="D13067" s="29"/>
      <c r="E13067" s="29"/>
      <c r="F13067" s="28">
        <v>2.93E-2</v>
      </c>
      <c r="G13067" s="29"/>
      <c r="H13067" s="29"/>
      <c r="I13067" s="29" t="s">
        <v>312</v>
      </c>
    </row>
    <row r="13068" spans="1:9" x14ac:dyDescent="0.35">
      <c r="A13068" s="27" t="s">
        <v>228</v>
      </c>
      <c r="B13068" s="27" t="s">
        <v>236</v>
      </c>
      <c r="C13068" s="28">
        <v>1</v>
      </c>
      <c r="D13068" s="29"/>
      <c r="E13068" s="29"/>
      <c r="F13068" s="29"/>
      <c r="G13068" s="29"/>
      <c r="H13068" s="29"/>
      <c r="I13068" s="29" t="s">
        <v>335</v>
      </c>
    </row>
    <row r="13069" spans="1:9" x14ac:dyDescent="0.35">
      <c r="A13069" t="s">
        <v>228</v>
      </c>
      <c r="B13069" t="s">
        <v>262</v>
      </c>
      <c r="C13069" s="26">
        <v>0.96240000000000003</v>
      </c>
      <c r="D13069" s="26">
        <v>1.41E-2</v>
      </c>
      <c r="E13069" s="26">
        <v>2.8999999999999998E-3</v>
      </c>
      <c r="F13069" s="26">
        <v>1.3599999999999999E-2</v>
      </c>
      <c r="G13069" s="26">
        <v>7.0000000000000001E-3</v>
      </c>
      <c r="I13069">
        <v>201</v>
      </c>
    </row>
    <row r="13070" spans="1:9" x14ac:dyDescent="0.35">
      <c r="A13070" t="s">
        <v>228</v>
      </c>
      <c r="B13070" t="s">
        <v>260</v>
      </c>
      <c r="C13070" s="26">
        <v>0.96930000000000005</v>
      </c>
      <c r="D13070" s="26">
        <v>6.6E-3</v>
      </c>
      <c r="E13070" s="26">
        <v>6.1000000000000004E-3</v>
      </c>
      <c r="F13070" s="26">
        <v>8.0999999999999996E-3</v>
      </c>
      <c r="G13070" s="26">
        <v>9.9000000000000008E-3</v>
      </c>
      <c r="I13070">
        <v>609</v>
      </c>
    </row>
    <row r="13071" spans="1:9" x14ac:dyDescent="0.35">
      <c r="A13071" s="27" t="s">
        <v>229</v>
      </c>
      <c r="B13071" s="27" t="s">
        <v>263</v>
      </c>
      <c r="C13071" s="28">
        <v>1</v>
      </c>
      <c r="D13071" s="29"/>
      <c r="E13071" s="29"/>
      <c r="F13071" s="29"/>
      <c r="G13071" s="29"/>
      <c r="H13071" s="29"/>
      <c r="I13071" s="29" t="s">
        <v>379</v>
      </c>
    </row>
    <row r="13072" spans="1:9" x14ac:dyDescent="0.35">
      <c r="A13072" t="s">
        <v>229</v>
      </c>
      <c r="B13072" t="s">
        <v>262</v>
      </c>
      <c r="C13072" s="26">
        <v>0.97070000000000001</v>
      </c>
      <c r="D13072" s="26">
        <v>1.8E-3</v>
      </c>
      <c r="E13072" s="26">
        <v>8.9999999999999998E-4</v>
      </c>
      <c r="F13072" s="26">
        <v>3.5999999999999999E-3</v>
      </c>
      <c r="G13072" s="26">
        <v>1.11E-2</v>
      </c>
      <c r="H13072" s="26">
        <v>1.1900000000000001E-2</v>
      </c>
      <c r="I13072">
        <v>188</v>
      </c>
    </row>
    <row r="13073" spans="1:9" x14ac:dyDescent="0.35">
      <c r="A13073" t="s">
        <v>229</v>
      </c>
      <c r="B13073" t="s">
        <v>261</v>
      </c>
      <c r="C13073" s="26">
        <v>0.95630000000000004</v>
      </c>
      <c r="E13073" s="26">
        <v>2.24E-2</v>
      </c>
      <c r="F13073" s="26">
        <v>4.4999999999999997E-3</v>
      </c>
      <c r="G13073" s="26">
        <v>1.6899999999999998E-2</v>
      </c>
      <c r="I13073">
        <v>96</v>
      </c>
    </row>
    <row r="13074" spans="1:9" x14ac:dyDescent="0.35">
      <c r="A13074" s="27" t="s">
        <v>229</v>
      </c>
      <c r="B13074" s="27" t="s">
        <v>236</v>
      </c>
      <c r="C13074" s="28">
        <v>1</v>
      </c>
      <c r="D13074" s="29"/>
      <c r="E13074" s="29"/>
      <c r="F13074" s="29"/>
      <c r="G13074" s="29"/>
      <c r="H13074" s="29"/>
      <c r="I13074" s="29" t="s">
        <v>331</v>
      </c>
    </row>
    <row r="13075" spans="1:9" x14ac:dyDescent="0.35">
      <c r="A13075" t="s">
        <v>229</v>
      </c>
      <c r="B13075" t="s">
        <v>260</v>
      </c>
      <c r="C13075" s="26">
        <v>0.98399999999999999</v>
      </c>
      <c r="D13075" s="26">
        <v>1.6999999999999999E-3</v>
      </c>
      <c r="E13075" s="26">
        <v>5.8999999999999999E-3</v>
      </c>
      <c r="F13075" s="26">
        <v>7.3000000000000001E-3</v>
      </c>
      <c r="G13075" s="26">
        <v>1.1000000000000001E-3</v>
      </c>
      <c r="I13075">
        <v>596</v>
      </c>
    </row>
    <row r="13076" spans="1:9" x14ac:dyDescent="0.35">
      <c r="A13076" s="27" t="s">
        <v>230</v>
      </c>
      <c r="B13076" s="27" t="s">
        <v>236</v>
      </c>
      <c r="C13076" s="28">
        <v>1</v>
      </c>
      <c r="D13076" s="29"/>
      <c r="E13076" s="29"/>
      <c r="F13076" s="29"/>
      <c r="G13076" s="29"/>
      <c r="H13076" s="29"/>
      <c r="I13076" s="29" t="s">
        <v>337</v>
      </c>
    </row>
    <row r="13077" spans="1:9" x14ac:dyDescent="0.35">
      <c r="A13077" t="s">
        <v>230</v>
      </c>
      <c r="B13077" t="s">
        <v>262</v>
      </c>
      <c r="C13077" s="26">
        <v>0.99399999999999999</v>
      </c>
      <c r="E13077" s="26">
        <v>6.0000000000000001E-3</v>
      </c>
      <c r="I13077">
        <v>122</v>
      </c>
    </row>
    <row r="13078" spans="1:9" x14ac:dyDescent="0.35">
      <c r="A13078" t="s">
        <v>230</v>
      </c>
      <c r="B13078" t="s">
        <v>261</v>
      </c>
      <c r="C13078" s="26">
        <v>1</v>
      </c>
      <c r="I13078">
        <v>57</v>
      </c>
    </row>
    <row r="13079" spans="1:9" x14ac:dyDescent="0.35">
      <c r="A13079" s="27" t="s">
        <v>230</v>
      </c>
      <c r="B13079" s="27" t="s">
        <v>263</v>
      </c>
      <c r="C13079" s="28">
        <v>1</v>
      </c>
      <c r="D13079" s="29"/>
      <c r="E13079" s="29"/>
      <c r="F13079" s="29"/>
      <c r="G13079" s="29"/>
      <c r="H13079" s="29"/>
      <c r="I13079" s="29" t="s">
        <v>312</v>
      </c>
    </row>
    <row r="13080" spans="1:9" x14ac:dyDescent="0.35">
      <c r="A13080" t="s">
        <v>230</v>
      </c>
      <c r="B13080" t="s">
        <v>260</v>
      </c>
      <c r="C13080" s="26">
        <v>0.97719999999999996</v>
      </c>
      <c r="D13080" s="26">
        <v>3.0000000000000001E-3</v>
      </c>
      <c r="F13080" s="26">
        <v>3.0000000000000001E-3</v>
      </c>
      <c r="G13080" s="26">
        <v>1.6799999999999999E-2</v>
      </c>
      <c r="I13080">
        <v>352</v>
      </c>
    </row>
    <row r="13081" spans="1:9" x14ac:dyDescent="0.35">
      <c r="A13081" s="27" t="s">
        <v>231</v>
      </c>
      <c r="B13081" s="27" t="s">
        <v>263</v>
      </c>
      <c r="C13081" s="28">
        <v>1</v>
      </c>
      <c r="D13081" s="29"/>
      <c r="E13081" s="29"/>
      <c r="F13081" s="29"/>
      <c r="G13081" s="29"/>
      <c r="H13081" s="29"/>
      <c r="I13081" s="29" t="s">
        <v>314</v>
      </c>
    </row>
    <row r="13082" spans="1:9" x14ac:dyDescent="0.35">
      <c r="A13082" t="s">
        <v>231</v>
      </c>
      <c r="B13082" t="s">
        <v>260</v>
      </c>
      <c r="C13082" s="26">
        <v>0.9677</v>
      </c>
      <c r="D13082" s="26">
        <v>1.61E-2</v>
      </c>
      <c r="E13082" s="26">
        <v>8.0999999999999996E-3</v>
      </c>
      <c r="F13082" s="26">
        <v>8.0999999999999996E-3</v>
      </c>
      <c r="I13082">
        <v>124</v>
      </c>
    </row>
    <row r="13083" spans="1:9" x14ac:dyDescent="0.35">
      <c r="A13083" s="27" t="s">
        <v>231</v>
      </c>
      <c r="B13083" s="27" t="s">
        <v>261</v>
      </c>
      <c r="C13083" s="28">
        <v>0.96299999999999997</v>
      </c>
      <c r="D13083" s="28">
        <v>3.6999999999999998E-2</v>
      </c>
      <c r="E13083" s="29"/>
      <c r="F13083" s="29"/>
      <c r="G13083" s="29"/>
      <c r="H13083" s="29"/>
      <c r="I13083" s="29" t="s">
        <v>338</v>
      </c>
    </row>
    <row r="13084" spans="1:9" x14ac:dyDescent="0.35">
      <c r="A13084" s="27" t="s">
        <v>231</v>
      </c>
      <c r="B13084" s="27" t="s">
        <v>262</v>
      </c>
      <c r="C13084" s="28">
        <v>1</v>
      </c>
      <c r="D13084" s="29"/>
      <c r="E13084" s="29"/>
      <c r="F13084" s="29"/>
      <c r="G13084" s="29"/>
      <c r="H13084" s="29"/>
      <c r="I13084" s="29" t="s">
        <v>352</v>
      </c>
    </row>
    <row r="13085" spans="1:9" x14ac:dyDescent="0.35">
      <c r="A13085" t="s">
        <v>232</v>
      </c>
      <c r="B13085" t="s">
        <v>232</v>
      </c>
      <c r="C13085" s="26">
        <v>0.96850000000000003</v>
      </c>
      <c r="D13085" s="26">
        <v>1.0500000000000001E-2</v>
      </c>
      <c r="E13085" s="26">
        <v>8.2000000000000007E-3</v>
      </c>
      <c r="F13085" s="26">
        <v>6.0000000000000001E-3</v>
      </c>
      <c r="G13085" s="26">
        <v>5.5999999999999999E-3</v>
      </c>
      <c r="H13085" s="26">
        <v>1.1999999999999999E-3</v>
      </c>
      <c r="I13085">
        <v>2813</v>
      </c>
    </row>
    <row r="13087" spans="1:9" x14ac:dyDescent="0.35">
      <c r="A13087" s="1" t="s">
        <v>1496</v>
      </c>
    </row>
    <row r="13088" spans="1:9" x14ac:dyDescent="0.35">
      <c r="A13088" t="s">
        <v>219</v>
      </c>
      <c r="B13088" t="s">
        <v>305</v>
      </c>
      <c r="C13088" t="s">
        <v>1424</v>
      </c>
      <c r="D13088" t="s">
        <v>1425</v>
      </c>
      <c r="E13088" t="s">
        <v>1427</v>
      </c>
      <c r="F13088" t="s">
        <v>281</v>
      </c>
      <c r="G13088" t="s">
        <v>1426</v>
      </c>
      <c r="H13088" t="s">
        <v>286</v>
      </c>
      <c r="I13088" t="s">
        <v>226</v>
      </c>
    </row>
    <row r="13089" spans="1:9" x14ac:dyDescent="0.35">
      <c r="A13089" t="s">
        <v>227</v>
      </c>
      <c r="B13089" t="s">
        <v>368</v>
      </c>
      <c r="C13089" s="26">
        <v>0.96970000000000001</v>
      </c>
      <c r="G13089" s="26">
        <v>3.0300000000000001E-2</v>
      </c>
      <c r="I13089">
        <v>33</v>
      </c>
    </row>
    <row r="13090" spans="1:9" x14ac:dyDescent="0.35">
      <c r="A13090" t="s">
        <v>227</v>
      </c>
      <c r="B13090" t="s">
        <v>369</v>
      </c>
      <c r="C13090" s="26">
        <v>0.94530000000000003</v>
      </c>
      <c r="D13090" s="26">
        <v>2.3400000000000001E-2</v>
      </c>
      <c r="E13090" s="26">
        <v>2.3400000000000001E-2</v>
      </c>
      <c r="F13090" s="26">
        <v>7.7999999999999996E-3</v>
      </c>
      <c r="I13090">
        <v>128</v>
      </c>
    </row>
    <row r="13091" spans="1:9" x14ac:dyDescent="0.35">
      <c r="A13091" t="s">
        <v>228</v>
      </c>
      <c r="B13091" t="s">
        <v>368</v>
      </c>
      <c r="C13091" s="26">
        <v>0.93869999999999998</v>
      </c>
      <c r="D13091" s="26">
        <v>2.1999999999999999E-2</v>
      </c>
      <c r="E13091" s="26">
        <v>2.23E-2</v>
      </c>
      <c r="F13091" s="26">
        <v>2.5000000000000001E-3</v>
      </c>
      <c r="G13091" s="26">
        <v>8.5000000000000006E-3</v>
      </c>
      <c r="H13091" s="26">
        <v>6.0000000000000001E-3</v>
      </c>
      <c r="I13091">
        <v>192</v>
      </c>
    </row>
    <row r="13092" spans="1:9" x14ac:dyDescent="0.35">
      <c r="A13092" t="s">
        <v>228</v>
      </c>
      <c r="B13092" t="s">
        <v>369</v>
      </c>
      <c r="C13092" s="26">
        <v>0.96809999999999996</v>
      </c>
      <c r="D13092" s="26">
        <v>7.9000000000000008E-3</v>
      </c>
      <c r="E13092" s="26">
        <v>5.1999999999999998E-3</v>
      </c>
      <c r="F13092" s="26">
        <v>9.7000000000000003E-3</v>
      </c>
      <c r="G13092" s="26">
        <v>8.9999999999999993E-3</v>
      </c>
      <c r="I13092">
        <v>841</v>
      </c>
    </row>
    <row r="13093" spans="1:9" x14ac:dyDescent="0.35">
      <c r="A13093" t="s">
        <v>229</v>
      </c>
      <c r="B13093" t="s">
        <v>368</v>
      </c>
      <c r="C13093" s="26">
        <v>0.95630000000000004</v>
      </c>
      <c r="E13093" s="26">
        <v>2.24E-2</v>
      </c>
      <c r="F13093" s="26">
        <v>4.4999999999999997E-3</v>
      </c>
      <c r="G13093" s="26">
        <v>1.6899999999999998E-2</v>
      </c>
      <c r="I13093">
        <v>96</v>
      </c>
    </row>
    <row r="13094" spans="1:9" x14ac:dyDescent="0.35">
      <c r="A13094" t="s">
        <v>229</v>
      </c>
      <c r="B13094" t="s">
        <v>369</v>
      </c>
      <c r="C13094" s="26">
        <v>0.98</v>
      </c>
      <c r="D13094" s="26">
        <v>1.6999999999999999E-3</v>
      </c>
      <c r="E13094" s="26">
        <v>4.1000000000000003E-3</v>
      </c>
      <c r="F13094" s="26">
        <v>5.8999999999999999E-3</v>
      </c>
      <c r="G13094" s="26">
        <v>4.4000000000000003E-3</v>
      </c>
      <c r="H13094" s="26">
        <v>3.8999999999999998E-3</v>
      </c>
      <c r="I13094">
        <v>799</v>
      </c>
    </row>
    <row r="13095" spans="1:9" x14ac:dyDescent="0.35">
      <c r="A13095" t="s">
        <v>230</v>
      </c>
      <c r="B13095" t="s">
        <v>368</v>
      </c>
      <c r="C13095" s="26">
        <v>1</v>
      </c>
      <c r="I13095">
        <v>57</v>
      </c>
    </row>
    <row r="13096" spans="1:9" x14ac:dyDescent="0.35">
      <c r="A13096" t="s">
        <v>230</v>
      </c>
      <c r="B13096" t="s">
        <v>369</v>
      </c>
      <c r="C13096" s="26">
        <v>0.98070000000000002</v>
      </c>
      <c r="D13096" s="26">
        <v>2.3999999999999998E-3</v>
      </c>
      <c r="E13096" s="26">
        <v>1E-3</v>
      </c>
      <c r="F13096" s="26">
        <v>2.3999999999999998E-3</v>
      </c>
      <c r="G13096" s="26">
        <v>1.34E-2</v>
      </c>
      <c r="I13096">
        <v>503</v>
      </c>
    </row>
    <row r="13097" spans="1:9" x14ac:dyDescent="0.35">
      <c r="A13097" s="27" t="s">
        <v>231</v>
      </c>
      <c r="B13097" s="27" t="s">
        <v>368</v>
      </c>
      <c r="C13097" s="28">
        <v>0.96299999999999997</v>
      </c>
      <c r="D13097" s="28">
        <v>3.6999999999999998E-2</v>
      </c>
      <c r="E13097" s="29"/>
      <c r="F13097" s="29"/>
      <c r="G13097" s="29"/>
      <c r="H13097" s="29"/>
      <c r="I13097" s="29" t="s">
        <v>338</v>
      </c>
    </row>
    <row r="13098" spans="1:9" x14ac:dyDescent="0.35">
      <c r="A13098" t="s">
        <v>231</v>
      </c>
      <c r="B13098" t="s">
        <v>369</v>
      </c>
      <c r="C13098" s="26">
        <v>0.9708</v>
      </c>
      <c r="D13098" s="26">
        <v>1.46E-2</v>
      </c>
      <c r="E13098" s="26">
        <v>7.3000000000000001E-3</v>
      </c>
      <c r="F13098" s="26">
        <v>7.3000000000000001E-3</v>
      </c>
      <c r="I13098">
        <v>137</v>
      </c>
    </row>
    <row r="13099" spans="1:9" x14ac:dyDescent="0.35">
      <c r="A13099" t="s">
        <v>232</v>
      </c>
      <c r="B13099" t="s">
        <v>232</v>
      </c>
      <c r="C13099" s="26">
        <v>0.96850000000000003</v>
      </c>
      <c r="D13099" s="26">
        <v>1.0500000000000001E-2</v>
      </c>
      <c r="E13099" s="26">
        <v>8.2000000000000007E-3</v>
      </c>
      <c r="F13099" s="26">
        <v>6.0000000000000001E-3</v>
      </c>
      <c r="G13099" s="26">
        <v>5.5999999999999999E-3</v>
      </c>
      <c r="H13099" s="26">
        <v>1.1999999999999999E-3</v>
      </c>
      <c r="I13099">
        <v>2813</v>
      </c>
    </row>
    <row r="13101" spans="1:9" x14ac:dyDescent="0.35">
      <c r="A13101" s="1" t="s">
        <v>1497</v>
      </c>
    </row>
    <row r="13102" spans="1:9" x14ac:dyDescent="0.35">
      <c r="A13102" t="s">
        <v>219</v>
      </c>
      <c r="B13102" t="s">
        <v>305</v>
      </c>
      <c r="C13102" t="s">
        <v>1424</v>
      </c>
      <c r="D13102" t="s">
        <v>1425</v>
      </c>
      <c r="E13102" t="s">
        <v>1427</v>
      </c>
      <c r="F13102" t="s">
        <v>281</v>
      </c>
      <c r="G13102" t="s">
        <v>1426</v>
      </c>
      <c r="H13102" t="s">
        <v>286</v>
      </c>
      <c r="I13102" t="s">
        <v>226</v>
      </c>
    </row>
    <row r="13103" spans="1:9" x14ac:dyDescent="0.35">
      <c r="A13103" t="s">
        <v>227</v>
      </c>
      <c r="B13103" t="s">
        <v>371</v>
      </c>
      <c r="C13103" s="26">
        <v>0.95030000000000003</v>
      </c>
      <c r="D13103" s="26">
        <v>1.8599999999999998E-2</v>
      </c>
      <c r="E13103" s="26">
        <v>1.8599999999999998E-2</v>
      </c>
      <c r="F13103" s="26">
        <v>6.1999999999999998E-3</v>
      </c>
      <c r="G13103" s="26">
        <v>6.1999999999999998E-3</v>
      </c>
      <c r="I13103">
        <v>161</v>
      </c>
    </row>
    <row r="13104" spans="1:9" x14ac:dyDescent="0.35">
      <c r="A13104" t="s">
        <v>228</v>
      </c>
      <c r="B13104" t="s">
        <v>371</v>
      </c>
      <c r="C13104" s="26">
        <v>0.97030000000000005</v>
      </c>
      <c r="D13104" s="26">
        <v>6.4000000000000003E-3</v>
      </c>
      <c r="E13104" s="26">
        <v>1.4200000000000001E-2</v>
      </c>
      <c r="F13104" s="26">
        <v>1.4E-3</v>
      </c>
      <c r="G13104" s="26">
        <v>7.7000000000000002E-3</v>
      </c>
      <c r="I13104">
        <v>292</v>
      </c>
    </row>
    <row r="13105" spans="1:9" x14ac:dyDescent="0.35">
      <c r="A13105" t="s">
        <v>228</v>
      </c>
      <c r="B13105" t="s">
        <v>372</v>
      </c>
      <c r="C13105" s="26">
        <v>0.93940000000000001</v>
      </c>
      <c r="D13105" s="26">
        <v>2.3800000000000002E-2</v>
      </c>
      <c r="E13105" s="26">
        <v>7.7000000000000002E-3</v>
      </c>
      <c r="F13105" s="26">
        <v>2.4199999999999999E-2</v>
      </c>
      <c r="G13105" s="26">
        <v>4.8999999999999998E-3</v>
      </c>
      <c r="I13105">
        <v>218</v>
      </c>
    </row>
    <row r="13106" spans="1:9" x14ac:dyDescent="0.35">
      <c r="A13106" t="s">
        <v>228</v>
      </c>
      <c r="B13106" t="s">
        <v>373</v>
      </c>
      <c r="C13106" s="26">
        <v>0.95689999999999997</v>
      </c>
      <c r="D13106" s="26">
        <v>1.35E-2</v>
      </c>
      <c r="E13106" s="26">
        <v>1.1999999999999999E-3</v>
      </c>
      <c r="F13106" s="26">
        <v>1.4E-2</v>
      </c>
      <c r="G13106" s="26">
        <v>1.14E-2</v>
      </c>
      <c r="H13106" s="26">
        <v>3.0000000000000001E-3</v>
      </c>
      <c r="I13106">
        <v>523</v>
      </c>
    </row>
    <row r="13107" spans="1:9" x14ac:dyDescent="0.35">
      <c r="A13107" t="s">
        <v>229</v>
      </c>
      <c r="B13107" t="s">
        <v>371</v>
      </c>
      <c r="C13107" s="26">
        <v>0.97760000000000002</v>
      </c>
      <c r="D13107" s="26">
        <v>6.9999999999999999E-4</v>
      </c>
      <c r="E13107" s="26">
        <v>6.8999999999999999E-3</v>
      </c>
      <c r="F13107" s="26">
        <v>5.4000000000000003E-3</v>
      </c>
      <c r="G13107" s="26">
        <v>6.1999999999999998E-3</v>
      </c>
      <c r="H13107" s="26">
        <v>3.2000000000000002E-3</v>
      </c>
      <c r="I13107">
        <v>584</v>
      </c>
    </row>
    <row r="13108" spans="1:9" x14ac:dyDescent="0.35">
      <c r="A13108" t="s">
        <v>229</v>
      </c>
      <c r="B13108" t="s">
        <v>372</v>
      </c>
      <c r="C13108" s="26">
        <v>0.95379999999999998</v>
      </c>
      <c r="D13108" s="26">
        <v>1.23E-2</v>
      </c>
      <c r="E13108" s="26">
        <v>1.04E-2</v>
      </c>
      <c r="F13108" s="26">
        <v>6.6E-3</v>
      </c>
      <c r="G13108" s="26">
        <v>1.04E-2</v>
      </c>
      <c r="H13108" s="26">
        <v>6.6E-3</v>
      </c>
      <c r="I13108">
        <v>221</v>
      </c>
    </row>
    <row r="13109" spans="1:9" x14ac:dyDescent="0.35">
      <c r="A13109" t="s">
        <v>229</v>
      </c>
      <c r="B13109" t="s">
        <v>373</v>
      </c>
      <c r="C13109" s="26">
        <v>0.98129999999999995</v>
      </c>
      <c r="D13109" s="26">
        <v>6.3E-3</v>
      </c>
      <c r="F13109" s="26">
        <v>1.23E-2</v>
      </c>
      <c r="I13109">
        <v>90</v>
      </c>
    </row>
    <row r="13110" spans="1:9" x14ac:dyDescent="0.35">
      <c r="A13110" t="s">
        <v>230</v>
      </c>
      <c r="B13110" t="s">
        <v>371</v>
      </c>
      <c r="C13110" s="26">
        <v>0.98229999999999995</v>
      </c>
      <c r="D13110" s="26">
        <v>2.2000000000000001E-3</v>
      </c>
      <c r="E13110" s="26">
        <v>1.1000000000000001E-3</v>
      </c>
      <c r="F13110" s="26">
        <v>1.1000000000000001E-3</v>
      </c>
      <c r="G13110" s="26">
        <v>1.32E-2</v>
      </c>
      <c r="I13110">
        <v>262</v>
      </c>
    </row>
    <row r="13111" spans="1:9" x14ac:dyDescent="0.35">
      <c r="A13111" t="s">
        <v>230</v>
      </c>
      <c r="B13111" t="s">
        <v>372</v>
      </c>
      <c r="C13111" s="26">
        <v>0.95979999999999999</v>
      </c>
      <c r="D13111" s="26">
        <v>4.7000000000000002E-3</v>
      </c>
      <c r="F13111" s="26">
        <v>2.01E-2</v>
      </c>
      <c r="G13111" s="26">
        <v>1.54E-2</v>
      </c>
      <c r="I13111">
        <v>146</v>
      </c>
    </row>
    <row r="13112" spans="1:9" x14ac:dyDescent="0.35">
      <c r="A13112" t="s">
        <v>230</v>
      </c>
      <c r="B13112" t="s">
        <v>373</v>
      </c>
      <c r="C13112" s="26">
        <v>1</v>
      </c>
      <c r="I13112">
        <v>152</v>
      </c>
    </row>
    <row r="13113" spans="1:9" x14ac:dyDescent="0.35">
      <c r="A13113" t="s">
        <v>231</v>
      </c>
      <c r="B13113" t="s">
        <v>371</v>
      </c>
      <c r="C13113" s="26">
        <v>0.96950000000000003</v>
      </c>
      <c r="D13113" s="26">
        <v>1.83E-2</v>
      </c>
      <c r="E13113" s="26">
        <v>6.1000000000000004E-3</v>
      </c>
      <c r="F13113" s="26">
        <v>6.1000000000000004E-3</v>
      </c>
      <c r="I13113">
        <v>164</v>
      </c>
    </row>
    <row r="13114" spans="1:9" x14ac:dyDescent="0.35">
      <c r="A13114" t="s">
        <v>232</v>
      </c>
      <c r="B13114" t="s">
        <v>232</v>
      </c>
      <c r="C13114" s="26">
        <v>0.96850000000000003</v>
      </c>
      <c r="D13114" s="26">
        <v>1.0500000000000001E-2</v>
      </c>
      <c r="E13114" s="26">
        <v>8.2000000000000007E-3</v>
      </c>
      <c r="F13114" s="26">
        <v>6.0000000000000001E-3</v>
      </c>
      <c r="G13114" s="26">
        <v>5.5999999999999999E-3</v>
      </c>
      <c r="H13114" s="26">
        <v>1.1999999999999999E-3</v>
      </c>
      <c r="I13114">
        <v>2813</v>
      </c>
    </row>
    <row r="13116" spans="1:9" x14ac:dyDescent="0.35">
      <c r="A13116" s="1" t="s">
        <v>1498</v>
      </c>
    </row>
    <row r="13117" spans="1:9" x14ac:dyDescent="0.35">
      <c r="A13117" t="s">
        <v>219</v>
      </c>
      <c r="B13117" t="s">
        <v>305</v>
      </c>
      <c r="C13117" t="s">
        <v>1424</v>
      </c>
      <c r="D13117" t="s">
        <v>1425</v>
      </c>
      <c r="E13117" t="s">
        <v>1427</v>
      </c>
      <c r="F13117" t="s">
        <v>281</v>
      </c>
      <c r="G13117" t="s">
        <v>1426</v>
      </c>
      <c r="H13117" t="s">
        <v>286</v>
      </c>
      <c r="I13117" t="s">
        <v>226</v>
      </c>
    </row>
    <row r="13118" spans="1:9" x14ac:dyDescent="0.35">
      <c r="A13118" t="s">
        <v>227</v>
      </c>
      <c r="B13118" t="s">
        <v>255</v>
      </c>
      <c r="C13118" s="26">
        <v>0.9829</v>
      </c>
      <c r="E13118" s="26">
        <v>8.5000000000000006E-3</v>
      </c>
      <c r="F13118" s="26">
        <v>8.5000000000000006E-3</v>
      </c>
      <c r="I13118">
        <v>117</v>
      </c>
    </row>
    <row r="13119" spans="1:9" x14ac:dyDescent="0.35">
      <c r="A13119" s="27" t="s">
        <v>227</v>
      </c>
      <c r="B13119" s="27" t="s">
        <v>257</v>
      </c>
      <c r="C13119" s="28">
        <v>0.88890000000000002</v>
      </c>
      <c r="D13119" s="28">
        <v>0.1111</v>
      </c>
      <c r="E13119" s="29"/>
      <c r="F13119" s="29"/>
      <c r="G13119" s="29"/>
      <c r="H13119" s="29"/>
      <c r="I13119" s="29" t="s">
        <v>334</v>
      </c>
    </row>
    <row r="13120" spans="1:9" x14ac:dyDescent="0.35">
      <c r="A13120" t="s">
        <v>227</v>
      </c>
      <c r="B13120" t="s">
        <v>256</v>
      </c>
      <c r="C13120" s="26">
        <v>0.85709999999999997</v>
      </c>
      <c r="D13120" s="26">
        <v>5.7099999999999998E-2</v>
      </c>
      <c r="E13120" s="26">
        <v>5.7099999999999998E-2</v>
      </c>
      <c r="G13120" s="26">
        <v>2.86E-2</v>
      </c>
      <c r="I13120">
        <v>35</v>
      </c>
    </row>
    <row r="13121" spans="1:9" x14ac:dyDescent="0.35">
      <c r="A13121" t="s">
        <v>228</v>
      </c>
      <c r="B13121" t="s">
        <v>257</v>
      </c>
      <c r="C13121" s="26">
        <v>0.98399999999999999</v>
      </c>
      <c r="D13121" s="26">
        <v>1.6E-2</v>
      </c>
      <c r="I13121">
        <v>49</v>
      </c>
    </row>
    <row r="13122" spans="1:9" x14ac:dyDescent="0.35">
      <c r="A13122" s="27" t="s">
        <v>228</v>
      </c>
      <c r="B13122" s="27" t="s">
        <v>258</v>
      </c>
      <c r="C13122" s="28">
        <v>1</v>
      </c>
      <c r="D13122" s="29"/>
      <c r="E13122" s="29"/>
      <c r="F13122" s="29"/>
      <c r="G13122" s="29"/>
      <c r="H13122" s="29"/>
      <c r="I13122" s="29" t="s">
        <v>337</v>
      </c>
    </row>
    <row r="13123" spans="1:9" x14ac:dyDescent="0.35">
      <c r="A13123" t="s">
        <v>228</v>
      </c>
      <c r="B13123" t="s">
        <v>256</v>
      </c>
      <c r="C13123" s="26">
        <v>0.92779999999999996</v>
      </c>
      <c r="D13123" s="26">
        <v>2.06E-2</v>
      </c>
      <c r="E13123" s="26">
        <v>2.75E-2</v>
      </c>
      <c r="F13123" s="26">
        <v>4.4000000000000003E-3</v>
      </c>
      <c r="G13123" s="26">
        <v>1.9599999999999999E-2</v>
      </c>
      <c r="I13123">
        <v>221</v>
      </c>
    </row>
    <row r="13124" spans="1:9" x14ac:dyDescent="0.35">
      <c r="A13124" t="s">
        <v>228</v>
      </c>
      <c r="B13124" t="s">
        <v>255</v>
      </c>
      <c r="C13124" s="26">
        <v>0.97240000000000004</v>
      </c>
      <c r="D13124" s="26">
        <v>6.8999999999999999E-3</v>
      </c>
      <c r="E13124" s="26">
        <v>2.7000000000000001E-3</v>
      </c>
      <c r="F13124" s="26">
        <v>1.03E-2</v>
      </c>
      <c r="G13124" s="26">
        <v>6.0000000000000001E-3</v>
      </c>
      <c r="H13124" s="26">
        <v>1.6999999999999999E-3</v>
      </c>
      <c r="I13124">
        <v>759</v>
      </c>
    </row>
    <row r="13125" spans="1:9" x14ac:dyDescent="0.35">
      <c r="A13125" t="s">
        <v>229</v>
      </c>
      <c r="B13125" t="s">
        <v>256</v>
      </c>
      <c r="C13125" s="26">
        <v>0.97709999999999997</v>
      </c>
      <c r="D13125" s="26">
        <v>1.1999999999999999E-3</v>
      </c>
      <c r="E13125" s="26">
        <v>1.1599999999999999E-2</v>
      </c>
      <c r="F13125" s="26">
        <v>9.7999999999999997E-3</v>
      </c>
      <c r="G13125" s="26">
        <v>2.9999999999999997E-4</v>
      </c>
      <c r="I13125">
        <v>207</v>
      </c>
    </row>
    <row r="13126" spans="1:9" x14ac:dyDescent="0.35">
      <c r="A13126" t="s">
        <v>229</v>
      </c>
      <c r="B13126" t="s">
        <v>255</v>
      </c>
      <c r="C13126" s="26">
        <v>0.97629999999999995</v>
      </c>
      <c r="D13126" s="26">
        <v>1.6999999999999999E-3</v>
      </c>
      <c r="E13126" s="26">
        <v>4.4999999999999997E-3</v>
      </c>
      <c r="F13126" s="26">
        <v>3.5000000000000001E-3</v>
      </c>
      <c r="G13126" s="26">
        <v>9.1000000000000004E-3</v>
      </c>
      <c r="H13126" s="26">
        <v>5.0000000000000001E-3</v>
      </c>
      <c r="I13126">
        <v>636</v>
      </c>
    </row>
    <row r="13127" spans="1:9" x14ac:dyDescent="0.35">
      <c r="A13127" t="s">
        <v>229</v>
      </c>
      <c r="B13127" t="s">
        <v>257</v>
      </c>
      <c r="C13127" s="26">
        <v>0.97529999999999994</v>
      </c>
      <c r="E13127" s="26">
        <v>1.23E-2</v>
      </c>
      <c r="F13127" s="26">
        <v>1.23E-2</v>
      </c>
      <c r="I13127">
        <v>50</v>
      </c>
    </row>
    <row r="13128" spans="1:9" x14ac:dyDescent="0.35">
      <c r="A13128" s="27" t="s">
        <v>229</v>
      </c>
      <c r="B13128" s="27" t="s">
        <v>258</v>
      </c>
      <c r="C13128" s="28">
        <v>1</v>
      </c>
      <c r="D13128" s="29"/>
      <c r="E13128" s="29"/>
      <c r="F13128" s="29"/>
      <c r="G13128" s="29"/>
      <c r="H13128" s="29"/>
      <c r="I13128" s="29" t="s">
        <v>314</v>
      </c>
    </row>
    <row r="13129" spans="1:9" x14ac:dyDescent="0.35">
      <c r="A13129" t="s">
        <v>230</v>
      </c>
      <c r="B13129" t="s">
        <v>256</v>
      </c>
      <c r="C13129" s="26">
        <v>0.99550000000000005</v>
      </c>
      <c r="D13129" s="26">
        <v>4.4999999999999997E-3</v>
      </c>
      <c r="I13129">
        <v>130</v>
      </c>
    </row>
    <row r="13130" spans="1:9" x14ac:dyDescent="0.35">
      <c r="A13130" t="s">
        <v>230</v>
      </c>
      <c r="B13130" t="s">
        <v>255</v>
      </c>
      <c r="C13130" s="26">
        <v>0.98470000000000002</v>
      </c>
      <c r="D13130" s="26">
        <v>1.4E-3</v>
      </c>
      <c r="E13130" s="26">
        <v>1.4E-3</v>
      </c>
      <c r="F13130" s="26">
        <v>3.0999999999999999E-3</v>
      </c>
      <c r="G13130" s="26">
        <v>9.4999999999999998E-3</v>
      </c>
      <c r="I13130">
        <v>389</v>
      </c>
    </row>
    <row r="13131" spans="1:9" x14ac:dyDescent="0.35">
      <c r="A13131" t="s">
        <v>230</v>
      </c>
      <c r="B13131" t="s">
        <v>257</v>
      </c>
      <c r="C13131" s="26">
        <v>0.92390000000000005</v>
      </c>
      <c r="G13131" s="26">
        <v>7.6100000000000001E-2</v>
      </c>
      <c r="I13131">
        <v>38</v>
      </c>
    </row>
    <row r="13132" spans="1:9" x14ac:dyDescent="0.35">
      <c r="A13132" s="27" t="s">
        <v>230</v>
      </c>
      <c r="B13132" s="27" t="s">
        <v>258</v>
      </c>
      <c r="C13132" s="28">
        <v>1</v>
      </c>
      <c r="D13132" s="29"/>
      <c r="E13132" s="29"/>
      <c r="F13132" s="29"/>
      <c r="G13132" s="29"/>
      <c r="H13132" s="29"/>
      <c r="I13132" s="29" t="s">
        <v>315</v>
      </c>
    </row>
    <row r="13133" spans="1:9" x14ac:dyDescent="0.35">
      <c r="A13133" s="27" t="s">
        <v>231</v>
      </c>
      <c r="B13133" s="27" t="s">
        <v>257</v>
      </c>
      <c r="C13133" s="28">
        <v>1</v>
      </c>
      <c r="D13133" s="29"/>
      <c r="E13133" s="29"/>
      <c r="F13133" s="29"/>
      <c r="G13133" s="29"/>
      <c r="H13133" s="29"/>
      <c r="I13133" s="29" t="s">
        <v>339</v>
      </c>
    </row>
    <row r="13134" spans="1:9" x14ac:dyDescent="0.35">
      <c r="A13134" t="s">
        <v>231</v>
      </c>
      <c r="B13134" t="s">
        <v>255</v>
      </c>
      <c r="C13134" s="26">
        <v>0.96899999999999997</v>
      </c>
      <c r="D13134" s="26">
        <v>1.55E-2</v>
      </c>
      <c r="E13134" s="26">
        <v>7.7999999999999996E-3</v>
      </c>
      <c r="F13134" s="26">
        <v>7.7999999999999996E-3</v>
      </c>
      <c r="I13134">
        <v>129</v>
      </c>
    </row>
    <row r="13135" spans="1:9" x14ac:dyDescent="0.35">
      <c r="A13135" s="27" t="s">
        <v>231</v>
      </c>
      <c r="B13135" s="27" t="s">
        <v>256</v>
      </c>
      <c r="C13135" s="28">
        <v>0.96430000000000005</v>
      </c>
      <c r="D13135" s="28">
        <v>3.5700000000000003E-2</v>
      </c>
      <c r="E13135" s="29"/>
      <c r="F13135" s="29"/>
      <c r="G13135" s="29"/>
      <c r="H13135" s="29"/>
      <c r="I13135" s="29" t="s">
        <v>336</v>
      </c>
    </row>
    <row r="13136" spans="1:9" x14ac:dyDescent="0.35">
      <c r="A13136" t="s">
        <v>232</v>
      </c>
      <c r="B13136" t="s">
        <v>232</v>
      </c>
      <c r="C13136" s="26">
        <v>0.96850000000000003</v>
      </c>
      <c r="D13136" s="26">
        <v>1.0500000000000001E-2</v>
      </c>
      <c r="E13136" s="26">
        <v>8.2000000000000007E-3</v>
      </c>
      <c r="F13136" s="26">
        <v>6.0000000000000001E-3</v>
      </c>
      <c r="G13136" s="26">
        <v>5.5999999999999999E-3</v>
      </c>
      <c r="H13136" s="26">
        <v>1.1999999999999999E-3</v>
      </c>
      <c r="I13136">
        <v>2813</v>
      </c>
    </row>
    <row r="13138" spans="1:9" x14ac:dyDescent="0.35">
      <c r="A13138" s="1" t="s">
        <v>1499</v>
      </c>
    </row>
    <row r="13139" spans="1:9" x14ac:dyDescent="0.35">
      <c r="A13139" t="s">
        <v>219</v>
      </c>
      <c r="B13139" t="s">
        <v>305</v>
      </c>
      <c r="C13139" t="s">
        <v>1424</v>
      </c>
      <c r="D13139" t="s">
        <v>1425</v>
      </c>
      <c r="E13139" t="s">
        <v>1427</v>
      </c>
      <c r="F13139" t="s">
        <v>281</v>
      </c>
      <c r="G13139" t="s">
        <v>1426</v>
      </c>
      <c r="H13139" t="s">
        <v>286</v>
      </c>
      <c r="I13139" t="s">
        <v>226</v>
      </c>
    </row>
    <row r="13140" spans="1:9" x14ac:dyDescent="0.35">
      <c r="A13140" t="s">
        <v>227</v>
      </c>
      <c r="B13140" t="s">
        <v>1341</v>
      </c>
      <c r="C13140" s="26">
        <v>0.91839999999999999</v>
      </c>
      <c r="E13140" s="26">
        <v>6.1199999999999997E-2</v>
      </c>
      <c r="F13140" s="26">
        <v>2.0400000000000001E-2</v>
      </c>
      <c r="I13140">
        <v>49</v>
      </c>
    </row>
    <row r="13141" spans="1:9" x14ac:dyDescent="0.35">
      <c r="A13141" s="27" t="s">
        <v>227</v>
      </c>
      <c r="B13141" s="27" t="s">
        <v>1342</v>
      </c>
      <c r="C13141" s="28">
        <v>1</v>
      </c>
      <c r="D13141" s="29"/>
      <c r="E13141" s="29"/>
      <c r="F13141" s="29"/>
      <c r="G13141" s="29"/>
      <c r="H13141" s="29"/>
      <c r="I13141" s="29" t="s">
        <v>331</v>
      </c>
    </row>
    <row r="13142" spans="1:9" x14ac:dyDescent="0.35">
      <c r="A13142" t="s">
        <v>227</v>
      </c>
      <c r="B13142" t="s">
        <v>1343</v>
      </c>
      <c r="C13142" s="26">
        <v>0.96399999999999997</v>
      </c>
      <c r="D13142" s="26">
        <v>2.7E-2</v>
      </c>
      <c r="G13142" s="26">
        <v>8.9999999999999993E-3</v>
      </c>
      <c r="I13142">
        <v>111</v>
      </c>
    </row>
    <row r="13143" spans="1:9" x14ac:dyDescent="0.35">
      <c r="A13143" t="s">
        <v>228</v>
      </c>
      <c r="B13143" t="s">
        <v>1341</v>
      </c>
      <c r="C13143" s="26">
        <v>0.94940000000000002</v>
      </c>
      <c r="D13143" s="26">
        <v>1.4500000000000001E-2</v>
      </c>
      <c r="E13143" s="26">
        <v>2.64E-2</v>
      </c>
      <c r="F13143" s="26">
        <v>6.1999999999999998E-3</v>
      </c>
      <c r="G13143" s="26">
        <v>3.5000000000000001E-3</v>
      </c>
      <c r="I13143">
        <v>305</v>
      </c>
    </row>
    <row r="13144" spans="1:9" x14ac:dyDescent="0.35">
      <c r="A13144" s="27" t="s">
        <v>228</v>
      </c>
      <c r="B13144" s="27" t="s">
        <v>1342</v>
      </c>
      <c r="C13144" s="28">
        <v>1</v>
      </c>
      <c r="D13144" s="29"/>
      <c r="E13144" s="29"/>
      <c r="F13144" s="29"/>
      <c r="G13144" s="29"/>
      <c r="H13144" s="29"/>
      <c r="I13144" s="29" t="s">
        <v>331</v>
      </c>
    </row>
    <row r="13145" spans="1:9" x14ac:dyDescent="0.35">
      <c r="A13145" t="s">
        <v>228</v>
      </c>
      <c r="B13145" t="s">
        <v>1343</v>
      </c>
      <c r="C13145" s="26">
        <v>0.96760000000000002</v>
      </c>
      <c r="D13145" s="26">
        <v>9.1000000000000004E-3</v>
      </c>
      <c r="E13145" s="26">
        <v>1.1999999999999999E-3</v>
      </c>
      <c r="F13145" s="26">
        <v>9.1999999999999998E-3</v>
      </c>
      <c r="G13145" s="26">
        <v>1.12E-2</v>
      </c>
      <c r="H13145" s="26">
        <v>1.6999999999999999E-3</v>
      </c>
      <c r="I13145">
        <v>727</v>
      </c>
    </row>
    <row r="13146" spans="1:9" x14ac:dyDescent="0.35">
      <c r="A13146" t="s">
        <v>229</v>
      </c>
      <c r="B13146" t="s">
        <v>1341</v>
      </c>
      <c r="C13146" s="26">
        <v>0.99250000000000005</v>
      </c>
      <c r="D13146" s="26">
        <v>2.3E-3</v>
      </c>
      <c r="E13146" s="26">
        <v>1.2999999999999999E-3</v>
      </c>
      <c r="F13146" s="26">
        <v>3.5999999999999999E-3</v>
      </c>
      <c r="G13146" s="26">
        <v>2.9999999999999997E-4</v>
      </c>
      <c r="I13146">
        <v>273</v>
      </c>
    </row>
    <row r="13147" spans="1:9" x14ac:dyDescent="0.35">
      <c r="A13147" t="s">
        <v>229</v>
      </c>
      <c r="B13147" t="s">
        <v>1343</v>
      </c>
      <c r="C13147" s="26">
        <v>0.96870000000000001</v>
      </c>
      <c r="D13147" s="26">
        <v>1E-3</v>
      </c>
      <c r="E13147" s="26">
        <v>9.5999999999999992E-3</v>
      </c>
      <c r="F13147" s="26">
        <v>6.7000000000000002E-3</v>
      </c>
      <c r="G13147" s="26">
        <v>9.1000000000000004E-3</v>
      </c>
      <c r="H13147" s="26">
        <v>4.8999999999999998E-3</v>
      </c>
      <c r="I13147">
        <v>622</v>
      </c>
    </row>
    <row r="13148" spans="1:9" x14ac:dyDescent="0.35">
      <c r="A13148" t="s">
        <v>230</v>
      </c>
      <c r="B13148" t="s">
        <v>1341</v>
      </c>
      <c r="C13148" s="26">
        <v>0.97370000000000001</v>
      </c>
      <c r="E13148" s="26">
        <v>3.0000000000000001E-3</v>
      </c>
      <c r="F13148" s="26">
        <v>3.0000000000000001E-3</v>
      </c>
      <c r="G13148" s="26">
        <v>2.0400000000000001E-2</v>
      </c>
      <c r="I13148">
        <v>156</v>
      </c>
    </row>
    <row r="13149" spans="1:9" x14ac:dyDescent="0.35">
      <c r="A13149" t="s">
        <v>230</v>
      </c>
      <c r="B13149" t="s">
        <v>1343</v>
      </c>
      <c r="C13149" s="26">
        <v>0.98750000000000004</v>
      </c>
      <c r="D13149" s="26">
        <v>3.0000000000000001E-3</v>
      </c>
      <c r="F13149" s="26">
        <v>1.6999999999999999E-3</v>
      </c>
      <c r="G13149" s="26">
        <v>7.7999999999999996E-3</v>
      </c>
      <c r="I13149">
        <v>404</v>
      </c>
    </row>
    <row r="13150" spans="1:9" x14ac:dyDescent="0.35">
      <c r="A13150" t="s">
        <v>231</v>
      </c>
      <c r="B13150" t="s">
        <v>1341</v>
      </c>
      <c r="C13150" s="26">
        <v>0.96919999999999995</v>
      </c>
      <c r="D13150" s="26">
        <v>3.0800000000000001E-2</v>
      </c>
      <c r="I13150">
        <v>65</v>
      </c>
    </row>
    <row r="13151" spans="1:9" x14ac:dyDescent="0.35">
      <c r="A13151" t="s">
        <v>231</v>
      </c>
      <c r="B13151" t="s">
        <v>1343</v>
      </c>
      <c r="C13151" s="26">
        <v>0.96970000000000001</v>
      </c>
      <c r="D13151" s="26">
        <v>1.01E-2</v>
      </c>
      <c r="E13151" s="26">
        <v>1.01E-2</v>
      </c>
      <c r="F13151" s="26">
        <v>1.01E-2</v>
      </c>
      <c r="I13151">
        <v>99</v>
      </c>
    </row>
    <row r="13152" spans="1:9" x14ac:dyDescent="0.35">
      <c r="A13152" t="s">
        <v>232</v>
      </c>
      <c r="B13152" t="s">
        <v>232</v>
      </c>
      <c r="C13152" s="26">
        <v>0.96850000000000003</v>
      </c>
      <c r="D13152" s="26">
        <v>1.0500000000000001E-2</v>
      </c>
      <c r="E13152" s="26">
        <v>8.2000000000000007E-3</v>
      </c>
      <c r="F13152" s="26">
        <v>6.0000000000000001E-3</v>
      </c>
      <c r="G13152" s="26">
        <v>5.5999999999999999E-3</v>
      </c>
      <c r="H13152" s="26">
        <v>1.1999999999999999E-3</v>
      </c>
      <c r="I13152">
        <v>2813</v>
      </c>
    </row>
    <row r="13154" spans="1:9" x14ac:dyDescent="0.35">
      <c r="A13154" s="1" t="s">
        <v>1500</v>
      </c>
    </row>
    <row r="13155" spans="1:9" x14ac:dyDescent="0.35">
      <c r="A13155" t="s">
        <v>219</v>
      </c>
      <c r="B13155" t="s">
        <v>305</v>
      </c>
      <c r="C13155" t="s">
        <v>1424</v>
      </c>
      <c r="D13155" t="s">
        <v>1425</v>
      </c>
      <c r="E13155" t="s">
        <v>1427</v>
      </c>
      <c r="F13155" t="s">
        <v>281</v>
      </c>
      <c r="G13155" t="s">
        <v>1426</v>
      </c>
      <c r="H13155" t="s">
        <v>286</v>
      </c>
      <c r="I13155" t="s">
        <v>226</v>
      </c>
    </row>
    <row r="13156" spans="1:9" x14ac:dyDescent="0.35">
      <c r="A13156" s="27" t="s">
        <v>227</v>
      </c>
      <c r="B13156" s="27" t="s">
        <v>1345</v>
      </c>
      <c r="C13156" s="28">
        <v>1</v>
      </c>
      <c r="D13156" s="29"/>
      <c r="E13156" s="29"/>
      <c r="F13156" s="29"/>
      <c r="G13156" s="29"/>
      <c r="H13156" s="29"/>
      <c r="I13156" s="29" t="s">
        <v>314</v>
      </c>
    </row>
    <row r="13157" spans="1:9" x14ac:dyDescent="0.35">
      <c r="A13157" t="s">
        <v>227</v>
      </c>
      <c r="B13157" t="s">
        <v>1346</v>
      </c>
      <c r="C13157" s="26">
        <v>0.97440000000000004</v>
      </c>
      <c r="F13157" s="26">
        <v>2.5600000000000001E-2</v>
      </c>
      <c r="I13157">
        <v>39</v>
      </c>
    </row>
    <row r="13158" spans="1:9" x14ac:dyDescent="0.35">
      <c r="A13158" t="s">
        <v>227</v>
      </c>
      <c r="B13158" t="s">
        <v>1347</v>
      </c>
      <c r="C13158" s="26">
        <v>0.88890000000000002</v>
      </c>
      <c r="D13158" s="26">
        <v>2.7799999999999998E-2</v>
      </c>
      <c r="E13158" s="26">
        <v>5.5599999999999997E-2</v>
      </c>
      <c r="G13158" s="26">
        <v>2.7799999999999998E-2</v>
      </c>
      <c r="I13158">
        <v>36</v>
      </c>
    </row>
    <row r="13159" spans="1:9" x14ac:dyDescent="0.35">
      <c r="A13159" t="s">
        <v>227</v>
      </c>
      <c r="B13159" t="s">
        <v>1348</v>
      </c>
      <c r="C13159" s="26">
        <v>0.96430000000000005</v>
      </c>
      <c r="D13159" s="26">
        <v>2.3800000000000002E-2</v>
      </c>
      <c r="E13159" s="26">
        <v>1.1900000000000001E-2</v>
      </c>
      <c r="I13159">
        <v>84</v>
      </c>
    </row>
    <row r="13160" spans="1:9" x14ac:dyDescent="0.35">
      <c r="A13160" t="s">
        <v>228</v>
      </c>
      <c r="B13160" t="s">
        <v>1348</v>
      </c>
      <c r="C13160" s="26">
        <v>0.96199999999999997</v>
      </c>
      <c r="D13160" s="26">
        <v>1.0800000000000001E-2</v>
      </c>
      <c r="E13160" s="26">
        <v>9.1000000000000004E-3</v>
      </c>
      <c r="F13160" s="26">
        <v>6.0000000000000001E-3</v>
      </c>
      <c r="G13160" s="26">
        <v>9.9000000000000008E-3</v>
      </c>
      <c r="H13160" s="26">
        <v>2.2000000000000001E-3</v>
      </c>
      <c r="I13160">
        <v>532</v>
      </c>
    </row>
    <row r="13161" spans="1:9" x14ac:dyDescent="0.35">
      <c r="A13161" t="s">
        <v>228</v>
      </c>
      <c r="B13161" t="s">
        <v>1347</v>
      </c>
      <c r="C13161" s="26">
        <v>0.9637</v>
      </c>
      <c r="D13161" s="26">
        <v>1.3100000000000001E-2</v>
      </c>
      <c r="E13161" s="26">
        <v>2.2000000000000001E-3</v>
      </c>
      <c r="F13161" s="26">
        <v>7.3000000000000001E-3</v>
      </c>
      <c r="G13161" s="26">
        <v>1.37E-2</v>
      </c>
      <c r="I13161">
        <v>204</v>
      </c>
    </row>
    <row r="13162" spans="1:9" x14ac:dyDescent="0.35">
      <c r="A13162" t="s">
        <v>228</v>
      </c>
      <c r="B13162" t="s">
        <v>1346</v>
      </c>
      <c r="C13162" s="26">
        <v>0.97650000000000003</v>
      </c>
      <c r="D13162" s="26">
        <v>5.1000000000000004E-3</v>
      </c>
      <c r="F13162" s="26">
        <v>1.43E-2</v>
      </c>
      <c r="G13162" s="26">
        <v>4.1000000000000003E-3</v>
      </c>
      <c r="I13162">
        <v>286</v>
      </c>
    </row>
    <row r="13163" spans="1:9" x14ac:dyDescent="0.35">
      <c r="A13163" s="27" t="s">
        <v>228</v>
      </c>
      <c r="B13163" s="27" t="s">
        <v>1345</v>
      </c>
      <c r="C13163" s="28">
        <v>0.79049999999999998</v>
      </c>
      <c r="D13163" s="28">
        <v>5.45E-2</v>
      </c>
      <c r="E13163" s="28">
        <v>0.155</v>
      </c>
      <c r="F13163" s="29"/>
      <c r="G13163" s="29"/>
      <c r="H13163" s="29"/>
      <c r="I13163" s="29" t="s">
        <v>352</v>
      </c>
    </row>
    <row r="13164" spans="1:9" x14ac:dyDescent="0.35">
      <c r="A13164" s="27" t="s">
        <v>229</v>
      </c>
      <c r="B13164" s="27" t="s">
        <v>1345</v>
      </c>
      <c r="C13164" s="28">
        <v>1</v>
      </c>
      <c r="D13164" s="29"/>
      <c r="E13164" s="29"/>
      <c r="F13164" s="29"/>
      <c r="G13164" s="29"/>
      <c r="H13164" s="29"/>
      <c r="I13164" s="29" t="s">
        <v>357</v>
      </c>
    </row>
    <row r="13165" spans="1:9" x14ac:dyDescent="0.35">
      <c r="A13165" t="s">
        <v>229</v>
      </c>
      <c r="B13165" t="s">
        <v>1346</v>
      </c>
      <c r="C13165" s="26">
        <v>0.99590000000000001</v>
      </c>
      <c r="D13165" s="26">
        <v>5.0000000000000001E-4</v>
      </c>
      <c r="F13165" s="26">
        <v>3.2000000000000002E-3</v>
      </c>
      <c r="G13165" s="26">
        <v>5.0000000000000001E-4</v>
      </c>
      <c r="I13165">
        <v>184</v>
      </c>
    </row>
    <row r="13166" spans="1:9" x14ac:dyDescent="0.35">
      <c r="A13166" t="s">
        <v>229</v>
      </c>
      <c r="B13166" t="s">
        <v>1347</v>
      </c>
      <c r="C13166" s="26">
        <v>0.94740000000000002</v>
      </c>
      <c r="D13166" s="26">
        <v>2.3E-3</v>
      </c>
      <c r="E13166" s="26">
        <v>1.1900000000000001E-2</v>
      </c>
      <c r="F13166" s="26">
        <v>8.5000000000000006E-3</v>
      </c>
      <c r="G13166" s="26">
        <v>1.9699999999999999E-2</v>
      </c>
      <c r="H13166" s="26">
        <v>1.01E-2</v>
      </c>
      <c r="I13166">
        <v>302</v>
      </c>
    </row>
    <row r="13167" spans="1:9" x14ac:dyDescent="0.35">
      <c r="A13167" t="s">
        <v>229</v>
      </c>
      <c r="B13167" t="s">
        <v>1348</v>
      </c>
      <c r="C13167" s="26">
        <v>0.98480000000000001</v>
      </c>
      <c r="D13167" s="26">
        <v>1.4E-3</v>
      </c>
      <c r="E13167" s="26">
        <v>7.1000000000000004E-3</v>
      </c>
      <c r="F13167" s="26">
        <v>5.3E-3</v>
      </c>
      <c r="G13167" s="26">
        <v>5.9999999999999995E-4</v>
      </c>
      <c r="H13167" s="26">
        <v>6.9999999999999999E-4</v>
      </c>
      <c r="I13167">
        <v>383</v>
      </c>
    </row>
    <row r="13168" spans="1:9" x14ac:dyDescent="0.35">
      <c r="A13168" t="s">
        <v>230</v>
      </c>
      <c r="B13168" t="s">
        <v>1346</v>
      </c>
      <c r="C13168" s="26">
        <v>0.99460000000000004</v>
      </c>
      <c r="D13168" s="26">
        <v>4.1999999999999997E-3</v>
      </c>
      <c r="F13168" s="26">
        <v>1.2999999999999999E-3</v>
      </c>
      <c r="I13168">
        <v>140</v>
      </c>
    </row>
    <row r="13169" spans="1:10" x14ac:dyDescent="0.35">
      <c r="A13169" t="s">
        <v>230</v>
      </c>
      <c r="B13169" t="s">
        <v>1348</v>
      </c>
      <c r="C13169" s="26">
        <v>0.97030000000000005</v>
      </c>
      <c r="D13169" s="26">
        <v>1.9E-3</v>
      </c>
      <c r="E13169" s="26">
        <v>1.9E-3</v>
      </c>
      <c r="F13169" s="26">
        <v>3.7000000000000002E-3</v>
      </c>
      <c r="G13169" s="26">
        <v>2.2200000000000001E-2</v>
      </c>
      <c r="I13169">
        <v>259</v>
      </c>
    </row>
    <row r="13170" spans="1:10" x14ac:dyDescent="0.35">
      <c r="A13170" t="s">
        <v>230</v>
      </c>
      <c r="B13170" t="s">
        <v>1347</v>
      </c>
      <c r="C13170" s="26">
        <v>0.99580000000000002</v>
      </c>
      <c r="D13170" s="26">
        <v>1E-3</v>
      </c>
      <c r="G13170" s="26">
        <v>3.2000000000000002E-3</v>
      </c>
      <c r="I13170">
        <v>153</v>
      </c>
    </row>
    <row r="13171" spans="1:10" x14ac:dyDescent="0.35">
      <c r="A13171" s="27" t="s">
        <v>230</v>
      </c>
      <c r="B13171" s="27" t="s">
        <v>1345</v>
      </c>
      <c r="C13171" s="28">
        <v>1</v>
      </c>
      <c r="D13171" s="29"/>
      <c r="E13171" s="29"/>
      <c r="F13171" s="29"/>
      <c r="G13171" s="29"/>
      <c r="H13171" s="29"/>
      <c r="I13171" s="29" t="s">
        <v>333</v>
      </c>
    </row>
    <row r="13172" spans="1:10" x14ac:dyDescent="0.35">
      <c r="A13172" s="27" t="s">
        <v>231</v>
      </c>
      <c r="B13172" s="27" t="s">
        <v>1345</v>
      </c>
      <c r="C13172" s="28">
        <v>1</v>
      </c>
      <c r="D13172" s="29"/>
      <c r="E13172" s="29"/>
      <c r="F13172" s="29"/>
      <c r="G13172" s="29"/>
      <c r="H13172" s="29"/>
      <c r="I13172" s="29" t="s">
        <v>337</v>
      </c>
    </row>
    <row r="13173" spans="1:10" x14ac:dyDescent="0.35">
      <c r="A13173" t="s">
        <v>231</v>
      </c>
      <c r="B13173" t="s">
        <v>1346</v>
      </c>
      <c r="C13173" s="26">
        <v>0.97499999999999998</v>
      </c>
      <c r="F13173" s="26">
        <v>2.5000000000000001E-2</v>
      </c>
      <c r="I13173">
        <v>40</v>
      </c>
    </row>
    <row r="13174" spans="1:10" x14ac:dyDescent="0.35">
      <c r="A13174" t="s">
        <v>231</v>
      </c>
      <c r="B13174" t="s">
        <v>1347</v>
      </c>
      <c r="C13174" s="26">
        <v>0.97060000000000002</v>
      </c>
      <c r="E13174" s="26">
        <v>2.9399999999999999E-2</v>
      </c>
      <c r="I13174">
        <v>34</v>
      </c>
    </row>
    <row r="13175" spans="1:10" x14ac:dyDescent="0.35">
      <c r="A13175" t="s">
        <v>231</v>
      </c>
      <c r="B13175" t="s">
        <v>1348</v>
      </c>
      <c r="C13175" s="26">
        <v>0.96509999999999996</v>
      </c>
      <c r="D13175" s="26">
        <v>3.49E-2</v>
      </c>
      <c r="I13175">
        <v>86</v>
      </c>
    </row>
    <row r="13176" spans="1:10" x14ac:dyDescent="0.35">
      <c r="A13176" t="s">
        <v>232</v>
      </c>
      <c r="B13176" t="s">
        <v>232</v>
      </c>
      <c r="C13176" s="26">
        <v>0.96850000000000003</v>
      </c>
      <c r="D13176" s="26">
        <v>1.0500000000000001E-2</v>
      </c>
      <c r="E13176" s="26">
        <v>8.2000000000000007E-3</v>
      </c>
      <c r="F13176" s="26">
        <v>6.0000000000000001E-3</v>
      </c>
      <c r="G13176" s="26">
        <v>5.5999999999999999E-3</v>
      </c>
      <c r="H13176" s="26">
        <v>1.1999999999999999E-3</v>
      </c>
      <c r="I13176">
        <v>2813</v>
      </c>
    </row>
    <row r="13178" spans="1:10" x14ac:dyDescent="0.35">
      <c r="A13178" s="1" t="s">
        <v>1501</v>
      </c>
    </row>
    <row r="13179" spans="1:10" x14ac:dyDescent="0.35">
      <c r="A13179" t="s">
        <v>219</v>
      </c>
      <c r="B13179" t="s">
        <v>305</v>
      </c>
      <c r="C13179" t="s">
        <v>345</v>
      </c>
      <c r="D13179" t="s">
        <v>1424</v>
      </c>
      <c r="E13179" t="s">
        <v>1425</v>
      </c>
      <c r="F13179" t="s">
        <v>1427</v>
      </c>
      <c r="G13179" t="s">
        <v>281</v>
      </c>
      <c r="H13179" t="s">
        <v>1426</v>
      </c>
      <c r="I13179" t="s">
        <v>286</v>
      </c>
      <c r="J13179" t="s">
        <v>226</v>
      </c>
    </row>
    <row r="13180" spans="1:10" x14ac:dyDescent="0.35">
      <c r="A13180" s="27" t="s">
        <v>227</v>
      </c>
      <c r="B13180" s="27" t="s">
        <v>1341</v>
      </c>
      <c r="C13180" s="27" t="s">
        <v>1345</v>
      </c>
      <c r="D13180" s="28">
        <v>1</v>
      </c>
      <c r="E13180" s="29"/>
      <c r="F13180" s="29"/>
      <c r="G13180" s="29"/>
      <c r="H13180" s="29"/>
      <c r="I13180" s="29"/>
      <c r="J13180" s="29" t="s">
        <v>331</v>
      </c>
    </row>
    <row r="13181" spans="1:10" x14ac:dyDescent="0.35">
      <c r="A13181" s="27" t="s">
        <v>227</v>
      </c>
      <c r="B13181" s="27" t="s">
        <v>1343</v>
      </c>
      <c r="C13181" s="27" t="s">
        <v>1346</v>
      </c>
      <c r="D13181" s="28">
        <v>1</v>
      </c>
      <c r="E13181" s="29"/>
      <c r="F13181" s="29"/>
      <c r="G13181" s="29"/>
      <c r="H13181" s="29"/>
      <c r="I13181" s="29"/>
      <c r="J13181" s="29" t="s">
        <v>357</v>
      </c>
    </row>
    <row r="13182" spans="1:10" x14ac:dyDescent="0.35">
      <c r="A13182" t="s">
        <v>227</v>
      </c>
      <c r="B13182" t="s">
        <v>1343</v>
      </c>
      <c r="C13182" t="s">
        <v>1348</v>
      </c>
      <c r="D13182" s="26">
        <v>0.96719999999999995</v>
      </c>
      <c r="E13182" s="26">
        <v>3.2800000000000003E-2</v>
      </c>
      <c r="J13182">
        <v>61</v>
      </c>
    </row>
    <row r="13183" spans="1:10" x14ac:dyDescent="0.35">
      <c r="A13183" s="27" t="s">
        <v>227</v>
      </c>
      <c r="B13183" s="27" t="s">
        <v>1341</v>
      </c>
      <c r="C13183" s="27" t="s">
        <v>1347</v>
      </c>
      <c r="D13183" s="28">
        <v>0.84619999999999995</v>
      </c>
      <c r="E13183" s="29"/>
      <c r="F13183" s="28">
        <v>0.15379999999999999</v>
      </c>
      <c r="G13183" s="29"/>
      <c r="H13183" s="29"/>
      <c r="I13183" s="29"/>
      <c r="J13183" s="29" t="s">
        <v>341</v>
      </c>
    </row>
    <row r="13184" spans="1:10" x14ac:dyDescent="0.35">
      <c r="A13184" s="27" t="s">
        <v>227</v>
      </c>
      <c r="B13184" s="27" t="s">
        <v>1343</v>
      </c>
      <c r="C13184" s="27" t="s">
        <v>1347</v>
      </c>
      <c r="D13184" s="28">
        <v>0.91300000000000003</v>
      </c>
      <c r="E13184" s="28">
        <v>4.3499999999999997E-2</v>
      </c>
      <c r="F13184" s="29"/>
      <c r="G13184" s="29"/>
      <c r="H13184" s="28">
        <v>4.3499999999999997E-2</v>
      </c>
      <c r="I13184" s="29"/>
      <c r="J13184" s="29" t="s">
        <v>328</v>
      </c>
    </row>
    <row r="13185" spans="1:10" x14ac:dyDescent="0.35">
      <c r="A13185" s="27" t="s">
        <v>227</v>
      </c>
      <c r="B13185" s="27" t="s">
        <v>1343</v>
      </c>
      <c r="C13185" s="27" t="s">
        <v>1345</v>
      </c>
      <c r="D13185" s="28">
        <v>1</v>
      </c>
      <c r="E13185" s="29"/>
      <c r="F13185" s="29"/>
      <c r="G13185" s="29"/>
      <c r="H13185" s="29"/>
      <c r="I13185" s="29"/>
      <c r="J13185" s="29" t="s">
        <v>331</v>
      </c>
    </row>
    <row r="13186" spans="1:10" x14ac:dyDescent="0.35">
      <c r="A13186" s="27" t="s">
        <v>227</v>
      </c>
      <c r="B13186" s="27" t="s">
        <v>1342</v>
      </c>
      <c r="C13186" s="27" t="s">
        <v>1348</v>
      </c>
      <c r="D13186" s="28">
        <v>1</v>
      </c>
      <c r="E13186" s="29"/>
      <c r="F13186" s="29"/>
      <c r="G13186" s="29"/>
      <c r="H13186" s="29"/>
      <c r="I13186" s="29"/>
      <c r="J13186" s="29" t="s">
        <v>331</v>
      </c>
    </row>
    <row r="13187" spans="1:10" x14ac:dyDescent="0.35">
      <c r="A13187" s="27" t="s">
        <v>227</v>
      </c>
      <c r="B13187" s="27" t="s">
        <v>1341</v>
      </c>
      <c r="C13187" s="27" t="s">
        <v>1348</v>
      </c>
      <c r="D13187" s="28">
        <v>0.95450000000000002</v>
      </c>
      <c r="E13187" s="29"/>
      <c r="F13187" s="28">
        <v>4.5499999999999999E-2</v>
      </c>
      <c r="G13187" s="29"/>
      <c r="H13187" s="29"/>
      <c r="I13187" s="29"/>
      <c r="J13187" s="29" t="s">
        <v>347</v>
      </c>
    </row>
    <row r="13188" spans="1:10" x14ac:dyDescent="0.35">
      <c r="A13188" s="27" t="s">
        <v>227</v>
      </c>
      <c r="B13188" s="27" t="s">
        <v>1341</v>
      </c>
      <c r="C13188" s="27" t="s">
        <v>1346</v>
      </c>
      <c r="D13188" s="28">
        <v>0.92310000000000003</v>
      </c>
      <c r="E13188" s="29"/>
      <c r="F13188" s="29"/>
      <c r="G13188" s="28">
        <v>7.6899999999999996E-2</v>
      </c>
      <c r="H13188" s="29"/>
      <c r="I13188" s="29"/>
      <c r="J13188" s="29" t="s">
        <v>341</v>
      </c>
    </row>
    <row r="13189" spans="1:10" x14ac:dyDescent="0.35">
      <c r="A13189" t="s">
        <v>228</v>
      </c>
      <c r="B13189" t="s">
        <v>1343</v>
      </c>
      <c r="C13189" t="s">
        <v>1348</v>
      </c>
      <c r="D13189" s="26">
        <v>0.96209999999999996</v>
      </c>
      <c r="E13189" s="26">
        <v>1.14E-2</v>
      </c>
      <c r="F13189" s="26">
        <v>2.5000000000000001E-3</v>
      </c>
      <c r="G13189" s="26">
        <v>7.3000000000000001E-3</v>
      </c>
      <c r="H13189" s="26">
        <v>1.3299999999999999E-2</v>
      </c>
      <c r="I13189" s="26">
        <v>3.5000000000000001E-3</v>
      </c>
      <c r="J13189">
        <v>352</v>
      </c>
    </row>
    <row r="13190" spans="1:10" x14ac:dyDescent="0.35">
      <c r="A13190" t="s">
        <v>228</v>
      </c>
      <c r="B13190" t="s">
        <v>1343</v>
      </c>
      <c r="C13190" t="s">
        <v>1347</v>
      </c>
      <c r="D13190" s="26">
        <v>0.96299999999999997</v>
      </c>
      <c r="E13190" s="26">
        <v>9.7999999999999997E-3</v>
      </c>
      <c r="G13190" s="26">
        <v>6.6E-3</v>
      </c>
      <c r="H13190" s="26">
        <v>2.06E-2</v>
      </c>
      <c r="J13190">
        <v>130</v>
      </c>
    </row>
    <row r="13191" spans="1:10" x14ac:dyDescent="0.35">
      <c r="A13191" s="27" t="s">
        <v>228</v>
      </c>
      <c r="B13191" s="27" t="s">
        <v>1343</v>
      </c>
      <c r="C13191" s="27" t="s">
        <v>1345</v>
      </c>
      <c r="D13191" s="28">
        <v>1</v>
      </c>
      <c r="E13191" s="29"/>
      <c r="F13191" s="29"/>
      <c r="G13191" s="29"/>
      <c r="H13191" s="29"/>
      <c r="I13191" s="29"/>
      <c r="J13191" s="29" t="s">
        <v>335</v>
      </c>
    </row>
    <row r="13192" spans="1:10" x14ac:dyDescent="0.35">
      <c r="A13192" t="s">
        <v>228</v>
      </c>
      <c r="B13192" t="s">
        <v>1341</v>
      </c>
      <c r="C13192" t="s">
        <v>1346</v>
      </c>
      <c r="D13192" s="26">
        <v>0.97760000000000002</v>
      </c>
      <c r="G13192" s="26">
        <v>1.55E-2</v>
      </c>
      <c r="H13192" s="26">
        <v>6.8999999999999999E-3</v>
      </c>
      <c r="J13192">
        <v>47</v>
      </c>
    </row>
    <row r="13193" spans="1:10" x14ac:dyDescent="0.35">
      <c r="A13193" t="s">
        <v>228</v>
      </c>
      <c r="B13193" t="s">
        <v>1341</v>
      </c>
      <c r="C13193" t="s">
        <v>1348</v>
      </c>
      <c r="D13193" s="26">
        <v>0.96099999999999997</v>
      </c>
      <c r="E13193" s="26">
        <v>9.7000000000000003E-3</v>
      </c>
      <c r="F13193" s="26">
        <v>2.12E-2</v>
      </c>
      <c r="G13193" s="26">
        <v>3.8E-3</v>
      </c>
      <c r="H13193" s="26">
        <v>4.1000000000000003E-3</v>
      </c>
      <c r="J13193">
        <v>179</v>
      </c>
    </row>
    <row r="13194" spans="1:10" x14ac:dyDescent="0.35">
      <c r="A13194" s="27" t="s">
        <v>228</v>
      </c>
      <c r="B13194" s="27" t="s">
        <v>1342</v>
      </c>
      <c r="C13194" s="27" t="s">
        <v>1348</v>
      </c>
      <c r="D13194" s="28">
        <v>1</v>
      </c>
      <c r="E13194" s="29"/>
      <c r="F13194" s="29"/>
      <c r="G13194" s="29"/>
      <c r="H13194" s="29"/>
      <c r="I13194" s="29"/>
      <c r="J13194" s="29" t="s">
        <v>331</v>
      </c>
    </row>
    <row r="13195" spans="1:10" x14ac:dyDescent="0.35">
      <c r="A13195" t="s">
        <v>228</v>
      </c>
      <c r="B13195" t="s">
        <v>1343</v>
      </c>
      <c r="C13195" t="s">
        <v>1346</v>
      </c>
      <c r="D13195" s="26">
        <v>0.97640000000000005</v>
      </c>
      <c r="E13195" s="26">
        <v>5.8999999999999999E-3</v>
      </c>
      <c r="G13195" s="26">
        <v>1.41E-2</v>
      </c>
      <c r="H13195" s="26">
        <v>3.7000000000000002E-3</v>
      </c>
      <c r="J13195">
        <v>239</v>
      </c>
    </row>
    <row r="13196" spans="1:10" x14ac:dyDescent="0.35">
      <c r="A13196" t="s">
        <v>228</v>
      </c>
      <c r="B13196" t="s">
        <v>1341</v>
      </c>
      <c r="C13196" t="s">
        <v>1347</v>
      </c>
      <c r="D13196" s="26">
        <v>0.96519999999999995</v>
      </c>
      <c r="E13196" s="26">
        <v>1.9699999999999999E-2</v>
      </c>
      <c r="F13196" s="26">
        <v>6.4999999999999997E-3</v>
      </c>
      <c r="G13196" s="26">
        <v>8.6E-3</v>
      </c>
      <c r="J13196">
        <v>74</v>
      </c>
    </row>
    <row r="13197" spans="1:10" x14ac:dyDescent="0.35">
      <c r="A13197" s="27" t="s">
        <v>228</v>
      </c>
      <c r="B13197" s="27" t="s">
        <v>1341</v>
      </c>
      <c r="C13197" s="27" t="s">
        <v>1345</v>
      </c>
      <c r="D13197" s="28">
        <v>0.30180000000000001</v>
      </c>
      <c r="E13197" s="28">
        <v>0.1817</v>
      </c>
      <c r="F13197" s="28">
        <v>0.51649999999999996</v>
      </c>
      <c r="G13197" s="29"/>
      <c r="H13197" s="29"/>
      <c r="I13197" s="29"/>
      <c r="J13197" s="29" t="s">
        <v>332</v>
      </c>
    </row>
    <row r="13198" spans="1:10" x14ac:dyDescent="0.35">
      <c r="A13198" t="s">
        <v>229</v>
      </c>
      <c r="B13198" t="s">
        <v>1343</v>
      </c>
      <c r="C13198" t="s">
        <v>1348</v>
      </c>
      <c r="D13198" s="26">
        <v>0.98260000000000003</v>
      </c>
      <c r="F13198" s="26">
        <v>9.5999999999999992E-3</v>
      </c>
      <c r="G13198" s="26">
        <v>5.8999999999999999E-3</v>
      </c>
      <c r="H13198" s="26">
        <v>8.9999999999999998E-4</v>
      </c>
      <c r="I13198" s="26">
        <v>1.1000000000000001E-3</v>
      </c>
      <c r="J13198">
        <v>276</v>
      </c>
    </row>
    <row r="13199" spans="1:10" x14ac:dyDescent="0.35">
      <c r="A13199" t="s">
        <v>229</v>
      </c>
      <c r="B13199" t="s">
        <v>1341</v>
      </c>
      <c r="C13199" t="s">
        <v>1346</v>
      </c>
      <c r="D13199" s="26">
        <v>0.98970000000000002</v>
      </c>
      <c r="G13199" s="26">
        <v>8.6999999999999994E-3</v>
      </c>
      <c r="H13199" s="26">
        <v>1.6999999999999999E-3</v>
      </c>
      <c r="J13199">
        <v>53</v>
      </c>
    </row>
    <row r="13200" spans="1:10" x14ac:dyDescent="0.35">
      <c r="A13200" t="s">
        <v>229</v>
      </c>
      <c r="B13200" t="s">
        <v>1341</v>
      </c>
      <c r="C13200" t="s">
        <v>1347</v>
      </c>
      <c r="D13200" s="26">
        <v>0.99819999999999998</v>
      </c>
      <c r="E13200" s="26">
        <v>8.9999999999999998E-4</v>
      </c>
      <c r="F13200" s="26">
        <v>8.9999999999999998E-4</v>
      </c>
      <c r="J13200">
        <v>104</v>
      </c>
    </row>
    <row r="13201" spans="1:10" x14ac:dyDescent="0.35">
      <c r="A13201" t="s">
        <v>229</v>
      </c>
      <c r="B13201" t="s">
        <v>1343</v>
      </c>
      <c r="C13201" t="s">
        <v>1346</v>
      </c>
      <c r="D13201" s="26">
        <v>0.99819999999999998</v>
      </c>
      <c r="E13201" s="26">
        <v>5.9999999999999995E-4</v>
      </c>
      <c r="G13201" s="26">
        <v>1.1000000000000001E-3</v>
      </c>
      <c r="J13201">
        <v>131</v>
      </c>
    </row>
    <row r="13202" spans="1:10" x14ac:dyDescent="0.35">
      <c r="A13202" t="s">
        <v>229</v>
      </c>
      <c r="B13202" t="s">
        <v>1343</v>
      </c>
      <c r="C13202" t="s">
        <v>1347</v>
      </c>
      <c r="D13202" s="26">
        <v>0.92010000000000003</v>
      </c>
      <c r="E13202" s="26">
        <v>3.0999999999999999E-3</v>
      </c>
      <c r="F13202" s="26">
        <v>1.7899999999999999E-2</v>
      </c>
      <c r="G13202" s="26">
        <v>1.2999999999999999E-2</v>
      </c>
      <c r="H13202" s="26">
        <v>3.0300000000000001E-2</v>
      </c>
      <c r="I13202" s="26">
        <v>1.5599999999999999E-2</v>
      </c>
      <c r="J13202">
        <v>198</v>
      </c>
    </row>
    <row r="13203" spans="1:10" x14ac:dyDescent="0.35">
      <c r="A13203" s="27" t="s">
        <v>229</v>
      </c>
      <c r="B13203" s="27" t="s">
        <v>1341</v>
      </c>
      <c r="C13203" s="27" t="s">
        <v>1345</v>
      </c>
      <c r="D13203" s="28">
        <v>1</v>
      </c>
      <c r="E13203" s="29"/>
      <c r="F13203" s="29"/>
      <c r="G13203" s="29"/>
      <c r="H13203" s="29"/>
      <c r="I13203" s="29"/>
      <c r="J13203" s="29" t="s">
        <v>334</v>
      </c>
    </row>
    <row r="13204" spans="1:10" x14ac:dyDescent="0.35">
      <c r="A13204" s="27" t="s">
        <v>229</v>
      </c>
      <c r="B13204" s="27" t="s">
        <v>1343</v>
      </c>
      <c r="C13204" s="27" t="s">
        <v>1345</v>
      </c>
      <c r="D13204" s="28">
        <v>1</v>
      </c>
      <c r="E13204" s="29"/>
      <c r="F13204" s="29"/>
      <c r="G13204" s="29"/>
      <c r="H13204" s="29"/>
      <c r="I13204" s="29"/>
      <c r="J13204" s="29" t="s">
        <v>343</v>
      </c>
    </row>
    <row r="13205" spans="1:10" x14ac:dyDescent="0.35">
      <c r="A13205" t="s">
        <v>229</v>
      </c>
      <c r="B13205" t="s">
        <v>1341</v>
      </c>
      <c r="C13205" t="s">
        <v>1348</v>
      </c>
      <c r="D13205" s="26">
        <v>0.98929999999999996</v>
      </c>
      <c r="E13205" s="26">
        <v>4.3E-3</v>
      </c>
      <c r="F13205" s="26">
        <v>2.0999999999999999E-3</v>
      </c>
      <c r="G13205" s="26">
        <v>4.3E-3</v>
      </c>
      <c r="J13205">
        <v>107</v>
      </c>
    </row>
    <row r="13206" spans="1:10" x14ac:dyDescent="0.35">
      <c r="A13206" t="s">
        <v>230</v>
      </c>
      <c r="B13206" t="s">
        <v>1343</v>
      </c>
      <c r="C13206" t="s">
        <v>1346</v>
      </c>
      <c r="D13206" s="26">
        <v>0.99229999999999996</v>
      </c>
      <c r="E13206" s="26">
        <v>5.8999999999999999E-3</v>
      </c>
      <c r="G13206" s="26">
        <v>1.8E-3</v>
      </c>
      <c r="J13206">
        <v>110</v>
      </c>
    </row>
    <row r="13207" spans="1:10" x14ac:dyDescent="0.35">
      <c r="A13207" s="27" t="s">
        <v>230</v>
      </c>
      <c r="B13207" s="27" t="s">
        <v>1341</v>
      </c>
      <c r="C13207" s="27" t="s">
        <v>1345</v>
      </c>
      <c r="D13207" s="28">
        <v>1</v>
      </c>
      <c r="E13207" s="29"/>
      <c r="F13207" s="29"/>
      <c r="G13207" s="29"/>
      <c r="H13207" s="29"/>
      <c r="I13207" s="29"/>
      <c r="J13207" s="29" t="s">
        <v>337</v>
      </c>
    </row>
    <row r="13208" spans="1:10" x14ac:dyDescent="0.35">
      <c r="A13208" t="s">
        <v>230</v>
      </c>
      <c r="B13208" t="s">
        <v>1343</v>
      </c>
      <c r="C13208" t="s">
        <v>1348</v>
      </c>
      <c r="D13208" s="26">
        <v>0.97929999999999995</v>
      </c>
      <c r="E13208" s="26">
        <v>2.5999999999999999E-3</v>
      </c>
      <c r="G13208" s="26">
        <v>2.5999999999999999E-3</v>
      </c>
      <c r="H13208" s="26">
        <v>1.55E-2</v>
      </c>
      <c r="J13208">
        <v>184</v>
      </c>
    </row>
    <row r="13209" spans="1:10" x14ac:dyDescent="0.35">
      <c r="A13209" t="s">
        <v>230</v>
      </c>
      <c r="B13209" t="s">
        <v>1343</v>
      </c>
      <c r="C13209" t="s">
        <v>1347</v>
      </c>
      <c r="D13209" s="26">
        <v>0.99850000000000005</v>
      </c>
      <c r="E13209" s="26">
        <v>1.5E-3</v>
      </c>
      <c r="J13209">
        <v>106</v>
      </c>
    </row>
    <row r="13210" spans="1:10" x14ac:dyDescent="0.35">
      <c r="A13210" t="s">
        <v>230</v>
      </c>
      <c r="B13210" t="s">
        <v>1341</v>
      </c>
      <c r="C13210" t="s">
        <v>1348</v>
      </c>
      <c r="D13210" s="26">
        <v>0.94769999999999999</v>
      </c>
      <c r="F13210" s="26">
        <v>6.6E-3</v>
      </c>
      <c r="G13210" s="26">
        <v>6.6E-3</v>
      </c>
      <c r="H13210" s="26">
        <v>3.9100000000000003E-2</v>
      </c>
      <c r="J13210">
        <v>75</v>
      </c>
    </row>
    <row r="13211" spans="1:10" x14ac:dyDescent="0.35">
      <c r="A13211" t="s">
        <v>230</v>
      </c>
      <c r="B13211" t="s">
        <v>1341</v>
      </c>
      <c r="C13211" t="s">
        <v>1347</v>
      </c>
      <c r="D13211" s="26">
        <v>0.99060000000000004</v>
      </c>
      <c r="H13211" s="26">
        <v>9.4000000000000004E-3</v>
      </c>
      <c r="J13211">
        <v>47</v>
      </c>
    </row>
    <row r="13212" spans="1:10" x14ac:dyDescent="0.35">
      <c r="A13212" s="27" t="s">
        <v>230</v>
      </c>
      <c r="B13212" s="27" t="s">
        <v>1343</v>
      </c>
      <c r="C13212" s="27" t="s">
        <v>1345</v>
      </c>
      <c r="D13212" s="28">
        <v>1</v>
      </c>
      <c r="E13212" s="29"/>
      <c r="F13212" s="29"/>
      <c r="G13212" s="29"/>
      <c r="H13212" s="29"/>
      <c r="I13212" s="29"/>
      <c r="J13212" s="29" t="s">
        <v>337</v>
      </c>
    </row>
    <row r="13213" spans="1:10" x14ac:dyDescent="0.35">
      <c r="A13213" t="s">
        <v>230</v>
      </c>
      <c r="B13213" t="s">
        <v>1341</v>
      </c>
      <c r="C13213" t="s">
        <v>1346</v>
      </c>
      <c r="D13213" s="26">
        <v>1</v>
      </c>
      <c r="J13213">
        <v>30</v>
      </c>
    </row>
    <row r="13214" spans="1:10" x14ac:dyDescent="0.35">
      <c r="A13214" t="s">
        <v>231</v>
      </c>
      <c r="B13214" t="s">
        <v>1343</v>
      </c>
      <c r="C13214" t="s">
        <v>1348</v>
      </c>
      <c r="D13214" s="26">
        <v>0.98</v>
      </c>
      <c r="E13214" s="26">
        <v>0.02</v>
      </c>
      <c r="J13214">
        <v>50</v>
      </c>
    </row>
    <row r="13215" spans="1:10" x14ac:dyDescent="0.35">
      <c r="A13215" s="27" t="s">
        <v>231</v>
      </c>
      <c r="B13215" s="27" t="s">
        <v>1343</v>
      </c>
      <c r="C13215" s="27" t="s">
        <v>1345</v>
      </c>
      <c r="D13215" s="28">
        <v>1</v>
      </c>
      <c r="E13215" s="29"/>
      <c r="F13215" s="29"/>
      <c r="G13215" s="29"/>
      <c r="H13215" s="29"/>
      <c r="I13215" s="29"/>
      <c r="J13215" s="29" t="s">
        <v>315</v>
      </c>
    </row>
    <row r="13216" spans="1:10" x14ac:dyDescent="0.35">
      <c r="A13216" t="s">
        <v>231</v>
      </c>
      <c r="B13216" t="s">
        <v>1341</v>
      </c>
      <c r="C13216" t="s">
        <v>1348</v>
      </c>
      <c r="D13216" s="26">
        <v>0.94440000000000002</v>
      </c>
      <c r="E13216" s="26">
        <v>5.5599999999999997E-2</v>
      </c>
      <c r="J13216">
        <v>36</v>
      </c>
    </row>
    <row r="13217" spans="1:15" x14ac:dyDescent="0.35">
      <c r="A13217" s="27" t="s">
        <v>231</v>
      </c>
      <c r="B13217" s="27" t="s">
        <v>1341</v>
      </c>
      <c r="C13217" s="27" t="s">
        <v>1345</v>
      </c>
      <c r="D13217" s="28">
        <v>1</v>
      </c>
      <c r="E13217" s="29"/>
      <c r="F13217" s="29"/>
      <c r="G13217" s="29"/>
      <c r="H13217" s="29"/>
      <c r="I13217" s="29"/>
      <c r="J13217" s="29" t="s">
        <v>331</v>
      </c>
    </row>
    <row r="13218" spans="1:15" x14ac:dyDescent="0.35">
      <c r="A13218" s="27" t="s">
        <v>231</v>
      </c>
      <c r="B13218" s="27" t="s">
        <v>1343</v>
      </c>
      <c r="C13218" s="27" t="s">
        <v>1346</v>
      </c>
      <c r="D13218" s="28">
        <v>0.96150000000000002</v>
      </c>
      <c r="E13218" s="29"/>
      <c r="F13218" s="29"/>
      <c r="G13218" s="28">
        <v>3.85E-2</v>
      </c>
      <c r="H13218" s="29"/>
      <c r="I13218" s="29"/>
      <c r="J13218" s="29" t="s">
        <v>357</v>
      </c>
    </row>
    <row r="13219" spans="1:15" x14ac:dyDescent="0.35">
      <c r="A13219" s="27" t="s">
        <v>231</v>
      </c>
      <c r="B13219" s="27" t="s">
        <v>1341</v>
      </c>
      <c r="C13219" s="27" t="s">
        <v>1346</v>
      </c>
      <c r="D13219" s="28">
        <v>1</v>
      </c>
      <c r="E13219" s="29"/>
      <c r="F13219" s="29"/>
      <c r="G13219" s="29"/>
      <c r="H13219" s="29"/>
      <c r="I13219" s="29"/>
      <c r="J13219" s="29" t="s">
        <v>379</v>
      </c>
    </row>
    <row r="13220" spans="1:15" x14ac:dyDescent="0.35">
      <c r="A13220" s="27" t="s">
        <v>231</v>
      </c>
      <c r="B13220" s="27" t="s">
        <v>1341</v>
      </c>
      <c r="C13220" s="27" t="s">
        <v>1347</v>
      </c>
      <c r="D13220" s="28">
        <v>1</v>
      </c>
      <c r="E13220" s="29"/>
      <c r="F13220" s="29"/>
      <c r="G13220" s="29"/>
      <c r="H13220" s="29"/>
      <c r="I13220" s="29"/>
      <c r="J13220" s="29" t="s">
        <v>379</v>
      </c>
    </row>
    <row r="13221" spans="1:15" x14ac:dyDescent="0.35">
      <c r="A13221" s="27" t="s">
        <v>231</v>
      </c>
      <c r="B13221" s="27" t="s">
        <v>1343</v>
      </c>
      <c r="C13221" s="27" t="s">
        <v>1347</v>
      </c>
      <c r="D13221" s="28">
        <v>0.95</v>
      </c>
      <c r="E13221" s="29"/>
      <c r="F13221" s="28">
        <v>0.05</v>
      </c>
      <c r="G13221" s="29"/>
      <c r="H13221" s="29"/>
      <c r="I13221" s="29"/>
      <c r="J13221" s="29" t="s">
        <v>350</v>
      </c>
    </row>
    <row r="13222" spans="1:15" x14ac:dyDescent="0.35">
      <c r="A13222" t="s">
        <v>232</v>
      </c>
      <c r="B13222" t="s">
        <v>232</v>
      </c>
      <c r="C13222" t="s">
        <v>232</v>
      </c>
      <c r="D13222" s="26">
        <v>0.96850000000000003</v>
      </c>
      <c r="E13222" s="26">
        <v>1.0500000000000001E-2</v>
      </c>
      <c r="F13222" s="26">
        <v>8.2000000000000007E-3</v>
      </c>
      <c r="G13222" s="26">
        <v>6.0000000000000001E-3</v>
      </c>
      <c r="H13222" s="26">
        <v>5.5999999999999999E-3</v>
      </c>
      <c r="I13222" s="26">
        <v>1.1999999999999999E-3</v>
      </c>
      <c r="J13222">
        <v>2813</v>
      </c>
    </row>
    <row r="13224" spans="1:15" x14ac:dyDescent="0.35">
      <c r="A13224" s="1" t="s">
        <v>1502</v>
      </c>
    </row>
    <row r="13225" spans="1:15" x14ac:dyDescent="0.35">
      <c r="A13225" t="s">
        <v>219</v>
      </c>
      <c r="B13225" t="s">
        <v>550</v>
      </c>
      <c r="C13225" t="s">
        <v>281</v>
      </c>
      <c r="D13225" t="s">
        <v>1403</v>
      </c>
      <c r="E13225" t="s">
        <v>1402</v>
      </c>
      <c r="F13225" t="s">
        <v>1401</v>
      </c>
      <c r="G13225" t="s">
        <v>1404</v>
      </c>
      <c r="H13225" t="s">
        <v>1503</v>
      </c>
      <c r="I13225" t="s">
        <v>1504</v>
      </c>
      <c r="J13225" t="s">
        <v>286</v>
      </c>
      <c r="K13225" t="s">
        <v>1406</v>
      </c>
      <c r="L13225" t="s">
        <v>326</v>
      </c>
      <c r="M13225" t="s">
        <v>1408</v>
      </c>
      <c r="N13225" t="s">
        <v>1407</v>
      </c>
      <c r="O13225" t="s">
        <v>226</v>
      </c>
    </row>
    <row r="13226" spans="1:15" x14ac:dyDescent="0.35">
      <c r="A13226" t="s">
        <v>227</v>
      </c>
      <c r="B13226" s="26">
        <v>0.66879999999999995</v>
      </c>
      <c r="C13226" s="26">
        <v>0.21249999999999999</v>
      </c>
      <c r="D13226" s="26">
        <v>0.05</v>
      </c>
      <c r="E13226" s="26">
        <v>3.1199999999999999E-2</v>
      </c>
      <c r="F13226" s="26">
        <v>1.8800000000000001E-2</v>
      </c>
      <c r="G13226" s="26">
        <v>3.1199999999999999E-2</v>
      </c>
      <c r="H13226" s="26">
        <v>1.8800000000000001E-2</v>
      </c>
      <c r="L13226" s="26">
        <v>6.1999999999999998E-3</v>
      </c>
      <c r="O13226">
        <v>160</v>
      </c>
    </row>
    <row r="13227" spans="1:15" x14ac:dyDescent="0.35">
      <c r="A13227" t="s">
        <v>228</v>
      </c>
      <c r="B13227" s="26">
        <v>0.67779999999999996</v>
      </c>
      <c r="C13227" s="26">
        <v>0.20430000000000001</v>
      </c>
      <c r="D13227" s="26">
        <v>4.3499999999999997E-2</v>
      </c>
      <c r="E13227" s="26">
        <v>3.1099999999999999E-2</v>
      </c>
      <c r="F13227" s="26">
        <v>3.1300000000000001E-2</v>
      </c>
      <c r="G13227" s="26">
        <v>2.5100000000000001E-2</v>
      </c>
      <c r="H13227" s="26">
        <v>3.2000000000000002E-3</v>
      </c>
      <c r="I13227" s="26">
        <v>2.3E-2</v>
      </c>
      <c r="J13227" s="26">
        <v>2.0000000000000001E-4</v>
      </c>
      <c r="K13227" s="26">
        <v>1.8E-3</v>
      </c>
      <c r="M13227" s="26">
        <v>5.9999999999999995E-4</v>
      </c>
      <c r="N13227" s="26">
        <v>5.9999999999999995E-4</v>
      </c>
      <c r="O13227">
        <v>1008</v>
      </c>
    </row>
    <row r="13228" spans="1:15" x14ac:dyDescent="0.35">
      <c r="A13228" t="s">
        <v>229</v>
      </c>
      <c r="B13228" s="26">
        <v>0.69679999999999997</v>
      </c>
      <c r="C13228" s="26">
        <v>0.18060000000000001</v>
      </c>
      <c r="D13228" s="26">
        <v>5.9200000000000003E-2</v>
      </c>
      <c r="E13228" s="26">
        <v>2.8899999999999999E-2</v>
      </c>
      <c r="F13228" s="26">
        <v>3.15E-2</v>
      </c>
      <c r="G13228" s="26">
        <v>5.3E-3</v>
      </c>
      <c r="H13228" s="26">
        <v>8.0000000000000002E-3</v>
      </c>
      <c r="I13228" s="26">
        <v>7.4000000000000003E-3</v>
      </c>
      <c r="J13228" s="26">
        <v>3.0999999999999999E-3</v>
      </c>
      <c r="K13228" s="26">
        <v>2.8E-3</v>
      </c>
      <c r="L13228" s="26">
        <v>6.9999999999999999E-4</v>
      </c>
      <c r="M13228" s="26">
        <v>2.5999999999999999E-3</v>
      </c>
      <c r="N13228" s="26">
        <v>4.0000000000000002E-4</v>
      </c>
      <c r="O13228">
        <v>867</v>
      </c>
    </row>
    <row r="13229" spans="1:15" x14ac:dyDescent="0.35">
      <c r="A13229" t="s">
        <v>230</v>
      </c>
      <c r="B13229" s="26">
        <v>0.71399999999999997</v>
      </c>
      <c r="C13229" s="26">
        <v>0.14119999999999999</v>
      </c>
      <c r="D13229" s="26">
        <v>6.9900000000000004E-2</v>
      </c>
      <c r="E13229" s="26">
        <v>5.1900000000000002E-2</v>
      </c>
      <c r="F13229" s="26">
        <v>8.6E-3</v>
      </c>
      <c r="G13229" s="26">
        <v>2.7699999999999999E-2</v>
      </c>
      <c r="H13229" s="26">
        <v>1.52E-2</v>
      </c>
      <c r="I13229" s="26">
        <v>1.7600000000000001E-2</v>
      </c>
      <c r="J13229" s="26">
        <v>5.7999999999999996E-3</v>
      </c>
      <c r="K13229" s="26">
        <v>5.7999999999999996E-3</v>
      </c>
      <c r="L13229" s="26">
        <v>5.4999999999999997E-3</v>
      </c>
      <c r="M13229" s="26">
        <v>2.9999999999999997E-4</v>
      </c>
      <c r="N13229" s="26">
        <v>5.4999999999999997E-3</v>
      </c>
      <c r="O13229">
        <v>544</v>
      </c>
    </row>
    <row r="13230" spans="1:15" x14ac:dyDescent="0.35">
      <c r="A13230" t="s">
        <v>231</v>
      </c>
      <c r="B13230" s="26">
        <v>0.79010000000000002</v>
      </c>
      <c r="C13230" s="26">
        <v>0.1173</v>
      </c>
      <c r="D13230" s="26">
        <v>3.6999999999999998E-2</v>
      </c>
      <c r="E13230" s="26">
        <v>2.47E-2</v>
      </c>
      <c r="F13230" s="26">
        <v>1.23E-2</v>
      </c>
      <c r="G13230" s="26">
        <v>1.23E-2</v>
      </c>
      <c r="H13230" s="26">
        <v>6.1999999999999998E-3</v>
      </c>
      <c r="J13230" s="26">
        <v>6.1999999999999998E-3</v>
      </c>
      <c r="O13230">
        <v>162</v>
      </c>
    </row>
    <row r="13231" spans="1:15" x14ac:dyDescent="0.35">
      <c r="A13231" t="s">
        <v>232</v>
      </c>
      <c r="B13231" s="26">
        <v>0.71640000000000004</v>
      </c>
      <c r="C13231" s="26">
        <v>0.16869999999999999</v>
      </c>
      <c r="D13231" s="26">
        <v>4.9599999999999998E-2</v>
      </c>
      <c r="E13231" s="26">
        <v>3.0700000000000002E-2</v>
      </c>
      <c r="F13231" s="26">
        <v>2.1999999999999999E-2</v>
      </c>
      <c r="G13231" s="26">
        <v>1.72E-2</v>
      </c>
      <c r="H13231" s="26">
        <v>8.8999999999999999E-3</v>
      </c>
      <c r="I13231" s="26">
        <v>8.2000000000000007E-3</v>
      </c>
      <c r="J13231" s="26">
        <v>3.2000000000000002E-3</v>
      </c>
      <c r="K13231" s="26">
        <v>1.6999999999999999E-3</v>
      </c>
      <c r="L13231" s="26">
        <v>1.6999999999999999E-3</v>
      </c>
      <c r="M13231" s="26">
        <v>8.9999999999999998E-4</v>
      </c>
      <c r="N13231" s="26">
        <v>6.9999999999999999E-4</v>
      </c>
      <c r="O13231">
        <v>2741</v>
      </c>
    </row>
    <row r="13233" spans="1:16" x14ac:dyDescent="0.35">
      <c r="A13233" s="1" t="s">
        <v>1505</v>
      </c>
    </row>
    <row r="13234" spans="1:16" x14ac:dyDescent="0.35">
      <c r="A13234" t="s">
        <v>219</v>
      </c>
      <c r="B13234" t="s">
        <v>305</v>
      </c>
      <c r="C13234" t="s">
        <v>550</v>
      </c>
      <c r="D13234" t="s">
        <v>281</v>
      </c>
      <c r="E13234" t="s">
        <v>1403</v>
      </c>
      <c r="F13234" t="s">
        <v>1402</v>
      </c>
      <c r="G13234" t="s">
        <v>1401</v>
      </c>
      <c r="H13234" t="s">
        <v>1404</v>
      </c>
      <c r="I13234" t="s">
        <v>1503</v>
      </c>
      <c r="J13234" t="s">
        <v>1504</v>
      </c>
      <c r="K13234" t="s">
        <v>286</v>
      </c>
      <c r="L13234" t="s">
        <v>1406</v>
      </c>
      <c r="M13234" t="s">
        <v>326</v>
      </c>
      <c r="N13234" t="s">
        <v>1408</v>
      </c>
      <c r="O13234" t="s">
        <v>1407</v>
      </c>
      <c r="P13234" t="s">
        <v>226</v>
      </c>
    </row>
    <row r="13235" spans="1:16" x14ac:dyDescent="0.35">
      <c r="A13235" t="s">
        <v>227</v>
      </c>
      <c r="B13235" t="s">
        <v>242</v>
      </c>
      <c r="C13235" s="26">
        <v>0.71640000000000004</v>
      </c>
      <c r="D13235" s="26">
        <v>0.22389999999999999</v>
      </c>
      <c r="E13235" s="26">
        <v>4.48E-2</v>
      </c>
      <c r="F13235" s="26">
        <v>1.49E-2</v>
      </c>
      <c r="G13235" s="26">
        <v>1.49E-2</v>
      </c>
      <c r="P13235">
        <v>67</v>
      </c>
    </row>
    <row r="13236" spans="1:16" x14ac:dyDescent="0.35">
      <c r="A13236" t="s">
        <v>227</v>
      </c>
      <c r="B13236" t="s">
        <v>241</v>
      </c>
      <c r="C13236" s="26">
        <v>0.63439999999999996</v>
      </c>
      <c r="D13236" s="26">
        <v>0.20430000000000001</v>
      </c>
      <c r="E13236" s="26">
        <v>5.3800000000000001E-2</v>
      </c>
      <c r="F13236" s="26">
        <v>4.2999999999999997E-2</v>
      </c>
      <c r="G13236" s="26">
        <v>2.1499999999999998E-2</v>
      </c>
      <c r="H13236" s="26">
        <v>5.3800000000000001E-2</v>
      </c>
      <c r="I13236" s="26">
        <v>3.2300000000000002E-2</v>
      </c>
      <c r="M13236" s="26">
        <v>1.0800000000000001E-2</v>
      </c>
      <c r="P13236">
        <v>93</v>
      </c>
    </row>
    <row r="13237" spans="1:16" x14ac:dyDescent="0.35">
      <c r="A13237" t="s">
        <v>228</v>
      </c>
      <c r="B13237" t="s">
        <v>242</v>
      </c>
      <c r="C13237" s="26">
        <v>0.66559999999999997</v>
      </c>
      <c r="D13237" s="26">
        <v>0.24060000000000001</v>
      </c>
      <c r="E13237" s="26">
        <v>4.3799999999999999E-2</v>
      </c>
      <c r="F13237" s="26">
        <v>7.3000000000000001E-3</v>
      </c>
      <c r="G13237" s="26">
        <v>1.12E-2</v>
      </c>
      <c r="H13237" s="26">
        <v>3.8300000000000001E-2</v>
      </c>
      <c r="I13237" s="26">
        <v>5.4999999999999997E-3</v>
      </c>
      <c r="J13237" s="26">
        <v>6.4000000000000003E-3</v>
      </c>
      <c r="K13237" s="26">
        <v>6.9999999999999999E-4</v>
      </c>
      <c r="L13237" s="26">
        <v>6.9999999999999999E-4</v>
      </c>
      <c r="P13237">
        <v>390</v>
      </c>
    </row>
    <row r="13238" spans="1:16" x14ac:dyDescent="0.35">
      <c r="A13238" t="s">
        <v>228</v>
      </c>
      <c r="B13238" t="s">
        <v>241</v>
      </c>
      <c r="C13238" s="26">
        <v>0.68469999999999998</v>
      </c>
      <c r="D13238" s="26">
        <v>0.18379999999999999</v>
      </c>
      <c r="E13238" s="26">
        <v>4.3200000000000002E-2</v>
      </c>
      <c r="F13238" s="26">
        <v>4.4600000000000001E-2</v>
      </c>
      <c r="G13238" s="26">
        <v>4.2599999999999999E-2</v>
      </c>
      <c r="H13238" s="26">
        <v>1.77E-2</v>
      </c>
      <c r="I13238" s="26">
        <v>1.9E-3</v>
      </c>
      <c r="J13238" s="26">
        <v>3.2300000000000002E-2</v>
      </c>
      <c r="L13238" s="26">
        <v>2.3999999999999998E-3</v>
      </c>
      <c r="N13238" s="26">
        <v>8.9999999999999998E-4</v>
      </c>
      <c r="O13238" s="26">
        <v>8.9999999999999998E-4</v>
      </c>
      <c r="P13238">
        <v>618</v>
      </c>
    </row>
    <row r="13239" spans="1:16" x14ac:dyDescent="0.35">
      <c r="A13239" t="s">
        <v>229</v>
      </c>
      <c r="B13239" t="s">
        <v>242</v>
      </c>
      <c r="C13239" s="26">
        <v>0.71609999999999996</v>
      </c>
      <c r="D13239" s="26">
        <v>0.20030000000000001</v>
      </c>
      <c r="E13239" s="26">
        <v>2.35E-2</v>
      </c>
      <c r="F13239" s="26">
        <v>1.5100000000000001E-2</v>
      </c>
      <c r="G13239" s="26">
        <v>2.24E-2</v>
      </c>
      <c r="H13239" s="26">
        <v>7.1000000000000004E-3</v>
      </c>
      <c r="I13239" s="26">
        <v>8.8000000000000005E-3</v>
      </c>
      <c r="J13239" s="26">
        <v>1.6000000000000001E-3</v>
      </c>
      <c r="K13239" s="26">
        <v>6.6E-3</v>
      </c>
      <c r="N13239" s="26">
        <v>6.6E-3</v>
      </c>
      <c r="P13239">
        <v>280</v>
      </c>
    </row>
    <row r="13240" spans="1:16" x14ac:dyDescent="0.35">
      <c r="A13240" t="s">
        <v>229</v>
      </c>
      <c r="B13240" t="s">
        <v>241</v>
      </c>
      <c r="C13240" s="26">
        <v>0.68420000000000003</v>
      </c>
      <c r="D13240" s="26">
        <v>0.1678</v>
      </c>
      <c r="E13240" s="26">
        <v>8.2299999999999998E-2</v>
      </c>
      <c r="F13240" s="26">
        <v>3.78E-2</v>
      </c>
      <c r="G13240" s="26">
        <v>3.7499999999999999E-2</v>
      </c>
      <c r="H13240" s="26">
        <v>4.1999999999999997E-3</v>
      </c>
      <c r="I13240" s="26">
        <v>7.4000000000000003E-3</v>
      </c>
      <c r="J13240" s="26">
        <v>1.12E-2</v>
      </c>
      <c r="K13240" s="26">
        <v>8.9999999999999998E-4</v>
      </c>
      <c r="L13240" s="26">
        <v>4.5999999999999999E-3</v>
      </c>
      <c r="M13240" s="26">
        <v>1.1000000000000001E-3</v>
      </c>
      <c r="O13240" s="26">
        <v>5.9999999999999995E-4</v>
      </c>
      <c r="P13240">
        <v>587</v>
      </c>
    </row>
    <row r="13241" spans="1:16" x14ac:dyDescent="0.35">
      <c r="A13241" t="s">
        <v>230</v>
      </c>
      <c r="B13241" t="s">
        <v>242</v>
      </c>
      <c r="C13241" s="26">
        <v>0.745</v>
      </c>
      <c r="D13241" s="26">
        <v>0.1198</v>
      </c>
      <c r="E13241" s="26">
        <v>8.7499999999999994E-2</v>
      </c>
      <c r="F13241" s="26">
        <v>3.6999999999999998E-2</v>
      </c>
      <c r="G13241" s="26">
        <v>8.6999999999999994E-3</v>
      </c>
      <c r="H13241" s="26">
        <v>1.9900000000000001E-2</v>
      </c>
      <c r="I13241" s="26">
        <v>8.0000000000000004E-4</v>
      </c>
      <c r="J13241" s="26">
        <v>8.0000000000000004E-4</v>
      </c>
      <c r="K13241" s="26">
        <v>1.6299999999999999E-2</v>
      </c>
      <c r="P13241">
        <v>183</v>
      </c>
    </row>
    <row r="13242" spans="1:16" x14ac:dyDescent="0.35">
      <c r="A13242" t="s">
        <v>230</v>
      </c>
      <c r="B13242" t="s">
        <v>241</v>
      </c>
      <c r="C13242" s="26">
        <v>0.69830000000000003</v>
      </c>
      <c r="D13242" s="26">
        <v>0.152</v>
      </c>
      <c r="E13242" s="26">
        <v>6.0999999999999999E-2</v>
      </c>
      <c r="F13242" s="26">
        <v>5.9499999999999997E-2</v>
      </c>
      <c r="G13242" s="26">
        <v>8.5000000000000006E-3</v>
      </c>
      <c r="H13242" s="26">
        <v>3.1600000000000003E-2</v>
      </c>
      <c r="I13242" s="26">
        <v>2.2499999999999999E-2</v>
      </c>
      <c r="J13242" s="26">
        <v>2.5999999999999999E-2</v>
      </c>
      <c r="K13242" s="26">
        <v>4.0000000000000002E-4</v>
      </c>
      <c r="L13242" s="26">
        <v>8.6999999999999994E-3</v>
      </c>
      <c r="M13242" s="26">
        <v>8.3000000000000001E-3</v>
      </c>
      <c r="N13242" s="26">
        <v>4.0000000000000002E-4</v>
      </c>
      <c r="O13242" s="26">
        <v>8.3000000000000001E-3</v>
      </c>
      <c r="P13242">
        <v>361</v>
      </c>
    </row>
    <row r="13243" spans="1:16" x14ac:dyDescent="0.35">
      <c r="A13243" t="s">
        <v>231</v>
      </c>
      <c r="B13243" t="s">
        <v>242</v>
      </c>
      <c r="C13243" s="26">
        <v>0.79630000000000001</v>
      </c>
      <c r="D13243" s="26">
        <v>9.2600000000000002E-2</v>
      </c>
      <c r="E13243" s="26">
        <v>3.6999999999999998E-2</v>
      </c>
      <c r="F13243" s="26">
        <v>1.8499999999999999E-2</v>
      </c>
      <c r="H13243" s="26">
        <v>3.6999999999999998E-2</v>
      </c>
      <c r="K13243" s="26">
        <v>1.8499999999999999E-2</v>
      </c>
      <c r="P13243">
        <v>54</v>
      </c>
    </row>
    <row r="13244" spans="1:16" x14ac:dyDescent="0.35">
      <c r="A13244" t="s">
        <v>231</v>
      </c>
      <c r="B13244" t="s">
        <v>241</v>
      </c>
      <c r="C13244" s="26">
        <v>0.78700000000000003</v>
      </c>
      <c r="D13244" s="26">
        <v>0.12959999999999999</v>
      </c>
      <c r="E13244" s="26">
        <v>3.6999999999999998E-2</v>
      </c>
      <c r="F13244" s="26">
        <v>2.7799999999999998E-2</v>
      </c>
      <c r="G13244" s="26">
        <v>1.8499999999999999E-2</v>
      </c>
      <c r="I13244" s="26">
        <v>9.2999999999999992E-3</v>
      </c>
      <c r="P13244">
        <v>108</v>
      </c>
    </row>
    <row r="13245" spans="1:16" x14ac:dyDescent="0.35">
      <c r="A13245" t="s">
        <v>232</v>
      </c>
      <c r="B13245" t="s">
        <v>232</v>
      </c>
      <c r="C13245" s="26">
        <v>0.71640000000000004</v>
      </c>
      <c r="D13245" s="26">
        <v>0.16869999999999999</v>
      </c>
      <c r="E13245" s="26">
        <v>4.9599999999999998E-2</v>
      </c>
      <c r="F13245" s="26">
        <v>3.0700000000000002E-2</v>
      </c>
      <c r="G13245" s="26">
        <v>2.1999999999999999E-2</v>
      </c>
      <c r="H13245" s="26">
        <v>1.72E-2</v>
      </c>
      <c r="I13245" s="26">
        <v>8.8999999999999999E-3</v>
      </c>
      <c r="J13245" s="26">
        <v>8.2000000000000007E-3</v>
      </c>
      <c r="K13245" s="26">
        <v>3.2000000000000002E-3</v>
      </c>
      <c r="L13245" s="26">
        <v>1.6999999999999999E-3</v>
      </c>
      <c r="M13245" s="26">
        <v>1.6999999999999999E-3</v>
      </c>
      <c r="N13245" s="26">
        <v>8.9999999999999998E-4</v>
      </c>
      <c r="O13245" s="26">
        <v>6.9999999999999999E-4</v>
      </c>
      <c r="P13245">
        <v>2741</v>
      </c>
    </row>
    <row r="13247" spans="1:16" x14ac:dyDescent="0.35">
      <c r="A13247" s="1" t="s">
        <v>1506</v>
      </c>
    </row>
    <row r="13248" spans="1:16" x14ac:dyDescent="0.35">
      <c r="A13248" t="s">
        <v>219</v>
      </c>
      <c r="B13248" t="s">
        <v>305</v>
      </c>
      <c r="C13248" t="s">
        <v>550</v>
      </c>
      <c r="D13248" t="s">
        <v>281</v>
      </c>
      <c r="E13248" t="s">
        <v>1403</v>
      </c>
      <c r="F13248" t="s">
        <v>1402</v>
      </c>
      <c r="G13248" t="s">
        <v>1401</v>
      </c>
      <c r="H13248" t="s">
        <v>1404</v>
      </c>
      <c r="I13248" t="s">
        <v>1503</v>
      </c>
      <c r="J13248" t="s">
        <v>1504</v>
      </c>
      <c r="K13248" t="s">
        <v>286</v>
      </c>
      <c r="L13248" t="s">
        <v>1406</v>
      </c>
      <c r="M13248" t="s">
        <v>326</v>
      </c>
      <c r="N13248" t="s">
        <v>1408</v>
      </c>
      <c r="O13248" t="s">
        <v>1407</v>
      </c>
      <c r="P13248" t="s">
        <v>226</v>
      </c>
    </row>
    <row r="13249" spans="1:16" x14ac:dyDescent="0.35">
      <c r="A13249" t="s">
        <v>227</v>
      </c>
      <c r="B13249" t="s">
        <v>239</v>
      </c>
      <c r="C13249" s="26">
        <v>0.8226</v>
      </c>
      <c r="D13249" s="26">
        <v>0.1613</v>
      </c>
      <c r="G13249" s="26">
        <v>1.61E-2</v>
      </c>
      <c r="P13249">
        <v>62</v>
      </c>
    </row>
    <row r="13250" spans="1:16" x14ac:dyDescent="0.35">
      <c r="A13250" t="s">
        <v>227</v>
      </c>
      <c r="B13250" t="s">
        <v>238</v>
      </c>
      <c r="C13250" s="26">
        <v>0.57140000000000002</v>
      </c>
      <c r="D13250" s="26">
        <v>0.24490000000000001</v>
      </c>
      <c r="E13250" s="26">
        <v>8.1600000000000006E-2</v>
      </c>
      <c r="F13250" s="26">
        <v>5.0999999999999997E-2</v>
      </c>
      <c r="G13250" s="26">
        <v>2.0400000000000001E-2</v>
      </c>
      <c r="H13250" s="26">
        <v>5.0999999999999997E-2</v>
      </c>
      <c r="I13250" s="26">
        <v>3.0599999999999999E-2</v>
      </c>
      <c r="M13250" s="26">
        <v>1.0200000000000001E-2</v>
      </c>
      <c r="P13250">
        <v>98</v>
      </c>
    </row>
    <row r="13251" spans="1:16" x14ac:dyDescent="0.35">
      <c r="A13251" t="s">
        <v>228</v>
      </c>
      <c r="B13251" t="s">
        <v>239</v>
      </c>
      <c r="C13251" s="26">
        <v>0.76659999999999995</v>
      </c>
      <c r="D13251" s="26">
        <v>0.1522</v>
      </c>
      <c r="E13251" s="26">
        <v>3.4799999999999998E-2</v>
      </c>
      <c r="F13251" s="26">
        <v>4.7000000000000002E-3</v>
      </c>
      <c r="G13251" s="26">
        <v>2.24E-2</v>
      </c>
      <c r="H13251" s="26">
        <v>2.58E-2</v>
      </c>
      <c r="I13251" s="26">
        <v>2E-3</v>
      </c>
      <c r="J13251" s="26">
        <v>1.8200000000000001E-2</v>
      </c>
      <c r="L13251" s="26">
        <v>2E-3</v>
      </c>
      <c r="P13251">
        <v>328</v>
      </c>
    </row>
    <row r="13252" spans="1:16" x14ac:dyDescent="0.35">
      <c r="A13252" t="s">
        <v>228</v>
      </c>
      <c r="B13252" t="s">
        <v>238</v>
      </c>
      <c r="C13252" s="26">
        <v>0.65400000000000003</v>
      </c>
      <c r="D13252" s="26">
        <v>0.21820000000000001</v>
      </c>
      <c r="E13252" s="26">
        <v>4.58E-2</v>
      </c>
      <c r="F13252" s="26">
        <v>3.8199999999999998E-2</v>
      </c>
      <c r="G13252" s="26">
        <v>3.3599999999999998E-2</v>
      </c>
      <c r="H13252" s="26">
        <v>2.4899999999999999E-2</v>
      </c>
      <c r="I13252" s="26">
        <v>3.5000000000000001E-3</v>
      </c>
      <c r="J13252" s="26">
        <v>2.4199999999999999E-2</v>
      </c>
      <c r="K13252" s="26">
        <v>2.9999999999999997E-4</v>
      </c>
      <c r="L13252" s="26">
        <v>1.6999999999999999E-3</v>
      </c>
      <c r="N13252" s="26">
        <v>6.9999999999999999E-4</v>
      </c>
      <c r="O13252" s="26">
        <v>6.9999999999999999E-4</v>
      </c>
      <c r="P13252">
        <v>680</v>
      </c>
    </row>
    <row r="13253" spans="1:16" x14ac:dyDescent="0.35">
      <c r="A13253" t="s">
        <v>229</v>
      </c>
      <c r="B13253" t="s">
        <v>239</v>
      </c>
      <c r="C13253" s="26">
        <v>0.71989999999999998</v>
      </c>
      <c r="D13253" s="26">
        <v>0.19989999999999999</v>
      </c>
      <c r="E13253" s="26">
        <v>3.0099999999999998E-2</v>
      </c>
      <c r="F13253" s="26">
        <v>1.06E-2</v>
      </c>
      <c r="G13253" s="26">
        <v>2.3599999999999999E-2</v>
      </c>
      <c r="H13253" s="26">
        <v>2E-3</v>
      </c>
      <c r="I13253" s="26">
        <v>2.5999999999999999E-3</v>
      </c>
      <c r="J13253" s="26">
        <v>3.8999999999999998E-3</v>
      </c>
      <c r="K13253" s="26">
        <v>0.01</v>
      </c>
      <c r="L13253" s="26">
        <v>6.9999999999999999E-4</v>
      </c>
      <c r="N13253" s="26">
        <v>0.01</v>
      </c>
      <c r="P13253">
        <v>327</v>
      </c>
    </row>
    <row r="13254" spans="1:16" x14ac:dyDescent="0.35">
      <c r="A13254" t="s">
        <v>229</v>
      </c>
      <c r="B13254" t="s">
        <v>238</v>
      </c>
      <c r="C13254" s="26">
        <v>0.6885</v>
      </c>
      <c r="D13254" s="26">
        <v>0.17369999999999999</v>
      </c>
      <c r="E13254" s="26">
        <v>6.9500000000000006E-2</v>
      </c>
      <c r="F13254" s="26">
        <v>3.5400000000000001E-2</v>
      </c>
      <c r="G13254" s="26">
        <v>3.4299999999999997E-2</v>
      </c>
      <c r="H13254" s="26">
        <v>6.4999999999999997E-3</v>
      </c>
      <c r="I13254" s="26">
        <v>9.9000000000000008E-3</v>
      </c>
      <c r="J13254" s="26">
        <v>8.6E-3</v>
      </c>
      <c r="K13254" s="26">
        <v>6.9999999999999999E-4</v>
      </c>
      <c r="L13254" s="26">
        <v>3.5000000000000001E-3</v>
      </c>
      <c r="M13254" s="26">
        <v>8.9999999999999998E-4</v>
      </c>
      <c r="O13254" s="26">
        <v>5.0000000000000001E-4</v>
      </c>
      <c r="P13254">
        <v>540</v>
      </c>
    </row>
    <row r="13255" spans="1:16" x14ac:dyDescent="0.35">
      <c r="A13255" t="s">
        <v>230</v>
      </c>
      <c r="B13255" t="s">
        <v>239</v>
      </c>
      <c r="C13255" s="26">
        <v>0.71260000000000001</v>
      </c>
      <c r="D13255" s="26">
        <v>0.1552</v>
      </c>
      <c r="E13255" s="26">
        <v>5.2299999999999999E-2</v>
      </c>
      <c r="F13255" s="26">
        <v>4.5199999999999997E-2</v>
      </c>
      <c r="G13255" s="26">
        <v>5.7999999999999996E-3</v>
      </c>
      <c r="H13255" s="26">
        <v>3.0000000000000001E-3</v>
      </c>
      <c r="I13255" s="26">
        <v>2.81E-2</v>
      </c>
      <c r="J13255" s="26">
        <v>1.9E-2</v>
      </c>
      <c r="K13255" s="26">
        <v>8.9999999999999998E-4</v>
      </c>
      <c r="M13255" s="26">
        <v>1.8100000000000002E-2</v>
      </c>
      <c r="P13255">
        <v>206</v>
      </c>
    </row>
    <row r="13256" spans="1:16" x14ac:dyDescent="0.35">
      <c r="A13256" t="s">
        <v>230</v>
      </c>
      <c r="B13256" t="s">
        <v>238</v>
      </c>
      <c r="C13256" s="26">
        <v>0.7147</v>
      </c>
      <c r="D13256" s="26">
        <v>0.1351</v>
      </c>
      <c r="E13256" s="26">
        <v>7.7600000000000002E-2</v>
      </c>
      <c r="F13256" s="26">
        <v>5.4800000000000001E-2</v>
      </c>
      <c r="G13256" s="26">
        <v>9.7999999999999997E-3</v>
      </c>
      <c r="H13256" s="26">
        <v>3.8399999999999997E-2</v>
      </c>
      <c r="I13256" s="26">
        <v>9.5999999999999992E-3</v>
      </c>
      <c r="J13256" s="26">
        <v>1.6899999999999998E-2</v>
      </c>
      <c r="K13256" s="26">
        <v>7.9000000000000008E-3</v>
      </c>
      <c r="L13256" s="26">
        <v>8.3000000000000001E-3</v>
      </c>
      <c r="N13256" s="26">
        <v>4.0000000000000002E-4</v>
      </c>
      <c r="O13256" s="26">
        <v>7.9000000000000008E-3</v>
      </c>
      <c r="P13256">
        <v>338</v>
      </c>
    </row>
    <row r="13257" spans="1:16" x14ac:dyDescent="0.35">
      <c r="A13257" t="s">
        <v>231</v>
      </c>
      <c r="B13257" t="s">
        <v>239</v>
      </c>
      <c r="C13257" s="26">
        <v>0.87719999999999998</v>
      </c>
      <c r="D13257" s="26">
        <v>7.0199999999999999E-2</v>
      </c>
      <c r="E13257" s="26">
        <v>1.7500000000000002E-2</v>
      </c>
      <c r="F13257" s="26">
        <v>1.7500000000000002E-2</v>
      </c>
      <c r="G13257" s="26">
        <v>1.7500000000000002E-2</v>
      </c>
      <c r="P13257">
        <v>57</v>
      </c>
    </row>
    <row r="13258" spans="1:16" x14ac:dyDescent="0.35">
      <c r="A13258" t="s">
        <v>231</v>
      </c>
      <c r="B13258" t="s">
        <v>238</v>
      </c>
      <c r="C13258" s="26">
        <v>0.7429</v>
      </c>
      <c r="D13258" s="26">
        <v>0.1429</v>
      </c>
      <c r="E13258" s="26">
        <v>4.7600000000000003E-2</v>
      </c>
      <c r="F13258" s="26">
        <v>2.86E-2</v>
      </c>
      <c r="G13258" s="26">
        <v>9.4999999999999998E-3</v>
      </c>
      <c r="H13258" s="26">
        <v>1.9E-2</v>
      </c>
      <c r="I13258" s="26">
        <v>9.4999999999999998E-3</v>
      </c>
      <c r="K13258" s="26">
        <v>9.4999999999999998E-3</v>
      </c>
      <c r="P13258">
        <v>105</v>
      </c>
    </row>
    <row r="13259" spans="1:16" x14ac:dyDescent="0.35">
      <c r="A13259" t="s">
        <v>232</v>
      </c>
      <c r="B13259" t="s">
        <v>232</v>
      </c>
      <c r="C13259" s="26">
        <v>0.71640000000000004</v>
      </c>
      <c r="D13259" s="26">
        <v>0.16869999999999999</v>
      </c>
      <c r="E13259" s="26">
        <v>4.9599999999999998E-2</v>
      </c>
      <c r="F13259" s="26">
        <v>3.0700000000000002E-2</v>
      </c>
      <c r="G13259" s="26">
        <v>2.1999999999999999E-2</v>
      </c>
      <c r="H13259" s="26">
        <v>1.72E-2</v>
      </c>
      <c r="I13259" s="26">
        <v>8.8999999999999999E-3</v>
      </c>
      <c r="J13259" s="26">
        <v>8.2000000000000007E-3</v>
      </c>
      <c r="K13259" s="26">
        <v>3.2000000000000002E-3</v>
      </c>
      <c r="L13259" s="26">
        <v>1.6999999999999999E-3</v>
      </c>
      <c r="M13259" s="26">
        <v>1.6999999999999999E-3</v>
      </c>
      <c r="N13259" s="26">
        <v>8.9999999999999998E-4</v>
      </c>
      <c r="O13259" s="26">
        <v>6.9999999999999999E-4</v>
      </c>
      <c r="P13259">
        <v>2741</v>
      </c>
    </row>
    <row r="13261" spans="1:16" x14ac:dyDescent="0.35">
      <c r="A13261" s="1" t="s">
        <v>1507</v>
      </c>
    </row>
    <row r="13262" spans="1:16" x14ac:dyDescent="0.35">
      <c r="A13262" t="s">
        <v>219</v>
      </c>
      <c r="B13262" t="s">
        <v>305</v>
      </c>
      <c r="C13262" t="s">
        <v>550</v>
      </c>
      <c r="D13262" t="s">
        <v>281</v>
      </c>
      <c r="E13262" t="s">
        <v>1403</v>
      </c>
      <c r="F13262" t="s">
        <v>1402</v>
      </c>
      <c r="G13262" t="s">
        <v>1401</v>
      </c>
      <c r="H13262" t="s">
        <v>1404</v>
      </c>
      <c r="I13262" t="s">
        <v>1503</v>
      </c>
      <c r="J13262" t="s">
        <v>1504</v>
      </c>
      <c r="K13262" t="s">
        <v>286</v>
      </c>
      <c r="L13262" t="s">
        <v>1406</v>
      </c>
      <c r="M13262" t="s">
        <v>326</v>
      </c>
      <c r="N13262" t="s">
        <v>1408</v>
      </c>
      <c r="O13262" t="s">
        <v>1407</v>
      </c>
      <c r="P13262" t="s">
        <v>226</v>
      </c>
    </row>
    <row r="13263" spans="1:16" x14ac:dyDescent="0.35">
      <c r="A13263" t="s">
        <v>227</v>
      </c>
      <c r="B13263" t="s">
        <v>244</v>
      </c>
      <c r="C13263" s="26">
        <v>0.68420000000000003</v>
      </c>
      <c r="D13263" s="26">
        <v>0.2</v>
      </c>
      <c r="E13263" s="26">
        <v>5.2600000000000001E-2</v>
      </c>
      <c r="F13263" s="26">
        <v>3.1600000000000003E-2</v>
      </c>
      <c r="G13263" s="26">
        <v>2.1100000000000001E-2</v>
      </c>
      <c r="H13263" s="26">
        <v>3.1600000000000003E-2</v>
      </c>
      <c r="I13263" s="26">
        <v>1.0500000000000001E-2</v>
      </c>
      <c r="M13263" s="26">
        <v>1.0500000000000001E-2</v>
      </c>
      <c r="P13263">
        <v>95</v>
      </c>
    </row>
    <row r="13264" spans="1:16" x14ac:dyDescent="0.35">
      <c r="A13264" t="s">
        <v>227</v>
      </c>
      <c r="B13264" t="s">
        <v>245</v>
      </c>
      <c r="C13264" s="26">
        <v>0.64149999999999996</v>
      </c>
      <c r="D13264" s="26">
        <v>0.24529999999999999</v>
      </c>
      <c r="E13264" s="26">
        <v>5.6599999999999998E-2</v>
      </c>
      <c r="F13264" s="26">
        <v>3.7699999999999997E-2</v>
      </c>
      <c r="I13264" s="26">
        <v>3.7699999999999997E-2</v>
      </c>
      <c r="P13264">
        <v>53</v>
      </c>
    </row>
    <row r="13265" spans="1:16" x14ac:dyDescent="0.35">
      <c r="A13265" s="27" t="s">
        <v>227</v>
      </c>
      <c r="B13265" s="27" t="s">
        <v>246</v>
      </c>
      <c r="C13265" s="28">
        <v>0.66669999999999996</v>
      </c>
      <c r="D13265" s="28">
        <v>0.16669999999999999</v>
      </c>
      <c r="E13265" s="29"/>
      <c r="F13265" s="29"/>
      <c r="G13265" s="28">
        <v>8.3299999999999999E-2</v>
      </c>
      <c r="H13265" s="28">
        <v>0.16669999999999999</v>
      </c>
      <c r="I13265" s="29"/>
      <c r="J13265" s="29"/>
      <c r="K13265" s="29"/>
      <c r="L13265" s="29"/>
      <c r="M13265" s="29"/>
      <c r="N13265" s="29"/>
      <c r="O13265" s="29"/>
      <c r="P13265" s="29" t="s">
        <v>342</v>
      </c>
    </row>
    <row r="13266" spans="1:16" x14ac:dyDescent="0.35">
      <c r="A13266" t="s">
        <v>228</v>
      </c>
      <c r="B13266" t="s">
        <v>244</v>
      </c>
      <c r="C13266" s="26">
        <v>0.69199999999999995</v>
      </c>
      <c r="D13266" s="26">
        <v>0.19919999999999999</v>
      </c>
      <c r="E13266" s="26">
        <v>3.9699999999999999E-2</v>
      </c>
      <c r="F13266" s="26">
        <v>3.0700000000000002E-2</v>
      </c>
      <c r="G13266" s="26">
        <v>2.3800000000000002E-2</v>
      </c>
      <c r="H13266" s="26">
        <v>3.49E-2</v>
      </c>
      <c r="I13266" s="26">
        <v>3.0999999999999999E-3</v>
      </c>
      <c r="J13266" s="26">
        <v>2.35E-2</v>
      </c>
      <c r="L13266" s="26">
        <v>1.5E-3</v>
      </c>
      <c r="P13266">
        <v>621</v>
      </c>
    </row>
    <row r="13267" spans="1:16" x14ac:dyDescent="0.35">
      <c r="A13267" t="s">
        <v>228</v>
      </c>
      <c r="B13267" t="s">
        <v>245</v>
      </c>
      <c r="C13267" s="26">
        <v>0.62060000000000004</v>
      </c>
      <c r="D13267" s="26">
        <v>0.22550000000000001</v>
      </c>
      <c r="E13267" s="26">
        <v>5.8400000000000001E-2</v>
      </c>
      <c r="F13267" s="26">
        <v>3.9800000000000002E-2</v>
      </c>
      <c r="G13267" s="26">
        <v>4.9500000000000002E-2</v>
      </c>
      <c r="H13267" s="26">
        <v>8.6E-3</v>
      </c>
      <c r="I13267" s="26">
        <v>4.3E-3</v>
      </c>
      <c r="J13267" s="26">
        <v>2.2800000000000001E-2</v>
      </c>
      <c r="K13267" s="26">
        <v>8.9999999999999998E-4</v>
      </c>
      <c r="L13267" s="26">
        <v>2.8999999999999998E-3</v>
      </c>
      <c r="N13267" s="26">
        <v>2E-3</v>
      </c>
      <c r="O13267" s="26">
        <v>2E-3</v>
      </c>
      <c r="P13267">
        <v>322</v>
      </c>
    </row>
    <row r="13268" spans="1:16" x14ac:dyDescent="0.35">
      <c r="A13268" t="s">
        <v>228</v>
      </c>
      <c r="B13268" t="s">
        <v>246</v>
      </c>
      <c r="C13268" s="26">
        <v>0.77749999999999997</v>
      </c>
      <c r="D13268" s="26">
        <v>0.1658</v>
      </c>
      <c r="E13268" s="26">
        <v>1.7500000000000002E-2</v>
      </c>
      <c r="G13268" s="26">
        <v>2.6800000000000001E-2</v>
      </c>
      <c r="J13268" s="26">
        <v>1.8599999999999998E-2</v>
      </c>
      <c r="P13268">
        <v>65</v>
      </c>
    </row>
    <row r="13269" spans="1:16" x14ac:dyDescent="0.35">
      <c r="A13269" t="s">
        <v>229</v>
      </c>
      <c r="B13269" t="s">
        <v>244</v>
      </c>
      <c r="C13269" s="26">
        <v>0.70450000000000002</v>
      </c>
      <c r="D13269" s="26">
        <v>0.16619999999999999</v>
      </c>
      <c r="E13269" s="26">
        <v>6.9900000000000004E-2</v>
      </c>
      <c r="F13269" s="26">
        <v>3.6200000000000003E-2</v>
      </c>
      <c r="G13269" s="26">
        <v>3.5400000000000001E-2</v>
      </c>
      <c r="H13269" s="26">
        <v>7.0000000000000001E-3</v>
      </c>
      <c r="I13269" s="26">
        <v>2.5000000000000001E-3</v>
      </c>
      <c r="J13269" s="26">
        <v>5.1999999999999998E-3</v>
      </c>
      <c r="K13269" s="26">
        <v>5.0000000000000001E-4</v>
      </c>
      <c r="M13269" s="26">
        <v>1E-3</v>
      </c>
      <c r="O13269" s="26">
        <v>2.9999999999999997E-4</v>
      </c>
      <c r="P13269">
        <v>541</v>
      </c>
    </row>
    <row r="13270" spans="1:16" x14ac:dyDescent="0.35">
      <c r="A13270" t="s">
        <v>229</v>
      </c>
      <c r="B13270" t="s">
        <v>245</v>
      </c>
      <c r="C13270" s="26">
        <v>0.66249999999999998</v>
      </c>
      <c r="D13270" s="26">
        <v>0.22600000000000001</v>
      </c>
      <c r="E13270" s="26">
        <v>3.95E-2</v>
      </c>
      <c r="F13270" s="26">
        <v>1.34E-2</v>
      </c>
      <c r="G13270" s="26">
        <v>2.3699999999999999E-2</v>
      </c>
      <c r="H13270" s="26">
        <v>6.9999999999999999E-4</v>
      </c>
      <c r="I13270" s="26">
        <v>2.46E-2</v>
      </c>
      <c r="J13270" s="26">
        <v>1.2699999999999999E-2</v>
      </c>
      <c r="K13270" s="26">
        <v>1.0999999999999999E-2</v>
      </c>
      <c r="L13270" s="26">
        <v>1.0999999999999999E-2</v>
      </c>
      <c r="O13270" s="26">
        <v>6.9999999999999999E-4</v>
      </c>
      <c r="P13270">
        <v>285</v>
      </c>
    </row>
    <row r="13271" spans="1:16" x14ac:dyDescent="0.35">
      <c r="A13271" t="s">
        <v>229</v>
      </c>
      <c r="B13271" t="s">
        <v>246</v>
      </c>
      <c r="C13271" s="26">
        <v>0.76780000000000004</v>
      </c>
      <c r="D13271" s="26">
        <v>0.14879999999999999</v>
      </c>
      <c r="E13271" s="26">
        <v>5.8999999999999999E-3</v>
      </c>
      <c r="F13271" s="26">
        <v>3.8E-3</v>
      </c>
      <c r="G13271" s="26">
        <v>1.52E-2</v>
      </c>
      <c r="H13271" s="26">
        <v>5.8999999999999999E-3</v>
      </c>
      <c r="J13271" s="26">
        <v>1.12E-2</v>
      </c>
      <c r="N13271" s="26">
        <v>5.6500000000000002E-2</v>
      </c>
      <c r="P13271">
        <v>41</v>
      </c>
    </row>
    <row r="13272" spans="1:16" x14ac:dyDescent="0.35">
      <c r="A13272" t="s">
        <v>230</v>
      </c>
      <c r="B13272" t="s">
        <v>244</v>
      </c>
      <c r="C13272" s="26">
        <v>0.71189999999999998</v>
      </c>
      <c r="D13272" s="26">
        <v>0.14069999999999999</v>
      </c>
      <c r="E13272" s="26">
        <v>5.9499999999999997E-2</v>
      </c>
      <c r="F13272" s="26">
        <v>4.7300000000000002E-2</v>
      </c>
      <c r="G13272" s="26">
        <v>9.4000000000000004E-3</v>
      </c>
      <c r="H13272" s="26">
        <v>3.2000000000000001E-2</v>
      </c>
      <c r="I13272" s="26">
        <v>2.1899999999999999E-2</v>
      </c>
      <c r="J13272" s="26">
        <v>1.7000000000000001E-2</v>
      </c>
      <c r="K13272" s="26">
        <v>8.3000000000000001E-3</v>
      </c>
      <c r="L13272" s="26">
        <v>7.9000000000000008E-3</v>
      </c>
      <c r="M13272" s="26">
        <v>7.9000000000000008E-3</v>
      </c>
      <c r="O13272" s="26">
        <v>7.9000000000000008E-3</v>
      </c>
      <c r="P13272">
        <v>360</v>
      </c>
    </row>
    <row r="13273" spans="1:16" x14ac:dyDescent="0.35">
      <c r="A13273" t="s">
        <v>230</v>
      </c>
      <c r="B13273" t="s">
        <v>245</v>
      </c>
      <c r="C13273" s="26">
        <v>0.68100000000000005</v>
      </c>
      <c r="D13273" s="26">
        <v>0.154</v>
      </c>
      <c r="E13273" s="26">
        <v>0.1111</v>
      </c>
      <c r="F13273" s="26">
        <v>7.4099999999999999E-2</v>
      </c>
      <c r="G13273" s="26">
        <v>8.2000000000000007E-3</v>
      </c>
      <c r="H13273" s="26">
        <v>2.1299999999999999E-2</v>
      </c>
      <c r="J13273" s="26">
        <v>2.23E-2</v>
      </c>
      <c r="L13273" s="26">
        <v>1.1000000000000001E-3</v>
      </c>
      <c r="N13273" s="26">
        <v>1.1000000000000001E-3</v>
      </c>
      <c r="P13273">
        <v>156</v>
      </c>
    </row>
    <row r="13274" spans="1:16" x14ac:dyDescent="0.35">
      <c r="A13274" s="27" t="s">
        <v>230</v>
      </c>
      <c r="B13274" s="27" t="s">
        <v>246</v>
      </c>
      <c r="C13274" s="28">
        <v>0.92</v>
      </c>
      <c r="D13274" s="28">
        <v>0.08</v>
      </c>
      <c r="E13274" s="29"/>
      <c r="F13274" s="29"/>
      <c r="G13274" s="29"/>
      <c r="H13274" s="29"/>
      <c r="I13274" s="29"/>
      <c r="J13274" s="29"/>
      <c r="K13274" s="29"/>
      <c r="L13274" s="29"/>
      <c r="M13274" s="29"/>
      <c r="N13274" s="29"/>
      <c r="O13274" s="29"/>
      <c r="P13274" s="29" t="s">
        <v>336</v>
      </c>
    </row>
    <row r="13275" spans="1:16" x14ac:dyDescent="0.35">
      <c r="A13275" t="s">
        <v>231</v>
      </c>
      <c r="B13275" t="s">
        <v>244</v>
      </c>
      <c r="C13275" s="26">
        <v>0.79790000000000005</v>
      </c>
      <c r="D13275" s="26">
        <v>0.10639999999999999</v>
      </c>
      <c r="E13275" s="26">
        <v>4.2599999999999999E-2</v>
      </c>
      <c r="G13275" s="26">
        <v>2.1299999999999999E-2</v>
      </c>
      <c r="H13275" s="26">
        <v>2.1299999999999999E-2</v>
      </c>
      <c r="K13275" s="26">
        <v>1.06E-2</v>
      </c>
      <c r="P13275">
        <v>94</v>
      </c>
    </row>
    <row r="13276" spans="1:16" x14ac:dyDescent="0.35">
      <c r="A13276" t="s">
        <v>231</v>
      </c>
      <c r="B13276" t="s">
        <v>245</v>
      </c>
      <c r="C13276" s="26">
        <v>0.75</v>
      </c>
      <c r="D13276" s="26">
        <v>0.16070000000000001</v>
      </c>
      <c r="E13276" s="26">
        <v>1.7899999999999999E-2</v>
      </c>
      <c r="F13276" s="26">
        <v>7.1400000000000005E-2</v>
      </c>
      <c r="I13276" s="26">
        <v>1.7899999999999999E-2</v>
      </c>
      <c r="P13276">
        <v>56</v>
      </c>
    </row>
    <row r="13277" spans="1:16" x14ac:dyDescent="0.35">
      <c r="A13277" s="27" t="s">
        <v>231</v>
      </c>
      <c r="B13277" s="27" t="s">
        <v>246</v>
      </c>
      <c r="C13277" s="28">
        <v>0.91669999999999996</v>
      </c>
      <c r="D13277" s="29"/>
      <c r="E13277" s="28">
        <v>8.3299999999999999E-2</v>
      </c>
      <c r="F13277" s="29"/>
      <c r="G13277" s="29"/>
      <c r="H13277" s="29"/>
      <c r="I13277" s="29"/>
      <c r="J13277" s="29"/>
      <c r="K13277" s="29"/>
      <c r="L13277" s="29"/>
      <c r="M13277" s="29"/>
      <c r="N13277" s="29"/>
      <c r="O13277" s="29"/>
      <c r="P13277" s="29" t="s">
        <v>342</v>
      </c>
    </row>
    <row r="13278" spans="1:16" x14ac:dyDescent="0.35">
      <c r="A13278" t="s">
        <v>232</v>
      </c>
      <c r="B13278" t="s">
        <v>232</v>
      </c>
      <c r="C13278" s="26">
        <v>0.71640000000000004</v>
      </c>
      <c r="D13278" s="26">
        <v>0.16869999999999999</v>
      </c>
      <c r="E13278" s="26">
        <v>4.9599999999999998E-2</v>
      </c>
      <c r="F13278" s="26">
        <v>3.0700000000000002E-2</v>
      </c>
      <c r="G13278" s="26">
        <v>2.1999999999999999E-2</v>
      </c>
      <c r="H13278" s="26">
        <v>1.72E-2</v>
      </c>
      <c r="I13278" s="26">
        <v>8.8999999999999999E-3</v>
      </c>
      <c r="J13278" s="26">
        <v>8.2000000000000007E-3</v>
      </c>
      <c r="K13278" s="26">
        <v>3.2000000000000002E-3</v>
      </c>
      <c r="L13278" s="26">
        <v>1.6999999999999999E-3</v>
      </c>
      <c r="M13278" s="26">
        <v>1.6999999999999999E-3</v>
      </c>
      <c r="N13278" s="26">
        <v>8.9999999999999998E-4</v>
      </c>
      <c r="O13278" s="26">
        <v>6.9999999999999999E-4</v>
      </c>
      <c r="P13278">
        <v>2741</v>
      </c>
    </row>
    <row r="13280" spans="1:16" x14ac:dyDescent="0.35">
      <c r="A13280" s="1" t="s">
        <v>1508</v>
      </c>
    </row>
    <row r="13281" spans="1:16" x14ac:dyDescent="0.35">
      <c r="A13281" t="s">
        <v>219</v>
      </c>
      <c r="B13281" t="s">
        <v>305</v>
      </c>
      <c r="C13281" t="s">
        <v>550</v>
      </c>
      <c r="D13281" t="s">
        <v>281</v>
      </c>
      <c r="E13281" t="s">
        <v>1403</v>
      </c>
      <c r="F13281" t="s">
        <v>1402</v>
      </c>
      <c r="G13281" t="s">
        <v>1401</v>
      </c>
      <c r="H13281" t="s">
        <v>1404</v>
      </c>
      <c r="I13281" t="s">
        <v>1503</v>
      </c>
      <c r="J13281" t="s">
        <v>1504</v>
      </c>
      <c r="K13281" t="s">
        <v>286</v>
      </c>
      <c r="L13281" t="s">
        <v>1406</v>
      </c>
      <c r="M13281" t="s">
        <v>326</v>
      </c>
      <c r="N13281" t="s">
        <v>1408</v>
      </c>
      <c r="O13281" t="s">
        <v>1407</v>
      </c>
      <c r="P13281" t="s">
        <v>226</v>
      </c>
    </row>
    <row r="13282" spans="1:16" x14ac:dyDescent="0.35">
      <c r="A13282" t="s">
        <v>227</v>
      </c>
      <c r="B13282" t="s">
        <v>360</v>
      </c>
      <c r="C13282" s="26">
        <v>0.69230000000000003</v>
      </c>
      <c r="D13282" s="26">
        <v>0.2051</v>
      </c>
      <c r="G13282" s="26">
        <v>2.5600000000000001E-2</v>
      </c>
      <c r="H13282" s="26">
        <v>5.1299999999999998E-2</v>
      </c>
      <c r="I13282" s="26">
        <v>5.1299999999999998E-2</v>
      </c>
      <c r="P13282">
        <v>39</v>
      </c>
    </row>
    <row r="13283" spans="1:16" x14ac:dyDescent="0.35">
      <c r="A13283" t="s">
        <v>227</v>
      </c>
      <c r="B13283" t="s">
        <v>361</v>
      </c>
      <c r="C13283" s="26">
        <v>0.5806</v>
      </c>
      <c r="D13283" s="26">
        <v>0.2903</v>
      </c>
      <c r="E13283" s="26">
        <v>3.2300000000000002E-2</v>
      </c>
      <c r="F13283" s="26">
        <v>6.4500000000000002E-2</v>
      </c>
      <c r="H13283" s="26">
        <v>3.2300000000000002E-2</v>
      </c>
      <c r="I13283" s="26">
        <v>3.2300000000000002E-2</v>
      </c>
      <c r="P13283">
        <v>31</v>
      </c>
    </row>
    <row r="13284" spans="1:16" x14ac:dyDescent="0.35">
      <c r="A13284" t="s">
        <v>227</v>
      </c>
      <c r="B13284" t="s">
        <v>362</v>
      </c>
      <c r="C13284" s="26">
        <v>0.75680000000000003</v>
      </c>
      <c r="D13284" s="26">
        <v>0.18920000000000001</v>
      </c>
      <c r="G13284" s="26">
        <v>2.7E-2</v>
      </c>
      <c r="H13284" s="26">
        <v>2.7E-2</v>
      </c>
      <c r="P13284">
        <v>37</v>
      </c>
    </row>
    <row r="13285" spans="1:16" x14ac:dyDescent="0.35">
      <c r="A13285" t="s">
        <v>227</v>
      </c>
      <c r="B13285" t="s">
        <v>363</v>
      </c>
      <c r="C13285" s="26">
        <v>0.64439999999999997</v>
      </c>
      <c r="D13285" s="26">
        <v>0.2</v>
      </c>
      <c r="E13285" s="26">
        <v>0.1111</v>
      </c>
      <c r="F13285" s="26">
        <v>6.6699999999999995E-2</v>
      </c>
      <c r="G13285" s="26">
        <v>2.2200000000000001E-2</v>
      </c>
      <c r="M13285" s="26">
        <v>2.2200000000000001E-2</v>
      </c>
      <c r="P13285">
        <v>45</v>
      </c>
    </row>
    <row r="13286" spans="1:16" x14ac:dyDescent="0.35">
      <c r="A13286" t="s">
        <v>228</v>
      </c>
      <c r="B13286" t="s">
        <v>360</v>
      </c>
      <c r="C13286" s="26">
        <v>0.68010000000000004</v>
      </c>
      <c r="D13286" s="26">
        <v>0.21870000000000001</v>
      </c>
      <c r="E13286" s="26">
        <v>3.7499999999999999E-2</v>
      </c>
      <c r="F13286" s="26">
        <v>1.3299999999999999E-2</v>
      </c>
      <c r="G13286" s="26">
        <v>2.8500000000000001E-2</v>
      </c>
      <c r="H13286" s="26">
        <v>3.7100000000000001E-2</v>
      </c>
      <c r="J13286" s="26">
        <v>3.3E-3</v>
      </c>
      <c r="K13286" s="26">
        <v>1.1999999999999999E-3</v>
      </c>
      <c r="L13286" s="26">
        <v>2.8E-3</v>
      </c>
      <c r="P13286">
        <v>255</v>
      </c>
    </row>
    <row r="13287" spans="1:16" x14ac:dyDescent="0.35">
      <c r="A13287" t="s">
        <v>228</v>
      </c>
      <c r="B13287" t="s">
        <v>361</v>
      </c>
      <c r="C13287" s="26">
        <v>0.64500000000000002</v>
      </c>
      <c r="D13287" s="26">
        <v>0.21440000000000001</v>
      </c>
      <c r="E13287" s="26">
        <v>6.7000000000000004E-2</v>
      </c>
      <c r="F13287" s="26">
        <v>4.5100000000000001E-2</v>
      </c>
      <c r="G13287" s="26">
        <v>2.7699999999999999E-2</v>
      </c>
      <c r="H13287" s="26">
        <v>2.8500000000000001E-2</v>
      </c>
      <c r="J13287" s="26">
        <v>2.9499999999999998E-2</v>
      </c>
      <c r="L13287" s="26">
        <v>2.3999999999999998E-3</v>
      </c>
      <c r="N13287" s="26">
        <v>2.3999999999999998E-3</v>
      </c>
      <c r="O13287" s="26">
        <v>2.3999999999999998E-3</v>
      </c>
      <c r="P13287">
        <v>184</v>
      </c>
    </row>
    <row r="13288" spans="1:16" x14ac:dyDescent="0.35">
      <c r="A13288" t="s">
        <v>228</v>
      </c>
      <c r="B13288" t="s">
        <v>363</v>
      </c>
      <c r="C13288" s="26">
        <v>0.68440000000000001</v>
      </c>
      <c r="D13288" s="26">
        <v>0.19689999999999999</v>
      </c>
      <c r="E13288" s="26">
        <v>4.82E-2</v>
      </c>
      <c r="F13288" s="26">
        <v>4.9599999999999998E-2</v>
      </c>
      <c r="G13288" s="26">
        <v>2.98E-2</v>
      </c>
      <c r="H13288" s="26">
        <v>7.3000000000000001E-3</v>
      </c>
      <c r="I13288" s="26">
        <v>6.7000000000000002E-3</v>
      </c>
      <c r="J13288" s="26">
        <v>1.46E-2</v>
      </c>
      <c r="P13288">
        <v>205</v>
      </c>
    </row>
    <row r="13289" spans="1:16" x14ac:dyDescent="0.35">
      <c r="A13289" t="s">
        <v>228</v>
      </c>
      <c r="B13289" t="s">
        <v>362</v>
      </c>
      <c r="C13289" s="26">
        <v>0.70240000000000002</v>
      </c>
      <c r="D13289" s="26">
        <v>0.20499999999999999</v>
      </c>
      <c r="E13289" s="26">
        <v>3.2099999999999997E-2</v>
      </c>
      <c r="F13289" s="26">
        <v>1.1599999999999999E-2</v>
      </c>
      <c r="G13289" s="26">
        <v>1.8499999999999999E-2</v>
      </c>
      <c r="H13289" s="26">
        <v>3.2500000000000001E-2</v>
      </c>
      <c r="I13289" s="26">
        <v>6.8999999999999999E-3</v>
      </c>
      <c r="J13289" s="26">
        <v>1.7899999999999999E-2</v>
      </c>
      <c r="L13289" s="26">
        <v>2.8999999999999998E-3</v>
      </c>
      <c r="P13289">
        <v>233</v>
      </c>
    </row>
    <row r="13290" spans="1:16" x14ac:dyDescent="0.35">
      <c r="A13290" t="s">
        <v>229</v>
      </c>
      <c r="B13290" t="s">
        <v>363</v>
      </c>
      <c r="C13290" s="26">
        <v>0.7097</v>
      </c>
      <c r="D13290" s="26">
        <v>0.1802</v>
      </c>
      <c r="E13290" s="26">
        <v>2.1000000000000001E-2</v>
      </c>
      <c r="F13290" s="26">
        <v>2.0500000000000001E-2</v>
      </c>
      <c r="G13290" s="26">
        <v>2.6700000000000002E-2</v>
      </c>
      <c r="H13290" s="26">
        <v>4.7000000000000002E-3</v>
      </c>
      <c r="I13290" s="26">
        <v>3.5400000000000001E-2</v>
      </c>
      <c r="J13290" s="26">
        <v>1.6799999999999999E-2</v>
      </c>
      <c r="M13290" s="26">
        <v>3.7000000000000002E-3</v>
      </c>
      <c r="O13290" s="26">
        <v>8.9999999999999998E-4</v>
      </c>
      <c r="P13290">
        <v>186</v>
      </c>
    </row>
    <row r="13291" spans="1:16" x14ac:dyDescent="0.35">
      <c r="A13291" t="s">
        <v>229</v>
      </c>
      <c r="B13291" t="s">
        <v>360</v>
      </c>
      <c r="C13291" s="26">
        <v>0.75960000000000005</v>
      </c>
      <c r="D13291" s="26">
        <v>0.17030000000000001</v>
      </c>
      <c r="E13291" s="26">
        <v>2.01E-2</v>
      </c>
      <c r="G13291" s="26">
        <v>1.66E-2</v>
      </c>
      <c r="I13291" s="26">
        <v>4.4000000000000003E-3</v>
      </c>
      <c r="J13291" s="26">
        <v>1.1000000000000001E-3</v>
      </c>
      <c r="K13291" s="26">
        <v>1.67E-2</v>
      </c>
      <c r="N13291" s="26">
        <v>1.67E-2</v>
      </c>
      <c r="P13291">
        <v>160</v>
      </c>
    </row>
    <row r="13292" spans="1:16" x14ac:dyDescent="0.35">
      <c r="A13292" t="s">
        <v>229</v>
      </c>
      <c r="B13292" t="s">
        <v>361</v>
      </c>
      <c r="C13292" s="26">
        <v>0.68510000000000004</v>
      </c>
      <c r="D13292" s="26">
        <v>0.15459999999999999</v>
      </c>
      <c r="E13292" s="26">
        <v>0.1053</v>
      </c>
      <c r="F13292" s="26">
        <v>5.4899999999999997E-2</v>
      </c>
      <c r="G13292" s="26">
        <v>3.56E-2</v>
      </c>
      <c r="H13292" s="26">
        <v>2.3E-3</v>
      </c>
      <c r="J13292" s="26">
        <v>7.1000000000000004E-3</v>
      </c>
      <c r="K13292" s="26">
        <v>5.0000000000000001E-4</v>
      </c>
      <c r="L13292" s="26">
        <v>5.0000000000000001E-4</v>
      </c>
      <c r="P13292">
        <v>233</v>
      </c>
    </row>
    <row r="13293" spans="1:16" x14ac:dyDescent="0.35">
      <c r="A13293" t="s">
        <v>229</v>
      </c>
      <c r="B13293" t="s">
        <v>362</v>
      </c>
      <c r="C13293" s="26">
        <v>0.70209999999999995</v>
      </c>
      <c r="D13293" s="26">
        <v>0.1852</v>
      </c>
      <c r="E13293" s="26">
        <v>2.8000000000000001E-2</v>
      </c>
      <c r="F13293" s="26">
        <v>2.47E-2</v>
      </c>
      <c r="G13293" s="26">
        <v>6.2600000000000003E-2</v>
      </c>
      <c r="H13293" s="26">
        <v>1.7399999999999999E-2</v>
      </c>
      <c r="I13293" s="26">
        <v>2.0999999999999999E-3</v>
      </c>
      <c r="J13293" s="26">
        <v>6.1999999999999998E-3</v>
      </c>
      <c r="P13293">
        <v>169</v>
      </c>
    </row>
    <row r="13294" spans="1:16" x14ac:dyDescent="0.35">
      <c r="A13294" t="s">
        <v>230</v>
      </c>
      <c r="B13294" t="s">
        <v>360</v>
      </c>
      <c r="C13294" s="26">
        <v>0.74690000000000001</v>
      </c>
      <c r="D13294" s="26">
        <v>0.1416</v>
      </c>
      <c r="E13294" s="26">
        <v>3.73E-2</v>
      </c>
      <c r="F13294" s="26">
        <v>3.4200000000000001E-2</v>
      </c>
      <c r="G13294" s="26">
        <v>9.2999999999999992E-3</v>
      </c>
      <c r="I13294" s="26">
        <v>1.5E-3</v>
      </c>
      <c r="J13294" s="26">
        <v>1.5E-3</v>
      </c>
      <c r="K13294" s="26">
        <v>3.0800000000000001E-2</v>
      </c>
      <c r="P13294">
        <v>114</v>
      </c>
    </row>
    <row r="13295" spans="1:16" x14ac:dyDescent="0.35">
      <c r="A13295" t="s">
        <v>230</v>
      </c>
      <c r="B13295" t="s">
        <v>363</v>
      </c>
      <c r="C13295" s="26">
        <v>0.69469999999999998</v>
      </c>
      <c r="D13295" s="26">
        <v>0.13689999999999999</v>
      </c>
      <c r="E13295" s="26">
        <v>8.8300000000000003E-2</v>
      </c>
      <c r="F13295" s="26">
        <v>8.43E-2</v>
      </c>
      <c r="G13295" s="26">
        <v>1.7000000000000001E-2</v>
      </c>
      <c r="H13295" s="26">
        <v>1.3100000000000001E-2</v>
      </c>
      <c r="I13295" s="26">
        <v>5.1000000000000004E-3</v>
      </c>
      <c r="J13295" s="26">
        <v>1.1999999999999999E-3</v>
      </c>
      <c r="M13295" s="26">
        <v>2.3800000000000002E-2</v>
      </c>
      <c r="P13295">
        <v>123</v>
      </c>
    </row>
    <row r="13296" spans="1:16" x14ac:dyDescent="0.35">
      <c r="A13296" t="s">
        <v>230</v>
      </c>
      <c r="B13296" t="s">
        <v>361</v>
      </c>
      <c r="C13296" s="26">
        <v>0.58189999999999997</v>
      </c>
      <c r="D13296" s="26">
        <v>0.17680000000000001</v>
      </c>
      <c r="E13296" s="26">
        <v>0.126</v>
      </c>
      <c r="F13296" s="26">
        <v>7.2499999999999995E-2</v>
      </c>
      <c r="G13296" s="26">
        <v>3.5000000000000001E-3</v>
      </c>
      <c r="H13296" s="26">
        <v>6.7799999999999999E-2</v>
      </c>
      <c r="I13296" s="26">
        <v>4.6399999999999997E-2</v>
      </c>
      <c r="J13296" s="26">
        <v>6.5299999999999997E-2</v>
      </c>
      <c r="L13296" s="26">
        <v>2.1399999999999999E-2</v>
      </c>
      <c r="O13296" s="26">
        <v>2.1399999999999999E-2</v>
      </c>
      <c r="P13296">
        <v>106</v>
      </c>
    </row>
    <row r="13297" spans="1:16" x14ac:dyDescent="0.35">
      <c r="A13297" t="s">
        <v>230</v>
      </c>
      <c r="B13297" t="s">
        <v>362</v>
      </c>
      <c r="C13297" s="26">
        <v>0.81240000000000001</v>
      </c>
      <c r="D13297" s="26">
        <v>0.1094</v>
      </c>
      <c r="E13297" s="26">
        <v>3.3300000000000003E-2</v>
      </c>
      <c r="F13297" s="26">
        <v>2.8400000000000002E-2</v>
      </c>
      <c r="G13297" s="26">
        <v>6.8999999999999999E-3</v>
      </c>
      <c r="H13297" s="26">
        <v>2.5000000000000001E-2</v>
      </c>
      <c r="I13297" s="26">
        <v>7.1999999999999998E-3</v>
      </c>
      <c r="J13297" s="26">
        <v>1.1000000000000001E-3</v>
      </c>
      <c r="L13297" s="26">
        <v>1.1000000000000001E-3</v>
      </c>
      <c r="N13297" s="26">
        <v>1.1000000000000001E-3</v>
      </c>
      <c r="P13297">
        <v>147</v>
      </c>
    </row>
    <row r="13298" spans="1:16" x14ac:dyDescent="0.35">
      <c r="A13298" s="27" t="s">
        <v>231</v>
      </c>
      <c r="B13298" s="27" t="s">
        <v>362</v>
      </c>
      <c r="C13298" s="28">
        <v>0.93100000000000005</v>
      </c>
      <c r="D13298" s="28">
        <v>6.9000000000000006E-2</v>
      </c>
      <c r="E13298" s="29"/>
      <c r="F13298" s="29"/>
      <c r="G13298" s="29"/>
      <c r="H13298" s="29"/>
      <c r="I13298" s="29"/>
      <c r="J13298" s="29"/>
      <c r="K13298" s="29"/>
      <c r="L13298" s="29"/>
      <c r="M13298" s="29"/>
      <c r="N13298" s="29"/>
      <c r="O13298" s="29"/>
      <c r="P13298" s="29" t="s">
        <v>329</v>
      </c>
    </row>
    <row r="13299" spans="1:16" x14ac:dyDescent="0.35">
      <c r="A13299" t="s">
        <v>231</v>
      </c>
      <c r="B13299" t="s">
        <v>361</v>
      </c>
      <c r="C13299" s="26">
        <v>0.62</v>
      </c>
      <c r="D13299" s="26">
        <v>0.2</v>
      </c>
      <c r="E13299" s="26">
        <v>0.06</v>
      </c>
      <c r="F13299" s="26">
        <v>0.08</v>
      </c>
      <c r="H13299" s="26">
        <v>0.02</v>
      </c>
      <c r="I13299" s="26">
        <v>0.02</v>
      </c>
      <c r="K13299" s="26">
        <v>0.02</v>
      </c>
      <c r="P13299">
        <v>50</v>
      </c>
    </row>
    <row r="13300" spans="1:16" x14ac:dyDescent="0.35">
      <c r="A13300" t="s">
        <v>231</v>
      </c>
      <c r="B13300" t="s">
        <v>360</v>
      </c>
      <c r="C13300" s="26">
        <v>0.85709999999999997</v>
      </c>
      <c r="D13300" s="26">
        <v>9.5200000000000007E-2</v>
      </c>
      <c r="E13300" s="26">
        <v>2.3800000000000002E-2</v>
      </c>
      <c r="G13300" s="26">
        <v>2.3800000000000002E-2</v>
      </c>
      <c r="P13300">
        <v>42</v>
      </c>
    </row>
    <row r="13301" spans="1:16" x14ac:dyDescent="0.35">
      <c r="A13301" s="27" t="s">
        <v>231</v>
      </c>
      <c r="B13301" s="27" t="s">
        <v>363</v>
      </c>
      <c r="C13301" s="28">
        <v>0.77780000000000005</v>
      </c>
      <c r="D13301" s="28">
        <v>0.1111</v>
      </c>
      <c r="E13301" s="28">
        <v>7.4099999999999999E-2</v>
      </c>
      <c r="F13301" s="29"/>
      <c r="G13301" s="29"/>
      <c r="H13301" s="28">
        <v>3.6999999999999998E-2</v>
      </c>
      <c r="I13301" s="29"/>
      <c r="J13301" s="29"/>
      <c r="K13301" s="29"/>
      <c r="L13301" s="29"/>
      <c r="M13301" s="29"/>
      <c r="N13301" s="29"/>
      <c r="O13301" s="29"/>
      <c r="P13301" s="29" t="s">
        <v>338</v>
      </c>
    </row>
    <row r="13302" spans="1:16" x14ac:dyDescent="0.35">
      <c r="A13302" t="s">
        <v>232</v>
      </c>
      <c r="B13302" t="s">
        <v>232</v>
      </c>
      <c r="C13302" s="26">
        <v>0.71640000000000004</v>
      </c>
      <c r="D13302" s="26">
        <v>0.16869999999999999</v>
      </c>
      <c r="E13302" s="26">
        <v>4.9599999999999998E-2</v>
      </c>
      <c r="F13302" s="26">
        <v>3.0700000000000002E-2</v>
      </c>
      <c r="G13302" s="26">
        <v>2.1999999999999999E-2</v>
      </c>
      <c r="H13302" s="26">
        <v>1.72E-2</v>
      </c>
      <c r="I13302" s="26">
        <v>8.8999999999999999E-3</v>
      </c>
      <c r="J13302" s="26">
        <v>8.2000000000000007E-3</v>
      </c>
      <c r="K13302" s="26">
        <v>3.2000000000000002E-3</v>
      </c>
      <c r="L13302" s="26">
        <v>1.6999999999999999E-3</v>
      </c>
      <c r="M13302" s="26">
        <v>1.6999999999999999E-3</v>
      </c>
      <c r="N13302" s="26">
        <v>8.9999999999999998E-4</v>
      </c>
      <c r="O13302" s="26">
        <v>6.9999999999999999E-4</v>
      </c>
      <c r="P13302">
        <v>2415</v>
      </c>
    </row>
    <row r="13304" spans="1:16" x14ac:dyDescent="0.35">
      <c r="A13304" s="1" t="s">
        <v>1509</v>
      </c>
    </row>
    <row r="13305" spans="1:16" x14ac:dyDescent="0.35">
      <c r="A13305" t="s">
        <v>219</v>
      </c>
      <c r="B13305" t="s">
        <v>305</v>
      </c>
      <c r="C13305" t="s">
        <v>550</v>
      </c>
      <c r="D13305" t="s">
        <v>281</v>
      </c>
      <c r="E13305" t="s">
        <v>1403</v>
      </c>
      <c r="F13305" t="s">
        <v>1402</v>
      </c>
      <c r="G13305" t="s">
        <v>1401</v>
      </c>
      <c r="H13305" t="s">
        <v>1404</v>
      </c>
      <c r="I13305" t="s">
        <v>1503</v>
      </c>
      <c r="J13305" t="s">
        <v>1504</v>
      </c>
      <c r="K13305" t="s">
        <v>286</v>
      </c>
      <c r="L13305" t="s">
        <v>1406</v>
      </c>
      <c r="M13305" t="s">
        <v>326</v>
      </c>
      <c r="N13305" t="s">
        <v>1408</v>
      </c>
      <c r="O13305" t="s">
        <v>1407</v>
      </c>
      <c r="P13305" t="s">
        <v>226</v>
      </c>
    </row>
    <row r="13306" spans="1:16" x14ac:dyDescent="0.35">
      <c r="A13306" t="s">
        <v>227</v>
      </c>
      <c r="B13306" t="s">
        <v>267</v>
      </c>
      <c r="C13306" s="26">
        <v>0.52780000000000005</v>
      </c>
      <c r="D13306" s="26">
        <v>0.30559999999999998</v>
      </c>
      <c r="E13306" s="26">
        <v>8.3299999999999999E-2</v>
      </c>
      <c r="F13306" s="26">
        <v>5.5599999999999997E-2</v>
      </c>
      <c r="G13306" s="26">
        <v>2.7799999999999998E-2</v>
      </c>
      <c r="I13306" s="26">
        <v>5.5599999999999997E-2</v>
      </c>
      <c r="P13306">
        <v>36</v>
      </c>
    </row>
    <row r="13307" spans="1:16" x14ac:dyDescent="0.35">
      <c r="A13307" t="s">
        <v>227</v>
      </c>
      <c r="B13307" t="s">
        <v>266</v>
      </c>
      <c r="C13307" s="26">
        <v>0.66100000000000003</v>
      </c>
      <c r="D13307" s="26">
        <v>0.2203</v>
      </c>
      <c r="E13307" s="26">
        <v>5.0799999999999998E-2</v>
      </c>
      <c r="F13307" s="26">
        <v>5.0799999999999998E-2</v>
      </c>
      <c r="H13307" s="26">
        <v>3.39E-2</v>
      </c>
      <c r="M13307" s="26">
        <v>1.6899999999999998E-2</v>
      </c>
      <c r="P13307">
        <v>59</v>
      </c>
    </row>
    <row r="13308" spans="1:16" x14ac:dyDescent="0.35">
      <c r="A13308" t="s">
        <v>227</v>
      </c>
      <c r="B13308" t="s">
        <v>265</v>
      </c>
      <c r="C13308" s="26">
        <v>0.75380000000000003</v>
      </c>
      <c r="D13308" s="26">
        <v>0.15379999999999999</v>
      </c>
      <c r="E13308" s="26">
        <v>3.0800000000000001E-2</v>
      </c>
      <c r="G13308" s="26">
        <v>3.0800000000000001E-2</v>
      </c>
      <c r="H13308" s="26">
        <v>4.6199999999999998E-2</v>
      </c>
      <c r="I13308" s="26">
        <v>1.54E-2</v>
      </c>
      <c r="P13308">
        <v>65</v>
      </c>
    </row>
    <row r="13309" spans="1:16" x14ac:dyDescent="0.35">
      <c r="A13309" t="s">
        <v>228</v>
      </c>
      <c r="B13309" t="s">
        <v>267</v>
      </c>
      <c r="C13309" s="26">
        <v>0.66069999999999995</v>
      </c>
      <c r="D13309" s="26">
        <v>0.22040000000000001</v>
      </c>
      <c r="E13309" s="26">
        <v>5.28E-2</v>
      </c>
      <c r="F13309" s="26">
        <v>3.7499999999999999E-2</v>
      </c>
      <c r="G13309" s="26">
        <v>2.3400000000000001E-2</v>
      </c>
      <c r="H13309" s="26">
        <v>2.6599999999999999E-2</v>
      </c>
      <c r="J13309" s="26">
        <v>1.5599999999999999E-2</v>
      </c>
      <c r="L13309" s="26">
        <v>3.3999999999999998E-3</v>
      </c>
      <c r="N13309" s="26">
        <v>3.3999999999999998E-3</v>
      </c>
      <c r="O13309" s="26">
        <v>3.3999999999999998E-3</v>
      </c>
      <c r="P13309">
        <v>195</v>
      </c>
    </row>
    <row r="13310" spans="1:16" x14ac:dyDescent="0.35">
      <c r="A13310" t="s">
        <v>228</v>
      </c>
      <c r="B13310" t="s">
        <v>265</v>
      </c>
      <c r="C13310" s="26">
        <v>0.71309999999999996</v>
      </c>
      <c r="D13310" s="26">
        <v>0.2024</v>
      </c>
      <c r="E13310" s="26">
        <v>2.1899999999999999E-2</v>
      </c>
      <c r="F13310" s="26">
        <v>3.1300000000000001E-2</v>
      </c>
      <c r="G13310" s="26">
        <v>1.7600000000000001E-2</v>
      </c>
      <c r="H13310" s="26">
        <v>1.9099999999999999E-2</v>
      </c>
      <c r="I13310" s="26">
        <v>1.9E-3</v>
      </c>
      <c r="J13310" s="26">
        <v>1.54E-2</v>
      </c>
      <c r="L13310" s="26">
        <v>2.3999999999999998E-3</v>
      </c>
      <c r="P13310">
        <v>373</v>
      </c>
    </row>
    <row r="13311" spans="1:16" x14ac:dyDescent="0.35">
      <c r="A13311" s="27" t="s">
        <v>228</v>
      </c>
      <c r="B13311" s="27" t="s">
        <v>236</v>
      </c>
      <c r="C13311" s="28">
        <v>0.5</v>
      </c>
      <c r="D13311" s="29"/>
      <c r="E13311" s="28">
        <v>0.5</v>
      </c>
      <c r="F13311" s="29"/>
      <c r="G13311" s="29"/>
      <c r="H13311" s="28">
        <v>0.5</v>
      </c>
      <c r="I13311" s="29"/>
      <c r="J13311" s="29"/>
      <c r="K13311" s="29"/>
      <c r="L13311" s="29"/>
      <c r="M13311" s="29"/>
      <c r="N13311" s="29"/>
      <c r="O13311" s="29"/>
      <c r="P13311" s="29" t="s">
        <v>314</v>
      </c>
    </row>
    <row r="13312" spans="1:16" x14ac:dyDescent="0.35">
      <c r="A13312" t="s">
        <v>228</v>
      </c>
      <c r="B13312" t="s">
        <v>266</v>
      </c>
      <c r="C13312" s="26">
        <v>0.65210000000000001</v>
      </c>
      <c r="D13312" s="26">
        <v>0.2029</v>
      </c>
      <c r="E13312" s="26">
        <v>5.3800000000000001E-2</v>
      </c>
      <c r="F13312" s="26">
        <v>2.8899999999999999E-2</v>
      </c>
      <c r="G13312" s="26">
        <v>4.8800000000000003E-2</v>
      </c>
      <c r="H13312" s="26">
        <v>2.2700000000000001E-2</v>
      </c>
      <c r="I13312" s="26">
        <v>5.8999999999999999E-3</v>
      </c>
      <c r="J13312" s="26">
        <v>3.4000000000000002E-2</v>
      </c>
      <c r="K13312" s="26">
        <v>5.9999999999999995E-4</v>
      </c>
      <c r="L13312" s="26">
        <v>5.9999999999999995E-4</v>
      </c>
      <c r="P13312">
        <v>438</v>
      </c>
    </row>
    <row r="13313" spans="1:16" x14ac:dyDescent="0.35">
      <c r="A13313" t="s">
        <v>229</v>
      </c>
      <c r="B13313" t="s">
        <v>266</v>
      </c>
      <c r="C13313" s="26">
        <v>0.66390000000000005</v>
      </c>
      <c r="D13313" s="26">
        <v>0.1847</v>
      </c>
      <c r="E13313" s="26">
        <v>5.1999999999999998E-2</v>
      </c>
      <c r="F13313" s="26">
        <v>2.18E-2</v>
      </c>
      <c r="G13313" s="26">
        <v>4.1000000000000002E-2</v>
      </c>
      <c r="H13313" s="26">
        <v>1.3100000000000001E-2</v>
      </c>
      <c r="I13313" s="26">
        <v>2.1999999999999999E-2</v>
      </c>
      <c r="J13313" s="26">
        <v>1.1299999999999999E-2</v>
      </c>
      <c r="K13313" s="26">
        <v>8.3999999999999995E-3</v>
      </c>
      <c r="L13313" s="26">
        <v>8.3999999999999995E-3</v>
      </c>
      <c r="N13313" s="26">
        <v>7.9000000000000008E-3</v>
      </c>
      <c r="O13313" s="26">
        <v>1.1000000000000001E-3</v>
      </c>
      <c r="P13313">
        <v>349</v>
      </c>
    </row>
    <row r="13314" spans="1:16" x14ac:dyDescent="0.35">
      <c r="A13314" t="s">
        <v>229</v>
      </c>
      <c r="B13314" t="s">
        <v>267</v>
      </c>
      <c r="C13314" s="26">
        <v>0.67789999999999995</v>
      </c>
      <c r="D13314" s="26">
        <v>0.1862</v>
      </c>
      <c r="E13314" s="26">
        <v>8.3599999999999994E-2</v>
      </c>
      <c r="F13314" s="26">
        <v>2.81E-2</v>
      </c>
      <c r="G13314" s="26">
        <v>3.2000000000000001E-2</v>
      </c>
      <c r="H13314" s="26">
        <v>1.5E-3</v>
      </c>
      <c r="J13314" s="26">
        <v>1.3299999999999999E-2</v>
      </c>
      <c r="M13314" s="26">
        <v>3.0999999999999999E-3</v>
      </c>
      <c r="P13314">
        <v>197</v>
      </c>
    </row>
    <row r="13315" spans="1:16" x14ac:dyDescent="0.35">
      <c r="A13315" t="s">
        <v>229</v>
      </c>
      <c r="B13315" t="s">
        <v>265</v>
      </c>
      <c r="C13315" s="26">
        <v>0.73070000000000002</v>
      </c>
      <c r="D13315" s="26">
        <v>0.17469999999999999</v>
      </c>
      <c r="E13315" s="26">
        <v>5.2400000000000002E-2</v>
      </c>
      <c r="F13315" s="26">
        <v>3.4599999999999999E-2</v>
      </c>
      <c r="G13315" s="26">
        <v>2.4199999999999999E-2</v>
      </c>
      <c r="H13315" s="26">
        <v>1.4E-3</v>
      </c>
      <c r="I13315" s="26">
        <v>1.5E-3</v>
      </c>
      <c r="J13315" s="26">
        <v>1.5E-3</v>
      </c>
      <c r="K13315" s="26">
        <v>8.0000000000000004E-4</v>
      </c>
      <c r="P13315">
        <v>321</v>
      </c>
    </row>
    <row r="13316" spans="1:16" x14ac:dyDescent="0.35">
      <c r="A13316" t="s">
        <v>230</v>
      </c>
      <c r="B13316" t="s">
        <v>267</v>
      </c>
      <c r="C13316" s="26">
        <v>0.7087</v>
      </c>
      <c r="D13316" s="26">
        <v>0.15859999999999999</v>
      </c>
      <c r="E13316" s="26">
        <v>8.6300000000000002E-2</v>
      </c>
      <c r="F13316" s="26">
        <v>5.33E-2</v>
      </c>
      <c r="G13316" s="26">
        <v>8.2000000000000007E-3</v>
      </c>
      <c r="H13316" s="26">
        <v>3.2800000000000003E-2</v>
      </c>
      <c r="I13316" s="26">
        <v>2.8799999999999999E-2</v>
      </c>
      <c r="J13316" s="26">
        <v>2.46E-2</v>
      </c>
      <c r="K13316" s="26">
        <v>1.1999999999999999E-3</v>
      </c>
      <c r="L13316" s="26">
        <v>2.46E-2</v>
      </c>
      <c r="O13316" s="26">
        <v>2.46E-2</v>
      </c>
      <c r="P13316">
        <v>116</v>
      </c>
    </row>
    <row r="13317" spans="1:16" x14ac:dyDescent="0.35">
      <c r="A13317" t="s">
        <v>230</v>
      </c>
      <c r="B13317" t="s">
        <v>266</v>
      </c>
      <c r="C13317" s="26">
        <v>0.68569999999999998</v>
      </c>
      <c r="D13317" s="26">
        <v>0.14929999999999999</v>
      </c>
      <c r="E13317" s="26">
        <v>9.9699999999999997E-2</v>
      </c>
      <c r="F13317" s="26">
        <v>7.4200000000000002E-2</v>
      </c>
      <c r="G13317" s="26">
        <v>8.8999999999999999E-3</v>
      </c>
      <c r="H13317" s="26">
        <v>2.1100000000000001E-2</v>
      </c>
      <c r="J13317" s="26">
        <v>1.6E-2</v>
      </c>
      <c r="K13317" s="26">
        <v>1.52E-2</v>
      </c>
      <c r="L13317" s="26">
        <v>8.0000000000000004E-4</v>
      </c>
      <c r="N13317" s="26">
        <v>8.0000000000000004E-4</v>
      </c>
      <c r="P13317">
        <v>225</v>
      </c>
    </row>
    <row r="13318" spans="1:16" x14ac:dyDescent="0.35">
      <c r="A13318" t="s">
        <v>230</v>
      </c>
      <c r="B13318" t="s">
        <v>265</v>
      </c>
      <c r="C13318" s="26">
        <v>0.74129999999999996</v>
      </c>
      <c r="D13318" s="26">
        <v>0.125</v>
      </c>
      <c r="E13318" s="26">
        <v>3.56E-2</v>
      </c>
      <c r="F13318" s="26">
        <v>3.1899999999999998E-2</v>
      </c>
      <c r="G13318" s="26">
        <v>8.5000000000000006E-3</v>
      </c>
      <c r="H13318" s="26">
        <v>3.0599999999999999E-2</v>
      </c>
      <c r="I13318" s="26">
        <v>2.1000000000000001E-2</v>
      </c>
      <c r="J13318" s="26">
        <v>1.5100000000000001E-2</v>
      </c>
      <c r="M13318" s="26">
        <v>1.3100000000000001E-2</v>
      </c>
      <c r="P13318">
        <v>203</v>
      </c>
    </row>
    <row r="13319" spans="1:16" x14ac:dyDescent="0.35">
      <c r="A13319" t="s">
        <v>231</v>
      </c>
      <c r="B13319" t="s">
        <v>267</v>
      </c>
      <c r="C13319" s="26">
        <v>0.79410000000000003</v>
      </c>
      <c r="D13319" s="26">
        <v>0.14710000000000001</v>
      </c>
      <c r="H13319" s="26">
        <v>2.9399999999999999E-2</v>
      </c>
      <c r="I13319" s="26">
        <v>2.9399999999999999E-2</v>
      </c>
      <c r="P13319">
        <v>34</v>
      </c>
    </row>
    <row r="13320" spans="1:16" x14ac:dyDescent="0.35">
      <c r="A13320" t="s">
        <v>231</v>
      </c>
      <c r="B13320" t="s">
        <v>266</v>
      </c>
      <c r="C13320" s="26">
        <v>0.76670000000000005</v>
      </c>
      <c r="D13320" s="26">
        <v>0.1333</v>
      </c>
      <c r="E13320" s="26">
        <v>3.3300000000000003E-2</v>
      </c>
      <c r="F13320" s="26">
        <v>6.6699999999999995E-2</v>
      </c>
      <c r="G13320" s="26">
        <v>1.67E-2</v>
      </c>
      <c r="P13320">
        <v>60</v>
      </c>
    </row>
    <row r="13321" spans="1:16" x14ac:dyDescent="0.35">
      <c r="A13321" t="s">
        <v>231</v>
      </c>
      <c r="B13321" t="s">
        <v>265</v>
      </c>
      <c r="C13321" s="26">
        <v>0.80879999999999996</v>
      </c>
      <c r="D13321" s="26">
        <v>8.8200000000000001E-2</v>
      </c>
      <c r="E13321" s="26">
        <v>5.8799999999999998E-2</v>
      </c>
      <c r="G13321" s="26">
        <v>1.47E-2</v>
      </c>
      <c r="H13321" s="26">
        <v>1.47E-2</v>
      </c>
      <c r="K13321" s="26">
        <v>1.47E-2</v>
      </c>
      <c r="P13321">
        <v>68</v>
      </c>
    </row>
    <row r="13322" spans="1:16" x14ac:dyDescent="0.35">
      <c r="A13322" t="s">
        <v>232</v>
      </c>
      <c r="B13322" t="s">
        <v>232</v>
      </c>
      <c r="C13322" s="26">
        <v>0.71640000000000004</v>
      </c>
      <c r="D13322" s="26">
        <v>0.16869999999999999</v>
      </c>
      <c r="E13322" s="26">
        <v>4.9599999999999998E-2</v>
      </c>
      <c r="F13322" s="26">
        <v>3.0700000000000002E-2</v>
      </c>
      <c r="G13322" s="26">
        <v>2.1999999999999999E-2</v>
      </c>
      <c r="H13322" s="26">
        <v>1.72E-2</v>
      </c>
      <c r="I13322" s="26">
        <v>8.8999999999999999E-3</v>
      </c>
      <c r="J13322" s="26">
        <v>8.2000000000000007E-3</v>
      </c>
      <c r="K13322" s="26">
        <v>3.2000000000000002E-3</v>
      </c>
      <c r="L13322" s="26">
        <v>1.6999999999999999E-3</v>
      </c>
      <c r="M13322" s="26">
        <v>1.6999999999999999E-3</v>
      </c>
      <c r="N13322" s="26">
        <v>8.9999999999999998E-4</v>
      </c>
      <c r="O13322" s="26">
        <v>6.9999999999999999E-4</v>
      </c>
      <c r="P13322">
        <v>2741</v>
      </c>
    </row>
    <row r="13324" spans="1:16" x14ac:dyDescent="0.35">
      <c r="A13324" s="1" t="s">
        <v>1510</v>
      </c>
    </row>
    <row r="13325" spans="1:16" x14ac:dyDescent="0.35">
      <c r="A13325" t="s">
        <v>219</v>
      </c>
      <c r="B13325" t="s">
        <v>305</v>
      </c>
      <c r="C13325" t="s">
        <v>550</v>
      </c>
      <c r="D13325" t="s">
        <v>281</v>
      </c>
      <c r="E13325" t="s">
        <v>1403</v>
      </c>
      <c r="F13325" t="s">
        <v>1402</v>
      </c>
      <c r="G13325" t="s">
        <v>1401</v>
      </c>
      <c r="H13325" t="s">
        <v>1404</v>
      </c>
      <c r="I13325" t="s">
        <v>1503</v>
      </c>
      <c r="J13325" t="s">
        <v>1504</v>
      </c>
      <c r="K13325" t="s">
        <v>286</v>
      </c>
      <c r="L13325" t="s">
        <v>1406</v>
      </c>
      <c r="M13325" t="s">
        <v>326</v>
      </c>
      <c r="N13325" t="s">
        <v>1408</v>
      </c>
      <c r="O13325" t="s">
        <v>1407</v>
      </c>
      <c r="P13325" t="s">
        <v>226</v>
      </c>
    </row>
    <row r="13326" spans="1:16" x14ac:dyDescent="0.35">
      <c r="A13326" t="s">
        <v>227</v>
      </c>
      <c r="B13326" t="s">
        <v>252</v>
      </c>
      <c r="C13326" s="26">
        <v>0.65910000000000002</v>
      </c>
      <c r="D13326" s="26">
        <v>0.31819999999999998</v>
      </c>
      <c r="I13326" s="26">
        <v>2.2700000000000001E-2</v>
      </c>
      <c r="P13326">
        <v>44</v>
      </c>
    </row>
    <row r="13327" spans="1:16" x14ac:dyDescent="0.35">
      <c r="A13327" t="s">
        <v>227</v>
      </c>
      <c r="B13327" t="s">
        <v>253</v>
      </c>
      <c r="C13327" s="26">
        <v>0.64710000000000001</v>
      </c>
      <c r="D13327" s="26">
        <v>0.17649999999999999</v>
      </c>
      <c r="E13327" s="26">
        <v>8.8200000000000001E-2</v>
      </c>
      <c r="F13327" s="26">
        <v>2.9399999999999999E-2</v>
      </c>
      <c r="G13327" s="26">
        <v>5.8799999999999998E-2</v>
      </c>
      <c r="H13327" s="26">
        <v>2.9399999999999999E-2</v>
      </c>
      <c r="P13327">
        <v>34</v>
      </c>
    </row>
    <row r="13328" spans="1:16" x14ac:dyDescent="0.35">
      <c r="A13328" t="s">
        <v>227</v>
      </c>
      <c r="B13328" t="s">
        <v>251</v>
      </c>
      <c r="C13328" s="26">
        <v>0.68289999999999995</v>
      </c>
      <c r="D13328" s="26">
        <v>0.17069999999999999</v>
      </c>
      <c r="E13328" s="26">
        <v>6.0999999999999999E-2</v>
      </c>
      <c r="F13328" s="26">
        <v>4.8800000000000003E-2</v>
      </c>
      <c r="G13328" s="26">
        <v>1.2200000000000001E-2</v>
      </c>
      <c r="H13328" s="26">
        <v>4.8800000000000003E-2</v>
      </c>
      <c r="I13328" s="26">
        <v>2.4400000000000002E-2</v>
      </c>
      <c r="M13328" s="26">
        <v>1.2200000000000001E-2</v>
      </c>
      <c r="P13328">
        <v>82</v>
      </c>
    </row>
    <row r="13329" spans="1:16" x14ac:dyDescent="0.35">
      <c r="A13329" t="s">
        <v>228</v>
      </c>
      <c r="B13329" t="s">
        <v>252</v>
      </c>
      <c r="C13329" s="26">
        <v>0.70399999999999996</v>
      </c>
      <c r="D13329" s="26">
        <v>0.22850000000000001</v>
      </c>
      <c r="E13329" s="26">
        <v>3.1099999999999999E-2</v>
      </c>
      <c r="F13329" s="26">
        <v>1.1299999999999999E-2</v>
      </c>
      <c r="G13329" s="26">
        <v>5.7000000000000002E-3</v>
      </c>
      <c r="H13329" s="26">
        <v>1.4500000000000001E-2</v>
      </c>
      <c r="J13329" s="26">
        <v>2.5999999999999999E-3</v>
      </c>
      <c r="K13329" s="26">
        <v>8.0000000000000004E-4</v>
      </c>
      <c r="L13329" s="26">
        <v>3.8E-3</v>
      </c>
      <c r="P13329">
        <v>340</v>
      </c>
    </row>
    <row r="13330" spans="1:16" x14ac:dyDescent="0.35">
      <c r="A13330" t="s">
        <v>228</v>
      </c>
      <c r="B13330" t="s">
        <v>253</v>
      </c>
      <c r="C13330" s="26">
        <v>0.67149999999999999</v>
      </c>
      <c r="D13330" s="26">
        <v>0.2094</v>
      </c>
      <c r="E13330" s="26">
        <v>4.4699999999999997E-2</v>
      </c>
      <c r="F13330" s="26">
        <v>2.9899999999999999E-2</v>
      </c>
      <c r="G13330" s="26">
        <v>1.7899999999999999E-2</v>
      </c>
      <c r="H13330" s="26">
        <v>4.2900000000000001E-2</v>
      </c>
      <c r="I13330" s="26">
        <v>0.01</v>
      </c>
      <c r="J13330" s="26">
        <v>2.7400000000000001E-2</v>
      </c>
      <c r="P13330">
        <v>210</v>
      </c>
    </row>
    <row r="13331" spans="1:16" x14ac:dyDescent="0.35">
      <c r="A13331" t="s">
        <v>228</v>
      </c>
      <c r="B13331" t="s">
        <v>251</v>
      </c>
      <c r="C13331" s="26">
        <v>0.66269999999999996</v>
      </c>
      <c r="D13331" s="26">
        <v>0.1857</v>
      </c>
      <c r="E13331" s="26">
        <v>5.1299999999999998E-2</v>
      </c>
      <c r="F13331" s="26">
        <v>4.5100000000000001E-2</v>
      </c>
      <c r="G13331" s="26">
        <v>5.4199999999999998E-2</v>
      </c>
      <c r="H13331" s="26">
        <v>2.4899999999999999E-2</v>
      </c>
      <c r="I13331" s="26">
        <v>2.5000000000000001E-3</v>
      </c>
      <c r="J13331" s="26">
        <v>3.49E-2</v>
      </c>
      <c r="L13331" s="26">
        <v>1.1999999999999999E-3</v>
      </c>
      <c r="N13331" s="26">
        <v>1.1999999999999999E-3</v>
      </c>
      <c r="O13331" s="26">
        <v>1.1999999999999999E-3</v>
      </c>
      <c r="P13331">
        <v>458</v>
      </c>
    </row>
    <row r="13332" spans="1:16" x14ac:dyDescent="0.35">
      <c r="A13332" t="s">
        <v>229</v>
      </c>
      <c r="B13332" t="s">
        <v>252</v>
      </c>
      <c r="C13332" s="26">
        <v>0.73270000000000002</v>
      </c>
      <c r="D13332" s="26">
        <v>0.19359999999999999</v>
      </c>
      <c r="E13332" s="26">
        <v>4.3E-3</v>
      </c>
      <c r="F13332" s="26">
        <v>1.1999999999999999E-3</v>
      </c>
      <c r="G13332" s="26">
        <v>2.8400000000000002E-2</v>
      </c>
      <c r="H13332" s="26">
        <v>8.0000000000000004E-4</v>
      </c>
      <c r="I13332" s="26">
        <v>2.9000000000000001E-2</v>
      </c>
      <c r="J13332" s="26">
        <v>1.38E-2</v>
      </c>
      <c r="K13332" s="26">
        <v>1.15E-2</v>
      </c>
      <c r="O13332" s="26">
        <v>8.0000000000000004E-4</v>
      </c>
      <c r="P13332">
        <v>194</v>
      </c>
    </row>
    <row r="13333" spans="1:16" x14ac:dyDescent="0.35">
      <c r="A13333" t="s">
        <v>229</v>
      </c>
      <c r="B13333" t="s">
        <v>253</v>
      </c>
      <c r="C13333" s="26">
        <v>0.80089999999999995</v>
      </c>
      <c r="D13333" s="26">
        <v>0.14599999999999999</v>
      </c>
      <c r="E13333" s="26">
        <v>2.75E-2</v>
      </c>
      <c r="F13333" s="26">
        <v>8.9999999999999998E-4</v>
      </c>
      <c r="G13333" s="26">
        <v>1.01E-2</v>
      </c>
      <c r="H13333" s="26">
        <v>1.8E-3</v>
      </c>
      <c r="I13333" s="26">
        <v>1.8E-3</v>
      </c>
      <c r="J13333" s="26">
        <v>2.7000000000000001E-3</v>
      </c>
      <c r="N13333" s="26">
        <v>1.37E-2</v>
      </c>
      <c r="P13333">
        <v>140</v>
      </c>
    </row>
    <row r="13334" spans="1:16" x14ac:dyDescent="0.35">
      <c r="A13334" t="s">
        <v>229</v>
      </c>
      <c r="B13334" t="s">
        <v>251</v>
      </c>
      <c r="C13334" s="26">
        <v>0.64859999999999995</v>
      </c>
      <c r="D13334" s="26">
        <v>0.18679999999999999</v>
      </c>
      <c r="E13334" s="26">
        <v>9.0999999999999998E-2</v>
      </c>
      <c r="F13334" s="26">
        <v>4.8800000000000003E-2</v>
      </c>
      <c r="G13334" s="26">
        <v>3.9800000000000002E-2</v>
      </c>
      <c r="H13334" s="26">
        <v>8.2000000000000007E-3</v>
      </c>
      <c r="I13334" s="26">
        <v>1.8E-3</v>
      </c>
      <c r="J13334" s="26">
        <v>6.4000000000000003E-3</v>
      </c>
      <c r="K13334" s="26">
        <v>8.9999999999999998E-4</v>
      </c>
      <c r="L13334" s="26">
        <v>4.7999999999999996E-3</v>
      </c>
      <c r="M13334" s="26">
        <v>1.1999999999999999E-3</v>
      </c>
      <c r="O13334" s="26">
        <v>2.9999999999999997E-4</v>
      </c>
      <c r="P13334">
        <v>533</v>
      </c>
    </row>
    <row r="13335" spans="1:16" x14ac:dyDescent="0.35">
      <c r="A13335" t="s">
        <v>230</v>
      </c>
      <c r="B13335" t="s">
        <v>252</v>
      </c>
      <c r="C13335" s="26">
        <v>0.78849999999999998</v>
      </c>
      <c r="D13335" s="26">
        <v>0.1236</v>
      </c>
      <c r="E13335" s="26">
        <v>3.2199999999999999E-2</v>
      </c>
      <c r="F13335" s="26">
        <v>7.9000000000000008E-3</v>
      </c>
      <c r="G13335" s="26">
        <v>5.7999999999999996E-3</v>
      </c>
      <c r="H13335" s="26">
        <v>2.1499999999999998E-2</v>
      </c>
      <c r="I13335" s="26">
        <v>3.5999999999999999E-3</v>
      </c>
      <c r="J13335" s="26">
        <v>1.1000000000000001E-3</v>
      </c>
      <c r="K13335" s="26">
        <v>2.1499999999999998E-2</v>
      </c>
      <c r="L13335" s="26">
        <v>1.1000000000000001E-3</v>
      </c>
      <c r="N13335" s="26">
        <v>1.1000000000000001E-3</v>
      </c>
      <c r="P13335">
        <v>157</v>
      </c>
    </row>
    <row r="13336" spans="1:16" x14ac:dyDescent="0.35">
      <c r="A13336" t="s">
        <v>230</v>
      </c>
      <c r="B13336" t="s">
        <v>253</v>
      </c>
      <c r="C13336" s="26">
        <v>0.69840000000000002</v>
      </c>
      <c r="D13336" s="26">
        <v>0.1222</v>
      </c>
      <c r="E13336" s="26">
        <v>9.8000000000000004E-2</v>
      </c>
      <c r="F13336" s="26">
        <v>7.0499999999999993E-2</v>
      </c>
      <c r="G13336" s="26">
        <v>4.4999999999999997E-3</v>
      </c>
      <c r="H13336" s="26">
        <v>1.12E-2</v>
      </c>
      <c r="J13336" s="26">
        <v>1.5E-3</v>
      </c>
      <c r="P13336">
        <v>106</v>
      </c>
    </row>
    <row r="13337" spans="1:16" x14ac:dyDescent="0.35">
      <c r="A13337" t="s">
        <v>230</v>
      </c>
      <c r="B13337" t="s">
        <v>251</v>
      </c>
      <c r="C13337" s="26">
        <v>0.68530000000000002</v>
      </c>
      <c r="D13337" s="26">
        <v>0.1555</v>
      </c>
      <c r="E13337" s="26">
        <v>7.7799999999999994E-2</v>
      </c>
      <c r="F13337" s="26">
        <v>6.5799999999999997E-2</v>
      </c>
      <c r="G13337" s="26">
        <v>1.1299999999999999E-2</v>
      </c>
      <c r="H13337" s="26">
        <v>3.5900000000000001E-2</v>
      </c>
      <c r="I13337" s="26">
        <v>2.5499999999999998E-2</v>
      </c>
      <c r="J13337" s="26">
        <v>3.04E-2</v>
      </c>
      <c r="K13337" s="26">
        <v>5.0000000000000001E-4</v>
      </c>
      <c r="L13337" s="26">
        <v>9.7999999999999997E-3</v>
      </c>
      <c r="M13337" s="26">
        <v>9.7999999999999997E-3</v>
      </c>
      <c r="O13337" s="26">
        <v>9.7999999999999997E-3</v>
      </c>
      <c r="P13337">
        <v>281</v>
      </c>
    </row>
    <row r="13338" spans="1:16" x14ac:dyDescent="0.35">
      <c r="A13338" t="s">
        <v>231</v>
      </c>
      <c r="B13338" t="s">
        <v>252</v>
      </c>
      <c r="C13338" s="26">
        <v>0.8125</v>
      </c>
      <c r="D13338" s="26">
        <v>0.16669999999999999</v>
      </c>
      <c r="K13338" s="26">
        <v>2.0799999999999999E-2</v>
      </c>
      <c r="P13338">
        <v>48</v>
      </c>
    </row>
    <row r="13339" spans="1:16" x14ac:dyDescent="0.35">
      <c r="A13339" t="s">
        <v>231</v>
      </c>
      <c r="B13339" t="s">
        <v>253</v>
      </c>
      <c r="C13339" s="26">
        <v>0.83330000000000004</v>
      </c>
      <c r="D13339" s="26">
        <v>6.6699999999999995E-2</v>
      </c>
      <c r="E13339" s="26">
        <v>6.6699999999999995E-2</v>
      </c>
      <c r="G13339" s="26">
        <v>3.3300000000000003E-2</v>
      </c>
      <c r="P13339">
        <v>30</v>
      </c>
    </row>
    <row r="13340" spans="1:16" x14ac:dyDescent="0.35">
      <c r="A13340" t="s">
        <v>231</v>
      </c>
      <c r="B13340" t="s">
        <v>251</v>
      </c>
      <c r="C13340" s="26">
        <v>0.76190000000000002</v>
      </c>
      <c r="D13340" s="26">
        <v>0.1071</v>
      </c>
      <c r="E13340" s="26">
        <v>4.7600000000000003E-2</v>
      </c>
      <c r="F13340" s="26">
        <v>4.7600000000000003E-2</v>
      </c>
      <c r="G13340" s="26">
        <v>1.1900000000000001E-2</v>
      </c>
      <c r="H13340" s="26">
        <v>2.3800000000000002E-2</v>
      </c>
      <c r="I13340" s="26">
        <v>1.1900000000000001E-2</v>
      </c>
      <c r="P13340">
        <v>84</v>
      </c>
    </row>
    <row r="13341" spans="1:16" x14ac:dyDescent="0.35">
      <c r="A13341" t="s">
        <v>232</v>
      </c>
      <c r="B13341" t="s">
        <v>232</v>
      </c>
      <c r="C13341" s="26">
        <v>0.71640000000000004</v>
      </c>
      <c r="D13341" s="26">
        <v>0.16869999999999999</v>
      </c>
      <c r="E13341" s="26">
        <v>4.9599999999999998E-2</v>
      </c>
      <c r="F13341" s="26">
        <v>3.0700000000000002E-2</v>
      </c>
      <c r="G13341" s="26">
        <v>2.1999999999999999E-2</v>
      </c>
      <c r="H13341" s="26">
        <v>1.72E-2</v>
      </c>
      <c r="I13341" s="26">
        <v>8.8999999999999999E-3</v>
      </c>
      <c r="J13341" s="26">
        <v>8.2000000000000007E-3</v>
      </c>
      <c r="K13341" s="26">
        <v>3.2000000000000002E-3</v>
      </c>
      <c r="L13341" s="26">
        <v>1.6999999999999999E-3</v>
      </c>
      <c r="M13341" s="26">
        <v>1.6999999999999999E-3</v>
      </c>
      <c r="N13341" s="26">
        <v>8.9999999999999998E-4</v>
      </c>
      <c r="O13341" s="26">
        <v>6.9999999999999999E-4</v>
      </c>
      <c r="P13341">
        <v>2741</v>
      </c>
    </row>
    <row r="13343" spans="1:16" x14ac:dyDescent="0.35">
      <c r="A13343" s="1" t="s">
        <v>1511</v>
      </c>
    </row>
    <row r="13344" spans="1:16" x14ac:dyDescent="0.35">
      <c r="A13344" t="s">
        <v>219</v>
      </c>
      <c r="B13344" t="s">
        <v>305</v>
      </c>
      <c r="C13344" t="s">
        <v>550</v>
      </c>
      <c r="D13344" t="s">
        <v>281</v>
      </c>
      <c r="E13344" t="s">
        <v>1403</v>
      </c>
      <c r="F13344" t="s">
        <v>1402</v>
      </c>
      <c r="G13344" t="s">
        <v>1401</v>
      </c>
      <c r="H13344" t="s">
        <v>1404</v>
      </c>
      <c r="I13344" t="s">
        <v>1503</v>
      </c>
      <c r="J13344" t="s">
        <v>1504</v>
      </c>
      <c r="K13344" t="s">
        <v>286</v>
      </c>
      <c r="L13344" t="s">
        <v>1406</v>
      </c>
      <c r="M13344" t="s">
        <v>326</v>
      </c>
      <c r="N13344" t="s">
        <v>1408</v>
      </c>
      <c r="O13344" t="s">
        <v>1407</v>
      </c>
      <c r="P13344" t="s">
        <v>226</v>
      </c>
    </row>
    <row r="13345" spans="1:16" x14ac:dyDescent="0.35">
      <c r="A13345" t="s">
        <v>227</v>
      </c>
      <c r="B13345" t="s">
        <v>249</v>
      </c>
      <c r="C13345" s="26">
        <v>0.70450000000000002</v>
      </c>
      <c r="D13345" s="26">
        <v>0.11360000000000001</v>
      </c>
      <c r="E13345" s="26">
        <v>6.8199999999999997E-2</v>
      </c>
      <c r="F13345" s="26">
        <v>2.2700000000000001E-2</v>
      </c>
      <c r="G13345" s="26">
        <v>6.8199999999999997E-2</v>
      </c>
      <c r="H13345" s="26">
        <v>9.0899999999999995E-2</v>
      </c>
      <c r="M13345" s="26">
        <v>2.2700000000000001E-2</v>
      </c>
      <c r="P13345">
        <v>44</v>
      </c>
    </row>
    <row r="13346" spans="1:16" x14ac:dyDescent="0.35">
      <c r="A13346" t="s">
        <v>227</v>
      </c>
      <c r="B13346" t="s">
        <v>248</v>
      </c>
      <c r="C13346" s="26">
        <v>0.6552</v>
      </c>
      <c r="D13346" s="26">
        <v>0.25</v>
      </c>
      <c r="E13346" s="26">
        <v>4.3099999999999999E-2</v>
      </c>
      <c r="F13346" s="26">
        <v>3.4500000000000003E-2</v>
      </c>
      <c r="H13346" s="26">
        <v>8.6E-3</v>
      </c>
      <c r="I13346" s="26">
        <v>2.5899999999999999E-2</v>
      </c>
      <c r="P13346">
        <v>116</v>
      </c>
    </row>
    <row r="13347" spans="1:16" x14ac:dyDescent="0.35">
      <c r="A13347" t="s">
        <v>228</v>
      </c>
      <c r="B13347" t="s">
        <v>249</v>
      </c>
      <c r="C13347" s="26">
        <v>0.74980000000000002</v>
      </c>
      <c r="D13347" s="26">
        <v>0.13539999999999999</v>
      </c>
      <c r="E13347" s="26">
        <v>3.9600000000000003E-2</v>
      </c>
      <c r="F13347" s="26">
        <v>4.8599999999999997E-2</v>
      </c>
      <c r="G13347" s="26">
        <v>4.0599999999999997E-2</v>
      </c>
      <c r="H13347" s="26">
        <v>3.5400000000000001E-2</v>
      </c>
      <c r="I13347" s="26">
        <v>1.4E-3</v>
      </c>
      <c r="J13347" s="26">
        <v>8.8000000000000005E-3</v>
      </c>
      <c r="P13347">
        <v>271</v>
      </c>
    </row>
    <row r="13348" spans="1:16" x14ac:dyDescent="0.35">
      <c r="A13348" t="s">
        <v>228</v>
      </c>
      <c r="B13348" t="s">
        <v>248</v>
      </c>
      <c r="C13348" s="26">
        <v>0.6462</v>
      </c>
      <c r="D13348" s="26">
        <v>0.23449999999999999</v>
      </c>
      <c r="E13348" s="26">
        <v>4.5199999999999997E-2</v>
      </c>
      <c r="F13348" s="26">
        <v>2.35E-2</v>
      </c>
      <c r="G13348" s="26">
        <v>2.7099999999999999E-2</v>
      </c>
      <c r="H13348" s="26">
        <v>2.06E-2</v>
      </c>
      <c r="I13348" s="26">
        <v>4.0000000000000001E-3</v>
      </c>
      <c r="J13348" s="26">
        <v>2.92E-2</v>
      </c>
      <c r="K13348" s="26">
        <v>4.0000000000000002E-4</v>
      </c>
      <c r="L13348" s="26">
        <v>2.5999999999999999E-3</v>
      </c>
      <c r="N13348" s="26">
        <v>8.0000000000000004E-4</v>
      </c>
      <c r="O13348" s="26">
        <v>8.0000000000000004E-4</v>
      </c>
      <c r="P13348">
        <v>737</v>
      </c>
    </row>
    <row r="13349" spans="1:16" x14ac:dyDescent="0.35">
      <c r="A13349" t="s">
        <v>229</v>
      </c>
      <c r="B13349" t="s">
        <v>249</v>
      </c>
      <c r="C13349" s="26">
        <v>0.67349999999999999</v>
      </c>
      <c r="D13349" s="26">
        <v>0.16769999999999999</v>
      </c>
      <c r="E13349" s="26">
        <v>6.9900000000000004E-2</v>
      </c>
      <c r="F13349" s="26">
        <v>5.96E-2</v>
      </c>
      <c r="G13349" s="26">
        <v>5.3699999999999998E-2</v>
      </c>
      <c r="H13349" s="26">
        <v>1.14E-2</v>
      </c>
      <c r="I13349" s="26">
        <v>3.2000000000000002E-3</v>
      </c>
      <c r="J13349" s="26">
        <v>3.8E-3</v>
      </c>
      <c r="M13349" s="26">
        <v>2.2000000000000001E-3</v>
      </c>
      <c r="O13349" s="26">
        <v>5.0000000000000001E-4</v>
      </c>
      <c r="P13349">
        <v>248</v>
      </c>
    </row>
    <row r="13350" spans="1:16" x14ac:dyDescent="0.35">
      <c r="A13350" t="s">
        <v>229</v>
      </c>
      <c r="B13350" t="s">
        <v>248</v>
      </c>
      <c r="C13350" s="26">
        <v>0.70779999999999998</v>
      </c>
      <c r="D13350" s="26">
        <v>0.1867</v>
      </c>
      <c r="E13350" s="26">
        <v>5.4100000000000002E-2</v>
      </c>
      <c r="F13350" s="26">
        <v>1.44E-2</v>
      </c>
      <c r="G13350" s="26">
        <v>2.1000000000000001E-2</v>
      </c>
      <c r="H13350" s="26">
        <v>2.5000000000000001E-3</v>
      </c>
      <c r="I13350" s="26">
        <v>1.0200000000000001E-2</v>
      </c>
      <c r="J13350" s="26">
        <v>9.1000000000000004E-3</v>
      </c>
      <c r="K13350" s="26">
        <v>4.5999999999999999E-3</v>
      </c>
      <c r="L13350" s="26">
        <v>4.1000000000000003E-3</v>
      </c>
      <c r="N13350" s="26">
        <v>3.8999999999999998E-3</v>
      </c>
      <c r="O13350" s="26">
        <v>2.9999999999999997E-4</v>
      </c>
      <c r="P13350">
        <v>619</v>
      </c>
    </row>
    <row r="13351" spans="1:16" x14ac:dyDescent="0.35">
      <c r="A13351" t="s">
        <v>230</v>
      </c>
      <c r="B13351" t="s">
        <v>249</v>
      </c>
      <c r="C13351" s="26">
        <v>0.81069999999999998</v>
      </c>
      <c r="D13351" s="26">
        <v>0.11899999999999999</v>
      </c>
      <c r="E13351" s="26">
        <v>3.2199999999999999E-2</v>
      </c>
      <c r="F13351" s="26">
        <v>2.5000000000000001E-2</v>
      </c>
      <c r="G13351" s="26">
        <v>1.23E-2</v>
      </c>
      <c r="H13351" s="26">
        <v>1.8800000000000001E-2</v>
      </c>
      <c r="I13351" s="26">
        <v>3.5000000000000001E-3</v>
      </c>
      <c r="J13351" s="26">
        <v>8.0000000000000004E-4</v>
      </c>
      <c r="K13351" s="26">
        <v>8.0000000000000004E-4</v>
      </c>
      <c r="P13351">
        <v>166</v>
      </c>
    </row>
    <row r="13352" spans="1:16" x14ac:dyDescent="0.35">
      <c r="A13352" t="s">
        <v>230</v>
      </c>
      <c r="B13352" t="s">
        <v>248</v>
      </c>
      <c r="C13352" s="26">
        <v>0.66420000000000001</v>
      </c>
      <c r="D13352" s="26">
        <v>0.1527</v>
      </c>
      <c r="E13352" s="26">
        <v>8.9399999999999993E-2</v>
      </c>
      <c r="F13352" s="26">
        <v>6.5799999999999997E-2</v>
      </c>
      <c r="G13352" s="26">
        <v>6.7000000000000002E-3</v>
      </c>
      <c r="H13352" s="26">
        <v>3.2300000000000002E-2</v>
      </c>
      <c r="I13352" s="26">
        <v>2.12E-2</v>
      </c>
      <c r="J13352" s="26">
        <v>2.6200000000000001E-2</v>
      </c>
      <c r="K13352" s="26">
        <v>8.3000000000000001E-3</v>
      </c>
      <c r="L13352" s="26">
        <v>8.6999999999999994E-3</v>
      </c>
      <c r="M13352" s="26">
        <v>8.3000000000000001E-3</v>
      </c>
      <c r="N13352" s="26">
        <v>4.0000000000000002E-4</v>
      </c>
      <c r="O13352" s="26">
        <v>8.3000000000000001E-3</v>
      </c>
      <c r="P13352">
        <v>378</v>
      </c>
    </row>
    <row r="13353" spans="1:16" x14ac:dyDescent="0.35">
      <c r="A13353" t="s">
        <v>231</v>
      </c>
      <c r="B13353" t="s">
        <v>249</v>
      </c>
      <c r="C13353" s="26">
        <v>0.76470000000000005</v>
      </c>
      <c r="D13353" s="26">
        <v>0.1176</v>
      </c>
      <c r="E13353" s="26">
        <v>8.8200000000000001E-2</v>
      </c>
      <c r="G13353" s="26">
        <v>2.9399999999999999E-2</v>
      </c>
      <c r="P13353">
        <v>34</v>
      </c>
    </row>
    <row r="13354" spans="1:16" x14ac:dyDescent="0.35">
      <c r="A13354" t="s">
        <v>231</v>
      </c>
      <c r="B13354" t="s">
        <v>248</v>
      </c>
      <c r="C13354" s="26">
        <v>0.79690000000000005</v>
      </c>
      <c r="D13354" s="26">
        <v>0.1172</v>
      </c>
      <c r="E13354" s="26">
        <v>2.3400000000000001E-2</v>
      </c>
      <c r="F13354" s="26">
        <v>3.1199999999999999E-2</v>
      </c>
      <c r="G13354" s="26">
        <v>7.7999999999999996E-3</v>
      </c>
      <c r="H13354" s="26">
        <v>1.5599999999999999E-2</v>
      </c>
      <c r="I13354" s="26">
        <v>7.7999999999999996E-3</v>
      </c>
      <c r="K13354" s="26">
        <v>7.7999999999999996E-3</v>
      </c>
      <c r="P13354">
        <v>128</v>
      </c>
    </row>
    <row r="13355" spans="1:16" x14ac:dyDescent="0.35">
      <c r="A13355" t="s">
        <v>232</v>
      </c>
      <c r="B13355" t="s">
        <v>232</v>
      </c>
      <c r="C13355" s="26">
        <v>0.71640000000000004</v>
      </c>
      <c r="D13355" s="26">
        <v>0.16869999999999999</v>
      </c>
      <c r="E13355" s="26">
        <v>4.9599999999999998E-2</v>
      </c>
      <c r="F13355" s="26">
        <v>3.0700000000000002E-2</v>
      </c>
      <c r="G13355" s="26">
        <v>2.1999999999999999E-2</v>
      </c>
      <c r="H13355" s="26">
        <v>1.72E-2</v>
      </c>
      <c r="I13355" s="26">
        <v>8.8999999999999999E-3</v>
      </c>
      <c r="J13355" s="26">
        <v>8.2000000000000007E-3</v>
      </c>
      <c r="K13355" s="26">
        <v>3.2000000000000002E-3</v>
      </c>
      <c r="L13355" s="26">
        <v>1.6999999999999999E-3</v>
      </c>
      <c r="M13355" s="26">
        <v>1.6999999999999999E-3</v>
      </c>
      <c r="N13355" s="26">
        <v>8.9999999999999998E-4</v>
      </c>
      <c r="O13355" s="26">
        <v>6.9999999999999999E-4</v>
      </c>
      <c r="P13355">
        <v>2741</v>
      </c>
    </row>
    <row r="13357" spans="1:16" x14ac:dyDescent="0.35">
      <c r="A13357" s="1" t="s">
        <v>1512</v>
      </c>
    </row>
    <row r="13358" spans="1:16" x14ac:dyDescent="0.35">
      <c r="A13358" t="s">
        <v>219</v>
      </c>
      <c r="B13358" t="s">
        <v>305</v>
      </c>
      <c r="C13358" t="s">
        <v>550</v>
      </c>
      <c r="D13358" t="s">
        <v>281</v>
      </c>
      <c r="E13358" t="s">
        <v>1403</v>
      </c>
      <c r="F13358" t="s">
        <v>1402</v>
      </c>
      <c r="G13358" t="s">
        <v>1401</v>
      </c>
      <c r="H13358" t="s">
        <v>1404</v>
      </c>
      <c r="I13358" t="s">
        <v>1503</v>
      </c>
      <c r="J13358" t="s">
        <v>1504</v>
      </c>
      <c r="K13358" t="s">
        <v>286</v>
      </c>
      <c r="L13358" t="s">
        <v>1406</v>
      </c>
      <c r="M13358" t="s">
        <v>326</v>
      </c>
      <c r="N13358" t="s">
        <v>1408</v>
      </c>
      <c r="O13358" t="s">
        <v>1407</v>
      </c>
      <c r="P13358" t="s">
        <v>226</v>
      </c>
    </row>
    <row r="13359" spans="1:16" x14ac:dyDescent="0.35">
      <c r="A13359" s="27" t="s">
        <v>227</v>
      </c>
      <c r="B13359" s="27" t="s">
        <v>263</v>
      </c>
      <c r="C13359" s="28">
        <v>0.66669999999999996</v>
      </c>
      <c r="D13359" s="28">
        <v>0.33329999999999999</v>
      </c>
      <c r="E13359" s="29"/>
      <c r="F13359" s="29"/>
      <c r="G13359" s="29"/>
      <c r="H13359" s="29"/>
      <c r="I13359" s="29"/>
      <c r="J13359" s="29"/>
      <c r="K13359" s="29"/>
      <c r="L13359" s="29"/>
      <c r="M13359" s="29"/>
      <c r="N13359" s="29"/>
      <c r="O13359" s="29"/>
      <c r="P13359" s="29" t="s">
        <v>315</v>
      </c>
    </row>
    <row r="13360" spans="1:16" x14ac:dyDescent="0.35">
      <c r="A13360" t="s">
        <v>227</v>
      </c>
      <c r="B13360" t="s">
        <v>261</v>
      </c>
      <c r="C13360" s="26">
        <v>0.69699999999999995</v>
      </c>
      <c r="D13360" s="26">
        <v>0.21210000000000001</v>
      </c>
      <c r="E13360" s="26">
        <v>3.0300000000000001E-2</v>
      </c>
      <c r="H13360" s="26">
        <v>3.0300000000000001E-2</v>
      </c>
      <c r="I13360" s="26">
        <v>3.0300000000000001E-2</v>
      </c>
      <c r="P13360">
        <v>33</v>
      </c>
    </row>
    <row r="13361" spans="1:16" x14ac:dyDescent="0.35">
      <c r="A13361" s="27" t="s">
        <v>227</v>
      </c>
      <c r="B13361" s="27" t="s">
        <v>262</v>
      </c>
      <c r="C13361" s="28">
        <v>0.33329999999999999</v>
      </c>
      <c r="D13361" s="28">
        <v>0.33329999999999999</v>
      </c>
      <c r="E13361" s="29"/>
      <c r="F13361" s="28">
        <v>0.33329999999999999</v>
      </c>
      <c r="G13361" s="29"/>
      <c r="H13361" s="29"/>
      <c r="I13361" s="29"/>
      <c r="J13361" s="29"/>
      <c r="K13361" s="29"/>
      <c r="L13361" s="29"/>
      <c r="M13361" s="29"/>
      <c r="N13361" s="29"/>
      <c r="O13361" s="29"/>
      <c r="P13361" s="29" t="s">
        <v>315</v>
      </c>
    </row>
    <row r="13362" spans="1:16" x14ac:dyDescent="0.35">
      <c r="A13362" t="s">
        <v>227</v>
      </c>
      <c r="B13362" t="s">
        <v>260</v>
      </c>
      <c r="C13362" s="26">
        <v>0.6694</v>
      </c>
      <c r="D13362" s="26">
        <v>0.20660000000000001</v>
      </c>
      <c r="E13362" s="26">
        <v>5.79E-2</v>
      </c>
      <c r="F13362" s="26">
        <v>3.3099999999999997E-2</v>
      </c>
      <c r="G13362" s="26">
        <v>2.4799999999999999E-2</v>
      </c>
      <c r="H13362" s="26">
        <v>3.3099999999999997E-2</v>
      </c>
      <c r="I13362" s="26">
        <v>1.6500000000000001E-2</v>
      </c>
      <c r="M13362" s="26">
        <v>8.3000000000000001E-3</v>
      </c>
      <c r="P13362">
        <v>121</v>
      </c>
    </row>
    <row r="13363" spans="1:16" x14ac:dyDescent="0.35">
      <c r="A13363" t="s">
        <v>228</v>
      </c>
      <c r="B13363" t="s">
        <v>261</v>
      </c>
      <c r="C13363" s="26">
        <v>0.72389999999999999</v>
      </c>
      <c r="D13363" s="26">
        <v>0.20960000000000001</v>
      </c>
      <c r="E13363" s="26">
        <v>1.21E-2</v>
      </c>
      <c r="F13363" s="26">
        <v>4.5999999999999999E-3</v>
      </c>
      <c r="G13363" s="26">
        <v>3.1199999999999999E-2</v>
      </c>
      <c r="H13363" s="26">
        <v>1.9E-3</v>
      </c>
      <c r="I13363" s="26">
        <v>2.0999999999999999E-3</v>
      </c>
      <c r="J13363" s="26">
        <v>1.46E-2</v>
      </c>
      <c r="L13363" s="26">
        <v>1.2999999999999999E-3</v>
      </c>
      <c r="P13363">
        <v>191</v>
      </c>
    </row>
    <row r="13364" spans="1:16" x14ac:dyDescent="0.35">
      <c r="A13364" s="27" t="s">
        <v>228</v>
      </c>
      <c r="B13364" s="27" t="s">
        <v>263</v>
      </c>
      <c r="C13364" s="28">
        <v>0.79710000000000003</v>
      </c>
      <c r="D13364" s="28">
        <v>0.12379999999999999</v>
      </c>
      <c r="E13364" s="28">
        <v>1.3599999999999999E-2</v>
      </c>
      <c r="F13364" s="28">
        <v>1.3599999999999999E-2</v>
      </c>
      <c r="G13364" s="28">
        <v>6.5500000000000003E-2</v>
      </c>
      <c r="H13364" s="29"/>
      <c r="I13364" s="29"/>
      <c r="J13364" s="28">
        <v>1.3599999999999999E-2</v>
      </c>
      <c r="K13364" s="29"/>
      <c r="L13364" s="29"/>
      <c r="M13364" s="29"/>
      <c r="N13364" s="29"/>
      <c r="O13364" s="29"/>
      <c r="P13364" s="29" t="s">
        <v>310</v>
      </c>
    </row>
    <row r="13365" spans="1:16" x14ac:dyDescent="0.35">
      <c r="A13365" s="27" t="s">
        <v>228</v>
      </c>
      <c r="B13365" s="27" t="s">
        <v>236</v>
      </c>
      <c r="C13365" s="28">
        <v>0.79979999999999996</v>
      </c>
      <c r="D13365" s="28">
        <v>0.20019999999999999</v>
      </c>
      <c r="E13365" s="29"/>
      <c r="F13365" s="29"/>
      <c r="G13365" s="29"/>
      <c r="H13365" s="29"/>
      <c r="I13365" s="29"/>
      <c r="J13365" s="29"/>
      <c r="K13365" s="29"/>
      <c r="L13365" s="29"/>
      <c r="M13365" s="29"/>
      <c r="N13365" s="29"/>
      <c r="O13365" s="29"/>
      <c r="P13365" s="29" t="s">
        <v>335</v>
      </c>
    </row>
    <row r="13366" spans="1:16" x14ac:dyDescent="0.35">
      <c r="A13366" t="s">
        <v>228</v>
      </c>
      <c r="B13366" t="s">
        <v>262</v>
      </c>
      <c r="C13366" s="26">
        <v>0.5978</v>
      </c>
      <c r="D13366" s="26">
        <v>0.20200000000000001</v>
      </c>
      <c r="E13366" s="26">
        <v>7.3200000000000001E-2</v>
      </c>
      <c r="F13366" s="26">
        <v>8.3000000000000004E-2</v>
      </c>
      <c r="G13366" s="26">
        <v>2.6800000000000001E-2</v>
      </c>
      <c r="H13366" s="26">
        <v>3.2399999999999998E-2</v>
      </c>
      <c r="I13366" s="26">
        <v>1.44E-2</v>
      </c>
      <c r="J13366" s="26">
        <v>5.6300000000000003E-2</v>
      </c>
      <c r="L13366" s="26">
        <v>6.7999999999999996E-3</v>
      </c>
      <c r="N13366" s="26">
        <v>3.3999999999999998E-3</v>
      </c>
      <c r="O13366" s="26">
        <v>3.3999999999999998E-3</v>
      </c>
      <c r="P13366">
        <v>195</v>
      </c>
    </row>
    <row r="13367" spans="1:16" x14ac:dyDescent="0.35">
      <c r="A13367" t="s">
        <v>228</v>
      </c>
      <c r="B13367" t="s">
        <v>260</v>
      </c>
      <c r="C13367" s="26">
        <v>0.67979999999999996</v>
      </c>
      <c r="D13367" s="26">
        <v>0.2056</v>
      </c>
      <c r="E13367" s="26">
        <v>4.6899999999999997E-2</v>
      </c>
      <c r="F13367" s="26">
        <v>2.6499999999999999E-2</v>
      </c>
      <c r="G13367" s="26">
        <v>3.1800000000000002E-2</v>
      </c>
      <c r="H13367" s="26">
        <v>3.1800000000000002E-2</v>
      </c>
      <c r="I13367" s="26">
        <v>5.9999999999999995E-4</v>
      </c>
      <c r="J13367" s="26">
        <v>1.7100000000000001E-2</v>
      </c>
      <c r="K13367" s="26">
        <v>4.0000000000000002E-4</v>
      </c>
      <c r="L13367" s="26">
        <v>6.9999999999999999E-4</v>
      </c>
      <c r="P13367">
        <v>592</v>
      </c>
    </row>
    <row r="13368" spans="1:16" x14ac:dyDescent="0.35">
      <c r="A13368" s="27" t="s">
        <v>229</v>
      </c>
      <c r="B13368" s="27" t="s">
        <v>263</v>
      </c>
      <c r="C13368" s="28">
        <v>0.63690000000000002</v>
      </c>
      <c r="D13368" s="28">
        <v>0.36309999999999998</v>
      </c>
      <c r="E13368" s="29"/>
      <c r="F13368" s="29"/>
      <c r="G13368" s="29"/>
      <c r="H13368" s="29"/>
      <c r="I13368" s="29"/>
      <c r="J13368" s="29"/>
      <c r="K13368" s="29"/>
      <c r="L13368" s="29"/>
      <c r="M13368" s="29"/>
      <c r="N13368" s="29"/>
      <c r="O13368" s="29"/>
      <c r="P13368" s="29" t="s">
        <v>379</v>
      </c>
    </row>
    <row r="13369" spans="1:16" x14ac:dyDescent="0.35">
      <c r="A13369" t="s">
        <v>229</v>
      </c>
      <c r="B13369" t="s">
        <v>262</v>
      </c>
      <c r="C13369" s="26">
        <v>0.62180000000000002</v>
      </c>
      <c r="D13369" s="26">
        <v>0.21329999999999999</v>
      </c>
      <c r="E13369" s="26">
        <v>0.1008</v>
      </c>
      <c r="F13369" s="26">
        <v>6.6699999999999995E-2</v>
      </c>
      <c r="G13369" s="26">
        <v>3.3500000000000002E-2</v>
      </c>
      <c r="H13369" s="26">
        <v>1.1999999999999999E-3</v>
      </c>
      <c r="I13369" s="26">
        <v>1.1999999999999999E-3</v>
      </c>
      <c r="J13369" s="26">
        <v>1.17E-2</v>
      </c>
      <c r="K13369" s="26">
        <v>1.1999999999999999E-3</v>
      </c>
      <c r="M13369" s="26">
        <v>2.5000000000000001E-3</v>
      </c>
      <c r="P13369">
        <v>179</v>
      </c>
    </row>
    <row r="13370" spans="1:16" x14ac:dyDescent="0.35">
      <c r="A13370" t="s">
        <v>229</v>
      </c>
      <c r="B13370" t="s">
        <v>261</v>
      </c>
      <c r="C13370" s="26">
        <v>0.68230000000000002</v>
      </c>
      <c r="D13370" s="26">
        <v>0.1457</v>
      </c>
      <c r="E13370" s="26">
        <v>5.8700000000000002E-2</v>
      </c>
      <c r="F13370" s="26">
        <v>2.4E-2</v>
      </c>
      <c r="G13370" s="26">
        <v>4.0800000000000003E-2</v>
      </c>
      <c r="H13370" s="26">
        <v>2.35E-2</v>
      </c>
      <c r="I13370" s="26">
        <v>4.5400000000000003E-2</v>
      </c>
      <c r="J13370" s="26">
        <v>2.63E-2</v>
      </c>
      <c r="P13370">
        <v>92</v>
      </c>
    </row>
    <row r="13371" spans="1:16" x14ac:dyDescent="0.35">
      <c r="A13371" s="27" t="s">
        <v>229</v>
      </c>
      <c r="B13371" s="27" t="s">
        <v>236</v>
      </c>
      <c r="C13371" s="28">
        <v>1</v>
      </c>
      <c r="D13371" s="29"/>
      <c r="E13371" s="29"/>
      <c r="F13371" s="29"/>
      <c r="G13371" s="29"/>
      <c r="H13371" s="29"/>
      <c r="I13371" s="29"/>
      <c r="J13371" s="29"/>
      <c r="K13371" s="29"/>
      <c r="L13371" s="29"/>
      <c r="M13371" s="29"/>
      <c r="N13371" s="29"/>
      <c r="O13371" s="29"/>
      <c r="P13371" s="29" t="s">
        <v>331</v>
      </c>
    </row>
    <row r="13372" spans="1:16" x14ac:dyDescent="0.35">
      <c r="A13372" t="s">
        <v>229</v>
      </c>
      <c r="B13372" t="s">
        <v>260</v>
      </c>
      <c r="C13372" s="26">
        <v>0.73950000000000005</v>
      </c>
      <c r="D13372" s="26">
        <v>0.16700000000000001</v>
      </c>
      <c r="E13372" s="26">
        <v>4.1000000000000002E-2</v>
      </c>
      <c r="F13372" s="26">
        <v>1.26E-2</v>
      </c>
      <c r="G13372" s="26">
        <v>2.93E-2</v>
      </c>
      <c r="H13372" s="26">
        <v>2.8E-3</v>
      </c>
      <c r="I13372" s="26">
        <v>1.9E-3</v>
      </c>
      <c r="J13372" s="26">
        <v>5.9999999999999995E-4</v>
      </c>
      <c r="K13372" s="26">
        <v>5.0000000000000001E-3</v>
      </c>
      <c r="L13372" s="26">
        <v>5.0000000000000001E-3</v>
      </c>
      <c r="N13372" s="26">
        <v>4.7000000000000002E-3</v>
      </c>
      <c r="O13372" s="26">
        <v>5.9999999999999995E-4</v>
      </c>
      <c r="P13372">
        <v>581</v>
      </c>
    </row>
    <row r="13373" spans="1:16" x14ac:dyDescent="0.35">
      <c r="A13373" s="27" t="s">
        <v>230</v>
      </c>
      <c r="B13373" s="27" t="s">
        <v>236</v>
      </c>
      <c r="C13373" s="28">
        <v>0.84150000000000003</v>
      </c>
      <c r="D13373" s="28">
        <v>0.1585</v>
      </c>
      <c r="E13373" s="29"/>
      <c r="F13373" s="29"/>
      <c r="G13373" s="29"/>
      <c r="H13373" s="29"/>
      <c r="I13373" s="29"/>
      <c r="J13373" s="29"/>
      <c r="K13373" s="29"/>
      <c r="L13373" s="29"/>
      <c r="M13373" s="29"/>
      <c r="N13373" s="29"/>
      <c r="O13373" s="29"/>
      <c r="P13373" s="29" t="s">
        <v>337</v>
      </c>
    </row>
    <row r="13374" spans="1:16" x14ac:dyDescent="0.35">
      <c r="A13374" t="s">
        <v>230</v>
      </c>
      <c r="B13374" t="s">
        <v>262</v>
      </c>
      <c r="C13374" s="26">
        <v>0.65</v>
      </c>
      <c r="D13374" s="26">
        <v>0.13300000000000001</v>
      </c>
      <c r="E13374" s="26">
        <v>0.1037</v>
      </c>
      <c r="F13374" s="26">
        <v>8.3199999999999996E-2</v>
      </c>
      <c r="G13374" s="26">
        <v>1.7899999999999999E-2</v>
      </c>
      <c r="H13374" s="26">
        <v>8.5500000000000007E-2</v>
      </c>
      <c r="I13374" s="26">
        <v>4.4699999999999997E-2</v>
      </c>
      <c r="J13374" s="26">
        <v>3.85E-2</v>
      </c>
      <c r="L13374" s="26">
        <v>3.6600000000000001E-2</v>
      </c>
      <c r="O13374" s="26">
        <v>3.6600000000000001E-2</v>
      </c>
      <c r="P13374">
        <v>117</v>
      </c>
    </row>
    <row r="13375" spans="1:16" x14ac:dyDescent="0.35">
      <c r="A13375" t="s">
        <v>230</v>
      </c>
      <c r="B13375" t="s">
        <v>261</v>
      </c>
      <c r="C13375" s="26">
        <v>0.83189999999999997</v>
      </c>
      <c r="D13375" s="26">
        <v>0.1077</v>
      </c>
      <c r="E13375" s="26">
        <v>4.7199999999999999E-2</v>
      </c>
      <c r="F13375" s="26">
        <v>6.7000000000000002E-3</v>
      </c>
      <c r="G13375" s="26">
        <v>6.7000000000000002E-3</v>
      </c>
      <c r="H13375" s="26">
        <v>6.7000000000000002E-3</v>
      </c>
      <c r="P13375">
        <v>57</v>
      </c>
    </row>
    <row r="13376" spans="1:16" x14ac:dyDescent="0.35">
      <c r="A13376" s="27" t="s">
        <v>230</v>
      </c>
      <c r="B13376" s="27" t="s">
        <v>263</v>
      </c>
      <c r="C13376" s="28">
        <v>0.71199999999999997</v>
      </c>
      <c r="D13376" s="28">
        <v>0.14610000000000001</v>
      </c>
      <c r="E13376" s="28">
        <v>1.7000000000000001E-2</v>
      </c>
      <c r="F13376" s="28">
        <v>1.7000000000000001E-2</v>
      </c>
      <c r="G13376" s="28">
        <v>9.0800000000000006E-2</v>
      </c>
      <c r="H13376" s="28">
        <v>1.7000000000000001E-2</v>
      </c>
      <c r="I13376" s="29"/>
      <c r="J13376" s="28">
        <v>1.7000000000000001E-2</v>
      </c>
      <c r="K13376" s="29"/>
      <c r="L13376" s="29"/>
      <c r="M13376" s="29"/>
      <c r="N13376" s="29"/>
      <c r="O13376" s="29"/>
      <c r="P13376" s="29" t="s">
        <v>310</v>
      </c>
    </row>
    <row r="13377" spans="1:16" x14ac:dyDescent="0.35">
      <c r="A13377" t="s">
        <v>230</v>
      </c>
      <c r="B13377" t="s">
        <v>260</v>
      </c>
      <c r="C13377" s="26">
        <v>0.70340000000000003</v>
      </c>
      <c r="D13377" s="26">
        <v>0.14929999999999999</v>
      </c>
      <c r="E13377" s="26">
        <v>6.9099999999999995E-2</v>
      </c>
      <c r="F13377" s="26">
        <v>5.5399999999999998E-2</v>
      </c>
      <c r="G13377" s="26">
        <v>5.1000000000000004E-3</v>
      </c>
      <c r="H13377" s="26">
        <v>1.9800000000000002E-2</v>
      </c>
      <c r="I13377" s="26">
        <v>1.23E-2</v>
      </c>
      <c r="J13377" s="26">
        <v>1.67E-2</v>
      </c>
      <c r="K13377" s="26">
        <v>8.3000000000000001E-3</v>
      </c>
      <c r="L13377" s="26">
        <v>4.0000000000000002E-4</v>
      </c>
      <c r="M13377" s="26">
        <v>7.9000000000000008E-3</v>
      </c>
      <c r="N13377" s="26">
        <v>4.0000000000000002E-4</v>
      </c>
      <c r="P13377">
        <v>342</v>
      </c>
    </row>
    <row r="13378" spans="1:16" x14ac:dyDescent="0.35">
      <c r="A13378" s="27" t="s">
        <v>231</v>
      </c>
      <c r="B13378" s="27" t="s">
        <v>263</v>
      </c>
      <c r="C13378" s="28">
        <v>1</v>
      </c>
      <c r="D13378" s="29"/>
      <c r="E13378" s="29"/>
      <c r="F13378" s="29"/>
      <c r="G13378" s="29"/>
      <c r="H13378" s="29"/>
      <c r="I13378" s="29"/>
      <c r="J13378" s="29"/>
      <c r="K13378" s="29"/>
      <c r="L13378" s="29"/>
      <c r="M13378" s="29"/>
      <c r="N13378" s="29"/>
      <c r="O13378" s="29"/>
      <c r="P13378" s="29" t="s">
        <v>314</v>
      </c>
    </row>
    <row r="13379" spans="1:16" x14ac:dyDescent="0.35">
      <c r="A13379" t="s">
        <v>231</v>
      </c>
      <c r="B13379" t="s">
        <v>260</v>
      </c>
      <c r="C13379" s="26">
        <v>0.75609999999999999</v>
      </c>
      <c r="D13379" s="26">
        <v>0.13009999999999999</v>
      </c>
      <c r="E13379" s="26">
        <v>4.8800000000000003E-2</v>
      </c>
      <c r="F13379" s="26">
        <v>3.2500000000000001E-2</v>
      </c>
      <c r="G13379" s="26">
        <v>1.6299999999999999E-2</v>
      </c>
      <c r="H13379" s="26">
        <v>8.0999999999999996E-3</v>
      </c>
      <c r="I13379" s="26">
        <v>8.0999999999999996E-3</v>
      </c>
      <c r="K13379" s="26">
        <v>8.0999999999999996E-3</v>
      </c>
      <c r="P13379">
        <v>123</v>
      </c>
    </row>
    <row r="13380" spans="1:16" x14ac:dyDescent="0.35">
      <c r="A13380" s="27" t="s">
        <v>231</v>
      </c>
      <c r="B13380" s="27" t="s">
        <v>261</v>
      </c>
      <c r="C13380" s="28">
        <v>0.85189999999999999</v>
      </c>
      <c r="D13380" s="28">
        <v>0.1111</v>
      </c>
      <c r="E13380" s="29"/>
      <c r="F13380" s="29"/>
      <c r="G13380" s="29"/>
      <c r="H13380" s="28">
        <v>3.6999999999999998E-2</v>
      </c>
      <c r="I13380" s="29"/>
      <c r="J13380" s="29"/>
      <c r="K13380" s="29"/>
      <c r="L13380" s="29"/>
      <c r="M13380" s="29"/>
      <c r="N13380" s="29"/>
      <c r="O13380" s="29"/>
      <c r="P13380" s="29" t="s">
        <v>338</v>
      </c>
    </row>
    <row r="13381" spans="1:16" x14ac:dyDescent="0.35">
      <c r="A13381" s="27" t="s">
        <v>231</v>
      </c>
      <c r="B13381" s="27" t="s">
        <v>262</v>
      </c>
      <c r="C13381" s="28">
        <v>1</v>
      </c>
      <c r="D13381" s="29"/>
      <c r="E13381" s="29"/>
      <c r="F13381" s="29"/>
      <c r="G13381" s="29"/>
      <c r="H13381" s="29"/>
      <c r="I13381" s="29"/>
      <c r="J13381" s="29"/>
      <c r="K13381" s="29"/>
      <c r="L13381" s="29"/>
      <c r="M13381" s="29"/>
      <c r="N13381" s="29"/>
      <c r="O13381" s="29"/>
      <c r="P13381" s="29" t="s">
        <v>307</v>
      </c>
    </row>
    <row r="13382" spans="1:16" x14ac:dyDescent="0.35">
      <c r="A13382" t="s">
        <v>232</v>
      </c>
      <c r="B13382" t="s">
        <v>232</v>
      </c>
      <c r="C13382" s="26">
        <v>0.71640000000000004</v>
      </c>
      <c r="D13382" s="26">
        <v>0.16869999999999999</v>
      </c>
      <c r="E13382" s="26">
        <v>4.9599999999999998E-2</v>
      </c>
      <c r="F13382" s="26">
        <v>3.0700000000000002E-2</v>
      </c>
      <c r="G13382" s="26">
        <v>2.1999999999999999E-2</v>
      </c>
      <c r="H13382" s="26">
        <v>1.72E-2</v>
      </c>
      <c r="I13382" s="26">
        <v>8.8999999999999999E-3</v>
      </c>
      <c r="J13382" s="26">
        <v>8.2000000000000007E-3</v>
      </c>
      <c r="K13382" s="26">
        <v>3.2000000000000002E-3</v>
      </c>
      <c r="L13382" s="26">
        <v>1.6999999999999999E-3</v>
      </c>
      <c r="M13382" s="26">
        <v>1.6999999999999999E-3</v>
      </c>
      <c r="N13382" s="26">
        <v>8.9999999999999998E-4</v>
      </c>
      <c r="O13382" s="26">
        <v>6.9999999999999999E-4</v>
      </c>
      <c r="P13382">
        <v>2741</v>
      </c>
    </row>
    <row r="13384" spans="1:16" x14ac:dyDescent="0.35">
      <c r="A13384" s="1" t="s">
        <v>1513</v>
      </c>
    </row>
    <row r="13385" spans="1:16" x14ac:dyDescent="0.35">
      <c r="A13385" t="s">
        <v>219</v>
      </c>
      <c r="B13385" t="s">
        <v>305</v>
      </c>
      <c r="C13385" t="s">
        <v>550</v>
      </c>
      <c r="D13385" t="s">
        <v>281</v>
      </c>
      <c r="E13385" t="s">
        <v>1403</v>
      </c>
      <c r="F13385" t="s">
        <v>1402</v>
      </c>
      <c r="G13385" t="s">
        <v>1401</v>
      </c>
      <c r="H13385" t="s">
        <v>1404</v>
      </c>
      <c r="I13385" t="s">
        <v>1503</v>
      </c>
      <c r="J13385" t="s">
        <v>1504</v>
      </c>
      <c r="K13385" t="s">
        <v>286</v>
      </c>
      <c r="L13385" t="s">
        <v>1406</v>
      </c>
      <c r="M13385" t="s">
        <v>326</v>
      </c>
      <c r="N13385" t="s">
        <v>1408</v>
      </c>
      <c r="O13385" t="s">
        <v>1407</v>
      </c>
      <c r="P13385" t="s">
        <v>226</v>
      </c>
    </row>
    <row r="13386" spans="1:16" x14ac:dyDescent="0.35">
      <c r="A13386" t="s">
        <v>227</v>
      </c>
      <c r="B13386" t="s">
        <v>368</v>
      </c>
      <c r="C13386" s="26">
        <v>0.69699999999999995</v>
      </c>
      <c r="D13386" s="26">
        <v>0.21210000000000001</v>
      </c>
      <c r="E13386" s="26">
        <v>3.0300000000000001E-2</v>
      </c>
      <c r="H13386" s="26">
        <v>3.0300000000000001E-2</v>
      </c>
      <c r="I13386" s="26">
        <v>3.0300000000000001E-2</v>
      </c>
      <c r="P13386">
        <v>33</v>
      </c>
    </row>
    <row r="13387" spans="1:16" x14ac:dyDescent="0.35">
      <c r="A13387" t="s">
        <v>227</v>
      </c>
      <c r="B13387" t="s">
        <v>369</v>
      </c>
      <c r="C13387" s="26">
        <v>0.66139999999999999</v>
      </c>
      <c r="D13387" s="26">
        <v>0.21260000000000001</v>
      </c>
      <c r="E13387" s="26">
        <v>5.5100000000000003E-2</v>
      </c>
      <c r="F13387" s="26">
        <v>3.9399999999999998E-2</v>
      </c>
      <c r="G13387" s="26">
        <v>2.3599999999999999E-2</v>
      </c>
      <c r="H13387" s="26">
        <v>3.15E-2</v>
      </c>
      <c r="I13387" s="26">
        <v>1.5699999999999999E-2</v>
      </c>
      <c r="M13387" s="26">
        <v>7.9000000000000008E-3</v>
      </c>
      <c r="P13387">
        <v>127</v>
      </c>
    </row>
    <row r="13388" spans="1:16" x14ac:dyDescent="0.35">
      <c r="A13388" t="s">
        <v>228</v>
      </c>
      <c r="B13388" t="s">
        <v>368</v>
      </c>
      <c r="C13388" s="26">
        <v>0.72389999999999999</v>
      </c>
      <c r="D13388" s="26">
        <v>0.20960000000000001</v>
      </c>
      <c r="E13388" s="26">
        <v>1.21E-2</v>
      </c>
      <c r="F13388" s="26">
        <v>4.5999999999999999E-3</v>
      </c>
      <c r="G13388" s="26">
        <v>3.1199999999999999E-2</v>
      </c>
      <c r="H13388" s="26">
        <v>1.9E-3</v>
      </c>
      <c r="I13388" s="26">
        <v>2.0999999999999999E-3</v>
      </c>
      <c r="J13388" s="26">
        <v>1.46E-2</v>
      </c>
      <c r="L13388" s="26">
        <v>1.2999999999999999E-3</v>
      </c>
      <c r="P13388">
        <v>191</v>
      </c>
    </row>
    <row r="13389" spans="1:16" x14ac:dyDescent="0.35">
      <c r="A13389" t="s">
        <v>228</v>
      </c>
      <c r="B13389" t="s">
        <v>369</v>
      </c>
      <c r="C13389" s="26">
        <v>0.6663</v>
      </c>
      <c r="D13389" s="26">
        <v>0.20300000000000001</v>
      </c>
      <c r="E13389" s="26">
        <v>5.1299999999999998E-2</v>
      </c>
      <c r="F13389" s="26">
        <v>3.78E-2</v>
      </c>
      <c r="G13389" s="26">
        <v>3.1300000000000001E-2</v>
      </c>
      <c r="H13389" s="26">
        <v>3.09E-2</v>
      </c>
      <c r="I13389" s="26">
        <v>3.5000000000000001E-3</v>
      </c>
      <c r="J13389" s="26">
        <v>2.5000000000000001E-2</v>
      </c>
      <c r="K13389" s="26">
        <v>2.9999999999999997E-4</v>
      </c>
      <c r="L13389" s="26">
        <v>1.9E-3</v>
      </c>
      <c r="N13389" s="26">
        <v>6.9999999999999999E-4</v>
      </c>
      <c r="O13389" s="26">
        <v>6.9999999999999999E-4</v>
      </c>
      <c r="P13389">
        <v>817</v>
      </c>
    </row>
    <row r="13390" spans="1:16" x14ac:dyDescent="0.35">
      <c r="A13390" t="s">
        <v>229</v>
      </c>
      <c r="B13390" t="s">
        <v>368</v>
      </c>
      <c r="C13390" s="26">
        <v>0.68230000000000002</v>
      </c>
      <c r="D13390" s="26">
        <v>0.1457</v>
      </c>
      <c r="E13390" s="26">
        <v>5.8700000000000002E-2</v>
      </c>
      <c r="F13390" s="26">
        <v>2.4E-2</v>
      </c>
      <c r="G13390" s="26">
        <v>4.0800000000000003E-2</v>
      </c>
      <c r="H13390" s="26">
        <v>2.35E-2</v>
      </c>
      <c r="I13390" s="26">
        <v>4.5400000000000003E-2</v>
      </c>
      <c r="J13390" s="26">
        <v>2.63E-2</v>
      </c>
      <c r="P13390">
        <v>92</v>
      </c>
    </row>
    <row r="13391" spans="1:16" x14ac:dyDescent="0.35">
      <c r="A13391" t="s">
        <v>229</v>
      </c>
      <c r="B13391" t="s">
        <v>369</v>
      </c>
      <c r="C13391" s="26">
        <v>0.69920000000000004</v>
      </c>
      <c r="D13391" s="26">
        <v>0.1865</v>
      </c>
      <c r="E13391" s="26">
        <v>5.9299999999999999E-2</v>
      </c>
      <c r="F13391" s="26">
        <v>2.9700000000000001E-2</v>
      </c>
      <c r="G13391" s="26">
        <v>0.03</v>
      </c>
      <c r="H13391" s="26">
        <v>2.2000000000000001E-3</v>
      </c>
      <c r="I13391" s="26">
        <v>1.6000000000000001E-3</v>
      </c>
      <c r="J13391" s="26">
        <v>4.1999999999999997E-3</v>
      </c>
      <c r="K13391" s="26">
        <v>3.7000000000000002E-3</v>
      </c>
      <c r="L13391" s="26">
        <v>3.3E-3</v>
      </c>
      <c r="M13391" s="26">
        <v>8.0000000000000004E-4</v>
      </c>
      <c r="N13391" s="26">
        <v>3.0999999999999999E-3</v>
      </c>
      <c r="O13391" s="26">
        <v>4.0000000000000002E-4</v>
      </c>
      <c r="P13391">
        <v>775</v>
      </c>
    </row>
    <row r="13392" spans="1:16" x14ac:dyDescent="0.35">
      <c r="A13392" t="s">
        <v>230</v>
      </c>
      <c r="B13392" t="s">
        <v>368</v>
      </c>
      <c r="C13392" s="26">
        <v>0.83189999999999997</v>
      </c>
      <c r="D13392" s="26">
        <v>0.1077</v>
      </c>
      <c r="E13392" s="26">
        <v>4.7199999999999999E-2</v>
      </c>
      <c r="F13392" s="26">
        <v>6.7000000000000002E-3</v>
      </c>
      <c r="G13392" s="26">
        <v>6.7000000000000002E-3</v>
      </c>
      <c r="H13392" s="26">
        <v>6.7000000000000002E-3</v>
      </c>
      <c r="P13392">
        <v>57</v>
      </c>
    </row>
    <row r="13393" spans="1:16" x14ac:dyDescent="0.35">
      <c r="A13393" t="s">
        <v>230</v>
      </c>
      <c r="B13393" t="s">
        <v>369</v>
      </c>
      <c r="C13393" s="26">
        <v>0.69550000000000001</v>
      </c>
      <c r="D13393" s="26">
        <v>0.14649999999999999</v>
      </c>
      <c r="E13393" s="26">
        <v>7.3499999999999996E-2</v>
      </c>
      <c r="F13393" s="26">
        <v>5.8999999999999997E-2</v>
      </c>
      <c r="G13393" s="26">
        <v>8.8999999999999999E-3</v>
      </c>
      <c r="H13393" s="26">
        <v>3.1E-2</v>
      </c>
      <c r="I13393" s="26">
        <v>1.7600000000000001E-2</v>
      </c>
      <c r="J13393" s="26">
        <v>2.0299999999999999E-2</v>
      </c>
      <c r="K13393" s="26">
        <v>6.7000000000000002E-3</v>
      </c>
      <c r="L13393" s="26">
        <v>6.7000000000000002E-3</v>
      </c>
      <c r="M13393" s="26">
        <v>6.3E-3</v>
      </c>
      <c r="N13393" s="26">
        <v>2.9999999999999997E-4</v>
      </c>
      <c r="O13393" s="26">
        <v>6.3E-3</v>
      </c>
      <c r="P13393">
        <v>487</v>
      </c>
    </row>
    <row r="13394" spans="1:16" x14ac:dyDescent="0.35">
      <c r="A13394" s="27" t="s">
        <v>231</v>
      </c>
      <c r="B13394" s="27" t="s">
        <v>368</v>
      </c>
      <c r="C13394" s="28">
        <v>0.85189999999999999</v>
      </c>
      <c r="D13394" s="28">
        <v>0.1111</v>
      </c>
      <c r="E13394" s="29"/>
      <c r="F13394" s="29"/>
      <c r="G13394" s="29"/>
      <c r="H13394" s="28">
        <v>3.6999999999999998E-2</v>
      </c>
      <c r="I13394" s="29"/>
      <c r="J13394" s="29"/>
      <c r="K13394" s="29"/>
      <c r="L13394" s="29"/>
      <c r="M13394" s="29"/>
      <c r="N13394" s="29"/>
      <c r="O13394" s="29"/>
      <c r="P13394" s="29" t="s">
        <v>338</v>
      </c>
    </row>
    <row r="13395" spans="1:16" x14ac:dyDescent="0.35">
      <c r="A13395" t="s">
        <v>231</v>
      </c>
      <c r="B13395" t="s">
        <v>369</v>
      </c>
      <c r="C13395" s="26">
        <v>0.77780000000000005</v>
      </c>
      <c r="D13395" s="26">
        <v>0.11849999999999999</v>
      </c>
      <c r="E13395" s="26">
        <v>4.4400000000000002E-2</v>
      </c>
      <c r="F13395" s="26">
        <v>2.9600000000000001E-2</v>
      </c>
      <c r="G13395" s="26">
        <v>1.4800000000000001E-2</v>
      </c>
      <c r="H13395" s="26">
        <v>7.4000000000000003E-3</v>
      </c>
      <c r="I13395" s="26">
        <v>7.4000000000000003E-3</v>
      </c>
      <c r="K13395" s="26">
        <v>7.4000000000000003E-3</v>
      </c>
      <c r="P13395">
        <v>135</v>
      </c>
    </row>
    <row r="13396" spans="1:16" x14ac:dyDescent="0.35">
      <c r="A13396" t="s">
        <v>232</v>
      </c>
      <c r="B13396" t="s">
        <v>232</v>
      </c>
      <c r="C13396" s="26">
        <v>0.71640000000000004</v>
      </c>
      <c r="D13396" s="26">
        <v>0.16869999999999999</v>
      </c>
      <c r="E13396" s="26">
        <v>4.9599999999999998E-2</v>
      </c>
      <c r="F13396" s="26">
        <v>3.0700000000000002E-2</v>
      </c>
      <c r="G13396" s="26">
        <v>2.1999999999999999E-2</v>
      </c>
      <c r="H13396" s="26">
        <v>1.72E-2</v>
      </c>
      <c r="I13396" s="26">
        <v>8.8999999999999999E-3</v>
      </c>
      <c r="J13396" s="26">
        <v>8.2000000000000007E-3</v>
      </c>
      <c r="K13396" s="26">
        <v>3.2000000000000002E-3</v>
      </c>
      <c r="L13396" s="26">
        <v>1.6999999999999999E-3</v>
      </c>
      <c r="M13396" s="26">
        <v>1.6999999999999999E-3</v>
      </c>
      <c r="N13396" s="26">
        <v>8.9999999999999998E-4</v>
      </c>
      <c r="O13396" s="26">
        <v>6.9999999999999999E-4</v>
      </c>
      <c r="P13396">
        <v>2741</v>
      </c>
    </row>
    <row r="13398" spans="1:16" x14ac:dyDescent="0.35">
      <c r="A13398" s="1" t="s">
        <v>1514</v>
      </c>
    </row>
    <row r="13399" spans="1:16" x14ac:dyDescent="0.35">
      <c r="A13399" t="s">
        <v>219</v>
      </c>
      <c r="B13399" t="s">
        <v>305</v>
      </c>
      <c r="C13399" t="s">
        <v>550</v>
      </c>
      <c r="D13399" t="s">
        <v>281</v>
      </c>
      <c r="E13399" t="s">
        <v>1403</v>
      </c>
      <c r="F13399" t="s">
        <v>1402</v>
      </c>
      <c r="G13399" t="s">
        <v>1401</v>
      </c>
      <c r="H13399" t="s">
        <v>1404</v>
      </c>
      <c r="I13399" t="s">
        <v>1503</v>
      </c>
      <c r="J13399" t="s">
        <v>1504</v>
      </c>
      <c r="K13399" t="s">
        <v>286</v>
      </c>
      <c r="L13399" t="s">
        <v>1406</v>
      </c>
      <c r="M13399" t="s">
        <v>326</v>
      </c>
      <c r="N13399" t="s">
        <v>1408</v>
      </c>
      <c r="O13399" t="s">
        <v>1407</v>
      </c>
      <c r="P13399" t="s">
        <v>226</v>
      </c>
    </row>
    <row r="13400" spans="1:16" x14ac:dyDescent="0.35">
      <c r="A13400" t="s">
        <v>227</v>
      </c>
      <c r="B13400" t="s">
        <v>371</v>
      </c>
      <c r="C13400" s="26">
        <v>0.66879999999999995</v>
      </c>
      <c r="D13400" s="26">
        <v>0.21249999999999999</v>
      </c>
      <c r="E13400" s="26">
        <v>0.05</v>
      </c>
      <c r="F13400" s="26">
        <v>3.1199999999999999E-2</v>
      </c>
      <c r="G13400" s="26">
        <v>1.8800000000000001E-2</v>
      </c>
      <c r="H13400" s="26">
        <v>3.1199999999999999E-2</v>
      </c>
      <c r="I13400" s="26">
        <v>1.8800000000000001E-2</v>
      </c>
      <c r="M13400" s="26">
        <v>6.1999999999999998E-3</v>
      </c>
      <c r="P13400">
        <v>160</v>
      </c>
    </row>
    <row r="13401" spans="1:16" x14ac:dyDescent="0.35">
      <c r="A13401" t="s">
        <v>228</v>
      </c>
      <c r="B13401" t="s">
        <v>371</v>
      </c>
      <c r="C13401" s="26">
        <v>0.67290000000000005</v>
      </c>
      <c r="D13401" s="26">
        <v>0.20300000000000001</v>
      </c>
      <c r="E13401" s="26">
        <v>4.1300000000000003E-2</v>
      </c>
      <c r="F13401" s="26">
        <v>4.07E-2</v>
      </c>
      <c r="G13401" s="26">
        <v>3.5700000000000003E-2</v>
      </c>
      <c r="H13401" s="26">
        <v>2.8400000000000002E-2</v>
      </c>
      <c r="I13401" s="26">
        <v>6.9999999999999999E-4</v>
      </c>
      <c r="J13401" s="26">
        <v>2.6800000000000001E-2</v>
      </c>
      <c r="P13401">
        <v>288</v>
      </c>
    </row>
    <row r="13402" spans="1:16" x14ac:dyDescent="0.35">
      <c r="A13402" t="s">
        <v>228</v>
      </c>
      <c r="B13402" t="s">
        <v>372</v>
      </c>
      <c r="C13402" s="26">
        <v>0.69130000000000003</v>
      </c>
      <c r="D13402" s="26">
        <v>0.1764</v>
      </c>
      <c r="E13402" s="26">
        <v>5.3600000000000002E-2</v>
      </c>
      <c r="F13402" s="26">
        <v>3.5000000000000003E-2</v>
      </c>
      <c r="G13402" s="26">
        <v>6.1499999999999999E-2</v>
      </c>
      <c r="H13402" s="26">
        <v>3.0700000000000002E-2</v>
      </c>
      <c r="I13402" s="26">
        <v>5.0000000000000001E-3</v>
      </c>
      <c r="J13402" s="26">
        <v>2.6100000000000002E-2</v>
      </c>
      <c r="K13402" s="26">
        <v>2.8999999999999998E-3</v>
      </c>
      <c r="L13402" s="26">
        <v>6.6E-3</v>
      </c>
      <c r="N13402" s="26">
        <v>6.6E-3</v>
      </c>
      <c r="O13402" s="26">
        <v>6.6E-3</v>
      </c>
      <c r="P13402">
        <v>212</v>
      </c>
    </row>
    <row r="13403" spans="1:16" x14ac:dyDescent="0.35">
      <c r="A13403" t="s">
        <v>228</v>
      </c>
      <c r="B13403" t="s">
        <v>373</v>
      </c>
      <c r="C13403" s="26">
        <v>0.68149999999999999</v>
      </c>
      <c r="D13403" s="26">
        <v>0.21210000000000001</v>
      </c>
      <c r="E13403" s="26">
        <v>4.4200000000000003E-2</v>
      </c>
      <c r="F13403" s="26">
        <v>1.7500000000000002E-2</v>
      </c>
      <c r="G13403" s="26">
        <v>1.8800000000000001E-2</v>
      </c>
      <c r="H13403" s="26">
        <v>1.9400000000000001E-2</v>
      </c>
      <c r="I13403" s="26">
        <v>6.1999999999999998E-3</v>
      </c>
      <c r="J13403" s="26">
        <v>1.7100000000000001E-2</v>
      </c>
      <c r="L13403" s="26">
        <v>3.2000000000000002E-3</v>
      </c>
      <c r="P13403">
        <v>508</v>
      </c>
    </row>
    <row r="13404" spans="1:16" x14ac:dyDescent="0.35">
      <c r="A13404" t="s">
        <v>229</v>
      </c>
      <c r="B13404" t="s">
        <v>371</v>
      </c>
      <c r="C13404" s="26">
        <v>0.69630000000000003</v>
      </c>
      <c r="D13404" s="26">
        <v>0.17910000000000001</v>
      </c>
      <c r="E13404" s="26">
        <v>6.13E-2</v>
      </c>
      <c r="F13404" s="26">
        <v>3.0700000000000002E-2</v>
      </c>
      <c r="G13404" s="26">
        <v>3.2099999999999997E-2</v>
      </c>
      <c r="H13404" s="26">
        <v>5.3E-3</v>
      </c>
      <c r="I13404" s="26">
        <v>7.4999999999999997E-3</v>
      </c>
      <c r="J13404" s="26">
        <v>6.4000000000000003E-3</v>
      </c>
      <c r="K13404" s="26">
        <v>3.0000000000000001E-3</v>
      </c>
      <c r="L13404" s="26">
        <v>3.0000000000000001E-3</v>
      </c>
      <c r="M13404" s="26">
        <v>8.0000000000000004E-4</v>
      </c>
      <c r="N13404" s="26">
        <v>2.8E-3</v>
      </c>
      <c r="O13404" s="26">
        <v>4.0000000000000002E-4</v>
      </c>
      <c r="P13404">
        <v>568</v>
      </c>
    </row>
    <row r="13405" spans="1:16" x14ac:dyDescent="0.35">
      <c r="A13405" t="s">
        <v>229</v>
      </c>
      <c r="B13405" t="s">
        <v>372</v>
      </c>
      <c r="C13405" s="26">
        <v>0.71260000000000001</v>
      </c>
      <c r="D13405" s="26">
        <v>0.19320000000000001</v>
      </c>
      <c r="E13405" s="26">
        <v>3.7699999999999997E-2</v>
      </c>
      <c r="F13405" s="26">
        <v>1.09E-2</v>
      </c>
      <c r="G13405" s="26">
        <v>2.2800000000000001E-2</v>
      </c>
      <c r="H13405" s="26">
        <v>2E-3</v>
      </c>
      <c r="I13405" s="26">
        <v>1.38E-2</v>
      </c>
      <c r="J13405" s="26">
        <v>1.5800000000000002E-2</v>
      </c>
      <c r="K13405" s="26">
        <v>6.8999999999999999E-3</v>
      </c>
      <c r="P13405">
        <v>212</v>
      </c>
    </row>
    <row r="13406" spans="1:16" x14ac:dyDescent="0.35">
      <c r="A13406" t="s">
        <v>229</v>
      </c>
      <c r="B13406" t="s">
        <v>373</v>
      </c>
      <c r="C13406" s="26">
        <v>0.68510000000000004</v>
      </c>
      <c r="D13406" s="26">
        <v>0.20880000000000001</v>
      </c>
      <c r="E13406" s="26">
        <v>2.5600000000000001E-2</v>
      </c>
      <c r="G13406" s="26">
        <v>2.93E-2</v>
      </c>
      <c r="H13406" s="26">
        <v>1.2800000000000001E-2</v>
      </c>
      <c r="I13406" s="26">
        <v>1.2800000000000001E-2</v>
      </c>
      <c r="J13406" s="26">
        <v>2.5600000000000001E-2</v>
      </c>
      <c r="P13406">
        <v>87</v>
      </c>
    </row>
    <row r="13407" spans="1:16" x14ac:dyDescent="0.35">
      <c r="A13407" t="s">
        <v>230</v>
      </c>
      <c r="B13407" t="s">
        <v>371</v>
      </c>
      <c r="C13407" s="26">
        <v>0.70369999999999999</v>
      </c>
      <c r="D13407" s="26">
        <v>0.1426</v>
      </c>
      <c r="E13407" s="26">
        <v>7.6300000000000007E-2</v>
      </c>
      <c r="F13407" s="26">
        <v>5.7200000000000001E-2</v>
      </c>
      <c r="G13407" s="26">
        <v>3.3999999999999998E-3</v>
      </c>
      <c r="H13407" s="26">
        <v>2.92E-2</v>
      </c>
      <c r="I13407" s="26">
        <v>1.6799999999999999E-2</v>
      </c>
      <c r="J13407" s="26">
        <v>2.0199999999999999E-2</v>
      </c>
      <c r="K13407" s="26">
        <v>6.7000000000000002E-3</v>
      </c>
      <c r="L13407" s="26">
        <v>6.7000000000000002E-3</v>
      </c>
      <c r="M13407" s="26">
        <v>6.7000000000000002E-3</v>
      </c>
      <c r="O13407" s="26">
        <v>6.7000000000000002E-3</v>
      </c>
      <c r="P13407">
        <v>256</v>
      </c>
    </row>
    <row r="13408" spans="1:16" x14ac:dyDescent="0.35">
      <c r="A13408" t="s">
        <v>230</v>
      </c>
      <c r="B13408" t="s">
        <v>372</v>
      </c>
      <c r="C13408" s="26">
        <v>0.77739999999999998</v>
      </c>
      <c r="D13408" s="26">
        <v>0.1231</v>
      </c>
      <c r="E13408" s="26">
        <v>2.4899999999999999E-2</v>
      </c>
      <c r="F13408" s="26">
        <v>2.9899999999999999E-2</v>
      </c>
      <c r="G13408" s="26">
        <v>3.4799999999999998E-2</v>
      </c>
      <c r="H13408" s="26">
        <v>5.0000000000000001E-3</v>
      </c>
      <c r="I13408" s="26">
        <v>0.01</v>
      </c>
      <c r="J13408" s="26">
        <v>1.9900000000000001E-2</v>
      </c>
      <c r="K13408" s="26">
        <v>5.0000000000000001E-3</v>
      </c>
      <c r="L13408" s="26">
        <v>5.0000000000000001E-3</v>
      </c>
      <c r="N13408" s="26">
        <v>5.0000000000000001E-3</v>
      </c>
      <c r="P13408">
        <v>138</v>
      </c>
    </row>
    <row r="13409" spans="1:16" x14ac:dyDescent="0.35">
      <c r="A13409" t="s">
        <v>230</v>
      </c>
      <c r="B13409" t="s">
        <v>373</v>
      </c>
      <c r="C13409" s="26">
        <v>0.75190000000000001</v>
      </c>
      <c r="D13409" s="26">
        <v>0.1406</v>
      </c>
      <c r="E13409" s="26">
        <v>4.9099999999999998E-2</v>
      </c>
      <c r="F13409" s="26">
        <v>2.81E-2</v>
      </c>
      <c r="G13409" s="26">
        <v>3.0200000000000001E-2</v>
      </c>
      <c r="H13409" s="26">
        <v>2.81E-2</v>
      </c>
      <c r="I13409" s="26">
        <v>7.0000000000000001E-3</v>
      </c>
      <c r="P13409">
        <v>150</v>
      </c>
    </row>
    <row r="13410" spans="1:16" x14ac:dyDescent="0.35">
      <c r="A13410" t="s">
        <v>231</v>
      </c>
      <c r="B13410" t="s">
        <v>371</v>
      </c>
      <c r="C13410" s="26">
        <v>0.79010000000000002</v>
      </c>
      <c r="D13410" s="26">
        <v>0.1173</v>
      </c>
      <c r="E13410" s="26">
        <v>3.6999999999999998E-2</v>
      </c>
      <c r="F13410" s="26">
        <v>2.47E-2</v>
      </c>
      <c r="G13410" s="26">
        <v>1.23E-2</v>
      </c>
      <c r="H13410" s="26">
        <v>1.23E-2</v>
      </c>
      <c r="I13410" s="26">
        <v>6.1999999999999998E-3</v>
      </c>
      <c r="K13410" s="26">
        <v>6.1999999999999998E-3</v>
      </c>
      <c r="P13410">
        <v>162</v>
      </c>
    </row>
    <row r="13411" spans="1:16" x14ac:dyDescent="0.35">
      <c r="A13411" t="s">
        <v>232</v>
      </c>
      <c r="B13411" t="s">
        <v>232</v>
      </c>
      <c r="C13411" s="26">
        <v>0.71640000000000004</v>
      </c>
      <c r="D13411" s="26">
        <v>0.16869999999999999</v>
      </c>
      <c r="E13411" s="26">
        <v>4.9599999999999998E-2</v>
      </c>
      <c r="F13411" s="26">
        <v>3.0700000000000002E-2</v>
      </c>
      <c r="G13411" s="26">
        <v>2.1999999999999999E-2</v>
      </c>
      <c r="H13411" s="26">
        <v>1.72E-2</v>
      </c>
      <c r="I13411" s="26">
        <v>8.8999999999999999E-3</v>
      </c>
      <c r="J13411" s="26">
        <v>8.2000000000000007E-3</v>
      </c>
      <c r="K13411" s="26">
        <v>3.2000000000000002E-3</v>
      </c>
      <c r="L13411" s="26">
        <v>1.6999999999999999E-3</v>
      </c>
      <c r="M13411" s="26">
        <v>1.6999999999999999E-3</v>
      </c>
      <c r="N13411" s="26">
        <v>8.9999999999999998E-4</v>
      </c>
      <c r="O13411" s="26">
        <v>6.9999999999999999E-4</v>
      </c>
      <c r="P13411">
        <v>2741</v>
      </c>
    </row>
    <row r="13413" spans="1:16" x14ac:dyDescent="0.35">
      <c r="A13413" s="1" t="s">
        <v>1515</v>
      </c>
    </row>
    <row r="13414" spans="1:16" x14ac:dyDescent="0.35">
      <c r="A13414" t="s">
        <v>219</v>
      </c>
      <c r="B13414" t="s">
        <v>305</v>
      </c>
      <c r="C13414" t="s">
        <v>550</v>
      </c>
      <c r="D13414" t="s">
        <v>281</v>
      </c>
      <c r="E13414" t="s">
        <v>1403</v>
      </c>
      <c r="F13414" t="s">
        <v>1402</v>
      </c>
      <c r="G13414" t="s">
        <v>1401</v>
      </c>
      <c r="H13414" t="s">
        <v>1404</v>
      </c>
      <c r="I13414" t="s">
        <v>1503</v>
      </c>
      <c r="J13414" t="s">
        <v>1504</v>
      </c>
      <c r="K13414" t="s">
        <v>286</v>
      </c>
      <c r="L13414" t="s">
        <v>1406</v>
      </c>
      <c r="M13414" t="s">
        <v>326</v>
      </c>
      <c r="N13414" t="s">
        <v>1408</v>
      </c>
      <c r="O13414" t="s">
        <v>1407</v>
      </c>
      <c r="P13414" t="s">
        <v>226</v>
      </c>
    </row>
    <row r="13415" spans="1:16" x14ac:dyDescent="0.35">
      <c r="A13415" t="s">
        <v>227</v>
      </c>
      <c r="B13415" t="s">
        <v>255</v>
      </c>
      <c r="C13415" s="26">
        <v>0.6552</v>
      </c>
      <c r="D13415" s="26">
        <v>0.25</v>
      </c>
      <c r="E13415" s="26">
        <v>4.3099999999999999E-2</v>
      </c>
      <c r="F13415" s="26">
        <v>3.4500000000000003E-2</v>
      </c>
      <c r="H13415" s="26">
        <v>8.6E-3</v>
      </c>
      <c r="I13415" s="26">
        <v>2.5899999999999999E-2</v>
      </c>
      <c r="P13415">
        <v>116</v>
      </c>
    </row>
    <row r="13416" spans="1:16" x14ac:dyDescent="0.35">
      <c r="A13416" s="27" t="s">
        <v>227</v>
      </c>
      <c r="B13416" s="27" t="s">
        <v>257</v>
      </c>
      <c r="C13416" s="28">
        <v>0.44440000000000002</v>
      </c>
      <c r="D13416" s="28">
        <v>0.22220000000000001</v>
      </c>
      <c r="E13416" s="28">
        <v>0.1111</v>
      </c>
      <c r="F13416" s="28">
        <v>0.1111</v>
      </c>
      <c r="G13416" s="29"/>
      <c r="H13416" s="28">
        <v>0.22220000000000001</v>
      </c>
      <c r="I13416" s="29"/>
      <c r="J13416" s="29"/>
      <c r="K13416" s="29"/>
      <c r="L13416" s="29"/>
      <c r="M13416" s="28">
        <v>0.1111</v>
      </c>
      <c r="N13416" s="29"/>
      <c r="O13416" s="29"/>
      <c r="P13416" s="29" t="s">
        <v>334</v>
      </c>
    </row>
    <row r="13417" spans="1:16" x14ac:dyDescent="0.35">
      <c r="A13417" t="s">
        <v>227</v>
      </c>
      <c r="B13417" t="s">
        <v>256</v>
      </c>
      <c r="C13417" s="26">
        <v>0.77139999999999997</v>
      </c>
      <c r="D13417" s="26">
        <v>8.5699999999999998E-2</v>
      </c>
      <c r="E13417" s="26">
        <v>5.7099999999999998E-2</v>
      </c>
      <c r="G13417" s="26">
        <v>8.5699999999999998E-2</v>
      </c>
      <c r="H13417" s="26">
        <v>5.7099999999999998E-2</v>
      </c>
      <c r="P13417">
        <v>35</v>
      </c>
    </row>
    <row r="13418" spans="1:16" x14ac:dyDescent="0.35">
      <c r="A13418" t="s">
        <v>228</v>
      </c>
      <c r="B13418" t="s">
        <v>257</v>
      </c>
      <c r="C13418" s="26">
        <v>0.69789999999999996</v>
      </c>
      <c r="D13418" s="26">
        <v>0.1341</v>
      </c>
      <c r="E13418" s="26">
        <v>0.11509999999999999</v>
      </c>
      <c r="F13418" s="26">
        <v>4.0899999999999999E-2</v>
      </c>
      <c r="G13418" s="26">
        <v>8.6199999999999999E-2</v>
      </c>
      <c r="H13418" s="26">
        <v>4.3499999999999997E-2</v>
      </c>
      <c r="J13418" s="26">
        <v>1.0500000000000001E-2</v>
      </c>
      <c r="P13418">
        <v>49</v>
      </c>
    </row>
    <row r="13419" spans="1:16" x14ac:dyDescent="0.35">
      <c r="A13419" s="27" t="s">
        <v>228</v>
      </c>
      <c r="B13419" s="27" t="s">
        <v>258</v>
      </c>
      <c r="C13419" s="28">
        <v>1</v>
      </c>
      <c r="D13419" s="29"/>
      <c r="E13419" s="29"/>
      <c r="F13419" s="29"/>
      <c r="G13419" s="29"/>
      <c r="H13419" s="29"/>
      <c r="I13419" s="29"/>
      <c r="J13419" s="29"/>
      <c r="K13419" s="29"/>
      <c r="L13419" s="29"/>
      <c r="M13419" s="29"/>
      <c r="N13419" s="29"/>
      <c r="O13419" s="29"/>
      <c r="P13419" s="29" t="s">
        <v>337</v>
      </c>
    </row>
    <row r="13420" spans="1:16" x14ac:dyDescent="0.35">
      <c r="A13420" t="s">
        <v>228</v>
      </c>
      <c r="B13420" t="s">
        <v>256</v>
      </c>
      <c r="C13420" s="26">
        <v>0.75529999999999997</v>
      </c>
      <c r="D13420" s="26">
        <v>0.1389</v>
      </c>
      <c r="E13420" s="26">
        <v>2.4E-2</v>
      </c>
      <c r="F13420" s="26">
        <v>5.1400000000000001E-2</v>
      </c>
      <c r="G13420" s="26">
        <v>3.1600000000000003E-2</v>
      </c>
      <c r="H13420" s="26">
        <v>3.4500000000000003E-2</v>
      </c>
      <c r="I13420" s="26">
        <v>1.6999999999999999E-3</v>
      </c>
      <c r="J13420" s="26">
        <v>8.6999999999999994E-3</v>
      </c>
      <c r="P13420">
        <v>218</v>
      </c>
    </row>
    <row r="13421" spans="1:16" x14ac:dyDescent="0.35">
      <c r="A13421" t="s">
        <v>228</v>
      </c>
      <c r="B13421" t="s">
        <v>255</v>
      </c>
      <c r="C13421" s="26">
        <v>0.6462</v>
      </c>
      <c r="D13421" s="26">
        <v>0.23449999999999999</v>
      </c>
      <c r="E13421" s="26">
        <v>4.5199999999999997E-2</v>
      </c>
      <c r="F13421" s="26">
        <v>2.35E-2</v>
      </c>
      <c r="G13421" s="26">
        <v>2.7099999999999999E-2</v>
      </c>
      <c r="H13421" s="26">
        <v>2.06E-2</v>
      </c>
      <c r="I13421" s="26">
        <v>4.0000000000000001E-3</v>
      </c>
      <c r="J13421" s="26">
        <v>2.92E-2</v>
      </c>
      <c r="K13421" s="26">
        <v>4.0000000000000002E-4</v>
      </c>
      <c r="L13421" s="26">
        <v>2.5999999999999999E-3</v>
      </c>
      <c r="N13421" s="26">
        <v>8.0000000000000004E-4</v>
      </c>
      <c r="O13421" s="26">
        <v>8.0000000000000004E-4</v>
      </c>
      <c r="P13421">
        <v>737</v>
      </c>
    </row>
    <row r="13422" spans="1:16" x14ac:dyDescent="0.35">
      <c r="A13422" t="s">
        <v>229</v>
      </c>
      <c r="B13422" t="s">
        <v>256</v>
      </c>
      <c r="C13422" s="26">
        <v>0.72009999999999996</v>
      </c>
      <c r="D13422" s="26">
        <v>0.15140000000000001</v>
      </c>
      <c r="E13422" s="26">
        <v>5.0299999999999997E-2</v>
      </c>
      <c r="F13422" s="26">
        <v>5.7299999999999997E-2</v>
      </c>
      <c r="G13422" s="26">
        <v>4.9599999999999998E-2</v>
      </c>
      <c r="H13422" s="26">
        <v>1.2999999999999999E-3</v>
      </c>
      <c r="J13422" s="26">
        <v>3.2000000000000002E-3</v>
      </c>
      <c r="M13422" s="26">
        <v>2.5999999999999999E-3</v>
      </c>
      <c r="O13422" s="26">
        <v>6.9999999999999999E-4</v>
      </c>
      <c r="P13422">
        <v>198</v>
      </c>
    </row>
    <row r="13423" spans="1:16" x14ac:dyDescent="0.35">
      <c r="A13423" t="s">
        <v>229</v>
      </c>
      <c r="B13423" t="s">
        <v>255</v>
      </c>
      <c r="C13423" s="26">
        <v>0.70779999999999998</v>
      </c>
      <c r="D13423" s="26">
        <v>0.1867</v>
      </c>
      <c r="E13423" s="26">
        <v>5.4100000000000002E-2</v>
      </c>
      <c r="F13423" s="26">
        <v>1.44E-2</v>
      </c>
      <c r="G13423" s="26">
        <v>2.1000000000000001E-2</v>
      </c>
      <c r="H13423" s="26">
        <v>2.5000000000000001E-3</v>
      </c>
      <c r="I13423" s="26">
        <v>1.0200000000000001E-2</v>
      </c>
      <c r="J13423" s="26">
        <v>9.1000000000000004E-3</v>
      </c>
      <c r="K13423" s="26">
        <v>4.5999999999999999E-3</v>
      </c>
      <c r="L13423" s="26">
        <v>4.1000000000000003E-3</v>
      </c>
      <c r="N13423" s="26">
        <v>3.8999999999999998E-3</v>
      </c>
      <c r="O13423" s="26">
        <v>2.9999999999999997E-4</v>
      </c>
      <c r="P13423">
        <v>619</v>
      </c>
    </row>
    <row r="13424" spans="1:16" x14ac:dyDescent="0.35">
      <c r="A13424" t="s">
        <v>229</v>
      </c>
      <c r="B13424" t="s">
        <v>257</v>
      </c>
      <c r="C13424" s="26">
        <v>0.4395</v>
      </c>
      <c r="D13424" s="26">
        <v>0.24970000000000001</v>
      </c>
      <c r="E13424" s="26">
        <v>0.16830000000000001</v>
      </c>
      <c r="F13424" s="26">
        <v>7.1099999999999997E-2</v>
      </c>
      <c r="G13424" s="26">
        <v>7.4499999999999997E-2</v>
      </c>
      <c r="H13424" s="26">
        <v>6.1600000000000002E-2</v>
      </c>
      <c r="I13424" s="26">
        <v>1.9300000000000001E-2</v>
      </c>
      <c r="J13424" s="26">
        <v>6.4000000000000003E-3</v>
      </c>
      <c r="P13424">
        <v>48</v>
      </c>
    </row>
    <row r="13425" spans="1:16" x14ac:dyDescent="0.35">
      <c r="A13425" s="27" t="s">
        <v>229</v>
      </c>
      <c r="B13425" s="27" t="s">
        <v>258</v>
      </c>
      <c r="C13425" s="28">
        <v>1</v>
      </c>
      <c r="D13425" s="29"/>
      <c r="E13425" s="29"/>
      <c r="F13425" s="29"/>
      <c r="G13425" s="29"/>
      <c r="H13425" s="29"/>
      <c r="I13425" s="29"/>
      <c r="J13425" s="29"/>
      <c r="K13425" s="29"/>
      <c r="L13425" s="29"/>
      <c r="M13425" s="29"/>
      <c r="N13425" s="29"/>
      <c r="O13425" s="29"/>
      <c r="P13425" s="29" t="s">
        <v>314</v>
      </c>
    </row>
    <row r="13426" spans="1:16" x14ac:dyDescent="0.35">
      <c r="A13426" t="s">
        <v>230</v>
      </c>
      <c r="B13426" t="s">
        <v>256</v>
      </c>
      <c r="C13426" s="26">
        <v>0.81840000000000002</v>
      </c>
      <c r="D13426" s="26">
        <v>0.12640000000000001</v>
      </c>
      <c r="E13426" s="26">
        <v>1.3899999999999999E-2</v>
      </c>
      <c r="F13426" s="26">
        <v>4.5999999999999999E-3</v>
      </c>
      <c r="G13426" s="26">
        <v>1.2500000000000001E-2</v>
      </c>
      <c r="H13426" s="26">
        <v>2.4299999999999999E-2</v>
      </c>
      <c r="I13426" s="26">
        <v>4.4999999999999997E-3</v>
      </c>
      <c r="J13426" s="26">
        <v>1.1000000000000001E-3</v>
      </c>
      <c r="P13426">
        <v>126</v>
      </c>
    </row>
    <row r="13427" spans="1:16" x14ac:dyDescent="0.35">
      <c r="A13427" t="s">
        <v>230</v>
      </c>
      <c r="B13427" t="s">
        <v>255</v>
      </c>
      <c r="C13427" s="26">
        <v>0.66420000000000001</v>
      </c>
      <c r="D13427" s="26">
        <v>0.1527</v>
      </c>
      <c r="E13427" s="26">
        <v>8.9399999999999993E-2</v>
      </c>
      <c r="F13427" s="26">
        <v>6.5799999999999997E-2</v>
      </c>
      <c r="G13427" s="26">
        <v>6.7000000000000002E-3</v>
      </c>
      <c r="H13427" s="26">
        <v>3.2300000000000002E-2</v>
      </c>
      <c r="I13427" s="26">
        <v>2.12E-2</v>
      </c>
      <c r="J13427" s="26">
        <v>2.6200000000000001E-2</v>
      </c>
      <c r="K13427" s="26">
        <v>8.3000000000000001E-3</v>
      </c>
      <c r="L13427" s="26">
        <v>8.6999999999999994E-3</v>
      </c>
      <c r="M13427" s="26">
        <v>8.3000000000000001E-3</v>
      </c>
      <c r="N13427" s="26">
        <v>4.0000000000000002E-4</v>
      </c>
      <c r="O13427" s="26">
        <v>8.3000000000000001E-3</v>
      </c>
      <c r="P13427">
        <v>378</v>
      </c>
    </row>
    <row r="13428" spans="1:16" x14ac:dyDescent="0.35">
      <c r="A13428" t="s">
        <v>230</v>
      </c>
      <c r="B13428" t="s">
        <v>257</v>
      </c>
      <c r="C13428" s="26">
        <v>0.76829999999999998</v>
      </c>
      <c r="D13428" s="26">
        <v>0.1028</v>
      </c>
      <c r="E13428" s="26">
        <v>0.1031</v>
      </c>
      <c r="F13428" s="26">
        <v>0.1028</v>
      </c>
      <c r="G13428" s="26">
        <v>1.2999999999999999E-2</v>
      </c>
      <c r="P13428">
        <v>37</v>
      </c>
    </row>
    <row r="13429" spans="1:16" x14ac:dyDescent="0.35">
      <c r="A13429" s="27" t="s">
        <v>230</v>
      </c>
      <c r="B13429" s="27" t="s">
        <v>258</v>
      </c>
      <c r="C13429" s="28">
        <v>0.95830000000000004</v>
      </c>
      <c r="D13429" s="29"/>
      <c r="E13429" s="29"/>
      <c r="F13429" s="29"/>
      <c r="G13429" s="29"/>
      <c r="H13429" s="29"/>
      <c r="I13429" s="29"/>
      <c r="J13429" s="29"/>
      <c r="K13429" s="28">
        <v>4.1700000000000001E-2</v>
      </c>
      <c r="L13429" s="29"/>
      <c r="M13429" s="29"/>
      <c r="N13429" s="29"/>
      <c r="O13429" s="29"/>
      <c r="P13429" s="29" t="s">
        <v>315</v>
      </c>
    </row>
    <row r="13430" spans="1:16" x14ac:dyDescent="0.35">
      <c r="A13430" s="27" t="s">
        <v>231</v>
      </c>
      <c r="B13430" s="27" t="s">
        <v>257</v>
      </c>
      <c r="C13430" s="28">
        <v>0.85709999999999997</v>
      </c>
      <c r="D13430" s="28">
        <v>0.1429</v>
      </c>
      <c r="E13430" s="29"/>
      <c r="F13430" s="29"/>
      <c r="G13430" s="29"/>
      <c r="H13430" s="29"/>
      <c r="I13430" s="29"/>
      <c r="J13430" s="29"/>
      <c r="K13430" s="29"/>
      <c r="L13430" s="29"/>
      <c r="M13430" s="29"/>
      <c r="N13430" s="29"/>
      <c r="O13430" s="29"/>
      <c r="P13430" s="29" t="s">
        <v>339</v>
      </c>
    </row>
    <row r="13431" spans="1:16" x14ac:dyDescent="0.35">
      <c r="A13431" t="s">
        <v>231</v>
      </c>
      <c r="B13431" t="s">
        <v>255</v>
      </c>
      <c r="C13431" s="26">
        <v>0.79690000000000005</v>
      </c>
      <c r="D13431" s="26">
        <v>0.1172</v>
      </c>
      <c r="E13431" s="26">
        <v>2.3400000000000001E-2</v>
      </c>
      <c r="F13431" s="26">
        <v>3.1199999999999999E-2</v>
      </c>
      <c r="G13431" s="26">
        <v>7.7999999999999996E-3</v>
      </c>
      <c r="H13431" s="26">
        <v>1.5599999999999999E-2</v>
      </c>
      <c r="I13431" s="26">
        <v>7.7999999999999996E-3</v>
      </c>
      <c r="K13431" s="26">
        <v>7.7999999999999996E-3</v>
      </c>
      <c r="P13431">
        <v>128</v>
      </c>
    </row>
    <row r="13432" spans="1:16" x14ac:dyDescent="0.35">
      <c r="A13432" s="27" t="s">
        <v>231</v>
      </c>
      <c r="B13432" s="27" t="s">
        <v>256</v>
      </c>
      <c r="C13432" s="28">
        <v>0.74070000000000003</v>
      </c>
      <c r="D13432" s="28">
        <v>0.1111</v>
      </c>
      <c r="E13432" s="28">
        <v>0.1111</v>
      </c>
      <c r="F13432" s="29"/>
      <c r="G13432" s="28">
        <v>3.6999999999999998E-2</v>
      </c>
      <c r="H13432" s="29"/>
      <c r="I13432" s="29"/>
      <c r="J13432" s="29"/>
      <c r="K13432" s="29"/>
      <c r="L13432" s="29"/>
      <c r="M13432" s="29"/>
      <c r="N13432" s="29"/>
      <c r="O13432" s="29"/>
      <c r="P13432" s="29" t="s">
        <v>338</v>
      </c>
    </row>
    <row r="13433" spans="1:16" x14ac:dyDescent="0.35">
      <c r="A13433" t="s">
        <v>232</v>
      </c>
      <c r="B13433" t="s">
        <v>232</v>
      </c>
      <c r="C13433" s="26">
        <v>0.71640000000000004</v>
      </c>
      <c r="D13433" s="26">
        <v>0.16869999999999999</v>
      </c>
      <c r="E13433" s="26">
        <v>4.9599999999999998E-2</v>
      </c>
      <c r="F13433" s="26">
        <v>3.0700000000000002E-2</v>
      </c>
      <c r="G13433" s="26">
        <v>2.1999999999999999E-2</v>
      </c>
      <c r="H13433" s="26">
        <v>1.72E-2</v>
      </c>
      <c r="I13433" s="26">
        <v>8.8999999999999999E-3</v>
      </c>
      <c r="J13433" s="26">
        <v>8.2000000000000007E-3</v>
      </c>
      <c r="K13433" s="26">
        <v>3.2000000000000002E-3</v>
      </c>
      <c r="L13433" s="26">
        <v>1.6999999999999999E-3</v>
      </c>
      <c r="M13433" s="26">
        <v>1.6999999999999999E-3</v>
      </c>
      <c r="N13433" s="26">
        <v>8.9999999999999998E-4</v>
      </c>
      <c r="O13433" s="26">
        <v>6.9999999999999999E-4</v>
      </c>
      <c r="P13433">
        <v>2741</v>
      </c>
    </row>
    <row r="13435" spans="1:16" x14ac:dyDescent="0.35">
      <c r="A13435" s="1" t="s">
        <v>1516</v>
      </c>
    </row>
    <row r="13436" spans="1:16" x14ac:dyDescent="0.35">
      <c r="A13436" t="s">
        <v>219</v>
      </c>
      <c r="B13436" t="s">
        <v>305</v>
      </c>
      <c r="C13436" t="s">
        <v>550</v>
      </c>
      <c r="D13436" t="s">
        <v>281</v>
      </c>
      <c r="E13436" t="s">
        <v>1403</v>
      </c>
      <c r="F13436" t="s">
        <v>1402</v>
      </c>
      <c r="G13436" t="s">
        <v>1401</v>
      </c>
      <c r="H13436" t="s">
        <v>1404</v>
      </c>
      <c r="I13436" t="s">
        <v>1503</v>
      </c>
      <c r="J13436" t="s">
        <v>1504</v>
      </c>
      <c r="K13436" t="s">
        <v>286</v>
      </c>
      <c r="L13436" t="s">
        <v>1406</v>
      </c>
      <c r="M13436" t="s">
        <v>326</v>
      </c>
      <c r="N13436" t="s">
        <v>1408</v>
      </c>
      <c r="O13436" t="s">
        <v>1407</v>
      </c>
      <c r="P13436" t="s">
        <v>226</v>
      </c>
    </row>
    <row r="13437" spans="1:16" x14ac:dyDescent="0.35">
      <c r="A13437" t="s">
        <v>227</v>
      </c>
      <c r="B13437" t="s">
        <v>1341</v>
      </c>
      <c r="C13437" s="26">
        <v>0.625</v>
      </c>
      <c r="D13437" s="26">
        <v>0.27079999999999999</v>
      </c>
      <c r="E13437" s="26">
        <v>6.25E-2</v>
      </c>
      <c r="F13437" s="26">
        <v>4.1700000000000001E-2</v>
      </c>
      <c r="I13437" s="26">
        <v>4.1700000000000001E-2</v>
      </c>
      <c r="P13437">
        <v>48</v>
      </c>
    </row>
    <row r="13438" spans="1:16" x14ac:dyDescent="0.35">
      <c r="A13438" s="27" t="s">
        <v>227</v>
      </c>
      <c r="B13438" s="27" t="s">
        <v>1342</v>
      </c>
      <c r="C13438" s="28">
        <v>1</v>
      </c>
      <c r="D13438" s="29"/>
      <c r="E13438" s="29"/>
      <c r="F13438" s="29"/>
      <c r="G13438" s="29"/>
      <c r="H13438" s="29"/>
      <c r="I13438" s="29"/>
      <c r="J13438" s="29"/>
      <c r="K13438" s="29"/>
      <c r="L13438" s="29"/>
      <c r="M13438" s="29"/>
      <c r="N13438" s="29"/>
      <c r="O13438" s="29"/>
      <c r="P13438" s="29" t="s">
        <v>331</v>
      </c>
    </row>
    <row r="13439" spans="1:16" x14ac:dyDescent="0.35">
      <c r="A13439" t="s">
        <v>227</v>
      </c>
      <c r="B13439" t="s">
        <v>1343</v>
      </c>
      <c r="C13439" s="26">
        <v>0.68469999999999998</v>
      </c>
      <c r="D13439" s="26">
        <v>0.18920000000000001</v>
      </c>
      <c r="E13439" s="26">
        <v>4.4999999999999998E-2</v>
      </c>
      <c r="F13439" s="26">
        <v>2.7E-2</v>
      </c>
      <c r="G13439" s="26">
        <v>2.7E-2</v>
      </c>
      <c r="H13439" s="26">
        <v>4.4999999999999998E-2</v>
      </c>
      <c r="I13439" s="26">
        <v>8.9999999999999993E-3</v>
      </c>
      <c r="M13439" s="26">
        <v>8.9999999999999993E-3</v>
      </c>
      <c r="P13439">
        <v>111</v>
      </c>
    </row>
    <row r="13440" spans="1:16" x14ac:dyDescent="0.35">
      <c r="A13440" t="s">
        <v>228</v>
      </c>
      <c r="B13440" t="s">
        <v>1341</v>
      </c>
      <c r="C13440" s="26">
        <v>0.64759999999999995</v>
      </c>
      <c r="D13440" s="26">
        <v>0.2311</v>
      </c>
      <c r="E13440" s="26">
        <v>2.92E-2</v>
      </c>
      <c r="F13440" s="26">
        <v>4.82E-2</v>
      </c>
      <c r="G13440" s="26">
        <v>2.64E-2</v>
      </c>
      <c r="H13440" s="26">
        <v>4.1099999999999998E-2</v>
      </c>
      <c r="J13440" s="26">
        <v>1.18E-2</v>
      </c>
      <c r="L13440" s="26">
        <v>1.9E-3</v>
      </c>
      <c r="N13440" s="26">
        <v>1.9E-3</v>
      </c>
      <c r="O13440" s="26">
        <v>1.9E-3</v>
      </c>
      <c r="P13440">
        <v>296</v>
      </c>
    </row>
    <row r="13441" spans="1:16" x14ac:dyDescent="0.35">
      <c r="A13441" s="27" t="s">
        <v>228</v>
      </c>
      <c r="B13441" s="27" t="s">
        <v>1342</v>
      </c>
      <c r="C13441" s="28">
        <v>1</v>
      </c>
      <c r="D13441" s="29"/>
      <c r="E13441" s="29"/>
      <c r="F13441" s="29"/>
      <c r="G13441" s="29"/>
      <c r="H13441" s="29"/>
      <c r="I13441" s="29"/>
      <c r="J13441" s="29"/>
      <c r="K13441" s="29"/>
      <c r="L13441" s="29"/>
      <c r="M13441" s="29"/>
      <c r="N13441" s="29"/>
      <c r="O13441" s="29"/>
      <c r="P13441" s="29" t="s">
        <v>331</v>
      </c>
    </row>
    <row r="13442" spans="1:16" x14ac:dyDescent="0.35">
      <c r="A13442" t="s">
        <v>228</v>
      </c>
      <c r="B13442" t="s">
        <v>1343</v>
      </c>
      <c r="C13442" s="26">
        <v>0.68889999999999996</v>
      </c>
      <c r="D13442" s="26">
        <v>0.19400000000000001</v>
      </c>
      <c r="E13442" s="26">
        <v>4.9599999999999998E-2</v>
      </c>
      <c r="F13442" s="26">
        <v>2.4199999999999999E-2</v>
      </c>
      <c r="G13442" s="26">
        <v>3.3399999999999999E-2</v>
      </c>
      <c r="H13442" s="26">
        <v>1.8499999999999999E-2</v>
      </c>
      <c r="I13442" s="26">
        <v>4.5999999999999999E-3</v>
      </c>
      <c r="J13442" s="26">
        <v>2.7699999999999999E-2</v>
      </c>
      <c r="K13442" s="26">
        <v>4.0000000000000002E-4</v>
      </c>
      <c r="L13442" s="26">
        <v>1.8E-3</v>
      </c>
      <c r="P13442">
        <v>711</v>
      </c>
    </row>
    <row r="13443" spans="1:16" x14ac:dyDescent="0.35">
      <c r="A13443" t="s">
        <v>229</v>
      </c>
      <c r="B13443" t="s">
        <v>1341</v>
      </c>
      <c r="C13443" s="26">
        <v>0.7349</v>
      </c>
      <c r="D13443" s="26">
        <v>0.16320000000000001</v>
      </c>
      <c r="E13443" s="26">
        <v>4.3900000000000002E-2</v>
      </c>
      <c r="F13443" s="26">
        <v>4.7300000000000002E-2</v>
      </c>
      <c r="G13443" s="26">
        <v>2.24E-2</v>
      </c>
      <c r="H13443" s="26">
        <v>3.2000000000000002E-3</v>
      </c>
      <c r="I13443" s="26">
        <v>1.1000000000000001E-3</v>
      </c>
      <c r="J13443" s="26">
        <v>1.1000000000000001E-3</v>
      </c>
      <c r="M13443" s="26">
        <v>2.0999999999999999E-3</v>
      </c>
      <c r="O13443" s="26">
        <v>5.0000000000000001E-4</v>
      </c>
      <c r="P13443">
        <v>262</v>
      </c>
    </row>
    <row r="13444" spans="1:16" x14ac:dyDescent="0.35">
      <c r="A13444" t="s">
        <v>229</v>
      </c>
      <c r="B13444" t="s">
        <v>1343</v>
      </c>
      <c r="C13444" s="26">
        <v>0.6784</v>
      </c>
      <c r="D13444" s="26">
        <v>0.189</v>
      </c>
      <c r="E13444" s="26">
        <v>6.6600000000000006E-2</v>
      </c>
      <c r="F13444" s="26">
        <v>0.02</v>
      </c>
      <c r="G13444" s="26">
        <v>3.5900000000000001E-2</v>
      </c>
      <c r="H13444" s="26">
        <v>6.3E-3</v>
      </c>
      <c r="I13444" s="26">
        <v>1.1299999999999999E-2</v>
      </c>
      <c r="J13444" s="26">
        <v>1.04E-2</v>
      </c>
      <c r="K13444" s="26">
        <v>4.5999999999999999E-3</v>
      </c>
      <c r="L13444" s="26">
        <v>4.1000000000000003E-3</v>
      </c>
      <c r="N13444" s="26">
        <v>3.8999999999999998E-3</v>
      </c>
      <c r="O13444" s="26">
        <v>2.9999999999999997E-4</v>
      </c>
      <c r="P13444">
        <v>605</v>
      </c>
    </row>
    <row r="13445" spans="1:16" x14ac:dyDescent="0.35">
      <c r="A13445" t="s">
        <v>230</v>
      </c>
      <c r="B13445" t="s">
        <v>1341</v>
      </c>
      <c r="C13445" s="26">
        <v>0.73140000000000005</v>
      </c>
      <c r="D13445" s="26">
        <v>0.14219999999999999</v>
      </c>
      <c r="E13445" s="26">
        <v>6.4699999999999994E-2</v>
      </c>
      <c r="F13445" s="26">
        <v>2.0899999999999998E-2</v>
      </c>
      <c r="G13445" s="26">
        <v>6.0000000000000001E-3</v>
      </c>
      <c r="H13445" s="26">
        <v>1.7999999999999999E-2</v>
      </c>
      <c r="I13445" s="26">
        <v>3.5900000000000001E-2</v>
      </c>
      <c r="J13445" s="26">
        <v>3.6799999999999999E-2</v>
      </c>
      <c r="K13445" s="26">
        <v>8.9999999999999998E-4</v>
      </c>
      <c r="L13445" s="26">
        <v>1.7999999999999999E-2</v>
      </c>
      <c r="M13445" s="26">
        <v>1.7999999999999999E-2</v>
      </c>
      <c r="O13445" s="26">
        <v>1.7999999999999999E-2</v>
      </c>
      <c r="P13445">
        <v>150</v>
      </c>
    </row>
    <row r="13446" spans="1:16" x14ac:dyDescent="0.35">
      <c r="A13446" t="s">
        <v>230</v>
      </c>
      <c r="B13446" t="s">
        <v>1343</v>
      </c>
      <c r="C13446" s="26">
        <v>0.70640000000000003</v>
      </c>
      <c r="D13446" s="26">
        <v>0.14080000000000001</v>
      </c>
      <c r="E13446" s="26">
        <v>7.22E-2</v>
      </c>
      <c r="F13446" s="26">
        <v>6.5500000000000003E-2</v>
      </c>
      <c r="G13446" s="26">
        <v>9.7999999999999997E-3</v>
      </c>
      <c r="H13446" s="26">
        <v>3.1899999999999998E-2</v>
      </c>
      <c r="I13446" s="26">
        <v>6.1000000000000004E-3</v>
      </c>
      <c r="J13446" s="26">
        <v>9.1000000000000004E-3</v>
      </c>
      <c r="K13446" s="26">
        <v>7.9000000000000008E-3</v>
      </c>
      <c r="L13446" s="26">
        <v>4.0000000000000002E-4</v>
      </c>
      <c r="N13446" s="26">
        <v>4.0000000000000002E-4</v>
      </c>
      <c r="P13446">
        <v>394</v>
      </c>
    </row>
    <row r="13447" spans="1:16" x14ac:dyDescent="0.35">
      <c r="A13447" t="s">
        <v>231</v>
      </c>
      <c r="B13447" t="s">
        <v>1341</v>
      </c>
      <c r="C13447" s="26">
        <v>0.8</v>
      </c>
      <c r="D13447" s="26">
        <v>0.1077</v>
      </c>
      <c r="E13447" s="26">
        <v>3.0800000000000001E-2</v>
      </c>
      <c r="G13447" s="26">
        <v>1.54E-2</v>
      </c>
      <c r="H13447" s="26">
        <v>1.54E-2</v>
      </c>
      <c r="I13447" s="26">
        <v>1.54E-2</v>
      </c>
      <c r="K13447" s="26">
        <v>1.54E-2</v>
      </c>
      <c r="P13447">
        <v>65</v>
      </c>
    </row>
    <row r="13448" spans="1:16" x14ac:dyDescent="0.35">
      <c r="A13448" t="s">
        <v>231</v>
      </c>
      <c r="B13448" t="s">
        <v>1343</v>
      </c>
      <c r="C13448" s="26">
        <v>0.78349999999999997</v>
      </c>
      <c r="D13448" s="26">
        <v>0.1237</v>
      </c>
      <c r="E13448" s="26">
        <v>4.1200000000000001E-2</v>
      </c>
      <c r="F13448" s="26">
        <v>4.1200000000000001E-2</v>
      </c>
      <c r="G13448" s="26">
        <v>1.03E-2</v>
      </c>
      <c r="H13448" s="26">
        <v>1.03E-2</v>
      </c>
      <c r="P13448">
        <v>97</v>
      </c>
    </row>
    <row r="13449" spans="1:16" x14ac:dyDescent="0.35">
      <c r="A13449" t="s">
        <v>232</v>
      </c>
      <c r="B13449" t="s">
        <v>232</v>
      </c>
      <c r="C13449" s="26">
        <v>0.71640000000000004</v>
      </c>
      <c r="D13449" s="26">
        <v>0.16869999999999999</v>
      </c>
      <c r="E13449" s="26">
        <v>4.9599999999999998E-2</v>
      </c>
      <c r="F13449" s="26">
        <v>3.0700000000000002E-2</v>
      </c>
      <c r="G13449" s="26">
        <v>2.1999999999999999E-2</v>
      </c>
      <c r="H13449" s="26">
        <v>1.72E-2</v>
      </c>
      <c r="I13449" s="26">
        <v>8.8999999999999999E-3</v>
      </c>
      <c r="J13449" s="26">
        <v>8.2000000000000007E-3</v>
      </c>
      <c r="K13449" s="26">
        <v>3.2000000000000002E-3</v>
      </c>
      <c r="L13449" s="26">
        <v>1.6999999999999999E-3</v>
      </c>
      <c r="M13449" s="26">
        <v>1.6999999999999999E-3</v>
      </c>
      <c r="N13449" s="26">
        <v>8.9999999999999998E-4</v>
      </c>
      <c r="O13449" s="26">
        <v>6.9999999999999999E-4</v>
      </c>
      <c r="P13449">
        <v>2741</v>
      </c>
    </row>
    <row r="13451" spans="1:16" x14ac:dyDescent="0.35">
      <c r="A13451" s="1" t="s">
        <v>1517</v>
      </c>
    </row>
    <row r="13452" spans="1:16" x14ac:dyDescent="0.35">
      <c r="A13452" t="s">
        <v>219</v>
      </c>
      <c r="B13452" t="s">
        <v>305</v>
      </c>
      <c r="C13452" t="s">
        <v>550</v>
      </c>
      <c r="D13452" t="s">
        <v>281</v>
      </c>
      <c r="E13452" t="s">
        <v>1403</v>
      </c>
      <c r="F13452" t="s">
        <v>1402</v>
      </c>
      <c r="G13452" t="s">
        <v>1401</v>
      </c>
      <c r="H13452" t="s">
        <v>1404</v>
      </c>
      <c r="I13452" t="s">
        <v>1503</v>
      </c>
      <c r="J13452" t="s">
        <v>1504</v>
      </c>
      <c r="K13452" t="s">
        <v>286</v>
      </c>
      <c r="L13452" t="s">
        <v>1406</v>
      </c>
      <c r="M13452" t="s">
        <v>326</v>
      </c>
      <c r="N13452" t="s">
        <v>1408</v>
      </c>
      <c r="O13452" t="s">
        <v>1407</v>
      </c>
      <c r="P13452" t="s">
        <v>226</v>
      </c>
    </row>
    <row r="13453" spans="1:16" x14ac:dyDescent="0.35">
      <c r="A13453" s="27" t="s">
        <v>227</v>
      </c>
      <c r="B13453" s="27" t="s">
        <v>1345</v>
      </c>
      <c r="C13453" s="28">
        <v>1</v>
      </c>
      <c r="D13453" s="29"/>
      <c r="E13453" s="29"/>
      <c r="F13453" s="29"/>
      <c r="G13453" s="29"/>
      <c r="H13453" s="29"/>
      <c r="I13453" s="29"/>
      <c r="J13453" s="29"/>
      <c r="K13453" s="29"/>
      <c r="L13453" s="29"/>
      <c r="M13453" s="29"/>
      <c r="N13453" s="29"/>
      <c r="O13453" s="29"/>
      <c r="P13453" s="29" t="s">
        <v>314</v>
      </c>
    </row>
    <row r="13454" spans="1:16" x14ac:dyDescent="0.35">
      <c r="A13454" t="s">
        <v>227</v>
      </c>
      <c r="B13454" t="s">
        <v>1346</v>
      </c>
      <c r="C13454" s="26">
        <v>0.68420000000000003</v>
      </c>
      <c r="D13454" s="26">
        <v>0.28949999999999998</v>
      </c>
      <c r="I13454" s="26">
        <v>2.63E-2</v>
      </c>
      <c r="P13454">
        <v>38</v>
      </c>
    </row>
    <row r="13455" spans="1:16" x14ac:dyDescent="0.35">
      <c r="A13455" t="s">
        <v>227</v>
      </c>
      <c r="B13455" t="s">
        <v>1347</v>
      </c>
      <c r="C13455" s="26">
        <v>0.58330000000000004</v>
      </c>
      <c r="D13455" s="26">
        <v>0.1389</v>
      </c>
      <c r="E13455" s="26">
        <v>0.1111</v>
      </c>
      <c r="F13455" s="26">
        <v>0.1111</v>
      </c>
      <c r="G13455" s="26">
        <v>5.5599999999999997E-2</v>
      </c>
      <c r="H13455" s="26">
        <v>5.5599999999999997E-2</v>
      </c>
      <c r="I13455" s="26">
        <v>5.5599999999999997E-2</v>
      </c>
      <c r="P13455">
        <v>36</v>
      </c>
    </row>
    <row r="13456" spans="1:16" x14ac:dyDescent="0.35">
      <c r="A13456" t="s">
        <v>227</v>
      </c>
      <c r="B13456" t="s">
        <v>1348</v>
      </c>
      <c r="C13456" s="26">
        <v>0.6905</v>
      </c>
      <c r="D13456" s="26">
        <v>0.21429999999999999</v>
      </c>
      <c r="E13456" s="26">
        <v>4.7600000000000003E-2</v>
      </c>
      <c r="F13456" s="26">
        <v>1.1900000000000001E-2</v>
      </c>
      <c r="G13456" s="26">
        <v>1.1900000000000001E-2</v>
      </c>
      <c r="H13456" s="26">
        <v>3.5700000000000003E-2</v>
      </c>
      <c r="M13456" s="26">
        <v>1.1900000000000001E-2</v>
      </c>
      <c r="P13456">
        <v>84</v>
      </c>
    </row>
    <row r="13457" spans="1:16" x14ac:dyDescent="0.35">
      <c r="A13457" t="s">
        <v>228</v>
      </c>
      <c r="B13457" t="s">
        <v>1348</v>
      </c>
      <c r="C13457" s="26">
        <v>0.67589999999999995</v>
      </c>
      <c r="D13457" s="26">
        <v>0.19159999999999999</v>
      </c>
      <c r="E13457" s="26">
        <v>5.5599999999999997E-2</v>
      </c>
      <c r="F13457" s="26">
        <v>3.8899999999999997E-2</v>
      </c>
      <c r="G13457" s="26">
        <v>3.7199999999999997E-2</v>
      </c>
      <c r="H13457" s="26">
        <v>0.03</v>
      </c>
      <c r="I13457" s="26">
        <v>5.1999999999999998E-3</v>
      </c>
      <c r="J13457" s="26">
        <v>1.4999999999999999E-2</v>
      </c>
      <c r="L13457" s="26">
        <v>1.1000000000000001E-3</v>
      </c>
      <c r="N13457" s="26">
        <v>1.1000000000000001E-3</v>
      </c>
      <c r="O13457" s="26">
        <v>1.1000000000000001E-3</v>
      </c>
      <c r="P13457">
        <v>517</v>
      </c>
    </row>
    <row r="13458" spans="1:16" x14ac:dyDescent="0.35">
      <c r="A13458" t="s">
        <v>228</v>
      </c>
      <c r="B13458" t="s">
        <v>1347</v>
      </c>
      <c r="C13458" s="26">
        <v>0.64859999999999995</v>
      </c>
      <c r="D13458" s="26">
        <v>0.1777</v>
      </c>
      <c r="E13458" s="26">
        <v>4.41E-2</v>
      </c>
      <c r="F13458" s="26">
        <v>5.1200000000000002E-2</v>
      </c>
      <c r="G13458" s="26">
        <v>4.8000000000000001E-2</v>
      </c>
      <c r="H13458" s="26">
        <v>3.9300000000000002E-2</v>
      </c>
      <c r="I13458" s="26">
        <v>2.2000000000000001E-3</v>
      </c>
      <c r="J13458" s="26">
        <v>5.3499999999999999E-2</v>
      </c>
      <c r="P13458">
        <v>202</v>
      </c>
    </row>
    <row r="13459" spans="1:16" x14ac:dyDescent="0.35">
      <c r="A13459" t="s">
        <v>228</v>
      </c>
      <c r="B13459" t="s">
        <v>1346</v>
      </c>
      <c r="C13459" s="26">
        <v>0.71530000000000005</v>
      </c>
      <c r="D13459" s="26">
        <v>0.24909999999999999</v>
      </c>
      <c r="E13459" s="26">
        <v>2.1399999999999999E-2</v>
      </c>
      <c r="F13459" s="26">
        <v>1E-3</v>
      </c>
      <c r="G13459" s="26">
        <v>7.1999999999999998E-3</v>
      </c>
      <c r="J13459" s="26">
        <v>5.0000000000000001E-3</v>
      </c>
      <c r="K13459" s="26">
        <v>1E-3</v>
      </c>
      <c r="L13459" s="26">
        <v>4.7999999999999996E-3</v>
      </c>
      <c r="P13459">
        <v>279</v>
      </c>
    </row>
    <row r="13460" spans="1:16" x14ac:dyDescent="0.35">
      <c r="A13460" s="27" t="s">
        <v>228</v>
      </c>
      <c r="B13460" s="27" t="s">
        <v>1345</v>
      </c>
      <c r="C13460" s="28">
        <v>0.53649999999999998</v>
      </c>
      <c r="D13460" s="28">
        <v>0.22159999999999999</v>
      </c>
      <c r="E13460" s="29"/>
      <c r="F13460" s="28">
        <v>2.0400000000000001E-2</v>
      </c>
      <c r="G13460" s="28">
        <v>2.0400000000000001E-2</v>
      </c>
      <c r="H13460" s="28">
        <v>7.8100000000000003E-2</v>
      </c>
      <c r="I13460" s="29"/>
      <c r="J13460" s="28">
        <v>0.16389999999999999</v>
      </c>
      <c r="K13460" s="29"/>
      <c r="L13460" s="29"/>
      <c r="M13460" s="29"/>
      <c r="N13460" s="29"/>
      <c r="O13460" s="29"/>
      <c r="P13460" s="29" t="s">
        <v>307</v>
      </c>
    </row>
    <row r="13461" spans="1:16" x14ac:dyDescent="0.35">
      <c r="A13461" s="27" t="s">
        <v>229</v>
      </c>
      <c r="B13461" s="27" t="s">
        <v>1345</v>
      </c>
      <c r="C13461" s="28">
        <v>0.82650000000000001</v>
      </c>
      <c r="D13461" s="28">
        <v>0.12970000000000001</v>
      </c>
      <c r="E13461" s="28">
        <v>3.6999999999999998E-2</v>
      </c>
      <c r="F13461" s="28">
        <v>6.7000000000000002E-3</v>
      </c>
      <c r="G13461" s="28">
        <v>6.7000000000000002E-3</v>
      </c>
      <c r="H13461" s="28">
        <v>1.34E-2</v>
      </c>
      <c r="I13461" s="29"/>
      <c r="J13461" s="29"/>
      <c r="K13461" s="29"/>
      <c r="L13461" s="29"/>
      <c r="M13461" s="29"/>
      <c r="N13461" s="29"/>
      <c r="O13461" s="29"/>
      <c r="P13461" s="29" t="s">
        <v>312</v>
      </c>
    </row>
    <row r="13462" spans="1:16" x14ac:dyDescent="0.35">
      <c r="A13462" t="s">
        <v>229</v>
      </c>
      <c r="B13462" t="s">
        <v>1346</v>
      </c>
      <c r="C13462" s="26">
        <v>0.75180000000000002</v>
      </c>
      <c r="D13462" s="26">
        <v>0.19650000000000001</v>
      </c>
      <c r="E13462" s="26">
        <v>4.5999999999999999E-3</v>
      </c>
      <c r="F13462" s="26">
        <v>1.2999999999999999E-3</v>
      </c>
      <c r="G13462" s="26">
        <v>1.8100000000000002E-2</v>
      </c>
      <c r="H13462" s="26">
        <v>8.0000000000000004E-4</v>
      </c>
      <c r="I13462" s="26">
        <v>1.6299999999999999E-2</v>
      </c>
      <c r="K13462" s="26">
        <v>1.23E-2</v>
      </c>
      <c r="O13462" s="26">
        <v>8.0000000000000004E-4</v>
      </c>
      <c r="P13462">
        <v>180</v>
      </c>
    </row>
    <row r="13463" spans="1:16" x14ac:dyDescent="0.35">
      <c r="A13463" t="s">
        <v>229</v>
      </c>
      <c r="B13463" t="s">
        <v>1347</v>
      </c>
      <c r="C13463" s="26">
        <v>0.627</v>
      </c>
      <c r="D13463" s="26">
        <v>0.17430000000000001</v>
      </c>
      <c r="E13463" s="26">
        <v>8.7800000000000003E-2</v>
      </c>
      <c r="F13463" s="26">
        <v>4.48E-2</v>
      </c>
      <c r="G13463" s="26">
        <v>6.0400000000000002E-2</v>
      </c>
      <c r="H13463" s="26">
        <v>1.5599999999999999E-2</v>
      </c>
      <c r="I13463" s="26">
        <v>3.5000000000000001E-3</v>
      </c>
      <c r="J13463" s="26">
        <v>1.26E-2</v>
      </c>
      <c r="K13463" s="26">
        <v>5.9999999999999995E-4</v>
      </c>
      <c r="L13463" s="26">
        <v>9.4000000000000004E-3</v>
      </c>
      <c r="M13463" s="26">
        <v>2.3E-3</v>
      </c>
      <c r="N13463" s="26">
        <v>8.8000000000000005E-3</v>
      </c>
      <c r="P13463">
        <v>293</v>
      </c>
    </row>
    <row r="13464" spans="1:16" x14ac:dyDescent="0.35">
      <c r="A13464" t="s">
        <v>229</v>
      </c>
      <c r="B13464" t="s">
        <v>1348</v>
      </c>
      <c r="C13464" s="26">
        <v>0.70889999999999997</v>
      </c>
      <c r="D13464" s="26">
        <v>0.18010000000000001</v>
      </c>
      <c r="E13464" s="26">
        <v>6.7199999999999996E-2</v>
      </c>
      <c r="F13464" s="26">
        <v>3.2599999999999997E-2</v>
      </c>
      <c r="G13464" s="26">
        <v>2.06E-2</v>
      </c>
      <c r="H13464" s="26">
        <v>4.0000000000000002E-4</v>
      </c>
      <c r="I13464" s="26">
        <v>7.4999999999999997E-3</v>
      </c>
      <c r="J13464" s="26">
        <v>7.9000000000000008E-3</v>
      </c>
      <c r="K13464" s="26">
        <v>6.9999999999999999E-4</v>
      </c>
      <c r="O13464" s="26">
        <v>4.0000000000000002E-4</v>
      </c>
      <c r="P13464">
        <v>369</v>
      </c>
    </row>
    <row r="13465" spans="1:16" x14ac:dyDescent="0.35">
      <c r="A13465" t="s">
        <v>230</v>
      </c>
      <c r="B13465" t="s">
        <v>1346</v>
      </c>
      <c r="C13465" s="26">
        <v>0.7823</v>
      </c>
      <c r="D13465" s="26">
        <v>0.14349999999999999</v>
      </c>
      <c r="E13465" s="26">
        <v>1.2699999999999999E-2</v>
      </c>
      <c r="F13465" s="26">
        <v>9.2999999999999992E-3</v>
      </c>
      <c r="G13465" s="26">
        <v>2.5999999999999999E-3</v>
      </c>
      <c r="H13465" s="26">
        <v>2.5399999999999999E-2</v>
      </c>
      <c r="I13465" s="26">
        <v>4.3E-3</v>
      </c>
      <c r="J13465" s="26">
        <v>1.2999999999999999E-3</v>
      </c>
      <c r="K13465" s="26">
        <v>2.5399999999999999E-2</v>
      </c>
      <c r="L13465" s="26">
        <v>1.2999999999999999E-3</v>
      </c>
      <c r="N13465" s="26">
        <v>1.2999999999999999E-3</v>
      </c>
      <c r="P13465">
        <v>137</v>
      </c>
    </row>
    <row r="13466" spans="1:16" x14ac:dyDescent="0.35">
      <c r="A13466" t="s">
        <v>230</v>
      </c>
      <c r="B13466" t="s">
        <v>1348</v>
      </c>
      <c r="C13466" s="26">
        <v>0.71060000000000001</v>
      </c>
      <c r="D13466" s="26">
        <v>0.1391</v>
      </c>
      <c r="E13466" s="26">
        <v>6.9900000000000004E-2</v>
      </c>
      <c r="F13466" s="26">
        <v>6.3100000000000003E-2</v>
      </c>
      <c r="G13466" s="26">
        <v>9.9000000000000008E-3</v>
      </c>
      <c r="H13466" s="26">
        <v>2.8899999999999999E-2</v>
      </c>
      <c r="I13466" s="26">
        <v>2.7699999999999999E-2</v>
      </c>
      <c r="J13466" s="26">
        <v>2.4400000000000002E-2</v>
      </c>
      <c r="K13466" s="26">
        <v>5.9999999999999995E-4</v>
      </c>
      <c r="L13466" s="26">
        <v>1.14E-2</v>
      </c>
      <c r="O13466" s="26">
        <v>1.14E-2</v>
      </c>
      <c r="P13466">
        <v>250</v>
      </c>
    </row>
    <row r="13467" spans="1:16" x14ac:dyDescent="0.35">
      <c r="A13467" t="s">
        <v>230</v>
      </c>
      <c r="B13467" t="s">
        <v>1347</v>
      </c>
      <c r="C13467" s="26">
        <v>0.6956</v>
      </c>
      <c r="D13467" s="26">
        <v>0.15</v>
      </c>
      <c r="E13467" s="26">
        <v>9.2999999999999999E-2</v>
      </c>
      <c r="F13467" s="26">
        <v>6.59E-2</v>
      </c>
      <c r="G13467" s="26">
        <v>1.1599999999999999E-2</v>
      </c>
      <c r="H13467" s="26">
        <v>6.6E-3</v>
      </c>
      <c r="I13467" s="26">
        <v>3.2000000000000002E-3</v>
      </c>
      <c r="J13467" s="26">
        <v>1.95E-2</v>
      </c>
      <c r="M13467" s="26">
        <v>1.95E-2</v>
      </c>
      <c r="P13467">
        <v>149</v>
      </c>
    </row>
    <row r="13468" spans="1:16" x14ac:dyDescent="0.35">
      <c r="A13468" s="27" t="s">
        <v>230</v>
      </c>
      <c r="B13468" s="27" t="s">
        <v>1345</v>
      </c>
      <c r="C13468" s="28">
        <v>0.32800000000000001</v>
      </c>
      <c r="D13468" s="28">
        <v>4.4299999999999999E-2</v>
      </c>
      <c r="E13468" s="28">
        <v>0.35870000000000002</v>
      </c>
      <c r="F13468" s="28">
        <v>4.4299999999999999E-2</v>
      </c>
      <c r="G13468" s="29"/>
      <c r="H13468" s="28">
        <v>0.31330000000000002</v>
      </c>
      <c r="I13468" s="29"/>
      <c r="J13468" s="29"/>
      <c r="K13468" s="29"/>
      <c r="L13468" s="29"/>
      <c r="M13468" s="29"/>
      <c r="N13468" s="29"/>
      <c r="O13468" s="29"/>
      <c r="P13468" s="29" t="s">
        <v>333</v>
      </c>
    </row>
    <row r="13469" spans="1:16" x14ac:dyDescent="0.35">
      <c r="A13469" s="27" t="s">
        <v>231</v>
      </c>
      <c r="B13469" s="27" t="s">
        <v>1345</v>
      </c>
      <c r="C13469" s="28">
        <v>0.5</v>
      </c>
      <c r="D13469" s="29"/>
      <c r="E13469" s="29"/>
      <c r="F13469" s="28">
        <v>0.25</v>
      </c>
      <c r="G13469" s="29"/>
      <c r="H13469" s="28">
        <v>0.25</v>
      </c>
      <c r="I13469" s="29"/>
      <c r="J13469" s="29"/>
      <c r="K13469" s="29"/>
      <c r="L13469" s="29"/>
      <c r="M13469" s="29"/>
      <c r="N13469" s="29"/>
      <c r="O13469" s="29"/>
      <c r="P13469" s="29" t="s">
        <v>337</v>
      </c>
    </row>
    <row r="13470" spans="1:16" x14ac:dyDescent="0.35">
      <c r="A13470" t="s">
        <v>231</v>
      </c>
      <c r="B13470" t="s">
        <v>1346</v>
      </c>
      <c r="C13470" s="26">
        <v>0.84619999999999995</v>
      </c>
      <c r="D13470" s="26">
        <v>0.12820000000000001</v>
      </c>
      <c r="K13470" s="26">
        <v>2.5600000000000001E-2</v>
      </c>
      <c r="P13470">
        <v>39</v>
      </c>
    </row>
    <row r="13471" spans="1:16" x14ac:dyDescent="0.35">
      <c r="A13471" t="s">
        <v>231</v>
      </c>
      <c r="B13471" t="s">
        <v>1347</v>
      </c>
      <c r="C13471" s="26">
        <v>0.78790000000000004</v>
      </c>
      <c r="D13471" s="26">
        <v>9.0899999999999995E-2</v>
      </c>
      <c r="E13471" s="26">
        <v>6.0600000000000001E-2</v>
      </c>
      <c r="F13471" s="26">
        <v>3.0300000000000001E-2</v>
      </c>
      <c r="G13471" s="26">
        <v>3.0300000000000001E-2</v>
      </c>
      <c r="P13471">
        <v>33</v>
      </c>
    </row>
    <row r="13472" spans="1:16" x14ac:dyDescent="0.35">
      <c r="A13472" t="s">
        <v>231</v>
      </c>
      <c r="B13472" t="s">
        <v>1348</v>
      </c>
      <c r="C13472" s="26">
        <v>0.77910000000000001</v>
      </c>
      <c r="D13472" s="26">
        <v>0.12790000000000001</v>
      </c>
      <c r="E13472" s="26">
        <v>4.65E-2</v>
      </c>
      <c r="F13472" s="26">
        <v>2.3300000000000001E-2</v>
      </c>
      <c r="G13472" s="26">
        <v>1.1599999999999999E-2</v>
      </c>
      <c r="H13472" s="26">
        <v>1.1599999999999999E-2</v>
      </c>
      <c r="I13472" s="26">
        <v>1.1599999999999999E-2</v>
      </c>
      <c r="P13472">
        <v>86</v>
      </c>
    </row>
    <row r="13473" spans="1:17" x14ac:dyDescent="0.35">
      <c r="A13473" t="s">
        <v>232</v>
      </c>
      <c r="B13473" t="s">
        <v>232</v>
      </c>
      <c r="C13473" s="26">
        <v>0.71640000000000004</v>
      </c>
      <c r="D13473" s="26">
        <v>0.16869999999999999</v>
      </c>
      <c r="E13473" s="26">
        <v>4.9599999999999998E-2</v>
      </c>
      <c r="F13473" s="26">
        <v>3.0700000000000002E-2</v>
      </c>
      <c r="G13473" s="26">
        <v>2.1999999999999999E-2</v>
      </c>
      <c r="H13473" s="26">
        <v>1.72E-2</v>
      </c>
      <c r="I13473" s="26">
        <v>8.8999999999999999E-3</v>
      </c>
      <c r="J13473" s="26">
        <v>8.2000000000000007E-3</v>
      </c>
      <c r="K13473" s="26">
        <v>3.2000000000000002E-3</v>
      </c>
      <c r="L13473" s="26">
        <v>1.6999999999999999E-3</v>
      </c>
      <c r="M13473" s="26">
        <v>1.6999999999999999E-3</v>
      </c>
      <c r="N13473" s="26">
        <v>8.9999999999999998E-4</v>
      </c>
      <c r="O13473" s="26">
        <v>6.9999999999999999E-4</v>
      </c>
      <c r="P13473">
        <v>2741</v>
      </c>
    </row>
    <row r="13475" spans="1:17" x14ac:dyDescent="0.35">
      <c r="A13475" s="1" t="s">
        <v>1518</v>
      </c>
    </row>
    <row r="13476" spans="1:17" x14ac:dyDescent="0.35">
      <c r="A13476" t="s">
        <v>219</v>
      </c>
      <c r="B13476" t="s">
        <v>305</v>
      </c>
      <c r="C13476" t="s">
        <v>345</v>
      </c>
      <c r="D13476" t="s">
        <v>550</v>
      </c>
      <c r="E13476" t="s">
        <v>281</v>
      </c>
      <c r="F13476" t="s">
        <v>1403</v>
      </c>
      <c r="G13476" t="s">
        <v>1402</v>
      </c>
      <c r="H13476" t="s">
        <v>1401</v>
      </c>
      <c r="I13476" t="s">
        <v>1404</v>
      </c>
      <c r="J13476" t="s">
        <v>1503</v>
      </c>
      <c r="K13476" t="s">
        <v>1504</v>
      </c>
      <c r="L13476" t="s">
        <v>286</v>
      </c>
      <c r="M13476" t="s">
        <v>1406</v>
      </c>
      <c r="N13476" t="s">
        <v>326</v>
      </c>
      <c r="O13476" t="s">
        <v>1408</v>
      </c>
      <c r="P13476" t="s">
        <v>1407</v>
      </c>
      <c r="Q13476" t="s">
        <v>226</v>
      </c>
    </row>
    <row r="13477" spans="1:17" x14ac:dyDescent="0.35">
      <c r="A13477" s="27" t="s">
        <v>227</v>
      </c>
      <c r="B13477" s="27" t="s">
        <v>1341</v>
      </c>
      <c r="C13477" s="27" t="s">
        <v>1345</v>
      </c>
      <c r="D13477" s="28">
        <v>1</v>
      </c>
      <c r="E13477" s="29"/>
      <c r="F13477" s="29"/>
      <c r="G13477" s="29"/>
      <c r="H13477" s="29"/>
      <c r="I13477" s="29"/>
      <c r="J13477" s="29"/>
      <c r="K13477" s="29"/>
      <c r="L13477" s="29"/>
      <c r="M13477" s="29"/>
      <c r="N13477" s="29"/>
      <c r="O13477" s="29"/>
      <c r="P13477" s="29"/>
      <c r="Q13477" s="29" t="s">
        <v>331</v>
      </c>
    </row>
    <row r="13478" spans="1:17" x14ac:dyDescent="0.35">
      <c r="A13478" s="27" t="s">
        <v>227</v>
      </c>
      <c r="B13478" s="27" t="s">
        <v>1343</v>
      </c>
      <c r="C13478" s="27" t="s">
        <v>1346</v>
      </c>
      <c r="D13478" s="28">
        <v>0.80769999999999997</v>
      </c>
      <c r="E13478" s="28">
        <v>0.1923</v>
      </c>
      <c r="F13478" s="29"/>
      <c r="G13478" s="29"/>
      <c r="H13478" s="29"/>
      <c r="I13478" s="29"/>
      <c r="J13478" s="29"/>
      <c r="K13478" s="29"/>
      <c r="L13478" s="29"/>
      <c r="M13478" s="29"/>
      <c r="N13478" s="29"/>
      <c r="O13478" s="29"/>
      <c r="P13478" s="29"/>
      <c r="Q13478" s="29" t="s">
        <v>357</v>
      </c>
    </row>
    <row r="13479" spans="1:17" x14ac:dyDescent="0.35">
      <c r="A13479" t="s">
        <v>227</v>
      </c>
      <c r="B13479" t="s">
        <v>1343</v>
      </c>
      <c r="C13479" t="s">
        <v>1348</v>
      </c>
      <c r="D13479" s="26">
        <v>0.67210000000000003</v>
      </c>
      <c r="E13479" s="26">
        <v>0.21310000000000001</v>
      </c>
      <c r="F13479" s="26">
        <v>4.9200000000000001E-2</v>
      </c>
      <c r="G13479" s="26">
        <v>1.6400000000000001E-2</v>
      </c>
      <c r="H13479" s="26">
        <v>1.6400000000000001E-2</v>
      </c>
      <c r="I13479" s="26">
        <v>4.9200000000000001E-2</v>
      </c>
      <c r="N13479" s="26">
        <v>1.6400000000000001E-2</v>
      </c>
      <c r="Q13479">
        <v>61</v>
      </c>
    </row>
    <row r="13480" spans="1:17" x14ac:dyDescent="0.35">
      <c r="A13480" s="27" t="s">
        <v>227</v>
      </c>
      <c r="B13480" s="27" t="s">
        <v>1341</v>
      </c>
      <c r="C13480" s="27" t="s">
        <v>1347</v>
      </c>
      <c r="D13480" s="28">
        <v>0.61539999999999995</v>
      </c>
      <c r="E13480" s="28">
        <v>0.15379999999999999</v>
      </c>
      <c r="F13480" s="28">
        <v>0.15379999999999999</v>
      </c>
      <c r="G13480" s="28">
        <v>0.15379999999999999</v>
      </c>
      <c r="H13480" s="29"/>
      <c r="I13480" s="29"/>
      <c r="J13480" s="28">
        <v>7.6899999999999996E-2</v>
      </c>
      <c r="K13480" s="29"/>
      <c r="L13480" s="29"/>
      <c r="M13480" s="29"/>
      <c r="N13480" s="29"/>
      <c r="O13480" s="29"/>
      <c r="P13480" s="29"/>
      <c r="Q13480" s="29" t="s">
        <v>341</v>
      </c>
    </row>
    <row r="13481" spans="1:17" x14ac:dyDescent="0.35">
      <c r="A13481" s="27" t="s">
        <v>227</v>
      </c>
      <c r="B13481" s="27" t="s">
        <v>1343</v>
      </c>
      <c r="C13481" s="27" t="s">
        <v>1347</v>
      </c>
      <c r="D13481" s="28">
        <v>0.56520000000000004</v>
      </c>
      <c r="E13481" s="28">
        <v>0.13039999999999999</v>
      </c>
      <c r="F13481" s="28">
        <v>8.6999999999999994E-2</v>
      </c>
      <c r="G13481" s="28">
        <v>8.6999999999999994E-2</v>
      </c>
      <c r="H13481" s="28">
        <v>8.6999999999999994E-2</v>
      </c>
      <c r="I13481" s="28">
        <v>8.6999999999999994E-2</v>
      </c>
      <c r="J13481" s="28">
        <v>4.3499999999999997E-2</v>
      </c>
      <c r="K13481" s="29"/>
      <c r="L13481" s="29"/>
      <c r="M13481" s="29"/>
      <c r="N13481" s="29"/>
      <c r="O13481" s="29"/>
      <c r="P13481" s="29"/>
      <c r="Q13481" s="29" t="s">
        <v>328</v>
      </c>
    </row>
    <row r="13482" spans="1:17" x14ac:dyDescent="0.35">
      <c r="A13482" s="27" t="s">
        <v>227</v>
      </c>
      <c r="B13482" s="27" t="s">
        <v>1343</v>
      </c>
      <c r="C13482" s="27" t="s">
        <v>1345</v>
      </c>
      <c r="D13482" s="28">
        <v>1</v>
      </c>
      <c r="E13482" s="29"/>
      <c r="F13482" s="29"/>
      <c r="G13482" s="29"/>
      <c r="H13482" s="29"/>
      <c r="I13482" s="29"/>
      <c r="J13482" s="29"/>
      <c r="K13482" s="29"/>
      <c r="L13482" s="29"/>
      <c r="M13482" s="29"/>
      <c r="N13482" s="29"/>
      <c r="O13482" s="29"/>
      <c r="P13482" s="29"/>
      <c r="Q13482" s="29" t="s">
        <v>331</v>
      </c>
    </row>
    <row r="13483" spans="1:17" x14ac:dyDescent="0.35">
      <c r="A13483" s="27" t="s">
        <v>227</v>
      </c>
      <c r="B13483" s="27" t="s">
        <v>1342</v>
      </c>
      <c r="C13483" s="27" t="s">
        <v>1348</v>
      </c>
      <c r="D13483" s="28">
        <v>1</v>
      </c>
      <c r="E13483" s="29"/>
      <c r="F13483" s="29"/>
      <c r="G13483" s="29"/>
      <c r="H13483" s="29"/>
      <c r="I13483" s="29"/>
      <c r="J13483" s="29"/>
      <c r="K13483" s="29"/>
      <c r="L13483" s="29"/>
      <c r="M13483" s="29"/>
      <c r="N13483" s="29"/>
      <c r="O13483" s="29"/>
      <c r="P13483" s="29"/>
      <c r="Q13483" s="29" t="s">
        <v>331</v>
      </c>
    </row>
    <row r="13484" spans="1:17" x14ac:dyDescent="0.35">
      <c r="A13484" s="27" t="s">
        <v>227</v>
      </c>
      <c r="B13484" s="27" t="s">
        <v>1341</v>
      </c>
      <c r="C13484" s="27" t="s">
        <v>1348</v>
      </c>
      <c r="D13484" s="28">
        <v>0.72729999999999995</v>
      </c>
      <c r="E13484" s="28">
        <v>0.2273</v>
      </c>
      <c r="F13484" s="28">
        <v>4.5499999999999999E-2</v>
      </c>
      <c r="G13484" s="29"/>
      <c r="H13484" s="29"/>
      <c r="I13484" s="29"/>
      <c r="J13484" s="29"/>
      <c r="K13484" s="29"/>
      <c r="L13484" s="29"/>
      <c r="M13484" s="29"/>
      <c r="N13484" s="29"/>
      <c r="O13484" s="29"/>
      <c r="P13484" s="29"/>
      <c r="Q13484" s="29" t="s">
        <v>347</v>
      </c>
    </row>
    <row r="13485" spans="1:17" x14ac:dyDescent="0.35">
      <c r="A13485" s="27" t="s">
        <v>227</v>
      </c>
      <c r="B13485" s="27" t="s">
        <v>1341</v>
      </c>
      <c r="C13485" s="27" t="s">
        <v>1346</v>
      </c>
      <c r="D13485" s="28">
        <v>0.41670000000000001</v>
      </c>
      <c r="E13485" s="28">
        <v>0.5</v>
      </c>
      <c r="F13485" s="29"/>
      <c r="G13485" s="29"/>
      <c r="H13485" s="29"/>
      <c r="I13485" s="29"/>
      <c r="J13485" s="28">
        <v>8.3299999999999999E-2</v>
      </c>
      <c r="K13485" s="29"/>
      <c r="L13485" s="29"/>
      <c r="M13485" s="29"/>
      <c r="N13485" s="29"/>
      <c r="O13485" s="29"/>
      <c r="P13485" s="29"/>
      <c r="Q13485" s="29" t="s">
        <v>342</v>
      </c>
    </row>
    <row r="13486" spans="1:17" x14ac:dyDescent="0.35">
      <c r="A13486" t="s">
        <v>228</v>
      </c>
      <c r="B13486" t="s">
        <v>1343</v>
      </c>
      <c r="C13486" t="s">
        <v>1348</v>
      </c>
      <c r="D13486" s="26">
        <v>0.69410000000000005</v>
      </c>
      <c r="E13486" s="26">
        <v>0.159</v>
      </c>
      <c r="F13486" s="26">
        <v>6.6299999999999998E-2</v>
      </c>
      <c r="G13486" s="26">
        <v>3.2800000000000003E-2</v>
      </c>
      <c r="H13486" s="26">
        <v>4.4499999999999998E-2</v>
      </c>
      <c r="I13486" s="26">
        <v>3.27E-2</v>
      </c>
      <c r="J13486" s="26">
        <v>8.2000000000000007E-3</v>
      </c>
      <c r="K13486" s="26">
        <v>1.5699999999999999E-2</v>
      </c>
      <c r="Q13486">
        <v>344</v>
      </c>
    </row>
    <row r="13487" spans="1:17" x14ac:dyDescent="0.35">
      <c r="A13487" t="s">
        <v>228</v>
      </c>
      <c r="B13487" t="s">
        <v>1343</v>
      </c>
      <c r="C13487" t="s">
        <v>1347</v>
      </c>
      <c r="D13487" s="26">
        <v>0.67210000000000003</v>
      </c>
      <c r="E13487" s="26">
        <v>0.16639999999999999</v>
      </c>
      <c r="F13487" s="26">
        <v>5.7700000000000001E-2</v>
      </c>
      <c r="G13487" s="26">
        <v>4.3900000000000002E-2</v>
      </c>
      <c r="H13487" s="26">
        <v>5.33E-2</v>
      </c>
      <c r="I13487" s="26">
        <v>1.55E-2</v>
      </c>
      <c r="J13487" s="26">
        <v>3.3E-3</v>
      </c>
      <c r="K13487" s="26">
        <v>7.3999999999999996E-2</v>
      </c>
      <c r="Q13487">
        <v>128</v>
      </c>
    </row>
    <row r="13488" spans="1:17" x14ac:dyDescent="0.35">
      <c r="A13488" s="27" t="s">
        <v>228</v>
      </c>
      <c r="B13488" s="27" t="s">
        <v>1343</v>
      </c>
      <c r="C13488" s="27" t="s">
        <v>1345</v>
      </c>
      <c r="D13488" s="28">
        <v>0.51980000000000004</v>
      </c>
      <c r="E13488" s="28">
        <v>0.24010000000000001</v>
      </c>
      <c r="F13488" s="29"/>
      <c r="G13488" s="29"/>
      <c r="H13488" s="29"/>
      <c r="I13488" s="29"/>
      <c r="J13488" s="29"/>
      <c r="K13488" s="28">
        <v>0.24010000000000001</v>
      </c>
      <c r="L13488" s="29"/>
      <c r="M13488" s="29"/>
      <c r="N13488" s="29"/>
      <c r="O13488" s="29"/>
      <c r="P13488" s="29"/>
      <c r="Q13488" s="29" t="s">
        <v>332</v>
      </c>
    </row>
    <row r="13489" spans="1:17" x14ac:dyDescent="0.35">
      <c r="A13489" t="s">
        <v>228</v>
      </c>
      <c r="B13489" t="s">
        <v>1341</v>
      </c>
      <c r="C13489" t="s">
        <v>1346</v>
      </c>
      <c r="D13489" s="26">
        <v>0.80369999999999997</v>
      </c>
      <c r="E13489" s="26">
        <v>0.17680000000000001</v>
      </c>
      <c r="F13489" s="26">
        <v>1.23E-2</v>
      </c>
      <c r="H13489" s="26">
        <v>7.1999999999999998E-3</v>
      </c>
      <c r="Q13489">
        <v>45</v>
      </c>
    </row>
    <row r="13490" spans="1:17" x14ac:dyDescent="0.35">
      <c r="A13490" t="s">
        <v>228</v>
      </c>
      <c r="B13490" t="s">
        <v>1341</v>
      </c>
      <c r="C13490" t="s">
        <v>1348</v>
      </c>
      <c r="D13490" s="26">
        <v>0.63719999999999999</v>
      </c>
      <c r="E13490" s="26">
        <v>0.25380000000000003</v>
      </c>
      <c r="F13490" s="26">
        <v>3.7499999999999999E-2</v>
      </c>
      <c r="G13490" s="26">
        <v>5.04E-2</v>
      </c>
      <c r="H13490" s="26">
        <v>2.4799999999999999E-2</v>
      </c>
      <c r="I13490" s="26">
        <v>2.58E-2</v>
      </c>
      <c r="K13490" s="26">
        <v>1.4E-2</v>
      </c>
      <c r="M13490" s="26">
        <v>3.0000000000000001E-3</v>
      </c>
      <c r="O13490" s="26">
        <v>3.0000000000000001E-3</v>
      </c>
      <c r="P13490" s="26">
        <v>3.0000000000000001E-3</v>
      </c>
      <c r="Q13490">
        <v>172</v>
      </c>
    </row>
    <row r="13491" spans="1:17" x14ac:dyDescent="0.35">
      <c r="A13491" s="27" t="s">
        <v>228</v>
      </c>
      <c r="B13491" s="27" t="s">
        <v>1342</v>
      </c>
      <c r="C13491" s="27" t="s">
        <v>1348</v>
      </c>
      <c r="D13491" s="28">
        <v>1</v>
      </c>
      <c r="E13491" s="29"/>
      <c r="F13491" s="29"/>
      <c r="G13491" s="29"/>
      <c r="H13491" s="29"/>
      <c r="I13491" s="29"/>
      <c r="J13491" s="29"/>
      <c r="K13491" s="29"/>
      <c r="L13491" s="29"/>
      <c r="M13491" s="29"/>
      <c r="N13491" s="29"/>
      <c r="O13491" s="29"/>
      <c r="P13491" s="29"/>
      <c r="Q13491" s="29" t="s">
        <v>331</v>
      </c>
    </row>
    <row r="13492" spans="1:17" x14ac:dyDescent="0.35">
      <c r="A13492" t="s">
        <v>228</v>
      </c>
      <c r="B13492" t="s">
        <v>1343</v>
      </c>
      <c r="C13492" t="s">
        <v>1346</v>
      </c>
      <c r="D13492" s="26">
        <v>0.7016</v>
      </c>
      <c r="E13492" s="26">
        <v>0.26029999999999998</v>
      </c>
      <c r="F13492" s="26">
        <v>2.2800000000000001E-2</v>
      </c>
      <c r="G13492" s="26">
        <v>1.1000000000000001E-3</v>
      </c>
      <c r="H13492" s="26">
        <v>7.1999999999999998E-3</v>
      </c>
      <c r="K13492" s="26">
        <v>5.7999999999999996E-3</v>
      </c>
      <c r="L13492" s="26">
        <v>1.1000000000000001E-3</v>
      </c>
      <c r="M13492" s="26">
        <v>5.5999999999999999E-3</v>
      </c>
      <c r="Q13492">
        <v>234</v>
      </c>
    </row>
    <row r="13493" spans="1:17" x14ac:dyDescent="0.35">
      <c r="A13493" t="s">
        <v>228</v>
      </c>
      <c r="B13493" t="s">
        <v>1341</v>
      </c>
      <c r="C13493" t="s">
        <v>1347</v>
      </c>
      <c r="D13493" s="26">
        <v>0.60240000000000005</v>
      </c>
      <c r="E13493" s="26">
        <v>0.19989999999999999</v>
      </c>
      <c r="F13493" s="26">
        <v>1.7299999999999999E-2</v>
      </c>
      <c r="G13493" s="26">
        <v>6.5600000000000006E-2</v>
      </c>
      <c r="H13493" s="26">
        <v>3.7400000000000003E-2</v>
      </c>
      <c r="I13493" s="26">
        <v>8.6099999999999996E-2</v>
      </c>
      <c r="K13493" s="26">
        <v>1.3100000000000001E-2</v>
      </c>
      <c r="Q13493">
        <v>74</v>
      </c>
    </row>
    <row r="13494" spans="1:17" x14ac:dyDescent="0.35">
      <c r="A13494" s="27" t="s">
        <v>228</v>
      </c>
      <c r="B13494" s="27" t="s">
        <v>1341</v>
      </c>
      <c r="C13494" s="27" t="s">
        <v>1345</v>
      </c>
      <c r="D13494" s="28">
        <v>0.57230000000000003</v>
      </c>
      <c r="E13494" s="28">
        <v>0.1817</v>
      </c>
      <c r="F13494" s="29"/>
      <c r="G13494" s="28">
        <v>6.4299999999999996E-2</v>
      </c>
      <c r="H13494" s="28">
        <v>6.4299999999999996E-2</v>
      </c>
      <c r="I13494" s="28">
        <v>0.246</v>
      </c>
      <c r="J13494" s="29"/>
      <c r="K13494" s="29"/>
      <c r="L13494" s="29"/>
      <c r="M13494" s="29"/>
      <c r="N13494" s="29"/>
      <c r="O13494" s="29"/>
      <c r="P13494" s="29"/>
      <c r="Q13494" s="29" t="s">
        <v>332</v>
      </c>
    </row>
    <row r="13495" spans="1:17" x14ac:dyDescent="0.35">
      <c r="A13495" t="s">
        <v>229</v>
      </c>
      <c r="B13495" t="s">
        <v>1343</v>
      </c>
      <c r="C13495" t="s">
        <v>1348</v>
      </c>
      <c r="D13495" s="26">
        <v>0.69640000000000002</v>
      </c>
      <c r="E13495" s="26">
        <v>0.19939999999999999</v>
      </c>
      <c r="F13495" s="26">
        <v>7.0699999999999999E-2</v>
      </c>
      <c r="G13495" s="26">
        <v>2.0199999999999999E-2</v>
      </c>
      <c r="H13495" s="26">
        <v>1.9599999999999999E-2</v>
      </c>
      <c r="J13495" s="26">
        <v>1.12E-2</v>
      </c>
      <c r="K13495" s="26">
        <v>1.17E-2</v>
      </c>
      <c r="L13495" s="26">
        <v>1.1000000000000001E-3</v>
      </c>
      <c r="Q13495">
        <v>267</v>
      </c>
    </row>
    <row r="13496" spans="1:17" x14ac:dyDescent="0.35">
      <c r="A13496" t="s">
        <v>229</v>
      </c>
      <c r="B13496" t="s">
        <v>1341</v>
      </c>
      <c r="C13496" t="s">
        <v>1346</v>
      </c>
      <c r="D13496" s="26">
        <v>0.81130000000000002</v>
      </c>
      <c r="E13496" s="26">
        <v>0.1623</v>
      </c>
      <c r="F13496" s="26">
        <v>1.3299999999999999E-2</v>
      </c>
      <c r="G13496" s="26">
        <v>1.6999999999999999E-3</v>
      </c>
      <c r="H13496" s="26">
        <v>5.7000000000000002E-3</v>
      </c>
      <c r="J13496" s="26">
        <v>5.7000000000000002E-3</v>
      </c>
      <c r="Q13496">
        <v>53</v>
      </c>
    </row>
    <row r="13497" spans="1:17" x14ac:dyDescent="0.35">
      <c r="A13497" t="s">
        <v>229</v>
      </c>
      <c r="B13497" t="s">
        <v>1341</v>
      </c>
      <c r="C13497" t="s">
        <v>1347</v>
      </c>
      <c r="D13497" s="26">
        <v>0.67789999999999995</v>
      </c>
      <c r="E13497" s="26">
        <v>0.21029999999999999</v>
      </c>
      <c r="F13497" s="26">
        <v>3.2899999999999999E-2</v>
      </c>
      <c r="G13497" s="26">
        <v>6.0400000000000002E-2</v>
      </c>
      <c r="H13497" s="26">
        <v>3.1899999999999998E-2</v>
      </c>
      <c r="I13497" s="26">
        <v>6.7000000000000002E-3</v>
      </c>
      <c r="K13497" s="26">
        <v>3.3E-3</v>
      </c>
      <c r="N13497" s="26">
        <v>6.7000000000000002E-3</v>
      </c>
      <c r="Q13497">
        <v>99</v>
      </c>
    </row>
    <row r="13498" spans="1:17" x14ac:dyDescent="0.35">
      <c r="A13498" t="s">
        <v>229</v>
      </c>
      <c r="B13498" t="s">
        <v>1343</v>
      </c>
      <c r="C13498" t="s">
        <v>1346</v>
      </c>
      <c r="D13498" s="26">
        <v>0.72850000000000004</v>
      </c>
      <c r="E13498" s="26">
        <v>0.21</v>
      </c>
      <c r="F13498" s="26">
        <v>1.1999999999999999E-3</v>
      </c>
      <c r="G13498" s="26">
        <v>1.1999999999999999E-3</v>
      </c>
      <c r="H13498" s="26">
        <v>2.29E-2</v>
      </c>
      <c r="I13498" s="26">
        <v>1.1999999999999999E-3</v>
      </c>
      <c r="J13498" s="26">
        <v>2.0400000000000001E-2</v>
      </c>
      <c r="L13498" s="26">
        <v>1.7100000000000001E-2</v>
      </c>
      <c r="P13498" s="26">
        <v>1.1999999999999999E-3</v>
      </c>
      <c r="Q13498">
        <v>127</v>
      </c>
    </row>
    <row r="13499" spans="1:17" x14ac:dyDescent="0.35">
      <c r="A13499" t="s">
        <v>229</v>
      </c>
      <c r="B13499" t="s">
        <v>1343</v>
      </c>
      <c r="C13499" t="s">
        <v>1347</v>
      </c>
      <c r="D13499" s="26">
        <v>0.5998</v>
      </c>
      <c r="E13499" s="26">
        <v>0.15509999999999999</v>
      </c>
      <c r="F13499" s="26">
        <v>0.1172</v>
      </c>
      <c r="G13499" s="26">
        <v>3.6400000000000002E-2</v>
      </c>
      <c r="H13499" s="26">
        <v>7.5600000000000001E-2</v>
      </c>
      <c r="I13499" s="26">
        <v>2.0299999999999999E-2</v>
      </c>
      <c r="J13499" s="26">
        <v>5.4000000000000003E-3</v>
      </c>
      <c r="K13499" s="26">
        <v>1.7600000000000001E-2</v>
      </c>
      <c r="L13499" s="26">
        <v>8.9999999999999998E-4</v>
      </c>
      <c r="M13499" s="26">
        <v>1.44E-2</v>
      </c>
      <c r="O13499" s="26">
        <v>1.35E-2</v>
      </c>
      <c r="Q13499">
        <v>194</v>
      </c>
    </row>
    <row r="13500" spans="1:17" x14ac:dyDescent="0.35">
      <c r="A13500" s="27" t="s">
        <v>229</v>
      </c>
      <c r="B13500" s="27" t="s">
        <v>1341</v>
      </c>
      <c r="C13500" s="27" t="s">
        <v>1345</v>
      </c>
      <c r="D13500" s="28">
        <v>0.9</v>
      </c>
      <c r="E13500" s="29"/>
      <c r="F13500" s="28">
        <v>0.1</v>
      </c>
      <c r="G13500" s="28">
        <v>2.0199999999999999E-2</v>
      </c>
      <c r="H13500" s="28">
        <v>2.0199999999999999E-2</v>
      </c>
      <c r="I13500" s="28">
        <v>2.0199999999999999E-2</v>
      </c>
      <c r="J13500" s="29"/>
      <c r="K13500" s="29"/>
      <c r="L13500" s="29"/>
      <c r="M13500" s="29"/>
      <c r="N13500" s="29"/>
      <c r="O13500" s="29"/>
      <c r="P13500" s="29"/>
      <c r="Q13500" s="29" t="s">
        <v>333</v>
      </c>
    </row>
    <row r="13501" spans="1:17" x14ac:dyDescent="0.35">
      <c r="A13501" s="27" t="s">
        <v>229</v>
      </c>
      <c r="B13501" s="27" t="s">
        <v>1343</v>
      </c>
      <c r="C13501" s="27" t="s">
        <v>1345</v>
      </c>
      <c r="D13501" s="28">
        <v>0.79</v>
      </c>
      <c r="E13501" s="28">
        <v>0.1943</v>
      </c>
      <c r="F13501" s="28">
        <v>5.7000000000000002E-3</v>
      </c>
      <c r="G13501" s="29"/>
      <c r="H13501" s="29"/>
      <c r="I13501" s="28">
        <v>1.01E-2</v>
      </c>
      <c r="J13501" s="29"/>
      <c r="K13501" s="29"/>
      <c r="L13501" s="29"/>
      <c r="M13501" s="29"/>
      <c r="N13501" s="29"/>
      <c r="O13501" s="29"/>
      <c r="P13501" s="29"/>
      <c r="Q13501" s="29" t="s">
        <v>343</v>
      </c>
    </row>
    <row r="13502" spans="1:17" x14ac:dyDescent="0.35">
      <c r="A13502" t="s">
        <v>229</v>
      </c>
      <c r="B13502" t="s">
        <v>1341</v>
      </c>
      <c r="C13502" t="s">
        <v>1348</v>
      </c>
      <c r="D13502" s="26">
        <v>0.73419999999999996</v>
      </c>
      <c r="E13502" s="26">
        <v>0.14099999999999999</v>
      </c>
      <c r="F13502" s="26">
        <v>6.0100000000000001E-2</v>
      </c>
      <c r="G13502" s="26">
        <v>5.79E-2</v>
      </c>
      <c r="H13502" s="26">
        <v>2.2700000000000001E-2</v>
      </c>
      <c r="I13502" s="26">
        <v>1.1000000000000001E-3</v>
      </c>
      <c r="P13502" s="26">
        <v>1.1000000000000001E-3</v>
      </c>
      <c r="Q13502">
        <v>102</v>
      </c>
    </row>
    <row r="13503" spans="1:17" x14ac:dyDescent="0.35">
      <c r="A13503" t="s">
        <v>230</v>
      </c>
      <c r="B13503" t="s">
        <v>1343</v>
      </c>
      <c r="C13503" t="s">
        <v>1346</v>
      </c>
      <c r="D13503" s="26">
        <v>0.75229999999999997</v>
      </c>
      <c r="E13503" s="26">
        <v>0.15110000000000001</v>
      </c>
      <c r="F13503" s="26">
        <v>1.17E-2</v>
      </c>
      <c r="G13503" s="26">
        <v>7.1000000000000004E-3</v>
      </c>
      <c r="H13503" s="26">
        <v>3.5999999999999999E-3</v>
      </c>
      <c r="I13503" s="26">
        <v>3.5099999999999999E-2</v>
      </c>
      <c r="J13503" s="26">
        <v>5.8999999999999999E-3</v>
      </c>
      <c r="K13503" s="26">
        <v>1.8E-3</v>
      </c>
      <c r="L13503" s="26">
        <v>3.5099999999999999E-2</v>
      </c>
      <c r="M13503" s="26">
        <v>1.8E-3</v>
      </c>
      <c r="O13503" s="26">
        <v>1.8E-3</v>
      </c>
      <c r="Q13503">
        <v>108</v>
      </c>
    </row>
    <row r="13504" spans="1:17" x14ac:dyDescent="0.35">
      <c r="A13504" s="27" t="s">
        <v>230</v>
      </c>
      <c r="B13504" s="27" t="s">
        <v>1341</v>
      </c>
      <c r="C13504" s="27" t="s">
        <v>1345</v>
      </c>
      <c r="D13504" s="28">
        <v>0.42849999999999999</v>
      </c>
      <c r="E13504" s="28">
        <v>7.0599999999999996E-2</v>
      </c>
      <c r="F13504" s="28">
        <v>0.50080000000000002</v>
      </c>
      <c r="G13504" s="29"/>
      <c r="H13504" s="29"/>
      <c r="I13504" s="29"/>
      <c r="J13504" s="29"/>
      <c r="K13504" s="29"/>
      <c r="L13504" s="29"/>
      <c r="M13504" s="29"/>
      <c r="N13504" s="29"/>
      <c r="O13504" s="29"/>
      <c r="P13504" s="29"/>
      <c r="Q13504" s="29" t="s">
        <v>337</v>
      </c>
    </row>
    <row r="13505" spans="1:17" x14ac:dyDescent="0.35">
      <c r="A13505" t="s">
        <v>230</v>
      </c>
      <c r="B13505" t="s">
        <v>1343</v>
      </c>
      <c r="C13505" t="s">
        <v>1348</v>
      </c>
      <c r="D13505" s="26">
        <v>0.72440000000000004</v>
      </c>
      <c r="E13505" s="26">
        <v>0.1331</v>
      </c>
      <c r="F13505" s="26">
        <v>6.6000000000000003E-2</v>
      </c>
      <c r="G13505" s="26">
        <v>7.2400000000000006E-2</v>
      </c>
      <c r="H13505" s="26">
        <v>1.12E-2</v>
      </c>
      <c r="I13505" s="26">
        <v>2.46E-2</v>
      </c>
      <c r="J13505" s="26">
        <v>7.0000000000000001E-3</v>
      </c>
      <c r="K13505" s="26">
        <v>1.6000000000000001E-3</v>
      </c>
      <c r="Q13505">
        <v>179</v>
      </c>
    </row>
    <row r="13506" spans="1:17" x14ac:dyDescent="0.35">
      <c r="A13506" t="s">
        <v>230</v>
      </c>
      <c r="B13506" t="s">
        <v>1343</v>
      </c>
      <c r="C13506" t="s">
        <v>1347</v>
      </c>
      <c r="D13506" s="26">
        <v>0.65659999999999996</v>
      </c>
      <c r="E13506" s="26">
        <v>0.152</v>
      </c>
      <c r="F13506" s="26">
        <v>0.13289999999999999</v>
      </c>
      <c r="G13506" s="26">
        <v>9.9900000000000003E-2</v>
      </c>
      <c r="H13506" s="26">
        <v>1.2699999999999999E-2</v>
      </c>
      <c r="I13506" s="26">
        <v>0.01</v>
      </c>
      <c r="J13506" s="26">
        <v>4.8999999999999998E-3</v>
      </c>
      <c r="K13506" s="26">
        <v>2.9499999999999998E-2</v>
      </c>
      <c r="Q13506">
        <v>103</v>
      </c>
    </row>
    <row r="13507" spans="1:17" x14ac:dyDescent="0.35">
      <c r="A13507" t="s">
        <v>230</v>
      </c>
      <c r="B13507" t="s">
        <v>1341</v>
      </c>
      <c r="C13507" t="s">
        <v>1348</v>
      </c>
      <c r="D13507" s="26">
        <v>0.67589999999999995</v>
      </c>
      <c r="E13507" s="26">
        <v>0.1542</v>
      </c>
      <c r="F13507" s="26">
        <v>7.9600000000000004E-2</v>
      </c>
      <c r="G13507" s="26">
        <v>3.9800000000000002E-2</v>
      </c>
      <c r="H13507" s="26">
        <v>6.7000000000000002E-3</v>
      </c>
      <c r="I13507" s="26">
        <v>3.9800000000000002E-2</v>
      </c>
      <c r="J13507" s="26">
        <v>7.9600000000000004E-2</v>
      </c>
      <c r="K13507" s="26">
        <v>8.1600000000000006E-2</v>
      </c>
      <c r="L13507" s="26">
        <v>2E-3</v>
      </c>
      <c r="M13507" s="26">
        <v>3.9800000000000002E-2</v>
      </c>
      <c r="P13507" s="26">
        <v>3.9800000000000002E-2</v>
      </c>
      <c r="Q13507">
        <v>71</v>
      </c>
    </row>
    <row r="13508" spans="1:17" x14ac:dyDescent="0.35">
      <c r="A13508" t="s">
        <v>230</v>
      </c>
      <c r="B13508" t="s">
        <v>1341</v>
      </c>
      <c r="C13508" t="s">
        <v>1347</v>
      </c>
      <c r="D13508" s="26">
        <v>0.77149999999999996</v>
      </c>
      <c r="E13508" s="26">
        <v>0.1462</v>
      </c>
      <c r="F13508" s="26">
        <v>1.55E-2</v>
      </c>
      <c r="H13508" s="26">
        <v>9.4000000000000004E-3</v>
      </c>
      <c r="N13508" s="26">
        <v>5.7299999999999997E-2</v>
      </c>
      <c r="Q13508">
        <v>46</v>
      </c>
    </row>
    <row r="13509" spans="1:17" x14ac:dyDescent="0.35">
      <c r="A13509" s="27" t="s">
        <v>230</v>
      </c>
      <c r="B13509" s="27" t="s">
        <v>1343</v>
      </c>
      <c r="C13509" s="27" t="s">
        <v>1345</v>
      </c>
      <c r="D13509" s="28">
        <v>0.1585</v>
      </c>
      <c r="E13509" s="29"/>
      <c r="F13509" s="28">
        <v>0.11899999999999999</v>
      </c>
      <c r="G13509" s="28">
        <v>0.11899999999999999</v>
      </c>
      <c r="H13509" s="29"/>
      <c r="I13509" s="28">
        <v>0.84150000000000003</v>
      </c>
      <c r="J13509" s="29"/>
      <c r="K13509" s="29"/>
      <c r="L13509" s="29"/>
      <c r="M13509" s="29"/>
      <c r="N13509" s="29"/>
      <c r="O13509" s="29"/>
      <c r="P13509" s="29"/>
      <c r="Q13509" s="29" t="s">
        <v>337</v>
      </c>
    </row>
    <row r="13510" spans="1:17" x14ac:dyDescent="0.35">
      <c r="A13510" s="27" t="s">
        <v>230</v>
      </c>
      <c r="B13510" s="27" t="s">
        <v>1341</v>
      </c>
      <c r="C13510" s="27" t="s">
        <v>1346</v>
      </c>
      <c r="D13510" s="28">
        <v>0.86129999999999995</v>
      </c>
      <c r="E13510" s="28">
        <v>0.1234</v>
      </c>
      <c r="F13510" s="28">
        <v>1.5299999999999999E-2</v>
      </c>
      <c r="G13510" s="28">
        <v>1.5299999999999999E-2</v>
      </c>
      <c r="H13510" s="29"/>
      <c r="I13510" s="29"/>
      <c r="J13510" s="29"/>
      <c r="K13510" s="29"/>
      <c r="L13510" s="29"/>
      <c r="M13510" s="29"/>
      <c r="N13510" s="29"/>
      <c r="O13510" s="29"/>
      <c r="P13510" s="29"/>
      <c r="Q13510" s="29" t="s">
        <v>329</v>
      </c>
    </row>
    <row r="13511" spans="1:17" x14ac:dyDescent="0.35">
      <c r="A13511" t="s">
        <v>231</v>
      </c>
      <c r="B13511" t="s">
        <v>1343</v>
      </c>
      <c r="C13511" t="s">
        <v>1348</v>
      </c>
      <c r="D13511" s="26">
        <v>0.78</v>
      </c>
      <c r="E13511" s="26">
        <v>0.12</v>
      </c>
      <c r="F13511" s="26">
        <v>0.08</v>
      </c>
      <c r="G13511" s="26">
        <v>0.04</v>
      </c>
      <c r="Q13511">
        <v>50</v>
      </c>
    </row>
    <row r="13512" spans="1:17" x14ac:dyDescent="0.35">
      <c r="A13512" s="27" t="s">
        <v>231</v>
      </c>
      <c r="B13512" s="27" t="s">
        <v>1343</v>
      </c>
      <c r="C13512" s="27" t="s">
        <v>1345</v>
      </c>
      <c r="D13512" s="28">
        <v>0.33329999999999999</v>
      </c>
      <c r="E13512" s="29"/>
      <c r="F13512" s="29"/>
      <c r="G13512" s="28">
        <v>0.33329999999999999</v>
      </c>
      <c r="H13512" s="29"/>
      <c r="I13512" s="28">
        <v>0.33329999999999999</v>
      </c>
      <c r="J13512" s="29"/>
      <c r="K13512" s="29"/>
      <c r="L13512" s="29"/>
      <c r="M13512" s="29"/>
      <c r="N13512" s="29"/>
      <c r="O13512" s="29"/>
      <c r="P13512" s="29"/>
      <c r="Q13512" s="29" t="s">
        <v>315</v>
      </c>
    </row>
    <row r="13513" spans="1:17" x14ac:dyDescent="0.35">
      <c r="A13513" t="s">
        <v>231</v>
      </c>
      <c r="B13513" t="s">
        <v>1341</v>
      </c>
      <c r="C13513" t="s">
        <v>1348</v>
      </c>
      <c r="D13513" s="26">
        <v>0.77780000000000005</v>
      </c>
      <c r="E13513" s="26">
        <v>0.1389</v>
      </c>
      <c r="H13513" s="26">
        <v>2.7799999999999998E-2</v>
      </c>
      <c r="I13513" s="26">
        <v>2.7799999999999998E-2</v>
      </c>
      <c r="J13513" s="26">
        <v>2.7799999999999998E-2</v>
      </c>
      <c r="Q13513">
        <v>36</v>
      </c>
    </row>
    <row r="13514" spans="1:17" x14ac:dyDescent="0.35">
      <c r="A13514" s="27" t="s">
        <v>231</v>
      </c>
      <c r="B13514" s="27" t="s">
        <v>1343</v>
      </c>
      <c r="C13514" s="27" t="s">
        <v>1346</v>
      </c>
      <c r="D13514" s="28">
        <v>0.84</v>
      </c>
      <c r="E13514" s="28">
        <v>0.16</v>
      </c>
      <c r="F13514" s="29"/>
      <c r="G13514" s="29"/>
      <c r="H13514" s="29"/>
      <c r="I13514" s="29"/>
      <c r="J13514" s="29"/>
      <c r="K13514" s="29"/>
      <c r="L13514" s="29"/>
      <c r="M13514" s="29"/>
      <c r="N13514" s="29"/>
      <c r="O13514" s="29"/>
      <c r="P13514" s="29"/>
      <c r="Q13514" s="29" t="s">
        <v>312</v>
      </c>
    </row>
    <row r="13515" spans="1:17" x14ac:dyDescent="0.35">
      <c r="A13515" s="27" t="s">
        <v>231</v>
      </c>
      <c r="B13515" s="27" t="s">
        <v>1341</v>
      </c>
      <c r="C13515" s="27" t="s">
        <v>1345</v>
      </c>
      <c r="D13515" s="28">
        <v>1</v>
      </c>
      <c r="E13515" s="29"/>
      <c r="F13515" s="29"/>
      <c r="G13515" s="29"/>
      <c r="H13515" s="29"/>
      <c r="I13515" s="29"/>
      <c r="J13515" s="29"/>
      <c r="K13515" s="29"/>
      <c r="L13515" s="29"/>
      <c r="M13515" s="29"/>
      <c r="N13515" s="29"/>
      <c r="O13515" s="29"/>
      <c r="P13515" s="29"/>
      <c r="Q13515" s="29" t="s">
        <v>331</v>
      </c>
    </row>
    <row r="13516" spans="1:17" x14ac:dyDescent="0.35">
      <c r="A13516" s="27" t="s">
        <v>231</v>
      </c>
      <c r="B13516" s="27" t="s">
        <v>1341</v>
      </c>
      <c r="C13516" s="27" t="s">
        <v>1346</v>
      </c>
      <c r="D13516" s="28">
        <v>0.85709999999999997</v>
      </c>
      <c r="E13516" s="28">
        <v>7.1400000000000005E-2</v>
      </c>
      <c r="F13516" s="29"/>
      <c r="G13516" s="29"/>
      <c r="H13516" s="29"/>
      <c r="I13516" s="29"/>
      <c r="J13516" s="29"/>
      <c r="K13516" s="29"/>
      <c r="L13516" s="28">
        <v>7.1400000000000005E-2</v>
      </c>
      <c r="M13516" s="29"/>
      <c r="N13516" s="29"/>
      <c r="O13516" s="29"/>
      <c r="P13516" s="29"/>
      <c r="Q13516" s="29" t="s">
        <v>379</v>
      </c>
    </row>
    <row r="13517" spans="1:17" x14ac:dyDescent="0.35">
      <c r="A13517" s="27" t="s">
        <v>231</v>
      </c>
      <c r="B13517" s="27" t="s">
        <v>1341</v>
      </c>
      <c r="C13517" s="27" t="s">
        <v>1347</v>
      </c>
      <c r="D13517" s="28">
        <v>0.78569999999999995</v>
      </c>
      <c r="E13517" s="28">
        <v>7.1400000000000005E-2</v>
      </c>
      <c r="F13517" s="28">
        <v>0.1429</v>
      </c>
      <c r="G13517" s="29"/>
      <c r="H13517" s="29"/>
      <c r="I13517" s="29"/>
      <c r="J13517" s="29"/>
      <c r="K13517" s="29"/>
      <c r="L13517" s="29"/>
      <c r="M13517" s="29"/>
      <c r="N13517" s="29"/>
      <c r="O13517" s="29"/>
      <c r="P13517" s="29"/>
      <c r="Q13517" s="29" t="s">
        <v>379</v>
      </c>
    </row>
    <row r="13518" spans="1:17" x14ac:dyDescent="0.35">
      <c r="A13518" s="27" t="s">
        <v>231</v>
      </c>
      <c r="B13518" s="27" t="s">
        <v>1343</v>
      </c>
      <c r="C13518" s="27" t="s">
        <v>1347</v>
      </c>
      <c r="D13518" s="28">
        <v>0.78949999999999998</v>
      </c>
      <c r="E13518" s="28">
        <v>0.1053</v>
      </c>
      <c r="F13518" s="29"/>
      <c r="G13518" s="28">
        <v>5.2600000000000001E-2</v>
      </c>
      <c r="H13518" s="28">
        <v>5.2600000000000001E-2</v>
      </c>
      <c r="I13518" s="29"/>
      <c r="J13518" s="29"/>
      <c r="K13518" s="29"/>
      <c r="L13518" s="29"/>
      <c r="M13518" s="29"/>
      <c r="N13518" s="29"/>
      <c r="O13518" s="29"/>
      <c r="P13518" s="29"/>
      <c r="Q13518" s="29" t="s">
        <v>349</v>
      </c>
    </row>
    <row r="13519" spans="1:17" x14ac:dyDescent="0.35">
      <c r="A13519" t="s">
        <v>232</v>
      </c>
      <c r="B13519" t="s">
        <v>232</v>
      </c>
      <c r="C13519" t="s">
        <v>232</v>
      </c>
      <c r="D13519" s="26">
        <v>0.71640000000000004</v>
      </c>
      <c r="E13519" s="26">
        <v>0.16869999999999999</v>
      </c>
      <c r="F13519" s="26">
        <v>4.9599999999999998E-2</v>
      </c>
      <c r="G13519" s="26">
        <v>3.0700000000000002E-2</v>
      </c>
      <c r="H13519" s="26">
        <v>2.1999999999999999E-2</v>
      </c>
      <c r="I13519" s="26">
        <v>1.72E-2</v>
      </c>
      <c r="J13519" s="26">
        <v>8.8999999999999999E-3</v>
      </c>
      <c r="K13519" s="26">
        <v>8.2000000000000007E-3</v>
      </c>
      <c r="L13519" s="26">
        <v>3.2000000000000002E-3</v>
      </c>
      <c r="M13519" s="26">
        <v>1.6999999999999999E-3</v>
      </c>
      <c r="N13519" s="26">
        <v>1.6999999999999999E-3</v>
      </c>
      <c r="O13519" s="26">
        <v>8.9999999999999998E-4</v>
      </c>
      <c r="P13519" s="26">
        <v>6.9999999999999999E-4</v>
      </c>
      <c r="Q13519">
        <v>2741</v>
      </c>
    </row>
    <row r="13521" spans="1:9" x14ac:dyDescent="0.35">
      <c r="A13521" s="1" t="s">
        <v>1519</v>
      </c>
    </row>
    <row r="13522" spans="1:9" x14ac:dyDescent="0.35">
      <c r="A13522" t="s">
        <v>219</v>
      </c>
      <c r="B13522" t="s">
        <v>576</v>
      </c>
      <c r="C13522" t="s">
        <v>580</v>
      </c>
      <c r="D13522" t="s">
        <v>579</v>
      </c>
      <c r="E13522" t="s">
        <v>281</v>
      </c>
      <c r="F13522" t="s">
        <v>578</v>
      </c>
      <c r="G13522" t="s">
        <v>286</v>
      </c>
      <c r="H13522" t="s">
        <v>226</v>
      </c>
    </row>
    <row r="13523" spans="1:9" x14ac:dyDescent="0.35">
      <c r="A13523" t="s">
        <v>227</v>
      </c>
      <c r="B13523" s="26">
        <v>0.82879999999999998</v>
      </c>
      <c r="C13523" s="26">
        <v>0.1171</v>
      </c>
      <c r="D13523" s="26">
        <v>3.5999999999999997E-2</v>
      </c>
      <c r="E13523" s="26">
        <v>8.9999999999999993E-3</v>
      </c>
      <c r="F13523" s="26">
        <v>8.9999999999999993E-3</v>
      </c>
      <c r="H13523">
        <v>111</v>
      </c>
    </row>
    <row r="13524" spans="1:9" x14ac:dyDescent="0.35">
      <c r="A13524" t="s">
        <v>228</v>
      </c>
      <c r="B13524" s="26">
        <v>0.57230000000000003</v>
      </c>
      <c r="C13524" s="26">
        <v>0.13589999999999999</v>
      </c>
      <c r="D13524" s="26">
        <v>0.17349999999999999</v>
      </c>
      <c r="E13524" s="26">
        <v>5.5300000000000002E-2</v>
      </c>
      <c r="F13524" s="26">
        <v>5.7599999999999998E-2</v>
      </c>
      <c r="G13524" s="26">
        <v>5.4999999999999997E-3</v>
      </c>
      <c r="H13524">
        <v>727</v>
      </c>
    </row>
    <row r="13525" spans="1:9" x14ac:dyDescent="0.35">
      <c r="A13525" t="s">
        <v>229</v>
      </c>
      <c r="B13525" s="26">
        <v>0.61839999999999995</v>
      </c>
      <c r="C13525" s="26">
        <v>0.15490000000000001</v>
      </c>
      <c r="D13525" s="26">
        <v>0.1118</v>
      </c>
      <c r="E13525" s="26">
        <v>6.9000000000000006E-2</v>
      </c>
      <c r="F13525" s="26">
        <v>4.1300000000000003E-2</v>
      </c>
      <c r="G13525" s="26">
        <v>4.4999999999999997E-3</v>
      </c>
      <c r="H13525">
        <v>622</v>
      </c>
    </row>
    <row r="13526" spans="1:9" x14ac:dyDescent="0.35">
      <c r="A13526" t="s">
        <v>230</v>
      </c>
      <c r="B13526" s="26">
        <v>0.64610000000000001</v>
      </c>
      <c r="C13526" s="26">
        <v>0.1021</v>
      </c>
      <c r="D13526" s="26">
        <v>0.17760000000000001</v>
      </c>
      <c r="E13526" s="26">
        <v>3.09E-2</v>
      </c>
      <c r="F13526" s="26">
        <v>4.2900000000000001E-2</v>
      </c>
      <c r="G13526" s="26">
        <v>4.0000000000000002E-4</v>
      </c>
      <c r="H13526">
        <v>404</v>
      </c>
    </row>
    <row r="13527" spans="1:9" x14ac:dyDescent="0.35">
      <c r="A13527" t="s">
        <v>231</v>
      </c>
      <c r="B13527" s="26">
        <v>0.80810000000000004</v>
      </c>
      <c r="C13527" s="26">
        <v>8.0799999999999997E-2</v>
      </c>
      <c r="D13527" s="26">
        <v>3.0300000000000001E-2</v>
      </c>
      <c r="E13527" s="26">
        <v>5.0500000000000003E-2</v>
      </c>
      <c r="F13527" s="26">
        <v>3.0300000000000001E-2</v>
      </c>
      <c r="H13527">
        <v>99</v>
      </c>
    </row>
    <row r="13528" spans="1:9" x14ac:dyDescent="0.35">
      <c r="A13528" t="s">
        <v>232</v>
      </c>
      <c r="B13528" s="26">
        <v>0.69199999999999995</v>
      </c>
      <c r="C13528" s="26">
        <v>0.12130000000000001</v>
      </c>
      <c r="D13528" s="26">
        <v>9.8900000000000002E-2</v>
      </c>
      <c r="E13528" s="26">
        <v>4.8399999999999999E-2</v>
      </c>
      <c r="F13528" s="26">
        <v>3.6999999999999998E-2</v>
      </c>
      <c r="G13528" s="26">
        <v>2.5000000000000001E-3</v>
      </c>
      <c r="H13528">
        <v>1963</v>
      </c>
    </row>
    <row r="13530" spans="1:9" x14ac:dyDescent="0.35">
      <c r="A13530" s="1" t="s">
        <v>1520</v>
      </c>
    </row>
    <row r="13531" spans="1:9" x14ac:dyDescent="0.35">
      <c r="A13531" t="s">
        <v>219</v>
      </c>
      <c r="B13531" t="s">
        <v>305</v>
      </c>
      <c r="C13531" t="s">
        <v>576</v>
      </c>
      <c r="D13531" t="s">
        <v>580</v>
      </c>
      <c r="E13531" t="s">
        <v>579</v>
      </c>
      <c r="F13531" t="s">
        <v>281</v>
      </c>
      <c r="G13531" t="s">
        <v>578</v>
      </c>
      <c r="H13531" t="s">
        <v>286</v>
      </c>
      <c r="I13531" t="s">
        <v>226</v>
      </c>
    </row>
    <row r="13532" spans="1:9" x14ac:dyDescent="0.35">
      <c r="A13532" t="s">
        <v>227</v>
      </c>
      <c r="B13532" t="s">
        <v>242</v>
      </c>
      <c r="C13532" s="26">
        <v>0.82689999999999997</v>
      </c>
      <c r="D13532" s="26">
        <v>7.6899999999999996E-2</v>
      </c>
      <c r="E13532" s="26">
        <v>5.7700000000000001E-2</v>
      </c>
      <c r="F13532" s="26">
        <v>1.9199999999999998E-2</v>
      </c>
      <c r="G13532" s="26">
        <v>1.9199999999999998E-2</v>
      </c>
      <c r="I13532">
        <v>52</v>
      </c>
    </row>
    <row r="13533" spans="1:9" x14ac:dyDescent="0.35">
      <c r="A13533" t="s">
        <v>227</v>
      </c>
      <c r="B13533" t="s">
        <v>241</v>
      </c>
      <c r="C13533" s="26">
        <v>0.83050000000000002</v>
      </c>
      <c r="D13533" s="26">
        <v>0.1525</v>
      </c>
      <c r="E13533" s="26">
        <v>1.6899999999999998E-2</v>
      </c>
      <c r="I13533">
        <v>59</v>
      </c>
    </row>
    <row r="13534" spans="1:9" x14ac:dyDescent="0.35">
      <c r="A13534" t="s">
        <v>228</v>
      </c>
      <c r="B13534" t="s">
        <v>242</v>
      </c>
      <c r="C13534" s="26">
        <v>0.52990000000000004</v>
      </c>
      <c r="D13534" s="26">
        <v>0.1196</v>
      </c>
      <c r="E13534" s="26">
        <v>0.1953</v>
      </c>
      <c r="F13534" s="26">
        <v>7.4499999999999997E-2</v>
      </c>
      <c r="G13534" s="26">
        <v>8.0600000000000005E-2</v>
      </c>
      <c r="I13534">
        <v>304</v>
      </c>
    </row>
    <row r="13535" spans="1:9" x14ac:dyDescent="0.35">
      <c r="A13535" t="s">
        <v>228</v>
      </c>
      <c r="B13535" t="s">
        <v>241</v>
      </c>
      <c r="C13535" s="26">
        <v>0.59930000000000005</v>
      </c>
      <c r="D13535" s="26">
        <v>0.1462</v>
      </c>
      <c r="E13535" s="26">
        <v>0.15959999999999999</v>
      </c>
      <c r="F13535" s="26">
        <v>4.3099999999999999E-2</v>
      </c>
      <c r="G13535" s="26">
        <v>4.2900000000000001E-2</v>
      </c>
      <c r="H13535" s="26">
        <v>8.9999999999999993E-3</v>
      </c>
      <c r="I13535">
        <v>423</v>
      </c>
    </row>
    <row r="13536" spans="1:9" x14ac:dyDescent="0.35">
      <c r="A13536" t="s">
        <v>229</v>
      </c>
      <c r="B13536" t="s">
        <v>242</v>
      </c>
      <c r="C13536" s="26">
        <v>0.57840000000000003</v>
      </c>
      <c r="D13536" s="26">
        <v>0.18279999999999999</v>
      </c>
      <c r="E13536" s="26">
        <v>0.1366</v>
      </c>
      <c r="F13536" s="26">
        <v>7.6399999999999996E-2</v>
      </c>
      <c r="G13536" s="26">
        <v>1.6500000000000001E-2</v>
      </c>
      <c r="H13536" s="26">
        <v>9.4000000000000004E-3</v>
      </c>
      <c r="I13536">
        <v>214</v>
      </c>
    </row>
    <row r="13537" spans="1:9" x14ac:dyDescent="0.35">
      <c r="A13537" t="s">
        <v>229</v>
      </c>
      <c r="B13537" t="s">
        <v>241</v>
      </c>
      <c r="C13537" s="26">
        <v>0.64649999999999996</v>
      </c>
      <c r="D13537" s="26">
        <v>0.13539999999999999</v>
      </c>
      <c r="E13537" s="26">
        <v>9.4399999999999998E-2</v>
      </c>
      <c r="F13537" s="26">
        <v>6.3899999999999998E-2</v>
      </c>
      <c r="G13537" s="26">
        <v>5.8799999999999998E-2</v>
      </c>
      <c r="H13537" s="26">
        <v>1.1000000000000001E-3</v>
      </c>
      <c r="I13537">
        <v>408</v>
      </c>
    </row>
    <row r="13538" spans="1:9" x14ac:dyDescent="0.35">
      <c r="A13538" t="s">
        <v>230</v>
      </c>
      <c r="B13538" t="s">
        <v>242</v>
      </c>
      <c r="C13538" s="26">
        <v>0.54630000000000001</v>
      </c>
      <c r="D13538" s="26">
        <v>0.1792</v>
      </c>
      <c r="E13538" s="26">
        <v>0.19070000000000001</v>
      </c>
      <c r="F13538" s="26">
        <v>5.3400000000000003E-2</v>
      </c>
      <c r="G13538" s="26">
        <v>3.04E-2</v>
      </c>
      <c r="I13538">
        <v>143</v>
      </c>
    </row>
    <row r="13539" spans="1:9" x14ac:dyDescent="0.35">
      <c r="A13539" t="s">
        <v>230</v>
      </c>
      <c r="B13539" t="s">
        <v>241</v>
      </c>
      <c r="C13539" s="26">
        <v>0.71130000000000004</v>
      </c>
      <c r="D13539" s="26">
        <v>5.1700000000000003E-2</v>
      </c>
      <c r="E13539" s="26">
        <v>0.1691</v>
      </c>
      <c r="F13539" s="26">
        <v>1.6199999999999999E-2</v>
      </c>
      <c r="G13539" s="26">
        <v>5.0999999999999997E-2</v>
      </c>
      <c r="H13539" s="26">
        <v>6.9999999999999999E-4</v>
      </c>
      <c r="I13539">
        <v>261</v>
      </c>
    </row>
    <row r="13540" spans="1:9" x14ac:dyDescent="0.35">
      <c r="A13540" t="s">
        <v>231</v>
      </c>
      <c r="B13540" t="s">
        <v>242</v>
      </c>
      <c r="C13540" s="26">
        <v>0.78120000000000001</v>
      </c>
      <c r="D13540" s="26">
        <v>0.125</v>
      </c>
      <c r="F13540" s="26">
        <v>6.25E-2</v>
      </c>
      <c r="G13540" s="26">
        <v>3.1199999999999999E-2</v>
      </c>
      <c r="I13540">
        <v>32</v>
      </c>
    </row>
    <row r="13541" spans="1:9" x14ac:dyDescent="0.35">
      <c r="A13541" t="s">
        <v>231</v>
      </c>
      <c r="B13541" t="s">
        <v>241</v>
      </c>
      <c r="C13541" s="26">
        <v>0.82089999999999996</v>
      </c>
      <c r="D13541" s="26">
        <v>5.9700000000000003E-2</v>
      </c>
      <c r="E13541" s="26">
        <v>4.48E-2</v>
      </c>
      <c r="F13541" s="26">
        <v>4.48E-2</v>
      </c>
      <c r="G13541" s="26">
        <v>2.9899999999999999E-2</v>
      </c>
      <c r="I13541">
        <v>67</v>
      </c>
    </row>
    <row r="13542" spans="1:9" x14ac:dyDescent="0.35">
      <c r="A13542" t="s">
        <v>232</v>
      </c>
      <c r="B13542" t="s">
        <v>232</v>
      </c>
      <c r="C13542" s="26">
        <v>0.69199999999999995</v>
      </c>
      <c r="D13542" s="26">
        <v>0.12130000000000001</v>
      </c>
      <c r="E13542" s="26">
        <v>9.8900000000000002E-2</v>
      </c>
      <c r="F13542" s="26">
        <v>4.8399999999999999E-2</v>
      </c>
      <c r="G13542" s="26">
        <v>3.6999999999999998E-2</v>
      </c>
      <c r="H13542" s="26">
        <v>2.5000000000000001E-3</v>
      </c>
      <c r="I13542">
        <v>1963</v>
      </c>
    </row>
    <row r="13544" spans="1:9" x14ac:dyDescent="0.35">
      <c r="A13544" s="1" t="s">
        <v>1521</v>
      </c>
    </row>
    <row r="13545" spans="1:9" x14ac:dyDescent="0.35">
      <c r="A13545" t="s">
        <v>219</v>
      </c>
      <c r="B13545" t="s">
        <v>305</v>
      </c>
      <c r="C13545" t="s">
        <v>576</v>
      </c>
      <c r="D13545" t="s">
        <v>580</v>
      </c>
      <c r="E13545" t="s">
        <v>579</v>
      </c>
      <c r="F13545" t="s">
        <v>281</v>
      </c>
      <c r="G13545" t="s">
        <v>578</v>
      </c>
      <c r="H13545" t="s">
        <v>286</v>
      </c>
      <c r="I13545" t="s">
        <v>226</v>
      </c>
    </row>
    <row r="13546" spans="1:9" x14ac:dyDescent="0.35">
      <c r="A13546" t="s">
        <v>227</v>
      </c>
      <c r="B13546" t="s">
        <v>239</v>
      </c>
      <c r="C13546" s="26">
        <v>0.84440000000000004</v>
      </c>
      <c r="D13546" s="26">
        <v>8.8900000000000007E-2</v>
      </c>
      <c r="E13546" s="26">
        <v>4.4400000000000002E-2</v>
      </c>
      <c r="G13546" s="26">
        <v>2.2200000000000001E-2</v>
      </c>
      <c r="I13546">
        <v>45</v>
      </c>
    </row>
    <row r="13547" spans="1:9" x14ac:dyDescent="0.35">
      <c r="A13547" t="s">
        <v>227</v>
      </c>
      <c r="B13547" t="s">
        <v>238</v>
      </c>
      <c r="C13547" s="26">
        <v>0.81820000000000004</v>
      </c>
      <c r="D13547" s="26">
        <v>0.13639999999999999</v>
      </c>
      <c r="E13547" s="26">
        <v>3.0300000000000001E-2</v>
      </c>
      <c r="F13547" s="26">
        <v>1.52E-2</v>
      </c>
      <c r="I13547">
        <v>66</v>
      </c>
    </row>
    <row r="13548" spans="1:9" x14ac:dyDescent="0.35">
      <c r="A13548" t="s">
        <v>228</v>
      </c>
      <c r="B13548" t="s">
        <v>239</v>
      </c>
      <c r="C13548" s="26">
        <v>0.59789999999999999</v>
      </c>
      <c r="D13548" s="26">
        <v>9.7000000000000003E-2</v>
      </c>
      <c r="E13548" s="26">
        <v>0.20469999999999999</v>
      </c>
      <c r="F13548" s="26">
        <v>6.7299999999999999E-2</v>
      </c>
      <c r="G13548" s="26">
        <v>3.32E-2</v>
      </c>
      <c r="I13548">
        <v>239</v>
      </c>
    </row>
    <row r="13549" spans="1:9" x14ac:dyDescent="0.35">
      <c r="A13549" t="s">
        <v>228</v>
      </c>
      <c r="B13549" t="s">
        <v>238</v>
      </c>
      <c r="C13549" s="26">
        <v>0.56499999999999995</v>
      </c>
      <c r="D13549" s="26">
        <v>0.14680000000000001</v>
      </c>
      <c r="E13549" s="26">
        <v>0.16470000000000001</v>
      </c>
      <c r="F13549" s="26">
        <v>5.1900000000000002E-2</v>
      </c>
      <c r="G13549" s="26">
        <v>6.4500000000000002E-2</v>
      </c>
      <c r="H13549" s="26">
        <v>7.0000000000000001E-3</v>
      </c>
      <c r="I13549">
        <v>488</v>
      </c>
    </row>
    <row r="13550" spans="1:9" x14ac:dyDescent="0.35">
      <c r="A13550" t="s">
        <v>229</v>
      </c>
      <c r="B13550" t="s">
        <v>239</v>
      </c>
      <c r="C13550" s="26">
        <v>0.64419999999999999</v>
      </c>
      <c r="D13550" s="26">
        <v>0.11</v>
      </c>
      <c r="E13550" s="26">
        <v>0.11899999999999999</v>
      </c>
      <c r="F13550" s="26">
        <v>8.09E-2</v>
      </c>
      <c r="G13550" s="26">
        <v>2.9499999999999998E-2</v>
      </c>
      <c r="H13550" s="26">
        <v>1.6299999999999999E-2</v>
      </c>
      <c r="I13550">
        <v>230</v>
      </c>
    </row>
    <row r="13551" spans="1:9" x14ac:dyDescent="0.35">
      <c r="A13551" t="s">
        <v>229</v>
      </c>
      <c r="B13551" t="s">
        <v>238</v>
      </c>
      <c r="C13551" s="26">
        <v>0.61029999999999995</v>
      </c>
      <c r="D13551" s="26">
        <v>0.16889999999999999</v>
      </c>
      <c r="E13551" s="26">
        <v>0.1096</v>
      </c>
      <c r="F13551" s="26">
        <v>6.54E-2</v>
      </c>
      <c r="G13551" s="26">
        <v>4.4999999999999998E-2</v>
      </c>
      <c r="H13551" s="26">
        <v>8.0000000000000004E-4</v>
      </c>
      <c r="I13551">
        <v>392</v>
      </c>
    </row>
    <row r="13552" spans="1:9" x14ac:dyDescent="0.35">
      <c r="A13552" t="s">
        <v>230</v>
      </c>
      <c r="B13552" t="s">
        <v>239</v>
      </c>
      <c r="C13552" s="26">
        <v>0.77759999999999996</v>
      </c>
      <c r="D13552" s="26">
        <v>5.5599999999999997E-2</v>
      </c>
      <c r="E13552" s="26">
        <v>0.1114</v>
      </c>
      <c r="F13552" s="26">
        <v>1.7999999999999999E-2</v>
      </c>
      <c r="G13552" s="26">
        <v>3.7400000000000003E-2</v>
      </c>
      <c r="I13552">
        <v>160</v>
      </c>
    </row>
    <row r="13553" spans="1:9" x14ac:dyDescent="0.35">
      <c r="A13553" t="s">
        <v>230</v>
      </c>
      <c r="B13553" t="s">
        <v>238</v>
      </c>
      <c r="C13553" s="26">
        <v>0.58699999999999997</v>
      </c>
      <c r="D13553" s="26">
        <v>0.123</v>
      </c>
      <c r="E13553" s="26">
        <v>0.2074</v>
      </c>
      <c r="F13553" s="26">
        <v>3.6700000000000003E-2</v>
      </c>
      <c r="G13553" s="26">
        <v>4.53E-2</v>
      </c>
      <c r="H13553" s="26">
        <v>5.9999999999999995E-4</v>
      </c>
      <c r="I13553">
        <v>244</v>
      </c>
    </row>
    <row r="13554" spans="1:9" x14ac:dyDescent="0.35">
      <c r="A13554" t="s">
        <v>231</v>
      </c>
      <c r="B13554" t="s">
        <v>239</v>
      </c>
      <c r="C13554" s="26">
        <v>0.90910000000000002</v>
      </c>
      <c r="D13554" s="26">
        <v>6.0600000000000001E-2</v>
      </c>
      <c r="F13554" s="26">
        <v>3.0300000000000001E-2</v>
      </c>
      <c r="I13554">
        <v>33</v>
      </c>
    </row>
    <row r="13555" spans="1:9" x14ac:dyDescent="0.35">
      <c r="A13555" t="s">
        <v>231</v>
      </c>
      <c r="B13555" t="s">
        <v>238</v>
      </c>
      <c r="C13555" s="26">
        <v>0.75760000000000005</v>
      </c>
      <c r="D13555" s="26">
        <v>9.0899999999999995E-2</v>
      </c>
      <c r="E13555" s="26">
        <v>4.5499999999999999E-2</v>
      </c>
      <c r="F13555" s="26">
        <v>6.0600000000000001E-2</v>
      </c>
      <c r="G13555" s="26">
        <v>4.5499999999999999E-2</v>
      </c>
      <c r="I13555">
        <v>66</v>
      </c>
    </row>
    <row r="13556" spans="1:9" x14ac:dyDescent="0.35">
      <c r="A13556" t="s">
        <v>232</v>
      </c>
      <c r="B13556" t="s">
        <v>232</v>
      </c>
      <c r="C13556" s="26">
        <v>0.69199999999999995</v>
      </c>
      <c r="D13556" s="26">
        <v>0.12130000000000001</v>
      </c>
      <c r="E13556" s="26">
        <v>9.8900000000000002E-2</v>
      </c>
      <c r="F13556" s="26">
        <v>4.8399999999999999E-2</v>
      </c>
      <c r="G13556" s="26">
        <v>3.6999999999999998E-2</v>
      </c>
      <c r="H13556" s="26">
        <v>2.5000000000000001E-3</v>
      </c>
      <c r="I13556">
        <v>1963</v>
      </c>
    </row>
    <row r="13558" spans="1:9" x14ac:dyDescent="0.35">
      <c r="A13558" s="1" t="s">
        <v>1522</v>
      </c>
    </row>
    <row r="13559" spans="1:9" x14ac:dyDescent="0.35">
      <c r="A13559" t="s">
        <v>219</v>
      </c>
      <c r="B13559" t="s">
        <v>305</v>
      </c>
      <c r="C13559" t="s">
        <v>576</v>
      </c>
      <c r="D13559" t="s">
        <v>580</v>
      </c>
      <c r="E13559" t="s">
        <v>579</v>
      </c>
      <c r="F13559" t="s">
        <v>281</v>
      </c>
      <c r="G13559" t="s">
        <v>578</v>
      </c>
      <c r="H13559" t="s">
        <v>286</v>
      </c>
      <c r="I13559" t="s">
        <v>226</v>
      </c>
    </row>
    <row r="13560" spans="1:9" x14ac:dyDescent="0.35">
      <c r="A13560" t="s">
        <v>227</v>
      </c>
      <c r="B13560" t="s">
        <v>244</v>
      </c>
      <c r="C13560" s="26">
        <v>0.88570000000000004</v>
      </c>
      <c r="D13560" s="26">
        <v>0.1143</v>
      </c>
      <c r="I13560">
        <v>70</v>
      </c>
    </row>
    <row r="13561" spans="1:9" x14ac:dyDescent="0.35">
      <c r="A13561" t="s">
        <v>227</v>
      </c>
      <c r="B13561" t="s">
        <v>245</v>
      </c>
      <c r="C13561" s="26">
        <v>0.69699999999999995</v>
      </c>
      <c r="D13561" s="26">
        <v>0.1212</v>
      </c>
      <c r="E13561" s="26">
        <v>0.1212</v>
      </c>
      <c r="F13561" s="26">
        <v>3.0300000000000001E-2</v>
      </c>
      <c r="G13561" s="26">
        <v>3.0300000000000001E-2</v>
      </c>
      <c r="I13561">
        <v>33</v>
      </c>
    </row>
    <row r="13562" spans="1:9" x14ac:dyDescent="0.35">
      <c r="A13562" s="27" t="s">
        <v>227</v>
      </c>
      <c r="B13562" s="27" t="s">
        <v>246</v>
      </c>
      <c r="C13562" s="28">
        <v>0.875</v>
      </c>
      <c r="D13562" s="28">
        <v>0.125</v>
      </c>
      <c r="E13562" s="29"/>
      <c r="F13562" s="29"/>
      <c r="G13562" s="29"/>
      <c r="H13562" s="29"/>
      <c r="I13562" s="29" t="s">
        <v>333</v>
      </c>
    </row>
    <row r="13563" spans="1:9" x14ac:dyDescent="0.35">
      <c r="A13563" t="s">
        <v>228</v>
      </c>
      <c r="B13563" t="s">
        <v>244</v>
      </c>
      <c r="C13563" s="26">
        <v>0.58909999999999996</v>
      </c>
      <c r="D13563" s="26">
        <v>0.14849999999999999</v>
      </c>
      <c r="E13563" s="26">
        <v>0.1656</v>
      </c>
      <c r="F13563" s="26">
        <v>4.9500000000000002E-2</v>
      </c>
      <c r="G13563" s="26">
        <v>4.6100000000000002E-2</v>
      </c>
      <c r="H13563" s="26">
        <v>1.1999999999999999E-3</v>
      </c>
      <c r="I13563">
        <v>436</v>
      </c>
    </row>
    <row r="13564" spans="1:9" x14ac:dyDescent="0.35">
      <c r="A13564" t="s">
        <v>228</v>
      </c>
      <c r="B13564" t="s">
        <v>245</v>
      </c>
      <c r="C13564" s="26">
        <v>0.54049999999999998</v>
      </c>
      <c r="D13564" s="26">
        <v>0.10539999999999999</v>
      </c>
      <c r="E13564" s="26">
        <v>0.1925</v>
      </c>
      <c r="F13564" s="26">
        <v>7.2800000000000004E-2</v>
      </c>
      <c r="G13564" s="26">
        <v>7.3200000000000001E-2</v>
      </c>
      <c r="H13564" s="26">
        <v>1.5599999999999999E-2</v>
      </c>
      <c r="I13564">
        <v>245</v>
      </c>
    </row>
    <row r="13565" spans="1:9" x14ac:dyDescent="0.35">
      <c r="A13565" t="s">
        <v>228</v>
      </c>
      <c r="B13565" t="s">
        <v>246</v>
      </c>
      <c r="C13565" s="26">
        <v>0.55800000000000005</v>
      </c>
      <c r="D13565" s="26">
        <v>0.15379999999999999</v>
      </c>
      <c r="E13565" s="26">
        <v>0.16239999999999999</v>
      </c>
      <c r="F13565" s="26">
        <v>3.2300000000000002E-2</v>
      </c>
      <c r="G13565" s="26">
        <v>9.3600000000000003E-2</v>
      </c>
      <c r="I13565">
        <v>46</v>
      </c>
    </row>
    <row r="13566" spans="1:9" x14ac:dyDescent="0.35">
      <c r="A13566" t="s">
        <v>229</v>
      </c>
      <c r="B13566" t="s">
        <v>244</v>
      </c>
      <c r="C13566" s="26">
        <v>0.61660000000000004</v>
      </c>
      <c r="D13566" s="26">
        <v>0.17749999999999999</v>
      </c>
      <c r="E13566" s="26">
        <v>0.11260000000000001</v>
      </c>
      <c r="F13566" s="26">
        <v>5.0900000000000001E-2</v>
      </c>
      <c r="G13566" s="26">
        <v>4.1700000000000001E-2</v>
      </c>
      <c r="H13566" s="26">
        <v>6.9999999999999999E-4</v>
      </c>
      <c r="I13566">
        <v>376</v>
      </c>
    </row>
    <row r="13567" spans="1:9" x14ac:dyDescent="0.35">
      <c r="A13567" t="s">
        <v>229</v>
      </c>
      <c r="B13567" t="s">
        <v>245</v>
      </c>
      <c r="C13567" s="26">
        <v>0.59970000000000001</v>
      </c>
      <c r="D13567" s="26">
        <v>9.0200000000000002E-2</v>
      </c>
      <c r="E13567" s="26">
        <v>0.11550000000000001</v>
      </c>
      <c r="F13567" s="26">
        <v>0.13239999999999999</v>
      </c>
      <c r="G13567" s="26">
        <v>4.6699999999999998E-2</v>
      </c>
      <c r="H13567" s="26">
        <v>1.5599999999999999E-2</v>
      </c>
      <c r="I13567">
        <v>212</v>
      </c>
    </row>
    <row r="13568" spans="1:9" x14ac:dyDescent="0.35">
      <c r="A13568" t="s">
        <v>229</v>
      </c>
      <c r="B13568" t="s">
        <v>246</v>
      </c>
      <c r="C13568" s="26">
        <v>0.72409999999999997</v>
      </c>
      <c r="D13568" s="26">
        <v>0.1772</v>
      </c>
      <c r="E13568" s="26">
        <v>8.5599999999999996E-2</v>
      </c>
      <c r="G13568" s="26">
        <v>1.2999999999999999E-2</v>
      </c>
      <c r="I13568">
        <v>34</v>
      </c>
    </row>
    <row r="13569" spans="1:9" x14ac:dyDescent="0.35">
      <c r="A13569" t="s">
        <v>230</v>
      </c>
      <c r="B13569" t="s">
        <v>244</v>
      </c>
      <c r="C13569" s="26">
        <v>0.64610000000000001</v>
      </c>
      <c r="D13569" s="26">
        <v>0.1174</v>
      </c>
      <c r="E13569" s="26">
        <v>0.17849999999999999</v>
      </c>
      <c r="F13569" s="26">
        <v>0.01</v>
      </c>
      <c r="G13569" s="26">
        <v>4.7399999999999998E-2</v>
      </c>
      <c r="H13569" s="26">
        <v>5.9999999999999995E-4</v>
      </c>
      <c r="I13569">
        <v>270</v>
      </c>
    </row>
    <row r="13570" spans="1:9" x14ac:dyDescent="0.35">
      <c r="A13570" t="s">
        <v>230</v>
      </c>
      <c r="B13570" t="s">
        <v>245</v>
      </c>
      <c r="C13570" s="26">
        <v>0.61699999999999999</v>
      </c>
      <c r="D13570" s="26">
        <v>6.5500000000000003E-2</v>
      </c>
      <c r="E13570" s="26">
        <v>0.1933</v>
      </c>
      <c r="F13570" s="26">
        <v>8.6900000000000005E-2</v>
      </c>
      <c r="G13570" s="26">
        <v>3.73E-2</v>
      </c>
      <c r="I13570">
        <v>117</v>
      </c>
    </row>
    <row r="13571" spans="1:9" x14ac:dyDescent="0.35">
      <c r="A13571" s="27" t="s">
        <v>230</v>
      </c>
      <c r="B13571" s="27" t="s">
        <v>246</v>
      </c>
      <c r="C13571" s="28">
        <v>0.86339999999999995</v>
      </c>
      <c r="D13571" s="28">
        <v>9.1399999999999995E-2</v>
      </c>
      <c r="E13571" s="28">
        <v>4.53E-2</v>
      </c>
      <c r="F13571" s="29"/>
      <c r="G13571" s="29"/>
      <c r="H13571" s="29"/>
      <c r="I13571" s="29" t="s">
        <v>343</v>
      </c>
    </row>
    <row r="13572" spans="1:9" x14ac:dyDescent="0.35">
      <c r="A13572" t="s">
        <v>231</v>
      </c>
      <c r="B13572" t="s">
        <v>244</v>
      </c>
      <c r="C13572" s="26">
        <v>0.78</v>
      </c>
      <c r="D13572" s="26">
        <v>0.08</v>
      </c>
      <c r="E13572" s="26">
        <v>0.04</v>
      </c>
      <c r="F13572" s="26">
        <v>0.08</v>
      </c>
      <c r="G13572" s="26">
        <v>0.02</v>
      </c>
      <c r="I13572">
        <v>50</v>
      </c>
    </row>
    <row r="13573" spans="1:9" x14ac:dyDescent="0.35">
      <c r="A13573" t="s">
        <v>231</v>
      </c>
      <c r="B13573" t="s">
        <v>245</v>
      </c>
      <c r="C13573" s="26">
        <v>0.82499999999999996</v>
      </c>
      <c r="D13573" s="26">
        <v>7.4999999999999997E-2</v>
      </c>
      <c r="E13573" s="26">
        <v>2.5000000000000001E-2</v>
      </c>
      <c r="F13573" s="26">
        <v>2.5000000000000001E-2</v>
      </c>
      <c r="G13573" s="26">
        <v>0.05</v>
      </c>
      <c r="I13573">
        <v>40</v>
      </c>
    </row>
    <row r="13574" spans="1:9" x14ac:dyDescent="0.35">
      <c r="A13574" s="27" t="s">
        <v>231</v>
      </c>
      <c r="B13574" s="27" t="s">
        <v>246</v>
      </c>
      <c r="C13574" s="28">
        <v>0.88890000000000002</v>
      </c>
      <c r="D13574" s="28">
        <v>0.1111</v>
      </c>
      <c r="E13574" s="29"/>
      <c r="F13574" s="29"/>
      <c r="G13574" s="29"/>
      <c r="H13574" s="29"/>
      <c r="I13574" s="29" t="s">
        <v>334</v>
      </c>
    </row>
    <row r="13575" spans="1:9" x14ac:dyDescent="0.35">
      <c r="A13575" t="s">
        <v>232</v>
      </c>
      <c r="B13575" t="s">
        <v>232</v>
      </c>
      <c r="C13575" s="26">
        <v>0.69199999999999995</v>
      </c>
      <c r="D13575" s="26">
        <v>0.12130000000000001</v>
      </c>
      <c r="E13575" s="26">
        <v>9.8900000000000002E-2</v>
      </c>
      <c r="F13575" s="26">
        <v>4.8399999999999999E-2</v>
      </c>
      <c r="G13575" s="26">
        <v>3.6999999999999998E-2</v>
      </c>
      <c r="H13575" s="26">
        <v>2.5000000000000001E-3</v>
      </c>
      <c r="I13575">
        <v>1963</v>
      </c>
    </row>
    <row r="13577" spans="1:9" x14ac:dyDescent="0.35">
      <c r="A13577" s="1" t="s">
        <v>1523</v>
      </c>
    </row>
    <row r="13578" spans="1:9" x14ac:dyDescent="0.35">
      <c r="A13578" t="s">
        <v>219</v>
      </c>
      <c r="B13578" t="s">
        <v>305</v>
      </c>
      <c r="C13578" t="s">
        <v>576</v>
      </c>
      <c r="D13578" t="s">
        <v>580</v>
      </c>
      <c r="E13578" t="s">
        <v>579</v>
      </c>
      <c r="F13578" t="s">
        <v>281</v>
      </c>
      <c r="G13578" t="s">
        <v>578</v>
      </c>
      <c r="H13578" t="s">
        <v>286</v>
      </c>
      <c r="I13578" t="s">
        <v>226</v>
      </c>
    </row>
    <row r="13579" spans="1:9" x14ac:dyDescent="0.35">
      <c r="A13579" s="27" t="s">
        <v>227</v>
      </c>
      <c r="B13579" s="27" t="s">
        <v>360</v>
      </c>
      <c r="C13579" s="28">
        <v>0.78569999999999995</v>
      </c>
      <c r="D13579" s="28">
        <v>0.1429</v>
      </c>
      <c r="E13579" s="28">
        <v>7.1400000000000005E-2</v>
      </c>
      <c r="F13579" s="29"/>
      <c r="G13579" s="29"/>
      <c r="H13579" s="29"/>
      <c r="I13579" s="29" t="s">
        <v>336</v>
      </c>
    </row>
    <row r="13580" spans="1:9" x14ac:dyDescent="0.35">
      <c r="A13580" s="27" t="s">
        <v>227</v>
      </c>
      <c r="B13580" s="27" t="s">
        <v>361</v>
      </c>
      <c r="C13580" s="28">
        <v>0.95</v>
      </c>
      <c r="D13580" s="28">
        <v>0.05</v>
      </c>
      <c r="E13580" s="29"/>
      <c r="F13580" s="29"/>
      <c r="G13580" s="29"/>
      <c r="H13580" s="29"/>
      <c r="I13580" s="29" t="s">
        <v>350</v>
      </c>
    </row>
    <row r="13581" spans="1:9" x14ac:dyDescent="0.35">
      <c r="A13581" s="27" t="s">
        <v>227</v>
      </c>
      <c r="B13581" s="27" t="s">
        <v>362</v>
      </c>
      <c r="C13581" s="28">
        <v>0.80769999999999997</v>
      </c>
      <c r="D13581" s="28">
        <v>0.15379999999999999</v>
      </c>
      <c r="E13581" s="29"/>
      <c r="F13581" s="28">
        <v>3.85E-2</v>
      </c>
      <c r="G13581" s="29"/>
      <c r="H13581" s="29"/>
      <c r="I13581" s="29" t="s">
        <v>357</v>
      </c>
    </row>
    <row r="13582" spans="1:9" x14ac:dyDescent="0.35">
      <c r="A13582" t="s">
        <v>227</v>
      </c>
      <c r="B13582" t="s">
        <v>363</v>
      </c>
      <c r="C13582" s="26">
        <v>0.83330000000000004</v>
      </c>
      <c r="D13582" s="26">
        <v>6.6699999999999995E-2</v>
      </c>
      <c r="E13582" s="26">
        <v>6.6699999999999995E-2</v>
      </c>
      <c r="G13582" s="26">
        <v>3.3300000000000003E-2</v>
      </c>
      <c r="I13582">
        <v>30</v>
      </c>
    </row>
    <row r="13583" spans="1:9" x14ac:dyDescent="0.35">
      <c r="A13583" t="s">
        <v>228</v>
      </c>
      <c r="B13583" t="s">
        <v>360</v>
      </c>
      <c r="C13583" s="26">
        <v>0.54320000000000002</v>
      </c>
      <c r="D13583" s="26">
        <v>0.1045</v>
      </c>
      <c r="E13583" s="26">
        <v>0.23899999999999999</v>
      </c>
      <c r="F13583" s="26">
        <v>5.8200000000000002E-2</v>
      </c>
      <c r="G13583" s="26">
        <v>3.4299999999999997E-2</v>
      </c>
      <c r="H13583" s="26">
        <v>2.0799999999999999E-2</v>
      </c>
      <c r="I13583">
        <v>204</v>
      </c>
    </row>
    <row r="13584" spans="1:9" x14ac:dyDescent="0.35">
      <c r="A13584" t="s">
        <v>228</v>
      </c>
      <c r="B13584" t="s">
        <v>361</v>
      </c>
      <c r="C13584" s="26">
        <v>0.55920000000000003</v>
      </c>
      <c r="D13584" s="26">
        <v>0.16170000000000001</v>
      </c>
      <c r="E13584" s="26">
        <v>0.2024</v>
      </c>
      <c r="F13584" s="26">
        <v>3.4299999999999997E-2</v>
      </c>
      <c r="G13584" s="26">
        <v>4.2299999999999997E-2</v>
      </c>
      <c r="I13584">
        <v>108</v>
      </c>
    </row>
    <row r="13585" spans="1:9" x14ac:dyDescent="0.35">
      <c r="A13585" t="s">
        <v>228</v>
      </c>
      <c r="B13585" t="s">
        <v>363</v>
      </c>
      <c r="C13585" s="26">
        <v>0.59179999999999999</v>
      </c>
      <c r="D13585" s="26">
        <v>0.1356</v>
      </c>
      <c r="E13585" s="26">
        <v>0.123</v>
      </c>
      <c r="F13585" s="26">
        <v>6.5600000000000006E-2</v>
      </c>
      <c r="G13585" s="26">
        <v>8.4199999999999997E-2</v>
      </c>
      <c r="I13585">
        <v>149</v>
      </c>
    </row>
    <row r="13586" spans="1:9" x14ac:dyDescent="0.35">
      <c r="A13586" t="s">
        <v>228</v>
      </c>
      <c r="B13586" t="s">
        <v>362</v>
      </c>
      <c r="C13586" s="26">
        <v>0.61160000000000003</v>
      </c>
      <c r="D13586" s="26">
        <v>0.159</v>
      </c>
      <c r="E13586" s="26">
        <v>0.13880000000000001</v>
      </c>
      <c r="F13586" s="26">
        <v>4.5100000000000001E-2</v>
      </c>
      <c r="G13586" s="26">
        <v>4.5600000000000002E-2</v>
      </c>
      <c r="I13586">
        <v>176</v>
      </c>
    </row>
    <row r="13587" spans="1:9" x14ac:dyDescent="0.35">
      <c r="A13587" t="s">
        <v>229</v>
      </c>
      <c r="B13587" t="s">
        <v>363</v>
      </c>
      <c r="C13587" s="26">
        <v>0.73440000000000005</v>
      </c>
      <c r="D13587" s="26">
        <v>0.1236</v>
      </c>
      <c r="E13587" s="26">
        <v>4.7E-2</v>
      </c>
      <c r="F13587" s="26">
        <v>9.11E-2</v>
      </c>
      <c r="G13587" s="26">
        <v>3.2000000000000002E-3</v>
      </c>
      <c r="H13587" s="26">
        <v>6.9999999999999999E-4</v>
      </c>
      <c r="I13587">
        <v>136</v>
      </c>
    </row>
    <row r="13588" spans="1:9" x14ac:dyDescent="0.35">
      <c r="A13588" t="s">
        <v>229</v>
      </c>
      <c r="B13588" t="s">
        <v>360</v>
      </c>
      <c r="C13588" s="26">
        <v>0.54479999999999995</v>
      </c>
      <c r="D13588" s="26">
        <v>0.17979999999999999</v>
      </c>
      <c r="E13588" s="26">
        <v>0.1426</v>
      </c>
      <c r="F13588" s="26">
        <v>7.5300000000000006E-2</v>
      </c>
      <c r="G13588" s="26">
        <v>3.4599999999999999E-2</v>
      </c>
      <c r="H13588" s="26">
        <v>2.29E-2</v>
      </c>
      <c r="I13588">
        <v>121</v>
      </c>
    </row>
    <row r="13589" spans="1:9" x14ac:dyDescent="0.35">
      <c r="A13589" t="s">
        <v>229</v>
      </c>
      <c r="B13589" t="s">
        <v>361</v>
      </c>
      <c r="C13589" s="26">
        <v>0.52810000000000001</v>
      </c>
      <c r="D13589" s="26">
        <v>0.1953</v>
      </c>
      <c r="E13589" s="26">
        <v>0.15040000000000001</v>
      </c>
      <c r="F13589" s="26">
        <v>3.8199999999999998E-2</v>
      </c>
      <c r="G13589" s="26">
        <v>8.7900000000000006E-2</v>
      </c>
      <c r="I13589">
        <v>146</v>
      </c>
    </row>
    <row r="13590" spans="1:9" x14ac:dyDescent="0.35">
      <c r="A13590" t="s">
        <v>229</v>
      </c>
      <c r="B13590" t="s">
        <v>362</v>
      </c>
      <c r="C13590" s="26">
        <v>0.70150000000000001</v>
      </c>
      <c r="D13590" s="26">
        <v>0.1225</v>
      </c>
      <c r="E13590" s="26">
        <v>7.51E-2</v>
      </c>
      <c r="F13590" s="26">
        <v>9.5699999999999993E-2</v>
      </c>
      <c r="G13590" s="26">
        <v>5.1000000000000004E-3</v>
      </c>
      <c r="I13590">
        <v>130</v>
      </c>
    </row>
    <row r="13591" spans="1:9" x14ac:dyDescent="0.35">
      <c r="A13591" t="s">
        <v>230</v>
      </c>
      <c r="B13591" t="s">
        <v>360</v>
      </c>
      <c r="C13591" s="26">
        <v>0.61970000000000003</v>
      </c>
      <c r="D13591" s="26">
        <v>8.77E-2</v>
      </c>
      <c r="E13591" s="26">
        <v>0.12529999999999999</v>
      </c>
      <c r="F13591" s="26">
        <v>8.5699999999999998E-2</v>
      </c>
      <c r="G13591" s="26">
        <v>8.1500000000000003E-2</v>
      </c>
      <c r="I13591">
        <v>92</v>
      </c>
    </row>
    <row r="13592" spans="1:9" x14ac:dyDescent="0.35">
      <c r="A13592" t="s">
        <v>230</v>
      </c>
      <c r="B13592" t="s">
        <v>363</v>
      </c>
      <c r="C13592" s="26">
        <v>0.55269999999999997</v>
      </c>
      <c r="D13592" s="26">
        <v>0.1313</v>
      </c>
      <c r="E13592" s="26">
        <v>0.25380000000000003</v>
      </c>
      <c r="F13592" s="26">
        <v>1.52E-2</v>
      </c>
      <c r="G13592" s="26">
        <v>4.5600000000000002E-2</v>
      </c>
      <c r="H13592" s="26">
        <v>1.4E-3</v>
      </c>
      <c r="I13592">
        <v>100</v>
      </c>
    </row>
    <row r="13593" spans="1:9" x14ac:dyDescent="0.35">
      <c r="A13593" t="s">
        <v>230</v>
      </c>
      <c r="B13593" t="s">
        <v>361</v>
      </c>
      <c r="C13593" s="26">
        <v>0.66539999999999999</v>
      </c>
      <c r="D13593" s="26">
        <v>0.183</v>
      </c>
      <c r="E13593" s="26">
        <v>0.1111</v>
      </c>
      <c r="F13593" s="26">
        <v>2.12E-2</v>
      </c>
      <c r="G13593" s="26">
        <v>1.9300000000000001E-2</v>
      </c>
      <c r="I13593">
        <v>66</v>
      </c>
    </row>
    <row r="13594" spans="1:9" x14ac:dyDescent="0.35">
      <c r="A13594" t="s">
        <v>230</v>
      </c>
      <c r="B13594" t="s">
        <v>362</v>
      </c>
      <c r="C13594" s="26">
        <v>0.73199999999999998</v>
      </c>
      <c r="D13594" s="26">
        <v>2.12E-2</v>
      </c>
      <c r="E13594" s="26">
        <v>0.20899999999999999</v>
      </c>
      <c r="F13594" s="26">
        <v>1.6400000000000001E-2</v>
      </c>
      <c r="G13594" s="26">
        <v>2.1299999999999999E-2</v>
      </c>
      <c r="I13594">
        <v>111</v>
      </c>
    </row>
    <row r="13595" spans="1:9" x14ac:dyDescent="0.35">
      <c r="A13595" s="27" t="s">
        <v>231</v>
      </c>
      <c r="B13595" s="27" t="s">
        <v>362</v>
      </c>
      <c r="C13595" s="28">
        <v>0.89470000000000005</v>
      </c>
      <c r="D13595" s="29"/>
      <c r="E13595" s="29"/>
      <c r="F13595" s="28">
        <v>0.1053</v>
      </c>
      <c r="G13595" s="29"/>
      <c r="H13595" s="29"/>
      <c r="I13595" s="29" t="s">
        <v>349</v>
      </c>
    </row>
    <row r="13596" spans="1:9" x14ac:dyDescent="0.35">
      <c r="A13596" s="27" t="s">
        <v>231</v>
      </c>
      <c r="B13596" s="27" t="s">
        <v>361</v>
      </c>
      <c r="C13596" s="28">
        <v>0.6522</v>
      </c>
      <c r="D13596" s="28">
        <v>0.1739</v>
      </c>
      <c r="E13596" s="28">
        <v>8.6999999999999994E-2</v>
      </c>
      <c r="F13596" s="28">
        <v>4.3499999999999997E-2</v>
      </c>
      <c r="G13596" s="28">
        <v>4.3499999999999997E-2</v>
      </c>
      <c r="H13596" s="29"/>
      <c r="I13596" s="29" t="s">
        <v>328</v>
      </c>
    </row>
    <row r="13597" spans="1:9" x14ac:dyDescent="0.35">
      <c r="A13597" s="27" t="s">
        <v>231</v>
      </c>
      <c r="B13597" s="27" t="s">
        <v>360</v>
      </c>
      <c r="C13597" s="28">
        <v>0.8276</v>
      </c>
      <c r="D13597" s="28">
        <v>6.9000000000000006E-2</v>
      </c>
      <c r="E13597" s="28">
        <v>3.4500000000000003E-2</v>
      </c>
      <c r="F13597" s="28">
        <v>6.9000000000000006E-2</v>
      </c>
      <c r="G13597" s="29"/>
      <c r="H13597" s="29"/>
      <c r="I13597" s="29" t="s">
        <v>329</v>
      </c>
    </row>
    <row r="13598" spans="1:9" x14ac:dyDescent="0.35">
      <c r="A13598" s="27" t="s">
        <v>231</v>
      </c>
      <c r="B13598" s="27" t="s">
        <v>363</v>
      </c>
      <c r="C13598" s="28">
        <v>0.8125</v>
      </c>
      <c r="D13598" s="28">
        <v>0.125</v>
      </c>
      <c r="E13598" s="29"/>
      <c r="F13598" s="29"/>
      <c r="G13598" s="28">
        <v>6.25E-2</v>
      </c>
      <c r="H13598" s="29"/>
      <c r="I13598" s="29" t="s">
        <v>348</v>
      </c>
    </row>
    <row r="13599" spans="1:9" x14ac:dyDescent="0.35">
      <c r="A13599" t="s">
        <v>232</v>
      </c>
      <c r="B13599" t="s">
        <v>232</v>
      </c>
      <c r="C13599" s="26">
        <v>0.69199999999999995</v>
      </c>
      <c r="D13599" s="26">
        <v>0.12130000000000001</v>
      </c>
      <c r="E13599" s="26">
        <v>9.8900000000000002E-2</v>
      </c>
      <c r="F13599" s="26">
        <v>4.8399999999999999E-2</v>
      </c>
      <c r="G13599" s="26">
        <v>3.6999999999999998E-2</v>
      </c>
      <c r="H13599" s="26">
        <v>2.5000000000000001E-3</v>
      </c>
      <c r="I13599">
        <v>1730</v>
      </c>
    </row>
    <row r="13601" spans="1:9" x14ac:dyDescent="0.35">
      <c r="A13601" s="1" t="s">
        <v>1524</v>
      </c>
    </row>
    <row r="13602" spans="1:9" x14ac:dyDescent="0.35">
      <c r="A13602" t="s">
        <v>219</v>
      </c>
      <c r="B13602" t="s">
        <v>305</v>
      </c>
      <c r="C13602" t="s">
        <v>576</v>
      </c>
      <c r="D13602" t="s">
        <v>580</v>
      </c>
      <c r="E13602" t="s">
        <v>579</v>
      </c>
      <c r="F13602" t="s">
        <v>281</v>
      </c>
      <c r="G13602" t="s">
        <v>578</v>
      </c>
      <c r="H13602" t="s">
        <v>286</v>
      </c>
      <c r="I13602" t="s">
        <v>226</v>
      </c>
    </row>
    <row r="13603" spans="1:9" x14ac:dyDescent="0.35">
      <c r="A13603" s="27" t="s">
        <v>227</v>
      </c>
      <c r="B13603" s="27" t="s">
        <v>267</v>
      </c>
      <c r="C13603" s="28">
        <v>0.72729999999999995</v>
      </c>
      <c r="D13603" s="28">
        <v>0.2727</v>
      </c>
      <c r="E13603" s="29"/>
      <c r="F13603" s="29"/>
      <c r="G13603" s="29"/>
      <c r="H13603" s="29"/>
      <c r="I13603" s="29" t="s">
        <v>352</v>
      </c>
    </row>
    <row r="13604" spans="1:9" x14ac:dyDescent="0.35">
      <c r="A13604" t="s">
        <v>227</v>
      </c>
      <c r="B13604" t="s">
        <v>266</v>
      </c>
      <c r="C13604" s="26">
        <v>0.78949999999999998</v>
      </c>
      <c r="D13604" s="26">
        <v>0.1053</v>
      </c>
      <c r="E13604" s="26">
        <v>7.0199999999999999E-2</v>
      </c>
      <c r="F13604" s="26">
        <v>1.7500000000000002E-2</v>
      </c>
      <c r="G13604" s="26">
        <v>1.7500000000000002E-2</v>
      </c>
      <c r="I13604">
        <v>57</v>
      </c>
    </row>
    <row r="13605" spans="1:9" x14ac:dyDescent="0.35">
      <c r="A13605" t="s">
        <v>227</v>
      </c>
      <c r="B13605" t="s">
        <v>265</v>
      </c>
      <c r="C13605" s="26">
        <v>0.90700000000000003</v>
      </c>
      <c r="D13605" s="26">
        <v>9.2999999999999999E-2</v>
      </c>
      <c r="I13605">
        <v>43</v>
      </c>
    </row>
    <row r="13606" spans="1:9" x14ac:dyDescent="0.35">
      <c r="A13606" t="s">
        <v>228</v>
      </c>
      <c r="B13606" t="s">
        <v>267</v>
      </c>
      <c r="C13606" s="26">
        <v>0.66700000000000004</v>
      </c>
      <c r="D13606" s="26">
        <v>0.22109999999999999</v>
      </c>
      <c r="E13606" s="26">
        <v>7.7399999999999997E-2</v>
      </c>
      <c r="F13606" s="26">
        <v>1.09E-2</v>
      </c>
      <c r="G13606" s="26">
        <v>2.3599999999999999E-2</v>
      </c>
      <c r="I13606">
        <v>46</v>
      </c>
    </row>
    <row r="13607" spans="1:9" x14ac:dyDescent="0.35">
      <c r="A13607" t="s">
        <v>228</v>
      </c>
      <c r="B13607" t="s">
        <v>265</v>
      </c>
      <c r="C13607" s="26">
        <v>0.59230000000000005</v>
      </c>
      <c r="D13607" s="26">
        <v>0.1424</v>
      </c>
      <c r="E13607" s="26">
        <v>0.15329999999999999</v>
      </c>
      <c r="F13607" s="26">
        <v>4.7800000000000002E-2</v>
      </c>
      <c r="G13607" s="26">
        <v>6.4299999999999996E-2</v>
      </c>
      <c r="I13607">
        <v>241</v>
      </c>
    </row>
    <row r="13608" spans="1:9" x14ac:dyDescent="0.35">
      <c r="A13608" s="27" t="s">
        <v>228</v>
      </c>
      <c r="B13608" s="27" t="s">
        <v>236</v>
      </c>
      <c r="C13608" s="29"/>
      <c r="D13608" s="29"/>
      <c r="E13608" s="28">
        <v>1</v>
      </c>
      <c r="F13608" s="29"/>
      <c r="G13608" s="29"/>
      <c r="H13608" s="29"/>
      <c r="I13608" s="29" t="s">
        <v>331</v>
      </c>
    </row>
    <row r="13609" spans="1:9" x14ac:dyDescent="0.35">
      <c r="A13609" t="s">
        <v>228</v>
      </c>
      <c r="B13609" t="s">
        <v>266</v>
      </c>
      <c r="C13609" s="26">
        <v>0.55220000000000002</v>
      </c>
      <c r="D13609" s="26">
        <v>0.122</v>
      </c>
      <c r="E13609" s="26">
        <v>0.19170000000000001</v>
      </c>
      <c r="F13609" s="26">
        <v>6.6199999999999995E-2</v>
      </c>
      <c r="G13609" s="26">
        <v>5.8099999999999999E-2</v>
      </c>
      <c r="H13609" s="26">
        <v>9.7000000000000003E-3</v>
      </c>
      <c r="I13609">
        <v>439</v>
      </c>
    </row>
    <row r="13610" spans="1:9" x14ac:dyDescent="0.35">
      <c r="A13610" t="s">
        <v>229</v>
      </c>
      <c r="B13610" t="s">
        <v>266</v>
      </c>
      <c r="C13610" s="26">
        <v>0.6371</v>
      </c>
      <c r="D13610" s="26">
        <v>0.12809999999999999</v>
      </c>
      <c r="E13610" s="26">
        <v>0.1038</v>
      </c>
      <c r="F13610" s="26">
        <v>9.1499999999999998E-2</v>
      </c>
      <c r="G13610" s="26">
        <v>3.1099999999999999E-2</v>
      </c>
      <c r="H13610" s="26">
        <v>8.3999999999999995E-3</v>
      </c>
      <c r="I13610">
        <v>347</v>
      </c>
    </row>
    <row r="13611" spans="1:9" x14ac:dyDescent="0.35">
      <c r="A13611" t="s">
        <v>229</v>
      </c>
      <c r="B13611" t="s">
        <v>267</v>
      </c>
      <c r="C13611" s="26">
        <v>0.66239999999999999</v>
      </c>
      <c r="D13611" s="26">
        <v>0.13730000000000001</v>
      </c>
      <c r="E13611" s="26">
        <v>4.9500000000000002E-2</v>
      </c>
      <c r="F13611" s="26">
        <v>4.0399999999999998E-2</v>
      </c>
      <c r="G13611" s="26">
        <v>0.1103</v>
      </c>
      <c r="I13611">
        <v>66</v>
      </c>
    </row>
    <row r="13612" spans="1:9" x14ac:dyDescent="0.35">
      <c r="A13612" t="s">
        <v>229</v>
      </c>
      <c r="B13612" t="s">
        <v>265</v>
      </c>
      <c r="C13612" s="26">
        <v>0.58279999999999998</v>
      </c>
      <c r="D13612" s="26">
        <v>0.192</v>
      </c>
      <c r="E13612" s="26">
        <v>0.14030000000000001</v>
      </c>
      <c r="F13612" s="26">
        <v>5.1200000000000002E-2</v>
      </c>
      <c r="G13612" s="26">
        <v>3.2500000000000001E-2</v>
      </c>
      <c r="H13612" s="26">
        <v>1.1999999999999999E-3</v>
      </c>
      <c r="I13612">
        <v>209</v>
      </c>
    </row>
    <row r="13613" spans="1:9" x14ac:dyDescent="0.35">
      <c r="A13613" t="s">
        <v>230</v>
      </c>
      <c r="B13613" t="s">
        <v>267</v>
      </c>
      <c r="C13613" s="26">
        <v>0.62390000000000001</v>
      </c>
      <c r="D13613" s="26">
        <v>0.16850000000000001</v>
      </c>
      <c r="E13613" s="26">
        <v>0.19</v>
      </c>
      <c r="F13613" s="26">
        <v>1.77E-2</v>
      </c>
      <c r="I13613">
        <v>38</v>
      </c>
    </row>
    <row r="13614" spans="1:9" x14ac:dyDescent="0.35">
      <c r="A13614" t="s">
        <v>230</v>
      </c>
      <c r="B13614" t="s">
        <v>266</v>
      </c>
      <c r="C13614" s="26">
        <v>0.59519999999999995</v>
      </c>
      <c r="D13614" s="26">
        <v>9.5299999999999996E-2</v>
      </c>
      <c r="E13614" s="26">
        <v>0.18290000000000001</v>
      </c>
      <c r="F13614" s="26">
        <v>5.5599999999999997E-2</v>
      </c>
      <c r="G13614" s="26">
        <v>7.0999999999999994E-2</v>
      </c>
      <c r="I13614">
        <v>225</v>
      </c>
    </row>
    <row r="13615" spans="1:9" x14ac:dyDescent="0.35">
      <c r="A13615" t="s">
        <v>230</v>
      </c>
      <c r="B13615" t="s">
        <v>265</v>
      </c>
      <c r="C13615" s="26">
        <v>0.71479999999999999</v>
      </c>
      <c r="D13615" s="26">
        <v>9.4899999999999998E-2</v>
      </c>
      <c r="E13615" s="26">
        <v>0.1681</v>
      </c>
      <c r="F13615" s="26">
        <v>3.3E-3</v>
      </c>
      <c r="G13615" s="26">
        <v>1.7899999999999999E-2</v>
      </c>
      <c r="H13615" s="26">
        <v>1E-3</v>
      </c>
      <c r="I13615">
        <v>141</v>
      </c>
    </row>
    <row r="13616" spans="1:9" x14ac:dyDescent="0.35">
      <c r="A13616" s="27" t="s">
        <v>231</v>
      </c>
      <c r="B13616" s="27" t="s">
        <v>267</v>
      </c>
      <c r="C13616" s="28">
        <v>0.66669999999999996</v>
      </c>
      <c r="D13616" s="28">
        <v>0.1111</v>
      </c>
      <c r="E13616" s="28">
        <v>0.1111</v>
      </c>
      <c r="F13616" s="28">
        <v>0.1111</v>
      </c>
      <c r="G13616" s="29"/>
      <c r="H13616" s="29"/>
      <c r="I13616" s="29" t="s">
        <v>334</v>
      </c>
    </row>
    <row r="13617" spans="1:9" x14ac:dyDescent="0.35">
      <c r="A13617" t="s">
        <v>231</v>
      </c>
      <c r="B13617" t="s">
        <v>266</v>
      </c>
      <c r="C13617" s="26">
        <v>0.83050000000000002</v>
      </c>
      <c r="D13617" s="26">
        <v>6.7799999999999999E-2</v>
      </c>
      <c r="E13617" s="26">
        <v>1.6899999999999998E-2</v>
      </c>
      <c r="F13617" s="26">
        <v>3.39E-2</v>
      </c>
      <c r="G13617" s="26">
        <v>5.0799999999999998E-2</v>
      </c>
      <c r="I13617">
        <v>59</v>
      </c>
    </row>
    <row r="13618" spans="1:9" x14ac:dyDescent="0.35">
      <c r="A13618" t="s">
        <v>231</v>
      </c>
      <c r="B13618" t="s">
        <v>265</v>
      </c>
      <c r="C13618" s="26">
        <v>0.80649999999999999</v>
      </c>
      <c r="D13618" s="26">
        <v>9.6799999999999997E-2</v>
      </c>
      <c r="E13618" s="26">
        <v>3.2300000000000002E-2</v>
      </c>
      <c r="F13618" s="26">
        <v>6.4500000000000002E-2</v>
      </c>
      <c r="I13618">
        <v>31</v>
      </c>
    </row>
    <row r="13619" spans="1:9" x14ac:dyDescent="0.35">
      <c r="A13619" t="s">
        <v>232</v>
      </c>
      <c r="B13619" t="s">
        <v>232</v>
      </c>
      <c r="C13619" s="26">
        <v>0.69199999999999995</v>
      </c>
      <c r="D13619" s="26">
        <v>0.12130000000000001</v>
      </c>
      <c r="E13619" s="26">
        <v>9.8900000000000002E-2</v>
      </c>
      <c r="F13619" s="26">
        <v>4.8399999999999999E-2</v>
      </c>
      <c r="G13619" s="26">
        <v>3.6999999999999998E-2</v>
      </c>
      <c r="H13619" s="26">
        <v>2.5000000000000001E-3</v>
      </c>
      <c r="I13619">
        <v>1963</v>
      </c>
    </row>
    <row r="13621" spans="1:9" x14ac:dyDescent="0.35">
      <c r="A13621" s="1" t="s">
        <v>1525</v>
      </c>
    </row>
    <row r="13622" spans="1:9" x14ac:dyDescent="0.35">
      <c r="A13622" t="s">
        <v>219</v>
      </c>
      <c r="B13622" t="s">
        <v>305</v>
      </c>
      <c r="C13622" t="s">
        <v>576</v>
      </c>
      <c r="D13622" t="s">
        <v>580</v>
      </c>
      <c r="E13622" t="s">
        <v>579</v>
      </c>
      <c r="F13622" t="s">
        <v>281</v>
      </c>
      <c r="G13622" t="s">
        <v>578</v>
      </c>
      <c r="H13622" t="s">
        <v>286</v>
      </c>
      <c r="I13622" t="s">
        <v>226</v>
      </c>
    </row>
    <row r="13623" spans="1:9" x14ac:dyDescent="0.35">
      <c r="A13623" t="s">
        <v>227</v>
      </c>
      <c r="B13623" t="s">
        <v>252</v>
      </c>
      <c r="C13623" s="26">
        <v>0.73329999999999995</v>
      </c>
      <c r="D13623" s="26">
        <v>0.1333</v>
      </c>
      <c r="E13623" s="26">
        <v>0.1</v>
      </c>
      <c r="F13623" s="26">
        <v>3.3300000000000003E-2</v>
      </c>
      <c r="I13623">
        <v>30</v>
      </c>
    </row>
    <row r="13624" spans="1:9" x14ac:dyDescent="0.35">
      <c r="A13624" s="27" t="s">
        <v>227</v>
      </c>
      <c r="B13624" s="27" t="s">
        <v>253</v>
      </c>
      <c r="C13624" s="28">
        <v>0.84619999999999995</v>
      </c>
      <c r="D13624" s="28">
        <v>0.15379999999999999</v>
      </c>
      <c r="E13624" s="29"/>
      <c r="F13624" s="29"/>
      <c r="G13624" s="29"/>
      <c r="H13624" s="29"/>
      <c r="I13624" s="29" t="s">
        <v>357</v>
      </c>
    </row>
    <row r="13625" spans="1:9" x14ac:dyDescent="0.35">
      <c r="A13625" t="s">
        <v>227</v>
      </c>
      <c r="B13625" t="s">
        <v>251</v>
      </c>
      <c r="C13625" s="26">
        <v>0.87270000000000003</v>
      </c>
      <c r="D13625" s="26">
        <v>9.0899999999999995E-2</v>
      </c>
      <c r="E13625" s="26">
        <v>1.8200000000000001E-2</v>
      </c>
      <c r="G13625" s="26">
        <v>1.8200000000000001E-2</v>
      </c>
      <c r="I13625">
        <v>55</v>
      </c>
    </row>
    <row r="13626" spans="1:9" x14ac:dyDescent="0.35">
      <c r="A13626" t="s">
        <v>228</v>
      </c>
      <c r="B13626" t="s">
        <v>252</v>
      </c>
      <c r="C13626" s="26">
        <v>0.65100000000000002</v>
      </c>
      <c r="D13626" s="26">
        <v>8.2699999999999996E-2</v>
      </c>
      <c r="E13626" s="26">
        <v>0.17030000000000001</v>
      </c>
      <c r="F13626" s="26">
        <v>6.1400000000000003E-2</v>
      </c>
      <c r="G13626" s="26">
        <v>3.4599999999999999E-2</v>
      </c>
      <c r="I13626">
        <v>282</v>
      </c>
    </row>
    <row r="13627" spans="1:9" x14ac:dyDescent="0.35">
      <c r="A13627" t="s">
        <v>228</v>
      </c>
      <c r="B13627" t="s">
        <v>253</v>
      </c>
      <c r="C13627" s="26">
        <v>0.40089999999999998</v>
      </c>
      <c r="D13627" s="26">
        <v>0.24740000000000001</v>
      </c>
      <c r="E13627" s="26">
        <v>0.22059999999999999</v>
      </c>
      <c r="F13627" s="26">
        <v>4.65E-2</v>
      </c>
      <c r="G13627" s="26">
        <v>8.4599999999999995E-2</v>
      </c>
      <c r="I13627">
        <v>149</v>
      </c>
    </row>
    <row r="13628" spans="1:9" x14ac:dyDescent="0.35">
      <c r="A13628" t="s">
        <v>228</v>
      </c>
      <c r="B13628" t="s">
        <v>251</v>
      </c>
      <c r="C13628" s="26">
        <v>0.57630000000000003</v>
      </c>
      <c r="D13628" s="26">
        <v>0.13489999999999999</v>
      </c>
      <c r="E13628" s="26">
        <v>0.15590000000000001</v>
      </c>
      <c r="F13628" s="26">
        <v>5.3699999999999998E-2</v>
      </c>
      <c r="G13628" s="26">
        <v>6.6400000000000001E-2</v>
      </c>
      <c r="H13628" s="26">
        <v>1.2800000000000001E-2</v>
      </c>
      <c r="I13628">
        <v>296</v>
      </c>
    </row>
    <row r="13629" spans="1:9" x14ac:dyDescent="0.35">
      <c r="A13629" t="s">
        <v>229</v>
      </c>
      <c r="B13629" t="s">
        <v>252</v>
      </c>
      <c r="C13629" s="26">
        <v>0.67949999999999999</v>
      </c>
      <c r="D13629" s="26">
        <v>7.5300000000000006E-2</v>
      </c>
      <c r="E13629" s="26">
        <v>5.6500000000000002E-2</v>
      </c>
      <c r="F13629" s="26">
        <v>0.16839999999999999</v>
      </c>
      <c r="G13629" s="26">
        <v>4.1000000000000003E-3</v>
      </c>
      <c r="H13629" s="26">
        <v>1.6199999999999999E-2</v>
      </c>
      <c r="I13629">
        <v>145</v>
      </c>
    </row>
    <row r="13630" spans="1:9" x14ac:dyDescent="0.35">
      <c r="A13630" t="s">
        <v>229</v>
      </c>
      <c r="B13630" t="s">
        <v>253</v>
      </c>
      <c r="C13630" s="26">
        <v>0.60670000000000002</v>
      </c>
      <c r="D13630" s="26">
        <v>0.2026</v>
      </c>
      <c r="E13630" s="26">
        <v>0.1424</v>
      </c>
      <c r="F13630" s="26">
        <v>2.3E-2</v>
      </c>
      <c r="G13630" s="26">
        <v>2.53E-2</v>
      </c>
      <c r="I13630">
        <v>107</v>
      </c>
    </row>
    <row r="13631" spans="1:9" x14ac:dyDescent="0.35">
      <c r="A13631" t="s">
        <v>229</v>
      </c>
      <c r="B13631" t="s">
        <v>251</v>
      </c>
      <c r="C13631" s="26">
        <v>0.59630000000000005</v>
      </c>
      <c r="D13631" s="26">
        <v>0.1716</v>
      </c>
      <c r="E13631" s="26">
        <v>0.1244</v>
      </c>
      <c r="F13631" s="26">
        <v>4.3200000000000002E-2</v>
      </c>
      <c r="G13631" s="26">
        <v>6.3299999999999995E-2</v>
      </c>
      <c r="H13631" s="26">
        <v>1.1000000000000001E-3</v>
      </c>
      <c r="I13631">
        <v>370</v>
      </c>
    </row>
    <row r="13632" spans="1:9" x14ac:dyDescent="0.35">
      <c r="A13632" t="s">
        <v>230</v>
      </c>
      <c r="B13632" t="s">
        <v>252</v>
      </c>
      <c r="C13632" s="26">
        <v>0.63160000000000005</v>
      </c>
      <c r="D13632" s="26">
        <v>8.7999999999999995E-2</v>
      </c>
      <c r="E13632" s="26">
        <v>0.16120000000000001</v>
      </c>
      <c r="F13632" s="26">
        <v>7.0099999999999996E-2</v>
      </c>
      <c r="G13632" s="26">
        <v>4.9200000000000001E-2</v>
      </c>
      <c r="I13632">
        <v>123</v>
      </c>
    </row>
    <row r="13633" spans="1:9" x14ac:dyDescent="0.35">
      <c r="A13633" t="s">
        <v>230</v>
      </c>
      <c r="B13633" t="s">
        <v>253</v>
      </c>
      <c r="C13633" s="26">
        <v>0.67720000000000002</v>
      </c>
      <c r="D13633" s="26">
        <v>4.1200000000000001E-2</v>
      </c>
      <c r="E13633" s="26">
        <v>0.23039999999999999</v>
      </c>
      <c r="F13633" s="26">
        <v>2.92E-2</v>
      </c>
      <c r="G13633" s="26">
        <v>2.1999999999999999E-2</v>
      </c>
      <c r="I13633">
        <v>75</v>
      </c>
    </row>
    <row r="13634" spans="1:9" x14ac:dyDescent="0.35">
      <c r="A13634" t="s">
        <v>230</v>
      </c>
      <c r="B13634" t="s">
        <v>251</v>
      </c>
      <c r="C13634" s="26">
        <v>0.64370000000000005</v>
      </c>
      <c r="D13634" s="26">
        <v>0.12970000000000001</v>
      </c>
      <c r="E13634" s="26">
        <v>0.1691</v>
      </c>
      <c r="F13634" s="26">
        <v>1.04E-2</v>
      </c>
      <c r="G13634" s="26">
        <v>4.6399999999999997E-2</v>
      </c>
      <c r="H13634" s="26">
        <v>6.9999999999999999E-4</v>
      </c>
      <c r="I13634">
        <v>206</v>
      </c>
    </row>
    <row r="13635" spans="1:9" x14ac:dyDescent="0.35">
      <c r="A13635" t="s">
        <v>231</v>
      </c>
      <c r="B13635" t="s">
        <v>252</v>
      </c>
      <c r="C13635" s="26">
        <v>0.9032</v>
      </c>
      <c r="D13635" s="26">
        <v>6.4500000000000002E-2</v>
      </c>
      <c r="F13635" s="26">
        <v>3.2300000000000002E-2</v>
      </c>
      <c r="I13635">
        <v>31</v>
      </c>
    </row>
    <row r="13636" spans="1:9" x14ac:dyDescent="0.35">
      <c r="A13636" s="27" t="s">
        <v>231</v>
      </c>
      <c r="B13636" s="27" t="s">
        <v>253</v>
      </c>
      <c r="C13636" s="28">
        <v>0.86670000000000003</v>
      </c>
      <c r="D13636" s="28">
        <v>6.6699999999999995E-2</v>
      </c>
      <c r="E13636" s="29"/>
      <c r="F13636" s="29"/>
      <c r="G13636" s="28">
        <v>6.6699999999999995E-2</v>
      </c>
      <c r="H13636" s="29"/>
      <c r="I13636" s="29" t="s">
        <v>346</v>
      </c>
    </row>
    <row r="13637" spans="1:9" x14ac:dyDescent="0.35">
      <c r="A13637" t="s">
        <v>231</v>
      </c>
      <c r="B13637" t="s">
        <v>251</v>
      </c>
      <c r="C13637" s="26">
        <v>0.73580000000000001</v>
      </c>
      <c r="D13637" s="26">
        <v>9.4299999999999995E-2</v>
      </c>
      <c r="E13637" s="26">
        <v>5.6599999999999998E-2</v>
      </c>
      <c r="F13637" s="26">
        <v>7.5499999999999998E-2</v>
      </c>
      <c r="G13637" s="26">
        <v>3.7699999999999997E-2</v>
      </c>
      <c r="I13637">
        <v>53</v>
      </c>
    </row>
    <row r="13638" spans="1:9" x14ac:dyDescent="0.35">
      <c r="A13638" t="s">
        <v>232</v>
      </c>
      <c r="B13638" t="s">
        <v>232</v>
      </c>
      <c r="C13638" s="26">
        <v>0.69199999999999995</v>
      </c>
      <c r="D13638" s="26">
        <v>0.12130000000000001</v>
      </c>
      <c r="E13638" s="26">
        <v>9.8900000000000002E-2</v>
      </c>
      <c r="F13638" s="26">
        <v>4.8399999999999999E-2</v>
      </c>
      <c r="G13638" s="26">
        <v>3.6999999999999998E-2</v>
      </c>
      <c r="H13638" s="26">
        <v>2.5000000000000001E-3</v>
      </c>
      <c r="I13638">
        <v>1963</v>
      </c>
    </row>
    <row r="13640" spans="1:9" x14ac:dyDescent="0.35">
      <c r="A13640" s="1" t="s">
        <v>1526</v>
      </c>
    </row>
    <row r="13641" spans="1:9" x14ac:dyDescent="0.35">
      <c r="A13641" t="s">
        <v>219</v>
      </c>
      <c r="B13641" t="s">
        <v>305</v>
      </c>
      <c r="C13641" t="s">
        <v>576</v>
      </c>
      <c r="D13641" t="s">
        <v>580</v>
      </c>
      <c r="E13641" t="s">
        <v>579</v>
      </c>
      <c r="F13641" t="s">
        <v>281</v>
      </c>
      <c r="G13641" t="s">
        <v>578</v>
      </c>
      <c r="H13641" t="s">
        <v>286</v>
      </c>
      <c r="I13641" t="s">
        <v>226</v>
      </c>
    </row>
    <row r="13642" spans="1:9" x14ac:dyDescent="0.35">
      <c r="A13642" t="s">
        <v>227</v>
      </c>
      <c r="B13642" t="s">
        <v>249</v>
      </c>
      <c r="C13642" s="26">
        <v>0.82350000000000001</v>
      </c>
      <c r="D13642" s="26">
        <v>0.17649999999999999</v>
      </c>
      <c r="I13642">
        <v>34</v>
      </c>
    </row>
    <row r="13643" spans="1:9" x14ac:dyDescent="0.35">
      <c r="A13643" t="s">
        <v>227</v>
      </c>
      <c r="B13643" t="s">
        <v>248</v>
      </c>
      <c r="C13643" s="26">
        <v>0.83120000000000005</v>
      </c>
      <c r="D13643" s="26">
        <v>9.0899999999999995E-2</v>
      </c>
      <c r="E13643" s="26">
        <v>5.1900000000000002E-2</v>
      </c>
      <c r="F13643" s="26">
        <v>1.2999999999999999E-2</v>
      </c>
      <c r="G13643" s="26">
        <v>1.2999999999999999E-2</v>
      </c>
      <c r="I13643">
        <v>77</v>
      </c>
    </row>
    <row r="13644" spans="1:9" x14ac:dyDescent="0.35">
      <c r="A13644" t="s">
        <v>228</v>
      </c>
      <c r="B13644" t="s">
        <v>249</v>
      </c>
      <c r="C13644" s="26">
        <v>0.62019999999999997</v>
      </c>
      <c r="D13644" s="26">
        <v>0.16220000000000001</v>
      </c>
      <c r="E13644" s="26">
        <v>0.1091</v>
      </c>
      <c r="F13644" s="26">
        <v>3.1699999999999999E-2</v>
      </c>
      <c r="G13644" s="26">
        <v>7.3999999999999996E-2</v>
      </c>
      <c r="H13644" s="26">
        <v>2.8E-3</v>
      </c>
      <c r="I13644">
        <v>183</v>
      </c>
    </row>
    <row r="13645" spans="1:9" x14ac:dyDescent="0.35">
      <c r="A13645" t="s">
        <v>228</v>
      </c>
      <c r="B13645" t="s">
        <v>248</v>
      </c>
      <c r="C13645" s="26">
        <v>0.55389999999999995</v>
      </c>
      <c r="D13645" s="26">
        <v>0.1258</v>
      </c>
      <c r="E13645" s="26">
        <v>0.1981</v>
      </c>
      <c r="F13645" s="26">
        <v>6.4299999999999996E-2</v>
      </c>
      <c r="G13645" s="26">
        <v>5.1299999999999998E-2</v>
      </c>
      <c r="H13645" s="26">
        <v>6.4999999999999997E-3</v>
      </c>
      <c r="I13645">
        <v>544</v>
      </c>
    </row>
    <row r="13646" spans="1:9" x14ac:dyDescent="0.35">
      <c r="A13646" t="s">
        <v>229</v>
      </c>
      <c r="B13646" t="s">
        <v>249</v>
      </c>
      <c r="C13646" s="26">
        <v>0.6653</v>
      </c>
      <c r="D13646" s="26">
        <v>0.20069999999999999</v>
      </c>
      <c r="E13646" s="26">
        <v>8.7400000000000005E-2</v>
      </c>
      <c r="F13646" s="26">
        <v>3.9899999999999998E-2</v>
      </c>
      <c r="G13646" s="26">
        <v>6.7000000000000002E-3</v>
      </c>
      <c r="I13646">
        <v>180</v>
      </c>
    </row>
    <row r="13647" spans="1:9" x14ac:dyDescent="0.35">
      <c r="A13647" t="s">
        <v>229</v>
      </c>
      <c r="B13647" t="s">
        <v>248</v>
      </c>
      <c r="C13647" s="26">
        <v>0.59670000000000001</v>
      </c>
      <c r="D13647" s="26">
        <v>0.1338</v>
      </c>
      <c r="E13647" s="26">
        <v>0.1231</v>
      </c>
      <c r="F13647" s="26">
        <v>8.2500000000000004E-2</v>
      </c>
      <c r="G13647" s="26">
        <v>5.7299999999999997E-2</v>
      </c>
      <c r="H13647" s="26">
        <v>6.6E-3</v>
      </c>
      <c r="I13647">
        <v>442</v>
      </c>
    </row>
    <row r="13648" spans="1:9" x14ac:dyDescent="0.35">
      <c r="A13648" t="s">
        <v>230</v>
      </c>
      <c r="B13648" t="s">
        <v>249</v>
      </c>
      <c r="C13648" s="26">
        <v>0.60329999999999995</v>
      </c>
      <c r="D13648" s="26">
        <v>0.1236</v>
      </c>
      <c r="E13648" s="26">
        <v>0.20399999999999999</v>
      </c>
      <c r="G13648" s="26">
        <v>6.8000000000000005E-2</v>
      </c>
      <c r="H13648" s="26">
        <v>1.1000000000000001E-3</v>
      </c>
      <c r="I13648">
        <v>128</v>
      </c>
    </row>
    <row r="13649" spans="1:9" x14ac:dyDescent="0.35">
      <c r="A13649" t="s">
        <v>230</v>
      </c>
      <c r="B13649" t="s">
        <v>248</v>
      </c>
      <c r="C13649" s="26">
        <v>0.67010000000000003</v>
      </c>
      <c r="D13649" s="26">
        <v>9.01E-2</v>
      </c>
      <c r="E13649" s="26">
        <v>0.16289999999999999</v>
      </c>
      <c r="F13649" s="26">
        <v>4.82E-2</v>
      </c>
      <c r="G13649" s="26">
        <v>2.8799999999999999E-2</v>
      </c>
      <c r="I13649">
        <v>276</v>
      </c>
    </row>
    <row r="13650" spans="1:9" x14ac:dyDescent="0.35">
      <c r="A13650" s="27" t="s">
        <v>231</v>
      </c>
      <c r="B13650" s="27" t="s">
        <v>249</v>
      </c>
      <c r="C13650" s="28">
        <v>0.76</v>
      </c>
      <c r="D13650" s="28">
        <v>0.08</v>
      </c>
      <c r="E13650" s="28">
        <v>0.08</v>
      </c>
      <c r="F13650" s="28">
        <v>0.08</v>
      </c>
      <c r="G13650" s="29"/>
      <c r="H13650" s="29"/>
      <c r="I13650" s="29" t="s">
        <v>312</v>
      </c>
    </row>
    <row r="13651" spans="1:9" x14ac:dyDescent="0.35">
      <c r="A13651" t="s">
        <v>231</v>
      </c>
      <c r="B13651" t="s">
        <v>248</v>
      </c>
      <c r="C13651" s="26">
        <v>0.82430000000000003</v>
      </c>
      <c r="D13651" s="26">
        <v>8.1100000000000005E-2</v>
      </c>
      <c r="E13651" s="26">
        <v>1.35E-2</v>
      </c>
      <c r="F13651" s="26">
        <v>4.0500000000000001E-2</v>
      </c>
      <c r="G13651" s="26">
        <v>4.0500000000000001E-2</v>
      </c>
      <c r="I13651">
        <v>74</v>
      </c>
    </row>
    <row r="13652" spans="1:9" x14ac:dyDescent="0.35">
      <c r="A13652" t="s">
        <v>232</v>
      </c>
      <c r="B13652" t="s">
        <v>232</v>
      </c>
      <c r="C13652" s="26">
        <v>0.69199999999999995</v>
      </c>
      <c r="D13652" s="26">
        <v>0.12130000000000001</v>
      </c>
      <c r="E13652" s="26">
        <v>9.8900000000000002E-2</v>
      </c>
      <c r="F13652" s="26">
        <v>4.8399999999999999E-2</v>
      </c>
      <c r="G13652" s="26">
        <v>3.6999999999999998E-2</v>
      </c>
      <c r="H13652" s="26">
        <v>2.5000000000000001E-3</v>
      </c>
      <c r="I13652">
        <v>1963</v>
      </c>
    </row>
    <row r="13654" spans="1:9" x14ac:dyDescent="0.35">
      <c r="A13654" s="1" t="s">
        <v>1527</v>
      </c>
    </row>
    <row r="13655" spans="1:9" x14ac:dyDescent="0.35">
      <c r="A13655" t="s">
        <v>219</v>
      </c>
      <c r="B13655" t="s">
        <v>305</v>
      </c>
      <c r="C13655" t="s">
        <v>576</v>
      </c>
      <c r="D13655" t="s">
        <v>580</v>
      </c>
      <c r="E13655" t="s">
        <v>579</v>
      </c>
      <c r="F13655" t="s">
        <v>281</v>
      </c>
      <c r="G13655" t="s">
        <v>578</v>
      </c>
      <c r="H13655" t="s">
        <v>286</v>
      </c>
      <c r="I13655" t="s">
        <v>226</v>
      </c>
    </row>
    <row r="13656" spans="1:9" x14ac:dyDescent="0.35">
      <c r="A13656" t="s">
        <v>227</v>
      </c>
      <c r="B13656" t="s">
        <v>260</v>
      </c>
      <c r="C13656" s="26">
        <v>0.79269999999999996</v>
      </c>
      <c r="D13656" s="26">
        <v>0.14630000000000001</v>
      </c>
      <c r="E13656" s="26">
        <v>3.6600000000000001E-2</v>
      </c>
      <c r="F13656" s="26">
        <v>1.2200000000000001E-2</v>
      </c>
      <c r="G13656" s="26">
        <v>1.2200000000000001E-2</v>
      </c>
      <c r="I13656">
        <v>82</v>
      </c>
    </row>
    <row r="13657" spans="1:9" x14ac:dyDescent="0.35">
      <c r="A13657" s="27" t="s">
        <v>227</v>
      </c>
      <c r="B13657" s="27" t="s">
        <v>261</v>
      </c>
      <c r="C13657" s="28">
        <v>0.91669999999999996</v>
      </c>
      <c r="D13657" s="28">
        <v>4.1700000000000001E-2</v>
      </c>
      <c r="E13657" s="28">
        <v>4.1700000000000001E-2</v>
      </c>
      <c r="F13657" s="29"/>
      <c r="G13657" s="29"/>
      <c r="H13657" s="29"/>
      <c r="I13657" s="29" t="s">
        <v>310</v>
      </c>
    </row>
    <row r="13658" spans="1:9" x14ac:dyDescent="0.35">
      <c r="A13658" s="27" t="s">
        <v>227</v>
      </c>
      <c r="B13658" s="27" t="s">
        <v>262</v>
      </c>
      <c r="C13658" s="28">
        <v>1</v>
      </c>
      <c r="D13658" s="29"/>
      <c r="E13658" s="29"/>
      <c r="F13658" s="29"/>
      <c r="G13658" s="29"/>
      <c r="H13658" s="29"/>
      <c r="I13658" s="29" t="s">
        <v>314</v>
      </c>
    </row>
    <row r="13659" spans="1:9" x14ac:dyDescent="0.35">
      <c r="A13659" s="27" t="s">
        <v>227</v>
      </c>
      <c r="B13659" s="27" t="s">
        <v>263</v>
      </c>
      <c r="C13659" s="28">
        <v>1</v>
      </c>
      <c r="D13659" s="29"/>
      <c r="E13659" s="29"/>
      <c r="F13659" s="29"/>
      <c r="G13659" s="29"/>
      <c r="H13659" s="29"/>
      <c r="I13659" s="29" t="s">
        <v>315</v>
      </c>
    </row>
    <row r="13660" spans="1:9" x14ac:dyDescent="0.35">
      <c r="A13660" s="27" t="s">
        <v>228</v>
      </c>
      <c r="B13660" s="27" t="s">
        <v>263</v>
      </c>
      <c r="C13660" s="28">
        <v>0.76480000000000004</v>
      </c>
      <c r="D13660" s="29"/>
      <c r="E13660" s="28">
        <v>9.9299999999999999E-2</v>
      </c>
      <c r="F13660" s="28">
        <v>5.0099999999999999E-2</v>
      </c>
      <c r="G13660" s="28">
        <v>8.5900000000000004E-2</v>
      </c>
      <c r="H13660" s="29"/>
      <c r="I13660" s="29" t="s">
        <v>348</v>
      </c>
    </row>
    <row r="13661" spans="1:9" x14ac:dyDescent="0.35">
      <c r="A13661" s="27" t="s">
        <v>228</v>
      </c>
      <c r="B13661" s="27" t="s">
        <v>236</v>
      </c>
      <c r="C13661" s="28">
        <v>0.61380000000000001</v>
      </c>
      <c r="D13661" s="29"/>
      <c r="E13661" s="28">
        <v>0.20119999999999999</v>
      </c>
      <c r="F13661" s="28">
        <v>0.14319999999999999</v>
      </c>
      <c r="G13661" s="28">
        <v>4.1700000000000001E-2</v>
      </c>
      <c r="H13661" s="29"/>
      <c r="I13661" s="29" t="s">
        <v>332</v>
      </c>
    </row>
    <row r="13662" spans="1:9" x14ac:dyDescent="0.35">
      <c r="A13662" t="s">
        <v>228</v>
      </c>
      <c r="B13662" t="s">
        <v>261</v>
      </c>
      <c r="C13662" s="26">
        <v>0.68210000000000004</v>
      </c>
      <c r="D13662" s="26">
        <v>5.8999999999999997E-2</v>
      </c>
      <c r="E13662" s="26">
        <v>0.1636</v>
      </c>
      <c r="F13662" s="26">
        <v>4.6600000000000003E-2</v>
      </c>
      <c r="G13662" s="26">
        <v>4.87E-2</v>
      </c>
      <c r="I13662">
        <v>142</v>
      </c>
    </row>
    <row r="13663" spans="1:9" x14ac:dyDescent="0.35">
      <c r="A13663" t="s">
        <v>228</v>
      </c>
      <c r="B13663" t="s">
        <v>262</v>
      </c>
      <c r="C13663" s="26">
        <v>0.45129999999999998</v>
      </c>
      <c r="D13663" s="26">
        <v>0.23849999999999999</v>
      </c>
      <c r="E13663" s="26">
        <v>0.22309999999999999</v>
      </c>
      <c r="F13663" s="26">
        <v>4.1599999999999998E-2</v>
      </c>
      <c r="G13663" s="26">
        <v>4.5400000000000003E-2</v>
      </c>
      <c r="I13663">
        <v>142</v>
      </c>
    </row>
    <row r="13664" spans="1:9" x14ac:dyDescent="0.35">
      <c r="A13664" t="s">
        <v>228</v>
      </c>
      <c r="B13664" t="s">
        <v>260</v>
      </c>
      <c r="C13664" s="26">
        <v>0.56330000000000002</v>
      </c>
      <c r="D13664" s="26">
        <v>0.1386</v>
      </c>
      <c r="E13664" s="26">
        <v>0.16439999999999999</v>
      </c>
      <c r="F13664" s="26">
        <v>6.0999999999999999E-2</v>
      </c>
      <c r="G13664" s="26">
        <v>6.3600000000000004E-2</v>
      </c>
      <c r="H13664" s="26">
        <v>9.1000000000000004E-3</v>
      </c>
      <c r="I13664">
        <v>422</v>
      </c>
    </row>
    <row r="13665" spans="1:9" x14ac:dyDescent="0.35">
      <c r="A13665" t="s">
        <v>229</v>
      </c>
      <c r="B13665" t="s">
        <v>262</v>
      </c>
      <c r="C13665" s="26">
        <v>0.57079999999999997</v>
      </c>
      <c r="D13665" s="26">
        <v>0.2079</v>
      </c>
      <c r="E13665" s="26">
        <v>0.13550000000000001</v>
      </c>
      <c r="F13665" s="26">
        <v>5.6500000000000002E-2</v>
      </c>
      <c r="G13665" s="26">
        <v>2.7E-2</v>
      </c>
      <c r="H13665" s="26">
        <v>2.2000000000000001E-3</v>
      </c>
      <c r="I13665">
        <v>133</v>
      </c>
    </row>
    <row r="13666" spans="1:9" x14ac:dyDescent="0.35">
      <c r="A13666" t="s">
        <v>229</v>
      </c>
      <c r="B13666" t="s">
        <v>260</v>
      </c>
      <c r="C13666" s="26">
        <v>0.63729999999999998</v>
      </c>
      <c r="D13666" s="26">
        <v>0.12609999999999999</v>
      </c>
      <c r="E13666" s="26">
        <v>0.10199999999999999</v>
      </c>
      <c r="F13666" s="26">
        <v>8.8999999999999996E-2</v>
      </c>
      <c r="G13666" s="26">
        <v>3.85E-2</v>
      </c>
      <c r="H13666" s="26">
        <v>7.1000000000000004E-3</v>
      </c>
      <c r="I13666">
        <v>410</v>
      </c>
    </row>
    <row r="13667" spans="1:9" x14ac:dyDescent="0.35">
      <c r="A13667" s="27" t="s">
        <v>229</v>
      </c>
      <c r="B13667" s="27" t="s">
        <v>263</v>
      </c>
      <c r="C13667" s="28">
        <v>0.52280000000000004</v>
      </c>
      <c r="D13667" s="28">
        <v>0.25019999999999998</v>
      </c>
      <c r="E13667" s="28">
        <v>0.2271</v>
      </c>
      <c r="F13667" s="29"/>
      <c r="G13667" s="29"/>
      <c r="H13667" s="29"/>
      <c r="I13667" s="29" t="s">
        <v>334</v>
      </c>
    </row>
    <row r="13668" spans="1:9" x14ac:dyDescent="0.35">
      <c r="A13668" t="s">
        <v>229</v>
      </c>
      <c r="B13668" t="s">
        <v>261</v>
      </c>
      <c r="C13668" s="26">
        <v>0.65190000000000003</v>
      </c>
      <c r="D13668" s="26">
        <v>0.1462</v>
      </c>
      <c r="E13668" s="26">
        <v>8.6900000000000005E-2</v>
      </c>
      <c r="F13668" s="26">
        <v>3.1899999999999998E-2</v>
      </c>
      <c r="G13668" s="26">
        <v>8.3099999999999993E-2</v>
      </c>
      <c r="I13668">
        <v>70</v>
      </c>
    </row>
    <row r="13669" spans="1:9" x14ac:dyDescent="0.35">
      <c r="A13669" s="27" t="s">
        <v>230</v>
      </c>
      <c r="B13669" s="27" t="s">
        <v>263</v>
      </c>
      <c r="C13669" s="28">
        <v>0.622</v>
      </c>
      <c r="D13669" s="28">
        <v>0.18260000000000001</v>
      </c>
      <c r="E13669" s="28">
        <v>0.19539999999999999</v>
      </c>
      <c r="F13669" s="29"/>
      <c r="G13669" s="29"/>
      <c r="H13669" s="29"/>
      <c r="I13669" s="29" t="s">
        <v>350</v>
      </c>
    </row>
    <row r="13670" spans="1:9" x14ac:dyDescent="0.35">
      <c r="A13670" t="s">
        <v>230</v>
      </c>
      <c r="B13670" t="s">
        <v>261</v>
      </c>
      <c r="C13670" s="26">
        <v>0.67079999999999995</v>
      </c>
      <c r="D13670" s="26">
        <v>0.13420000000000001</v>
      </c>
      <c r="E13670" s="26">
        <v>0.12790000000000001</v>
      </c>
      <c r="G13670" s="26">
        <v>6.7100000000000007E-2</v>
      </c>
      <c r="I13670">
        <v>39</v>
      </c>
    </row>
    <row r="13671" spans="1:9" x14ac:dyDescent="0.35">
      <c r="A13671" t="s">
        <v>230</v>
      </c>
      <c r="B13671" t="s">
        <v>262</v>
      </c>
      <c r="C13671" s="26">
        <v>0.51529999999999998</v>
      </c>
      <c r="D13671" s="26">
        <v>0.1608</v>
      </c>
      <c r="E13671" s="26">
        <v>0.2757</v>
      </c>
      <c r="F13671" s="26">
        <v>5.1000000000000004E-3</v>
      </c>
      <c r="G13671" s="26">
        <v>4.07E-2</v>
      </c>
      <c r="H13671" s="26">
        <v>2.5000000000000001E-3</v>
      </c>
      <c r="I13671">
        <v>93</v>
      </c>
    </row>
    <row r="13672" spans="1:9" x14ac:dyDescent="0.35">
      <c r="A13672" t="s">
        <v>230</v>
      </c>
      <c r="B13672" t="s">
        <v>260</v>
      </c>
      <c r="C13672" s="26">
        <v>0.67979999999999996</v>
      </c>
      <c r="D13672" s="26">
        <v>8.14E-2</v>
      </c>
      <c r="E13672" s="26">
        <v>0.1673</v>
      </c>
      <c r="F13672" s="26">
        <v>3.2899999999999999E-2</v>
      </c>
      <c r="G13672" s="26">
        <v>3.8600000000000002E-2</v>
      </c>
      <c r="I13672">
        <v>249</v>
      </c>
    </row>
    <row r="13673" spans="1:9" x14ac:dyDescent="0.35">
      <c r="A13673" s="27" t="s">
        <v>230</v>
      </c>
      <c r="B13673" s="27" t="s">
        <v>236</v>
      </c>
      <c r="C13673" s="28">
        <v>0.1265</v>
      </c>
      <c r="D13673" s="29"/>
      <c r="E13673" s="29"/>
      <c r="F13673" s="28">
        <v>0.74990000000000001</v>
      </c>
      <c r="G13673" s="28">
        <v>0.1236</v>
      </c>
      <c r="H13673" s="29"/>
      <c r="I13673" s="29" t="s">
        <v>315</v>
      </c>
    </row>
    <row r="13674" spans="1:9" x14ac:dyDescent="0.35">
      <c r="A13674" s="27" t="s">
        <v>231</v>
      </c>
      <c r="B13674" s="27" t="s">
        <v>263</v>
      </c>
      <c r="C13674" s="28">
        <v>1</v>
      </c>
      <c r="D13674" s="29"/>
      <c r="E13674" s="29"/>
      <c r="F13674" s="29"/>
      <c r="G13674" s="29"/>
      <c r="H13674" s="29"/>
      <c r="I13674" s="29" t="s">
        <v>314</v>
      </c>
    </row>
    <row r="13675" spans="1:9" x14ac:dyDescent="0.35">
      <c r="A13675" t="s">
        <v>231</v>
      </c>
      <c r="B13675" t="s">
        <v>260</v>
      </c>
      <c r="C13675" s="26">
        <v>0.77139999999999997</v>
      </c>
      <c r="D13675" s="26">
        <v>8.5699999999999998E-2</v>
      </c>
      <c r="E13675" s="26">
        <v>4.2900000000000001E-2</v>
      </c>
      <c r="F13675" s="26">
        <v>7.1400000000000005E-2</v>
      </c>
      <c r="G13675" s="26">
        <v>2.86E-2</v>
      </c>
      <c r="I13675">
        <v>70</v>
      </c>
    </row>
    <row r="13676" spans="1:9" x14ac:dyDescent="0.35">
      <c r="A13676" s="27" t="s">
        <v>231</v>
      </c>
      <c r="B13676" s="27" t="s">
        <v>261</v>
      </c>
      <c r="C13676" s="28">
        <v>0.85</v>
      </c>
      <c r="D13676" s="28">
        <v>0.1</v>
      </c>
      <c r="E13676" s="29"/>
      <c r="F13676" s="29"/>
      <c r="G13676" s="28">
        <v>0.05</v>
      </c>
      <c r="H13676" s="29"/>
      <c r="I13676" s="29" t="s">
        <v>350</v>
      </c>
    </row>
    <row r="13677" spans="1:9" x14ac:dyDescent="0.35">
      <c r="A13677" s="27" t="s">
        <v>231</v>
      </c>
      <c r="B13677" s="27" t="s">
        <v>262</v>
      </c>
      <c r="C13677" s="28">
        <v>1</v>
      </c>
      <c r="D13677" s="29"/>
      <c r="E13677" s="29"/>
      <c r="F13677" s="29"/>
      <c r="G13677" s="29"/>
      <c r="H13677" s="29"/>
      <c r="I13677" s="29" t="s">
        <v>339</v>
      </c>
    </row>
    <row r="13678" spans="1:9" x14ac:dyDescent="0.35">
      <c r="A13678" t="s">
        <v>232</v>
      </c>
      <c r="B13678" t="s">
        <v>232</v>
      </c>
      <c r="C13678" s="26">
        <v>0.69199999999999995</v>
      </c>
      <c r="D13678" s="26">
        <v>0.12130000000000001</v>
      </c>
      <c r="E13678" s="26">
        <v>9.8900000000000002E-2</v>
      </c>
      <c r="F13678" s="26">
        <v>4.8399999999999999E-2</v>
      </c>
      <c r="G13678" s="26">
        <v>3.6999999999999998E-2</v>
      </c>
      <c r="H13678" s="26">
        <v>2.5000000000000001E-3</v>
      </c>
      <c r="I13678">
        <v>1963</v>
      </c>
    </row>
    <row r="13680" spans="1:9" x14ac:dyDescent="0.35">
      <c r="A13680" s="1" t="s">
        <v>1528</v>
      </c>
    </row>
    <row r="13681" spans="1:9" x14ac:dyDescent="0.35">
      <c r="A13681" t="s">
        <v>219</v>
      </c>
      <c r="B13681" t="s">
        <v>305</v>
      </c>
      <c r="C13681" t="s">
        <v>576</v>
      </c>
      <c r="D13681" t="s">
        <v>580</v>
      </c>
      <c r="E13681" t="s">
        <v>579</v>
      </c>
      <c r="F13681" t="s">
        <v>281</v>
      </c>
      <c r="G13681" t="s">
        <v>578</v>
      </c>
      <c r="H13681" t="s">
        <v>286</v>
      </c>
      <c r="I13681" t="s">
        <v>226</v>
      </c>
    </row>
    <row r="13682" spans="1:9" x14ac:dyDescent="0.35">
      <c r="A13682" s="27" t="s">
        <v>227</v>
      </c>
      <c r="B13682" s="27" t="s">
        <v>368</v>
      </c>
      <c r="C13682" s="28">
        <v>0.91669999999999996</v>
      </c>
      <c r="D13682" s="28">
        <v>4.1700000000000001E-2</v>
      </c>
      <c r="E13682" s="28">
        <v>4.1700000000000001E-2</v>
      </c>
      <c r="F13682" s="29"/>
      <c r="G13682" s="29"/>
      <c r="H13682" s="29"/>
      <c r="I13682" s="29" t="s">
        <v>310</v>
      </c>
    </row>
    <row r="13683" spans="1:9" x14ac:dyDescent="0.35">
      <c r="A13683" t="s">
        <v>227</v>
      </c>
      <c r="B13683" t="s">
        <v>369</v>
      </c>
      <c r="C13683" s="26">
        <v>0.80459999999999998</v>
      </c>
      <c r="D13683" s="26">
        <v>0.13789999999999999</v>
      </c>
      <c r="E13683" s="26">
        <v>3.4500000000000003E-2</v>
      </c>
      <c r="F13683" s="26">
        <v>1.15E-2</v>
      </c>
      <c r="G13683" s="26">
        <v>1.15E-2</v>
      </c>
      <c r="I13683">
        <v>87</v>
      </c>
    </row>
    <row r="13684" spans="1:9" x14ac:dyDescent="0.35">
      <c r="A13684" t="s">
        <v>228</v>
      </c>
      <c r="B13684" t="s">
        <v>368</v>
      </c>
      <c r="C13684" s="26">
        <v>0.68210000000000004</v>
      </c>
      <c r="D13684" s="26">
        <v>5.8999999999999997E-2</v>
      </c>
      <c r="E13684" s="26">
        <v>0.1636</v>
      </c>
      <c r="F13684" s="26">
        <v>4.6600000000000003E-2</v>
      </c>
      <c r="G13684" s="26">
        <v>4.87E-2</v>
      </c>
      <c r="I13684">
        <v>142</v>
      </c>
    </row>
    <row r="13685" spans="1:9" x14ac:dyDescent="0.35">
      <c r="A13685" t="s">
        <v>228</v>
      </c>
      <c r="B13685" t="s">
        <v>369</v>
      </c>
      <c r="C13685" s="26">
        <v>0.54369999999999996</v>
      </c>
      <c r="D13685" s="26">
        <v>0.15579999999999999</v>
      </c>
      <c r="E13685" s="26">
        <v>0.17610000000000001</v>
      </c>
      <c r="F13685" s="26">
        <v>5.7599999999999998E-2</v>
      </c>
      <c r="G13685" s="26">
        <v>5.9900000000000002E-2</v>
      </c>
      <c r="H13685" s="26">
        <v>6.8999999999999999E-3</v>
      </c>
      <c r="I13685">
        <v>585</v>
      </c>
    </row>
    <row r="13686" spans="1:9" x14ac:dyDescent="0.35">
      <c r="A13686" t="s">
        <v>229</v>
      </c>
      <c r="B13686" t="s">
        <v>368</v>
      </c>
      <c r="C13686" s="26">
        <v>0.65190000000000003</v>
      </c>
      <c r="D13686" s="26">
        <v>0.1462</v>
      </c>
      <c r="E13686" s="26">
        <v>8.6900000000000005E-2</v>
      </c>
      <c r="F13686" s="26">
        <v>3.1899999999999998E-2</v>
      </c>
      <c r="G13686" s="26">
        <v>8.3099999999999993E-2</v>
      </c>
      <c r="I13686">
        <v>70</v>
      </c>
    </row>
    <row r="13687" spans="1:9" x14ac:dyDescent="0.35">
      <c r="A13687" t="s">
        <v>229</v>
      </c>
      <c r="B13687" t="s">
        <v>369</v>
      </c>
      <c r="C13687" s="26">
        <v>0.61219999999999997</v>
      </c>
      <c r="D13687" s="26">
        <v>0.1565</v>
      </c>
      <c r="E13687" s="26">
        <v>0.1164</v>
      </c>
      <c r="F13687" s="26">
        <v>7.5899999999999995E-2</v>
      </c>
      <c r="G13687" s="26">
        <v>3.3700000000000001E-2</v>
      </c>
      <c r="H13687" s="26">
        <v>5.3E-3</v>
      </c>
      <c r="I13687">
        <v>552</v>
      </c>
    </row>
    <row r="13688" spans="1:9" x14ac:dyDescent="0.35">
      <c r="A13688" t="s">
        <v>230</v>
      </c>
      <c r="B13688" t="s">
        <v>368</v>
      </c>
      <c r="C13688" s="26">
        <v>0.67079999999999995</v>
      </c>
      <c r="D13688" s="26">
        <v>0.13420000000000001</v>
      </c>
      <c r="E13688" s="26">
        <v>0.12790000000000001</v>
      </c>
      <c r="G13688" s="26">
        <v>6.7100000000000007E-2</v>
      </c>
      <c r="I13688">
        <v>39</v>
      </c>
    </row>
    <row r="13689" spans="1:9" x14ac:dyDescent="0.35">
      <c r="A13689" t="s">
        <v>230</v>
      </c>
      <c r="B13689" t="s">
        <v>369</v>
      </c>
      <c r="C13689" s="26">
        <v>0.64229999999999998</v>
      </c>
      <c r="D13689" s="26">
        <v>9.7100000000000006E-2</v>
      </c>
      <c r="E13689" s="26">
        <v>0.18540000000000001</v>
      </c>
      <c r="F13689" s="26">
        <v>3.5700000000000003E-2</v>
      </c>
      <c r="G13689" s="26">
        <v>3.9100000000000003E-2</v>
      </c>
      <c r="H13689" s="26">
        <v>5.0000000000000001E-4</v>
      </c>
      <c r="I13689">
        <v>365</v>
      </c>
    </row>
    <row r="13690" spans="1:9" x14ac:dyDescent="0.35">
      <c r="A13690" s="27" t="s">
        <v>231</v>
      </c>
      <c r="B13690" s="27" t="s">
        <v>368</v>
      </c>
      <c r="C13690" s="28">
        <v>0.85</v>
      </c>
      <c r="D13690" s="28">
        <v>0.1</v>
      </c>
      <c r="E13690" s="29"/>
      <c r="F13690" s="29"/>
      <c r="G13690" s="28">
        <v>0.05</v>
      </c>
      <c r="H13690" s="29"/>
      <c r="I13690" s="29" t="s">
        <v>350</v>
      </c>
    </row>
    <row r="13691" spans="1:9" x14ac:dyDescent="0.35">
      <c r="A13691" t="s">
        <v>231</v>
      </c>
      <c r="B13691" t="s">
        <v>369</v>
      </c>
      <c r="C13691" s="26">
        <v>0.79749999999999999</v>
      </c>
      <c r="D13691" s="26">
        <v>7.5899999999999995E-2</v>
      </c>
      <c r="E13691" s="26">
        <v>3.7999999999999999E-2</v>
      </c>
      <c r="F13691" s="26">
        <v>6.3299999999999995E-2</v>
      </c>
      <c r="G13691" s="26">
        <v>2.53E-2</v>
      </c>
      <c r="I13691">
        <v>79</v>
      </c>
    </row>
    <row r="13692" spans="1:9" x14ac:dyDescent="0.35">
      <c r="A13692" t="s">
        <v>232</v>
      </c>
      <c r="B13692" t="s">
        <v>232</v>
      </c>
      <c r="C13692" s="26">
        <v>0.69199999999999995</v>
      </c>
      <c r="D13692" s="26">
        <v>0.12130000000000001</v>
      </c>
      <c r="E13692" s="26">
        <v>9.8900000000000002E-2</v>
      </c>
      <c r="F13692" s="26">
        <v>4.8399999999999999E-2</v>
      </c>
      <c r="G13692" s="26">
        <v>3.6999999999999998E-2</v>
      </c>
      <c r="H13692" s="26">
        <v>2.5000000000000001E-3</v>
      </c>
      <c r="I13692">
        <v>1963</v>
      </c>
    </row>
    <row r="13694" spans="1:9" x14ac:dyDescent="0.35">
      <c r="A13694" s="1" t="s">
        <v>1529</v>
      </c>
    </row>
    <row r="13695" spans="1:9" x14ac:dyDescent="0.35">
      <c r="A13695" t="s">
        <v>219</v>
      </c>
      <c r="B13695" t="s">
        <v>305</v>
      </c>
      <c r="C13695" t="s">
        <v>576</v>
      </c>
      <c r="D13695" t="s">
        <v>580</v>
      </c>
      <c r="E13695" t="s">
        <v>579</v>
      </c>
      <c r="F13695" t="s">
        <v>281</v>
      </c>
      <c r="G13695" t="s">
        <v>578</v>
      </c>
      <c r="H13695" t="s">
        <v>286</v>
      </c>
      <c r="I13695" t="s">
        <v>226</v>
      </c>
    </row>
    <row r="13696" spans="1:9" x14ac:dyDescent="0.35">
      <c r="A13696" t="s">
        <v>227</v>
      </c>
      <c r="B13696" t="s">
        <v>371</v>
      </c>
      <c r="C13696" s="26">
        <v>0.82879999999999998</v>
      </c>
      <c r="D13696" s="26">
        <v>0.1171</v>
      </c>
      <c r="E13696" s="26">
        <v>3.5999999999999997E-2</v>
      </c>
      <c r="F13696" s="26">
        <v>8.9999999999999993E-3</v>
      </c>
      <c r="G13696" s="26">
        <v>8.9999999999999993E-3</v>
      </c>
      <c r="I13696">
        <v>111</v>
      </c>
    </row>
    <row r="13697" spans="1:9" x14ac:dyDescent="0.35">
      <c r="A13697" t="s">
        <v>228</v>
      </c>
      <c r="B13697" t="s">
        <v>371</v>
      </c>
      <c r="C13697" s="26">
        <v>0.66239999999999999</v>
      </c>
      <c r="D13697" s="26">
        <v>0.12740000000000001</v>
      </c>
      <c r="E13697" s="26">
        <v>0.1074</v>
      </c>
      <c r="F13697" s="26">
        <v>3.5700000000000003E-2</v>
      </c>
      <c r="G13697" s="26">
        <v>5.8400000000000001E-2</v>
      </c>
      <c r="H13697" s="26">
        <v>8.8000000000000005E-3</v>
      </c>
      <c r="I13697">
        <v>199</v>
      </c>
    </row>
    <row r="13698" spans="1:9" x14ac:dyDescent="0.35">
      <c r="A13698" t="s">
        <v>228</v>
      </c>
      <c r="B13698" t="s">
        <v>372</v>
      </c>
      <c r="C13698" s="26">
        <v>0.50600000000000001</v>
      </c>
      <c r="D13698" s="26">
        <v>9.5200000000000007E-2</v>
      </c>
      <c r="E13698" s="26">
        <v>0.31509999999999999</v>
      </c>
      <c r="F13698" s="26">
        <v>5.11E-2</v>
      </c>
      <c r="G13698" s="26">
        <v>2.3900000000000001E-2</v>
      </c>
      <c r="H13698" s="26">
        <v>8.8000000000000005E-3</v>
      </c>
      <c r="I13698">
        <v>165</v>
      </c>
    </row>
    <row r="13699" spans="1:9" x14ac:dyDescent="0.35">
      <c r="A13699" t="s">
        <v>228</v>
      </c>
      <c r="B13699" t="s">
        <v>373</v>
      </c>
      <c r="C13699" s="26">
        <v>0.45860000000000001</v>
      </c>
      <c r="D13699" s="26">
        <v>0.15759999999999999</v>
      </c>
      <c r="E13699" s="26">
        <v>0.2349</v>
      </c>
      <c r="F13699" s="26">
        <v>8.4500000000000006E-2</v>
      </c>
      <c r="G13699" s="26">
        <v>6.4399999999999999E-2</v>
      </c>
      <c r="I13699">
        <v>363</v>
      </c>
    </row>
    <row r="13700" spans="1:9" x14ac:dyDescent="0.35">
      <c r="A13700" t="s">
        <v>229</v>
      </c>
      <c r="B13700" t="s">
        <v>371</v>
      </c>
      <c r="C13700" s="26">
        <v>0.62890000000000001</v>
      </c>
      <c r="D13700" s="26">
        <v>0.15379999999999999</v>
      </c>
      <c r="E13700" s="26">
        <v>0.1</v>
      </c>
      <c r="F13700" s="26">
        <v>7.1099999999999997E-2</v>
      </c>
      <c r="G13700" s="26">
        <v>4.19E-2</v>
      </c>
      <c r="H13700" s="26">
        <v>4.1999999999999997E-3</v>
      </c>
      <c r="I13700">
        <v>402</v>
      </c>
    </row>
    <row r="13701" spans="1:9" x14ac:dyDescent="0.35">
      <c r="A13701" t="s">
        <v>229</v>
      </c>
      <c r="B13701" t="s">
        <v>372</v>
      </c>
      <c r="C13701" s="26">
        <v>0.44230000000000003</v>
      </c>
      <c r="D13701" s="26">
        <v>0.16650000000000001</v>
      </c>
      <c r="E13701" s="26">
        <v>0.31830000000000003</v>
      </c>
      <c r="F13701" s="26">
        <v>2.87E-2</v>
      </c>
      <c r="G13701" s="26">
        <v>3.2500000000000001E-2</v>
      </c>
      <c r="H13701" s="26">
        <v>1.17E-2</v>
      </c>
      <c r="I13701">
        <v>162</v>
      </c>
    </row>
    <row r="13702" spans="1:9" x14ac:dyDescent="0.35">
      <c r="A13702" t="s">
        <v>229</v>
      </c>
      <c r="B13702" t="s">
        <v>373</v>
      </c>
      <c r="C13702" s="26">
        <v>0.60960000000000003</v>
      </c>
      <c r="D13702" s="26">
        <v>0.17080000000000001</v>
      </c>
      <c r="E13702" s="26">
        <v>0.1027</v>
      </c>
      <c r="F13702" s="26">
        <v>7.8100000000000003E-2</v>
      </c>
      <c r="G13702" s="26">
        <v>3.8800000000000001E-2</v>
      </c>
      <c r="I13702">
        <v>58</v>
      </c>
    </row>
    <row r="13703" spans="1:9" x14ac:dyDescent="0.35">
      <c r="A13703" t="s">
        <v>230</v>
      </c>
      <c r="B13703" t="s">
        <v>371</v>
      </c>
      <c r="C13703" s="26">
        <v>0.65920000000000001</v>
      </c>
      <c r="D13703" s="26">
        <v>0.104</v>
      </c>
      <c r="E13703" s="26">
        <v>0.1784</v>
      </c>
      <c r="F13703" s="26">
        <v>2.4400000000000002E-2</v>
      </c>
      <c r="G13703" s="26">
        <v>3.4000000000000002E-2</v>
      </c>
      <c r="I13703">
        <v>186</v>
      </c>
    </row>
    <row r="13704" spans="1:9" x14ac:dyDescent="0.35">
      <c r="A13704" t="s">
        <v>230</v>
      </c>
      <c r="B13704" t="s">
        <v>372</v>
      </c>
      <c r="C13704" s="26">
        <v>0.40289999999999998</v>
      </c>
      <c r="D13704" s="26">
        <v>0.1075</v>
      </c>
      <c r="E13704" s="26">
        <v>0.39650000000000002</v>
      </c>
      <c r="F13704" s="26">
        <v>6.0999999999999999E-2</v>
      </c>
      <c r="G13704" s="26">
        <v>2.5700000000000001E-2</v>
      </c>
      <c r="H13704" s="26">
        <v>6.4000000000000003E-3</v>
      </c>
      <c r="I13704">
        <v>104</v>
      </c>
    </row>
    <row r="13705" spans="1:9" x14ac:dyDescent="0.35">
      <c r="A13705" t="s">
        <v>230</v>
      </c>
      <c r="B13705" t="s">
        <v>373</v>
      </c>
      <c r="C13705" s="26">
        <v>0.67820000000000003</v>
      </c>
      <c r="D13705" s="26">
        <v>8.8599999999999998E-2</v>
      </c>
      <c r="E13705" s="26">
        <v>7.6600000000000001E-2</v>
      </c>
      <c r="F13705" s="26">
        <v>5.5300000000000002E-2</v>
      </c>
      <c r="G13705" s="26">
        <v>0.1014</v>
      </c>
      <c r="I13705">
        <v>114</v>
      </c>
    </row>
    <row r="13706" spans="1:9" x14ac:dyDescent="0.35">
      <c r="A13706" t="s">
        <v>231</v>
      </c>
      <c r="B13706" t="s">
        <v>371</v>
      </c>
      <c r="C13706" s="26">
        <v>0.80810000000000004</v>
      </c>
      <c r="D13706" s="26">
        <v>8.0799999999999997E-2</v>
      </c>
      <c r="E13706" s="26">
        <v>3.0300000000000001E-2</v>
      </c>
      <c r="F13706" s="26">
        <v>5.0500000000000003E-2</v>
      </c>
      <c r="G13706" s="26">
        <v>3.0300000000000001E-2</v>
      </c>
      <c r="I13706">
        <v>99</v>
      </c>
    </row>
    <row r="13707" spans="1:9" x14ac:dyDescent="0.35">
      <c r="A13707" t="s">
        <v>232</v>
      </c>
      <c r="B13707" t="s">
        <v>232</v>
      </c>
      <c r="C13707" s="26">
        <v>0.69199999999999995</v>
      </c>
      <c r="D13707" s="26">
        <v>0.12130000000000001</v>
      </c>
      <c r="E13707" s="26">
        <v>9.8900000000000002E-2</v>
      </c>
      <c r="F13707" s="26">
        <v>4.8399999999999999E-2</v>
      </c>
      <c r="G13707" s="26">
        <v>3.6999999999999998E-2</v>
      </c>
      <c r="H13707" s="26">
        <v>2.5000000000000001E-3</v>
      </c>
      <c r="I13707">
        <v>1963</v>
      </c>
    </row>
    <row r="13709" spans="1:9" x14ac:dyDescent="0.35">
      <c r="A13709" s="1" t="s">
        <v>1530</v>
      </c>
    </row>
    <row r="13710" spans="1:9" x14ac:dyDescent="0.35">
      <c r="A13710" t="s">
        <v>219</v>
      </c>
      <c r="B13710" t="s">
        <v>305</v>
      </c>
      <c r="C13710" t="s">
        <v>576</v>
      </c>
      <c r="D13710" t="s">
        <v>580</v>
      </c>
      <c r="E13710" t="s">
        <v>579</v>
      </c>
      <c r="F13710" t="s">
        <v>281</v>
      </c>
      <c r="G13710" t="s">
        <v>578</v>
      </c>
      <c r="H13710" t="s">
        <v>286</v>
      </c>
      <c r="I13710" t="s">
        <v>226</v>
      </c>
    </row>
    <row r="13711" spans="1:9" x14ac:dyDescent="0.35">
      <c r="A13711" t="s">
        <v>227</v>
      </c>
      <c r="B13711" t="s">
        <v>255</v>
      </c>
      <c r="C13711" s="26">
        <v>0.83120000000000005</v>
      </c>
      <c r="D13711" s="26">
        <v>9.0899999999999995E-2</v>
      </c>
      <c r="E13711" s="26">
        <v>5.1900000000000002E-2</v>
      </c>
      <c r="F13711" s="26">
        <v>1.2999999999999999E-2</v>
      </c>
      <c r="G13711" s="26">
        <v>1.2999999999999999E-2</v>
      </c>
      <c r="I13711">
        <v>77</v>
      </c>
    </row>
    <row r="13712" spans="1:9" x14ac:dyDescent="0.35">
      <c r="A13712" s="27" t="s">
        <v>227</v>
      </c>
      <c r="B13712" s="27" t="s">
        <v>256</v>
      </c>
      <c r="C13712" s="28">
        <v>0.76</v>
      </c>
      <c r="D13712" s="28">
        <v>0.24</v>
      </c>
      <c r="E13712" s="29"/>
      <c r="F13712" s="29"/>
      <c r="G13712" s="29"/>
      <c r="H13712" s="29"/>
      <c r="I13712" s="29" t="s">
        <v>312</v>
      </c>
    </row>
    <row r="13713" spans="1:9" x14ac:dyDescent="0.35">
      <c r="A13713" s="27" t="s">
        <v>227</v>
      </c>
      <c r="B13713" s="27" t="s">
        <v>257</v>
      </c>
      <c r="C13713" s="28">
        <v>1</v>
      </c>
      <c r="D13713" s="29"/>
      <c r="E13713" s="29"/>
      <c r="F13713" s="29"/>
      <c r="G13713" s="29"/>
      <c r="H13713" s="29"/>
      <c r="I13713" s="29" t="s">
        <v>334</v>
      </c>
    </row>
    <row r="13714" spans="1:9" x14ac:dyDescent="0.35">
      <c r="A13714" t="s">
        <v>228</v>
      </c>
      <c r="B13714" t="s">
        <v>255</v>
      </c>
      <c r="C13714" s="26">
        <v>0.55389999999999995</v>
      </c>
      <c r="D13714" s="26">
        <v>0.1258</v>
      </c>
      <c r="E13714" s="26">
        <v>0.1981</v>
      </c>
      <c r="F13714" s="26">
        <v>6.4299999999999996E-2</v>
      </c>
      <c r="G13714" s="26">
        <v>5.1299999999999998E-2</v>
      </c>
      <c r="H13714" s="26">
        <v>6.4999999999999997E-3</v>
      </c>
      <c r="I13714">
        <v>544</v>
      </c>
    </row>
    <row r="13715" spans="1:9" x14ac:dyDescent="0.35">
      <c r="A13715" t="s">
        <v>228</v>
      </c>
      <c r="B13715" t="s">
        <v>256</v>
      </c>
      <c r="C13715" s="26">
        <v>0.60770000000000002</v>
      </c>
      <c r="D13715" s="26">
        <v>0.15379999999999999</v>
      </c>
      <c r="E13715" s="26">
        <v>9.6199999999999994E-2</v>
      </c>
      <c r="F13715" s="26">
        <v>3.7400000000000003E-2</v>
      </c>
      <c r="G13715" s="26">
        <v>0.10100000000000001</v>
      </c>
      <c r="H13715" s="26">
        <v>3.8E-3</v>
      </c>
      <c r="I13715">
        <v>134</v>
      </c>
    </row>
    <row r="13716" spans="1:9" x14ac:dyDescent="0.35">
      <c r="A13716" t="s">
        <v>228</v>
      </c>
      <c r="B13716" t="s">
        <v>257</v>
      </c>
      <c r="C13716" s="26">
        <v>0.65459999999999996</v>
      </c>
      <c r="D13716" s="26">
        <v>0.185</v>
      </c>
      <c r="E13716" s="26">
        <v>0.14449999999999999</v>
      </c>
      <c r="F13716" s="26">
        <v>1.6E-2</v>
      </c>
      <c r="I13716">
        <v>49</v>
      </c>
    </row>
    <row r="13717" spans="1:9" x14ac:dyDescent="0.35">
      <c r="A13717" t="s">
        <v>229</v>
      </c>
      <c r="B13717" t="s">
        <v>255</v>
      </c>
      <c r="C13717" s="26">
        <v>0.59670000000000001</v>
      </c>
      <c r="D13717" s="26">
        <v>0.1338</v>
      </c>
      <c r="E13717" s="26">
        <v>0.1231</v>
      </c>
      <c r="F13717" s="26">
        <v>8.2500000000000004E-2</v>
      </c>
      <c r="G13717" s="26">
        <v>5.7299999999999997E-2</v>
      </c>
      <c r="H13717" s="26">
        <v>6.6E-3</v>
      </c>
      <c r="I13717">
        <v>442</v>
      </c>
    </row>
    <row r="13718" spans="1:9" x14ac:dyDescent="0.35">
      <c r="A13718" t="s">
        <v>229</v>
      </c>
      <c r="B13718" t="s">
        <v>256</v>
      </c>
      <c r="C13718" s="26">
        <v>0.67059999999999997</v>
      </c>
      <c r="D13718" s="26">
        <v>0.18329999999999999</v>
      </c>
      <c r="E13718" s="26">
        <v>0.1048</v>
      </c>
      <c r="F13718" s="26">
        <v>3.44E-2</v>
      </c>
      <c r="G13718" s="26">
        <v>6.8999999999999999E-3</v>
      </c>
      <c r="I13718">
        <v>130</v>
      </c>
    </row>
    <row r="13719" spans="1:9" x14ac:dyDescent="0.35">
      <c r="A13719" t="s">
        <v>229</v>
      </c>
      <c r="B13719" t="s">
        <v>257</v>
      </c>
      <c r="C13719" s="26">
        <v>0.64980000000000004</v>
      </c>
      <c r="D13719" s="26">
        <v>0.25140000000000001</v>
      </c>
      <c r="E13719" s="26">
        <v>3.6799999999999999E-2</v>
      </c>
      <c r="F13719" s="26">
        <v>5.5899999999999998E-2</v>
      </c>
      <c r="G13719" s="26">
        <v>6.1000000000000004E-3</v>
      </c>
      <c r="I13719">
        <v>50</v>
      </c>
    </row>
    <row r="13720" spans="1:9" x14ac:dyDescent="0.35">
      <c r="A13720" t="s">
        <v>230</v>
      </c>
      <c r="B13720" t="s">
        <v>255</v>
      </c>
      <c r="C13720" s="26">
        <v>0.67010000000000003</v>
      </c>
      <c r="D13720" s="26">
        <v>9.01E-2</v>
      </c>
      <c r="E13720" s="26">
        <v>0.16289999999999999</v>
      </c>
      <c r="F13720" s="26">
        <v>4.82E-2</v>
      </c>
      <c r="G13720" s="26">
        <v>2.8799999999999999E-2</v>
      </c>
      <c r="I13720">
        <v>276</v>
      </c>
    </row>
    <row r="13721" spans="1:9" x14ac:dyDescent="0.35">
      <c r="A13721" t="s">
        <v>230</v>
      </c>
      <c r="B13721" t="s">
        <v>256</v>
      </c>
      <c r="C13721" s="26">
        <v>0.5847</v>
      </c>
      <c r="D13721" s="26">
        <v>0.14249999999999999</v>
      </c>
      <c r="E13721" s="26">
        <v>0.2482</v>
      </c>
      <c r="G13721" s="26">
        <v>2.3E-2</v>
      </c>
      <c r="H13721" s="26">
        <v>1.5E-3</v>
      </c>
      <c r="I13721">
        <v>90</v>
      </c>
    </row>
    <row r="13722" spans="1:9" x14ac:dyDescent="0.35">
      <c r="A13722" t="s">
        <v>230</v>
      </c>
      <c r="B13722" t="s">
        <v>257</v>
      </c>
      <c r="C13722" s="26">
        <v>0.64980000000000004</v>
      </c>
      <c r="D13722" s="26">
        <v>7.6200000000000004E-2</v>
      </c>
      <c r="E13722" s="26">
        <v>9.2799999999999994E-2</v>
      </c>
      <c r="G13722" s="26">
        <v>0.1812</v>
      </c>
      <c r="I13722">
        <v>38</v>
      </c>
    </row>
    <row r="13723" spans="1:9" x14ac:dyDescent="0.35">
      <c r="A13723" t="s">
        <v>231</v>
      </c>
      <c r="B13723" t="s">
        <v>255</v>
      </c>
      <c r="C13723" s="26">
        <v>0.82430000000000003</v>
      </c>
      <c r="D13723" s="26">
        <v>8.1100000000000005E-2</v>
      </c>
      <c r="E13723" s="26">
        <v>1.35E-2</v>
      </c>
      <c r="F13723" s="26">
        <v>4.0500000000000001E-2</v>
      </c>
      <c r="G13723" s="26">
        <v>4.0500000000000001E-2</v>
      </c>
      <c r="I13723">
        <v>74</v>
      </c>
    </row>
    <row r="13724" spans="1:9" x14ac:dyDescent="0.35">
      <c r="A13724" s="27" t="s">
        <v>231</v>
      </c>
      <c r="B13724" s="27" t="s">
        <v>256</v>
      </c>
      <c r="C13724" s="28">
        <v>0.66669999999999996</v>
      </c>
      <c r="D13724" s="28">
        <v>0.1111</v>
      </c>
      <c r="E13724" s="28">
        <v>0.1111</v>
      </c>
      <c r="F13724" s="28">
        <v>0.1111</v>
      </c>
      <c r="G13724" s="29"/>
      <c r="H13724" s="29"/>
      <c r="I13724" s="29" t="s">
        <v>353</v>
      </c>
    </row>
    <row r="13725" spans="1:9" x14ac:dyDescent="0.35">
      <c r="A13725" s="27" t="s">
        <v>231</v>
      </c>
      <c r="B13725" s="27" t="s">
        <v>257</v>
      </c>
      <c r="C13725" s="28">
        <v>1</v>
      </c>
      <c r="D13725" s="29"/>
      <c r="E13725" s="29"/>
      <c r="F13725" s="29"/>
      <c r="G13725" s="29"/>
      <c r="H13725" s="29"/>
      <c r="I13725" s="29" t="s">
        <v>339</v>
      </c>
    </row>
    <row r="13726" spans="1:9" x14ac:dyDescent="0.35">
      <c r="A13726" t="s">
        <v>232</v>
      </c>
      <c r="B13726" t="s">
        <v>232</v>
      </c>
      <c r="C13726" s="26">
        <v>0.69199999999999995</v>
      </c>
      <c r="D13726" s="26">
        <v>0.12130000000000001</v>
      </c>
      <c r="E13726" s="26">
        <v>9.8900000000000002E-2</v>
      </c>
      <c r="F13726" s="26">
        <v>4.8399999999999999E-2</v>
      </c>
      <c r="G13726" s="26">
        <v>3.6999999999999998E-2</v>
      </c>
      <c r="H13726" s="26">
        <v>2.5000000000000001E-3</v>
      </c>
      <c r="I13726">
        <v>1963</v>
      </c>
    </row>
    <row r="13728" spans="1:9" x14ac:dyDescent="0.35">
      <c r="A13728" s="1" t="s">
        <v>1531</v>
      </c>
    </row>
    <row r="13729" spans="1:9" x14ac:dyDescent="0.35">
      <c r="A13729" t="s">
        <v>219</v>
      </c>
      <c r="B13729" t="s">
        <v>305</v>
      </c>
      <c r="C13729" t="s">
        <v>576</v>
      </c>
      <c r="D13729" t="s">
        <v>580</v>
      </c>
      <c r="E13729" t="s">
        <v>579</v>
      </c>
      <c r="F13729" t="s">
        <v>281</v>
      </c>
      <c r="G13729" t="s">
        <v>578</v>
      </c>
      <c r="H13729" t="s">
        <v>286</v>
      </c>
      <c r="I13729" t="s">
        <v>226</v>
      </c>
    </row>
    <row r="13730" spans="1:9" x14ac:dyDescent="0.35">
      <c r="A13730" s="27" t="s">
        <v>227</v>
      </c>
      <c r="B13730" s="27" t="s">
        <v>1345</v>
      </c>
      <c r="C13730" s="28">
        <v>1</v>
      </c>
      <c r="D13730" s="29"/>
      <c r="E13730" s="29"/>
      <c r="F13730" s="29"/>
      <c r="G13730" s="29"/>
      <c r="H13730" s="29"/>
      <c r="I13730" s="29" t="s">
        <v>331</v>
      </c>
    </row>
    <row r="13731" spans="1:9" x14ac:dyDescent="0.35">
      <c r="A13731" s="27" t="s">
        <v>227</v>
      </c>
      <c r="B13731" s="27" t="s">
        <v>1347</v>
      </c>
      <c r="C13731" s="28">
        <v>0.82609999999999995</v>
      </c>
      <c r="D13731" s="28">
        <v>0.1739</v>
      </c>
      <c r="E13731" s="29"/>
      <c r="F13731" s="29"/>
      <c r="G13731" s="29"/>
      <c r="H13731" s="29"/>
      <c r="I13731" s="29" t="s">
        <v>328</v>
      </c>
    </row>
    <row r="13732" spans="1:9" x14ac:dyDescent="0.35">
      <c r="A13732" t="s">
        <v>227</v>
      </c>
      <c r="B13732" t="s">
        <v>1348</v>
      </c>
      <c r="C13732" s="26">
        <v>0.86890000000000001</v>
      </c>
      <c r="D13732" s="26">
        <v>8.2000000000000003E-2</v>
      </c>
      <c r="E13732" s="26">
        <v>3.2800000000000003E-2</v>
      </c>
      <c r="G13732" s="26">
        <v>1.6400000000000001E-2</v>
      </c>
      <c r="I13732">
        <v>61</v>
      </c>
    </row>
    <row r="13733" spans="1:9" x14ac:dyDescent="0.35">
      <c r="A13733" s="27" t="s">
        <v>227</v>
      </c>
      <c r="B13733" s="27" t="s">
        <v>1346</v>
      </c>
      <c r="C13733" s="28">
        <v>0.73080000000000001</v>
      </c>
      <c r="D13733" s="28">
        <v>0.15379999999999999</v>
      </c>
      <c r="E13733" s="28">
        <v>7.6899999999999996E-2</v>
      </c>
      <c r="F13733" s="28">
        <v>3.85E-2</v>
      </c>
      <c r="G13733" s="29"/>
      <c r="H13733" s="29"/>
      <c r="I13733" s="29" t="s">
        <v>357</v>
      </c>
    </row>
    <row r="13734" spans="1:9" x14ac:dyDescent="0.35">
      <c r="A13734" s="27" t="s">
        <v>228</v>
      </c>
      <c r="B13734" s="27" t="s">
        <v>1345</v>
      </c>
      <c r="C13734" s="28">
        <v>0.52070000000000005</v>
      </c>
      <c r="D13734" s="29"/>
      <c r="E13734" s="28">
        <v>0.25790000000000002</v>
      </c>
      <c r="F13734" s="29"/>
      <c r="G13734" s="28">
        <v>0.22140000000000001</v>
      </c>
      <c r="H13734" s="29"/>
      <c r="I13734" s="29" t="s">
        <v>335</v>
      </c>
    </row>
    <row r="13735" spans="1:9" x14ac:dyDescent="0.35">
      <c r="A13735" t="s">
        <v>228</v>
      </c>
      <c r="B13735" t="s">
        <v>1347</v>
      </c>
      <c r="C13735" s="26">
        <v>0.4965</v>
      </c>
      <c r="D13735" s="26">
        <v>0.2427</v>
      </c>
      <c r="E13735" s="26">
        <v>0.1545</v>
      </c>
      <c r="F13735" s="26">
        <v>3.1699999999999999E-2</v>
      </c>
      <c r="G13735" s="26">
        <v>4.8399999999999999E-2</v>
      </c>
      <c r="H13735" s="26">
        <v>2.6200000000000001E-2</v>
      </c>
      <c r="I13735">
        <v>130</v>
      </c>
    </row>
    <row r="13736" spans="1:9" x14ac:dyDescent="0.35">
      <c r="A13736" t="s">
        <v>228</v>
      </c>
      <c r="B13736" t="s">
        <v>1346</v>
      </c>
      <c r="C13736" s="26">
        <v>0.62290000000000001</v>
      </c>
      <c r="D13736" s="26">
        <v>0.1012</v>
      </c>
      <c r="E13736" s="26">
        <v>0.15579999999999999</v>
      </c>
      <c r="F13736" s="26">
        <v>6.1499999999999999E-2</v>
      </c>
      <c r="G13736" s="26">
        <v>5.8599999999999999E-2</v>
      </c>
      <c r="I13736">
        <v>239</v>
      </c>
    </row>
    <row r="13737" spans="1:9" x14ac:dyDescent="0.35">
      <c r="A13737" t="s">
        <v>228</v>
      </c>
      <c r="B13737" t="s">
        <v>1348</v>
      </c>
      <c r="C13737" s="26">
        <v>0.56930000000000003</v>
      </c>
      <c r="D13737" s="26">
        <v>0.1249</v>
      </c>
      <c r="E13737" s="26">
        <v>0.18859999999999999</v>
      </c>
      <c r="F13737" s="26">
        <v>6.25E-2</v>
      </c>
      <c r="G13737" s="26">
        <v>5.3100000000000001E-2</v>
      </c>
      <c r="H13737" s="26">
        <v>1.6000000000000001E-3</v>
      </c>
      <c r="I13737">
        <v>352</v>
      </c>
    </row>
    <row r="13738" spans="1:9" x14ac:dyDescent="0.35">
      <c r="A13738" t="s">
        <v>229</v>
      </c>
      <c r="B13738" t="s">
        <v>1346</v>
      </c>
      <c r="C13738" s="26">
        <v>0.66479999999999995</v>
      </c>
      <c r="D13738" s="26">
        <v>8.3199999999999996E-2</v>
      </c>
      <c r="E13738" s="26">
        <v>8.6699999999999999E-2</v>
      </c>
      <c r="F13738" s="26">
        <v>0.12690000000000001</v>
      </c>
      <c r="G13738" s="26">
        <v>2.1100000000000001E-2</v>
      </c>
      <c r="H13738" s="26">
        <v>1.7299999999999999E-2</v>
      </c>
      <c r="I13738">
        <v>131</v>
      </c>
    </row>
    <row r="13739" spans="1:9" x14ac:dyDescent="0.35">
      <c r="A13739" s="27" t="s">
        <v>229</v>
      </c>
      <c r="B13739" s="27" t="s">
        <v>1345</v>
      </c>
      <c r="C13739" s="28">
        <v>0.41289999999999999</v>
      </c>
      <c r="D13739" s="28">
        <v>6.5000000000000002E-2</v>
      </c>
      <c r="E13739" s="28">
        <v>0.32779999999999998</v>
      </c>
      <c r="F13739" s="29"/>
      <c r="G13739" s="28">
        <v>0.1943</v>
      </c>
      <c r="H13739" s="29"/>
      <c r="I13739" s="29" t="s">
        <v>343</v>
      </c>
    </row>
    <row r="13740" spans="1:9" x14ac:dyDescent="0.35">
      <c r="A13740" t="s">
        <v>229</v>
      </c>
      <c r="B13740" t="s">
        <v>1347</v>
      </c>
      <c r="C13740" s="26">
        <v>0.55149999999999999</v>
      </c>
      <c r="D13740" s="26">
        <v>0.22409999999999999</v>
      </c>
      <c r="E13740" s="26">
        <v>0.10100000000000001</v>
      </c>
      <c r="F13740" s="26">
        <v>5.0099999999999999E-2</v>
      </c>
      <c r="G13740" s="26">
        <v>7.3300000000000004E-2</v>
      </c>
      <c r="I13740">
        <v>198</v>
      </c>
    </row>
    <row r="13741" spans="1:9" x14ac:dyDescent="0.35">
      <c r="A13741" t="s">
        <v>229</v>
      </c>
      <c r="B13741" t="s">
        <v>1348</v>
      </c>
      <c r="C13741" s="26">
        <v>0.6482</v>
      </c>
      <c r="D13741" s="26">
        <v>0.1517</v>
      </c>
      <c r="E13741" s="26">
        <v>0.11890000000000001</v>
      </c>
      <c r="F13741" s="26">
        <v>5.6599999999999998E-2</v>
      </c>
      <c r="G13741" s="26">
        <v>2.3199999999999998E-2</v>
      </c>
      <c r="H13741" s="26">
        <v>1.4E-3</v>
      </c>
      <c r="I13741">
        <v>276</v>
      </c>
    </row>
    <row r="13742" spans="1:9" x14ac:dyDescent="0.35">
      <c r="A13742" s="27" t="s">
        <v>230</v>
      </c>
      <c r="B13742" s="27" t="s">
        <v>1345</v>
      </c>
      <c r="C13742" s="28">
        <v>0.27760000000000001</v>
      </c>
      <c r="D13742" s="28">
        <v>0.72240000000000004</v>
      </c>
      <c r="E13742" s="29"/>
      <c r="F13742" s="29"/>
      <c r="G13742" s="29"/>
      <c r="H13742" s="29"/>
      <c r="I13742" s="29" t="s">
        <v>337</v>
      </c>
    </row>
    <row r="13743" spans="1:9" x14ac:dyDescent="0.35">
      <c r="A13743" t="s">
        <v>230</v>
      </c>
      <c r="B13743" t="s">
        <v>1346</v>
      </c>
      <c r="C13743" s="26">
        <v>0.58750000000000002</v>
      </c>
      <c r="D13743" s="26">
        <v>8.3199999999999996E-2</v>
      </c>
      <c r="E13743" s="26">
        <v>0.17069999999999999</v>
      </c>
      <c r="F13743" s="26">
        <v>0.1007</v>
      </c>
      <c r="G13743" s="26">
        <v>5.8000000000000003E-2</v>
      </c>
      <c r="I13743">
        <v>110</v>
      </c>
    </row>
    <row r="13744" spans="1:9" x14ac:dyDescent="0.35">
      <c r="A13744" t="s">
        <v>230</v>
      </c>
      <c r="B13744" t="s">
        <v>1347</v>
      </c>
      <c r="C13744" s="26">
        <v>0.64880000000000004</v>
      </c>
      <c r="D13744" s="26">
        <v>0.11940000000000001</v>
      </c>
      <c r="E13744" s="26">
        <v>0.14199999999999999</v>
      </c>
      <c r="F13744" s="26">
        <v>1.11E-2</v>
      </c>
      <c r="G13744" s="26">
        <v>7.7200000000000005E-2</v>
      </c>
      <c r="H13744" s="26">
        <v>1.5E-3</v>
      </c>
      <c r="I13744">
        <v>106</v>
      </c>
    </row>
    <row r="13745" spans="1:18" x14ac:dyDescent="0.35">
      <c r="A13745" t="s">
        <v>230</v>
      </c>
      <c r="B13745" t="s">
        <v>1348</v>
      </c>
      <c r="C13745" s="26">
        <v>0.67869999999999997</v>
      </c>
      <c r="D13745" s="26">
        <v>8.7900000000000006E-2</v>
      </c>
      <c r="E13745" s="26">
        <v>0.20349999999999999</v>
      </c>
      <c r="F13745" s="26">
        <v>1.11E-2</v>
      </c>
      <c r="G13745" s="26">
        <v>1.8800000000000001E-2</v>
      </c>
      <c r="I13745">
        <v>184</v>
      </c>
    </row>
    <row r="13746" spans="1:18" x14ac:dyDescent="0.35">
      <c r="A13746" t="s">
        <v>231</v>
      </c>
      <c r="B13746" t="s">
        <v>1348</v>
      </c>
      <c r="C13746" s="26">
        <v>0.78</v>
      </c>
      <c r="D13746" s="26">
        <v>0.08</v>
      </c>
      <c r="F13746" s="26">
        <v>0.08</v>
      </c>
      <c r="G13746" s="26">
        <v>0.06</v>
      </c>
      <c r="I13746">
        <v>50</v>
      </c>
    </row>
    <row r="13747" spans="1:18" x14ac:dyDescent="0.35">
      <c r="A13747" s="27" t="s">
        <v>231</v>
      </c>
      <c r="B13747" s="27" t="s">
        <v>1347</v>
      </c>
      <c r="C13747" s="28">
        <v>0.8</v>
      </c>
      <c r="D13747" s="28">
        <v>0.1</v>
      </c>
      <c r="E13747" s="28">
        <v>0.1</v>
      </c>
      <c r="F13747" s="29"/>
      <c r="G13747" s="29"/>
      <c r="H13747" s="29"/>
      <c r="I13747" s="29" t="s">
        <v>350</v>
      </c>
    </row>
    <row r="13748" spans="1:18" x14ac:dyDescent="0.35">
      <c r="A13748" s="27" t="s">
        <v>231</v>
      </c>
      <c r="B13748" s="27" t="s">
        <v>1345</v>
      </c>
      <c r="C13748" s="28">
        <v>0.33329999999999999</v>
      </c>
      <c r="D13748" s="28">
        <v>0.33329999999999999</v>
      </c>
      <c r="E13748" s="28">
        <v>0.33329999999999999</v>
      </c>
      <c r="F13748" s="29"/>
      <c r="G13748" s="29"/>
      <c r="H13748" s="29"/>
      <c r="I13748" s="29" t="s">
        <v>315</v>
      </c>
    </row>
    <row r="13749" spans="1:18" x14ac:dyDescent="0.35">
      <c r="A13749" s="27" t="s">
        <v>231</v>
      </c>
      <c r="B13749" s="27" t="s">
        <v>1346</v>
      </c>
      <c r="C13749" s="28">
        <v>0.92310000000000003</v>
      </c>
      <c r="D13749" s="28">
        <v>3.85E-2</v>
      </c>
      <c r="E13749" s="29"/>
      <c r="F13749" s="28">
        <v>3.85E-2</v>
      </c>
      <c r="G13749" s="29"/>
      <c r="H13749" s="29"/>
      <c r="I13749" s="29" t="s">
        <v>357</v>
      </c>
    </row>
    <row r="13750" spans="1:18" x14ac:dyDescent="0.35">
      <c r="A13750" t="s">
        <v>232</v>
      </c>
      <c r="B13750" t="s">
        <v>232</v>
      </c>
      <c r="C13750" s="26">
        <v>0.69199999999999995</v>
      </c>
      <c r="D13750" s="26">
        <v>0.12130000000000001</v>
      </c>
      <c r="E13750" s="26">
        <v>9.8900000000000002E-2</v>
      </c>
      <c r="F13750" s="26">
        <v>4.8399999999999999E-2</v>
      </c>
      <c r="G13750" s="26">
        <v>3.6999999999999998E-2</v>
      </c>
      <c r="H13750" s="26">
        <v>2.5000000000000001E-3</v>
      </c>
      <c r="I13750">
        <v>1963</v>
      </c>
    </row>
    <row r="13752" spans="1:18" x14ac:dyDescent="0.35">
      <c r="A13752" s="1" t="s">
        <v>1532</v>
      </c>
    </row>
    <row r="13753" spans="1:18" x14ac:dyDescent="0.35">
      <c r="A13753" t="s">
        <v>219</v>
      </c>
      <c r="B13753" t="s">
        <v>281</v>
      </c>
      <c r="C13753" t="s">
        <v>550</v>
      </c>
      <c r="D13753" t="s">
        <v>1533</v>
      </c>
      <c r="E13753" t="s">
        <v>1534</v>
      </c>
      <c r="F13753" t="s">
        <v>1535</v>
      </c>
      <c r="G13753" t="s">
        <v>326</v>
      </c>
      <c r="H13753" t="s">
        <v>1536</v>
      </c>
      <c r="I13753" t="s">
        <v>1537</v>
      </c>
      <c r="J13753" t="s">
        <v>1538</v>
      </c>
      <c r="K13753" t="s">
        <v>1539</v>
      </c>
      <c r="L13753" t="s">
        <v>1540</v>
      </c>
      <c r="M13753" t="s">
        <v>1541</v>
      </c>
      <c r="N13753" t="s">
        <v>286</v>
      </c>
      <c r="O13753" t="s">
        <v>1542</v>
      </c>
      <c r="P13753" t="s">
        <v>1543</v>
      </c>
      <c r="Q13753" t="s">
        <v>1544</v>
      </c>
      <c r="R13753" t="s">
        <v>226</v>
      </c>
    </row>
    <row r="13754" spans="1:18" x14ac:dyDescent="0.35">
      <c r="A13754" t="s">
        <v>227</v>
      </c>
      <c r="B13754" s="26">
        <v>0.44440000000000002</v>
      </c>
      <c r="C13754" s="26">
        <v>0.25929999999999997</v>
      </c>
      <c r="D13754" s="26">
        <v>0.16669999999999999</v>
      </c>
      <c r="E13754" s="26">
        <v>9.2600000000000002E-2</v>
      </c>
      <c r="F13754" s="26">
        <v>3.6999999999999998E-2</v>
      </c>
      <c r="G13754" s="26">
        <v>5.5599999999999997E-2</v>
      </c>
      <c r="I13754" s="26">
        <v>1.8499999999999999E-2</v>
      </c>
      <c r="J13754" s="26">
        <v>3.6999999999999998E-2</v>
      </c>
      <c r="M13754" s="26">
        <v>1.8499999999999999E-2</v>
      </c>
      <c r="R13754">
        <v>54</v>
      </c>
    </row>
    <row r="13755" spans="1:18" x14ac:dyDescent="0.35">
      <c r="A13755" t="s">
        <v>228</v>
      </c>
      <c r="B13755" s="26">
        <v>0.46210000000000001</v>
      </c>
      <c r="C13755" s="26">
        <v>0.19900000000000001</v>
      </c>
      <c r="D13755" s="26">
        <v>0.2082</v>
      </c>
      <c r="E13755" s="26">
        <v>0.1041</v>
      </c>
      <c r="F13755" s="26">
        <v>6.8900000000000003E-2</v>
      </c>
      <c r="G13755" s="26">
        <v>2.29E-2</v>
      </c>
      <c r="H13755" s="26">
        <v>7.5300000000000006E-2</v>
      </c>
      <c r="I13755" s="26">
        <v>3.9699999999999999E-2</v>
      </c>
      <c r="J13755" s="26">
        <v>3.49E-2</v>
      </c>
      <c r="K13755" s="26">
        <v>2.6700000000000002E-2</v>
      </c>
      <c r="L13755" s="26">
        <v>2.98E-2</v>
      </c>
      <c r="M13755" s="26">
        <v>3.7000000000000002E-3</v>
      </c>
      <c r="N13755" s="26">
        <v>6.9999999999999999E-4</v>
      </c>
      <c r="O13755" s="26">
        <v>7.9000000000000008E-3</v>
      </c>
      <c r="P13755" s="26">
        <v>6.3E-3</v>
      </c>
      <c r="Q13755" s="26">
        <v>4.5999999999999999E-3</v>
      </c>
      <c r="R13755">
        <v>310</v>
      </c>
    </row>
    <row r="13756" spans="1:18" x14ac:dyDescent="0.35">
      <c r="A13756" t="s">
        <v>229</v>
      </c>
      <c r="B13756" s="26">
        <v>0.33379999999999999</v>
      </c>
      <c r="C13756" s="26">
        <v>0.23730000000000001</v>
      </c>
      <c r="D13756" s="26">
        <v>0.27050000000000002</v>
      </c>
      <c r="E13756" s="26">
        <v>0.16059999999999999</v>
      </c>
      <c r="F13756" s="26">
        <v>5.8999999999999997E-2</v>
      </c>
      <c r="G13756" s="26">
        <v>3.0700000000000002E-2</v>
      </c>
      <c r="H13756" s="26">
        <v>2.9499999999999998E-2</v>
      </c>
      <c r="I13756" s="26">
        <v>3.6900000000000002E-2</v>
      </c>
      <c r="J13756" s="26">
        <v>1.44E-2</v>
      </c>
      <c r="K13756" s="26">
        <v>1.26E-2</v>
      </c>
      <c r="L13756" s="26">
        <v>1.7100000000000001E-2</v>
      </c>
      <c r="M13756" s="26">
        <v>1.17E-2</v>
      </c>
      <c r="N13756" s="26">
        <v>8.8000000000000005E-3</v>
      </c>
      <c r="O13756" s="26">
        <v>3.0999999999999999E-3</v>
      </c>
      <c r="P13756" s="26">
        <v>2.0999999999999999E-3</v>
      </c>
      <c r="Q13756" s="26">
        <v>1.6000000000000001E-3</v>
      </c>
      <c r="R13756">
        <v>271</v>
      </c>
    </row>
    <row r="13757" spans="1:18" x14ac:dyDescent="0.35">
      <c r="A13757" t="s">
        <v>230</v>
      </c>
      <c r="B13757" s="26">
        <v>0.35</v>
      </c>
      <c r="C13757" s="26">
        <v>0.22159999999999999</v>
      </c>
      <c r="D13757" s="26">
        <v>0.2974</v>
      </c>
      <c r="E13757" s="26">
        <v>9.3200000000000005E-2</v>
      </c>
      <c r="F13757" s="26">
        <v>0.1187</v>
      </c>
      <c r="G13757" s="26">
        <v>0.06</v>
      </c>
      <c r="H13757" s="26">
        <v>2.3599999999999999E-2</v>
      </c>
      <c r="I13757" s="26">
        <v>2.1899999999999999E-2</v>
      </c>
      <c r="J13757" s="26">
        <v>3.7499999999999999E-2</v>
      </c>
      <c r="K13757" s="26">
        <v>8.4000000000000005E-2</v>
      </c>
      <c r="L13757" s="26">
        <v>3.4099999999999998E-2</v>
      </c>
      <c r="M13757" s="26">
        <v>4.1000000000000003E-3</v>
      </c>
      <c r="N13757" s="26">
        <v>1.9900000000000001E-2</v>
      </c>
      <c r="O13757" s="26">
        <v>9.7999999999999997E-3</v>
      </c>
      <c r="P13757" s="26">
        <v>1E-3</v>
      </c>
      <c r="Q13757" s="26">
        <v>7.0000000000000001E-3</v>
      </c>
      <c r="R13757">
        <v>151</v>
      </c>
    </row>
    <row r="13758" spans="1:18" x14ac:dyDescent="0.35">
      <c r="A13758" t="s">
        <v>231</v>
      </c>
      <c r="B13758" s="26">
        <v>0.32350000000000001</v>
      </c>
      <c r="C13758" s="26">
        <v>0.44119999999999998</v>
      </c>
      <c r="D13758" s="26">
        <v>0.17649999999999999</v>
      </c>
      <c r="E13758" s="26">
        <v>0.1176</v>
      </c>
      <c r="F13758" s="26">
        <v>0.1176</v>
      </c>
      <c r="R13758">
        <v>34</v>
      </c>
    </row>
    <row r="13759" spans="1:18" x14ac:dyDescent="0.35">
      <c r="A13759" t="s">
        <v>232</v>
      </c>
      <c r="B13759" s="26">
        <v>0.38069999999999998</v>
      </c>
      <c r="C13759" s="26">
        <v>0.27139999999999997</v>
      </c>
      <c r="D13759" s="26">
        <v>0.22270000000000001</v>
      </c>
      <c r="E13759" s="26">
        <v>0.1215</v>
      </c>
      <c r="F13759" s="26">
        <v>7.4499999999999997E-2</v>
      </c>
      <c r="G13759" s="26">
        <v>3.0099999999999998E-2</v>
      </c>
      <c r="H13759" s="26">
        <v>2.8000000000000001E-2</v>
      </c>
      <c r="I13759" s="26">
        <v>2.5600000000000001E-2</v>
      </c>
      <c r="J13759" s="26">
        <v>2.2200000000000001E-2</v>
      </c>
      <c r="K13759" s="26">
        <v>1.77E-2</v>
      </c>
      <c r="L13759" s="26">
        <v>1.5100000000000001E-2</v>
      </c>
      <c r="M13759" s="26">
        <v>8.0999999999999996E-3</v>
      </c>
      <c r="N13759" s="26">
        <v>4.7999999999999996E-3</v>
      </c>
      <c r="O13759" s="26">
        <v>3.5999999999999999E-3</v>
      </c>
      <c r="P13759" s="26">
        <v>2.0999999999999999E-3</v>
      </c>
      <c r="Q13759" s="26">
        <v>2.0999999999999999E-3</v>
      </c>
      <c r="R13759">
        <v>820</v>
      </c>
    </row>
    <row r="13761" spans="1:19" x14ac:dyDescent="0.35">
      <c r="A13761" s="1" t="s">
        <v>1545</v>
      </c>
    </row>
    <row r="13762" spans="1:19" x14ac:dyDescent="0.35">
      <c r="A13762" t="s">
        <v>219</v>
      </c>
      <c r="B13762" t="s">
        <v>305</v>
      </c>
      <c r="C13762" t="s">
        <v>281</v>
      </c>
      <c r="D13762" t="s">
        <v>550</v>
      </c>
      <c r="E13762" t="s">
        <v>1533</v>
      </c>
      <c r="F13762" t="s">
        <v>1534</v>
      </c>
      <c r="G13762" t="s">
        <v>1535</v>
      </c>
      <c r="H13762" t="s">
        <v>326</v>
      </c>
      <c r="I13762" t="s">
        <v>1536</v>
      </c>
      <c r="J13762" t="s">
        <v>1537</v>
      </c>
      <c r="K13762" t="s">
        <v>1538</v>
      </c>
      <c r="L13762" t="s">
        <v>1539</v>
      </c>
      <c r="M13762" t="s">
        <v>1540</v>
      </c>
      <c r="N13762" t="s">
        <v>1541</v>
      </c>
      <c r="O13762" t="s">
        <v>286</v>
      </c>
      <c r="P13762" t="s">
        <v>1542</v>
      </c>
      <c r="Q13762" t="s">
        <v>1543</v>
      </c>
      <c r="R13762" t="s">
        <v>1544</v>
      </c>
      <c r="S13762" t="s">
        <v>226</v>
      </c>
    </row>
    <row r="13763" spans="1:19" x14ac:dyDescent="0.35">
      <c r="A13763" s="27" t="s">
        <v>227</v>
      </c>
      <c r="B13763" s="27" t="s">
        <v>242</v>
      </c>
      <c r="C13763" s="28">
        <v>0.65</v>
      </c>
      <c r="D13763" s="28">
        <v>0.2</v>
      </c>
      <c r="E13763" s="28">
        <v>0.1</v>
      </c>
      <c r="F13763" s="29"/>
      <c r="G13763" s="29"/>
      <c r="H13763" s="28">
        <v>0.05</v>
      </c>
      <c r="I13763" s="29"/>
      <c r="J13763" s="29"/>
      <c r="K13763" s="28">
        <v>0.05</v>
      </c>
      <c r="L13763" s="29"/>
      <c r="M13763" s="29"/>
      <c r="N13763" s="29"/>
      <c r="O13763" s="29"/>
      <c r="P13763" s="29"/>
      <c r="Q13763" s="29"/>
      <c r="R13763" s="29"/>
      <c r="S13763" s="29" t="s">
        <v>350</v>
      </c>
    </row>
    <row r="13764" spans="1:19" x14ac:dyDescent="0.35">
      <c r="A13764" t="s">
        <v>227</v>
      </c>
      <c r="B13764" t="s">
        <v>241</v>
      </c>
      <c r="C13764" s="26">
        <v>0.32350000000000001</v>
      </c>
      <c r="D13764" s="26">
        <v>0.29409999999999997</v>
      </c>
      <c r="E13764" s="26">
        <v>0.2059</v>
      </c>
      <c r="F13764" s="26">
        <v>0.14710000000000001</v>
      </c>
      <c r="G13764" s="26">
        <v>5.8799999999999998E-2</v>
      </c>
      <c r="H13764" s="26">
        <v>5.8799999999999998E-2</v>
      </c>
      <c r="J13764" s="26">
        <v>2.9399999999999999E-2</v>
      </c>
      <c r="K13764" s="26">
        <v>2.9399999999999999E-2</v>
      </c>
      <c r="N13764" s="26">
        <v>2.9399999999999999E-2</v>
      </c>
      <c r="S13764">
        <v>34</v>
      </c>
    </row>
    <row r="13765" spans="1:19" x14ac:dyDescent="0.35">
      <c r="A13765" t="s">
        <v>228</v>
      </c>
      <c r="B13765" t="s">
        <v>242</v>
      </c>
      <c r="C13765" s="26">
        <v>0.47199999999999998</v>
      </c>
      <c r="D13765" s="26">
        <v>0.2104</v>
      </c>
      <c r="E13765" s="26">
        <v>0.15970000000000001</v>
      </c>
      <c r="F13765" s="26">
        <v>0.1061</v>
      </c>
      <c r="G13765" s="26">
        <v>5.1900000000000002E-2</v>
      </c>
      <c r="H13765" s="26">
        <v>5.91E-2</v>
      </c>
      <c r="I13765" s="26">
        <v>9.01E-2</v>
      </c>
      <c r="J13765" s="26">
        <v>5.4399999999999997E-2</v>
      </c>
      <c r="K13765" s="26">
        <v>4.7E-2</v>
      </c>
      <c r="L13765" s="26">
        <v>3.8E-3</v>
      </c>
      <c r="M13765" s="26">
        <v>3.3399999999999999E-2</v>
      </c>
      <c r="N13765" s="26">
        <v>5.1999999999999998E-3</v>
      </c>
      <c r="O13765" s="26">
        <v>1.9E-3</v>
      </c>
      <c r="P13765" s="26">
        <v>7.1000000000000004E-3</v>
      </c>
      <c r="Q13765" s="26">
        <v>7.1000000000000004E-3</v>
      </c>
      <c r="R13765" s="26">
        <v>5.1999999999999998E-3</v>
      </c>
      <c r="S13765">
        <v>130</v>
      </c>
    </row>
    <row r="13766" spans="1:19" x14ac:dyDescent="0.35">
      <c r="A13766" t="s">
        <v>228</v>
      </c>
      <c r="B13766" t="s">
        <v>241</v>
      </c>
      <c r="C13766" s="26">
        <v>0.45590000000000003</v>
      </c>
      <c r="D13766" s="26">
        <v>0.1918</v>
      </c>
      <c r="E13766" s="26">
        <v>0.23899999999999999</v>
      </c>
      <c r="F13766" s="26">
        <v>0.10290000000000001</v>
      </c>
      <c r="G13766" s="26">
        <v>7.9699999999999993E-2</v>
      </c>
      <c r="I13766" s="26">
        <v>6.6000000000000003E-2</v>
      </c>
      <c r="J13766" s="26">
        <v>3.04E-2</v>
      </c>
      <c r="K13766" s="26">
        <v>2.7199999999999998E-2</v>
      </c>
      <c r="L13766" s="26">
        <v>4.1099999999999998E-2</v>
      </c>
      <c r="M13766" s="26">
        <v>2.75E-2</v>
      </c>
      <c r="N13766" s="26">
        <v>2.7000000000000001E-3</v>
      </c>
      <c r="P13766" s="26">
        <v>8.3000000000000001E-3</v>
      </c>
      <c r="Q13766" s="26">
        <v>5.8999999999999999E-3</v>
      </c>
      <c r="R13766" s="26">
        <v>4.1999999999999997E-3</v>
      </c>
      <c r="S13766">
        <v>180</v>
      </c>
    </row>
    <row r="13767" spans="1:19" x14ac:dyDescent="0.35">
      <c r="A13767" t="s">
        <v>229</v>
      </c>
      <c r="B13767" t="s">
        <v>242</v>
      </c>
      <c r="C13767" s="26">
        <v>0.45490000000000003</v>
      </c>
      <c r="D13767" s="26">
        <v>0.1981</v>
      </c>
      <c r="E13767" s="26">
        <v>0.18759999999999999</v>
      </c>
      <c r="F13767" s="26">
        <v>0.10299999999999999</v>
      </c>
      <c r="G13767" s="26">
        <v>2.1999999999999999E-2</v>
      </c>
      <c r="H13767" s="26">
        <v>2.6800000000000001E-2</v>
      </c>
      <c r="I13767" s="26">
        <v>3.4599999999999999E-2</v>
      </c>
      <c r="J13767" s="26">
        <v>5.4899999999999997E-2</v>
      </c>
      <c r="K13767" s="26">
        <v>2.63E-2</v>
      </c>
      <c r="L13767" s="26">
        <v>3.0000000000000001E-3</v>
      </c>
      <c r="M13767" s="26">
        <v>3.2399999999999998E-2</v>
      </c>
      <c r="N13767" s="26">
        <v>2.76E-2</v>
      </c>
      <c r="O13767" s="26">
        <v>2.12E-2</v>
      </c>
      <c r="P13767" s="26">
        <v>1.4E-3</v>
      </c>
      <c r="Q13767" s="26">
        <v>1.4E-3</v>
      </c>
      <c r="R13767" s="26">
        <v>1.4E-3</v>
      </c>
      <c r="S13767">
        <v>95</v>
      </c>
    </row>
    <row r="13768" spans="1:19" x14ac:dyDescent="0.35">
      <c r="A13768" t="s">
        <v>229</v>
      </c>
      <c r="B13768" t="s">
        <v>241</v>
      </c>
      <c r="C13768" s="26">
        <v>0.26290000000000002</v>
      </c>
      <c r="D13768" s="26">
        <v>0.26029999999999998</v>
      </c>
      <c r="E13768" s="26">
        <v>0.31900000000000001</v>
      </c>
      <c r="F13768" s="26">
        <v>0.1943</v>
      </c>
      <c r="G13768" s="26">
        <v>8.0699999999999994E-2</v>
      </c>
      <c r="H13768" s="26">
        <v>3.3000000000000002E-2</v>
      </c>
      <c r="I13768" s="26">
        <v>2.64E-2</v>
      </c>
      <c r="J13768" s="26">
        <v>2.64E-2</v>
      </c>
      <c r="K13768" s="26">
        <v>7.4000000000000003E-3</v>
      </c>
      <c r="L13768" s="26">
        <v>1.8100000000000002E-2</v>
      </c>
      <c r="M13768" s="26">
        <v>8.2000000000000007E-3</v>
      </c>
      <c r="N13768" s="26">
        <v>2.5000000000000001E-3</v>
      </c>
      <c r="O13768" s="26">
        <v>1.6000000000000001E-3</v>
      </c>
      <c r="P13768" s="26">
        <v>4.1000000000000003E-3</v>
      </c>
      <c r="Q13768" s="26">
        <v>2.5000000000000001E-3</v>
      </c>
      <c r="R13768" s="26">
        <v>1.6000000000000001E-3</v>
      </c>
      <c r="S13768">
        <v>176</v>
      </c>
    </row>
    <row r="13769" spans="1:19" x14ac:dyDescent="0.35">
      <c r="A13769" t="s">
        <v>230</v>
      </c>
      <c r="B13769" t="s">
        <v>242</v>
      </c>
      <c r="C13769" s="26">
        <v>0.3977</v>
      </c>
      <c r="D13769" s="26">
        <v>0.1021</v>
      </c>
      <c r="E13769" s="26">
        <v>0.31430000000000002</v>
      </c>
      <c r="F13769" s="26">
        <v>4.87E-2</v>
      </c>
      <c r="G13769" s="26">
        <v>6.6900000000000001E-2</v>
      </c>
      <c r="H13769" s="26">
        <v>6.3700000000000007E-2</v>
      </c>
      <c r="I13769" s="26">
        <v>2.7900000000000001E-2</v>
      </c>
      <c r="J13769" s="26">
        <v>3.4099999999999998E-2</v>
      </c>
      <c r="K13769" s="26">
        <v>1.72E-2</v>
      </c>
      <c r="L13769" s="26">
        <v>0.191</v>
      </c>
      <c r="M13769" s="26">
        <v>6.4999999999999997E-3</v>
      </c>
      <c r="N13769" s="26">
        <v>1.0500000000000001E-2</v>
      </c>
      <c r="P13769" s="26">
        <v>2.0199999999999999E-2</v>
      </c>
      <c r="Q13769" s="26">
        <v>3.2000000000000002E-3</v>
      </c>
      <c r="R13769" s="26">
        <v>1.37E-2</v>
      </c>
      <c r="S13769">
        <v>49</v>
      </c>
    </row>
    <row r="13770" spans="1:19" x14ac:dyDescent="0.35">
      <c r="A13770" t="s">
        <v>230</v>
      </c>
      <c r="B13770" t="s">
        <v>241</v>
      </c>
      <c r="C13770" s="26">
        <v>0.32979999999999998</v>
      </c>
      <c r="D13770" s="26">
        <v>0.2722</v>
      </c>
      <c r="E13770" s="26">
        <v>0.29020000000000001</v>
      </c>
      <c r="F13770" s="26">
        <v>0.112</v>
      </c>
      <c r="G13770" s="26">
        <v>0.14069999999999999</v>
      </c>
      <c r="H13770" s="26">
        <v>5.8500000000000003E-2</v>
      </c>
      <c r="I13770" s="26">
        <v>2.18E-2</v>
      </c>
      <c r="J13770" s="26">
        <v>1.6799999999999999E-2</v>
      </c>
      <c r="K13770" s="26">
        <v>4.6100000000000002E-2</v>
      </c>
      <c r="L13770" s="26">
        <v>3.8699999999999998E-2</v>
      </c>
      <c r="M13770" s="26">
        <v>4.58E-2</v>
      </c>
      <c r="N13770" s="26">
        <v>1.4E-3</v>
      </c>
      <c r="O13770" s="26">
        <v>2.8299999999999999E-2</v>
      </c>
      <c r="P13770" s="26">
        <v>5.4999999999999997E-3</v>
      </c>
      <c r="R13770" s="26">
        <v>4.1000000000000003E-3</v>
      </c>
      <c r="S13770">
        <v>102</v>
      </c>
    </row>
    <row r="13771" spans="1:19" x14ac:dyDescent="0.35">
      <c r="A13771" s="27" t="s">
        <v>231</v>
      </c>
      <c r="B13771" s="27" t="s">
        <v>242</v>
      </c>
      <c r="C13771" s="28">
        <v>0.45450000000000002</v>
      </c>
      <c r="D13771" s="28">
        <v>0.36359999999999998</v>
      </c>
      <c r="E13771" s="28">
        <v>0.18179999999999999</v>
      </c>
      <c r="F13771" s="28">
        <v>0.18179999999999999</v>
      </c>
      <c r="G13771" s="28">
        <v>9.0899999999999995E-2</v>
      </c>
      <c r="H13771" s="29"/>
      <c r="I13771" s="29"/>
      <c r="J13771" s="29"/>
      <c r="K13771" s="29"/>
      <c r="L13771" s="29"/>
      <c r="M13771" s="29"/>
      <c r="N13771" s="29"/>
      <c r="O13771" s="29"/>
      <c r="P13771" s="29"/>
      <c r="Q13771" s="29"/>
      <c r="R13771" s="29"/>
      <c r="S13771" s="29" t="s">
        <v>352</v>
      </c>
    </row>
    <row r="13772" spans="1:19" x14ac:dyDescent="0.35">
      <c r="A13772" s="27" t="s">
        <v>231</v>
      </c>
      <c r="B13772" s="27" t="s">
        <v>241</v>
      </c>
      <c r="C13772" s="28">
        <v>0.26090000000000002</v>
      </c>
      <c r="D13772" s="28">
        <v>0.4783</v>
      </c>
      <c r="E13772" s="28">
        <v>0.1739</v>
      </c>
      <c r="F13772" s="28">
        <v>8.6999999999999994E-2</v>
      </c>
      <c r="G13772" s="28">
        <v>0.13039999999999999</v>
      </c>
      <c r="H13772" s="29"/>
      <c r="I13772" s="29"/>
      <c r="J13772" s="29"/>
      <c r="K13772" s="29"/>
      <c r="L13772" s="29"/>
      <c r="M13772" s="29"/>
      <c r="N13772" s="29"/>
      <c r="O13772" s="29"/>
      <c r="P13772" s="29"/>
      <c r="Q13772" s="29"/>
      <c r="R13772" s="29"/>
      <c r="S13772" s="29" t="s">
        <v>328</v>
      </c>
    </row>
    <row r="13773" spans="1:19" x14ac:dyDescent="0.35">
      <c r="A13773" t="s">
        <v>232</v>
      </c>
      <c r="B13773" t="s">
        <v>232</v>
      </c>
      <c r="C13773" s="26">
        <v>0.38069999999999998</v>
      </c>
      <c r="D13773" s="26">
        <v>0.27139999999999997</v>
      </c>
      <c r="E13773" s="26">
        <v>0.22270000000000001</v>
      </c>
      <c r="F13773" s="26">
        <v>0.1215</v>
      </c>
      <c r="G13773" s="26">
        <v>7.4499999999999997E-2</v>
      </c>
      <c r="H13773" s="26">
        <v>3.0099999999999998E-2</v>
      </c>
      <c r="I13773" s="26">
        <v>2.8000000000000001E-2</v>
      </c>
      <c r="J13773" s="26">
        <v>2.5600000000000001E-2</v>
      </c>
      <c r="K13773" s="26">
        <v>2.2200000000000001E-2</v>
      </c>
      <c r="L13773" s="26">
        <v>1.77E-2</v>
      </c>
      <c r="M13773" s="26">
        <v>1.5100000000000001E-2</v>
      </c>
      <c r="N13773" s="26">
        <v>8.0999999999999996E-3</v>
      </c>
      <c r="O13773" s="26">
        <v>4.7999999999999996E-3</v>
      </c>
      <c r="P13773" s="26">
        <v>3.5999999999999999E-3</v>
      </c>
      <c r="Q13773" s="26">
        <v>2.0999999999999999E-3</v>
      </c>
      <c r="R13773" s="26">
        <v>2.0999999999999999E-3</v>
      </c>
      <c r="S13773">
        <v>820</v>
      </c>
    </row>
    <row r="13775" spans="1:19" x14ac:dyDescent="0.35">
      <c r="A13775" s="1" t="s">
        <v>1546</v>
      </c>
    </row>
    <row r="13776" spans="1:19" x14ac:dyDescent="0.35">
      <c r="A13776" t="s">
        <v>219</v>
      </c>
      <c r="B13776" t="s">
        <v>305</v>
      </c>
      <c r="C13776" t="s">
        <v>281</v>
      </c>
      <c r="D13776" t="s">
        <v>550</v>
      </c>
      <c r="E13776" t="s">
        <v>1533</v>
      </c>
      <c r="F13776" t="s">
        <v>1534</v>
      </c>
      <c r="G13776" t="s">
        <v>1535</v>
      </c>
      <c r="H13776" t="s">
        <v>326</v>
      </c>
      <c r="I13776" t="s">
        <v>1536</v>
      </c>
      <c r="J13776" t="s">
        <v>1537</v>
      </c>
      <c r="K13776" t="s">
        <v>1538</v>
      </c>
      <c r="L13776" t="s">
        <v>1539</v>
      </c>
      <c r="M13776" t="s">
        <v>1540</v>
      </c>
      <c r="N13776" t="s">
        <v>1541</v>
      </c>
      <c r="O13776" t="s">
        <v>286</v>
      </c>
      <c r="P13776" t="s">
        <v>1542</v>
      </c>
      <c r="Q13776" t="s">
        <v>1543</v>
      </c>
      <c r="R13776" t="s">
        <v>1544</v>
      </c>
      <c r="S13776" t="s">
        <v>226</v>
      </c>
    </row>
    <row r="13777" spans="1:19" x14ac:dyDescent="0.35">
      <c r="A13777" s="27" t="s">
        <v>227</v>
      </c>
      <c r="B13777" s="27" t="s">
        <v>239</v>
      </c>
      <c r="C13777" s="28">
        <v>0.54549999999999998</v>
      </c>
      <c r="D13777" s="28">
        <v>0.36359999999999998</v>
      </c>
      <c r="E13777" s="28">
        <v>9.0899999999999995E-2</v>
      </c>
      <c r="F13777" s="29"/>
      <c r="G13777" s="29"/>
      <c r="H13777" s="29"/>
      <c r="I13777" s="29"/>
      <c r="J13777" s="29"/>
      <c r="K13777" s="29"/>
      <c r="L13777" s="29"/>
      <c r="M13777" s="29"/>
      <c r="N13777" s="29"/>
      <c r="O13777" s="29"/>
      <c r="P13777" s="29"/>
      <c r="Q13777" s="29"/>
      <c r="R13777" s="29"/>
      <c r="S13777" s="29" t="s">
        <v>352</v>
      </c>
    </row>
    <row r="13778" spans="1:19" x14ac:dyDescent="0.35">
      <c r="A13778" t="s">
        <v>227</v>
      </c>
      <c r="B13778" t="s">
        <v>238</v>
      </c>
      <c r="C13778" s="26">
        <v>0.41860000000000003</v>
      </c>
      <c r="D13778" s="26">
        <v>0.2326</v>
      </c>
      <c r="E13778" s="26">
        <v>0.186</v>
      </c>
      <c r="F13778" s="26">
        <v>0.1163</v>
      </c>
      <c r="G13778" s="26">
        <v>4.65E-2</v>
      </c>
      <c r="H13778" s="26">
        <v>6.9800000000000001E-2</v>
      </c>
      <c r="J13778" s="26">
        <v>2.3300000000000001E-2</v>
      </c>
      <c r="K13778" s="26">
        <v>4.65E-2</v>
      </c>
      <c r="N13778" s="26">
        <v>2.3300000000000001E-2</v>
      </c>
      <c r="S13778">
        <v>43</v>
      </c>
    </row>
    <row r="13779" spans="1:19" x14ac:dyDescent="0.35">
      <c r="A13779" t="s">
        <v>228</v>
      </c>
      <c r="B13779" t="s">
        <v>239</v>
      </c>
      <c r="C13779" s="26">
        <v>0.43049999999999999</v>
      </c>
      <c r="D13779" s="26">
        <v>0.30259999999999998</v>
      </c>
      <c r="E13779" s="26">
        <v>0.15279999999999999</v>
      </c>
      <c r="F13779" s="26">
        <v>3.6200000000000003E-2</v>
      </c>
      <c r="G13779" s="26">
        <v>3.4000000000000002E-2</v>
      </c>
      <c r="H13779" s="26">
        <v>6.8599999999999994E-2</v>
      </c>
      <c r="I13779" s="26">
        <v>6.6600000000000006E-2</v>
      </c>
      <c r="J13779" s="26">
        <v>4.8300000000000003E-2</v>
      </c>
      <c r="K13779" s="26">
        <v>3.3399999999999999E-2</v>
      </c>
      <c r="L13779" s="26">
        <v>2.2599999999999999E-2</v>
      </c>
      <c r="M13779" s="26">
        <v>1.9900000000000001E-2</v>
      </c>
      <c r="N13779" s="26">
        <v>8.5000000000000006E-3</v>
      </c>
      <c r="P13779" s="26">
        <v>8.5000000000000006E-3</v>
      </c>
      <c r="Q13779" s="26">
        <v>8.5000000000000006E-3</v>
      </c>
      <c r="R13779" s="26">
        <v>8.5000000000000006E-3</v>
      </c>
      <c r="S13779">
        <v>77</v>
      </c>
    </row>
    <row r="13780" spans="1:19" x14ac:dyDescent="0.35">
      <c r="A13780" t="s">
        <v>228</v>
      </c>
      <c r="B13780" t="s">
        <v>238</v>
      </c>
      <c r="C13780" s="26">
        <v>0.4677</v>
      </c>
      <c r="D13780" s="26">
        <v>0.18090000000000001</v>
      </c>
      <c r="E13780" s="26">
        <v>0.21790000000000001</v>
      </c>
      <c r="F13780" s="26">
        <v>0.11600000000000001</v>
      </c>
      <c r="G13780" s="26">
        <v>7.4999999999999997E-2</v>
      </c>
      <c r="H13780" s="26">
        <v>1.4999999999999999E-2</v>
      </c>
      <c r="I13780" s="26">
        <v>7.6899999999999996E-2</v>
      </c>
      <c r="J13780" s="26">
        <v>3.8199999999999998E-2</v>
      </c>
      <c r="K13780" s="26">
        <v>3.5099999999999999E-2</v>
      </c>
      <c r="L13780" s="26">
        <v>2.7400000000000001E-2</v>
      </c>
      <c r="M13780" s="26">
        <v>3.15E-2</v>
      </c>
      <c r="N13780" s="26">
        <v>2.8E-3</v>
      </c>
      <c r="O13780" s="26">
        <v>8.9999999999999998E-4</v>
      </c>
      <c r="P13780" s="26">
        <v>7.7000000000000002E-3</v>
      </c>
      <c r="Q13780" s="26">
        <v>6.0000000000000001E-3</v>
      </c>
      <c r="R13780" s="26">
        <v>3.8999999999999998E-3</v>
      </c>
      <c r="S13780">
        <v>233</v>
      </c>
    </row>
    <row r="13781" spans="1:19" x14ac:dyDescent="0.35">
      <c r="A13781" t="s">
        <v>229</v>
      </c>
      <c r="B13781" t="s">
        <v>239</v>
      </c>
      <c r="C13781" s="26">
        <v>0.41889999999999999</v>
      </c>
      <c r="D13781" s="26">
        <v>0.19339999999999999</v>
      </c>
      <c r="E13781" s="26">
        <v>0.20380000000000001</v>
      </c>
      <c r="F13781" s="26">
        <v>9.69E-2</v>
      </c>
      <c r="G13781" s="26">
        <v>7.0000000000000001E-3</v>
      </c>
      <c r="H13781" s="26">
        <v>5.4199999999999998E-2</v>
      </c>
      <c r="I13781" s="26">
        <v>9.2999999999999992E-3</v>
      </c>
      <c r="J13781" s="26">
        <v>4.4699999999999997E-2</v>
      </c>
      <c r="K13781" s="26">
        <v>9.4999999999999998E-3</v>
      </c>
      <c r="L13781" s="26">
        <v>4.7999999999999996E-3</v>
      </c>
      <c r="M13781" s="26">
        <v>7.0000000000000001E-3</v>
      </c>
      <c r="N13781" s="26">
        <v>4.7999999999999996E-3</v>
      </c>
      <c r="O13781" s="26">
        <v>3.5299999999999998E-2</v>
      </c>
      <c r="P13781" s="26">
        <v>9.4000000000000004E-3</v>
      </c>
      <c r="Q13781" s="26">
        <v>4.7999999999999996E-3</v>
      </c>
      <c r="R13781" s="26">
        <v>2.3999999999999998E-3</v>
      </c>
      <c r="S13781">
        <v>86</v>
      </c>
    </row>
    <row r="13782" spans="1:19" x14ac:dyDescent="0.35">
      <c r="A13782" t="s">
        <v>229</v>
      </c>
      <c r="B13782" t="s">
        <v>238</v>
      </c>
      <c r="C13782" s="26">
        <v>0.30959999999999999</v>
      </c>
      <c r="D13782" s="26">
        <v>0.24979999999999999</v>
      </c>
      <c r="E13782" s="26">
        <v>0.28939999999999999</v>
      </c>
      <c r="F13782" s="26">
        <v>0.1787</v>
      </c>
      <c r="G13782" s="26">
        <v>7.3800000000000004E-2</v>
      </c>
      <c r="H13782" s="26">
        <v>2.4E-2</v>
      </c>
      <c r="I13782" s="26">
        <v>3.5200000000000002E-2</v>
      </c>
      <c r="J13782" s="26">
        <v>3.4700000000000002E-2</v>
      </c>
      <c r="K13782" s="26">
        <v>1.5699999999999999E-2</v>
      </c>
      <c r="L13782" s="26">
        <v>1.4800000000000001E-2</v>
      </c>
      <c r="M13782" s="26">
        <v>0.02</v>
      </c>
      <c r="N13782" s="26">
        <v>1.37E-2</v>
      </c>
      <c r="O13782" s="26">
        <v>1.2999999999999999E-3</v>
      </c>
      <c r="P13782" s="26">
        <v>1.2999999999999999E-3</v>
      </c>
      <c r="Q13782" s="26">
        <v>1.2999999999999999E-3</v>
      </c>
      <c r="R13782" s="26">
        <v>1.2999999999999999E-3</v>
      </c>
      <c r="S13782">
        <v>185</v>
      </c>
    </row>
    <row r="13783" spans="1:19" x14ac:dyDescent="0.35">
      <c r="A13783" t="s">
        <v>230</v>
      </c>
      <c r="B13783" t="s">
        <v>239</v>
      </c>
      <c r="C13783" s="26">
        <v>0.2833</v>
      </c>
      <c r="D13783" s="26">
        <v>0.46539999999999998</v>
      </c>
      <c r="E13783" s="26">
        <v>0.18260000000000001</v>
      </c>
      <c r="F13783" s="26">
        <v>1.95E-2</v>
      </c>
      <c r="G13783" s="26">
        <v>6.0699999999999997E-2</v>
      </c>
      <c r="H13783" s="26">
        <v>1.0200000000000001E-2</v>
      </c>
      <c r="I13783" s="26">
        <v>4.3999999999999997E-2</v>
      </c>
      <c r="J13783" s="26">
        <v>1.54E-2</v>
      </c>
      <c r="K13783" s="26">
        <v>9.1999999999999998E-3</v>
      </c>
      <c r="L13783" s="26">
        <v>1.0200000000000001E-2</v>
      </c>
      <c r="M13783" s="26">
        <v>9.1999999999999998E-3</v>
      </c>
      <c r="N13783" s="26">
        <v>3.0999999999999999E-3</v>
      </c>
      <c r="O13783" s="26">
        <v>3.0999999999999999E-3</v>
      </c>
      <c r="P13783" s="26">
        <v>1.23E-2</v>
      </c>
      <c r="Q13783" s="26">
        <v>3.0999999999999999E-3</v>
      </c>
      <c r="R13783" s="26">
        <v>9.1999999999999998E-3</v>
      </c>
      <c r="S13783">
        <v>54</v>
      </c>
    </row>
    <row r="13784" spans="1:19" x14ac:dyDescent="0.35">
      <c r="A13784" t="s">
        <v>230</v>
      </c>
      <c r="B13784" t="s">
        <v>238</v>
      </c>
      <c r="C13784" s="26">
        <v>0.38030000000000003</v>
      </c>
      <c r="D13784" s="26">
        <v>0.111</v>
      </c>
      <c r="E13784" s="26">
        <v>0.34949999999999998</v>
      </c>
      <c r="F13784" s="26">
        <v>0.12659999999999999</v>
      </c>
      <c r="G13784" s="26">
        <v>0.14499999999999999</v>
      </c>
      <c r="H13784" s="26">
        <v>8.2600000000000007E-2</v>
      </c>
      <c r="I13784" s="26">
        <v>1.43E-2</v>
      </c>
      <c r="J13784" s="26">
        <v>2.4899999999999999E-2</v>
      </c>
      <c r="K13784" s="26">
        <v>5.0299999999999997E-2</v>
      </c>
      <c r="L13784" s="26">
        <v>0.11749999999999999</v>
      </c>
      <c r="M13784" s="26">
        <v>4.53E-2</v>
      </c>
      <c r="N13784" s="26">
        <v>4.4999999999999997E-3</v>
      </c>
      <c r="O13784" s="26">
        <v>2.75E-2</v>
      </c>
      <c r="P13784" s="26">
        <v>8.6999999999999994E-3</v>
      </c>
      <c r="R13784" s="26">
        <v>5.8999999999999999E-3</v>
      </c>
      <c r="S13784">
        <v>97</v>
      </c>
    </row>
    <row r="13785" spans="1:19" x14ac:dyDescent="0.35">
      <c r="A13785" s="27" t="s">
        <v>231</v>
      </c>
      <c r="B13785" s="27" t="s">
        <v>239</v>
      </c>
      <c r="C13785" s="28">
        <v>0.16669999999999999</v>
      </c>
      <c r="D13785" s="28">
        <v>0.83330000000000004</v>
      </c>
      <c r="E13785" s="29"/>
      <c r="F13785" s="29"/>
      <c r="G13785" s="29"/>
      <c r="H13785" s="29"/>
      <c r="I13785" s="29"/>
      <c r="J13785" s="29"/>
      <c r="K13785" s="29"/>
      <c r="L13785" s="29"/>
      <c r="M13785" s="29"/>
      <c r="N13785" s="29"/>
      <c r="O13785" s="29"/>
      <c r="P13785" s="29"/>
      <c r="Q13785" s="29"/>
      <c r="R13785" s="29"/>
      <c r="S13785" s="29" t="s">
        <v>335</v>
      </c>
    </row>
    <row r="13786" spans="1:19" x14ac:dyDescent="0.35">
      <c r="A13786" s="27" t="s">
        <v>231</v>
      </c>
      <c r="B13786" s="27" t="s">
        <v>238</v>
      </c>
      <c r="C13786" s="28">
        <v>0.35709999999999997</v>
      </c>
      <c r="D13786" s="28">
        <v>0.35709999999999997</v>
      </c>
      <c r="E13786" s="28">
        <v>0.21429999999999999</v>
      </c>
      <c r="F13786" s="28">
        <v>0.1429</v>
      </c>
      <c r="G13786" s="28">
        <v>0.1429</v>
      </c>
      <c r="H13786" s="29"/>
      <c r="I13786" s="29"/>
      <c r="J13786" s="29"/>
      <c r="K13786" s="29"/>
      <c r="L13786" s="29"/>
      <c r="M13786" s="29"/>
      <c r="N13786" s="29"/>
      <c r="O13786" s="29"/>
      <c r="P13786" s="29"/>
      <c r="Q13786" s="29"/>
      <c r="R13786" s="29"/>
      <c r="S13786" s="29" t="s">
        <v>336</v>
      </c>
    </row>
    <row r="13787" spans="1:19" x14ac:dyDescent="0.35">
      <c r="A13787" t="s">
        <v>232</v>
      </c>
      <c r="B13787" t="s">
        <v>232</v>
      </c>
      <c r="C13787" s="26">
        <v>0.38069999999999998</v>
      </c>
      <c r="D13787" s="26">
        <v>0.27139999999999997</v>
      </c>
      <c r="E13787" s="26">
        <v>0.22270000000000001</v>
      </c>
      <c r="F13787" s="26">
        <v>0.1215</v>
      </c>
      <c r="G13787" s="26">
        <v>7.4499999999999997E-2</v>
      </c>
      <c r="H13787" s="26">
        <v>3.0099999999999998E-2</v>
      </c>
      <c r="I13787" s="26">
        <v>2.8000000000000001E-2</v>
      </c>
      <c r="J13787" s="26">
        <v>2.5600000000000001E-2</v>
      </c>
      <c r="K13787" s="26">
        <v>2.2200000000000001E-2</v>
      </c>
      <c r="L13787" s="26">
        <v>1.77E-2</v>
      </c>
      <c r="M13787" s="26">
        <v>1.5100000000000001E-2</v>
      </c>
      <c r="N13787" s="26">
        <v>8.0999999999999996E-3</v>
      </c>
      <c r="O13787" s="26">
        <v>4.7999999999999996E-3</v>
      </c>
      <c r="P13787" s="26">
        <v>3.5999999999999999E-3</v>
      </c>
      <c r="Q13787" s="26">
        <v>2.0999999999999999E-3</v>
      </c>
      <c r="R13787" s="26">
        <v>2.0999999999999999E-3</v>
      </c>
      <c r="S13787">
        <v>820</v>
      </c>
    </row>
    <row r="13789" spans="1:19" x14ac:dyDescent="0.35">
      <c r="A13789" s="1" t="s">
        <v>1547</v>
      </c>
    </row>
    <row r="13790" spans="1:19" x14ac:dyDescent="0.35">
      <c r="A13790" t="s">
        <v>219</v>
      </c>
      <c r="B13790" t="s">
        <v>305</v>
      </c>
      <c r="C13790" t="s">
        <v>281</v>
      </c>
      <c r="D13790" t="s">
        <v>550</v>
      </c>
      <c r="E13790" t="s">
        <v>1533</v>
      </c>
      <c r="F13790" t="s">
        <v>1534</v>
      </c>
      <c r="G13790" t="s">
        <v>1535</v>
      </c>
      <c r="H13790" t="s">
        <v>326</v>
      </c>
      <c r="I13790" t="s">
        <v>1536</v>
      </c>
      <c r="J13790" t="s">
        <v>1537</v>
      </c>
      <c r="K13790" t="s">
        <v>1538</v>
      </c>
      <c r="L13790" t="s">
        <v>1539</v>
      </c>
      <c r="M13790" t="s">
        <v>1540</v>
      </c>
      <c r="N13790" t="s">
        <v>1541</v>
      </c>
      <c r="O13790" t="s">
        <v>286</v>
      </c>
      <c r="P13790" t="s">
        <v>1542</v>
      </c>
      <c r="Q13790" t="s">
        <v>1543</v>
      </c>
      <c r="R13790" t="s">
        <v>1544</v>
      </c>
      <c r="S13790" t="s">
        <v>226</v>
      </c>
    </row>
    <row r="13791" spans="1:19" x14ac:dyDescent="0.35">
      <c r="A13791" t="s">
        <v>227</v>
      </c>
      <c r="B13791" t="s">
        <v>244</v>
      </c>
      <c r="C13791" s="26">
        <v>0.3871</v>
      </c>
      <c r="D13791" s="26">
        <v>0.3871</v>
      </c>
      <c r="E13791" s="26">
        <v>0.1613</v>
      </c>
      <c r="F13791" s="26">
        <v>3.2300000000000002E-2</v>
      </c>
      <c r="G13791" s="26">
        <v>3.2300000000000002E-2</v>
      </c>
      <c r="H13791" s="26">
        <v>6.4500000000000002E-2</v>
      </c>
      <c r="N13791" s="26">
        <v>3.2300000000000002E-2</v>
      </c>
      <c r="S13791">
        <v>31</v>
      </c>
    </row>
    <row r="13792" spans="1:19" x14ac:dyDescent="0.35">
      <c r="A13792" s="27" t="s">
        <v>227</v>
      </c>
      <c r="B13792" s="27" t="s">
        <v>245</v>
      </c>
      <c r="C13792" s="28">
        <v>0.63160000000000005</v>
      </c>
      <c r="D13792" s="28">
        <v>0.1053</v>
      </c>
      <c r="E13792" s="28">
        <v>0.1053</v>
      </c>
      <c r="F13792" s="28">
        <v>0.15790000000000001</v>
      </c>
      <c r="G13792" s="29"/>
      <c r="H13792" s="29"/>
      <c r="I13792" s="29"/>
      <c r="J13792" s="28">
        <v>5.2600000000000001E-2</v>
      </c>
      <c r="K13792" s="28">
        <v>5.2600000000000001E-2</v>
      </c>
      <c r="L13792" s="29"/>
      <c r="M13792" s="29"/>
      <c r="N13792" s="29"/>
      <c r="O13792" s="29"/>
      <c r="P13792" s="29"/>
      <c r="Q13792" s="29"/>
      <c r="R13792" s="29"/>
      <c r="S13792" s="29" t="s">
        <v>349</v>
      </c>
    </row>
    <row r="13793" spans="1:19" x14ac:dyDescent="0.35">
      <c r="A13793" s="27" t="s">
        <v>227</v>
      </c>
      <c r="B13793" s="27" t="s">
        <v>246</v>
      </c>
      <c r="C13793" s="29"/>
      <c r="D13793" s="29"/>
      <c r="E13793" s="28">
        <v>0.5</v>
      </c>
      <c r="F13793" s="28">
        <v>0.25</v>
      </c>
      <c r="G13793" s="28">
        <v>0.25</v>
      </c>
      <c r="H13793" s="28">
        <v>0.25</v>
      </c>
      <c r="I13793" s="29"/>
      <c r="J13793" s="29"/>
      <c r="K13793" s="28">
        <v>0.25</v>
      </c>
      <c r="L13793" s="29"/>
      <c r="M13793" s="29"/>
      <c r="N13793" s="29"/>
      <c r="O13793" s="29"/>
      <c r="P13793" s="29"/>
      <c r="Q13793" s="29"/>
      <c r="R13793" s="29"/>
      <c r="S13793" s="29" t="s">
        <v>337</v>
      </c>
    </row>
    <row r="13794" spans="1:19" x14ac:dyDescent="0.35">
      <c r="A13794" t="s">
        <v>228</v>
      </c>
      <c r="B13794" t="s">
        <v>244</v>
      </c>
      <c r="C13794" s="26">
        <v>0.46079999999999999</v>
      </c>
      <c r="D13794" s="26">
        <v>0.2301</v>
      </c>
      <c r="E13794" s="26">
        <v>0.1729</v>
      </c>
      <c r="F13794" s="26">
        <v>0.10290000000000001</v>
      </c>
      <c r="G13794" s="26">
        <v>4.6199999999999998E-2</v>
      </c>
      <c r="H13794" s="26">
        <v>3.6200000000000003E-2</v>
      </c>
      <c r="I13794" s="26">
        <v>6.3E-2</v>
      </c>
      <c r="J13794" s="26">
        <v>3.3099999999999997E-2</v>
      </c>
      <c r="K13794" s="26">
        <v>3.5400000000000001E-2</v>
      </c>
      <c r="L13794" s="26">
        <v>3.2800000000000003E-2</v>
      </c>
      <c r="M13794" s="26">
        <v>1.67E-2</v>
      </c>
      <c r="N13794" s="26">
        <v>4.5999999999999999E-3</v>
      </c>
      <c r="O13794" s="26">
        <v>1.1999999999999999E-3</v>
      </c>
      <c r="P13794" s="26">
        <v>3.2000000000000002E-3</v>
      </c>
      <c r="Q13794" s="26">
        <v>8.8000000000000005E-3</v>
      </c>
      <c r="R13794" s="26">
        <v>2E-3</v>
      </c>
      <c r="S13794">
        <v>181</v>
      </c>
    </row>
    <row r="13795" spans="1:19" x14ac:dyDescent="0.35">
      <c r="A13795" t="s">
        <v>228</v>
      </c>
      <c r="B13795" t="s">
        <v>245</v>
      </c>
      <c r="C13795" s="26">
        <v>0.4829</v>
      </c>
      <c r="D13795" s="26">
        <v>0.16439999999999999</v>
      </c>
      <c r="E13795" s="26">
        <v>0.26569999999999999</v>
      </c>
      <c r="F13795" s="26">
        <v>0.1067</v>
      </c>
      <c r="G13795" s="26">
        <v>6.2700000000000006E-2</v>
      </c>
      <c r="I13795" s="26">
        <v>7.1900000000000006E-2</v>
      </c>
      <c r="J13795" s="26">
        <v>5.4100000000000002E-2</v>
      </c>
      <c r="K13795" s="26">
        <v>2.4199999999999999E-2</v>
      </c>
      <c r="L13795" s="26">
        <v>1.04E-2</v>
      </c>
      <c r="M13795" s="26">
        <v>2.86E-2</v>
      </c>
      <c r="N13795" s="26">
        <v>2.3999999999999998E-3</v>
      </c>
      <c r="P13795" s="26">
        <v>1.8499999999999999E-2</v>
      </c>
      <c r="Q13795" s="26">
        <v>2.3999999999999998E-3</v>
      </c>
      <c r="R13795" s="26">
        <v>1.04E-2</v>
      </c>
      <c r="S13795">
        <v>112</v>
      </c>
    </row>
    <row r="13796" spans="1:19" x14ac:dyDescent="0.35">
      <c r="A13796" s="27" t="s">
        <v>228</v>
      </c>
      <c r="B13796" s="27" t="s">
        <v>246</v>
      </c>
      <c r="C13796" s="28">
        <v>0.35049999999999998</v>
      </c>
      <c r="D13796" s="28">
        <v>2.4899999999999999E-2</v>
      </c>
      <c r="E13796" s="28">
        <v>0.29249999999999998</v>
      </c>
      <c r="F13796" s="28">
        <v>0.10349999999999999</v>
      </c>
      <c r="G13796" s="28">
        <v>0.39150000000000001</v>
      </c>
      <c r="H13796" s="29"/>
      <c r="I13796" s="28">
        <v>0.25019999999999998</v>
      </c>
      <c r="J13796" s="28">
        <v>3.3000000000000002E-2</v>
      </c>
      <c r="K13796" s="28">
        <v>9.5399999999999999E-2</v>
      </c>
      <c r="L13796" s="28">
        <v>5.0200000000000002E-2</v>
      </c>
      <c r="M13796" s="28">
        <v>0.20039999999999999</v>
      </c>
      <c r="N13796" s="29"/>
      <c r="O13796" s="29"/>
      <c r="P13796" s="29"/>
      <c r="Q13796" s="29"/>
      <c r="R13796" s="29"/>
      <c r="S13796" s="29" t="s">
        <v>343</v>
      </c>
    </row>
    <row r="13797" spans="1:19" x14ac:dyDescent="0.35">
      <c r="A13797" t="s">
        <v>229</v>
      </c>
      <c r="B13797" t="s">
        <v>244</v>
      </c>
      <c r="C13797" s="26">
        <v>0.29039999999999999</v>
      </c>
      <c r="D13797" s="26">
        <v>0.2321</v>
      </c>
      <c r="E13797" s="26">
        <v>0.30170000000000002</v>
      </c>
      <c r="F13797" s="26">
        <v>0.16639999999999999</v>
      </c>
      <c r="G13797" s="26">
        <v>7.4300000000000005E-2</v>
      </c>
      <c r="H13797" s="26">
        <v>3.3700000000000001E-2</v>
      </c>
      <c r="I13797" s="26">
        <v>3.9899999999999998E-2</v>
      </c>
      <c r="J13797" s="26">
        <v>3.5999999999999997E-2</v>
      </c>
      <c r="K13797" s="26">
        <v>1.5699999999999999E-2</v>
      </c>
      <c r="L13797" s="26">
        <v>1.49E-2</v>
      </c>
      <c r="M13797" s="26">
        <v>1.72E-2</v>
      </c>
      <c r="N13797" s="26">
        <v>1.61E-2</v>
      </c>
      <c r="O13797" s="26">
        <v>1.5E-3</v>
      </c>
      <c r="P13797" s="26">
        <v>1.6000000000000001E-3</v>
      </c>
      <c r="Q13797" s="26">
        <v>1.6000000000000001E-3</v>
      </c>
      <c r="R13797" s="26">
        <v>8.0000000000000004E-4</v>
      </c>
      <c r="S13797">
        <v>168</v>
      </c>
    </row>
    <row r="13798" spans="1:19" x14ac:dyDescent="0.35">
      <c r="A13798" t="s">
        <v>229</v>
      </c>
      <c r="B13798" t="s">
        <v>245</v>
      </c>
      <c r="C13798" s="26">
        <v>0.46610000000000001</v>
      </c>
      <c r="D13798" s="26">
        <v>0.20319999999999999</v>
      </c>
      <c r="E13798" s="26">
        <v>0.246</v>
      </c>
      <c r="F13798" s="26">
        <v>0.14119999999999999</v>
      </c>
      <c r="G13798" s="26">
        <v>3.49E-2</v>
      </c>
      <c r="H13798" s="26">
        <v>2.8199999999999999E-2</v>
      </c>
      <c r="I13798" s="26">
        <v>6.8999999999999999E-3</v>
      </c>
      <c r="J13798" s="26">
        <v>1.8599999999999998E-2</v>
      </c>
      <c r="K13798" s="26">
        <v>6.7000000000000002E-3</v>
      </c>
      <c r="L13798" s="26">
        <v>9.7000000000000003E-3</v>
      </c>
      <c r="M13798" s="26">
        <v>1.8599999999999998E-2</v>
      </c>
      <c r="N13798" s="26">
        <v>3.7000000000000002E-3</v>
      </c>
      <c r="O13798" s="26">
        <v>2.8199999999999999E-2</v>
      </c>
      <c r="P13798" s="26">
        <v>7.4000000000000003E-3</v>
      </c>
      <c r="Q13798" s="26">
        <v>3.7000000000000002E-3</v>
      </c>
      <c r="R13798" s="26">
        <v>3.7000000000000002E-3</v>
      </c>
      <c r="S13798">
        <v>86</v>
      </c>
    </row>
    <row r="13799" spans="1:19" x14ac:dyDescent="0.35">
      <c r="A13799" s="27" t="s">
        <v>229</v>
      </c>
      <c r="B13799" s="27" t="s">
        <v>246</v>
      </c>
      <c r="C13799" s="28">
        <v>0.20069999999999999</v>
      </c>
      <c r="D13799" s="28">
        <v>0.45710000000000001</v>
      </c>
      <c r="E13799" s="28">
        <v>3.2000000000000001E-2</v>
      </c>
      <c r="F13799" s="28">
        <v>0.18590000000000001</v>
      </c>
      <c r="G13799" s="29"/>
      <c r="H13799" s="28">
        <v>8.9999999999999993E-3</v>
      </c>
      <c r="I13799" s="28">
        <v>1.7899999999999999E-2</v>
      </c>
      <c r="J13799" s="28">
        <v>0.1333</v>
      </c>
      <c r="K13799" s="28">
        <v>3.5400000000000001E-2</v>
      </c>
      <c r="L13799" s="29"/>
      <c r="M13799" s="28">
        <v>8.9999999999999993E-3</v>
      </c>
      <c r="N13799" s="29"/>
      <c r="O13799" s="29"/>
      <c r="P13799" s="29"/>
      <c r="Q13799" s="29"/>
      <c r="R13799" s="29"/>
      <c r="S13799" s="29" t="s">
        <v>343</v>
      </c>
    </row>
    <row r="13800" spans="1:19" x14ac:dyDescent="0.35">
      <c r="A13800" t="s">
        <v>230</v>
      </c>
      <c r="B13800" t="s">
        <v>244</v>
      </c>
      <c r="C13800" s="26">
        <v>0.33460000000000001</v>
      </c>
      <c r="D13800" s="26">
        <v>0.24610000000000001</v>
      </c>
      <c r="E13800" s="26">
        <v>0.31530000000000002</v>
      </c>
      <c r="F13800" s="26">
        <v>8.5400000000000004E-2</v>
      </c>
      <c r="G13800" s="26">
        <v>0.1411</v>
      </c>
      <c r="H13800" s="26">
        <v>5.8700000000000002E-2</v>
      </c>
      <c r="I13800" s="26">
        <v>2.9600000000000001E-2</v>
      </c>
      <c r="J13800" s="26">
        <v>0.02</v>
      </c>
      <c r="K13800" s="26">
        <v>3.7499999999999999E-2</v>
      </c>
      <c r="L13800" s="26">
        <v>8.6999999999999994E-2</v>
      </c>
      <c r="M13800" s="26">
        <v>3.56E-2</v>
      </c>
      <c r="N13800" s="26">
        <v>4.4999999999999997E-3</v>
      </c>
      <c r="O13800" s="26">
        <v>2.8400000000000002E-2</v>
      </c>
      <c r="P13800" s="26">
        <v>1.1299999999999999E-2</v>
      </c>
      <c r="Q13800" s="26">
        <v>1.4E-3</v>
      </c>
      <c r="R13800" s="26">
        <v>8.6E-3</v>
      </c>
      <c r="S13800">
        <v>97</v>
      </c>
    </row>
    <row r="13801" spans="1:19" x14ac:dyDescent="0.35">
      <c r="A13801" t="s">
        <v>230</v>
      </c>
      <c r="B13801" t="s">
        <v>245</v>
      </c>
      <c r="C13801" s="26">
        <v>0.40860000000000002</v>
      </c>
      <c r="D13801" s="26">
        <v>0.13689999999999999</v>
      </c>
      <c r="E13801" s="26">
        <v>0.25940000000000002</v>
      </c>
      <c r="F13801" s="26">
        <v>0.1143</v>
      </c>
      <c r="G13801" s="26">
        <v>7.0300000000000001E-2</v>
      </c>
      <c r="H13801" s="26">
        <v>6.6900000000000001E-2</v>
      </c>
      <c r="I13801" s="26">
        <v>6.7999999999999996E-3</v>
      </c>
      <c r="J13801" s="26">
        <v>2.46E-2</v>
      </c>
      <c r="K13801" s="26">
        <v>3.6400000000000002E-2</v>
      </c>
      <c r="L13801" s="26">
        <v>8.1600000000000006E-2</v>
      </c>
      <c r="M13801" s="26">
        <v>3.2199999999999999E-2</v>
      </c>
      <c r="P13801" s="26">
        <v>6.7999999999999996E-3</v>
      </c>
      <c r="R13801" s="26">
        <v>3.3999999999999998E-3</v>
      </c>
      <c r="S13801">
        <v>46</v>
      </c>
    </row>
    <row r="13802" spans="1:19" x14ac:dyDescent="0.35">
      <c r="A13802" s="27" t="s">
        <v>230</v>
      </c>
      <c r="B13802" s="27" t="s">
        <v>246</v>
      </c>
      <c r="C13802" s="29"/>
      <c r="D13802" s="28">
        <v>0.63439999999999996</v>
      </c>
      <c r="E13802" s="28">
        <v>0.19220000000000001</v>
      </c>
      <c r="F13802" s="28">
        <v>5.7799999999999997E-2</v>
      </c>
      <c r="G13802" s="29"/>
      <c r="H13802" s="29"/>
      <c r="I13802" s="28">
        <v>5.7799999999999997E-2</v>
      </c>
      <c r="J13802" s="28">
        <v>5.7799999999999997E-2</v>
      </c>
      <c r="K13802" s="28">
        <v>5.7799999999999997E-2</v>
      </c>
      <c r="L13802" s="29"/>
      <c r="M13802" s="29"/>
      <c r="N13802" s="28">
        <v>5.7799999999999997E-2</v>
      </c>
      <c r="O13802" s="29"/>
      <c r="P13802" s="29"/>
      <c r="Q13802" s="29"/>
      <c r="R13802" s="29"/>
      <c r="S13802" s="29" t="s">
        <v>333</v>
      </c>
    </row>
    <row r="13803" spans="1:19" x14ac:dyDescent="0.35">
      <c r="A13803" s="27" t="s">
        <v>231</v>
      </c>
      <c r="B13803" s="27" t="s">
        <v>244</v>
      </c>
      <c r="C13803" s="28">
        <v>0.42109999999999997</v>
      </c>
      <c r="D13803" s="28">
        <v>0.36840000000000001</v>
      </c>
      <c r="E13803" s="28">
        <v>0.21049999999999999</v>
      </c>
      <c r="F13803" s="28">
        <v>0.1053</v>
      </c>
      <c r="G13803" s="28">
        <v>0.1053</v>
      </c>
      <c r="H13803" s="29"/>
      <c r="I13803" s="29"/>
      <c r="J13803" s="29"/>
      <c r="K13803" s="29"/>
      <c r="L13803" s="29"/>
      <c r="M13803" s="29"/>
      <c r="N13803" s="29"/>
      <c r="O13803" s="29"/>
      <c r="P13803" s="29"/>
      <c r="Q13803" s="29"/>
      <c r="R13803" s="29"/>
      <c r="S13803" s="29" t="s">
        <v>349</v>
      </c>
    </row>
    <row r="13804" spans="1:19" x14ac:dyDescent="0.35">
      <c r="A13804" s="27" t="s">
        <v>231</v>
      </c>
      <c r="B13804" s="27" t="s">
        <v>245</v>
      </c>
      <c r="C13804" s="28">
        <v>0.23080000000000001</v>
      </c>
      <c r="D13804" s="28">
        <v>0.53849999999999998</v>
      </c>
      <c r="E13804" s="28">
        <v>7.6899999999999996E-2</v>
      </c>
      <c r="F13804" s="28">
        <v>7.6899999999999996E-2</v>
      </c>
      <c r="G13804" s="28">
        <v>0.15379999999999999</v>
      </c>
      <c r="H13804" s="29"/>
      <c r="I13804" s="29"/>
      <c r="J13804" s="29"/>
      <c r="K13804" s="29"/>
      <c r="L13804" s="29"/>
      <c r="M13804" s="29"/>
      <c r="N13804" s="29"/>
      <c r="O13804" s="29"/>
      <c r="P13804" s="29"/>
      <c r="Q13804" s="29"/>
      <c r="R13804" s="29"/>
      <c r="S13804" s="29" t="s">
        <v>341</v>
      </c>
    </row>
    <row r="13805" spans="1:19" x14ac:dyDescent="0.35">
      <c r="A13805" s="27" t="s">
        <v>231</v>
      </c>
      <c r="B13805" s="27" t="s">
        <v>246</v>
      </c>
      <c r="C13805" s="29"/>
      <c r="D13805" s="28">
        <v>0.5</v>
      </c>
      <c r="E13805" s="28">
        <v>0.5</v>
      </c>
      <c r="F13805" s="28">
        <v>0.5</v>
      </c>
      <c r="G13805" s="29"/>
      <c r="H13805" s="29"/>
      <c r="I13805" s="29"/>
      <c r="J13805" s="29"/>
      <c r="K13805" s="29"/>
      <c r="L13805" s="29"/>
      <c r="M13805" s="29"/>
      <c r="N13805" s="29"/>
      <c r="O13805" s="29"/>
      <c r="P13805" s="29"/>
      <c r="Q13805" s="29"/>
      <c r="R13805" s="29"/>
      <c r="S13805" s="29" t="s">
        <v>314</v>
      </c>
    </row>
    <row r="13806" spans="1:19" x14ac:dyDescent="0.35">
      <c r="A13806" t="s">
        <v>232</v>
      </c>
      <c r="B13806" t="s">
        <v>232</v>
      </c>
      <c r="C13806" s="26">
        <v>0.38069999999999998</v>
      </c>
      <c r="D13806" s="26">
        <v>0.27139999999999997</v>
      </c>
      <c r="E13806" s="26">
        <v>0.22270000000000001</v>
      </c>
      <c r="F13806" s="26">
        <v>0.1215</v>
      </c>
      <c r="G13806" s="26">
        <v>7.4499999999999997E-2</v>
      </c>
      <c r="H13806" s="26">
        <v>3.0099999999999998E-2</v>
      </c>
      <c r="I13806" s="26">
        <v>2.8000000000000001E-2</v>
      </c>
      <c r="J13806" s="26">
        <v>2.5600000000000001E-2</v>
      </c>
      <c r="K13806" s="26">
        <v>2.2200000000000001E-2</v>
      </c>
      <c r="L13806" s="26">
        <v>1.77E-2</v>
      </c>
      <c r="M13806" s="26">
        <v>1.5100000000000001E-2</v>
      </c>
      <c r="N13806" s="26">
        <v>8.0999999999999996E-3</v>
      </c>
      <c r="O13806" s="26">
        <v>4.7999999999999996E-3</v>
      </c>
      <c r="P13806" s="26">
        <v>3.5999999999999999E-3</v>
      </c>
      <c r="Q13806" s="26">
        <v>2.0999999999999999E-3</v>
      </c>
      <c r="R13806" s="26">
        <v>2.0999999999999999E-3</v>
      </c>
      <c r="S13806">
        <v>820</v>
      </c>
    </row>
    <row r="13808" spans="1:19" x14ac:dyDescent="0.35">
      <c r="A13808" s="1" t="s">
        <v>1548</v>
      </c>
    </row>
    <row r="13809" spans="1:19" x14ac:dyDescent="0.35">
      <c r="A13809" t="s">
        <v>219</v>
      </c>
      <c r="B13809" t="s">
        <v>305</v>
      </c>
      <c r="C13809" t="s">
        <v>281</v>
      </c>
      <c r="D13809" t="s">
        <v>550</v>
      </c>
      <c r="E13809" t="s">
        <v>1533</v>
      </c>
      <c r="F13809" t="s">
        <v>1534</v>
      </c>
      <c r="G13809" t="s">
        <v>1535</v>
      </c>
      <c r="H13809" t="s">
        <v>326</v>
      </c>
      <c r="I13809" t="s">
        <v>1536</v>
      </c>
      <c r="J13809" t="s">
        <v>1537</v>
      </c>
      <c r="K13809" t="s">
        <v>1538</v>
      </c>
      <c r="L13809" t="s">
        <v>1539</v>
      </c>
      <c r="M13809" t="s">
        <v>1540</v>
      </c>
      <c r="N13809" t="s">
        <v>1541</v>
      </c>
      <c r="O13809" t="s">
        <v>286</v>
      </c>
      <c r="P13809" t="s">
        <v>1542</v>
      </c>
      <c r="Q13809" t="s">
        <v>1543</v>
      </c>
      <c r="R13809" t="s">
        <v>1544</v>
      </c>
      <c r="S13809" t="s">
        <v>226</v>
      </c>
    </row>
    <row r="13810" spans="1:19" x14ac:dyDescent="0.35">
      <c r="A13810" s="27" t="s">
        <v>227</v>
      </c>
      <c r="B13810" s="27" t="s">
        <v>363</v>
      </c>
      <c r="C13810" s="28">
        <v>0.4375</v>
      </c>
      <c r="D13810" s="28">
        <v>0.3125</v>
      </c>
      <c r="E13810" s="28">
        <v>0.1875</v>
      </c>
      <c r="F13810" s="28">
        <v>6.25E-2</v>
      </c>
      <c r="G13810" s="29"/>
      <c r="H13810" s="28">
        <v>0.125</v>
      </c>
      <c r="I13810" s="29"/>
      <c r="J13810" s="29"/>
      <c r="K13810" s="29"/>
      <c r="L13810" s="29"/>
      <c r="M13810" s="29"/>
      <c r="N13810" s="29"/>
      <c r="O13810" s="29"/>
      <c r="P13810" s="29"/>
      <c r="Q13810" s="29"/>
      <c r="R13810" s="29"/>
      <c r="S13810" s="29" t="s">
        <v>348</v>
      </c>
    </row>
    <row r="13811" spans="1:19" x14ac:dyDescent="0.35">
      <c r="A13811" s="27" t="s">
        <v>227</v>
      </c>
      <c r="B13811" s="27" t="s">
        <v>360</v>
      </c>
      <c r="C13811" s="28">
        <v>0.41670000000000001</v>
      </c>
      <c r="D13811" s="28">
        <v>0.16669999999999999</v>
      </c>
      <c r="E13811" s="28">
        <v>0.16669999999999999</v>
      </c>
      <c r="F13811" s="28">
        <v>0.16669999999999999</v>
      </c>
      <c r="G13811" s="28">
        <v>8.3299999999999999E-2</v>
      </c>
      <c r="H13811" s="28">
        <v>8.3299999999999999E-2</v>
      </c>
      <c r="I13811" s="29"/>
      <c r="J13811" s="29"/>
      <c r="K13811" s="28">
        <v>8.3299999999999999E-2</v>
      </c>
      <c r="L13811" s="29"/>
      <c r="M13811" s="29"/>
      <c r="N13811" s="29"/>
      <c r="O13811" s="29"/>
      <c r="P13811" s="29"/>
      <c r="Q13811" s="29"/>
      <c r="R13811" s="29"/>
      <c r="S13811" s="29" t="s">
        <v>342</v>
      </c>
    </row>
    <row r="13812" spans="1:19" x14ac:dyDescent="0.35">
      <c r="A13812" s="27" t="s">
        <v>227</v>
      </c>
      <c r="B13812" s="27" t="s">
        <v>362</v>
      </c>
      <c r="C13812" s="28">
        <v>0.44440000000000002</v>
      </c>
      <c r="D13812" s="28">
        <v>0.22220000000000001</v>
      </c>
      <c r="E13812" s="28">
        <v>0.22220000000000001</v>
      </c>
      <c r="F13812" s="29"/>
      <c r="G13812" s="29"/>
      <c r="H13812" s="29"/>
      <c r="I13812" s="29"/>
      <c r="J13812" s="29"/>
      <c r="K13812" s="29"/>
      <c r="L13812" s="29"/>
      <c r="M13812" s="29"/>
      <c r="N13812" s="28">
        <v>0.1111</v>
      </c>
      <c r="O13812" s="29"/>
      <c r="P13812" s="29"/>
      <c r="Q13812" s="29"/>
      <c r="R13812" s="29"/>
      <c r="S13812" s="29" t="s">
        <v>334</v>
      </c>
    </row>
    <row r="13813" spans="1:19" x14ac:dyDescent="0.35">
      <c r="A13813" s="27" t="s">
        <v>227</v>
      </c>
      <c r="B13813" s="27" t="s">
        <v>361</v>
      </c>
      <c r="C13813" s="28">
        <v>0.57140000000000002</v>
      </c>
      <c r="D13813" s="28">
        <v>0.28570000000000001</v>
      </c>
      <c r="E13813" s="29"/>
      <c r="F13813" s="28">
        <v>7.1400000000000005E-2</v>
      </c>
      <c r="G13813" s="29"/>
      <c r="H13813" s="29"/>
      <c r="I13813" s="29"/>
      <c r="J13813" s="28">
        <v>7.1400000000000005E-2</v>
      </c>
      <c r="K13813" s="28">
        <v>7.1400000000000005E-2</v>
      </c>
      <c r="L13813" s="29"/>
      <c r="M13813" s="29"/>
      <c r="N13813" s="29"/>
      <c r="O13813" s="29"/>
      <c r="P13813" s="29"/>
      <c r="Q13813" s="29"/>
      <c r="R13813" s="29"/>
      <c r="S13813" s="29" t="s">
        <v>379</v>
      </c>
    </row>
    <row r="13814" spans="1:19" x14ac:dyDescent="0.35">
      <c r="A13814" t="s">
        <v>228</v>
      </c>
      <c r="B13814" t="s">
        <v>362</v>
      </c>
      <c r="C13814" s="26">
        <v>0.34320000000000001</v>
      </c>
      <c r="D13814" s="26">
        <v>0.3165</v>
      </c>
      <c r="E13814" s="26">
        <v>0.16569999999999999</v>
      </c>
      <c r="F13814" s="26">
        <v>0.1336</v>
      </c>
      <c r="G13814" s="26">
        <v>0.1023</v>
      </c>
      <c r="H13814" s="26">
        <v>4.7500000000000001E-2</v>
      </c>
      <c r="I13814" s="26">
        <v>0.115</v>
      </c>
      <c r="J13814" s="26">
        <v>5.2200000000000003E-2</v>
      </c>
      <c r="K13814" s="26">
        <v>8.5500000000000007E-2</v>
      </c>
      <c r="L13814" s="26">
        <v>1.1900000000000001E-2</v>
      </c>
      <c r="M13814" s="26">
        <v>6.2899999999999998E-2</v>
      </c>
      <c r="N13814" s="26">
        <v>3.5000000000000001E-3</v>
      </c>
      <c r="O13814" s="26">
        <v>3.5000000000000001E-3</v>
      </c>
      <c r="P13814" s="26">
        <v>3.5000000000000001E-3</v>
      </c>
      <c r="Q13814" s="26">
        <v>3.5000000000000001E-3</v>
      </c>
      <c r="S13814">
        <v>75</v>
      </c>
    </row>
    <row r="13815" spans="1:19" x14ac:dyDescent="0.35">
      <c r="A13815" t="s">
        <v>228</v>
      </c>
      <c r="B13815" t="s">
        <v>363</v>
      </c>
      <c r="C13815" s="26">
        <v>0.42830000000000001</v>
      </c>
      <c r="D13815" s="26">
        <v>0.1794</v>
      </c>
      <c r="E13815" s="26">
        <v>0.2661</v>
      </c>
      <c r="F13815" s="26">
        <v>0.16209999999999999</v>
      </c>
      <c r="G13815" s="26">
        <v>2.98E-2</v>
      </c>
      <c r="I13815" s="26">
        <v>2.9499999999999998E-2</v>
      </c>
      <c r="J13815" s="26">
        <v>1.8599999999999998E-2</v>
      </c>
      <c r="K13815" s="26">
        <v>2.2599999999999999E-2</v>
      </c>
      <c r="L13815" s="26">
        <v>7.1999999999999998E-3</v>
      </c>
      <c r="M13815" s="26">
        <v>1.04E-2</v>
      </c>
      <c r="S13815">
        <v>57</v>
      </c>
    </row>
    <row r="13816" spans="1:19" x14ac:dyDescent="0.35">
      <c r="A13816" t="s">
        <v>228</v>
      </c>
      <c r="B13816" t="s">
        <v>361</v>
      </c>
      <c r="C13816" s="26">
        <v>0.49459999999999998</v>
      </c>
      <c r="D13816" s="26">
        <v>0.16089999999999999</v>
      </c>
      <c r="E13816" s="26">
        <v>0.1749</v>
      </c>
      <c r="F13816" s="26">
        <v>8.1199999999999994E-2</v>
      </c>
      <c r="G13816" s="26">
        <v>5.74E-2</v>
      </c>
      <c r="H13816" s="26">
        <v>4.7300000000000002E-2</v>
      </c>
      <c r="I13816" s="26">
        <v>0.12759999999999999</v>
      </c>
      <c r="J13816" s="26">
        <v>4.0599999999999997E-2</v>
      </c>
      <c r="K13816" s="26">
        <v>1.8499999999999999E-2</v>
      </c>
      <c r="L13816" s="26">
        <v>6.6900000000000001E-2</v>
      </c>
      <c r="M13816" s="26">
        <v>3.1399999999999997E-2</v>
      </c>
      <c r="N13816" s="26">
        <v>6.1999999999999998E-3</v>
      </c>
      <c r="P13816" s="26">
        <v>1.9E-2</v>
      </c>
      <c r="R13816" s="26">
        <v>9.4999999999999998E-3</v>
      </c>
      <c r="S13816">
        <v>64</v>
      </c>
    </row>
    <row r="13817" spans="1:19" x14ac:dyDescent="0.35">
      <c r="A13817" t="s">
        <v>228</v>
      </c>
      <c r="B13817" t="s">
        <v>360</v>
      </c>
      <c r="C13817" s="26">
        <v>0.57589999999999997</v>
      </c>
      <c r="D13817" s="26">
        <v>0.17530000000000001</v>
      </c>
      <c r="E13817" s="26">
        <v>0.17369999999999999</v>
      </c>
      <c r="F13817" s="26">
        <v>6.3100000000000003E-2</v>
      </c>
      <c r="G13817" s="26">
        <v>4.9299999999999997E-2</v>
      </c>
      <c r="I13817" s="26">
        <v>4.8899999999999999E-2</v>
      </c>
      <c r="J13817" s="26">
        <v>4.9799999999999997E-2</v>
      </c>
      <c r="K13817" s="26">
        <v>1.41E-2</v>
      </c>
      <c r="L13817" s="26">
        <v>1.6299999999999999E-2</v>
      </c>
      <c r="M13817" s="26">
        <v>9.4999999999999998E-3</v>
      </c>
      <c r="N13817" s="26">
        <v>6.4999999999999997E-3</v>
      </c>
      <c r="P13817" s="26">
        <v>1.03E-2</v>
      </c>
      <c r="Q13817" s="26">
        <v>1.03E-2</v>
      </c>
      <c r="R13817" s="26">
        <v>1.03E-2</v>
      </c>
      <c r="S13817">
        <v>82</v>
      </c>
    </row>
    <row r="13818" spans="1:19" x14ac:dyDescent="0.35">
      <c r="A13818" t="s">
        <v>229</v>
      </c>
      <c r="B13818" t="s">
        <v>361</v>
      </c>
      <c r="C13818" s="26">
        <v>0.23960000000000001</v>
      </c>
      <c r="D13818" s="26">
        <v>0.186</v>
      </c>
      <c r="E13818" s="26">
        <v>0.41120000000000001</v>
      </c>
      <c r="F13818" s="26">
        <v>0.23580000000000001</v>
      </c>
      <c r="G13818" s="26">
        <v>0.1153</v>
      </c>
      <c r="H13818" s="26">
        <v>2.4299999999999999E-2</v>
      </c>
      <c r="I13818" s="26">
        <v>2.24E-2</v>
      </c>
      <c r="J13818" s="26">
        <v>2.5499999999999998E-2</v>
      </c>
      <c r="K13818" s="26">
        <v>5.1000000000000004E-3</v>
      </c>
      <c r="L13818" s="26">
        <v>2.87E-2</v>
      </c>
      <c r="M13818" s="26">
        <v>2.5000000000000001E-3</v>
      </c>
      <c r="N13818" s="26">
        <v>2.5000000000000001E-3</v>
      </c>
      <c r="P13818" s="26">
        <v>6.3E-3</v>
      </c>
      <c r="Q13818" s="26">
        <v>3.8E-3</v>
      </c>
      <c r="R13818" s="26">
        <v>3.8E-3</v>
      </c>
      <c r="S13818">
        <v>74</v>
      </c>
    </row>
    <row r="13819" spans="1:19" x14ac:dyDescent="0.35">
      <c r="A13819" t="s">
        <v>229</v>
      </c>
      <c r="B13819" t="s">
        <v>360</v>
      </c>
      <c r="C13819" s="26">
        <v>0.46939999999999998</v>
      </c>
      <c r="D13819" s="26">
        <v>0.16669999999999999</v>
      </c>
      <c r="E13819" s="26">
        <v>7.9600000000000004E-2</v>
      </c>
      <c r="F13819" s="26">
        <v>0.13339999999999999</v>
      </c>
      <c r="H13819" s="26">
        <v>2.2200000000000001E-2</v>
      </c>
      <c r="I13819" s="26">
        <v>1.32E-2</v>
      </c>
      <c r="J13819" s="26">
        <v>8.8800000000000004E-2</v>
      </c>
      <c r="K13819" s="26">
        <v>8.9999999999999993E-3</v>
      </c>
      <c r="M13819" s="26">
        <v>0.04</v>
      </c>
      <c r="N13819" s="26">
        <v>4.4999999999999997E-3</v>
      </c>
      <c r="O13819" s="26">
        <v>6.6600000000000006E-2</v>
      </c>
      <c r="P13819" s="26">
        <v>4.4999999999999997E-3</v>
      </c>
      <c r="Q13819" s="26">
        <v>4.4999999999999997E-3</v>
      </c>
      <c r="S13819">
        <v>48</v>
      </c>
    </row>
    <row r="13820" spans="1:19" x14ac:dyDescent="0.35">
      <c r="A13820" t="s">
        <v>229</v>
      </c>
      <c r="B13820" t="s">
        <v>362</v>
      </c>
      <c r="C13820" s="26">
        <v>0.27729999999999999</v>
      </c>
      <c r="D13820" s="26">
        <v>0.32740000000000002</v>
      </c>
      <c r="E13820" s="26">
        <v>0.16600000000000001</v>
      </c>
      <c r="F13820" s="26">
        <v>1.0699999999999999E-2</v>
      </c>
      <c r="G13820" s="26">
        <v>2.1399999999999999E-2</v>
      </c>
      <c r="H13820" s="26">
        <v>0.11840000000000001</v>
      </c>
      <c r="I13820" s="26">
        <v>9.3299999999999994E-2</v>
      </c>
      <c r="J13820" s="26">
        <v>8.9499999999999996E-2</v>
      </c>
      <c r="K13820" s="26">
        <v>6.4600000000000005E-2</v>
      </c>
      <c r="M13820" s="26">
        <v>7.17E-2</v>
      </c>
      <c r="N13820" s="26">
        <v>2E-3</v>
      </c>
      <c r="S13820">
        <v>47</v>
      </c>
    </row>
    <row r="13821" spans="1:19" x14ac:dyDescent="0.35">
      <c r="A13821" t="s">
        <v>229</v>
      </c>
      <c r="B13821" t="s">
        <v>363</v>
      </c>
      <c r="C13821" s="26">
        <v>0.42130000000000001</v>
      </c>
      <c r="D13821" s="26">
        <v>0.23669999999999999</v>
      </c>
      <c r="E13821" s="26">
        <v>0.21540000000000001</v>
      </c>
      <c r="F13821" s="26">
        <v>0.219</v>
      </c>
      <c r="G13821" s="26">
        <v>4.9399999999999999E-2</v>
      </c>
      <c r="H13821" s="26">
        <v>6.4999999999999997E-3</v>
      </c>
      <c r="I13821" s="26">
        <v>2.1299999999999999E-2</v>
      </c>
      <c r="J13821" s="26">
        <v>6.4999999999999997E-3</v>
      </c>
      <c r="K13821" s="26">
        <v>8.3999999999999995E-3</v>
      </c>
      <c r="L13821" s="26">
        <v>1.9E-3</v>
      </c>
      <c r="M13821" s="26">
        <v>6.4999999999999997E-3</v>
      </c>
      <c r="N13821" s="26">
        <v>5.91E-2</v>
      </c>
      <c r="S13821">
        <v>50</v>
      </c>
    </row>
    <row r="13822" spans="1:19" x14ac:dyDescent="0.35">
      <c r="A13822" t="s">
        <v>230</v>
      </c>
      <c r="B13822" t="s">
        <v>361</v>
      </c>
      <c r="C13822" s="26">
        <v>0.34849999999999998</v>
      </c>
      <c r="D13822" s="26">
        <v>0.14280000000000001</v>
      </c>
      <c r="E13822" s="26">
        <v>0.42</v>
      </c>
      <c r="F13822" s="26">
        <v>0.11609999999999999</v>
      </c>
      <c r="G13822" s="26">
        <v>0.16089999999999999</v>
      </c>
      <c r="H13822" s="26">
        <v>6.2700000000000006E-2</v>
      </c>
      <c r="I13822" s="26">
        <v>1.4500000000000001E-2</v>
      </c>
      <c r="J13822" s="26">
        <v>2.7000000000000001E-3</v>
      </c>
      <c r="K13822" s="26">
        <v>6.5199999999999994E-2</v>
      </c>
      <c r="L13822" s="26">
        <v>0.2324</v>
      </c>
      <c r="M13822" s="26">
        <v>7.6700000000000004E-2</v>
      </c>
      <c r="P13822" s="26">
        <v>2.7000000000000001E-3</v>
      </c>
      <c r="S13822">
        <v>34</v>
      </c>
    </row>
    <row r="13823" spans="1:19" x14ac:dyDescent="0.35">
      <c r="A13823" t="s">
        <v>230</v>
      </c>
      <c r="B13823" t="s">
        <v>363</v>
      </c>
      <c r="C13823" s="26">
        <v>0.26860000000000001</v>
      </c>
      <c r="D13823" s="26">
        <v>0.43030000000000002</v>
      </c>
      <c r="E13823" s="26">
        <v>0.23400000000000001</v>
      </c>
      <c r="F13823" s="26">
        <v>5.1499999999999997E-2</v>
      </c>
      <c r="G13823" s="26">
        <v>8.9399999999999993E-2</v>
      </c>
      <c r="I13823" s="26">
        <v>4.6300000000000001E-2</v>
      </c>
      <c r="J13823" s="26">
        <v>1.17E-2</v>
      </c>
      <c r="K13823" s="26">
        <v>1.2699999999999999E-2</v>
      </c>
      <c r="P13823" s="26">
        <v>7.7999999999999996E-3</v>
      </c>
      <c r="S13823">
        <v>33</v>
      </c>
    </row>
    <row r="13824" spans="1:19" x14ac:dyDescent="0.35">
      <c r="A13824" t="s">
        <v>230</v>
      </c>
      <c r="B13824" t="s">
        <v>362</v>
      </c>
      <c r="C13824" s="26">
        <v>0.45650000000000002</v>
      </c>
      <c r="D13824" s="26">
        <v>7.7700000000000005E-2</v>
      </c>
      <c r="E13824" s="26">
        <v>0.27660000000000001</v>
      </c>
      <c r="F13824" s="26">
        <v>0.1525</v>
      </c>
      <c r="G13824" s="26">
        <v>0.23749999999999999</v>
      </c>
      <c r="H13824" s="26">
        <v>0.1158</v>
      </c>
      <c r="I13824" s="26">
        <v>3.1300000000000001E-2</v>
      </c>
      <c r="J13824" s="26">
        <v>2.9399999999999999E-2</v>
      </c>
      <c r="K13824" s="26">
        <v>5.04E-2</v>
      </c>
      <c r="L13824" s="26">
        <v>1.17E-2</v>
      </c>
      <c r="M13824" s="26">
        <v>1.7600000000000001E-2</v>
      </c>
      <c r="N13824" s="26">
        <v>5.8999999999999999E-3</v>
      </c>
      <c r="P13824" s="26">
        <v>1.17E-2</v>
      </c>
      <c r="Q13824" s="26">
        <v>5.8999999999999999E-3</v>
      </c>
      <c r="R13824" s="26">
        <v>1.17E-2</v>
      </c>
      <c r="S13824">
        <v>33</v>
      </c>
    </row>
    <row r="13825" spans="1:19" x14ac:dyDescent="0.35">
      <c r="A13825" t="s">
        <v>230</v>
      </c>
      <c r="B13825" t="s">
        <v>360</v>
      </c>
      <c r="C13825" s="26">
        <v>0.29449999999999998</v>
      </c>
      <c r="D13825" s="26">
        <v>0.22839999999999999</v>
      </c>
      <c r="E13825" s="26">
        <v>0.19059999999999999</v>
      </c>
      <c r="F13825" s="26">
        <v>6.6500000000000004E-2</v>
      </c>
      <c r="G13825" s="26">
        <v>5.5999999999999999E-3</v>
      </c>
      <c r="H13825" s="26">
        <v>0.1109</v>
      </c>
      <c r="I13825" s="26">
        <v>1.1299999999999999E-2</v>
      </c>
      <c r="J13825" s="26">
        <v>5.91E-2</v>
      </c>
      <c r="K13825" s="26">
        <v>1.83E-2</v>
      </c>
      <c r="M13825" s="26">
        <v>2.3900000000000001E-2</v>
      </c>
      <c r="N13825" s="26">
        <v>1.83E-2</v>
      </c>
      <c r="O13825" s="26">
        <v>0.1166</v>
      </c>
      <c r="P13825" s="26">
        <v>2.9499999999999998E-2</v>
      </c>
      <c r="R13825" s="26">
        <v>2.9499999999999998E-2</v>
      </c>
      <c r="S13825">
        <v>31</v>
      </c>
    </row>
    <row r="13826" spans="1:19" x14ac:dyDescent="0.35">
      <c r="A13826" s="27" t="s">
        <v>231</v>
      </c>
      <c r="B13826" s="27" t="s">
        <v>360</v>
      </c>
      <c r="C13826" s="28">
        <v>0.42859999999999998</v>
      </c>
      <c r="D13826" s="28">
        <v>0.57140000000000002</v>
      </c>
      <c r="E13826" s="29"/>
      <c r="F13826" s="29"/>
      <c r="G13826" s="29"/>
      <c r="H13826" s="29"/>
      <c r="I13826" s="29"/>
      <c r="J13826" s="29"/>
      <c r="K13826" s="29"/>
      <c r="L13826" s="29"/>
      <c r="M13826" s="29"/>
      <c r="N13826" s="29"/>
      <c r="O13826" s="29"/>
      <c r="P13826" s="29"/>
      <c r="Q13826" s="29"/>
      <c r="R13826" s="29"/>
      <c r="S13826" s="29" t="s">
        <v>339</v>
      </c>
    </row>
    <row r="13827" spans="1:19" x14ac:dyDescent="0.35">
      <c r="A13827" s="27" t="s">
        <v>231</v>
      </c>
      <c r="B13827" s="27" t="s">
        <v>362</v>
      </c>
      <c r="C13827" s="28">
        <v>0.5</v>
      </c>
      <c r="D13827" s="28">
        <v>0.5</v>
      </c>
      <c r="E13827" s="29"/>
      <c r="F13827" s="29"/>
      <c r="G13827" s="29"/>
      <c r="H13827" s="29"/>
      <c r="I13827" s="29"/>
      <c r="J13827" s="29"/>
      <c r="K13827" s="29"/>
      <c r="L13827" s="29"/>
      <c r="M13827" s="29"/>
      <c r="N13827" s="29"/>
      <c r="O13827" s="29"/>
      <c r="P13827" s="29"/>
      <c r="Q13827" s="29"/>
      <c r="R13827" s="29"/>
      <c r="S13827" s="29" t="s">
        <v>314</v>
      </c>
    </row>
    <row r="13828" spans="1:19" x14ac:dyDescent="0.35">
      <c r="A13828" s="27" t="s">
        <v>231</v>
      </c>
      <c r="B13828" s="27" t="s">
        <v>361</v>
      </c>
      <c r="C13828" s="28">
        <v>0.22220000000000001</v>
      </c>
      <c r="D13828" s="28">
        <v>0.38890000000000002</v>
      </c>
      <c r="E13828" s="28">
        <v>0.27779999999999999</v>
      </c>
      <c r="F13828" s="28">
        <v>0.16669999999999999</v>
      </c>
      <c r="G13828" s="28">
        <v>0.22220000000000001</v>
      </c>
      <c r="H13828" s="29"/>
      <c r="I13828" s="29"/>
      <c r="J13828" s="29"/>
      <c r="K13828" s="29"/>
      <c r="L13828" s="29"/>
      <c r="M13828" s="29"/>
      <c r="N13828" s="29"/>
      <c r="O13828" s="29"/>
      <c r="P13828" s="29"/>
      <c r="Q13828" s="29"/>
      <c r="R13828" s="29"/>
      <c r="S13828" s="29" t="s">
        <v>353</v>
      </c>
    </row>
    <row r="13829" spans="1:19" x14ac:dyDescent="0.35">
      <c r="A13829" s="27" t="s">
        <v>231</v>
      </c>
      <c r="B13829" s="27" t="s">
        <v>363</v>
      </c>
      <c r="C13829" s="28">
        <v>0.33329999999999999</v>
      </c>
      <c r="D13829" s="28">
        <v>0.5</v>
      </c>
      <c r="E13829" s="28">
        <v>0.16669999999999999</v>
      </c>
      <c r="F13829" s="28">
        <v>0.16669999999999999</v>
      </c>
      <c r="G13829" s="29"/>
      <c r="H13829" s="29"/>
      <c r="I13829" s="29"/>
      <c r="J13829" s="29"/>
      <c r="K13829" s="29"/>
      <c r="L13829" s="29"/>
      <c r="M13829" s="29"/>
      <c r="N13829" s="29"/>
      <c r="O13829" s="29"/>
      <c r="P13829" s="29"/>
      <c r="Q13829" s="29"/>
      <c r="R13829" s="29"/>
      <c r="S13829" s="29" t="s">
        <v>335</v>
      </c>
    </row>
    <row r="13830" spans="1:19" x14ac:dyDescent="0.35">
      <c r="A13830" t="s">
        <v>232</v>
      </c>
      <c r="B13830" t="s">
        <v>232</v>
      </c>
      <c r="C13830" s="26">
        <v>0.38069999999999998</v>
      </c>
      <c r="D13830" s="26">
        <v>0.27139999999999997</v>
      </c>
      <c r="E13830" s="26">
        <v>0.22270000000000001</v>
      </c>
      <c r="F13830" s="26">
        <v>0.1215</v>
      </c>
      <c r="G13830" s="26">
        <v>7.4499999999999997E-2</v>
      </c>
      <c r="H13830" s="26">
        <v>3.0099999999999998E-2</v>
      </c>
      <c r="I13830" s="26">
        <v>2.8000000000000001E-2</v>
      </c>
      <c r="J13830" s="26">
        <v>2.5600000000000001E-2</v>
      </c>
      <c r="K13830" s="26">
        <v>2.2200000000000001E-2</v>
      </c>
      <c r="L13830" s="26">
        <v>1.77E-2</v>
      </c>
      <c r="M13830" s="26">
        <v>1.5100000000000001E-2</v>
      </c>
      <c r="N13830" s="26">
        <v>8.0999999999999996E-3</v>
      </c>
      <c r="O13830" s="26">
        <v>4.7999999999999996E-3</v>
      </c>
      <c r="P13830" s="26">
        <v>3.5999999999999999E-3</v>
      </c>
      <c r="Q13830" s="26">
        <v>2.0999999999999999E-3</v>
      </c>
      <c r="R13830" s="26">
        <v>2.0999999999999999E-3</v>
      </c>
      <c r="S13830">
        <v>712</v>
      </c>
    </row>
    <row r="13832" spans="1:19" x14ac:dyDescent="0.35">
      <c r="A13832" s="1" t="s">
        <v>1549</v>
      </c>
    </row>
    <row r="13833" spans="1:19" x14ac:dyDescent="0.35">
      <c r="A13833" t="s">
        <v>219</v>
      </c>
      <c r="B13833" t="s">
        <v>305</v>
      </c>
      <c r="C13833" t="s">
        <v>281</v>
      </c>
      <c r="D13833" t="s">
        <v>550</v>
      </c>
      <c r="E13833" t="s">
        <v>1533</v>
      </c>
      <c r="F13833" t="s">
        <v>1534</v>
      </c>
      <c r="G13833" t="s">
        <v>1535</v>
      </c>
      <c r="H13833" t="s">
        <v>326</v>
      </c>
      <c r="I13833" t="s">
        <v>1536</v>
      </c>
      <c r="J13833" t="s">
        <v>1537</v>
      </c>
      <c r="K13833" t="s">
        <v>1538</v>
      </c>
      <c r="L13833" t="s">
        <v>1539</v>
      </c>
      <c r="M13833" t="s">
        <v>1540</v>
      </c>
      <c r="N13833" t="s">
        <v>1541</v>
      </c>
      <c r="O13833" t="s">
        <v>286</v>
      </c>
      <c r="P13833" t="s">
        <v>1542</v>
      </c>
      <c r="Q13833" t="s">
        <v>1543</v>
      </c>
      <c r="R13833" t="s">
        <v>1544</v>
      </c>
      <c r="S13833" t="s">
        <v>226</v>
      </c>
    </row>
    <row r="13834" spans="1:19" x14ac:dyDescent="0.35">
      <c r="A13834" s="27" t="s">
        <v>227</v>
      </c>
      <c r="B13834" s="27" t="s">
        <v>267</v>
      </c>
      <c r="C13834" s="28">
        <v>0.4118</v>
      </c>
      <c r="D13834" s="28">
        <v>0.29409999999999997</v>
      </c>
      <c r="E13834" s="28">
        <v>0.17649999999999999</v>
      </c>
      <c r="F13834" s="28">
        <v>0.17649999999999999</v>
      </c>
      <c r="G13834" s="29"/>
      <c r="H13834" s="29"/>
      <c r="I13834" s="29"/>
      <c r="J13834" s="28">
        <v>5.8799999999999998E-2</v>
      </c>
      <c r="K13834" s="29"/>
      <c r="L13834" s="29"/>
      <c r="M13834" s="29"/>
      <c r="N13834" s="29"/>
      <c r="O13834" s="29"/>
      <c r="P13834" s="29"/>
      <c r="Q13834" s="29"/>
      <c r="R13834" s="29"/>
      <c r="S13834" s="29" t="s">
        <v>343</v>
      </c>
    </row>
    <row r="13835" spans="1:19" x14ac:dyDescent="0.35">
      <c r="A13835" s="27" t="s">
        <v>227</v>
      </c>
      <c r="B13835" s="27" t="s">
        <v>266</v>
      </c>
      <c r="C13835" s="28">
        <v>0.5</v>
      </c>
      <c r="D13835" s="28">
        <v>0.25</v>
      </c>
      <c r="E13835" s="28">
        <v>0.1</v>
      </c>
      <c r="F13835" s="28">
        <v>0.05</v>
      </c>
      <c r="G13835" s="28">
        <v>0.05</v>
      </c>
      <c r="H13835" s="28">
        <v>0.05</v>
      </c>
      <c r="I13835" s="29"/>
      <c r="J13835" s="29"/>
      <c r="K13835" s="28">
        <v>0.05</v>
      </c>
      <c r="L13835" s="29"/>
      <c r="M13835" s="29"/>
      <c r="N13835" s="28">
        <v>0.05</v>
      </c>
      <c r="O13835" s="29"/>
      <c r="P13835" s="29"/>
      <c r="Q13835" s="29"/>
      <c r="R13835" s="29"/>
      <c r="S13835" s="29" t="s">
        <v>350</v>
      </c>
    </row>
    <row r="13836" spans="1:19" x14ac:dyDescent="0.35">
      <c r="A13836" s="27" t="s">
        <v>227</v>
      </c>
      <c r="B13836" s="27" t="s">
        <v>265</v>
      </c>
      <c r="C13836" s="28">
        <v>0.4118</v>
      </c>
      <c r="D13836" s="28">
        <v>0.23530000000000001</v>
      </c>
      <c r="E13836" s="28">
        <v>0.23530000000000001</v>
      </c>
      <c r="F13836" s="28">
        <v>5.8799999999999998E-2</v>
      </c>
      <c r="G13836" s="28">
        <v>5.8799999999999998E-2</v>
      </c>
      <c r="H13836" s="28">
        <v>0.1176</v>
      </c>
      <c r="I13836" s="29"/>
      <c r="J13836" s="29"/>
      <c r="K13836" s="28">
        <v>5.8799999999999998E-2</v>
      </c>
      <c r="L13836" s="29"/>
      <c r="M13836" s="29"/>
      <c r="N13836" s="29"/>
      <c r="O13836" s="29"/>
      <c r="P13836" s="29"/>
      <c r="Q13836" s="29"/>
      <c r="R13836" s="29"/>
      <c r="S13836" s="29" t="s">
        <v>343</v>
      </c>
    </row>
    <row r="13837" spans="1:19" x14ac:dyDescent="0.35">
      <c r="A13837" t="s">
        <v>228</v>
      </c>
      <c r="B13837" t="s">
        <v>267</v>
      </c>
      <c r="C13837" s="26">
        <v>0.4642</v>
      </c>
      <c r="D13837" s="26">
        <v>0.15670000000000001</v>
      </c>
      <c r="E13837" s="26">
        <v>0.19070000000000001</v>
      </c>
      <c r="F13837" s="26">
        <v>0.15870000000000001</v>
      </c>
      <c r="G13837" s="26">
        <v>8.72E-2</v>
      </c>
      <c r="I13837" s="26">
        <v>0.1009</v>
      </c>
      <c r="J13837" s="26">
        <v>9.4999999999999998E-3</v>
      </c>
      <c r="K13837" s="26">
        <v>7.7700000000000005E-2</v>
      </c>
      <c r="M13837" s="26">
        <v>6.7000000000000004E-2</v>
      </c>
      <c r="S13837">
        <v>57</v>
      </c>
    </row>
    <row r="13838" spans="1:19" x14ac:dyDescent="0.35">
      <c r="A13838" t="s">
        <v>228</v>
      </c>
      <c r="B13838" t="s">
        <v>265</v>
      </c>
      <c r="C13838" s="26">
        <v>0.43769999999999998</v>
      </c>
      <c r="D13838" s="26">
        <v>0.20960000000000001</v>
      </c>
      <c r="E13838" s="26">
        <v>0.20399999999999999</v>
      </c>
      <c r="F13838" s="26">
        <v>9.8599999999999993E-2</v>
      </c>
      <c r="G13838" s="26">
        <v>6.3200000000000006E-2</v>
      </c>
      <c r="H13838" s="26">
        <v>6.7999999999999996E-3</v>
      </c>
      <c r="I13838" s="26">
        <v>5.2499999999999998E-2</v>
      </c>
      <c r="J13838" s="26">
        <v>3.9300000000000002E-2</v>
      </c>
      <c r="K13838" s="26">
        <v>2.8000000000000001E-2</v>
      </c>
      <c r="L13838" s="26">
        <v>4.9099999999999998E-2</v>
      </c>
      <c r="M13838" s="26">
        <v>1.9400000000000001E-2</v>
      </c>
      <c r="N13838" s="26">
        <v>3.3999999999999998E-3</v>
      </c>
      <c r="O13838" s="26">
        <v>2E-3</v>
      </c>
      <c r="P13838" s="26">
        <v>3.3999999999999998E-3</v>
      </c>
      <c r="Q13838" s="26">
        <v>1.2999999999999999E-2</v>
      </c>
      <c r="R13838" s="26">
        <v>3.3999999999999998E-3</v>
      </c>
      <c r="S13838">
        <v>110</v>
      </c>
    </row>
    <row r="13839" spans="1:19" x14ac:dyDescent="0.35">
      <c r="A13839" s="27" t="s">
        <v>228</v>
      </c>
      <c r="B13839" s="27" t="s">
        <v>236</v>
      </c>
      <c r="C13839" s="29"/>
      <c r="D13839" s="29"/>
      <c r="E13839" s="28">
        <v>1</v>
      </c>
      <c r="F13839" s="29"/>
      <c r="G13839" s="29"/>
      <c r="H13839" s="28">
        <v>1</v>
      </c>
      <c r="I13839" s="29"/>
      <c r="J13839" s="29"/>
      <c r="K13839" s="29"/>
      <c r="L13839" s="29"/>
      <c r="M13839" s="29"/>
      <c r="N13839" s="29"/>
      <c r="O13839" s="29"/>
      <c r="P13839" s="29"/>
      <c r="Q13839" s="29"/>
      <c r="R13839" s="29"/>
      <c r="S13839" s="29" t="s">
        <v>331</v>
      </c>
    </row>
    <row r="13840" spans="1:19" x14ac:dyDescent="0.35">
      <c r="A13840" t="s">
        <v>228</v>
      </c>
      <c r="B13840" t="s">
        <v>266</v>
      </c>
      <c r="C13840" s="26">
        <v>0.49270000000000003</v>
      </c>
      <c r="D13840" s="26">
        <v>0.21160000000000001</v>
      </c>
      <c r="E13840" s="26">
        <v>0.20050000000000001</v>
      </c>
      <c r="F13840" s="26">
        <v>8.9300000000000004E-2</v>
      </c>
      <c r="G13840" s="26">
        <v>6.8000000000000005E-2</v>
      </c>
      <c r="H13840" s="26">
        <v>2.3199999999999998E-2</v>
      </c>
      <c r="I13840" s="26">
        <v>8.6199999999999999E-2</v>
      </c>
      <c r="J13840" s="26">
        <v>5.3199999999999997E-2</v>
      </c>
      <c r="K13840" s="26">
        <v>2.4299999999999999E-2</v>
      </c>
      <c r="L13840" s="26">
        <v>1.9E-2</v>
      </c>
      <c r="M13840" s="26">
        <v>2.4299999999999999E-2</v>
      </c>
      <c r="N13840" s="26">
        <v>5.4999999999999997E-3</v>
      </c>
      <c r="P13840" s="26">
        <v>1.4999999999999999E-2</v>
      </c>
      <c r="Q13840" s="26">
        <v>3.3999999999999998E-3</v>
      </c>
      <c r="R13840" s="26">
        <v>7.4999999999999997E-3</v>
      </c>
      <c r="S13840">
        <v>142</v>
      </c>
    </row>
    <row r="13841" spans="1:19" x14ac:dyDescent="0.35">
      <c r="A13841" t="s">
        <v>229</v>
      </c>
      <c r="B13841" t="s">
        <v>266</v>
      </c>
      <c r="C13841" s="26">
        <v>0.34899999999999998</v>
      </c>
      <c r="D13841" s="26">
        <v>0.24229999999999999</v>
      </c>
      <c r="E13841" s="26">
        <v>0.19339999999999999</v>
      </c>
      <c r="F13841" s="26">
        <v>0.1593</v>
      </c>
      <c r="G13841" s="26">
        <v>5.8299999999999998E-2</v>
      </c>
      <c r="H13841" s="26">
        <v>5.2999999999999999E-2</v>
      </c>
      <c r="I13841" s="26">
        <v>4.1399999999999999E-2</v>
      </c>
      <c r="J13841" s="26">
        <v>6.9099999999999995E-2</v>
      </c>
      <c r="K13841" s="26">
        <v>3.1800000000000002E-2</v>
      </c>
      <c r="L13841" s="26">
        <v>9.1000000000000004E-3</v>
      </c>
      <c r="M13841" s="26">
        <v>3.8199999999999998E-2</v>
      </c>
      <c r="N13841" s="26">
        <v>5.8999999999999999E-3</v>
      </c>
      <c r="O13841" s="26">
        <v>2.2100000000000002E-2</v>
      </c>
      <c r="P13841" s="26">
        <v>4.4000000000000003E-3</v>
      </c>
      <c r="Q13841" s="26">
        <v>4.4000000000000003E-3</v>
      </c>
      <c r="R13841" s="26">
        <v>2.8999999999999998E-3</v>
      </c>
      <c r="S13841">
        <v>113</v>
      </c>
    </row>
    <row r="13842" spans="1:19" x14ac:dyDescent="0.35">
      <c r="A13842" t="s">
        <v>229</v>
      </c>
      <c r="B13842" t="s">
        <v>267</v>
      </c>
      <c r="C13842" s="26">
        <v>0.30120000000000002</v>
      </c>
      <c r="D13842" s="26">
        <v>0.2195</v>
      </c>
      <c r="E13842" s="26">
        <v>0.34179999999999999</v>
      </c>
      <c r="F13842" s="26">
        <v>0.20050000000000001</v>
      </c>
      <c r="G13842" s="26">
        <v>0.1258</v>
      </c>
      <c r="H13842" s="26">
        <v>2.3999999999999998E-3</v>
      </c>
      <c r="I13842" s="26">
        <v>4.1000000000000002E-2</v>
      </c>
      <c r="J13842" s="26">
        <v>3.5099999999999999E-2</v>
      </c>
      <c r="K13842" s="26">
        <v>9.1999999999999998E-3</v>
      </c>
      <c r="L13842" s="26">
        <v>4.19E-2</v>
      </c>
      <c r="M13842" s="26">
        <v>9.2999999999999992E-3</v>
      </c>
      <c r="P13842" s="26">
        <v>4.5999999999999999E-3</v>
      </c>
      <c r="S13842">
        <v>59</v>
      </c>
    </row>
    <row r="13843" spans="1:19" x14ac:dyDescent="0.35">
      <c r="A13843" t="s">
        <v>229</v>
      </c>
      <c r="B13843" t="s">
        <v>265</v>
      </c>
      <c r="C13843" s="26">
        <v>0.33810000000000001</v>
      </c>
      <c r="D13843" s="26">
        <v>0.24260000000000001</v>
      </c>
      <c r="E13843" s="26">
        <v>0.29720000000000002</v>
      </c>
      <c r="F13843" s="26">
        <v>0.1406</v>
      </c>
      <c r="G13843" s="26">
        <v>2.4500000000000001E-2</v>
      </c>
      <c r="H13843" s="26">
        <v>2.7E-2</v>
      </c>
      <c r="I13843" s="26">
        <v>1.34E-2</v>
      </c>
      <c r="J13843" s="26">
        <v>1.0999999999999999E-2</v>
      </c>
      <c r="K13843" s="26">
        <v>2.5000000000000001E-3</v>
      </c>
      <c r="M13843" s="26">
        <v>3.7000000000000002E-3</v>
      </c>
      <c r="N13843" s="26">
        <v>2.2800000000000001E-2</v>
      </c>
      <c r="O13843" s="26">
        <v>2.3999999999999998E-3</v>
      </c>
      <c r="P13843" s="26">
        <v>1.1999999999999999E-3</v>
      </c>
      <c r="Q13843" s="26">
        <v>1.1999999999999999E-3</v>
      </c>
      <c r="R13843" s="26">
        <v>1.1999999999999999E-3</v>
      </c>
      <c r="S13843">
        <v>99</v>
      </c>
    </row>
    <row r="13844" spans="1:19" x14ac:dyDescent="0.35">
      <c r="A13844" s="27" t="s">
        <v>230</v>
      </c>
      <c r="B13844" s="27" t="s">
        <v>267</v>
      </c>
      <c r="C13844" s="28">
        <v>0.32290000000000002</v>
      </c>
      <c r="D13844" s="28">
        <v>0.1588</v>
      </c>
      <c r="E13844" s="28">
        <v>0.32290000000000002</v>
      </c>
      <c r="F13844" s="28">
        <v>0.11650000000000001</v>
      </c>
      <c r="G13844" s="28">
        <v>0.16839999999999999</v>
      </c>
      <c r="H13844" s="29"/>
      <c r="I13844" s="29"/>
      <c r="J13844" s="28">
        <v>2.2700000000000001E-2</v>
      </c>
      <c r="K13844" s="28">
        <v>9.8100000000000007E-2</v>
      </c>
      <c r="L13844" s="28">
        <v>0.25259999999999999</v>
      </c>
      <c r="M13844" s="28">
        <v>8.8499999999999995E-2</v>
      </c>
      <c r="N13844" s="29"/>
      <c r="O13844" s="28">
        <v>8.8499999999999995E-2</v>
      </c>
      <c r="P13844" s="28">
        <v>8.5000000000000006E-3</v>
      </c>
      <c r="Q13844" s="29"/>
      <c r="R13844" s="28">
        <v>4.3E-3</v>
      </c>
      <c r="S13844" s="29" t="s">
        <v>329</v>
      </c>
    </row>
    <row r="13845" spans="1:19" x14ac:dyDescent="0.35">
      <c r="A13845" t="s">
        <v>230</v>
      </c>
      <c r="B13845" t="s">
        <v>266</v>
      </c>
      <c r="C13845" s="26">
        <v>0.48049999999999998</v>
      </c>
      <c r="D13845" s="26">
        <v>0.1084</v>
      </c>
      <c r="E13845" s="26">
        <v>0.28160000000000002</v>
      </c>
      <c r="F13845" s="26">
        <v>9.1399999999999995E-2</v>
      </c>
      <c r="G13845" s="26">
        <v>6.3799999999999996E-2</v>
      </c>
      <c r="H13845" s="26">
        <v>5.04E-2</v>
      </c>
      <c r="I13845" s="26">
        <v>2.2100000000000002E-2</v>
      </c>
      <c r="J13845" s="26">
        <v>2.3599999999999999E-2</v>
      </c>
      <c r="K13845" s="26">
        <v>0.03</v>
      </c>
      <c r="L13845" s="26">
        <v>1.3599999999999999E-2</v>
      </c>
      <c r="M13845" s="26">
        <v>2.6800000000000001E-2</v>
      </c>
      <c r="P13845" s="26">
        <v>5.1000000000000004E-3</v>
      </c>
      <c r="Q13845" s="26">
        <v>2.5999999999999999E-3</v>
      </c>
      <c r="R13845" s="26">
        <v>7.7000000000000002E-3</v>
      </c>
      <c r="S13845">
        <v>66</v>
      </c>
    </row>
    <row r="13846" spans="1:19" x14ac:dyDescent="0.35">
      <c r="A13846" t="s">
        <v>230</v>
      </c>
      <c r="B13846" t="s">
        <v>265</v>
      </c>
      <c r="C13846" s="26">
        <v>0.2422</v>
      </c>
      <c r="D13846" s="26">
        <v>0.36380000000000001</v>
      </c>
      <c r="E13846" s="26">
        <v>0.2979</v>
      </c>
      <c r="F13846" s="26">
        <v>8.1600000000000006E-2</v>
      </c>
      <c r="G13846" s="26">
        <v>0.14249999999999999</v>
      </c>
      <c r="H13846" s="26">
        <v>0.10299999999999999</v>
      </c>
      <c r="I13846" s="26">
        <v>3.8300000000000001E-2</v>
      </c>
      <c r="J13846" s="26">
        <v>1.9900000000000001E-2</v>
      </c>
      <c r="K13846" s="26">
        <v>1.04E-2</v>
      </c>
      <c r="L13846" s="26">
        <v>5.5300000000000002E-2</v>
      </c>
      <c r="M13846" s="26">
        <v>1.0200000000000001E-2</v>
      </c>
      <c r="N13846" s="26">
        <v>1.0200000000000001E-2</v>
      </c>
      <c r="P13846" s="26">
        <v>1.5100000000000001E-2</v>
      </c>
      <c r="R13846" s="26">
        <v>7.7999999999999996E-3</v>
      </c>
      <c r="S13846">
        <v>56</v>
      </c>
    </row>
    <row r="13847" spans="1:19" x14ac:dyDescent="0.35">
      <c r="A13847" s="27" t="s">
        <v>231</v>
      </c>
      <c r="B13847" s="27" t="s">
        <v>267</v>
      </c>
      <c r="C13847" s="28">
        <v>0.33329999999999999</v>
      </c>
      <c r="D13847" s="28">
        <v>0.5</v>
      </c>
      <c r="E13847" s="28">
        <v>0.16669999999999999</v>
      </c>
      <c r="F13847" s="29"/>
      <c r="G13847" s="28">
        <v>0.16669999999999999</v>
      </c>
      <c r="H13847" s="29"/>
      <c r="I13847" s="29"/>
      <c r="J13847" s="29"/>
      <c r="K13847" s="29"/>
      <c r="L13847" s="29"/>
      <c r="M13847" s="29"/>
      <c r="N13847" s="29"/>
      <c r="O13847" s="29"/>
      <c r="P13847" s="29"/>
      <c r="Q13847" s="29"/>
      <c r="R13847" s="29"/>
      <c r="S13847" s="29" t="s">
        <v>335</v>
      </c>
    </row>
    <row r="13848" spans="1:19" x14ac:dyDescent="0.35">
      <c r="A13848" s="27" t="s">
        <v>231</v>
      </c>
      <c r="B13848" s="27" t="s">
        <v>266</v>
      </c>
      <c r="C13848" s="28">
        <v>0.25</v>
      </c>
      <c r="D13848" s="28">
        <v>0.5</v>
      </c>
      <c r="E13848" s="28">
        <v>0.125</v>
      </c>
      <c r="F13848" s="28">
        <v>0.125</v>
      </c>
      <c r="G13848" s="28">
        <v>0.125</v>
      </c>
      <c r="H13848" s="29"/>
      <c r="I13848" s="29"/>
      <c r="J13848" s="29"/>
      <c r="K13848" s="29"/>
      <c r="L13848" s="29"/>
      <c r="M13848" s="29"/>
      <c r="N13848" s="29"/>
      <c r="O13848" s="29"/>
      <c r="P13848" s="29"/>
      <c r="Q13848" s="29"/>
      <c r="R13848" s="29"/>
      <c r="S13848" s="29" t="s">
        <v>348</v>
      </c>
    </row>
    <row r="13849" spans="1:19" x14ac:dyDescent="0.35">
      <c r="A13849" s="27" t="s">
        <v>231</v>
      </c>
      <c r="B13849" s="27" t="s">
        <v>265</v>
      </c>
      <c r="C13849" s="28">
        <v>0.41670000000000001</v>
      </c>
      <c r="D13849" s="28">
        <v>0.33329999999999999</v>
      </c>
      <c r="E13849" s="28">
        <v>0.25</v>
      </c>
      <c r="F13849" s="28">
        <v>0.16669999999999999</v>
      </c>
      <c r="G13849" s="28">
        <v>8.3299999999999999E-2</v>
      </c>
      <c r="H13849" s="29"/>
      <c r="I13849" s="29"/>
      <c r="J13849" s="29"/>
      <c r="K13849" s="29"/>
      <c r="L13849" s="29"/>
      <c r="M13849" s="29"/>
      <c r="N13849" s="29"/>
      <c r="O13849" s="29"/>
      <c r="P13849" s="29"/>
      <c r="Q13849" s="29"/>
      <c r="R13849" s="29"/>
      <c r="S13849" s="29" t="s">
        <v>342</v>
      </c>
    </row>
    <row r="13850" spans="1:19" x14ac:dyDescent="0.35">
      <c r="A13850" t="s">
        <v>232</v>
      </c>
      <c r="B13850" t="s">
        <v>232</v>
      </c>
      <c r="C13850" s="26">
        <v>0.38069999999999998</v>
      </c>
      <c r="D13850" s="26">
        <v>0.27139999999999997</v>
      </c>
      <c r="E13850" s="26">
        <v>0.22270000000000001</v>
      </c>
      <c r="F13850" s="26">
        <v>0.1215</v>
      </c>
      <c r="G13850" s="26">
        <v>7.4499999999999997E-2</v>
      </c>
      <c r="H13850" s="26">
        <v>3.0099999999999998E-2</v>
      </c>
      <c r="I13850" s="26">
        <v>2.8000000000000001E-2</v>
      </c>
      <c r="J13850" s="26">
        <v>2.5600000000000001E-2</v>
      </c>
      <c r="K13850" s="26">
        <v>2.2200000000000001E-2</v>
      </c>
      <c r="L13850" s="26">
        <v>1.77E-2</v>
      </c>
      <c r="M13850" s="26">
        <v>1.5100000000000001E-2</v>
      </c>
      <c r="N13850" s="26">
        <v>8.0999999999999996E-3</v>
      </c>
      <c r="O13850" s="26">
        <v>4.7999999999999996E-3</v>
      </c>
      <c r="P13850" s="26">
        <v>3.5999999999999999E-3</v>
      </c>
      <c r="Q13850" s="26">
        <v>2.0999999999999999E-3</v>
      </c>
      <c r="R13850" s="26">
        <v>2.0999999999999999E-3</v>
      </c>
      <c r="S13850">
        <v>820</v>
      </c>
    </row>
    <row r="13852" spans="1:19" x14ac:dyDescent="0.35">
      <c r="A13852" s="1" t="s">
        <v>1550</v>
      </c>
    </row>
    <row r="13853" spans="1:19" x14ac:dyDescent="0.35">
      <c r="A13853" t="s">
        <v>219</v>
      </c>
      <c r="B13853" t="s">
        <v>305</v>
      </c>
      <c r="C13853" t="s">
        <v>281</v>
      </c>
      <c r="D13853" t="s">
        <v>550</v>
      </c>
      <c r="E13853" t="s">
        <v>1533</v>
      </c>
      <c r="F13853" t="s">
        <v>1534</v>
      </c>
      <c r="G13853" t="s">
        <v>1535</v>
      </c>
      <c r="H13853" t="s">
        <v>326</v>
      </c>
      <c r="I13853" t="s">
        <v>1536</v>
      </c>
      <c r="J13853" t="s">
        <v>1537</v>
      </c>
      <c r="K13853" t="s">
        <v>1538</v>
      </c>
      <c r="L13853" t="s">
        <v>1539</v>
      </c>
      <c r="M13853" t="s">
        <v>1540</v>
      </c>
      <c r="N13853" t="s">
        <v>1541</v>
      </c>
      <c r="O13853" t="s">
        <v>286</v>
      </c>
      <c r="P13853" t="s">
        <v>1542</v>
      </c>
      <c r="Q13853" t="s">
        <v>1543</v>
      </c>
      <c r="R13853" t="s">
        <v>1544</v>
      </c>
      <c r="S13853" t="s">
        <v>226</v>
      </c>
    </row>
    <row r="13854" spans="1:19" x14ac:dyDescent="0.35">
      <c r="A13854" s="27" t="s">
        <v>227</v>
      </c>
      <c r="B13854" s="27" t="s">
        <v>252</v>
      </c>
      <c r="C13854" s="28">
        <v>0.75</v>
      </c>
      <c r="D13854" s="28">
        <v>0.1875</v>
      </c>
      <c r="E13854" s="29"/>
      <c r="F13854" s="28">
        <v>6.25E-2</v>
      </c>
      <c r="G13854" s="29"/>
      <c r="H13854" s="29"/>
      <c r="I13854" s="29"/>
      <c r="J13854" s="29"/>
      <c r="K13854" s="29"/>
      <c r="L13854" s="29"/>
      <c r="M13854" s="29"/>
      <c r="N13854" s="29"/>
      <c r="O13854" s="29"/>
      <c r="P13854" s="29"/>
      <c r="Q13854" s="29"/>
      <c r="R13854" s="29"/>
      <c r="S13854" s="29" t="s">
        <v>348</v>
      </c>
    </row>
    <row r="13855" spans="1:19" x14ac:dyDescent="0.35">
      <c r="A13855" s="27" t="s">
        <v>227</v>
      </c>
      <c r="B13855" s="27" t="s">
        <v>253</v>
      </c>
      <c r="C13855" s="28">
        <v>0.5</v>
      </c>
      <c r="D13855" s="28">
        <v>0.16669999999999999</v>
      </c>
      <c r="E13855" s="28">
        <v>0.33329999999999999</v>
      </c>
      <c r="F13855" s="29"/>
      <c r="G13855" s="29"/>
      <c r="H13855" s="28">
        <v>8.3299999999999999E-2</v>
      </c>
      <c r="I13855" s="29"/>
      <c r="J13855" s="29"/>
      <c r="K13855" s="29"/>
      <c r="L13855" s="29"/>
      <c r="M13855" s="29"/>
      <c r="N13855" s="29"/>
      <c r="O13855" s="29"/>
      <c r="P13855" s="29"/>
      <c r="Q13855" s="29"/>
      <c r="R13855" s="29"/>
      <c r="S13855" s="29" t="s">
        <v>342</v>
      </c>
    </row>
    <row r="13856" spans="1:19" x14ac:dyDescent="0.35">
      <c r="A13856" s="27" t="s">
        <v>227</v>
      </c>
      <c r="B13856" s="27" t="s">
        <v>251</v>
      </c>
      <c r="C13856" s="28">
        <v>0.23080000000000001</v>
      </c>
      <c r="D13856" s="28">
        <v>0.34620000000000001</v>
      </c>
      <c r="E13856" s="28">
        <v>0.1923</v>
      </c>
      <c r="F13856" s="28">
        <v>0.15379999999999999</v>
      </c>
      <c r="G13856" s="28">
        <v>7.6899999999999996E-2</v>
      </c>
      <c r="H13856" s="28">
        <v>7.6899999999999996E-2</v>
      </c>
      <c r="I13856" s="29"/>
      <c r="J13856" s="28">
        <v>3.85E-2</v>
      </c>
      <c r="K13856" s="28">
        <v>7.6899999999999996E-2</v>
      </c>
      <c r="L13856" s="29"/>
      <c r="M13856" s="29"/>
      <c r="N13856" s="28">
        <v>3.85E-2</v>
      </c>
      <c r="O13856" s="29"/>
      <c r="P13856" s="29"/>
      <c r="Q13856" s="29"/>
      <c r="R13856" s="29"/>
      <c r="S13856" s="29" t="s">
        <v>357</v>
      </c>
    </row>
    <row r="13857" spans="1:19" x14ac:dyDescent="0.35">
      <c r="A13857" t="s">
        <v>228</v>
      </c>
      <c r="B13857" t="s">
        <v>252</v>
      </c>
      <c r="C13857" s="26">
        <v>0.57930000000000004</v>
      </c>
      <c r="D13857" s="26">
        <v>0.1968</v>
      </c>
      <c r="E13857" s="26">
        <v>0.10489999999999999</v>
      </c>
      <c r="F13857" s="26">
        <v>9.64E-2</v>
      </c>
      <c r="G13857" s="26">
        <v>2.5000000000000001E-3</v>
      </c>
      <c r="I13857" s="26">
        <v>2.5899999999999999E-2</v>
      </c>
      <c r="J13857" s="26">
        <v>3.5900000000000001E-2</v>
      </c>
      <c r="K13857" s="26">
        <v>5.1400000000000001E-2</v>
      </c>
      <c r="L13857" s="26">
        <v>2.5000000000000001E-3</v>
      </c>
      <c r="M13857" s="26">
        <v>1.9599999999999999E-2</v>
      </c>
      <c r="N13857" s="26">
        <v>2.5000000000000001E-3</v>
      </c>
      <c r="O13857" s="26">
        <v>2.5000000000000001E-3</v>
      </c>
      <c r="P13857" s="26">
        <v>5.0000000000000001E-3</v>
      </c>
      <c r="Q13857" s="26">
        <v>1.7100000000000001E-2</v>
      </c>
      <c r="R13857" s="26">
        <v>2.5000000000000001E-3</v>
      </c>
      <c r="S13857">
        <v>104</v>
      </c>
    </row>
    <row r="13858" spans="1:19" x14ac:dyDescent="0.35">
      <c r="A13858" t="s">
        <v>228</v>
      </c>
      <c r="B13858" t="s">
        <v>253</v>
      </c>
      <c r="C13858" s="26">
        <v>0.4325</v>
      </c>
      <c r="D13858" s="26">
        <v>0.1489</v>
      </c>
      <c r="E13858" s="26">
        <v>0.23530000000000001</v>
      </c>
      <c r="F13858" s="26">
        <v>9.1899999999999996E-2</v>
      </c>
      <c r="G13858" s="26">
        <v>9.5100000000000004E-2</v>
      </c>
      <c r="H13858" s="26">
        <v>0.1036</v>
      </c>
      <c r="I13858" s="26">
        <v>0.13900000000000001</v>
      </c>
      <c r="J13858" s="26">
        <v>4.9599999999999998E-2</v>
      </c>
      <c r="K13858" s="26">
        <v>4.0099999999999997E-2</v>
      </c>
      <c r="L13858" s="26">
        <v>3.3999999999999998E-3</v>
      </c>
      <c r="M13858" s="26">
        <v>5.67E-2</v>
      </c>
      <c r="N13858" s="26">
        <v>5.7000000000000002E-3</v>
      </c>
      <c r="P13858" s="26">
        <v>5.7000000000000002E-3</v>
      </c>
      <c r="Q13858" s="26">
        <v>5.7000000000000002E-3</v>
      </c>
      <c r="R13858" s="26">
        <v>5.7000000000000002E-3</v>
      </c>
      <c r="S13858">
        <v>73</v>
      </c>
    </row>
    <row r="13859" spans="1:19" x14ac:dyDescent="0.35">
      <c r="A13859" t="s">
        <v>228</v>
      </c>
      <c r="B13859" t="s">
        <v>251</v>
      </c>
      <c r="C13859" s="26">
        <v>0.40360000000000001</v>
      </c>
      <c r="D13859" s="26">
        <v>0.22339999999999999</v>
      </c>
      <c r="E13859" s="26">
        <v>0.25950000000000001</v>
      </c>
      <c r="F13859" s="26">
        <v>0.1145</v>
      </c>
      <c r="G13859" s="26">
        <v>9.7799999999999998E-2</v>
      </c>
      <c r="I13859" s="26">
        <v>7.6499999999999999E-2</v>
      </c>
      <c r="J13859" s="26">
        <v>3.7499999999999999E-2</v>
      </c>
      <c r="K13859" s="26">
        <v>2.23E-2</v>
      </c>
      <c r="L13859" s="26">
        <v>5.2200000000000003E-2</v>
      </c>
      <c r="M13859" s="26">
        <v>2.3699999999999999E-2</v>
      </c>
      <c r="N13859" s="26">
        <v>3.5000000000000001E-3</v>
      </c>
      <c r="P13859" s="26">
        <v>1.06E-2</v>
      </c>
      <c r="R13859" s="26">
        <v>5.3E-3</v>
      </c>
      <c r="S13859">
        <v>133</v>
      </c>
    </row>
    <row r="13860" spans="1:19" x14ac:dyDescent="0.35">
      <c r="A13860" t="s">
        <v>229</v>
      </c>
      <c r="B13860" t="s">
        <v>252</v>
      </c>
      <c r="C13860" s="26">
        <v>0.59050000000000002</v>
      </c>
      <c r="D13860" s="26">
        <v>0.21460000000000001</v>
      </c>
      <c r="E13860" s="26">
        <v>8.14E-2</v>
      </c>
      <c r="F13860" s="26">
        <v>0.11070000000000001</v>
      </c>
      <c r="G13860" s="26">
        <v>5.4999999999999997E-3</v>
      </c>
      <c r="I13860" s="26">
        <v>1.0999999999999999E-2</v>
      </c>
      <c r="J13860" s="26">
        <v>2.2200000000000001E-2</v>
      </c>
      <c r="M13860" s="26">
        <v>1.12E-2</v>
      </c>
      <c r="N13860" s="26">
        <v>1.6000000000000001E-3</v>
      </c>
      <c r="O13860" s="26">
        <v>4.2099999999999999E-2</v>
      </c>
      <c r="S13860">
        <v>58</v>
      </c>
    </row>
    <row r="13861" spans="1:19" x14ac:dyDescent="0.35">
      <c r="A13861" t="s">
        <v>229</v>
      </c>
      <c r="B13861" t="s">
        <v>253</v>
      </c>
      <c r="C13861" s="26">
        <v>0.47060000000000002</v>
      </c>
      <c r="D13861" s="26">
        <v>0.25290000000000001</v>
      </c>
      <c r="E13861" s="26">
        <v>3.56E-2</v>
      </c>
      <c r="F13861" s="26">
        <v>0.16200000000000001</v>
      </c>
      <c r="I13861" s="26">
        <v>1.5800000000000002E-2</v>
      </c>
      <c r="J13861" s="26">
        <v>7.8899999999999998E-2</v>
      </c>
      <c r="K13861" s="26">
        <v>1.6E-2</v>
      </c>
      <c r="L13861" s="26">
        <v>4.0000000000000001E-3</v>
      </c>
      <c r="M13861" s="26">
        <v>2.76E-2</v>
      </c>
      <c r="N13861" s="26">
        <v>4.0000000000000001E-3</v>
      </c>
      <c r="P13861" s="26">
        <v>4.0000000000000001E-3</v>
      </c>
      <c r="Q13861" s="26">
        <v>4.0000000000000001E-3</v>
      </c>
      <c r="R13861" s="26">
        <v>4.0000000000000001E-3</v>
      </c>
      <c r="S13861">
        <v>39</v>
      </c>
    </row>
    <row r="13862" spans="1:19" x14ac:dyDescent="0.35">
      <c r="A13862" t="s">
        <v>229</v>
      </c>
      <c r="B13862" t="s">
        <v>251</v>
      </c>
      <c r="C13862" s="26">
        <v>0.2374</v>
      </c>
      <c r="D13862" s="26">
        <v>0.24049999999999999</v>
      </c>
      <c r="E13862" s="26">
        <v>0.36730000000000002</v>
      </c>
      <c r="F13862" s="26">
        <v>0.1739</v>
      </c>
      <c r="G13862" s="26">
        <v>8.5000000000000006E-2</v>
      </c>
      <c r="H13862" s="26">
        <v>4.4999999999999998E-2</v>
      </c>
      <c r="I13862" s="26">
        <v>3.7100000000000001E-2</v>
      </c>
      <c r="J13862" s="26">
        <v>3.2800000000000003E-2</v>
      </c>
      <c r="K13862" s="26">
        <v>1.7899999999999999E-2</v>
      </c>
      <c r="L13862" s="26">
        <v>1.7600000000000001E-2</v>
      </c>
      <c r="M13862" s="26">
        <v>1.67E-2</v>
      </c>
      <c r="N13862" s="26">
        <v>1.6E-2</v>
      </c>
      <c r="O13862" s="26">
        <v>1.5E-3</v>
      </c>
      <c r="P13862" s="26">
        <v>3.8E-3</v>
      </c>
      <c r="Q13862" s="26">
        <v>2.3E-3</v>
      </c>
      <c r="R13862" s="26">
        <v>1.5E-3</v>
      </c>
      <c r="S13862">
        <v>174</v>
      </c>
    </row>
    <row r="13863" spans="1:19" x14ac:dyDescent="0.35">
      <c r="A13863" t="s">
        <v>230</v>
      </c>
      <c r="B13863" t="s">
        <v>252</v>
      </c>
      <c r="C13863" s="26">
        <v>0.48749999999999999</v>
      </c>
      <c r="D13863" s="26">
        <v>0.1948</v>
      </c>
      <c r="E13863" s="26">
        <v>5.6300000000000003E-2</v>
      </c>
      <c r="F13863" s="26">
        <v>6.8000000000000005E-2</v>
      </c>
      <c r="G13863" s="26">
        <v>0.1085</v>
      </c>
      <c r="H13863" s="26">
        <v>0.1032</v>
      </c>
      <c r="I13863" s="26">
        <v>5.1999999999999998E-3</v>
      </c>
      <c r="J13863" s="26">
        <v>3.27E-2</v>
      </c>
      <c r="K13863" s="26">
        <v>5.6300000000000003E-2</v>
      </c>
      <c r="L13863" s="26">
        <v>0.1085</v>
      </c>
      <c r="M13863" s="26">
        <v>2.75E-2</v>
      </c>
      <c r="P13863" s="26">
        <v>5.1999999999999998E-3</v>
      </c>
      <c r="R13863" s="26">
        <v>5.1999999999999998E-3</v>
      </c>
      <c r="S13863">
        <v>33</v>
      </c>
    </row>
    <row r="13864" spans="1:19" x14ac:dyDescent="0.35">
      <c r="A13864" t="s">
        <v>230</v>
      </c>
      <c r="B13864" t="s">
        <v>253</v>
      </c>
      <c r="C13864" s="26">
        <v>0.26650000000000001</v>
      </c>
      <c r="D13864" s="26">
        <v>0.28749999999999998</v>
      </c>
      <c r="E13864" s="26">
        <v>0.2389</v>
      </c>
      <c r="F13864" s="26">
        <v>1.34E-2</v>
      </c>
      <c r="G13864" s="26">
        <v>0.1948</v>
      </c>
      <c r="H13864" s="26">
        <v>8.7900000000000006E-2</v>
      </c>
      <c r="I13864" s="26">
        <v>3.27E-2</v>
      </c>
      <c r="J13864" s="26">
        <v>2.23E-2</v>
      </c>
      <c r="K13864" s="26">
        <v>4.4999999999999997E-3</v>
      </c>
      <c r="L13864" s="26">
        <v>4.4999999999999997E-3</v>
      </c>
      <c r="M13864" s="26">
        <v>1.34E-2</v>
      </c>
      <c r="O13864" s="26">
        <v>8.7900000000000006E-2</v>
      </c>
      <c r="P13864" s="26">
        <v>8.8999999999999999E-3</v>
      </c>
      <c r="Q13864" s="26">
        <v>4.4999999999999997E-3</v>
      </c>
      <c r="R13864" s="26">
        <v>8.8999999999999999E-3</v>
      </c>
      <c r="S13864">
        <v>33</v>
      </c>
    </row>
    <row r="13865" spans="1:19" x14ac:dyDescent="0.35">
      <c r="A13865" t="s">
        <v>230</v>
      </c>
      <c r="B13865" t="s">
        <v>251</v>
      </c>
      <c r="C13865" s="26">
        <v>0.33800000000000002</v>
      </c>
      <c r="D13865" s="26">
        <v>0.20619999999999999</v>
      </c>
      <c r="E13865" s="26">
        <v>0.39200000000000002</v>
      </c>
      <c r="F13865" s="26">
        <v>0.12939999999999999</v>
      </c>
      <c r="G13865" s="26">
        <v>9.4600000000000004E-2</v>
      </c>
      <c r="H13865" s="26">
        <v>3.6799999999999999E-2</v>
      </c>
      <c r="I13865" s="26">
        <v>2.5899999999999999E-2</v>
      </c>
      <c r="J13865" s="26">
        <v>1.8499999999999999E-2</v>
      </c>
      <c r="K13865" s="26">
        <v>4.36E-2</v>
      </c>
      <c r="L13865" s="26">
        <v>0.1051</v>
      </c>
      <c r="M13865" s="26">
        <v>4.3499999999999997E-2</v>
      </c>
      <c r="N13865" s="26">
        <v>6.7999999999999996E-3</v>
      </c>
      <c r="O13865" s="26">
        <v>1.6000000000000001E-3</v>
      </c>
      <c r="P13865" s="26">
        <v>1.1599999999999999E-2</v>
      </c>
      <c r="R13865" s="26">
        <v>6.7999999999999996E-3</v>
      </c>
      <c r="S13865">
        <v>85</v>
      </c>
    </row>
    <row r="13866" spans="1:19" x14ac:dyDescent="0.35">
      <c r="A13866" s="27" t="s">
        <v>231</v>
      </c>
      <c r="B13866" s="27" t="s">
        <v>252</v>
      </c>
      <c r="C13866" s="28">
        <v>0.4</v>
      </c>
      <c r="D13866" s="28">
        <v>0.5</v>
      </c>
      <c r="E13866" s="28">
        <v>0.1</v>
      </c>
      <c r="F13866" s="29"/>
      <c r="G13866" s="29"/>
      <c r="H13866" s="29"/>
      <c r="I13866" s="29"/>
      <c r="J13866" s="29"/>
      <c r="K13866" s="29"/>
      <c r="L13866" s="29"/>
      <c r="M13866" s="29"/>
      <c r="N13866" s="29"/>
      <c r="O13866" s="29"/>
      <c r="P13866" s="29"/>
      <c r="Q13866" s="29"/>
      <c r="R13866" s="29"/>
      <c r="S13866" s="29" t="s">
        <v>307</v>
      </c>
    </row>
    <row r="13867" spans="1:19" x14ac:dyDescent="0.35">
      <c r="A13867" s="27" t="s">
        <v>231</v>
      </c>
      <c r="B13867" s="27" t="s">
        <v>253</v>
      </c>
      <c r="C13867" s="28">
        <v>0.25</v>
      </c>
      <c r="D13867" s="28">
        <v>0.5</v>
      </c>
      <c r="E13867" s="28">
        <v>0.25</v>
      </c>
      <c r="F13867" s="28">
        <v>0.25</v>
      </c>
      <c r="G13867" s="29"/>
      <c r="H13867" s="29"/>
      <c r="I13867" s="29"/>
      <c r="J13867" s="29"/>
      <c r="K13867" s="29"/>
      <c r="L13867" s="29"/>
      <c r="M13867" s="29"/>
      <c r="N13867" s="29"/>
      <c r="O13867" s="29"/>
      <c r="P13867" s="29"/>
      <c r="Q13867" s="29"/>
      <c r="R13867" s="29"/>
      <c r="S13867" s="29" t="s">
        <v>337</v>
      </c>
    </row>
    <row r="13868" spans="1:19" x14ac:dyDescent="0.35">
      <c r="A13868" s="27" t="s">
        <v>231</v>
      </c>
      <c r="B13868" s="27" t="s">
        <v>251</v>
      </c>
      <c r="C13868" s="28">
        <v>0.3</v>
      </c>
      <c r="D13868" s="28">
        <v>0.4</v>
      </c>
      <c r="E13868" s="28">
        <v>0.2</v>
      </c>
      <c r="F13868" s="28">
        <v>0.15</v>
      </c>
      <c r="G13868" s="28">
        <v>0.2</v>
      </c>
      <c r="H13868" s="29"/>
      <c r="I13868" s="29"/>
      <c r="J13868" s="29"/>
      <c r="K13868" s="29"/>
      <c r="L13868" s="29"/>
      <c r="M13868" s="29"/>
      <c r="N13868" s="29"/>
      <c r="O13868" s="29"/>
      <c r="P13868" s="29"/>
      <c r="Q13868" s="29"/>
      <c r="R13868" s="29"/>
      <c r="S13868" s="29" t="s">
        <v>350</v>
      </c>
    </row>
    <row r="13869" spans="1:19" x14ac:dyDescent="0.35">
      <c r="A13869" t="s">
        <v>232</v>
      </c>
      <c r="B13869" t="s">
        <v>232</v>
      </c>
      <c r="C13869" s="26">
        <v>0.38069999999999998</v>
      </c>
      <c r="D13869" s="26">
        <v>0.27139999999999997</v>
      </c>
      <c r="E13869" s="26">
        <v>0.22270000000000001</v>
      </c>
      <c r="F13869" s="26">
        <v>0.1215</v>
      </c>
      <c r="G13869" s="26">
        <v>7.4499999999999997E-2</v>
      </c>
      <c r="H13869" s="26">
        <v>3.0099999999999998E-2</v>
      </c>
      <c r="I13869" s="26">
        <v>2.8000000000000001E-2</v>
      </c>
      <c r="J13869" s="26">
        <v>2.5600000000000001E-2</v>
      </c>
      <c r="K13869" s="26">
        <v>2.2200000000000001E-2</v>
      </c>
      <c r="L13869" s="26">
        <v>1.77E-2</v>
      </c>
      <c r="M13869" s="26">
        <v>1.5100000000000001E-2</v>
      </c>
      <c r="N13869" s="26">
        <v>8.0999999999999996E-3</v>
      </c>
      <c r="O13869" s="26">
        <v>4.7999999999999996E-3</v>
      </c>
      <c r="P13869" s="26">
        <v>3.5999999999999999E-3</v>
      </c>
      <c r="Q13869" s="26">
        <v>2.0999999999999999E-3</v>
      </c>
      <c r="R13869" s="26">
        <v>2.0999999999999999E-3</v>
      </c>
      <c r="S13869">
        <v>820</v>
      </c>
    </row>
    <row r="13871" spans="1:19" x14ac:dyDescent="0.35">
      <c r="A13871" s="1" t="s">
        <v>1551</v>
      </c>
    </row>
    <row r="13872" spans="1:19" x14ac:dyDescent="0.35">
      <c r="A13872" t="s">
        <v>219</v>
      </c>
      <c r="B13872" t="s">
        <v>305</v>
      </c>
      <c r="C13872" t="s">
        <v>281</v>
      </c>
      <c r="D13872" t="s">
        <v>550</v>
      </c>
      <c r="E13872" t="s">
        <v>1533</v>
      </c>
      <c r="F13872" t="s">
        <v>1534</v>
      </c>
      <c r="G13872" t="s">
        <v>1535</v>
      </c>
      <c r="H13872" t="s">
        <v>326</v>
      </c>
      <c r="I13872" t="s">
        <v>1536</v>
      </c>
      <c r="J13872" t="s">
        <v>1537</v>
      </c>
      <c r="K13872" t="s">
        <v>1538</v>
      </c>
      <c r="L13872" t="s">
        <v>1539</v>
      </c>
      <c r="M13872" t="s">
        <v>1540</v>
      </c>
      <c r="N13872" t="s">
        <v>1541</v>
      </c>
      <c r="O13872" t="s">
        <v>286</v>
      </c>
      <c r="P13872" t="s">
        <v>1542</v>
      </c>
      <c r="Q13872" t="s">
        <v>1543</v>
      </c>
      <c r="R13872" t="s">
        <v>1544</v>
      </c>
      <c r="S13872" t="s">
        <v>226</v>
      </c>
    </row>
    <row r="13873" spans="1:19" x14ac:dyDescent="0.35">
      <c r="A13873" s="27" t="s">
        <v>227</v>
      </c>
      <c r="B13873" s="27" t="s">
        <v>249</v>
      </c>
      <c r="C13873" s="28">
        <v>0.15379999999999999</v>
      </c>
      <c r="D13873" s="28">
        <v>0.15379999999999999</v>
      </c>
      <c r="E13873" s="28">
        <v>0.3846</v>
      </c>
      <c r="F13873" s="28">
        <v>7.6899999999999996E-2</v>
      </c>
      <c r="G13873" s="28">
        <v>0.15379999999999999</v>
      </c>
      <c r="H13873" s="28">
        <v>0.23080000000000001</v>
      </c>
      <c r="I13873" s="29"/>
      <c r="J13873" s="29"/>
      <c r="K13873" s="28">
        <v>7.6899999999999996E-2</v>
      </c>
      <c r="L13873" s="29"/>
      <c r="M13873" s="29"/>
      <c r="N13873" s="28">
        <v>7.6899999999999996E-2</v>
      </c>
      <c r="O13873" s="29"/>
      <c r="P13873" s="29"/>
      <c r="Q13873" s="29"/>
      <c r="R13873" s="29"/>
      <c r="S13873" s="29" t="s">
        <v>341</v>
      </c>
    </row>
    <row r="13874" spans="1:19" x14ac:dyDescent="0.35">
      <c r="A13874" t="s">
        <v>227</v>
      </c>
      <c r="B13874" t="s">
        <v>248</v>
      </c>
      <c r="C13874" s="26">
        <v>0.53659999999999997</v>
      </c>
      <c r="D13874" s="26">
        <v>0.29270000000000002</v>
      </c>
      <c r="E13874" s="26">
        <v>9.7600000000000006E-2</v>
      </c>
      <c r="F13874" s="26">
        <v>9.7600000000000006E-2</v>
      </c>
      <c r="J13874" s="26">
        <v>2.4400000000000002E-2</v>
      </c>
      <c r="K13874" s="26">
        <v>2.4400000000000002E-2</v>
      </c>
      <c r="S13874">
        <v>41</v>
      </c>
    </row>
    <row r="13875" spans="1:19" x14ac:dyDescent="0.35">
      <c r="A13875" t="s">
        <v>228</v>
      </c>
      <c r="B13875" t="s">
        <v>249</v>
      </c>
      <c r="C13875" s="26">
        <v>0.41320000000000001</v>
      </c>
      <c r="D13875" s="26">
        <v>0.1245</v>
      </c>
      <c r="E13875" s="26">
        <v>0.30759999999999998</v>
      </c>
      <c r="F13875" s="26">
        <v>0.1145</v>
      </c>
      <c r="G13875" s="26">
        <v>0.1605</v>
      </c>
      <c r="I13875" s="26">
        <v>7.7100000000000002E-2</v>
      </c>
      <c r="J13875" s="26">
        <v>1.7899999999999999E-2</v>
      </c>
      <c r="K13875" s="26">
        <v>4.3400000000000001E-2</v>
      </c>
      <c r="L13875" s="26">
        <v>7.8700000000000006E-2</v>
      </c>
      <c r="M13875" s="26">
        <v>6.3E-2</v>
      </c>
      <c r="N13875" s="26">
        <v>7.1000000000000004E-3</v>
      </c>
      <c r="S13875">
        <v>65</v>
      </c>
    </row>
    <row r="13876" spans="1:19" x14ac:dyDescent="0.35">
      <c r="A13876" t="s">
        <v>228</v>
      </c>
      <c r="B13876" t="s">
        <v>248</v>
      </c>
      <c r="C13876" s="26">
        <v>0.47720000000000001</v>
      </c>
      <c r="D13876" s="26">
        <v>0.22189999999999999</v>
      </c>
      <c r="E13876" s="26">
        <v>0.1777</v>
      </c>
      <c r="F13876" s="26">
        <v>0.1009</v>
      </c>
      <c r="G13876" s="26">
        <v>4.07E-2</v>
      </c>
      <c r="H13876" s="26">
        <v>0.03</v>
      </c>
      <c r="I13876" s="26">
        <v>7.4800000000000005E-2</v>
      </c>
      <c r="J13876" s="26">
        <v>4.6399999999999997E-2</v>
      </c>
      <c r="K13876" s="26">
        <v>3.2300000000000002E-2</v>
      </c>
      <c r="L13876" s="26">
        <v>1.0699999999999999E-2</v>
      </c>
      <c r="M13876" s="26">
        <v>1.9599999999999999E-2</v>
      </c>
      <c r="N13876" s="26">
        <v>2.5999999999999999E-3</v>
      </c>
      <c r="O13876" s="26">
        <v>1E-3</v>
      </c>
      <c r="P13876" s="26">
        <v>1.03E-2</v>
      </c>
      <c r="Q13876" s="26">
        <v>8.3000000000000001E-3</v>
      </c>
      <c r="R13876" s="26">
        <v>6.0000000000000001E-3</v>
      </c>
      <c r="S13876">
        <v>245</v>
      </c>
    </row>
    <row r="13877" spans="1:19" x14ac:dyDescent="0.35">
      <c r="A13877" t="s">
        <v>229</v>
      </c>
      <c r="B13877" t="s">
        <v>249</v>
      </c>
      <c r="C13877" s="26">
        <v>0.2591</v>
      </c>
      <c r="D13877" s="26">
        <v>0.2384</v>
      </c>
      <c r="E13877" s="26">
        <v>0.30380000000000001</v>
      </c>
      <c r="F13877" s="26">
        <v>0.2</v>
      </c>
      <c r="G13877" s="26">
        <v>2.9700000000000001E-2</v>
      </c>
      <c r="H13877" s="26">
        <v>5.9400000000000001E-2</v>
      </c>
      <c r="I13877" s="26">
        <v>4.5199999999999997E-2</v>
      </c>
      <c r="J13877" s="26">
        <v>2.8299999999999999E-2</v>
      </c>
      <c r="K13877" s="26">
        <v>3.1099999999999999E-2</v>
      </c>
      <c r="M13877" s="26">
        <v>2.98E-2</v>
      </c>
      <c r="N13877" s="26">
        <v>2.6800000000000001E-2</v>
      </c>
      <c r="P13877" s="26">
        <v>1.4E-3</v>
      </c>
      <c r="Q13877" s="26">
        <v>1.4E-3</v>
      </c>
      <c r="S13877">
        <v>86</v>
      </c>
    </row>
    <row r="13878" spans="1:19" x14ac:dyDescent="0.35">
      <c r="A13878" t="s">
        <v>229</v>
      </c>
      <c r="B13878" t="s">
        <v>248</v>
      </c>
      <c r="C13878" s="26">
        <v>0.37719999999999998</v>
      </c>
      <c r="D13878" s="26">
        <v>0.23669999999999999</v>
      </c>
      <c r="E13878" s="26">
        <v>0.251</v>
      </c>
      <c r="F13878" s="26">
        <v>0.1376</v>
      </c>
      <c r="G13878" s="26">
        <v>7.6100000000000001E-2</v>
      </c>
      <c r="H13878" s="26">
        <v>1.4E-2</v>
      </c>
      <c r="I13878" s="26">
        <v>2.0299999999999999E-2</v>
      </c>
      <c r="J13878" s="26">
        <v>4.19E-2</v>
      </c>
      <c r="K13878" s="26">
        <v>4.5999999999999999E-3</v>
      </c>
      <c r="L13878" s="26">
        <v>1.9900000000000001E-2</v>
      </c>
      <c r="M13878" s="26">
        <v>9.7999999999999997E-3</v>
      </c>
      <c r="N13878" s="26">
        <v>2.8999999999999998E-3</v>
      </c>
      <c r="O13878" s="26">
        <v>1.4E-2</v>
      </c>
      <c r="P13878" s="26">
        <v>4.1000000000000003E-3</v>
      </c>
      <c r="Q13878" s="26">
        <v>2.5000000000000001E-3</v>
      </c>
      <c r="R13878" s="26">
        <v>2.5000000000000001E-3</v>
      </c>
      <c r="S13878">
        <v>185</v>
      </c>
    </row>
    <row r="13879" spans="1:19" x14ac:dyDescent="0.35">
      <c r="A13879" t="s">
        <v>230</v>
      </c>
      <c r="B13879" t="s">
        <v>249</v>
      </c>
      <c r="C13879" s="26">
        <v>0.1196</v>
      </c>
      <c r="D13879" s="26">
        <v>0.2928</v>
      </c>
      <c r="E13879" s="26">
        <v>0.50080000000000002</v>
      </c>
      <c r="F13879" s="26">
        <v>0.1434</v>
      </c>
      <c r="G13879" s="26">
        <v>0.18340000000000001</v>
      </c>
      <c r="I13879" s="26">
        <v>5.8500000000000003E-2</v>
      </c>
      <c r="J13879" s="26">
        <v>1.8100000000000002E-2</v>
      </c>
      <c r="K13879" s="26">
        <v>1.9300000000000001E-2</v>
      </c>
      <c r="L13879" s="26">
        <v>8.9399999999999993E-2</v>
      </c>
      <c r="N13879" s="26">
        <v>4.4999999999999997E-3</v>
      </c>
      <c r="O13879" s="26">
        <v>4.4999999999999997E-3</v>
      </c>
      <c r="P13879" s="26">
        <v>4.4999999999999997E-3</v>
      </c>
      <c r="S13879">
        <v>39</v>
      </c>
    </row>
    <row r="13880" spans="1:19" x14ac:dyDescent="0.35">
      <c r="A13880" t="s">
        <v>230</v>
      </c>
      <c r="B13880" t="s">
        <v>248</v>
      </c>
      <c r="C13880" s="26">
        <v>0.41189999999999999</v>
      </c>
      <c r="D13880" s="26">
        <v>0.20250000000000001</v>
      </c>
      <c r="E13880" s="26">
        <v>0.2427</v>
      </c>
      <c r="F13880" s="26">
        <v>7.9600000000000004E-2</v>
      </c>
      <c r="G13880" s="26">
        <v>0.1013</v>
      </c>
      <c r="H13880" s="26">
        <v>7.6200000000000004E-2</v>
      </c>
      <c r="I13880" s="26">
        <v>1.4200000000000001E-2</v>
      </c>
      <c r="J13880" s="26">
        <v>2.29E-2</v>
      </c>
      <c r="K13880" s="26">
        <v>4.24E-2</v>
      </c>
      <c r="L13880" s="26">
        <v>8.2600000000000007E-2</v>
      </c>
      <c r="M13880" s="26">
        <v>4.3200000000000002E-2</v>
      </c>
      <c r="N13880" s="26">
        <v>4.0000000000000001E-3</v>
      </c>
      <c r="O13880" s="26">
        <v>2.4E-2</v>
      </c>
      <c r="P13880" s="26">
        <v>1.1299999999999999E-2</v>
      </c>
      <c r="Q13880" s="26">
        <v>1.1999999999999999E-3</v>
      </c>
      <c r="R13880" s="26">
        <v>8.8000000000000005E-3</v>
      </c>
      <c r="S13880">
        <v>112</v>
      </c>
    </row>
    <row r="13881" spans="1:19" x14ac:dyDescent="0.35">
      <c r="A13881" s="27" t="s">
        <v>231</v>
      </c>
      <c r="B13881" s="27" t="s">
        <v>249</v>
      </c>
      <c r="C13881" s="28">
        <v>0.33329999999999999</v>
      </c>
      <c r="D13881" s="28">
        <v>0.44440000000000002</v>
      </c>
      <c r="E13881" s="28">
        <v>0.22220000000000001</v>
      </c>
      <c r="F13881" s="28">
        <v>0.1111</v>
      </c>
      <c r="G13881" s="28">
        <v>0.1111</v>
      </c>
      <c r="H13881" s="29"/>
      <c r="I13881" s="29"/>
      <c r="J13881" s="29"/>
      <c r="K13881" s="29"/>
      <c r="L13881" s="29"/>
      <c r="M13881" s="29"/>
      <c r="N13881" s="29"/>
      <c r="O13881" s="29"/>
      <c r="P13881" s="29"/>
      <c r="Q13881" s="29"/>
      <c r="R13881" s="29"/>
      <c r="S13881" s="29" t="s">
        <v>334</v>
      </c>
    </row>
    <row r="13882" spans="1:19" x14ac:dyDescent="0.35">
      <c r="A13882" s="27" t="s">
        <v>231</v>
      </c>
      <c r="B13882" s="27" t="s">
        <v>248</v>
      </c>
      <c r="C13882" s="28">
        <v>0.32</v>
      </c>
      <c r="D13882" s="28">
        <v>0.44</v>
      </c>
      <c r="E13882" s="28">
        <v>0.16</v>
      </c>
      <c r="F13882" s="28">
        <v>0.12</v>
      </c>
      <c r="G13882" s="28">
        <v>0.12</v>
      </c>
      <c r="H13882" s="29"/>
      <c r="I13882" s="29"/>
      <c r="J13882" s="29"/>
      <c r="K13882" s="29"/>
      <c r="L13882" s="29"/>
      <c r="M13882" s="29"/>
      <c r="N13882" s="29"/>
      <c r="O13882" s="29"/>
      <c r="P13882" s="29"/>
      <c r="Q13882" s="29"/>
      <c r="R13882" s="29"/>
      <c r="S13882" s="29" t="s">
        <v>312</v>
      </c>
    </row>
    <row r="13883" spans="1:19" x14ac:dyDescent="0.35">
      <c r="A13883" t="s">
        <v>232</v>
      </c>
      <c r="B13883" t="s">
        <v>232</v>
      </c>
      <c r="C13883" s="26">
        <v>0.38069999999999998</v>
      </c>
      <c r="D13883" s="26">
        <v>0.27139999999999997</v>
      </c>
      <c r="E13883" s="26">
        <v>0.22270000000000001</v>
      </c>
      <c r="F13883" s="26">
        <v>0.1215</v>
      </c>
      <c r="G13883" s="26">
        <v>7.4499999999999997E-2</v>
      </c>
      <c r="H13883" s="26">
        <v>3.0099999999999998E-2</v>
      </c>
      <c r="I13883" s="26">
        <v>2.8000000000000001E-2</v>
      </c>
      <c r="J13883" s="26">
        <v>2.5600000000000001E-2</v>
      </c>
      <c r="K13883" s="26">
        <v>2.2200000000000001E-2</v>
      </c>
      <c r="L13883" s="26">
        <v>1.77E-2</v>
      </c>
      <c r="M13883" s="26">
        <v>1.5100000000000001E-2</v>
      </c>
      <c r="N13883" s="26">
        <v>8.0999999999999996E-3</v>
      </c>
      <c r="O13883" s="26">
        <v>4.7999999999999996E-3</v>
      </c>
      <c r="P13883" s="26">
        <v>3.5999999999999999E-3</v>
      </c>
      <c r="Q13883" s="26">
        <v>2.0999999999999999E-3</v>
      </c>
      <c r="R13883" s="26">
        <v>2.0999999999999999E-3</v>
      </c>
      <c r="S13883">
        <v>820</v>
      </c>
    </row>
    <row r="13885" spans="1:19" x14ac:dyDescent="0.35">
      <c r="A13885" s="1" t="s">
        <v>1552</v>
      </c>
    </row>
    <row r="13886" spans="1:19" x14ac:dyDescent="0.35">
      <c r="A13886" t="s">
        <v>219</v>
      </c>
      <c r="B13886" t="s">
        <v>305</v>
      </c>
      <c r="C13886" t="s">
        <v>281</v>
      </c>
      <c r="D13886" t="s">
        <v>550</v>
      </c>
      <c r="E13886" t="s">
        <v>1533</v>
      </c>
      <c r="F13886" t="s">
        <v>1534</v>
      </c>
      <c r="G13886" t="s">
        <v>1535</v>
      </c>
      <c r="H13886" t="s">
        <v>326</v>
      </c>
      <c r="I13886" t="s">
        <v>1536</v>
      </c>
      <c r="J13886" t="s">
        <v>1537</v>
      </c>
      <c r="K13886" t="s">
        <v>1538</v>
      </c>
      <c r="L13886" t="s">
        <v>1539</v>
      </c>
      <c r="M13886" t="s">
        <v>1540</v>
      </c>
      <c r="N13886" t="s">
        <v>1541</v>
      </c>
      <c r="O13886" t="s">
        <v>286</v>
      </c>
      <c r="P13886" t="s">
        <v>1542</v>
      </c>
      <c r="Q13886" t="s">
        <v>1543</v>
      </c>
      <c r="R13886" t="s">
        <v>1544</v>
      </c>
      <c r="S13886" t="s">
        <v>226</v>
      </c>
    </row>
    <row r="13887" spans="1:19" x14ac:dyDescent="0.35">
      <c r="A13887" s="27" t="s">
        <v>227</v>
      </c>
      <c r="B13887" s="27" t="s">
        <v>263</v>
      </c>
      <c r="C13887" s="29"/>
      <c r="D13887" s="28">
        <v>1</v>
      </c>
      <c r="E13887" s="29"/>
      <c r="F13887" s="29"/>
      <c r="G13887" s="29"/>
      <c r="H13887" s="29"/>
      <c r="I13887" s="29"/>
      <c r="J13887" s="29"/>
      <c r="K13887" s="29"/>
      <c r="L13887" s="29"/>
      <c r="M13887" s="29"/>
      <c r="N13887" s="29"/>
      <c r="O13887" s="29"/>
      <c r="P13887" s="29"/>
      <c r="Q13887" s="29"/>
      <c r="R13887" s="29"/>
      <c r="S13887" s="29" t="s">
        <v>331</v>
      </c>
    </row>
    <row r="13888" spans="1:19" x14ac:dyDescent="0.35">
      <c r="A13888" s="27" t="s">
        <v>227</v>
      </c>
      <c r="B13888" s="27" t="s">
        <v>262</v>
      </c>
      <c r="C13888" s="29"/>
      <c r="D13888" s="29"/>
      <c r="E13888" s="28">
        <v>0.5</v>
      </c>
      <c r="F13888" s="29"/>
      <c r="G13888" s="28">
        <v>0.5</v>
      </c>
      <c r="H13888" s="29"/>
      <c r="I13888" s="29"/>
      <c r="J13888" s="29"/>
      <c r="K13888" s="28">
        <v>0.5</v>
      </c>
      <c r="L13888" s="29"/>
      <c r="M13888" s="29"/>
      <c r="N13888" s="29"/>
      <c r="O13888" s="29"/>
      <c r="P13888" s="29"/>
      <c r="Q13888" s="29"/>
      <c r="R13888" s="29"/>
      <c r="S13888" s="29" t="s">
        <v>314</v>
      </c>
    </row>
    <row r="13889" spans="1:19" x14ac:dyDescent="0.35">
      <c r="A13889" s="27" t="s">
        <v>227</v>
      </c>
      <c r="B13889" s="27" t="s">
        <v>261</v>
      </c>
      <c r="C13889" s="28">
        <v>0.5</v>
      </c>
      <c r="D13889" s="28">
        <v>0.3</v>
      </c>
      <c r="E13889" s="29"/>
      <c r="F13889" s="29"/>
      <c r="G13889" s="29"/>
      <c r="H13889" s="29"/>
      <c r="I13889" s="29"/>
      <c r="J13889" s="29"/>
      <c r="K13889" s="28">
        <v>0.1</v>
      </c>
      <c r="L13889" s="29"/>
      <c r="M13889" s="29"/>
      <c r="N13889" s="28">
        <v>0.1</v>
      </c>
      <c r="O13889" s="29"/>
      <c r="P13889" s="29"/>
      <c r="Q13889" s="29"/>
      <c r="R13889" s="29"/>
      <c r="S13889" s="29" t="s">
        <v>307</v>
      </c>
    </row>
    <row r="13890" spans="1:19" x14ac:dyDescent="0.35">
      <c r="A13890" t="s">
        <v>227</v>
      </c>
      <c r="B13890" t="s">
        <v>260</v>
      </c>
      <c r="C13890" s="26">
        <v>0.46339999999999998</v>
      </c>
      <c r="D13890" s="26">
        <v>0.24390000000000001</v>
      </c>
      <c r="E13890" s="26">
        <v>0.1951</v>
      </c>
      <c r="F13890" s="26">
        <v>0.122</v>
      </c>
      <c r="G13890" s="26">
        <v>2.4400000000000002E-2</v>
      </c>
      <c r="H13890" s="26">
        <v>7.3200000000000001E-2</v>
      </c>
      <c r="J13890" s="26">
        <v>2.4400000000000002E-2</v>
      </c>
      <c r="S13890">
        <v>41</v>
      </c>
    </row>
    <row r="13891" spans="1:19" x14ac:dyDescent="0.35">
      <c r="A13891" s="27" t="s">
        <v>228</v>
      </c>
      <c r="B13891" s="27" t="s">
        <v>263</v>
      </c>
      <c r="C13891" s="28">
        <v>0.1867</v>
      </c>
      <c r="D13891" s="28">
        <v>0.50360000000000005</v>
      </c>
      <c r="E13891" s="29"/>
      <c r="F13891" s="28">
        <v>0.1867</v>
      </c>
      <c r="G13891" s="29"/>
      <c r="H13891" s="28">
        <v>0.1867</v>
      </c>
      <c r="I13891" s="28">
        <v>0.123</v>
      </c>
      <c r="J13891" s="28">
        <v>0.123</v>
      </c>
      <c r="K13891" s="29"/>
      <c r="L13891" s="29"/>
      <c r="M13891" s="29"/>
      <c r="N13891" s="29"/>
      <c r="O13891" s="29"/>
      <c r="P13891" s="29"/>
      <c r="Q13891" s="29"/>
      <c r="R13891" s="29"/>
      <c r="S13891" s="29" t="s">
        <v>335</v>
      </c>
    </row>
    <row r="13892" spans="1:19" x14ac:dyDescent="0.35">
      <c r="A13892" t="s">
        <v>228</v>
      </c>
      <c r="B13892" t="s">
        <v>261</v>
      </c>
      <c r="C13892" s="26">
        <v>0.60599999999999998</v>
      </c>
      <c r="D13892" s="26">
        <v>0.1265</v>
      </c>
      <c r="E13892" s="26">
        <v>0.14560000000000001</v>
      </c>
      <c r="F13892" s="26">
        <v>7.7499999999999999E-2</v>
      </c>
      <c r="G13892" s="26">
        <v>0.12659999999999999</v>
      </c>
      <c r="I13892" s="26">
        <v>0.13320000000000001</v>
      </c>
      <c r="J13892" s="26">
        <v>6.8599999999999994E-2</v>
      </c>
      <c r="K13892" s="26">
        <v>1.23E-2</v>
      </c>
      <c r="L13892" s="26">
        <v>1.5599999999999999E-2</v>
      </c>
      <c r="M13892" s="26">
        <v>7.3800000000000004E-2</v>
      </c>
      <c r="N13892" s="26">
        <v>1.23E-2</v>
      </c>
      <c r="P13892" s="26">
        <v>1.23E-2</v>
      </c>
      <c r="Q13892" s="26">
        <v>1.23E-2</v>
      </c>
      <c r="R13892" s="26">
        <v>7.7999999999999996E-3</v>
      </c>
      <c r="S13892">
        <v>49</v>
      </c>
    </row>
    <row r="13893" spans="1:19" x14ac:dyDescent="0.35">
      <c r="A13893" t="s">
        <v>228</v>
      </c>
      <c r="B13893" t="s">
        <v>262</v>
      </c>
      <c r="C13893" s="26">
        <v>0.2863</v>
      </c>
      <c r="D13893" s="26">
        <v>0.18190000000000001</v>
      </c>
      <c r="E13893" s="26">
        <v>0.22470000000000001</v>
      </c>
      <c r="F13893" s="26">
        <v>0.2283</v>
      </c>
      <c r="G13893" s="26">
        <v>0.12989999999999999</v>
      </c>
      <c r="H13893" s="26">
        <v>5.0299999999999997E-2</v>
      </c>
      <c r="I13893" s="26">
        <v>0.10680000000000001</v>
      </c>
      <c r="J13893" s="26">
        <v>9.3799999999999994E-2</v>
      </c>
      <c r="K13893" s="26">
        <v>6.3500000000000001E-2</v>
      </c>
      <c r="L13893" s="26">
        <v>0.08</v>
      </c>
      <c r="M13893" s="26">
        <v>4.0500000000000001E-2</v>
      </c>
      <c r="Q13893" s="26">
        <v>1.77E-2</v>
      </c>
      <c r="S13893">
        <v>75</v>
      </c>
    </row>
    <row r="13894" spans="1:19" x14ac:dyDescent="0.35">
      <c r="A13894" t="s">
        <v>228</v>
      </c>
      <c r="B13894" t="s">
        <v>260</v>
      </c>
      <c r="C13894" s="26">
        <v>0.48870000000000002</v>
      </c>
      <c r="D13894" s="26">
        <v>0.21410000000000001</v>
      </c>
      <c r="E13894" s="26">
        <v>0.2253</v>
      </c>
      <c r="F13894" s="26">
        <v>6.9199999999999998E-2</v>
      </c>
      <c r="G13894" s="26">
        <v>3.56E-2</v>
      </c>
      <c r="H13894" s="26">
        <v>1.6500000000000001E-2</v>
      </c>
      <c r="I13894" s="26">
        <v>4.9099999999999998E-2</v>
      </c>
      <c r="J13894" s="26">
        <v>1.2699999999999999E-2</v>
      </c>
      <c r="K13894" s="26">
        <v>3.2399999999999998E-2</v>
      </c>
      <c r="L13894" s="26">
        <v>1.2800000000000001E-2</v>
      </c>
      <c r="M13894" s="26">
        <v>1.55E-2</v>
      </c>
      <c r="N13894" s="26">
        <v>2.7000000000000001E-3</v>
      </c>
      <c r="O13894" s="26">
        <v>1.1999999999999999E-3</v>
      </c>
      <c r="P13894" s="26">
        <v>9.4999999999999998E-3</v>
      </c>
      <c r="Q13894" s="26">
        <v>1.1999999999999999E-3</v>
      </c>
      <c r="R13894" s="26">
        <v>5.3E-3</v>
      </c>
      <c r="S13894">
        <v>178</v>
      </c>
    </row>
    <row r="13895" spans="1:19" x14ac:dyDescent="0.35">
      <c r="A13895" s="27" t="s">
        <v>228</v>
      </c>
      <c r="B13895" s="27" t="s">
        <v>236</v>
      </c>
      <c r="C13895" s="28">
        <v>0.33210000000000001</v>
      </c>
      <c r="D13895" s="28">
        <v>0.66790000000000005</v>
      </c>
      <c r="E13895" s="29"/>
      <c r="F13895" s="29"/>
      <c r="G13895" s="29"/>
      <c r="H13895" s="29"/>
      <c r="I13895" s="29"/>
      <c r="J13895" s="29"/>
      <c r="K13895" s="29"/>
      <c r="L13895" s="29"/>
      <c r="M13895" s="29"/>
      <c r="N13895" s="29"/>
      <c r="O13895" s="29"/>
      <c r="P13895" s="29"/>
      <c r="Q13895" s="29"/>
      <c r="R13895" s="29"/>
      <c r="S13895" s="29" t="s">
        <v>314</v>
      </c>
    </row>
    <row r="13896" spans="1:19" x14ac:dyDescent="0.35">
      <c r="A13896" t="s">
        <v>229</v>
      </c>
      <c r="B13896" t="s">
        <v>260</v>
      </c>
      <c r="C13896" s="26">
        <v>0.42459999999999998</v>
      </c>
      <c r="D13896" s="26">
        <v>0.22109999999999999</v>
      </c>
      <c r="E13896" s="26">
        <v>0.1885</v>
      </c>
      <c r="F13896" s="26">
        <v>0.121</v>
      </c>
      <c r="G13896" s="26">
        <v>6.6000000000000003E-2</v>
      </c>
      <c r="H13896" s="26">
        <v>4.9299999999999997E-2</v>
      </c>
      <c r="I13896" s="26">
        <v>1.17E-2</v>
      </c>
      <c r="J13896" s="26">
        <v>3.4599999999999999E-2</v>
      </c>
      <c r="K13896" s="26">
        <v>1.0699999999999999E-2</v>
      </c>
      <c r="L13896" s="26">
        <v>6.3E-3</v>
      </c>
      <c r="M13896" s="26">
        <v>1.12E-2</v>
      </c>
      <c r="N13896" s="26">
        <v>5.1000000000000004E-3</v>
      </c>
      <c r="O13896" s="26">
        <v>1.6799999999999999E-2</v>
      </c>
      <c r="P13896" s="26">
        <v>6.7000000000000002E-3</v>
      </c>
      <c r="Q13896" s="26">
        <v>4.4999999999999997E-3</v>
      </c>
      <c r="R13896" s="26">
        <v>3.3E-3</v>
      </c>
      <c r="S13896">
        <v>168</v>
      </c>
    </row>
    <row r="13897" spans="1:19" x14ac:dyDescent="0.35">
      <c r="A13897" t="s">
        <v>229</v>
      </c>
      <c r="B13897" t="s">
        <v>261</v>
      </c>
      <c r="C13897" s="26">
        <v>0.3538</v>
      </c>
      <c r="D13897" s="26">
        <v>0.18379999999999999</v>
      </c>
      <c r="E13897" s="26">
        <v>0.34410000000000002</v>
      </c>
      <c r="F13897" s="26">
        <v>0.10290000000000001</v>
      </c>
      <c r="G13897" s="26">
        <v>0.12139999999999999</v>
      </c>
      <c r="I13897" s="26">
        <v>6.54E-2</v>
      </c>
      <c r="J13897" s="26">
        <v>6.54E-2</v>
      </c>
      <c r="K13897" s="26">
        <v>5.2900000000000003E-2</v>
      </c>
      <c r="L13897" s="26">
        <v>5.6000000000000001E-2</v>
      </c>
      <c r="M13897" s="26">
        <v>5.2900000000000003E-2</v>
      </c>
      <c r="S13897">
        <v>32</v>
      </c>
    </row>
    <row r="13898" spans="1:19" x14ac:dyDescent="0.35">
      <c r="A13898" t="s">
        <v>229</v>
      </c>
      <c r="B13898" t="s">
        <v>262</v>
      </c>
      <c r="C13898" s="26">
        <v>0.22339999999999999</v>
      </c>
      <c r="D13898" s="26">
        <v>0.24299999999999999</v>
      </c>
      <c r="E13898" s="26">
        <v>0.36180000000000001</v>
      </c>
      <c r="F13898" s="26">
        <v>0.25140000000000001</v>
      </c>
      <c r="G13898" s="26">
        <v>2.3400000000000001E-2</v>
      </c>
      <c r="H13898" s="26">
        <v>2.2499999999999999E-2</v>
      </c>
      <c r="I13898" s="26">
        <v>3.1699999999999999E-2</v>
      </c>
      <c r="J13898" s="26">
        <v>2.86E-2</v>
      </c>
      <c r="K13898" s="26">
        <v>1.5E-3</v>
      </c>
      <c r="L13898" s="26">
        <v>8.9999999999999998E-4</v>
      </c>
      <c r="M13898" s="26">
        <v>8.9999999999999993E-3</v>
      </c>
      <c r="N13898" s="26">
        <v>2.7E-2</v>
      </c>
      <c r="O13898" s="26">
        <v>3.0000000000000001E-3</v>
      </c>
      <c r="S13898">
        <v>67</v>
      </c>
    </row>
    <row r="13899" spans="1:19" x14ac:dyDescent="0.35">
      <c r="A13899" s="27" t="s">
        <v>229</v>
      </c>
      <c r="B13899" s="27" t="s">
        <v>263</v>
      </c>
      <c r="C13899" s="29"/>
      <c r="D13899" s="28">
        <v>0.90459999999999996</v>
      </c>
      <c r="E13899" s="29"/>
      <c r="F13899" s="29"/>
      <c r="G13899" s="29"/>
      <c r="H13899" s="29"/>
      <c r="I13899" s="28">
        <v>9.5399999999999999E-2</v>
      </c>
      <c r="J13899" s="29"/>
      <c r="K13899" s="29"/>
      <c r="L13899" s="29"/>
      <c r="M13899" s="29"/>
      <c r="N13899" s="29"/>
      <c r="O13899" s="29"/>
      <c r="P13899" s="29"/>
      <c r="Q13899" s="29"/>
      <c r="R13899" s="29"/>
      <c r="S13899" s="29" t="s">
        <v>337</v>
      </c>
    </row>
    <row r="13900" spans="1:19" x14ac:dyDescent="0.35">
      <c r="A13900" s="27" t="s">
        <v>230</v>
      </c>
      <c r="B13900" s="27" t="s">
        <v>261</v>
      </c>
      <c r="C13900" s="28">
        <v>0.28060000000000002</v>
      </c>
      <c r="D13900" s="28">
        <v>0.1196</v>
      </c>
      <c r="E13900" s="28">
        <v>0.55930000000000002</v>
      </c>
      <c r="F13900" s="28">
        <v>4.0500000000000001E-2</v>
      </c>
      <c r="G13900" s="28">
        <v>3.9600000000000003E-2</v>
      </c>
      <c r="H13900" s="29"/>
      <c r="I13900" s="29"/>
      <c r="J13900" s="29"/>
      <c r="K13900" s="29"/>
      <c r="L13900" s="28">
        <v>0.24010000000000001</v>
      </c>
      <c r="M13900" s="29"/>
      <c r="N13900" s="29"/>
      <c r="O13900" s="29"/>
      <c r="P13900" s="29"/>
      <c r="Q13900" s="29"/>
      <c r="R13900" s="29"/>
      <c r="S13900" s="29" t="s">
        <v>307</v>
      </c>
    </row>
    <row r="13901" spans="1:19" x14ac:dyDescent="0.35">
      <c r="A13901" t="s">
        <v>230</v>
      </c>
      <c r="B13901" t="s">
        <v>260</v>
      </c>
      <c r="C13901" s="26">
        <v>0.3926</v>
      </c>
      <c r="D13901" s="26">
        <v>0.2351</v>
      </c>
      <c r="E13901" s="26">
        <v>0.25430000000000003</v>
      </c>
      <c r="F13901" s="26">
        <v>6.1400000000000003E-2</v>
      </c>
      <c r="G13901" s="26">
        <v>8.2100000000000006E-2</v>
      </c>
      <c r="H13901" s="26">
        <v>5.74E-2</v>
      </c>
      <c r="I13901" s="26">
        <v>1.7299999999999999E-2</v>
      </c>
      <c r="J13901" s="26">
        <v>1.38E-2</v>
      </c>
      <c r="K13901" s="26">
        <v>1.44E-2</v>
      </c>
      <c r="L13901" s="26">
        <v>3.6700000000000003E-2</v>
      </c>
      <c r="M13901" s="26">
        <v>1.7100000000000001E-2</v>
      </c>
      <c r="O13901" s="26">
        <v>2.7799999999999998E-2</v>
      </c>
      <c r="P13901" s="26">
        <v>5.4000000000000003E-3</v>
      </c>
      <c r="Q13901" s="26">
        <v>1.2999999999999999E-3</v>
      </c>
      <c r="R13901" s="26">
        <v>4.0000000000000001E-3</v>
      </c>
      <c r="S13901">
        <v>94</v>
      </c>
    </row>
    <row r="13902" spans="1:19" x14ac:dyDescent="0.35">
      <c r="A13902" s="27" t="s">
        <v>230</v>
      </c>
      <c r="B13902" s="27" t="s">
        <v>263</v>
      </c>
      <c r="C13902" s="28">
        <v>0.28510000000000002</v>
      </c>
      <c r="D13902" s="28">
        <v>0.22320000000000001</v>
      </c>
      <c r="E13902" s="28">
        <v>6.7100000000000007E-2</v>
      </c>
      <c r="F13902" s="28">
        <v>6.7100000000000007E-2</v>
      </c>
      <c r="G13902" s="29"/>
      <c r="H13902" s="29"/>
      <c r="I13902" s="28">
        <v>0.13420000000000001</v>
      </c>
      <c r="J13902" s="28">
        <v>0.42449999999999999</v>
      </c>
      <c r="K13902" s="29"/>
      <c r="L13902" s="28">
        <v>6.7100000000000007E-2</v>
      </c>
      <c r="M13902" s="28">
        <v>0.13420000000000001</v>
      </c>
      <c r="N13902" s="29"/>
      <c r="O13902" s="29"/>
      <c r="P13902" s="28">
        <v>6.7100000000000007E-2</v>
      </c>
      <c r="Q13902" s="29"/>
      <c r="R13902" s="28">
        <v>6.7100000000000007E-2</v>
      </c>
      <c r="S13902" s="29" t="s">
        <v>333</v>
      </c>
    </row>
    <row r="13903" spans="1:19" x14ac:dyDescent="0.35">
      <c r="A13903" s="27" t="s">
        <v>230</v>
      </c>
      <c r="B13903" s="27" t="s">
        <v>236</v>
      </c>
      <c r="C13903" s="28">
        <v>1</v>
      </c>
      <c r="D13903" s="29"/>
      <c r="E13903" s="29"/>
      <c r="F13903" s="29"/>
      <c r="G13903" s="29"/>
      <c r="H13903" s="29"/>
      <c r="I13903" s="29"/>
      <c r="J13903" s="29"/>
      <c r="K13903" s="29"/>
      <c r="L13903" s="29"/>
      <c r="M13903" s="29"/>
      <c r="N13903" s="29"/>
      <c r="O13903" s="29"/>
      <c r="P13903" s="29"/>
      <c r="Q13903" s="29"/>
      <c r="R13903" s="29"/>
      <c r="S13903" s="29" t="s">
        <v>314</v>
      </c>
    </row>
    <row r="13904" spans="1:19" x14ac:dyDescent="0.35">
      <c r="A13904" t="s">
        <v>230</v>
      </c>
      <c r="B13904" t="s">
        <v>262</v>
      </c>
      <c r="C13904" s="26">
        <v>0.20699999999999999</v>
      </c>
      <c r="D13904" s="26">
        <v>0.2177</v>
      </c>
      <c r="E13904" s="26">
        <v>0.376</v>
      </c>
      <c r="F13904" s="26">
        <v>0.2407</v>
      </c>
      <c r="G13904" s="26">
        <v>0.3034</v>
      </c>
      <c r="H13904" s="26">
        <v>0.1011</v>
      </c>
      <c r="I13904" s="26">
        <v>4.9500000000000002E-2</v>
      </c>
      <c r="J13904" s="26">
        <v>3.2000000000000001E-2</v>
      </c>
      <c r="K13904" s="26">
        <v>0.14510000000000001</v>
      </c>
      <c r="L13904" s="26">
        <v>0.20230000000000001</v>
      </c>
      <c r="M13904" s="26">
        <v>0.10630000000000001</v>
      </c>
      <c r="N13904" s="26">
        <v>2.18E-2</v>
      </c>
      <c r="P13904" s="26">
        <v>2.69E-2</v>
      </c>
      <c r="R13904" s="26">
        <v>1.67E-2</v>
      </c>
      <c r="S13904">
        <v>37</v>
      </c>
    </row>
    <row r="13905" spans="1:19" x14ac:dyDescent="0.35">
      <c r="A13905" s="27" t="s">
        <v>231</v>
      </c>
      <c r="B13905" s="27" t="s">
        <v>261</v>
      </c>
      <c r="C13905" s="29"/>
      <c r="D13905" s="28">
        <v>1</v>
      </c>
      <c r="E13905" s="29"/>
      <c r="F13905" s="29"/>
      <c r="G13905" s="29"/>
      <c r="H13905" s="29"/>
      <c r="I13905" s="29"/>
      <c r="J13905" s="29"/>
      <c r="K13905" s="29"/>
      <c r="L13905" s="29"/>
      <c r="M13905" s="29"/>
      <c r="N13905" s="29"/>
      <c r="O13905" s="29"/>
      <c r="P13905" s="29"/>
      <c r="Q13905" s="29"/>
      <c r="R13905" s="29"/>
      <c r="S13905" s="29" t="s">
        <v>315</v>
      </c>
    </row>
    <row r="13906" spans="1:19" x14ac:dyDescent="0.35">
      <c r="A13906" t="s">
        <v>231</v>
      </c>
      <c r="B13906" t="s">
        <v>260</v>
      </c>
      <c r="C13906" s="26">
        <v>0.36670000000000003</v>
      </c>
      <c r="D13906" s="26">
        <v>0.36670000000000003</v>
      </c>
      <c r="E13906" s="26">
        <v>0.2</v>
      </c>
      <c r="F13906" s="26">
        <v>0.1333</v>
      </c>
      <c r="G13906" s="26">
        <v>0.1333</v>
      </c>
      <c r="S13906">
        <v>30</v>
      </c>
    </row>
    <row r="13907" spans="1:19" x14ac:dyDescent="0.35">
      <c r="A13907" s="27" t="s">
        <v>231</v>
      </c>
      <c r="B13907" s="27" t="s">
        <v>262</v>
      </c>
      <c r="C13907" s="29"/>
      <c r="D13907" s="28">
        <v>1</v>
      </c>
      <c r="E13907" s="29"/>
      <c r="F13907" s="29"/>
      <c r="G13907" s="29"/>
      <c r="H13907" s="29"/>
      <c r="I13907" s="29"/>
      <c r="J13907" s="29"/>
      <c r="K13907" s="29"/>
      <c r="L13907" s="29"/>
      <c r="M13907" s="29"/>
      <c r="N13907" s="29"/>
      <c r="O13907" s="29"/>
      <c r="P13907" s="29"/>
      <c r="Q13907" s="29"/>
      <c r="R13907" s="29"/>
      <c r="S13907" s="29" t="s">
        <v>331</v>
      </c>
    </row>
    <row r="13908" spans="1:19" x14ac:dyDescent="0.35">
      <c r="A13908" t="s">
        <v>232</v>
      </c>
      <c r="B13908" t="s">
        <v>232</v>
      </c>
      <c r="C13908" s="26">
        <v>0.38069999999999998</v>
      </c>
      <c r="D13908" s="26">
        <v>0.27139999999999997</v>
      </c>
      <c r="E13908" s="26">
        <v>0.22270000000000001</v>
      </c>
      <c r="F13908" s="26">
        <v>0.1215</v>
      </c>
      <c r="G13908" s="26">
        <v>7.4499999999999997E-2</v>
      </c>
      <c r="H13908" s="26">
        <v>3.0099999999999998E-2</v>
      </c>
      <c r="I13908" s="26">
        <v>2.8000000000000001E-2</v>
      </c>
      <c r="J13908" s="26">
        <v>2.5600000000000001E-2</v>
      </c>
      <c r="K13908" s="26">
        <v>2.2200000000000001E-2</v>
      </c>
      <c r="L13908" s="26">
        <v>1.77E-2</v>
      </c>
      <c r="M13908" s="26">
        <v>1.5100000000000001E-2</v>
      </c>
      <c r="N13908" s="26">
        <v>8.0999999999999996E-3</v>
      </c>
      <c r="O13908" s="26">
        <v>4.7999999999999996E-3</v>
      </c>
      <c r="P13908" s="26">
        <v>3.5999999999999999E-3</v>
      </c>
      <c r="Q13908" s="26">
        <v>2.0999999999999999E-3</v>
      </c>
      <c r="R13908" s="26">
        <v>2.0999999999999999E-3</v>
      </c>
      <c r="S13908">
        <v>820</v>
      </c>
    </row>
    <row r="13910" spans="1:19" x14ac:dyDescent="0.35">
      <c r="A13910" s="1" t="s">
        <v>1553</v>
      </c>
    </row>
    <row r="13911" spans="1:19" x14ac:dyDescent="0.35">
      <c r="A13911" t="s">
        <v>219</v>
      </c>
      <c r="B13911" t="s">
        <v>305</v>
      </c>
      <c r="C13911" t="s">
        <v>281</v>
      </c>
      <c r="D13911" t="s">
        <v>550</v>
      </c>
      <c r="E13911" t="s">
        <v>1533</v>
      </c>
      <c r="F13911" t="s">
        <v>1534</v>
      </c>
      <c r="G13911" t="s">
        <v>1535</v>
      </c>
      <c r="H13911" t="s">
        <v>326</v>
      </c>
      <c r="I13911" t="s">
        <v>1536</v>
      </c>
      <c r="J13911" t="s">
        <v>1537</v>
      </c>
      <c r="K13911" t="s">
        <v>1538</v>
      </c>
      <c r="L13911" t="s">
        <v>1539</v>
      </c>
      <c r="M13911" t="s">
        <v>1540</v>
      </c>
      <c r="N13911" t="s">
        <v>1541</v>
      </c>
      <c r="O13911" t="s">
        <v>286</v>
      </c>
      <c r="P13911" t="s">
        <v>1542</v>
      </c>
      <c r="Q13911" t="s">
        <v>1543</v>
      </c>
      <c r="R13911" t="s">
        <v>1544</v>
      </c>
      <c r="S13911" t="s">
        <v>226</v>
      </c>
    </row>
    <row r="13912" spans="1:19" x14ac:dyDescent="0.35">
      <c r="A13912" s="27" t="s">
        <v>227</v>
      </c>
      <c r="B13912" s="27" t="s">
        <v>368</v>
      </c>
      <c r="C13912" s="28">
        <v>0.5</v>
      </c>
      <c r="D13912" s="28">
        <v>0.3</v>
      </c>
      <c r="E13912" s="29"/>
      <c r="F13912" s="29"/>
      <c r="G13912" s="29"/>
      <c r="H13912" s="29"/>
      <c r="I13912" s="29"/>
      <c r="J13912" s="29"/>
      <c r="K13912" s="28">
        <v>0.1</v>
      </c>
      <c r="L13912" s="29"/>
      <c r="M13912" s="29"/>
      <c r="N13912" s="28">
        <v>0.1</v>
      </c>
      <c r="O13912" s="29"/>
      <c r="P13912" s="29"/>
      <c r="Q13912" s="29"/>
      <c r="R13912" s="29"/>
      <c r="S13912" s="29" t="s">
        <v>307</v>
      </c>
    </row>
    <row r="13913" spans="1:19" x14ac:dyDescent="0.35">
      <c r="A13913" t="s">
        <v>227</v>
      </c>
      <c r="B13913" t="s">
        <v>369</v>
      </c>
      <c r="C13913" s="26">
        <v>0.43180000000000002</v>
      </c>
      <c r="D13913" s="26">
        <v>0.25</v>
      </c>
      <c r="E13913" s="26">
        <v>0.20449999999999999</v>
      </c>
      <c r="F13913" s="26">
        <v>0.11360000000000001</v>
      </c>
      <c r="G13913" s="26">
        <v>4.5499999999999999E-2</v>
      </c>
      <c r="H13913" s="26">
        <v>6.8199999999999997E-2</v>
      </c>
      <c r="J13913" s="26">
        <v>2.2700000000000001E-2</v>
      </c>
      <c r="K13913" s="26">
        <v>2.2700000000000001E-2</v>
      </c>
      <c r="S13913">
        <v>44</v>
      </c>
    </row>
    <row r="13914" spans="1:19" x14ac:dyDescent="0.35">
      <c r="A13914" t="s">
        <v>228</v>
      </c>
      <c r="B13914" t="s">
        <v>368</v>
      </c>
      <c r="C13914" s="26">
        <v>0.60599999999999998</v>
      </c>
      <c r="D13914" s="26">
        <v>0.1265</v>
      </c>
      <c r="E13914" s="26">
        <v>0.14560000000000001</v>
      </c>
      <c r="F13914" s="26">
        <v>7.7499999999999999E-2</v>
      </c>
      <c r="G13914" s="26">
        <v>0.12659999999999999</v>
      </c>
      <c r="I13914" s="26">
        <v>0.13320000000000001</v>
      </c>
      <c r="J13914" s="26">
        <v>6.8599999999999994E-2</v>
      </c>
      <c r="K13914" s="26">
        <v>1.23E-2</v>
      </c>
      <c r="L13914" s="26">
        <v>1.5599999999999999E-2</v>
      </c>
      <c r="M13914" s="26">
        <v>7.3800000000000004E-2</v>
      </c>
      <c r="N13914" s="26">
        <v>1.23E-2</v>
      </c>
      <c r="P13914" s="26">
        <v>1.23E-2</v>
      </c>
      <c r="Q13914" s="26">
        <v>1.23E-2</v>
      </c>
      <c r="R13914" s="26">
        <v>7.7999999999999996E-3</v>
      </c>
      <c r="S13914">
        <v>49</v>
      </c>
    </row>
    <row r="13915" spans="1:19" x14ac:dyDescent="0.35">
      <c r="A13915" t="s">
        <v>228</v>
      </c>
      <c r="B13915" t="s">
        <v>369</v>
      </c>
      <c r="C13915" s="26">
        <v>0.43409999999999999</v>
      </c>
      <c r="D13915" s="26">
        <v>0.21310000000000001</v>
      </c>
      <c r="E13915" s="26">
        <v>0.2205</v>
      </c>
      <c r="F13915" s="26">
        <v>0.10929999999999999</v>
      </c>
      <c r="G13915" s="26">
        <v>5.7700000000000001E-2</v>
      </c>
      <c r="H13915" s="26">
        <v>2.7400000000000001E-2</v>
      </c>
      <c r="I13915" s="26">
        <v>6.4100000000000004E-2</v>
      </c>
      <c r="J13915" s="26">
        <v>3.4099999999999998E-2</v>
      </c>
      <c r="K13915" s="26">
        <v>3.9300000000000002E-2</v>
      </c>
      <c r="L13915" s="26">
        <v>2.8799999999999999E-2</v>
      </c>
      <c r="M13915" s="26">
        <v>2.12E-2</v>
      </c>
      <c r="N13915" s="26">
        <v>2E-3</v>
      </c>
      <c r="O13915" s="26">
        <v>8.9999999999999998E-4</v>
      </c>
      <c r="P13915" s="26">
        <v>7.0000000000000001E-3</v>
      </c>
      <c r="Q13915" s="26">
        <v>5.1999999999999998E-3</v>
      </c>
      <c r="R13915" s="26">
        <v>3.8999999999999998E-3</v>
      </c>
      <c r="S13915">
        <v>261</v>
      </c>
    </row>
    <row r="13916" spans="1:19" x14ac:dyDescent="0.35">
      <c r="A13916" t="s">
        <v>229</v>
      </c>
      <c r="B13916" t="s">
        <v>368</v>
      </c>
      <c r="C13916" s="26">
        <v>0.3538</v>
      </c>
      <c r="D13916" s="26">
        <v>0.18379999999999999</v>
      </c>
      <c r="E13916" s="26">
        <v>0.34410000000000002</v>
      </c>
      <c r="F13916" s="26">
        <v>0.10290000000000001</v>
      </c>
      <c r="G13916" s="26">
        <v>0.12139999999999999</v>
      </c>
      <c r="I13916" s="26">
        <v>6.54E-2</v>
      </c>
      <c r="J13916" s="26">
        <v>6.54E-2</v>
      </c>
      <c r="K13916" s="26">
        <v>5.2900000000000003E-2</v>
      </c>
      <c r="L13916" s="26">
        <v>5.6000000000000001E-2</v>
      </c>
      <c r="M13916" s="26">
        <v>5.2900000000000003E-2</v>
      </c>
      <c r="S13916">
        <v>32</v>
      </c>
    </row>
    <row r="13917" spans="1:19" x14ac:dyDescent="0.35">
      <c r="A13917" t="s">
        <v>229</v>
      </c>
      <c r="B13917" t="s">
        <v>369</v>
      </c>
      <c r="C13917" s="26">
        <v>0.32969999999999999</v>
      </c>
      <c r="D13917" s="26">
        <v>0.24809999999999999</v>
      </c>
      <c r="E13917" s="26">
        <v>0.25569999999999998</v>
      </c>
      <c r="F13917" s="26">
        <v>0.17219999999999999</v>
      </c>
      <c r="G13917" s="26">
        <v>4.65E-2</v>
      </c>
      <c r="H13917" s="26">
        <v>3.6900000000000002E-2</v>
      </c>
      <c r="I13917" s="26">
        <v>2.2200000000000001E-2</v>
      </c>
      <c r="J13917" s="26">
        <v>3.1199999999999999E-2</v>
      </c>
      <c r="K13917" s="26">
        <v>6.6E-3</v>
      </c>
      <c r="L13917" s="26">
        <v>3.8E-3</v>
      </c>
      <c r="M13917" s="26">
        <v>0.01</v>
      </c>
      <c r="N13917" s="26">
        <v>1.41E-2</v>
      </c>
      <c r="O13917" s="26">
        <v>1.06E-2</v>
      </c>
      <c r="P13917" s="26">
        <v>3.7000000000000002E-3</v>
      </c>
      <c r="Q13917" s="26">
        <v>2.5000000000000001E-3</v>
      </c>
      <c r="R13917" s="26">
        <v>1.9E-3</v>
      </c>
      <c r="S13917">
        <v>239</v>
      </c>
    </row>
    <row r="13918" spans="1:19" x14ac:dyDescent="0.35">
      <c r="A13918" s="27" t="s">
        <v>230</v>
      </c>
      <c r="B13918" s="27" t="s">
        <v>368</v>
      </c>
      <c r="C13918" s="28">
        <v>0.28060000000000002</v>
      </c>
      <c r="D13918" s="28">
        <v>0.1196</v>
      </c>
      <c r="E13918" s="28">
        <v>0.55930000000000002</v>
      </c>
      <c r="F13918" s="28">
        <v>4.0500000000000001E-2</v>
      </c>
      <c r="G13918" s="28">
        <v>3.9600000000000003E-2</v>
      </c>
      <c r="H13918" s="29"/>
      <c r="I13918" s="29"/>
      <c r="J13918" s="29"/>
      <c r="K13918" s="29"/>
      <c r="L13918" s="28">
        <v>0.24010000000000001</v>
      </c>
      <c r="M13918" s="29"/>
      <c r="N13918" s="29"/>
      <c r="O13918" s="29"/>
      <c r="P13918" s="29"/>
      <c r="Q13918" s="29"/>
      <c r="R13918" s="29"/>
      <c r="S13918" s="29" t="s">
        <v>307</v>
      </c>
    </row>
    <row r="13919" spans="1:19" x14ac:dyDescent="0.35">
      <c r="A13919" t="s">
        <v>230</v>
      </c>
      <c r="B13919" t="s">
        <v>369</v>
      </c>
      <c r="C13919" s="26">
        <v>0.35589999999999999</v>
      </c>
      <c r="D13919" s="26">
        <v>0.2303</v>
      </c>
      <c r="E13919" s="26">
        <v>0.27500000000000002</v>
      </c>
      <c r="F13919" s="26">
        <v>9.7699999999999995E-2</v>
      </c>
      <c r="G13919" s="26">
        <v>0.1255</v>
      </c>
      <c r="H13919" s="26">
        <v>6.5199999999999994E-2</v>
      </c>
      <c r="I13919" s="26">
        <v>2.5600000000000001E-2</v>
      </c>
      <c r="J13919" s="26">
        <v>2.3800000000000002E-2</v>
      </c>
      <c r="K13919" s="26">
        <v>4.07E-2</v>
      </c>
      <c r="L13919" s="26">
        <v>7.0599999999999996E-2</v>
      </c>
      <c r="M13919" s="26">
        <v>3.6999999999999998E-2</v>
      </c>
      <c r="N13919" s="26">
        <v>4.4000000000000003E-3</v>
      </c>
      <c r="O13919" s="26">
        <v>2.1600000000000001E-2</v>
      </c>
      <c r="P13919" s="26">
        <v>1.0699999999999999E-2</v>
      </c>
      <c r="Q13919" s="26">
        <v>1E-3</v>
      </c>
      <c r="R13919" s="26">
        <v>7.6E-3</v>
      </c>
      <c r="S13919">
        <v>141</v>
      </c>
    </row>
    <row r="13920" spans="1:19" x14ac:dyDescent="0.35">
      <c r="A13920" s="27" t="s">
        <v>231</v>
      </c>
      <c r="B13920" s="27" t="s">
        <v>368</v>
      </c>
      <c r="C13920" s="29"/>
      <c r="D13920" s="28">
        <v>1</v>
      </c>
      <c r="E13920" s="29"/>
      <c r="F13920" s="29"/>
      <c r="G13920" s="29"/>
      <c r="H13920" s="29"/>
      <c r="I13920" s="29"/>
      <c r="J13920" s="29"/>
      <c r="K13920" s="29"/>
      <c r="L13920" s="29"/>
      <c r="M13920" s="29"/>
      <c r="N13920" s="29"/>
      <c r="O13920" s="29"/>
      <c r="P13920" s="29"/>
      <c r="Q13920" s="29"/>
      <c r="R13920" s="29"/>
      <c r="S13920" s="29" t="s">
        <v>315</v>
      </c>
    </row>
    <row r="13921" spans="1:19" x14ac:dyDescent="0.35">
      <c r="A13921" t="s">
        <v>231</v>
      </c>
      <c r="B13921" t="s">
        <v>369</v>
      </c>
      <c r="C13921" s="26">
        <v>0.3548</v>
      </c>
      <c r="D13921" s="26">
        <v>0.3871</v>
      </c>
      <c r="E13921" s="26">
        <v>0.19350000000000001</v>
      </c>
      <c r="F13921" s="26">
        <v>0.129</v>
      </c>
      <c r="G13921" s="26">
        <v>0.129</v>
      </c>
      <c r="S13921">
        <v>31</v>
      </c>
    </row>
    <row r="13922" spans="1:19" x14ac:dyDescent="0.35">
      <c r="A13922" t="s">
        <v>232</v>
      </c>
      <c r="B13922" t="s">
        <v>232</v>
      </c>
      <c r="C13922" s="26">
        <v>0.38069999999999998</v>
      </c>
      <c r="D13922" s="26">
        <v>0.27139999999999997</v>
      </c>
      <c r="E13922" s="26">
        <v>0.22270000000000001</v>
      </c>
      <c r="F13922" s="26">
        <v>0.1215</v>
      </c>
      <c r="G13922" s="26">
        <v>7.4499999999999997E-2</v>
      </c>
      <c r="H13922" s="26">
        <v>3.0099999999999998E-2</v>
      </c>
      <c r="I13922" s="26">
        <v>2.8000000000000001E-2</v>
      </c>
      <c r="J13922" s="26">
        <v>2.5600000000000001E-2</v>
      </c>
      <c r="K13922" s="26">
        <v>2.2200000000000001E-2</v>
      </c>
      <c r="L13922" s="26">
        <v>1.77E-2</v>
      </c>
      <c r="M13922" s="26">
        <v>1.5100000000000001E-2</v>
      </c>
      <c r="N13922" s="26">
        <v>8.0999999999999996E-3</v>
      </c>
      <c r="O13922" s="26">
        <v>4.7999999999999996E-3</v>
      </c>
      <c r="P13922" s="26">
        <v>3.5999999999999999E-3</v>
      </c>
      <c r="Q13922" s="26">
        <v>2.0999999999999999E-3</v>
      </c>
      <c r="R13922" s="26">
        <v>2.0999999999999999E-3</v>
      </c>
      <c r="S13922">
        <v>820</v>
      </c>
    </row>
    <row r="13924" spans="1:19" x14ac:dyDescent="0.35">
      <c r="A13924" s="1" t="s">
        <v>1554</v>
      </c>
    </row>
    <row r="13925" spans="1:19" x14ac:dyDescent="0.35">
      <c r="A13925" t="s">
        <v>219</v>
      </c>
      <c r="B13925" t="s">
        <v>305</v>
      </c>
      <c r="C13925" t="s">
        <v>281</v>
      </c>
      <c r="D13925" t="s">
        <v>550</v>
      </c>
      <c r="E13925" t="s">
        <v>1533</v>
      </c>
      <c r="F13925" t="s">
        <v>1534</v>
      </c>
      <c r="G13925" t="s">
        <v>1535</v>
      </c>
      <c r="H13925" t="s">
        <v>326</v>
      </c>
      <c r="I13925" t="s">
        <v>1536</v>
      </c>
      <c r="J13925" t="s">
        <v>1537</v>
      </c>
      <c r="K13925" t="s">
        <v>1538</v>
      </c>
      <c r="L13925" t="s">
        <v>1539</v>
      </c>
      <c r="M13925" t="s">
        <v>1540</v>
      </c>
      <c r="N13925" t="s">
        <v>1541</v>
      </c>
      <c r="O13925" t="s">
        <v>286</v>
      </c>
      <c r="P13925" t="s">
        <v>1542</v>
      </c>
      <c r="Q13925" t="s">
        <v>1543</v>
      </c>
      <c r="R13925" t="s">
        <v>1544</v>
      </c>
      <c r="S13925" t="s">
        <v>226</v>
      </c>
    </row>
    <row r="13926" spans="1:19" x14ac:dyDescent="0.35">
      <c r="A13926" t="s">
        <v>227</v>
      </c>
      <c r="B13926" t="s">
        <v>371</v>
      </c>
      <c r="C13926" s="26">
        <v>0.44440000000000002</v>
      </c>
      <c r="D13926" s="26">
        <v>0.25929999999999997</v>
      </c>
      <c r="E13926" s="26">
        <v>0.16669999999999999</v>
      </c>
      <c r="F13926" s="26">
        <v>9.2600000000000002E-2</v>
      </c>
      <c r="G13926" s="26">
        <v>3.6999999999999998E-2</v>
      </c>
      <c r="H13926" s="26">
        <v>5.5599999999999997E-2</v>
      </c>
      <c r="J13926" s="26">
        <v>1.8499999999999999E-2</v>
      </c>
      <c r="K13926" s="26">
        <v>3.6999999999999998E-2</v>
      </c>
      <c r="N13926" s="26">
        <v>1.8499999999999999E-2</v>
      </c>
      <c r="S13926">
        <v>54</v>
      </c>
    </row>
    <row r="13927" spans="1:19" x14ac:dyDescent="0.35">
      <c r="A13927" t="s">
        <v>228</v>
      </c>
      <c r="B13927" t="s">
        <v>371</v>
      </c>
      <c r="C13927" s="26">
        <v>0.50209999999999999</v>
      </c>
      <c r="D13927" s="26">
        <v>0.17780000000000001</v>
      </c>
      <c r="E13927" s="26">
        <v>0.23430000000000001</v>
      </c>
      <c r="F13927" s="26">
        <v>6.0499999999999998E-2</v>
      </c>
      <c r="G13927" s="26">
        <v>5.6500000000000002E-2</v>
      </c>
      <c r="H13927" s="26">
        <v>3.7600000000000001E-2</v>
      </c>
      <c r="I13927" s="26">
        <v>6.0499999999999998E-2</v>
      </c>
      <c r="J13927" s="26">
        <v>2.3E-3</v>
      </c>
      <c r="K13927" s="26">
        <v>2.12E-2</v>
      </c>
      <c r="L13927" s="26">
        <v>1.8800000000000001E-2</v>
      </c>
      <c r="M13927" s="26">
        <v>2.3199999999999998E-2</v>
      </c>
      <c r="S13927">
        <v>85</v>
      </c>
    </row>
    <row r="13928" spans="1:19" x14ac:dyDescent="0.35">
      <c r="A13928" t="s">
        <v>228</v>
      </c>
      <c r="B13928" t="s">
        <v>372</v>
      </c>
      <c r="C13928" s="26">
        <v>0.32700000000000001</v>
      </c>
      <c r="D13928" s="26">
        <v>0.32650000000000001</v>
      </c>
      <c r="E13928" s="26">
        <v>0.22189999999999999</v>
      </c>
      <c r="F13928" s="26">
        <v>0.1106</v>
      </c>
      <c r="G13928" s="26">
        <v>8.1600000000000006E-2</v>
      </c>
      <c r="I13928" s="26">
        <v>0.11559999999999999</v>
      </c>
      <c r="J13928" s="26">
        <v>0.14299999999999999</v>
      </c>
      <c r="K13928" s="26">
        <v>5.45E-2</v>
      </c>
      <c r="L13928" s="26">
        <v>0.1065</v>
      </c>
      <c r="M13928" s="26">
        <v>9.74E-2</v>
      </c>
      <c r="N13928" s="26">
        <v>2.06E-2</v>
      </c>
      <c r="P13928" s="26">
        <v>4.9599999999999998E-2</v>
      </c>
      <c r="Q13928" s="26">
        <v>1.83E-2</v>
      </c>
      <c r="R13928" s="26">
        <v>4.0500000000000001E-2</v>
      </c>
      <c r="S13928">
        <v>69</v>
      </c>
    </row>
    <row r="13929" spans="1:19" x14ac:dyDescent="0.35">
      <c r="A13929" t="s">
        <v>228</v>
      </c>
      <c r="B13929" t="s">
        <v>373</v>
      </c>
      <c r="C13929" s="26">
        <v>0.43390000000000001</v>
      </c>
      <c r="D13929" s="26">
        <v>0.2019</v>
      </c>
      <c r="E13929" s="26">
        <v>0.16789999999999999</v>
      </c>
      <c r="F13929" s="26">
        <v>0.1653</v>
      </c>
      <c r="G13929" s="26">
        <v>8.4099999999999994E-2</v>
      </c>
      <c r="H13929" s="26">
        <v>6.7999999999999996E-3</v>
      </c>
      <c r="I13929" s="26">
        <v>8.7900000000000006E-2</v>
      </c>
      <c r="J13929" s="26">
        <v>7.1099999999999997E-2</v>
      </c>
      <c r="K13929" s="26">
        <v>5.04E-2</v>
      </c>
      <c r="L13929" s="26">
        <v>2.07E-2</v>
      </c>
      <c r="M13929" s="26">
        <v>2.46E-2</v>
      </c>
      <c r="N13929" s="26">
        <v>5.3E-3</v>
      </c>
      <c r="O13929" s="26">
        <v>2E-3</v>
      </c>
      <c r="P13929" s="26">
        <v>1.01E-2</v>
      </c>
      <c r="Q13929" s="26">
        <v>1.29E-2</v>
      </c>
      <c r="R13929" s="26">
        <v>3.3999999999999998E-3</v>
      </c>
      <c r="S13929">
        <v>156</v>
      </c>
    </row>
    <row r="13930" spans="1:19" x14ac:dyDescent="0.35">
      <c r="A13930" t="s">
        <v>229</v>
      </c>
      <c r="B13930" t="s">
        <v>371</v>
      </c>
      <c r="C13930" s="26">
        <v>0.3362</v>
      </c>
      <c r="D13930" s="26">
        <v>0.2339</v>
      </c>
      <c r="E13930" s="26">
        <v>0.27510000000000001</v>
      </c>
      <c r="F13930" s="26">
        <v>0.16589999999999999</v>
      </c>
      <c r="G13930" s="26">
        <v>0.06</v>
      </c>
      <c r="H13930" s="26">
        <v>3.2000000000000001E-2</v>
      </c>
      <c r="I13930" s="26">
        <v>2.3099999999999999E-2</v>
      </c>
      <c r="J13930" s="26">
        <v>3.32E-2</v>
      </c>
      <c r="K13930" s="26">
        <v>1.18E-2</v>
      </c>
      <c r="L13930" s="26">
        <v>1.18E-2</v>
      </c>
      <c r="M13930" s="26">
        <v>1.41E-2</v>
      </c>
      <c r="N13930" s="26">
        <v>1.12E-2</v>
      </c>
      <c r="O13930" s="26">
        <v>8.3999999999999995E-3</v>
      </c>
      <c r="P13930" s="26">
        <v>1.1000000000000001E-3</v>
      </c>
      <c r="Q13930" s="26">
        <v>1.1000000000000001E-3</v>
      </c>
      <c r="R13930" s="26">
        <v>5.9999999999999995E-4</v>
      </c>
      <c r="S13930">
        <v>179</v>
      </c>
    </row>
    <row r="13931" spans="1:19" x14ac:dyDescent="0.35">
      <c r="A13931" t="s">
        <v>229</v>
      </c>
      <c r="B13931" t="s">
        <v>372</v>
      </c>
      <c r="C13931" s="26">
        <v>0.34100000000000003</v>
      </c>
      <c r="D13931" s="26">
        <v>0.15129999999999999</v>
      </c>
      <c r="E13931" s="26">
        <v>0.27010000000000001</v>
      </c>
      <c r="F13931" s="26">
        <v>0.12529999999999999</v>
      </c>
      <c r="G13931" s="26">
        <v>5.1400000000000001E-2</v>
      </c>
      <c r="H13931" s="26">
        <v>2.2499999999999999E-2</v>
      </c>
      <c r="I13931" s="26">
        <v>0.1318</v>
      </c>
      <c r="J13931" s="26">
        <v>0.1123</v>
      </c>
      <c r="K13931" s="26">
        <v>5.1400000000000001E-2</v>
      </c>
      <c r="L13931" s="26">
        <v>3.5400000000000001E-2</v>
      </c>
      <c r="M13931" s="26">
        <v>8.9899999999999994E-2</v>
      </c>
      <c r="N13931" s="26">
        <v>2.9000000000000001E-2</v>
      </c>
      <c r="O13931" s="26">
        <v>2.2499999999999999E-2</v>
      </c>
      <c r="P13931" s="26">
        <v>2.2499999999999999E-2</v>
      </c>
      <c r="Q13931" s="26">
        <v>2.2499999999999999E-2</v>
      </c>
      <c r="R13931" s="26">
        <v>2.2499999999999999E-2</v>
      </c>
      <c r="S13931">
        <v>63</v>
      </c>
    </row>
    <row r="13932" spans="1:19" x14ac:dyDescent="0.35">
      <c r="A13932" s="27" t="s">
        <v>229</v>
      </c>
      <c r="B13932" s="27" t="s">
        <v>373</v>
      </c>
      <c r="C13932" s="28">
        <v>0.2374</v>
      </c>
      <c r="D13932" s="28">
        <v>0.4995</v>
      </c>
      <c r="E13932" s="28">
        <v>0.1128</v>
      </c>
      <c r="F13932" s="28">
        <v>3.7600000000000001E-2</v>
      </c>
      <c r="G13932" s="28">
        <v>3.7600000000000001E-2</v>
      </c>
      <c r="H13932" s="29"/>
      <c r="I13932" s="28">
        <v>7.5200000000000003E-2</v>
      </c>
      <c r="J13932" s="28">
        <v>3.7600000000000001E-2</v>
      </c>
      <c r="K13932" s="28">
        <v>3.7600000000000001E-2</v>
      </c>
      <c r="L13932" s="29"/>
      <c r="M13932" s="29"/>
      <c r="N13932" s="29"/>
      <c r="O13932" s="29"/>
      <c r="P13932" s="28">
        <v>3.7600000000000001E-2</v>
      </c>
      <c r="Q13932" s="29"/>
      <c r="R13932" s="29"/>
      <c r="S13932" s="29" t="s">
        <v>329</v>
      </c>
    </row>
    <row r="13933" spans="1:19" x14ac:dyDescent="0.35">
      <c r="A13933" t="s">
        <v>230</v>
      </c>
      <c r="B13933" t="s">
        <v>371</v>
      </c>
      <c r="C13933" s="26">
        <v>0.36320000000000002</v>
      </c>
      <c r="D13933" s="26">
        <v>0.22109999999999999</v>
      </c>
      <c r="E13933" s="26">
        <v>0.30320000000000003</v>
      </c>
      <c r="F13933" s="26">
        <v>8.2400000000000001E-2</v>
      </c>
      <c r="G13933" s="26">
        <v>0.1346</v>
      </c>
      <c r="H13933" s="26">
        <v>7.1099999999999997E-2</v>
      </c>
      <c r="I13933" s="26">
        <v>1.5100000000000001E-2</v>
      </c>
      <c r="J13933" s="26">
        <v>3.8E-3</v>
      </c>
      <c r="K13933" s="26">
        <v>2.6200000000000001E-2</v>
      </c>
      <c r="L13933" s="26">
        <v>9.35E-2</v>
      </c>
      <c r="M13933" s="26">
        <v>2.24E-2</v>
      </c>
      <c r="O13933" s="26">
        <v>2.24E-2</v>
      </c>
      <c r="S13933">
        <v>77</v>
      </c>
    </row>
    <row r="13934" spans="1:19" x14ac:dyDescent="0.35">
      <c r="A13934" t="s">
        <v>230</v>
      </c>
      <c r="B13934" t="s">
        <v>372</v>
      </c>
      <c r="C13934" s="26">
        <v>0.13039999999999999</v>
      </c>
      <c r="D13934" s="26">
        <v>0.2011</v>
      </c>
      <c r="E13934" s="26">
        <v>8.6999999999999994E-2</v>
      </c>
      <c r="F13934" s="26">
        <v>0.3206</v>
      </c>
      <c r="G13934" s="26">
        <v>4.3499999999999997E-2</v>
      </c>
      <c r="I13934" s="26">
        <v>0.1739</v>
      </c>
      <c r="J13934" s="26">
        <v>0.4239</v>
      </c>
      <c r="K13934" s="26">
        <v>0.13589999999999999</v>
      </c>
      <c r="L13934" s="26">
        <v>4.3499999999999997E-2</v>
      </c>
      <c r="M13934" s="26">
        <v>0.2011</v>
      </c>
      <c r="N13934" s="26">
        <v>9.2399999999999996E-2</v>
      </c>
      <c r="O13934" s="26">
        <v>2.1700000000000001E-2</v>
      </c>
      <c r="P13934" s="26">
        <v>0.2228</v>
      </c>
      <c r="Q13934" s="26">
        <v>2.1700000000000001E-2</v>
      </c>
      <c r="R13934" s="26">
        <v>0.13589999999999999</v>
      </c>
      <c r="S13934">
        <v>37</v>
      </c>
    </row>
    <row r="13935" spans="1:19" x14ac:dyDescent="0.35">
      <c r="A13935" t="s">
        <v>230</v>
      </c>
      <c r="B13935" t="s">
        <v>373</v>
      </c>
      <c r="C13935" s="26">
        <v>0.3367</v>
      </c>
      <c r="D13935" s="26">
        <v>0.23380000000000001</v>
      </c>
      <c r="E13935" s="26">
        <v>0.3367</v>
      </c>
      <c r="F13935" s="26">
        <v>8.4199999999999997E-2</v>
      </c>
      <c r="G13935" s="26">
        <v>2.81E-2</v>
      </c>
      <c r="I13935" s="26">
        <v>2.81E-2</v>
      </c>
      <c r="K13935" s="26">
        <v>8.4199999999999997E-2</v>
      </c>
      <c r="L13935" s="26">
        <v>2.81E-2</v>
      </c>
      <c r="M13935" s="26">
        <v>5.6099999999999997E-2</v>
      </c>
      <c r="R13935" s="26">
        <v>8.6E-3</v>
      </c>
      <c r="S13935">
        <v>37</v>
      </c>
    </row>
    <row r="13936" spans="1:19" x14ac:dyDescent="0.35">
      <c r="A13936" t="s">
        <v>231</v>
      </c>
      <c r="B13936" t="s">
        <v>371</v>
      </c>
      <c r="C13936" s="26">
        <v>0.32350000000000001</v>
      </c>
      <c r="D13936" s="26">
        <v>0.44119999999999998</v>
      </c>
      <c r="E13936" s="26">
        <v>0.17649999999999999</v>
      </c>
      <c r="F13936" s="26">
        <v>0.1176</v>
      </c>
      <c r="G13936" s="26">
        <v>0.1176</v>
      </c>
      <c r="S13936">
        <v>34</v>
      </c>
    </row>
    <row r="13937" spans="1:19" x14ac:dyDescent="0.35">
      <c r="A13937" t="s">
        <v>232</v>
      </c>
      <c r="B13937" t="s">
        <v>232</v>
      </c>
      <c r="C13937" s="26">
        <v>0.38069999999999998</v>
      </c>
      <c r="D13937" s="26">
        <v>0.27139999999999997</v>
      </c>
      <c r="E13937" s="26">
        <v>0.22270000000000001</v>
      </c>
      <c r="F13937" s="26">
        <v>0.1215</v>
      </c>
      <c r="G13937" s="26">
        <v>7.4499999999999997E-2</v>
      </c>
      <c r="H13937" s="26">
        <v>3.0099999999999998E-2</v>
      </c>
      <c r="I13937" s="26">
        <v>2.8000000000000001E-2</v>
      </c>
      <c r="J13937" s="26">
        <v>2.5600000000000001E-2</v>
      </c>
      <c r="K13937" s="26">
        <v>2.2200000000000001E-2</v>
      </c>
      <c r="L13937" s="26">
        <v>1.77E-2</v>
      </c>
      <c r="M13937" s="26">
        <v>1.5100000000000001E-2</v>
      </c>
      <c r="N13937" s="26">
        <v>8.0999999999999996E-3</v>
      </c>
      <c r="O13937" s="26">
        <v>4.7999999999999996E-3</v>
      </c>
      <c r="P13937" s="26">
        <v>3.5999999999999999E-3</v>
      </c>
      <c r="Q13937" s="26">
        <v>2.0999999999999999E-3</v>
      </c>
      <c r="R13937" s="26">
        <v>2.0999999999999999E-3</v>
      </c>
      <c r="S13937">
        <v>820</v>
      </c>
    </row>
    <row r="13939" spans="1:19" x14ac:dyDescent="0.35">
      <c r="A13939" s="1" t="s">
        <v>1555</v>
      </c>
    </row>
    <row r="13940" spans="1:19" x14ac:dyDescent="0.35">
      <c r="A13940" t="s">
        <v>219</v>
      </c>
      <c r="B13940" t="s">
        <v>305</v>
      </c>
      <c r="C13940" t="s">
        <v>281</v>
      </c>
      <c r="D13940" t="s">
        <v>550</v>
      </c>
      <c r="E13940" t="s">
        <v>1533</v>
      </c>
      <c r="F13940" t="s">
        <v>1534</v>
      </c>
      <c r="G13940" t="s">
        <v>1535</v>
      </c>
      <c r="H13940" t="s">
        <v>326</v>
      </c>
      <c r="I13940" t="s">
        <v>1536</v>
      </c>
      <c r="J13940" t="s">
        <v>1537</v>
      </c>
      <c r="K13940" t="s">
        <v>1538</v>
      </c>
      <c r="L13940" t="s">
        <v>1539</v>
      </c>
      <c r="M13940" t="s">
        <v>1540</v>
      </c>
      <c r="N13940" t="s">
        <v>1541</v>
      </c>
      <c r="O13940" t="s">
        <v>286</v>
      </c>
      <c r="P13940" t="s">
        <v>1542</v>
      </c>
      <c r="Q13940" t="s">
        <v>1543</v>
      </c>
      <c r="R13940" t="s">
        <v>1544</v>
      </c>
      <c r="S13940" t="s">
        <v>226</v>
      </c>
    </row>
    <row r="13941" spans="1:19" x14ac:dyDescent="0.35">
      <c r="A13941" t="s">
        <v>227</v>
      </c>
      <c r="B13941" t="s">
        <v>255</v>
      </c>
      <c r="C13941" s="26">
        <v>0.53659999999999997</v>
      </c>
      <c r="D13941" s="26">
        <v>0.29270000000000002</v>
      </c>
      <c r="E13941" s="26">
        <v>9.7600000000000006E-2</v>
      </c>
      <c r="F13941" s="26">
        <v>9.7600000000000006E-2</v>
      </c>
      <c r="J13941" s="26">
        <v>2.4400000000000002E-2</v>
      </c>
      <c r="K13941" s="26">
        <v>2.4400000000000002E-2</v>
      </c>
      <c r="S13941">
        <v>41</v>
      </c>
    </row>
    <row r="13942" spans="1:19" x14ac:dyDescent="0.35">
      <c r="A13942" s="27" t="s">
        <v>227</v>
      </c>
      <c r="B13942" s="27" t="s">
        <v>256</v>
      </c>
      <c r="C13942" s="28">
        <v>0.125</v>
      </c>
      <c r="D13942" s="28">
        <v>0.125</v>
      </c>
      <c r="E13942" s="28">
        <v>0.5</v>
      </c>
      <c r="F13942" s="28">
        <v>0.125</v>
      </c>
      <c r="G13942" s="28">
        <v>0.125</v>
      </c>
      <c r="H13942" s="28">
        <v>0.25</v>
      </c>
      <c r="I13942" s="29"/>
      <c r="J13942" s="29"/>
      <c r="K13942" s="28">
        <v>0.125</v>
      </c>
      <c r="L13942" s="29"/>
      <c r="M13942" s="29"/>
      <c r="N13942" s="29"/>
      <c r="O13942" s="29"/>
      <c r="P13942" s="29"/>
      <c r="Q13942" s="29"/>
      <c r="R13942" s="29"/>
      <c r="S13942" s="29" t="s">
        <v>333</v>
      </c>
    </row>
    <row r="13943" spans="1:19" x14ac:dyDescent="0.35">
      <c r="A13943" s="27" t="s">
        <v>227</v>
      </c>
      <c r="B13943" s="27" t="s">
        <v>257</v>
      </c>
      <c r="C13943" s="28">
        <v>0.2</v>
      </c>
      <c r="D13943" s="28">
        <v>0.2</v>
      </c>
      <c r="E13943" s="28">
        <v>0.2</v>
      </c>
      <c r="F13943" s="29"/>
      <c r="G13943" s="28">
        <v>0.2</v>
      </c>
      <c r="H13943" s="28">
        <v>0.2</v>
      </c>
      <c r="I13943" s="29"/>
      <c r="J13943" s="29"/>
      <c r="K13943" s="29"/>
      <c r="L13943" s="29"/>
      <c r="M13943" s="29"/>
      <c r="N13943" s="28">
        <v>0.2</v>
      </c>
      <c r="O13943" s="29"/>
      <c r="P13943" s="29"/>
      <c r="Q13943" s="29"/>
      <c r="R13943" s="29"/>
      <c r="S13943" s="29" t="s">
        <v>332</v>
      </c>
    </row>
    <row r="13944" spans="1:19" x14ac:dyDescent="0.35">
      <c r="A13944" t="s">
        <v>228</v>
      </c>
      <c r="B13944" t="s">
        <v>256</v>
      </c>
      <c r="C13944" s="26">
        <v>0.38150000000000001</v>
      </c>
      <c r="D13944" s="26">
        <v>0.1089</v>
      </c>
      <c r="E13944" s="26">
        <v>0.32379999999999998</v>
      </c>
      <c r="F13944" s="26">
        <v>0.1002</v>
      </c>
      <c r="G13944" s="26">
        <v>0.1648</v>
      </c>
      <c r="I13944" s="26">
        <v>7.7899999999999997E-2</v>
      </c>
      <c r="J13944" s="26">
        <v>2.2499999999999999E-2</v>
      </c>
      <c r="K13944" s="26">
        <v>3.6700000000000003E-2</v>
      </c>
      <c r="L13944" s="26">
        <v>7.2099999999999997E-2</v>
      </c>
      <c r="M13944" s="26">
        <v>6.1199999999999997E-2</v>
      </c>
      <c r="S13944">
        <v>50</v>
      </c>
    </row>
    <row r="13945" spans="1:19" x14ac:dyDescent="0.35">
      <c r="A13945" t="s">
        <v>228</v>
      </c>
      <c r="B13945" t="s">
        <v>255</v>
      </c>
      <c r="C13945" s="26">
        <v>0.47720000000000001</v>
      </c>
      <c r="D13945" s="26">
        <v>0.22189999999999999</v>
      </c>
      <c r="E13945" s="26">
        <v>0.1777</v>
      </c>
      <c r="F13945" s="26">
        <v>0.1009</v>
      </c>
      <c r="G13945" s="26">
        <v>4.07E-2</v>
      </c>
      <c r="H13945" s="26">
        <v>0.03</v>
      </c>
      <c r="I13945" s="26">
        <v>7.4800000000000005E-2</v>
      </c>
      <c r="J13945" s="26">
        <v>4.6399999999999997E-2</v>
      </c>
      <c r="K13945" s="26">
        <v>3.2300000000000002E-2</v>
      </c>
      <c r="L13945" s="26">
        <v>1.0699999999999999E-2</v>
      </c>
      <c r="M13945" s="26">
        <v>1.9599999999999999E-2</v>
      </c>
      <c r="N13945" s="26">
        <v>2.5999999999999999E-3</v>
      </c>
      <c r="O13945" s="26">
        <v>1E-3</v>
      </c>
      <c r="P13945" s="26">
        <v>1.03E-2</v>
      </c>
      <c r="Q13945" s="26">
        <v>8.3000000000000001E-3</v>
      </c>
      <c r="R13945" s="26">
        <v>6.0000000000000001E-3</v>
      </c>
      <c r="S13945">
        <v>245</v>
      </c>
    </row>
    <row r="13946" spans="1:19" x14ac:dyDescent="0.35">
      <c r="A13946" s="27" t="s">
        <v>228</v>
      </c>
      <c r="B13946" s="27" t="s">
        <v>257</v>
      </c>
      <c r="C13946" s="28">
        <v>0.53610000000000002</v>
      </c>
      <c r="D13946" s="28">
        <v>0.1847</v>
      </c>
      <c r="E13946" s="28">
        <v>0.24440000000000001</v>
      </c>
      <c r="F13946" s="28">
        <v>0.1701</v>
      </c>
      <c r="G13946" s="28">
        <v>0.1439</v>
      </c>
      <c r="H13946" s="29"/>
      <c r="I13946" s="28">
        <v>7.4300000000000005E-2</v>
      </c>
      <c r="J13946" s="29"/>
      <c r="K13946" s="28">
        <v>6.9599999999999995E-2</v>
      </c>
      <c r="L13946" s="28">
        <v>0.10440000000000001</v>
      </c>
      <c r="M13946" s="28">
        <v>6.9599999999999995E-2</v>
      </c>
      <c r="N13946" s="28">
        <v>3.4799999999999998E-2</v>
      </c>
      <c r="O13946" s="29"/>
      <c r="P13946" s="29"/>
      <c r="Q13946" s="29"/>
      <c r="R13946" s="29"/>
      <c r="S13946" s="29" t="s">
        <v>346</v>
      </c>
    </row>
    <row r="13947" spans="1:19" x14ac:dyDescent="0.35">
      <c r="A13947" t="s">
        <v>229</v>
      </c>
      <c r="B13947" t="s">
        <v>255</v>
      </c>
      <c r="C13947" s="26">
        <v>0.37719999999999998</v>
      </c>
      <c r="D13947" s="26">
        <v>0.23669999999999999</v>
      </c>
      <c r="E13947" s="26">
        <v>0.251</v>
      </c>
      <c r="F13947" s="26">
        <v>0.1376</v>
      </c>
      <c r="G13947" s="26">
        <v>7.6100000000000001E-2</v>
      </c>
      <c r="H13947" s="26">
        <v>1.4E-2</v>
      </c>
      <c r="I13947" s="26">
        <v>2.0299999999999999E-2</v>
      </c>
      <c r="J13947" s="26">
        <v>4.19E-2</v>
      </c>
      <c r="K13947" s="26">
        <v>4.5999999999999999E-3</v>
      </c>
      <c r="L13947" s="26">
        <v>1.9900000000000001E-2</v>
      </c>
      <c r="M13947" s="26">
        <v>9.7999999999999997E-3</v>
      </c>
      <c r="N13947" s="26">
        <v>2.8999999999999998E-3</v>
      </c>
      <c r="O13947" s="26">
        <v>1.4E-2</v>
      </c>
      <c r="P13947" s="26">
        <v>4.1000000000000003E-3</v>
      </c>
      <c r="Q13947" s="26">
        <v>2.5000000000000001E-3</v>
      </c>
      <c r="R13947" s="26">
        <v>2.5000000000000001E-3</v>
      </c>
      <c r="S13947">
        <v>185</v>
      </c>
    </row>
    <row r="13948" spans="1:19" x14ac:dyDescent="0.35">
      <c r="A13948" s="27" t="s">
        <v>229</v>
      </c>
      <c r="B13948" s="27" t="s">
        <v>257</v>
      </c>
      <c r="C13948" s="28">
        <v>0.1384</v>
      </c>
      <c r="D13948" s="28">
        <v>0.28549999999999998</v>
      </c>
      <c r="E13948" s="28">
        <v>0.2702</v>
      </c>
      <c r="F13948" s="28">
        <v>0.19409999999999999</v>
      </c>
      <c r="G13948" s="28">
        <v>0.1234</v>
      </c>
      <c r="H13948" s="28">
        <v>0.1118</v>
      </c>
      <c r="I13948" s="28">
        <v>0.1234</v>
      </c>
      <c r="J13948" s="28">
        <v>0.1177</v>
      </c>
      <c r="K13948" s="28">
        <v>9.4200000000000006E-2</v>
      </c>
      <c r="L13948" s="29"/>
      <c r="M13948" s="28">
        <v>9.4200000000000006E-2</v>
      </c>
      <c r="N13948" s="28">
        <v>5.8999999999999999E-3</v>
      </c>
      <c r="O13948" s="29"/>
      <c r="P13948" s="28">
        <v>5.8999999999999999E-3</v>
      </c>
      <c r="Q13948" s="28">
        <v>5.8999999999999999E-3</v>
      </c>
      <c r="R13948" s="29"/>
      <c r="S13948" s="29" t="s">
        <v>351</v>
      </c>
    </row>
    <row r="13949" spans="1:19" x14ac:dyDescent="0.35">
      <c r="A13949" t="s">
        <v>229</v>
      </c>
      <c r="B13949" t="s">
        <v>256</v>
      </c>
      <c r="C13949" s="26">
        <v>0.2974</v>
      </c>
      <c r="D13949" s="26">
        <v>0.2235</v>
      </c>
      <c r="E13949" s="26">
        <v>0.3145</v>
      </c>
      <c r="F13949" s="26">
        <v>0.2019</v>
      </c>
      <c r="H13949" s="26">
        <v>4.2799999999999998E-2</v>
      </c>
      <c r="I13949" s="26">
        <v>2.0400000000000001E-2</v>
      </c>
      <c r="K13949" s="26">
        <v>1.11E-2</v>
      </c>
      <c r="M13949" s="26">
        <v>9.2999999999999992E-3</v>
      </c>
      <c r="N13949" s="26">
        <v>3.3500000000000002E-2</v>
      </c>
      <c r="S13949">
        <v>65</v>
      </c>
    </row>
    <row r="13950" spans="1:19" x14ac:dyDescent="0.35">
      <c r="A13950" t="s">
        <v>230</v>
      </c>
      <c r="B13950" t="s">
        <v>255</v>
      </c>
      <c r="C13950" s="26">
        <v>0.41189999999999999</v>
      </c>
      <c r="D13950" s="26">
        <v>0.20250000000000001</v>
      </c>
      <c r="E13950" s="26">
        <v>0.2427</v>
      </c>
      <c r="F13950" s="26">
        <v>7.9600000000000004E-2</v>
      </c>
      <c r="G13950" s="26">
        <v>0.1013</v>
      </c>
      <c r="H13950" s="26">
        <v>7.6200000000000004E-2</v>
      </c>
      <c r="I13950" s="26">
        <v>1.4200000000000001E-2</v>
      </c>
      <c r="J13950" s="26">
        <v>2.29E-2</v>
      </c>
      <c r="K13950" s="26">
        <v>4.24E-2</v>
      </c>
      <c r="L13950" s="26">
        <v>8.2600000000000007E-2</v>
      </c>
      <c r="M13950" s="26">
        <v>4.3200000000000002E-2</v>
      </c>
      <c r="N13950" s="26">
        <v>4.0000000000000001E-3</v>
      </c>
      <c r="O13950" s="26">
        <v>2.4E-2</v>
      </c>
      <c r="P13950" s="26">
        <v>1.1299999999999999E-2</v>
      </c>
      <c r="Q13950" s="26">
        <v>1.1999999999999999E-3</v>
      </c>
      <c r="R13950" s="26">
        <v>8.8000000000000005E-3</v>
      </c>
      <c r="S13950">
        <v>112</v>
      </c>
    </row>
    <row r="13951" spans="1:19" x14ac:dyDescent="0.35">
      <c r="A13951" s="27" t="s">
        <v>230</v>
      </c>
      <c r="B13951" s="27" t="s">
        <v>256</v>
      </c>
      <c r="C13951" s="28">
        <v>2.12E-2</v>
      </c>
      <c r="D13951" s="28">
        <v>0.36899999999999999</v>
      </c>
      <c r="E13951" s="28">
        <v>0.51529999999999998</v>
      </c>
      <c r="F13951" s="28">
        <v>0.18029999999999999</v>
      </c>
      <c r="G13951" s="28">
        <v>0.13200000000000001</v>
      </c>
      <c r="H13951" s="29"/>
      <c r="I13951" s="28">
        <v>6.0999999999999999E-2</v>
      </c>
      <c r="J13951" s="28">
        <v>2.5499999999999998E-2</v>
      </c>
      <c r="K13951" s="28">
        <v>2.7099999999999999E-2</v>
      </c>
      <c r="L13951" s="28">
        <v>0.12559999999999999</v>
      </c>
      <c r="M13951" s="29"/>
      <c r="N13951" s="28">
        <v>6.4000000000000003E-3</v>
      </c>
      <c r="O13951" s="29"/>
      <c r="P13951" s="28">
        <v>6.4000000000000003E-3</v>
      </c>
      <c r="Q13951" s="29"/>
      <c r="R13951" s="29"/>
      <c r="S13951" s="29" t="s">
        <v>329</v>
      </c>
    </row>
    <row r="13952" spans="1:19" x14ac:dyDescent="0.35">
      <c r="A13952" s="27" t="s">
        <v>230</v>
      </c>
      <c r="B13952" s="27" t="s">
        <v>258</v>
      </c>
      <c r="C13952" s="29"/>
      <c r="D13952" s="29"/>
      <c r="E13952" s="29"/>
      <c r="F13952" s="29"/>
      <c r="G13952" s="29"/>
      <c r="H13952" s="29"/>
      <c r="I13952" s="29"/>
      <c r="J13952" s="29"/>
      <c r="K13952" s="29"/>
      <c r="L13952" s="29"/>
      <c r="M13952" s="29"/>
      <c r="N13952" s="29"/>
      <c r="O13952" s="28">
        <v>1</v>
      </c>
      <c r="P13952" s="29"/>
      <c r="Q13952" s="29"/>
      <c r="R13952" s="29"/>
      <c r="S13952" s="29" t="s">
        <v>331</v>
      </c>
    </row>
    <row r="13953" spans="1:19" x14ac:dyDescent="0.35">
      <c r="A13953" s="27" t="s">
        <v>230</v>
      </c>
      <c r="B13953" s="27" t="s">
        <v>257</v>
      </c>
      <c r="C13953" s="28">
        <v>0.36830000000000002</v>
      </c>
      <c r="D13953" s="28">
        <v>0.10630000000000001</v>
      </c>
      <c r="E13953" s="28">
        <v>0.47220000000000001</v>
      </c>
      <c r="F13953" s="28">
        <v>5.3199999999999997E-2</v>
      </c>
      <c r="G13953" s="28">
        <v>0.31519999999999998</v>
      </c>
      <c r="H13953" s="29"/>
      <c r="I13953" s="28">
        <v>5.3199999999999997E-2</v>
      </c>
      <c r="J13953" s="29"/>
      <c r="K13953" s="29"/>
      <c r="L13953" s="29"/>
      <c r="M13953" s="29"/>
      <c r="N13953" s="29"/>
      <c r="O13953" s="29"/>
      <c r="P13953" s="29"/>
      <c r="Q13953" s="29"/>
      <c r="R13953" s="29"/>
      <c r="S13953" s="29" t="s">
        <v>334</v>
      </c>
    </row>
    <row r="13954" spans="1:19" x14ac:dyDescent="0.35">
      <c r="A13954" s="27" t="s">
        <v>231</v>
      </c>
      <c r="B13954" s="27" t="s">
        <v>255</v>
      </c>
      <c r="C13954" s="28">
        <v>0.32</v>
      </c>
      <c r="D13954" s="28">
        <v>0.44</v>
      </c>
      <c r="E13954" s="28">
        <v>0.16</v>
      </c>
      <c r="F13954" s="28">
        <v>0.12</v>
      </c>
      <c r="G13954" s="28">
        <v>0.12</v>
      </c>
      <c r="H13954" s="29"/>
      <c r="I13954" s="29"/>
      <c r="J13954" s="29"/>
      <c r="K13954" s="29"/>
      <c r="L13954" s="29"/>
      <c r="M13954" s="29"/>
      <c r="N13954" s="29"/>
      <c r="O13954" s="29"/>
      <c r="P13954" s="29"/>
      <c r="Q13954" s="29"/>
      <c r="R13954" s="29"/>
      <c r="S13954" s="29" t="s">
        <v>312</v>
      </c>
    </row>
    <row r="13955" spans="1:19" x14ac:dyDescent="0.35">
      <c r="A13955" s="27" t="s">
        <v>231</v>
      </c>
      <c r="B13955" s="27" t="s">
        <v>256</v>
      </c>
      <c r="C13955" s="28">
        <v>0.375</v>
      </c>
      <c r="D13955" s="28">
        <v>0.375</v>
      </c>
      <c r="E13955" s="28">
        <v>0.25</v>
      </c>
      <c r="F13955" s="28">
        <v>0.125</v>
      </c>
      <c r="G13955" s="28">
        <v>0.125</v>
      </c>
      <c r="H13955" s="29"/>
      <c r="I13955" s="29"/>
      <c r="J13955" s="29"/>
      <c r="K13955" s="29"/>
      <c r="L13955" s="29"/>
      <c r="M13955" s="29"/>
      <c r="N13955" s="29"/>
      <c r="O13955" s="29"/>
      <c r="P13955" s="29"/>
      <c r="Q13955" s="29"/>
      <c r="R13955" s="29"/>
      <c r="S13955" s="29" t="s">
        <v>333</v>
      </c>
    </row>
    <row r="13956" spans="1:19" x14ac:dyDescent="0.35">
      <c r="A13956" s="27" t="s">
        <v>231</v>
      </c>
      <c r="B13956" s="27" t="s">
        <v>257</v>
      </c>
      <c r="C13956" s="29"/>
      <c r="D13956" s="28">
        <v>1</v>
      </c>
      <c r="E13956" s="29"/>
      <c r="F13956" s="29"/>
      <c r="G13956" s="29"/>
      <c r="H13956" s="29"/>
      <c r="I13956" s="29"/>
      <c r="J13956" s="29"/>
      <c r="K13956" s="29"/>
      <c r="L13956" s="29"/>
      <c r="M13956" s="29"/>
      <c r="N13956" s="29"/>
      <c r="O13956" s="29"/>
      <c r="P13956" s="29"/>
      <c r="Q13956" s="29"/>
      <c r="R13956" s="29"/>
      <c r="S13956" s="29" t="s">
        <v>331</v>
      </c>
    </row>
    <row r="13957" spans="1:19" x14ac:dyDescent="0.35">
      <c r="A13957" t="s">
        <v>232</v>
      </c>
      <c r="B13957" t="s">
        <v>232</v>
      </c>
      <c r="C13957" s="26">
        <v>0.38069999999999998</v>
      </c>
      <c r="D13957" s="26">
        <v>0.27139999999999997</v>
      </c>
      <c r="E13957" s="26">
        <v>0.22270000000000001</v>
      </c>
      <c r="F13957" s="26">
        <v>0.1215</v>
      </c>
      <c r="G13957" s="26">
        <v>7.4499999999999997E-2</v>
      </c>
      <c r="H13957" s="26">
        <v>3.0099999999999998E-2</v>
      </c>
      <c r="I13957" s="26">
        <v>2.8000000000000001E-2</v>
      </c>
      <c r="J13957" s="26">
        <v>2.5600000000000001E-2</v>
      </c>
      <c r="K13957" s="26">
        <v>2.2200000000000001E-2</v>
      </c>
      <c r="L13957" s="26">
        <v>1.77E-2</v>
      </c>
      <c r="M13957" s="26">
        <v>1.5100000000000001E-2</v>
      </c>
      <c r="N13957" s="26">
        <v>8.0999999999999996E-3</v>
      </c>
      <c r="O13957" s="26">
        <v>4.7999999999999996E-3</v>
      </c>
      <c r="P13957" s="26">
        <v>3.5999999999999999E-3</v>
      </c>
      <c r="Q13957" s="26">
        <v>2.0999999999999999E-3</v>
      </c>
      <c r="R13957" s="26">
        <v>2.0999999999999999E-3</v>
      </c>
      <c r="S13957">
        <v>820</v>
      </c>
    </row>
    <row r="13959" spans="1:19" x14ac:dyDescent="0.35">
      <c r="A13959" s="1" t="s">
        <v>1556</v>
      </c>
    </row>
    <row r="13960" spans="1:19" x14ac:dyDescent="0.35">
      <c r="A13960" t="s">
        <v>219</v>
      </c>
      <c r="B13960" t="s">
        <v>305</v>
      </c>
      <c r="C13960" t="s">
        <v>281</v>
      </c>
      <c r="D13960" t="s">
        <v>550</v>
      </c>
      <c r="E13960" t="s">
        <v>1533</v>
      </c>
      <c r="F13960" t="s">
        <v>1534</v>
      </c>
      <c r="G13960" t="s">
        <v>1535</v>
      </c>
      <c r="H13960" t="s">
        <v>326</v>
      </c>
      <c r="I13960" t="s">
        <v>1536</v>
      </c>
      <c r="J13960" t="s">
        <v>1537</v>
      </c>
      <c r="K13960" t="s">
        <v>1538</v>
      </c>
      <c r="L13960" t="s">
        <v>1539</v>
      </c>
      <c r="M13960" t="s">
        <v>1540</v>
      </c>
      <c r="N13960" t="s">
        <v>1541</v>
      </c>
      <c r="O13960" t="s">
        <v>286</v>
      </c>
      <c r="P13960" t="s">
        <v>1542</v>
      </c>
      <c r="Q13960" t="s">
        <v>1543</v>
      </c>
      <c r="R13960" t="s">
        <v>1544</v>
      </c>
      <c r="S13960" t="s">
        <v>226</v>
      </c>
    </row>
    <row r="13961" spans="1:19" x14ac:dyDescent="0.35">
      <c r="A13961" s="27" t="s">
        <v>227</v>
      </c>
      <c r="B13961" s="27" t="s">
        <v>1341</v>
      </c>
      <c r="C13961" s="28">
        <v>0.68420000000000003</v>
      </c>
      <c r="D13961" s="28">
        <v>5.2600000000000001E-2</v>
      </c>
      <c r="E13961" s="28">
        <v>0.15790000000000001</v>
      </c>
      <c r="F13961" s="28">
        <v>0.15790000000000001</v>
      </c>
      <c r="G13961" s="28">
        <v>5.2600000000000001E-2</v>
      </c>
      <c r="H13961" s="29"/>
      <c r="I13961" s="29"/>
      <c r="J13961" s="28">
        <v>5.2600000000000001E-2</v>
      </c>
      <c r="K13961" s="29"/>
      <c r="L13961" s="29"/>
      <c r="M13961" s="29"/>
      <c r="N13961" s="29"/>
      <c r="O13961" s="29"/>
      <c r="P13961" s="29"/>
      <c r="Q13961" s="29"/>
      <c r="R13961" s="29"/>
      <c r="S13961" s="29" t="s">
        <v>349</v>
      </c>
    </row>
    <row r="13962" spans="1:19" x14ac:dyDescent="0.35">
      <c r="A13962" t="s">
        <v>227</v>
      </c>
      <c r="B13962" t="s">
        <v>1343</v>
      </c>
      <c r="C13962" s="26">
        <v>0.31430000000000002</v>
      </c>
      <c r="D13962" s="26">
        <v>0.37140000000000001</v>
      </c>
      <c r="E13962" s="26">
        <v>0.1714</v>
      </c>
      <c r="F13962" s="26">
        <v>5.7099999999999998E-2</v>
      </c>
      <c r="G13962" s="26">
        <v>2.86E-2</v>
      </c>
      <c r="H13962" s="26">
        <v>8.5699999999999998E-2</v>
      </c>
      <c r="K13962" s="26">
        <v>5.7099999999999998E-2</v>
      </c>
      <c r="N13962" s="26">
        <v>2.86E-2</v>
      </c>
      <c r="S13962">
        <v>35</v>
      </c>
    </row>
    <row r="13963" spans="1:19" x14ac:dyDescent="0.35">
      <c r="A13963" t="s">
        <v>228</v>
      </c>
      <c r="B13963" t="s">
        <v>1341</v>
      </c>
      <c r="C13963" s="26">
        <v>0.46160000000000001</v>
      </c>
      <c r="D13963" s="26">
        <v>0.1671</v>
      </c>
      <c r="E13963" s="26">
        <v>0.27339999999999998</v>
      </c>
      <c r="F13963" s="26">
        <v>6.8000000000000005E-2</v>
      </c>
      <c r="G13963" s="26">
        <v>9.7500000000000003E-2</v>
      </c>
      <c r="I13963" s="26">
        <v>5.8000000000000003E-2</v>
      </c>
      <c r="J13963" s="26">
        <v>1.46E-2</v>
      </c>
      <c r="K13963" s="26">
        <v>2.6599999999999999E-2</v>
      </c>
      <c r="L13963" s="26">
        <v>3.2099999999999997E-2</v>
      </c>
      <c r="M13963" s="26">
        <v>4.1399999999999999E-2</v>
      </c>
      <c r="S13963">
        <v>93</v>
      </c>
    </row>
    <row r="13964" spans="1:19" x14ac:dyDescent="0.35">
      <c r="A13964" t="s">
        <v>228</v>
      </c>
      <c r="B13964" t="s">
        <v>1343</v>
      </c>
      <c r="C13964" s="26">
        <v>0.46239999999999998</v>
      </c>
      <c r="D13964" s="26">
        <v>0.21379999999999999</v>
      </c>
      <c r="E13964" s="26">
        <v>0.17799999999999999</v>
      </c>
      <c r="F13964" s="26">
        <v>0.12089999999999999</v>
      </c>
      <c r="G13964" s="26">
        <v>5.57E-2</v>
      </c>
      <c r="H13964" s="26">
        <v>3.3599999999999998E-2</v>
      </c>
      <c r="I13964" s="26">
        <v>8.3400000000000002E-2</v>
      </c>
      <c r="J13964" s="26">
        <v>5.1400000000000001E-2</v>
      </c>
      <c r="K13964" s="26">
        <v>3.8699999999999998E-2</v>
      </c>
      <c r="L13964" s="26">
        <v>2.41E-2</v>
      </c>
      <c r="M13964" s="26">
        <v>2.4400000000000002E-2</v>
      </c>
      <c r="N13964" s="26">
        <v>5.4000000000000003E-3</v>
      </c>
      <c r="O13964" s="26">
        <v>1.1000000000000001E-3</v>
      </c>
      <c r="P13964" s="26">
        <v>1.15E-2</v>
      </c>
      <c r="Q13964" s="26">
        <v>9.2999999999999992E-3</v>
      </c>
      <c r="R13964" s="26">
        <v>6.7000000000000002E-3</v>
      </c>
      <c r="S13964">
        <v>217</v>
      </c>
    </row>
    <row r="13965" spans="1:19" x14ac:dyDescent="0.35">
      <c r="A13965" t="s">
        <v>229</v>
      </c>
      <c r="B13965" t="s">
        <v>1341</v>
      </c>
      <c r="C13965" s="26">
        <v>0.42120000000000002</v>
      </c>
      <c r="D13965" s="26">
        <v>0.1661</v>
      </c>
      <c r="E13965" s="26">
        <v>0.2591</v>
      </c>
      <c r="F13965" s="26">
        <v>0.18360000000000001</v>
      </c>
      <c r="G13965" s="26">
        <v>3.49E-2</v>
      </c>
      <c r="H13965" s="26">
        <v>4.19E-2</v>
      </c>
      <c r="I13965" s="26">
        <v>1.4999999999999999E-2</v>
      </c>
      <c r="K13965" s="26">
        <v>1.8E-3</v>
      </c>
      <c r="M13965" s="26">
        <v>1.8E-3</v>
      </c>
      <c r="N13965" s="26">
        <v>3.2399999999999998E-2</v>
      </c>
      <c r="P13965" s="26">
        <v>3.5000000000000001E-3</v>
      </c>
      <c r="S13965">
        <v>77</v>
      </c>
    </row>
    <row r="13966" spans="1:19" x14ac:dyDescent="0.35">
      <c r="A13966" t="s">
        <v>229</v>
      </c>
      <c r="B13966" t="s">
        <v>1343</v>
      </c>
      <c r="C13966" s="26">
        <v>0.29680000000000001</v>
      </c>
      <c r="D13966" s="26">
        <v>0.26750000000000002</v>
      </c>
      <c r="E13966" s="26">
        <v>0.27529999999999999</v>
      </c>
      <c r="F13966" s="26">
        <v>0.15079999999999999</v>
      </c>
      <c r="G13966" s="26">
        <v>6.93E-2</v>
      </c>
      <c r="H13966" s="26">
        <v>2.5999999999999999E-2</v>
      </c>
      <c r="I13966" s="26">
        <v>3.56E-2</v>
      </c>
      <c r="J13966" s="26">
        <v>5.2499999999999998E-2</v>
      </c>
      <c r="K13966" s="26">
        <v>1.9699999999999999E-2</v>
      </c>
      <c r="L13966" s="26">
        <v>1.7899999999999999E-2</v>
      </c>
      <c r="M13966" s="26">
        <v>2.3699999999999999E-2</v>
      </c>
      <c r="N13966" s="26">
        <v>3.0000000000000001E-3</v>
      </c>
      <c r="O13966" s="26">
        <v>1.26E-2</v>
      </c>
      <c r="P13966" s="26">
        <v>3.0000000000000001E-3</v>
      </c>
      <c r="Q13966" s="26">
        <v>3.0000000000000001E-3</v>
      </c>
      <c r="R13966" s="26">
        <v>2.2000000000000001E-3</v>
      </c>
      <c r="S13966">
        <v>194</v>
      </c>
    </row>
    <row r="13967" spans="1:19" x14ac:dyDescent="0.35">
      <c r="A13967" t="s">
        <v>230</v>
      </c>
      <c r="B13967" t="s">
        <v>1341</v>
      </c>
      <c r="C13967" s="26">
        <v>0.44950000000000001</v>
      </c>
      <c r="D13967" s="26">
        <v>0.28749999999999998</v>
      </c>
      <c r="E13967" s="26">
        <v>0.1135</v>
      </c>
      <c r="F13967" s="26">
        <v>9.5799999999999996E-2</v>
      </c>
      <c r="G13967" s="26">
        <v>0.1236</v>
      </c>
      <c r="I13967" s="26">
        <v>9.4000000000000004E-3</v>
      </c>
      <c r="J13967" s="26">
        <v>1.6500000000000001E-2</v>
      </c>
      <c r="K13967" s="26">
        <v>7.1999999999999995E-2</v>
      </c>
      <c r="L13967" s="26">
        <v>0.1236</v>
      </c>
      <c r="M13967" s="26">
        <v>6.8099999999999994E-2</v>
      </c>
      <c r="N13967" s="26">
        <v>1.0200000000000001E-2</v>
      </c>
      <c r="O13967" s="26">
        <v>6.5000000000000002E-2</v>
      </c>
      <c r="P13967" s="26">
        <v>1.6500000000000001E-2</v>
      </c>
      <c r="R13967" s="26">
        <v>1.3299999999999999E-2</v>
      </c>
      <c r="S13967">
        <v>39</v>
      </c>
    </row>
    <row r="13968" spans="1:19" x14ac:dyDescent="0.35">
      <c r="A13968" t="s">
        <v>230</v>
      </c>
      <c r="B13968" t="s">
        <v>1343</v>
      </c>
      <c r="C13968" s="26">
        <v>0.30599999999999999</v>
      </c>
      <c r="D13968" s="26">
        <v>0.1925</v>
      </c>
      <c r="E13968" s="26">
        <v>0.37869999999999998</v>
      </c>
      <c r="F13968" s="26">
        <v>9.1999999999999998E-2</v>
      </c>
      <c r="G13968" s="26">
        <v>0.11650000000000001</v>
      </c>
      <c r="H13968" s="26">
        <v>8.6599999999999996E-2</v>
      </c>
      <c r="I13968" s="26">
        <v>2.9899999999999999E-2</v>
      </c>
      <c r="J13968" s="26">
        <v>2.4299999999999999E-2</v>
      </c>
      <c r="K13968" s="26">
        <v>2.23E-2</v>
      </c>
      <c r="L13968" s="26">
        <v>6.6500000000000004E-2</v>
      </c>
      <c r="M13968" s="26">
        <v>1.9E-2</v>
      </c>
      <c r="N13968" s="26">
        <v>1.4E-3</v>
      </c>
      <c r="P13968" s="26">
        <v>6.8999999999999999E-3</v>
      </c>
      <c r="Q13968" s="26">
        <v>1.4E-3</v>
      </c>
      <c r="R13968" s="26">
        <v>4.1999999999999997E-3</v>
      </c>
      <c r="S13968">
        <v>112</v>
      </c>
    </row>
    <row r="13969" spans="1:19" x14ac:dyDescent="0.35">
      <c r="A13969" s="27" t="s">
        <v>231</v>
      </c>
      <c r="B13969" s="27" t="s">
        <v>1341</v>
      </c>
      <c r="C13969" s="28">
        <v>0.36359999999999998</v>
      </c>
      <c r="D13969" s="28">
        <v>0.45450000000000002</v>
      </c>
      <c r="E13969" s="28">
        <v>0.18179999999999999</v>
      </c>
      <c r="F13969" s="28">
        <v>9.0899999999999995E-2</v>
      </c>
      <c r="G13969" s="29"/>
      <c r="H13969" s="29"/>
      <c r="I13969" s="29"/>
      <c r="J13969" s="29"/>
      <c r="K13969" s="29"/>
      <c r="L13969" s="29"/>
      <c r="M13969" s="29"/>
      <c r="N13969" s="29"/>
      <c r="O13969" s="29"/>
      <c r="P13969" s="29"/>
      <c r="Q13969" s="29"/>
      <c r="R13969" s="29"/>
      <c r="S13969" s="29" t="s">
        <v>352</v>
      </c>
    </row>
    <row r="13970" spans="1:19" x14ac:dyDescent="0.35">
      <c r="A13970" s="27" t="s">
        <v>231</v>
      </c>
      <c r="B13970" s="27" t="s">
        <v>1343</v>
      </c>
      <c r="C13970" s="28">
        <v>0.30430000000000001</v>
      </c>
      <c r="D13970" s="28">
        <v>0.43480000000000002</v>
      </c>
      <c r="E13970" s="28">
        <v>0.1739</v>
      </c>
      <c r="F13970" s="28">
        <v>0.13039999999999999</v>
      </c>
      <c r="G13970" s="28">
        <v>0.1739</v>
      </c>
      <c r="H13970" s="29"/>
      <c r="I13970" s="29"/>
      <c r="J13970" s="29"/>
      <c r="K13970" s="29"/>
      <c r="L13970" s="29"/>
      <c r="M13970" s="29"/>
      <c r="N13970" s="29"/>
      <c r="O13970" s="29"/>
      <c r="P13970" s="29"/>
      <c r="Q13970" s="29"/>
      <c r="R13970" s="29"/>
      <c r="S13970" s="29" t="s">
        <v>328</v>
      </c>
    </row>
    <row r="13971" spans="1:19" x14ac:dyDescent="0.35">
      <c r="A13971" t="s">
        <v>232</v>
      </c>
      <c r="B13971" t="s">
        <v>232</v>
      </c>
      <c r="C13971" s="26">
        <v>0.38069999999999998</v>
      </c>
      <c r="D13971" s="26">
        <v>0.27139999999999997</v>
      </c>
      <c r="E13971" s="26">
        <v>0.22270000000000001</v>
      </c>
      <c r="F13971" s="26">
        <v>0.1215</v>
      </c>
      <c r="G13971" s="26">
        <v>7.4499999999999997E-2</v>
      </c>
      <c r="H13971" s="26">
        <v>3.0099999999999998E-2</v>
      </c>
      <c r="I13971" s="26">
        <v>2.8000000000000001E-2</v>
      </c>
      <c r="J13971" s="26">
        <v>2.5600000000000001E-2</v>
      </c>
      <c r="K13971" s="26">
        <v>2.2200000000000001E-2</v>
      </c>
      <c r="L13971" s="26">
        <v>1.77E-2</v>
      </c>
      <c r="M13971" s="26">
        <v>1.5100000000000001E-2</v>
      </c>
      <c r="N13971" s="26">
        <v>8.0999999999999996E-3</v>
      </c>
      <c r="O13971" s="26">
        <v>4.7999999999999996E-3</v>
      </c>
      <c r="P13971" s="26">
        <v>3.5999999999999999E-3</v>
      </c>
      <c r="Q13971" s="26">
        <v>2.0999999999999999E-3</v>
      </c>
      <c r="R13971" s="26">
        <v>2.0999999999999999E-3</v>
      </c>
      <c r="S13971">
        <v>820</v>
      </c>
    </row>
    <row r="13973" spans="1:19" x14ac:dyDescent="0.35">
      <c r="A13973" s="1" t="s">
        <v>1557</v>
      </c>
    </row>
    <row r="13974" spans="1:19" x14ac:dyDescent="0.35">
      <c r="A13974" t="s">
        <v>219</v>
      </c>
      <c r="B13974" t="s">
        <v>305</v>
      </c>
      <c r="C13974" t="s">
        <v>281</v>
      </c>
      <c r="D13974" t="s">
        <v>550</v>
      </c>
      <c r="E13974" t="s">
        <v>1533</v>
      </c>
      <c r="F13974" t="s">
        <v>1534</v>
      </c>
      <c r="G13974" t="s">
        <v>1535</v>
      </c>
      <c r="H13974" t="s">
        <v>326</v>
      </c>
      <c r="I13974" t="s">
        <v>1536</v>
      </c>
      <c r="J13974" t="s">
        <v>1537</v>
      </c>
      <c r="K13974" t="s">
        <v>1538</v>
      </c>
      <c r="L13974" t="s">
        <v>1539</v>
      </c>
      <c r="M13974" t="s">
        <v>1540</v>
      </c>
      <c r="N13974" t="s">
        <v>1541</v>
      </c>
      <c r="O13974" t="s">
        <v>286</v>
      </c>
      <c r="P13974" t="s">
        <v>1542</v>
      </c>
      <c r="Q13974" t="s">
        <v>1543</v>
      </c>
      <c r="R13974" t="s">
        <v>1544</v>
      </c>
      <c r="S13974" t="s">
        <v>226</v>
      </c>
    </row>
    <row r="13975" spans="1:19" x14ac:dyDescent="0.35">
      <c r="A13975" s="27" t="s">
        <v>227</v>
      </c>
      <c r="B13975" s="27" t="s">
        <v>1347</v>
      </c>
      <c r="C13975" s="28">
        <v>0.2</v>
      </c>
      <c r="D13975" s="28">
        <v>0.33329999999999999</v>
      </c>
      <c r="E13975" s="28">
        <v>0.26669999999999999</v>
      </c>
      <c r="F13975" s="28">
        <v>0.1333</v>
      </c>
      <c r="G13975" s="29"/>
      <c r="H13975" s="29"/>
      <c r="I13975" s="29"/>
      <c r="J13975" s="29"/>
      <c r="K13975" s="28">
        <v>0.1333</v>
      </c>
      <c r="L13975" s="29"/>
      <c r="M13975" s="29"/>
      <c r="N13975" s="28">
        <v>6.6699999999999995E-2</v>
      </c>
      <c r="O13975" s="29"/>
      <c r="P13975" s="29"/>
      <c r="Q13975" s="29"/>
      <c r="R13975" s="29"/>
      <c r="S13975" s="29" t="s">
        <v>346</v>
      </c>
    </row>
    <row r="13976" spans="1:19" x14ac:dyDescent="0.35">
      <c r="A13976" s="27" t="s">
        <v>227</v>
      </c>
      <c r="B13976" s="27" t="s">
        <v>1348</v>
      </c>
      <c r="C13976" s="28">
        <v>0.42309999999999998</v>
      </c>
      <c r="D13976" s="28">
        <v>0.26919999999999999</v>
      </c>
      <c r="E13976" s="28">
        <v>0.1923</v>
      </c>
      <c r="F13976" s="28">
        <v>7.6899999999999996E-2</v>
      </c>
      <c r="G13976" s="28">
        <v>7.6899999999999996E-2</v>
      </c>
      <c r="H13976" s="28">
        <v>0.1154</v>
      </c>
      <c r="I13976" s="29"/>
      <c r="J13976" s="28">
        <v>3.85E-2</v>
      </c>
      <c r="K13976" s="29"/>
      <c r="L13976" s="29"/>
      <c r="M13976" s="29"/>
      <c r="N13976" s="29"/>
      <c r="O13976" s="29"/>
      <c r="P13976" s="29"/>
      <c r="Q13976" s="29"/>
      <c r="R13976" s="29"/>
      <c r="S13976" s="29" t="s">
        <v>357</v>
      </c>
    </row>
    <row r="13977" spans="1:19" x14ac:dyDescent="0.35">
      <c r="A13977" s="27" t="s">
        <v>227</v>
      </c>
      <c r="B13977" s="27" t="s">
        <v>1346</v>
      </c>
      <c r="C13977" s="28">
        <v>0.76919999999999999</v>
      </c>
      <c r="D13977" s="28">
        <v>0.15379999999999999</v>
      </c>
      <c r="E13977" s="29"/>
      <c r="F13977" s="28">
        <v>7.6899999999999996E-2</v>
      </c>
      <c r="G13977" s="29"/>
      <c r="H13977" s="29"/>
      <c r="I13977" s="29"/>
      <c r="J13977" s="29"/>
      <c r="K13977" s="29"/>
      <c r="L13977" s="29"/>
      <c r="M13977" s="29"/>
      <c r="N13977" s="29"/>
      <c r="O13977" s="29"/>
      <c r="P13977" s="29"/>
      <c r="Q13977" s="29"/>
      <c r="R13977" s="29"/>
      <c r="S13977" s="29" t="s">
        <v>341</v>
      </c>
    </row>
    <row r="13978" spans="1:19" x14ac:dyDescent="0.35">
      <c r="A13978" s="27" t="s">
        <v>228</v>
      </c>
      <c r="B13978" s="27" t="s">
        <v>1345</v>
      </c>
      <c r="C13978" s="28">
        <v>0.1106</v>
      </c>
      <c r="D13978" s="28">
        <v>0.629</v>
      </c>
      <c r="E13978" s="28">
        <v>0.14979999999999999</v>
      </c>
      <c r="F13978" s="29"/>
      <c r="G13978" s="28">
        <v>0.2213</v>
      </c>
      <c r="H13978" s="29"/>
      <c r="I13978" s="29"/>
      <c r="J13978" s="29"/>
      <c r="K13978" s="28">
        <v>3.9100000000000003E-2</v>
      </c>
      <c r="L13978" s="29"/>
      <c r="M13978" s="28">
        <v>3.9100000000000003E-2</v>
      </c>
      <c r="N13978" s="29"/>
      <c r="O13978" s="29"/>
      <c r="P13978" s="29"/>
      <c r="Q13978" s="29"/>
      <c r="R13978" s="29"/>
      <c r="S13978" s="29" t="s">
        <v>335</v>
      </c>
    </row>
    <row r="13979" spans="1:19" x14ac:dyDescent="0.35">
      <c r="A13979" t="s">
        <v>228</v>
      </c>
      <c r="B13979" t="s">
        <v>1347</v>
      </c>
      <c r="C13979" s="26">
        <v>0.37530000000000002</v>
      </c>
      <c r="D13979" s="26">
        <v>0.20319999999999999</v>
      </c>
      <c r="E13979" s="26">
        <v>0.27560000000000001</v>
      </c>
      <c r="F13979" s="26">
        <v>7.0599999999999996E-2</v>
      </c>
      <c r="G13979" s="26">
        <v>8.09E-2</v>
      </c>
      <c r="H13979" s="26">
        <v>6.4000000000000001E-2</v>
      </c>
      <c r="I13979" s="26">
        <v>9.4200000000000006E-2</v>
      </c>
      <c r="J13979" s="26">
        <v>3.4000000000000002E-2</v>
      </c>
      <c r="K13979" s="26">
        <v>3.1399999999999997E-2</v>
      </c>
      <c r="L13979" s="26">
        <v>9.8900000000000002E-2</v>
      </c>
      <c r="M13979" s="26">
        <v>2.1299999999999999E-2</v>
      </c>
      <c r="N13979" s="26">
        <v>8.3999999999999995E-3</v>
      </c>
      <c r="P13979" s="26">
        <v>1.2800000000000001E-2</v>
      </c>
      <c r="S13979">
        <v>52</v>
      </c>
    </row>
    <row r="13980" spans="1:19" x14ac:dyDescent="0.35">
      <c r="A13980" t="s">
        <v>228</v>
      </c>
      <c r="B13980" t="s">
        <v>1346</v>
      </c>
      <c r="C13980" s="26">
        <v>0.63570000000000004</v>
      </c>
      <c r="D13980" s="26">
        <v>0.1885</v>
      </c>
      <c r="E13980" s="26">
        <v>5.3999999999999999E-2</v>
      </c>
      <c r="F13980" s="26">
        <v>9.7500000000000003E-2</v>
      </c>
      <c r="G13980" s="26">
        <v>8.2000000000000007E-3</v>
      </c>
      <c r="I13980" s="26">
        <v>3.1300000000000001E-2</v>
      </c>
      <c r="J13980" s="26">
        <v>4.5499999999999999E-2</v>
      </c>
      <c r="K13980" s="26">
        <v>6.7199999999999996E-2</v>
      </c>
      <c r="L13980" s="26">
        <v>3.0000000000000001E-3</v>
      </c>
      <c r="M13980" s="26">
        <v>2.8799999999999999E-2</v>
      </c>
      <c r="N13980" s="26">
        <v>3.0000000000000001E-3</v>
      </c>
      <c r="O13980" s="26">
        <v>3.0000000000000001E-3</v>
      </c>
      <c r="P13980" s="26">
        <v>3.0000000000000001E-3</v>
      </c>
      <c r="Q13980" s="26">
        <v>1.7600000000000001E-2</v>
      </c>
      <c r="R13980" s="26">
        <v>3.0000000000000001E-3</v>
      </c>
      <c r="S13980">
        <v>97</v>
      </c>
    </row>
    <row r="13981" spans="1:19" x14ac:dyDescent="0.35">
      <c r="A13981" t="s">
        <v>228</v>
      </c>
      <c r="B13981" t="s">
        <v>1348</v>
      </c>
      <c r="C13981" s="26">
        <v>0.43530000000000002</v>
      </c>
      <c r="D13981" s="26">
        <v>0.1757</v>
      </c>
      <c r="E13981" s="26">
        <v>0.25879999999999997</v>
      </c>
      <c r="F13981" s="26">
        <v>0.1265</v>
      </c>
      <c r="G13981" s="26">
        <v>8.3500000000000005E-2</v>
      </c>
      <c r="H13981" s="26">
        <v>1.95E-2</v>
      </c>
      <c r="I13981" s="26">
        <v>9.3600000000000003E-2</v>
      </c>
      <c r="J13981" s="26">
        <v>4.1700000000000001E-2</v>
      </c>
      <c r="K13981" s="26">
        <v>2.0799999999999999E-2</v>
      </c>
      <c r="L13981" s="26">
        <v>1.1900000000000001E-2</v>
      </c>
      <c r="M13981" s="26">
        <v>3.2899999999999999E-2</v>
      </c>
      <c r="N13981" s="26">
        <v>2.3999999999999998E-3</v>
      </c>
      <c r="P13981" s="26">
        <v>8.6999999999999994E-3</v>
      </c>
      <c r="Q13981" s="26">
        <v>3.8E-3</v>
      </c>
      <c r="R13981" s="26">
        <v>7.3000000000000001E-3</v>
      </c>
      <c r="S13981">
        <v>155</v>
      </c>
    </row>
    <row r="13982" spans="1:19" x14ac:dyDescent="0.35">
      <c r="A13982" s="27" t="s">
        <v>229</v>
      </c>
      <c r="B13982" s="27" t="s">
        <v>1345</v>
      </c>
      <c r="C13982" s="28">
        <v>3.5799999999999998E-2</v>
      </c>
      <c r="D13982" s="29"/>
      <c r="E13982" s="28">
        <v>0.86060000000000003</v>
      </c>
      <c r="F13982" s="28">
        <v>3.5799999999999998E-2</v>
      </c>
      <c r="G13982" s="29"/>
      <c r="H13982" s="28">
        <v>9.0700000000000003E-2</v>
      </c>
      <c r="I13982" s="28">
        <v>2.29E-2</v>
      </c>
      <c r="J13982" s="29"/>
      <c r="K13982" s="28">
        <v>2.29E-2</v>
      </c>
      <c r="L13982" s="29"/>
      <c r="M13982" s="28">
        <v>2.29E-2</v>
      </c>
      <c r="N13982" s="29"/>
      <c r="O13982" s="29"/>
      <c r="P13982" s="29"/>
      <c r="Q13982" s="29"/>
      <c r="R13982" s="29"/>
      <c r="S13982" s="29" t="s">
        <v>333</v>
      </c>
    </row>
    <row r="13983" spans="1:19" x14ac:dyDescent="0.35">
      <c r="A13983" t="s">
        <v>229</v>
      </c>
      <c r="B13983" t="s">
        <v>1346</v>
      </c>
      <c r="C13983" s="26">
        <v>0.62190000000000001</v>
      </c>
      <c r="D13983" s="26">
        <v>0.18509999999999999</v>
      </c>
      <c r="E13983" s="26">
        <v>9.01E-2</v>
      </c>
      <c r="F13983" s="26">
        <v>8.9700000000000002E-2</v>
      </c>
      <c r="G13983" s="26">
        <v>6.6E-3</v>
      </c>
      <c r="I13983" s="26">
        <v>6.6E-3</v>
      </c>
      <c r="J13983" s="26">
        <v>1.9800000000000002E-2</v>
      </c>
      <c r="K13983" s="26">
        <v>3.3999999999999998E-3</v>
      </c>
      <c r="L13983" s="26">
        <v>3.3999999999999998E-3</v>
      </c>
      <c r="M13983" s="26">
        <v>2.6599999999999999E-2</v>
      </c>
      <c r="N13983" s="26">
        <v>5.3E-3</v>
      </c>
      <c r="O13983" s="26">
        <v>4.99E-2</v>
      </c>
      <c r="S13983">
        <v>52</v>
      </c>
    </row>
    <row r="13984" spans="1:19" x14ac:dyDescent="0.35">
      <c r="A13984" t="s">
        <v>229</v>
      </c>
      <c r="B13984" t="s">
        <v>1347</v>
      </c>
      <c r="C13984" s="26">
        <v>0.17449999999999999</v>
      </c>
      <c r="D13984" s="26">
        <v>0.19670000000000001</v>
      </c>
      <c r="E13984" s="26">
        <v>0.46060000000000001</v>
      </c>
      <c r="F13984" s="26">
        <v>0.1356</v>
      </c>
      <c r="G13984" s="26">
        <v>0.14230000000000001</v>
      </c>
      <c r="H13984" s="26">
        <v>2.9600000000000001E-2</v>
      </c>
      <c r="I13984" s="26">
        <v>6.9500000000000006E-2</v>
      </c>
      <c r="J13984" s="26">
        <v>7.8299999999999995E-2</v>
      </c>
      <c r="K13984" s="26">
        <v>3.5400000000000001E-2</v>
      </c>
      <c r="L13984" s="26">
        <v>3.3300000000000003E-2</v>
      </c>
      <c r="M13984" s="26">
        <v>2.6599999999999999E-2</v>
      </c>
      <c r="N13984" s="26">
        <v>4.4000000000000003E-3</v>
      </c>
      <c r="P13984" s="26">
        <v>5.8999999999999999E-3</v>
      </c>
      <c r="Q13984" s="26">
        <v>5.8999999999999999E-3</v>
      </c>
      <c r="R13984" s="26">
        <v>4.4000000000000003E-3</v>
      </c>
      <c r="S13984">
        <v>97</v>
      </c>
    </row>
    <row r="13985" spans="1:20" x14ac:dyDescent="0.35">
      <c r="A13985" t="s">
        <v>229</v>
      </c>
      <c r="B13985" t="s">
        <v>1348</v>
      </c>
      <c r="C13985" s="26">
        <v>0.372</v>
      </c>
      <c r="D13985" s="26">
        <v>0.29709999999999998</v>
      </c>
      <c r="E13985" s="26">
        <v>0.1585</v>
      </c>
      <c r="F13985" s="26">
        <v>0.20930000000000001</v>
      </c>
      <c r="G13985" s="26">
        <v>1.67E-2</v>
      </c>
      <c r="H13985" s="26">
        <v>3.8899999999999997E-2</v>
      </c>
      <c r="I13985" s="26">
        <v>7.3000000000000001E-3</v>
      </c>
      <c r="J13985" s="26">
        <v>1.32E-2</v>
      </c>
      <c r="K13985" s="26">
        <v>1.8E-3</v>
      </c>
      <c r="L13985" s="26">
        <v>5.9999999999999995E-4</v>
      </c>
      <c r="M13985" s="26">
        <v>6.6E-3</v>
      </c>
      <c r="N13985" s="26">
        <v>0.02</v>
      </c>
      <c r="O13985" s="26">
        <v>2.2000000000000001E-3</v>
      </c>
      <c r="P13985" s="26">
        <v>2.2000000000000001E-3</v>
      </c>
      <c r="S13985">
        <v>114</v>
      </c>
    </row>
    <row r="13986" spans="1:20" x14ac:dyDescent="0.35">
      <c r="A13986" s="27" t="s">
        <v>230</v>
      </c>
      <c r="B13986" s="27" t="s">
        <v>1345</v>
      </c>
      <c r="C13986" s="28">
        <v>6.7500000000000004E-2</v>
      </c>
      <c r="D13986" s="28">
        <v>0.4662</v>
      </c>
      <c r="E13986" s="28">
        <v>0.4662</v>
      </c>
      <c r="F13986" s="29"/>
      <c r="G13986" s="29"/>
      <c r="H13986" s="28">
        <v>0.40029999999999999</v>
      </c>
      <c r="I13986" s="29"/>
      <c r="J13986" s="29"/>
      <c r="K13986" s="29"/>
      <c r="L13986" s="28">
        <v>6.6000000000000003E-2</v>
      </c>
      <c r="M13986" s="28">
        <v>6.6000000000000003E-2</v>
      </c>
      <c r="N13986" s="29"/>
      <c r="O13986" s="29"/>
      <c r="P13986" s="29"/>
      <c r="Q13986" s="29"/>
      <c r="R13986" s="29"/>
      <c r="S13986" s="29" t="s">
        <v>332</v>
      </c>
    </row>
    <row r="13987" spans="1:20" x14ac:dyDescent="0.35">
      <c r="A13987" t="s">
        <v>230</v>
      </c>
      <c r="B13987" t="s">
        <v>1347</v>
      </c>
      <c r="C13987" s="26">
        <v>0.30409999999999998</v>
      </c>
      <c r="D13987" s="26">
        <v>0.18840000000000001</v>
      </c>
      <c r="E13987" s="26">
        <v>0.43809999999999999</v>
      </c>
      <c r="F13987" s="26">
        <v>0.1706</v>
      </c>
      <c r="G13987" s="26">
        <v>0.13370000000000001</v>
      </c>
      <c r="H13987" s="26">
        <v>1.1299999999999999E-2</v>
      </c>
      <c r="I13987" s="26">
        <v>2.9100000000000001E-2</v>
      </c>
      <c r="J13987" s="26">
        <v>1.8100000000000002E-2</v>
      </c>
      <c r="K13987" s="26">
        <v>3.3999999999999998E-3</v>
      </c>
      <c r="L13987" s="26">
        <v>6.6799999999999998E-2</v>
      </c>
      <c r="M13987" s="26">
        <v>1.0999999999999999E-2</v>
      </c>
      <c r="N13987" s="26">
        <v>3.3999999999999998E-3</v>
      </c>
      <c r="S13987">
        <v>41</v>
      </c>
    </row>
    <row r="13988" spans="1:20" x14ac:dyDescent="0.35">
      <c r="A13988" t="s">
        <v>230</v>
      </c>
      <c r="B13988" t="s">
        <v>1348</v>
      </c>
      <c r="C13988" s="26">
        <v>0.3044</v>
      </c>
      <c r="D13988" s="26">
        <v>0.2382</v>
      </c>
      <c r="E13988" s="26">
        <v>0.28749999999999998</v>
      </c>
      <c r="F13988" s="26">
        <v>6.4000000000000001E-2</v>
      </c>
      <c r="G13988" s="26">
        <v>0.161</v>
      </c>
      <c r="H13988" s="26">
        <v>3.8699999999999998E-2</v>
      </c>
      <c r="I13988" s="26">
        <v>2.9399999999999999E-2</v>
      </c>
      <c r="J13988" s="26">
        <v>2.2100000000000002E-2</v>
      </c>
      <c r="K13988" s="26">
        <v>5.5500000000000001E-2</v>
      </c>
      <c r="L13988" s="26">
        <v>0.1245</v>
      </c>
      <c r="M13988" s="26">
        <v>4.8500000000000001E-2</v>
      </c>
      <c r="N13988" s="26">
        <v>6.4000000000000003E-3</v>
      </c>
      <c r="O13988" s="26">
        <v>4.0599999999999997E-2</v>
      </c>
      <c r="P13988" s="26">
        <v>1.8100000000000002E-2</v>
      </c>
      <c r="Q13988" s="26">
        <v>2E-3</v>
      </c>
      <c r="R13988" s="26">
        <v>1.23E-2</v>
      </c>
      <c r="S13988">
        <v>74</v>
      </c>
    </row>
    <row r="13989" spans="1:20" x14ac:dyDescent="0.35">
      <c r="A13989" t="s">
        <v>230</v>
      </c>
      <c r="B13989" t="s">
        <v>1346</v>
      </c>
      <c r="C13989" s="26">
        <v>0.62170000000000003</v>
      </c>
      <c r="D13989" s="26">
        <v>0.1641</v>
      </c>
      <c r="E13989" s="26">
        <v>5.7599999999999998E-2</v>
      </c>
      <c r="F13989" s="26">
        <v>7.4999999999999997E-2</v>
      </c>
      <c r="G13989" s="26">
        <v>1.0699999999999999E-2</v>
      </c>
      <c r="H13989" s="26">
        <v>0.1057</v>
      </c>
      <c r="I13989" s="26">
        <v>5.4000000000000003E-3</v>
      </c>
      <c r="J13989" s="26">
        <v>3.3500000000000002E-2</v>
      </c>
      <c r="K13989" s="26">
        <v>5.2200000000000003E-2</v>
      </c>
      <c r="L13989" s="26">
        <v>5.4000000000000003E-3</v>
      </c>
      <c r="M13989" s="26">
        <v>2.2800000000000001E-2</v>
      </c>
      <c r="P13989" s="26">
        <v>5.4000000000000003E-3</v>
      </c>
      <c r="R13989" s="26">
        <v>5.4000000000000003E-3</v>
      </c>
      <c r="S13989">
        <v>31</v>
      </c>
    </row>
    <row r="13990" spans="1:20" x14ac:dyDescent="0.35">
      <c r="A13990" s="27" t="s">
        <v>231</v>
      </c>
      <c r="B13990" s="27" t="s">
        <v>1345</v>
      </c>
      <c r="C13990" s="29"/>
      <c r="D13990" s="29"/>
      <c r="E13990" s="28">
        <v>1</v>
      </c>
      <c r="F13990" s="28">
        <v>0.5</v>
      </c>
      <c r="G13990" s="28">
        <v>1</v>
      </c>
      <c r="H13990" s="29"/>
      <c r="I13990" s="29"/>
      <c r="J13990" s="29"/>
      <c r="K13990" s="29"/>
      <c r="L13990" s="29"/>
      <c r="M13990" s="29"/>
      <c r="N13990" s="29"/>
      <c r="O13990" s="29"/>
      <c r="P13990" s="29"/>
      <c r="Q13990" s="29"/>
      <c r="R13990" s="29"/>
      <c r="S13990" s="29" t="s">
        <v>314</v>
      </c>
    </row>
    <row r="13991" spans="1:20" x14ac:dyDescent="0.35">
      <c r="A13991" s="27" t="s">
        <v>231</v>
      </c>
      <c r="B13991" s="27" t="s">
        <v>1348</v>
      </c>
      <c r="C13991" s="28">
        <v>0.29409999999999997</v>
      </c>
      <c r="D13991" s="28">
        <v>0.52939999999999998</v>
      </c>
      <c r="E13991" s="28">
        <v>0.1176</v>
      </c>
      <c r="F13991" s="28">
        <v>0.1176</v>
      </c>
      <c r="G13991" s="29"/>
      <c r="H13991" s="29"/>
      <c r="I13991" s="29"/>
      <c r="J13991" s="29"/>
      <c r="K13991" s="29"/>
      <c r="L13991" s="29"/>
      <c r="M13991" s="29"/>
      <c r="N13991" s="29"/>
      <c r="O13991" s="29"/>
      <c r="P13991" s="29"/>
      <c r="Q13991" s="29"/>
      <c r="R13991" s="29"/>
      <c r="S13991" s="29" t="s">
        <v>343</v>
      </c>
    </row>
    <row r="13992" spans="1:20" x14ac:dyDescent="0.35">
      <c r="A13992" s="27" t="s">
        <v>231</v>
      </c>
      <c r="B13992" s="27" t="s">
        <v>1347</v>
      </c>
      <c r="C13992" s="28">
        <v>0.25</v>
      </c>
      <c r="D13992" s="28">
        <v>0.375</v>
      </c>
      <c r="E13992" s="28">
        <v>0.25</v>
      </c>
      <c r="F13992" s="28">
        <v>0.125</v>
      </c>
      <c r="G13992" s="28">
        <v>0.25</v>
      </c>
      <c r="H13992" s="29"/>
      <c r="I13992" s="29"/>
      <c r="J13992" s="29"/>
      <c r="K13992" s="29"/>
      <c r="L13992" s="29"/>
      <c r="M13992" s="29"/>
      <c r="N13992" s="29"/>
      <c r="O13992" s="29"/>
      <c r="P13992" s="29"/>
      <c r="Q13992" s="29"/>
      <c r="R13992" s="29"/>
      <c r="S13992" s="29" t="s">
        <v>333</v>
      </c>
    </row>
    <row r="13993" spans="1:20" x14ac:dyDescent="0.35">
      <c r="A13993" s="27" t="s">
        <v>231</v>
      </c>
      <c r="B13993" s="27" t="s">
        <v>1346</v>
      </c>
      <c r="C13993" s="28">
        <v>0.57140000000000002</v>
      </c>
      <c r="D13993" s="28">
        <v>0.42859999999999998</v>
      </c>
      <c r="E13993" s="29"/>
      <c r="F13993" s="29"/>
      <c r="G13993" s="29"/>
      <c r="H13993" s="29"/>
      <c r="I13993" s="29"/>
      <c r="J13993" s="29"/>
      <c r="K13993" s="29"/>
      <c r="L13993" s="29"/>
      <c r="M13993" s="29"/>
      <c r="N13993" s="29"/>
      <c r="O13993" s="29"/>
      <c r="P13993" s="29"/>
      <c r="Q13993" s="29"/>
      <c r="R13993" s="29"/>
      <c r="S13993" s="29" t="s">
        <v>339</v>
      </c>
    </row>
    <row r="13994" spans="1:20" x14ac:dyDescent="0.35">
      <c r="A13994" t="s">
        <v>232</v>
      </c>
      <c r="B13994" t="s">
        <v>232</v>
      </c>
      <c r="C13994" s="26">
        <v>0.38069999999999998</v>
      </c>
      <c r="D13994" s="26">
        <v>0.27139999999999997</v>
      </c>
      <c r="E13994" s="26">
        <v>0.22270000000000001</v>
      </c>
      <c r="F13994" s="26">
        <v>0.1215</v>
      </c>
      <c r="G13994" s="26">
        <v>7.4499999999999997E-2</v>
      </c>
      <c r="H13994" s="26">
        <v>3.0099999999999998E-2</v>
      </c>
      <c r="I13994" s="26">
        <v>2.8000000000000001E-2</v>
      </c>
      <c r="J13994" s="26">
        <v>2.5600000000000001E-2</v>
      </c>
      <c r="K13994" s="26">
        <v>2.2200000000000001E-2</v>
      </c>
      <c r="L13994" s="26">
        <v>1.77E-2</v>
      </c>
      <c r="M13994" s="26">
        <v>1.5100000000000001E-2</v>
      </c>
      <c r="N13994" s="26">
        <v>8.0999999999999996E-3</v>
      </c>
      <c r="O13994" s="26">
        <v>4.7999999999999996E-3</v>
      </c>
      <c r="P13994" s="26">
        <v>3.5999999999999999E-3</v>
      </c>
      <c r="Q13994" s="26">
        <v>2.0999999999999999E-3</v>
      </c>
      <c r="R13994" s="26">
        <v>2.0999999999999999E-3</v>
      </c>
      <c r="S13994">
        <v>820</v>
      </c>
    </row>
    <row r="13996" spans="1:20" x14ac:dyDescent="0.35">
      <c r="A13996" s="1" t="s">
        <v>1558</v>
      </c>
    </row>
    <row r="13997" spans="1:20" x14ac:dyDescent="0.35">
      <c r="A13997" t="s">
        <v>219</v>
      </c>
      <c r="B13997" t="s">
        <v>305</v>
      </c>
      <c r="C13997" t="s">
        <v>345</v>
      </c>
      <c r="D13997" t="s">
        <v>281</v>
      </c>
      <c r="E13997" t="s">
        <v>550</v>
      </c>
      <c r="F13997" t="s">
        <v>1533</v>
      </c>
      <c r="G13997" t="s">
        <v>1534</v>
      </c>
      <c r="H13997" t="s">
        <v>1535</v>
      </c>
      <c r="I13997" t="s">
        <v>326</v>
      </c>
      <c r="J13997" t="s">
        <v>1536</v>
      </c>
      <c r="K13997" t="s">
        <v>1537</v>
      </c>
      <c r="L13997" t="s">
        <v>1538</v>
      </c>
      <c r="M13997" t="s">
        <v>1539</v>
      </c>
      <c r="N13997" t="s">
        <v>1540</v>
      </c>
      <c r="O13997" t="s">
        <v>1541</v>
      </c>
      <c r="P13997" t="s">
        <v>286</v>
      </c>
      <c r="Q13997" t="s">
        <v>1542</v>
      </c>
      <c r="R13997" t="s">
        <v>1543</v>
      </c>
      <c r="S13997" t="s">
        <v>1544</v>
      </c>
      <c r="T13997" t="s">
        <v>226</v>
      </c>
    </row>
    <row r="13998" spans="1:20" x14ac:dyDescent="0.35">
      <c r="A13998" s="27" t="s">
        <v>227</v>
      </c>
      <c r="B13998" s="27" t="s">
        <v>1343</v>
      </c>
      <c r="C13998" s="27" t="s">
        <v>1346</v>
      </c>
      <c r="D13998" s="28">
        <v>0.6</v>
      </c>
      <c r="E13998" s="28">
        <v>0.4</v>
      </c>
      <c r="F13998" s="29"/>
      <c r="G13998" s="29"/>
      <c r="H13998" s="29"/>
      <c r="I13998" s="29"/>
      <c r="J13998" s="29"/>
      <c r="K13998" s="29"/>
      <c r="L13998" s="29"/>
      <c r="M13998" s="29"/>
      <c r="N13998" s="29"/>
      <c r="O13998" s="29"/>
      <c r="P13998" s="29"/>
      <c r="Q13998" s="29"/>
      <c r="R13998" s="29"/>
      <c r="S13998" s="29"/>
      <c r="T13998" s="29" t="s">
        <v>332</v>
      </c>
    </row>
    <row r="13999" spans="1:20" x14ac:dyDescent="0.35">
      <c r="A13999" s="27" t="s">
        <v>227</v>
      </c>
      <c r="B13999" s="27" t="s">
        <v>1343</v>
      </c>
      <c r="C13999" s="27" t="s">
        <v>1348</v>
      </c>
      <c r="D13999" s="28">
        <v>0.35</v>
      </c>
      <c r="E13999" s="28">
        <v>0.35</v>
      </c>
      <c r="F13999" s="28">
        <v>0.2</v>
      </c>
      <c r="G13999" s="28">
        <v>0.05</v>
      </c>
      <c r="H13999" s="28">
        <v>0.05</v>
      </c>
      <c r="I13999" s="28">
        <v>0.15</v>
      </c>
      <c r="J13999" s="29"/>
      <c r="K13999" s="29"/>
      <c r="L13999" s="29"/>
      <c r="M13999" s="29"/>
      <c r="N13999" s="29"/>
      <c r="O13999" s="29"/>
      <c r="P13999" s="29"/>
      <c r="Q13999" s="29"/>
      <c r="R13999" s="29"/>
      <c r="S13999" s="29"/>
      <c r="T13999" s="29" t="s">
        <v>350</v>
      </c>
    </row>
    <row r="14000" spans="1:20" x14ac:dyDescent="0.35">
      <c r="A14000" s="27" t="s">
        <v>227</v>
      </c>
      <c r="B14000" s="27" t="s">
        <v>1341</v>
      </c>
      <c r="C14000" s="27" t="s">
        <v>1347</v>
      </c>
      <c r="D14000" s="28">
        <v>0.4</v>
      </c>
      <c r="E14000" s="28">
        <v>0.2</v>
      </c>
      <c r="F14000" s="28">
        <v>0.4</v>
      </c>
      <c r="G14000" s="28">
        <v>0.2</v>
      </c>
      <c r="H14000" s="29"/>
      <c r="I14000" s="29"/>
      <c r="J14000" s="29"/>
      <c r="K14000" s="29"/>
      <c r="L14000" s="29"/>
      <c r="M14000" s="29"/>
      <c r="N14000" s="29"/>
      <c r="O14000" s="29"/>
      <c r="P14000" s="29"/>
      <c r="Q14000" s="29"/>
      <c r="R14000" s="29"/>
      <c r="S14000" s="29"/>
      <c r="T14000" s="29" t="s">
        <v>332</v>
      </c>
    </row>
    <row r="14001" spans="1:20" x14ac:dyDescent="0.35">
      <c r="A14001" s="27" t="s">
        <v>227</v>
      </c>
      <c r="B14001" s="27" t="s">
        <v>1343</v>
      </c>
      <c r="C14001" s="27" t="s">
        <v>1347</v>
      </c>
      <c r="D14001" s="28">
        <v>0.1</v>
      </c>
      <c r="E14001" s="28">
        <v>0.4</v>
      </c>
      <c r="F14001" s="28">
        <v>0.2</v>
      </c>
      <c r="G14001" s="28">
        <v>0.1</v>
      </c>
      <c r="H14001" s="29"/>
      <c r="I14001" s="29"/>
      <c r="J14001" s="29"/>
      <c r="K14001" s="29"/>
      <c r="L14001" s="28">
        <v>0.2</v>
      </c>
      <c r="M14001" s="29"/>
      <c r="N14001" s="29"/>
      <c r="O14001" s="28">
        <v>0.1</v>
      </c>
      <c r="P14001" s="29"/>
      <c r="Q14001" s="29"/>
      <c r="R14001" s="29"/>
      <c r="S14001" s="29"/>
      <c r="T14001" s="29" t="s">
        <v>307</v>
      </c>
    </row>
    <row r="14002" spans="1:20" x14ac:dyDescent="0.35">
      <c r="A14002" s="27" t="s">
        <v>227</v>
      </c>
      <c r="B14002" s="27" t="s">
        <v>1341</v>
      </c>
      <c r="C14002" s="27" t="s">
        <v>1348</v>
      </c>
      <c r="D14002" s="28">
        <v>0.66669999999999996</v>
      </c>
      <c r="E14002" s="29"/>
      <c r="F14002" s="28">
        <v>0.16669999999999999</v>
      </c>
      <c r="G14002" s="28">
        <v>0.16669999999999999</v>
      </c>
      <c r="H14002" s="28">
        <v>0.16669999999999999</v>
      </c>
      <c r="I14002" s="29"/>
      <c r="J14002" s="29"/>
      <c r="K14002" s="28">
        <v>0.16669999999999999</v>
      </c>
      <c r="L14002" s="29"/>
      <c r="M14002" s="29"/>
      <c r="N14002" s="29"/>
      <c r="O14002" s="29"/>
      <c r="P14002" s="29"/>
      <c r="Q14002" s="29"/>
      <c r="R14002" s="29"/>
      <c r="S14002" s="29"/>
      <c r="T14002" s="29" t="s">
        <v>335</v>
      </c>
    </row>
    <row r="14003" spans="1:20" x14ac:dyDescent="0.35">
      <c r="A14003" s="27" t="s">
        <v>227</v>
      </c>
      <c r="B14003" s="27" t="s">
        <v>1341</v>
      </c>
      <c r="C14003" s="27" t="s">
        <v>1346</v>
      </c>
      <c r="D14003" s="28">
        <v>0.875</v>
      </c>
      <c r="E14003" s="29"/>
      <c r="F14003" s="29"/>
      <c r="G14003" s="28">
        <v>0.125</v>
      </c>
      <c r="H14003" s="29"/>
      <c r="I14003" s="29"/>
      <c r="J14003" s="29"/>
      <c r="K14003" s="29"/>
      <c r="L14003" s="29"/>
      <c r="M14003" s="29"/>
      <c r="N14003" s="29"/>
      <c r="O14003" s="29"/>
      <c r="P14003" s="29"/>
      <c r="Q14003" s="29"/>
      <c r="R14003" s="29"/>
      <c r="S14003" s="29"/>
      <c r="T14003" s="29" t="s">
        <v>333</v>
      </c>
    </row>
    <row r="14004" spans="1:20" x14ac:dyDescent="0.35">
      <c r="A14004" s="27" t="s">
        <v>228</v>
      </c>
      <c r="B14004" s="27" t="s">
        <v>1341</v>
      </c>
      <c r="C14004" s="27" t="s">
        <v>1345</v>
      </c>
      <c r="D14004" s="28">
        <v>0.42480000000000001</v>
      </c>
      <c r="E14004" s="29"/>
      <c r="F14004" s="28">
        <v>0.57520000000000004</v>
      </c>
      <c r="G14004" s="29"/>
      <c r="H14004" s="28">
        <v>0.42480000000000001</v>
      </c>
      <c r="I14004" s="29"/>
      <c r="J14004" s="29"/>
      <c r="K14004" s="29"/>
      <c r="L14004" s="28">
        <v>0.15029999999999999</v>
      </c>
      <c r="M14004" s="29"/>
      <c r="N14004" s="28">
        <v>0.15029999999999999</v>
      </c>
      <c r="O14004" s="29"/>
      <c r="P14004" s="29"/>
      <c r="Q14004" s="29"/>
      <c r="R14004" s="29"/>
      <c r="S14004" s="29"/>
      <c r="T14004" s="29" t="s">
        <v>315</v>
      </c>
    </row>
    <row r="14005" spans="1:20" x14ac:dyDescent="0.35">
      <c r="A14005" t="s">
        <v>228</v>
      </c>
      <c r="B14005" t="s">
        <v>1343</v>
      </c>
      <c r="C14005" t="s">
        <v>1348</v>
      </c>
      <c r="D14005" s="26">
        <v>0.38729999999999998</v>
      </c>
      <c r="E14005" s="26">
        <v>0.2142</v>
      </c>
      <c r="F14005" s="26">
        <v>0.25969999999999999</v>
      </c>
      <c r="G14005" s="26">
        <v>0.15329999999999999</v>
      </c>
      <c r="H14005" s="26">
        <v>8.9800000000000005E-2</v>
      </c>
      <c r="I14005" s="26">
        <v>3.2399999999999998E-2</v>
      </c>
      <c r="J14005" s="26">
        <v>0.10249999999999999</v>
      </c>
      <c r="K14005" s="26">
        <v>6.3899999999999998E-2</v>
      </c>
      <c r="L14005" s="26">
        <v>1.17E-2</v>
      </c>
      <c r="M14005" s="26">
        <v>1.9900000000000001E-2</v>
      </c>
      <c r="N14005" s="26">
        <v>1.7000000000000001E-2</v>
      </c>
      <c r="O14005" s="26">
        <v>4.0000000000000001E-3</v>
      </c>
      <c r="Q14005" s="26">
        <v>1.4500000000000001E-2</v>
      </c>
      <c r="R14005" s="26">
        <v>6.4000000000000003E-3</v>
      </c>
      <c r="S14005" s="26">
        <v>1.2200000000000001E-2</v>
      </c>
      <c r="T14005">
        <v>99</v>
      </c>
    </row>
    <row r="14006" spans="1:20" x14ac:dyDescent="0.35">
      <c r="A14006" t="s">
        <v>228</v>
      </c>
      <c r="B14006" t="s">
        <v>1343</v>
      </c>
      <c r="C14006" t="s">
        <v>1347</v>
      </c>
      <c r="D14006" s="26">
        <v>0.43180000000000002</v>
      </c>
      <c r="E14006" s="26">
        <v>0.1333</v>
      </c>
      <c r="F14006" s="26">
        <v>0.23519999999999999</v>
      </c>
      <c r="G14006" s="26">
        <v>9.2600000000000002E-2</v>
      </c>
      <c r="H14006" s="26">
        <v>3.4000000000000002E-2</v>
      </c>
      <c r="I14006" s="26">
        <v>0.10249999999999999</v>
      </c>
      <c r="J14006" s="26">
        <v>0.13739999999999999</v>
      </c>
      <c r="K14006" s="26">
        <v>4.0899999999999999E-2</v>
      </c>
      <c r="L14006" s="26">
        <v>5.0200000000000002E-2</v>
      </c>
      <c r="M14006" s="26">
        <v>7.6399999999999996E-2</v>
      </c>
      <c r="N14006" s="26">
        <v>3.4000000000000002E-2</v>
      </c>
      <c r="O14006" s="26">
        <v>1.35E-2</v>
      </c>
      <c r="Q14006" s="26">
        <v>2.0500000000000001E-2</v>
      </c>
      <c r="T14006">
        <v>33</v>
      </c>
    </row>
    <row r="14007" spans="1:20" x14ac:dyDescent="0.35">
      <c r="A14007" s="27" t="s">
        <v>228</v>
      </c>
      <c r="B14007" s="27" t="s">
        <v>1343</v>
      </c>
      <c r="C14007" s="27" t="s">
        <v>1345</v>
      </c>
      <c r="D14007" s="29"/>
      <c r="E14007" s="28">
        <v>0.85040000000000004</v>
      </c>
      <c r="F14007" s="29"/>
      <c r="G14007" s="29"/>
      <c r="H14007" s="28">
        <v>0.14960000000000001</v>
      </c>
      <c r="I14007" s="29"/>
      <c r="J14007" s="29"/>
      <c r="K14007" s="29"/>
      <c r="L14007" s="29"/>
      <c r="M14007" s="29"/>
      <c r="N14007" s="29"/>
      <c r="O14007" s="29"/>
      <c r="P14007" s="29"/>
      <c r="Q14007" s="29"/>
      <c r="R14007" s="29"/>
      <c r="S14007" s="29"/>
      <c r="T14007" s="29" t="s">
        <v>315</v>
      </c>
    </row>
    <row r="14008" spans="1:20" x14ac:dyDescent="0.35">
      <c r="A14008" s="27" t="s">
        <v>228</v>
      </c>
      <c r="B14008" s="27" t="s">
        <v>1341</v>
      </c>
      <c r="C14008" s="27" t="s">
        <v>1346</v>
      </c>
      <c r="D14008" s="28">
        <v>0.62570000000000003</v>
      </c>
      <c r="E14008" s="28">
        <v>0.18010000000000001</v>
      </c>
      <c r="F14008" s="28">
        <v>0.1007</v>
      </c>
      <c r="G14008" s="28">
        <v>4.3499999999999997E-2</v>
      </c>
      <c r="H14008" s="29"/>
      <c r="I14008" s="29"/>
      <c r="J14008" s="29"/>
      <c r="K14008" s="28">
        <v>5.0099999999999999E-2</v>
      </c>
      <c r="L14008" s="29"/>
      <c r="M14008" s="29"/>
      <c r="N14008" s="29"/>
      <c r="O14008" s="29"/>
      <c r="P14008" s="29"/>
      <c r="Q14008" s="29"/>
      <c r="R14008" s="29"/>
      <c r="S14008" s="29"/>
      <c r="T14008" s="29" t="s">
        <v>346</v>
      </c>
    </row>
    <row r="14009" spans="1:20" x14ac:dyDescent="0.35">
      <c r="A14009" t="s">
        <v>228</v>
      </c>
      <c r="B14009" t="s">
        <v>1341</v>
      </c>
      <c r="C14009" t="s">
        <v>1348</v>
      </c>
      <c r="D14009" s="26">
        <v>0.50770000000000004</v>
      </c>
      <c r="E14009" s="26">
        <v>0.1176</v>
      </c>
      <c r="F14009" s="26">
        <v>0.25740000000000002</v>
      </c>
      <c r="G14009" s="26">
        <v>8.5999999999999993E-2</v>
      </c>
      <c r="H14009" s="26">
        <v>7.4099999999999999E-2</v>
      </c>
      <c r="J14009" s="26">
        <v>8.0199999999999994E-2</v>
      </c>
      <c r="K14009" s="26">
        <v>8.0999999999999996E-3</v>
      </c>
      <c r="L14009" s="26">
        <v>3.44E-2</v>
      </c>
      <c r="N14009" s="26">
        <v>5.6899999999999999E-2</v>
      </c>
      <c r="T14009">
        <v>56</v>
      </c>
    </row>
    <row r="14010" spans="1:20" x14ac:dyDescent="0.35">
      <c r="A14010" t="s">
        <v>228</v>
      </c>
      <c r="B14010" t="s">
        <v>1343</v>
      </c>
      <c r="C14010" t="s">
        <v>1346</v>
      </c>
      <c r="D14010" s="26">
        <v>0.63690000000000002</v>
      </c>
      <c r="E14010" s="26">
        <v>0.18940000000000001</v>
      </c>
      <c r="F14010" s="26">
        <v>4.87E-2</v>
      </c>
      <c r="G14010" s="26">
        <v>0.1037</v>
      </c>
      <c r="H14010" s="26">
        <v>9.1000000000000004E-3</v>
      </c>
      <c r="J14010" s="26">
        <v>3.49E-2</v>
      </c>
      <c r="K14010" s="26">
        <v>4.4999999999999998E-2</v>
      </c>
      <c r="L14010" s="26">
        <v>7.4899999999999994E-2</v>
      </c>
      <c r="M14010" s="26">
        <v>3.3999999999999998E-3</v>
      </c>
      <c r="N14010" s="26">
        <v>3.2099999999999997E-2</v>
      </c>
      <c r="O14010" s="26">
        <v>3.3999999999999998E-3</v>
      </c>
      <c r="P14010" s="26">
        <v>3.3999999999999998E-3</v>
      </c>
      <c r="Q14010" s="26">
        <v>3.3999999999999998E-3</v>
      </c>
      <c r="R14010" s="26">
        <v>1.9599999999999999E-2</v>
      </c>
      <c r="S14010" s="26">
        <v>3.3999999999999998E-3</v>
      </c>
      <c r="T14010">
        <v>82</v>
      </c>
    </row>
    <row r="14011" spans="1:20" x14ac:dyDescent="0.35">
      <c r="A14011" s="27" t="s">
        <v>228</v>
      </c>
      <c r="B14011" s="27" t="s">
        <v>1341</v>
      </c>
      <c r="C14011" s="27" t="s">
        <v>1347</v>
      </c>
      <c r="D14011" s="28">
        <v>0.28149999999999997</v>
      </c>
      <c r="E14011" s="28">
        <v>0.31929999999999997</v>
      </c>
      <c r="F14011" s="28">
        <v>0.3427</v>
      </c>
      <c r="G14011" s="28">
        <v>3.4099999999999998E-2</v>
      </c>
      <c r="H14011" s="28">
        <v>0.15859999999999999</v>
      </c>
      <c r="I14011" s="29"/>
      <c r="J14011" s="28">
        <v>2.2499999999999999E-2</v>
      </c>
      <c r="K14011" s="28">
        <v>2.2499999999999999E-2</v>
      </c>
      <c r="L14011" s="29"/>
      <c r="M14011" s="28">
        <v>0.13619999999999999</v>
      </c>
      <c r="N14011" s="29"/>
      <c r="O14011" s="29"/>
      <c r="P14011" s="29"/>
      <c r="Q14011" s="29"/>
      <c r="R14011" s="29"/>
      <c r="S14011" s="29"/>
      <c r="T14011" s="29" t="s">
        <v>349</v>
      </c>
    </row>
    <row r="14012" spans="1:20" x14ac:dyDescent="0.35">
      <c r="A14012" t="s">
        <v>229</v>
      </c>
      <c r="B14012" t="s">
        <v>1341</v>
      </c>
      <c r="C14012" t="s">
        <v>1347</v>
      </c>
      <c r="D14012" s="26">
        <v>0.30840000000000001</v>
      </c>
      <c r="E14012" s="26">
        <v>0.114</v>
      </c>
      <c r="F14012" s="26">
        <v>0.38229999999999997</v>
      </c>
      <c r="G14012" s="26">
        <v>0.2467</v>
      </c>
      <c r="H14012" s="26">
        <v>8.3799999999999999E-2</v>
      </c>
      <c r="J14012" s="26">
        <v>1.8599999999999998E-2</v>
      </c>
      <c r="T14012">
        <v>31</v>
      </c>
    </row>
    <row r="14013" spans="1:20" x14ac:dyDescent="0.35">
      <c r="A14013" t="s">
        <v>229</v>
      </c>
      <c r="B14013" t="s">
        <v>1343</v>
      </c>
      <c r="C14013" t="s">
        <v>1347</v>
      </c>
      <c r="D14013" s="26">
        <v>0.1125</v>
      </c>
      <c r="E14013" s="26">
        <v>0.2351</v>
      </c>
      <c r="F14013" s="26">
        <v>0.49680000000000002</v>
      </c>
      <c r="G14013" s="26">
        <v>8.4099999999999994E-2</v>
      </c>
      <c r="H14013" s="26">
        <v>0.1694</v>
      </c>
      <c r="I14013" s="26">
        <v>4.3299999999999998E-2</v>
      </c>
      <c r="J14013" s="26">
        <v>9.2999999999999999E-2</v>
      </c>
      <c r="K14013" s="26">
        <v>0.11459999999999999</v>
      </c>
      <c r="L14013" s="26">
        <v>5.1799999999999999E-2</v>
      </c>
      <c r="M14013" s="26">
        <v>4.87E-2</v>
      </c>
      <c r="N14013" s="26">
        <v>3.8899999999999997E-2</v>
      </c>
      <c r="O14013" s="26">
        <v>6.4000000000000003E-3</v>
      </c>
      <c r="Q14013" s="26">
        <v>8.6E-3</v>
      </c>
      <c r="R14013" s="26">
        <v>8.6E-3</v>
      </c>
      <c r="S14013" s="26">
        <v>6.4000000000000003E-3</v>
      </c>
      <c r="T14013">
        <v>66</v>
      </c>
    </row>
    <row r="14014" spans="1:20" x14ac:dyDescent="0.35">
      <c r="A14014" s="27" t="s">
        <v>229</v>
      </c>
      <c r="B14014" s="27" t="s">
        <v>1341</v>
      </c>
      <c r="C14014" s="27" t="s">
        <v>1346</v>
      </c>
      <c r="D14014" s="28">
        <v>0.61770000000000003</v>
      </c>
      <c r="E14014" s="28">
        <v>0.24729999999999999</v>
      </c>
      <c r="F14014" s="28">
        <v>0.1038</v>
      </c>
      <c r="G14014" s="29"/>
      <c r="H14014" s="28">
        <v>3.1300000000000001E-2</v>
      </c>
      <c r="I14014" s="29"/>
      <c r="J14014" s="28">
        <v>3.1300000000000001E-2</v>
      </c>
      <c r="K14014" s="29"/>
      <c r="L14014" s="29"/>
      <c r="M14014" s="29"/>
      <c r="N14014" s="29"/>
      <c r="O14014" s="28">
        <v>8.9999999999999993E-3</v>
      </c>
      <c r="P14014" s="29"/>
      <c r="Q14014" s="29"/>
      <c r="R14014" s="29"/>
      <c r="S14014" s="29"/>
      <c r="T14014" s="29" t="s">
        <v>341</v>
      </c>
    </row>
    <row r="14015" spans="1:20" x14ac:dyDescent="0.35">
      <c r="A14015" t="s">
        <v>229</v>
      </c>
      <c r="B14015" t="s">
        <v>1343</v>
      </c>
      <c r="C14015" t="s">
        <v>1346</v>
      </c>
      <c r="D14015" s="26">
        <v>0.62309999999999999</v>
      </c>
      <c r="E14015" s="26">
        <v>0.1686</v>
      </c>
      <c r="F14015" s="26">
        <v>8.6499999999999994E-2</v>
      </c>
      <c r="G14015" s="26">
        <v>0.1134</v>
      </c>
      <c r="K14015" s="26">
        <v>2.5100000000000001E-2</v>
      </c>
      <c r="L14015" s="26">
        <v>4.3E-3</v>
      </c>
      <c r="M14015" s="26">
        <v>4.3E-3</v>
      </c>
      <c r="N14015" s="26">
        <v>3.3599999999999998E-2</v>
      </c>
      <c r="O14015" s="26">
        <v>4.3E-3</v>
      </c>
      <c r="P14015" s="26">
        <v>6.3200000000000006E-2</v>
      </c>
      <c r="T14015">
        <v>39</v>
      </c>
    </row>
    <row r="14016" spans="1:20" x14ac:dyDescent="0.35">
      <c r="A14016" t="s">
        <v>229</v>
      </c>
      <c r="B14016" t="s">
        <v>1341</v>
      </c>
      <c r="C14016" t="s">
        <v>1348</v>
      </c>
      <c r="D14016" s="26">
        <v>0.50049999999999994</v>
      </c>
      <c r="E14016" s="26">
        <v>0.20269999999999999</v>
      </c>
      <c r="F14016" s="26">
        <v>0.1497</v>
      </c>
      <c r="G14016" s="26">
        <v>0.18809999999999999</v>
      </c>
      <c r="I14016" s="26">
        <v>7.3599999999999999E-2</v>
      </c>
      <c r="J14016" s="26">
        <v>5.7999999999999996E-3</v>
      </c>
      <c r="O14016" s="26">
        <v>6.6299999999999998E-2</v>
      </c>
      <c r="Q14016" s="26">
        <v>7.3000000000000001E-3</v>
      </c>
      <c r="T14016">
        <v>30</v>
      </c>
    </row>
    <row r="14017" spans="1:20" x14ac:dyDescent="0.35">
      <c r="A14017" t="s">
        <v>229</v>
      </c>
      <c r="B14017" t="s">
        <v>1343</v>
      </c>
      <c r="C14017" t="s">
        <v>1348</v>
      </c>
      <c r="D14017" s="26">
        <v>0.3165</v>
      </c>
      <c r="E14017" s="26">
        <v>0.33789999999999998</v>
      </c>
      <c r="F14017" s="26">
        <v>0.16239999999999999</v>
      </c>
      <c r="G14017" s="26">
        <v>0.21840000000000001</v>
      </c>
      <c r="H14017" s="26">
        <v>2.3900000000000001E-2</v>
      </c>
      <c r="I14017" s="26">
        <v>2.3900000000000001E-2</v>
      </c>
      <c r="J14017" s="26">
        <v>7.9000000000000008E-3</v>
      </c>
      <c r="K14017" s="26">
        <v>1.89E-2</v>
      </c>
      <c r="L14017" s="26">
        <v>2.5000000000000001E-3</v>
      </c>
      <c r="M14017" s="26">
        <v>8.9999999999999998E-4</v>
      </c>
      <c r="N14017" s="26">
        <v>9.4000000000000004E-3</v>
      </c>
      <c r="P14017" s="26">
        <v>3.0999999999999999E-3</v>
      </c>
      <c r="T14017">
        <v>84</v>
      </c>
    </row>
    <row r="14018" spans="1:20" x14ac:dyDescent="0.35">
      <c r="A14018" s="27" t="s">
        <v>229</v>
      </c>
      <c r="B14018" s="27" t="s">
        <v>1343</v>
      </c>
      <c r="C14018" s="27" t="s">
        <v>1345</v>
      </c>
      <c r="D14018" s="28">
        <v>7.4800000000000005E-2</v>
      </c>
      <c r="E14018" s="29"/>
      <c r="F14018" s="28">
        <v>0.8982</v>
      </c>
      <c r="G14018" s="28">
        <v>2.7E-2</v>
      </c>
      <c r="H14018" s="29"/>
      <c r="I14018" s="29"/>
      <c r="J14018" s="29"/>
      <c r="K14018" s="29"/>
      <c r="L14018" s="29"/>
      <c r="M14018" s="29"/>
      <c r="N14018" s="29"/>
      <c r="O14018" s="29"/>
      <c r="P14018" s="29"/>
      <c r="Q14018" s="29"/>
      <c r="R14018" s="29"/>
      <c r="S14018" s="29"/>
      <c r="T14018" s="29" t="s">
        <v>332</v>
      </c>
    </row>
    <row r="14019" spans="1:20" x14ac:dyDescent="0.35">
      <c r="A14019" s="27" t="s">
        <v>229</v>
      </c>
      <c r="B14019" s="27" t="s">
        <v>1341</v>
      </c>
      <c r="C14019" s="27" t="s">
        <v>1345</v>
      </c>
      <c r="D14019" s="29"/>
      <c r="E14019" s="29"/>
      <c r="F14019" s="28">
        <v>0.82599999999999996</v>
      </c>
      <c r="G14019" s="28">
        <v>4.3999999999999997E-2</v>
      </c>
      <c r="H14019" s="29"/>
      <c r="I14019" s="28">
        <v>0.17399999999999999</v>
      </c>
      <c r="J14019" s="28">
        <v>4.3999999999999997E-2</v>
      </c>
      <c r="K14019" s="29"/>
      <c r="L14019" s="28">
        <v>4.3999999999999997E-2</v>
      </c>
      <c r="M14019" s="29"/>
      <c r="N14019" s="28">
        <v>4.3999999999999997E-2</v>
      </c>
      <c r="O14019" s="29"/>
      <c r="P14019" s="29"/>
      <c r="Q14019" s="29"/>
      <c r="R14019" s="29"/>
      <c r="S14019" s="29"/>
      <c r="T14019" s="29" t="s">
        <v>315</v>
      </c>
    </row>
    <row r="14020" spans="1:20" x14ac:dyDescent="0.35">
      <c r="A14020" s="27" t="s">
        <v>230</v>
      </c>
      <c r="B14020" s="27" t="s">
        <v>1341</v>
      </c>
      <c r="C14020" s="27" t="s">
        <v>1345</v>
      </c>
      <c r="D14020" s="28">
        <v>0.1265</v>
      </c>
      <c r="E14020" s="28">
        <v>0.87350000000000005</v>
      </c>
      <c r="F14020" s="29"/>
      <c r="G14020" s="29"/>
      <c r="H14020" s="29"/>
      <c r="I14020" s="29"/>
      <c r="J14020" s="29"/>
      <c r="K14020" s="29"/>
      <c r="L14020" s="29"/>
      <c r="M14020" s="29"/>
      <c r="N14020" s="29"/>
      <c r="O14020" s="29"/>
      <c r="P14020" s="29"/>
      <c r="Q14020" s="29"/>
      <c r="R14020" s="29"/>
      <c r="S14020" s="29"/>
      <c r="T14020" s="29" t="s">
        <v>315</v>
      </c>
    </row>
    <row r="14021" spans="1:20" x14ac:dyDescent="0.35">
      <c r="A14021" s="27" t="s">
        <v>230</v>
      </c>
      <c r="B14021" s="27" t="s">
        <v>1341</v>
      </c>
      <c r="C14021" s="27" t="s">
        <v>1347</v>
      </c>
      <c r="D14021" s="28">
        <v>0.59750000000000003</v>
      </c>
      <c r="E14021" s="28">
        <v>0.26369999999999999</v>
      </c>
      <c r="F14021" s="28">
        <v>0.12609999999999999</v>
      </c>
      <c r="G14021" s="29"/>
      <c r="H14021" s="29"/>
      <c r="I14021" s="29"/>
      <c r="J14021" s="28">
        <v>1.2699999999999999E-2</v>
      </c>
      <c r="K14021" s="29"/>
      <c r="L14021" s="29"/>
      <c r="M14021" s="29"/>
      <c r="N14021" s="29"/>
      <c r="O14021" s="29"/>
      <c r="P14021" s="29"/>
      <c r="Q14021" s="29"/>
      <c r="R14021" s="29"/>
      <c r="S14021" s="29"/>
      <c r="T14021" s="29" t="s">
        <v>352</v>
      </c>
    </row>
    <row r="14022" spans="1:20" x14ac:dyDescent="0.35">
      <c r="A14022" t="s">
        <v>230</v>
      </c>
      <c r="B14022" t="s">
        <v>1343</v>
      </c>
      <c r="C14022" t="s">
        <v>1347</v>
      </c>
      <c r="D14022" s="26">
        <v>0.1976</v>
      </c>
      <c r="E14022" s="26">
        <v>0.16109999999999999</v>
      </c>
      <c r="F14022" s="26">
        <v>0.55130000000000001</v>
      </c>
      <c r="G14022" s="26">
        <v>0.2326</v>
      </c>
      <c r="H14022" s="26">
        <v>0.1822</v>
      </c>
      <c r="I14022" s="26">
        <v>1.54E-2</v>
      </c>
      <c r="J14022" s="26">
        <v>3.5000000000000003E-2</v>
      </c>
      <c r="K14022" s="26">
        <v>2.46E-2</v>
      </c>
      <c r="L14022" s="26">
        <v>4.5999999999999999E-3</v>
      </c>
      <c r="M14022" s="26">
        <v>9.11E-2</v>
      </c>
      <c r="N14022" s="26">
        <v>1.4999999999999999E-2</v>
      </c>
      <c r="O14022" s="26">
        <v>4.5999999999999999E-3</v>
      </c>
      <c r="T14022">
        <v>30</v>
      </c>
    </row>
    <row r="14023" spans="1:20" x14ac:dyDescent="0.35">
      <c r="A14023" s="27" t="s">
        <v>230</v>
      </c>
      <c r="B14023" s="27" t="s">
        <v>1343</v>
      </c>
      <c r="C14023" s="27" t="s">
        <v>1345</v>
      </c>
      <c r="D14023" s="29"/>
      <c r="E14023" s="29"/>
      <c r="F14023" s="28">
        <v>1</v>
      </c>
      <c r="G14023" s="29"/>
      <c r="H14023" s="29"/>
      <c r="I14023" s="28">
        <v>0.85850000000000004</v>
      </c>
      <c r="J14023" s="29"/>
      <c r="K14023" s="29"/>
      <c r="L14023" s="29"/>
      <c r="M14023" s="28">
        <v>0.14149999999999999</v>
      </c>
      <c r="N14023" s="28">
        <v>0.14149999999999999</v>
      </c>
      <c r="O14023" s="29"/>
      <c r="P14023" s="29"/>
      <c r="Q14023" s="29"/>
      <c r="R14023" s="29"/>
      <c r="S14023" s="29"/>
      <c r="T14023" s="29" t="s">
        <v>314</v>
      </c>
    </row>
    <row r="14024" spans="1:20" x14ac:dyDescent="0.35">
      <c r="A14024" s="27" t="s">
        <v>230</v>
      </c>
      <c r="B14024" s="27" t="s">
        <v>1343</v>
      </c>
      <c r="C14024" s="27" t="s">
        <v>1346</v>
      </c>
      <c r="D14024" s="28">
        <v>0.65329999999999999</v>
      </c>
      <c r="E14024" s="28">
        <v>7.9399999999999998E-2</v>
      </c>
      <c r="F14024" s="28">
        <v>5.4600000000000003E-2</v>
      </c>
      <c r="G14024" s="28">
        <v>7.8299999999999995E-2</v>
      </c>
      <c r="H14024" s="28">
        <v>1.46E-2</v>
      </c>
      <c r="I14024" s="28">
        <v>0.14360000000000001</v>
      </c>
      <c r="J14024" s="28">
        <v>7.3000000000000001E-3</v>
      </c>
      <c r="K14024" s="28">
        <v>4.5499999999999999E-2</v>
      </c>
      <c r="L14024" s="28">
        <v>4.7300000000000002E-2</v>
      </c>
      <c r="M14024" s="28">
        <v>7.3000000000000001E-3</v>
      </c>
      <c r="N14024" s="28">
        <v>3.09E-2</v>
      </c>
      <c r="O14024" s="29"/>
      <c r="P14024" s="29"/>
      <c r="Q14024" s="28">
        <v>7.3000000000000001E-3</v>
      </c>
      <c r="R14024" s="29"/>
      <c r="S14024" s="28">
        <v>7.3000000000000001E-3</v>
      </c>
      <c r="T14024" s="29" t="s">
        <v>357</v>
      </c>
    </row>
    <row r="14025" spans="1:20" x14ac:dyDescent="0.35">
      <c r="A14025" s="27" t="s">
        <v>230</v>
      </c>
      <c r="B14025" s="27" t="s">
        <v>1341</v>
      </c>
      <c r="C14025" s="27" t="s">
        <v>1348</v>
      </c>
      <c r="D14025" s="28">
        <v>0.40529999999999999</v>
      </c>
      <c r="E14025" s="28">
        <v>0.17169999999999999</v>
      </c>
      <c r="F14025" s="28">
        <v>0.13980000000000001</v>
      </c>
      <c r="G14025" s="28">
        <v>0.1656</v>
      </c>
      <c r="H14025" s="28">
        <v>0.23930000000000001</v>
      </c>
      <c r="I14025" s="29"/>
      <c r="J14025" s="28">
        <v>1.21E-2</v>
      </c>
      <c r="K14025" s="28">
        <v>3.1800000000000002E-2</v>
      </c>
      <c r="L14025" s="28">
        <v>0.1196</v>
      </c>
      <c r="M14025" s="28">
        <v>0.23930000000000001</v>
      </c>
      <c r="N14025" s="28">
        <v>0.1318</v>
      </c>
      <c r="O14025" s="28">
        <v>1.9699999999999999E-2</v>
      </c>
      <c r="P14025" s="28">
        <v>0.12570000000000001</v>
      </c>
      <c r="Q14025" s="28">
        <v>3.1800000000000002E-2</v>
      </c>
      <c r="R14025" s="29"/>
      <c r="S14025" s="28">
        <v>2.58E-2</v>
      </c>
      <c r="T14025" s="29" t="s">
        <v>350</v>
      </c>
    </row>
    <row r="14026" spans="1:20" x14ac:dyDescent="0.35">
      <c r="A14026" s="27" t="s">
        <v>230</v>
      </c>
      <c r="B14026" s="27" t="s">
        <v>1341</v>
      </c>
      <c r="C14026" s="27" t="s">
        <v>1346</v>
      </c>
      <c r="D14026" s="28">
        <v>0.53380000000000005</v>
      </c>
      <c r="E14026" s="28">
        <v>0.40029999999999999</v>
      </c>
      <c r="F14026" s="28">
        <v>6.6000000000000003E-2</v>
      </c>
      <c r="G14026" s="28">
        <v>6.6000000000000003E-2</v>
      </c>
      <c r="H14026" s="29"/>
      <c r="I14026" s="29"/>
      <c r="J14026" s="29"/>
      <c r="K14026" s="29"/>
      <c r="L14026" s="28">
        <v>6.6000000000000003E-2</v>
      </c>
      <c r="M14026" s="29"/>
      <c r="N14026" s="29"/>
      <c r="O14026" s="29"/>
      <c r="P14026" s="29"/>
      <c r="Q14026" s="29"/>
      <c r="R14026" s="29"/>
      <c r="S14026" s="29"/>
      <c r="T14026" s="29" t="s">
        <v>332</v>
      </c>
    </row>
    <row r="14027" spans="1:20" x14ac:dyDescent="0.35">
      <c r="A14027" t="s">
        <v>230</v>
      </c>
      <c r="B14027" t="s">
        <v>1343</v>
      </c>
      <c r="C14027" t="s">
        <v>1348</v>
      </c>
      <c r="D14027" s="26">
        <v>0.25629999999999997</v>
      </c>
      <c r="E14027" s="26">
        <v>0.27</v>
      </c>
      <c r="F14027" s="26">
        <v>0.35799999999999998</v>
      </c>
      <c r="G14027" s="26">
        <v>1.54E-2</v>
      </c>
      <c r="H14027" s="26">
        <v>0.1237</v>
      </c>
      <c r="I14027" s="26">
        <v>5.7099999999999998E-2</v>
      </c>
      <c r="J14027" s="26">
        <v>3.7600000000000001E-2</v>
      </c>
      <c r="K14027" s="26">
        <v>1.7399999999999999E-2</v>
      </c>
      <c r="L14027" s="26">
        <v>2.4799999999999999E-2</v>
      </c>
      <c r="M14027" s="26">
        <v>6.9699999999999998E-2</v>
      </c>
      <c r="N14027" s="26">
        <v>8.6999999999999994E-3</v>
      </c>
      <c r="Q14027" s="26">
        <v>1.1599999999999999E-2</v>
      </c>
      <c r="R14027" s="26">
        <v>2.8999999999999998E-3</v>
      </c>
      <c r="S14027" s="26">
        <v>5.7999999999999996E-3</v>
      </c>
      <c r="T14027">
        <v>54</v>
      </c>
    </row>
    <row r="14028" spans="1:20" x14ac:dyDescent="0.35">
      <c r="A14028" s="27" t="s">
        <v>231</v>
      </c>
      <c r="B14028" s="27" t="s">
        <v>1343</v>
      </c>
      <c r="C14028" s="27" t="s">
        <v>1346</v>
      </c>
      <c r="D14028" s="28">
        <v>0.4</v>
      </c>
      <c r="E14028" s="28">
        <v>0.6</v>
      </c>
      <c r="F14028" s="29"/>
      <c r="G14028" s="29"/>
      <c r="H14028" s="29"/>
      <c r="I14028" s="29"/>
      <c r="J14028" s="29"/>
      <c r="K14028" s="29"/>
      <c r="L14028" s="29"/>
      <c r="M14028" s="29"/>
      <c r="N14028" s="29"/>
      <c r="O14028" s="29"/>
      <c r="P14028" s="29"/>
      <c r="Q14028" s="29"/>
      <c r="R14028" s="29"/>
      <c r="S14028" s="29"/>
      <c r="T14028" s="29" t="s">
        <v>332</v>
      </c>
    </row>
    <row r="14029" spans="1:20" x14ac:dyDescent="0.35">
      <c r="A14029" s="27" t="s">
        <v>231</v>
      </c>
      <c r="B14029" s="27" t="s">
        <v>1341</v>
      </c>
      <c r="C14029" s="27" t="s">
        <v>1346</v>
      </c>
      <c r="D14029" s="28">
        <v>1</v>
      </c>
      <c r="E14029" s="29"/>
      <c r="F14029" s="29"/>
      <c r="G14029" s="29"/>
      <c r="H14029" s="29"/>
      <c r="I14029" s="29"/>
      <c r="J14029" s="29"/>
      <c r="K14029" s="29"/>
      <c r="L14029" s="29"/>
      <c r="M14029" s="29"/>
      <c r="N14029" s="29"/>
      <c r="O14029" s="29"/>
      <c r="P14029" s="29"/>
      <c r="Q14029" s="29"/>
      <c r="R14029" s="29"/>
      <c r="S14029" s="29"/>
      <c r="T14029" s="29" t="s">
        <v>314</v>
      </c>
    </row>
    <row r="14030" spans="1:20" x14ac:dyDescent="0.35">
      <c r="A14030" s="27" t="s">
        <v>231</v>
      </c>
      <c r="B14030" s="27" t="s">
        <v>1343</v>
      </c>
      <c r="C14030" s="27" t="s">
        <v>1348</v>
      </c>
      <c r="D14030" s="28">
        <v>0.36359999999999998</v>
      </c>
      <c r="E14030" s="28">
        <v>0.45450000000000002</v>
      </c>
      <c r="F14030" s="28">
        <v>9.0899999999999995E-2</v>
      </c>
      <c r="G14030" s="28">
        <v>0.18179999999999999</v>
      </c>
      <c r="H14030" s="29"/>
      <c r="I14030" s="29"/>
      <c r="J14030" s="29"/>
      <c r="K14030" s="29"/>
      <c r="L14030" s="29"/>
      <c r="M14030" s="29"/>
      <c r="N14030" s="29"/>
      <c r="O14030" s="29"/>
      <c r="P14030" s="29"/>
      <c r="Q14030" s="29"/>
      <c r="R14030" s="29"/>
      <c r="S14030" s="29"/>
      <c r="T14030" s="29" t="s">
        <v>352</v>
      </c>
    </row>
    <row r="14031" spans="1:20" x14ac:dyDescent="0.35">
      <c r="A14031" s="27" t="s">
        <v>231</v>
      </c>
      <c r="B14031" s="27" t="s">
        <v>1343</v>
      </c>
      <c r="C14031" s="27" t="s">
        <v>1347</v>
      </c>
      <c r="D14031" s="28">
        <v>0.2</v>
      </c>
      <c r="E14031" s="28">
        <v>0.4</v>
      </c>
      <c r="F14031" s="28">
        <v>0.2</v>
      </c>
      <c r="G14031" s="29"/>
      <c r="H14031" s="28">
        <v>0.4</v>
      </c>
      <c r="I14031" s="29"/>
      <c r="J14031" s="29"/>
      <c r="K14031" s="29"/>
      <c r="L14031" s="29"/>
      <c r="M14031" s="29"/>
      <c r="N14031" s="29"/>
      <c r="O14031" s="29"/>
      <c r="P14031" s="29"/>
      <c r="Q14031" s="29"/>
      <c r="R14031" s="29"/>
      <c r="S14031" s="29"/>
      <c r="T14031" s="29" t="s">
        <v>332</v>
      </c>
    </row>
    <row r="14032" spans="1:20" x14ac:dyDescent="0.35">
      <c r="A14032" s="27" t="s">
        <v>231</v>
      </c>
      <c r="B14032" s="27" t="s">
        <v>1343</v>
      </c>
      <c r="C14032" s="27" t="s">
        <v>1345</v>
      </c>
      <c r="D14032" s="29"/>
      <c r="E14032" s="29"/>
      <c r="F14032" s="28">
        <v>1</v>
      </c>
      <c r="G14032" s="28">
        <v>0.5</v>
      </c>
      <c r="H14032" s="28">
        <v>1</v>
      </c>
      <c r="I14032" s="29"/>
      <c r="J14032" s="29"/>
      <c r="K14032" s="29"/>
      <c r="L14032" s="29"/>
      <c r="M14032" s="29"/>
      <c r="N14032" s="29"/>
      <c r="O14032" s="29"/>
      <c r="P14032" s="29"/>
      <c r="Q14032" s="29"/>
      <c r="R14032" s="29"/>
      <c r="S14032" s="29"/>
      <c r="T14032" s="29" t="s">
        <v>314</v>
      </c>
    </row>
    <row r="14033" spans="1:20" x14ac:dyDescent="0.35">
      <c r="A14033" s="27" t="s">
        <v>231</v>
      </c>
      <c r="B14033" s="27" t="s">
        <v>1341</v>
      </c>
      <c r="C14033" s="27" t="s">
        <v>1348</v>
      </c>
      <c r="D14033" s="28">
        <v>0.16669999999999999</v>
      </c>
      <c r="E14033" s="28">
        <v>0.66669999999999996</v>
      </c>
      <c r="F14033" s="28">
        <v>0.16669999999999999</v>
      </c>
      <c r="G14033" s="29"/>
      <c r="H14033" s="29"/>
      <c r="I14033" s="29"/>
      <c r="J14033" s="29"/>
      <c r="K14033" s="29"/>
      <c r="L14033" s="29"/>
      <c r="M14033" s="29"/>
      <c r="N14033" s="29"/>
      <c r="O14033" s="29"/>
      <c r="P14033" s="29"/>
      <c r="Q14033" s="29"/>
      <c r="R14033" s="29"/>
      <c r="S14033" s="29"/>
      <c r="T14033" s="29" t="s">
        <v>335</v>
      </c>
    </row>
    <row r="14034" spans="1:20" x14ac:dyDescent="0.35">
      <c r="A14034" s="27" t="s">
        <v>231</v>
      </c>
      <c r="B14034" s="27" t="s">
        <v>1341</v>
      </c>
      <c r="C14034" s="27" t="s">
        <v>1347</v>
      </c>
      <c r="D14034" s="28">
        <v>0.33329999999999999</v>
      </c>
      <c r="E14034" s="28">
        <v>0.33329999999999999</v>
      </c>
      <c r="F14034" s="28">
        <v>0.33329999999999999</v>
      </c>
      <c r="G14034" s="28">
        <v>0.33329999999999999</v>
      </c>
      <c r="H14034" s="29"/>
      <c r="I14034" s="29"/>
      <c r="J14034" s="29"/>
      <c r="K14034" s="29"/>
      <c r="L14034" s="29"/>
      <c r="M14034" s="29"/>
      <c r="N14034" s="29"/>
      <c r="O14034" s="29"/>
      <c r="P14034" s="29"/>
      <c r="Q14034" s="29"/>
      <c r="R14034" s="29"/>
      <c r="S14034" s="29"/>
      <c r="T14034" s="29" t="s">
        <v>315</v>
      </c>
    </row>
    <row r="14035" spans="1:20" x14ac:dyDescent="0.35">
      <c r="A14035" t="s">
        <v>232</v>
      </c>
      <c r="B14035" t="s">
        <v>232</v>
      </c>
      <c r="C14035" t="s">
        <v>232</v>
      </c>
      <c r="D14035" s="26">
        <v>0.38069999999999998</v>
      </c>
      <c r="E14035" s="26">
        <v>0.27139999999999997</v>
      </c>
      <c r="F14035" s="26">
        <v>0.22270000000000001</v>
      </c>
      <c r="G14035" s="26">
        <v>0.1215</v>
      </c>
      <c r="H14035" s="26">
        <v>7.4499999999999997E-2</v>
      </c>
      <c r="I14035" s="26">
        <v>3.0099999999999998E-2</v>
      </c>
      <c r="J14035" s="26">
        <v>2.8000000000000001E-2</v>
      </c>
      <c r="K14035" s="26">
        <v>2.5600000000000001E-2</v>
      </c>
      <c r="L14035" s="26">
        <v>2.2200000000000001E-2</v>
      </c>
      <c r="M14035" s="26">
        <v>1.77E-2</v>
      </c>
      <c r="N14035" s="26">
        <v>1.5100000000000001E-2</v>
      </c>
      <c r="O14035" s="26">
        <v>8.0999999999999996E-3</v>
      </c>
      <c r="P14035" s="26">
        <v>4.7999999999999996E-3</v>
      </c>
      <c r="Q14035" s="26">
        <v>3.5999999999999999E-3</v>
      </c>
      <c r="R14035" s="26">
        <v>2.0999999999999999E-3</v>
      </c>
      <c r="S14035" s="26">
        <v>2.0999999999999999E-3</v>
      </c>
      <c r="T14035">
        <v>820</v>
      </c>
    </row>
    <row r="14037" spans="1:20" x14ac:dyDescent="0.35">
      <c r="A14037" s="1" t="s">
        <v>1559</v>
      </c>
    </row>
    <row r="14038" spans="1:20" x14ac:dyDescent="0.35">
      <c r="A14038" t="s">
        <v>219</v>
      </c>
      <c r="B14038" t="s">
        <v>550</v>
      </c>
      <c r="C14038" t="s">
        <v>1400</v>
      </c>
      <c r="D14038" t="s">
        <v>281</v>
      </c>
      <c r="E14038" t="s">
        <v>1403</v>
      </c>
      <c r="F14038" t="s">
        <v>1504</v>
      </c>
      <c r="G14038" t="s">
        <v>1402</v>
      </c>
      <c r="H14038" t="s">
        <v>1404</v>
      </c>
      <c r="I14038" t="s">
        <v>1408</v>
      </c>
      <c r="J14038" t="s">
        <v>1401</v>
      </c>
      <c r="K14038" t="s">
        <v>1406</v>
      </c>
      <c r="L14038" t="s">
        <v>286</v>
      </c>
      <c r="M14038" t="s">
        <v>1407</v>
      </c>
      <c r="N14038" t="s">
        <v>326</v>
      </c>
      <c r="O14038" t="s">
        <v>226</v>
      </c>
    </row>
    <row r="14039" spans="1:20" x14ac:dyDescent="0.35">
      <c r="A14039" t="s">
        <v>227</v>
      </c>
      <c r="B14039" s="26">
        <v>0.4904</v>
      </c>
      <c r="C14039" s="26">
        <v>0.23569999999999999</v>
      </c>
      <c r="D14039" s="26">
        <v>0.22289999999999999</v>
      </c>
      <c r="E14039" s="26">
        <v>1.2699999999999999E-2</v>
      </c>
      <c r="G14039" s="26">
        <v>1.9099999999999999E-2</v>
      </c>
      <c r="H14039" s="26">
        <v>1.9099999999999999E-2</v>
      </c>
      <c r="I14039" s="26">
        <v>6.4000000000000003E-3</v>
      </c>
      <c r="J14039" s="26">
        <v>6.4000000000000003E-3</v>
      </c>
      <c r="L14039" s="26">
        <v>6.4000000000000003E-3</v>
      </c>
      <c r="N14039" s="26">
        <v>6.4000000000000003E-3</v>
      </c>
      <c r="O14039">
        <v>157</v>
      </c>
    </row>
    <row r="14040" spans="1:20" x14ac:dyDescent="0.35">
      <c r="A14040" t="s">
        <v>228</v>
      </c>
      <c r="B14040" s="26">
        <v>0.45300000000000001</v>
      </c>
      <c r="C14040" s="26">
        <v>0.28910000000000002</v>
      </c>
      <c r="D14040" s="26">
        <v>0.21060000000000001</v>
      </c>
      <c r="E14040" s="26">
        <v>1.8800000000000001E-2</v>
      </c>
      <c r="F14040" s="26">
        <v>2.07E-2</v>
      </c>
      <c r="G14040" s="26">
        <v>1.06E-2</v>
      </c>
      <c r="H14040" s="26">
        <v>2.3E-3</v>
      </c>
      <c r="I14040" s="26">
        <v>9.4999999999999998E-3</v>
      </c>
      <c r="J14040" s="26">
        <v>1.15E-2</v>
      </c>
      <c r="K14040" s="26">
        <v>6.7000000000000002E-3</v>
      </c>
      <c r="L14040" s="26">
        <v>8.9999999999999998E-4</v>
      </c>
      <c r="O14040">
        <v>1015</v>
      </c>
    </row>
    <row r="14041" spans="1:20" x14ac:dyDescent="0.35">
      <c r="A14041" t="s">
        <v>229</v>
      </c>
      <c r="B14041" s="26">
        <v>0.49</v>
      </c>
      <c r="C14041" s="26">
        <v>0.27810000000000001</v>
      </c>
      <c r="D14041" s="26">
        <v>0.17100000000000001</v>
      </c>
      <c r="E14041" s="26">
        <v>3.1199999999999999E-2</v>
      </c>
      <c r="F14041" s="26">
        <v>1.9E-2</v>
      </c>
      <c r="G14041" s="26">
        <v>2.4500000000000001E-2</v>
      </c>
      <c r="H14041" s="26">
        <v>1.4E-2</v>
      </c>
      <c r="I14041" s="26">
        <v>1.61E-2</v>
      </c>
      <c r="J14041" s="26">
        <v>1.03E-2</v>
      </c>
      <c r="K14041" s="26">
        <v>6.4999999999999997E-3</v>
      </c>
      <c r="L14041" s="26">
        <v>3.2000000000000002E-3</v>
      </c>
      <c r="N14041" s="26">
        <v>2.5999999999999999E-3</v>
      </c>
      <c r="O14041">
        <v>874</v>
      </c>
    </row>
    <row r="14042" spans="1:20" x14ac:dyDescent="0.35">
      <c r="A14042" t="s">
        <v>230</v>
      </c>
      <c r="B14042" s="26">
        <v>0.4214</v>
      </c>
      <c r="C14042" s="26">
        <v>0.39319999999999999</v>
      </c>
      <c r="D14042" s="26">
        <v>0.13189999999999999</v>
      </c>
      <c r="E14042" s="26">
        <v>3.0099999999999998E-2</v>
      </c>
      <c r="F14042" s="26">
        <v>1.8200000000000001E-2</v>
      </c>
      <c r="G14042" s="26">
        <v>2.5499999999999998E-2</v>
      </c>
      <c r="H14042" s="26">
        <v>1.6500000000000001E-2</v>
      </c>
      <c r="I14042" s="26">
        <v>1.35E-2</v>
      </c>
      <c r="J14042" s="26">
        <v>1.44E-2</v>
      </c>
      <c r="K14042" s="26">
        <v>1.7100000000000001E-2</v>
      </c>
      <c r="L14042" s="26">
        <v>1.4E-3</v>
      </c>
      <c r="O14042">
        <v>547</v>
      </c>
    </row>
    <row r="14043" spans="1:20" x14ac:dyDescent="0.35">
      <c r="A14043" t="s">
        <v>231</v>
      </c>
      <c r="B14043" s="26">
        <v>0.51849999999999996</v>
      </c>
      <c r="C14043" s="26">
        <v>0.30249999999999999</v>
      </c>
      <c r="D14043" s="26">
        <v>0.14810000000000001</v>
      </c>
      <c r="E14043" s="26">
        <v>2.47E-2</v>
      </c>
      <c r="F14043" s="26">
        <v>1.8499999999999999E-2</v>
      </c>
      <c r="H14043" s="26">
        <v>6.1999999999999998E-3</v>
      </c>
      <c r="I14043" s="26">
        <v>6.1999999999999998E-3</v>
      </c>
      <c r="K14043" s="26">
        <v>6.1999999999999998E-3</v>
      </c>
      <c r="M14043" s="26">
        <v>6.1999999999999998E-3</v>
      </c>
      <c r="O14043">
        <v>162</v>
      </c>
    </row>
    <row r="14044" spans="1:20" x14ac:dyDescent="0.35">
      <c r="A14044" t="s">
        <v>232</v>
      </c>
      <c r="B14044" s="26">
        <v>0.48409999999999997</v>
      </c>
      <c r="C14044" s="26">
        <v>0.29170000000000001</v>
      </c>
      <c r="D14044" s="26">
        <v>0.1764</v>
      </c>
      <c r="E14044" s="26">
        <v>2.41E-2</v>
      </c>
      <c r="F14044" s="26">
        <v>1.6299999999999999E-2</v>
      </c>
      <c r="G14044" s="26">
        <v>1.43E-2</v>
      </c>
      <c r="H14044" s="26">
        <v>1.06E-2</v>
      </c>
      <c r="I14044" s="26">
        <v>1.04E-2</v>
      </c>
      <c r="J14044" s="26">
        <v>7.4999999999999997E-3</v>
      </c>
      <c r="K14044" s="26">
        <v>6.4999999999999997E-3</v>
      </c>
      <c r="L14044" s="26">
        <v>2.2000000000000001E-3</v>
      </c>
      <c r="M14044" s="26">
        <v>1.6999999999999999E-3</v>
      </c>
      <c r="N14044" s="26">
        <v>1.6999999999999999E-3</v>
      </c>
      <c r="O14044">
        <v>2755</v>
      </c>
    </row>
    <row r="14046" spans="1:20" x14ac:dyDescent="0.35">
      <c r="A14046" s="1" t="s">
        <v>1560</v>
      </c>
    </row>
    <row r="14047" spans="1:20" x14ac:dyDescent="0.35">
      <c r="A14047" t="s">
        <v>219</v>
      </c>
      <c r="B14047" t="s">
        <v>305</v>
      </c>
      <c r="C14047" t="s">
        <v>550</v>
      </c>
      <c r="D14047" t="s">
        <v>1400</v>
      </c>
      <c r="E14047" t="s">
        <v>281</v>
      </c>
      <c r="F14047" t="s">
        <v>1403</v>
      </c>
      <c r="G14047" t="s">
        <v>1504</v>
      </c>
      <c r="H14047" t="s">
        <v>1402</v>
      </c>
      <c r="I14047" t="s">
        <v>1404</v>
      </c>
      <c r="J14047" t="s">
        <v>1408</v>
      </c>
      <c r="K14047" t="s">
        <v>1401</v>
      </c>
      <c r="L14047" t="s">
        <v>1406</v>
      </c>
      <c r="M14047" t="s">
        <v>286</v>
      </c>
      <c r="N14047" t="s">
        <v>1407</v>
      </c>
      <c r="O14047" t="s">
        <v>326</v>
      </c>
      <c r="P14047" t="s">
        <v>226</v>
      </c>
    </row>
    <row r="14048" spans="1:20" x14ac:dyDescent="0.35">
      <c r="A14048" t="s">
        <v>227</v>
      </c>
      <c r="B14048" t="s">
        <v>242</v>
      </c>
      <c r="C14048" s="26">
        <v>0.52239999999999998</v>
      </c>
      <c r="D14048" s="26">
        <v>0.19400000000000001</v>
      </c>
      <c r="E14048" s="26">
        <v>0.26869999999999999</v>
      </c>
      <c r="H14048" s="26">
        <v>1.49E-2</v>
      </c>
      <c r="I14048" s="26">
        <v>1.49E-2</v>
      </c>
      <c r="P14048">
        <v>67</v>
      </c>
    </row>
    <row r="14049" spans="1:16" x14ac:dyDescent="0.35">
      <c r="A14049" t="s">
        <v>227</v>
      </c>
      <c r="B14049" t="s">
        <v>241</v>
      </c>
      <c r="C14049" s="26">
        <v>0.4667</v>
      </c>
      <c r="D14049" s="26">
        <v>0.26669999999999999</v>
      </c>
      <c r="E14049" s="26">
        <v>0.18890000000000001</v>
      </c>
      <c r="F14049" s="26">
        <v>2.2200000000000001E-2</v>
      </c>
      <c r="H14049" s="26">
        <v>2.2200000000000001E-2</v>
      </c>
      <c r="I14049" s="26">
        <v>2.2200000000000001E-2</v>
      </c>
      <c r="J14049" s="26">
        <v>1.11E-2</v>
      </c>
      <c r="K14049" s="26">
        <v>1.11E-2</v>
      </c>
      <c r="M14049" s="26">
        <v>1.11E-2</v>
      </c>
      <c r="O14049" s="26">
        <v>1.11E-2</v>
      </c>
      <c r="P14049">
        <v>90</v>
      </c>
    </row>
    <row r="14050" spans="1:16" x14ac:dyDescent="0.35">
      <c r="A14050" t="s">
        <v>228</v>
      </c>
      <c r="B14050" t="s">
        <v>242</v>
      </c>
      <c r="C14050" s="26">
        <v>0.44280000000000003</v>
      </c>
      <c r="D14050" s="26">
        <v>0.31030000000000002</v>
      </c>
      <c r="E14050" s="26">
        <v>0.21790000000000001</v>
      </c>
      <c r="F14050" s="26">
        <v>1.26E-2</v>
      </c>
      <c r="G14050" s="26">
        <v>5.1000000000000004E-3</v>
      </c>
      <c r="H14050" s="26">
        <v>1.9699999999999999E-2</v>
      </c>
      <c r="I14050" s="26">
        <v>3.0000000000000001E-3</v>
      </c>
      <c r="J14050" s="26">
        <v>9.1999999999999998E-3</v>
      </c>
      <c r="K14050" s="26">
        <v>4.0000000000000001E-3</v>
      </c>
      <c r="M14050" s="26">
        <v>6.9999999999999999E-4</v>
      </c>
      <c r="P14050">
        <v>395</v>
      </c>
    </row>
    <row r="14051" spans="1:16" x14ac:dyDescent="0.35">
      <c r="A14051" t="s">
        <v>228</v>
      </c>
      <c r="B14051" t="s">
        <v>241</v>
      </c>
      <c r="C14051" s="26">
        <v>0.45889999999999997</v>
      </c>
      <c r="D14051" s="26">
        <v>0.27679999999999999</v>
      </c>
      <c r="E14051" s="26">
        <v>0.20649999999999999</v>
      </c>
      <c r="F14051" s="26">
        <v>2.23E-2</v>
      </c>
      <c r="G14051" s="26">
        <v>2.9700000000000001E-2</v>
      </c>
      <c r="H14051" s="26">
        <v>5.4000000000000003E-3</v>
      </c>
      <c r="I14051" s="26">
        <v>1.9E-3</v>
      </c>
      <c r="J14051" s="26">
        <v>9.5999999999999992E-3</v>
      </c>
      <c r="K14051" s="26">
        <v>1.5800000000000002E-2</v>
      </c>
      <c r="L14051" s="26">
        <v>1.06E-2</v>
      </c>
      <c r="M14051" s="26">
        <v>1.1000000000000001E-3</v>
      </c>
      <c r="P14051">
        <v>620</v>
      </c>
    </row>
    <row r="14052" spans="1:16" x14ac:dyDescent="0.35">
      <c r="A14052" t="s">
        <v>229</v>
      </c>
      <c r="B14052" t="s">
        <v>242</v>
      </c>
      <c r="C14052" s="26">
        <v>0.49280000000000002</v>
      </c>
      <c r="D14052" s="26">
        <v>0.27039999999999997</v>
      </c>
      <c r="E14052" s="26">
        <v>0.21540000000000001</v>
      </c>
      <c r="F14052" s="26">
        <v>2.9999999999999997E-4</v>
      </c>
      <c r="G14052" s="26">
        <v>1.04E-2</v>
      </c>
      <c r="H14052" s="26">
        <v>1.61E-2</v>
      </c>
      <c r="I14052" s="26">
        <v>7.1000000000000004E-3</v>
      </c>
      <c r="M14052" s="26">
        <v>6.6E-3</v>
      </c>
      <c r="P14052">
        <v>283</v>
      </c>
    </row>
    <row r="14053" spans="1:16" x14ac:dyDescent="0.35">
      <c r="A14053" t="s">
        <v>229</v>
      </c>
      <c r="B14053" t="s">
        <v>241</v>
      </c>
      <c r="C14053" s="26">
        <v>0.48820000000000002</v>
      </c>
      <c r="D14053" s="26">
        <v>0.28299999999999997</v>
      </c>
      <c r="E14053" s="26">
        <v>0.14299999999999999</v>
      </c>
      <c r="F14053" s="26">
        <v>5.0799999999999998E-2</v>
      </c>
      <c r="G14053" s="26">
        <v>2.4400000000000002E-2</v>
      </c>
      <c r="H14053" s="26">
        <v>2.98E-2</v>
      </c>
      <c r="I14053" s="26">
        <v>1.84E-2</v>
      </c>
      <c r="J14053" s="26">
        <v>2.6200000000000001E-2</v>
      </c>
      <c r="K14053" s="26">
        <v>1.6799999999999999E-2</v>
      </c>
      <c r="L14053" s="26">
        <v>1.06E-2</v>
      </c>
      <c r="M14053" s="26">
        <v>1E-3</v>
      </c>
      <c r="O14053" s="26">
        <v>4.1999999999999997E-3</v>
      </c>
      <c r="P14053">
        <v>591</v>
      </c>
    </row>
    <row r="14054" spans="1:16" x14ac:dyDescent="0.35">
      <c r="A14054" t="s">
        <v>230</v>
      </c>
      <c r="B14054" t="s">
        <v>242</v>
      </c>
      <c r="C14054" s="26">
        <v>0.41289999999999999</v>
      </c>
      <c r="D14054" s="26">
        <v>0.3921</v>
      </c>
      <c r="E14054" s="26">
        <v>0.12659999999999999</v>
      </c>
      <c r="F14054" s="26">
        <v>4.8899999999999999E-2</v>
      </c>
      <c r="H14054" s="26">
        <v>3.2899999999999999E-2</v>
      </c>
      <c r="J14054" s="26">
        <v>2.5999999999999999E-3</v>
      </c>
      <c r="K14054" s="26">
        <v>1.8700000000000001E-2</v>
      </c>
      <c r="M14054" s="26">
        <v>8.0000000000000004E-4</v>
      </c>
      <c r="P14054">
        <v>183</v>
      </c>
    </row>
    <row r="14055" spans="1:16" x14ac:dyDescent="0.35">
      <c r="A14055" t="s">
        <v>230</v>
      </c>
      <c r="B14055" t="s">
        <v>241</v>
      </c>
      <c r="C14055" s="26">
        <v>0.42570000000000002</v>
      </c>
      <c r="D14055" s="26">
        <v>0.39369999999999999</v>
      </c>
      <c r="E14055" s="26">
        <v>0.1346</v>
      </c>
      <c r="F14055" s="26">
        <v>2.0400000000000001E-2</v>
      </c>
      <c r="G14055" s="26">
        <v>2.76E-2</v>
      </c>
      <c r="H14055" s="26">
        <v>2.1700000000000001E-2</v>
      </c>
      <c r="I14055" s="26">
        <v>2.5000000000000001E-2</v>
      </c>
      <c r="J14055" s="26">
        <v>1.9099999999999999E-2</v>
      </c>
      <c r="K14055" s="26">
        <v>1.2200000000000001E-2</v>
      </c>
      <c r="L14055" s="26">
        <v>2.58E-2</v>
      </c>
      <c r="M14055" s="26">
        <v>1.8E-3</v>
      </c>
      <c r="P14055">
        <v>364</v>
      </c>
    </row>
    <row r="14056" spans="1:16" x14ac:dyDescent="0.35">
      <c r="A14056" t="s">
        <v>231</v>
      </c>
      <c r="B14056" t="s">
        <v>242</v>
      </c>
      <c r="C14056" s="26">
        <v>0.53700000000000003</v>
      </c>
      <c r="D14056" s="26">
        <v>0.25929999999999997</v>
      </c>
      <c r="E14056" s="26">
        <v>0.14810000000000001</v>
      </c>
      <c r="I14056" s="26">
        <v>1.8499999999999999E-2</v>
      </c>
      <c r="J14056" s="26">
        <v>1.8499999999999999E-2</v>
      </c>
      <c r="L14056" s="26">
        <v>1.8499999999999999E-2</v>
      </c>
      <c r="N14056" s="26">
        <v>1.8499999999999999E-2</v>
      </c>
      <c r="P14056">
        <v>54</v>
      </c>
    </row>
    <row r="14057" spans="1:16" x14ac:dyDescent="0.35">
      <c r="A14057" t="s">
        <v>231</v>
      </c>
      <c r="B14057" t="s">
        <v>241</v>
      </c>
      <c r="C14057" s="26">
        <v>0.50929999999999997</v>
      </c>
      <c r="D14057" s="26">
        <v>0.3241</v>
      </c>
      <c r="E14057" s="26">
        <v>0.14810000000000001</v>
      </c>
      <c r="F14057" s="26">
        <v>3.6999999999999998E-2</v>
      </c>
      <c r="G14057" s="26">
        <v>2.7799999999999998E-2</v>
      </c>
      <c r="P14057">
        <v>108</v>
      </c>
    </row>
    <row r="14058" spans="1:16" x14ac:dyDescent="0.35">
      <c r="A14058" t="s">
        <v>232</v>
      </c>
      <c r="B14058" t="s">
        <v>232</v>
      </c>
      <c r="C14058" s="26">
        <v>0.48409999999999997</v>
      </c>
      <c r="D14058" s="26">
        <v>0.29170000000000001</v>
      </c>
      <c r="E14058" s="26">
        <v>0.1764</v>
      </c>
      <c r="F14058" s="26">
        <v>2.41E-2</v>
      </c>
      <c r="G14058" s="26">
        <v>1.6299999999999999E-2</v>
      </c>
      <c r="H14058" s="26">
        <v>1.43E-2</v>
      </c>
      <c r="I14058" s="26">
        <v>1.06E-2</v>
      </c>
      <c r="J14058" s="26">
        <v>1.04E-2</v>
      </c>
      <c r="K14058" s="26">
        <v>7.4999999999999997E-3</v>
      </c>
      <c r="L14058" s="26">
        <v>6.4999999999999997E-3</v>
      </c>
      <c r="M14058" s="26">
        <v>2.2000000000000001E-3</v>
      </c>
      <c r="N14058" s="26">
        <v>1.6999999999999999E-3</v>
      </c>
      <c r="O14058" s="26">
        <v>1.6999999999999999E-3</v>
      </c>
      <c r="P14058">
        <v>2755</v>
      </c>
    </row>
    <row r="14060" spans="1:16" x14ac:dyDescent="0.35">
      <c r="A14060" s="1" t="s">
        <v>1561</v>
      </c>
    </row>
    <row r="14061" spans="1:16" x14ac:dyDescent="0.35">
      <c r="A14061" t="s">
        <v>219</v>
      </c>
      <c r="B14061" t="s">
        <v>305</v>
      </c>
      <c r="C14061" t="s">
        <v>550</v>
      </c>
      <c r="D14061" t="s">
        <v>1400</v>
      </c>
      <c r="E14061" t="s">
        <v>281</v>
      </c>
      <c r="F14061" t="s">
        <v>1403</v>
      </c>
      <c r="G14061" t="s">
        <v>1504</v>
      </c>
      <c r="H14061" t="s">
        <v>1402</v>
      </c>
      <c r="I14061" t="s">
        <v>1404</v>
      </c>
      <c r="J14061" t="s">
        <v>1408</v>
      </c>
      <c r="K14061" t="s">
        <v>1401</v>
      </c>
      <c r="L14061" t="s">
        <v>1406</v>
      </c>
      <c r="M14061" t="s">
        <v>286</v>
      </c>
      <c r="N14061" t="s">
        <v>1407</v>
      </c>
      <c r="O14061" t="s">
        <v>326</v>
      </c>
      <c r="P14061" t="s">
        <v>226</v>
      </c>
    </row>
    <row r="14062" spans="1:16" x14ac:dyDescent="0.35">
      <c r="A14062" t="s">
        <v>227</v>
      </c>
      <c r="B14062" t="s">
        <v>239</v>
      </c>
      <c r="C14062" s="26">
        <v>0.5161</v>
      </c>
      <c r="D14062" s="26">
        <v>0.19350000000000001</v>
      </c>
      <c r="E14062" s="26">
        <v>0.2581</v>
      </c>
      <c r="F14062" s="26">
        <v>1.61E-2</v>
      </c>
      <c r="I14062" s="26">
        <v>1.61E-2</v>
      </c>
      <c r="K14062" s="26">
        <v>1.61E-2</v>
      </c>
      <c r="P14062">
        <v>62</v>
      </c>
    </row>
    <row r="14063" spans="1:16" x14ac:dyDescent="0.35">
      <c r="A14063" t="s">
        <v>227</v>
      </c>
      <c r="B14063" t="s">
        <v>238</v>
      </c>
      <c r="C14063" s="26">
        <v>0.47370000000000001</v>
      </c>
      <c r="D14063" s="26">
        <v>0.26319999999999999</v>
      </c>
      <c r="E14063" s="26">
        <v>0.2</v>
      </c>
      <c r="F14063" s="26">
        <v>1.0500000000000001E-2</v>
      </c>
      <c r="H14063" s="26">
        <v>3.1600000000000003E-2</v>
      </c>
      <c r="I14063" s="26">
        <v>2.1100000000000001E-2</v>
      </c>
      <c r="J14063" s="26">
        <v>1.0500000000000001E-2</v>
      </c>
      <c r="M14063" s="26">
        <v>1.0500000000000001E-2</v>
      </c>
      <c r="O14063" s="26">
        <v>1.0500000000000001E-2</v>
      </c>
      <c r="P14063">
        <v>95</v>
      </c>
    </row>
    <row r="14064" spans="1:16" x14ac:dyDescent="0.35">
      <c r="A14064" t="s">
        <v>228</v>
      </c>
      <c r="B14064" t="s">
        <v>239</v>
      </c>
      <c r="C14064" s="26">
        <v>0.4879</v>
      </c>
      <c r="D14064" s="26">
        <v>0.26200000000000001</v>
      </c>
      <c r="E14064" s="26">
        <v>0.22770000000000001</v>
      </c>
      <c r="F14064" s="26">
        <v>8.6999999999999994E-3</v>
      </c>
      <c r="G14064" s="26">
        <v>2E-3</v>
      </c>
      <c r="H14064" s="26">
        <v>4.7000000000000002E-3</v>
      </c>
      <c r="I14064" s="26">
        <v>1.1999999999999999E-3</v>
      </c>
      <c r="J14064" s="26">
        <v>2.7000000000000001E-3</v>
      </c>
      <c r="K14064" s="26">
        <v>1.7299999999999999E-2</v>
      </c>
      <c r="L14064" s="26">
        <v>4.7000000000000002E-3</v>
      </c>
      <c r="M14064" s="26">
        <v>3.2000000000000002E-3</v>
      </c>
      <c r="P14064">
        <v>329</v>
      </c>
    </row>
    <row r="14065" spans="1:16" x14ac:dyDescent="0.35">
      <c r="A14065" t="s">
        <v>228</v>
      </c>
      <c r="B14065" t="s">
        <v>238</v>
      </c>
      <c r="C14065" s="26">
        <v>0.44369999999999998</v>
      </c>
      <c r="D14065" s="26">
        <v>0.29630000000000001</v>
      </c>
      <c r="E14065" s="26">
        <v>0.20610000000000001</v>
      </c>
      <c r="F14065" s="26">
        <v>2.1499999999999998E-2</v>
      </c>
      <c r="G14065" s="26">
        <v>2.5700000000000001E-2</v>
      </c>
      <c r="H14065" s="26">
        <v>1.2200000000000001E-2</v>
      </c>
      <c r="I14065" s="26">
        <v>2.5999999999999999E-3</v>
      </c>
      <c r="J14065" s="26">
        <v>1.1299999999999999E-2</v>
      </c>
      <c r="K14065" s="26">
        <v>9.9000000000000008E-3</v>
      </c>
      <c r="L14065" s="26">
        <v>7.3000000000000001E-3</v>
      </c>
      <c r="M14065" s="26">
        <v>2.9999999999999997E-4</v>
      </c>
      <c r="P14065">
        <v>686</v>
      </c>
    </row>
    <row r="14066" spans="1:16" x14ac:dyDescent="0.35">
      <c r="A14066" t="s">
        <v>229</v>
      </c>
      <c r="B14066" t="s">
        <v>239</v>
      </c>
      <c r="C14066" s="26">
        <v>0.56869999999999998</v>
      </c>
      <c r="D14066" s="26">
        <v>0.22140000000000001</v>
      </c>
      <c r="E14066" s="26">
        <v>0.1762</v>
      </c>
      <c r="F14066" s="26">
        <v>2.0999999999999999E-3</v>
      </c>
      <c r="G14066" s="26">
        <v>1.5900000000000001E-2</v>
      </c>
      <c r="I14066" s="26">
        <v>1.0699999999999999E-2</v>
      </c>
      <c r="J14066" s="26">
        <v>2.7000000000000001E-3</v>
      </c>
      <c r="K14066" s="26">
        <v>1.26E-2</v>
      </c>
      <c r="M14066" s="26">
        <v>1.0999999999999999E-2</v>
      </c>
      <c r="P14066">
        <v>327</v>
      </c>
    </row>
    <row r="14067" spans="1:16" x14ac:dyDescent="0.35">
      <c r="A14067" t="s">
        <v>229</v>
      </c>
      <c r="B14067" t="s">
        <v>238</v>
      </c>
      <c r="C14067" s="26">
        <v>0.4627</v>
      </c>
      <c r="D14067" s="26">
        <v>0.29770000000000002</v>
      </c>
      <c r="E14067" s="26">
        <v>0.16919999999999999</v>
      </c>
      <c r="F14067" s="26">
        <v>4.1300000000000003E-2</v>
      </c>
      <c r="G14067" s="26">
        <v>0.02</v>
      </c>
      <c r="H14067" s="26">
        <v>3.3000000000000002E-2</v>
      </c>
      <c r="I14067" s="26">
        <v>1.52E-2</v>
      </c>
      <c r="J14067" s="26">
        <v>2.07E-2</v>
      </c>
      <c r="K14067" s="26">
        <v>9.4000000000000004E-3</v>
      </c>
      <c r="L14067" s="26">
        <v>8.8000000000000005E-3</v>
      </c>
      <c r="M14067" s="26">
        <v>5.0000000000000001E-4</v>
      </c>
      <c r="O14067" s="26">
        <v>3.5000000000000001E-3</v>
      </c>
      <c r="P14067">
        <v>547</v>
      </c>
    </row>
    <row r="14068" spans="1:16" x14ac:dyDescent="0.35">
      <c r="A14068" t="s">
        <v>230</v>
      </c>
      <c r="B14068" t="s">
        <v>239</v>
      </c>
      <c r="C14068" s="26">
        <v>0.45319999999999999</v>
      </c>
      <c r="D14068" s="26">
        <v>0.27689999999999998</v>
      </c>
      <c r="E14068" s="26">
        <v>0.1762</v>
      </c>
      <c r="F14068" s="26">
        <v>1.7999999999999999E-2</v>
      </c>
      <c r="G14068" s="26">
        <v>1.9800000000000002E-2</v>
      </c>
      <c r="H14068" s="26">
        <v>2.1000000000000001E-2</v>
      </c>
      <c r="I14068" s="26">
        <v>1.7999999999999999E-2</v>
      </c>
      <c r="J14068" s="26">
        <v>1.7999999999999999E-2</v>
      </c>
      <c r="K14068" s="26">
        <v>1.89E-2</v>
      </c>
      <c r="L14068" s="26">
        <v>3.5900000000000001E-2</v>
      </c>
      <c r="P14068">
        <v>208</v>
      </c>
    </row>
    <row r="14069" spans="1:16" x14ac:dyDescent="0.35">
      <c r="A14069" t="s">
        <v>230</v>
      </c>
      <c r="B14069" t="s">
        <v>238</v>
      </c>
      <c r="C14069" s="26">
        <v>0.40760000000000002</v>
      </c>
      <c r="D14069" s="26">
        <v>0.44350000000000001</v>
      </c>
      <c r="E14069" s="26">
        <v>0.11269999999999999</v>
      </c>
      <c r="F14069" s="26">
        <v>3.5299999999999998E-2</v>
      </c>
      <c r="G14069" s="26">
        <v>1.7600000000000001E-2</v>
      </c>
      <c r="H14069" s="26">
        <v>2.7400000000000001E-2</v>
      </c>
      <c r="I14069" s="26">
        <v>1.5900000000000001E-2</v>
      </c>
      <c r="J14069" s="26">
        <v>1.1599999999999999E-2</v>
      </c>
      <c r="K14069" s="26">
        <v>1.24E-2</v>
      </c>
      <c r="L14069" s="26">
        <v>8.8999999999999999E-3</v>
      </c>
      <c r="M14069" s="26">
        <v>2.0999999999999999E-3</v>
      </c>
      <c r="P14069">
        <v>339</v>
      </c>
    </row>
    <row r="14070" spans="1:16" x14ac:dyDescent="0.35">
      <c r="A14070" t="s">
        <v>231</v>
      </c>
      <c r="B14070" t="s">
        <v>239</v>
      </c>
      <c r="C14070" s="26">
        <v>0.52629999999999999</v>
      </c>
      <c r="D14070" s="26">
        <v>0.33329999999999999</v>
      </c>
      <c r="E14070" s="26">
        <v>0.1053</v>
      </c>
      <c r="F14070" s="26">
        <v>1.7500000000000002E-2</v>
      </c>
      <c r="L14070" s="26">
        <v>1.7500000000000002E-2</v>
      </c>
      <c r="P14070">
        <v>57</v>
      </c>
    </row>
    <row r="14071" spans="1:16" x14ac:dyDescent="0.35">
      <c r="A14071" t="s">
        <v>231</v>
      </c>
      <c r="B14071" t="s">
        <v>238</v>
      </c>
      <c r="C14071" s="26">
        <v>0.51429999999999998</v>
      </c>
      <c r="D14071" s="26">
        <v>0.28570000000000001</v>
      </c>
      <c r="E14071" s="26">
        <v>0.1714</v>
      </c>
      <c r="F14071" s="26">
        <v>2.86E-2</v>
      </c>
      <c r="G14071" s="26">
        <v>2.86E-2</v>
      </c>
      <c r="I14071" s="26">
        <v>9.4999999999999998E-3</v>
      </c>
      <c r="J14071" s="26">
        <v>9.4999999999999998E-3</v>
      </c>
      <c r="N14071" s="26">
        <v>9.4999999999999998E-3</v>
      </c>
      <c r="P14071">
        <v>105</v>
      </c>
    </row>
    <row r="14072" spans="1:16" x14ac:dyDescent="0.35">
      <c r="A14072" t="s">
        <v>232</v>
      </c>
      <c r="B14072" t="s">
        <v>232</v>
      </c>
      <c r="C14072" s="26">
        <v>0.48409999999999997</v>
      </c>
      <c r="D14072" s="26">
        <v>0.29170000000000001</v>
      </c>
      <c r="E14072" s="26">
        <v>0.1764</v>
      </c>
      <c r="F14072" s="26">
        <v>2.41E-2</v>
      </c>
      <c r="G14072" s="26">
        <v>1.6299999999999999E-2</v>
      </c>
      <c r="H14072" s="26">
        <v>1.43E-2</v>
      </c>
      <c r="I14072" s="26">
        <v>1.06E-2</v>
      </c>
      <c r="J14072" s="26">
        <v>1.04E-2</v>
      </c>
      <c r="K14072" s="26">
        <v>7.4999999999999997E-3</v>
      </c>
      <c r="L14072" s="26">
        <v>6.4999999999999997E-3</v>
      </c>
      <c r="M14072" s="26">
        <v>2.2000000000000001E-3</v>
      </c>
      <c r="N14072" s="26">
        <v>1.6999999999999999E-3</v>
      </c>
      <c r="O14072" s="26">
        <v>1.6999999999999999E-3</v>
      </c>
      <c r="P14072">
        <v>2755</v>
      </c>
    </row>
    <row r="14074" spans="1:16" x14ac:dyDescent="0.35">
      <c r="A14074" s="1" t="s">
        <v>1562</v>
      </c>
    </row>
    <row r="14075" spans="1:16" x14ac:dyDescent="0.35">
      <c r="A14075" t="s">
        <v>219</v>
      </c>
      <c r="B14075" t="s">
        <v>305</v>
      </c>
      <c r="C14075" t="s">
        <v>550</v>
      </c>
      <c r="D14075" t="s">
        <v>1400</v>
      </c>
      <c r="E14075" t="s">
        <v>281</v>
      </c>
      <c r="F14075" t="s">
        <v>1403</v>
      </c>
      <c r="G14075" t="s">
        <v>1504</v>
      </c>
      <c r="H14075" t="s">
        <v>1402</v>
      </c>
      <c r="I14075" t="s">
        <v>1404</v>
      </c>
      <c r="J14075" t="s">
        <v>1408</v>
      </c>
      <c r="K14075" t="s">
        <v>1401</v>
      </c>
      <c r="L14075" t="s">
        <v>1406</v>
      </c>
      <c r="M14075" t="s">
        <v>286</v>
      </c>
      <c r="N14075" t="s">
        <v>1407</v>
      </c>
      <c r="O14075" t="s">
        <v>326</v>
      </c>
      <c r="P14075" t="s">
        <v>226</v>
      </c>
    </row>
    <row r="14076" spans="1:16" x14ac:dyDescent="0.35">
      <c r="A14076" t="s">
        <v>227</v>
      </c>
      <c r="B14076" t="s">
        <v>244</v>
      </c>
      <c r="C14076" s="26">
        <v>0.55320000000000003</v>
      </c>
      <c r="D14076" s="26">
        <v>0.22339999999999999</v>
      </c>
      <c r="E14076" s="26">
        <v>0.18090000000000001</v>
      </c>
      <c r="F14076" s="26">
        <v>1.06E-2</v>
      </c>
      <c r="H14076" s="26">
        <v>2.1299999999999999E-2</v>
      </c>
      <c r="I14076" s="26">
        <v>2.1299999999999999E-2</v>
      </c>
      <c r="J14076" s="26">
        <v>1.06E-2</v>
      </c>
      <c r="K14076" s="26">
        <v>1.06E-2</v>
      </c>
      <c r="P14076">
        <v>94</v>
      </c>
    </row>
    <row r="14077" spans="1:16" x14ac:dyDescent="0.35">
      <c r="A14077" t="s">
        <v>227</v>
      </c>
      <c r="B14077" t="s">
        <v>245</v>
      </c>
      <c r="C14077" s="26">
        <v>0.4118</v>
      </c>
      <c r="D14077" s="26">
        <v>0.2157</v>
      </c>
      <c r="E14077" s="26">
        <v>0.33329999999999999</v>
      </c>
      <c r="F14077" s="26">
        <v>1.9599999999999999E-2</v>
      </c>
      <c r="H14077" s="26">
        <v>1.9599999999999999E-2</v>
      </c>
      <c r="O14077" s="26">
        <v>1.9599999999999999E-2</v>
      </c>
      <c r="P14077">
        <v>51</v>
      </c>
    </row>
    <row r="14078" spans="1:16" x14ac:dyDescent="0.35">
      <c r="A14078" s="27" t="s">
        <v>227</v>
      </c>
      <c r="B14078" s="27" t="s">
        <v>246</v>
      </c>
      <c r="C14078" s="28">
        <v>0.33329999999999999</v>
      </c>
      <c r="D14078" s="28">
        <v>0.41670000000000001</v>
      </c>
      <c r="E14078" s="28">
        <v>8.3299999999999999E-2</v>
      </c>
      <c r="F14078" s="29"/>
      <c r="G14078" s="29"/>
      <c r="H14078" s="29"/>
      <c r="I14078" s="28">
        <v>8.3299999999999999E-2</v>
      </c>
      <c r="J14078" s="29"/>
      <c r="K14078" s="29"/>
      <c r="L14078" s="29"/>
      <c r="M14078" s="28">
        <v>8.3299999999999999E-2</v>
      </c>
      <c r="N14078" s="29"/>
      <c r="O14078" s="29"/>
      <c r="P14078" s="29" t="s">
        <v>342</v>
      </c>
    </row>
    <row r="14079" spans="1:16" x14ac:dyDescent="0.35">
      <c r="A14079" t="s">
        <v>228</v>
      </c>
      <c r="B14079" t="s">
        <v>244</v>
      </c>
      <c r="C14079" s="26">
        <v>0.47560000000000002</v>
      </c>
      <c r="D14079" s="26">
        <v>0.28539999999999999</v>
      </c>
      <c r="E14079" s="26">
        <v>0.19370000000000001</v>
      </c>
      <c r="F14079" s="26">
        <v>2.24E-2</v>
      </c>
      <c r="G14079" s="26">
        <v>1.0699999999999999E-2</v>
      </c>
      <c r="H14079" s="26">
        <v>7.1999999999999998E-3</v>
      </c>
      <c r="I14079" s="26">
        <v>3.5000000000000001E-3</v>
      </c>
      <c r="J14079" s="26">
        <v>6.3E-3</v>
      </c>
      <c r="K14079" s="26">
        <v>8.0000000000000002E-3</v>
      </c>
      <c r="L14079" s="26">
        <v>7.9000000000000008E-3</v>
      </c>
      <c r="M14079" s="26">
        <v>1.4E-3</v>
      </c>
      <c r="P14079">
        <v>626</v>
      </c>
    </row>
    <row r="14080" spans="1:16" x14ac:dyDescent="0.35">
      <c r="A14080" t="s">
        <v>228</v>
      </c>
      <c r="B14080" t="s">
        <v>245</v>
      </c>
      <c r="C14080" s="26">
        <v>0.37880000000000003</v>
      </c>
      <c r="D14080" s="26">
        <v>0.32700000000000001</v>
      </c>
      <c r="E14080" s="26">
        <v>0.24579999999999999</v>
      </c>
      <c r="F14080" s="26">
        <v>1.4999999999999999E-2</v>
      </c>
      <c r="G14080" s="26">
        <v>3.1300000000000001E-2</v>
      </c>
      <c r="H14080" s="26">
        <v>2.12E-2</v>
      </c>
      <c r="J14080" s="26">
        <v>1.9099999999999999E-2</v>
      </c>
      <c r="K14080" s="26">
        <v>1.7399999999999999E-2</v>
      </c>
      <c r="L14080" s="26">
        <v>5.5999999999999999E-3</v>
      </c>
      <c r="P14080">
        <v>322</v>
      </c>
    </row>
    <row r="14081" spans="1:16" x14ac:dyDescent="0.35">
      <c r="A14081" t="s">
        <v>228</v>
      </c>
      <c r="B14081" t="s">
        <v>246</v>
      </c>
      <c r="C14081" s="26">
        <v>0.53869999999999996</v>
      </c>
      <c r="D14081" s="26">
        <v>0.17150000000000001</v>
      </c>
      <c r="E14081" s="26">
        <v>0.22720000000000001</v>
      </c>
      <c r="G14081" s="26">
        <v>7.1599999999999997E-2</v>
      </c>
      <c r="K14081" s="26">
        <v>2.01E-2</v>
      </c>
      <c r="P14081">
        <v>67</v>
      </c>
    </row>
    <row r="14082" spans="1:16" x14ac:dyDescent="0.35">
      <c r="A14082" t="s">
        <v>229</v>
      </c>
      <c r="B14082" t="s">
        <v>244</v>
      </c>
      <c r="C14082" s="26">
        <v>0.51639999999999997</v>
      </c>
      <c r="D14082" s="26">
        <v>0.2571</v>
      </c>
      <c r="E14082" s="26">
        <v>0.15240000000000001</v>
      </c>
      <c r="F14082" s="26">
        <v>3.2099999999999997E-2</v>
      </c>
      <c r="G14082" s="26">
        <v>1.3899999999999999E-2</v>
      </c>
      <c r="H14082" s="26">
        <v>3.1399999999999997E-2</v>
      </c>
      <c r="I14082" s="26">
        <v>1.66E-2</v>
      </c>
      <c r="J14082" s="26">
        <v>1.44E-2</v>
      </c>
      <c r="K14082" s="26">
        <v>9.7000000000000003E-3</v>
      </c>
      <c r="L14082" s="26">
        <v>5.7000000000000002E-3</v>
      </c>
      <c r="M14082" s="26">
        <v>5.0000000000000001E-4</v>
      </c>
      <c r="O14082" s="26">
        <v>3.7000000000000002E-3</v>
      </c>
      <c r="P14082">
        <v>540</v>
      </c>
    </row>
    <row r="14083" spans="1:16" x14ac:dyDescent="0.35">
      <c r="A14083" t="s">
        <v>229</v>
      </c>
      <c r="B14083" t="s">
        <v>245</v>
      </c>
      <c r="C14083" s="26">
        <v>0.42209999999999998</v>
      </c>
      <c r="D14083" s="26">
        <v>0.33760000000000001</v>
      </c>
      <c r="E14083" s="26">
        <v>0.2024</v>
      </c>
      <c r="F14083" s="26">
        <v>3.4000000000000002E-2</v>
      </c>
      <c r="G14083" s="26">
        <v>2.3800000000000002E-2</v>
      </c>
      <c r="H14083" s="26">
        <v>1.12E-2</v>
      </c>
      <c r="I14083" s="26">
        <v>9.9000000000000008E-3</v>
      </c>
      <c r="J14083" s="26">
        <v>2.1700000000000001E-2</v>
      </c>
      <c r="K14083" s="26">
        <v>1.32E-2</v>
      </c>
      <c r="L14083" s="26">
        <v>9.9000000000000008E-3</v>
      </c>
      <c r="M14083" s="26">
        <v>1.09E-2</v>
      </c>
      <c r="P14083">
        <v>292</v>
      </c>
    </row>
    <row r="14084" spans="1:16" x14ac:dyDescent="0.35">
      <c r="A14084" t="s">
        <v>229</v>
      </c>
      <c r="B14084" t="s">
        <v>246</v>
      </c>
      <c r="C14084" s="26">
        <v>0.47889999999999999</v>
      </c>
      <c r="D14084" s="26">
        <v>0.25890000000000002</v>
      </c>
      <c r="E14084" s="26">
        <v>0.26219999999999999</v>
      </c>
      <c r="F14084" s="26">
        <v>5.3E-3</v>
      </c>
      <c r="G14084" s="26">
        <v>6.3700000000000007E-2</v>
      </c>
      <c r="J14084" s="26">
        <v>0.01</v>
      </c>
      <c r="K14084" s="26">
        <v>3.3999999999999998E-3</v>
      </c>
      <c r="P14084">
        <v>42</v>
      </c>
    </row>
    <row r="14085" spans="1:16" x14ac:dyDescent="0.35">
      <c r="A14085" t="s">
        <v>230</v>
      </c>
      <c r="B14085" t="s">
        <v>244</v>
      </c>
      <c r="C14085" s="26">
        <v>0.43830000000000002</v>
      </c>
      <c r="D14085" s="26">
        <v>0.37169999999999997</v>
      </c>
      <c r="E14085" s="26">
        <v>0.13389999999999999</v>
      </c>
      <c r="F14085" s="26">
        <v>3.3099999999999997E-2</v>
      </c>
      <c r="G14085" s="26">
        <v>1.6500000000000001E-2</v>
      </c>
      <c r="H14085" s="26">
        <v>2.7400000000000001E-2</v>
      </c>
      <c r="I14085" s="26">
        <v>2.3900000000000001E-2</v>
      </c>
      <c r="J14085" s="26">
        <v>1.83E-2</v>
      </c>
      <c r="K14085" s="26">
        <v>1.2999999999999999E-2</v>
      </c>
      <c r="L14085" s="26">
        <v>1.5699999999999999E-2</v>
      </c>
      <c r="M14085" s="26">
        <v>4.0000000000000002E-4</v>
      </c>
      <c r="P14085">
        <v>359</v>
      </c>
    </row>
    <row r="14086" spans="1:16" x14ac:dyDescent="0.35">
      <c r="A14086" t="s">
        <v>230</v>
      </c>
      <c r="B14086" t="s">
        <v>245</v>
      </c>
      <c r="C14086" s="26">
        <v>0.35970000000000002</v>
      </c>
      <c r="D14086" s="26">
        <v>0.43980000000000002</v>
      </c>
      <c r="E14086" s="26">
        <v>0.14449999999999999</v>
      </c>
      <c r="F14086" s="26">
        <v>2.7699999999999999E-2</v>
      </c>
      <c r="G14086" s="26">
        <v>2.53E-2</v>
      </c>
      <c r="H14086" s="26">
        <v>2.53E-2</v>
      </c>
      <c r="J14086" s="26">
        <v>3.3999999999999998E-3</v>
      </c>
      <c r="K14086" s="26">
        <v>2.0799999999999999E-2</v>
      </c>
      <c r="L14086" s="26">
        <v>2.3900000000000001E-2</v>
      </c>
      <c r="M14086" s="26">
        <v>4.4999999999999997E-3</v>
      </c>
      <c r="P14086">
        <v>159</v>
      </c>
    </row>
    <row r="14087" spans="1:16" x14ac:dyDescent="0.35">
      <c r="A14087" s="27" t="s">
        <v>230</v>
      </c>
      <c r="B14087" s="27" t="s">
        <v>246</v>
      </c>
      <c r="C14087" s="28">
        <v>0.51090000000000002</v>
      </c>
      <c r="D14087" s="28">
        <v>0.44790000000000002</v>
      </c>
      <c r="E14087" s="28">
        <v>3.5499999999999997E-2</v>
      </c>
      <c r="F14087" s="29"/>
      <c r="G14087" s="28">
        <v>5.5999999999999999E-3</v>
      </c>
      <c r="H14087" s="29"/>
      <c r="I14087" s="29"/>
      <c r="J14087" s="29"/>
      <c r="K14087" s="29"/>
      <c r="L14087" s="29"/>
      <c r="M14087" s="29"/>
      <c r="N14087" s="29"/>
      <c r="O14087" s="29"/>
      <c r="P14087" s="29" t="s">
        <v>329</v>
      </c>
    </row>
    <row r="14088" spans="1:16" x14ac:dyDescent="0.35">
      <c r="A14088" t="s">
        <v>231</v>
      </c>
      <c r="B14088" t="s">
        <v>244</v>
      </c>
      <c r="C14088" s="26">
        <v>0.55320000000000003</v>
      </c>
      <c r="D14088" s="26">
        <v>0.2979</v>
      </c>
      <c r="E14088" s="26">
        <v>0.10639999999999999</v>
      </c>
      <c r="F14088" s="26">
        <v>2.1299999999999999E-2</v>
      </c>
      <c r="I14088" s="26">
        <v>1.06E-2</v>
      </c>
      <c r="J14088" s="26">
        <v>1.06E-2</v>
      </c>
      <c r="L14088" s="26">
        <v>1.06E-2</v>
      </c>
      <c r="N14088" s="26">
        <v>1.06E-2</v>
      </c>
      <c r="P14088">
        <v>94</v>
      </c>
    </row>
    <row r="14089" spans="1:16" x14ac:dyDescent="0.35">
      <c r="A14089" t="s">
        <v>231</v>
      </c>
      <c r="B14089" t="s">
        <v>245</v>
      </c>
      <c r="C14089" s="26">
        <v>0.47270000000000001</v>
      </c>
      <c r="D14089" s="26">
        <v>0.2727</v>
      </c>
      <c r="E14089" s="26">
        <v>0.2364</v>
      </c>
      <c r="F14089" s="26">
        <v>3.6400000000000002E-2</v>
      </c>
      <c r="G14089" s="26">
        <v>5.45E-2</v>
      </c>
      <c r="P14089">
        <v>55</v>
      </c>
    </row>
    <row r="14090" spans="1:16" x14ac:dyDescent="0.35">
      <c r="A14090" s="27" t="s">
        <v>231</v>
      </c>
      <c r="B14090" s="27" t="s">
        <v>246</v>
      </c>
      <c r="C14090" s="28">
        <v>0.46150000000000002</v>
      </c>
      <c r="D14090" s="28">
        <v>0.46150000000000002</v>
      </c>
      <c r="E14090" s="28">
        <v>7.6899999999999996E-2</v>
      </c>
      <c r="F14090" s="29"/>
      <c r="G14090" s="29"/>
      <c r="H14090" s="29"/>
      <c r="I14090" s="29"/>
      <c r="J14090" s="29"/>
      <c r="K14090" s="29"/>
      <c r="L14090" s="29"/>
      <c r="M14090" s="29"/>
      <c r="N14090" s="29"/>
      <c r="O14090" s="29"/>
      <c r="P14090" s="29" t="s">
        <v>341</v>
      </c>
    </row>
    <row r="14091" spans="1:16" x14ac:dyDescent="0.35">
      <c r="A14091" t="s">
        <v>232</v>
      </c>
      <c r="B14091" t="s">
        <v>232</v>
      </c>
      <c r="C14091" s="26">
        <v>0.48409999999999997</v>
      </c>
      <c r="D14091" s="26">
        <v>0.29170000000000001</v>
      </c>
      <c r="E14091" s="26">
        <v>0.1764</v>
      </c>
      <c r="F14091" s="26">
        <v>2.41E-2</v>
      </c>
      <c r="G14091" s="26">
        <v>1.6299999999999999E-2</v>
      </c>
      <c r="H14091" s="26">
        <v>1.43E-2</v>
      </c>
      <c r="I14091" s="26">
        <v>1.06E-2</v>
      </c>
      <c r="J14091" s="26">
        <v>1.04E-2</v>
      </c>
      <c r="K14091" s="26">
        <v>7.4999999999999997E-3</v>
      </c>
      <c r="L14091" s="26">
        <v>6.4999999999999997E-3</v>
      </c>
      <c r="M14091" s="26">
        <v>2.2000000000000001E-3</v>
      </c>
      <c r="N14091" s="26">
        <v>1.6999999999999999E-3</v>
      </c>
      <c r="O14091" s="26">
        <v>1.6999999999999999E-3</v>
      </c>
      <c r="P14091">
        <v>2755</v>
      </c>
    </row>
    <row r="14093" spans="1:16" x14ac:dyDescent="0.35">
      <c r="A14093" s="1" t="s">
        <v>1563</v>
      </c>
    </row>
    <row r="14094" spans="1:16" x14ac:dyDescent="0.35">
      <c r="A14094" t="s">
        <v>219</v>
      </c>
      <c r="B14094" t="s">
        <v>305</v>
      </c>
      <c r="C14094" t="s">
        <v>550</v>
      </c>
      <c r="D14094" t="s">
        <v>1400</v>
      </c>
      <c r="E14094" t="s">
        <v>281</v>
      </c>
      <c r="F14094" t="s">
        <v>1403</v>
      </c>
      <c r="G14094" t="s">
        <v>1504</v>
      </c>
      <c r="H14094" t="s">
        <v>1402</v>
      </c>
      <c r="I14094" t="s">
        <v>1404</v>
      </c>
      <c r="J14094" t="s">
        <v>1408</v>
      </c>
      <c r="K14094" t="s">
        <v>1401</v>
      </c>
      <c r="L14094" t="s">
        <v>1406</v>
      </c>
      <c r="M14094" t="s">
        <v>286</v>
      </c>
      <c r="N14094" t="s">
        <v>1407</v>
      </c>
      <c r="O14094" t="s">
        <v>326</v>
      </c>
      <c r="P14094" t="s">
        <v>226</v>
      </c>
    </row>
    <row r="14095" spans="1:16" x14ac:dyDescent="0.35">
      <c r="A14095" t="s">
        <v>227</v>
      </c>
      <c r="B14095" t="s">
        <v>360</v>
      </c>
      <c r="C14095" s="26">
        <v>0.43240000000000001</v>
      </c>
      <c r="D14095" s="26">
        <v>0.2432</v>
      </c>
      <c r="E14095" s="26">
        <v>0.2432</v>
      </c>
      <c r="H14095" s="26">
        <v>2.7E-2</v>
      </c>
      <c r="I14095" s="26">
        <v>5.4100000000000002E-2</v>
      </c>
      <c r="O14095" s="26">
        <v>2.7E-2</v>
      </c>
      <c r="P14095">
        <v>37</v>
      </c>
    </row>
    <row r="14096" spans="1:16" x14ac:dyDescent="0.35">
      <c r="A14096" t="s">
        <v>227</v>
      </c>
      <c r="B14096" t="s">
        <v>361</v>
      </c>
      <c r="C14096" s="26">
        <v>0.5161</v>
      </c>
      <c r="D14096" s="26">
        <v>0.2258</v>
      </c>
      <c r="E14096" s="26">
        <v>0.2581</v>
      </c>
      <c r="P14096">
        <v>31</v>
      </c>
    </row>
    <row r="14097" spans="1:16" x14ac:dyDescent="0.35">
      <c r="A14097" t="s">
        <v>227</v>
      </c>
      <c r="B14097" t="s">
        <v>362</v>
      </c>
      <c r="C14097" s="26">
        <v>0.51349999999999996</v>
      </c>
      <c r="D14097" s="26">
        <v>0.18920000000000001</v>
      </c>
      <c r="E14097" s="26">
        <v>0.2432</v>
      </c>
      <c r="F14097" s="26">
        <v>2.7E-2</v>
      </c>
      <c r="J14097" s="26">
        <v>2.7E-2</v>
      </c>
      <c r="K14097" s="26">
        <v>2.7E-2</v>
      </c>
      <c r="P14097">
        <v>37</v>
      </c>
    </row>
    <row r="14098" spans="1:16" x14ac:dyDescent="0.35">
      <c r="A14098" t="s">
        <v>227</v>
      </c>
      <c r="B14098" t="s">
        <v>363</v>
      </c>
      <c r="C14098" s="26">
        <v>0.45450000000000002</v>
      </c>
      <c r="D14098" s="26">
        <v>0.2727</v>
      </c>
      <c r="E14098" s="26">
        <v>0.20449999999999999</v>
      </c>
      <c r="F14098" s="26">
        <v>2.2700000000000001E-2</v>
      </c>
      <c r="H14098" s="26">
        <v>4.5499999999999999E-2</v>
      </c>
      <c r="I14098" s="26">
        <v>2.2700000000000001E-2</v>
      </c>
      <c r="M14098" s="26">
        <v>2.2700000000000001E-2</v>
      </c>
      <c r="P14098">
        <v>44</v>
      </c>
    </row>
    <row r="14099" spans="1:16" x14ac:dyDescent="0.35">
      <c r="A14099" t="s">
        <v>228</v>
      </c>
      <c r="B14099" t="s">
        <v>360</v>
      </c>
      <c r="C14099" s="26">
        <v>0.48220000000000002</v>
      </c>
      <c r="D14099" s="26">
        <v>0.23730000000000001</v>
      </c>
      <c r="E14099" s="26">
        <v>0.25240000000000001</v>
      </c>
      <c r="F14099" s="26">
        <v>5.0000000000000001E-3</v>
      </c>
      <c r="G14099" s="26">
        <v>9.4000000000000004E-3</v>
      </c>
      <c r="H14099" s="26">
        <v>7.1000000000000004E-3</v>
      </c>
      <c r="I14099" s="26">
        <v>1.03E-2</v>
      </c>
      <c r="J14099" s="26">
        <v>1.95E-2</v>
      </c>
      <c r="K14099" s="26">
        <v>4.3E-3</v>
      </c>
      <c r="L14099" s="26">
        <v>6.0000000000000001E-3</v>
      </c>
      <c r="M14099" s="26">
        <v>2.0999999999999999E-3</v>
      </c>
      <c r="P14099">
        <v>255</v>
      </c>
    </row>
    <row r="14100" spans="1:16" x14ac:dyDescent="0.35">
      <c r="A14100" t="s">
        <v>228</v>
      </c>
      <c r="B14100" t="s">
        <v>361</v>
      </c>
      <c r="C14100" s="26">
        <v>0.40029999999999999</v>
      </c>
      <c r="D14100" s="26">
        <v>0.36099999999999999</v>
      </c>
      <c r="E14100" s="26">
        <v>0.18290000000000001</v>
      </c>
      <c r="F14100" s="26">
        <v>5.33E-2</v>
      </c>
      <c r="G14100" s="26">
        <v>2.7699999999999999E-2</v>
      </c>
      <c r="H14100" s="26">
        <v>1.77E-2</v>
      </c>
      <c r="J14100" s="26">
        <v>1.21E-2</v>
      </c>
      <c r="K14100" s="26">
        <v>2.3E-3</v>
      </c>
      <c r="L14100" s="26">
        <v>3.8999999999999998E-3</v>
      </c>
      <c r="P14100">
        <v>187</v>
      </c>
    </row>
    <row r="14101" spans="1:16" x14ac:dyDescent="0.35">
      <c r="A14101" t="s">
        <v>228</v>
      </c>
      <c r="B14101" t="s">
        <v>363</v>
      </c>
      <c r="C14101" s="26">
        <v>0.46360000000000001</v>
      </c>
      <c r="D14101" s="26">
        <v>0.30890000000000001</v>
      </c>
      <c r="E14101" s="26">
        <v>0.17</v>
      </c>
      <c r="F14101" s="26">
        <v>1.5900000000000001E-2</v>
      </c>
      <c r="G14101" s="26">
        <v>1.9199999999999998E-2</v>
      </c>
      <c r="H14101" s="26">
        <v>1.3100000000000001E-2</v>
      </c>
      <c r="K14101" s="26">
        <v>1.9300000000000001E-2</v>
      </c>
      <c r="L14101" s="26">
        <v>2.3E-3</v>
      </c>
      <c r="M14101" s="26">
        <v>1E-3</v>
      </c>
      <c r="P14101">
        <v>209</v>
      </c>
    </row>
    <row r="14102" spans="1:16" x14ac:dyDescent="0.35">
      <c r="A14102" t="s">
        <v>228</v>
      </c>
      <c r="B14102" t="s">
        <v>362</v>
      </c>
      <c r="C14102" s="26">
        <v>0.46929999999999999</v>
      </c>
      <c r="D14102" s="26">
        <v>0.24590000000000001</v>
      </c>
      <c r="E14102" s="26">
        <v>0.25629999999999997</v>
      </c>
      <c r="F14102" s="26">
        <v>5.1999999999999998E-3</v>
      </c>
      <c r="G14102" s="26">
        <v>2.06E-2</v>
      </c>
      <c r="H14102" s="26">
        <v>7.9000000000000008E-3</v>
      </c>
      <c r="J14102" s="26">
        <v>8.6999999999999994E-3</v>
      </c>
      <c r="K14102" s="26">
        <v>8.8000000000000005E-3</v>
      </c>
      <c r="L14102" s="26">
        <v>2.8999999999999998E-3</v>
      </c>
      <c r="P14102">
        <v>232</v>
      </c>
    </row>
    <row r="14103" spans="1:16" x14ac:dyDescent="0.35">
      <c r="A14103" t="s">
        <v>229</v>
      </c>
      <c r="B14103" t="s">
        <v>363</v>
      </c>
      <c r="C14103" s="26">
        <v>0.58660000000000001</v>
      </c>
      <c r="D14103" s="26">
        <v>0.18709999999999999</v>
      </c>
      <c r="E14103" s="26">
        <v>0.19900000000000001</v>
      </c>
      <c r="F14103" s="26">
        <v>2.29E-2</v>
      </c>
      <c r="G14103" s="26">
        <v>7.6E-3</v>
      </c>
      <c r="H14103" s="26">
        <v>1.72E-2</v>
      </c>
      <c r="J14103" s="26">
        <v>4.7999999999999996E-3</v>
      </c>
      <c r="K14103" s="26">
        <v>6.7000000000000002E-3</v>
      </c>
      <c r="L14103" s="26">
        <v>4.7999999999999996E-3</v>
      </c>
      <c r="M14103" s="26">
        <v>1.5E-3</v>
      </c>
      <c r="P14103">
        <v>184</v>
      </c>
    </row>
    <row r="14104" spans="1:16" x14ac:dyDescent="0.35">
      <c r="A14104" t="s">
        <v>229</v>
      </c>
      <c r="B14104" t="s">
        <v>360</v>
      </c>
      <c r="C14104" s="26">
        <v>0.41689999999999999</v>
      </c>
      <c r="D14104" s="26">
        <v>0.2712</v>
      </c>
      <c r="E14104" s="26">
        <v>0.24349999999999999</v>
      </c>
      <c r="F14104" s="26">
        <v>1.6299999999999999E-2</v>
      </c>
      <c r="H14104" s="26">
        <v>1.95E-2</v>
      </c>
      <c r="I14104" s="26">
        <v>1.6299999999999999E-2</v>
      </c>
      <c r="K14104" s="26">
        <v>2.0999999999999999E-3</v>
      </c>
      <c r="M14104" s="26">
        <v>1.6299999999999999E-2</v>
      </c>
      <c r="P14104">
        <v>162</v>
      </c>
    </row>
    <row r="14105" spans="1:16" x14ac:dyDescent="0.35">
      <c r="A14105" t="s">
        <v>229</v>
      </c>
      <c r="B14105" t="s">
        <v>361</v>
      </c>
      <c r="C14105" s="26">
        <v>0.46939999999999998</v>
      </c>
      <c r="D14105" s="26">
        <v>0.29699999999999999</v>
      </c>
      <c r="E14105" s="26">
        <v>0.12559999999999999</v>
      </c>
      <c r="F14105" s="26">
        <v>5.5800000000000002E-2</v>
      </c>
      <c r="G14105" s="26">
        <v>1.6400000000000001E-2</v>
      </c>
      <c r="H14105" s="26">
        <v>4.0300000000000002E-2</v>
      </c>
      <c r="I14105" s="26">
        <v>1.61E-2</v>
      </c>
      <c r="J14105" s="26">
        <v>3.09E-2</v>
      </c>
      <c r="K14105" s="26">
        <v>1.3899999999999999E-2</v>
      </c>
      <c r="L14105" s="26">
        <v>8.0999999999999996E-3</v>
      </c>
      <c r="O14105" s="26">
        <v>6.7000000000000002E-3</v>
      </c>
      <c r="P14105">
        <v>236</v>
      </c>
    </row>
    <row r="14106" spans="1:16" x14ac:dyDescent="0.35">
      <c r="A14106" t="s">
        <v>229</v>
      </c>
      <c r="B14106" t="s">
        <v>362</v>
      </c>
      <c r="C14106" s="26">
        <v>0.51729999999999998</v>
      </c>
      <c r="D14106" s="26">
        <v>0.30709999999999998</v>
      </c>
      <c r="E14106" s="26">
        <v>0.16880000000000001</v>
      </c>
      <c r="F14106" s="26">
        <v>3.2000000000000002E-3</v>
      </c>
      <c r="G14106" s="26">
        <v>2.9000000000000001E-2</v>
      </c>
      <c r="H14106" s="26">
        <v>2.5999999999999999E-3</v>
      </c>
      <c r="J14106" s="26">
        <v>2E-3</v>
      </c>
      <c r="K14106" s="26">
        <v>4.1999999999999997E-3</v>
      </c>
      <c r="P14106">
        <v>169</v>
      </c>
    </row>
    <row r="14107" spans="1:16" x14ac:dyDescent="0.35">
      <c r="A14107" t="s">
        <v>230</v>
      </c>
      <c r="B14107" t="s">
        <v>360</v>
      </c>
      <c r="C14107" s="26">
        <v>0.39589999999999997</v>
      </c>
      <c r="D14107" s="26">
        <v>0.39279999999999998</v>
      </c>
      <c r="E14107" s="26">
        <v>0.14560000000000001</v>
      </c>
      <c r="F14107" s="26">
        <v>2.9000000000000001E-2</v>
      </c>
      <c r="G14107" s="26">
        <v>1.5E-3</v>
      </c>
      <c r="H14107" s="26">
        <v>2.9000000000000001E-2</v>
      </c>
      <c r="K14107" s="26">
        <v>3.6700000000000003E-2</v>
      </c>
      <c r="M14107" s="26">
        <v>4.7999999999999996E-3</v>
      </c>
      <c r="P14107">
        <v>118</v>
      </c>
    </row>
    <row r="14108" spans="1:16" x14ac:dyDescent="0.35">
      <c r="A14108" t="s">
        <v>230</v>
      </c>
      <c r="B14108" t="s">
        <v>363</v>
      </c>
      <c r="C14108" s="26">
        <v>0.41</v>
      </c>
      <c r="D14108" s="26">
        <v>0.41399999999999998</v>
      </c>
      <c r="E14108" s="26">
        <v>0.161</v>
      </c>
      <c r="F14108" s="26">
        <v>5.0000000000000001E-3</v>
      </c>
      <c r="H14108" s="26">
        <v>0.01</v>
      </c>
      <c r="J14108" s="26">
        <v>3.8E-3</v>
      </c>
      <c r="K14108" s="26">
        <v>3.09E-2</v>
      </c>
      <c r="L14108" s="26">
        <v>1.1999999999999999E-3</v>
      </c>
      <c r="P14108">
        <v>124</v>
      </c>
    </row>
    <row r="14109" spans="1:16" x14ac:dyDescent="0.35">
      <c r="A14109" t="s">
        <v>230</v>
      </c>
      <c r="B14109" t="s">
        <v>361</v>
      </c>
      <c r="C14109" s="26">
        <v>0.36770000000000003</v>
      </c>
      <c r="D14109" s="26">
        <v>0.40620000000000001</v>
      </c>
      <c r="E14109" s="26">
        <v>0.1273</v>
      </c>
      <c r="F14109" s="26">
        <v>7.1599999999999997E-2</v>
      </c>
      <c r="G14109" s="26">
        <v>4.9799999999999997E-2</v>
      </c>
      <c r="H14109" s="26">
        <v>4.6600000000000003E-2</v>
      </c>
      <c r="I14109" s="26">
        <v>6.4399999999999999E-2</v>
      </c>
      <c r="J14109" s="26">
        <v>4.65E-2</v>
      </c>
      <c r="L14109" s="26">
        <v>4.2999999999999997E-2</v>
      </c>
      <c r="M14109" s="26">
        <v>1.1000000000000001E-3</v>
      </c>
      <c r="P14109">
        <v>105</v>
      </c>
    </row>
    <row r="14110" spans="1:16" x14ac:dyDescent="0.35">
      <c r="A14110" t="s">
        <v>230</v>
      </c>
      <c r="B14110" t="s">
        <v>362</v>
      </c>
      <c r="C14110" s="26">
        <v>0.48620000000000002</v>
      </c>
      <c r="D14110" s="26">
        <v>0.3745</v>
      </c>
      <c r="E14110" s="26">
        <v>9.3899999999999997E-2</v>
      </c>
      <c r="F14110" s="26">
        <v>2.1499999999999998E-2</v>
      </c>
      <c r="G14110" s="26">
        <v>2.1499999999999998E-2</v>
      </c>
      <c r="H14110" s="26">
        <v>2.2599999999999999E-2</v>
      </c>
      <c r="I14110" s="26">
        <v>1.1000000000000001E-3</v>
      </c>
      <c r="K14110" s="26">
        <v>1.1000000000000001E-3</v>
      </c>
      <c r="L14110" s="26">
        <v>2.2599999999999999E-2</v>
      </c>
      <c r="M14110" s="26">
        <v>1.1000000000000001E-3</v>
      </c>
      <c r="P14110">
        <v>144</v>
      </c>
    </row>
    <row r="14111" spans="1:16" x14ac:dyDescent="0.35">
      <c r="A14111" s="27" t="s">
        <v>231</v>
      </c>
      <c r="B14111" s="27" t="s">
        <v>362</v>
      </c>
      <c r="C14111" s="28">
        <v>0.51719999999999999</v>
      </c>
      <c r="D14111" s="28">
        <v>0.2069</v>
      </c>
      <c r="E14111" s="28">
        <v>0.2069</v>
      </c>
      <c r="F14111" s="28">
        <v>3.4500000000000003E-2</v>
      </c>
      <c r="G14111" s="29"/>
      <c r="H14111" s="29"/>
      <c r="I14111" s="29"/>
      <c r="J14111" s="29"/>
      <c r="K14111" s="29"/>
      <c r="L14111" s="28">
        <v>3.4500000000000003E-2</v>
      </c>
      <c r="M14111" s="29"/>
      <c r="N14111" s="29"/>
      <c r="O14111" s="29"/>
      <c r="P14111" s="29" t="s">
        <v>329</v>
      </c>
    </row>
    <row r="14112" spans="1:16" x14ac:dyDescent="0.35">
      <c r="A14112" t="s">
        <v>231</v>
      </c>
      <c r="B14112" t="s">
        <v>361</v>
      </c>
      <c r="C14112" s="26">
        <v>0.45829999999999999</v>
      </c>
      <c r="D14112" s="26">
        <v>0.39579999999999999</v>
      </c>
      <c r="E14112" s="26">
        <v>0.125</v>
      </c>
      <c r="F14112" s="26">
        <v>4.1700000000000001E-2</v>
      </c>
      <c r="G14112" s="26">
        <v>4.1700000000000001E-2</v>
      </c>
      <c r="I14112" s="26">
        <v>2.0799999999999999E-2</v>
      </c>
      <c r="J14112" s="26">
        <v>2.0799999999999999E-2</v>
      </c>
      <c r="P14112">
        <v>48</v>
      </c>
    </row>
    <row r="14113" spans="1:16" x14ac:dyDescent="0.35">
      <c r="A14113" t="s">
        <v>231</v>
      </c>
      <c r="B14113" t="s">
        <v>360</v>
      </c>
      <c r="C14113" s="26">
        <v>0.5</v>
      </c>
      <c r="D14113" s="26">
        <v>0.31819999999999998</v>
      </c>
      <c r="E14113" s="26">
        <v>0.18179999999999999</v>
      </c>
      <c r="P14113">
        <v>44</v>
      </c>
    </row>
    <row r="14114" spans="1:16" x14ac:dyDescent="0.35">
      <c r="A14114" s="27" t="s">
        <v>231</v>
      </c>
      <c r="B14114" s="27" t="s">
        <v>363</v>
      </c>
      <c r="C14114" s="28">
        <v>0.55559999999999998</v>
      </c>
      <c r="D14114" s="28">
        <v>0.29630000000000001</v>
      </c>
      <c r="E14114" s="28">
        <v>7.4099999999999999E-2</v>
      </c>
      <c r="F14114" s="28">
        <v>3.6999999999999998E-2</v>
      </c>
      <c r="G14114" s="28">
        <v>3.6999999999999998E-2</v>
      </c>
      <c r="H14114" s="29"/>
      <c r="I14114" s="29"/>
      <c r="J14114" s="29"/>
      <c r="K14114" s="29"/>
      <c r="L14114" s="29"/>
      <c r="M14114" s="29"/>
      <c r="N14114" s="28">
        <v>3.6999999999999998E-2</v>
      </c>
      <c r="O14114" s="29"/>
      <c r="P14114" s="29" t="s">
        <v>338</v>
      </c>
    </row>
    <row r="14115" spans="1:16" x14ac:dyDescent="0.35">
      <c r="A14115" t="s">
        <v>232</v>
      </c>
      <c r="B14115" t="s">
        <v>232</v>
      </c>
      <c r="C14115" s="26">
        <v>0.48409999999999997</v>
      </c>
      <c r="D14115" s="26">
        <v>0.29170000000000001</v>
      </c>
      <c r="E14115" s="26">
        <v>0.1764</v>
      </c>
      <c r="F14115" s="26">
        <v>2.41E-2</v>
      </c>
      <c r="G14115" s="26">
        <v>1.6299999999999999E-2</v>
      </c>
      <c r="H14115" s="26">
        <v>1.43E-2</v>
      </c>
      <c r="I14115" s="26">
        <v>1.06E-2</v>
      </c>
      <c r="J14115" s="26">
        <v>1.04E-2</v>
      </c>
      <c r="K14115" s="26">
        <v>7.4999999999999997E-3</v>
      </c>
      <c r="L14115" s="26">
        <v>6.4999999999999997E-3</v>
      </c>
      <c r="M14115" s="26">
        <v>2.2000000000000001E-3</v>
      </c>
      <c r="N14115" s="26">
        <v>1.6999999999999999E-3</v>
      </c>
      <c r="O14115" s="26">
        <v>1.6999999999999999E-3</v>
      </c>
      <c r="P14115">
        <v>2422</v>
      </c>
    </row>
    <row r="14117" spans="1:16" x14ac:dyDescent="0.35">
      <c r="A14117" s="1" t="s">
        <v>1564</v>
      </c>
    </row>
    <row r="14118" spans="1:16" x14ac:dyDescent="0.35">
      <c r="A14118" t="s">
        <v>219</v>
      </c>
      <c r="B14118" t="s">
        <v>305</v>
      </c>
      <c r="C14118" t="s">
        <v>550</v>
      </c>
      <c r="D14118" t="s">
        <v>1400</v>
      </c>
      <c r="E14118" t="s">
        <v>281</v>
      </c>
      <c r="F14118" t="s">
        <v>1403</v>
      </c>
      <c r="G14118" t="s">
        <v>1504</v>
      </c>
      <c r="H14118" t="s">
        <v>1402</v>
      </c>
      <c r="I14118" t="s">
        <v>1404</v>
      </c>
      <c r="J14118" t="s">
        <v>1408</v>
      </c>
      <c r="K14118" t="s">
        <v>1401</v>
      </c>
      <c r="L14118" t="s">
        <v>1406</v>
      </c>
      <c r="M14118" t="s">
        <v>286</v>
      </c>
      <c r="N14118" t="s">
        <v>1407</v>
      </c>
      <c r="O14118" t="s">
        <v>326</v>
      </c>
      <c r="P14118" t="s">
        <v>226</v>
      </c>
    </row>
    <row r="14119" spans="1:16" x14ac:dyDescent="0.35">
      <c r="A14119" t="s">
        <v>227</v>
      </c>
      <c r="B14119" t="s">
        <v>267</v>
      </c>
      <c r="C14119" s="26">
        <v>0.45710000000000001</v>
      </c>
      <c r="D14119" s="26">
        <v>0.31430000000000002</v>
      </c>
      <c r="E14119" s="26">
        <v>0.1714</v>
      </c>
      <c r="F14119" s="26">
        <v>5.7099999999999998E-2</v>
      </c>
      <c r="H14119" s="26">
        <v>5.7099999999999998E-2</v>
      </c>
      <c r="K14119" s="26">
        <v>2.86E-2</v>
      </c>
      <c r="P14119">
        <v>35</v>
      </c>
    </row>
    <row r="14120" spans="1:16" x14ac:dyDescent="0.35">
      <c r="A14120" t="s">
        <v>227</v>
      </c>
      <c r="B14120" t="s">
        <v>266</v>
      </c>
      <c r="C14120" s="26">
        <v>0.43859999999999999</v>
      </c>
      <c r="D14120" s="26">
        <v>0.21049999999999999</v>
      </c>
      <c r="E14120" s="26">
        <v>0.33329999999999999</v>
      </c>
      <c r="O14120" s="26">
        <v>1.7500000000000002E-2</v>
      </c>
      <c r="P14120">
        <v>57</v>
      </c>
    </row>
    <row r="14121" spans="1:16" x14ac:dyDescent="0.35">
      <c r="A14121" t="s">
        <v>227</v>
      </c>
      <c r="B14121" t="s">
        <v>265</v>
      </c>
      <c r="C14121" s="26">
        <v>0.55379999999999996</v>
      </c>
      <c r="D14121" s="26">
        <v>0.21540000000000001</v>
      </c>
      <c r="E14121" s="26">
        <v>0.15379999999999999</v>
      </c>
      <c r="H14121" s="26">
        <v>1.54E-2</v>
      </c>
      <c r="I14121" s="26">
        <v>4.6199999999999998E-2</v>
      </c>
      <c r="J14121" s="26">
        <v>1.54E-2</v>
      </c>
      <c r="M14121" s="26">
        <v>1.54E-2</v>
      </c>
      <c r="P14121">
        <v>65</v>
      </c>
    </row>
    <row r="14122" spans="1:16" x14ac:dyDescent="0.35">
      <c r="A14122" t="s">
        <v>228</v>
      </c>
      <c r="B14122" t="s">
        <v>267</v>
      </c>
      <c r="C14122" s="26">
        <v>0.57069999999999999</v>
      </c>
      <c r="D14122" s="26">
        <v>0.25259999999999999</v>
      </c>
      <c r="E14122" s="26">
        <v>0.15559999999999999</v>
      </c>
      <c r="F14122" s="26">
        <v>7.3000000000000001E-3</v>
      </c>
      <c r="G14122" s="26">
        <v>3.04E-2</v>
      </c>
      <c r="H14122" s="26">
        <v>1.1599999999999999E-2</v>
      </c>
      <c r="I14122" s="26">
        <v>5.1000000000000004E-3</v>
      </c>
      <c r="J14122" s="26">
        <v>1.9199999999999998E-2</v>
      </c>
      <c r="K14122" s="26">
        <v>4.7999999999999996E-3</v>
      </c>
      <c r="L14122" s="26">
        <v>7.1000000000000004E-3</v>
      </c>
      <c r="P14122">
        <v>194</v>
      </c>
    </row>
    <row r="14123" spans="1:16" x14ac:dyDescent="0.35">
      <c r="A14123" t="s">
        <v>228</v>
      </c>
      <c r="B14123" t="s">
        <v>265</v>
      </c>
      <c r="C14123" s="26">
        <v>0.49180000000000001</v>
      </c>
      <c r="D14123" s="26">
        <v>0.30690000000000001</v>
      </c>
      <c r="E14123" s="26">
        <v>0.15110000000000001</v>
      </c>
      <c r="F14123" s="26">
        <v>2.35E-2</v>
      </c>
      <c r="G14123" s="26">
        <v>1.67E-2</v>
      </c>
      <c r="H14123" s="26">
        <v>3.0999999999999999E-3</v>
      </c>
      <c r="J14123" s="26">
        <v>7.3000000000000001E-3</v>
      </c>
      <c r="K14123" s="26">
        <v>5.7000000000000002E-3</v>
      </c>
      <c r="L14123" s="26">
        <v>1.11E-2</v>
      </c>
      <c r="M14123" s="26">
        <v>1.6000000000000001E-3</v>
      </c>
      <c r="P14123">
        <v>377</v>
      </c>
    </row>
    <row r="14124" spans="1:16" x14ac:dyDescent="0.35">
      <c r="A14124" s="27" t="s">
        <v>228</v>
      </c>
      <c r="B14124" s="27" t="s">
        <v>236</v>
      </c>
      <c r="C14124" s="29"/>
      <c r="D14124" s="28">
        <v>1</v>
      </c>
      <c r="E14124" s="29"/>
      <c r="F14124" s="29"/>
      <c r="G14124" s="29"/>
      <c r="H14124" s="29"/>
      <c r="I14124" s="29"/>
      <c r="J14124" s="29"/>
      <c r="K14124" s="29"/>
      <c r="L14124" s="29"/>
      <c r="M14124" s="29"/>
      <c r="N14124" s="29"/>
      <c r="O14124" s="29"/>
      <c r="P14124" s="29" t="s">
        <v>314</v>
      </c>
    </row>
    <row r="14125" spans="1:16" x14ac:dyDescent="0.35">
      <c r="A14125" t="s">
        <v>228</v>
      </c>
      <c r="B14125" t="s">
        <v>266</v>
      </c>
      <c r="C14125" s="26">
        <v>0.37280000000000002</v>
      </c>
      <c r="D14125" s="26">
        <v>0.27410000000000001</v>
      </c>
      <c r="E14125" s="26">
        <v>0.29720000000000002</v>
      </c>
      <c r="F14125" s="26">
        <v>1.9E-2</v>
      </c>
      <c r="G14125" s="26">
        <v>2.1100000000000001E-2</v>
      </c>
      <c r="H14125" s="26">
        <v>1.8100000000000002E-2</v>
      </c>
      <c r="I14125" s="26">
        <v>3.5000000000000001E-3</v>
      </c>
      <c r="J14125" s="26">
        <v>7.9000000000000008E-3</v>
      </c>
      <c r="K14125" s="26">
        <v>2.0299999999999999E-2</v>
      </c>
      <c r="L14125" s="26">
        <v>2.3E-3</v>
      </c>
      <c r="M14125" s="26">
        <v>5.9999999999999995E-4</v>
      </c>
      <c r="P14125">
        <v>442</v>
      </c>
    </row>
    <row r="14126" spans="1:16" x14ac:dyDescent="0.35">
      <c r="A14126" t="s">
        <v>229</v>
      </c>
      <c r="B14126" t="s">
        <v>266</v>
      </c>
      <c r="C14126" s="26">
        <v>0.41139999999999999</v>
      </c>
      <c r="D14126" s="26">
        <v>0.35399999999999998</v>
      </c>
      <c r="E14126" s="26">
        <v>0.187</v>
      </c>
      <c r="F14126" s="26">
        <v>2.9600000000000001E-2</v>
      </c>
      <c r="G14126" s="26">
        <v>5.0099999999999999E-2</v>
      </c>
      <c r="H14126" s="26">
        <v>8.6999999999999994E-3</v>
      </c>
      <c r="I14126" s="26">
        <v>8.2000000000000007E-3</v>
      </c>
      <c r="J14126" s="26">
        <v>2.7300000000000001E-2</v>
      </c>
      <c r="K14126" s="26">
        <v>1.34E-2</v>
      </c>
      <c r="L14126" s="26">
        <v>1.03E-2</v>
      </c>
      <c r="M14126" s="26">
        <v>8.5000000000000006E-3</v>
      </c>
      <c r="P14126">
        <v>352</v>
      </c>
    </row>
    <row r="14127" spans="1:16" x14ac:dyDescent="0.35">
      <c r="A14127" t="s">
        <v>229</v>
      </c>
      <c r="B14127" t="s">
        <v>267</v>
      </c>
      <c r="C14127" s="26">
        <v>0.56520000000000004</v>
      </c>
      <c r="D14127" s="26">
        <v>0.26769999999999999</v>
      </c>
      <c r="E14127" s="26">
        <v>8.9300000000000004E-2</v>
      </c>
      <c r="F14127" s="26">
        <v>6.7199999999999996E-2</v>
      </c>
      <c r="G14127" s="26">
        <v>1.9E-3</v>
      </c>
      <c r="H14127" s="26">
        <v>1.37E-2</v>
      </c>
      <c r="I14127" s="26">
        <v>3.6600000000000001E-2</v>
      </c>
      <c r="J14127" s="26">
        <v>1.52E-2</v>
      </c>
      <c r="K14127" s="26">
        <v>1.5E-3</v>
      </c>
      <c r="P14127">
        <v>199</v>
      </c>
    </row>
    <row r="14128" spans="1:16" x14ac:dyDescent="0.35">
      <c r="A14128" t="s">
        <v>229</v>
      </c>
      <c r="B14128" t="s">
        <v>265</v>
      </c>
      <c r="C14128" s="26">
        <v>0.51100000000000001</v>
      </c>
      <c r="D14128" s="26">
        <v>0.2263</v>
      </c>
      <c r="E14128" s="26">
        <v>0.20039999999999999</v>
      </c>
      <c r="F14128" s="26">
        <v>1.43E-2</v>
      </c>
      <c r="G14128" s="26">
        <v>4.1999999999999997E-3</v>
      </c>
      <c r="H14128" s="26">
        <v>4.1799999999999997E-2</v>
      </c>
      <c r="I14128" s="26">
        <v>6.8999999999999999E-3</v>
      </c>
      <c r="J14128" s="26">
        <v>8.0999999999999996E-3</v>
      </c>
      <c r="K14128" s="26">
        <v>1.24E-2</v>
      </c>
      <c r="L14128" s="26">
        <v>6.8999999999999999E-3</v>
      </c>
      <c r="M14128" s="26">
        <v>8.0000000000000004E-4</v>
      </c>
      <c r="O14128" s="26">
        <v>5.7999999999999996E-3</v>
      </c>
      <c r="P14128">
        <v>323</v>
      </c>
    </row>
    <row r="14129" spans="1:16" x14ac:dyDescent="0.35">
      <c r="A14129" t="s">
        <v>230</v>
      </c>
      <c r="B14129" t="s">
        <v>267</v>
      </c>
      <c r="C14129" s="26">
        <v>0.46100000000000002</v>
      </c>
      <c r="D14129" s="26">
        <v>0.3947</v>
      </c>
      <c r="E14129" s="26">
        <v>9.11E-2</v>
      </c>
      <c r="F14129" s="26">
        <v>3.2800000000000003E-2</v>
      </c>
      <c r="G14129" s="26">
        <v>2.9899999999999999E-2</v>
      </c>
      <c r="H14129" s="26">
        <v>2.87E-2</v>
      </c>
      <c r="I14129" s="26">
        <v>4.9200000000000001E-2</v>
      </c>
      <c r="J14129" s="26">
        <v>2.46E-2</v>
      </c>
      <c r="K14129" s="26">
        <v>2.46E-2</v>
      </c>
      <c r="L14129" s="26">
        <v>2.46E-2</v>
      </c>
      <c r="P14129">
        <v>117</v>
      </c>
    </row>
    <row r="14130" spans="1:16" x14ac:dyDescent="0.35">
      <c r="A14130" t="s">
        <v>230</v>
      </c>
      <c r="B14130" t="s">
        <v>266</v>
      </c>
      <c r="C14130" s="26">
        <v>0.34489999999999998</v>
      </c>
      <c r="D14130" s="26">
        <v>0.4294</v>
      </c>
      <c r="E14130" s="26">
        <v>0.1648</v>
      </c>
      <c r="F14130" s="26">
        <v>3.0700000000000002E-2</v>
      </c>
      <c r="G14130" s="26">
        <v>1.5699999999999999E-2</v>
      </c>
      <c r="H14130" s="26">
        <v>3.4700000000000002E-2</v>
      </c>
      <c r="I14130" s="26">
        <v>8.0000000000000004E-4</v>
      </c>
      <c r="J14130" s="26">
        <v>4.8999999999999998E-3</v>
      </c>
      <c r="K14130" s="26">
        <v>1.9E-2</v>
      </c>
      <c r="L14130" s="26">
        <v>1.72E-2</v>
      </c>
      <c r="M14130" s="26">
        <v>4.0000000000000001E-3</v>
      </c>
      <c r="P14130">
        <v>228</v>
      </c>
    </row>
    <row r="14131" spans="1:16" x14ac:dyDescent="0.35">
      <c r="A14131" t="s">
        <v>230</v>
      </c>
      <c r="B14131" t="s">
        <v>265</v>
      </c>
      <c r="C14131" s="26">
        <v>0.46679999999999999</v>
      </c>
      <c r="D14131" s="26">
        <v>0.36099999999999999</v>
      </c>
      <c r="E14131" s="26">
        <v>0.1249</v>
      </c>
      <c r="F14131" s="26">
        <v>2.81E-2</v>
      </c>
      <c r="G14131" s="26">
        <v>1.43E-2</v>
      </c>
      <c r="H14131" s="26">
        <v>1.5800000000000002E-2</v>
      </c>
      <c r="I14131" s="26">
        <v>1.2999999999999999E-2</v>
      </c>
      <c r="J14131" s="26">
        <v>1.5100000000000001E-2</v>
      </c>
      <c r="K14131" s="26">
        <v>4.8999999999999998E-3</v>
      </c>
      <c r="L14131" s="26">
        <v>1.2999999999999999E-2</v>
      </c>
      <c r="P14131">
        <v>202</v>
      </c>
    </row>
    <row r="14132" spans="1:16" x14ac:dyDescent="0.35">
      <c r="A14132" t="s">
        <v>231</v>
      </c>
      <c r="B14132" t="s">
        <v>267</v>
      </c>
      <c r="C14132" s="26">
        <v>0.51519999999999999</v>
      </c>
      <c r="D14132" s="26">
        <v>0.36359999999999998</v>
      </c>
      <c r="E14132" s="26">
        <v>3.0300000000000001E-2</v>
      </c>
      <c r="F14132" s="26">
        <v>6.0600000000000001E-2</v>
      </c>
      <c r="G14132" s="26">
        <v>3.0300000000000001E-2</v>
      </c>
      <c r="L14132" s="26">
        <v>3.0300000000000001E-2</v>
      </c>
      <c r="N14132" s="26">
        <v>3.0300000000000001E-2</v>
      </c>
      <c r="P14132">
        <v>33</v>
      </c>
    </row>
    <row r="14133" spans="1:16" x14ac:dyDescent="0.35">
      <c r="A14133" t="s">
        <v>231</v>
      </c>
      <c r="B14133" t="s">
        <v>266</v>
      </c>
      <c r="C14133" s="26">
        <v>0.371</v>
      </c>
      <c r="D14133" s="26">
        <v>0.371</v>
      </c>
      <c r="E14133" s="26">
        <v>0.2581</v>
      </c>
      <c r="F14133" s="26">
        <v>1.61E-2</v>
      </c>
      <c r="G14133" s="26">
        <v>3.2300000000000002E-2</v>
      </c>
      <c r="P14133">
        <v>62</v>
      </c>
    </row>
    <row r="14134" spans="1:16" x14ac:dyDescent="0.35">
      <c r="A14134" t="s">
        <v>231</v>
      </c>
      <c r="B14134" t="s">
        <v>265</v>
      </c>
      <c r="C14134" s="26">
        <v>0.65669999999999995</v>
      </c>
      <c r="D14134" s="26">
        <v>0.20899999999999999</v>
      </c>
      <c r="E14134" s="26">
        <v>0.1045</v>
      </c>
      <c r="F14134" s="26">
        <v>1.49E-2</v>
      </c>
      <c r="I14134" s="26">
        <v>1.49E-2</v>
      </c>
      <c r="J14134" s="26">
        <v>1.49E-2</v>
      </c>
      <c r="P14134">
        <v>67</v>
      </c>
    </row>
    <row r="14135" spans="1:16" x14ac:dyDescent="0.35">
      <c r="A14135" t="s">
        <v>232</v>
      </c>
      <c r="B14135" t="s">
        <v>232</v>
      </c>
      <c r="C14135" s="26">
        <v>0.48409999999999997</v>
      </c>
      <c r="D14135" s="26">
        <v>0.29170000000000001</v>
      </c>
      <c r="E14135" s="26">
        <v>0.1764</v>
      </c>
      <c r="F14135" s="26">
        <v>2.41E-2</v>
      </c>
      <c r="G14135" s="26">
        <v>1.6299999999999999E-2</v>
      </c>
      <c r="H14135" s="26">
        <v>1.43E-2</v>
      </c>
      <c r="I14135" s="26">
        <v>1.06E-2</v>
      </c>
      <c r="J14135" s="26">
        <v>1.04E-2</v>
      </c>
      <c r="K14135" s="26">
        <v>7.4999999999999997E-3</v>
      </c>
      <c r="L14135" s="26">
        <v>6.4999999999999997E-3</v>
      </c>
      <c r="M14135" s="26">
        <v>2.2000000000000001E-3</v>
      </c>
      <c r="N14135" s="26">
        <v>1.6999999999999999E-3</v>
      </c>
      <c r="O14135" s="26">
        <v>1.6999999999999999E-3</v>
      </c>
      <c r="P14135">
        <v>2755</v>
      </c>
    </row>
    <row r="14137" spans="1:16" x14ac:dyDescent="0.35">
      <c r="A14137" s="1" t="s">
        <v>1565</v>
      </c>
    </row>
    <row r="14138" spans="1:16" x14ac:dyDescent="0.35">
      <c r="A14138" t="s">
        <v>219</v>
      </c>
      <c r="B14138" t="s">
        <v>305</v>
      </c>
      <c r="C14138" t="s">
        <v>550</v>
      </c>
      <c r="D14138" t="s">
        <v>1400</v>
      </c>
      <c r="E14138" t="s">
        <v>281</v>
      </c>
      <c r="F14138" t="s">
        <v>1403</v>
      </c>
      <c r="G14138" t="s">
        <v>1504</v>
      </c>
      <c r="H14138" t="s">
        <v>1402</v>
      </c>
      <c r="I14138" t="s">
        <v>1404</v>
      </c>
      <c r="J14138" t="s">
        <v>1408</v>
      </c>
      <c r="K14138" t="s">
        <v>1401</v>
      </c>
      <c r="L14138" t="s">
        <v>1406</v>
      </c>
      <c r="M14138" t="s">
        <v>286</v>
      </c>
      <c r="N14138" t="s">
        <v>1407</v>
      </c>
      <c r="O14138" t="s">
        <v>326</v>
      </c>
      <c r="P14138" t="s">
        <v>226</v>
      </c>
    </row>
    <row r="14139" spans="1:16" x14ac:dyDescent="0.35">
      <c r="A14139" t="s">
        <v>227</v>
      </c>
      <c r="B14139" t="s">
        <v>252</v>
      </c>
      <c r="C14139" s="26">
        <v>0.5</v>
      </c>
      <c r="D14139" s="26">
        <v>0.11360000000000001</v>
      </c>
      <c r="E14139" s="26">
        <v>0.34089999999999998</v>
      </c>
      <c r="F14139" s="26">
        <v>2.2700000000000001E-2</v>
      </c>
      <c r="O14139" s="26">
        <v>2.2700000000000001E-2</v>
      </c>
      <c r="P14139">
        <v>44</v>
      </c>
    </row>
    <row r="14140" spans="1:16" x14ac:dyDescent="0.35">
      <c r="A14140" t="s">
        <v>227</v>
      </c>
      <c r="B14140" t="s">
        <v>253</v>
      </c>
      <c r="C14140" s="26">
        <v>0.42420000000000002</v>
      </c>
      <c r="D14140" s="26">
        <v>0.2424</v>
      </c>
      <c r="E14140" s="26">
        <v>0.21210000000000001</v>
      </c>
      <c r="H14140" s="26">
        <v>3.0300000000000001E-2</v>
      </c>
      <c r="I14140" s="26">
        <v>6.0600000000000001E-2</v>
      </c>
      <c r="J14140" s="26">
        <v>3.0300000000000001E-2</v>
      </c>
      <c r="K14140" s="26">
        <v>3.0300000000000001E-2</v>
      </c>
      <c r="M14140" s="26">
        <v>3.0300000000000001E-2</v>
      </c>
      <c r="P14140">
        <v>33</v>
      </c>
    </row>
    <row r="14141" spans="1:16" x14ac:dyDescent="0.35">
      <c r="A14141" t="s">
        <v>227</v>
      </c>
      <c r="B14141" t="s">
        <v>251</v>
      </c>
      <c r="C14141" s="26">
        <v>0.51249999999999996</v>
      </c>
      <c r="D14141" s="26">
        <v>0.3</v>
      </c>
      <c r="E14141" s="26">
        <v>0.16250000000000001</v>
      </c>
      <c r="F14141" s="26">
        <v>1.2500000000000001E-2</v>
      </c>
      <c r="H14141" s="26">
        <v>2.5000000000000001E-2</v>
      </c>
      <c r="I14141" s="26">
        <v>1.2500000000000001E-2</v>
      </c>
      <c r="P14141">
        <v>80</v>
      </c>
    </row>
    <row r="14142" spans="1:16" x14ac:dyDescent="0.35">
      <c r="A14142" t="s">
        <v>228</v>
      </c>
      <c r="B14142" t="s">
        <v>252</v>
      </c>
      <c r="C14142" s="26">
        <v>0.4612</v>
      </c>
      <c r="D14142" s="26">
        <v>0.22950000000000001</v>
      </c>
      <c r="E14142" s="26">
        <v>0.28939999999999999</v>
      </c>
      <c r="F14142" s="26">
        <v>1.26E-2</v>
      </c>
      <c r="G14142" s="26">
        <v>2.0999999999999999E-3</v>
      </c>
      <c r="H14142" s="26">
        <v>1.1299999999999999E-2</v>
      </c>
      <c r="I14142" s="26">
        <v>2.5999999999999999E-3</v>
      </c>
      <c r="J14142" s="26">
        <v>6.3E-3</v>
      </c>
      <c r="K14142" s="26">
        <v>2.0999999999999999E-3</v>
      </c>
      <c r="L14142" s="26">
        <v>1.2999999999999999E-3</v>
      </c>
      <c r="M14142" s="26">
        <v>2.0999999999999999E-3</v>
      </c>
      <c r="P14142">
        <v>339</v>
      </c>
    </row>
    <row r="14143" spans="1:16" x14ac:dyDescent="0.35">
      <c r="A14143" t="s">
        <v>228</v>
      </c>
      <c r="B14143" t="s">
        <v>253</v>
      </c>
      <c r="C14143" s="26">
        <v>0.41959999999999997</v>
      </c>
      <c r="D14143" s="26">
        <v>0.35439999999999999</v>
      </c>
      <c r="E14143" s="26">
        <v>0.20760000000000001</v>
      </c>
      <c r="F14143" s="26">
        <v>2.0999999999999999E-3</v>
      </c>
      <c r="G14143" s="26">
        <v>1.18E-2</v>
      </c>
      <c r="H14143" s="26">
        <v>1.43E-2</v>
      </c>
      <c r="I14143" s="26">
        <v>1.1999999999999999E-3</v>
      </c>
      <c r="J14143" s="26">
        <v>4.1999999999999997E-3</v>
      </c>
      <c r="K14143" s="26">
        <v>9.7000000000000003E-3</v>
      </c>
      <c r="L14143" s="26">
        <v>2.8E-3</v>
      </c>
      <c r="M14143" s="26">
        <v>1.1999999999999999E-3</v>
      </c>
      <c r="P14143">
        <v>216</v>
      </c>
    </row>
    <row r="14144" spans="1:16" x14ac:dyDescent="0.35">
      <c r="A14144" t="s">
        <v>228</v>
      </c>
      <c r="B14144" t="s">
        <v>251</v>
      </c>
      <c r="C14144" s="26">
        <v>0.4617</v>
      </c>
      <c r="D14144" s="26">
        <v>0.30159999999999998</v>
      </c>
      <c r="E14144" s="26">
        <v>0.15859999999999999</v>
      </c>
      <c r="F14144" s="26">
        <v>3.0099999999999998E-2</v>
      </c>
      <c r="G14144" s="26">
        <v>3.7100000000000001E-2</v>
      </c>
      <c r="H14144" s="26">
        <v>8.6999999999999994E-3</v>
      </c>
      <c r="I14144" s="26">
        <v>2.5000000000000001E-3</v>
      </c>
      <c r="J14144" s="26">
        <v>1.38E-2</v>
      </c>
      <c r="K14144" s="26">
        <v>1.8599999999999998E-2</v>
      </c>
      <c r="L14144" s="26">
        <v>1.21E-2</v>
      </c>
      <c r="P14144">
        <v>460</v>
      </c>
    </row>
    <row r="14145" spans="1:16" x14ac:dyDescent="0.35">
      <c r="A14145" t="s">
        <v>229</v>
      </c>
      <c r="B14145" t="s">
        <v>252</v>
      </c>
      <c r="C14145" s="26">
        <v>0.48709999999999998</v>
      </c>
      <c r="D14145" s="26">
        <v>0.26090000000000002</v>
      </c>
      <c r="E14145" s="26">
        <v>0.20269999999999999</v>
      </c>
      <c r="F14145" s="26">
        <v>1.67E-2</v>
      </c>
      <c r="H14145" s="26">
        <v>1.9E-3</v>
      </c>
      <c r="I14145" s="26">
        <v>1.15E-2</v>
      </c>
      <c r="J14145" s="26">
        <v>8.0000000000000004E-4</v>
      </c>
      <c r="K14145" s="26">
        <v>1.5E-3</v>
      </c>
      <c r="L14145" s="26">
        <v>8.0000000000000004E-4</v>
      </c>
      <c r="M14145" s="26">
        <v>1.15E-2</v>
      </c>
      <c r="O14145" s="26">
        <v>1.15E-2</v>
      </c>
      <c r="P14145">
        <v>197</v>
      </c>
    </row>
    <row r="14146" spans="1:16" x14ac:dyDescent="0.35">
      <c r="A14146" t="s">
        <v>229</v>
      </c>
      <c r="B14146" t="s">
        <v>253</v>
      </c>
      <c r="C14146" s="26">
        <v>0.52959999999999996</v>
      </c>
      <c r="D14146" s="26">
        <v>0.26700000000000002</v>
      </c>
      <c r="E14146" s="26">
        <v>0.17319999999999999</v>
      </c>
      <c r="F14146" s="26">
        <v>1.4E-3</v>
      </c>
      <c r="G14146" s="26">
        <v>2.01E-2</v>
      </c>
      <c r="H14146" s="26">
        <v>1.6500000000000001E-2</v>
      </c>
      <c r="I14146" s="26">
        <v>1.47E-2</v>
      </c>
      <c r="J14146" s="26">
        <v>8.9999999999999998E-4</v>
      </c>
      <c r="K14146" s="26">
        <v>8.9999999999999998E-4</v>
      </c>
      <c r="P14146">
        <v>138</v>
      </c>
    </row>
    <row r="14147" spans="1:16" x14ac:dyDescent="0.35">
      <c r="A14147" t="s">
        <v>229</v>
      </c>
      <c r="B14147" t="s">
        <v>251</v>
      </c>
      <c r="C14147" s="26">
        <v>0.47849999999999998</v>
      </c>
      <c r="D14147" s="26">
        <v>0.28820000000000001</v>
      </c>
      <c r="E14147" s="26">
        <v>0.1583</v>
      </c>
      <c r="F14147" s="26">
        <v>4.6199999999999998E-2</v>
      </c>
      <c r="G14147" s="26">
        <v>2.58E-2</v>
      </c>
      <c r="H14147" s="26">
        <v>3.5700000000000003E-2</v>
      </c>
      <c r="I14147" s="26">
        <v>1.4800000000000001E-2</v>
      </c>
      <c r="J14147" s="26">
        <v>2.6700000000000002E-2</v>
      </c>
      <c r="K14147" s="26">
        <v>1.66E-2</v>
      </c>
      <c r="L14147" s="26">
        <v>1.0699999999999999E-2</v>
      </c>
      <c r="M14147" s="26">
        <v>1E-3</v>
      </c>
      <c r="P14147">
        <v>539</v>
      </c>
    </row>
    <row r="14148" spans="1:16" x14ac:dyDescent="0.35">
      <c r="A14148" t="s">
        <v>230</v>
      </c>
      <c r="B14148" t="s">
        <v>252</v>
      </c>
      <c r="C14148" s="26">
        <v>0.47</v>
      </c>
      <c r="D14148" s="26">
        <v>0.3745</v>
      </c>
      <c r="E14148" s="26">
        <v>0.1232</v>
      </c>
      <c r="F14148" s="26">
        <v>3.5000000000000001E-3</v>
      </c>
      <c r="H14148" s="26">
        <v>4.4999999999999997E-3</v>
      </c>
      <c r="K14148" s="26">
        <v>1.1000000000000001E-3</v>
      </c>
      <c r="L14148" s="26">
        <v>2.3199999999999998E-2</v>
      </c>
      <c r="M14148" s="26">
        <v>4.4999999999999997E-3</v>
      </c>
      <c r="P14148">
        <v>158</v>
      </c>
    </row>
    <row r="14149" spans="1:16" x14ac:dyDescent="0.35">
      <c r="A14149" t="s">
        <v>230</v>
      </c>
      <c r="B14149" t="s">
        <v>253</v>
      </c>
      <c r="C14149" s="26">
        <v>0.36230000000000001</v>
      </c>
      <c r="D14149" s="26">
        <v>0.38</v>
      </c>
      <c r="E14149" s="26">
        <v>0.21829999999999999</v>
      </c>
      <c r="F14149" s="26">
        <v>3.0200000000000001E-2</v>
      </c>
      <c r="G14149" s="26">
        <v>4.4000000000000003E-3</v>
      </c>
      <c r="H14149" s="26">
        <v>3.6499999999999998E-2</v>
      </c>
      <c r="I14149" s="26">
        <v>1.5E-3</v>
      </c>
      <c r="J14149" s="26">
        <v>4.7000000000000002E-3</v>
      </c>
      <c r="K14149" s="26">
        <v>2.8999999999999998E-3</v>
      </c>
      <c r="P14149">
        <v>105</v>
      </c>
    </row>
    <row r="14150" spans="1:16" x14ac:dyDescent="0.35">
      <c r="A14150" t="s">
        <v>230</v>
      </c>
      <c r="B14150" t="s">
        <v>251</v>
      </c>
      <c r="C14150" s="26">
        <v>0.41880000000000001</v>
      </c>
      <c r="D14150" s="26">
        <v>0.40639999999999998</v>
      </c>
      <c r="E14150" s="26">
        <v>0.1066</v>
      </c>
      <c r="F14150" s="26">
        <v>4.2299999999999997E-2</v>
      </c>
      <c r="G14150" s="26">
        <v>3.1399999999999997E-2</v>
      </c>
      <c r="H14150" s="26">
        <v>3.15E-2</v>
      </c>
      <c r="I14150" s="26">
        <v>2.93E-2</v>
      </c>
      <c r="J14150" s="26">
        <v>2.2800000000000001E-2</v>
      </c>
      <c r="K14150" s="26">
        <v>2.4400000000000002E-2</v>
      </c>
      <c r="L14150" s="26">
        <v>0.02</v>
      </c>
      <c r="M14150" s="26">
        <v>5.0000000000000001E-4</v>
      </c>
      <c r="P14150">
        <v>284</v>
      </c>
    </row>
    <row r="14151" spans="1:16" x14ac:dyDescent="0.35">
      <c r="A14151" t="s">
        <v>231</v>
      </c>
      <c r="B14151" t="s">
        <v>252</v>
      </c>
      <c r="C14151" s="26">
        <v>0.5625</v>
      </c>
      <c r="D14151" s="26">
        <v>0.20830000000000001</v>
      </c>
      <c r="E14151" s="26">
        <v>0.20830000000000001</v>
      </c>
      <c r="F14151" s="26">
        <v>2.0799999999999999E-2</v>
      </c>
      <c r="G14151" s="26">
        <v>2.0799999999999999E-2</v>
      </c>
      <c r="P14151">
        <v>48</v>
      </c>
    </row>
    <row r="14152" spans="1:16" x14ac:dyDescent="0.35">
      <c r="A14152" t="s">
        <v>231</v>
      </c>
      <c r="B14152" t="s">
        <v>253</v>
      </c>
      <c r="C14152" s="26">
        <v>0.5333</v>
      </c>
      <c r="D14152" s="26">
        <v>0.33329999999999999</v>
      </c>
      <c r="E14152" s="26">
        <v>0.1</v>
      </c>
      <c r="I14152" s="26">
        <v>3.3300000000000003E-2</v>
      </c>
      <c r="P14152">
        <v>30</v>
      </c>
    </row>
    <row r="14153" spans="1:16" x14ac:dyDescent="0.35">
      <c r="A14153" t="s">
        <v>231</v>
      </c>
      <c r="B14153" t="s">
        <v>251</v>
      </c>
      <c r="C14153" s="26">
        <v>0.48809999999999998</v>
      </c>
      <c r="D14153" s="26">
        <v>0.34520000000000001</v>
      </c>
      <c r="E14153" s="26">
        <v>0.13100000000000001</v>
      </c>
      <c r="F14153" s="26">
        <v>3.5700000000000003E-2</v>
      </c>
      <c r="G14153" s="26">
        <v>2.3800000000000002E-2</v>
      </c>
      <c r="J14153" s="26">
        <v>1.1900000000000001E-2</v>
      </c>
      <c r="L14153" s="26">
        <v>1.1900000000000001E-2</v>
      </c>
      <c r="N14153" s="26">
        <v>1.1900000000000001E-2</v>
      </c>
      <c r="P14153">
        <v>84</v>
      </c>
    </row>
    <row r="14154" spans="1:16" x14ac:dyDescent="0.35">
      <c r="A14154" t="s">
        <v>232</v>
      </c>
      <c r="B14154" t="s">
        <v>232</v>
      </c>
      <c r="C14154" s="26">
        <v>0.48409999999999997</v>
      </c>
      <c r="D14154" s="26">
        <v>0.29170000000000001</v>
      </c>
      <c r="E14154" s="26">
        <v>0.1764</v>
      </c>
      <c r="F14154" s="26">
        <v>2.41E-2</v>
      </c>
      <c r="G14154" s="26">
        <v>1.6299999999999999E-2</v>
      </c>
      <c r="H14154" s="26">
        <v>1.43E-2</v>
      </c>
      <c r="I14154" s="26">
        <v>1.06E-2</v>
      </c>
      <c r="J14154" s="26">
        <v>1.04E-2</v>
      </c>
      <c r="K14154" s="26">
        <v>7.4999999999999997E-3</v>
      </c>
      <c r="L14154" s="26">
        <v>6.4999999999999997E-3</v>
      </c>
      <c r="M14154" s="26">
        <v>2.2000000000000001E-3</v>
      </c>
      <c r="N14154" s="26">
        <v>1.6999999999999999E-3</v>
      </c>
      <c r="O14154" s="26">
        <v>1.6999999999999999E-3</v>
      </c>
      <c r="P14154">
        <v>2755</v>
      </c>
    </row>
    <row r="14156" spans="1:16" x14ac:dyDescent="0.35">
      <c r="A14156" s="1" t="s">
        <v>1566</v>
      </c>
    </row>
    <row r="14157" spans="1:16" x14ac:dyDescent="0.35">
      <c r="A14157" t="s">
        <v>219</v>
      </c>
      <c r="B14157" t="s">
        <v>305</v>
      </c>
      <c r="C14157" t="s">
        <v>550</v>
      </c>
      <c r="D14157" t="s">
        <v>1400</v>
      </c>
      <c r="E14157" t="s">
        <v>281</v>
      </c>
      <c r="F14157" t="s">
        <v>1403</v>
      </c>
      <c r="G14157" t="s">
        <v>1504</v>
      </c>
      <c r="H14157" t="s">
        <v>1402</v>
      </c>
      <c r="I14157" t="s">
        <v>1404</v>
      </c>
      <c r="J14157" t="s">
        <v>1408</v>
      </c>
      <c r="K14157" t="s">
        <v>1401</v>
      </c>
      <c r="L14157" t="s">
        <v>1406</v>
      </c>
      <c r="M14157" t="s">
        <v>286</v>
      </c>
      <c r="N14157" t="s">
        <v>1407</v>
      </c>
      <c r="O14157" t="s">
        <v>326</v>
      </c>
      <c r="P14157" t="s">
        <v>226</v>
      </c>
    </row>
    <row r="14158" spans="1:16" x14ac:dyDescent="0.35">
      <c r="A14158" t="s">
        <v>227</v>
      </c>
      <c r="B14158" t="s">
        <v>249</v>
      </c>
      <c r="C14158" s="26">
        <v>0.46510000000000001</v>
      </c>
      <c r="D14158" s="26">
        <v>0.3256</v>
      </c>
      <c r="E14158" s="26">
        <v>0.13950000000000001</v>
      </c>
      <c r="H14158" s="26">
        <v>2.3300000000000001E-2</v>
      </c>
      <c r="I14158" s="26">
        <v>4.65E-2</v>
      </c>
      <c r="K14158" s="26">
        <v>2.3300000000000001E-2</v>
      </c>
      <c r="M14158" s="26">
        <v>2.3300000000000001E-2</v>
      </c>
      <c r="P14158">
        <v>43</v>
      </c>
    </row>
    <row r="14159" spans="1:16" x14ac:dyDescent="0.35">
      <c r="A14159" t="s">
        <v>227</v>
      </c>
      <c r="B14159" t="s">
        <v>248</v>
      </c>
      <c r="C14159" s="26">
        <v>0.5</v>
      </c>
      <c r="D14159" s="26">
        <v>0.20180000000000001</v>
      </c>
      <c r="E14159" s="26">
        <v>0.25440000000000002</v>
      </c>
      <c r="F14159" s="26">
        <v>1.7500000000000002E-2</v>
      </c>
      <c r="H14159" s="26">
        <v>1.7500000000000002E-2</v>
      </c>
      <c r="I14159" s="26">
        <v>8.8000000000000005E-3</v>
      </c>
      <c r="J14159" s="26">
        <v>8.8000000000000005E-3</v>
      </c>
      <c r="O14159" s="26">
        <v>8.8000000000000005E-3</v>
      </c>
      <c r="P14159">
        <v>114</v>
      </c>
    </row>
    <row r="14160" spans="1:16" x14ac:dyDescent="0.35">
      <c r="A14160" t="s">
        <v>228</v>
      </c>
      <c r="B14160" t="s">
        <v>249</v>
      </c>
      <c r="C14160" s="26">
        <v>0.4929</v>
      </c>
      <c r="D14160" s="26">
        <v>0.26079999999999998</v>
      </c>
      <c r="E14160" s="26">
        <v>0.19600000000000001</v>
      </c>
      <c r="F14160" s="26">
        <v>1.7100000000000001E-2</v>
      </c>
      <c r="G14160" s="26">
        <v>1.6400000000000001E-2</v>
      </c>
      <c r="H14160" s="26">
        <v>6.0000000000000001E-3</v>
      </c>
      <c r="J14160" s="26">
        <v>5.4000000000000003E-3</v>
      </c>
      <c r="K14160" s="26">
        <v>1.7100000000000001E-2</v>
      </c>
      <c r="L14160" s="26">
        <v>1.8E-3</v>
      </c>
      <c r="P14160">
        <v>273</v>
      </c>
    </row>
    <row r="14161" spans="1:16" x14ac:dyDescent="0.35">
      <c r="A14161" t="s">
        <v>228</v>
      </c>
      <c r="B14161" t="s">
        <v>248</v>
      </c>
      <c r="C14161" s="26">
        <v>0.4355</v>
      </c>
      <c r="D14161" s="26">
        <v>0.30149999999999999</v>
      </c>
      <c r="E14161" s="26">
        <v>0.21709999999999999</v>
      </c>
      <c r="F14161" s="26">
        <v>1.95E-2</v>
      </c>
      <c r="G14161" s="26">
        <v>2.2599999999999999E-2</v>
      </c>
      <c r="H14161" s="26">
        <v>1.2699999999999999E-2</v>
      </c>
      <c r="I14161" s="26">
        <v>3.3E-3</v>
      </c>
      <c r="J14161" s="26">
        <v>1.12E-2</v>
      </c>
      <c r="K14161" s="26">
        <v>8.9999999999999993E-3</v>
      </c>
      <c r="L14161" s="26">
        <v>8.8999999999999999E-3</v>
      </c>
      <c r="M14161" s="26">
        <v>1.2999999999999999E-3</v>
      </c>
      <c r="P14161">
        <v>742</v>
      </c>
    </row>
    <row r="14162" spans="1:16" x14ac:dyDescent="0.35">
      <c r="A14162" t="s">
        <v>229</v>
      </c>
      <c r="B14162" t="s">
        <v>249</v>
      </c>
      <c r="C14162" s="26">
        <v>0.51580000000000004</v>
      </c>
      <c r="D14162" s="26">
        <v>0.2505</v>
      </c>
      <c r="E14162" s="26">
        <v>0.16109999999999999</v>
      </c>
      <c r="F14162" s="26">
        <v>2.7099999999999999E-2</v>
      </c>
      <c r="G14162" s="26">
        <v>3.4599999999999999E-2</v>
      </c>
      <c r="H14162" s="26">
        <v>2.8400000000000002E-2</v>
      </c>
      <c r="I14162" s="26">
        <v>1.89E-2</v>
      </c>
      <c r="J14162" s="26">
        <v>1.84E-2</v>
      </c>
      <c r="K14162" s="26">
        <v>1.95E-2</v>
      </c>
      <c r="L14162" s="26">
        <v>2.0999999999999999E-3</v>
      </c>
      <c r="P14162">
        <v>249</v>
      </c>
    </row>
    <row r="14163" spans="1:16" x14ac:dyDescent="0.35">
      <c r="A14163" t="s">
        <v>229</v>
      </c>
      <c r="B14163" t="s">
        <v>248</v>
      </c>
      <c r="C14163" s="26">
        <v>0.47760000000000002</v>
      </c>
      <c r="D14163" s="26">
        <v>0.29139999999999999</v>
      </c>
      <c r="E14163" s="26">
        <v>0.17580000000000001</v>
      </c>
      <c r="F14163" s="26">
        <v>3.32E-2</v>
      </c>
      <c r="G14163" s="26">
        <v>1.14E-2</v>
      </c>
      <c r="H14163" s="26">
        <v>2.2700000000000001E-2</v>
      </c>
      <c r="I14163" s="26">
        <v>1.17E-2</v>
      </c>
      <c r="J14163" s="26">
        <v>1.49E-2</v>
      </c>
      <c r="K14163" s="26">
        <v>5.7999999999999996E-3</v>
      </c>
      <c r="L14163" s="26">
        <v>8.6E-3</v>
      </c>
      <c r="M14163" s="26">
        <v>4.7000000000000002E-3</v>
      </c>
      <c r="O14163" s="26">
        <v>3.8E-3</v>
      </c>
      <c r="P14163">
        <v>625</v>
      </c>
    </row>
    <row r="14164" spans="1:16" x14ac:dyDescent="0.35">
      <c r="A14164" t="s">
        <v>230</v>
      </c>
      <c r="B14164" t="s">
        <v>249</v>
      </c>
      <c r="C14164" s="26">
        <v>0.46129999999999999</v>
      </c>
      <c r="D14164" s="26">
        <v>0.38569999999999999</v>
      </c>
      <c r="E14164" s="26">
        <v>9.9699999999999997E-2</v>
      </c>
      <c r="F14164" s="26">
        <v>3.2099999999999997E-2</v>
      </c>
      <c r="G14164" s="26">
        <v>8.0000000000000004E-4</v>
      </c>
      <c r="H14164" s="26">
        <v>1.6899999999999998E-2</v>
      </c>
      <c r="K14164" s="26">
        <v>2.4899999999999999E-2</v>
      </c>
      <c r="P14164">
        <v>168</v>
      </c>
    </row>
    <row r="14165" spans="1:16" x14ac:dyDescent="0.35">
      <c r="A14165" t="s">
        <v>230</v>
      </c>
      <c r="B14165" t="s">
        <v>248</v>
      </c>
      <c r="C14165" s="26">
        <v>0.40100000000000002</v>
      </c>
      <c r="D14165" s="26">
        <v>0.39700000000000002</v>
      </c>
      <c r="E14165" s="26">
        <v>0.14829999999999999</v>
      </c>
      <c r="F14165" s="26">
        <v>2.9000000000000001E-2</v>
      </c>
      <c r="G14165" s="26">
        <v>2.7099999999999999E-2</v>
      </c>
      <c r="H14165" s="26">
        <v>2.98E-2</v>
      </c>
      <c r="I14165" s="26">
        <v>2.4899999999999999E-2</v>
      </c>
      <c r="J14165" s="26">
        <v>2.0400000000000001E-2</v>
      </c>
      <c r="K14165" s="26">
        <v>8.9999999999999993E-3</v>
      </c>
      <c r="L14165" s="26">
        <v>2.58E-2</v>
      </c>
      <c r="M14165" s="26">
        <v>2.2000000000000001E-3</v>
      </c>
      <c r="P14165">
        <v>379</v>
      </c>
    </row>
    <row r="14166" spans="1:16" x14ac:dyDescent="0.35">
      <c r="A14166" t="s">
        <v>231</v>
      </c>
      <c r="B14166" t="s">
        <v>249</v>
      </c>
      <c r="C14166" s="26">
        <v>0.42859999999999998</v>
      </c>
      <c r="D14166" s="26">
        <v>0.37140000000000001</v>
      </c>
      <c r="E14166" s="26">
        <v>0.2</v>
      </c>
      <c r="F14166" s="26">
        <v>2.86E-2</v>
      </c>
      <c r="P14166">
        <v>35</v>
      </c>
    </row>
    <row r="14167" spans="1:16" x14ac:dyDescent="0.35">
      <c r="A14167" t="s">
        <v>231</v>
      </c>
      <c r="B14167" t="s">
        <v>248</v>
      </c>
      <c r="C14167" s="26">
        <v>0.54330000000000001</v>
      </c>
      <c r="D14167" s="26">
        <v>0.28349999999999997</v>
      </c>
      <c r="E14167" s="26">
        <v>0.13389999999999999</v>
      </c>
      <c r="F14167" s="26">
        <v>2.3599999999999999E-2</v>
      </c>
      <c r="G14167" s="26">
        <v>2.3599999999999999E-2</v>
      </c>
      <c r="I14167" s="26">
        <v>7.9000000000000008E-3</v>
      </c>
      <c r="J14167" s="26">
        <v>7.9000000000000008E-3</v>
      </c>
      <c r="L14167" s="26">
        <v>7.9000000000000008E-3</v>
      </c>
      <c r="N14167" s="26">
        <v>7.9000000000000008E-3</v>
      </c>
      <c r="P14167">
        <v>127</v>
      </c>
    </row>
    <row r="14168" spans="1:16" x14ac:dyDescent="0.35">
      <c r="A14168" t="s">
        <v>232</v>
      </c>
      <c r="B14168" t="s">
        <v>232</v>
      </c>
      <c r="C14168" s="26">
        <v>0.48409999999999997</v>
      </c>
      <c r="D14168" s="26">
        <v>0.29170000000000001</v>
      </c>
      <c r="E14168" s="26">
        <v>0.1764</v>
      </c>
      <c r="F14168" s="26">
        <v>2.41E-2</v>
      </c>
      <c r="G14168" s="26">
        <v>1.6299999999999999E-2</v>
      </c>
      <c r="H14168" s="26">
        <v>1.43E-2</v>
      </c>
      <c r="I14168" s="26">
        <v>1.06E-2</v>
      </c>
      <c r="J14168" s="26">
        <v>1.04E-2</v>
      </c>
      <c r="K14168" s="26">
        <v>7.4999999999999997E-3</v>
      </c>
      <c r="L14168" s="26">
        <v>6.4999999999999997E-3</v>
      </c>
      <c r="M14168" s="26">
        <v>2.2000000000000001E-3</v>
      </c>
      <c r="N14168" s="26">
        <v>1.6999999999999999E-3</v>
      </c>
      <c r="O14168" s="26">
        <v>1.6999999999999999E-3</v>
      </c>
      <c r="P14168">
        <v>2755</v>
      </c>
    </row>
    <row r="14170" spans="1:16" x14ac:dyDescent="0.35">
      <c r="A14170" s="1" t="s">
        <v>1567</v>
      </c>
    </row>
    <row r="14171" spans="1:16" x14ac:dyDescent="0.35">
      <c r="A14171" t="s">
        <v>219</v>
      </c>
      <c r="B14171" t="s">
        <v>305</v>
      </c>
      <c r="C14171" t="s">
        <v>550</v>
      </c>
      <c r="D14171" t="s">
        <v>1400</v>
      </c>
      <c r="E14171" t="s">
        <v>281</v>
      </c>
      <c r="F14171" t="s">
        <v>1403</v>
      </c>
      <c r="G14171" t="s">
        <v>1504</v>
      </c>
      <c r="H14171" t="s">
        <v>1402</v>
      </c>
      <c r="I14171" t="s">
        <v>1404</v>
      </c>
      <c r="J14171" t="s">
        <v>1408</v>
      </c>
      <c r="K14171" t="s">
        <v>1401</v>
      </c>
      <c r="L14171" t="s">
        <v>1406</v>
      </c>
      <c r="M14171" t="s">
        <v>286</v>
      </c>
      <c r="N14171" t="s">
        <v>1407</v>
      </c>
      <c r="O14171" t="s">
        <v>326</v>
      </c>
      <c r="P14171" t="s">
        <v>226</v>
      </c>
    </row>
    <row r="14172" spans="1:16" x14ac:dyDescent="0.35">
      <c r="A14172" s="27" t="s">
        <v>227</v>
      </c>
      <c r="B14172" s="27" t="s">
        <v>263</v>
      </c>
      <c r="C14172" s="28">
        <v>0.66669999999999996</v>
      </c>
      <c r="D14172" s="28">
        <v>0.33329999999999999</v>
      </c>
      <c r="E14172" s="29"/>
      <c r="F14172" s="29"/>
      <c r="G14172" s="29"/>
      <c r="H14172" s="29"/>
      <c r="I14172" s="29"/>
      <c r="J14172" s="29"/>
      <c r="K14172" s="29"/>
      <c r="L14172" s="29"/>
      <c r="M14172" s="29"/>
      <c r="N14172" s="29"/>
      <c r="O14172" s="29"/>
      <c r="P14172" s="29" t="s">
        <v>315</v>
      </c>
    </row>
    <row r="14173" spans="1:16" x14ac:dyDescent="0.35">
      <c r="A14173" t="s">
        <v>227</v>
      </c>
      <c r="B14173" t="s">
        <v>261</v>
      </c>
      <c r="C14173" s="26">
        <v>0.53120000000000001</v>
      </c>
      <c r="D14173" s="26">
        <v>9.3799999999999994E-2</v>
      </c>
      <c r="E14173" s="26">
        <v>0.34379999999999999</v>
      </c>
      <c r="I14173" s="26">
        <v>3.1199999999999999E-2</v>
      </c>
      <c r="P14173">
        <v>32</v>
      </c>
    </row>
    <row r="14174" spans="1:16" x14ac:dyDescent="0.35">
      <c r="A14174" s="27" t="s">
        <v>227</v>
      </c>
      <c r="B14174" s="27" t="s">
        <v>262</v>
      </c>
      <c r="C14174" s="28">
        <v>0.33329999999999999</v>
      </c>
      <c r="D14174" s="28">
        <v>0.33329999999999999</v>
      </c>
      <c r="E14174" s="29"/>
      <c r="F14174" s="29"/>
      <c r="G14174" s="29"/>
      <c r="H14174" s="29"/>
      <c r="I14174" s="29"/>
      <c r="J14174" s="29"/>
      <c r="K14174" s="29"/>
      <c r="L14174" s="29"/>
      <c r="M14174" s="28">
        <v>0.33329999999999999</v>
      </c>
      <c r="N14174" s="29"/>
      <c r="O14174" s="29"/>
      <c r="P14174" s="29" t="s">
        <v>315</v>
      </c>
    </row>
    <row r="14175" spans="1:16" x14ac:dyDescent="0.35">
      <c r="A14175" t="s">
        <v>227</v>
      </c>
      <c r="B14175" t="s">
        <v>260</v>
      </c>
      <c r="C14175" s="26">
        <v>0.47899999999999998</v>
      </c>
      <c r="D14175" s="26">
        <v>0.26889999999999997</v>
      </c>
      <c r="E14175" s="26">
        <v>0.20169999999999999</v>
      </c>
      <c r="F14175" s="26">
        <v>1.6799999999999999E-2</v>
      </c>
      <c r="H14175" s="26">
        <v>2.52E-2</v>
      </c>
      <c r="I14175" s="26">
        <v>1.6799999999999999E-2</v>
      </c>
      <c r="J14175" s="26">
        <v>8.3999999999999995E-3</v>
      </c>
      <c r="K14175" s="26">
        <v>8.3999999999999995E-3</v>
      </c>
      <c r="O14175" s="26">
        <v>8.3999999999999995E-3</v>
      </c>
      <c r="P14175">
        <v>119</v>
      </c>
    </row>
    <row r="14176" spans="1:16" x14ac:dyDescent="0.35">
      <c r="A14176" t="s">
        <v>228</v>
      </c>
      <c r="B14176" t="s">
        <v>261</v>
      </c>
      <c r="C14176" s="26">
        <v>0.49180000000000001</v>
      </c>
      <c r="D14176" s="26">
        <v>0.184</v>
      </c>
      <c r="E14176" s="26">
        <v>0.29970000000000002</v>
      </c>
      <c r="F14176" s="26">
        <v>2.2000000000000001E-3</v>
      </c>
      <c r="H14176" s="26">
        <v>1.2999999999999999E-3</v>
      </c>
      <c r="K14176" s="26">
        <v>2.3599999999999999E-2</v>
      </c>
      <c r="P14176">
        <v>188</v>
      </c>
    </row>
    <row r="14177" spans="1:16" x14ac:dyDescent="0.35">
      <c r="A14177" s="27" t="s">
        <v>228</v>
      </c>
      <c r="B14177" s="27" t="s">
        <v>263</v>
      </c>
      <c r="C14177" s="28">
        <v>0.37340000000000001</v>
      </c>
      <c r="D14177" s="28">
        <v>0.51990000000000003</v>
      </c>
      <c r="E14177" s="28">
        <v>9.3200000000000005E-2</v>
      </c>
      <c r="F14177" s="29"/>
      <c r="G14177" s="29"/>
      <c r="H14177" s="29"/>
      <c r="I14177" s="29"/>
      <c r="J14177" s="29"/>
      <c r="K14177" s="29"/>
      <c r="L14177" s="29"/>
      <c r="M14177" s="28">
        <v>1.3599999999999999E-2</v>
      </c>
      <c r="N14177" s="29"/>
      <c r="O14177" s="29"/>
      <c r="P14177" s="29" t="s">
        <v>310</v>
      </c>
    </row>
    <row r="14178" spans="1:16" x14ac:dyDescent="0.35">
      <c r="A14178" s="27" t="s">
        <v>228</v>
      </c>
      <c r="B14178" s="27" t="s">
        <v>236</v>
      </c>
      <c r="C14178" s="28">
        <v>0.74570000000000003</v>
      </c>
      <c r="D14178" s="28">
        <v>0.18790000000000001</v>
      </c>
      <c r="E14178" s="28">
        <v>6.6500000000000004E-2</v>
      </c>
      <c r="F14178" s="29"/>
      <c r="G14178" s="29"/>
      <c r="H14178" s="29"/>
      <c r="I14178" s="29"/>
      <c r="J14178" s="29"/>
      <c r="K14178" s="29"/>
      <c r="L14178" s="29"/>
      <c r="M14178" s="29"/>
      <c r="N14178" s="29"/>
      <c r="O14178" s="29"/>
      <c r="P14178" s="29" t="s">
        <v>335</v>
      </c>
    </row>
    <row r="14179" spans="1:16" x14ac:dyDescent="0.35">
      <c r="A14179" t="s">
        <v>228</v>
      </c>
      <c r="B14179" t="s">
        <v>262</v>
      </c>
      <c r="C14179" s="26">
        <v>0.37640000000000001</v>
      </c>
      <c r="D14179" s="26">
        <v>0.34770000000000001</v>
      </c>
      <c r="E14179" s="26">
        <v>0.20269999999999999</v>
      </c>
      <c r="F14179" s="26">
        <v>3.6900000000000002E-2</v>
      </c>
      <c r="G14179" s="26">
        <v>4.3700000000000003E-2</v>
      </c>
      <c r="H14179" s="26">
        <v>1.6299999999999999E-2</v>
      </c>
      <c r="I14179" s="26">
        <v>7.4000000000000003E-3</v>
      </c>
      <c r="J14179" s="26">
        <v>2.6800000000000001E-2</v>
      </c>
      <c r="K14179" s="26">
        <v>1.11E-2</v>
      </c>
      <c r="L14179" s="26">
        <v>1.12E-2</v>
      </c>
      <c r="M14179" s="26">
        <v>1.5E-3</v>
      </c>
      <c r="P14179">
        <v>195</v>
      </c>
    </row>
    <row r="14180" spans="1:16" x14ac:dyDescent="0.35">
      <c r="A14180" t="s">
        <v>228</v>
      </c>
      <c r="B14180" t="s">
        <v>260</v>
      </c>
      <c r="C14180" s="26">
        <v>0.46</v>
      </c>
      <c r="D14180" s="26">
        <v>0.30130000000000001</v>
      </c>
      <c r="E14180" s="26">
        <v>0.18940000000000001</v>
      </c>
      <c r="F14180" s="26">
        <v>2.01E-2</v>
      </c>
      <c r="G14180" s="26">
        <v>2.2100000000000002E-2</v>
      </c>
      <c r="H14180" s="26">
        <v>1.26E-2</v>
      </c>
      <c r="I14180" s="26">
        <v>1.8E-3</v>
      </c>
      <c r="J14180" s="26">
        <v>8.3000000000000001E-3</v>
      </c>
      <c r="K14180" s="26">
        <v>8.2000000000000007E-3</v>
      </c>
      <c r="L14180" s="26">
        <v>8.0000000000000002E-3</v>
      </c>
      <c r="M14180" s="26">
        <v>6.9999999999999999E-4</v>
      </c>
      <c r="P14180">
        <v>602</v>
      </c>
    </row>
    <row r="14181" spans="1:16" x14ac:dyDescent="0.35">
      <c r="A14181" s="27" t="s">
        <v>229</v>
      </c>
      <c r="B14181" s="27" t="s">
        <v>263</v>
      </c>
      <c r="C14181" s="28">
        <v>0.49840000000000001</v>
      </c>
      <c r="D14181" s="28">
        <v>0.17899999999999999</v>
      </c>
      <c r="E14181" s="28">
        <v>0.1613</v>
      </c>
      <c r="F14181" s="28">
        <v>0.1613</v>
      </c>
      <c r="G14181" s="29"/>
      <c r="H14181" s="29"/>
      <c r="I14181" s="29"/>
      <c r="J14181" s="29"/>
      <c r="K14181" s="29"/>
      <c r="L14181" s="29"/>
      <c r="M14181" s="29"/>
      <c r="N14181" s="29"/>
      <c r="O14181" s="29"/>
      <c r="P14181" s="29" t="s">
        <v>341</v>
      </c>
    </row>
    <row r="14182" spans="1:16" x14ac:dyDescent="0.35">
      <c r="A14182" t="s">
        <v>229</v>
      </c>
      <c r="B14182" t="s">
        <v>262</v>
      </c>
      <c r="C14182" s="26">
        <v>0.46200000000000002</v>
      </c>
      <c r="D14182" s="26">
        <v>0.26100000000000001</v>
      </c>
      <c r="E14182" s="26">
        <v>0.18740000000000001</v>
      </c>
      <c r="F14182" s="26">
        <v>4.3099999999999999E-2</v>
      </c>
      <c r="G14182" s="26">
        <v>2.63E-2</v>
      </c>
      <c r="H14182" s="26">
        <v>5.5800000000000002E-2</v>
      </c>
      <c r="I14182" s="26">
        <v>2.23E-2</v>
      </c>
      <c r="J14182" s="26">
        <v>2.1700000000000001E-2</v>
      </c>
      <c r="M14182" s="26">
        <v>1.6000000000000001E-3</v>
      </c>
      <c r="O14182" s="26">
        <v>9.2999999999999992E-3</v>
      </c>
      <c r="P14182">
        <v>179</v>
      </c>
    </row>
    <row r="14183" spans="1:16" x14ac:dyDescent="0.35">
      <c r="A14183" t="s">
        <v>229</v>
      </c>
      <c r="B14183" t="s">
        <v>261</v>
      </c>
      <c r="C14183" s="26">
        <v>0.52700000000000002</v>
      </c>
      <c r="D14183" s="26">
        <v>0.2762</v>
      </c>
      <c r="E14183" s="26">
        <v>0.17960000000000001</v>
      </c>
      <c r="G14183" s="26">
        <v>6.8999999999999999E-3</v>
      </c>
      <c r="J14183" s="26">
        <v>2.3E-3</v>
      </c>
      <c r="K14183" s="26">
        <v>2.1899999999999999E-2</v>
      </c>
      <c r="L14183" s="26">
        <v>4.5999999999999999E-3</v>
      </c>
      <c r="P14183">
        <v>93</v>
      </c>
    </row>
    <row r="14184" spans="1:16" x14ac:dyDescent="0.35">
      <c r="A14184" s="27" t="s">
        <v>229</v>
      </c>
      <c r="B14184" s="27" t="s">
        <v>236</v>
      </c>
      <c r="C14184" s="28">
        <v>1</v>
      </c>
      <c r="D14184" s="29"/>
      <c r="E14184" s="29"/>
      <c r="F14184" s="29"/>
      <c r="G14184" s="29"/>
      <c r="H14184" s="29"/>
      <c r="I14184" s="29"/>
      <c r="J14184" s="29"/>
      <c r="K14184" s="29"/>
      <c r="L14184" s="29"/>
      <c r="M14184" s="29"/>
      <c r="N14184" s="29"/>
      <c r="O14184" s="29"/>
      <c r="P14184" s="29" t="s">
        <v>331</v>
      </c>
    </row>
    <row r="14185" spans="1:16" x14ac:dyDescent="0.35">
      <c r="A14185" t="s">
        <v>229</v>
      </c>
      <c r="B14185" t="s">
        <v>260</v>
      </c>
      <c r="C14185" s="26">
        <v>0.49359999999999998</v>
      </c>
      <c r="D14185" s="26">
        <v>0.29049999999999998</v>
      </c>
      <c r="E14185" s="26">
        <v>0.161</v>
      </c>
      <c r="F14185" s="26">
        <v>2.92E-2</v>
      </c>
      <c r="G14185" s="26">
        <v>1.9199999999999998E-2</v>
      </c>
      <c r="H14185" s="26">
        <v>1.6400000000000001E-2</v>
      </c>
      <c r="I14185" s="26">
        <v>1.4200000000000001E-2</v>
      </c>
      <c r="J14185" s="26">
        <v>1.7500000000000002E-2</v>
      </c>
      <c r="K14185" s="26">
        <v>1.26E-2</v>
      </c>
      <c r="L14185" s="26">
        <v>1.04E-2</v>
      </c>
      <c r="M14185" s="26">
        <v>4.8999999999999998E-3</v>
      </c>
      <c r="P14185">
        <v>588</v>
      </c>
    </row>
    <row r="14186" spans="1:16" x14ac:dyDescent="0.35">
      <c r="A14186" s="27" t="s">
        <v>230</v>
      </c>
      <c r="B14186" s="27" t="s">
        <v>236</v>
      </c>
      <c r="C14186" s="29"/>
      <c r="D14186" s="28">
        <v>0.72240000000000004</v>
      </c>
      <c r="E14186" s="28">
        <v>0.27760000000000001</v>
      </c>
      <c r="F14186" s="29"/>
      <c r="G14186" s="29"/>
      <c r="H14186" s="29"/>
      <c r="I14186" s="29"/>
      <c r="J14186" s="29"/>
      <c r="K14186" s="29"/>
      <c r="L14186" s="29"/>
      <c r="M14186" s="29"/>
      <c r="N14186" s="29"/>
      <c r="O14186" s="29"/>
      <c r="P14186" s="29" t="s">
        <v>337</v>
      </c>
    </row>
    <row r="14187" spans="1:16" x14ac:dyDescent="0.35">
      <c r="A14187" t="s">
        <v>230</v>
      </c>
      <c r="B14187" t="s">
        <v>262</v>
      </c>
      <c r="C14187" s="26">
        <v>0.38469999999999999</v>
      </c>
      <c r="D14187" s="26">
        <v>0.52039999999999997</v>
      </c>
      <c r="E14187" s="26">
        <v>8.5199999999999998E-2</v>
      </c>
      <c r="F14187" s="26">
        <v>3.6299999999999999E-2</v>
      </c>
      <c r="G14187" s="26">
        <v>7.4499999999999997E-2</v>
      </c>
      <c r="H14187" s="26">
        <v>3.8199999999999998E-2</v>
      </c>
      <c r="I14187" s="26">
        <v>7.2700000000000001E-2</v>
      </c>
      <c r="J14187" s="26">
        <v>4.2299999999999997E-2</v>
      </c>
      <c r="L14187" s="26">
        <v>3.6299999999999999E-2</v>
      </c>
      <c r="P14187">
        <v>119</v>
      </c>
    </row>
    <row r="14188" spans="1:16" x14ac:dyDescent="0.35">
      <c r="A14188" t="s">
        <v>230</v>
      </c>
      <c r="B14188" t="s">
        <v>261</v>
      </c>
      <c r="C14188" s="26">
        <v>0.61960000000000004</v>
      </c>
      <c r="D14188" s="26">
        <v>0.16750000000000001</v>
      </c>
      <c r="E14188" s="26">
        <v>0.1726</v>
      </c>
      <c r="G14188" s="26">
        <v>2E-3</v>
      </c>
      <c r="K14188" s="26">
        <v>4.7E-2</v>
      </c>
      <c r="P14188">
        <v>57</v>
      </c>
    </row>
    <row r="14189" spans="1:16" x14ac:dyDescent="0.35">
      <c r="A14189" s="27" t="s">
        <v>230</v>
      </c>
      <c r="B14189" s="27" t="s">
        <v>263</v>
      </c>
      <c r="C14189" s="28">
        <v>0.19159999999999999</v>
      </c>
      <c r="D14189" s="28">
        <v>0.53739999999999999</v>
      </c>
      <c r="E14189" s="28">
        <v>0.16309999999999999</v>
      </c>
      <c r="F14189" s="28">
        <v>1.7000000000000001E-2</v>
      </c>
      <c r="G14189" s="28">
        <v>1.7000000000000001E-2</v>
      </c>
      <c r="H14189" s="28">
        <v>3.4099999999999998E-2</v>
      </c>
      <c r="I14189" s="28">
        <v>1.7000000000000001E-2</v>
      </c>
      <c r="J14189" s="29"/>
      <c r="K14189" s="28">
        <v>9.0800000000000006E-2</v>
      </c>
      <c r="L14189" s="29"/>
      <c r="M14189" s="29"/>
      <c r="N14189" s="29"/>
      <c r="O14189" s="29"/>
      <c r="P14189" s="29" t="s">
        <v>310</v>
      </c>
    </row>
    <row r="14190" spans="1:16" x14ac:dyDescent="0.35">
      <c r="A14190" t="s">
        <v>230</v>
      </c>
      <c r="B14190" t="s">
        <v>260</v>
      </c>
      <c r="C14190" s="26">
        <v>0.40079999999999999</v>
      </c>
      <c r="D14190" s="26">
        <v>0.40260000000000001</v>
      </c>
      <c r="E14190" s="26">
        <v>0.13170000000000001</v>
      </c>
      <c r="F14190" s="26">
        <v>3.5200000000000002E-2</v>
      </c>
      <c r="G14190" s="26">
        <v>9.4999999999999998E-3</v>
      </c>
      <c r="H14190" s="26">
        <v>2.7699999999999999E-2</v>
      </c>
      <c r="I14190" s="26">
        <v>7.7999999999999996E-3</v>
      </c>
      <c r="J14190" s="26">
        <v>1.04E-2</v>
      </c>
      <c r="K14190" s="26">
        <v>9.4999999999999998E-3</v>
      </c>
      <c r="L14190" s="26">
        <v>1.6799999999999999E-2</v>
      </c>
      <c r="M14190" s="26">
        <v>2.0999999999999999E-3</v>
      </c>
      <c r="P14190">
        <v>343</v>
      </c>
    </row>
    <row r="14191" spans="1:16" x14ac:dyDescent="0.35">
      <c r="A14191" s="27" t="s">
        <v>231</v>
      </c>
      <c r="B14191" s="27" t="s">
        <v>263</v>
      </c>
      <c r="C14191" s="28">
        <v>0.5</v>
      </c>
      <c r="D14191" s="28">
        <v>0.5</v>
      </c>
      <c r="E14191" s="29"/>
      <c r="F14191" s="29"/>
      <c r="G14191" s="29"/>
      <c r="H14191" s="29"/>
      <c r="I14191" s="29"/>
      <c r="J14191" s="29"/>
      <c r="K14191" s="29"/>
      <c r="L14191" s="29"/>
      <c r="M14191" s="29"/>
      <c r="N14191" s="29"/>
      <c r="O14191" s="29"/>
      <c r="P14191" s="29" t="s">
        <v>314</v>
      </c>
    </row>
    <row r="14192" spans="1:16" x14ac:dyDescent="0.35">
      <c r="A14192" t="s">
        <v>231</v>
      </c>
      <c r="B14192" t="s">
        <v>260</v>
      </c>
      <c r="C14192" s="26">
        <v>0.53659999999999997</v>
      </c>
      <c r="D14192" s="26">
        <v>0.30080000000000001</v>
      </c>
      <c r="E14192" s="26">
        <v>0.13009999999999999</v>
      </c>
      <c r="F14192" s="26">
        <v>3.2500000000000001E-2</v>
      </c>
      <c r="G14192" s="26">
        <v>1.6299999999999999E-2</v>
      </c>
      <c r="I14192" s="26">
        <v>8.0999999999999996E-3</v>
      </c>
      <c r="J14192" s="26">
        <v>8.0999999999999996E-3</v>
      </c>
      <c r="L14192" s="26">
        <v>8.0999999999999996E-3</v>
      </c>
      <c r="P14192">
        <v>123</v>
      </c>
    </row>
    <row r="14193" spans="1:16" x14ac:dyDescent="0.35">
      <c r="A14193" s="27" t="s">
        <v>231</v>
      </c>
      <c r="B14193" s="27" t="s">
        <v>261</v>
      </c>
      <c r="C14193" s="28">
        <v>0.57689999999999997</v>
      </c>
      <c r="D14193" s="28">
        <v>0.15379999999999999</v>
      </c>
      <c r="E14193" s="28">
        <v>0.23080000000000001</v>
      </c>
      <c r="F14193" s="29"/>
      <c r="G14193" s="29"/>
      <c r="H14193" s="29"/>
      <c r="I14193" s="29"/>
      <c r="J14193" s="29"/>
      <c r="K14193" s="29"/>
      <c r="L14193" s="29"/>
      <c r="M14193" s="29"/>
      <c r="N14193" s="28">
        <v>3.85E-2</v>
      </c>
      <c r="O14193" s="29"/>
      <c r="P14193" s="29" t="s">
        <v>357</v>
      </c>
    </row>
    <row r="14194" spans="1:16" x14ac:dyDescent="0.35">
      <c r="A14194" s="27" t="s">
        <v>231</v>
      </c>
      <c r="B14194" s="27" t="s">
        <v>262</v>
      </c>
      <c r="C14194" s="28">
        <v>0.18179999999999999</v>
      </c>
      <c r="D14194" s="28">
        <v>0.63639999999999997</v>
      </c>
      <c r="E14194" s="28">
        <v>0.18179999999999999</v>
      </c>
      <c r="F14194" s="29"/>
      <c r="G14194" s="28">
        <v>9.0899999999999995E-2</v>
      </c>
      <c r="H14194" s="29"/>
      <c r="I14194" s="29"/>
      <c r="J14194" s="29"/>
      <c r="K14194" s="29"/>
      <c r="L14194" s="29"/>
      <c r="M14194" s="29"/>
      <c r="N14194" s="29"/>
      <c r="O14194" s="29"/>
      <c r="P14194" s="29" t="s">
        <v>352</v>
      </c>
    </row>
    <row r="14195" spans="1:16" x14ac:dyDescent="0.35">
      <c r="A14195" t="s">
        <v>232</v>
      </c>
      <c r="B14195" t="s">
        <v>232</v>
      </c>
      <c r="C14195" s="26">
        <v>0.48409999999999997</v>
      </c>
      <c r="D14195" s="26">
        <v>0.29170000000000001</v>
      </c>
      <c r="E14195" s="26">
        <v>0.1764</v>
      </c>
      <c r="F14195" s="26">
        <v>2.41E-2</v>
      </c>
      <c r="G14195" s="26">
        <v>1.6299999999999999E-2</v>
      </c>
      <c r="H14195" s="26">
        <v>1.43E-2</v>
      </c>
      <c r="I14195" s="26">
        <v>1.06E-2</v>
      </c>
      <c r="J14195" s="26">
        <v>1.04E-2</v>
      </c>
      <c r="K14195" s="26">
        <v>7.4999999999999997E-3</v>
      </c>
      <c r="L14195" s="26">
        <v>6.4999999999999997E-3</v>
      </c>
      <c r="M14195" s="26">
        <v>2.2000000000000001E-3</v>
      </c>
      <c r="N14195" s="26">
        <v>1.6999999999999999E-3</v>
      </c>
      <c r="O14195" s="26">
        <v>1.6999999999999999E-3</v>
      </c>
      <c r="P14195">
        <v>2755</v>
      </c>
    </row>
    <row r="14197" spans="1:16" x14ac:dyDescent="0.35">
      <c r="A14197" s="1" t="s">
        <v>1568</v>
      </c>
    </row>
    <row r="14198" spans="1:16" x14ac:dyDescent="0.35">
      <c r="A14198" t="s">
        <v>219</v>
      </c>
      <c r="B14198" t="s">
        <v>305</v>
      </c>
      <c r="C14198" t="s">
        <v>550</v>
      </c>
      <c r="D14198" t="s">
        <v>1400</v>
      </c>
      <c r="E14198" t="s">
        <v>281</v>
      </c>
      <c r="F14198" t="s">
        <v>1403</v>
      </c>
      <c r="G14198" t="s">
        <v>1504</v>
      </c>
      <c r="H14198" t="s">
        <v>1402</v>
      </c>
      <c r="I14198" t="s">
        <v>1404</v>
      </c>
      <c r="J14198" t="s">
        <v>1408</v>
      </c>
      <c r="K14198" t="s">
        <v>1401</v>
      </c>
      <c r="L14198" t="s">
        <v>1406</v>
      </c>
      <c r="M14198" t="s">
        <v>286</v>
      </c>
      <c r="N14198" t="s">
        <v>1407</v>
      </c>
      <c r="O14198" t="s">
        <v>326</v>
      </c>
      <c r="P14198" t="s">
        <v>226</v>
      </c>
    </row>
    <row r="14199" spans="1:16" x14ac:dyDescent="0.35">
      <c r="A14199" t="s">
        <v>227</v>
      </c>
      <c r="B14199" t="s">
        <v>368</v>
      </c>
      <c r="C14199" s="26">
        <v>0.53120000000000001</v>
      </c>
      <c r="D14199" s="26">
        <v>9.3799999999999994E-2</v>
      </c>
      <c r="E14199" s="26">
        <v>0.34379999999999999</v>
      </c>
      <c r="I14199" s="26">
        <v>3.1199999999999999E-2</v>
      </c>
      <c r="P14199">
        <v>32</v>
      </c>
    </row>
    <row r="14200" spans="1:16" x14ac:dyDescent="0.35">
      <c r="A14200" t="s">
        <v>227</v>
      </c>
      <c r="B14200" t="s">
        <v>369</v>
      </c>
      <c r="C14200" s="26">
        <v>0.48</v>
      </c>
      <c r="D14200" s="26">
        <v>0.27200000000000002</v>
      </c>
      <c r="E14200" s="26">
        <v>0.192</v>
      </c>
      <c r="F14200" s="26">
        <v>1.6E-2</v>
      </c>
      <c r="H14200" s="26">
        <v>2.4E-2</v>
      </c>
      <c r="I14200" s="26">
        <v>1.6E-2</v>
      </c>
      <c r="J14200" s="26">
        <v>8.0000000000000002E-3</v>
      </c>
      <c r="K14200" s="26">
        <v>8.0000000000000002E-3</v>
      </c>
      <c r="M14200" s="26">
        <v>8.0000000000000002E-3</v>
      </c>
      <c r="O14200" s="26">
        <v>8.0000000000000002E-3</v>
      </c>
      <c r="P14200">
        <v>125</v>
      </c>
    </row>
    <row r="14201" spans="1:16" x14ac:dyDescent="0.35">
      <c r="A14201" t="s">
        <v>228</v>
      </c>
      <c r="B14201" t="s">
        <v>368</v>
      </c>
      <c r="C14201" s="26">
        <v>0.49180000000000001</v>
      </c>
      <c r="D14201" s="26">
        <v>0.184</v>
      </c>
      <c r="E14201" s="26">
        <v>0.29970000000000002</v>
      </c>
      <c r="F14201" s="26">
        <v>2.2000000000000001E-3</v>
      </c>
      <c r="H14201" s="26">
        <v>1.2999999999999999E-3</v>
      </c>
      <c r="K14201" s="26">
        <v>2.3599999999999999E-2</v>
      </c>
      <c r="P14201">
        <v>188</v>
      </c>
    </row>
    <row r="14202" spans="1:16" x14ac:dyDescent="0.35">
      <c r="A14202" t="s">
        <v>228</v>
      </c>
      <c r="B14202" t="s">
        <v>369</v>
      </c>
      <c r="C14202" s="26">
        <v>0.44359999999999999</v>
      </c>
      <c r="D14202" s="26">
        <v>0.31459999999999999</v>
      </c>
      <c r="E14202" s="26">
        <v>0.189</v>
      </c>
      <c r="F14202" s="26">
        <v>2.2800000000000001E-2</v>
      </c>
      <c r="G14202" s="26">
        <v>2.5700000000000001E-2</v>
      </c>
      <c r="H14202" s="26">
        <v>1.29E-2</v>
      </c>
      <c r="I14202" s="26">
        <v>2.8E-3</v>
      </c>
      <c r="J14202" s="26">
        <v>1.18E-2</v>
      </c>
      <c r="K14202" s="26">
        <v>8.5000000000000006E-3</v>
      </c>
      <c r="L14202" s="26">
        <v>8.3999999999999995E-3</v>
      </c>
      <c r="M14202" s="26">
        <v>1.1000000000000001E-3</v>
      </c>
      <c r="P14202">
        <v>827</v>
      </c>
    </row>
    <row r="14203" spans="1:16" x14ac:dyDescent="0.35">
      <c r="A14203" t="s">
        <v>229</v>
      </c>
      <c r="B14203" t="s">
        <v>368</v>
      </c>
      <c r="C14203" s="26">
        <v>0.52700000000000002</v>
      </c>
      <c r="D14203" s="26">
        <v>0.2762</v>
      </c>
      <c r="E14203" s="26">
        <v>0.17960000000000001</v>
      </c>
      <c r="G14203" s="26">
        <v>6.8999999999999999E-3</v>
      </c>
      <c r="J14203" s="26">
        <v>2.3E-3</v>
      </c>
      <c r="K14203" s="26">
        <v>2.1899999999999999E-2</v>
      </c>
      <c r="L14203" s="26">
        <v>4.5999999999999999E-3</v>
      </c>
      <c r="P14203">
        <v>93</v>
      </c>
    </row>
    <row r="14204" spans="1:16" x14ac:dyDescent="0.35">
      <c r="A14204" t="s">
        <v>229</v>
      </c>
      <c r="B14204" t="s">
        <v>369</v>
      </c>
      <c r="C14204" s="26">
        <v>0.48359999999999997</v>
      </c>
      <c r="D14204" s="26">
        <v>0.27839999999999998</v>
      </c>
      <c r="E14204" s="26">
        <v>0.16950000000000001</v>
      </c>
      <c r="F14204" s="26">
        <v>3.6700000000000003E-2</v>
      </c>
      <c r="G14204" s="26">
        <v>2.1100000000000001E-2</v>
      </c>
      <c r="H14204" s="26">
        <v>2.8799999999999999E-2</v>
      </c>
      <c r="I14204" s="26">
        <v>1.6500000000000001E-2</v>
      </c>
      <c r="J14204" s="26">
        <v>1.8499999999999999E-2</v>
      </c>
      <c r="K14204" s="26">
        <v>8.2000000000000007E-3</v>
      </c>
      <c r="L14204" s="26">
        <v>6.7999999999999996E-3</v>
      </c>
      <c r="M14204" s="26">
        <v>3.7000000000000002E-3</v>
      </c>
      <c r="O14204" s="26">
        <v>3.0000000000000001E-3</v>
      </c>
      <c r="P14204">
        <v>781</v>
      </c>
    </row>
    <row r="14205" spans="1:16" x14ac:dyDescent="0.35">
      <c r="A14205" t="s">
        <v>230</v>
      </c>
      <c r="B14205" t="s">
        <v>368</v>
      </c>
      <c r="C14205" s="26">
        <v>0.61960000000000004</v>
      </c>
      <c r="D14205" s="26">
        <v>0.16750000000000001</v>
      </c>
      <c r="E14205" s="26">
        <v>0.1726</v>
      </c>
      <c r="G14205" s="26">
        <v>2E-3</v>
      </c>
      <c r="K14205" s="26">
        <v>4.7E-2</v>
      </c>
      <c r="P14205">
        <v>57</v>
      </c>
    </row>
    <row r="14206" spans="1:16" x14ac:dyDescent="0.35">
      <c r="A14206" t="s">
        <v>230</v>
      </c>
      <c r="B14206" t="s">
        <v>369</v>
      </c>
      <c r="C14206" s="26">
        <v>0.39069999999999999</v>
      </c>
      <c r="D14206" s="26">
        <v>0.42820000000000003</v>
      </c>
      <c r="E14206" s="26">
        <v>0.12559999999999999</v>
      </c>
      <c r="F14206" s="26">
        <v>3.4700000000000002E-2</v>
      </c>
      <c r="G14206" s="26">
        <v>2.0799999999999999E-2</v>
      </c>
      <c r="H14206" s="26">
        <v>2.9399999999999999E-2</v>
      </c>
      <c r="I14206" s="26">
        <v>1.9099999999999999E-2</v>
      </c>
      <c r="J14206" s="26">
        <v>1.5599999999999999E-2</v>
      </c>
      <c r="K14206" s="26">
        <v>9.2999999999999992E-3</v>
      </c>
      <c r="L14206" s="26">
        <v>1.9699999999999999E-2</v>
      </c>
      <c r="M14206" s="26">
        <v>1.6999999999999999E-3</v>
      </c>
      <c r="P14206">
        <v>490</v>
      </c>
    </row>
    <row r="14207" spans="1:16" x14ac:dyDescent="0.35">
      <c r="A14207" s="27" t="s">
        <v>231</v>
      </c>
      <c r="B14207" s="27" t="s">
        <v>368</v>
      </c>
      <c r="C14207" s="28">
        <v>0.57689999999999997</v>
      </c>
      <c r="D14207" s="28">
        <v>0.15379999999999999</v>
      </c>
      <c r="E14207" s="28">
        <v>0.23080000000000001</v>
      </c>
      <c r="F14207" s="29"/>
      <c r="G14207" s="29"/>
      <c r="H14207" s="29"/>
      <c r="I14207" s="29"/>
      <c r="J14207" s="29"/>
      <c r="K14207" s="29"/>
      <c r="L14207" s="29"/>
      <c r="M14207" s="29"/>
      <c r="N14207" s="28">
        <v>3.85E-2</v>
      </c>
      <c r="O14207" s="29"/>
      <c r="P14207" s="29" t="s">
        <v>357</v>
      </c>
    </row>
    <row r="14208" spans="1:16" x14ac:dyDescent="0.35">
      <c r="A14208" t="s">
        <v>231</v>
      </c>
      <c r="B14208" t="s">
        <v>369</v>
      </c>
      <c r="C14208" s="26">
        <v>0.50739999999999996</v>
      </c>
      <c r="D14208" s="26">
        <v>0.33090000000000003</v>
      </c>
      <c r="E14208" s="26">
        <v>0.13239999999999999</v>
      </c>
      <c r="F14208" s="26">
        <v>2.9399999999999999E-2</v>
      </c>
      <c r="G14208" s="26">
        <v>2.2100000000000002E-2</v>
      </c>
      <c r="I14208" s="26">
        <v>7.4000000000000003E-3</v>
      </c>
      <c r="J14208" s="26">
        <v>7.4000000000000003E-3</v>
      </c>
      <c r="L14208" s="26">
        <v>7.4000000000000003E-3</v>
      </c>
      <c r="P14208">
        <v>136</v>
      </c>
    </row>
    <row r="14209" spans="1:16" x14ac:dyDescent="0.35">
      <c r="A14209" t="s">
        <v>232</v>
      </c>
      <c r="B14209" t="s">
        <v>232</v>
      </c>
      <c r="C14209" s="26">
        <v>0.48409999999999997</v>
      </c>
      <c r="D14209" s="26">
        <v>0.29170000000000001</v>
      </c>
      <c r="E14209" s="26">
        <v>0.1764</v>
      </c>
      <c r="F14209" s="26">
        <v>2.41E-2</v>
      </c>
      <c r="G14209" s="26">
        <v>1.6299999999999999E-2</v>
      </c>
      <c r="H14209" s="26">
        <v>1.43E-2</v>
      </c>
      <c r="I14209" s="26">
        <v>1.06E-2</v>
      </c>
      <c r="J14209" s="26">
        <v>1.04E-2</v>
      </c>
      <c r="K14209" s="26">
        <v>7.4999999999999997E-3</v>
      </c>
      <c r="L14209" s="26">
        <v>6.4999999999999997E-3</v>
      </c>
      <c r="M14209" s="26">
        <v>2.2000000000000001E-3</v>
      </c>
      <c r="N14209" s="26">
        <v>1.6999999999999999E-3</v>
      </c>
      <c r="O14209" s="26">
        <v>1.6999999999999999E-3</v>
      </c>
      <c r="P14209">
        <v>2755</v>
      </c>
    </row>
    <row r="14211" spans="1:16" x14ac:dyDescent="0.35">
      <c r="A14211" s="1" t="s">
        <v>1569</v>
      </c>
    </row>
    <row r="14212" spans="1:16" x14ac:dyDescent="0.35">
      <c r="A14212" t="s">
        <v>219</v>
      </c>
      <c r="B14212" t="s">
        <v>305</v>
      </c>
      <c r="C14212" t="s">
        <v>550</v>
      </c>
      <c r="D14212" t="s">
        <v>1400</v>
      </c>
      <c r="E14212" t="s">
        <v>281</v>
      </c>
      <c r="F14212" t="s">
        <v>1403</v>
      </c>
      <c r="G14212" t="s">
        <v>1504</v>
      </c>
      <c r="H14212" t="s">
        <v>1402</v>
      </c>
      <c r="I14212" t="s">
        <v>1404</v>
      </c>
      <c r="J14212" t="s">
        <v>1408</v>
      </c>
      <c r="K14212" t="s">
        <v>1401</v>
      </c>
      <c r="L14212" t="s">
        <v>1406</v>
      </c>
      <c r="M14212" t="s">
        <v>286</v>
      </c>
      <c r="N14212" t="s">
        <v>1407</v>
      </c>
      <c r="O14212" t="s">
        <v>326</v>
      </c>
      <c r="P14212" t="s">
        <v>226</v>
      </c>
    </row>
    <row r="14213" spans="1:16" x14ac:dyDescent="0.35">
      <c r="A14213" t="s">
        <v>227</v>
      </c>
      <c r="B14213" t="s">
        <v>371</v>
      </c>
      <c r="C14213" s="26">
        <v>0.4904</v>
      </c>
      <c r="D14213" s="26">
        <v>0.23569999999999999</v>
      </c>
      <c r="E14213" s="26">
        <v>0.22289999999999999</v>
      </c>
      <c r="F14213" s="26">
        <v>1.2699999999999999E-2</v>
      </c>
      <c r="H14213" s="26">
        <v>1.9099999999999999E-2</v>
      </c>
      <c r="I14213" s="26">
        <v>1.9099999999999999E-2</v>
      </c>
      <c r="J14213" s="26">
        <v>6.4000000000000003E-3</v>
      </c>
      <c r="K14213" s="26">
        <v>6.4000000000000003E-3</v>
      </c>
      <c r="M14213" s="26">
        <v>6.4000000000000003E-3</v>
      </c>
      <c r="O14213" s="26">
        <v>6.4000000000000003E-3</v>
      </c>
      <c r="P14213">
        <v>157</v>
      </c>
    </row>
    <row r="14214" spans="1:16" x14ac:dyDescent="0.35">
      <c r="A14214" t="s">
        <v>228</v>
      </c>
      <c r="B14214" t="s">
        <v>371</v>
      </c>
      <c r="C14214" s="26">
        <v>0.46739999999999998</v>
      </c>
      <c r="D14214" s="26">
        <v>0.23669999999999999</v>
      </c>
      <c r="E14214" s="26">
        <v>0.23480000000000001</v>
      </c>
      <c r="F14214" s="26">
        <v>2.6599999999999999E-2</v>
      </c>
      <c r="G14214" s="26">
        <v>1.9300000000000001E-2</v>
      </c>
      <c r="H14214" s="26">
        <v>7.1999999999999998E-3</v>
      </c>
      <c r="K14214" s="26">
        <v>1.4500000000000001E-2</v>
      </c>
      <c r="L14214" s="26">
        <v>7.1000000000000004E-3</v>
      </c>
      <c r="P14214">
        <v>290</v>
      </c>
    </row>
    <row r="14215" spans="1:16" x14ac:dyDescent="0.35">
      <c r="A14215" t="s">
        <v>228</v>
      </c>
      <c r="B14215" t="s">
        <v>372</v>
      </c>
      <c r="C14215" s="26">
        <v>0.49669999999999997</v>
      </c>
      <c r="D14215" s="26">
        <v>0.25540000000000002</v>
      </c>
      <c r="E14215" s="26">
        <v>0.19239999999999999</v>
      </c>
      <c r="F14215" s="26">
        <v>1.7999999999999999E-2</v>
      </c>
      <c r="G14215" s="26">
        <v>1.2800000000000001E-2</v>
      </c>
      <c r="H14215" s="26">
        <v>9.4000000000000004E-3</v>
      </c>
      <c r="I14215" s="26">
        <v>2.8999999999999998E-3</v>
      </c>
      <c r="J14215" s="26">
        <v>1.9699999999999999E-2</v>
      </c>
      <c r="K14215" s="26">
        <v>3.5700000000000003E-2</v>
      </c>
      <c r="L14215" s="26">
        <v>9.4000000000000004E-3</v>
      </c>
      <c r="M14215" s="26">
        <v>1.0699999999999999E-2</v>
      </c>
      <c r="P14215">
        <v>214</v>
      </c>
    </row>
    <row r="14216" spans="1:16" x14ac:dyDescent="0.35">
      <c r="A14216" t="s">
        <v>228</v>
      </c>
      <c r="B14216" t="s">
        <v>373</v>
      </c>
      <c r="C14216" s="26">
        <v>0.4239</v>
      </c>
      <c r="D14216" s="26">
        <v>0.3674</v>
      </c>
      <c r="E14216" s="26">
        <v>0.18190000000000001</v>
      </c>
      <c r="F14216" s="26">
        <v>8.3999999999999995E-3</v>
      </c>
      <c r="G14216" s="26">
        <v>2.4299999999999999E-2</v>
      </c>
      <c r="H14216" s="26">
        <v>1.55E-2</v>
      </c>
      <c r="I14216" s="26">
        <v>5.3E-3</v>
      </c>
      <c r="J14216" s="26">
        <v>0.02</v>
      </c>
      <c r="K14216" s="26">
        <v>2.0999999999999999E-3</v>
      </c>
      <c r="L14216" s="26">
        <v>5.5999999999999999E-3</v>
      </c>
      <c r="P14216">
        <v>511</v>
      </c>
    </row>
    <row r="14217" spans="1:16" x14ac:dyDescent="0.35">
      <c r="A14217" t="s">
        <v>229</v>
      </c>
      <c r="B14217" t="s">
        <v>371</v>
      </c>
      <c r="C14217" s="26">
        <v>0.48909999999999998</v>
      </c>
      <c r="D14217" s="26">
        <v>0.27779999999999999</v>
      </c>
      <c r="E14217" s="26">
        <v>0.16880000000000001</v>
      </c>
      <c r="F14217" s="26">
        <v>3.2800000000000003E-2</v>
      </c>
      <c r="G14217" s="26">
        <v>1.78E-2</v>
      </c>
      <c r="H14217" s="26">
        <v>2.6100000000000002E-2</v>
      </c>
      <c r="I14217" s="26">
        <v>1.52E-2</v>
      </c>
      <c r="J14217" s="26">
        <v>1.7000000000000001E-2</v>
      </c>
      <c r="K14217" s="26">
        <v>1.04E-2</v>
      </c>
      <c r="L14217" s="26">
        <v>7.0000000000000001E-3</v>
      </c>
      <c r="M14217" s="26">
        <v>3.0999999999999999E-3</v>
      </c>
      <c r="O14217" s="26">
        <v>2.8E-3</v>
      </c>
      <c r="P14217">
        <v>571</v>
      </c>
    </row>
    <row r="14218" spans="1:16" x14ac:dyDescent="0.35">
      <c r="A14218" t="s">
        <v>229</v>
      </c>
      <c r="B14218" t="s">
        <v>372</v>
      </c>
      <c r="C14218" s="26">
        <v>0.53800000000000003</v>
      </c>
      <c r="D14218" s="26">
        <v>0.2492</v>
      </c>
      <c r="E14218" s="26">
        <v>0.19700000000000001</v>
      </c>
      <c r="F14218" s="26">
        <v>1.29E-2</v>
      </c>
      <c r="G14218" s="26">
        <v>3.85E-2</v>
      </c>
      <c r="H14218" s="26">
        <v>8.8999999999999999E-3</v>
      </c>
      <c r="J14218" s="26">
        <v>6.8999999999999999E-3</v>
      </c>
      <c r="K14218" s="26">
        <v>6.8999999999999999E-3</v>
      </c>
      <c r="M14218" s="26">
        <v>6.8999999999999999E-3</v>
      </c>
      <c r="P14218">
        <v>213</v>
      </c>
    </row>
    <row r="14219" spans="1:16" x14ac:dyDescent="0.35">
      <c r="A14219" t="s">
        <v>229</v>
      </c>
      <c r="B14219" t="s">
        <v>373</v>
      </c>
      <c r="C14219" s="26">
        <v>0.43640000000000001</v>
      </c>
      <c r="D14219" s="26">
        <v>0.34029999999999999</v>
      </c>
      <c r="E14219" s="26">
        <v>0.19869999999999999</v>
      </c>
      <c r="F14219" s="26">
        <v>1.23E-2</v>
      </c>
      <c r="G14219" s="26">
        <v>2.47E-2</v>
      </c>
      <c r="K14219" s="26">
        <v>1.23E-2</v>
      </c>
      <c r="P14219">
        <v>90</v>
      </c>
    </row>
    <row r="14220" spans="1:16" x14ac:dyDescent="0.35">
      <c r="A14220" t="s">
        <v>230</v>
      </c>
      <c r="B14220" t="s">
        <v>371</v>
      </c>
      <c r="C14220" s="26">
        <v>0.4133</v>
      </c>
      <c r="D14220" s="26">
        <v>0.40539999999999998</v>
      </c>
      <c r="E14220" s="26">
        <v>0.12609999999999999</v>
      </c>
      <c r="F14220" s="26">
        <v>3.4200000000000001E-2</v>
      </c>
      <c r="G14220" s="26">
        <v>1.9900000000000001E-2</v>
      </c>
      <c r="H14220" s="26">
        <v>2.76E-2</v>
      </c>
      <c r="I14220" s="26">
        <v>1.9900000000000001E-2</v>
      </c>
      <c r="J14220" s="26">
        <v>1.32E-2</v>
      </c>
      <c r="K14220" s="26">
        <v>1.44E-2</v>
      </c>
      <c r="L14220" s="26">
        <v>1.9900000000000001E-2</v>
      </c>
      <c r="P14220">
        <v>260</v>
      </c>
    </row>
    <row r="14221" spans="1:16" x14ac:dyDescent="0.35">
      <c r="A14221" t="s">
        <v>230</v>
      </c>
      <c r="B14221" t="s">
        <v>372</v>
      </c>
      <c r="C14221" s="26">
        <v>0.46739999999999998</v>
      </c>
      <c r="D14221" s="26">
        <v>0.30499999999999999</v>
      </c>
      <c r="E14221" s="26">
        <v>0.16239999999999999</v>
      </c>
      <c r="F14221" s="26">
        <v>4.8999999999999998E-3</v>
      </c>
      <c r="G14221" s="26">
        <v>1.9699999999999999E-2</v>
      </c>
      <c r="H14221" s="26">
        <v>1.9699999999999999E-2</v>
      </c>
      <c r="I14221" s="26">
        <v>4.8999999999999998E-3</v>
      </c>
      <c r="K14221" s="26">
        <v>9.7999999999999997E-3</v>
      </c>
      <c r="L14221" s="26">
        <v>1.4800000000000001E-2</v>
      </c>
      <c r="M14221" s="26">
        <v>2.58E-2</v>
      </c>
      <c r="P14221">
        <v>138</v>
      </c>
    </row>
    <row r="14222" spans="1:16" x14ac:dyDescent="0.35">
      <c r="A14222" t="s">
        <v>230</v>
      </c>
      <c r="B14222" t="s">
        <v>373</v>
      </c>
      <c r="C14222" s="26">
        <v>0.45329999999999998</v>
      </c>
      <c r="D14222" s="26">
        <v>0.35270000000000001</v>
      </c>
      <c r="E14222" s="26">
        <v>0.15629999999999999</v>
      </c>
      <c r="F14222" s="26">
        <v>1.4200000000000001E-2</v>
      </c>
      <c r="G14222" s="26">
        <v>7.1000000000000004E-3</v>
      </c>
      <c r="H14222" s="26">
        <v>1.4200000000000001E-2</v>
      </c>
      <c r="J14222" s="26">
        <v>2.1299999999999999E-2</v>
      </c>
      <c r="K14222" s="26">
        <v>1.6400000000000001E-2</v>
      </c>
      <c r="P14222">
        <v>149</v>
      </c>
    </row>
    <row r="14223" spans="1:16" x14ac:dyDescent="0.35">
      <c r="A14223" t="s">
        <v>231</v>
      </c>
      <c r="B14223" t="s">
        <v>371</v>
      </c>
      <c r="C14223" s="26">
        <v>0.51849999999999996</v>
      </c>
      <c r="D14223" s="26">
        <v>0.30249999999999999</v>
      </c>
      <c r="E14223" s="26">
        <v>0.14810000000000001</v>
      </c>
      <c r="F14223" s="26">
        <v>2.47E-2</v>
      </c>
      <c r="G14223" s="26">
        <v>1.8499999999999999E-2</v>
      </c>
      <c r="I14223" s="26">
        <v>6.1999999999999998E-3</v>
      </c>
      <c r="J14223" s="26">
        <v>6.1999999999999998E-3</v>
      </c>
      <c r="L14223" s="26">
        <v>6.1999999999999998E-3</v>
      </c>
      <c r="N14223" s="26">
        <v>6.1999999999999998E-3</v>
      </c>
      <c r="P14223">
        <v>162</v>
      </c>
    </row>
    <row r="14224" spans="1:16" x14ac:dyDescent="0.35">
      <c r="A14224" t="s">
        <v>232</v>
      </c>
      <c r="B14224" t="s">
        <v>232</v>
      </c>
      <c r="C14224" s="26">
        <v>0.48409999999999997</v>
      </c>
      <c r="D14224" s="26">
        <v>0.29170000000000001</v>
      </c>
      <c r="E14224" s="26">
        <v>0.1764</v>
      </c>
      <c r="F14224" s="26">
        <v>2.41E-2</v>
      </c>
      <c r="G14224" s="26">
        <v>1.6299999999999999E-2</v>
      </c>
      <c r="H14224" s="26">
        <v>1.43E-2</v>
      </c>
      <c r="I14224" s="26">
        <v>1.06E-2</v>
      </c>
      <c r="J14224" s="26">
        <v>1.04E-2</v>
      </c>
      <c r="K14224" s="26">
        <v>7.4999999999999997E-3</v>
      </c>
      <c r="L14224" s="26">
        <v>6.4999999999999997E-3</v>
      </c>
      <c r="M14224" s="26">
        <v>2.2000000000000001E-3</v>
      </c>
      <c r="N14224" s="26">
        <v>1.6999999999999999E-3</v>
      </c>
      <c r="O14224" s="26">
        <v>1.6999999999999999E-3</v>
      </c>
      <c r="P14224">
        <v>2755</v>
      </c>
    </row>
    <row r="14226" spans="1:16" x14ac:dyDescent="0.35">
      <c r="A14226" s="1" t="s">
        <v>1570</v>
      </c>
    </row>
    <row r="14227" spans="1:16" x14ac:dyDescent="0.35">
      <c r="A14227" t="s">
        <v>219</v>
      </c>
      <c r="B14227" t="s">
        <v>305</v>
      </c>
      <c r="C14227" t="s">
        <v>550</v>
      </c>
      <c r="D14227" t="s">
        <v>1400</v>
      </c>
      <c r="E14227" t="s">
        <v>281</v>
      </c>
      <c r="F14227" t="s">
        <v>1403</v>
      </c>
      <c r="G14227" t="s">
        <v>1504</v>
      </c>
      <c r="H14227" t="s">
        <v>1402</v>
      </c>
      <c r="I14227" t="s">
        <v>1404</v>
      </c>
      <c r="J14227" t="s">
        <v>1408</v>
      </c>
      <c r="K14227" t="s">
        <v>1401</v>
      </c>
      <c r="L14227" t="s">
        <v>1406</v>
      </c>
      <c r="M14227" t="s">
        <v>286</v>
      </c>
      <c r="N14227" t="s">
        <v>1407</v>
      </c>
      <c r="O14227" t="s">
        <v>326</v>
      </c>
      <c r="P14227" t="s">
        <v>226</v>
      </c>
    </row>
    <row r="14228" spans="1:16" x14ac:dyDescent="0.35">
      <c r="A14228" t="s">
        <v>227</v>
      </c>
      <c r="B14228" t="s">
        <v>255</v>
      </c>
      <c r="C14228" s="26">
        <v>0.5</v>
      </c>
      <c r="D14228" s="26">
        <v>0.20180000000000001</v>
      </c>
      <c r="E14228" s="26">
        <v>0.25440000000000002</v>
      </c>
      <c r="F14228" s="26">
        <v>1.7500000000000002E-2</v>
      </c>
      <c r="H14228" s="26">
        <v>1.7500000000000002E-2</v>
      </c>
      <c r="I14228" s="26">
        <v>8.8000000000000005E-3</v>
      </c>
      <c r="J14228" s="26">
        <v>8.8000000000000005E-3</v>
      </c>
      <c r="O14228" s="26">
        <v>8.8000000000000005E-3</v>
      </c>
      <c r="P14228">
        <v>114</v>
      </c>
    </row>
    <row r="14229" spans="1:16" x14ac:dyDescent="0.35">
      <c r="A14229" s="27" t="s">
        <v>227</v>
      </c>
      <c r="B14229" s="27" t="s">
        <v>257</v>
      </c>
      <c r="C14229" s="28">
        <v>0.55559999999999998</v>
      </c>
      <c r="D14229" s="28">
        <v>0.22220000000000001</v>
      </c>
      <c r="E14229" s="28">
        <v>0.22220000000000001</v>
      </c>
      <c r="F14229" s="29"/>
      <c r="G14229" s="29"/>
      <c r="H14229" s="29"/>
      <c r="I14229" s="29"/>
      <c r="J14229" s="29"/>
      <c r="K14229" s="29"/>
      <c r="L14229" s="29"/>
      <c r="M14229" s="29"/>
      <c r="N14229" s="29"/>
      <c r="O14229" s="29"/>
      <c r="P14229" s="29" t="s">
        <v>334</v>
      </c>
    </row>
    <row r="14230" spans="1:16" x14ac:dyDescent="0.35">
      <c r="A14230" t="s">
        <v>227</v>
      </c>
      <c r="B14230" t="s">
        <v>256</v>
      </c>
      <c r="C14230" s="26">
        <v>0.44119999999999998</v>
      </c>
      <c r="D14230" s="26">
        <v>0.35289999999999999</v>
      </c>
      <c r="E14230" s="26">
        <v>0.1176</v>
      </c>
      <c r="H14230" s="26">
        <v>2.9399999999999999E-2</v>
      </c>
      <c r="I14230" s="26">
        <v>5.8799999999999998E-2</v>
      </c>
      <c r="K14230" s="26">
        <v>2.9399999999999999E-2</v>
      </c>
      <c r="M14230" s="26">
        <v>2.9399999999999999E-2</v>
      </c>
      <c r="P14230">
        <v>34</v>
      </c>
    </row>
    <row r="14231" spans="1:16" x14ac:dyDescent="0.35">
      <c r="A14231" t="s">
        <v>228</v>
      </c>
      <c r="B14231" t="s">
        <v>257</v>
      </c>
      <c r="C14231" s="26">
        <v>0.30330000000000001</v>
      </c>
      <c r="D14231" s="26">
        <v>0.1888</v>
      </c>
      <c r="E14231" s="26">
        <v>0.43619999999999998</v>
      </c>
      <c r="F14231" s="26">
        <v>1.84E-2</v>
      </c>
      <c r="H14231" s="26">
        <v>1.0500000000000001E-2</v>
      </c>
      <c r="K14231" s="26">
        <v>6.3799999999999996E-2</v>
      </c>
      <c r="L14231" s="26">
        <v>1.0500000000000001E-2</v>
      </c>
      <c r="P14231">
        <v>49</v>
      </c>
    </row>
    <row r="14232" spans="1:16" x14ac:dyDescent="0.35">
      <c r="A14232" s="27" t="s">
        <v>228</v>
      </c>
      <c r="B14232" s="27" t="s">
        <v>258</v>
      </c>
      <c r="C14232" s="28">
        <v>9.8100000000000007E-2</v>
      </c>
      <c r="D14232" s="28">
        <v>0.90190000000000003</v>
      </c>
      <c r="E14232" s="29"/>
      <c r="F14232" s="29"/>
      <c r="G14232" s="29"/>
      <c r="H14232" s="29"/>
      <c r="I14232" s="29"/>
      <c r="J14232" s="29"/>
      <c r="K14232" s="29"/>
      <c r="L14232" s="29"/>
      <c r="M14232" s="29"/>
      <c r="N14232" s="29"/>
      <c r="O14232" s="29"/>
      <c r="P14232" s="29" t="s">
        <v>337</v>
      </c>
    </row>
    <row r="14233" spans="1:16" x14ac:dyDescent="0.35">
      <c r="A14233" t="s">
        <v>228</v>
      </c>
      <c r="B14233" t="s">
        <v>256</v>
      </c>
      <c r="C14233" s="26">
        <v>0.54310000000000003</v>
      </c>
      <c r="D14233" s="26">
        <v>0.26150000000000001</v>
      </c>
      <c r="E14233" s="26">
        <v>0.14860000000000001</v>
      </c>
      <c r="F14233" s="26">
        <v>1.72E-2</v>
      </c>
      <c r="G14233" s="26">
        <v>2.0299999999999999E-2</v>
      </c>
      <c r="H14233" s="26">
        <v>5.1999999999999998E-3</v>
      </c>
      <c r="J14233" s="26">
        <v>6.7000000000000002E-3</v>
      </c>
      <c r="K14233" s="26">
        <v>7.4000000000000003E-3</v>
      </c>
      <c r="P14233">
        <v>220</v>
      </c>
    </row>
    <row r="14234" spans="1:16" x14ac:dyDescent="0.35">
      <c r="A14234" t="s">
        <v>228</v>
      </c>
      <c r="B14234" t="s">
        <v>255</v>
      </c>
      <c r="C14234" s="26">
        <v>0.4355</v>
      </c>
      <c r="D14234" s="26">
        <v>0.30149999999999999</v>
      </c>
      <c r="E14234" s="26">
        <v>0.21709999999999999</v>
      </c>
      <c r="F14234" s="26">
        <v>1.95E-2</v>
      </c>
      <c r="G14234" s="26">
        <v>2.2599999999999999E-2</v>
      </c>
      <c r="H14234" s="26">
        <v>1.2699999999999999E-2</v>
      </c>
      <c r="I14234" s="26">
        <v>3.3E-3</v>
      </c>
      <c r="J14234" s="26">
        <v>1.12E-2</v>
      </c>
      <c r="K14234" s="26">
        <v>8.9999999999999993E-3</v>
      </c>
      <c r="L14234" s="26">
        <v>8.8999999999999999E-3</v>
      </c>
      <c r="M14234" s="26">
        <v>1.2999999999999999E-3</v>
      </c>
      <c r="P14234">
        <v>742</v>
      </c>
    </row>
    <row r="14235" spans="1:16" x14ac:dyDescent="0.35">
      <c r="A14235" t="s">
        <v>229</v>
      </c>
      <c r="B14235" t="s">
        <v>256</v>
      </c>
      <c r="C14235" s="26">
        <v>0.54600000000000004</v>
      </c>
      <c r="D14235" s="26">
        <v>0.2145</v>
      </c>
      <c r="E14235" s="26">
        <v>0.17100000000000001</v>
      </c>
      <c r="F14235" s="26">
        <v>2.3199999999999998E-2</v>
      </c>
      <c r="G14235" s="26">
        <v>2.8500000000000001E-2</v>
      </c>
      <c r="H14235" s="26">
        <v>3.4200000000000001E-2</v>
      </c>
      <c r="I14235" s="26">
        <v>2.2800000000000001E-2</v>
      </c>
      <c r="J14235" s="26">
        <v>1.2699999999999999E-2</v>
      </c>
      <c r="K14235" s="26">
        <v>2.1000000000000001E-2</v>
      </c>
      <c r="P14235">
        <v>197</v>
      </c>
    </row>
    <row r="14236" spans="1:16" x14ac:dyDescent="0.35">
      <c r="A14236" t="s">
        <v>229</v>
      </c>
      <c r="B14236" t="s">
        <v>255</v>
      </c>
      <c r="C14236" s="26">
        <v>0.47760000000000002</v>
      </c>
      <c r="D14236" s="26">
        <v>0.29139999999999999</v>
      </c>
      <c r="E14236" s="26">
        <v>0.17580000000000001</v>
      </c>
      <c r="F14236" s="26">
        <v>3.32E-2</v>
      </c>
      <c r="G14236" s="26">
        <v>1.14E-2</v>
      </c>
      <c r="H14236" s="26">
        <v>2.2700000000000001E-2</v>
      </c>
      <c r="I14236" s="26">
        <v>1.17E-2</v>
      </c>
      <c r="J14236" s="26">
        <v>1.49E-2</v>
      </c>
      <c r="K14236" s="26">
        <v>5.7999999999999996E-3</v>
      </c>
      <c r="L14236" s="26">
        <v>8.6E-3</v>
      </c>
      <c r="M14236" s="26">
        <v>4.7000000000000002E-3</v>
      </c>
      <c r="O14236" s="26">
        <v>3.8E-3</v>
      </c>
      <c r="P14236">
        <v>625</v>
      </c>
    </row>
    <row r="14237" spans="1:16" x14ac:dyDescent="0.35">
      <c r="A14237" t="s">
        <v>229</v>
      </c>
      <c r="B14237" t="s">
        <v>257</v>
      </c>
      <c r="C14237" s="26">
        <v>0.37190000000000001</v>
      </c>
      <c r="D14237" s="26">
        <v>0.42709999999999998</v>
      </c>
      <c r="E14237" s="26">
        <v>0.1084</v>
      </c>
      <c r="F14237" s="26">
        <v>4.6300000000000001E-2</v>
      </c>
      <c r="G14237" s="26">
        <v>6.4699999999999994E-2</v>
      </c>
      <c r="J14237" s="26">
        <v>4.6300000000000001E-2</v>
      </c>
      <c r="K14237" s="26">
        <v>1.23E-2</v>
      </c>
      <c r="L14237" s="26">
        <v>1.23E-2</v>
      </c>
      <c r="P14237">
        <v>50</v>
      </c>
    </row>
    <row r="14238" spans="1:16" x14ac:dyDescent="0.35">
      <c r="A14238" s="27" t="s">
        <v>229</v>
      </c>
      <c r="B14238" s="27" t="s">
        <v>258</v>
      </c>
      <c r="C14238" s="28">
        <v>0.22409999999999999</v>
      </c>
      <c r="D14238" s="29"/>
      <c r="E14238" s="28">
        <v>0.77590000000000003</v>
      </c>
      <c r="F14238" s="29"/>
      <c r="G14238" s="29"/>
      <c r="H14238" s="29"/>
      <c r="I14238" s="29"/>
      <c r="J14238" s="29"/>
      <c r="K14238" s="29"/>
      <c r="L14238" s="29"/>
      <c r="M14238" s="29"/>
      <c r="N14238" s="29"/>
      <c r="O14238" s="29"/>
      <c r="P14238" s="29" t="s">
        <v>314</v>
      </c>
    </row>
    <row r="14239" spans="1:16" x14ac:dyDescent="0.35">
      <c r="A14239" t="s">
        <v>230</v>
      </c>
      <c r="B14239" t="s">
        <v>256</v>
      </c>
      <c r="C14239" s="26">
        <v>0.51570000000000005</v>
      </c>
      <c r="D14239" s="26">
        <v>0.36699999999999999</v>
      </c>
      <c r="E14239" s="26">
        <v>7.2499999999999995E-2</v>
      </c>
      <c r="F14239" s="26">
        <v>2.0799999999999999E-2</v>
      </c>
      <c r="G14239" s="26">
        <v>1.1000000000000001E-3</v>
      </c>
      <c r="H14239" s="26">
        <v>1.1000000000000001E-3</v>
      </c>
      <c r="K14239" s="26">
        <v>2.87E-2</v>
      </c>
      <c r="P14239">
        <v>128</v>
      </c>
    </row>
    <row r="14240" spans="1:16" x14ac:dyDescent="0.35">
      <c r="A14240" t="s">
        <v>230</v>
      </c>
      <c r="B14240" t="s">
        <v>255</v>
      </c>
      <c r="C14240" s="26">
        <v>0.40100000000000002</v>
      </c>
      <c r="D14240" s="26">
        <v>0.39700000000000002</v>
      </c>
      <c r="E14240" s="26">
        <v>0.14829999999999999</v>
      </c>
      <c r="F14240" s="26">
        <v>2.9000000000000001E-2</v>
      </c>
      <c r="G14240" s="26">
        <v>2.7099999999999999E-2</v>
      </c>
      <c r="H14240" s="26">
        <v>2.98E-2</v>
      </c>
      <c r="I14240" s="26">
        <v>2.4899999999999999E-2</v>
      </c>
      <c r="J14240" s="26">
        <v>2.0400000000000001E-2</v>
      </c>
      <c r="K14240" s="26">
        <v>8.9999999999999993E-3</v>
      </c>
      <c r="L14240" s="26">
        <v>2.58E-2</v>
      </c>
      <c r="M14240" s="26">
        <v>2.2000000000000001E-3</v>
      </c>
      <c r="P14240">
        <v>379</v>
      </c>
    </row>
    <row r="14241" spans="1:16" x14ac:dyDescent="0.35">
      <c r="A14241" t="s">
        <v>230</v>
      </c>
      <c r="B14241" t="s">
        <v>257</v>
      </c>
      <c r="C14241" s="26">
        <v>0.2903</v>
      </c>
      <c r="D14241" s="26">
        <v>0.41389999999999999</v>
      </c>
      <c r="E14241" s="26">
        <v>0.2056</v>
      </c>
      <c r="F14241" s="26">
        <v>7.7100000000000002E-2</v>
      </c>
      <c r="H14241" s="26">
        <v>7.7100000000000002E-2</v>
      </c>
      <c r="K14241" s="26">
        <v>1.2999999999999999E-2</v>
      </c>
      <c r="P14241">
        <v>37</v>
      </c>
    </row>
    <row r="14242" spans="1:16" x14ac:dyDescent="0.35">
      <c r="A14242" s="27" t="s">
        <v>230</v>
      </c>
      <c r="B14242" s="27" t="s">
        <v>258</v>
      </c>
      <c r="C14242" s="28">
        <v>0.1356</v>
      </c>
      <c r="D14242" s="28">
        <v>0.82269999999999999</v>
      </c>
      <c r="E14242" s="28">
        <v>4.1700000000000001E-2</v>
      </c>
      <c r="F14242" s="29"/>
      <c r="G14242" s="29"/>
      <c r="H14242" s="29"/>
      <c r="I14242" s="29"/>
      <c r="J14242" s="29"/>
      <c r="K14242" s="29"/>
      <c r="L14242" s="29"/>
      <c r="M14242" s="29"/>
      <c r="N14242" s="29"/>
      <c r="O14242" s="29"/>
      <c r="P14242" s="29" t="s">
        <v>315</v>
      </c>
    </row>
    <row r="14243" spans="1:16" x14ac:dyDescent="0.35">
      <c r="A14243" s="27" t="s">
        <v>231</v>
      </c>
      <c r="B14243" s="27" t="s">
        <v>257</v>
      </c>
      <c r="C14243" s="28">
        <v>0.28570000000000001</v>
      </c>
      <c r="D14243" s="28">
        <v>0.28570000000000001</v>
      </c>
      <c r="E14243" s="28">
        <v>0.42859999999999998</v>
      </c>
      <c r="F14243" s="29"/>
      <c r="G14243" s="29"/>
      <c r="H14243" s="29"/>
      <c r="I14243" s="29"/>
      <c r="J14243" s="29"/>
      <c r="K14243" s="29"/>
      <c r="L14243" s="29"/>
      <c r="M14243" s="29"/>
      <c r="N14243" s="29"/>
      <c r="O14243" s="29"/>
      <c r="P14243" s="29" t="s">
        <v>339</v>
      </c>
    </row>
    <row r="14244" spans="1:16" x14ac:dyDescent="0.35">
      <c r="A14244" t="s">
        <v>231</v>
      </c>
      <c r="B14244" t="s">
        <v>255</v>
      </c>
      <c r="C14244" s="26">
        <v>0.54330000000000001</v>
      </c>
      <c r="D14244" s="26">
        <v>0.28349999999999997</v>
      </c>
      <c r="E14244" s="26">
        <v>0.13389999999999999</v>
      </c>
      <c r="F14244" s="26">
        <v>2.3599999999999999E-2</v>
      </c>
      <c r="G14244" s="26">
        <v>2.3599999999999999E-2</v>
      </c>
      <c r="I14244" s="26">
        <v>7.9000000000000008E-3</v>
      </c>
      <c r="J14244" s="26">
        <v>7.9000000000000008E-3</v>
      </c>
      <c r="L14244" s="26">
        <v>7.9000000000000008E-3</v>
      </c>
      <c r="N14244" s="26">
        <v>7.9000000000000008E-3</v>
      </c>
      <c r="P14244">
        <v>127</v>
      </c>
    </row>
    <row r="14245" spans="1:16" x14ac:dyDescent="0.35">
      <c r="A14245" s="27" t="s">
        <v>231</v>
      </c>
      <c r="B14245" s="27" t="s">
        <v>256</v>
      </c>
      <c r="C14245" s="28">
        <v>0.46429999999999999</v>
      </c>
      <c r="D14245" s="28">
        <v>0.39290000000000003</v>
      </c>
      <c r="E14245" s="28">
        <v>0.1429</v>
      </c>
      <c r="F14245" s="28">
        <v>3.5700000000000003E-2</v>
      </c>
      <c r="G14245" s="29"/>
      <c r="H14245" s="29"/>
      <c r="I14245" s="29"/>
      <c r="J14245" s="29"/>
      <c r="K14245" s="29"/>
      <c r="L14245" s="29"/>
      <c r="M14245" s="29"/>
      <c r="N14245" s="29"/>
      <c r="O14245" s="29"/>
      <c r="P14245" s="29" t="s">
        <v>336</v>
      </c>
    </row>
    <row r="14246" spans="1:16" x14ac:dyDescent="0.35">
      <c r="A14246" t="s">
        <v>232</v>
      </c>
      <c r="B14246" t="s">
        <v>232</v>
      </c>
      <c r="C14246" s="26">
        <v>0.48409999999999997</v>
      </c>
      <c r="D14246" s="26">
        <v>0.29170000000000001</v>
      </c>
      <c r="E14246" s="26">
        <v>0.1764</v>
      </c>
      <c r="F14246" s="26">
        <v>2.41E-2</v>
      </c>
      <c r="G14246" s="26">
        <v>1.6299999999999999E-2</v>
      </c>
      <c r="H14246" s="26">
        <v>1.43E-2</v>
      </c>
      <c r="I14246" s="26">
        <v>1.06E-2</v>
      </c>
      <c r="J14246" s="26">
        <v>1.04E-2</v>
      </c>
      <c r="K14246" s="26">
        <v>7.4999999999999997E-3</v>
      </c>
      <c r="L14246" s="26">
        <v>6.4999999999999997E-3</v>
      </c>
      <c r="M14246" s="26">
        <v>2.2000000000000001E-3</v>
      </c>
      <c r="N14246" s="26">
        <v>1.6999999999999999E-3</v>
      </c>
      <c r="O14246" s="26">
        <v>1.6999999999999999E-3</v>
      </c>
      <c r="P14246">
        <v>2755</v>
      </c>
    </row>
    <row r="14248" spans="1:16" x14ac:dyDescent="0.35">
      <c r="A14248" s="1" t="s">
        <v>1571</v>
      </c>
    </row>
    <row r="14249" spans="1:16" x14ac:dyDescent="0.35">
      <c r="A14249" t="s">
        <v>219</v>
      </c>
      <c r="B14249" t="s">
        <v>305</v>
      </c>
      <c r="C14249" t="s">
        <v>550</v>
      </c>
      <c r="D14249" t="s">
        <v>1400</v>
      </c>
      <c r="E14249" t="s">
        <v>281</v>
      </c>
      <c r="F14249" t="s">
        <v>1403</v>
      </c>
      <c r="G14249" t="s">
        <v>1504</v>
      </c>
      <c r="H14249" t="s">
        <v>1402</v>
      </c>
      <c r="I14249" t="s">
        <v>1404</v>
      </c>
      <c r="J14249" t="s">
        <v>1408</v>
      </c>
      <c r="K14249" t="s">
        <v>1401</v>
      </c>
      <c r="L14249" t="s">
        <v>1406</v>
      </c>
      <c r="M14249" t="s">
        <v>286</v>
      </c>
      <c r="N14249" t="s">
        <v>1407</v>
      </c>
      <c r="O14249" t="s">
        <v>326</v>
      </c>
      <c r="P14249" t="s">
        <v>226</v>
      </c>
    </row>
    <row r="14250" spans="1:16" x14ac:dyDescent="0.35">
      <c r="A14250" t="s">
        <v>227</v>
      </c>
      <c r="B14250" t="s">
        <v>1341</v>
      </c>
      <c r="C14250" s="26">
        <v>0.52080000000000004</v>
      </c>
      <c r="D14250" s="26">
        <v>0.25</v>
      </c>
      <c r="E14250" s="26">
        <v>0.16669999999999999</v>
      </c>
      <c r="F14250" s="26">
        <v>4.1700000000000001E-2</v>
      </c>
      <c r="H14250" s="26">
        <v>4.1700000000000001E-2</v>
      </c>
      <c r="I14250" s="26">
        <v>2.0799999999999999E-2</v>
      </c>
      <c r="P14250">
        <v>48</v>
      </c>
    </row>
    <row r="14251" spans="1:16" x14ac:dyDescent="0.35">
      <c r="A14251" s="27" t="s">
        <v>227</v>
      </c>
      <c r="B14251" s="27" t="s">
        <v>1342</v>
      </c>
      <c r="C14251" s="28">
        <v>1</v>
      </c>
      <c r="D14251" s="29"/>
      <c r="E14251" s="29"/>
      <c r="F14251" s="29"/>
      <c r="G14251" s="29"/>
      <c r="H14251" s="29"/>
      <c r="I14251" s="29"/>
      <c r="J14251" s="29"/>
      <c r="K14251" s="29"/>
      <c r="L14251" s="29"/>
      <c r="M14251" s="29"/>
      <c r="N14251" s="29"/>
      <c r="O14251" s="29"/>
      <c r="P14251" s="29" t="s">
        <v>331</v>
      </c>
    </row>
    <row r="14252" spans="1:16" x14ac:dyDescent="0.35">
      <c r="A14252" t="s">
        <v>227</v>
      </c>
      <c r="B14252" t="s">
        <v>1343</v>
      </c>
      <c r="C14252" s="26">
        <v>0.47220000000000001</v>
      </c>
      <c r="D14252" s="26">
        <v>0.23150000000000001</v>
      </c>
      <c r="E14252" s="26">
        <v>0.25</v>
      </c>
      <c r="H14252" s="26">
        <v>9.2999999999999992E-3</v>
      </c>
      <c r="I14252" s="26">
        <v>1.8499999999999999E-2</v>
      </c>
      <c r="J14252" s="26">
        <v>9.2999999999999992E-3</v>
      </c>
      <c r="K14252" s="26">
        <v>9.2999999999999992E-3</v>
      </c>
      <c r="M14252" s="26">
        <v>9.2999999999999992E-3</v>
      </c>
      <c r="O14252" s="26">
        <v>9.2999999999999992E-3</v>
      </c>
      <c r="P14252">
        <v>108</v>
      </c>
    </row>
    <row r="14253" spans="1:16" x14ac:dyDescent="0.35">
      <c r="A14253" t="s">
        <v>228</v>
      </c>
      <c r="B14253" t="s">
        <v>1341</v>
      </c>
      <c r="C14253" s="26">
        <v>0.52359999999999995</v>
      </c>
      <c r="D14253" s="26">
        <v>0.28810000000000002</v>
      </c>
      <c r="E14253" s="26">
        <v>0.1389</v>
      </c>
      <c r="F14253" s="26">
        <v>1.8700000000000001E-2</v>
      </c>
      <c r="G14253" s="26">
        <v>2.5600000000000001E-2</v>
      </c>
      <c r="H14253" s="26">
        <v>1.0999999999999999E-2</v>
      </c>
      <c r="I14253" s="26">
        <v>7.0000000000000001E-3</v>
      </c>
      <c r="J14253" s="26">
        <v>1.5900000000000001E-2</v>
      </c>
      <c r="K14253" s="26">
        <v>4.1999999999999997E-3</v>
      </c>
      <c r="L14253" s="26">
        <v>1.7600000000000001E-2</v>
      </c>
      <c r="M14253" s="26">
        <v>8.0000000000000004E-4</v>
      </c>
      <c r="P14253">
        <v>298</v>
      </c>
    </row>
    <row r="14254" spans="1:16" x14ac:dyDescent="0.35">
      <c r="A14254" s="27" t="s">
        <v>228</v>
      </c>
      <c r="B14254" s="27" t="s">
        <v>1342</v>
      </c>
      <c r="C14254" s="29"/>
      <c r="D14254" s="28">
        <v>1</v>
      </c>
      <c r="E14254" s="29"/>
      <c r="F14254" s="29"/>
      <c r="G14254" s="29"/>
      <c r="H14254" s="29"/>
      <c r="I14254" s="29"/>
      <c r="J14254" s="29"/>
      <c r="K14254" s="29"/>
      <c r="L14254" s="29"/>
      <c r="M14254" s="29"/>
      <c r="N14254" s="29"/>
      <c r="O14254" s="29"/>
      <c r="P14254" s="29" t="s">
        <v>331</v>
      </c>
    </row>
    <row r="14255" spans="1:16" x14ac:dyDescent="0.35">
      <c r="A14255" t="s">
        <v>228</v>
      </c>
      <c r="B14255" t="s">
        <v>1343</v>
      </c>
      <c r="C14255" s="26">
        <v>0.4259</v>
      </c>
      <c r="D14255" s="26">
        <v>0.28610000000000002</v>
      </c>
      <c r="E14255" s="26">
        <v>0.2414</v>
      </c>
      <c r="F14255" s="26">
        <v>1.89E-2</v>
      </c>
      <c r="G14255" s="26">
        <v>1.8800000000000001E-2</v>
      </c>
      <c r="H14255" s="26">
        <v>1.0500000000000001E-2</v>
      </c>
      <c r="I14255" s="26">
        <v>4.0000000000000002E-4</v>
      </c>
      <c r="J14255" s="26">
        <v>6.8999999999999999E-3</v>
      </c>
      <c r="K14255" s="26">
        <v>1.4500000000000001E-2</v>
      </c>
      <c r="L14255" s="26">
        <v>2.3E-3</v>
      </c>
      <c r="M14255" s="26">
        <v>8.9999999999999998E-4</v>
      </c>
      <c r="P14255">
        <v>716</v>
      </c>
    </row>
    <row r="14256" spans="1:16" x14ac:dyDescent="0.35">
      <c r="A14256" t="s">
        <v>229</v>
      </c>
      <c r="B14256" t="s">
        <v>1341</v>
      </c>
      <c r="C14256" s="26">
        <v>0.57420000000000004</v>
      </c>
      <c r="D14256" s="26">
        <v>0.25290000000000001</v>
      </c>
      <c r="E14256" s="26">
        <v>0.12570000000000001</v>
      </c>
      <c r="F14256" s="26">
        <v>2.7199999999999998E-2</v>
      </c>
      <c r="G14256" s="26">
        <v>4.0000000000000001E-3</v>
      </c>
      <c r="H14256" s="26">
        <v>1.9199999999999998E-2</v>
      </c>
      <c r="I14256" s="26">
        <v>2.69E-2</v>
      </c>
      <c r="J14256" s="26">
        <v>5.0000000000000001E-4</v>
      </c>
      <c r="K14256" s="26">
        <v>8.9999999999999993E-3</v>
      </c>
      <c r="P14256">
        <v>263</v>
      </c>
    </row>
    <row r="14257" spans="1:16" x14ac:dyDescent="0.35">
      <c r="A14257" t="s">
        <v>229</v>
      </c>
      <c r="B14257" t="s">
        <v>1343</v>
      </c>
      <c r="C14257" s="26">
        <v>0.44950000000000001</v>
      </c>
      <c r="D14257" s="26">
        <v>0.29020000000000001</v>
      </c>
      <c r="E14257" s="26">
        <v>0.1928</v>
      </c>
      <c r="F14257" s="26">
        <v>3.32E-2</v>
      </c>
      <c r="G14257" s="26">
        <v>2.6200000000000001E-2</v>
      </c>
      <c r="H14257" s="26">
        <v>2.7099999999999999E-2</v>
      </c>
      <c r="I14257" s="26">
        <v>7.9000000000000008E-3</v>
      </c>
      <c r="J14257" s="26">
        <v>2.35E-2</v>
      </c>
      <c r="K14257" s="26">
        <v>1.09E-2</v>
      </c>
      <c r="L14257" s="26">
        <v>9.5999999999999992E-3</v>
      </c>
      <c r="M14257" s="26">
        <v>4.7000000000000002E-3</v>
      </c>
      <c r="O14257" s="26">
        <v>3.8E-3</v>
      </c>
      <c r="P14257">
        <v>611</v>
      </c>
    </row>
    <row r="14258" spans="1:16" x14ac:dyDescent="0.35">
      <c r="A14258" t="s">
        <v>230</v>
      </c>
      <c r="B14258" t="s">
        <v>1341</v>
      </c>
      <c r="C14258" s="26">
        <v>0.54779999999999995</v>
      </c>
      <c r="D14258" s="26">
        <v>0.34320000000000001</v>
      </c>
      <c r="E14258" s="26">
        <v>7.0000000000000007E-2</v>
      </c>
      <c r="F14258" s="26">
        <v>2.35E-2</v>
      </c>
      <c r="G14258" s="26">
        <v>2.3199999999999998E-2</v>
      </c>
      <c r="H14258" s="26">
        <v>2.0500000000000001E-2</v>
      </c>
      <c r="I14258" s="26">
        <v>3.5200000000000002E-2</v>
      </c>
      <c r="J14258" s="26">
        <v>3.5200000000000002E-2</v>
      </c>
      <c r="L14258" s="26">
        <v>3.5200000000000002E-2</v>
      </c>
      <c r="P14258">
        <v>152</v>
      </c>
    </row>
    <row r="14259" spans="1:16" x14ac:dyDescent="0.35">
      <c r="A14259" t="s">
        <v>230</v>
      </c>
      <c r="B14259" t="s">
        <v>1343</v>
      </c>
      <c r="C14259" s="26">
        <v>0.36520000000000002</v>
      </c>
      <c r="D14259" s="26">
        <v>0.41539999999999999</v>
      </c>
      <c r="E14259" s="26">
        <v>0.15939999999999999</v>
      </c>
      <c r="F14259" s="26">
        <v>3.3000000000000002E-2</v>
      </c>
      <c r="G14259" s="26">
        <v>1.6E-2</v>
      </c>
      <c r="H14259" s="26">
        <v>2.7699999999999999E-2</v>
      </c>
      <c r="I14259" s="26">
        <v>8.2000000000000007E-3</v>
      </c>
      <c r="J14259" s="26">
        <v>3.8999999999999998E-3</v>
      </c>
      <c r="K14259" s="26">
        <v>2.07E-2</v>
      </c>
      <c r="L14259" s="26">
        <v>8.9999999999999993E-3</v>
      </c>
      <c r="M14259" s="26">
        <v>2.0999999999999999E-3</v>
      </c>
      <c r="P14259">
        <v>395</v>
      </c>
    </row>
    <row r="14260" spans="1:16" x14ac:dyDescent="0.35">
      <c r="A14260" t="s">
        <v>231</v>
      </c>
      <c r="B14260" t="s">
        <v>1341</v>
      </c>
      <c r="C14260" s="26">
        <v>0.65080000000000005</v>
      </c>
      <c r="D14260" s="26">
        <v>0.254</v>
      </c>
      <c r="E14260" s="26">
        <v>4.7600000000000003E-2</v>
      </c>
      <c r="F14260" s="26">
        <v>3.1699999999999999E-2</v>
      </c>
      <c r="G14260" s="26">
        <v>1.5900000000000001E-2</v>
      </c>
      <c r="N14260" s="26">
        <v>1.5900000000000001E-2</v>
      </c>
      <c r="P14260">
        <v>63</v>
      </c>
    </row>
    <row r="14261" spans="1:16" x14ac:dyDescent="0.35">
      <c r="A14261" t="s">
        <v>231</v>
      </c>
      <c r="B14261" t="s">
        <v>1343</v>
      </c>
      <c r="C14261" s="26">
        <v>0.43430000000000002</v>
      </c>
      <c r="D14261" s="26">
        <v>0.33329999999999999</v>
      </c>
      <c r="E14261" s="26">
        <v>0.21210000000000001</v>
      </c>
      <c r="F14261" s="26">
        <v>2.0199999999999999E-2</v>
      </c>
      <c r="G14261" s="26">
        <v>2.0199999999999999E-2</v>
      </c>
      <c r="I14261" s="26">
        <v>1.01E-2</v>
      </c>
      <c r="J14261" s="26">
        <v>1.01E-2</v>
      </c>
      <c r="L14261" s="26">
        <v>1.01E-2</v>
      </c>
      <c r="P14261">
        <v>99</v>
      </c>
    </row>
    <row r="14262" spans="1:16" x14ac:dyDescent="0.35">
      <c r="A14262" t="s">
        <v>232</v>
      </c>
      <c r="B14262" t="s">
        <v>232</v>
      </c>
      <c r="C14262" s="26">
        <v>0.48409999999999997</v>
      </c>
      <c r="D14262" s="26">
        <v>0.29170000000000001</v>
      </c>
      <c r="E14262" s="26">
        <v>0.1764</v>
      </c>
      <c r="F14262" s="26">
        <v>2.41E-2</v>
      </c>
      <c r="G14262" s="26">
        <v>1.6299999999999999E-2</v>
      </c>
      <c r="H14262" s="26">
        <v>1.43E-2</v>
      </c>
      <c r="I14262" s="26">
        <v>1.06E-2</v>
      </c>
      <c r="J14262" s="26">
        <v>1.04E-2</v>
      </c>
      <c r="K14262" s="26">
        <v>7.4999999999999997E-3</v>
      </c>
      <c r="L14262" s="26">
        <v>6.4999999999999997E-3</v>
      </c>
      <c r="M14262" s="26">
        <v>2.2000000000000001E-3</v>
      </c>
      <c r="N14262" s="26">
        <v>1.6999999999999999E-3</v>
      </c>
      <c r="O14262" s="26">
        <v>1.6999999999999999E-3</v>
      </c>
      <c r="P14262">
        <v>2755</v>
      </c>
    </row>
    <row r="14264" spans="1:16" x14ac:dyDescent="0.35">
      <c r="A14264" s="1" t="s">
        <v>1572</v>
      </c>
    </row>
    <row r="14265" spans="1:16" x14ac:dyDescent="0.35">
      <c r="A14265" t="s">
        <v>219</v>
      </c>
      <c r="B14265" t="s">
        <v>305</v>
      </c>
      <c r="C14265" t="s">
        <v>550</v>
      </c>
      <c r="D14265" t="s">
        <v>1400</v>
      </c>
      <c r="E14265" t="s">
        <v>281</v>
      </c>
      <c r="F14265" t="s">
        <v>1403</v>
      </c>
      <c r="G14265" t="s">
        <v>1504</v>
      </c>
      <c r="H14265" t="s">
        <v>1402</v>
      </c>
      <c r="I14265" t="s">
        <v>1404</v>
      </c>
      <c r="J14265" t="s">
        <v>1408</v>
      </c>
      <c r="K14265" t="s">
        <v>1401</v>
      </c>
      <c r="L14265" t="s">
        <v>1406</v>
      </c>
      <c r="M14265" t="s">
        <v>286</v>
      </c>
      <c r="N14265" t="s">
        <v>1407</v>
      </c>
      <c r="O14265" t="s">
        <v>326</v>
      </c>
      <c r="P14265" t="s">
        <v>226</v>
      </c>
    </row>
    <row r="14266" spans="1:16" x14ac:dyDescent="0.35">
      <c r="A14266" s="27" t="s">
        <v>227</v>
      </c>
      <c r="B14266" s="27" t="s">
        <v>1345</v>
      </c>
      <c r="C14266" s="28">
        <v>1</v>
      </c>
      <c r="D14266" s="29"/>
      <c r="E14266" s="29"/>
      <c r="F14266" s="29"/>
      <c r="G14266" s="29"/>
      <c r="H14266" s="29"/>
      <c r="I14266" s="29"/>
      <c r="J14266" s="29"/>
      <c r="K14266" s="29"/>
      <c r="L14266" s="29"/>
      <c r="M14266" s="29"/>
      <c r="N14266" s="29"/>
      <c r="O14266" s="29"/>
      <c r="P14266" s="29" t="s">
        <v>314</v>
      </c>
    </row>
    <row r="14267" spans="1:16" x14ac:dyDescent="0.35">
      <c r="A14267" t="s">
        <v>227</v>
      </c>
      <c r="B14267" t="s">
        <v>1346</v>
      </c>
      <c r="C14267" s="26">
        <v>0.46150000000000002</v>
      </c>
      <c r="D14267" s="26">
        <v>0.1026</v>
      </c>
      <c r="E14267" s="26">
        <v>0.35899999999999999</v>
      </c>
      <c r="F14267" s="26">
        <v>2.5600000000000001E-2</v>
      </c>
      <c r="M14267" s="26">
        <v>2.5600000000000001E-2</v>
      </c>
      <c r="O14267" s="26">
        <v>2.5600000000000001E-2</v>
      </c>
      <c r="P14267">
        <v>39</v>
      </c>
    </row>
    <row r="14268" spans="1:16" x14ac:dyDescent="0.35">
      <c r="A14268" t="s">
        <v>227</v>
      </c>
      <c r="B14268" t="s">
        <v>1347</v>
      </c>
      <c r="C14268" s="26">
        <v>0.41670000000000001</v>
      </c>
      <c r="D14268" s="26">
        <v>0.38890000000000002</v>
      </c>
      <c r="E14268" s="26">
        <v>0.1389</v>
      </c>
      <c r="F14268" s="26">
        <v>2.7799999999999998E-2</v>
      </c>
      <c r="H14268" s="26">
        <v>5.5599999999999997E-2</v>
      </c>
      <c r="I14268" s="26">
        <v>2.7799999999999998E-2</v>
      </c>
      <c r="K14268" s="26">
        <v>2.7799999999999998E-2</v>
      </c>
      <c r="P14268">
        <v>36</v>
      </c>
    </row>
    <row r="14269" spans="1:16" x14ac:dyDescent="0.35">
      <c r="A14269" t="s">
        <v>227</v>
      </c>
      <c r="B14269" t="s">
        <v>1348</v>
      </c>
      <c r="C14269" s="26">
        <v>0.52500000000000002</v>
      </c>
      <c r="D14269" s="26">
        <v>0.23749999999999999</v>
      </c>
      <c r="E14269" s="26">
        <v>0.2</v>
      </c>
      <c r="H14269" s="26">
        <v>1.2500000000000001E-2</v>
      </c>
      <c r="I14269" s="26">
        <v>2.5000000000000001E-2</v>
      </c>
      <c r="J14269" s="26">
        <v>1.2500000000000001E-2</v>
      </c>
      <c r="P14269">
        <v>80</v>
      </c>
    </row>
    <row r="14270" spans="1:16" x14ac:dyDescent="0.35">
      <c r="A14270" t="s">
        <v>228</v>
      </c>
      <c r="B14270" t="s">
        <v>1348</v>
      </c>
      <c r="C14270" s="26">
        <v>0.41320000000000001</v>
      </c>
      <c r="D14270" s="26">
        <v>0.32879999999999998</v>
      </c>
      <c r="E14270" s="26">
        <v>0.19359999999999999</v>
      </c>
      <c r="F14270" s="26">
        <v>1.7000000000000001E-2</v>
      </c>
      <c r="G14270" s="26">
        <v>2.75E-2</v>
      </c>
      <c r="H14270" s="26">
        <v>1.67E-2</v>
      </c>
      <c r="I14270" s="26">
        <v>2.0999999999999999E-3</v>
      </c>
      <c r="J14270" s="26">
        <v>8.6E-3</v>
      </c>
      <c r="K14270" s="26">
        <v>1.8599999999999998E-2</v>
      </c>
      <c r="L14270" s="26">
        <v>6.8999999999999999E-3</v>
      </c>
      <c r="M14270" s="26">
        <v>5.0000000000000001E-4</v>
      </c>
      <c r="P14270">
        <v>521</v>
      </c>
    </row>
    <row r="14271" spans="1:16" x14ac:dyDescent="0.35">
      <c r="A14271" t="s">
        <v>228</v>
      </c>
      <c r="B14271" t="s">
        <v>1347</v>
      </c>
      <c r="C14271" s="26">
        <v>0.46600000000000003</v>
      </c>
      <c r="D14271" s="26">
        <v>0.2989</v>
      </c>
      <c r="E14271" s="26">
        <v>0.18149999999999999</v>
      </c>
      <c r="F14271" s="26">
        <v>4.9500000000000002E-2</v>
      </c>
      <c r="G14271" s="26">
        <v>2.4199999999999999E-2</v>
      </c>
      <c r="H14271" s="26">
        <v>7.4000000000000003E-3</v>
      </c>
      <c r="J14271" s="26">
        <v>1.12E-2</v>
      </c>
      <c r="K14271" s="26">
        <v>2.8999999999999998E-3</v>
      </c>
      <c r="L14271" s="26">
        <v>7.7999999999999996E-3</v>
      </c>
      <c r="P14271">
        <v>202</v>
      </c>
    </row>
    <row r="14272" spans="1:16" x14ac:dyDescent="0.35">
      <c r="A14272" t="s">
        <v>228</v>
      </c>
      <c r="B14272" t="s">
        <v>1346</v>
      </c>
      <c r="C14272" s="26">
        <v>0.495</v>
      </c>
      <c r="D14272" s="26">
        <v>0.2167</v>
      </c>
      <c r="E14272" s="26">
        <v>0.28249999999999997</v>
      </c>
      <c r="F14272" s="26">
        <v>1.6000000000000001E-3</v>
      </c>
      <c r="G14272" s="26">
        <v>1.6000000000000001E-3</v>
      </c>
      <c r="J14272" s="26">
        <v>6.1999999999999998E-3</v>
      </c>
      <c r="K14272" s="26">
        <v>2.5999999999999999E-3</v>
      </c>
      <c r="L14272" s="26">
        <v>1.6000000000000001E-3</v>
      </c>
      <c r="M14272" s="26">
        <v>2.5999999999999999E-3</v>
      </c>
      <c r="P14272">
        <v>281</v>
      </c>
    </row>
    <row r="14273" spans="1:16" x14ac:dyDescent="0.35">
      <c r="A14273" s="27" t="s">
        <v>228</v>
      </c>
      <c r="B14273" s="27" t="s">
        <v>1345</v>
      </c>
      <c r="C14273" s="28">
        <v>0.8004</v>
      </c>
      <c r="D14273" s="28">
        <v>0.109</v>
      </c>
      <c r="E14273" s="28">
        <v>1.6799999999999999E-2</v>
      </c>
      <c r="F14273" s="29"/>
      <c r="G14273" s="28">
        <v>5.45E-2</v>
      </c>
      <c r="H14273" s="28">
        <v>1.9300000000000001E-2</v>
      </c>
      <c r="I14273" s="28">
        <v>5.45E-2</v>
      </c>
      <c r="J14273" s="28">
        <v>5.45E-2</v>
      </c>
      <c r="K14273" s="28">
        <v>1.9300000000000001E-2</v>
      </c>
      <c r="L14273" s="28">
        <v>5.45E-2</v>
      </c>
      <c r="M14273" s="29"/>
      <c r="N14273" s="29"/>
      <c r="O14273" s="29"/>
      <c r="P14273" s="29" t="s">
        <v>352</v>
      </c>
    </row>
    <row r="14274" spans="1:16" x14ac:dyDescent="0.35">
      <c r="A14274" s="27" t="s">
        <v>229</v>
      </c>
      <c r="B14274" s="27" t="s">
        <v>1345</v>
      </c>
      <c r="C14274" s="28">
        <v>0.82650000000000001</v>
      </c>
      <c r="D14274" s="28">
        <v>4.6699999999999998E-2</v>
      </c>
      <c r="E14274" s="28">
        <v>0.1268</v>
      </c>
      <c r="F14274" s="29"/>
      <c r="G14274" s="28">
        <v>6.7000000000000002E-3</v>
      </c>
      <c r="H14274" s="29"/>
      <c r="I14274" s="29"/>
      <c r="J14274" s="29"/>
      <c r="K14274" s="29"/>
      <c r="L14274" s="29"/>
      <c r="M14274" s="29"/>
      <c r="N14274" s="29"/>
      <c r="O14274" s="29"/>
      <c r="P14274" s="29" t="s">
        <v>312</v>
      </c>
    </row>
    <row r="14275" spans="1:16" x14ac:dyDescent="0.35">
      <c r="A14275" t="s">
        <v>229</v>
      </c>
      <c r="B14275" t="s">
        <v>1346</v>
      </c>
      <c r="C14275" s="26">
        <v>0.51049999999999995</v>
      </c>
      <c r="D14275" s="26">
        <v>0.23930000000000001</v>
      </c>
      <c r="E14275" s="26">
        <v>0.1976</v>
      </c>
      <c r="F14275" s="26">
        <v>1.78E-2</v>
      </c>
      <c r="G14275" s="26">
        <v>8.0000000000000004E-4</v>
      </c>
      <c r="H14275" s="26">
        <v>2.0999999999999999E-3</v>
      </c>
      <c r="I14275" s="26">
        <v>1.2999999999999999E-2</v>
      </c>
      <c r="J14275" s="26">
        <v>8.0000000000000004E-4</v>
      </c>
      <c r="M14275" s="26">
        <v>1.2200000000000001E-2</v>
      </c>
      <c r="O14275" s="26">
        <v>1.2200000000000001E-2</v>
      </c>
      <c r="P14275">
        <v>183</v>
      </c>
    </row>
    <row r="14276" spans="1:16" x14ac:dyDescent="0.35">
      <c r="A14276" t="s">
        <v>229</v>
      </c>
      <c r="B14276" t="s">
        <v>1347</v>
      </c>
      <c r="C14276" s="26">
        <v>0.44</v>
      </c>
      <c r="D14276" s="26">
        <v>0.32369999999999999</v>
      </c>
      <c r="E14276" s="26">
        <v>0.15479999999999999</v>
      </c>
      <c r="F14276" s="26">
        <v>7.0000000000000007E-2</v>
      </c>
      <c r="G14276" s="26">
        <v>3.4500000000000003E-2</v>
      </c>
      <c r="H14276" s="26">
        <v>2.9100000000000001E-2</v>
      </c>
      <c r="I14276" s="26">
        <v>2.9100000000000001E-2</v>
      </c>
      <c r="J14276" s="26">
        <v>3.9899999999999998E-2</v>
      </c>
      <c r="K14276" s="26">
        <v>0.02</v>
      </c>
      <c r="L14276" s="26">
        <v>2.1100000000000001E-2</v>
      </c>
      <c r="P14276">
        <v>294</v>
      </c>
    </row>
    <row r="14277" spans="1:16" x14ac:dyDescent="0.35">
      <c r="A14277" t="s">
        <v>229</v>
      </c>
      <c r="B14277" t="s">
        <v>1348</v>
      </c>
      <c r="C14277" s="26">
        <v>0.49430000000000002</v>
      </c>
      <c r="D14277" s="26">
        <v>0.27910000000000001</v>
      </c>
      <c r="E14277" s="26">
        <v>0.1719</v>
      </c>
      <c r="F14277" s="26">
        <v>1.4E-2</v>
      </c>
      <c r="G14277" s="26">
        <v>1.78E-2</v>
      </c>
      <c r="H14277" s="26">
        <v>3.3099999999999997E-2</v>
      </c>
      <c r="I14277" s="26">
        <v>5.4999999999999997E-3</v>
      </c>
      <c r="J14277" s="26">
        <v>8.5000000000000006E-3</v>
      </c>
      <c r="K14277" s="26">
        <v>9.1999999999999998E-3</v>
      </c>
      <c r="L14277" s="26">
        <v>4.0000000000000002E-4</v>
      </c>
      <c r="M14277" s="26">
        <v>1.2999999999999999E-3</v>
      </c>
      <c r="P14277">
        <v>372</v>
      </c>
    </row>
    <row r="14278" spans="1:16" x14ac:dyDescent="0.35">
      <c r="A14278" t="s">
        <v>230</v>
      </c>
      <c r="B14278" t="s">
        <v>1346</v>
      </c>
      <c r="C14278" s="26">
        <v>0.47239999999999999</v>
      </c>
      <c r="D14278" s="26">
        <v>0.3952</v>
      </c>
      <c r="E14278" s="26">
        <v>9.5799999999999996E-2</v>
      </c>
      <c r="F14278" s="26">
        <v>4.1000000000000003E-3</v>
      </c>
      <c r="H14278" s="26">
        <v>5.3E-3</v>
      </c>
      <c r="K14278" s="26">
        <v>1.2999999999999999E-3</v>
      </c>
      <c r="L14278" s="26">
        <v>2.5999999999999999E-2</v>
      </c>
      <c r="M14278" s="26">
        <v>5.3E-3</v>
      </c>
      <c r="P14278">
        <v>139</v>
      </c>
    </row>
    <row r="14279" spans="1:16" x14ac:dyDescent="0.35">
      <c r="A14279" t="s">
        <v>230</v>
      </c>
      <c r="B14279" t="s">
        <v>1348</v>
      </c>
      <c r="C14279" s="26">
        <v>0.35620000000000002</v>
      </c>
      <c r="D14279" s="26">
        <v>0.41170000000000001</v>
      </c>
      <c r="E14279" s="26">
        <v>0.17929999999999999</v>
      </c>
      <c r="F14279" s="26">
        <v>3.4299999999999997E-2</v>
      </c>
      <c r="G14279" s="26">
        <v>3.5400000000000001E-2</v>
      </c>
      <c r="H14279" s="26">
        <v>2.5499999999999998E-2</v>
      </c>
      <c r="I14279" s="26">
        <v>1.18E-2</v>
      </c>
      <c r="J14279" s="26">
        <v>2.6200000000000001E-2</v>
      </c>
      <c r="K14279" s="26">
        <v>2.5000000000000001E-2</v>
      </c>
      <c r="L14279" s="26">
        <v>2.3099999999999999E-2</v>
      </c>
      <c r="M14279" s="26">
        <v>5.9999999999999995E-4</v>
      </c>
      <c r="P14279">
        <v>249</v>
      </c>
    </row>
    <row r="14280" spans="1:16" x14ac:dyDescent="0.35">
      <c r="A14280" t="s">
        <v>230</v>
      </c>
      <c r="B14280" t="s">
        <v>1347</v>
      </c>
      <c r="C14280" s="26">
        <v>0.47899999999999998</v>
      </c>
      <c r="D14280" s="26">
        <v>0.36759999999999998</v>
      </c>
      <c r="E14280" s="26">
        <v>8.4699999999999998E-2</v>
      </c>
      <c r="F14280" s="26">
        <v>4.2099999999999999E-2</v>
      </c>
      <c r="G14280" s="26">
        <v>4.1999999999999997E-3</v>
      </c>
      <c r="H14280" s="26">
        <v>4.3099999999999999E-2</v>
      </c>
      <c r="I14280" s="26">
        <v>1.9400000000000001E-2</v>
      </c>
      <c r="J14280" s="26">
        <v>3.2000000000000002E-3</v>
      </c>
      <c r="K14280" s="26">
        <v>7.4000000000000003E-3</v>
      </c>
      <c r="L14280" s="26">
        <v>1E-3</v>
      </c>
      <c r="P14280">
        <v>151</v>
      </c>
    </row>
    <row r="14281" spans="1:16" x14ac:dyDescent="0.35">
      <c r="A14281" s="27" t="s">
        <v>230</v>
      </c>
      <c r="B14281" s="27" t="s">
        <v>1345</v>
      </c>
      <c r="C14281" s="28">
        <v>0.62870000000000004</v>
      </c>
      <c r="D14281" s="28">
        <v>0.28260000000000002</v>
      </c>
      <c r="E14281" s="28">
        <v>4.4299999999999999E-2</v>
      </c>
      <c r="F14281" s="28">
        <v>4.4299999999999999E-2</v>
      </c>
      <c r="G14281" s="29"/>
      <c r="H14281" s="29"/>
      <c r="I14281" s="28">
        <v>0.26900000000000002</v>
      </c>
      <c r="J14281" s="29"/>
      <c r="K14281" s="29"/>
      <c r="L14281" s="29"/>
      <c r="M14281" s="29"/>
      <c r="N14281" s="29"/>
      <c r="O14281" s="29"/>
      <c r="P14281" s="29" t="s">
        <v>333</v>
      </c>
    </row>
    <row r="14282" spans="1:16" x14ac:dyDescent="0.35">
      <c r="A14282" s="27" t="s">
        <v>231</v>
      </c>
      <c r="B14282" s="27" t="s">
        <v>1345</v>
      </c>
      <c r="C14282" s="28">
        <v>0.25</v>
      </c>
      <c r="D14282" s="28">
        <v>0.75</v>
      </c>
      <c r="E14282" s="29"/>
      <c r="F14282" s="28">
        <v>0.25</v>
      </c>
      <c r="G14282" s="28">
        <v>0.5</v>
      </c>
      <c r="H14282" s="29"/>
      <c r="I14282" s="29"/>
      <c r="J14282" s="28">
        <v>0.25</v>
      </c>
      <c r="K14282" s="29"/>
      <c r="L14282" s="29"/>
      <c r="M14282" s="29"/>
      <c r="N14282" s="29"/>
      <c r="O14282" s="29"/>
      <c r="P14282" s="29" t="s">
        <v>337</v>
      </c>
    </row>
    <row r="14283" spans="1:16" x14ac:dyDescent="0.35">
      <c r="A14283" t="s">
        <v>231</v>
      </c>
      <c r="B14283" t="s">
        <v>1346</v>
      </c>
      <c r="C14283" s="26">
        <v>0.52500000000000002</v>
      </c>
      <c r="D14283" s="26">
        <v>0.25</v>
      </c>
      <c r="E14283" s="26">
        <v>0.22500000000000001</v>
      </c>
      <c r="G14283" s="26">
        <v>2.5000000000000001E-2</v>
      </c>
      <c r="P14283">
        <v>40</v>
      </c>
    </row>
    <row r="14284" spans="1:16" x14ac:dyDescent="0.35">
      <c r="A14284" t="s">
        <v>231</v>
      </c>
      <c r="B14284" t="s">
        <v>1347</v>
      </c>
      <c r="C14284" s="26">
        <v>0.52939999999999998</v>
      </c>
      <c r="D14284" s="26">
        <v>0.4118</v>
      </c>
      <c r="E14284" s="26">
        <v>5.8799999999999998E-2</v>
      </c>
      <c r="F14284" s="26">
        <v>2.9399999999999999E-2</v>
      </c>
      <c r="P14284">
        <v>34</v>
      </c>
    </row>
    <row r="14285" spans="1:16" x14ac:dyDescent="0.35">
      <c r="A14285" t="s">
        <v>231</v>
      </c>
      <c r="B14285" t="s">
        <v>1348</v>
      </c>
      <c r="C14285" s="26">
        <v>0.52380000000000004</v>
      </c>
      <c r="D14285" s="26">
        <v>0.26190000000000002</v>
      </c>
      <c r="E14285" s="26">
        <v>0.15479999999999999</v>
      </c>
      <c r="F14285" s="26">
        <v>2.3800000000000002E-2</v>
      </c>
      <c r="I14285" s="26">
        <v>1.1900000000000001E-2</v>
      </c>
      <c r="L14285" s="26">
        <v>1.1900000000000001E-2</v>
      </c>
      <c r="N14285" s="26">
        <v>1.1900000000000001E-2</v>
      </c>
      <c r="P14285">
        <v>84</v>
      </c>
    </row>
    <row r="14286" spans="1:16" x14ac:dyDescent="0.35">
      <c r="A14286" t="s">
        <v>232</v>
      </c>
      <c r="B14286" t="s">
        <v>232</v>
      </c>
      <c r="C14286" s="26">
        <v>0.48409999999999997</v>
      </c>
      <c r="D14286" s="26">
        <v>0.29170000000000001</v>
      </c>
      <c r="E14286" s="26">
        <v>0.1764</v>
      </c>
      <c r="F14286" s="26">
        <v>2.41E-2</v>
      </c>
      <c r="G14286" s="26">
        <v>1.6299999999999999E-2</v>
      </c>
      <c r="H14286" s="26">
        <v>1.43E-2</v>
      </c>
      <c r="I14286" s="26">
        <v>1.06E-2</v>
      </c>
      <c r="J14286" s="26">
        <v>1.04E-2</v>
      </c>
      <c r="K14286" s="26">
        <v>7.4999999999999997E-3</v>
      </c>
      <c r="L14286" s="26">
        <v>6.4999999999999997E-3</v>
      </c>
      <c r="M14286" s="26">
        <v>2.2000000000000001E-3</v>
      </c>
      <c r="N14286" s="26">
        <v>1.6999999999999999E-3</v>
      </c>
      <c r="O14286" s="26">
        <v>1.6999999999999999E-3</v>
      </c>
      <c r="P14286">
        <v>2755</v>
      </c>
    </row>
    <row r="14288" spans="1:16" x14ac:dyDescent="0.35">
      <c r="A14288" s="1" t="s">
        <v>1573</v>
      </c>
    </row>
    <row r="14289" spans="1:17" x14ac:dyDescent="0.35">
      <c r="A14289" t="s">
        <v>219</v>
      </c>
      <c r="B14289" t="s">
        <v>305</v>
      </c>
      <c r="C14289" t="s">
        <v>345</v>
      </c>
      <c r="D14289" t="s">
        <v>550</v>
      </c>
      <c r="E14289" t="s">
        <v>1400</v>
      </c>
      <c r="F14289" t="s">
        <v>281</v>
      </c>
      <c r="G14289" t="s">
        <v>1403</v>
      </c>
      <c r="H14289" t="s">
        <v>1504</v>
      </c>
      <c r="I14289" t="s">
        <v>1402</v>
      </c>
      <c r="J14289" t="s">
        <v>1404</v>
      </c>
      <c r="K14289" t="s">
        <v>1408</v>
      </c>
      <c r="L14289" t="s">
        <v>1401</v>
      </c>
      <c r="M14289" t="s">
        <v>1406</v>
      </c>
      <c r="N14289" t="s">
        <v>286</v>
      </c>
      <c r="O14289" t="s">
        <v>1407</v>
      </c>
      <c r="P14289" t="s">
        <v>326</v>
      </c>
      <c r="Q14289" t="s">
        <v>226</v>
      </c>
    </row>
    <row r="14290" spans="1:17" x14ac:dyDescent="0.35">
      <c r="A14290" s="27" t="s">
        <v>227</v>
      </c>
      <c r="B14290" s="27" t="s">
        <v>1341</v>
      </c>
      <c r="C14290" s="27" t="s">
        <v>1345</v>
      </c>
      <c r="D14290" s="28">
        <v>1</v>
      </c>
      <c r="E14290" s="29"/>
      <c r="F14290" s="29"/>
      <c r="G14290" s="29"/>
      <c r="H14290" s="29"/>
      <c r="I14290" s="29"/>
      <c r="J14290" s="29"/>
      <c r="K14290" s="29"/>
      <c r="L14290" s="29"/>
      <c r="M14290" s="29"/>
      <c r="N14290" s="29"/>
      <c r="O14290" s="29"/>
      <c r="P14290" s="29"/>
      <c r="Q14290" s="29" t="s">
        <v>331</v>
      </c>
    </row>
    <row r="14291" spans="1:17" x14ac:dyDescent="0.35">
      <c r="A14291" s="27" t="s">
        <v>227</v>
      </c>
      <c r="B14291" s="27" t="s">
        <v>1343</v>
      </c>
      <c r="C14291" s="27" t="s">
        <v>1346</v>
      </c>
      <c r="D14291" s="28">
        <v>0.5</v>
      </c>
      <c r="E14291" s="28">
        <v>7.6899999999999996E-2</v>
      </c>
      <c r="F14291" s="28">
        <v>0.34620000000000001</v>
      </c>
      <c r="G14291" s="29"/>
      <c r="H14291" s="29"/>
      <c r="I14291" s="29"/>
      <c r="J14291" s="29"/>
      <c r="K14291" s="29"/>
      <c r="L14291" s="29"/>
      <c r="M14291" s="29"/>
      <c r="N14291" s="28">
        <v>3.85E-2</v>
      </c>
      <c r="O14291" s="29"/>
      <c r="P14291" s="28">
        <v>3.85E-2</v>
      </c>
      <c r="Q14291" s="29" t="s">
        <v>357</v>
      </c>
    </row>
    <row r="14292" spans="1:17" x14ac:dyDescent="0.35">
      <c r="A14292" t="s">
        <v>227</v>
      </c>
      <c r="B14292" t="s">
        <v>1343</v>
      </c>
      <c r="C14292" t="s">
        <v>1348</v>
      </c>
      <c r="D14292" s="26">
        <v>0.46550000000000002</v>
      </c>
      <c r="E14292" s="26">
        <v>0.2586</v>
      </c>
      <c r="F14292" s="26">
        <v>0.2414</v>
      </c>
      <c r="I14292" s="26">
        <v>1.72E-2</v>
      </c>
      <c r="J14292" s="26">
        <v>1.72E-2</v>
      </c>
      <c r="K14292" s="26">
        <v>1.72E-2</v>
      </c>
      <c r="Q14292">
        <v>58</v>
      </c>
    </row>
    <row r="14293" spans="1:17" x14ac:dyDescent="0.35">
      <c r="A14293" s="27" t="s">
        <v>227</v>
      </c>
      <c r="B14293" s="27" t="s">
        <v>1341</v>
      </c>
      <c r="C14293" s="27" t="s">
        <v>1347</v>
      </c>
      <c r="D14293" s="28">
        <v>0.3846</v>
      </c>
      <c r="E14293" s="28">
        <v>0.46150000000000002</v>
      </c>
      <c r="F14293" s="28">
        <v>7.6899999999999996E-2</v>
      </c>
      <c r="G14293" s="28">
        <v>7.6899999999999996E-2</v>
      </c>
      <c r="H14293" s="29"/>
      <c r="I14293" s="28">
        <v>0.15379999999999999</v>
      </c>
      <c r="J14293" s="29"/>
      <c r="K14293" s="29"/>
      <c r="L14293" s="29"/>
      <c r="M14293" s="29"/>
      <c r="N14293" s="29"/>
      <c r="O14293" s="29"/>
      <c r="P14293" s="29"/>
      <c r="Q14293" s="29" t="s">
        <v>341</v>
      </c>
    </row>
    <row r="14294" spans="1:17" x14ac:dyDescent="0.35">
      <c r="A14294" s="27" t="s">
        <v>227</v>
      </c>
      <c r="B14294" s="27" t="s">
        <v>1343</v>
      </c>
      <c r="C14294" s="27" t="s">
        <v>1347</v>
      </c>
      <c r="D14294" s="28">
        <v>0.43480000000000002</v>
      </c>
      <c r="E14294" s="28">
        <v>0.3478</v>
      </c>
      <c r="F14294" s="28">
        <v>0.1739</v>
      </c>
      <c r="G14294" s="29"/>
      <c r="H14294" s="29"/>
      <c r="I14294" s="29"/>
      <c r="J14294" s="28">
        <v>4.3499999999999997E-2</v>
      </c>
      <c r="K14294" s="29"/>
      <c r="L14294" s="28">
        <v>4.3499999999999997E-2</v>
      </c>
      <c r="M14294" s="29"/>
      <c r="N14294" s="29"/>
      <c r="O14294" s="29"/>
      <c r="P14294" s="29"/>
      <c r="Q14294" s="29" t="s">
        <v>328</v>
      </c>
    </row>
    <row r="14295" spans="1:17" x14ac:dyDescent="0.35">
      <c r="A14295" s="27" t="s">
        <v>227</v>
      </c>
      <c r="B14295" s="27" t="s">
        <v>1343</v>
      </c>
      <c r="C14295" s="27" t="s">
        <v>1345</v>
      </c>
      <c r="D14295" s="28">
        <v>1</v>
      </c>
      <c r="E14295" s="29"/>
      <c r="F14295" s="29"/>
      <c r="G14295" s="29"/>
      <c r="H14295" s="29"/>
      <c r="I14295" s="29"/>
      <c r="J14295" s="29"/>
      <c r="K14295" s="29"/>
      <c r="L14295" s="29"/>
      <c r="M14295" s="29"/>
      <c r="N14295" s="29"/>
      <c r="O14295" s="29"/>
      <c r="P14295" s="29"/>
      <c r="Q14295" s="29" t="s">
        <v>331</v>
      </c>
    </row>
    <row r="14296" spans="1:17" x14ac:dyDescent="0.35">
      <c r="A14296" s="27" t="s">
        <v>227</v>
      </c>
      <c r="B14296" s="27" t="s">
        <v>1342</v>
      </c>
      <c r="C14296" s="27" t="s">
        <v>1348</v>
      </c>
      <c r="D14296" s="28">
        <v>1</v>
      </c>
      <c r="E14296" s="29"/>
      <c r="F14296" s="29"/>
      <c r="G14296" s="29"/>
      <c r="H14296" s="29"/>
      <c r="I14296" s="29"/>
      <c r="J14296" s="29"/>
      <c r="K14296" s="29"/>
      <c r="L14296" s="29"/>
      <c r="M14296" s="29"/>
      <c r="N14296" s="29"/>
      <c r="O14296" s="29"/>
      <c r="P14296" s="29"/>
      <c r="Q14296" s="29" t="s">
        <v>331</v>
      </c>
    </row>
    <row r="14297" spans="1:17" x14ac:dyDescent="0.35">
      <c r="A14297" s="27" t="s">
        <v>227</v>
      </c>
      <c r="B14297" s="27" t="s">
        <v>1341</v>
      </c>
      <c r="C14297" s="27" t="s">
        <v>1348</v>
      </c>
      <c r="D14297" s="28">
        <v>0.66669999999999996</v>
      </c>
      <c r="E14297" s="28">
        <v>0.1905</v>
      </c>
      <c r="F14297" s="28">
        <v>9.5200000000000007E-2</v>
      </c>
      <c r="G14297" s="29"/>
      <c r="H14297" s="29"/>
      <c r="I14297" s="29"/>
      <c r="J14297" s="28">
        <v>4.7600000000000003E-2</v>
      </c>
      <c r="K14297" s="29"/>
      <c r="L14297" s="29"/>
      <c r="M14297" s="29"/>
      <c r="N14297" s="29"/>
      <c r="O14297" s="29"/>
      <c r="P14297" s="29"/>
      <c r="Q14297" s="29" t="s">
        <v>351</v>
      </c>
    </row>
    <row r="14298" spans="1:17" x14ac:dyDescent="0.35">
      <c r="A14298" s="27" t="s">
        <v>227</v>
      </c>
      <c r="B14298" s="27" t="s">
        <v>1341</v>
      </c>
      <c r="C14298" s="27" t="s">
        <v>1346</v>
      </c>
      <c r="D14298" s="28">
        <v>0.3846</v>
      </c>
      <c r="E14298" s="28">
        <v>0.15379999999999999</v>
      </c>
      <c r="F14298" s="28">
        <v>0.3846</v>
      </c>
      <c r="G14298" s="28">
        <v>7.6899999999999996E-2</v>
      </c>
      <c r="H14298" s="29"/>
      <c r="I14298" s="29"/>
      <c r="J14298" s="29"/>
      <c r="K14298" s="29"/>
      <c r="L14298" s="29"/>
      <c r="M14298" s="29"/>
      <c r="N14298" s="29"/>
      <c r="O14298" s="29"/>
      <c r="P14298" s="29"/>
      <c r="Q14298" s="29" t="s">
        <v>341</v>
      </c>
    </row>
    <row r="14299" spans="1:17" x14ac:dyDescent="0.35">
      <c r="A14299" t="s">
        <v>228</v>
      </c>
      <c r="B14299" t="s">
        <v>1343</v>
      </c>
      <c r="C14299" t="s">
        <v>1348</v>
      </c>
      <c r="D14299" s="26">
        <v>0.35749999999999998</v>
      </c>
      <c r="E14299" s="26">
        <v>0.34289999999999998</v>
      </c>
      <c r="F14299" s="26">
        <v>0.2243</v>
      </c>
      <c r="G14299" s="26">
        <v>2.1700000000000001E-2</v>
      </c>
      <c r="H14299" s="26">
        <v>2.5600000000000001E-2</v>
      </c>
      <c r="I14299" s="26">
        <v>2.0400000000000001E-2</v>
      </c>
      <c r="J14299" s="26">
        <v>6.9999999999999999E-4</v>
      </c>
      <c r="K14299" s="26">
        <v>4.4999999999999997E-3</v>
      </c>
      <c r="L14299" s="26">
        <v>2.75E-2</v>
      </c>
      <c r="M14299" s="26">
        <v>6.9999999999999999E-4</v>
      </c>
      <c r="Q14299">
        <v>346</v>
      </c>
    </row>
    <row r="14300" spans="1:17" x14ac:dyDescent="0.35">
      <c r="A14300" t="s">
        <v>228</v>
      </c>
      <c r="B14300" t="s">
        <v>1343</v>
      </c>
      <c r="C14300" t="s">
        <v>1347</v>
      </c>
      <c r="D14300" s="26">
        <v>0.46500000000000002</v>
      </c>
      <c r="E14300" s="26">
        <v>0.26889999999999997</v>
      </c>
      <c r="F14300" s="26">
        <v>0.21529999999999999</v>
      </c>
      <c r="G14300" s="26">
        <v>4.4499999999999998E-2</v>
      </c>
      <c r="H14300" s="26">
        <v>3.6700000000000003E-2</v>
      </c>
      <c r="I14300" s="26">
        <v>4.4999999999999997E-3</v>
      </c>
      <c r="K14300" s="26">
        <v>1.7000000000000001E-2</v>
      </c>
      <c r="L14300" s="26">
        <v>4.4999999999999997E-3</v>
      </c>
      <c r="M14300" s="26">
        <v>7.4000000000000003E-3</v>
      </c>
      <c r="Q14300">
        <v>128</v>
      </c>
    </row>
    <row r="14301" spans="1:17" x14ac:dyDescent="0.35">
      <c r="A14301" s="27" t="s">
        <v>228</v>
      </c>
      <c r="B14301" s="27" t="s">
        <v>1343</v>
      </c>
      <c r="C14301" s="27" t="s">
        <v>1345</v>
      </c>
      <c r="D14301" s="28">
        <v>0.92210000000000003</v>
      </c>
      <c r="E14301" s="28">
        <v>7.7899999999999997E-2</v>
      </c>
      <c r="F14301" s="29"/>
      <c r="G14301" s="29"/>
      <c r="H14301" s="29"/>
      <c r="I14301" s="29"/>
      <c r="J14301" s="29"/>
      <c r="K14301" s="29"/>
      <c r="L14301" s="29"/>
      <c r="M14301" s="29"/>
      <c r="N14301" s="29"/>
      <c r="O14301" s="29"/>
      <c r="P14301" s="29"/>
      <c r="Q14301" s="29" t="s">
        <v>335</v>
      </c>
    </row>
    <row r="14302" spans="1:17" x14ac:dyDescent="0.35">
      <c r="A14302" t="s">
        <v>228</v>
      </c>
      <c r="B14302" t="s">
        <v>1341</v>
      </c>
      <c r="C14302" t="s">
        <v>1346</v>
      </c>
      <c r="D14302" s="26">
        <v>0.64459999999999995</v>
      </c>
      <c r="E14302" s="26">
        <v>0.1603</v>
      </c>
      <c r="F14302" s="26">
        <v>0.18260000000000001</v>
      </c>
      <c r="H14302" s="26">
        <v>1.24E-2</v>
      </c>
      <c r="K14302" s="26">
        <v>1.24E-2</v>
      </c>
      <c r="L14302" s="26">
        <v>7.3000000000000001E-3</v>
      </c>
      <c r="Q14302">
        <v>45</v>
      </c>
    </row>
    <row r="14303" spans="1:17" x14ac:dyDescent="0.35">
      <c r="A14303" t="s">
        <v>228</v>
      </c>
      <c r="B14303" t="s">
        <v>1341</v>
      </c>
      <c r="C14303" t="s">
        <v>1348</v>
      </c>
      <c r="D14303" s="26">
        <v>0.52110000000000001</v>
      </c>
      <c r="E14303" s="26">
        <v>0.29120000000000001</v>
      </c>
      <c r="F14303" s="26">
        <v>0.1416</v>
      </c>
      <c r="G14303" s="26">
        <v>8.8000000000000005E-3</v>
      </c>
      <c r="H14303" s="26">
        <v>3.1399999999999997E-2</v>
      </c>
      <c r="I14303" s="26">
        <v>1.04E-2</v>
      </c>
      <c r="J14303" s="26">
        <v>4.4999999999999997E-3</v>
      </c>
      <c r="K14303" s="26">
        <v>1.6199999999999999E-2</v>
      </c>
      <c r="L14303" s="26">
        <v>3.0000000000000001E-3</v>
      </c>
      <c r="M14303" s="26">
        <v>1.8100000000000002E-2</v>
      </c>
      <c r="N14303" s="26">
        <v>1.2999999999999999E-3</v>
      </c>
      <c r="Q14303">
        <v>174</v>
      </c>
    </row>
    <row r="14304" spans="1:17" x14ac:dyDescent="0.35">
      <c r="A14304" s="27" t="s">
        <v>228</v>
      </c>
      <c r="B14304" s="27" t="s">
        <v>1342</v>
      </c>
      <c r="C14304" s="27" t="s">
        <v>1348</v>
      </c>
      <c r="D14304" s="29"/>
      <c r="E14304" s="28">
        <v>1</v>
      </c>
      <c r="F14304" s="29"/>
      <c r="G14304" s="29"/>
      <c r="H14304" s="29"/>
      <c r="I14304" s="29"/>
      <c r="J14304" s="29"/>
      <c r="K14304" s="29"/>
      <c r="L14304" s="29"/>
      <c r="M14304" s="29"/>
      <c r="N14304" s="29"/>
      <c r="O14304" s="29"/>
      <c r="P14304" s="29"/>
      <c r="Q14304" s="29" t="s">
        <v>331</v>
      </c>
    </row>
    <row r="14305" spans="1:17" x14ac:dyDescent="0.35">
      <c r="A14305" t="s">
        <v>228</v>
      </c>
      <c r="B14305" t="s">
        <v>1343</v>
      </c>
      <c r="C14305" t="s">
        <v>1346</v>
      </c>
      <c r="D14305" s="26">
        <v>0.47270000000000001</v>
      </c>
      <c r="E14305" s="26">
        <v>0.22509999999999999</v>
      </c>
      <c r="F14305" s="26">
        <v>0.2974</v>
      </c>
      <c r="G14305" s="26">
        <v>1.9E-3</v>
      </c>
      <c r="K14305" s="26">
        <v>5.1999999999999998E-3</v>
      </c>
      <c r="L14305" s="26">
        <v>1.9E-3</v>
      </c>
      <c r="M14305" s="26">
        <v>1.9E-3</v>
      </c>
      <c r="N14305" s="26">
        <v>2.8999999999999998E-3</v>
      </c>
      <c r="Q14305">
        <v>236</v>
      </c>
    </row>
    <row r="14306" spans="1:17" x14ac:dyDescent="0.35">
      <c r="A14306" t="s">
        <v>228</v>
      </c>
      <c r="B14306" t="s">
        <v>1341</v>
      </c>
      <c r="C14306" t="s">
        <v>1347</v>
      </c>
      <c r="D14306" s="26">
        <v>0.46800000000000003</v>
      </c>
      <c r="E14306" s="26">
        <v>0.35680000000000001</v>
      </c>
      <c r="F14306" s="26">
        <v>0.1162</v>
      </c>
      <c r="G14306" s="26">
        <v>5.8999999999999997E-2</v>
      </c>
      <c r="I14306" s="26">
        <v>1.3100000000000001E-2</v>
      </c>
      <c r="M14306" s="26">
        <v>8.6E-3</v>
      </c>
      <c r="Q14306">
        <v>74</v>
      </c>
    </row>
    <row r="14307" spans="1:17" x14ac:dyDescent="0.35">
      <c r="A14307" s="27" t="s">
        <v>228</v>
      </c>
      <c r="B14307" s="27" t="s">
        <v>1341</v>
      </c>
      <c r="C14307" s="27" t="s">
        <v>1345</v>
      </c>
      <c r="D14307" s="28">
        <v>0.51649999999999996</v>
      </c>
      <c r="E14307" s="28">
        <v>0.1817</v>
      </c>
      <c r="F14307" s="28">
        <v>5.5899999999999998E-2</v>
      </c>
      <c r="G14307" s="29"/>
      <c r="H14307" s="28">
        <v>0.1817</v>
      </c>
      <c r="I14307" s="28">
        <v>6.4299999999999996E-2</v>
      </c>
      <c r="J14307" s="28">
        <v>0.1817</v>
      </c>
      <c r="K14307" s="28">
        <v>0.1817</v>
      </c>
      <c r="L14307" s="28">
        <v>6.4299999999999996E-2</v>
      </c>
      <c r="M14307" s="28">
        <v>0.1817</v>
      </c>
      <c r="N14307" s="29"/>
      <c r="O14307" s="29"/>
      <c r="P14307" s="29"/>
      <c r="Q14307" s="29" t="s">
        <v>332</v>
      </c>
    </row>
    <row r="14308" spans="1:17" x14ac:dyDescent="0.35">
      <c r="A14308" t="s">
        <v>229</v>
      </c>
      <c r="B14308" t="s">
        <v>1343</v>
      </c>
      <c r="C14308" t="s">
        <v>1348</v>
      </c>
      <c r="D14308" s="26">
        <v>0.44180000000000003</v>
      </c>
      <c r="E14308" s="26">
        <v>0.3115</v>
      </c>
      <c r="F14308" s="26">
        <v>0.1915</v>
      </c>
      <c r="G14308" s="26">
        <v>2.0899999999999998E-2</v>
      </c>
      <c r="H14308" s="26">
        <v>2.52E-2</v>
      </c>
      <c r="I14308" s="26">
        <v>2.9700000000000001E-2</v>
      </c>
      <c r="K14308" s="26">
        <v>1.26E-2</v>
      </c>
      <c r="L14308" s="26">
        <v>4.4000000000000003E-3</v>
      </c>
      <c r="M14308" s="26">
        <v>5.9999999999999995E-4</v>
      </c>
      <c r="N14308" s="26">
        <v>2E-3</v>
      </c>
      <c r="Q14308">
        <v>269</v>
      </c>
    </row>
    <row r="14309" spans="1:17" x14ac:dyDescent="0.35">
      <c r="A14309" t="s">
        <v>229</v>
      </c>
      <c r="B14309" t="s">
        <v>1341</v>
      </c>
      <c r="C14309" t="s">
        <v>1346</v>
      </c>
      <c r="D14309" s="26">
        <v>0.70079999999999998</v>
      </c>
      <c r="E14309" s="26">
        <v>0.21360000000000001</v>
      </c>
      <c r="F14309" s="26">
        <v>8.1000000000000003E-2</v>
      </c>
      <c r="I14309" s="26">
        <v>1.6999999999999999E-3</v>
      </c>
      <c r="K14309" s="26">
        <v>2.8999999999999998E-3</v>
      </c>
      <c r="Q14309">
        <v>53</v>
      </c>
    </row>
    <row r="14310" spans="1:17" x14ac:dyDescent="0.35">
      <c r="A14310" t="s">
        <v>229</v>
      </c>
      <c r="B14310" t="s">
        <v>1341</v>
      </c>
      <c r="C14310" t="s">
        <v>1347</v>
      </c>
      <c r="D14310" s="26">
        <v>0.4592</v>
      </c>
      <c r="E14310" s="26">
        <v>0.35289999999999999</v>
      </c>
      <c r="F14310" s="26">
        <v>0.1222</v>
      </c>
      <c r="G14310" s="26">
        <v>8.4900000000000003E-2</v>
      </c>
      <c r="H14310" s="26">
        <v>6.4999999999999997E-3</v>
      </c>
      <c r="J14310" s="26">
        <v>5.9200000000000003E-2</v>
      </c>
      <c r="Q14310">
        <v>99</v>
      </c>
    </row>
    <row r="14311" spans="1:17" x14ac:dyDescent="0.35">
      <c r="A14311" t="s">
        <v>229</v>
      </c>
      <c r="B14311" t="s">
        <v>1343</v>
      </c>
      <c r="C14311" t="s">
        <v>1346</v>
      </c>
      <c r="D14311" s="26">
        <v>0.43640000000000001</v>
      </c>
      <c r="E14311" s="26">
        <v>0.24929999999999999</v>
      </c>
      <c r="F14311" s="26">
        <v>0.24310000000000001</v>
      </c>
      <c r="G14311" s="26">
        <v>2.4799999999999999E-2</v>
      </c>
      <c r="H14311" s="26">
        <v>1.1000000000000001E-3</v>
      </c>
      <c r="I14311" s="26">
        <v>2.2000000000000001E-3</v>
      </c>
      <c r="J14311" s="26">
        <v>1.8100000000000002E-2</v>
      </c>
      <c r="N14311" s="26">
        <v>1.7000000000000001E-2</v>
      </c>
      <c r="P14311" s="26">
        <v>1.7000000000000001E-2</v>
      </c>
      <c r="Q14311">
        <v>130</v>
      </c>
    </row>
    <row r="14312" spans="1:17" x14ac:dyDescent="0.35">
      <c r="A14312" t="s">
        <v>229</v>
      </c>
      <c r="B14312" t="s">
        <v>1343</v>
      </c>
      <c r="C14312" t="s">
        <v>1347</v>
      </c>
      <c r="D14312" s="26">
        <v>0.42980000000000002</v>
      </c>
      <c r="E14312" s="26">
        <v>0.30830000000000002</v>
      </c>
      <c r="F14312" s="26">
        <v>0.17199999999999999</v>
      </c>
      <c r="G14312" s="26">
        <v>6.2100000000000002E-2</v>
      </c>
      <c r="H14312" s="26">
        <v>4.9399999999999999E-2</v>
      </c>
      <c r="I14312" s="26">
        <v>4.4499999999999998E-2</v>
      </c>
      <c r="J14312" s="26">
        <v>1.3100000000000001E-2</v>
      </c>
      <c r="K14312" s="26">
        <v>6.1100000000000002E-2</v>
      </c>
      <c r="L14312" s="26">
        <v>3.0599999999999999E-2</v>
      </c>
      <c r="M14312" s="26">
        <v>3.2300000000000002E-2</v>
      </c>
      <c r="Q14312">
        <v>195</v>
      </c>
    </row>
    <row r="14313" spans="1:17" x14ac:dyDescent="0.35">
      <c r="A14313" s="27" t="s">
        <v>229</v>
      </c>
      <c r="B14313" s="27" t="s">
        <v>1341</v>
      </c>
      <c r="C14313" s="27" t="s">
        <v>1345</v>
      </c>
      <c r="D14313" s="28">
        <v>0.62109999999999999</v>
      </c>
      <c r="E14313" s="28">
        <v>2.0199999999999999E-2</v>
      </c>
      <c r="F14313" s="28">
        <v>0.35880000000000001</v>
      </c>
      <c r="G14313" s="29"/>
      <c r="H14313" s="28">
        <v>2.0199999999999999E-2</v>
      </c>
      <c r="I14313" s="29"/>
      <c r="J14313" s="29"/>
      <c r="K14313" s="29"/>
      <c r="L14313" s="29"/>
      <c r="M14313" s="29"/>
      <c r="N14313" s="29"/>
      <c r="O14313" s="29"/>
      <c r="P14313" s="29"/>
      <c r="Q14313" s="29" t="s">
        <v>333</v>
      </c>
    </row>
    <row r="14314" spans="1:17" x14ac:dyDescent="0.35">
      <c r="A14314" s="27" t="s">
        <v>229</v>
      </c>
      <c r="B14314" s="27" t="s">
        <v>1343</v>
      </c>
      <c r="C14314" s="27" t="s">
        <v>1345</v>
      </c>
      <c r="D14314" s="28">
        <v>0.92879999999999996</v>
      </c>
      <c r="E14314" s="28">
        <v>5.9900000000000002E-2</v>
      </c>
      <c r="F14314" s="28">
        <v>1.1299999999999999E-2</v>
      </c>
      <c r="G14314" s="29"/>
      <c r="H14314" s="29"/>
      <c r="I14314" s="29"/>
      <c r="J14314" s="29"/>
      <c r="K14314" s="29"/>
      <c r="L14314" s="29"/>
      <c r="M14314" s="29"/>
      <c r="N14314" s="29"/>
      <c r="O14314" s="29"/>
      <c r="P14314" s="29"/>
      <c r="Q14314" s="29" t="s">
        <v>343</v>
      </c>
    </row>
    <row r="14315" spans="1:17" x14ac:dyDescent="0.35">
      <c r="A14315" t="s">
        <v>229</v>
      </c>
      <c r="B14315" t="s">
        <v>1341</v>
      </c>
      <c r="C14315" t="s">
        <v>1348</v>
      </c>
      <c r="D14315" s="26">
        <v>0.6008</v>
      </c>
      <c r="E14315" s="26">
        <v>0.21329999999999999</v>
      </c>
      <c r="F14315" s="26">
        <v>0.1323</v>
      </c>
      <c r="H14315" s="26">
        <v>2.8E-3</v>
      </c>
      <c r="I14315" s="26">
        <v>4.0099999999999997E-2</v>
      </c>
      <c r="J14315" s="26">
        <v>1.6799999999999999E-2</v>
      </c>
      <c r="L14315" s="26">
        <v>1.9E-2</v>
      </c>
      <c r="Q14315">
        <v>103</v>
      </c>
    </row>
    <row r="14316" spans="1:17" x14ac:dyDescent="0.35">
      <c r="A14316" t="s">
        <v>230</v>
      </c>
      <c r="B14316" t="s">
        <v>1343</v>
      </c>
      <c r="C14316" t="s">
        <v>1346</v>
      </c>
      <c r="D14316" s="26">
        <v>0.42530000000000001</v>
      </c>
      <c r="E14316" s="26">
        <v>0.4168</v>
      </c>
      <c r="F14316" s="26">
        <v>0.1118</v>
      </c>
      <c r="I14316" s="26">
        <v>1.8E-3</v>
      </c>
      <c r="L14316" s="26">
        <v>1.8E-3</v>
      </c>
      <c r="M14316" s="26">
        <v>3.6799999999999999E-2</v>
      </c>
      <c r="N14316" s="26">
        <v>7.4999999999999997E-3</v>
      </c>
      <c r="Q14316">
        <v>109</v>
      </c>
    </row>
    <row r="14317" spans="1:17" x14ac:dyDescent="0.35">
      <c r="A14317" s="27" t="s">
        <v>230</v>
      </c>
      <c r="B14317" s="27" t="s">
        <v>1341</v>
      </c>
      <c r="C14317" s="27" t="s">
        <v>1345</v>
      </c>
      <c r="D14317" s="28">
        <v>0.9294</v>
      </c>
      <c r="E14317" s="29"/>
      <c r="F14317" s="28">
        <v>7.0599999999999996E-2</v>
      </c>
      <c r="G14317" s="29"/>
      <c r="H14317" s="29"/>
      <c r="I14317" s="29"/>
      <c r="J14317" s="29"/>
      <c r="K14317" s="29"/>
      <c r="L14317" s="29"/>
      <c r="M14317" s="29"/>
      <c r="N14317" s="29"/>
      <c r="O14317" s="29"/>
      <c r="P14317" s="29"/>
      <c r="Q14317" s="29" t="s">
        <v>337</v>
      </c>
    </row>
    <row r="14318" spans="1:17" x14ac:dyDescent="0.35">
      <c r="A14318" t="s">
        <v>230</v>
      </c>
      <c r="B14318" t="s">
        <v>1343</v>
      </c>
      <c r="C14318" t="s">
        <v>1348</v>
      </c>
      <c r="D14318" s="26">
        <v>0.31319999999999998</v>
      </c>
      <c r="E14318" s="26">
        <v>0.42380000000000001</v>
      </c>
      <c r="F14318" s="26">
        <v>0.20480000000000001</v>
      </c>
      <c r="G14318" s="26">
        <v>3.2199999999999999E-2</v>
      </c>
      <c r="H14318" s="26">
        <v>3.2199999999999999E-2</v>
      </c>
      <c r="I14318" s="26">
        <v>1.9900000000000001E-2</v>
      </c>
      <c r="J14318" s="26">
        <v>8.0000000000000004E-4</v>
      </c>
      <c r="K14318" s="26">
        <v>5.1999999999999998E-3</v>
      </c>
      <c r="L14318" s="26">
        <v>3.49E-2</v>
      </c>
      <c r="M14318" s="26">
        <v>8.0000000000000004E-4</v>
      </c>
      <c r="N14318" s="26">
        <v>8.0000000000000004E-4</v>
      </c>
      <c r="Q14318">
        <v>176</v>
      </c>
    </row>
    <row r="14319" spans="1:17" x14ac:dyDescent="0.35">
      <c r="A14319" t="s">
        <v>230</v>
      </c>
      <c r="B14319" t="s">
        <v>1343</v>
      </c>
      <c r="C14319" t="s">
        <v>1347</v>
      </c>
      <c r="D14319" s="26">
        <v>0.42159999999999997</v>
      </c>
      <c r="E14319" s="26">
        <v>0.38469999999999999</v>
      </c>
      <c r="F14319" s="26">
        <v>0.1212</v>
      </c>
      <c r="G14319" s="26">
        <v>5.8299999999999998E-2</v>
      </c>
      <c r="I14319" s="26">
        <v>6.4699999999999994E-2</v>
      </c>
      <c r="K14319" s="26">
        <v>4.7999999999999996E-3</v>
      </c>
      <c r="L14319" s="26">
        <v>1.11E-2</v>
      </c>
      <c r="M14319" s="26">
        <v>1.5E-3</v>
      </c>
      <c r="Q14319">
        <v>106</v>
      </c>
    </row>
    <row r="14320" spans="1:17" x14ac:dyDescent="0.35">
      <c r="A14320" t="s">
        <v>230</v>
      </c>
      <c r="B14320" t="s">
        <v>1341</v>
      </c>
      <c r="C14320" t="s">
        <v>1348</v>
      </c>
      <c r="D14320" s="26">
        <v>0.46400000000000002</v>
      </c>
      <c r="E14320" s="26">
        <v>0.38129999999999997</v>
      </c>
      <c r="F14320" s="26">
        <v>0.1152</v>
      </c>
      <c r="G14320" s="26">
        <v>3.95E-2</v>
      </c>
      <c r="H14320" s="26">
        <v>4.3499999999999997E-2</v>
      </c>
      <c r="I14320" s="26">
        <v>3.95E-2</v>
      </c>
      <c r="J14320" s="26">
        <v>3.95E-2</v>
      </c>
      <c r="K14320" s="26">
        <v>7.8899999999999998E-2</v>
      </c>
      <c r="M14320" s="26">
        <v>7.8899999999999998E-2</v>
      </c>
      <c r="Q14320">
        <v>73</v>
      </c>
    </row>
    <row r="14321" spans="1:17" x14ac:dyDescent="0.35">
      <c r="A14321" t="s">
        <v>230</v>
      </c>
      <c r="B14321" t="s">
        <v>1341</v>
      </c>
      <c r="C14321" t="s">
        <v>1347</v>
      </c>
      <c r="D14321" s="26">
        <v>0.59299999999999997</v>
      </c>
      <c r="E14321" s="26">
        <v>0.3337</v>
      </c>
      <c r="F14321" s="26">
        <v>1.2500000000000001E-2</v>
      </c>
      <c r="G14321" s="26">
        <v>9.7999999999999997E-3</v>
      </c>
      <c r="H14321" s="26">
        <v>1.2500000000000001E-2</v>
      </c>
      <c r="J14321" s="26">
        <v>5.79E-2</v>
      </c>
      <c r="Q14321">
        <v>45</v>
      </c>
    </row>
    <row r="14322" spans="1:17" x14ac:dyDescent="0.35">
      <c r="A14322" s="27" t="s">
        <v>230</v>
      </c>
      <c r="B14322" s="27" t="s">
        <v>1343</v>
      </c>
      <c r="C14322" s="27" t="s">
        <v>1345</v>
      </c>
      <c r="D14322" s="28">
        <v>0.12189999999999999</v>
      </c>
      <c r="E14322" s="28">
        <v>0.7591</v>
      </c>
      <c r="F14322" s="29"/>
      <c r="G14322" s="28">
        <v>0.11899999999999999</v>
      </c>
      <c r="H14322" s="29"/>
      <c r="I14322" s="29"/>
      <c r="J14322" s="28">
        <v>0.72240000000000004</v>
      </c>
      <c r="K14322" s="29"/>
      <c r="L14322" s="29"/>
      <c r="M14322" s="29"/>
      <c r="N14322" s="29"/>
      <c r="O14322" s="29"/>
      <c r="P14322" s="29"/>
      <c r="Q14322" s="29" t="s">
        <v>337</v>
      </c>
    </row>
    <row r="14323" spans="1:17" x14ac:dyDescent="0.35">
      <c r="A14323" t="s">
        <v>230</v>
      </c>
      <c r="B14323" t="s">
        <v>1341</v>
      </c>
      <c r="C14323" t="s">
        <v>1346</v>
      </c>
      <c r="D14323" s="26">
        <v>0.58630000000000004</v>
      </c>
      <c r="E14323" s="26">
        <v>0.34289999999999998</v>
      </c>
      <c r="F14323" s="26">
        <v>5.6800000000000003E-2</v>
      </c>
      <c r="G14323" s="26">
        <v>1.4E-2</v>
      </c>
      <c r="I14323" s="26">
        <v>1.4E-2</v>
      </c>
      <c r="Q14323">
        <v>30</v>
      </c>
    </row>
    <row r="14324" spans="1:17" x14ac:dyDescent="0.35">
      <c r="A14324" t="s">
        <v>231</v>
      </c>
      <c r="B14324" t="s">
        <v>1343</v>
      </c>
      <c r="C14324" t="s">
        <v>1348</v>
      </c>
      <c r="D14324" s="26">
        <v>0.42</v>
      </c>
      <c r="E14324" s="26">
        <v>0.3</v>
      </c>
      <c r="F14324" s="26">
        <v>0.24</v>
      </c>
      <c r="J14324" s="26">
        <v>0.02</v>
      </c>
      <c r="M14324" s="26">
        <v>0.02</v>
      </c>
      <c r="Q14324">
        <v>50</v>
      </c>
    </row>
    <row r="14325" spans="1:17" x14ac:dyDescent="0.35">
      <c r="A14325" s="27" t="s">
        <v>231</v>
      </c>
      <c r="B14325" s="27" t="s">
        <v>1343</v>
      </c>
      <c r="C14325" s="27" t="s">
        <v>1345</v>
      </c>
      <c r="D14325" s="28">
        <v>0.33329999999999999</v>
      </c>
      <c r="E14325" s="28">
        <v>0.66669999999999996</v>
      </c>
      <c r="F14325" s="29"/>
      <c r="G14325" s="28">
        <v>0.33329999999999999</v>
      </c>
      <c r="H14325" s="28">
        <v>0.33329999999999999</v>
      </c>
      <c r="I14325" s="29"/>
      <c r="J14325" s="29"/>
      <c r="K14325" s="28">
        <v>0.33329999999999999</v>
      </c>
      <c r="L14325" s="29"/>
      <c r="M14325" s="29"/>
      <c r="N14325" s="29"/>
      <c r="O14325" s="29"/>
      <c r="P14325" s="29"/>
      <c r="Q14325" s="29" t="s">
        <v>315</v>
      </c>
    </row>
    <row r="14326" spans="1:17" x14ac:dyDescent="0.35">
      <c r="A14326" t="s">
        <v>231</v>
      </c>
      <c r="B14326" t="s">
        <v>1341</v>
      </c>
      <c r="C14326" t="s">
        <v>1348</v>
      </c>
      <c r="D14326" s="26">
        <v>0.67649999999999999</v>
      </c>
      <c r="E14326" s="26">
        <v>0.2059</v>
      </c>
      <c r="F14326" s="26">
        <v>2.9399999999999999E-2</v>
      </c>
      <c r="G14326" s="26">
        <v>5.8799999999999998E-2</v>
      </c>
      <c r="O14326" s="26">
        <v>2.9399999999999999E-2</v>
      </c>
      <c r="Q14326">
        <v>34</v>
      </c>
    </row>
    <row r="14327" spans="1:17" x14ac:dyDescent="0.35">
      <c r="A14327" s="27" t="s">
        <v>231</v>
      </c>
      <c r="B14327" s="27" t="s">
        <v>1341</v>
      </c>
      <c r="C14327" s="27" t="s">
        <v>1345</v>
      </c>
      <c r="D14327" s="29"/>
      <c r="E14327" s="28">
        <v>1</v>
      </c>
      <c r="F14327" s="29"/>
      <c r="G14327" s="29"/>
      <c r="H14327" s="28">
        <v>1</v>
      </c>
      <c r="I14327" s="29"/>
      <c r="J14327" s="29"/>
      <c r="K14327" s="29"/>
      <c r="L14327" s="29"/>
      <c r="M14327" s="29"/>
      <c r="N14327" s="29"/>
      <c r="O14327" s="29"/>
      <c r="P14327" s="29"/>
      <c r="Q14327" s="29" t="s">
        <v>331</v>
      </c>
    </row>
    <row r="14328" spans="1:17" x14ac:dyDescent="0.35">
      <c r="A14328" s="27" t="s">
        <v>231</v>
      </c>
      <c r="B14328" s="27" t="s">
        <v>1343</v>
      </c>
      <c r="C14328" s="27" t="s">
        <v>1346</v>
      </c>
      <c r="D14328" s="28">
        <v>0.46150000000000002</v>
      </c>
      <c r="E14328" s="28">
        <v>0.26919999999999999</v>
      </c>
      <c r="F14328" s="28">
        <v>0.26919999999999999</v>
      </c>
      <c r="G14328" s="29"/>
      <c r="H14328" s="28">
        <v>3.85E-2</v>
      </c>
      <c r="I14328" s="29"/>
      <c r="J14328" s="29"/>
      <c r="K14328" s="29"/>
      <c r="L14328" s="29"/>
      <c r="M14328" s="29"/>
      <c r="N14328" s="29"/>
      <c r="O14328" s="29"/>
      <c r="P14328" s="29"/>
      <c r="Q14328" s="29" t="s">
        <v>357</v>
      </c>
    </row>
    <row r="14329" spans="1:17" x14ac:dyDescent="0.35">
      <c r="A14329" s="27" t="s">
        <v>231</v>
      </c>
      <c r="B14329" s="27" t="s">
        <v>1341</v>
      </c>
      <c r="C14329" s="27" t="s">
        <v>1346</v>
      </c>
      <c r="D14329" s="28">
        <v>0.64290000000000003</v>
      </c>
      <c r="E14329" s="28">
        <v>0.21429999999999999</v>
      </c>
      <c r="F14329" s="28">
        <v>0.1429</v>
      </c>
      <c r="G14329" s="29"/>
      <c r="H14329" s="29"/>
      <c r="I14329" s="29"/>
      <c r="J14329" s="29"/>
      <c r="K14329" s="29"/>
      <c r="L14329" s="29"/>
      <c r="M14329" s="29"/>
      <c r="N14329" s="29"/>
      <c r="O14329" s="29"/>
      <c r="P14329" s="29"/>
      <c r="Q14329" s="29" t="s">
        <v>379</v>
      </c>
    </row>
    <row r="14330" spans="1:17" x14ac:dyDescent="0.35">
      <c r="A14330" s="27" t="s">
        <v>231</v>
      </c>
      <c r="B14330" s="27" t="s">
        <v>1341</v>
      </c>
      <c r="C14330" s="27" t="s">
        <v>1347</v>
      </c>
      <c r="D14330" s="28">
        <v>0.64290000000000003</v>
      </c>
      <c r="E14330" s="28">
        <v>0.35709999999999997</v>
      </c>
      <c r="F14330" s="29"/>
      <c r="G14330" s="29"/>
      <c r="H14330" s="29"/>
      <c r="I14330" s="29"/>
      <c r="J14330" s="29"/>
      <c r="K14330" s="29"/>
      <c r="L14330" s="29"/>
      <c r="M14330" s="29"/>
      <c r="N14330" s="29"/>
      <c r="O14330" s="29"/>
      <c r="P14330" s="29"/>
      <c r="Q14330" s="29" t="s">
        <v>379</v>
      </c>
    </row>
    <row r="14331" spans="1:17" x14ac:dyDescent="0.35">
      <c r="A14331" s="27" t="s">
        <v>231</v>
      </c>
      <c r="B14331" s="27" t="s">
        <v>1343</v>
      </c>
      <c r="C14331" s="27" t="s">
        <v>1347</v>
      </c>
      <c r="D14331" s="28">
        <v>0.45</v>
      </c>
      <c r="E14331" s="28">
        <v>0.45</v>
      </c>
      <c r="F14331" s="28">
        <v>0.1</v>
      </c>
      <c r="G14331" s="28">
        <v>0.05</v>
      </c>
      <c r="H14331" s="29"/>
      <c r="I14331" s="29"/>
      <c r="J14331" s="29"/>
      <c r="K14331" s="29"/>
      <c r="L14331" s="29"/>
      <c r="M14331" s="29"/>
      <c r="N14331" s="29"/>
      <c r="O14331" s="29"/>
      <c r="P14331" s="29"/>
      <c r="Q14331" s="29" t="s">
        <v>350</v>
      </c>
    </row>
    <row r="14332" spans="1:17" x14ac:dyDescent="0.35">
      <c r="A14332" t="s">
        <v>232</v>
      </c>
      <c r="B14332" t="s">
        <v>232</v>
      </c>
      <c r="C14332" t="s">
        <v>232</v>
      </c>
      <c r="D14332" s="26">
        <v>0.48409999999999997</v>
      </c>
      <c r="E14332" s="26">
        <v>0.29170000000000001</v>
      </c>
      <c r="F14332" s="26">
        <v>0.1764</v>
      </c>
      <c r="G14332" s="26">
        <v>2.41E-2</v>
      </c>
      <c r="H14332" s="26">
        <v>1.6299999999999999E-2</v>
      </c>
      <c r="I14332" s="26">
        <v>1.43E-2</v>
      </c>
      <c r="J14332" s="26">
        <v>1.06E-2</v>
      </c>
      <c r="K14332" s="26">
        <v>1.04E-2</v>
      </c>
      <c r="L14332" s="26">
        <v>7.4999999999999997E-3</v>
      </c>
      <c r="M14332" s="26">
        <v>6.4999999999999997E-3</v>
      </c>
      <c r="N14332" s="26">
        <v>2.2000000000000001E-3</v>
      </c>
      <c r="O14332" s="26">
        <v>1.6999999999999999E-3</v>
      </c>
      <c r="P14332" s="26">
        <v>1.6999999999999999E-3</v>
      </c>
      <c r="Q14332">
        <v>2755</v>
      </c>
    </row>
    <row r="14334" spans="1:17" x14ac:dyDescent="0.35">
      <c r="A14334" s="1" t="s">
        <v>1574</v>
      </c>
    </row>
    <row r="14335" spans="1:17" x14ac:dyDescent="0.35">
      <c r="A14335" t="s">
        <v>219</v>
      </c>
      <c r="B14335" t="s">
        <v>550</v>
      </c>
      <c r="C14335" t="s">
        <v>281</v>
      </c>
      <c r="D14335" t="s">
        <v>1575</v>
      </c>
      <c r="E14335" t="s">
        <v>1401</v>
      </c>
      <c r="F14335" t="s">
        <v>1576</v>
      </c>
      <c r="G14335" t="s">
        <v>1577</v>
      </c>
      <c r="H14335" t="s">
        <v>1406</v>
      </c>
      <c r="I14335" t="s">
        <v>1578</v>
      </c>
      <c r="J14335" t="s">
        <v>326</v>
      </c>
      <c r="K14335" t="s">
        <v>1579</v>
      </c>
      <c r="L14335" t="s">
        <v>1504</v>
      </c>
      <c r="M14335" t="s">
        <v>1580</v>
      </c>
      <c r="N14335" t="s">
        <v>286</v>
      </c>
      <c r="O14335" t="s">
        <v>1408</v>
      </c>
      <c r="P14335" t="s">
        <v>226</v>
      </c>
    </row>
    <row r="14336" spans="1:17" x14ac:dyDescent="0.35">
      <c r="A14336" t="s">
        <v>227</v>
      </c>
      <c r="B14336" s="26">
        <v>0.67130000000000001</v>
      </c>
      <c r="C14336" s="26">
        <v>0.2238</v>
      </c>
      <c r="D14336" s="26">
        <v>1.4E-2</v>
      </c>
      <c r="E14336" s="26">
        <v>3.5000000000000003E-2</v>
      </c>
      <c r="F14336" s="26">
        <v>1.4E-2</v>
      </c>
      <c r="G14336" s="26">
        <v>2.8000000000000001E-2</v>
      </c>
      <c r="H14336" s="26">
        <v>7.0000000000000001E-3</v>
      </c>
      <c r="I14336" s="26">
        <v>2.1000000000000001E-2</v>
      </c>
      <c r="J14336" s="26">
        <v>2.1000000000000001E-2</v>
      </c>
      <c r="K14336" s="26">
        <v>7.0000000000000001E-3</v>
      </c>
      <c r="P14336">
        <v>143</v>
      </c>
    </row>
    <row r="14337" spans="1:17" x14ac:dyDescent="0.35">
      <c r="A14337" t="s">
        <v>228</v>
      </c>
      <c r="B14337" s="26">
        <v>0.62980000000000003</v>
      </c>
      <c r="C14337" s="26">
        <v>0.24410000000000001</v>
      </c>
      <c r="D14337" s="26">
        <v>2.7300000000000001E-2</v>
      </c>
      <c r="E14337" s="26">
        <v>2.3199999999999998E-2</v>
      </c>
      <c r="F14337" s="26">
        <v>2.58E-2</v>
      </c>
      <c r="G14337" s="26">
        <v>1.03E-2</v>
      </c>
      <c r="H14337" s="26">
        <v>6.7000000000000002E-3</v>
      </c>
      <c r="I14337" s="26">
        <v>2.2800000000000001E-2</v>
      </c>
      <c r="J14337" s="26">
        <v>7.4999999999999997E-3</v>
      </c>
      <c r="K14337" s="26">
        <v>2.18E-2</v>
      </c>
      <c r="L14337" s="26">
        <v>1.2699999999999999E-2</v>
      </c>
      <c r="M14337" s="26">
        <v>4.5999999999999999E-3</v>
      </c>
      <c r="N14337" s="26">
        <v>8.0000000000000004E-4</v>
      </c>
      <c r="O14337" s="26">
        <v>1.2999999999999999E-3</v>
      </c>
      <c r="P14337">
        <v>956</v>
      </c>
    </row>
    <row r="14338" spans="1:17" x14ac:dyDescent="0.35">
      <c r="A14338" t="s">
        <v>229</v>
      </c>
      <c r="B14338" s="26">
        <v>0.64970000000000006</v>
      </c>
      <c r="C14338" s="26">
        <v>0.1961</v>
      </c>
      <c r="D14338" s="26">
        <v>6.1600000000000002E-2</v>
      </c>
      <c r="E14338" s="26">
        <v>4.2599999999999999E-2</v>
      </c>
      <c r="F14338" s="26">
        <v>3.2199999999999999E-2</v>
      </c>
      <c r="G14338" s="26">
        <v>0.03</v>
      </c>
      <c r="H14338" s="26">
        <v>1.72E-2</v>
      </c>
      <c r="I14338" s="26">
        <v>6.4000000000000003E-3</v>
      </c>
      <c r="J14338" s="26">
        <v>5.4999999999999997E-3</v>
      </c>
      <c r="K14338" s="26">
        <v>6.7999999999999996E-3</v>
      </c>
      <c r="L14338" s="26">
        <v>1.32E-2</v>
      </c>
      <c r="M14338" s="26">
        <v>7.0000000000000001E-3</v>
      </c>
      <c r="N14338" s="26">
        <v>3.3E-3</v>
      </c>
      <c r="O14338" s="26">
        <v>6.1999999999999998E-3</v>
      </c>
      <c r="P14338">
        <v>811</v>
      </c>
    </row>
    <row r="14339" spans="1:17" x14ac:dyDescent="0.35">
      <c r="A14339" t="s">
        <v>230</v>
      </c>
      <c r="B14339" s="26">
        <v>0.67200000000000004</v>
      </c>
      <c r="C14339" s="26">
        <v>0.1542</v>
      </c>
      <c r="D14339" s="26">
        <v>6.9500000000000006E-2</v>
      </c>
      <c r="E14339" s="26">
        <v>2.1700000000000001E-2</v>
      </c>
      <c r="F14339" s="26">
        <v>3.5799999999999998E-2</v>
      </c>
      <c r="G14339" s="26">
        <v>2.9399999999999999E-2</v>
      </c>
      <c r="H14339" s="26">
        <v>5.3400000000000003E-2</v>
      </c>
      <c r="I14339" s="26">
        <v>2.1499999999999998E-2</v>
      </c>
      <c r="J14339" s="26">
        <v>2.0400000000000001E-2</v>
      </c>
      <c r="K14339" s="26">
        <v>1.67E-2</v>
      </c>
      <c r="L14339" s="26">
        <v>1.2500000000000001E-2</v>
      </c>
      <c r="M14339" s="26">
        <v>1.1900000000000001E-2</v>
      </c>
      <c r="N14339" s="26">
        <v>2.9999999999999997E-4</v>
      </c>
      <c r="P14339">
        <v>512</v>
      </c>
    </row>
    <row r="14340" spans="1:17" x14ac:dyDescent="0.35">
      <c r="A14340" t="s">
        <v>231</v>
      </c>
      <c r="B14340" s="26">
        <v>0.79490000000000005</v>
      </c>
      <c r="C14340" s="26">
        <v>0.12820000000000001</v>
      </c>
      <c r="D14340" s="26">
        <v>3.2099999999999997E-2</v>
      </c>
      <c r="E14340" s="26">
        <v>2.5600000000000001E-2</v>
      </c>
      <c r="F14340" s="26">
        <v>1.2800000000000001E-2</v>
      </c>
      <c r="G14340" s="26">
        <v>1.2800000000000001E-2</v>
      </c>
      <c r="H14340" s="26">
        <v>6.4000000000000003E-3</v>
      </c>
      <c r="J14340" s="26">
        <v>6.4000000000000003E-3</v>
      </c>
      <c r="N14340" s="26">
        <v>6.4000000000000003E-3</v>
      </c>
      <c r="P14340">
        <v>156</v>
      </c>
    </row>
    <row r="14341" spans="1:17" x14ac:dyDescent="0.35">
      <c r="A14341" t="s">
        <v>232</v>
      </c>
      <c r="B14341" s="26">
        <v>0.69269999999999998</v>
      </c>
      <c r="C14341" s="26">
        <v>0.186</v>
      </c>
      <c r="D14341" s="26">
        <v>4.0300000000000002E-2</v>
      </c>
      <c r="E14341" s="26">
        <v>3.09E-2</v>
      </c>
      <c r="F14341" s="26">
        <v>2.3099999999999999E-2</v>
      </c>
      <c r="G14341" s="26">
        <v>2.0899999999999998E-2</v>
      </c>
      <c r="H14341" s="26">
        <v>1.41E-2</v>
      </c>
      <c r="I14341" s="26">
        <v>1.14E-2</v>
      </c>
      <c r="J14341" s="26">
        <v>9.9000000000000008E-3</v>
      </c>
      <c r="K14341" s="26">
        <v>8.6999999999999994E-3</v>
      </c>
      <c r="L14341" s="26">
        <v>7.3000000000000001E-3</v>
      </c>
      <c r="M14341" s="26">
        <v>4.0000000000000001E-3</v>
      </c>
      <c r="N14341" s="26">
        <v>2.8999999999999998E-3</v>
      </c>
      <c r="O14341" s="26">
        <v>2E-3</v>
      </c>
      <c r="P14341">
        <v>2578</v>
      </c>
    </row>
    <row r="14343" spans="1:17" x14ac:dyDescent="0.35">
      <c r="A14343" s="1" t="s">
        <v>1581</v>
      </c>
    </row>
    <row r="14344" spans="1:17" x14ac:dyDescent="0.35">
      <c r="A14344" t="s">
        <v>219</v>
      </c>
      <c r="B14344" t="s">
        <v>305</v>
      </c>
      <c r="C14344" t="s">
        <v>550</v>
      </c>
      <c r="D14344" t="s">
        <v>281</v>
      </c>
      <c r="E14344" t="s">
        <v>1575</v>
      </c>
      <c r="F14344" t="s">
        <v>1401</v>
      </c>
      <c r="G14344" t="s">
        <v>1576</v>
      </c>
      <c r="H14344" t="s">
        <v>1577</v>
      </c>
      <c r="I14344" t="s">
        <v>1406</v>
      </c>
      <c r="J14344" t="s">
        <v>1578</v>
      </c>
      <c r="K14344" t="s">
        <v>326</v>
      </c>
      <c r="L14344" t="s">
        <v>1579</v>
      </c>
      <c r="M14344" t="s">
        <v>1504</v>
      </c>
      <c r="N14344" t="s">
        <v>1580</v>
      </c>
      <c r="O14344" t="s">
        <v>286</v>
      </c>
      <c r="P14344" t="s">
        <v>1408</v>
      </c>
      <c r="Q14344" t="s">
        <v>226</v>
      </c>
    </row>
    <row r="14345" spans="1:17" x14ac:dyDescent="0.35">
      <c r="A14345" t="s">
        <v>227</v>
      </c>
      <c r="B14345" t="s">
        <v>242</v>
      </c>
      <c r="C14345" s="26">
        <v>0.68330000000000002</v>
      </c>
      <c r="D14345" s="26">
        <v>0.23330000000000001</v>
      </c>
      <c r="E14345" s="26">
        <v>1.67E-2</v>
      </c>
      <c r="F14345" s="26">
        <v>3.3300000000000003E-2</v>
      </c>
      <c r="H14345" s="26">
        <v>3.3300000000000003E-2</v>
      </c>
      <c r="I14345" s="26">
        <v>1.67E-2</v>
      </c>
      <c r="J14345" s="26">
        <v>1.67E-2</v>
      </c>
      <c r="Q14345">
        <v>60</v>
      </c>
    </row>
    <row r="14346" spans="1:17" x14ac:dyDescent="0.35">
      <c r="A14346" t="s">
        <v>227</v>
      </c>
      <c r="B14346" t="s">
        <v>241</v>
      </c>
      <c r="C14346" s="26">
        <v>0.66269999999999996</v>
      </c>
      <c r="D14346" s="26">
        <v>0.21690000000000001</v>
      </c>
      <c r="E14346" s="26">
        <v>1.2E-2</v>
      </c>
      <c r="F14346" s="26">
        <v>3.61E-2</v>
      </c>
      <c r="G14346" s="26">
        <v>2.41E-2</v>
      </c>
      <c r="H14346" s="26">
        <v>2.41E-2</v>
      </c>
      <c r="J14346" s="26">
        <v>2.41E-2</v>
      </c>
      <c r="K14346" s="26">
        <v>3.61E-2</v>
      </c>
      <c r="L14346" s="26">
        <v>1.2E-2</v>
      </c>
      <c r="Q14346">
        <v>83</v>
      </c>
    </row>
    <row r="14347" spans="1:17" x14ac:dyDescent="0.35">
      <c r="A14347" t="s">
        <v>228</v>
      </c>
      <c r="B14347" t="s">
        <v>242</v>
      </c>
      <c r="C14347" s="26">
        <v>0.58979999999999999</v>
      </c>
      <c r="D14347" s="26">
        <v>0.27500000000000002</v>
      </c>
      <c r="E14347" s="26">
        <v>3.2599999999999997E-2</v>
      </c>
      <c r="F14347" s="26">
        <v>1.6899999999999998E-2</v>
      </c>
      <c r="G14347" s="26">
        <v>4.2999999999999997E-2</v>
      </c>
      <c r="H14347" s="26">
        <v>1.34E-2</v>
      </c>
      <c r="I14347" s="26">
        <v>9.9000000000000008E-3</v>
      </c>
      <c r="J14347" s="26">
        <v>1.29E-2</v>
      </c>
      <c r="K14347" s="26">
        <v>8.0000000000000002E-3</v>
      </c>
      <c r="L14347" s="26">
        <v>2.3099999999999999E-2</v>
      </c>
      <c r="M14347" s="26">
        <v>4.1000000000000003E-3</v>
      </c>
      <c r="N14347" s="26">
        <v>9.9000000000000008E-3</v>
      </c>
      <c r="O14347" s="26">
        <v>1.4E-3</v>
      </c>
      <c r="Q14347">
        <v>373</v>
      </c>
    </row>
    <row r="14348" spans="1:17" x14ac:dyDescent="0.35">
      <c r="A14348" t="s">
        <v>228</v>
      </c>
      <c r="B14348" t="s">
        <v>241</v>
      </c>
      <c r="C14348" s="26">
        <v>0.6532</v>
      </c>
      <c r="D14348" s="26">
        <v>0.2261</v>
      </c>
      <c r="E14348" s="26">
        <v>2.4199999999999999E-2</v>
      </c>
      <c r="F14348" s="26">
        <v>2.69E-2</v>
      </c>
      <c r="G14348" s="26">
        <v>1.5800000000000002E-2</v>
      </c>
      <c r="H14348" s="26">
        <v>8.5000000000000006E-3</v>
      </c>
      <c r="I14348" s="26">
        <v>4.7999999999999996E-3</v>
      </c>
      <c r="J14348" s="26">
        <v>2.86E-2</v>
      </c>
      <c r="K14348" s="26">
        <v>7.1999999999999998E-3</v>
      </c>
      <c r="L14348" s="26">
        <v>2.1000000000000001E-2</v>
      </c>
      <c r="M14348" s="26">
        <v>1.78E-2</v>
      </c>
      <c r="N14348" s="26">
        <v>1.4E-3</v>
      </c>
      <c r="O14348" s="26">
        <v>4.0000000000000002E-4</v>
      </c>
      <c r="P14348" s="26">
        <v>2E-3</v>
      </c>
      <c r="Q14348">
        <v>583</v>
      </c>
    </row>
    <row r="14349" spans="1:17" x14ac:dyDescent="0.35">
      <c r="A14349" t="s">
        <v>229</v>
      </c>
      <c r="B14349" t="s">
        <v>242</v>
      </c>
      <c r="C14349" s="26">
        <v>0.66769999999999996</v>
      </c>
      <c r="D14349" s="26">
        <v>0.19239999999999999</v>
      </c>
      <c r="E14349" s="26">
        <v>3.7699999999999997E-2</v>
      </c>
      <c r="F14349" s="26">
        <v>3.5999999999999997E-2</v>
      </c>
      <c r="G14349" s="26">
        <v>3.9300000000000002E-2</v>
      </c>
      <c r="H14349" s="26">
        <v>3.3000000000000002E-2</v>
      </c>
      <c r="I14349" s="26">
        <v>1.46E-2</v>
      </c>
      <c r="J14349" s="26">
        <v>3.3999999999999998E-3</v>
      </c>
      <c r="K14349" s="26">
        <v>1.1999999999999999E-3</v>
      </c>
      <c r="L14349" s="26">
        <v>8.2000000000000007E-3</v>
      </c>
      <c r="M14349" s="26">
        <v>1.7000000000000001E-2</v>
      </c>
      <c r="N14349" s="26">
        <v>1.9E-3</v>
      </c>
      <c r="O14349" s="26">
        <v>7.3000000000000001E-3</v>
      </c>
      <c r="P14349" s="26">
        <v>8.6999999999999994E-3</v>
      </c>
      <c r="Q14349">
        <v>259</v>
      </c>
    </row>
    <row r="14350" spans="1:17" x14ac:dyDescent="0.35">
      <c r="A14350" t="s">
        <v>229</v>
      </c>
      <c r="B14350" t="s">
        <v>241</v>
      </c>
      <c r="C14350" s="26">
        <v>0.63819999999999999</v>
      </c>
      <c r="D14350" s="26">
        <v>0.19839999999999999</v>
      </c>
      <c r="E14350" s="26">
        <v>7.6799999999999993E-2</v>
      </c>
      <c r="F14350" s="26">
        <v>4.6800000000000001E-2</v>
      </c>
      <c r="G14350" s="26">
        <v>2.7699999999999999E-2</v>
      </c>
      <c r="H14350" s="26">
        <v>2.8000000000000001E-2</v>
      </c>
      <c r="I14350" s="26">
        <v>1.8800000000000001E-2</v>
      </c>
      <c r="J14350" s="26">
        <v>8.3000000000000001E-3</v>
      </c>
      <c r="K14350" s="26">
        <v>8.2000000000000007E-3</v>
      </c>
      <c r="L14350" s="26">
        <v>5.7999999999999996E-3</v>
      </c>
      <c r="M14350" s="26">
        <v>1.0800000000000001E-2</v>
      </c>
      <c r="N14350" s="26">
        <v>1.0200000000000001E-2</v>
      </c>
      <c r="O14350" s="26">
        <v>8.0000000000000004E-4</v>
      </c>
      <c r="P14350" s="26">
        <v>4.5999999999999999E-3</v>
      </c>
      <c r="Q14350">
        <v>552</v>
      </c>
    </row>
    <row r="14351" spans="1:17" x14ac:dyDescent="0.35">
      <c r="A14351" t="s">
        <v>230</v>
      </c>
      <c r="B14351" t="s">
        <v>242</v>
      </c>
      <c r="C14351" s="26">
        <v>0.6542</v>
      </c>
      <c r="D14351" s="26">
        <v>0.18049999999999999</v>
      </c>
      <c r="E14351" s="26">
        <v>5.3999999999999999E-2</v>
      </c>
      <c r="F14351" s="26">
        <v>3.6900000000000002E-2</v>
      </c>
      <c r="G14351" s="26">
        <v>1.6799999999999999E-2</v>
      </c>
      <c r="H14351" s="26">
        <v>1.6799999999999999E-2</v>
      </c>
      <c r="I14351" s="26">
        <v>8.4000000000000005E-2</v>
      </c>
      <c r="J14351" s="26">
        <v>6.4000000000000003E-3</v>
      </c>
      <c r="K14351" s="26">
        <v>3.9100000000000003E-2</v>
      </c>
      <c r="L14351" s="26">
        <v>8.9999999999999998E-4</v>
      </c>
      <c r="M14351" s="26">
        <v>1.77E-2</v>
      </c>
      <c r="N14351" s="26">
        <v>1.6799999999999999E-2</v>
      </c>
      <c r="O14351" s="26">
        <v>8.9999999999999998E-4</v>
      </c>
      <c r="Q14351">
        <v>175</v>
      </c>
    </row>
    <row r="14352" spans="1:17" x14ac:dyDescent="0.35">
      <c r="A14352" t="s">
        <v>230</v>
      </c>
      <c r="B14352" t="s">
        <v>241</v>
      </c>
      <c r="C14352" s="26">
        <v>0.68140000000000001</v>
      </c>
      <c r="D14352" s="26">
        <v>0.14030000000000001</v>
      </c>
      <c r="E14352" s="26">
        <v>7.7600000000000002E-2</v>
      </c>
      <c r="F14352" s="26">
        <v>1.37E-2</v>
      </c>
      <c r="G14352" s="26">
        <v>4.5900000000000003E-2</v>
      </c>
      <c r="H14352" s="26">
        <v>3.61E-2</v>
      </c>
      <c r="I14352" s="26">
        <v>3.7199999999999997E-2</v>
      </c>
      <c r="J14352" s="26">
        <v>2.9499999999999998E-2</v>
      </c>
      <c r="K14352" s="26">
        <v>1.04E-2</v>
      </c>
      <c r="L14352" s="26">
        <v>2.5100000000000001E-2</v>
      </c>
      <c r="M14352" s="26">
        <v>9.7999999999999997E-3</v>
      </c>
      <c r="N14352" s="26">
        <v>9.4000000000000004E-3</v>
      </c>
      <c r="Q14352">
        <v>337</v>
      </c>
    </row>
    <row r="14353" spans="1:17" x14ac:dyDescent="0.35">
      <c r="A14353" t="s">
        <v>231</v>
      </c>
      <c r="B14353" t="s">
        <v>242</v>
      </c>
      <c r="C14353" s="26">
        <v>0.78</v>
      </c>
      <c r="D14353" s="26">
        <v>0.16</v>
      </c>
      <c r="E14353" s="26">
        <v>0.02</v>
      </c>
      <c r="I14353" s="26">
        <v>0.02</v>
      </c>
      <c r="K14353" s="26">
        <v>0.02</v>
      </c>
      <c r="O14353" s="26">
        <v>0.02</v>
      </c>
      <c r="Q14353">
        <v>50</v>
      </c>
    </row>
    <row r="14354" spans="1:17" x14ac:dyDescent="0.35">
      <c r="A14354" t="s">
        <v>231</v>
      </c>
      <c r="B14354" t="s">
        <v>241</v>
      </c>
      <c r="C14354" s="26">
        <v>0.80189999999999995</v>
      </c>
      <c r="D14354" s="26">
        <v>0.1132</v>
      </c>
      <c r="E14354" s="26">
        <v>3.7699999999999997E-2</v>
      </c>
      <c r="F14354" s="26">
        <v>3.7699999999999997E-2</v>
      </c>
      <c r="G14354" s="26">
        <v>1.89E-2</v>
      </c>
      <c r="H14354" s="26">
        <v>1.89E-2</v>
      </c>
      <c r="Q14354">
        <v>106</v>
      </c>
    </row>
    <row r="14355" spans="1:17" x14ac:dyDescent="0.35">
      <c r="A14355" t="s">
        <v>232</v>
      </c>
      <c r="B14355" t="s">
        <v>232</v>
      </c>
      <c r="C14355" s="26">
        <v>0.69269999999999998</v>
      </c>
      <c r="D14355" s="26">
        <v>0.186</v>
      </c>
      <c r="E14355" s="26">
        <v>4.0300000000000002E-2</v>
      </c>
      <c r="F14355" s="26">
        <v>3.09E-2</v>
      </c>
      <c r="G14355" s="26">
        <v>2.3099999999999999E-2</v>
      </c>
      <c r="H14355" s="26">
        <v>2.0899999999999998E-2</v>
      </c>
      <c r="I14355" s="26">
        <v>1.41E-2</v>
      </c>
      <c r="J14355" s="26">
        <v>1.14E-2</v>
      </c>
      <c r="K14355" s="26">
        <v>9.9000000000000008E-3</v>
      </c>
      <c r="L14355" s="26">
        <v>8.6999999999999994E-3</v>
      </c>
      <c r="M14355" s="26">
        <v>7.3000000000000001E-3</v>
      </c>
      <c r="N14355" s="26">
        <v>4.0000000000000001E-3</v>
      </c>
      <c r="O14355" s="26">
        <v>2.8999999999999998E-3</v>
      </c>
      <c r="P14355" s="26">
        <v>2E-3</v>
      </c>
      <c r="Q14355">
        <v>2578</v>
      </c>
    </row>
    <row r="14357" spans="1:17" x14ac:dyDescent="0.35">
      <c r="A14357" s="1" t="s">
        <v>1582</v>
      </c>
    </row>
    <row r="14358" spans="1:17" x14ac:dyDescent="0.35">
      <c r="A14358" t="s">
        <v>219</v>
      </c>
      <c r="B14358" t="s">
        <v>305</v>
      </c>
      <c r="C14358" t="s">
        <v>550</v>
      </c>
      <c r="D14358" t="s">
        <v>281</v>
      </c>
      <c r="E14358" t="s">
        <v>1575</v>
      </c>
      <c r="F14358" t="s">
        <v>1401</v>
      </c>
      <c r="G14358" t="s">
        <v>1576</v>
      </c>
      <c r="H14358" t="s">
        <v>1577</v>
      </c>
      <c r="I14358" t="s">
        <v>1406</v>
      </c>
      <c r="J14358" t="s">
        <v>1578</v>
      </c>
      <c r="K14358" t="s">
        <v>326</v>
      </c>
      <c r="L14358" t="s">
        <v>1579</v>
      </c>
      <c r="M14358" t="s">
        <v>1504</v>
      </c>
      <c r="N14358" t="s">
        <v>1580</v>
      </c>
      <c r="O14358" t="s">
        <v>286</v>
      </c>
      <c r="P14358" t="s">
        <v>1408</v>
      </c>
      <c r="Q14358" t="s">
        <v>226</v>
      </c>
    </row>
    <row r="14359" spans="1:17" x14ac:dyDescent="0.35">
      <c r="A14359" t="s">
        <v>227</v>
      </c>
      <c r="B14359" t="s">
        <v>239</v>
      </c>
      <c r="C14359" s="26">
        <v>0.73680000000000001</v>
      </c>
      <c r="D14359" s="26">
        <v>0.21049999999999999</v>
      </c>
      <c r="F14359" s="26">
        <v>3.5099999999999999E-2</v>
      </c>
      <c r="K14359" s="26">
        <v>1.7500000000000002E-2</v>
      </c>
      <c r="Q14359">
        <v>57</v>
      </c>
    </row>
    <row r="14360" spans="1:17" x14ac:dyDescent="0.35">
      <c r="A14360" t="s">
        <v>227</v>
      </c>
      <c r="B14360" t="s">
        <v>238</v>
      </c>
      <c r="C14360" s="26">
        <v>0.62790000000000001</v>
      </c>
      <c r="D14360" s="26">
        <v>0.2326</v>
      </c>
      <c r="E14360" s="26">
        <v>2.3300000000000001E-2</v>
      </c>
      <c r="F14360" s="26">
        <v>3.49E-2</v>
      </c>
      <c r="G14360" s="26">
        <v>2.3300000000000001E-2</v>
      </c>
      <c r="H14360" s="26">
        <v>4.65E-2</v>
      </c>
      <c r="I14360" s="26">
        <v>1.1599999999999999E-2</v>
      </c>
      <c r="J14360" s="26">
        <v>3.49E-2</v>
      </c>
      <c r="K14360" s="26">
        <v>2.3300000000000001E-2</v>
      </c>
      <c r="L14360" s="26">
        <v>1.1599999999999999E-2</v>
      </c>
      <c r="Q14360">
        <v>86</v>
      </c>
    </row>
    <row r="14361" spans="1:17" x14ac:dyDescent="0.35">
      <c r="A14361" t="s">
        <v>228</v>
      </c>
      <c r="B14361" t="s">
        <v>239</v>
      </c>
      <c r="C14361" s="26">
        <v>0.68</v>
      </c>
      <c r="D14361" s="26">
        <v>0.1981</v>
      </c>
      <c r="E14361" s="26">
        <v>2.9100000000000001E-2</v>
      </c>
      <c r="F14361" s="26">
        <v>2.0199999999999999E-2</v>
      </c>
      <c r="G14361" s="26">
        <v>2.0999999999999999E-3</v>
      </c>
      <c r="H14361" s="26">
        <v>4.0000000000000001E-3</v>
      </c>
      <c r="J14361" s="26">
        <v>2.8299999999999999E-2</v>
      </c>
      <c r="K14361" s="26">
        <v>1.7100000000000001E-2</v>
      </c>
      <c r="L14361" s="26">
        <v>1.84E-2</v>
      </c>
      <c r="M14361" s="26">
        <v>2.53E-2</v>
      </c>
      <c r="O14361" s="26">
        <v>1.1999999999999999E-3</v>
      </c>
      <c r="Q14361">
        <v>313</v>
      </c>
    </row>
    <row r="14362" spans="1:17" x14ac:dyDescent="0.35">
      <c r="A14362" t="s">
        <v>228</v>
      </c>
      <c r="B14362" t="s">
        <v>238</v>
      </c>
      <c r="C14362" s="26">
        <v>0.61619999999999997</v>
      </c>
      <c r="D14362" s="26">
        <v>0.25659999999999999</v>
      </c>
      <c r="E14362" s="26">
        <v>2.6800000000000001E-2</v>
      </c>
      <c r="F14362" s="26">
        <v>2.4E-2</v>
      </c>
      <c r="G14362" s="26">
        <v>3.2199999999999999E-2</v>
      </c>
      <c r="H14362" s="26">
        <v>1.2E-2</v>
      </c>
      <c r="I14362" s="26">
        <v>8.5000000000000006E-3</v>
      </c>
      <c r="J14362" s="26">
        <v>2.1299999999999999E-2</v>
      </c>
      <c r="K14362" s="26">
        <v>4.8999999999999998E-3</v>
      </c>
      <c r="L14362" s="26">
        <v>2.2700000000000001E-2</v>
      </c>
      <c r="M14362" s="26">
        <v>9.2999999999999992E-3</v>
      </c>
      <c r="N14362" s="26">
        <v>5.7999999999999996E-3</v>
      </c>
      <c r="O14362" s="26">
        <v>6.9999999999999999E-4</v>
      </c>
      <c r="P14362" s="26">
        <v>1.6000000000000001E-3</v>
      </c>
      <c r="Q14362">
        <v>643</v>
      </c>
    </row>
    <row r="14363" spans="1:17" x14ac:dyDescent="0.35">
      <c r="A14363" t="s">
        <v>229</v>
      </c>
      <c r="B14363" t="s">
        <v>239</v>
      </c>
      <c r="C14363" s="26">
        <v>0.64849999999999997</v>
      </c>
      <c r="D14363" s="26">
        <v>0.2379</v>
      </c>
      <c r="E14363" s="26">
        <v>1.43E-2</v>
      </c>
      <c r="F14363" s="26">
        <v>3.4700000000000002E-2</v>
      </c>
      <c r="G14363" s="26">
        <v>1.04E-2</v>
      </c>
      <c r="H14363" s="26">
        <v>2.4199999999999999E-2</v>
      </c>
      <c r="I14363" s="26">
        <v>2.4199999999999999E-2</v>
      </c>
      <c r="J14363" s="26">
        <v>4.7999999999999996E-3</v>
      </c>
      <c r="L14363" s="26">
        <v>5.4999999999999997E-3</v>
      </c>
      <c r="M14363" s="26">
        <v>2.7000000000000001E-3</v>
      </c>
      <c r="N14363" s="26">
        <v>2.8E-3</v>
      </c>
      <c r="O14363" s="26">
        <v>1.0800000000000001E-2</v>
      </c>
      <c r="Q14363">
        <v>314</v>
      </c>
    </row>
    <row r="14364" spans="1:17" x14ac:dyDescent="0.35">
      <c r="A14364" t="s">
        <v>229</v>
      </c>
      <c r="B14364" t="s">
        <v>238</v>
      </c>
      <c r="C14364" s="26">
        <v>0.6502</v>
      </c>
      <c r="D14364" s="26">
        <v>0.1804</v>
      </c>
      <c r="E14364" s="26">
        <v>7.9299999999999995E-2</v>
      </c>
      <c r="F14364" s="26">
        <v>4.5600000000000002E-2</v>
      </c>
      <c r="G14364" s="26">
        <v>4.0399999999999998E-2</v>
      </c>
      <c r="H14364" s="26">
        <v>3.2099999999999997E-2</v>
      </c>
      <c r="I14364" s="26">
        <v>1.4500000000000001E-2</v>
      </c>
      <c r="J14364" s="26">
        <v>7.0000000000000001E-3</v>
      </c>
      <c r="K14364" s="26">
        <v>7.4999999999999997E-3</v>
      </c>
      <c r="L14364" s="26">
        <v>7.1999999999999998E-3</v>
      </c>
      <c r="M14364" s="26">
        <v>1.7100000000000001E-2</v>
      </c>
      <c r="N14364" s="26">
        <v>8.6E-3</v>
      </c>
      <c r="O14364" s="26">
        <v>5.0000000000000001E-4</v>
      </c>
      <c r="P14364" s="26">
        <v>8.6E-3</v>
      </c>
      <c r="Q14364">
        <v>497</v>
      </c>
    </row>
    <row r="14365" spans="1:17" x14ac:dyDescent="0.35">
      <c r="A14365" t="s">
        <v>230</v>
      </c>
      <c r="B14365" t="s">
        <v>239</v>
      </c>
      <c r="C14365" s="26">
        <v>0.77690000000000003</v>
      </c>
      <c r="D14365" s="26">
        <v>9.3299999999999994E-2</v>
      </c>
      <c r="E14365" s="26">
        <v>3.6600000000000001E-2</v>
      </c>
      <c r="F14365" s="26">
        <v>2.1100000000000001E-2</v>
      </c>
      <c r="G14365" s="26">
        <v>3.6600000000000001E-2</v>
      </c>
      <c r="I14365" s="26">
        <v>3.6600000000000001E-2</v>
      </c>
      <c r="J14365" s="26">
        <v>1.01E-2</v>
      </c>
      <c r="K14365" s="26">
        <v>3.0000000000000001E-3</v>
      </c>
      <c r="L14365" s="26">
        <v>2.63E-2</v>
      </c>
      <c r="M14365" s="26">
        <v>8.9999999999999998E-4</v>
      </c>
      <c r="Q14365">
        <v>200</v>
      </c>
    </row>
    <row r="14366" spans="1:17" x14ac:dyDescent="0.35">
      <c r="A14366" t="s">
        <v>230</v>
      </c>
      <c r="B14366" t="s">
        <v>238</v>
      </c>
      <c r="C14366" s="26">
        <v>0.623</v>
      </c>
      <c r="D14366" s="26">
        <v>0.18260000000000001</v>
      </c>
      <c r="E14366" s="26">
        <v>8.48E-2</v>
      </c>
      <c r="F14366" s="26">
        <v>2.1999999999999999E-2</v>
      </c>
      <c r="G14366" s="26">
        <v>3.5499999999999997E-2</v>
      </c>
      <c r="H14366" s="26">
        <v>4.3099999999999999E-2</v>
      </c>
      <c r="I14366" s="26">
        <v>6.1199999999999997E-2</v>
      </c>
      <c r="J14366" s="26">
        <v>2.69E-2</v>
      </c>
      <c r="K14366" s="26">
        <v>2.8500000000000001E-2</v>
      </c>
      <c r="L14366" s="26">
        <v>1.2200000000000001E-2</v>
      </c>
      <c r="M14366" s="26">
        <v>1.7899999999999999E-2</v>
      </c>
      <c r="N14366" s="26">
        <v>1.7500000000000002E-2</v>
      </c>
      <c r="O14366" s="26">
        <v>4.0000000000000002E-4</v>
      </c>
      <c r="Q14366">
        <v>312</v>
      </c>
    </row>
    <row r="14367" spans="1:17" x14ac:dyDescent="0.35">
      <c r="A14367" t="s">
        <v>231</v>
      </c>
      <c r="B14367" t="s">
        <v>239</v>
      </c>
      <c r="C14367" s="26">
        <v>0.83640000000000003</v>
      </c>
      <c r="D14367" s="26">
        <v>0.1273</v>
      </c>
      <c r="E14367" s="26">
        <v>3.6400000000000002E-2</v>
      </c>
      <c r="Q14367">
        <v>55</v>
      </c>
    </row>
    <row r="14368" spans="1:17" x14ac:dyDescent="0.35">
      <c r="A14368" t="s">
        <v>231</v>
      </c>
      <c r="B14368" t="s">
        <v>238</v>
      </c>
      <c r="C14368" s="26">
        <v>0.77229999999999999</v>
      </c>
      <c r="D14368" s="26">
        <v>0.12870000000000001</v>
      </c>
      <c r="E14368" s="26">
        <v>2.9700000000000001E-2</v>
      </c>
      <c r="F14368" s="26">
        <v>3.9600000000000003E-2</v>
      </c>
      <c r="G14368" s="26">
        <v>1.9800000000000002E-2</v>
      </c>
      <c r="H14368" s="26">
        <v>1.9800000000000002E-2</v>
      </c>
      <c r="I14368" s="26">
        <v>9.9000000000000008E-3</v>
      </c>
      <c r="K14368" s="26">
        <v>9.9000000000000008E-3</v>
      </c>
      <c r="O14368" s="26">
        <v>9.9000000000000008E-3</v>
      </c>
      <c r="Q14368">
        <v>101</v>
      </c>
    </row>
    <row r="14369" spans="1:17" x14ac:dyDescent="0.35">
      <c r="A14369" t="s">
        <v>232</v>
      </c>
      <c r="B14369" t="s">
        <v>232</v>
      </c>
      <c r="C14369" s="26">
        <v>0.69269999999999998</v>
      </c>
      <c r="D14369" s="26">
        <v>0.186</v>
      </c>
      <c r="E14369" s="26">
        <v>4.0300000000000002E-2</v>
      </c>
      <c r="F14369" s="26">
        <v>3.09E-2</v>
      </c>
      <c r="G14369" s="26">
        <v>2.3099999999999999E-2</v>
      </c>
      <c r="H14369" s="26">
        <v>2.0899999999999998E-2</v>
      </c>
      <c r="I14369" s="26">
        <v>1.41E-2</v>
      </c>
      <c r="J14369" s="26">
        <v>1.14E-2</v>
      </c>
      <c r="K14369" s="26">
        <v>9.9000000000000008E-3</v>
      </c>
      <c r="L14369" s="26">
        <v>8.6999999999999994E-3</v>
      </c>
      <c r="M14369" s="26">
        <v>7.3000000000000001E-3</v>
      </c>
      <c r="N14369" s="26">
        <v>4.0000000000000001E-3</v>
      </c>
      <c r="O14369" s="26">
        <v>2.8999999999999998E-3</v>
      </c>
      <c r="P14369" s="26">
        <v>2E-3</v>
      </c>
      <c r="Q14369">
        <v>2578</v>
      </c>
    </row>
    <row r="14371" spans="1:17" x14ac:dyDescent="0.35">
      <c r="A14371" s="1" t="s">
        <v>1583</v>
      </c>
    </row>
    <row r="14372" spans="1:17" x14ac:dyDescent="0.35">
      <c r="A14372" t="s">
        <v>219</v>
      </c>
      <c r="B14372" t="s">
        <v>305</v>
      </c>
      <c r="C14372" t="s">
        <v>550</v>
      </c>
      <c r="D14372" t="s">
        <v>281</v>
      </c>
      <c r="E14372" t="s">
        <v>1575</v>
      </c>
      <c r="F14372" t="s">
        <v>1401</v>
      </c>
      <c r="G14372" t="s">
        <v>1576</v>
      </c>
      <c r="H14372" t="s">
        <v>1577</v>
      </c>
      <c r="I14372" t="s">
        <v>1406</v>
      </c>
      <c r="J14372" t="s">
        <v>1578</v>
      </c>
      <c r="K14372" t="s">
        <v>326</v>
      </c>
      <c r="L14372" t="s">
        <v>1579</v>
      </c>
      <c r="M14372" t="s">
        <v>1504</v>
      </c>
      <c r="N14372" t="s">
        <v>1580</v>
      </c>
      <c r="O14372" t="s">
        <v>286</v>
      </c>
      <c r="P14372" t="s">
        <v>1408</v>
      </c>
      <c r="Q14372" t="s">
        <v>226</v>
      </c>
    </row>
    <row r="14373" spans="1:17" x14ac:dyDescent="0.35">
      <c r="A14373" t="s">
        <v>227</v>
      </c>
      <c r="B14373" t="s">
        <v>244</v>
      </c>
      <c r="C14373" s="26">
        <v>0.67049999999999998</v>
      </c>
      <c r="D14373" s="26">
        <v>0.19320000000000001</v>
      </c>
      <c r="E14373" s="26">
        <v>2.2700000000000001E-2</v>
      </c>
      <c r="F14373" s="26">
        <v>4.5499999999999999E-2</v>
      </c>
      <c r="G14373" s="26">
        <v>2.2700000000000001E-2</v>
      </c>
      <c r="H14373" s="26">
        <v>3.4099999999999998E-2</v>
      </c>
      <c r="I14373" s="26">
        <v>1.14E-2</v>
      </c>
      <c r="J14373" s="26">
        <v>2.2700000000000001E-2</v>
      </c>
      <c r="K14373" s="26">
        <v>2.2700000000000001E-2</v>
      </c>
      <c r="Q14373">
        <v>88</v>
      </c>
    </row>
    <row r="14374" spans="1:17" x14ac:dyDescent="0.35">
      <c r="A14374" t="s">
        <v>227</v>
      </c>
      <c r="B14374" t="s">
        <v>245</v>
      </c>
      <c r="C14374" s="26">
        <v>0.63039999999999996</v>
      </c>
      <c r="D14374" s="26">
        <v>0.3261</v>
      </c>
      <c r="F14374" s="26">
        <v>2.1700000000000001E-2</v>
      </c>
      <c r="J14374" s="26">
        <v>2.1700000000000001E-2</v>
      </c>
      <c r="K14374" s="26">
        <v>2.1700000000000001E-2</v>
      </c>
      <c r="L14374" s="26">
        <v>2.1700000000000001E-2</v>
      </c>
      <c r="Q14374">
        <v>46</v>
      </c>
    </row>
    <row r="14375" spans="1:17" x14ac:dyDescent="0.35">
      <c r="A14375" s="27" t="s">
        <v>227</v>
      </c>
      <c r="B14375" s="27" t="s">
        <v>246</v>
      </c>
      <c r="C14375" s="28">
        <v>0.88890000000000002</v>
      </c>
      <c r="D14375" s="29"/>
      <c r="E14375" s="29"/>
      <c r="F14375" s="29"/>
      <c r="G14375" s="29"/>
      <c r="H14375" s="28">
        <v>0.1111</v>
      </c>
      <c r="I14375" s="29"/>
      <c r="J14375" s="29"/>
      <c r="K14375" s="29"/>
      <c r="L14375" s="29"/>
      <c r="M14375" s="29"/>
      <c r="N14375" s="29"/>
      <c r="O14375" s="29"/>
      <c r="P14375" s="29"/>
      <c r="Q14375" s="29" t="s">
        <v>334</v>
      </c>
    </row>
    <row r="14376" spans="1:17" x14ac:dyDescent="0.35">
      <c r="A14376" t="s">
        <v>228</v>
      </c>
      <c r="B14376" t="s">
        <v>244</v>
      </c>
      <c r="C14376" s="26">
        <v>0.6492</v>
      </c>
      <c r="D14376" s="26">
        <v>0.23719999999999999</v>
      </c>
      <c r="E14376" s="26">
        <v>2.1700000000000001E-2</v>
      </c>
      <c r="F14376" s="26">
        <v>7.1999999999999998E-3</v>
      </c>
      <c r="G14376" s="26">
        <v>1.5299999999999999E-2</v>
      </c>
      <c r="H14376" s="26">
        <v>1.5900000000000001E-2</v>
      </c>
      <c r="I14376" s="26">
        <v>8.3000000000000001E-3</v>
      </c>
      <c r="J14376" s="26">
        <v>2.1000000000000001E-2</v>
      </c>
      <c r="K14376" s="26">
        <v>8.9999999999999993E-3</v>
      </c>
      <c r="L14376" s="26">
        <v>2.6700000000000002E-2</v>
      </c>
      <c r="M14376" s="26">
        <v>8.3999999999999995E-3</v>
      </c>
      <c r="N14376" s="26">
        <v>5.5999999999999999E-3</v>
      </c>
      <c r="O14376" s="26">
        <v>8.0000000000000004E-4</v>
      </c>
      <c r="Q14376">
        <v>589</v>
      </c>
    </row>
    <row r="14377" spans="1:17" x14ac:dyDescent="0.35">
      <c r="A14377" t="s">
        <v>228</v>
      </c>
      <c r="B14377" t="s">
        <v>245</v>
      </c>
      <c r="C14377" s="26">
        <v>0.55459999999999998</v>
      </c>
      <c r="D14377" s="26">
        <v>0.2888</v>
      </c>
      <c r="E14377" s="26">
        <v>3.9300000000000002E-2</v>
      </c>
      <c r="F14377" s="26">
        <v>5.7799999999999997E-2</v>
      </c>
      <c r="G14377" s="26">
        <v>4.3900000000000002E-2</v>
      </c>
      <c r="I14377" s="26">
        <v>4.5999999999999999E-3</v>
      </c>
      <c r="J14377" s="26">
        <v>3.2899999999999999E-2</v>
      </c>
      <c r="K14377" s="26">
        <v>4.5999999999999999E-3</v>
      </c>
      <c r="L14377" s="26">
        <v>1.4200000000000001E-2</v>
      </c>
      <c r="M14377" s="26">
        <v>2.46E-2</v>
      </c>
      <c r="N14377" s="26">
        <v>3.3E-3</v>
      </c>
      <c r="O14377" s="26">
        <v>1E-3</v>
      </c>
      <c r="P14377" s="26">
        <v>4.5999999999999999E-3</v>
      </c>
      <c r="Q14377">
        <v>306</v>
      </c>
    </row>
    <row r="14378" spans="1:17" x14ac:dyDescent="0.35">
      <c r="A14378" t="s">
        <v>228</v>
      </c>
      <c r="B14378" t="s">
        <v>246</v>
      </c>
      <c r="C14378" s="26">
        <v>0.74509999999999998</v>
      </c>
      <c r="D14378" s="26">
        <v>0.1341</v>
      </c>
      <c r="E14378" s="26">
        <v>3.1699999999999999E-2</v>
      </c>
      <c r="F14378" s="26">
        <v>3.49E-2</v>
      </c>
      <c r="G14378" s="26">
        <v>5.0799999999999998E-2</v>
      </c>
      <c r="K14378" s="26">
        <v>5.4999999999999997E-3</v>
      </c>
      <c r="L14378" s="26">
        <v>6.3E-3</v>
      </c>
      <c r="M14378" s="26">
        <v>6.3E-3</v>
      </c>
      <c r="Q14378">
        <v>61</v>
      </c>
    </row>
    <row r="14379" spans="1:17" x14ac:dyDescent="0.35">
      <c r="A14379" t="s">
        <v>229</v>
      </c>
      <c r="B14379" t="s">
        <v>244</v>
      </c>
      <c r="C14379" s="26">
        <v>0.66639999999999999</v>
      </c>
      <c r="D14379" s="26">
        <v>0.1772</v>
      </c>
      <c r="E14379" s="26">
        <v>6.3799999999999996E-2</v>
      </c>
      <c r="F14379" s="26">
        <v>4.1200000000000001E-2</v>
      </c>
      <c r="G14379" s="26">
        <v>3.39E-2</v>
      </c>
      <c r="H14379" s="26">
        <v>3.1399999999999997E-2</v>
      </c>
      <c r="I14379" s="26">
        <v>1.6E-2</v>
      </c>
      <c r="J14379" s="26">
        <v>2.7000000000000001E-3</v>
      </c>
      <c r="K14379" s="26">
        <v>7.3000000000000001E-3</v>
      </c>
      <c r="L14379" s="26">
        <v>7.4000000000000003E-3</v>
      </c>
      <c r="M14379" s="26">
        <v>5.1999999999999998E-3</v>
      </c>
      <c r="N14379" s="26">
        <v>6.1000000000000004E-3</v>
      </c>
      <c r="O14379" s="26">
        <v>6.9999999999999999E-4</v>
      </c>
      <c r="Q14379">
        <v>501</v>
      </c>
    </row>
    <row r="14380" spans="1:17" x14ac:dyDescent="0.35">
      <c r="A14380" t="s">
        <v>229</v>
      </c>
      <c r="B14380" t="s">
        <v>245</v>
      </c>
      <c r="C14380" s="26">
        <v>0.62570000000000003</v>
      </c>
      <c r="D14380" s="26">
        <v>0.25650000000000001</v>
      </c>
      <c r="E14380" s="26">
        <v>4.4699999999999997E-2</v>
      </c>
      <c r="F14380" s="26">
        <v>5.1799999999999999E-2</v>
      </c>
      <c r="G14380" s="26">
        <v>2.3800000000000002E-2</v>
      </c>
      <c r="H14380" s="26">
        <v>1.09E-2</v>
      </c>
      <c r="I14380" s="26">
        <v>2.3900000000000001E-2</v>
      </c>
      <c r="J14380" s="26">
        <v>1.5900000000000001E-2</v>
      </c>
      <c r="K14380" s="26">
        <v>1.8E-3</v>
      </c>
      <c r="L14380" s="26">
        <v>6.4999999999999997E-3</v>
      </c>
      <c r="M14380" s="26">
        <v>1.09E-2</v>
      </c>
      <c r="N14380" s="26">
        <v>1.09E-2</v>
      </c>
      <c r="O14380" s="26">
        <v>1.09E-2</v>
      </c>
      <c r="P14380" s="26">
        <v>1.09E-2</v>
      </c>
      <c r="Q14380">
        <v>268</v>
      </c>
    </row>
    <row r="14381" spans="1:17" x14ac:dyDescent="0.35">
      <c r="A14381" t="s">
        <v>229</v>
      </c>
      <c r="B14381" t="s">
        <v>246</v>
      </c>
      <c r="C14381" s="26">
        <v>0.55800000000000005</v>
      </c>
      <c r="D14381" s="26">
        <v>0.14480000000000001</v>
      </c>
      <c r="E14381" s="26">
        <v>0.11260000000000001</v>
      </c>
      <c r="F14381" s="26">
        <v>1.6799999999999999E-2</v>
      </c>
      <c r="G14381" s="26">
        <v>5.04E-2</v>
      </c>
      <c r="H14381" s="26">
        <v>0.1008</v>
      </c>
      <c r="J14381" s="26">
        <v>6.6E-3</v>
      </c>
      <c r="M14381" s="26">
        <v>0.1206</v>
      </c>
      <c r="P14381" s="26">
        <v>6.0299999999999999E-2</v>
      </c>
      <c r="Q14381">
        <v>42</v>
      </c>
    </row>
    <row r="14382" spans="1:17" x14ac:dyDescent="0.35">
      <c r="A14382" t="s">
        <v>230</v>
      </c>
      <c r="B14382" t="s">
        <v>244</v>
      </c>
      <c r="C14382" s="26">
        <v>0.65390000000000004</v>
      </c>
      <c r="D14382" s="26">
        <v>0.15429999999999999</v>
      </c>
      <c r="E14382" s="26">
        <v>6.4500000000000002E-2</v>
      </c>
      <c r="F14382" s="26">
        <v>1.9699999999999999E-2</v>
      </c>
      <c r="G14382" s="26">
        <v>3.5099999999999999E-2</v>
      </c>
      <c r="H14382" s="26">
        <v>4.3200000000000002E-2</v>
      </c>
      <c r="I14382" s="26">
        <v>5.2699999999999997E-2</v>
      </c>
      <c r="J14382" s="26">
        <v>2.69E-2</v>
      </c>
      <c r="K14382" s="26">
        <v>1.2800000000000001E-2</v>
      </c>
      <c r="L14382" s="26">
        <v>2.41E-2</v>
      </c>
      <c r="M14382" s="26">
        <v>1.84E-2</v>
      </c>
      <c r="N14382" s="26">
        <v>1.7100000000000001E-2</v>
      </c>
      <c r="Q14382">
        <v>337</v>
      </c>
    </row>
    <row r="14383" spans="1:17" x14ac:dyDescent="0.35">
      <c r="A14383" t="s">
        <v>230</v>
      </c>
      <c r="B14383" t="s">
        <v>245</v>
      </c>
      <c r="C14383" s="26">
        <v>0.69340000000000002</v>
      </c>
      <c r="D14383" s="26">
        <v>0.17119999999999999</v>
      </c>
      <c r="E14383" s="26">
        <v>9.5699999999999993E-2</v>
      </c>
      <c r="F14383" s="26">
        <v>2.7699999999999999E-2</v>
      </c>
      <c r="G14383" s="26">
        <v>4.48E-2</v>
      </c>
      <c r="I14383" s="26">
        <v>4.3700000000000003E-2</v>
      </c>
      <c r="J14383" s="26">
        <v>1.09E-2</v>
      </c>
      <c r="K14383" s="26">
        <v>4.3700000000000003E-2</v>
      </c>
      <c r="N14383" s="26">
        <v>1.1000000000000001E-3</v>
      </c>
      <c r="O14383" s="26">
        <v>1.1000000000000001E-3</v>
      </c>
      <c r="Q14383">
        <v>147</v>
      </c>
    </row>
    <row r="14384" spans="1:17" x14ac:dyDescent="0.35">
      <c r="A14384" s="27" t="s">
        <v>230</v>
      </c>
      <c r="B14384" s="27" t="s">
        <v>246</v>
      </c>
      <c r="C14384" s="28">
        <v>0.79820000000000002</v>
      </c>
      <c r="D14384" s="28">
        <v>6.6400000000000001E-2</v>
      </c>
      <c r="E14384" s="29"/>
      <c r="F14384" s="28">
        <v>1.84E-2</v>
      </c>
      <c r="G14384" s="29"/>
      <c r="H14384" s="29"/>
      <c r="I14384" s="28">
        <v>0.1114</v>
      </c>
      <c r="J14384" s="28">
        <v>5.5999999999999999E-3</v>
      </c>
      <c r="K14384" s="29"/>
      <c r="L14384" s="28">
        <v>5.5999999999999999E-3</v>
      </c>
      <c r="M14384" s="29"/>
      <c r="N14384" s="29"/>
      <c r="O14384" s="29"/>
      <c r="P14384" s="29"/>
      <c r="Q14384" s="29" t="s">
        <v>336</v>
      </c>
    </row>
    <row r="14385" spans="1:17" x14ac:dyDescent="0.35">
      <c r="A14385" t="s">
        <v>231</v>
      </c>
      <c r="B14385" t="s">
        <v>244</v>
      </c>
      <c r="C14385" s="26">
        <v>0.75560000000000005</v>
      </c>
      <c r="D14385" s="26">
        <v>0.1444</v>
      </c>
      <c r="E14385" s="26">
        <v>3.3300000000000003E-2</v>
      </c>
      <c r="F14385" s="26">
        <v>3.3300000000000003E-2</v>
      </c>
      <c r="G14385" s="26">
        <v>1.11E-2</v>
      </c>
      <c r="H14385" s="26">
        <v>2.2200000000000001E-2</v>
      </c>
      <c r="I14385" s="26">
        <v>1.11E-2</v>
      </c>
      <c r="K14385" s="26">
        <v>1.11E-2</v>
      </c>
      <c r="O14385" s="26">
        <v>1.11E-2</v>
      </c>
      <c r="Q14385">
        <v>90</v>
      </c>
    </row>
    <row r="14386" spans="1:17" x14ac:dyDescent="0.35">
      <c r="A14386" t="s">
        <v>231</v>
      </c>
      <c r="B14386" t="s">
        <v>245</v>
      </c>
      <c r="C14386" s="26">
        <v>0.83330000000000004</v>
      </c>
      <c r="D14386" s="26">
        <v>0.12959999999999999</v>
      </c>
      <c r="E14386" s="26">
        <v>3.6999999999999998E-2</v>
      </c>
      <c r="G14386" s="26">
        <v>1.8499999999999999E-2</v>
      </c>
      <c r="Q14386">
        <v>54</v>
      </c>
    </row>
    <row r="14387" spans="1:17" x14ac:dyDescent="0.35">
      <c r="A14387" s="27" t="s">
        <v>231</v>
      </c>
      <c r="B14387" s="27" t="s">
        <v>246</v>
      </c>
      <c r="C14387" s="28">
        <v>0.91669999999999996</v>
      </c>
      <c r="D14387" s="29"/>
      <c r="E14387" s="29"/>
      <c r="F14387" s="28">
        <v>8.3299999999999999E-2</v>
      </c>
      <c r="G14387" s="29"/>
      <c r="H14387" s="29"/>
      <c r="I14387" s="29"/>
      <c r="J14387" s="29"/>
      <c r="K14387" s="29"/>
      <c r="L14387" s="29"/>
      <c r="M14387" s="29"/>
      <c r="N14387" s="29"/>
      <c r="O14387" s="29"/>
      <c r="P14387" s="29"/>
      <c r="Q14387" s="29" t="s">
        <v>342</v>
      </c>
    </row>
    <row r="14388" spans="1:17" x14ac:dyDescent="0.35">
      <c r="A14388" t="s">
        <v>232</v>
      </c>
      <c r="B14388" t="s">
        <v>232</v>
      </c>
      <c r="C14388" s="26">
        <v>0.69269999999999998</v>
      </c>
      <c r="D14388" s="26">
        <v>0.186</v>
      </c>
      <c r="E14388" s="26">
        <v>4.0300000000000002E-2</v>
      </c>
      <c r="F14388" s="26">
        <v>3.09E-2</v>
      </c>
      <c r="G14388" s="26">
        <v>2.3099999999999999E-2</v>
      </c>
      <c r="H14388" s="26">
        <v>2.0899999999999998E-2</v>
      </c>
      <c r="I14388" s="26">
        <v>1.41E-2</v>
      </c>
      <c r="J14388" s="26">
        <v>1.14E-2</v>
      </c>
      <c r="K14388" s="26">
        <v>9.9000000000000008E-3</v>
      </c>
      <c r="L14388" s="26">
        <v>8.6999999999999994E-3</v>
      </c>
      <c r="M14388" s="26">
        <v>7.3000000000000001E-3</v>
      </c>
      <c r="N14388" s="26">
        <v>4.0000000000000001E-3</v>
      </c>
      <c r="O14388" s="26">
        <v>2.8999999999999998E-3</v>
      </c>
      <c r="P14388" s="26">
        <v>2E-3</v>
      </c>
      <c r="Q14388">
        <v>2578</v>
      </c>
    </row>
    <row r="14390" spans="1:17" x14ac:dyDescent="0.35">
      <c r="A14390" s="1" t="s">
        <v>1584</v>
      </c>
    </row>
    <row r="14391" spans="1:17" x14ac:dyDescent="0.35">
      <c r="A14391" t="s">
        <v>219</v>
      </c>
      <c r="B14391" t="s">
        <v>305</v>
      </c>
      <c r="C14391" t="s">
        <v>550</v>
      </c>
      <c r="D14391" t="s">
        <v>281</v>
      </c>
      <c r="E14391" t="s">
        <v>1575</v>
      </c>
      <c r="F14391" t="s">
        <v>1401</v>
      </c>
      <c r="G14391" t="s">
        <v>1576</v>
      </c>
      <c r="H14391" t="s">
        <v>1577</v>
      </c>
      <c r="I14391" t="s">
        <v>1406</v>
      </c>
      <c r="J14391" t="s">
        <v>1578</v>
      </c>
      <c r="K14391" t="s">
        <v>326</v>
      </c>
      <c r="L14391" t="s">
        <v>1579</v>
      </c>
      <c r="M14391" t="s">
        <v>1504</v>
      </c>
      <c r="N14391" t="s">
        <v>1580</v>
      </c>
      <c r="O14391" t="s">
        <v>286</v>
      </c>
      <c r="P14391" t="s">
        <v>1408</v>
      </c>
      <c r="Q14391" t="s">
        <v>226</v>
      </c>
    </row>
    <row r="14392" spans="1:17" x14ac:dyDescent="0.35">
      <c r="A14392" t="s">
        <v>227</v>
      </c>
      <c r="B14392" t="s">
        <v>360</v>
      </c>
      <c r="C14392" s="26">
        <v>0.66669999999999996</v>
      </c>
      <c r="D14392" s="26">
        <v>0.21210000000000001</v>
      </c>
      <c r="F14392" s="26">
        <v>6.0600000000000001E-2</v>
      </c>
      <c r="H14392" s="26">
        <v>3.0300000000000001E-2</v>
      </c>
      <c r="J14392" s="26">
        <v>3.0300000000000001E-2</v>
      </c>
      <c r="K14392" s="26">
        <v>3.0300000000000001E-2</v>
      </c>
      <c r="L14392" s="26">
        <v>3.0300000000000001E-2</v>
      </c>
      <c r="Q14392">
        <v>33</v>
      </c>
    </row>
    <row r="14393" spans="1:17" x14ac:dyDescent="0.35">
      <c r="A14393" s="27" t="s">
        <v>227</v>
      </c>
      <c r="B14393" s="27" t="s">
        <v>361</v>
      </c>
      <c r="C14393" s="28">
        <v>0.55169999999999997</v>
      </c>
      <c r="D14393" s="28">
        <v>0.37930000000000003</v>
      </c>
      <c r="E14393" s="29"/>
      <c r="F14393" s="29"/>
      <c r="G14393" s="28">
        <v>3.4500000000000003E-2</v>
      </c>
      <c r="H14393" s="28">
        <v>3.4500000000000003E-2</v>
      </c>
      <c r="I14393" s="29"/>
      <c r="J14393" s="28">
        <v>3.4500000000000003E-2</v>
      </c>
      <c r="K14393" s="29"/>
      <c r="L14393" s="29"/>
      <c r="M14393" s="29"/>
      <c r="N14393" s="29"/>
      <c r="O14393" s="29"/>
      <c r="P14393" s="29"/>
      <c r="Q14393" s="29" t="s">
        <v>329</v>
      </c>
    </row>
    <row r="14394" spans="1:17" x14ac:dyDescent="0.35">
      <c r="A14394" t="s">
        <v>227</v>
      </c>
      <c r="B14394" t="s">
        <v>362</v>
      </c>
      <c r="C14394" s="26">
        <v>0.78790000000000004</v>
      </c>
      <c r="D14394" s="26">
        <v>0.1515</v>
      </c>
      <c r="E14394" s="26">
        <v>3.0300000000000001E-2</v>
      </c>
      <c r="F14394" s="26">
        <v>3.0300000000000001E-2</v>
      </c>
      <c r="Q14394">
        <v>33</v>
      </c>
    </row>
    <row r="14395" spans="1:17" x14ac:dyDescent="0.35">
      <c r="A14395" t="s">
        <v>227</v>
      </c>
      <c r="B14395" t="s">
        <v>363</v>
      </c>
      <c r="C14395" s="26">
        <v>0.7</v>
      </c>
      <c r="D14395" s="26">
        <v>0.17499999999999999</v>
      </c>
      <c r="E14395" s="26">
        <v>2.5000000000000001E-2</v>
      </c>
      <c r="F14395" s="26">
        <v>0.05</v>
      </c>
      <c r="G14395" s="26">
        <v>2.5000000000000001E-2</v>
      </c>
      <c r="H14395" s="26">
        <v>0.05</v>
      </c>
      <c r="I14395" s="26">
        <v>2.5000000000000001E-2</v>
      </c>
      <c r="K14395" s="26">
        <v>2.5000000000000001E-2</v>
      </c>
      <c r="Q14395">
        <v>40</v>
      </c>
    </row>
    <row r="14396" spans="1:17" x14ac:dyDescent="0.35">
      <c r="A14396" t="s">
        <v>228</v>
      </c>
      <c r="B14396" t="s">
        <v>360</v>
      </c>
      <c r="C14396" s="26">
        <v>0.63729999999999998</v>
      </c>
      <c r="D14396" s="26">
        <v>0.24349999999999999</v>
      </c>
      <c r="E14396" s="26">
        <v>2.2800000000000001E-2</v>
      </c>
      <c r="F14396" s="26">
        <v>2.63E-2</v>
      </c>
      <c r="G14396" s="26">
        <v>3.95E-2</v>
      </c>
      <c r="H14396" s="26">
        <v>4.7000000000000002E-3</v>
      </c>
      <c r="I14396" s="26">
        <v>6.4999999999999997E-3</v>
      </c>
      <c r="J14396" s="26">
        <v>2.3900000000000001E-2</v>
      </c>
      <c r="K14396" s="26">
        <v>2E-3</v>
      </c>
      <c r="L14396" s="26">
        <v>2.35E-2</v>
      </c>
      <c r="M14396" s="26">
        <v>1.35E-2</v>
      </c>
      <c r="O14396" s="26">
        <v>2.7000000000000001E-3</v>
      </c>
      <c r="P14396" s="26">
        <v>6.4999999999999997E-3</v>
      </c>
      <c r="Q14396">
        <v>237</v>
      </c>
    </row>
    <row r="14397" spans="1:17" x14ac:dyDescent="0.35">
      <c r="A14397" t="s">
        <v>228</v>
      </c>
      <c r="B14397" t="s">
        <v>361</v>
      </c>
      <c r="C14397" s="26">
        <v>0.52969999999999995</v>
      </c>
      <c r="D14397" s="26">
        <v>0.28920000000000001</v>
      </c>
      <c r="E14397" s="26">
        <v>4.4200000000000003E-2</v>
      </c>
      <c r="F14397" s="26">
        <v>9.7000000000000003E-3</v>
      </c>
      <c r="G14397" s="26">
        <v>3.6499999999999998E-2</v>
      </c>
      <c r="H14397" s="26">
        <v>3.6499999999999998E-2</v>
      </c>
      <c r="I14397" s="26">
        <v>2.1999999999999999E-2</v>
      </c>
      <c r="J14397" s="26">
        <v>2.07E-2</v>
      </c>
      <c r="K14397" s="26">
        <v>2.4899999999999999E-2</v>
      </c>
      <c r="L14397" s="26">
        <v>0.01</v>
      </c>
      <c r="M14397" s="26">
        <v>2.1100000000000001E-2</v>
      </c>
      <c r="N14397" s="26">
        <v>1.55E-2</v>
      </c>
      <c r="Q14397">
        <v>174</v>
      </c>
    </row>
    <row r="14398" spans="1:17" x14ac:dyDescent="0.35">
      <c r="A14398" t="s">
        <v>228</v>
      </c>
      <c r="B14398" t="s">
        <v>363</v>
      </c>
      <c r="C14398" s="26">
        <v>0.70040000000000002</v>
      </c>
      <c r="D14398" s="26">
        <v>0.1991</v>
      </c>
      <c r="E14398" s="26">
        <v>1.8700000000000001E-2</v>
      </c>
      <c r="F14398" s="26">
        <v>1.3599999999999999E-2</v>
      </c>
      <c r="G14398" s="26">
        <v>4.8999999999999998E-3</v>
      </c>
      <c r="H14398" s="26">
        <v>1.9E-3</v>
      </c>
      <c r="I14398" s="26">
        <v>1.1000000000000001E-3</v>
      </c>
      <c r="J14398" s="26">
        <v>2.76E-2</v>
      </c>
      <c r="L14398" s="26">
        <v>3.0800000000000001E-2</v>
      </c>
      <c r="M14398" s="26">
        <v>1.9400000000000001E-2</v>
      </c>
      <c r="Q14398">
        <v>196</v>
      </c>
    </row>
    <row r="14399" spans="1:17" x14ac:dyDescent="0.35">
      <c r="A14399" t="s">
        <v>228</v>
      </c>
      <c r="B14399" t="s">
        <v>362</v>
      </c>
      <c r="C14399" s="26">
        <v>0.65600000000000003</v>
      </c>
      <c r="D14399" s="26">
        <v>0.24979999999999999</v>
      </c>
      <c r="E14399" s="26">
        <v>2.8400000000000002E-2</v>
      </c>
      <c r="F14399" s="26">
        <v>1.23E-2</v>
      </c>
      <c r="G14399" s="26">
        <v>1.7299999999999999E-2</v>
      </c>
      <c r="H14399" s="26">
        <v>1.6999999999999999E-3</v>
      </c>
      <c r="J14399" s="26">
        <v>1.89E-2</v>
      </c>
      <c r="L14399" s="26">
        <v>2.9499999999999998E-2</v>
      </c>
      <c r="M14399" s="26">
        <v>1.9E-3</v>
      </c>
      <c r="N14399" s="26">
        <v>3.8999999999999998E-3</v>
      </c>
      <c r="Q14399">
        <v>221</v>
      </c>
    </row>
    <row r="14400" spans="1:17" x14ac:dyDescent="0.35">
      <c r="A14400" t="s">
        <v>229</v>
      </c>
      <c r="B14400" t="s">
        <v>363</v>
      </c>
      <c r="C14400" s="26">
        <v>0.68240000000000001</v>
      </c>
      <c r="D14400" s="26">
        <v>0.22589999999999999</v>
      </c>
      <c r="E14400" s="26">
        <v>8.6999999999999994E-3</v>
      </c>
      <c r="F14400" s="26">
        <v>2.0400000000000001E-2</v>
      </c>
      <c r="G14400" s="26">
        <v>5.1999999999999998E-2</v>
      </c>
      <c r="H14400" s="26">
        <v>4.1000000000000003E-3</v>
      </c>
      <c r="J14400" s="26">
        <v>2E-3</v>
      </c>
      <c r="K14400" s="26">
        <v>4.7000000000000002E-3</v>
      </c>
      <c r="L14400" s="26">
        <v>6.0000000000000001E-3</v>
      </c>
      <c r="Q14400">
        <v>172</v>
      </c>
    </row>
    <row r="14401" spans="1:17" x14ac:dyDescent="0.35">
      <c r="A14401" t="s">
        <v>229</v>
      </c>
      <c r="B14401" t="s">
        <v>360</v>
      </c>
      <c r="C14401" s="26">
        <v>0.6552</v>
      </c>
      <c r="D14401" s="26">
        <v>0.21129999999999999</v>
      </c>
      <c r="E14401" s="26">
        <v>5.79E-2</v>
      </c>
      <c r="F14401" s="26">
        <v>1.37E-2</v>
      </c>
      <c r="G14401" s="26">
        <v>2.06E-2</v>
      </c>
      <c r="H14401" s="26">
        <v>3.44E-2</v>
      </c>
      <c r="J14401" s="26">
        <v>3.3999999999999998E-3</v>
      </c>
      <c r="K14401" s="26">
        <v>6.9999999999999999E-4</v>
      </c>
      <c r="L14401" s="26">
        <v>3.3999999999999998E-3</v>
      </c>
      <c r="M14401" s="26">
        <v>2.06E-2</v>
      </c>
      <c r="O14401" s="26">
        <v>1.78E-2</v>
      </c>
      <c r="Q14401">
        <v>152</v>
      </c>
    </row>
    <row r="14402" spans="1:17" x14ac:dyDescent="0.35">
      <c r="A14402" t="s">
        <v>229</v>
      </c>
      <c r="B14402" t="s">
        <v>361</v>
      </c>
      <c r="C14402" s="26">
        <v>0.63870000000000005</v>
      </c>
      <c r="D14402" s="26">
        <v>0.15079999999999999</v>
      </c>
      <c r="E14402" s="26">
        <v>0.1061</v>
      </c>
      <c r="F14402" s="26">
        <v>5.3400000000000003E-2</v>
      </c>
      <c r="G14402" s="26">
        <v>3.3700000000000001E-2</v>
      </c>
      <c r="H14402" s="26">
        <v>3.7199999999999997E-2</v>
      </c>
      <c r="I14402" s="26">
        <v>3.4700000000000002E-2</v>
      </c>
      <c r="J14402" s="26">
        <v>3.0000000000000001E-3</v>
      </c>
      <c r="K14402" s="26">
        <v>1.2200000000000001E-2</v>
      </c>
      <c r="L14402" s="26">
        <v>4.1000000000000003E-3</v>
      </c>
      <c r="M14402" s="26">
        <v>9.1999999999999998E-3</v>
      </c>
      <c r="N14402" s="26">
        <v>9.1999999999999998E-3</v>
      </c>
      <c r="P14402" s="26">
        <v>9.1999999999999998E-3</v>
      </c>
      <c r="Q14402">
        <v>212</v>
      </c>
    </row>
    <row r="14403" spans="1:17" x14ac:dyDescent="0.35">
      <c r="A14403" t="s">
        <v>229</v>
      </c>
      <c r="B14403" t="s">
        <v>362</v>
      </c>
      <c r="C14403" s="26">
        <v>0.67120000000000002</v>
      </c>
      <c r="D14403" s="26">
        <v>0.2104</v>
      </c>
      <c r="E14403" s="26">
        <v>1.34E-2</v>
      </c>
      <c r="F14403" s="26">
        <v>7.9799999999999996E-2</v>
      </c>
      <c r="G14403" s="26">
        <v>2.3E-3</v>
      </c>
      <c r="H14403" s="26">
        <v>2.18E-2</v>
      </c>
      <c r="I14403" s="26">
        <v>4.4999999999999997E-3</v>
      </c>
      <c r="J14403" s="26">
        <v>4.4999999999999997E-3</v>
      </c>
      <c r="L14403" s="26">
        <v>2.07E-2</v>
      </c>
      <c r="M14403" s="26">
        <v>2.18E-2</v>
      </c>
      <c r="N14403" s="26">
        <v>4.5999999999999999E-3</v>
      </c>
      <c r="Q14403">
        <v>159</v>
      </c>
    </row>
    <row r="14404" spans="1:17" x14ac:dyDescent="0.35">
      <c r="A14404" t="s">
        <v>230</v>
      </c>
      <c r="B14404" t="s">
        <v>360</v>
      </c>
      <c r="C14404" s="26">
        <v>0.68340000000000001</v>
      </c>
      <c r="D14404" s="26">
        <v>0.12609999999999999</v>
      </c>
      <c r="E14404" s="26">
        <v>6.2600000000000003E-2</v>
      </c>
      <c r="F14404" s="26">
        <v>4.5199999999999997E-2</v>
      </c>
      <c r="G14404" s="26">
        <v>3.0499999999999999E-2</v>
      </c>
      <c r="H14404" s="26">
        <v>3.0499999999999999E-2</v>
      </c>
      <c r="I14404" s="26">
        <v>6.0999999999999999E-2</v>
      </c>
      <c r="J14404" s="26">
        <v>1.66E-2</v>
      </c>
      <c r="K14404" s="26">
        <v>5.0000000000000001E-3</v>
      </c>
      <c r="L14404" s="26">
        <v>8.0999999999999996E-3</v>
      </c>
      <c r="M14404" s="26">
        <v>1.5E-3</v>
      </c>
      <c r="N14404" s="26">
        <v>3.0499999999999999E-2</v>
      </c>
      <c r="Q14404">
        <v>109</v>
      </c>
    </row>
    <row r="14405" spans="1:17" x14ac:dyDescent="0.35">
      <c r="A14405" t="s">
        <v>230</v>
      </c>
      <c r="B14405" t="s">
        <v>363</v>
      </c>
      <c r="C14405" s="26">
        <v>0.71299999999999997</v>
      </c>
      <c r="D14405" s="26">
        <v>0.1459</v>
      </c>
      <c r="E14405" s="26">
        <v>5.6399999999999999E-2</v>
      </c>
      <c r="F14405" s="26">
        <v>4.1700000000000001E-2</v>
      </c>
      <c r="G14405" s="26">
        <v>5.21E-2</v>
      </c>
      <c r="I14405" s="26">
        <v>3.04E-2</v>
      </c>
      <c r="J14405" s="26">
        <v>4.1700000000000001E-2</v>
      </c>
      <c r="L14405" s="26">
        <v>9.9000000000000008E-3</v>
      </c>
      <c r="M14405" s="26">
        <v>1.2999999999999999E-3</v>
      </c>
      <c r="Q14405">
        <v>115</v>
      </c>
    </row>
    <row r="14406" spans="1:17" x14ac:dyDescent="0.35">
      <c r="A14406" t="s">
        <v>230</v>
      </c>
      <c r="B14406" t="s">
        <v>361</v>
      </c>
      <c r="C14406" s="26">
        <v>0.55479999999999996</v>
      </c>
      <c r="D14406" s="26">
        <v>0.14610000000000001</v>
      </c>
      <c r="E14406" s="26">
        <v>0.12130000000000001</v>
      </c>
      <c r="F14406" s="26">
        <v>4.8999999999999998E-3</v>
      </c>
      <c r="G14406" s="26">
        <v>4.5499999999999999E-2</v>
      </c>
      <c r="H14406" s="26">
        <v>6.83E-2</v>
      </c>
      <c r="I14406" s="26">
        <v>9.0999999999999998E-2</v>
      </c>
      <c r="J14406" s="26">
        <v>2.7699999999999999E-2</v>
      </c>
      <c r="K14406" s="26">
        <v>7.5800000000000006E-2</v>
      </c>
      <c r="L14406" s="26">
        <v>5.0500000000000003E-2</v>
      </c>
      <c r="M14406" s="26">
        <v>4.6699999999999998E-2</v>
      </c>
      <c r="N14406" s="26">
        <v>2.2800000000000001E-2</v>
      </c>
      <c r="O14406" s="26">
        <v>1.1999999999999999E-3</v>
      </c>
      <c r="Q14406">
        <v>98</v>
      </c>
    </row>
    <row r="14407" spans="1:17" x14ac:dyDescent="0.35">
      <c r="A14407" t="s">
        <v>230</v>
      </c>
      <c r="B14407" t="s">
        <v>362</v>
      </c>
      <c r="C14407" s="26">
        <v>0.72419999999999995</v>
      </c>
      <c r="D14407" s="26">
        <v>0.1731</v>
      </c>
      <c r="E14407" s="26">
        <v>4.6899999999999997E-2</v>
      </c>
      <c r="F14407" s="26">
        <v>6.1999999999999998E-3</v>
      </c>
      <c r="G14407" s="26">
        <v>2.52E-2</v>
      </c>
      <c r="H14407" s="26">
        <v>2.4E-2</v>
      </c>
      <c r="I14407" s="26">
        <v>4.58E-2</v>
      </c>
      <c r="J14407" s="26">
        <v>3.8E-3</v>
      </c>
      <c r="N14407" s="26">
        <v>1.1999999999999999E-3</v>
      </c>
      <c r="Q14407">
        <v>137</v>
      </c>
    </row>
    <row r="14408" spans="1:17" x14ac:dyDescent="0.35">
      <c r="A14408" s="27" t="s">
        <v>231</v>
      </c>
      <c r="B14408" s="27" t="s">
        <v>362</v>
      </c>
      <c r="C14408" s="28">
        <v>0.82140000000000002</v>
      </c>
      <c r="D14408" s="28">
        <v>0.1429</v>
      </c>
      <c r="E14408" s="28">
        <v>3.5700000000000003E-2</v>
      </c>
      <c r="F14408" s="29"/>
      <c r="G14408" s="29"/>
      <c r="H14408" s="29"/>
      <c r="I14408" s="29"/>
      <c r="J14408" s="29"/>
      <c r="K14408" s="29"/>
      <c r="L14408" s="29"/>
      <c r="M14408" s="29"/>
      <c r="N14408" s="29"/>
      <c r="O14408" s="29"/>
      <c r="P14408" s="29"/>
      <c r="Q14408" s="29" t="s">
        <v>336</v>
      </c>
    </row>
    <row r="14409" spans="1:17" x14ac:dyDescent="0.35">
      <c r="A14409" t="s">
        <v>231</v>
      </c>
      <c r="B14409" t="s">
        <v>361</v>
      </c>
      <c r="C14409" s="26">
        <v>0.77780000000000005</v>
      </c>
      <c r="D14409" s="26">
        <v>0.1111</v>
      </c>
      <c r="E14409" s="26">
        <v>6.6699999999999995E-2</v>
      </c>
      <c r="F14409" s="26">
        <v>2.2200000000000001E-2</v>
      </c>
      <c r="G14409" s="26">
        <v>4.4400000000000002E-2</v>
      </c>
      <c r="I14409" s="26">
        <v>2.2200000000000001E-2</v>
      </c>
      <c r="O14409" s="26">
        <v>2.2200000000000001E-2</v>
      </c>
      <c r="Q14409">
        <v>45</v>
      </c>
    </row>
    <row r="14410" spans="1:17" x14ac:dyDescent="0.35">
      <c r="A14410" t="s">
        <v>231</v>
      </c>
      <c r="B14410" t="s">
        <v>360</v>
      </c>
      <c r="C14410" s="26">
        <v>0.88639999999999997</v>
      </c>
      <c r="D14410" s="26">
        <v>9.0899999999999995E-2</v>
      </c>
      <c r="F14410" s="26">
        <v>2.2700000000000001E-2</v>
      </c>
      <c r="H14410" s="26">
        <v>2.2700000000000001E-2</v>
      </c>
      <c r="Q14410">
        <v>44</v>
      </c>
    </row>
    <row r="14411" spans="1:17" x14ac:dyDescent="0.35">
      <c r="A14411" s="27" t="s">
        <v>231</v>
      </c>
      <c r="B14411" s="27" t="s">
        <v>363</v>
      </c>
      <c r="C14411" s="28">
        <v>0.64</v>
      </c>
      <c r="D14411" s="28">
        <v>0.2</v>
      </c>
      <c r="E14411" s="28">
        <v>0.04</v>
      </c>
      <c r="F14411" s="28">
        <v>0.04</v>
      </c>
      <c r="G14411" s="29"/>
      <c r="H14411" s="28">
        <v>0.04</v>
      </c>
      <c r="I14411" s="29"/>
      <c r="J14411" s="29"/>
      <c r="K14411" s="28">
        <v>0.04</v>
      </c>
      <c r="L14411" s="29"/>
      <c r="M14411" s="29"/>
      <c r="N14411" s="29"/>
      <c r="O14411" s="29"/>
      <c r="P14411" s="29"/>
      <c r="Q14411" s="29" t="s">
        <v>312</v>
      </c>
    </row>
    <row r="14412" spans="1:17" x14ac:dyDescent="0.35">
      <c r="A14412" t="s">
        <v>232</v>
      </c>
      <c r="B14412" t="s">
        <v>232</v>
      </c>
      <c r="C14412" s="26">
        <v>0.69269999999999998</v>
      </c>
      <c r="D14412" s="26">
        <v>0.186</v>
      </c>
      <c r="E14412" s="26">
        <v>4.0300000000000002E-2</v>
      </c>
      <c r="F14412" s="26">
        <v>3.09E-2</v>
      </c>
      <c r="G14412" s="26">
        <v>2.3099999999999999E-2</v>
      </c>
      <c r="H14412" s="26">
        <v>2.0899999999999998E-2</v>
      </c>
      <c r="I14412" s="26">
        <v>1.41E-2</v>
      </c>
      <c r="J14412" s="26">
        <v>1.14E-2</v>
      </c>
      <c r="K14412" s="26">
        <v>9.9000000000000008E-3</v>
      </c>
      <c r="L14412" s="26">
        <v>8.6999999999999994E-3</v>
      </c>
      <c r="M14412" s="26">
        <v>7.3000000000000001E-3</v>
      </c>
      <c r="N14412" s="26">
        <v>4.0000000000000001E-3</v>
      </c>
      <c r="O14412" s="26">
        <v>2.8999999999999998E-3</v>
      </c>
      <c r="P14412" s="26">
        <v>2E-3</v>
      </c>
      <c r="Q14412">
        <v>2259</v>
      </c>
    </row>
    <row r="14414" spans="1:17" x14ac:dyDescent="0.35">
      <c r="A14414" s="1" t="s">
        <v>1585</v>
      </c>
    </row>
    <row r="14415" spans="1:17" x14ac:dyDescent="0.35">
      <c r="A14415" t="s">
        <v>219</v>
      </c>
      <c r="B14415" t="s">
        <v>305</v>
      </c>
      <c r="C14415" t="s">
        <v>550</v>
      </c>
      <c r="D14415" t="s">
        <v>281</v>
      </c>
      <c r="E14415" t="s">
        <v>1575</v>
      </c>
      <c r="F14415" t="s">
        <v>1401</v>
      </c>
      <c r="G14415" t="s">
        <v>1576</v>
      </c>
      <c r="H14415" t="s">
        <v>1577</v>
      </c>
      <c r="I14415" t="s">
        <v>1406</v>
      </c>
      <c r="J14415" t="s">
        <v>1578</v>
      </c>
      <c r="K14415" t="s">
        <v>326</v>
      </c>
      <c r="L14415" t="s">
        <v>1579</v>
      </c>
      <c r="M14415" t="s">
        <v>1504</v>
      </c>
      <c r="N14415" t="s">
        <v>1580</v>
      </c>
      <c r="O14415" t="s">
        <v>286</v>
      </c>
      <c r="P14415" t="s">
        <v>1408</v>
      </c>
      <c r="Q14415" t="s">
        <v>226</v>
      </c>
    </row>
    <row r="14416" spans="1:17" x14ac:dyDescent="0.35">
      <c r="A14416" s="27" t="s">
        <v>227</v>
      </c>
      <c r="B14416" s="27" t="s">
        <v>267</v>
      </c>
      <c r="C14416" s="28">
        <v>0.62070000000000003</v>
      </c>
      <c r="D14416" s="28">
        <v>0.2069</v>
      </c>
      <c r="E14416" s="28">
        <v>6.9000000000000006E-2</v>
      </c>
      <c r="F14416" s="28">
        <v>6.9000000000000006E-2</v>
      </c>
      <c r="G14416" s="28">
        <v>3.4500000000000003E-2</v>
      </c>
      <c r="H14416" s="29"/>
      <c r="I14416" s="29"/>
      <c r="J14416" s="28">
        <v>6.9000000000000006E-2</v>
      </c>
      <c r="K14416" s="29"/>
      <c r="L14416" s="28">
        <v>3.4500000000000003E-2</v>
      </c>
      <c r="M14416" s="29"/>
      <c r="N14416" s="29"/>
      <c r="O14416" s="29"/>
      <c r="P14416" s="29"/>
      <c r="Q14416" s="29" t="s">
        <v>329</v>
      </c>
    </row>
    <row r="14417" spans="1:17" x14ac:dyDescent="0.35">
      <c r="A14417" t="s">
        <v>227</v>
      </c>
      <c r="B14417" t="s">
        <v>265</v>
      </c>
      <c r="C14417" s="26">
        <v>0.72130000000000005</v>
      </c>
      <c r="D14417" s="26">
        <v>0.18029999999999999</v>
      </c>
      <c r="F14417" s="26">
        <v>4.9200000000000001E-2</v>
      </c>
      <c r="H14417" s="26">
        <v>4.9200000000000001E-2</v>
      </c>
      <c r="I14417" s="26">
        <v>1.6400000000000001E-2</v>
      </c>
      <c r="J14417" s="26">
        <v>1.6400000000000001E-2</v>
      </c>
      <c r="Q14417">
        <v>61</v>
      </c>
    </row>
    <row r="14418" spans="1:17" x14ac:dyDescent="0.35">
      <c r="A14418" t="s">
        <v>227</v>
      </c>
      <c r="B14418" t="s">
        <v>266</v>
      </c>
      <c r="C14418" s="26">
        <v>0.64149999999999996</v>
      </c>
      <c r="D14418" s="26">
        <v>0.28299999999999997</v>
      </c>
      <c r="G14418" s="26">
        <v>1.89E-2</v>
      </c>
      <c r="H14418" s="26">
        <v>1.89E-2</v>
      </c>
      <c r="K14418" s="26">
        <v>5.6599999999999998E-2</v>
      </c>
      <c r="Q14418">
        <v>53</v>
      </c>
    </row>
    <row r="14419" spans="1:17" x14ac:dyDescent="0.35">
      <c r="A14419" t="s">
        <v>228</v>
      </c>
      <c r="B14419" t="s">
        <v>265</v>
      </c>
      <c r="C14419" s="26">
        <v>0.6724</v>
      </c>
      <c r="D14419" s="26">
        <v>0.19900000000000001</v>
      </c>
      <c r="E14419" s="26">
        <v>1.32E-2</v>
      </c>
      <c r="F14419" s="26">
        <v>6.7000000000000002E-3</v>
      </c>
      <c r="G14419" s="26">
        <v>2.7099999999999999E-2</v>
      </c>
      <c r="H14419" s="26">
        <v>8.6999999999999994E-3</v>
      </c>
      <c r="I14419" s="26">
        <v>1.0800000000000001E-2</v>
      </c>
      <c r="J14419" s="26">
        <v>2.0500000000000001E-2</v>
      </c>
      <c r="K14419" s="26">
        <v>1.4800000000000001E-2</v>
      </c>
      <c r="L14419" s="26">
        <v>3.0599999999999999E-2</v>
      </c>
      <c r="M14419" s="26">
        <v>1.1900000000000001E-2</v>
      </c>
      <c r="O14419" s="26">
        <v>5.9999999999999995E-4</v>
      </c>
      <c r="Q14419">
        <v>356</v>
      </c>
    </row>
    <row r="14420" spans="1:17" x14ac:dyDescent="0.35">
      <c r="A14420" t="s">
        <v>228</v>
      </c>
      <c r="B14420" t="s">
        <v>267</v>
      </c>
      <c r="C14420" s="26">
        <v>0.64459999999999995</v>
      </c>
      <c r="D14420" s="26">
        <v>0.2452</v>
      </c>
      <c r="E14420" s="26">
        <v>3.95E-2</v>
      </c>
      <c r="F14420" s="26">
        <v>2.9499999999999998E-2</v>
      </c>
      <c r="G14420" s="26">
        <v>1.41E-2</v>
      </c>
      <c r="H14420" s="26">
        <v>1.52E-2</v>
      </c>
      <c r="I14420" s="26">
        <v>8.8999999999999999E-3</v>
      </c>
      <c r="J14420" s="26">
        <v>3.4099999999999998E-2</v>
      </c>
      <c r="K14420" s="26">
        <v>7.4000000000000003E-3</v>
      </c>
      <c r="L14420" s="26">
        <v>0.02</v>
      </c>
      <c r="M14420" s="26">
        <v>0.01</v>
      </c>
      <c r="N14420" s="26">
        <v>5.1999999999999998E-3</v>
      </c>
      <c r="P14420" s="26">
        <v>7.4000000000000003E-3</v>
      </c>
      <c r="Q14420">
        <v>186</v>
      </c>
    </row>
    <row r="14421" spans="1:17" x14ac:dyDescent="0.35">
      <c r="A14421" t="s">
        <v>228</v>
      </c>
      <c r="B14421" t="s">
        <v>266</v>
      </c>
      <c r="C14421" s="26">
        <v>0.59009999999999996</v>
      </c>
      <c r="D14421" s="26">
        <v>0.29549999999999998</v>
      </c>
      <c r="E14421" s="26">
        <v>2.8299999999999999E-2</v>
      </c>
      <c r="F14421" s="26">
        <v>3.8199999999999998E-2</v>
      </c>
      <c r="G14421" s="26">
        <v>0.03</v>
      </c>
      <c r="H14421" s="26">
        <v>1.01E-2</v>
      </c>
      <c r="I14421" s="26">
        <v>1.5E-3</v>
      </c>
      <c r="J14421" s="26">
        <v>2.07E-2</v>
      </c>
      <c r="L14421" s="26">
        <v>1.37E-2</v>
      </c>
      <c r="M14421" s="26">
        <v>5.8999999999999999E-3</v>
      </c>
      <c r="N14421" s="26">
        <v>9.1000000000000004E-3</v>
      </c>
      <c r="O14421" s="26">
        <v>1.2999999999999999E-3</v>
      </c>
      <c r="Q14421">
        <v>412</v>
      </c>
    </row>
    <row r="14422" spans="1:17" x14ac:dyDescent="0.35">
      <c r="A14422" s="27" t="s">
        <v>228</v>
      </c>
      <c r="B14422" s="27" t="s">
        <v>236</v>
      </c>
      <c r="C14422" s="29"/>
      <c r="D14422" s="29"/>
      <c r="E14422" s="28">
        <v>0.5</v>
      </c>
      <c r="F14422" s="29"/>
      <c r="G14422" s="29"/>
      <c r="H14422" s="29"/>
      <c r="I14422" s="29"/>
      <c r="J14422" s="29"/>
      <c r="K14422" s="29"/>
      <c r="L14422" s="29"/>
      <c r="M14422" s="28">
        <v>0.5</v>
      </c>
      <c r="N14422" s="29"/>
      <c r="O14422" s="29"/>
      <c r="P14422" s="29"/>
      <c r="Q14422" s="29" t="s">
        <v>314</v>
      </c>
    </row>
    <row r="14423" spans="1:17" x14ac:dyDescent="0.35">
      <c r="A14423" t="s">
        <v>229</v>
      </c>
      <c r="B14423" t="s">
        <v>265</v>
      </c>
      <c r="C14423" s="26">
        <v>0.65810000000000002</v>
      </c>
      <c r="D14423" s="26">
        <v>0.19189999999999999</v>
      </c>
      <c r="E14423" s="26">
        <v>6.3E-2</v>
      </c>
      <c r="F14423" s="26">
        <v>2.6599999999999999E-2</v>
      </c>
      <c r="G14423" s="26">
        <v>3.8899999999999997E-2</v>
      </c>
      <c r="H14423" s="26">
        <v>2.4199999999999999E-2</v>
      </c>
      <c r="I14423" s="26">
        <v>2.5100000000000001E-2</v>
      </c>
      <c r="J14423" s="26">
        <v>2.0999999999999999E-3</v>
      </c>
      <c r="K14423" s="26">
        <v>8.0000000000000002E-3</v>
      </c>
      <c r="L14423" s="26">
        <v>3.0000000000000001E-3</v>
      </c>
      <c r="M14423" s="26">
        <v>9.4999999999999998E-3</v>
      </c>
      <c r="N14423" s="26">
        <v>1.6999999999999999E-3</v>
      </c>
      <c r="O14423" s="26">
        <v>8.9999999999999998E-4</v>
      </c>
      <c r="Q14423">
        <v>298</v>
      </c>
    </row>
    <row r="14424" spans="1:17" x14ac:dyDescent="0.35">
      <c r="A14424" t="s">
        <v>229</v>
      </c>
      <c r="B14424" t="s">
        <v>266</v>
      </c>
      <c r="C14424" s="26">
        <v>0.63700000000000001</v>
      </c>
      <c r="D14424" s="26">
        <v>0.22239999999999999</v>
      </c>
      <c r="E14424" s="26">
        <v>4.4999999999999998E-2</v>
      </c>
      <c r="F14424" s="26">
        <v>5.04E-2</v>
      </c>
      <c r="G14424" s="26">
        <v>1.89E-2</v>
      </c>
      <c r="H14424" s="26">
        <v>2.81E-2</v>
      </c>
      <c r="I14424" s="26">
        <v>1.89E-2</v>
      </c>
      <c r="J14424" s="26">
        <v>1.14E-2</v>
      </c>
      <c r="K14424" s="26">
        <v>3.7000000000000002E-3</v>
      </c>
      <c r="L14424" s="26">
        <v>9.1999999999999998E-3</v>
      </c>
      <c r="M14424" s="26">
        <v>2.75E-2</v>
      </c>
      <c r="N14424" s="26">
        <v>8.6E-3</v>
      </c>
      <c r="O14424" s="26">
        <v>8.8999999999999999E-3</v>
      </c>
      <c r="P14424" s="26">
        <v>1.89E-2</v>
      </c>
      <c r="Q14424">
        <v>328</v>
      </c>
    </row>
    <row r="14425" spans="1:17" x14ac:dyDescent="0.35">
      <c r="A14425" t="s">
        <v>229</v>
      </c>
      <c r="B14425" t="s">
        <v>267</v>
      </c>
      <c r="C14425" s="26">
        <v>0.65190000000000003</v>
      </c>
      <c r="D14425" s="26">
        <v>0.16689999999999999</v>
      </c>
      <c r="E14425" s="26">
        <v>8.2199999999999995E-2</v>
      </c>
      <c r="F14425" s="26">
        <v>6.13E-2</v>
      </c>
      <c r="G14425" s="26">
        <v>3.85E-2</v>
      </c>
      <c r="H14425" s="26">
        <v>4.3299999999999998E-2</v>
      </c>
      <c r="J14425" s="26">
        <v>7.1999999999999998E-3</v>
      </c>
      <c r="K14425" s="26">
        <v>3.2000000000000002E-3</v>
      </c>
      <c r="L14425" s="26">
        <v>1.03E-2</v>
      </c>
      <c r="N14425" s="26">
        <v>1.44E-2</v>
      </c>
      <c r="Q14425">
        <v>185</v>
      </c>
    </row>
    <row r="14426" spans="1:17" x14ac:dyDescent="0.35">
      <c r="A14426" t="s">
        <v>230</v>
      </c>
      <c r="B14426" t="s">
        <v>265</v>
      </c>
      <c r="C14426" s="26">
        <v>0.67490000000000006</v>
      </c>
      <c r="D14426" s="26">
        <v>0.14069999999999999</v>
      </c>
      <c r="E14426" s="26">
        <v>6.4199999999999993E-2</v>
      </c>
      <c r="F14426" s="26">
        <v>1.6400000000000001E-2</v>
      </c>
      <c r="G14426" s="26">
        <v>2.93E-2</v>
      </c>
      <c r="H14426" s="26">
        <v>2.86E-2</v>
      </c>
      <c r="I14426" s="26">
        <v>4.2900000000000001E-2</v>
      </c>
      <c r="J14426" s="26">
        <v>2.2000000000000001E-3</v>
      </c>
      <c r="K14426" s="26">
        <v>1.66E-2</v>
      </c>
      <c r="L14426" s="26">
        <v>2.1999999999999999E-2</v>
      </c>
      <c r="M14426" s="26">
        <v>3.0800000000000001E-2</v>
      </c>
      <c r="N14426" s="26">
        <v>1.43E-2</v>
      </c>
      <c r="Q14426">
        <v>187</v>
      </c>
    </row>
    <row r="14427" spans="1:17" x14ac:dyDescent="0.35">
      <c r="A14427" t="s">
        <v>230</v>
      </c>
      <c r="B14427" t="s">
        <v>267</v>
      </c>
      <c r="C14427" s="26">
        <v>0.65610000000000002</v>
      </c>
      <c r="D14427" s="26">
        <v>0.22600000000000001</v>
      </c>
      <c r="E14427" s="26">
        <v>2.9899999999999999E-2</v>
      </c>
      <c r="F14427" s="26">
        <v>2.8199999999999999E-2</v>
      </c>
      <c r="G14427" s="26">
        <v>2.5600000000000001E-2</v>
      </c>
      <c r="H14427" s="26">
        <v>7.6899999999999996E-2</v>
      </c>
      <c r="I14427" s="26">
        <v>0.03</v>
      </c>
      <c r="J14427" s="26">
        <v>3.4200000000000001E-2</v>
      </c>
      <c r="L14427" s="26">
        <v>2.5600000000000001E-2</v>
      </c>
      <c r="N14427" s="26">
        <v>2.5600000000000001E-2</v>
      </c>
      <c r="Q14427">
        <v>110</v>
      </c>
    </row>
    <row r="14428" spans="1:17" x14ac:dyDescent="0.35">
      <c r="A14428" t="s">
        <v>230</v>
      </c>
      <c r="B14428" t="s">
        <v>266</v>
      </c>
      <c r="C14428" s="26">
        <v>0.67849999999999999</v>
      </c>
      <c r="D14428" s="26">
        <v>0.12470000000000001</v>
      </c>
      <c r="E14428" s="26">
        <v>9.9900000000000003E-2</v>
      </c>
      <c r="F14428" s="26">
        <v>2.3699999999999999E-2</v>
      </c>
      <c r="G14428" s="26">
        <v>4.9399999999999999E-2</v>
      </c>
      <c r="H14428" s="26">
        <v>8.0000000000000004E-4</v>
      </c>
      <c r="I14428" s="26">
        <v>7.9699999999999993E-2</v>
      </c>
      <c r="J14428" s="26">
        <v>3.5200000000000002E-2</v>
      </c>
      <c r="K14428" s="26">
        <v>3.7199999999999997E-2</v>
      </c>
      <c r="L14428" s="26">
        <v>5.3E-3</v>
      </c>
      <c r="N14428" s="26">
        <v>8.0000000000000004E-4</v>
      </c>
      <c r="O14428" s="26">
        <v>8.0000000000000004E-4</v>
      </c>
      <c r="Q14428">
        <v>215</v>
      </c>
    </row>
    <row r="14429" spans="1:17" x14ac:dyDescent="0.35">
      <c r="A14429" t="s">
        <v>231</v>
      </c>
      <c r="B14429" t="s">
        <v>266</v>
      </c>
      <c r="C14429" s="26">
        <v>0.77969999999999995</v>
      </c>
      <c r="D14429" s="26">
        <v>0.18640000000000001</v>
      </c>
      <c r="E14429" s="26">
        <v>1.6899999999999998E-2</v>
      </c>
      <c r="F14429" s="26">
        <v>1.6899999999999998E-2</v>
      </c>
      <c r="G14429" s="26">
        <v>1.6899999999999998E-2</v>
      </c>
      <c r="Q14429">
        <v>59</v>
      </c>
    </row>
    <row r="14430" spans="1:17" x14ac:dyDescent="0.35">
      <c r="A14430" t="s">
        <v>231</v>
      </c>
      <c r="B14430" t="s">
        <v>265</v>
      </c>
      <c r="C14430" s="26">
        <v>0.81820000000000004</v>
      </c>
      <c r="D14430" s="26">
        <v>9.0899999999999995E-2</v>
      </c>
      <c r="E14430" s="26">
        <v>3.0300000000000001E-2</v>
      </c>
      <c r="F14430" s="26">
        <v>4.5499999999999999E-2</v>
      </c>
      <c r="H14430" s="26">
        <v>1.52E-2</v>
      </c>
      <c r="I14430" s="26">
        <v>1.52E-2</v>
      </c>
      <c r="O14430" s="26">
        <v>1.52E-2</v>
      </c>
      <c r="Q14430">
        <v>66</v>
      </c>
    </row>
    <row r="14431" spans="1:17" x14ac:dyDescent="0.35">
      <c r="A14431" t="s">
        <v>231</v>
      </c>
      <c r="B14431" t="s">
        <v>267</v>
      </c>
      <c r="C14431" s="26">
        <v>0.7742</v>
      </c>
      <c r="D14431" s="26">
        <v>9.6799999999999997E-2</v>
      </c>
      <c r="E14431" s="26">
        <v>6.4500000000000002E-2</v>
      </c>
      <c r="G14431" s="26">
        <v>3.2300000000000002E-2</v>
      </c>
      <c r="H14431" s="26">
        <v>3.2300000000000002E-2</v>
      </c>
      <c r="K14431" s="26">
        <v>3.2300000000000002E-2</v>
      </c>
      <c r="Q14431">
        <v>31</v>
      </c>
    </row>
    <row r="14432" spans="1:17" x14ac:dyDescent="0.35">
      <c r="A14432" t="s">
        <v>232</v>
      </c>
      <c r="B14432" t="s">
        <v>232</v>
      </c>
      <c r="C14432" s="26">
        <v>0.69269999999999998</v>
      </c>
      <c r="D14432" s="26">
        <v>0.186</v>
      </c>
      <c r="E14432" s="26">
        <v>4.0300000000000002E-2</v>
      </c>
      <c r="F14432" s="26">
        <v>3.09E-2</v>
      </c>
      <c r="G14432" s="26">
        <v>2.3099999999999999E-2</v>
      </c>
      <c r="H14432" s="26">
        <v>2.0899999999999998E-2</v>
      </c>
      <c r="I14432" s="26">
        <v>1.41E-2</v>
      </c>
      <c r="J14432" s="26">
        <v>1.14E-2</v>
      </c>
      <c r="K14432" s="26">
        <v>9.9000000000000008E-3</v>
      </c>
      <c r="L14432" s="26">
        <v>8.6999999999999994E-3</v>
      </c>
      <c r="M14432" s="26">
        <v>7.3000000000000001E-3</v>
      </c>
      <c r="N14432" s="26">
        <v>4.0000000000000001E-3</v>
      </c>
      <c r="O14432" s="26">
        <v>2.8999999999999998E-3</v>
      </c>
      <c r="P14432" s="26">
        <v>2E-3</v>
      </c>
      <c r="Q14432">
        <v>2578</v>
      </c>
    </row>
    <row r="14434" spans="1:17" x14ac:dyDescent="0.35">
      <c r="A14434" s="1" t="s">
        <v>1586</v>
      </c>
    </row>
    <row r="14435" spans="1:17" x14ac:dyDescent="0.35">
      <c r="A14435" t="s">
        <v>219</v>
      </c>
      <c r="B14435" t="s">
        <v>305</v>
      </c>
      <c r="C14435" t="s">
        <v>550</v>
      </c>
      <c r="D14435" t="s">
        <v>281</v>
      </c>
      <c r="E14435" t="s">
        <v>1575</v>
      </c>
      <c r="F14435" t="s">
        <v>1401</v>
      </c>
      <c r="G14435" t="s">
        <v>1576</v>
      </c>
      <c r="H14435" t="s">
        <v>1577</v>
      </c>
      <c r="I14435" t="s">
        <v>1406</v>
      </c>
      <c r="J14435" t="s">
        <v>1578</v>
      </c>
      <c r="K14435" t="s">
        <v>326</v>
      </c>
      <c r="L14435" t="s">
        <v>1579</v>
      </c>
      <c r="M14435" t="s">
        <v>1504</v>
      </c>
      <c r="N14435" t="s">
        <v>1580</v>
      </c>
      <c r="O14435" t="s">
        <v>286</v>
      </c>
      <c r="P14435" t="s">
        <v>1408</v>
      </c>
      <c r="Q14435" t="s">
        <v>226</v>
      </c>
    </row>
    <row r="14436" spans="1:17" x14ac:dyDescent="0.35">
      <c r="A14436" t="s">
        <v>227</v>
      </c>
      <c r="B14436" t="s">
        <v>252</v>
      </c>
      <c r="C14436" s="26">
        <v>0.64100000000000001</v>
      </c>
      <c r="D14436" s="26">
        <v>0.33329999999999999</v>
      </c>
      <c r="J14436" s="26">
        <v>2.5600000000000001E-2</v>
      </c>
      <c r="Q14436">
        <v>39</v>
      </c>
    </row>
    <row r="14437" spans="1:17" x14ac:dyDescent="0.35">
      <c r="A14437" t="s">
        <v>227</v>
      </c>
      <c r="B14437" t="s">
        <v>253</v>
      </c>
      <c r="C14437" s="26">
        <v>0.7097</v>
      </c>
      <c r="D14437" s="26">
        <v>0.19350000000000001</v>
      </c>
      <c r="F14437" s="26">
        <v>6.4500000000000002E-2</v>
      </c>
      <c r="H14437" s="26">
        <v>6.4500000000000002E-2</v>
      </c>
      <c r="I14437" s="26">
        <v>3.2300000000000002E-2</v>
      </c>
      <c r="Q14437">
        <v>31</v>
      </c>
    </row>
    <row r="14438" spans="1:17" x14ac:dyDescent="0.35">
      <c r="A14438" t="s">
        <v>227</v>
      </c>
      <c r="B14438" t="s">
        <v>251</v>
      </c>
      <c r="C14438" s="26">
        <v>0.67120000000000002</v>
      </c>
      <c r="D14438" s="26">
        <v>0.17810000000000001</v>
      </c>
      <c r="E14438" s="26">
        <v>2.7400000000000001E-2</v>
      </c>
      <c r="F14438" s="26">
        <v>4.1099999999999998E-2</v>
      </c>
      <c r="G14438" s="26">
        <v>2.7400000000000001E-2</v>
      </c>
      <c r="H14438" s="26">
        <v>2.7400000000000001E-2</v>
      </c>
      <c r="J14438" s="26">
        <v>2.7400000000000001E-2</v>
      </c>
      <c r="K14438" s="26">
        <v>4.1099999999999998E-2</v>
      </c>
      <c r="L14438" s="26">
        <v>1.37E-2</v>
      </c>
      <c r="Q14438">
        <v>73</v>
      </c>
    </row>
    <row r="14439" spans="1:17" x14ac:dyDescent="0.35">
      <c r="A14439" t="s">
        <v>228</v>
      </c>
      <c r="B14439" t="s">
        <v>252</v>
      </c>
      <c r="C14439" s="26">
        <v>0.62790000000000001</v>
      </c>
      <c r="D14439" s="26">
        <v>0.28199999999999997</v>
      </c>
      <c r="E14439" s="26">
        <v>1.6400000000000001E-2</v>
      </c>
      <c r="F14439" s="26">
        <v>1.4200000000000001E-2</v>
      </c>
      <c r="G14439" s="26">
        <v>2.4500000000000001E-2</v>
      </c>
      <c r="H14439" s="26">
        <v>2.8999999999999998E-3</v>
      </c>
      <c r="I14439" s="26">
        <v>1.15E-2</v>
      </c>
      <c r="J14439" s="26">
        <v>1.61E-2</v>
      </c>
      <c r="L14439" s="26">
        <v>1.1299999999999999E-2</v>
      </c>
      <c r="M14439" s="26">
        <v>1.34E-2</v>
      </c>
      <c r="O14439" s="26">
        <v>8.0000000000000004E-4</v>
      </c>
      <c r="Q14439">
        <v>319</v>
      </c>
    </row>
    <row r="14440" spans="1:17" x14ac:dyDescent="0.35">
      <c r="A14440" t="s">
        <v>228</v>
      </c>
      <c r="B14440" t="s">
        <v>253</v>
      </c>
      <c r="C14440" s="26">
        <v>0.58040000000000003</v>
      </c>
      <c r="D14440" s="26">
        <v>0.27029999999999998</v>
      </c>
      <c r="E14440" s="26">
        <v>3.2099999999999997E-2</v>
      </c>
      <c r="F14440" s="26">
        <v>1.5699999999999999E-2</v>
      </c>
      <c r="G14440" s="26">
        <v>4.3799999999999999E-2</v>
      </c>
      <c r="H14440" s="26">
        <v>2.3199999999999998E-2</v>
      </c>
      <c r="I14440" s="26">
        <v>1.4E-3</v>
      </c>
      <c r="J14440" s="26">
        <v>2.6800000000000001E-2</v>
      </c>
      <c r="L14440" s="26">
        <v>2.3800000000000002E-2</v>
      </c>
      <c r="M14440" s="26">
        <v>9.4000000000000004E-3</v>
      </c>
      <c r="N14440" s="26">
        <v>1.8800000000000001E-2</v>
      </c>
      <c r="O14440" s="26">
        <v>1.4E-3</v>
      </c>
      <c r="Q14440">
        <v>199</v>
      </c>
    </row>
    <row r="14441" spans="1:17" x14ac:dyDescent="0.35">
      <c r="A14441" t="s">
        <v>228</v>
      </c>
      <c r="B14441" t="s">
        <v>251</v>
      </c>
      <c r="C14441" s="26">
        <v>0.65049999999999997</v>
      </c>
      <c r="D14441" s="26">
        <v>0.20930000000000001</v>
      </c>
      <c r="E14441" s="26">
        <v>3.2500000000000001E-2</v>
      </c>
      <c r="F14441" s="26">
        <v>3.2000000000000001E-2</v>
      </c>
      <c r="G14441" s="26">
        <v>1.9599999999999999E-2</v>
      </c>
      <c r="H14441" s="26">
        <v>0.01</v>
      </c>
      <c r="I14441" s="26">
        <v>5.7000000000000002E-3</v>
      </c>
      <c r="J14441" s="26">
        <v>2.5600000000000001E-2</v>
      </c>
      <c r="K14441" s="26">
        <v>1.5299999999999999E-2</v>
      </c>
      <c r="L14441" s="26">
        <v>2.7699999999999999E-2</v>
      </c>
      <c r="M14441" s="26">
        <v>1.3599999999999999E-2</v>
      </c>
      <c r="N14441" s="26">
        <v>1.9E-3</v>
      </c>
      <c r="O14441" s="26">
        <v>5.0000000000000001E-4</v>
      </c>
      <c r="P14441" s="26">
        <v>2.5999999999999999E-3</v>
      </c>
      <c r="Q14441">
        <v>438</v>
      </c>
    </row>
    <row r="14442" spans="1:17" x14ac:dyDescent="0.35">
      <c r="A14442" t="s">
        <v>229</v>
      </c>
      <c r="B14442" t="s">
        <v>252</v>
      </c>
      <c r="C14442" s="26">
        <v>0.64890000000000003</v>
      </c>
      <c r="D14442" s="26">
        <v>0.3019</v>
      </c>
      <c r="E14442" s="26">
        <v>1.3899999999999999E-2</v>
      </c>
      <c r="F14442" s="26">
        <v>5.1000000000000004E-3</v>
      </c>
      <c r="G14442" s="26">
        <v>1.43E-2</v>
      </c>
      <c r="I14442" s="26">
        <v>3.0999999999999999E-3</v>
      </c>
      <c r="J14442" s="26">
        <v>8.0000000000000004E-4</v>
      </c>
      <c r="L14442" s="26">
        <v>3.8999999999999998E-3</v>
      </c>
      <c r="O14442" s="26">
        <v>1.1900000000000001E-2</v>
      </c>
      <c r="Q14442">
        <v>185</v>
      </c>
    </row>
    <row r="14443" spans="1:17" x14ac:dyDescent="0.35">
      <c r="A14443" t="s">
        <v>229</v>
      </c>
      <c r="B14443" t="s">
        <v>253</v>
      </c>
      <c r="C14443" s="26">
        <v>0.65769999999999995</v>
      </c>
      <c r="D14443" s="26">
        <v>0.16700000000000001</v>
      </c>
      <c r="E14443" s="26">
        <v>7.8799999999999995E-2</v>
      </c>
      <c r="F14443" s="26">
        <v>6.6E-3</v>
      </c>
      <c r="G14443" s="26">
        <v>5.8799999999999998E-2</v>
      </c>
      <c r="H14443" s="26">
        <v>4.5699999999999998E-2</v>
      </c>
      <c r="J14443" s="26">
        <v>8.3000000000000001E-3</v>
      </c>
      <c r="K14443" s="26">
        <v>4.3E-3</v>
      </c>
      <c r="L14443" s="26">
        <v>2.8E-3</v>
      </c>
      <c r="M14443" s="26">
        <v>3.5400000000000001E-2</v>
      </c>
      <c r="P14443" s="26">
        <v>1.6799999999999999E-2</v>
      </c>
      <c r="Q14443">
        <v>135</v>
      </c>
    </row>
    <row r="14444" spans="1:17" x14ac:dyDescent="0.35">
      <c r="A14444" t="s">
        <v>229</v>
      </c>
      <c r="B14444" t="s">
        <v>251</v>
      </c>
      <c r="C14444" s="26">
        <v>0.6472</v>
      </c>
      <c r="D14444" s="26">
        <v>0.16170000000000001</v>
      </c>
      <c r="E14444" s="26">
        <v>7.5600000000000001E-2</v>
      </c>
      <c r="F14444" s="26">
        <v>7.1499999999999994E-2</v>
      </c>
      <c r="G14444" s="26">
        <v>3.0300000000000001E-2</v>
      </c>
      <c r="H14444" s="26">
        <v>3.6999999999999998E-2</v>
      </c>
      <c r="I14444" s="26">
        <v>2.93E-2</v>
      </c>
      <c r="J14444" s="26">
        <v>8.0999999999999996E-3</v>
      </c>
      <c r="K14444" s="26">
        <v>8.2000000000000007E-3</v>
      </c>
      <c r="L14444" s="26">
        <v>9.4000000000000004E-3</v>
      </c>
      <c r="M14444" s="26">
        <v>1.0800000000000001E-2</v>
      </c>
      <c r="N14444" s="26">
        <v>1.24E-2</v>
      </c>
      <c r="O14444" s="26">
        <v>8.9999999999999998E-4</v>
      </c>
      <c r="P14444" s="26">
        <v>5.1000000000000004E-3</v>
      </c>
      <c r="Q14444">
        <v>491</v>
      </c>
    </row>
    <row r="14445" spans="1:17" x14ac:dyDescent="0.35">
      <c r="A14445" t="s">
        <v>230</v>
      </c>
      <c r="B14445" t="s">
        <v>252</v>
      </c>
      <c r="C14445" s="26">
        <v>0.70709999999999995</v>
      </c>
      <c r="D14445" s="26">
        <v>0.24859999999999999</v>
      </c>
      <c r="E14445" s="26">
        <v>3.0200000000000001E-2</v>
      </c>
      <c r="F14445" s="26">
        <v>5.7999999999999996E-3</v>
      </c>
      <c r="G14445" s="26">
        <v>1.1000000000000001E-3</v>
      </c>
      <c r="J14445" s="26">
        <v>3.5999999999999999E-3</v>
      </c>
      <c r="K14445" s="26">
        <v>3.5999999999999999E-3</v>
      </c>
      <c r="N14445" s="26">
        <v>1.1000000000000001E-3</v>
      </c>
      <c r="O14445" s="26">
        <v>1.1000000000000001E-3</v>
      </c>
      <c r="Q14445">
        <v>151</v>
      </c>
    </row>
    <row r="14446" spans="1:17" x14ac:dyDescent="0.35">
      <c r="A14446" t="s">
        <v>230</v>
      </c>
      <c r="B14446" t="s">
        <v>253</v>
      </c>
      <c r="C14446" s="26">
        <v>0.56610000000000005</v>
      </c>
      <c r="D14446" s="26">
        <v>0.1804</v>
      </c>
      <c r="E14446" s="26">
        <v>0.1067</v>
      </c>
      <c r="F14446" s="26">
        <v>9.2999999999999992E-3</v>
      </c>
      <c r="G14446" s="26">
        <v>7.17E-2</v>
      </c>
      <c r="H14446" s="26">
        <v>3.6799999999999999E-2</v>
      </c>
      <c r="I14446" s="26">
        <v>7.0000000000000007E-2</v>
      </c>
      <c r="J14446" s="26">
        <v>6.1600000000000002E-2</v>
      </c>
      <c r="K14446" s="26">
        <v>5.8999999999999999E-3</v>
      </c>
      <c r="L14446" s="26">
        <v>7.4999999999999997E-3</v>
      </c>
      <c r="M14446" s="26">
        <v>1.8E-3</v>
      </c>
      <c r="N14446" s="26">
        <v>3.5000000000000003E-2</v>
      </c>
      <c r="Q14446">
        <v>96</v>
      </c>
    </row>
    <row r="14447" spans="1:17" x14ac:dyDescent="0.35">
      <c r="A14447" t="s">
        <v>230</v>
      </c>
      <c r="B14447" t="s">
        <v>251</v>
      </c>
      <c r="C14447" s="26">
        <v>0.68659999999999999</v>
      </c>
      <c r="D14447" s="26">
        <v>0.1022</v>
      </c>
      <c r="E14447" s="26">
        <v>7.6999999999999999E-2</v>
      </c>
      <c r="F14447" s="26">
        <v>3.2899999999999999E-2</v>
      </c>
      <c r="G14447" s="26">
        <v>4.1599999999999998E-2</v>
      </c>
      <c r="H14447" s="26">
        <v>4.1099999999999998E-2</v>
      </c>
      <c r="I14447" s="26">
        <v>7.3599999999999999E-2</v>
      </c>
      <c r="J14447" s="26">
        <v>1.8200000000000001E-2</v>
      </c>
      <c r="K14447" s="26">
        <v>3.2500000000000001E-2</v>
      </c>
      <c r="L14447" s="26">
        <v>2.7199999999999998E-2</v>
      </c>
      <c r="M14447" s="26">
        <v>2.1600000000000001E-2</v>
      </c>
      <c r="N14447" s="26">
        <v>1.03E-2</v>
      </c>
      <c r="Q14447">
        <v>265</v>
      </c>
    </row>
    <row r="14448" spans="1:17" x14ac:dyDescent="0.35">
      <c r="A14448" t="s">
        <v>231</v>
      </c>
      <c r="B14448" t="s">
        <v>252</v>
      </c>
      <c r="C14448" s="26">
        <v>0.79169999999999996</v>
      </c>
      <c r="D14448" s="26">
        <v>0.14580000000000001</v>
      </c>
      <c r="E14448" s="26">
        <v>2.0799999999999999E-2</v>
      </c>
      <c r="K14448" s="26">
        <v>2.0799999999999999E-2</v>
      </c>
      <c r="O14448" s="26">
        <v>2.0799999999999999E-2</v>
      </c>
      <c r="Q14448">
        <v>48</v>
      </c>
    </row>
    <row r="14449" spans="1:17" x14ac:dyDescent="0.35">
      <c r="A14449" s="27" t="s">
        <v>231</v>
      </c>
      <c r="B14449" s="27" t="s">
        <v>253</v>
      </c>
      <c r="C14449" s="28">
        <v>0.8276</v>
      </c>
      <c r="D14449" s="28">
        <v>0.1724</v>
      </c>
      <c r="E14449" s="29"/>
      <c r="F14449" s="29"/>
      <c r="G14449" s="29"/>
      <c r="H14449" s="29"/>
      <c r="I14449" s="29"/>
      <c r="J14449" s="29"/>
      <c r="K14449" s="29"/>
      <c r="L14449" s="29"/>
      <c r="M14449" s="29"/>
      <c r="N14449" s="29"/>
      <c r="O14449" s="29"/>
      <c r="P14449" s="29"/>
      <c r="Q14449" s="29" t="s">
        <v>329</v>
      </c>
    </row>
    <row r="14450" spans="1:17" x14ac:dyDescent="0.35">
      <c r="A14450" t="s">
        <v>231</v>
      </c>
      <c r="B14450" t="s">
        <v>251</v>
      </c>
      <c r="C14450" s="26">
        <v>0.78480000000000005</v>
      </c>
      <c r="D14450" s="26">
        <v>0.1013</v>
      </c>
      <c r="E14450" s="26">
        <v>5.0599999999999999E-2</v>
      </c>
      <c r="F14450" s="26">
        <v>5.0599999999999999E-2</v>
      </c>
      <c r="G14450" s="26">
        <v>2.53E-2</v>
      </c>
      <c r="H14450" s="26">
        <v>2.53E-2</v>
      </c>
      <c r="I14450" s="26">
        <v>1.2699999999999999E-2</v>
      </c>
      <c r="Q14450">
        <v>79</v>
      </c>
    </row>
    <row r="14451" spans="1:17" x14ac:dyDescent="0.35">
      <c r="A14451" t="s">
        <v>232</v>
      </c>
      <c r="B14451" t="s">
        <v>232</v>
      </c>
      <c r="C14451" s="26">
        <v>0.69269999999999998</v>
      </c>
      <c r="D14451" s="26">
        <v>0.186</v>
      </c>
      <c r="E14451" s="26">
        <v>4.0300000000000002E-2</v>
      </c>
      <c r="F14451" s="26">
        <v>3.09E-2</v>
      </c>
      <c r="G14451" s="26">
        <v>2.3099999999999999E-2</v>
      </c>
      <c r="H14451" s="26">
        <v>2.0899999999999998E-2</v>
      </c>
      <c r="I14451" s="26">
        <v>1.41E-2</v>
      </c>
      <c r="J14451" s="26">
        <v>1.14E-2</v>
      </c>
      <c r="K14451" s="26">
        <v>9.9000000000000008E-3</v>
      </c>
      <c r="L14451" s="26">
        <v>8.6999999999999994E-3</v>
      </c>
      <c r="M14451" s="26">
        <v>7.3000000000000001E-3</v>
      </c>
      <c r="N14451" s="26">
        <v>4.0000000000000001E-3</v>
      </c>
      <c r="O14451" s="26">
        <v>2.8999999999999998E-3</v>
      </c>
      <c r="P14451" s="26">
        <v>2E-3</v>
      </c>
      <c r="Q14451">
        <v>2578</v>
      </c>
    </row>
    <row r="14453" spans="1:17" x14ac:dyDescent="0.35">
      <c r="A14453" s="1" t="s">
        <v>1587</v>
      </c>
    </row>
    <row r="14454" spans="1:17" x14ac:dyDescent="0.35">
      <c r="A14454" t="s">
        <v>219</v>
      </c>
      <c r="B14454" t="s">
        <v>305</v>
      </c>
      <c r="C14454" t="s">
        <v>550</v>
      </c>
      <c r="D14454" t="s">
        <v>281</v>
      </c>
      <c r="E14454" t="s">
        <v>1575</v>
      </c>
      <c r="F14454" t="s">
        <v>1401</v>
      </c>
      <c r="G14454" t="s">
        <v>1576</v>
      </c>
      <c r="H14454" t="s">
        <v>1577</v>
      </c>
      <c r="I14454" t="s">
        <v>1406</v>
      </c>
      <c r="J14454" t="s">
        <v>1578</v>
      </c>
      <c r="K14454" t="s">
        <v>326</v>
      </c>
      <c r="L14454" t="s">
        <v>1579</v>
      </c>
      <c r="M14454" t="s">
        <v>1504</v>
      </c>
      <c r="N14454" t="s">
        <v>1580</v>
      </c>
      <c r="O14454" t="s">
        <v>286</v>
      </c>
      <c r="P14454" t="s">
        <v>1408</v>
      </c>
      <c r="Q14454" t="s">
        <v>226</v>
      </c>
    </row>
    <row r="14455" spans="1:17" x14ac:dyDescent="0.35">
      <c r="A14455" t="s">
        <v>227</v>
      </c>
      <c r="B14455" t="s">
        <v>249</v>
      </c>
      <c r="C14455" s="26">
        <v>0.73680000000000001</v>
      </c>
      <c r="D14455" s="26">
        <v>2.63E-2</v>
      </c>
      <c r="E14455" s="26">
        <v>2.63E-2</v>
      </c>
      <c r="F14455" s="26">
        <v>0.1053</v>
      </c>
      <c r="G14455" s="26">
        <v>2.63E-2</v>
      </c>
      <c r="H14455" s="26">
        <v>0.1053</v>
      </c>
      <c r="I14455" s="26">
        <v>2.63E-2</v>
      </c>
      <c r="K14455" s="26">
        <v>2.63E-2</v>
      </c>
      <c r="Q14455">
        <v>38</v>
      </c>
    </row>
    <row r="14456" spans="1:17" x14ac:dyDescent="0.35">
      <c r="A14456" t="s">
        <v>227</v>
      </c>
      <c r="B14456" t="s">
        <v>248</v>
      </c>
      <c r="C14456" s="26">
        <v>0.64759999999999995</v>
      </c>
      <c r="D14456" s="26">
        <v>0.29520000000000002</v>
      </c>
      <c r="E14456" s="26">
        <v>9.4999999999999998E-3</v>
      </c>
      <c r="F14456" s="26">
        <v>9.4999999999999998E-3</v>
      </c>
      <c r="G14456" s="26">
        <v>9.4999999999999998E-3</v>
      </c>
      <c r="J14456" s="26">
        <v>2.86E-2</v>
      </c>
      <c r="K14456" s="26">
        <v>1.9E-2</v>
      </c>
      <c r="L14456" s="26">
        <v>9.4999999999999998E-3</v>
      </c>
      <c r="Q14456">
        <v>105</v>
      </c>
    </row>
    <row r="14457" spans="1:17" x14ac:dyDescent="0.35">
      <c r="A14457" t="s">
        <v>228</v>
      </c>
      <c r="B14457" t="s">
        <v>249</v>
      </c>
      <c r="C14457" s="26">
        <v>0.71650000000000003</v>
      </c>
      <c r="D14457" s="26">
        <v>0.14949999999999999</v>
      </c>
      <c r="E14457" s="26">
        <v>3.1800000000000002E-2</v>
      </c>
      <c r="F14457" s="26">
        <v>1.72E-2</v>
      </c>
      <c r="G14457" s="26">
        <v>4.1399999999999999E-2</v>
      </c>
      <c r="H14457" s="26">
        <v>2.7000000000000001E-3</v>
      </c>
      <c r="I14457" s="26">
        <v>4.8999999999999998E-3</v>
      </c>
      <c r="J14457" s="26">
        <v>1.6500000000000001E-2</v>
      </c>
      <c r="K14457" s="26">
        <v>4.1999999999999997E-3</v>
      </c>
      <c r="L14457" s="26">
        <v>3.8600000000000002E-2</v>
      </c>
      <c r="M14457" s="26">
        <v>4.4000000000000003E-3</v>
      </c>
      <c r="O14457" s="26">
        <v>8.9999999999999998E-4</v>
      </c>
      <c r="Q14457">
        <v>259</v>
      </c>
    </row>
    <row r="14458" spans="1:17" x14ac:dyDescent="0.35">
      <c r="A14458" t="s">
        <v>228</v>
      </c>
      <c r="B14458" t="s">
        <v>248</v>
      </c>
      <c r="C14458" s="26">
        <v>0.59060000000000001</v>
      </c>
      <c r="D14458" s="26">
        <v>0.2868</v>
      </c>
      <c r="E14458" s="26">
        <v>2.53E-2</v>
      </c>
      <c r="F14458" s="26">
        <v>2.5899999999999999E-2</v>
      </c>
      <c r="G14458" s="26">
        <v>1.8800000000000001E-2</v>
      </c>
      <c r="H14458" s="26">
        <v>1.38E-2</v>
      </c>
      <c r="I14458" s="26">
        <v>7.4999999999999997E-3</v>
      </c>
      <c r="J14458" s="26">
        <v>2.5700000000000001E-2</v>
      </c>
      <c r="K14458" s="26">
        <v>8.9999999999999993E-3</v>
      </c>
      <c r="L14458" s="26">
        <v>1.4200000000000001E-2</v>
      </c>
      <c r="M14458" s="26">
        <v>1.6500000000000001E-2</v>
      </c>
      <c r="N14458" s="26">
        <v>6.6E-3</v>
      </c>
      <c r="O14458" s="26">
        <v>8.0000000000000004E-4</v>
      </c>
      <c r="P14458" s="26">
        <v>1.9E-3</v>
      </c>
      <c r="Q14458">
        <v>697</v>
      </c>
    </row>
    <row r="14459" spans="1:17" x14ac:dyDescent="0.35">
      <c r="A14459" t="s">
        <v>229</v>
      </c>
      <c r="B14459" t="s">
        <v>249</v>
      </c>
      <c r="C14459" s="26">
        <v>0.69530000000000003</v>
      </c>
      <c r="D14459" s="26">
        <v>8.4000000000000005E-2</v>
      </c>
      <c r="E14459" s="26">
        <v>7.7100000000000002E-2</v>
      </c>
      <c r="F14459" s="26">
        <v>5.11E-2</v>
      </c>
      <c r="G14459" s="26">
        <v>3.3300000000000003E-2</v>
      </c>
      <c r="H14459" s="26">
        <v>7.4999999999999997E-2</v>
      </c>
      <c r="I14459" s="26">
        <v>2.4799999999999999E-2</v>
      </c>
      <c r="J14459" s="26">
        <v>2.3999999999999998E-3</v>
      </c>
      <c r="K14459" s="26">
        <v>1.3299999999999999E-2</v>
      </c>
      <c r="L14459" s="26">
        <v>1.03E-2</v>
      </c>
      <c r="M14459" s="26">
        <v>3.2000000000000001E-2</v>
      </c>
      <c r="N14459" s="26">
        <v>1.09E-2</v>
      </c>
      <c r="P14459" s="26">
        <v>1.09E-2</v>
      </c>
      <c r="Q14459">
        <v>228</v>
      </c>
    </row>
    <row r="14460" spans="1:17" x14ac:dyDescent="0.35">
      <c r="A14460" t="s">
        <v>229</v>
      </c>
      <c r="B14460" t="s">
        <v>248</v>
      </c>
      <c r="C14460" s="26">
        <v>0.62909999999999999</v>
      </c>
      <c r="D14460" s="26">
        <v>0.24679999999999999</v>
      </c>
      <c r="E14460" s="26">
        <v>5.45E-2</v>
      </c>
      <c r="F14460" s="26">
        <v>3.8800000000000001E-2</v>
      </c>
      <c r="G14460" s="26">
        <v>3.1800000000000002E-2</v>
      </c>
      <c r="H14460" s="26">
        <v>9.5999999999999992E-3</v>
      </c>
      <c r="I14460" s="26">
        <v>1.37E-2</v>
      </c>
      <c r="J14460" s="26">
        <v>8.2000000000000007E-3</v>
      </c>
      <c r="K14460" s="26">
        <v>1.9E-3</v>
      </c>
      <c r="L14460" s="26">
        <v>5.1999999999999998E-3</v>
      </c>
      <c r="M14460" s="26">
        <v>4.7000000000000002E-3</v>
      </c>
      <c r="N14460" s="26">
        <v>5.1999999999999998E-3</v>
      </c>
      <c r="O14460" s="26">
        <v>4.7999999999999996E-3</v>
      </c>
      <c r="P14460" s="26">
        <v>4.1000000000000003E-3</v>
      </c>
      <c r="Q14460">
        <v>583</v>
      </c>
    </row>
    <row r="14461" spans="1:17" x14ac:dyDescent="0.35">
      <c r="A14461" t="s">
        <v>230</v>
      </c>
      <c r="B14461" t="s">
        <v>249</v>
      </c>
      <c r="C14461" s="26">
        <v>0.73519999999999996</v>
      </c>
      <c r="D14461" s="26">
        <v>6.3200000000000006E-2</v>
      </c>
      <c r="E14461" s="26">
        <v>5.7700000000000001E-2</v>
      </c>
      <c r="F14461" s="26">
        <v>3.7199999999999997E-2</v>
      </c>
      <c r="G14461" s="26">
        <v>1.8200000000000001E-2</v>
      </c>
      <c r="H14461" s="26">
        <v>3.4700000000000002E-2</v>
      </c>
      <c r="I14461" s="26">
        <v>6.9400000000000003E-2</v>
      </c>
      <c r="J14461" s="26">
        <v>4.5999999999999999E-3</v>
      </c>
      <c r="K14461" s="26">
        <v>2.0199999999999999E-2</v>
      </c>
      <c r="L14461" s="26">
        <v>7.4999999999999997E-3</v>
      </c>
      <c r="M14461" s="26">
        <v>1.8200000000000001E-2</v>
      </c>
      <c r="Q14461">
        <v>157</v>
      </c>
    </row>
    <row r="14462" spans="1:17" x14ac:dyDescent="0.35">
      <c r="A14462" t="s">
        <v>230</v>
      </c>
      <c r="B14462" t="s">
        <v>248</v>
      </c>
      <c r="C14462" s="26">
        <v>0.64</v>
      </c>
      <c r="D14462" s="26">
        <v>0.20030000000000001</v>
      </c>
      <c r="E14462" s="26">
        <v>7.5399999999999995E-2</v>
      </c>
      <c r="F14462" s="26">
        <v>1.3899999999999999E-2</v>
      </c>
      <c r="G14462" s="26">
        <v>4.4699999999999997E-2</v>
      </c>
      <c r="H14462" s="26">
        <v>2.6800000000000001E-2</v>
      </c>
      <c r="I14462" s="26">
        <v>4.53E-2</v>
      </c>
      <c r="J14462" s="26">
        <v>3.0099999999999998E-2</v>
      </c>
      <c r="K14462" s="26">
        <v>2.0500000000000001E-2</v>
      </c>
      <c r="L14462" s="26">
        <v>2.1399999999999999E-2</v>
      </c>
      <c r="M14462" s="26">
        <v>9.7000000000000003E-3</v>
      </c>
      <c r="N14462" s="26">
        <v>1.7999999999999999E-2</v>
      </c>
      <c r="O14462" s="26">
        <v>4.0000000000000002E-4</v>
      </c>
      <c r="Q14462">
        <v>355</v>
      </c>
    </row>
    <row r="14463" spans="1:17" x14ac:dyDescent="0.35">
      <c r="A14463" t="s">
        <v>231</v>
      </c>
      <c r="B14463" t="s">
        <v>249</v>
      </c>
      <c r="C14463" s="26">
        <v>0.78790000000000004</v>
      </c>
      <c r="D14463" s="26">
        <v>6.0600000000000001E-2</v>
      </c>
      <c r="E14463" s="26">
        <v>6.0600000000000001E-2</v>
      </c>
      <c r="F14463" s="26">
        <v>6.0600000000000001E-2</v>
      </c>
      <c r="G14463" s="26">
        <v>3.0300000000000001E-2</v>
      </c>
      <c r="H14463" s="26">
        <v>3.0300000000000001E-2</v>
      </c>
      <c r="Q14463">
        <v>33</v>
      </c>
    </row>
    <row r="14464" spans="1:17" x14ac:dyDescent="0.35">
      <c r="A14464" t="s">
        <v>231</v>
      </c>
      <c r="B14464" t="s">
        <v>248</v>
      </c>
      <c r="C14464" s="26">
        <v>0.79669999999999996</v>
      </c>
      <c r="D14464" s="26">
        <v>0.14630000000000001</v>
      </c>
      <c r="E14464" s="26">
        <v>2.4400000000000002E-2</v>
      </c>
      <c r="F14464" s="26">
        <v>1.6299999999999999E-2</v>
      </c>
      <c r="G14464" s="26">
        <v>8.0999999999999996E-3</v>
      </c>
      <c r="H14464" s="26">
        <v>8.0999999999999996E-3</v>
      </c>
      <c r="I14464" s="26">
        <v>8.0999999999999996E-3</v>
      </c>
      <c r="K14464" s="26">
        <v>8.0999999999999996E-3</v>
      </c>
      <c r="O14464" s="26">
        <v>8.0999999999999996E-3</v>
      </c>
      <c r="Q14464">
        <v>123</v>
      </c>
    </row>
    <row r="14465" spans="1:17" x14ac:dyDescent="0.35">
      <c r="A14465" t="s">
        <v>232</v>
      </c>
      <c r="B14465" t="s">
        <v>232</v>
      </c>
      <c r="C14465" s="26">
        <v>0.69269999999999998</v>
      </c>
      <c r="D14465" s="26">
        <v>0.186</v>
      </c>
      <c r="E14465" s="26">
        <v>4.0300000000000002E-2</v>
      </c>
      <c r="F14465" s="26">
        <v>3.09E-2</v>
      </c>
      <c r="G14465" s="26">
        <v>2.3099999999999999E-2</v>
      </c>
      <c r="H14465" s="26">
        <v>2.0899999999999998E-2</v>
      </c>
      <c r="I14465" s="26">
        <v>1.41E-2</v>
      </c>
      <c r="J14465" s="26">
        <v>1.14E-2</v>
      </c>
      <c r="K14465" s="26">
        <v>9.9000000000000008E-3</v>
      </c>
      <c r="L14465" s="26">
        <v>8.6999999999999994E-3</v>
      </c>
      <c r="M14465" s="26">
        <v>7.3000000000000001E-3</v>
      </c>
      <c r="N14465" s="26">
        <v>4.0000000000000001E-3</v>
      </c>
      <c r="O14465" s="26">
        <v>2.8999999999999998E-3</v>
      </c>
      <c r="P14465" s="26">
        <v>2E-3</v>
      </c>
      <c r="Q14465">
        <v>2578</v>
      </c>
    </row>
    <row r="14467" spans="1:17" x14ac:dyDescent="0.35">
      <c r="A14467" s="1" t="s">
        <v>1588</v>
      </c>
    </row>
    <row r="14468" spans="1:17" x14ac:dyDescent="0.35">
      <c r="A14468" t="s">
        <v>219</v>
      </c>
      <c r="B14468" t="s">
        <v>305</v>
      </c>
      <c r="C14468" t="s">
        <v>550</v>
      </c>
      <c r="D14468" t="s">
        <v>281</v>
      </c>
      <c r="E14468" t="s">
        <v>1575</v>
      </c>
      <c r="F14468" t="s">
        <v>1401</v>
      </c>
      <c r="G14468" t="s">
        <v>1576</v>
      </c>
      <c r="H14468" t="s">
        <v>1577</v>
      </c>
      <c r="I14468" t="s">
        <v>1406</v>
      </c>
      <c r="J14468" t="s">
        <v>1578</v>
      </c>
      <c r="K14468" t="s">
        <v>326</v>
      </c>
      <c r="L14468" t="s">
        <v>1579</v>
      </c>
      <c r="M14468" t="s">
        <v>1504</v>
      </c>
      <c r="N14468" t="s">
        <v>1580</v>
      </c>
      <c r="O14468" t="s">
        <v>286</v>
      </c>
      <c r="P14468" t="s">
        <v>1408</v>
      </c>
      <c r="Q14468" t="s">
        <v>226</v>
      </c>
    </row>
    <row r="14469" spans="1:17" x14ac:dyDescent="0.35">
      <c r="A14469" s="27" t="s">
        <v>227</v>
      </c>
      <c r="B14469" s="27" t="s">
        <v>263</v>
      </c>
      <c r="C14469" s="28">
        <v>1</v>
      </c>
      <c r="D14469" s="29"/>
      <c r="E14469" s="29"/>
      <c r="F14469" s="29"/>
      <c r="G14469" s="29"/>
      <c r="H14469" s="29"/>
      <c r="I14469" s="29"/>
      <c r="J14469" s="29"/>
      <c r="K14469" s="29"/>
      <c r="L14469" s="29"/>
      <c r="M14469" s="29"/>
      <c r="N14469" s="29"/>
      <c r="O14469" s="29"/>
      <c r="P14469" s="29"/>
      <c r="Q14469" s="29" t="s">
        <v>314</v>
      </c>
    </row>
    <row r="14470" spans="1:17" x14ac:dyDescent="0.35">
      <c r="A14470" t="s">
        <v>227</v>
      </c>
      <c r="B14470" t="s">
        <v>260</v>
      </c>
      <c r="C14470" s="26">
        <v>0.69159999999999999</v>
      </c>
      <c r="D14470" s="26">
        <v>0.17760000000000001</v>
      </c>
      <c r="E14470" s="26">
        <v>1.8700000000000001E-2</v>
      </c>
      <c r="F14470" s="26">
        <v>4.6699999999999998E-2</v>
      </c>
      <c r="G14470" s="26">
        <v>1.8700000000000001E-2</v>
      </c>
      <c r="H14470" s="26">
        <v>2.8000000000000001E-2</v>
      </c>
      <c r="I14470" s="26">
        <v>9.2999999999999992E-3</v>
      </c>
      <c r="J14470" s="26">
        <v>2.8000000000000001E-2</v>
      </c>
      <c r="K14470" s="26">
        <v>2.8000000000000001E-2</v>
      </c>
      <c r="L14470" s="26">
        <v>9.2999999999999992E-3</v>
      </c>
      <c r="Q14470">
        <v>107</v>
      </c>
    </row>
    <row r="14471" spans="1:17" x14ac:dyDescent="0.35">
      <c r="A14471" t="s">
        <v>227</v>
      </c>
      <c r="B14471" t="s">
        <v>261</v>
      </c>
      <c r="C14471" s="26">
        <v>0.5625</v>
      </c>
      <c r="D14471" s="26">
        <v>0.40620000000000001</v>
      </c>
      <c r="H14471" s="26">
        <v>3.1199999999999999E-2</v>
      </c>
      <c r="Q14471">
        <v>32</v>
      </c>
    </row>
    <row r="14472" spans="1:17" x14ac:dyDescent="0.35">
      <c r="A14472" s="27" t="s">
        <v>227</v>
      </c>
      <c r="B14472" s="27" t="s">
        <v>262</v>
      </c>
      <c r="C14472" s="28">
        <v>1</v>
      </c>
      <c r="D14472" s="29"/>
      <c r="E14472" s="29"/>
      <c r="F14472" s="29"/>
      <c r="G14472" s="29"/>
      <c r="H14472" s="29"/>
      <c r="I14472" s="29"/>
      <c r="J14472" s="29"/>
      <c r="K14472" s="29"/>
      <c r="L14472" s="29"/>
      <c r="M14472" s="29"/>
      <c r="N14472" s="29"/>
      <c r="O14472" s="29"/>
      <c r="P14472" s="29"/>
      <c r="Q14472" s="29" t="s">
        <v>314</v>
      </c>
    </row>
    <row r="14473" spans="1:17" x14ac:dyDescent="0.35">
      <c r="A14473" s="27" t="s">
        <v>228</v>
      </c>
      <c r="B14473" s="27" t="s">
        <v>263</v>
      </c>
      <c r="C14473" s="28">
        <v>0.83879999999999999</v>
      </c>
      <c r="D14473" s="28">
        <v>0.12959999999999999</v>
      </c>
      <c r="E14473" s="29"/>
      <c r="F14473" s="29"/>
      <c r="G14473" s="29"/>
      <c r="H14473" s="29"/>
      <c r="I14473" s="29"/>
      <c r="J14473" s="29"/>
      <c r="K14473" s="29"/>
      <c r="L14473" s="29"/>
      <c r="M14473" s="28">
        <v>3.1600000000000003E-2</v>
      </c>
      <c r="N14473" s="29"/>
      <c r="O14473" s="29"/>
      <c r="P14473" s="29"/>
      <c r="Q14473" s="29" t="s">
        <v>328</v>
      </c>
    </row>
    <row r="14474" spans="1:17" x14ac:dyDescent="0.35">
      <c r="A14474" s="27" t="s">
        <v>228</v>
      </c>
      <c r="B14474" s="27" t="s">
        <v>236</v>
      </c>
      <c r="C14474" s="28">
        <v>0.1797</v>
      </c>
      <c r="D14474" s="28">
        <v>0.82030000000000003</v>
      </c>
      <c r="E14474" s="29"/>
      <c r="F14474" s="29"/>
      <c r="G14474" s="29"/>
      <c r="H14474" s="29"/>
      <c r="I14474" s="29"/>
      <c r="J14474" s="29"/>
      <c r="K14474" s="29"/>
      <c r="L14474" s="29"/>
      <c r="M14474" s="29"/>
      <c r="N14474" s="29"/>
      <c r="O14474" s="29"/>
      <c r="P14474" s="29"/>
      <c r="Q14474" s="29" t="s">
        <v>332</v>
      </c>
    </row>
    <row r="14475" spans="1:17" x14ac:dyDescent="0.35">
      <c r="A14475" t="s">
        <v>228</v>
      </c>
      <c r="B14475" t="s">
        <v>262</v>
      </c>
      <c r="C14475" s="26">
        <v>0.52380000000000004</v>
      </c>
      <c r="D14475" s="26">
        <v>0.22500000000000001</v>
      </c>
      <c r="E14475" s="26">
        <v>9.8599999999999993E-2</v>
      </c>
      <c r="F14475" s="26">
        <v>2.75E-2</v>
      </c>
      <c r="G14475" s="26">
        <v>3.1399999999999997E-2</v>
      </c>
      <c r="H14475" s="26">
        <v>3.4299999999999997E-2</v>
      </c>
      <c r="I14475" s="26">
        <v>8.2000000000000007E-3</v>
      </c>
      <c r="J14475" s="26">
        <v>4.5100000000000001E-2</v>
      </c>
      <c r="K14475" s="26">
        <v>1.89E-2</v>
      </c>
      <c r="L14475" s="26">
        <v>2.8299999999999999E-2</v>
      </c>
      <c r="M14475" s="26">
        <v>4.2599999999999999E-2</v>
      </c>
      <c r="N14475" s="26">
        <v>2.3199999999999998E-2</v>
      </c>
      <c r="O14475" s="26">
        <v>1.6999999999999999E-3</v>
      </c>
      <c r="P14475" s="26">
        <v>8.2000000000000007E-3</v>
      </c>
      <c r="Q14475">
        <v>176</v>
      </c>
    </row>
    <row r="14476" spans="1:17" x14ac:dyDescent="0.35">
      <c r="A14476" t="s">
        <v>228</v>
      </c>
      <c r="B14476" t="s">
        <v>260</v>
      </c>
      <c r="C14476" s="26">
        <v>0.64400000000000002</v>
      </c>
      <c r="D14476" s="26">
        <v>0.23119999999999999</v>
      </c>
      <c r="E14476" s="26">
        <v>1.83E-2</v>
      </c>
      <c r="F14476" s="26">
        <v>2.1100000000000001E-2</v>
      </c>
      <c r="G14476" s="26">
        <v>3.2800000000000003E-2</v>
      </c>
      <c r="H14476" s="26">
        <v>7.3000000000000001E-3</v>
      </c>
      <c r="I14476" s="26">
        <v>7.1999999999999998E-3</v>
      </c>
      <c r="J14476" s="26">
        <v>2.53E-2</v>
      </c>
      <c r="K14476" s="26">
        <v>5.7999999999999996E-3</v>
      </c>
      <c r="L14476" s="26">
        <v>2.6499999999999999E-2</v>
      </c>
      <c r="M14476" s="26">
        <v>8.0000000000000002E-3</v>
      </c>
      <c r="N14476" s="26">
        <v>1.5E-3</v>
      </c>
      <c r="O14476" s="26">
        <v>8.9999999999999998E-4</v>
      </c>
      <c r="Q14476">
        <v>571</v>
      </c>
    </row>
    <row r="14477" spans="1:17" x14ac:dyDescent="0.35">
      <c r="A14477" t="s">
        <v>228</v>
      </c>
      <c r="B14477" t="s">
        <v>261</v>
      </c>
      <c r="C14477" s="26">
        <v>0.66459999999999997</v>
      </c>
      <c r="D14477" s="26">
        <v>0.29249999999999998</v>
      </c>
      <c r="E14477" s="26">
        <v>2.3E-3</v>
      </c>
      <c r="F14477" s="26">
        <v>2.9499999999999998E-2</v>
      </c>
      <c r="G14477" s="26">
        <v>2.3E-3</v>
      </c>
      <c r="H14477" s="26">
        <v>2E-3</v>
      </c>
      <c r="I14477" s="26">
        <v>4.7000000000000002E-3</v>
      </c>
      <c r="K14477" s="26">
        <v>4.7000000000000002E-3</v>
      </c>
      <c r="L14477" s="26">
        <v>4.3E-3</v>
      </c>
      <c r="M14477" s="26">
        <v>2.3E-3</v>
      </c>
      <c r="Q14477">
        <v>181</v>
      </c>
    </row>
    <row r="14478" spans="1:17" x14ac:dyDescent="0.35">
      <c r="A14478" s="27" t="s">
        <v>229</v>
      </c>
      <c r="B14478" s="27" t="s">
        <v>263</v>
      </c>
      <c r="C14478" s="28">
        <v>0.64149999999999996</v>
      </c>
      <c r="D14478" s="28">
        <v>0.1613</v>
      </c>
      <c r="E14478" s="28">
        <v>0.1613</v>
      </c>
      <c r="F14478" s="28">
        <v>3.5900000000000001E-2</v>
      </c>
      <c r="G14478" s="29"/>
      <c r="H14478" s="29"/>
      <c r="I14478" s="29"/>
      <c r="J14478" s="29"/>
      <c r="K14478" s="29"/>
      <c r="L14478" s="29"/>
      <c r="M14478" s="29"/>
      <c r="N14478" s="29"/>
      <c r="O14478" s="29"/>
      <c r="P14478" s="29"/>
      <c r="Q14478" s="29" t="s">
        <v>341</v>
      </c>
    </row>
    <row r="14479" spans="1:17" x14ac:dyDescent="0.35">
      <c r="A14479" t="s">
        <v>229</v>
      </c>
      <c r="B14479" t="s">
        <v>261</v>
      </c>
      <c r="C14479" s="26">
        <v>0.65049999999999997</v>
      </c>
      <c r="D14479" s="26">
        <v>0.24279999999999999</v>
      </c>
      <c r="E14479" s="26">
        <v>4.2700000000000002E-2</v>
      </c>
      <c r="F14479" s="26">
        <v>2.63E-2</v>
      </c>
      <c r="H14479" s="26">
        <v>4.2700000000000002E-2</v>
      </c>
      <c r="I14479" s="26">
        <v>3.7699999999999997E-2</v>
      </c>
      <c r="L14479" s="26">
        <v>1.8800000000000001E-2</v>
      </c>
      <c r="M14479" s="26">
        <v>1.8800000000000001E-2</v>
      </c>
      <c r="Q14479">
        <v>88</v>
      </c>
    </row>
    <row r="14480" spans="1:17" x14ac:dyDescent="0.35">
      <c r="A14480" t="s">
        <v>229</v>
      </c>
      <c r="B14480" t="s">
        <v>262</v>
      </c>
      <c r="C14480" s="26">
        <v>0.60580000000000001</v>
      </c>
      <c r="D14480" s="26">
        <v>0.1726</v>
      </c>
      <c r="E14480" s="26">
        <v>6.9400000000000003E-2</v>
      </c>
      <c r="F14480" s="26">
        <v>5.4100000000000002E-2</v>
      </c>
      <c r="G14480" s="26">
        <v>6.8199999999999997E-2</v>
      </c>
      <c r="H14480" s="26">
        <v>5.3999999999999999E-2</v>
      </c>
      <c r="I14480" s="26">
        <v>1.6500000000000001E-2</v>
      </c>
      <c r="J14480" s="26">
        <v>6.0000000000000001E-3</v>
      </c>
      <c r="K14480" s="26">
        <v>1.95E-2</v>
      </c>
      <c r="L14480" s="26">
        <v>4.4999999999999997E-3</v>
      </c>
      <c r="M14480" s="26">
        <v>1.4999999999999999E-2</v>
      </c>
      <c r="N14480" s="26">
        <v>1.35E-2</v>
      </c>
      <c r="O14480" s="26">
        <v>1.5E-3</v>
      </c>
      <c r="P14480" s="26">
        <v>1.35E-2</v>
      </c>
      <c r="Q14480">
        <v>158</v>
      </c>
    </row>
    <row r="14481" spans="1:17" x14ac:dyDescent="0.35">
      <c r="A14481" t="s">
        <v>229</v>
      </c>
      <c r="B14481" t="s">
        <v>260</v>
      </c>
      <c r="C14481" s="26">
        <v>0.66879999999999995</v>
      </c>
      <c r="D14481" s="26">
        <v>0.19539999999999999</v>
      </c>
      <c r="E14481" s="26">
        <v>5.9499999999999997E-2</v>
      </c>
      <c r="F14481" s="26">
        <v>4.2099999999999999E-2</v>
      </c>
      <c r="G14481" s="26">
        <v>2.6100000000000002E-2</v>
      </c>
      <c r="H14481" s="26">
        <v>1.7299999999999999E-2</v>
      </c>
      <c r="I14481" s="26">
        <v>1.2699999999999999E-2</v>
      </c>
      <c r="J14481" s="26">
        <v>8.5000000000000006E-3</v>
      </c>
      <c r="K14481" s="26">
        <v>1E-3</v>
      </c>
      <c r="L14481" s="26">
        <v>4.8999999999999998E-3</v>
      </c>
      <c r="M14481" s="26">
        <v>1.14E-2</v>
      </c>
      <c r="N14481" s="26">
        <v>6.1999999999999998E-3</v>
      </c>
      <c r="O14481" s="26">
        <v>5.1000000000000004E-3</v>
      </c>
      <c r="P14481" s="26">
        <v>4.8999999999999998E-3</v>
      </c>
      <c r="Q14481">
        <v>551</v>
      </c>
    </row>
    <row r="14482" spans="1:17" x14ac:dyDescent="0.35">
      <c r="A14482" s="27" t="s">
        <v>229</v>
      </c>
      <c r="B14482" s="27" t="s">
        <v>236</v>
      </c>
      <c r="C14482" s="28">
        <v>1</v>
      </c>
      <c r="D14482" s="29"/>
      <c r="E14482" s="29"/>
      <c r="F14482" s="29"/>
      <c r="G14482" s="29"/>
      <c r="H14482" s="29"/>
      <c r="I14482" s="29"/>
      <c r="J14482" s="29"/>
      <c r="K14482" s="29"/>
      <c r="L14482" s="29"/>
      <c r="M14482" s="29"/>
      <c r="N14482" s="29"/>
      <c r="O14482" s="29"/>
      <c r="P14482" s="29"/>
      <c r="Q14482" s="29" t="s">
        <v>331</v>
      </c>
    </row>
    <row r="14483" spans="1:17" x14ac:dyDescent="0.35">
      <c r="A14483" t="s">
        <v>230</v>
      </c>
      <c r="B14483" t="s">
        <v>262</v>
      </c>
      <c r="C14483" s="26">
        <v>0.69589999999999996</v>
      </c>
      <c r="D14483" s="26">
        <v>0.18559999999999999</v>
      </c>
      <c r="E14483" s="26">
        <v>5.11E-2</v>
      </c>
      <c r="F14483" s="26">
        <v>2.5000000000000001E-2</v>
      </c>
      <c r="G14483" s="26">
        <v>3.8399999999999997E-2</v>
      </c>
      <c r="H14483" s="26">
        <v>7.6799999999999993E-2</v>
      </c>
      <c r="I14483" s="26">
        <v>3.8399999999999997E-2</v>
      </c>
      <c r="J14483" s="26">
        <v>4.2299999999999997E-2</v>
      </c>
      <c r="K14483" s="26">
        <v>6.3E-3</v>
      </c>
      <c r="L14483" s="26">
        <v>4.8800000000000003E-2</v>
      </c>
      <c r="M14483" s="26">
        <v>1.9E-3</v>
      </c>
      <c r="N14483" s="26">
        <v>3.8399999999999997E-2</v>
      </c>
      <c r="Q14483">
        <v>108</v>
      </c>
    </row>
    <row r="14484" spans="1:17" x14ac:dyDescent="0.35">
      <c r="A14484" t="s">
        <v>230</v>
      </c>
      <c r="B14484" t="s">
        <v>261</v>
      </c>
      <c r="C14484" s="26">
        <v>0.72970000000000002</v>
      </c>
      <c r="D14484" s="26">
        <v>8.6900000000000005E-2</v>
      </c>
      <c r="E14484" s="26">
        <v>4.24E-2</v>
      </c>
      <c r="F14484" s="26">
        <v>5.6300000000000003E-2</v>
      </c>
      <c r="I14484" s="26">
        <v>4.24E-2</v>
      </c>
      <c r="J14484" s="26">
        <v>4.24E-2</v>
      </c>
      <c r="Q14484">
        <v>55</v>
      </c>
    </row>
    <row r="14485" spans="1:17" x14ac:dyDescent="0.35">
      <c r="A14485" t="s">
        <v>230</v>
      </c>
      <c r="B14485" t="s">
        <v>260</v>
      </c>
      <c r="C14485" s="26">
        <v>0.65939999999999999</v>
      </c>
      <c r="D14485" s="26">
        <v>0.16209999999999999</v>
      </c>
      <c r="E14485" s="26">
        <v>8.1299999999999997E-2</v>
      </c>
      <c r="F14485" s="26">
        <v>1.26E-2</v>
      </c>
      <c r="G14485" s="26">
        <v>4.3200000000000002E-2</v>
      </c>
      <c r="H14485" s="26">
        <v>2.5399999999999999E-2</v>
      </c>
      <c r="I14485" s="26">
        <v>5.2299999999999999E-2</v>
      </c>
      <c r="J14485" s="26">
        <v>1.26E-2</v>
      </c>
      <c r="K14485" s="26">
        <v>2.8299999999999999E-2</v>
      </c>
      <c r="L14485" s="26">
        <v>1.3100000000000001E-2</v>
      </c>
      <c r="M14485" s="26">
        <v>1.7399999999999999E-2</v>
      </c>
      <c r="N14485" s="26">
        <v>8.8999999999999999E-3</v>
      </c>
      <c r="O14485" s="26">
        <v>4.0000000000000002E-4</v>
      </c>
      <c r="Q14485">
        <v>324</v>
      </c>
    </row>
    <row r="14486" spans="1:17" x14ac:dyDescent="0.35">
      <c r="A14486" s="27" t="s">
        <v>230</v>
      </c>
      <c r="B14486" s="27" t="s">
        <v>236</v>
      </c>
      <c r="C14486" s="28">
        <v>0.95830000000000004</v>
      </c>
      <c r="D14486" s="28">
        <v>4.1700000000000001E-2</v>
      </c>
      <c r="E14486" s="29"/>
      <c r="F14486" s="29"/>
      <c r="G14486" s="29"/>
      <c r="H14486" s="29"/>
      <c r="I14486" s="29"/>
      <c r="J14486" s="29"/>
      <c r="K14486" s="29"/>
      <c r="L14486" s="29"/>
      <c r="M14486" s="29"/>
      <c r="N14486" s="29"/>
      <c r="O14486" s="29"/>
      <c r="P14486" s="29"/>
      <c r="Q14486" s="29" t="s">
        <v>315</v>
      </c>
    </row>
    <row r="14487" spans="1:17" x14ac:dyDescent="0.35">
      <c r="A14487" s="27" t="s">
        <v>230</v>
      </c>
      <c r="B14487" s="27" t="s">
        <v>263</v>
      </c>
      <c r="C14487" s="28">
        <v>0.37609999999999999</v>
      </c>
      <c r="D14487" s="28">
        <v>0.1469</v>
      </c>
      <c r="E14487" s="29"/>
      <c r="F14487" s="28">
        <v>9.4E-2</v>
      </c>
      <c r="G14487" s="28">
        <v>1.7600000000000001E-2</v>
      </c>
      <c r="H14487" s="28">
        <v>1.7600000000000001E-2</v>
      </c>
      <c r="I14487" s="28">
        <v>0.3478</v>
      </c>
      <c r="J14487" s="28">
        <v>3.5299999999999998E-2</v>
      </c>
      <c r="K14487" s="29"/>
      <c r="L14487" s="28">
        <v>1.7600000000000001E-2</v>
      </c>
      <c r="M14487" s="28">
        <v>1.7600000000000001E-2</v>
      </c>
      <c r="N14487" s="29"/>
      <c r="O14487" s="29"/>
      <c r="P14487" s="29"/>
      <c r="Q14487" s="29" t="s">
        <v>347</v>
      </c>
    </row>
    <row r="14488" spans="1:17" x14ac:dyDescent="0.35">
      <c r="A14488" t="s">
        <v>231</v>
      </c>
      <c r="B14488" t="s">
        <v>260</v>
      </c>
      <c r="C14488" s="26">
        <v>0.7712</v>
      </c>
      <c r="D14488" s="26">
        <v>0.12709999999999999</v>
      </c>
      <c r="E14488" s="26">
        <v>4.24E-2</v>
      </c>
      <c r="F14488" s="26">
        <v>3.39E-2</v>
      </c>
      <c r="G14488" s="26">
        <v>1.6899999999999998E-2</v>
      </c>
      <c r="H14488" s="26">
        <v>1.6899999999999998E-2</v>
      </c>
      <c r="I14488" s="26">
        <v>8.5000000000000006E-3</v>
      </c>
      <c r="K14488" s="26">
        <v>8.5000000000000006E-3</v>
      </c>
      <c r="O14488" s="26">
        <v>8.5000000000000006E-3</v>
      </c>
      <c r="Q14488">
        <v>118</v>
      </c>
    </row>
    <row r="14489" spans="1:17" x14ac:dyDescent="0.35">
      <c r="A14489" s="27" t="s">
        <v>231</v>
      </c>
      <c r="B14489" s="27" t="s">
        <v>261</v>
      </c>
      <c r="C14489" s="28">
        <v>0.80769999999999997</v>
      </c>
      <c r="D14489" s="28">
        <v>0.1923</v>
      </c>
      <c r="E14489" s="29"/>
      <c r="F14489" s="29"/>
      <c r="G14489" s="29"/>
      <c r="H14489" s="29"/>
      <c r="I14489" s="29"/>
      <c r="J14489" s="29"/>
      <c r="K14489" s="29"/>
      <c r="L14489" s="29"/>
      <c r="M14489" s="29"/>
      <c r="N14489" s="29"/>
      <c r="O14489" s="29"/>
      <c r="P14489" s="29"/>
      <c r="Q14489" s="29" t="s">
        <v>357</v>
      </c>
    </row>
    <row r="14490" spans="1:17" x14ac:dyDescent="0.35">
      <c r="A14490" s="27" t="s">
        <v>231</v>
      </c>
      <c r="B14490" s="27" t="s">
        <v>263</v>
      </c>
      <c r="C14490" s="28">
        <v>1</v>
      </c>
      <c r="D14490" s="29"/>
      <c r="E14490" s="29"/>
      <c r="F14490" s="29"/>
      <c r="G14490" s="29"/>
      <c r="H14490" s="29"/>
      <c r="I14490" s="29"/>
      <c r="J14490" s="29"/>
      <c r="K14490" s="29"/>
      <c r="L14490" s="29"/>
      <c r="M14490" s="29"/>
      <c r="N14490" s="29"/>
      <c r="O14490" s="29"/>
      <c r="P14490" s="29"/>
      <c r="Q14490" s="29" t="s">
        <v>314</v>
      </c>
    </row>
    <row r="14491" spans="1:17" x14ac:dyDescent="0.35">
      <c r="A14491" s="27" t="s">
        <v>231</v>
      </c>
      <c r="B14491" s="27" t="s">
        <v>262</v>
      </c>
      <c r="C14491" s="28">
        <v>1</v>
      </c>
      <c r="D14491" s="29"/>
      <c r="E14491" s="29"/>
      <c r="F14491" s="29"/>
      <c r="G14491" s="29"/>
      <c r="H14491" s="29"/>
      <c r="I14491" s="29"/>
      <c r="J14491" s="29"/>
      <c r="K14491" s="29"/>
      <c r="L14491" s="29"/>
      <c r="M14491" s="29"/>
      <c r="N14491" s="29"/>
      <c r="O14491" s="29"/>
      <c r="P14491" s="29"/>
      <c r="Q14491" s="29" t="s">
        <v>307</v>
      </c>
    </row>
    <row r="14492" spans="1:17" x14ac:dyDescent="0.35">
      <c r="A14492" t="s">
        <v>232</v>
      </c>
      <c r="B14492" t="s">
        <v>232</v>
      </c>
      <c r="C14492" s="26">
        <v>0.69269999999999998</v>
      </c>
      <c r="D14492" s="26">
        <v>0.186</v>
      </c>
      <c r="E14492" s="26">
        <v>4.0300000000000002E-2</v>
      </c>
      <c r="F14492" s="26">
        <v>3.09E-2</v>
      </c>
      <c r="G14492" s="26">
        <v>2.3099999999999999E-2</v>
      </c>
      <c r="H14492" s="26">
        <v>2.0899999999999998E-2</v>
      </c>
      <c r="I14492" s="26">
        <v>1.41E-2</v>
      </c>
      <c r="J14492" s="26">
        <v>1.14E-2</v>
      </c>
      <c r="K14492" s="26">
        <v>9.9000000000000008E-3</v>
      </c>
      <c r="L14492" s="26">
        <v>8.6999999999999994E-3</v>
      </c>
      <c r="M14492" s="26">
        <v>7.3000000000000001E-3</v>
      </c>
      <c r="N14492" s="26">
        <v>4.0000000000000001E-3</v>
      </c>
      <c r="O14492" s="26">
        <v>2.8999999999999998E-3</v>
      </c>
      <c r="P14492" s="26">
        <v>2E-3</v>
      </c>
      <c r="Q14492">
        <v>2578</v>
      </c>
    </row>
    <row r="14494" spans="1:17" x14ac:dyDescent="0.35">
      <c r="A14494" s="1" t="s">
        <v>1589</v>
      </c>
    </row>
    <row r="14495" spans="1:17" x14ac:dyDescent="0.35">
      <c r="A14495" t="s">
        <v>219</v>
      </c>
      <c r="B14495" t="s">
        <v>305</v>
      </c>
      <c r="C14495" t="s">
        <v>550</v>
      </c>
      <c r="D14495" t="s">
        <v>281</v>
      </c>
      <c r="E14495" t="s">
        <v>1575</v>
      </c>
      <c r="F14495" t="s">
        <v>1401</v>
      </c>
      <c r="G14495" t="s">
        <v>1576</v>
      </c>
      <c r="H14495" t="s">
        <v>1577</v>
      </c>
      <c r="I14495" t="s">
        <v>1406</v>
      </c>
      <c r="J14495" t="s">
        <v>1578</v>
      </c>
      <c r="K14495" t="s">
        <v>326</v>
      </c>
      <c r="L14495" t="s">
        <v>1579</v>
      </c>
      <c r="M14495" t="s">
        <v>1504</v>
      </c>
      <c r="N14495" t="s">
        <v>1580</v>
      </c>
      <c r="O14495" t="s">
        <v>286</v>
      </c>
      <c r="P14495" t="s">
        <v>1408</v>
      </c>
      <c r="Q14495" t="s">
        <v>226</v>
      </c>
    </row>
    <row r="14496" spans="1:17" x14ac:dyDescent="0.35">
      <c r="A14496" t="s">
        <v>227</v>
      </c>
      <c r="B14496" t="s">
        <v>368</v>
      </c>
      <c r="C14496" s="26">
        <v>0.5625</v>
      </c>
      <c r="D14496" s="26">
        <v>0.40620000000000001</v>
      </c>
      <c r="H14496" s="26">
        <v>3.1199999999999999E-2</v>
      </c>
      <c r="Q14496">
        <v>32</v>
      </c>
    </row>
    <row r="14497" spans="1:17" x14ac:dyDescent="0.35">
      <c r="A14497" t="s">
        <v>227</v>
      </c>
      <c r="B14497" t="s">
        <v>369</v>
      </c>
      <c r="C14497" s="26">
        <v>0.70269999999999999</v>
      </c>
      <c r="D14497" s="26">
        <v>0.17119999999999999</v>
      </c>
      <c r="E14497" s="26">
        <v>1.7999999999999999E-2</v>
      </c>
      <c r="F14497" s="26">
        <v>4.4999999999999998E-2</v>
      </c>
      <c r="G14497" s="26">
        <v>1.7999999999999999E-2</v>
      </c>
      <c r="H14497" s="26">
        <v>2.7E-2</v>
      </c>
      <c r="I14497" s="26">
        <v>8.9999999999999993E-3</v>
      </c>
      <c r="J14497" s="26">
        <v>2.7E-2</v>
      </c>
      <c r="K14497" s="26">
        <v>2.7E-2</v>
      </c>
      <c r="L14497" s="26">
        <v>8.9999999999999993E-3</v>
      </c>
      <c r="Q14497">
        <v>111</v>
      </c>
    </row>
    <row r="14498" spans="1:17" x14ac:dyDescent="0.35">
      <c r="A14498" t="s">
        <v>228</v>
      </c>
      <c r="B14498" t="s">
        <v>368</v>
      </c>
      <c r="C14498" s="26">
        <v>0.66459999999999997</v>
      </c>
      <c r="D14498" s="26">
        <v>0.29249999999999998</v>
      </c>
      <c r="E14498" s="26">
        <v>2.3E-3</v>
      </c>
      <c r="F14498" s="26">
        <v>2.9499999999999998E-2</v>
      </c>
      <c r="G14498" s="26">
        <v>2.3E-3</v>
      </c>
      <c r="H14498" s="26">
        <v>2E-3</v>
      </c>
      <c r="I14498" s="26">
        <v>4.7000000000000002E-3</v>
      </c>
      <c r="K14498" s="26">
        <v>4.7000000000000002E-3</v>
      </c>
      <c r="L14498" s="26">
        <v>4.3E-3</v>
      </c>
      <c r="M14498" s="26">
        <v>2.3E-3</v>
      </c>
      <c r="Q14498">
        <v>181</v>
      </c>
    </row>
    <row r="14499" spans="1:17" x14ac:dyDescent="0.35">
      <c r="A14499" t="s">
        <v>228</v>
      </c>
      <c r="B14499" t="s">
        <v>369</v>
      </c>
      <c r="C14499" s="26">
        <v>0.62139999999999995</v>
      </c>
      <c r="D14499" s="26">
        <v>0.2324</v>
      </c>
      <c r="E14499" s="26">
        <v>3.3399999999999999E-2</v>
      </c>
      <c r="F14499" s="26">
        <v>2.1700000000000001E-2</v>
      </c>
      <c r="G14499" s="26">
        <v>3.15E-2</v>
      </c>
      <c r="H14499" s="26">
        <v>1.23E-2</v>
      </c>
      <c r="I14499" s="26">
        <v>7.1999999999999998E-3</v>
      </c>
      <c r="J14499" s="26">
        <v>2.8400000000000002E-2</v>
      </c>
      <c r="K14499" s="26">
        <v>8.2000000000000007E-3</v>
      </c>
      <c r="L14499" s="26">
        <v>2.5999999999999999E-2</v>
      </c>
      <c r="M14499" s="26">
        <v>1.5299999999999999E-2</v>
      </c>
      <c r="N14499" s="26">
        <v>5.7000000000000002E-3</v>
      </c>
      <c r="O14499" s="26">
        <v>1E-3</v>
      </c>
      <c r="P14499" s="26">
        <v>1.6000000000000001E-3</v>
      </c>
      <c r="Q14499">
        <v>775</v>
      </c>
    </row>
    <row r="14500" spans="1:17" x14ac:dyDescent="0.35">
      <c r="A14500" t="s">
        <v>229</v>
      </c>
      <c r="B14500" t="s">
        <v>368</v>
      </c>
      <c r="C14500" s="26">
        <v>0.65049999999999997</v>
      </c>
      <c r="D14500" s="26">
        <v>0.24279999999999999</v>
      </c>
      <c r="E14500" s="26">
        <v>4.2700000000000002E-2</v>
      </c>
      <c r="F14500" s="26">
        <v>2.63E-2</v>
      </c>
      <c r="H14500" s="26">
        <v>4.2700000000000002E-2</v>
      </c>
      <c r="I14500" s="26">
        <v>3.7699999999999997E-2</v>
      </c>
      <c r="L14500" s="26">
        <v>1.8800000000000001E-2</v>
      </c>
      <c r="M14500" s="26">
        <v>1.8800000000000001E-2</v>
      </c>
      <c r="Q14500">
        <v>88</v>
      </c>
    </row>
    <row r="14501" spans="1:17" x14ac:dyDescent="0.35">
      <c r="A14501" t="s">
        <v>229</v>
      </c>
      <c r="B14501" t="s">
        <v>369</v>
      </c>
      <c r="C14501" s="26">
        <v>0.64949999999999997</v>
      </c>
      <c r="D14501" s="26">
        <v>0.18779999999999999</v>
      </c>
      <c r="E14501" s="26">
        <v>6.4899999999999999E-2</v>
      </c>
      <c r="F14501" s="26">
        <v>4.5499999999999999E-2</v>
      </c>
      <c r="G14501" s="26">
        <v>3.7900000000000003E-2</v>
      </c>
      <c r="H14501" s="26">
        <v>2.7699999999999999E-2</v>
      </c>
      <c r="I14501" s="26">
        <v>1.35E-2</v>
      </c>
      <c r="J14501" s="26">
        <v>7.4999999999999997E-3</v>
      </c>
      <c r="K14501" s="26">
        <v>6.4999999999999997E-3</v>
      </c>
      <c r="L14501" s="26">
        <v>4.5999999999999999E-3</v>
      </c>
      <c r="M14501" s="26">
        <v>1.2200000000000001E-2</v>
      </c>
      <c r="N14501" s="26">
        <v>8.2000000000000007E-3</v>
      </c>
      <c r="O14501" s="26">
        <v>3.8999999999999998E-3</v>
      </c>
      <c r="P14501" s="26">
        <v>7.3000000000000001E-3</v>
      </c>
      <c r="Q14501">
        <v>723</v>
      </c>
    </row>
    <row r="14502" spans="1:17" x14ac:dyDescent="0.35">
      <c r="A14502" t="s">
        <v>230</v>
      </c>
      <c r="B14502" t="s">
        <v>368</v>
      </c>
      <c r="C14502" s="26">
        <v>0.72970000000000002</v>
      </c>
      <c r="D14502" s="26">
        <v>8.6900000000000005E-2</v>
      </c>
      <c r="E14502" s="26">
        <v>4.24E-2</v>
      </c>
      <c r="F14502" s="26">
        <v>5.6300000000000003E-2</v>
      </c>
      <c r="I14502" s="26">
        <v>4.24E-2</v>
      </c>
      <c r="J14502" s="26">
        <v>4.24E-2</v>
      </c>
      <c r="Q14502">
        <v>55</v>
      </c>
    </row>
    <row r="14503" spans="1:17" x14ac:dyDescent="0.35">
      <c r="A14503" t="s">
        <v>230</v>
      </c>
      <c r="B14503" t="s">
        <v>369</v>
      </c>
      <c r="C14503" s="26">
        <v>0.66279999999999994</v>
      </c>
      <c r="D14503" s="26">
        <v>0.16500000000000001</v>
      </c>
      <c r="E14503" s="26">
        <v>7.3800000000000004E-2</v>
      </c>
      <c r="F14503" s="26">
        <v>1.6199999999999999E-2</v>
      </c>
      <c r="G14503" s="26">
        <v>4.1500000000000002E-2</v>
      </c>
      <c r="H14503" s="26">
        <v>3.4099999999999998E-2</v>
      </c>
      <c r="I14503" s="26">
        <v>5.5199999999999999E-2</v>
      </c>
      <c r="J14503" s="26">
        <v>1.8200000000000001E-2</v>
      </c>
      <c r="K14503" s="26">
        <v>2.3599999999999999E-2</v>
      </c>
      <c r="L14503" s="26">
        <v>1.9400000000000001E-2</v>
      </c>
      <c r="M14503" s="26">
        <v>1.4500000000000001E-2</v>
      </c>
      <c r="N14503" s="26">
        <v>1.38E-2</v>
      </c>
      <c r="O14503" s="26">
        <v>2.9999999999999997E-4</v>
      </c>
      <c r="Q14503">
        <v>457</v>
      </c>
    </row>
    <row r="14504" spans="1:17" x14ac:dyDescent="0.35">
      <c r="A14504" s="27" t="s">
        <v>231</v>
      </c>
      <c r="B14504" s="27" t="s">
        <v>368</v>
      </c>
      <c r="C14504" s="28">
        <v>0.80769999999999997</v>
      </c>
      <c r="D14504" s="28">
        <v>0.1923</v>
      </c>
      <c r="E14504" s="29"/>
      <c r="F14504" s="29"/>
      <c r="G14504" s="29"/>
      <c r="H14504" s="29"/>
      <c r="I14504" s="29"/>
      <c r="J14504" s="29"/>
      <c r="K14504" s="29"/>
      <c r="L14504" s="29"/>
      <c r="M14504" s="29"/>
      <c r="N14504" s="29"/>
      <c r="O14504" s="29"/>
      <c r="P14504" s="29"/>
      <c r="Q14504" s="29" t="s">
        <v>357</v>
      </c>
    </row>
    <row r="14505" spans="1:17" x14ac:dyDescent="0.35">
      <c r="A14505" t="s">
        <v>231</v>
      </c>
      <c r="B14505" t="s">
        <v>369</v>
      </c>
      <c r="C14505" s="26">
        <v>0.7923</v>
      </c>
      <c r="D14505" s="26">
        <v>0.1154</v>
      </c>
      <c r="E14505" s="26">
        <v>3.85E-2</v>
      </c>
      <c r="F14505" s="26">
        <v>3.0800000000000001E-2</v>
      </c>
      <c r="G14505" s="26">
        <v>1.54E-2</v>
      </c>
      <c r="H14505" s="26">
        <v>1.54E-2</v>
      </c>
      <c r="I14505" s="26">
        <v>7.7000000000000002E-3</v>
      </c>
      <c r="K14505" s="26">
        <v>7.7000000000000002E-3</v>
      </c>
      <c r="O14505" s="26">
        <v>7.7000000000000002E-3</v>
      </c>
      <c r="Q14505">
        <v>130</v>
      </c>
    </row>
    <row r="14506" spans="1:17" x14ac:dyDescent="0.35">
      <c r="A14506" t="s">
        <v>232</v>
      </c>
      <c r="B14506" t="s">
        <v>232</v>
      </c>
      <c r="C14506" s="26">
        <v>0.69269999999999998</v>
      </c>
      <c r="D14506" s="26">
        <v>0.186</v>
      </c>
      <c r="E14506" s="26">
        <v>4.0300000000000002E-2</v>
      </c>
      <c r="F14506" s="26">
        <v>3.09E-2</v>
      </c>
      <c r="G14506" s="26">
        <v>2.3099999999999999E-2</v>
      </c>
      <c r="H14506" s="26">
        <v>2.0899999999999998E-2</v>
      </c>
      <c r="I14506" s="26">
        <v>1.41E-2</v>
      </c>
      <c r="J14506" s="26">
        <v>1.14E-2</v>
      </c>
      <c r="K14506" s="26">
        <v>9.9000000000000008E-3</v>
      </c>
      <c r="L14506" s="26">
        <v>8.6999999999999994E-3</v>
      </c>
      <c r="M14506" s="26">
        <v>7.3000000000000001E-3</v>
      </c>
      <c r="N14506" s="26">
        <v>4.0000000000000001E-3</v>
      </c>
      <c r="O14506" s="26">
        <v>2.8999999999999998E-3</v>
      </c>
      <c r="P14506" s="26">
        <v>2E-3</v>
      </c>
      <c r="Q14506">
        <v>2578</v>
      </c>
    </row>
    <row r="14508" spans="1:17" x14ac:dyDescent="0.35">
      <c r="A14508" s="1" t="s">
        <v>1590</v>
      </c>
    </row>
    <row r="14509" spans="1:17" x14ac:dyDescent="0.35">
      <c r="A14509" t="s">
        <v>219</v>
      </c>
      <c r="B14509" t="s">
        <v>305</v>
      </c>
      <c r="C14509" t="s">
        <v>550</v>
      </c>
      <c r="D14509" t="s">
        <v>281</v>
      </c>
      <c r="E14509" t="s">
        <v>1575</v>
      </c>
      <c r="F14509" t="s">
        <v>1401</v>
      </c>
      <c r="G14509" t="s">
        <v>1576</v>
      </c>
      <c r="H14509" t="s">
        <v>1577</v>
      </c>
      <c r="I14509" t="s">
        <v>1406</v>
      </c>
      <c r="J14509" t="s">
        <v>1578</v>
      </c>
      <c r="K14509" t="s">
        <v>326</v>
      </c>
      <c r="L14509" t="s">
        <v>1579</v>
      </c>
      <c r="M14509" t="s">
        <v>1504</v>
      </c>
      <c r="N14509" t="s">
        <v>1580</v>
      </c>
      <c r="O14509" t="s">
        <v>286</v>
      </c>
      <c r="P14509" t="s">
        <v>1408</v>
      </c>
      <c r="Q14509" t="s">
        <v>226</v>
      </c>
    </row>
    <row r="14510" spans="1:17" x14ac:dyDescent="0.35">
      <c r="A14510" t="s">
        <v>227</v>
      </c>
      <c r="B14510" t="s">
        <v>371</v>
      </c>
      <c r="C14510" s="26">
        <v>0.67130000000000001</v>
      </c>
      <c r="D14510" s="26">
        <v>0.2238</v>
      </c>
      <c r="E14510" s="26">
        <v>1.4E-2</v>
      </c>
      <c r="F14510" s="26">
        <v>3.5000000000000003E-2</v>
      </c>
      <c r="G14510" s="26">
        <v>1.4E-2</v>
      </c>
      <c r="H14510" s="26">
        <v>2.8000000000000001E-2</v>
      </c>
      <c r="I14510" s="26">
        <v>7.0000000000000001E-3</v>
      </c>
      <c r="J14510" s="26">
        <v>2.1000000000000001E-2</v>
      </c>
      <c r="K14510" s="26">
        <v>2.1000000000000001E-2</v>
      </c>
      <c r="L14510" s="26">
        <v>7.0000000000000001E-3</v>
      </c>
      <c r="Q14510">
        <v>143</v>
      </c>
    </row>
    <row r="14511" spans="1:17" x14ac:dyDescent="0.35">
      <c r="A14511" t="s">
        <v>228</v>
      </c>
      <c r="B14511" t="s">
        <v>371</v>
      </c>
      <c r="C14511" s="26">
        <v>0.62270000000000003</v>
      </c>
      <c r="D14511" s="26">
        <v>0.2472</v>
      </c>
      <c r="E14511" s="26">
        <v>2.2100000000000002E-2</v>
      </c>
      <c r="F14511" s="26">
        <v>2.4500000000000001E-2</v>
      </c>
      <c r="G14511" s="26">
        <v>4.1200000000000001E-2</v>
      </c>
      <c r="H14511" s="26">
        <v>1.4500000000000001E-2</v>
      </c>
      <c r="I14511" s="26">
        <v>6.8999999999999999E-3</v>
      </c>
      <c r="J14511" s="26">
        <v>4.1999999999999997E-3</v>
      </c>
      <c r="K14511" s="26">
        <v>7.6E-3</v>
      </c>
      <c r="L14511" s="26">
        <v>9.1999999999999998E-3</v>
      </c>
      <c r="M14511" s="26">
        <v>1.4500000000000001E-2</v>
      </c>
      <c r="N14511" s="26">
        <v>6.8999999999999999E-3</v>
      </c>
      <c r="Q14511">
        <v>276</v>
      </c>
    </row>
    <row r="14512" spans="1:17" x14ac:dyDescent="0.35">
      <c r="A14512" t="s">
        <v>228</v>
      </c>
      <c r="B14512" t="s">
        <v>372</v>
      </c>
      <c r="C14512" s="26">
        <v>0.60680000000000001</v>
      </c>
      <c r="D14512" s="26">
        <v>0.22309999999999999</v>
      </c>
      <c r="E14512" s="26">
        <v>4.5900000000000003E-2</v>
      </c>
      <c r="F14512" s="26">
        <v>4.8500000000000001E-2</v>
      </c>
      <c r="G14512" s="26">
        <v>9.9000000000000008E-3</v>
      </c>
      <c r="H14512" s="26">
        <v>5.1999999999999998E-3</v>
      </c>
      <c r="I14512" s="26">
        <v>9.9000000000000008E-3</v>
      </c>
      <c r="J14512" s="26">
        <v>5.5899999999999998E-2</v>
      </c>
      <c r="L14512" s="26">
        <v>4.4699999999999997E-2</v>
      </c>
      <c r="M14512" s="26">
        <v>1.03E-2</v>
      </c>
      <c r="O14512" s="26">
        <v>9.1000000000000004E-3</v>
      </c>
      <c r="Q14512">
        <v>207</v>
      </c>
    </row>
    <row r="14513" spans="1:17" x14ac:dyDescent="0.35">
      <c r="A14513" t="s">
        <v>228</v>
      </c>
      <c r="B14513" t="s">
        <v>373</v>
      </c>
      <c r="C14513" s="26">
        <v>0.64500000000000002</v>
      </c>
      <c r="D14513" s="26">
        <v>0.2447</v>
      </c>
      <c r="E14513" s="26">
        <v>3.0300000000000001E-2</v>
      </c>
      <c r="F14513" s="26">
        <v>1.5599999999999999E-2</v>
      </c>
      <c r="G14513" s="26">
        <v>8.0999999999999996E-3</v>
      </c>
      <c r="H14513" s="26">
        <v>5.7000000000000002E-3</v>
      </c>
      <c r="I14513" s="26">
        <v>5.7000000000000002E-3</v>
      </c>
      <c r="J14513" s="26">
        <v>4.1099999999999998E-2</v>
      </c>
      <c r="K14513" s="26">
        <v>9.1000000000000004E-3</v>
      </c>
      <c r="L14513" s="26">
        <v>3.4000000000000002E-2</v>
      </c>
      <c r="M14513" s="26">
        <v>1.09E-2</v>
      </c>
      <c r="N14513" s="26">
        <v>2.3999999999999998E-3</v>
      </c>
      <c r="P14513" s="26">
        <v>3.3999999999999998E-3</v>
      </c>
      <c r="Q14513">
        <v>473</v>
      </c>
    </row>
    <row r="14514" spans="1:17" x14ac:dyDescent="0.35">
      <c r="A14514" t="s">
        <v>229</v>
      </c>
      <c r="B14514" t="s">
        <v>371</v>
      </c>
      <c r="C14514" s="26">
        <v>0.64639999999999997</v>
      </c>
      <c r="D14514" s="26">
        <v>0.19789999999999999</v>
      </c>
      <c r="E14514" s="26">
        <v>6.5500000000000003E-2</v>
      </c>
      <c r="F14514" s="26">
        <v>4.1099999999999998E-2</v>
      </c>
      <c r="G14514" s="26">
        <v>3.4599999999999999E-2</v>
      </c>
      <c r="H14514" s="26">
        <v>3.2500000000000001E-2</v>
      </c>
      <c r="I14514" s="26">
        <v>1.78E-2</v>
      </c>
      <c r="J14514" s="26">
        <v>4.4999999999999997E-3</v>
      </c>
      <c r="K14514" s="26">
        <v>5.3E-3</v>
      </c>
      <c r="L14514" s="26">
        <v>4.8999999999999998E-3</v>
      </c>
      <c r="M14514" s="26">
        <v>1.35E-2</v>
      </c>
      <c r="N14514" s="26">
        <v>7.6E-3</v>
      </c>
      <c r="O14514" s="26">
        <v>3.0999999999999999E-3</v>
      </c>
      <c r="P14514" s="26">
        <v>6.7000000000000002E-3</v>
      </c>
      <c r="Q14514">
        <v>530</v>
      </c>
    </row>
    <row r="14515" spans="1:17" x14ac:dyDescent="0.35">
      <c r="A14515" t="s">
        <v>229</v>
      </c>
      <c r="B14515" t="s">
        <v>372</v>
      </c>
      <c r="C14515" s="26">
        <v>0.69140000000000001</v>
      </c>
      <c r="D14515" s="26">
        <v>0.1946</v>
      </c>
      <c r="E14515" s="26">
        <v>1.6199999999999999E-2</v>
      </c>
      <c r="F14515" s="26">
        <v>4.6199999999999998E-2</v>
      </c>
      <c r="I14515" s="26">
        <v>7.4999999999999997E-3</v>
      </c>
      <c r="J14515" s="26">
        <v>0.03</v>
      </c>
      <c r="K14515" s="26">
        <v>1.1900000000000001E-2</v>
      </c>
      <c r="L14515" s="26">
        <v>7.4999999999999997E-3</v>
      </c>
      <c r="M14515" s="26">
        <v>7.4999999999999997E-3</v>
      </c>
      <c r="O14515" s="26">
        <v>9.7000000000000003E-3</v>
      </c>
      <c r="Q14515">
        <v>195</v>
      </c>
    </row>
    <row r="14516" spans="1:17" x14ac:dyDescent="0.35">
      <c r="A14516" t="s">
        <v>229</v>
      </c>
      <c r="B14516" t="s">
        <v>373</v>
      </c>
      <c r="C14516" s="26">
        <v>0.68440000000000001</v>
      </c>
      <c r="D14516" s="26">
        <v>0.1404</v>
      </c>
      <c r="E14516" s="26">
        <v>1.2999999999999999E-2</v>
      </c>
      <c r="F14516" s="26">
        <v>8.4400000000000003E-2</v>
      </c>
      <c r="G14516" s="26">
        <v>1.2999999999999999E-2</v>
      </c>
      <c r="I14516" s="26">
        <v>1.2999999999999999E-2</v>
      </c>
      <c r="J14516" s="26">
        <v>2.5899999999999999E-2</v>
      </c>
      <c r="L14516" s="26">
        <v>6.4799999999999996E-2</v>
      </c>
      <c r="M14516" s="26">
        <v>1.2999999999999999E-2</v>
      </c>
      <c r="Q14516">
        <v>86</v>
      </c>
    </row>
    <row r="14517" spans="1:17" x14ac:dyDescent="0.35">
      <c r="A14517" t="s">
        <v>230</v>
      </c>
      <c r="B14517" t="s">
        <v>371</v>
      </c>
      <c r="C14517" s="26">
        <v>0.67720000000000002</v>
      </c>
      <c r="D14517" s="26">
        <v>0.1371</v>
      </c>
      <c r="E14517" s="26">
        <v>7.85E-2</v>
      </c>
      <c r="F14517" s="26">
        <v>1.67E-2</v>
      </c>
      <c r="G14517" s="26">
        <v>4.2799999999999998E-2</v>
      </c>
      <c r="H14517" s="26">
        <v>3.5700000000000003E-2</v>
      </c>
      <c r="I14517" s="26">
        <v>6.5500000000000003E-2</v>
      </c>
      <c r="J14517" s="26">
        <v>1.67E-2</v>
      </c>
      <c r="K14517" s="26">
        <v>2.2599999999999999E-2</v>
      </c>
      <c r="L14517" s="26">
        <v>1.55E-2</v>
      </c>
      <c r="M14517" s="26">
        <v>1.43E-2</v>
      </c>
      <c r="N14517" s="26">
        <v>1.43E-2</v>
      </c>
      <c r="Q14517">
        <v>244</v>
      </c>
    </row>
    <row r="14518" spans="1:17" x14ac:dyDescent="0.35">
      <c r="A14518" t="s">
        <v>230</v>
      </c>
      <c r="B14518" t="s">
        <v>372</v>
      </c>
      <c r="C14518" s="26">
        <v>0.69069999999999998</v>
      </c>
      <c r="D14518" s="26">
        <v>0.23300000000000001</v>
      </c>
      <c r="E14518" s="26">
        <v>1.09E-2</v>
      </c>
      <c r="F14518" s="26">
        <v>3.27E-2</v>
      </c>
      <c r="G14518" s="26">
        <v>1.6400000000000001E-2</v>
      </c>
      <c r="H14518" s="26">
        <v>5.4999999999999997E-3</v>
      </c>
      <c r="J14518" s="26">
        <v>1.6400000000000001E-2</v>
      </c>
      <c r="L14518" s="26">
        <v>1.6400000000000001E-2</v>
      </c>
      <c r="M14518" s="26">
        <v>1.6400000000000001E-2</v>
      </c>
      <c r="N14518" s="26">
        <v>5.4999999999999997E-3</v>
      </c>
      <c r="O14518" s="26">
        <v>5.4999999999999997E-3</v>
      </c>
      <c r="Q14518">
        <v>125</v>
      </c>
    </row>
    <row r="14519" spans="1:17" x14ac:dyDescent="0.35">
      <c r="A14519" t="s">
        <v>230</v>
      </c>
      <c r="B14519" t="s">
        <v>373</v>
      </c>
      <c r="C14519" s="26">
        <v>0.63139999999999996</v>
      </c>
      <c r="D14519" s="26">
        <v>0.22889999999999999</v>
      </c>
      <c r="E14519" s="26">
        <v>3.6900000000000002E-2</v>
      </c>
      <c r="F14519" s="26">
        <v>4.8800000000000003E-2</v>
      </c>
      <c r="J14519" s="26">
        <v>5.3999999999999999E-2</v>
      </c>
      <c r="K14519" s="26">
        <v>1.4800000000000001E-2</v>
      </c>
      <c r="L14519" s="26">
        <v>2.4400000000000002E-2</v>
      </c>
      <c r="Q14519">
        <v>143</v>
      </c>
    </row>
    <row r="14520" spans="1:17" x14ac:dyDescent="0.35">
      <c r="A14520" t="s">
        <v>231</v>
      </c>
      <c r="B14520" t="s">
        <v>371</v>
      </c>
      <c r="C14520" s="26">
        <v>0.79490000000000005</v>
      </c>
      <c r="D14520" s="26">
        <v>0.12820000000000001</v>
      </c>
      <c r="E14520" s="26">
        <v>3.2099999999999997E-2</v>
      </c>
      <c r="F14520" s="26">
        <v>2.5600000000000001E-2</v>
      </c>
      <c r="G14520" s="26">
        <v>1.2800000000000001E-2</v>
      </c>
      <c r="H14520" s="26">
        <v>1.2800000000000001E-2</v>
      </c>
      <c r="I14520" s="26">
        <v>6.4000000000000003E-3</v>
      </c>
      <c r="K14520" s="26">
        <v>6.4000000000000003E-3</v>
      </c>
      <c r="O14520" s="26">
        <v>6.4000000000000003E-3</v>
      </c>
      <c r="Q14520">
        <v>156</v>
      </c>
    </row>
    <row r="14521" spans="1:17" x14ac:dyDescent="0.35">
      <c r="A14521" t="s">
        <v>232</v>
      </c>
      <c r="B14521" t="s">
        <v>232</v>
      </c>
      <c r="C14521" s="26">
        <v>0.69269999999999998</v>
      </c>
      <c r="D14521" s="26">
        <v>0.186</v>
      </c>
      <c r="E14521" s="26">
        <v>4.0300000000000002E-2</v>
      </c>
      <c r="F14521" s="26">
        <v>3.09E-2</v>
      </c>
      <c r="G14521" s="26">
        <v>2.3099999999999999E-2</v>
      </c>
      <c r="H14521" s="26">
        <v>2.0899999999999998E-2</v>
      </c>
      <c r="I14521" s="26">
        <v>1.41E-2</v>
      </c>
      <c r="J14521" s="26">
        <v>1.14E-2</v>
      </c>
      <c r="K14521" s="26">
        <v>9.9000000000000008E-3</v>
      </c>
      <c r="L14521" s="26">
        <v>8.6999999999999994E-3</v>
      </c>
      <c r="M14521" s="26">
        <v>7.3000000000000001E-3</v>
      </c>
      <c r="N14521" s="26">
        <v>4.0000000000000001E-3</v>
      </c>
      <c r="O14521" s="26">
        <v>2.8999999999999998E-3</v>
      </c>
      <c r="P14521" s="26">
        <v>2E-3</v>
      </c>
      <c r="Q14521">
        <v>2578</v>
      </c>
    </row>
    <row r="14523" spans="1:17" x14ac:dyDescent="0.35">
      <c r="A14523" s="1" t="s">
        <v>1591</v>
      </c>
    </row>
    <row r="14524" spans="1:17" x14ac:dyDescent="0.35">
      <c r="A14524" t="s">
        <v>219</v>
      </c>
      <c r="B14524" t="s">
        <v>305</v>
      </c>
      <c r="C14524" t="s">
        <v>550</v>
      </c>
      <c r="D14524" t="s">
        <v>281</v>
      </c>
      <c r="E14524" t="s">
        <v>1575</v>
      </c>
      <c r="F14524" t="s">
        <v>1401</v>
      </c>
      <c r="G14524" t="s">
        <v>1576</v>
      </c>
      <c r="H14524" t="s">
        <v>1577</v>
      </c>
      <c r="I14524" t="s">
        <v>1406</v>
      </c>
      <c r="J14524" t="s">
        <v>1578</v>
      </c>
      <c r="K14524" t="s">
        <v>326</v>
      </c>
      <c r="L14524" t="s">
        <v>1579</v>
      </c>
      <c r="M14524" t="s">
        <v>1504</v>
      </c>
      <c r="N14524" t="s">
        <v>1580</v>
      </c>
      <c r="O14524" t="s">
        <v>286</v>
      </c>
      <c r="P14524" t="s">
        <v>1408</v>
      </c>
      <c r="Q14524" t="s">
        <v>226</v>
      </c>
    </row>
    <row r="14525" spans="1:17" x14ac:dyDescent="0.35">
      <c r="A14525" t="s">
        <v>227</v>
      </c>
      <c r="B14525" t="s">
        <v>255</v>
      </c>
      <c r="C14525" s="26">
        <v>0.64759999999999995</v>
      </c>
      <c r="D14525" s="26">
        <v>0.29520000000000002</v>
      </c>
      <c r="E14525" s="26">
        <v>9.4999999999999998E-3</v>
      </c>
      <c r="F14525" s="26">
        <v>9.4999999999999998E-3</v>
      </c>
      <c r="G14525" s="26">
        <v>9.4999999999999998E-3</v>
      </c>
      <c r="J14525" s="26">
        <v>2.86E-2</v>
      </c>
      <c r="K14525" s="26">
        <v>1.9E-2</v>
      </c>
      <c r="L14525" s="26">
        <v>9.4999999999999998E-3</v>
      </c>
      <c r="Q14525">
        <v>105</v>
      </c>
    </row>
    <row r="14526" spans="1:17" x14ac:dyDescent="0.35">
      <c r="A14526" s="27" t="s">
        <v>227</v>
      </c>
      <c r="B14526" s="27" t="s">
        <v>257</v>
      </c>
      <c r="C14526" s="28">
        <v>0.75</v>
      </c>
      <c r="D14526" s="29"/>
      <c r="E14526" s="29"/>
      <c r="F14526" s="29"/>
      <c r="G14526" s="28">
        <v>0.125</v>
      </c>
      <c r="H14526" s="28">
        <v>0.125</v>
      </c>
      <c r="I14526" s="29"/>
      <c r="J14526" s="29"/>
      <c r="K14526" s="28">
        <v>0.125</v>
      </c>
      <c r="L14526" s="29"/>
      <c r="M14526" s="29"/>
      <c r="N14526" s="29"/>
      <c r="O14526" s="29"/>
      <c r="P14526" s="29"/>
      <c r="Q14526" s="29" t="s">
        <v>333</v>
      </c>
    </row>
    <row r="14527" spans="1:17" x14ac:dyDescent="0.35">
      <c r="A14527" t="s">
        <v>227</v>
      </c>
      <c r="B14527" t="s">
        <v>256</v>
      </c>
      <c r="C14527" s="26">
        <v>0.73329999999999995</v>
      </c>
      <c r="D14527" s="26">
        <v>3.3300000000000003E-2</v>
      </c>
      <c r="E14527" s="26">
        <v>3.3300000000000003E-2</v>
      </c>
      <c r="F14527" s="26">
        <v>0.1333</v>
      </c>
      <c r="H14527" s="26">
        <v>0.1</v>
      </c>
      <c r="I14527" s="26">
        <v>3.3300000000000003E-2</v>
      </c>
      <c r="Q14527">
        <v>30</v>
      </c>
    </row>
    <row r="14528" spans="1:17" x14ac:dyDescent="0.35">
      <c r="A14528" t="s">
        <v>228</v>
      </c>
      <c r="B14528" t="s">
        <v>257</v>
      </c>
      <c r="C14528" s="26">
        <v>0.72619999999999996</v>
      </c>
      <c r="D14528" s="26">
        <v>0.16520000000000001</v>
      </c>
      <c r="E14528" s="26">
        <v>6.6000000000000003E-2</v>
      </c>
      <c r="F14528" s="26">
        <v>2.5000000000000001E-2</v>
      </c>
      <c r="G14528" s="26">
        <v>8.8000000000000005E-3</v>
      </c>
      <c r="I14528" s="26">
        <v>1.17E-2</v>
      </c>
      <c r="J14528" s="26">
        <v>2.0500000000000001E-2</v>
      </c>
      <c r="L14528" s="26">
        <v>2.0500000000000001E-2</v>
      </c>
      <c r="Q14528">
        <v>45</v>
      </c>
    </row>
    <row r="14529" spans="1:17" x14ac:dyDescent="0.35">
      <c r="A14529" s="27" t="s">
        <v>228</v>
      </c>
      <c r="B14529" s="27" t="s">
        <v>258</v>
      </c>
      <c r="C14529" s="28">
        <v>0.90190000000000003</v>
      </c>
      <c r="D14529" s="29"/>
      <c r="E14529" s="28">
        <v>9.8100000000000007E-2</v>
      </c>
      <c r="F14529" s="29"/>
      <c r="G14529" s="29"/>
      <c r="H14529" s="29"/>
      <c r="I14529" s="29"/>
      <c r="J14529" s="29"/>
      <c r="K14529" s="29"/>
      <c r="L14529" s="29"/>
      <c r="M14529" s="29"/>
      <c r="N14529" s="29"/>
      <c r="O14529" s="29"/>
      <c r="P14529" s="29"/>
      <c r="Q14529" s="29" t="s">
        <v>337</v>
      </c>
    </row>
    <row r="14530" spans="1:17" x14ac:dyDescent="0.35">
      <c r="A14530" t="s">
        <v>228</v>
      </c>
      <c r="B14530" t="s">
        <v>256</v>
      </c>
      <c r="C14530" s="26">
        <v>0.71009999999999995</v>
      </c>
      <c r="D14530" s="26">
        <v>0.15</v>
      </c>
      <c r="E14530" s="26">
        <v>2.3300000000000001E-2</v>
      </c>
      <c r="F14530" s="26">
        <v>1.61E-2</v>
      </c>
      <c r="G14530" s="26">
        <v>4.9000000000000002E-2</v>
      </c>
      <c r="H14530" s="26">
        <v>3.3E-3</v>
      </c>
      <c r="I14530" s="26">
        <v>3.5999999999999999E-3</v>
      </c>
      <c r="J14530" s="26">
        <v>1.6E-2</v>
      </c>
      <c r="K14530" s="26">
        <v>5.1000000000000004E-3</v>
      </c>
      <c r="L14530" s="26">
        <v>4.3200000000000002E-2</v>
      </c>
      <c r="M14530" s="26">
        <v>5.4000000000000003E-3</v>
      </c>
      <c r="O14530" s="26">
        <v>1E-3</v>
      </c>
      <c r="Q14530">
        <v>210</v>
      </c>
    </row>
    <row r="14531" spans="1:17" x14ac:dyDescent="0.35">
      <c r="A14531" t="s">
        <v>228</v>
      </c>
      <c r="B14531" t="s">
        <v>255</v>
      </c>
      <c r="C14531" s="26">
        <v>0.59060000000000001</v>
      </c>
      <c r="D14531" s="26">
        <v>0.2868</v>
      </c>
      <c r="E14531" s="26">
        <v>2.53E-2</v>
      </c>
      <c r="F14531" s="26">
        <v>2.5899999999999999E-2</v>
      </c>
      <c r="G14531" s="26">
        <v>1.8800000000000001E-2</v>
      </c>
      <c r="H14531" s="26">
        <v>1.38E-2</v>
      </c>
      <c r="I14531" s="26">
        <v>7.4999999999999997E-3</v>
      </c>
      <c r="J14531" s="26">
        <v>2.5700000000000001E-2</v>
      </c>
      <c r="K14531" s="26">
        <v>8.9999999999999993E-3</v>
      </c>
      <c r="L14531" s="26">
        <v>1.4200000000000001E-2</v>
      </c>
      <c r="M14531" s="26">
        <v>1.6500000000000001E-2</v>
      </c>
      <c r="N14531" s="26">
        <v>6.6E-3</v>
      </c>
      <c r="O14531" s="26">
        <v>8.0000000000000004E-4</v>
      </c>
      <c r="P14531" s="26">
        <v>1.9E-3</v>
      </c>
      <c r="Q14531">
        <v>697</v>
      </c>
    </row>
    <row r="14532" spans="1:17" x14ac:dyDescent="0.35">
      <c r="A14532" t="s">
        <v>229</v>
      </c>
      <c r="B14532" t="s">
        <v>256</v>
      </c>
      <c r="C14532" s="26">
        <v>0.71260000000000001</v>
      </c>
      <c r="D14532" s="26">
        <v>7.1099999999999997E-2</v>
      </c>
      <c r="E14532" s="26">
        <v>6.4899999999999999E-2</v>
      </c>
      <c r="F14532" s="26">
        <v>5.2699999999999997E-2</v>
      </c>
      <c r="G14532" s="26">
        <v>3.9399999999999998E-2</v>
      </c>
      <c r="H14532" s="26">
        <v>7.5200000000000003E-2</v>
      </c>
      <c r="I14532" s="26">
        <v>2.9399999999999999E-2</v>
      </c>
      <c r="J14532" s="26">
        <v>2.8E-3</v>
      </c>
      <c r="K14532" s="26">
        <v>1.5699999999999999E-2</v>
      </c>
      <c r="L14532" s="26">
        <v>1.4E-3</v>
      </c>
      <c r="M14532" s="26">
        <v>2.7199999999999998E-2</v>
      </c>
      <c r="N14532" s="26">
        <v>1.29E-2</v>
      </c>
      <c r="P14532" s="26">
        <v>1.29E-2</v>
      </c>
      <c r="Q14532">
        <v>183</v>
      </c>
    </row>
    <row r="14533" spans="1:17" x14ac:dyDescent="0.35">
      <c r="A14533" t="s">
        <v>229</v>
      </c>
      <c r="B14533" t="s">
        <v>255</v>
      </c>
      <c r="C14533" s="26">
        <v>0.62909999999999999</v>
      </c>
      <c r="D14533" s="26">
        <v>0.24679999999999999</v>
      </c>
      <c r="E14533" s="26">
        <v>5.45E-2</v>
      </c>
      <c r="F14533" s="26">
        <v>3.8800000000000001E-2</v>
      </c>
      <c r="G14533" s="26">
        <v>3.1800000000000002E-2</v>
      </c>
      <c r="H14533" s="26">
        <v>9.5999999999999992E-3</v>
      </c>
      <c r="I14533" s="26">
        <v>1.37E-2</v>
      </c>
      <c r="J14533" s="26">
        <v>8.2000000000000007E-3</v>
      </c>
      <c r="K14533" s="26">
        <v>1.9E-3</v>
      </c>
      <c r="L14533" s="26">
        <v>5.1999999999999998E-3</v>
      </c>
      <c r="M14533" s="26">
        <v>4.7000000000000002E-3</v>
      </c>
      <c r="N14533" s="26">
        <v>5.1999999999999998E-3</v>
      </c>
      <c r="O14533" s="26">
        <v>4.7999999999999996E-3</v>
      </c>
      <c r="P14533" s="26">
        <v>4.1000000000000003E-3</v>
      </c>
      <c r="Q14533">
        <v>583</v>
      </c>
    </row>
    <row r="14534" spans="1:17" x14ac:dyDescent="0.35">
      <c r="A14534" t="s">
        <v>229</v>
      </c>
      <c r="B14534" t="s">
        <v>257</v>
      </c>
      <c r="C14534" s="26">
        <v>0.59760000000000002</v>
      </c>
      <c r="D14534" s="26">
        <v>0.1552</v>
      </c>
      <c r="E14534" s="26">
        <v>0.14510000000000001</v>
      </c>
      <c r="F14534" s="26">
        <v>4.3099999999999999E-2</v>
      </c>
      <c r="H14534" s="26">
        <v>7.46E-2</v>
      </c>
      <c r="L14534" s="26">
        <v>5.8900000000000001E-2</v>
      </c>
      <c r="M14534" s="26">
        <v>5.8900000000000001E-2</v>
      </c>
      <c r="Q14534">
        <v>43</v>
      </c>
    </row>
    <row r="14535" spans="1:17" x14ac:dyDescent="0.35">
      <c r="A14535" s="27" t="s">
        <v>229</v>
      </c>
      <c r="B14535" s="27" t="s">
        <v>258</v>
      </c>
      <c r="C14535" s="28">
        <v>1</v>
      </c>
      <c r="D14535" s="29"/>
      <c r="E14535" s="29"/>
      <c r="F14535" s="29"/>
      <c r="G14535" s="29"/>
      <c r="H14535" s="29"/>
      <c r="I14535" s="29"/>
      <c r="J14535" s="29"/>
      <c r="K14535" s="29"/>
      <c r="L14535" s="29"/>
      <c r="M14535" s="29"/>
      <c r="N14535" s="29"/>
      <c r="O14535" s="29"/>
      <c r="P14535" s="29"/>
      <c r="Q14535" s="29" t="s">
        <v>314</v>
      </c>
    </row>
    <row r="14536" spans="1:17" x14ac:dyDescent="0.35">
      <c r="A14536" t="s">
        <v>230</v>
      </c>
      <c r="B14536" t="s">
        <v>256</v>
      </c>
      <c r="C14536" s="26">
        <v>0.73499999999999999</v>
      </c>
      <c r="D14536" s="26">
        <v>7.4800000000000005E-2</v>
      </c>
      <c r="E14536" s="26">
        <v>3.0499999999999999E-2</v>
      </c>
      <c r="F14536" s="26">
        <v>4.53E-2</v>
      </c>
      <c r="G14536" s="26">
        <v>1.1999999999999999E-3</v>
      </c>
      <c r="H14536" s="26">
        <v>2.29E-2</v>
      </c>
      <c r="I14536" s="26">
        <v>6.88E-2</v>
      </c>
      <c r="J14536" s="26">
        <v>2.3E-3</v>
      </c>
      <c r="K14536" s="26">
        <v>2.6700000000000002E-2</v>
      </c>
      <c r="L14536" s="26">
        <v>6.1000000000000004E-3</v>
      </c>
      <c r="M14536" s="26">
        <v>2.41E-2</v>
      </c>
      <c r="Q14536">
        <v>119</v>
      </c>
    </row>
    <row r="14537" spans="1:17" x14ac:dyDescent="0.35">
      <c r="A14537" t="s">
        <v>230</v>
      </c>
      <c r="B14537" t="s">
        <v>255</v>
      </c>
      <c r="C14537" s="26">
        <v>0.64</v>
      </c>
      <c r="D14537" s="26">
        <v>0.20030000000000001</v>
      </c>
      <c r="E14537" s="26">
        <v>7.5399999999999995E-2</v>
      </c>
      <c r="F14537" s="26">
        <v>1.3899999999999999E-2</v>
      </c>
      <c r="G14537" s="26">
        <v>4.4699999999999997E-2</v>
      </c>
      <c r="H14537" s="26">
        <v>2.6800000000000001E-2</v>
      </c>
      <c r="I14537" s="26">
        <v>4.53E-2</v>
      </c>
      <c r="J14537" s="26">
        <v>3.0099999999999998E-2</v>
      </c>
      <c r="K14537" s="26">
        <v>2.0500000000000001E-2</v>
      </c>
      <c r="L14537" s="26">
        <v>2.1399999999999999E-2</v>
      </c>
      <c r="M14537" s="26">
        <v>9.7000000000000003E-3</v>
      </c>
      <c r="N14537" s="26">
        <v>1.7999999999999999E-2</v>
      </c>
      <c r="O14537" s="26">
        <v>4.0000000000000002E-4</v>
      </c>
      <c r="Q14537">
        <v>355</v>
      </c>
    </row>
    <row r="14538" spans="1:17" x14ac:dyDescent="0.35">
      <c r="A14538" t="s">
        <v>230</v>
      </c>
      <c r="B14538" t="s">
        <v>257</v>
      </c>
      <c r="C14538" s="26">
        <v>0.78959999999999997</v>
      </c>
      <c r="D14538" s="26">
        <v>2.9700000000000001E-2</v>
      </c>
      <c r="E14538" s="26">
        <v>0.15479999999999999</v>
      </c>
      <c r="F14538" s="26">
        <v>1.3100000000000001E-2</v>
      </c>
      <c r="G14538" s="26">
        <v>7.7399999999999997E-2</v>
      </c>
      <c r="I14538" s="26">
        <v>7.7399999999999997E-2</v>
      </c>
      <c r="J14538" s="26">
        <v>1.2800000000000001E-2</v>
      </c>
      <c r="L14538" s="26">
        <v>1.2800000000000001E-2</v>
      </c>
      <c r="Q14538">
        <v>36</v>
      </c>
    </row>
    <row r="14539" spans="1:17" x14ac:dyDescent="0.35">
      <c r="A14539" s="27" t="s">
        <v>230</v>
      </c>
      <c r="B14539" s="27" t="s">
        <v>258</v>
      </c>
      <c r="C14539" s="28">
        <v>0.14149999999999999</v>
      </c>
      <c r="D14539" s="29"/>
      <c r="E14539" s="29"/>
      <c r="F14539" s="29"/>
      <c r="G14539" s="29"/>
      <c r="H14539" s="28">
        <v>0.85850000000000004</v>
      </c>
      <c r="I14539" s="29"/>
      <c r="J14539" s="29"/>
      <c r="K14539" s="29"/>
      <c r="L14539" s="29"/>
      <c r="M14539" s="29"/>
      <c r="N14539" s="29"/>
      <c r="O14539" s="29"/>
      <c r="P14539" s="29"/>
      <c r="Q14539" s="29" t="s">
        <v>314</v>
      </c>
    </row>
    <row r="14540" spans="1:17" x14ac:dyDescent="0.35">
      <c r="A14540" s="27" t="s">
        <v>231</v>
      </c>
      <c r="B14540" s="27" t="s">
        <v>257</v>
      </c>
      <c r="C14540" s="28">
        <v>0.83330000000000004</v>
      </c>
      <c r="D14540" s="28">
        <v>0.16669999999999999</v>
      </c>
      <c r="E14540" s="29"/>
      <c r="F14540" s="29"/>
      <c r="G14540" s="29"/>
      <c r="H14540" s="29"/>
      <c r="I14540" s="29"/>
      <c r="J14540" s="29"/>
      <c r="K14540" s="29"/>
      <c r="L14540" s="29"/>
      <c r="M14540" s="29"/>
      <c r="N14540" s="29"/>
      <c r="O14540" s="29"/>
      <c r="P14540" s="29"/>
      <c r="Q14540" s="29" t="s">
        <v>335</v>
      </c>
    </row>
    <row r="14541" spans="1:17" x14ac:dyDescent="0.35">
      <c r="A14541" t="s">
        <v>231</v>
      </c>
      <c r="B14541" t="s">
        <v>255</v>
      </c>
      <c r="C14541" s="26">
        <v>0.79669999999999996</v>
      </c>
      <c r="D14541" s="26">
        <v>0.14630000000000001</v>
      </c>
      <c r="E14541" s="26">
        <v>2.4400000000000002E-2</v>
      </c>
      <c r="F14541" s="26">
        <v>1.6299999999999999E-2</v>
      </c>
      <c r="G14541" s="26">
        <v>8.0999999999999996E-3</v>
      </c>
      <c r="H14541" s="26">
        <v>8.0999999999999996E-3</v>
      </c>
      <c r="I14541" s="26">
        <v>8.0999999999999996E-3</v>
      </c>
      <c r="K14541" s="26">
        <v>8.0999999999999996E-3</v>
      </c>
      <c r="O14541" s="26">
        <v>8.0999999999999996E-3</v>
      </c>
      <c r="Q14541">
        <v>123</v>
      </c>
    </row>
    <row r="14542" spans="1:17" x14ac:dyDescent="0.35">
      <c r="A14542" s="27" t="s">
        <v>231</v>
      </c>
      <c r="B14542" s="27" t="s">
        <v>256</v>
      </c>
      <c r="C14542" s="28">
        <v>0.77780000000000005</v>
      </c>
      <c r="D14542" s="28">
        <v>3.6999999999999998E-2</v>
      </c>
      <c r="E14542" s="28">
        <v>7.4099999999999999E-2</v>
      </c>
      <c r="F14542" s="28">
        <v>7.4099999999999999E-2</v>
      </c>
      <c r="G14542" s="28">
        <v>3.6999999999999998E-2</v>
      </c>
      <c r="H14542" s="28">
        <v>3.6999999999999998E-2</v>
      </c>
      <c r="I14542" s="29"/>
      <c r="J14542" s="29"/>
      <c r="K14542" s="29"/>
      <c r="L14542" s="29"/>
      <c r="M14542" s="29"/>
      <c r="N14542" s="29"/>
      <c r="O14542" s="29"/>
      <c r="P14542" s="29"/>
      <c r="Q14542" s="29" t="s">
        <v>338</v>
      </c>
    </row>
    <row r="14543" spans="1:17" x14ac:dyDescent="0.35">
      <c r="A14543" t="s">
        <v>232</v>
      </c>
      <c r="B14543" t="s">
        <v>232</v>
      </c>
      <c r="C14543" s="26">
        <v>0.69269999999999998</v>
      </c>
      <c r="D14543" s="26">
        <v>0.186</v>
      </c>
      <c r="E14543" s="26">
        <v>4.0300000000000002E-2</v>
      </c>
      <c r="F14543" s="26">
        <v>3.09E-2</v>
      </c>
      <c r="G14543" s="26">
        <v>2.3099999999999999E-2</v>
      </c>
      <c r="H14543" s="26">
        <v>2.0899999999999998E-2</v>
      </c>
      <c r="I14543" s="26">
        <v>1.41E-2</v>
      </c>
      <c r="J14543" s="26">
        <v>1.14E-2</v>
      </c>
      <c r="K14543" s="26">
        <v>9.9000000000000008E-3</v>
      </c>
      <c r="L14543" s="26">
        <v>8.6999999999999994E-3</v>
      </c>
      <c r="M14543" s="26">
        <v>7.3000000000000001E-3</v>
      </c>
      <c r="N14543" s="26">
        <v>4.0000000000000001E-3</v>
      </c>
      <c r="O14543" s="26">
        <v>2.8999999999999998E-3</v>
      </c>
      <c r="P14543" s="26">
        <v>2E-3</v>
      </c>
      <c r="Q14543">
        <v>2578</v>
      </c>
    </row>
    <row r="14545" spans="1:17" x14ac:dyDescent="0.35">
      <c r="A14545" s="1" t="s">
        <v>1592</v>
      </c>
    </row>
    <row r="14546" spans="1:17" x14ac:dyDescent="0.35">
      <c r="A14546" t="s">
        <v>219</v>
      </c>
      <c r="B14546" t="s">
        <v>305</v>
      </c>
      <c r="C14546" t="s">
        <v>550</v>
      </c>
      <c r="D14546" t="s">
        <v>281</v>
      </c>
      <c r="E14546" t="s">
        <v>1575</v>
      </c>
      <c r="F14546" t="s">
        <v>1401</v>
      </c>
      <c r="G14546" t="s">
        <v>1576</v>
      </c>
      <c r="H14546" t="s">
        <v>1577</v>
      </c>
      <c r="I14546" t="s">
        <v>1406</v>
      </c>
      <c r="J14546" t="s">
        <v>1578</v>
      </c>
      <c r="K14546" t="s">
        <v>326</v>
      </c>
      <c r="L14546" t="s">
        <v>1579</v>
      </c>
      <c r="M14546" t="s">
        <v>1504</v>
      </c>
      <c r="N14546" t="s">
        <v>1580</v>
      </c>
      <c r="O14546" t="s">
        <v>286</v>
      </c>
      <c r="P14546" t="s">
        <v>1408</v>
      </c>
      <c r="Q14546" t="s">
        <v>226</v>
      </c>
    </row>
    <row r="14547" spans="1:17" x14ac:dyDescent="0.35">
      <c r="A14547" t="s">
        <v>227</v>
      </c>
      <c r="B14547" t="s">
        <v>1341</v>
      </c>
      <c r="C14547" s="26">
        <v>0.72499999999999998</v>
      </c>
      <c r="D14547" s="26">
        <v>0.17499999999999999</v>
      </c>
      <c r="E14547" s="26">
        <v>2.5000000000000001E-2</v>
      </c>
      <c r="F14547" s="26">
        <v>0.05</v>
      </c>
      <c r="G14547" s="26">
        <v>2.5000000000000001E-2</v>
      </c>
      <c r="J14547" s="26">
        <v>0.05</v>
      </c>
      <c r="L14547" s="26">
        <v>2.5000000000000001E-2</v>
      </c>
      <c r="Q14547">
        <v>40</v>
      </c>
    </row>
    <row r="14548" spans="1:17" x14ac:dyDescent="0.35">
      <c r="A14548" s="27" t="s">
        <v>227</v>
      </c>
      <c r="B14548" s="27" t="s">
        <v>1342</v>
      </c>
      <c r="C14548" s="28">
        <v>1</v>
      </c>
      <c r="D14548" s="29"/>
      <c r="E14548" s="29"/>
      <c r="F14548" s="29"/>
      <c r="G14548" s="29"/>
      <c r="H14548" s="29"/>
      <c r="I14548" s="29"/>
      <c r="J14548" s="29"/>
      <c r="K14548" s="29"/>
      <c r="L14548" s="29"/>
      <c r="M14548" s="29"/>
      <c r="N14548" s="29"/>
      <c r="O14548" s="29"/>
      <c r="P14548" s="29"/>
      <c r="Q14548" s="29" t="s">
        <v>331</v>
      </c>
    </row>
    <row r="14549" spans="1:17" x14ac:dyDescent="0.35">
      <c r="A14549" t="s">
        <v>227</v>
      </c>
      <c r="B14549" t="s">
        <v>1343</v>
      </c>
      <c r="C14549" s="26">
        <v>0.64710000000000001</v>
      </c>
      <c r="D14549" s="26">
        <v>0.24510000000000001</v>
      </c>
      <c r="E14549" s="26">
        <v>9.7999999999999997E-3</v>
      </c>
      <c r="F14549" s="26">
        <v>2.9399999999999999E-2</v>
      </c>
      <c r="G14549" s="26">
        <v>9.7999999999999997E-3</v>
      </c>
      <c r="H14549" s="26">
        <v>3.9199999999999999E-2</v>
      </c>
      <c r="I14549" s="26">
        <v>9.7999999999999997E-3</v>
      </c>
      <c r="J14549" s="26">
        <v>9.7999999999999997E-3</v>
      </c>
      <c r="K14549" s="26">
        <v>2.9399999999999999E-2</v>
      </c>
      <c r="Q14549">
        <v>102</v>
      </c>
    </row>
    <row r="14550" spans="1:17" x14ac:dyDescent="0.35">
      <c r="A14550" t="s">
        <v>228</v>
      </c>
      <c r="B14550" t="s">
        <v>1341</v>
      </c>
      <c r="C14550" s="26">
        <v>0.6381</v>
      </c>
      <c r="D14550" s="26">
        <v>0.2029</v>
      </c>
      <c r="E14550" s="26">
        <v>2.3E-2</v>
      </c>
      <c r="F14550" s="26">
        <v>1.54E-2</v>
      </c>
      <c r="G14550" s="26">
        <v>4.3200000000000002E-2</v>
      </c>
      <c r="H14550" s="26">
        <v>2.07E-2</v>
      </c>
      <c r="I14550" s="26">
        <v>7.1999999999999998E-3</v>
      </c>
      <c r="J14550" s="26">
        <v>2.87E-2</v>
      </c>
      <c r="K14550" s="26">
        <v>2.0500000000000001E-2</v>
      </c>
      <c r="L14550" s="26">
        <v>4.2299999999999997E-2</v>
      </c>
      <c r="M14550" s="26">
        <v>4.1999999999999997E-3</v>
      </c>
      <c r="N14550" s="26">
        <v>3.0000000000000001E-3</v>
      </c>
      <c r="O14550" s="26">
        <v>8.9999999999999998E-4</v>
      </c>
      <c r="P14550" s="26">
        <v>4.1999999999999997E-3</v>
      </c>
      <c r="Q14550">
        <v>286</v>
      </c>
    </row>
    <row r="14551" spans="1:17" x14ac:dyDescent="0.35">
      <c r="A14551" s="27" t="s">
        <v>228</v>
      </c>
      <c r="B14551" s="27" t="s">
        <v>1342</v>
      </c>
      <c r="C14551" s="29"/>
      <c r="D14551" s="29"/>
      <c r="E14551" s="29"/>
      <c r="F14551" s="29"/>
      <c r="G14551" s="29"/>
      <c r="H14551" s="29"/>
      <c r="I14551" s="29"/>
      <c r="J14551" s="29"/>
      <c r="K14551" s="29"/>
      <c r="L14551" s="29"/>
      <c r="M14551" s="28">
        <v>1</v>
      </c>
      <c r="N14551" s="29"/>
      <c r="O14551" s="29"/>
      <c r="P14551" s="29"/>
      <c r="Q14551" s="29" t="s">
        <v>331</v>
      </c>
    </row>
    <row r="14552" spans="1:17" x14ac:dyDescent="0.35">
      <c r="A14552" t="s">
        <v>228</v>
      </c>
      <c r="B14552" t="s">
        <v>1343</v>
      </c>
      <c r="C14552" s="26">
        <v>0.62949999999999995</v>
      </c>
      <c r="D14552" s="26">
        <v>0.26340000000000002</v>
      </c>
      <c r="E14552" s="26">
        <v>2.93E-2</v>
      </c>
      <c r="F14552" s="26">
        <v>2.6800000000000001E-2</v>
      </c>
      <c r="G14552" s="26">
        <v>1.83E-2</v>
      </c>
      <c r="H14552" s="26">
        <v>5.7999999999999996E-3</v>
      </c>
      <c r="I14552" s="26">
        <v>6.4999999999999997E-3</v>
      </c>
      <c r="J14552" s="26">
        <v>2.0299999999999999E-2</v>
      </c>
      <c r="K14552" s="26">
        <v>1.8E-3</v>
      </c>
      <c r="L14552" s="26">
        <v>1.29E-2</v>
      </c>
      <c r="M14552" s="26">
        <v>1.1299999999999999E-2</v>
      </c>
      <c r="N14552" s="26">
        <v>5.3E-3</v>
      </c>
      <c r="O14552" s="26">
        <v>8.0000000000000004E-4</v>
      </c>
      <c r="Q14552">
        <v>669</v>
      </c>
    </row>
    <row r="14553" spans="1:17" x14ac:dyDescent="0.35">
      <c r="A14553" t="s">
        <v>229</v>
      </c>
      <c r="B14553" t="s">
        <v>1341</v>
      </c>
      <c r="C14553" s="26">
        <v>0.67879999999999996</v>
      </c>
      <c r="D14553" s="26">
        <v>0.153</v>
      </c>
      <c r="E14553" s="26">
        <v>6.2E-2</v>
      </c>
      <c r="F14553" s="26">
        <v>3.2899999999999999E-2</v>
      </c>
      <c r="G14553" s="26">
        <v>3.7199999999999997E-2</v>
      </c>
      <c r="H14553" s="26">
        <v>4.2799999999999998E-2</v>
      </c>
      <c r="I14553" s="26">
        <v>1.18E-2</v>
      </c>
      <c r="J14553" s="26">
        <v>6.1999999999999998E-3</v>
      </c>
      <c r="K14553" s="26">
        <v>4.4999999999999997E-3</v>
      </c>
      <c r="L14553" s="26">
        <v>8.3999999999999995E-3</v>
      </c>
      <c r="M14553" s="26">
        <v>1.1000000000000001E-3</v>
      </c>
      <c r="N14553" s="26">
        <v>2.3E-3</v>
      </c>
      <c r="Q14553">
        <v>248</v>
      </c>
    </row>
    <row r="14554" spans="1:17" x14ac:dyDescent="0.35">
      <c r="A14554" t="s">
        <v>229</v>
      </c>
      <c r="B14554" t="s">
        <v>1343</v>
      </c>
      <c r="C14554" s="26">
        <v>0.63500000000000001</v>
      </c>
      <c r="D14554" s="26">
        <v>0.2177</v>
      </c>
      <c r="E14554" s="26">
        <v>6.1400000000000003E-2</v>
      </c>
      <c r="F14554" s="26">
        <v>4.7500000000000001E-2</v>
      </c>
      <c r="G14554" s="26">
        <v>2.9700000000000001E-2</v>
      </c>
      <c r="H14554" s="26">
        <v>2.35E-2</v>
      </c>
      <c r="I14554" s="26">
        <v>1.9800000000000002E-2</v>
      </c>
      <c r="J14554" s="26">
        <v>6.4999999999999997E-3</v>
      </c>
      <c r="K14554" s="26">
        <v>6.0000000000000001E-3</v>
      </c>
      <c r="L14554" s="26">
        <v>5.8999999999999999E-3</v>
      </c>
      <c r="M14554" s="26">
        <v>1.9300000000000001E-2</v>
      </c>
      <c r="N14554" s="26">
        <v>9.2999999999999992E-3</v>
      </c>
      <c r="O14554" s="26">
        <v>5.0000000000000001E-3</v>
      </c>
      <c r="P14554" s="26">
        <v>9.2999999999999992E-3</v>
      </c>
      <c r="Q14554">
        <v>563</v>
      </c>
    </row>
    <row r="14555" spans="1:17" x14ac:dyDescent="0.35">
      <c r="A14555" t="s">
        <v>230</v>
      </c>
      <c r="B14555" t="s">
        <v>1341</v>
      </c>
      <c r="C14555" s="26">
        <v>0.68810000000000004</v>
      </c>
      <c r="D14555" s="26">
        <v>0.16189999999999999</v>
      </c>
      <c r="E14555" s="26">
        <v>4.2799999999999998E-2</v>
      </c>
      <c r="F14555" s="26">
        <v>7.4999999999999997E-3</v>
      </c>
      <c r="G14555" s="26">
        <v>1.9800000000000002E-2</v>
      </c>
      <c r="H14555" s="26">
        <v>5.9299999999999999E-2</v>
      </c>
      <c r="I14555" s="26">
        <v>3.95E-2</v>
      </c>
      <c r="J14555" s="26">
        <v>2.0799999999999999E-2</v>
      </c>
      <c r="K14555" s="26">
        <v>3.3E-3</v>
      </c>
      <c r="L14555" s="26">
        <v>4.0500000000000001E-2</v>
      </c>
      <c r="M14555" s="26">
        <v>2.0799999999999999E-2</v>
      </c>
      <c r="N14555" s="26">
        <v>1.9800000000000002E-2</v>
      </c>
      <c r="Q14555">
        <v>136</v>
      </c>
    </row>
    <row r="14556" spans="1:17" x14ac:dyDescent="0.35">
      <c r="A14556" t="s">
        <v>230</v>
      </c>
      <c r="B14556" t="s">
        <v>1343</v>
      </c>
      <c r="C14556" s="26">
        <v>0.66520000000000001</v>
      </c>
      <c r="D14556" s="26">
        <v>0.151</v>
      </c>
      <c r="E14556" s="26">
        <v>8.0600000000000005E-2</v>
      </c>
      <c r="F14556" s="26">
        <v>2.7699999999999999E-2</v>
      </c>
      <c r="G14556" s="26">
        <v>4.2500000000000003E-2</v>
      </c>
      <c r="H14556" s="26">
        <v>1.6899999999999998E-2</v>
      </c>
      <c r="I14556" s="26">
        <v>5.9200000000000003E-2</v>
      </c>
      <c r="J14556" s="26">
        <v>2.18E-2</v>
      </c>
      <c r="K14556" s="26">
        <v>2.75E-2</v>
      </c>
      <c r="L14556" s="26">
        <v>6.7000000000000002E-3</v>
      </c>
      <c r="M14556" s="26">
        <v>9.1000000000000004E-3</v>
      </c>
      <c r="N14556" s="26">
        <v>8.6999999999999994E-3</v>
      </c>
      <c r="O14556" s="26">
        <v>4.0000000000000002E-4</v>
      </c>
      <c r="Q14556">
        <v>376</v>
      </c>
    </row>
    <row r="14557" spans="1:17" x14ac:dyDescent="0.35">
      <c r="A14557" t="s">
        <v>231</v>
      </c>
      <c r="B14557" t="s">
        <v>1341</v>
      </c>
      <c r="C14557" s="26">
        <v>0.80649999999999999</v>
      </c>
      <c r="D14557" s="26">
        <v>8.0600000000000005E-2</v>
      </c>
      <c r="E14557" s="26">
        <v>3.2300000000000002E-2</v>
      </c>
      <c r="F14557" s="26">
        <v>4.8399999999999999E-2</v>
      </c>
      <c r="H14557" s="26">
        <v>1.61E-2</v>
      </c>
      <c r="K14557" s="26">
        <v>1.61E-2</v>
      </c>
      <c r="O14557" s="26">
        <v>1.61E-2</v>
      </c>
      <c r="Q14557">
        <v>62</v>
      </c>
    </row>
    <row r="14558" spans="1:17" x14ac:dyDescent="0.35">
      <c r="A14558" t="s">
        <v>231</v>
      </c>
      <c r="B14558" t="s">
        <v>1343</v>
      </c>
      <c r="C14558" s="26">
        <v>0.78720000000000001</v>
      </c>
      <c r="D14558" s="26">
        <v>0.15959999999999999</v>
      </c>
      <c r="E14558" s="26">
        <v>3.1899999999999998E-2</v>
      </c>
      <c r="F14558" s="26">
        <v>1.06E-2</v>
      </c>
      <c r="G14558" s="26">
        <v>2.1299999999999999E-2</v>
      </c>
      <c r="H14558" s="26">
        <v>1.06E-2</v>
      </c>
      <c r="I14558" s="26">
        <v>1.06E-2</v>
      </c>
      <c r="Q14558">
        <v>94</v>
      </c>
    </row>
    <row r="14559" spans="1:17" x14ac:dyDescent="0.35">
      <c r="A14559" t="s">
        <v>232</v>
      </c>
      <c r="B14559" t="s">
        <v>232</v>
      </c>
      <c r="C14559" s="26">
        <v>0.69269999999999998</v>
      </c>
      <c r="D14559" s="26">
        <v>0.186</v>
      </c>
      <c r="E14559" s="26">
        <v>4.0300000000000002E-2</v>
      </c>
      <c r="F14559" s="26">
        <v>3.09E-2</v>
      </c>
      <c r="G14559" s="26">
        <v>2.3099999999999999E-2</v>
      </c>
      <c r="H14559" s="26">
        <v>2.0899999999999998E-2</v>
      </c>
      <c r="I14559" s="26">
        <v>1.41E-2</v>
      </c>
      <c r="J14559" s="26">
        <v>1.14E-2</v>
      </c>
      <c r="K14559" s="26">
        <v>9.9000000000000008E-3</v>
      </c>
      <c r="L14559" s="26">
        <v>8.6999999999999994E-3</v>
      </c>
      <c r="M14559" s="26">
        <v>7.3000000000000001E-3</v>
      </c>
      <c r="N14559" s="26">
        <v>4.0000000000000001E-3</v>
      </c>
      <c r="O14559" s="26">
        <v>2.8999999999999998E-3</v>
      </c>
      <c r="P14559" s="26">
        <v>2E-3</v>
      </c>
      <c r="Q14559">
        <v>2578</v>
      </c>
    </row>
    <row r="14561" spans="1:17" x14ac:dyDescent="0.35">
      <c r="A14561" s="1" t="s">
        <v>1593</v>
      </c>
    </row>
    <row r="14562" spans="1:17" x14ac:dyDescent="0.35">
      <c r="A14562" t="s">
        <v>219</v>
      </c>
      <c r="B14562" t="s">
        <v>305</v>
      </c>
      <c r="C14562" t="s">
        <v>550</v>
      </c>
      <c r="D14562" t="s">
        <v>281</v>
      </c>
      <c r="E14562" t="s">
        <v>1575</v>
      </c>
      <c r="F14562" t="s">
        <v>1401</v>
      </c>
      <c r="G14562" t="s">
        <v>1576</v>
      </c>
      <c r="H14562" t="s">
        <v>1577</v>
      </c>
      <c r="I14562" t="s">
        <v>1406</v>
      </c>
      <c r="J14562" t="s">
        <v>1578</v>
      </c>
      <c r="K14562" t="s">
        <v>326</v>
      </c>
      <c r="L14562" t="s">
        <v>1579</v>
      </c>
      <c r="M14562" t="s">
        <v>1504</v>
      </c>
      <c r="N14562" t="s">
        <v>1580</v>
      </c>
      <c r="O14562" t="s">
        <v>286</v>
      </c>
      <c r="P14562" t="s">
        <v>1408</v>
      </c>
      <c r="Q14562" t="s">
        <v>226</v>
      </c>
    </row>
    <row r="14563" spans="1:17" x14ac:dyDescent="0.35">
      <c r="A14563" s="27" t="s">
        <v>227</v>
      </c>
      <c r="B14563" s="27" t="s">
        <v>1345</v>
      </c>
      <c r="C14563" s="28">
        <v>1</v>
      </c>
      <c r="D14563" s="29"/>
      <c r="E14563" s="29"/>
      <c r="F14563" s="29"/>
      <c r="G14563" s="29"/>
      <c r="H14563" s="29"/>
      <c r="I14563" s="29"/>
      <c r="J14563" s="29"/>
      <c r="K14563" s="29"/>
      <c r="L14563" s="29"/>
      <c r="M14563" s="29"/>
      <c r="N14563" s="29"/>
      <c r="O14563" s="29"/>
      <c r="P14563" s="29"/>
      <c r="Q14563" s="29" t="s">
        <v>314</v>
      </c>
    </row>
    <row r="14564" spans="1:17" x14ac:dyDescent="0.35">
      <c r="A14564" t="s">
        <v>227</v>
      </c>
      <c r="B14564" t="s">
        <v>1346</v>
      </c>
      <c r="C14564" s="26">
        <v>0.57140000000000002</v>
      </c>
      <c r="D14564" s="26">
        <v>0.4</v>
      </c>
      <c r="J14564" s="26">
        <v>2.86E-2</v>
      </c>
      <c r="Q14564">
        <v>35</v>
      </c>
    </row>
    <row r="14565" spans="1:17" x14ac:dyDescent="0.35">
      <c r="A14565" t="s">
        <v>227</v>
      </c>
      <c r="B14565" t="s">
        <v>1347</v>
      </c>
      <c r="C14565" s="26">
        <v>0.625</v>
      </c>
      <c r="D14565" s="26">
        <v>9.3799999999999994E-2</v>
      </c>
      <c r="E14565" s="26">
        <v>6.25E-2</v>
      </c>
      <c r="F14565" s="26">
        <v>0.125</v>
      </c>
      <c r="G14565" s="26">
        <v>6.25E-2</v>
      </c>
      <c r="H14565" s="26">
        <v>9.3799999999999994E-2</v>
      </c>
      <c r="J14565" s="26">
        <v>3.1199999999999999E-2</v>
      </c>
      <c r="K14565" s="26">
        <v>3.1199999999999999E-2</v>
      </c>
      <c r="L14565" s="26">
        <v>3.1199999999999999E-2</v>
      </c>
      <c r="Q14565">
        <v>32</v>
      </c>
    </row>
    <row r="14566" spans="1:17" x14ac:dyDescent="0.35">
      <c r="A14566" t="s">
        <v>227</v>
      </c>
      <c r="B14566" t="s">
        <v>1348</v>
      </c>
      <c r="C14566" s="26">
        <v>0.72970000000000002</v>
      </c>
      <c r="D14566" s="26">
        <v>0.20269999999999999</v>
      </c>
      <c r="F14566" s="26">
        <v>1.35E-2</v>
      </c>
      <c r="H14566" s="26">
        <v>1.35E-2</v>
      </c>
      <c r="I14566" s="26">
        <v>1.35E-2</v>
      </c>
      <c r="J14566" s="26">
        <v>1.35E-2</v>
      </c>
      <c r="K14566" s="26">
        <v>2.7E-2</v>
      </c>
      <c r="Q14566">
        <v>74</v>
      </c>
    </row>
    <row r="14567" spans="1:17" x14ac:dyDescent="0.35">
      <c r="A14567" t="s">
        <v>228</v>
      </c>
      <c r="B14567" t="s">
        <v>1348</v>
      </c>
      <c r="C14567" s="26">
        <v>0.61209999999999998</v>
      </c>
      <c r="D14567" s="26">
        <v>0.2452</v>
      </c>
      <c r="E14567" s="26">
        <v>3.5499999999999997E-2</v>
      </c>
      <c r="F14567" s="26">
        <v>2.3599999999999999E-2</v>
      </c>
      <c r="G14567" s="26">
        <v>0.04</v>
      </c>
      <c r="H14567" s="26">
        <v>2.5000000000000001E-3</v>
      </c>
      <c r="I14567" s="26">
        <v>7.3000000000000001E-3</v>
      </c>
      <c r="J14567" s="26">
        <v>1.9599999999999999E-2</v>
      </c>
      <c r="K14567" s="26">
        <v>1.17E-2</v>
      </c>
      <c r="L14567" s="26">
        <v>2.5899999999999999E-2</v>
      </c>
      <c r="M14567" s="26">
        <v>1.2699999999999999E-2</v>
      </c>
      <c r="N14567" s="26">
        <v>1.6999999999999999E-3</v>
      </c>
      <c r="O14567" s="26">
        <v>1E-3</v>
      </c>
      <c r="Q14567">
        <v>492</v>
      </c>
    </row>
    <row r="14568" spans="1:17" x14ac:dyDescent="0.35">
      <c r="A14568" t="s">
        <v>228</v>
      </c>
      <c r="B14568" t="s">
        <v>1347</v>
      </c>
      <c r="C14568" s="26">
        <v>0.66159999999999997</v>
      </c>
      <c r="D14568" s="26">
        <v>0.18110000000000001</v>
      </c>
      <c r="E14568" s="26">
        <v>3.0099999999999998E-2</v>
      </c>
      <c r="F14568" s="26">
        <v>2.63E-2</v>
      </c>
      <c r="G14568" s="26">
        <v>2.1000000000000001E-2</v>
      </c>
      <c r="H14568" s="26">
        <v>4.6300000000000001E-2</v>
      </c>
      <c r="I14568" s="26">
        <v>7.7999999999999996E-3</v>
      </c>
      <c r="J14568" s="26">
        <v>2.8299999999999999E-2</v>
      </c>
      <c r="K14568" s="26">
        <v>6.7000000000000002E-3</v>
      </c>
      <c r="L14568" s="26">
        <v>1.9E-2</v>
      </c>
      <c r="M14568" s="26">
        <v>2.3E-3</v>
      </c>
      <c r="N14568" s="26">
        <v>1.8700000000000001E-2</v>
      </c>
      <c r="Q14568">
        <v>191</v>
      </c>
    </row>
    <row r="14569" spans="1:17" x14ac:dyDescent="0.35">
      <c r="A14569" t="s">
        <v>228</v>
      </c>
      <c r="B14569" t="s">
        <v>1346</v>
      </c>
      <c r="C14569" s="26">
        <v>0.64410000000000001</v>
      </c>
      <c r="D14569" s="26">
        <v>0.29930000000000001</v>
      </c>
      <c r="E14569" s="26">
        <v>5.1000000000000004E-3</v>
      </c>
      <c r="F14569" s="26">
        <v>2.0400000000000001E-2</v>
      </c>
      <c r="G14569" s="26">
        <v>1.8E-3</v>
      </c>
      <c r="J14569" s="26">
        <v>2.24E-2</v>
      </c>
      <c r="L14569" s="26">
        <v>1.2200000000000001E-2</v>
      </c>
      <c r="M14569" s="26">
        <v>2.3999999999999998E-3</v>
      </c>
      <c r="O14569" s="26">
        <v>1.1000000000000001E-3</v>
      </c>
      <c r="Q14569">
        <v>262</v>
      </c>
    </row>
    <row r="14570" spans="1:17" x14ac:dyDescent="0.35">
      <c r="A14570" s="27" t="s">
        <v>228</v>
      </c>
      <c r="B14570" s="27" t="s">
        <v>1345</v>
      </c>
      <c r="C14570" s="28">
        <v>0.61629999999999996</v>
      </c>
      <c r="D14570" s="28">
        <v>0.155</v>
      </c>
      <c r="E14570" s="28">
        <v>5.45E-2</v>
      </c>
      <c r="F14570" s="28">
        <v>1.9300000000000001E-2</v>
      </c>
      <c r="G14570" s="29"/>
      <c r="H14570" s="29"/>
      <c r="I14570" s="28">
        <v>5.45E-2</v>
      </c>
      <c r="J14570" s="28">
        <v>5.45E-2</v>
      </c>
      <c r="K14570" s="29"/>
      <c r="L14570" s="28">
        <v>5.45E-2</v>
      </c>
      <c r="M14570" s="28">
        <v>0.20949999999999999</v>
      </c>
      <c r="N14570" s="29"/>
      <c r="O14570" s="29"/>
      <c r="P14570" s="28">
        <v>5.45E-2</v>
      </c>
      <c r="Q14570" s="29" t="s">
        <v>352</v>
      </c>
    </row>
    <row r="14571" spans="1:17" x14ac:dyDescent="0.35">
      <c r="A14571" s="27" t="s">
        <v>229</v>
      </c>
      <c r="B14571" s="27" t="s">
        <v>1345</v>
      </c>
      <c r="C14571" s="28">
        <v>0.70409999999999995</v>
      </c>
      <c r="D14571" s="28">
        <v>0.15629999999999999</v>
      </c>
      <c r="E14571" s="29"/>
      <c r="F14571" s="28">
        <v>6.7000000000000002E-3</v>
      </c>
      <c r="G14571" s="29"/>
      <c r="H14571" s="29"/>
      <c r="I14571" s="28">
        <v>0.12620000000000001</v>
      </c>
      <c r="J14571" s="28">
        <v>6.7000000000000002E-3</v>
      </c>
      <c r="K14571" s="29"/>
      <c r="L14571" s="28">
        <v>6.7000000000000002E-3</v>
      </c>
      <c r="M14571" s="29"/>
      <c r="N14571" s="29"/>
      <c r="O14571" s="29"/>
      <c r="P14571" s="29"/>
      <c r="Q14571" s="29" t="s">
        <v>312</v>
      </c>
    </row>
    <row r="14572" spans="1:17" x14ac:dyDescent="0.35">
      <c r="A14572" t="s">
        <v>229</v>
      </c>
      <c r="B14572" t="s">
        <v>1346</v>
      </c>
      <c r="C14572" s="26">
        <v>0.71350000000000002</v>
      </c>
      <c r="D14572" s="26">
        <v>0.2505</v>
      </c>
      <c r="E14572" s="26">
        <v>2.2000000000000001E-3</v>
      </c>
      <c r="F14572" s="26">
        <v>2.2000000000000001E-3</v>
      </c>
      <c r="G14572" s="26">
        <v>1.54E-2</v>
      </c>
      <c r="I14572" s="26">
        <v>3.3999999999999998E-3</v>
      </c>
      <c r="J14572" s="26">
        <v>1.6999999999999999E-3</v>
      </c>
      <c r="L14572" s="26">
        <v>2.5999999999999999E-3</v>
      </c>
      <c r="O14572" s="26">
        <v>1.29E-2</v>
      </c>
      <c r="Q14572">
        <v>173</v>
      </c>
    </row>
    <row r="14573" spans="1:17" x14ac:dyDescent="0.35">
      <c r="A14573" t="s">
        <v>229</v>
      </c>
      <c r="B14573" t="s">
        <v>1347</v>
      </c>
      <c r="C14573" s="26">
        <v>0.60580000000000001</v>
      </c>
      <c r="D14573" s="26">
        <v>0.16689999999999999</v>
      </c>
      <c r="E14573" s="26">
        <v>0.1036</v>
      </c>
      <c r="F14573" s="26">
        <v>0.108</v>
      </c>
      <c r="G14573" s="26">
        <v>2.47E-2</v>
      </c>
      <c r="H14573" s="26">
        <v>5.8200000000000002E-2</v>
      </c>
      <c r="I14573" s="26">
        <v>2.3400000000000001E-2</v>
      </c>
      <c r="J14573" s="26">
        <v>1.5299999999999999E-2</v>
      </c>
      <c r="K14573" s="26">
        <v>5.3E-3</v>
      </c>
      <c r="L14573" s="26">
        <v>1.47E-2</v>
      </c>
      <c r="M14573" s="26">
        <v>2.1399999999999999E-2</v>
      </c>
      <c r="N14573" s="26">
        <v>1.2699999999999999E-2</v>
      </c>
      <c r="O14573" s="26">
        <v>4.0000000000000002E-4</v>
      </c>
      <c r="P14573" s="26">
        <v>0.01</v>
      </c>
      <c r="Q14573">
        <v>271</v>
      </c>
    </row>
    <row r="14574" spans="1:17" x14ac:dyDescent="0.35">
      <c r="A14574" t="s">
        <v>229</v>
      </c>
      <c r="B14574" t="s">
        <v>1348</v>
      </c>
      <c r="C14574" s="26">
        <v>0.64280000000000004</v>
      </c>
      <c r="D14574" s="26">
        <v>0.1905</v>
      </c>
      <c r="E14574" s="26">
        <v>6.7900000000000002E-2</v>
      </c>
      <c r="F14574" s="26">
        <v>2.4500000000000001E-2</v>
      </c>
      <c r="G14574" s="26">
        <v>4.6600000000000003E-2</v>
      </c>
      <c r="H14574" s="26">
        <v>2.8899999999999999E-2</v>
      </c>
      <c r="I14574" s="26">
        <v>1.3299999999999999E-2</v>
      </c>
      <c r="J14574" s="26">
        <v>3.2000000000000002E-3</v>
      </c>
      <c r="K14574" s="26">
        <v>8.5000000000000006E-3</v>
      </c>
      <c r="L14574" s="26">
        <v>4.0000000000000001E-3</v>
      </c>
      <c r="M14574" s="26">
        <v>1.52E-2</v>
      </c>
      <c r="N14574" s="26">
        <v>7.1999999999999998E-3</v>
      </c>
      <c r="O14574" s="26">
        <v>8.0000000000000004E-4</v>
      </c>
      <c r="P14574" s="26">
        <v>7.1999999999999998E-3</v>
      </c>
      <c r="Q14574">
        <v>342</v>
      </c>
    </row>
    <row r="14575" spans="1:17" x14ac:dyDescent="0.35">
      <c r="A14575" t="s">
        <v>230</v>
      </c>
      <c r="B14575" t="s">
        <v>1346</v>
      </c>
      <c r="C14575" s="26">
        <v>0.72899999999999998</v>
      </c>
      <c r="D14575" s="26">
        <v>0.18440000000000001</v>
      </c>
      <c r="E14575" s="26">
        <v>3.7499999999999999E-2</v>
      </c>
      <c r="F14575" s="26">
        <v>7.1999999999999998E-3</v>
      </c>
      <c r="G14575" s="26">
        <v>1.4E-3</v>
      </c>
      <c r="I14575" s="26">
        <v>2.7099999999999999E-2</v>
      </c>
      <c r="J14575" s="26">
        <v>8.8999999999999999E-3</v>
      </c>
      <c r="K14575" s="26">
        <v>4.4999999999999997E-3</v>
      </c>
      <c r="N14575" s="26">
        <v>1.4E-3</v>
      </c>
      <c r="O14575" s="26">
        <v>1.4E-3</v>
      </c>
      <c r="Q14575">
        <v>132</v>
      </c>
    </row>
    <row r="14576" spans="1:17" x14ac:dyDescent="0.35">
      <c r="A14576" t="s">
        <v>230</v>
      </c>
      <c r="B14576" t="s">
        <v>1348</v>
      </c>
      <c r="C14576" s="26">
        <v>0.63460000000000005</v>
      </c>
      <c r="D14576" s="26">
        <v>0.1789</v>
      </c>
      <c r="E14576" s="26">
        <v>7.5499999999999998E-2</v>
      </c>
      <c r="F14576" s="26">
        <v>3.4299999999999997E-2</v>
      </c>
      <c r="G14576" s="26">
        <v>4.9200000000000001E-2</v>
      </c>
      <c r="H14576" s="26">
        <v>3.7100000000000001E-2</v>
      </c>
      <c r="I14576" s="26">
        <v>3.6499999999999998E-2</v>
      </c>
      <c r="J14576" s="26">
        <v>3.56E-2</v>
      </c>
      <c r="K14576" s="26">
        <v>1.6199999999999999E-2</v>
      </c>
      <c r="L14576" s="26">
        <v>3.0200000000000001E-2</v>
      </c>
      <c r="M14576" s="26">
        <v>1.4E-2</v>
      </c>
      <c r="N14576" s="26">
        <v>2.4299999999999999E-2</v>
      </c>
      <c r="Q14576">
        <v>230</v>
      </c>
    </row>
    <row r="14577" spans="1:18" x14ac:dyDescent="0.35">
      <c r="A14577" t="s">
        <v>230</v>
      </c>
      <c r="B14577" t="s">
        <v>1347</v>
      </c>
      <c r="C14577" s="26">
        <v>0.70040000000000002</v>
      </c>
      <c r="D14577" s="26">
        <v>9.64E-2</v>
      </c>
      <c r="E14577" s="26">
        <v>8.3500000000000005E-2</v>
      </c>
      <c r="F14577" s="26">
        <v>1.2999999999999999E-2</v>
      </c>
      <c r="G14577" s="26">
        <v>4.1099999999999998E-2</v>
      </c>
      <c r="H14577" s="26">
        <v>2.01E-2</v>
      </c>
      <c r="I14577" s="26">
        <v>0.1037</v>
      </c>
      <c r="J14577" s="26">
        <v>8.6999999999999994E-3</v>
      </c>
      <c r="K14577" s="26">
        <v>4.0099999999999997E-2</v>
      </c>
      <c r="L14577" s="26">
        <v>7.6E-3</v>
      </c>
      <c r="M14577" s="26">
        <v>2.01E-2</v>
      </c>
      <c r="Q14577">
        <v>143</v>
      </c>
    </row>
    <row r="14578" spans="1:18" x14ac:dyDescent="0.35">
      <c r="A14578" s="27" t="s">
        <v>230</v>
      </c>
      <c r="B14578" s="27" t="s">
        <v>1345</v>
      </c>
      <c r="C14578" s="28">
        <v>0.51080000000000003</v>
      </c>
      <c r="D14578" s="28">
        <v>6.0600000000000001E-2</v>
      </c>
      <c r="E14578" s="28">
        <v>6.0600000000000001E-2</v>
      </c>
      <c r="F14578" s="29"/>
      <c r="G14578" s="29"/>
      <c r="H14578" s="28">
        <v>0.36799999999999999</v>
      </c>
      <c r="I14578" s="29"/>
      <c r="J14578" s="29"/>
      <c r="K14578" s="29"/>
      <c r="L14578" s="29"/>
      <c r="M14578" s="29"/>
      <c r="N14578" s="29"/>
      <c r="O14578" s="29"/>
      <c r="P14578" s="29"/>
      <c r="Q14578" s="29" t="s">
        <v>339</v>
      </c>
    </row>
    <row r="14579" spans="1:18" x14ac:dyDescent="0.35">
      <c r="A14579" s="27" t="s">
        <v>231</v>
      </c>
      <c r="B14579" s="27" t="s">
        <v>1345</v>
      </c>
      <c r="C14579" s="28">
        <v>0.75</v>
      </c>
      <c r="D14579" s="29"/>
      <c r="E14579" s="28">
        <v>0.25</v>
      </c>
      <c r="F14579" s="29"/>
      <c r="G14579" s="29"/>
      <c r="H14579" s="29"/>
      <c r="I14579" s="28">
        <v>0.25</v>
      </c>
      <c r="J14579" s="29"/>
      <c r="K14579" s="29"/>
      <c r="L14579" s="29"/>
      <c r="M14579" s="29"/>
      <c r="N14579" s="29"/>
      <c r="O14579" s="29"/>
      <c r="P14579" s="29"/>
      <c r="Q14579" s="29" t="s">
        <v>337</v>
      </c>
    </row>
    <row r="14580" spans="1:18" x14ac:dyDescent="0.35">
      <c r="A14580" t="s">
        <v>231</v>
      </c>
      <c r="B14580" t="s">
        <v>1346</v>
      </c>
      <c r="C14580" s="26">
        <v>0.77500000000000002</v>
      </c>
      <c r="D14580" s="26">
        <v>0.17499999999999999</v>
      </c>
      <c r="K14580" s="26">
        <v>2.5000000000000001E-2</v>
      </c>
      <c r="O14580" s="26">
        <v>2.5000000000000001E-2</v>
      </c>
      <c r="Q14580">
        <v>40</v>
      </c>
    </row>
    <row r="14581" spans="1:18" x14ac:dyDescent="0.35">
      <c r="A14581" t="s">
        <v>231</v>
      </c>
      <c r="B14581" t="s">
        <v>1347</v>
      </c>
      <c r="C14581" s="26">
        <v>0.7742</v>
      </c>
      <c r="D14581" s="26">
        <v>6.4500000000000002E-2</v>
      </c>
      <c r="E14581" s="26">
        <v>6.4500000000000002E-2</v>
      </c>
      <c r="F14581" s="26">
        <v>6.4500000000000002E-2</v>
      </c>
      <c r="G14581" s="26">
        <v>3.2300000000000002E-2</v>
      </c>
      <c r="H14581" s="26">
        <v>3.2300000000000002E-2</v>
      </c>
      <c r="Q14581">
        <v>31</v>
      </c>
    </row>
    <row r="14582" spans="1:18" x14ac:dyDescent="0.35">
      <c r="A14582" t="s">
        <v>231</v>
      </c>
      <c r="B14582" t="s">
        <v>1348</v>
      </c>
      <c r="C14582" s="26">
        <v>0.81479999999999997</v>
      </c>
      <c r="D14582" s="26">
        <v>0.1358</v>
      </c>
      <c r="E14582" s="26">
        <v>2.47E-2</v>
      </c>
      <c r="F14582" s="26">
        <v>2.47E-2</v>
      </c>
      <c r="G14582" s="26">
        <v>1.23E-2</v>
      </c>
      <c r="H14582" s="26">
        <v>1.23E-2</v>
      </c>
      <c r="Q14582">
        <v>81</v>
      </c>
    </row>
    <row r="14583" spans="1:18" x14ac:dyDescent="0.35">
      <c r="A14583" t="s">
        <v>232</v>
      </c>
      <c r="B14583" t="s">
        <v>232</v>
      </c>
      <c r="C14583" s="26">
        <v>0.69269999999999998</v>
      </c>
      <c r="D14583" s="26">
        <v>0.186</v>
      </c>
      <c r="E14583" s="26">
        <v>4.0300000000000002E-2</v>
      </c>
      <c r="F14583" s="26">
        <v>3.09E-2</v>
      </c>
      <c r="G14583" s="26">
        <v>2.3099999999999999E-2</v>
      </c>
      <c r="H14583" s="26">
        <v>2.0899999999999998E-2</v>
      </c>
      <c r="I14583" s="26">
        <v>1.41E-2</v>
      </c>
      <c r="J14583" s="26">
        <v>1.14E-2</v>
      </c>
      <c r="K14583" s="26">
        <v>9.9000000000000008E-3</v>
      </c>
      <c r="L14583" s="26">
        <v>8.6999999999999994E-3</v>
      </c>
      <c r="M14583" s="26">
        <v>7.3000000000000001E-3</v>
      </c>
      <c r="N14583" s="26">
        <v>4.0000000000000001E-3</v>
      </c>
      <c r="O14583" s="26">
        <v>2.8999999999999998E-3</v>
      </c>
      <c r="P14583" s="26">
        <v>2E-3</v>
      </c>
      <c r="Q14583">
        <v>2578</v>
      </c>
    </row>
    <row r="14585" spans="1:18" x14ac:dyDescent="0.35">
      <c r="A14585" s="1" t="s">
        <v>1594</v>
      </c>
    </row>
    <row r="14586" spans="1:18" x14ac:dyDescent="0.35">
      <c r="A14586" t="s">
        <v>219</v>
      </c>
      <c r="B14586" t="s">
        <v>305</v>
      </c>
      <c r="C14586" t="s">
        <v>345</v>
      </c>
      <c r="D14586" t="s">
        <v>550</v>
      </c>
      <c r="E14586" t="s">
        <v>281</v>
      </c>
      <c r="F14586" t="s">
        <v>1575</v>
      </c>
      <c r="G14586" t="s">
        <v>1401</v>
      </c>
      <c r="H14586" t="s">
        <v>1576</v>
      </c>
      <c r="I14586" t="s">
        <v>1577</v>
      </c>
      <c r="J14586" t="s">
        <v>1406</v>
      </c>
      <c r="K14586" t="s">
        <v>1578</v>
      </c>
      <c r="L14586" t="s">
        <v>326</v>
      </c>
      <c r="M14586" t="s">
        <v>1579</v>
      </c>
      <c r="N14586" t="s">
        <v>1504</v>
      </c>
      <c r="O14586" t="s">
        <v>1580</v>
      </c>
      <c r="P14586" t="s">
        <v>286</v>
      </c>
      <c r="Q14586" t="s">
        <v>1408</v>
      </c>
      <c r="R14586" t="s">
        <v>226</v>
      </c>
    </row>
    <row r="14587" spans="1:18" x14ac:dyDescent="0.35">
      <c r="A14587" s="27" t="s">
        <v>227</v>
      </c>
      <c r="B14587" s="27" t="s">
        <v>1341</v>
      </c>
      <c r="C14587" s="27" t="s">
        <v>1345</v>
      </c>
      <c r="D14587" s="28">
        <v>1</v>
      </c>
      <c r="E14587" s="29"/>
      <c r="F14587" s="29"/>
      <c r="G14587" s="29"/>
      <c r="H14587" s="29"/>
      <c r="I14587" s="29"/>
      <c r="J14587" s="29"/>
      <c r="K14587" s="29"/>
      <c r="L14587" s="29"/>
      <c r="M14587" s="29"/>
      <c r="N14587" s="29"/>
      <c r="O14587" s="29"/>
      <c r="P14587" s="29"/>
      <c r="Q14587" s="29"/>
      <c r="R14587" s="29" t="s">
        <v>331</v>
      </c>
    </row>
    <row r="14588" spans="1:18" x14ac:dyDescent="0.35">
      <c r="A14588" s="27" t="s">
        <v>227</v>
      </c>
      <c r="B14588" s="27" t="s">
        <v>1343</v>
      </c>
      <c r="C14588" s="27" t="s">
        <v>1346</v>
      </c>
      <c r="D14588" s="28">
        <v>0.56000000000000005</v>
      </c>
      <c r="E14588" s="28">
        <v>0.4</v>
      </c>
      <c r="F14588" s="29"/>
      <c r="G14588" s="29"/>
      <c r="H14588" s="29"/>
      <c r="I14588" s="29"/>
      <c r="J14588" s="29"/>
      <c r="K14588" s="28">
        <v>0.04</v>
      </c>
      <c r="L14588" s="29"/>
      <c r="M14588" s="29"/>
      <c r="N14588" s="29"/>
      <c r="O14588" s="29"/>
      <c r="P14588" s="29"/>
      <c r="Q14588" s="29"/>
      <c r="R14588" s="29" t="s">
        <v>312</v>
      </c>
    </row>
    <row r="14589" spans="1:18" x14ac:dyDescent="0.35">
      <c r="A14589" t="s">
        <v>227</v>
      </c>
      <c r="B14589" t="s">
        <v>1343</v>
      </c>
      <c r="C14589" t="s">
        <v>1348</v>
      </c>
      <c r="D14589" s="26">
        <v>0.69089999999999996</v>
      </c>
      <c r="E14589" s="26">
        <v>0.2364</v>
      </c>
      <c r="G14589" s="26">
        <v>1.8200000000000001E-2</v>
      </c>
      <c r="I14589" s="26">
        <v>1.8200000000000001E-2</v>
      </c>
      <c r="J14589" s="26">
        <v>1.8200000000000001E-2</v>
      </c>
      <c r="L14589" s="26">
        <v>3.6400000000000002E-2</v>
      </c>
      <c r="R14589">
        <v>55</v>
      </c>
    </row>
    <row r="14590" spans="1:18" x14ac:dyDescent="0.35">
      <c r="A14590" s="27" t="s">
        <v>227</v>
      </c>
      <c r="B14590" s="27" t="s">
        <v>1341</v>
      </c>
      <c r="C14590" s="27" t="s">
        <v>1347</v>
      </c>
      <c r="D14590" s="28">
        <v>0.63639999999999997</v>
      </c>
      <c r="E14590" s="28">
        <v>9.0899999999999995E-2</v>
      </c>
      <c r="F14590" s="28">
        <v>9.0899999999999995E-2</v>
      </c>
      <c r="G14590" s="28">
        <v>0.18179999999999999</v>
      </c>
      <c r="H14590" s="28">
        <v>9.0899999999999995E-2</v>
      </c>
      <c r="I14590" s="29"/>
      <c r="J14590" s="29"/>
      <c r="K14590" s="28">
        <v>9.0899999999999995E-2</v>
      </c>
      <c r="L14590" s="29"/>
      <c r="M14590" s="28">
        <v>9.0899999999999995E-2</v>
      </c>
      <c r="N14590" s="29"/>
      <c r="O14590" s="29"/>
      <c r="P14590" s="29"/>
      <c r="Q14590" s="29"/>
      <c r="R14590" s="29" t="s">
        <v>352</v>
      </c>
    </row>
    <row r="14591" spans="1:18" x14ac:dyDescent="0.35">
      <c r="A14591" s="27" t="s">
        <v>227</v>
      </c>
      <c r="B14591" s="27" t="s">
        <v>1343</v>
      </c>
      <c r="C14591" s="27" t="s">
        <v>1347</v>
      </c>
      <c r="D14591" s="28">
        <v>0.61899999999999999</v>
      </c>
      <c r="E14591" s="28">
        <v>9.5200000000000007E-2</v>
      </c>
      <c r="F14591" s="28">
        <v>4.7600000000000003E-2</v>
      </c>
      <c r="G14591" s="28">
        <v>9.5200000000000007E-2</v>
      </c>
      <c r="H14591" s="28">
        <v>4.7600000000000003E-2</v>
      </c>
      <c r="I14591" s="28">
        <v>0.1429</v>
      </c>
      <c r="J14591" s="29"/>
      <c r="K14591" s="29"/>
      <c r="L14591" s="28">
        <v>4.7600000000000003E-2</v>
      </c>
      <c r="M14591" s="29"/>
      <c r="N14591" s="29"/>
      <c r="O14591" s="29"/>
      <c r="P14591" s="29"/>
      <c r="Q14591" s="29"/>
      <c r="R14591" s="29" t="s">
        <v>351</v>
      </c>
    </row>
    <row r="14592" spans="1:18" x14ac:dyDescent="0.35">
      <c r="A14592" s="27" t="s">
        <v>227</v>
      </c>
      <c r="B14592" s="27" t="s">
        <v>1343</v>
      </c>
      <c r="C14592" s="27" t="s">
        <v>1345</v>
      </c>
      <c r="D14592" s="28">
        <v>1</v>
      </c>
      <c r="E14592" s="29"/>
      <c r="F14592" s="29"/>
      <c r="G14592" s="29"/>
      <c r="H14592" s="29"/>
      <c r="I14592" s="29"/>
      <c r="J14592" s="29"/>
      <c r="K14592" s="29"/>
      <c r="L14592" s="29"/>
      <c r="M14592" s="29"/>
      <c r="N14592" s="29"/>
      <c r="O14592" s="29"/>
      <c r="P14592" s="29"/>
      <c r="Q14592" s="29"/>
      <c r="R14592" s="29" t="s">
        <v>331</v>
      </c>
    </row>
    <row r="14593" spans="1:18" x14ac:dyDescent="0.35">
      <c r="A14593" s="27" t="s">
        <v>227</v>
      </c>
      <c r="B14593" s="27" t="s">
        <v>1342</v>
      </c>
      <c r="C14593" s="27" t="s">
        <v>1348</v>
      </c>
      <c r="D14593" s="28">
        <v>1</v>
      </c>
      <c r="E14593" s="29"/>
      <c r="F14593" s="29"/>
      <c r="G14593" s="29"/>
      <c r="H14593" s="29"/>
      <c r="I14593" s="29"/>
      <c r="J14593" s="29"/>
      <c r="K14593" s="29"/>
      <c r="L14593" s="29"/>
      <c r="M14593" s="29"/>
      <c r="N14593" s="29"/>
      <c r="O14593" s="29"/>
      <c r="P14593" s="29"/>
      <c r="Q14593" s="29"/>
      <c r="R14593" s="29" t="s">
        <v>331</v>
      </c>
    </row>
    <row r="14594" spans="1:18" x14ac:dyDescent="0.35">
      <c r="A14594" s="27" t="s">
        <v>227</v>
      </c>
      <c r="B14594" s="27" t="s">
        <v>1341</v>
      </c>
      <c r="C14594" s="27" t="s">
        <v>1348</v>
      </c>
      <c r="D14594" s="28">
        <v>0.83330000000000004</v>
      </c>
      <c r="E14594" s="28">
        <v>0.1111</v>
      </c>
      <c r="F14594" s="29"/>
      <c r="G14594" s="29"/>
      <c r="H14594" s="29"/>
      <c r="I14594" s="29"/>
      <c r="J14594" s="29"/>
      <c r="K14594" s="28">
        <v>5.5599999999999997E-2</v>
      </c>
      <c r="L14594" s="29"/>
      <c r="M14594" s="29"/>
      <c r="N14594" s="29"/>
      <c r="O14594" s="29"/>
      <c r="P14594" s="29"/>
      <c r="Q14594" s="29"/>
      <c r="R14594" s="29" t="s">
        <v>353</v>
      </c>
    </row>
    <row r="14595" spans="1:18" x14ac:dyDescent="0.35">
      <c r="A14595" s="27" t="s">
        <v>227</v>
      </c>
      <c r="B14595" s="27" t="s">
        <v>1341</v>
      </c>
      <c r="C14595" s="27" t="s">
        <v>1346</v>
      </c>
      <c r="D14595" s="28">
        <v>0.6</v>
      </c>
      <c r="E14595" s="28">
        <v>0.4</v>
      </c>
      <c r="F14595" s="29"/>
      <c r="G14595" s="29"/>
      <c r="H14595" s="29"/>
      <c r="I14595" s="29"/>
      <c r="J14595" s="29"/>
      <c r="K14595" s="29"/>
      <c r="L14595" s="29"/>
      <c r="M14595" s="29"/>
      <c r="N14595" s="29"/>
      <c r="O14595" s="29"/>
      <c r="P14595" s="29"/>
      <c r="Q14595" s="29"/>
      <c r="R14595" s="29" t="s">
        <v>307</v>
      </c>
    </row>
    <row r="14596" spans="1:18" x14ac:dyDescent="0.35">
      <c r="A14596" t="s">
        <v>228</v>
      </c>
      <c r="B14596" t="s">
        <v>1343</v>
      </c>
      <c r="C14596" t="s">
        <v>1348</v>
      </c>
      <c r="D14596" s="26">
        <v>0.60709999999999997</v>
      </c>
      <c r="E14596" s="26">
        <v>0.26400000000000001</v>
      </c>
      <c r="F14596" s="26">
        <v>4.1200000000000001E-2</v>
      </c>
      <c r="G14596" s="26">
        <v>3.2000000000000001E-2</v>
      </c>
      <c r="H14596" s="26">
        <v>3.5299999999999998E-2</v>
      </c>
      <c r="I14596" s="26">
        <v>1.1999999999999999E-3</v>
      </c>
      <c r="J14596" s="26">
        <v>1.17E-2</v>
      </c>
      <c r="K14596" s="26">
        <v>1.83E-2</v>
      </c>
      <c r="L14596" s="26">
        <v>3.8E-3</v>
      </c>
      <c r="M14596" s="26">
        <v>1.32E-2</v>
      </c>
      <c r="N14596" s="26">
        <v>9.2999999999999992E-3</v>
      </c>
      <c r="P14596" s="26">
        <v>8.0000000000000004E-4</v>
      </c>
      <c r="R14596">
        <v>324</v>
      </c>
    </row>
    <row r="14597" spans="1:18" x14ac:dyDescent="0.35">
      <c r="A14597" t="s">
        <v>228</v>
      </c>
      <c r="B14597" t="s">
        <v>1343</v>
      </c>
      <c r="C14597" t="s">
        <v>1347</v>
      </c>
      <c r="D14597" s="26">
        <v>0.69740000000000002</v>
      </c>
      <c r="E14597" s="26">
        <v>0.18529999999999999</v>
      </c>
      <c r="F14597" s="26">
        <v>4.1099999999999998E-2</v>
      </c>
      <c r="G14597" s="26">
        <v>2.4799999999999999E-2</v>
      </c>
      <c r="H14597" s="26">
        <v>3.5000000000000001E-3</v>
      </c>
      <c r="I14597" s="26">
        <v>2.8400000000000002E-2</v>
      </c>
      <c r="J14597" s="26">
        <v>4.7000000000000002E-3</v>
      </c>
      <c r="K14597" s="26">
        <v>2.8799999999999999E-2</v>
      </c>
      <c r="M14597" s="26">
        <v>2.1700000000000001E-2</v>
      </c>
      <c r="N14597" s="26">
        <v>3.5000000000000001E-3</v>
      </c>
      <c r="O14597" s="26">
        <v>2.8400000000000002E-2</v>
      </c>
      <c r="R14597">
        <v>120</v>
      </c>
    </row>
    <row r="14598" spans="1:18" x14ac:dyDescent="0.35">
      <c r="A14598" s="27" t="s">
        <v>228</v>
      </c>
      <c r="B14598" s="27" t="s">
        <v>1343</v>
      </c>
      <c r="C14598" s="27" t="s">
        <v>1345</v>
      </c>
      <c r="D14598" s="28">
        <v>0.55720000000000003</v>
      </c>
      <c r="E14598" s="28">
        <v>0.22140000000000001</v>
      </c>
      <c r="F14598" s="29"/>
      <c r="G14598" s="29"/>
      <c r="H14598" s="29"/>
      <c r="I14598" s="29"/>
      <c r="J14598" s="29"/>
      <c r="K14598" s="29"/>
      <c r="L14598" s="29"/>
      <c r="M14598" s="29"/>
      <c r="N14598" s="28">
        <v>0.22140000000000001</v>
      </c>
      <c r="O14598" s="29"/>
      <c r="P14598" s="29"/>
      <c r="Q14598" s="29"/>
      <c r="R14598" s="29" t="s">
        <v>335</v>
      </c>
    </row>
    <row r="14599" spans="1:18" x14ac:dyDescent="0.35">
      <c r="A14599" t="s">
        <v>228</v>
      </c>
      <c r="B14599" t="s">
        <v>1341</v>
      </c>
      <c r="C14599" t="s">
        <v>1346</v>
      </c>
      <c r="D14599" s="26">
        <v>0.73360000000000003</v>
      </c>
      <c r="E14599" s="26">
        <v>0.21879999999999999</v>
      </c>
      <c r="G14599" s="26">
        <v>1.12E-2</v>
      </c>
      <c r="K14599" s="26">
        <v>3.6400000000000002E-2</v>
      </c>
      <c r="M14599" s="26">
        <v>3.6400000000000002E-2</v>
      </c>
      <c r="R14599">
        <v>43</v>
      </c>
    </row>
    <row r="14600" spans="1:18" x14ac:dyDescent="0.35">
      <c r="A14600" t="s">
        <v>228</v>
      </c>
      <c r="B14600" t="s">
        <v>1341</v>
      </c>
      <c r="C14600" t="s">
        <v>1348</v>
      </c>
      <c r="D14600" s="26">
        <v>0.6321</v>
      </c>
      <c r="E14600" s="26">
        <v>0.21759999999999999</v>
      </c>
      <c r="F14600" s="26">
        <v>2.6200000000000001E-2</v>
      </c>
      <c r="G14600" s="26">
        <v>9.7000000000000003E-3</v>
      </c>
      <c r="H14600" s="26">
        <v>4.87E-2</v>
      </c>
      <c r="I14600" s="26">
        <v>4.7000000000000002E-3</v>
      </c>
      <c r="K14600" s="26">
        <v>2.23E-2</v>
      </c>
      <c r="L14600" s="26">
        <v>2.53E-2</v>
      </c>
      <c r="M14600" s="26">
        <v>4.82E-2</v>
      </c>
      <c r="O14600" s="26">
        <v>4.7000000000000002E-3</v>
      </c>
      <c r="P14600" s="26">
        <v>1.4E-3</v>
      </c>
      <c r="R14600">
        <v>167</v>
      </c>
    </row>
    <row r="14601" spans="1:18" x14ac:dyDescent="0.35">
      <c r="A14601" s="27" t="s">
        <v>228</v>
      </c>
      <c r="B14601" s="27" t="s">
        <v>1342</v>
      </c>
      <c r="C14601" s="27" t="s">
        <v>1348</v>
      </c>
      <c r="D14601" s="29"/>
      <c r="E14601" s="29"/>
      <c r="F14601" s="29"/>
      <c r="G14601" s="29"/>
      <c r="H14601" s="29"/>
      <c r="I14601" s="29"/>
      <c r="J14601" s="29"/>
      <c r="K14601" s="29"/>
      <c r="L14601" s="29"/>
      <c r="M14601" s="29"/>
      <c r="N14601" s="28">
        <v>1</v>
      </c>
      <c r="O14601" s="29"/>
      <c r="P14601" s="29"/>
      <c r="Q14601" s="29"/>
      <c r="R14601" s="29" t="s">
        <v>331</v>
      </c>
    </row>
    <row r="14602" spans="1:18" x14ac:dyDescent="0.35">
      <c r="A14602" t="s">
        <v>228</v>
      </c>
      <c r="B14602" t="s">
        <v>1343</v>
      </c>
      <c r="C14602" t="s">
        <v>1346</v>
      </c>
      <c r="D14602" s="26">
        <v>0.62939999999999996</v>
      </c>
      <c r="E14602" s="26">
        <v>0.31259999999999999</v>
      </c>
      <c r="F14602" s="26">
        <v>6.0000000000000001E-3</v>
      </c>
      <c r="G14602" s="26">
        <v>2.1899999999999999E-2</v>
      </c>
      <c r="H14602" s="26">
        <v>2.0999999999999999E-3</v>
      </c>
      <c r="K14602" s="26">
        <v>2.01E-2</v>
      </c>
      <c r="M14602" s="26">
        <v>8.2000000000000007E-3</v>
      </c>
      <c r="N14602" s="26">
        <v>2.8E-3</v>
      </c>
      <c r="P14602" s="26">
        <v>1.1999999999999999E-3</v>
      </c>
      <c r="R14602">
        <v>219</v>
      </c>
    </row>
    <row r="14603" spans="1:18" x14ac:dyDescent="0.35">
      <c r="A14603" t="s">
        <v>228</v>
      </c>
      <c r="B14603" t="s">
        <v>1341</v>
      </c>
      <c r="C14603" t="s">
        <v>1347</v>
      </c>
      <c r="D14603" s="26">
        <v>0.59289999999999998</v>
      </c>
      <c r="E14603" s="26">
        <v>0.1731</v>
      </c>
      <c r="F14603" s="26">
        <v>8.9999999999999993E-3</v>
      </c>
      <c r="G14603" s="26">
        <v>2.9100000000000001E-2</v>
      </c>
      <c r="H14603" s="26">
        <v>5.4600000000000003E-2</v>
      </c>
      <c r="I14603" s="26">
        <v>8.0699999999999994E-2</v>
      </c>
      <c r="J14603" s="26">
        <v>1.37E-2</v>
      </c>
      <c r="K14603" s="26">
        <v>2.7400000000000001E-2</v>
      </c>
      <c r="L14603" s="26">
        <v>1.9599999999999999E-2</v>
      </c>
      <c r="M14603" s="26">
        <v>1.37E-2</v>
      </c>
      <c r="R14603">
        <v>71</v>
      </c>
    </row>
    <row r="14604" spans="1:18" x14ac:dyDescent="0.35">
      <c r="A14604" s="27" t="s">
        <v>228</v>
      </c>
      <c r="B14604" s="27" t="s">
        <v>1341</v>
      </c>
      <c r="C14604" s="27" t="s">
        <v>1345</v>
      </c>
      <c r="D14604" s="28">
        <v>0.754</v>
      </c>
      <c r="E14604" s="29"/>
      <c r="F14604" s="28">
        <v>0.1817</v>
      </c>
      <c r="G14604" s="28">
        <v>6.4299999999999996E-2</v>
      </c>
      <c r="H14604" s="29"/>
      <c r="I14604" s="29"/>
      <c r="J14604" s="28">
        <v>0.1817</v>
      </c>
      <c r="K14604" s="28">
        <v>0.1817</v>
      </c>
      <c r="L14604" s="29"/>
      <c r="M14604" s="28">
        <v>0.1817</v>
      </c>
      <c r="N14604" s="28">
        <v>0.1817</v>
      </c>
      <c r="O14604" s="29"/>
      <c r="P14604" s="29"/>
      <c r="Q14604" s="28">
        <v>0.1817</v>
      </c>
      <c r="R14604" s="29" t="s">
        <v>332</v>
      </c>
    </row>
    <row r="14605" spans="1:18" x14ac:dyDescent="0.35">
      <c r="A14605" t="s">
        <v>229</v>
      </c>
      <c r="B14605" t="s">
        <v>1343</v>
      </c>
      <c r="C14605" t="s">
        <v>1348</v>
      </c>
      <c r="D14605" s="26">
        <v>0.64510000000000001</v>
      </c>
      <c r="E14605" s="26">
        <v>0.2132</v>
      </c>
      <c r="F14605" s="26">
        <v>7.1199999999999999E-2</v>
      </c>
      <c r="G14605" s="26">
        <v>2.1100000000000001E-2</v>
      </c>
      <c r="H14605" s="26">
        <v>3.0099999999999998E-2</v>
      </c>
      <c r="I14605" s="26">
        <v>1.0800000000000001E-2</v>
      </c>
      <c r="J14605" s="26">
        <v>1.0800000000000001E-2</v>
      </c>
      <c r="K14605" s="26">
        <v>3.5999999999999999E-3</v>
      </c>
      <c r="L14605" s="26">
        <v>1.2699999999999999E-2</v>
      </c>
      <c r="M14605" s="26">
        <v>2.3999999999999998E-3</v>
      </c>
      <c r="N14605" s="26">
        <v>2.29E-2</v>
      </c>
      <c r="O14605" s="26">
        <v>1.0800000000000001E-2</v>
      </c>
      <c r="P14605" s="26">
        <v>1.1999999999999999E-3</v>
      </c>
      <c r="Q14605" s="26">
        <v>1.0800000000000001E-2</v>
      </c>
      <c r="R14605">
        <v>245</v>
      </c>
    </row>
    <row r="14606" spans="1:18" x14ac:dyDescent="0.35">
      <c r="A14606" t="s">
        <v>229</v>
      </c>
      <c r="B14606" t="s">
        <v>1341</v>
      </c>
      <c r="C14606" t="s">
        <v>1346</v>
      </c>
      <c r="D14606" s="26">
        <v>0.81440000000000001</v>
      </c>
      <c r="E14606" s="26">
        <v>0.16950000000000001</v>
      </c>
      <c r="F14606" s="26">
        <v>7.4000000000000003E-3</v>
      </c>
      <c r="J14606" s="26">
        <v>5.7999999999999996E-3</v>
      </c>
      <c r="K14606" s="26">
        <v>3.0000000000000001E-3</v>
      </c>
      <c r="M14606" s="26">
        <v>8.6999999999999994E-3</v>
      </c>
      <c r="R14606">
        <v>51</v>
      </c>
    </row>
    <row r="14607" spans="1:18" x14ac:dyDescent="0.35">
      <c r="A14607" t="s">
        <v>229</v>
      </c>
      <c r="B14607" t="s">
        <v>1341</v>
      </c>
      <c r="C14607" t="s">
        <v>1347</v>
      </c>
      <c r="D14607" s="26">
        <v>0.65710000000000002</v>
      </c>
      <c r="E14607" s="26">
        <v>0.1406</v>
      </c>
      <c r="F14607" s="26">
        <v>0.106</v>
      </c>
      <c r="G14607" s="26">
        <v>5.91E-2</v>
      </c>
      <c r="I14607" s="26">
        <v>4.1099999999999998E-2</v>
      </c>
      <c r="K14607" s="26">
        <v>1.49E-2</v>
      </c>
      <c r="L14607" s="26">
        <v>1.4999999999999999E-2</v>
      </c>
      <c r="M14607" s="26">
        <v>1.12E-2</v>
      </c>
      <c r="N14607" s="26">
        <v>3.7000000000000002E-3</v>
      </c>
      <c r="O14607" s="26">
        <v>7.4999999999999997E-3</v>
      </c>
      <c r="R14607">
        <v>91</v>
      </c>
    </row>
    <row r="14608" spans="1:18" x14ac:dyDescent="0.35">
      <c r="A14608" t="s">
        <v>229</v>
      </c>
      <c r="B14608" t="s">
        <v>1343</v>
      </c>
      <c r="C14608" t="s">
        <v>1346</v>
      </c>
      <c r="D14608" s="26">
        <v>0.67169999999999996</v>
      </c>
      <c r="E14608" s="26">
        <v>0.28399999999999997</v>
      </c>
      <c r="G14608" s="26">
        <v>3.0999999999999999E-3</v>
      </c>
      <c r="H14608" s="26">
        <v>2.18E-2</v>
      </c>
      <c r="J14608" s="26">
        <v>2.3999999999999998E-3</v>
      </c>
      <c r="K14608" s="26">
        <v>1.1999999999999999E-3</v>
      </c>
      <c r="P14608" s="26">
        <v>1.8200000000000001E-2</v>
      </c>
      <c r="R14608">
        <v>122</v>
      </c>
    </row>
    <row r="14609" spans="1:18" x14ac:dyDescent="0.35">
      <c r="A14609" t="s">
        <v>229</v>
      </c>
      <c r="B14609" t="s">
        <v>1343</v>
      </c>
      <c r="C14609" t="s">
        <v>1347</v>
      </c>
      <c r="D14609" s="26">
        <v>0.57730000000000004</v>
      </c>
      <c r="E14609" s="26">
        <v>0.18149999999999999</v>
      </c>
      <c r="F14609" s="26">
        <v>0.1023</v>
      </c>
      <c r="G14609" s="26">
        <v>0.1351</v>
      </c>
      <c r="H14609" s="26">
        <v>3.8399999999999997E-2</v>
      </c>
      <c r="I14609" s="26">
        <v>6.7599999999999993E-2</v>
      </c>
      <c r="J14609" s="26">
        <v>3.6400000000000002E-2</v>
      </c>
      <c r="K14609" s="26">
        <v>1.5599999999999999E-2</v>
      </c>
      <c r="M14609" s="26">
        <v>1.67E-2</v>
      </c>
      <c r="N14609" s="26">
        <v>3.1199999999999999E-2</v>
      </c>
      <c r="O14609" s="26">
        <v>1.5599999999999999E-2</v>
      </c>
      <c r="P14609" s="26">
        <v>5.9999999999999995E-4</v>
      </c>
      <c r="Q14609" s="26">
        <v>1.5599999999999999E-2</v>
      </c>
      <c r="R14609">
        <v>180</v>
      </c>
    </row>
    <row r="14610" spans="1:18" x14ac:dyDescent="0.35">
      <c r="A14610" s="27" t="s">
        <v>229</v>
      </c>
      <c r="B14610" s="27" t="s">
        <v>1341</v>
      </c>
      <c r="C14610" s="27" t="s">
        <v>1345</v>
      </c>
      <c r="D14610" s="28">
        <v>0.6623</v>
      </c>
      <c r="E14610" s="28">
        <v>0.26400000000000001</v>
      </c>
      <c r="F14610" s="29"/>
      <c r="G14610" s="28">
        <v>1.49E-2</v>
      </c>
      <c r="H14610" s="29"/>
      <c r="I14610" s="29"/>
      <c r="J14610" s="28">
        <v>5.8799999999999998E-2</v>
      </c>
      <c r="K14610" s="29"/>
      <c r="L14610" s="29"/>
      <c r="M14610" s="29"/>
      <c r="N14610" s="29"/>
      <c r="O14610" s="29"/>
      <c r="P14610" s="29"/>
      <c r="Q14610" s="29"/>
      <c r="R14610" s="29" t="s">
        <v>334</v>
      </c>
    </row>
    <row r="14611" spans="1:18" x14ac:dyDescent="0.35">
      <c r="A14611" s="27" t="s">
        <v>229</v>
      </c>
      <c r="B14611" s="27" t="s">
        <v>1343</v>
      </c>
      <c r="C14611" s="27" t="s">
        <v>1345</v>
      </c>
      <c r="D14611" s="28">
        <v>0.73850000000000005</v>
      </c>
      <c r="E14611" s="28">
        <v>6.7500000000000004E-2</v>
      </c>
      <c r="F14611" s="29"/>
      <c r="G14611" s="29"/>
      <c r="H14611" s="29"/>
      <c r="I14611" s="29"/>
      <c r="J14611" s="28">
        <v>0.1817</v>
      </c>
      <c r="K14611" s="28">
        <v>1.2200000000000001E-2</v>
      </c>
      <c r="L14611" s="29"/>
      <c r="M14611" s="28">
        <v>1.2200000000000001E-2</v>
      </c>
      <c r="N14611" s="29"/>
      <c r="O14611" s="29"/>
      <c r="P14611" s="29"/>
      <c r="Q14611" s="29"/>
      <c r="R14611" s="29" t="s">
        <v>348</v>
      </c>
    </row>
    <row r="14612" spans="1:18" x14ac:dyDescent="0.35">
      <c r="A14612" t="s">
        <v>229</v>
      </c>
      <c r="B14612" t="s">
        <v>1341</v>
      </c>
      <c r="C14612" t="s">
        <v>1348</v>
      </c>
      <c r="D14612" s="26">
        <v>0.63839999999999997</v>
      </c>
      <c r="E14612" s="26">
        <v>0.1452</v>
      </c>
      <c r="F14612" s="26">
        <v>6.1400000000000003E-2</v>
      </c>
      <c r="G14612" s="26">
        <v>3.1199999999999999E-2</v>
      </c>
      <c r="H14612" s="26">
        <v>7.9399999999999998E-2</v>
      </c>
      <c r="I14612" s="26">
        <v>6.4899999999999999E-2</v>
      </c>
      <c r="J14612" s="26">
        <v>1.8100000000000002E-2</v>
      </c>
      <c r="K14612" s="26">
        <v>2.3999999999999998E-3</v>
      </c>
      <c r="M14612" s="26">
        <v>7.1000000000000004E-3</v>
      </c>
      <c r="R14612">
        <v>97</v>
      </c>
    </row>
    <row r="14613" spans="1:18" x14ac:dyDescent="0.35">
      <c r="A14613" t="s">
        <v>230</v>
      </c>
      <c r="B14613" t="s">
        <v>1343</v>
      </c>
      <c r="C14613" t="s">
        <v>1346</v>
      </c>
      <c r="D14613" s="26">
        <v>0.7722</v>
      </c>
      <c r="E14613" s="26">
        <v>0.156</v>
      </c>
      <c r="F14613" s="26">
        <v>4.2999999999999997E-2</v>
      </c>
      <c r="G14613" s="26">
        <v>9.4000000000000004E-3</v>
      </c>
      <c r="H14613" s="26">
        <v>1.8E-3</v>
      </c>
      <c r="K14613" s="26">
        <v>1.17E-2</v>
      </c>
      <c r="L14613" s="26">
        <v>5.7999999999999996E-3</v>
      </c>
      <c r="O14613" s="26">
        <v>1.8E-3</v>
      </c>
      <c r="P14613" s="26">
        <v>1.8E-3</v>
      </c>
      <c r="R14613">
        <v>107</v>
      </c>
    </row>
    <row r="14614" spans="1:18" x14ac:dyDescent="0.35">
      <c r="A14614" s="27" t="s">
        <v>230</v>
      </c>
      <c r="B14614" s="27" t="s">
        <v>1341</v>
      </c>
      <c r="C14614" s="27" t="s">
        <v>1345</v>
      </c>
      <c r="D14614" s="28">
        <v>0.87639999999999996</v>
      </c>
      <c r="E14614" s="28">
        <v>0.1236</v>
      </c>
      <c r="F14614" s="29"/>
      <c r="G14614" s="29"/>
      <c r="H14614" s="29"/>
      <c r="I14614" s="29"/>
      <c r="J14614" s="29"/>
      <c r="K14614" s="29"/>
      <c r="L14614" s="29"/>
      <c r="M14614" s="29"/>
      <c r="N14614" s="29"/>
      <c r="O14614" s="29"/>
      <c r="P14614" s="29"/>
      <c r="Q14614" s="29"/>
      <c r="R14614" s="29" t="s">
        <v>315</v>
      </c>
    </row>
    <row r="14615" spans="1:18" x14ac:dyDescent="0.35">
      <c r="A14615" t="s">
        <v>230</v>
      </c>
      <c r="B14615" t="s">
        <v>1343</v>
      </c>
      <c r="C14615" t="s">
        <v>1348</v>
      </c>
      <c r="D14615" s="26">
        <v>0.62680000000000002</v>
      </c>
      <c r="E14615" s="26">
        <v>0.186</v>
      </c>
      <c r="F14615" s="26">
        <v>7.1900000000000006E-2</v>
      </c>
      <c r="G14615" s="26">
        <v>4.2500000000000003E-2</v>
      </c>
      <c r="H14615" s="26">
        <v>5.21E-2</v>
      </c>
      <c r="I14615" s="26">
        <v>1.7899999999999999E-2</v>
      </c>
      <c r="J14615" s="26">
        <v>3.4099999999999998E-2</v>
      </c>
      <c r="K14615" s="26">
        <v>3.2099999999999997E-2</v>
      </c>
      <c r="L14615" s="26">
        <v>1.9900000000000001E-2</v>
      </c>
      <c r="M14615" s="26">
        <v>7.4000000000000003E-3</v>
      </c>
      <c r="N14615" s="26">
        <v>1.8800000000000001E-2</v>
      </c>
      <c r="O14615" s="26">
        <v>1.7100000000000001E-2</v>
      </c>
      <c r="R14615">
        <v>164</v>
      </c>
    </row>
    <row r="14616" spans="1:18" x14ac:dyDescent="0.35">
      <c r="A14616" t="s">
        <v>230</v>
      </c>
      <c r="B14616" t="s">
        <v>1343</v>
      </c>
      <c r="C14616" t="s">
        <v>1347</v>
      </c>
      <c r="D14616" s="26">
        <v>0.66320000000000001</v>
      </c>
      <c r="E14616" s="26">
        <v>9.0700000000000003E-2</v>
      </c>
      <c r="F14616" s="26">
        <v>0.1268</v>
      </c>
      <c r="G14616" s="26">
        <v>1.8100000000000002E-2</v>
      </c>
      <c r="H14616" s="26">
        <v>6.2399999999999997E-2</v>
      </c>
      <c r="J14616" s="26">
        <v>0.15740000000000001</v>
      </c>
      <c r="K14616" s="26">
        <v>1.32E-2</v>
      </c>
      <c r="L14616" s="26">
        <v>6.0900000000000003E-2</v>
      </c>
      <c r="M14616" s="26">
        <v>1.1599999999999999E-2</v>
      </c>
      <c r="R14616">
        <v>101</v>
      </c>
    </row>
    <row r="14617" spans="1:18" x14ac:dyDescent="0.35">
      <c r="A14617" t="s">
        <v>230</v>
      </c>
      <c r="B14617" t="s">
        <v>1341</v>
      </c>
      <c r="C14617" t="s">
        <v>1348</v>
      </c>
      <c r="D14617" s="26">
        <v>0.65380000000000005</v>
      </c>
      <c r="E14617" s="26">
        <v>0.16120000000000001</v>
      </c>
      <c r="F14617" s="26">
        <v>8.4400000000000003E-2</v>
      </c>
      <c r="G14617" s="26">
        <v>1.3899999999999999E-2</v>
      </c>
      <c r="H14617" s="26">
        <v>4.2200000000000001E-2</v>
      </c>
      <c r="I14617" s="26">
        <v>8.4400000000000003E-2</v>
      </c>
      <c r="J14617" s="26">
        <v>4.2200000000000001E-2</v>
      </c>
      <c r="K14617" s="26">
        <v>4.4400000000000002E-2</v>
      </c>
      <c r="L14617" s="26">
        <v>7.0000000000000001E-3</v>
      </c>
      <c r="M14617" s="26">
        <v>8.6599999999999996E-2</v>
      </c>
      <c r="N14617" s="26">
        <v>2.0999999999999999E-3</v>
      </c>
      <c r="O14617" s="26">
        <v>4.2200000000000001E-2</v>
      </c>
      <c r="R14617">
        <v>66</v>
      </c>
    </row>
    <row r="14618" spans="1:18" x14ac:dyDescent="0.35">
      <c r="A14618" t="s">
        <v>230</v>
      </c>
      <c r="B14618" t="s">
        <v>1341</v>
      </c>
      <c r="C14618" t="s">
        <v>1347</v>
      </c>
      <c r="D14618" s="26">
        <v>0.7722</v>
      </c>
      <c r="E14618" s="26">
        <v>0.1072</v>
      </c>
      <c r="G14618" s="26">
        <v>3.0000000000000001E-3</v>
      </c>
      <c r="I14618" s="26">
        <v>5.8799999999999998E-2</v>
      </c>
      <c r="N14618" s="26">
        <v>5.8799999999999998E-2</v>
      </c>
      <c r="R14618">
        <v>42</v>
      </c>
    </row>
    <row r="14619" spans="1:18" x14ac:dyDescent="0.35">
      <c r="A14619" s="27" t="s">
        <v>230</v>
      </c>
      <c r="B14619" s="27" t="s">
        <v>1343</v>
      </c>
      <c r="C14619" s="27" t="s">
        <v>1345</v>
      </c>
      <c r="D14619" s="28">
        <v>0.1585</v>
      </c>
      <c r="E14619" s="29"/>
      <c r="F14619" s="28">
        <v>0.11899999999999999</v>
      </c>
      <c r="G14619" s="29"/>
      <c r="H14619" s="29"/>
      <c r="I14619" s="28">
        <v>0.72240000000000004</v>
      </c>
      <c r="J14619" s="29"/>
      <c r="K14619" s="29"/>
      <c r="L14619" s="29"/>
      <c r="M14619" s="29"/>
      <c r="N14619" s="29"/>
      <c r="O14619" s="29"/>
      <c r="P14619" s="29"/>
      <c r="Q14619" s="29"/>
      <c r="R14619" s="29" t="s">
        <v>337</v>
      </c>
    </row>
    <row r="14620" spans="1:18" x14ac:dyDescent="0.35">
      <c r="A14620" s="27" t="s">
        <v>230</v>
      </c>
      <c r="B14620" s="27" t="s">
        <v>1341</v>
      </c>
      <c r="C14620" s="27" t="s">
        <v>1346</v>
      </c>
      <c r="D14620" s="28">
        <v>0.58660000000000001</v>
      </c>
      <c r="E14620" s="28">
        <v>0.2777</v>
      </c>
      <c r="F14620" s="28">
        <v>1.9199999999999998E-2</v>
      </c>
      <c r="G14620" s="29"/>
      <c r="H14620" s="29"/>
      <c r="I14620" s="29"/>
      <c r="J14620" s="28">
        <v>0.11650000000000001</v>
      </c>
      <c r="K14620" s="29"/>
      <c r="L14620" s="29"/>
      <c r="M14620" s="29"/>
      <c r="N14620" s="29"/>
      <c r="O14620" s="29"/>
      <c r="P14620" s="29"/>
      <c r="Q14620" s="29"/>
      <c r="R14620" s="29" t="s">
        <v>312</v>
      </c>
    </row>
    <row r="14621" spans="1:18" x14ac:dyDescent="0.35">
      <c r="A14621" t="s">
        <v>231</v>
      </c>
      <c r="B14621" t="s">
        <v>1343</v>
      </c>
      <c r="C14621" t="s">
        <v>1348</v>
      </c>
      <c r="D14621" s="26">
        <v>0.8085</v>
      </c>
      <c r="E14621" s="26">
        <v>0.17019999999999999</v>
      </c>
      <c r="F14621" s="26">
        <v>2.1299999999999999E-2</v>
      </c>
      <c r="H14621" s="26">
        <v>2.1299999999999999E-2</v>
      </c>
      <c r="R14621">
        <v>47</v>
      </c>
    </row>
    <row r="14622" spans="1:18" x14ac:dyDescent="0.35">
      <c r="A14622" s="27" t="s">
        <v>231</v>
      </c>
      <c r="B14622" s="27" t="s">
        <v>1343</v>
      </c>
      <c r="C14622" s="27" t="s">
        <v>1345</v>
      </c>
      <c r="D14622" s="28">
        <v>0.66669999999999996</v>
      </c>
      <c r="E14622" s="29"/>
      <c r="F14622" s="28">
        <v>0.33329999999999999</v>
      </c>
      <c r="G14622" s="29"/>
      <c r="H14622" s="29"/>
      <c r="I14622" s="29"/>
      <c r="J14622" s="28">
        <v>0.33329999999999999</v>
      </c>
      <c r="K14622" s="29"/>
      <c r="L14622" s="29"/>
      <c r="M14622" s="29"/>
      <c r="N14622" s="29"/>
      <c r="O14622" s="29"/>
      <c r="P14622" s="29"/>
      <c r="Q14622" s="29"/>
      <c r="R14622" s="29" t="s">
        <v>315</v>
      </c>
    </row>
    <row r="14623" spans="1:18" x14ac:dyDescent="0.35">
      <c r="A14623" t="s">
        <v>231</v>
      </c>
      <c r="B14623" t="s">
        <v>1341</v>
      </c>
      <c r="C14623" t="s">
        <v>1348</v>
      </c>
      <c r="D14623" s="26">
        <v>0.82350000000000001</v>
      </c>
      <c r="E14623" s="26">
        <v>8.8200000000000001E-2</v>
      </c>
      <c r="F14623" s="26">
        <v>2.9399999999999999E-2</v>
      </c>
      <c r="G14623" s="26">
        <v>5.8799999999999998E-2</v>
      </c>
      <c r="I14623" s="26">
        <v>2.9399999999999999E-2</v>
      </c>
      <c r="R14623">
        <v>34</v>
      </c>
    </row>
    <row r="14624" spans="1:18" x14ac:dyDescent="0.35">
      <c r="A14624" s="27" t="s">
        <v>231</v>
      </c>
      <c r="B14624" s="27" t="s">
        <v>1341</v>
      </c>
      <c r="C14624" s="27" t="s">
        <v>1345</v>
      </c>
      <c r="D14624" s="28">
        <v>1</v>
      </c>
      <c r="E14624" s="29"/>
      <c r="F14624" s="29"/>
      <c r="G14624" s="29"/>
      <c r="H14624" s="29"/>
      <c r="I14624" s="29"/>
      <c r="J14624" s="29"/>
      <c r="K14624" s="29"/>
      <c r="L14624" s="29"/>
      <c r="M14624" s="29"/>
      <c r="N14624" s="29"/>
      <c r="O14624" s="29"/>
      <c r="P14624" s="29"/>
      <c r="Q14624" s="29"/>
      <c r="R14624" s="29" t="s">
        <v>331</v>
      </c>
    </row>
    <row r="14625" spans="1:18" x14ac:dyDescent="0.35">
      <c r="A14625" s="27" t="s">
        <v>231</v>
      </c>
      <c r="B14625" s="27" t="s">
        <v>1343</v>
      </c>
      <c r="C14625" s="27" t="s">
        <v>1346</v>
      </c>
      <c r="D14625" s="28">
        <v>0.76919999999999999</v>
      </c>
      <c r="E14625" s="28">
        <v>0.23080000000000001</v>
      </c>
      <c r="F14625" s="29"/>
      <c r="G14625" s="29"/>
      <c r="H14625" s="29"/>
      <c r="I14625" s="29"/>
      <c r="J14625" s="29"/>
      <c r="K14625" s="29"/>
      <c r="L14625" s="29"/>
      <c r="M14625" s="29"/>
      <c r="N14625" s="29"/>
      <c r="O14625" s="29"/>
      <c r="P14625" s="29"/>
      <c r="Q14625" s="29"/>
      <c r="R14625" s="29" t="s">
        <v>357</v>
      </c>
    </row>
    <row r="14626" spans="1:18" x14ac:dyDescent="0.35">
      <c r="A14626" s="27" t="s">
        <v>231</v>
      </c>
      <c r="B14626" s="27" t="s">
        <v>1341</v>
      </c>
      <c r="C14626" s="27" t="s">
        <v>1346</v>
      </c>
      <c r="D14626" s="28">
        <v>0.78569999999999995</v>
      </c>
      <c r="E14626" s="28">
        <v>7.1400000000000005E-2</v>
      </c>
      <c r="F14626" s="29"/>
      <c r="G14626" s="29"/>
      <c r="H14626" s="29"/>
      <c r="I14626" s="29"/>
      <c r="J14626" s="29"/>
      <c r="K14626" s="29"/>
      <c r="L14626" s="28">
        <v>7.1400000000000005E-2</v>
      </c>
      <c r="M14626" s="29"/>
      <c r="N14626" s="29"/>
      <c r="O14626" s="29"/>
      <c r="P14626" s="28">
        <v>7.1400000000000005E-2</v>
      </c>
      <c r="Q14626" s="29"/>
      <c r="R14626" s="29" t="s">
        <v>379</v>
      </c>
    </row>
    <row r="14627" spans="1:18" x14ac:dyDescent="0.35">
      <c r="A14627" s="27" t="s">
        <v>231</v>
      </c>
      <c r="B14627" s="27" t="s">
        <v>1341</v>
      </c>
      <c r="C14627" s="27" t="s">
        <v>1347</v>
      </c>
      <c r="D14627" s="28">
        <v>0.76919999999999999</v>
      </c>
      <c r="E14627" s="28">
        <v>7.6899999999999996E-2</v>
      </c>
      <c r="F14627" s="28">
        <v>7.6899999999999996E-2</v>
      </c>
      <c r="G14627" s="28">
        <v>7.6899999999999996E-2</v>
      </c>
      <c r="H14627" s="29"/>
      <c r="I14627" s="29"/>
      <c r="J14627" s="29"/>
      <c r="K14627" s="29"/>
      <c r="L14627" s="29"/>
      <c r="M14627" s="29"/>
      <c r="N14627" s="29"/>
      <c r="O14627" s="29"/>
      <c r="P14627" s="29"/>
      <c r="Q14627" s="29"/>
      <c r="R14627" s="29" t="s">
        <v>341</v>
      </c>
    </row>
    <row r="14628" spans="1:18" x14ac:dyDescent="0.35">
      <c r="A14628" s="27" t="s">
        <v>231</v>
      </c>
      <c r="B14628" s="27" t="s">
        <v>1343</v>
      </c>
      <c r="C14628" s="27" t="s">
        <v>1347</v>
      </c>
      <c r="D14628" s="28">
        <v>0.77780000000000005</v>
      </c>
      <c r="E14628" s="28">
        <v>5.5599999999999997E-2</v>
      </c>
      <c r="F14628" s="28">
        <v>5.5599999999999997E-2</v>
      </c>
      <c r="G14628" s="28">
        <v>5.5599999999999997E-2</v>
      </c>
      <c r="H14628" s="28">
        <v>5.5599999999999997E-2</v>
      </c>
      <c r="I14628" s="28">
        <v>5.5599999999999997E-2</v>
      </c>
      <c r="J14628" s="29"/>
      <c r="K14628" s="29"/>
      <c r="L14628" s="29"/>
      <c r="M14628" s="29"/>
      <c r="N14628" s="29"/>
      <c r="O14628" s="29"/>
      <c r="P14628" s="29"/>
      <c r="Q14628" s="29"/>
      <c r="R14628" s="29" t="s">
        <v>353</v>
      </c>
    </row>
    <row r="14629" spans="1:18" x14ac:dyDescent="0.35">
      <c r="A14629" t="s">
        <v>232</v>
      </c>
      <c r="B14629" t="s">
        <v>232</v>
      </c>
      <c r="C14629" t="s">
        <v>232</v>
      </c>
      <c r="D14629" s="26">
        <v>0.69269999999999998</v>
      </c>
      <c r="E14629" s="26">
        <v>0.186</v>
      </c>
      <c r="F14629" s="26">
        <v>4.0300000000000002E-2</v>
      </c>
      <c r="G14629" s="26">
        <v>3.09E-2</v>
      </c>
      <c r="H14629" s="26">
        <v>2.3099999999999999E-2</v>
      </c>
      <c r="I14629" s="26">
        <v>2.0899999999999998E-2</v>
      </c>
      <c r="J14629" s="26">
        <v>1.41E-2</v>
      </c>
      <c r="K14629" s="26">
        <v>1.14E-2</v>
      </c>
      <c r="L14629" s="26">
        <v>9.9000000000000008E-3</v>
      </c>
      <c r="M14629" s="26">
        <v>8.6999999999999994E-3</v>
      </c>
      <c r="N14629" s="26">
        <v>7.3000000000000001E-3</v>
      </c>
      <c r="O14629" s="26">
        <v>4.0000000000000001E-3</v>
      </c>
      <c r="P14629" s="26">
        <v>2.8999999999999998E-3</v>
      </c>
      <c r="Q14629" s="26">
        <v>2E-3</v>
      </c>
      <c r="R14629">
        <v>2578</v>
      </c>
    </row>
    <row r="14631" spans="1:18" x14ac:dyDescent="0.35">
      <c r="A14631" s="1" t="s">
        <v>1595</v>
      </c>
    </row>
    <row r="14632" spans="1:18" x14ac:dyDescent="0.35">
      <c r="A14632" t="s">
        <v>219</v>
      </c>
      <c r="B14632" t="s">
        <v>550</v>
      </c>
      <c r="C14632" t="s">
        <v>1596</v>
      </c>
      <c r="D14632" t="s">
        <v>1597</v>
      </c>
      <c r="E14632" t="s">
        <v>1598</v>
      </c>
      <c r="F14632" t="s">
        <v>1599</v>
      </c>
      <c r="G14632" t="s">
        <v>1600</v>
      </c>
      <c r="H14632" t="s">
        <v>281</v>
      </c>
      <c r="I14632" t="s">
        <v>1601</v>
      </c>
      <c r="J14632" t="s">
        <v>1602</v>
      </c>
      <c r="K14632" t="s">
        <v>1603</v>
      </c>
      <c r="L14632" t="s">
        <v>1604</v>
      </c>
      <c r="M14632" t="s">
        <v>286</v>
      </c>
      <c r="N14632" t="s">
        <v>226</v>
      </c>
    </row>
    <row r="14633" spans="1:18" x14ac:dyDescent="0.35">
      <c r="A14633" t="s">
        <v>227</v>
      </c>
      <c r="B14633" s="26">
        <v>0.85160000000000002</v>
      </c>
      <c r="C14633" s="26">
        <v>2.58E-2</v>
      </c>
      <c r="D14633" s="26">
        <v>6.4500000000000002E-2</v>
      </c>
      <c r="E14633" s="26">
        <v>3.8699999999999998E-2</v>
      </c>
      <c r="F14633" s="26">
        <v>1.9400000000000001E-2</v>
      </c>
      <c r="H14633" s="26">
        <v>6.4999999999999997E-3</v>
      </c>
      <c r="I14633" s="26">
        <v>1.29E-2</v>
      </c>
      <c r="N14633">
        <v>155</v>
      </c>
    </row>
    <row r="14634" spans="1:18" x14ac:dyDescent="0.35">
      <c r="A14634" t="s">
        <v>228</v>
      </c>
      <c r="B14634" s="26">
        <v>0.74219999999999997</v>
      </c>
      <c r="C14634" s="26">
        <v>0.1065</v>
      </c>
      <c r="D14634" s="26">
        <v>5.2200000000000003E-2</v>
      </c>
      <c r="E14634" s="26">
        <v>6.6199999999999995E-2</v>
      </c>
      <c r="F14634" s="26">
        <v>2.8299999999999999E-2</v>
      </c>
      <c r="G14634" s="26">
        <v>3.0599999999999999E-2</v>
      </c>
      <c r="H14634" s="26">
        <v>1.14E-2</v>
      </c>
      <c r="I14634" s="26">
        <v>1.4500000000000001E-2</v>
      </c>
      <c r="J14634" s="26">
        <v>1.6E-2</v>
      </c>
      <c r="K14634" s="26">
        <v>8.0000000000000004E-4</v>
      </c>
      <c r="L14634" s="26">
        <v>8.0999999999999996E-3</v>
      </c>
      <c r="M14634" s="26">
        <v>3.7000000000000002E-3</v>
      </c>
      <c r="N14634">
        <v>1020</v>
      </c>
    </row>
    <row r="14635" spans="1:18" x14ac:dyDescent="0.35">
      <c r="A14635" t="s">
        <v>229</v>
      </c>
      <c r="B14635" s="26">
        <v>0.80740000000000001</v>
      </c>
      <c r="C14635" s="26">
        <v>9.0800000000000006E-2</v>
      </c>
      <c r="D14635" s="26">
        <v>2.1399999999999999E-2</v>
      </c>
      <c r="E14635" s="26">
        <v>4.4200000000000003E-2</v>
      </c>
      <c r="F14635" s="26">
        <v>1.9400000000000001E-2</v>
      </c>
      <c r="G14635" s="26">
        <v>1.18E-2</v>
      </c>
      <c r="H14635" s="26">
        <v>9.2999999999999992E-3</v>
      </c>
      <c r="I14635" s="26">
        <v>6.6E-3</v>
      </c>
      <c r="J14635" s="26">
        <v>9.7999999999999997E-3</v>
      </c>
      <c r="K14635" s="26">
        <v>6.0000000000000001E-3</v>
      </c>
      <c r="L14635" s="26">
        <v>1.4E-3</v>
      </c>
      <c r="M14635" s="26">
        <v>2.8999999999999998E-3</v>
      </c>
      <c r="N14635">
        <v>877</v>
      </c>
    </row>
    <row r="14636" spans="1:18" x14ac:dyDescent="0.35">
      <c r="A14636" t="s">
        <v>230</v>
      </c>
      <c r="B14636" s="26">
        <v>0.79779999999999995</v>
      </c>
      <c r="C14636" s="26">
        <v>6.9699999999999998E-2</v>
      </c>
      <c r="D14636" s="26">
        <v>3.9899999999999998E-2</v>
      </c>
      <c r="E14636" s="26">
        <v>4.48E-2</v>
      </c>
      <c r="F14636" s="26">
        <v>1.6299999999999999E-2</v>
      </c>
      <c r="G14636" s="26">
        <v>8.0999999999999996E-3</v>
      </c>
      <c r="H14636" s="26">
        <v>2.2100000000000002E-2</v>
      </c>
      <c r="I14636" s="26">
        <v>1.15E-2</v>
      </c>
      <c r="J14636" s="26">
        <v>2E-3</v>
      </c>
      <c r="K14636" s="26">
        <v>5.4999999999999997E-3</v>
      </c>
      <c r="L14636" s="26">
        <v>2.9999999999999997E-4</v>
      </c>
      <c r="N14636">
        <v>552</v>
      </c>
    </row>
    <row r="14637" spans="1:18" x14ac:dyDescent="0.35">
      <c r="A14637" t="s">
        <v>231</v>
      </c>
      <c r="B14637" s="26">
        <v>0.83950000000000002</v>
      </c>
      <c r="C14637" s="26">
        <v>4.3200000000000002E-2</v>
      </c>
      <c r="D14637" s="26">
        <v>4.9399999999999999E-2</v>
      </c>
      <c r="E14637" s="26">
        <v>1.23E-2</v>
      </c>
      <c r="F14637" s="26">
        <v>1.23E-2</v>
      </c>
      <c r="G14637" s="26">
        <v>1.8499999999999999E-2</v>
      </c>
      <c r="H14637" s="26">
        <v>1.8499999999999999E-2</v>
      </c>
      <c r="I14637" s="26">
        <v>1.23E-2</v>
      </c>
      <c r="J14637" s="26">
        <v>6.1999999999999998E-3</v>
      </c>
      <c r="K14637" s="26">
        <v>1.23E-2</v>
      </c>
      <c r="N14637">
        <v>162</v>
      </c>
    </row>
    <row r="14638" spans="1:18" x14ac:dyDescent="0.35">
      <c r="A14638" t="s">
        <v>232</v>
      </c>
      <c r="B14638" s="26">
        <v>0.80920000000000003</v>
      </c>
      <c r="C14638" s="26">
        <v>6.9000000000000006E-2</v>
      </c>
      <c r="D14638" s="26">
        <v>4.3400000000000001E-2</v>
      </c>
      <c r="E14638" s="26">
        <v>3.8899999999999997E-2</v>
      </c>
      <c r="F14638" s="26">
        <v>1.89E-2</v>
      </c>
      <c r="G14638" s="26">
        <v>1.52E-2</v>
      </c>
      <c r="H14638" s="26">
        <v>1.3100000000000001E-2</v>
      </c>
      <c r="I14638" s="26">
        <v>1.11E-2</v>
      </c>
      <c r="J14638" s="26">
        <v>7.7999999999999996E-3</v>
      </c>
      <c r="K14638" s="26">
        <v>5.7999999999999996E-3</v>
      </c>
      <c r="L14638" s="26">
        <v>2E-3</v>
      </c>
      <c r="M14638" s="26">
        <v>1.6000000000000001E-3</v>
      </c>
      <c r="N14638">
        <v>2766</v>
      </c>
    </row>
    <row r="14640" spans="1:18" x14ac:dyDescent="0.35">
      <c r="A14640" s="1" t="s">
        <v>1605</v>
      </c>
    </row>
    <row r="14641" spans="1:15" x14ac:dyDescent="0.35">
      <c r="A14641" t="s">
        <v>219</v>
      </c>
      <c r="B14641" t="s">
        <v>305</v>
      </c>
      <c r="C14641" t="s">
        <v>550</v>
      </c>
      <c r="D14641" t="s">
        <v>1596</v>
      </c>
      <c r="E14641" t="s">
        <v>1597</v>
      </c>
      <c r="F14641" t="s">
        <v>1598</v>
      </c>
      <c r="G14641" t="s">
        <v>1599</v>
      </c>
      <c r="H14641" t="s">
        <v>1600</v>
      </c>
      <c r="I14641" t="s">
        <v>281</v>
      </c>
      <c r="J14641" t="s">
        <v>1601</v>
      </c>
      <c r="K14641" t="s">
        <v>1602</v>
      </c>
      <c r="L14641" t="s">
        <v>1603</v>
      </c>
      <c r="M14641" t="s">
        <v>1604</v>
      </c>
      <c r="N14641" t="s">
        <v>286</v>
      </c>
      <c r="O14641" t="s">
        <v>226</v>
      </c>
    </row>
    <row r="14642" spans="1:15" x14ac:dyDescent="0.35">
      <c r="A14642" t="s">
        <v>227</v>
      </c>
      <c r="B14642" t="s">
        <v>242</v>
      </c>
      <c r="C14642" s="26">
        <v>0.81540000000000001</v>
      </c>
      <c r="E14642" s="26">
        <v>0.1077</v>
      </c>
      <c r="F14642" s="26">
        <v>3.0800000000000001E-2</v>
      </c>
      <c r="G14642" s="26">
        <v>3.0800000000000001E-2</v>
      </c>
      <c r="I14642" s="26">
        <v>1.54E-2</v>
      </c>
      <c r="J14642" s="26">
        <v>3.0800000000000001E-2</v>
      </c>
      <c r="O14642">
        <v>65</v>
      </c>
    </row>
    <row r="14643" spans="1:15" x14ac:dyDescent="0.35">
      <c r="A14643" t="s">
        <v>227</v>
      </c>
      <c r="B14643" t="s">
        <v>241</v>
      </c>
      <c r="C14643" s="26">
        <v>0.87780000000000002</v>
      </c>
      <c r="D14643" s="26">
        <v>4.4400000000000002E-2</v>
      </c>
      <c r="E14643" s="26">
        <v>3.3300000000000003E-2</v>
      </c>
      <c r="F14643" s="26">
        <v>4.4400000000000002E-2</v>
      </c>
      <c r="G14643" s="26">
        <v>1.11E-2</v>
      </c>
      <c r="O14643">
        <v>90</v>
      </c>
    </row>
    <row r="14644" spans="1:15" x14ac:dyDescent="0.35">
      <c r="A14644" t="s">
        <v>228</v>
      </c>
      <c r="B14644" t="s">
        <v>242</v>
      </c>
      <c r="C14644" s="26">
        <v>0.66149999999999998</v>
      </c>
      <c r="D14644" s="26">
        <v>0.14899999999999999</v>
      </c>
      <c r="E14644" s="26">
        <v>6.9199999999999998E-2</v>
      </c>
      <c r="F14644" s="26">
        <v>0.1008</v>
      </c>
      <c r="G14644" s="26">
        <v>4.8099999999999997E-2</v>
      </c>
      <c r="H14644" s="26">
        <v>3.3300000000000003E-2</v>
      </c>
      <c r="I14644" s="26">
        <v>2.0500000000000001E-2</v>
      </c>
      <c r="J14644" s="26">
        <v>5.1999999999999998E-3</v>
      </c>
      <c r="K14644" s="26">
        <v>2.87E-2</v>
      </c>
      <c r="L14644" s="26">
        <v>1E-3</v>
      </c>
      <c r="M14644" s="26">
        <v>1.5599999999999999E-2</v>
      </c>
      <c r="O14644">
        <v>394</v>
      </c>
    </row>
    <row r="14645" spans="1:15" x14ac:dyDescent="0.35">
      <c r="A14645" t="s">
        <v>228</v>
      </c>
      <c r="B14645" t="s">
        <v>241</v>
      </c>
      <c r="C14645" s="26">
        <v>0.7873</v>
      </c>
      <c r="D14645" s="26">
        <v>8.2699999999999996E-2</v>
      </c>
      <c r="E14645" s="26">
        <v>4.2700000000000002E-2</v>
      </c>
      <c r="F14645" s="26">
        <v>4.6899999999999997E-2</v>
      </c>
      <c r="G14645" s="26">
        <v>1.72E-2</v>
      </c>
      <c r="H14645" s="26">
        <v>2.9000000000000001E-2</v>
      </c>
      <c r="I14645" s="26">
        <v>6.4000000000000003E-3</v>
      </c>
      <c r="J14645" s="26">
        <v>1.9699999999999999E-2</v>
      </c>
      <c r="K14645" s="26">
        <v>8.8999999999999999E-3</v>
      </c>
      <c r="L14645" s="26">
        <v>6.9999999999999999E-4</v>
      </c>
      <c r="M14645" s="26">
        <v>3.8E-3</v>
      </c>
      <c r="N14645" s="26">
        <v>5.7999999999999996E-3</v>
      </c>
      <c r="O14645">
        <v>626</v>
      </c>
    </row>
    <row r="14646" spans="1:15" x14ac:dyDescent="0.35">
      <c r="A14646" t="s">
        <v>229</v>
      </c>
      <c r="B14646" t="s">
        <v>242</v>
      </c>
      <c r="C14646" s="26">
        <v>0.73780000000000001</v>
      </c>
      <c r="D14646" s="26">
        <v>0.1104</v>
      </c>
      <c r="E14646" s="26">
        <v>4.6699999999999998E-2</v>
      </c>
      <c r="F14646" s="26">
        <v>6.0299999999999999E-2</v>
      </c>
      <c r="G14646" s="26">
        <v>2.76E-2</v>
      </c>
      <c r="H14646" s="26">
        <v>1.5699999999999999E-2</v>
      </c>
      <c r="I14646" s="26">
        <v>0.01</v>
      </c>
      <c r="J14646" s="26">
        <v>8.0999999999999996E-3</v>
      </c>
      <c r="K14646" s="26">
        <v>1.5299999999999999E-2</v>
      </c>
      <c r="L14646" s="26">
        <v>7.0000000000000001E-3</v>
      </c>
      <c r="N14646" s="26">
        <v>6.6E-3</v>
      </c>
      <c r="O14646">
        <v>287</v>
      </c>
    </row>
    <row r="14647" spans="1:15" x14ac:dyDescent="0.35">
      <c r="A14647" t="s">
        <v>229</v>
      </c>
      <c r="B14647" t="s">
        <v>241</v>
      </c>
      <c r="C14647" s="26">
        <v>0.85240000000000005</v>
      </c>
      <c r="D14647" s="26">
        <v>7.8200000000000006E-2</v>
      </c>
      <c r="E14647" s="26">
        <v>5.1000000000000004E-3</v>
      </c>
      <c r="F14647" s="26">
        <v>3.3799999999999997E-2</v>
      </c>
      <c r="G14647" s="26">
        <v>1.41E-2</v>
      </c>
      <c r="H14647" s="26">
        <v>9.2999999999999992E-3</v>
      </c>
      <c r="I14647" s="26">
        <v>8.8999999999999999E-3</v>
      </c>
      <c r="J14647" s="26">
        <v>5.5999999999999999E-3</v>
      </c>
      <c r="K14647" s="26">
        <v>6.1999999999999998E-3</v>
      </c>
      <c r="L14647" s="26">
        <v>5.4000000000000003E-3</v>
      </c>
      <c r="M14647" s="26">
        <v>2.2000000000000001E-3</v>
      </c>
      <c r="N14647" s="26">
        <v>5.9999999999999995E-4</v>
      </c>
      <c r="O14647">
        <v>590</v>
      </c>
    </row>
    <row r="14648" spans="1:15" x14ac:dyDescent="0.35">
      <c r="A14648" t="s">
        <v>230</v>
      </c>
      <c r="B14648" t="s">
        <v>242</v>
      </c>
      <c r="C14648" s="26">
        <v>0.70169999999999999</v>
      </c>
      <c r="D14648" s="26">
        <v>0.1119</v>
      </c>
      <c r="E14648" s="26">
        <v>8.2600000000000007E-2</v>
      </c>
      <c r="F14648" s="26">
        <v>2.3199999999999998E-2</v>
      </c>
      <c r="G14648" s="26">
        <v>7.1000000000000004E-3</v>
      </c>
      <c r="H14648" s="26">
        <v>1.04E-2</v>
      </c>
      <c r="I14648" s="26">
        <v>3.8100000000000002E-2</v>
      </c>
      <c r="J14648" s="26">
        <v>3.27E-2</v>
      </c>
      <c r="K14648" s="26">
        <v>8.0000000000000004E-4</v>
      </c>
      <c r="L14648" s="26">
        <v>1.6299999999999999E-2</v>
      </c>
      <c r="O14648">
        <v>184</v>
      </c>
    </row>
    <row r="14649" spans="1:15" x14ac:dyDescent="0.35">
      <c r="A14649" t="s">
        <v>230</v>
      </c>
      <c r="B14649" t="s">
        <v>241</v>
      </c>
      <c r="C14649" s="26">
        <v>0.84599999999999997</v>
      </c>
      <c r="D14649" s="26">
        <v>4.8500000000000001E-2</v>
      </c>
      <c r="E14649" s="26">
        <v>1.8499999999999999E-2</v>
      </c>
      <c r="F14649" s="26">
        <v>5.57E-2</v>
      </c>
      <c r="G14649" s="26">
        <v>2.0799999999999999E-2</v>
      </c>
      <c r="H14649" s="26">
        <v>7.0000000000000001E-3</v>
      </c>
      <c r="I14649" s="26">
        <v>1.41E-2</v>
      </c>
      <c r="J14649" s="26">
        <v>8.0000000000000004E-4</v>
      </c>
      <c r="K14649" s="26">
        <v>2.5999999999999999E-3</v>
      </c>
      <c r="M14649" s="26">
        <v>4.0000000000000002E-4</v>
      </c>
      <c r="O14649">
        <v>368</v>
      </c>
    </row>
    <row r="14650" spans="1:15" x14ac:dyDescent="0.35">
      <c r="A14650" t="s">
        <v>231</v>
      </c>
      <c r="B14650" t="s">
        <v>242</v>
      </c>
      <c r="C14650" s="26">
        <v>0.86539999999999995</v>
      </c>
      <c r="D14650" s="26">
        <v>1.9199999999999998E-2</v>
      </c>
      <c r="E14650" s="26">
        <v>3.85E-2</v>
      </c>
      <c r="F14650" s="26">
        <v>1.9199999999999998E-2</v>
      </c>
      <c r="G14650" s="26">
        <v>3.85E-2</v>
      </c>
      <c r="J14650" s="26">
        <v>1.9199999999999998E-2</v>
      </c>
      <c r="O14650">
        <v>52</v>
      </c>
    </row>
    <row r="14651" spans="1:15" x14ac:dyDescent="0.35">
      <c r="A14651" t="s">
        <v>231</v>
      </c>
      <c r="B14651" t="s">
        <v>241</v>
      </c>
      <c r="C14651" s="26">
        <v>0.82730000000000004</v>
      </c>
      <c r="D14651" s="26">
        <v>5.45E-2</v>
      </c>
      <c r="E14651" s="26">
        <v>5.45E-2</v>
      </c>
      <c r="F14651" s="26">
        <v>9.1000000000000004E-3</v>
      </c>
      <c r="H14651" s="26">
        <v>2.7300000000000001E-2</v>
      </c>
      <c r="I14651" s="26">
        <v>2.7300000000000001E-2</v>
      </c>
      <c r="J14651" s="26">
        <v>9.1000000000000004E-3</v>
      </c>
      <c r="K14651" s="26">
        <v>9.1000000000000004E-3</v>
      </c>
      <c r="L14651" s="26">
        <v>1.8200000000000001E-2</v>
      </c>
      <c r="O14651">
        <v>110</v>
      </c>
    </row>
    <row r="14652" spans="1:15" x14ac:dyDescent="0.35">
      <c r="A14652" t="s">
        <v>232</v>
      </c>
      <c r="B14652" t="s">
        <v>232</v>
      </c>
      <c r="C14652" s="26">
        <v>0.80920000000000003</v>
      </c>
      <c r="D14652" s="26">
        <v>6.9000000000000006E-2</v>
      </c>
      <c r="E14652" s="26">
        <v>4.3400000000000001E-2</v>
      </c>
      <c r="F14652" s="26">
        <v>3.8899999999999997E-2</v>
      </c>
      <c r="G14652" s="26">
        <v>1.89E-2</v>
      </c>
      <c r="H14652" s="26">
        <v>1.52E-2</v>
      </c>
      <c r="I14652" s="26">
        <v>1.3100000000000001E-2</v>
      </c>
      <c r="J14652" s="26">
        <v>1.11E-2</v>
      </c>
      <c r="K14652" s="26">
        <v>7.7999999999999996E-3</v>
      </c>
      <c r="L14652" s="26">
        <v>5.7999999999999996E-3</v>
      </c>
      <c r="M14652" s="26">
        <v>2E-3</v>
      </c>
      <c r="N14652" s="26">
        <v>1.6000000000000001E-3</v>
      </c>
      <c r="O14652">
        <v>2766</v>
      </c>
    </row>
    <row r="14654" spans="1:15" x14ac:dyDescent="0.35">
      <c r="A14654" s="1" t="s">
        <v>1606</v>
      </c>
    </row>
    <row r="14655" spans="1:15" x14ac:dyDescent="0.35">
      <c r="A14655" t="s">
        <v>219</v>
      </c>
      <c r="B14655" t="s">
        <v>305</v>
      </c>
      <c r="C14655" t="s">
        <v>550</v>
      </c>
      <c r="D14655" t="s">
        <v>1596</v>
      </c>
      <c r="E14655" t="s">
        <v>1597</v>
      </c>
      <c r="F14655" t="s">
        <v>1598</v>
      </c>
      <c r="G14655" t="s">
        <v>1599</v>
      </c>
      <c r="H14655" t="s">
        <v>1600</v>
      </c>
      <c r="I14655" t="s">
        <v>281</v>
      </c>
      <c r="J14655" t="s">
        <v>1601</v>
      </c>
      <c r="K14655" t="s">
        <v>1602</v>
      </c>
      <c r="L14655" t="s">
        <v>1603</v>
      </c>
      <c r="M14655" t="s">
        <v>1604</v>
      </c>
      <c r="N14655" t="s">
        <v>286</v>
      </c>
      <c r="O14655" t="s">
        <v>226</v>
      </c>
    </row>
    <row r="14656" spans="1:15" x14ac:dyDescent="0.35">
      <c r="A14656" t="s">
        <v>227</v>
      </c>
      <c r="B14656" t="s">
        <v>239</v>
      </c>
      <c r="C14656" s="26">
        <v>0.77049999999999996</v>
      </c>
      <c r="D14656" s="26">
        <v>3.2800000000000003E-2</v>
      </c>
      <c r="E14656" s="26">
        <v>9.8400000000000001E-2</v>
      </c>
      <c r="F14656" s="26">
        <v>4.9200000000000001E-2</v>
      </c>
      <c r="G14656" s="26">
        <v>4.9200000000000001E-2</v>
      </c>
      <c r="I14656" s="26">
        <v>1.6400000000000001E-2</v>
      </c>
      <c r="J14656" s="26">
        <v>3.2800000000000003E-2</v>
      </c>
      <c r="O14656">
        <v>61</v>
      </c>
    </row>
    <row r="14657" spans="1:15" x14ac:dyDescent="0.35">
      <c r="A14657" t="s">
        <v>227</v>
      </c>
      <c r="B14657" t="s">
        <v>238</v>
      </c>
      <c r="C14657" s="26">
        <v>0.90429999999999999</v>
      </c>
      <c r="D14657" s="26">
        <v>2.1299999999999999E-2</v>
      </c>
      <c r="E14657" s="26">
        <v>4.2599999999999999E-2</v>
      </c>
      <c r="F14657" s="26">
        <v>3.1899999999999998E-2</v>
      </c>
      <c r="O14657">
        <v>94</v>
      </c>
    </row>
    <row r="14658" spans="1:15" x14ac:dyDescent="0.35">
      <c r="A14658" t="s">
        <v>228</v>
      </c>
      <c r="B14658" t="s">
        <v>239</v>
      </c>
      <c r="C14658" s="26">
        <v>0.75480000000000003</v>
      </c>
      <c r="D14658" s="26">
        <v>0.1176</v>
      </c>
      <c r="E14658" s="26">
        <v>5.8999999999999997E-2</v>
      </c>
      <c r="F14658" s="26">
        <v>4.7800000000000002E-2</v>
      </c>
      <c r="G14658" s="26">
        <v>1.34E-2</v>
      </c>
      <c r="H14658" s="26">
        <v>2.3400000000000001E-2</v>
      </c>
      <c r="I14658" s="26">
        <v>1.7500000000000002E-2</v>
      </c>
      <c r="J14658" s="26">
        <v>1.5800000000000002E-2</v>
      </c>
      <c r="K14658" s="26">
        <v>9.1000000000000004E-3</v>
      </c>
      <c r="L14658" s="26">
        <v>2E-3</v>
      </c>
      <c r="M14658" s="26">
        <v>5.8999999999999999E-3</v>
      </c>
      <c r="N14658" s="26">
        <v>1.8E-3</v>
      </c>
      <c r="O14658">
        <v>327</v>
      </c>
    </row>
    <row r="14659" spans="1:15" x14ac:dyDescent="0.35">
      <c r="A14659" t="s">
        <v>228</v>
      </c>
      <c r="B14659" t="s">
        <v>238</v>
      </c>
      <c r="C14659" s="26">
        <v>0.7389</v>
      </c>
      <c r="D14659" s="26">
        <v>0.1036</v>
      </c>
      <c r="E14659" s="26">
        <v>5.0500000000000003E-2</v>
      </c>
      <c r="F14659" s="26">
        <v>7.0999999999999994E-2</v>
      </c>
      <c r="G14659" s="26">
        <v>3.2099999999999997E-2</v>
      </c>
      <c r="H14659" s="26">
        <v>3.2399999999999998E-2</v>
      </c>
      <c r="I14659" s="26">
        <v>9.9000000000000008E-3</v>
      </c>
      <c r="J14659" s="26">
        <v>1.4200000000000001E-2</v>
      </c>
      <c r="K14659" s="26">
        <v>1.78E-2</v>
      </c>
      <c r="L14659" s="26">
        <v>5.0000000000000001E-4</v>
      </c>
      <c r="M14659" s="26">
        <v>8.6E-3</v>
      </c>
      <c r="N14659" s="26">
        <v>4.1999999999999997E-3</v>
      </c>
      <c r="O14659">
        <v>693</v>
      </c>
    </row>
    <row r="14660" spans="1:15" x14ac:dyDescent="0.35">
      <c r="A14660" t="s">
        <v>229</v>
      </c>
      <c r="B14660" t="s">
        <v>239</v>
      </c>
      <c r="C14660" s="26">
        <v>0.83450000000000002</v>
      </c>
      <c r="D14660" s="26">
        <v>7.46E-2</v>
      </c>
      <c r="E14660" s="26">
        <v>0.01</v>
      </c>
      <c r="F14660" s="26">
        <v>1.52E-2</v>
      </c>
      <c r="G14660" s="26">
        <v>3.32E-2</v>
      </c>
      <c r="H14660" s="26">
        <v>1.67E-2</v>
      </c>
      <c r="I14660" s="26">
        <v>7.0000000000000001E-3</v>
      </c>
      <c r="J14660" s="26">
        <v>1.6999999999999999E-3</v>
      </c>
      <c r="L14660" s="26">
        <v>6.9999999999999999E-4</v>
      </c>
      <c r="M14660" s="26">
        <v>3.3E-3</v>
      </c>
      <c r="N14660" s="26">
        <v>0.01</v>
      </c>
      <c r="O14660">
        <v>328</v>
      </c>
    </row>
    <row r="14661" spans="1:15" x14ac:dyDescent="0.35">
      <c r="A14661" t="s">
        <v>229</v>
      </c>
      <c r="B14661" t="s">
        <v>238</v>
      </c>
      <c r="C14661" s="26">
        <v>0.79800000000000004</v>
      </c>
      <c r="D14661" s="26">
        <v>9.64E-2</v>
      </c>
      <c r="E14661" s="26">
        <v>2.5399999999999999E-2</v>
      </c>
      <c r="F14661" s="26">
        <v>5.4199999999999998E-2</v>
      </c>
      <c r="G14661" s="26">
        <v>1.46E-2</v>
      </c>
      <c r="H14661" s="26">
        <v>1.0200000000000001E-2</v>
      </c>
      <c r="I14661" s="26">
        <v>1.0200000000000001E-2</v>
      </c>
      <c r="J14661" s="26">
        <v>8.3000000000000001E-3</v>
      </c>
      <c r="K14661" s="26">
        <v>1.32E-2</v>
      </c>
      <c r="L14661" s="26">
        <v>7.9000000000000008E-3</v>
      </c>
      <c r="M14661" s="26">
        <v>6.9999999999999999E-4</v>
      </c>
      <c r="N14661" s="26">
        <v>5.0000000000000001E-4</v>
      </c>
      <c r="O14661">
        <v>549</v>
      </c>
    </row>
    <row r="14662" spans="1:15" x14ac:dyDescent="0.35">
      <c r="A14662" t="s">
        <v>230</v>
      </c>
      <c r="B14662" t="s">
        <v>239</v>
      </c>
      <c r="C14662" s="26">
        <v>0.8609</v>
      </c>
      <c r="D14662" s="26">
        <v>5.4600000000000003E-2</v>
      </c>
      <c r="E14662" s="26">
        <v>8.9999999999999998E-4</v>
      </c>
      <c r="F14662" s="26">
        <v>2.2100000000000002E-2</v>
      </c>
      <c r="G14662" s="26">
        <v>2.6200000000000001E-2</v>
      </c>
      <c r="H14662" s="26">
        <v>1.2800000000000001E-2</v>
      </c>
      <c r="I14662" s="26">
        <v>2.7300000000000001E-2</v>
      </c>
      <c r="K14662" s="26">
        <v>8.9999999999999998E-4</v>
      </c>
      <c r="O14662">
        <v>209</v>
      </c>
    </row>
    <row r="14663" spans="1:15" x14ac:dyDescent="0.35">
      <c r="A14663" t="s">
        <v>230</v>
      </c>
      <c r="B14663" t="s">
        <v>238</v>
      </c>
      <c r="C14663" s="26">
        <v>0.77070000000000005</v>
      </c>
      <c r="D14663" s="26">
        <v>7.6100000000000001E-2</v>
      </c>
      <c r="E14663" s="26">
        <v>5.6599999999999998E-2</v>
      </c>
      <c r="F14663" s="26">
        <v>5.45E-2</v>
      </c>
      <c r="G14663" s="26">
        <v>1.2E-2</v>
      </c>
      <c r="H14663" s="26">
        <v>6.1999999999999998E-3</v>
      </c>
      <c r="I14663" s="26">
        <v>1.9900000000000001E-2</v>
      </c>
      <c r="J14663" s="26">
        <v>1.6400000000000001E-2</v>
      </c>
      <c r="K14663" s="26">
        <v>2.5000000000000001E-3</v>
      </c>
      <c r="L14663" s="26">
        <v>7.7999999999999996E-3</v>
      </c>
      <c r="M14663" s="26">
        <v>4.0000000000000002E-4</v>
      </c>
      <c r="O14663">
        <v>343</v>
      </c>
    </row>
    <row r="14664" spans="1:15" x14ac:dyDescent="0.35">
      <c r="A14664" t="s">
        <v>231</v>
      </c>
      <c r="B14664" t="s">
        <v>239</v>
      </c>
      <c r="C14664" s="26">
        <v>0.85709999999999997</v>
      </c>
      <c r="D14664" s="26">
        <v>3.5700000000000003E-2</v>
      </c>
      <c r="G14664" s="26">
        <v>3.5700000000000003E-2</v>
      </c>
      <c r="I14664" s="26">
        <v>3.5700000000000003E-2</v>
      </c>
      <c r="J14664" s="26">
        <v>1.7899999999999999E-2</v>
      </c>
      <c r="L14664" s="26">
        <v>1.7899999999999999E-2</v>
      </c>
      <c r="O14664">
        <v>56</v>
      </c>
    </row>
    <row r="14665" spans="1:15" x14ac:dyDescent="0.35">
      <c r="A14665" t="s">
        <v>231</v>
      </c>
      <c r="B14665" t="s">
        <v>238</v>
      </c>
      <c r="C14665" s="26">
        <v>0.83020000000000005</v>
      </c>
      <c r="D14665" s="26">
        <v>4.7199999999999999E-2</v>
      </c>
      <c r="E14665" s="26">
        <v>7.5499999999999998E-2</v>
      </c>
      <c r="F14665" s="26">
        <v>1.89E-2</v>
      </c>
      <c r="H14665" s="26">
        <v>2.8299999999999999E-2</v>
      </c>
      <c r="I14665" s="26">
        <v>9.4000000000000004E-3</v>
      </c>
      <c r="J14665" s="26">
        <v>9.4000000000000004E-3</v>
      </c>
      <c r="K14665" s="26">
        <v>9.4000000000000004E-3</v>
      </c>
      <c r="L14665" s="26">
        <v>9.4000000000000004E-3</v>
      </c>
      <c r="O14665">
        <v>106</v>
      </c>
    </row>
    <row r="14666" spans="1:15" x14ac:dyDescent="0.35">
      <c r="A14666" t="s">
        <v>232</v>
      </c>
      <c r="B14666" t="s">
        <v>232</v>
      </c>
      <c r="C14666" s="26">
        <v>0.80920000000000003</v>
      </c>
      <c r="D14666" s="26">
        <v>6.9000000000000006E-2</v>
      </c>
      <c r="E14666" s="26">
        <v>4.3400000000000001E-2</v>
      </c>
      <c r="F14666" s="26">
        <v>3.8899999999999997E-2</v>
      </c>
      <c r="G14666" s="26">
        <v>1.89E-2</v>
      </c>
      <c r="H14666" s="26">
        <v>1.52E-2</v>
      </c>
      <c r="I14666" s="26">
        <v>1.3100000000000001E-2</v>
      </c>
      <c r="J14666" s="26">
        <v>1.11E-2</v>
      </c>
      <c r="K14666" s="26">
        <v>7.7999999999999996E-3</v>
      </c>
      <c r="L14666" s="26">
        <v>5.7999999999999996E-3</v>
      </c>
      <c r="M14666" s="26">
        <v>2E-3</v>
      </c>
      <c r="N14666" s="26">
        <v>1.6000000000000001E-3</v>
      </c>
      <c r="O14666">
        <v>2766</v>
      </c>
    </row>
    <row r="14668" spans="1:15" x14ac:dyDescent="0.35">
      <c r="A14668" s="1" t="s">
        <v>1607</v>
      </c>
    </row>
    <row r="14669" spans="1:15" x14ac:dyDescent="0.35">
      <c r="A14669" t="s">
        <v>219</v>
      </c>
      <c r="B14669" t="s">
        <v>305</v>
      </c>
      <c r="C14669" t="s">
        <v>550</v>
      </c>
      <c r="D14669" t="s">
        <v>1596</v>
      </c>
      <c r="E14669" t="s">
        <v>1597</v>
      </c>
      <c r="F14669" t="s">
        <v>1598</v>
      </c>
      <c r="G14669" t="s">
        <v>1599</v>
      </c>
      <c r="H14669" t="s">
        <v>1600</v>
      </c>
      <c r="I14669" t="s">
        <v>281</v>
      </c>
      <c r="J14669" t="s">
        <v>1601</v>
      </c>
      <c r="K14669" t="s">
        <v>1602</v>
      </c>
      <c r="L14669" t="s">
        <v>1603</v>
      </c>
      <c r="M14669" t="s">
        <v>1604</v>
      </c>
      <c r="N14669" t="s">
        <v>286</v>
      </c>
      <c r="O14669" t="s">
        <v>226</v>
      </c>
    </row>
    <row r="14670" spans="1:15" x14ac:dyDescent="0.35">
      <c r="A14670" t="s">
        <v>227</v>
      </c>
      <c r="B14670" t="s">
        <v>244</v>
      </c>
      <c r="C14670" s="26">
        <v>0.82420000000000004</v>
      </c>
      <c r="D14670" s="26">
        <v>2.1999999999999999E-2</v>
      </c>
      <c r="E14670" s="26">
        <v>8.7900000000000006E-2</v>
      </c>
      <c r="F14670" s="26">
        <v>6.59E-2</v>
      </c>
      <c r="G14670" s="26">
        <v>1.0999999999999999E-2</v>
      </c>
      <c r="J14670" s="26">
        <v>2.1999999999999999E-2</v>
      </c>
      <c r="O14670">
        <v>91</v>
      </c>
    </row>
    <row r="14671" spans="1:15" x14ac:dyDescent="0.35">
      <c r="A14671" t="s">
        <v>227</v>
      </c>
      <c r="B14671" t="s">
        <v>245</v>
      </c>
      <c r="C14671" s="26">
        <v>0.90380000000000005</v>
      </c>
      <c r="D14671" s="26">
        <v>1.9199999999999998E-2</v>
      </c>
      <c r="E14671" s="26">
        <v>3.85E-2</v>
      </c>
      <c r="G14671" s="26">
        <v>1.9199999999999998E-2</v>
      </c>
      <c r="I14671" s="26">
        <v>1.9199999999999998E-2</v>
      </c>
      <c r="O14671">
        <v>52</v>
      </c>
    </row>
    <row r="14672" spans="1:15" x14ac:dyDescent="0.35">
      <c r="A14672" s="27" t="s">
        <v>227</v>
      </c>
      <c r="B14672" s="27" t="s">
        <v>246</v>
      </c>
      <c r="C14672" s="28">
        <v>0.83330000000000004</v>
      </c>
      <c r="D14672" s="28">
        <v>8.3299999999999999E-2</v>
      </c>
      <c r="E14672" s="29"/>
      <c r="F14672" s="29"/>
      <c r="G14672" s="28">
        <v>8.3299999999999999E-2</v>
      </c>
      <c r="H14672" s="29"/>
      <c r="I14672" s="29"/>
      <c r="J14672" s="29"/>
      <c r="K14672" s="29"/>
      <c r="L14672" s="29"/>
      <c r="M14672" s="29"/>
      <c r="N14672" s="29"/>
      <c r="O14672" s="29" t="s">
        <v>342</v>
      </c>
    </row>
    <row r="14673" spans="1:15" x14ac:dyDescent="0.35">
      <c r="A14673" t="s">
        <v>228</v>
      </c>
      <c r="B14673" t="s">
        <v>244</v>
      </c>
      <c r="C14673" s="26">
        <v>0.75190000000000001</v>
      </c>
      <c r="D14673" s="26">
        <v>0.1067</v>
      </c>
      <c r="E14673" s="26">
        <v>4.7600000000000003E-2</v>
      </c>
      <c r="F14673" s="26">
        <v>5.9700000000000003E-2</v>
      </c>
      <c r="G14673" s="26">
        <v>2.3300000000000001E-2</v>
      </c>
      <c r="H14673" s="26">
        <v>2.3300000000000001E-2</v>
      </c>
      <c r="I14673" s="26">
        <v>9.7999999999999997E-3</v>
      </c>
      <c r="J14673" s="26">
        <v>1.41E-2</v>
      </c>
      <c r="K14673" s="26">
        <v>1.29E-2</v>
      </c>
      <c r="L14673" s="26">
        <v>1.1999999999999999E-3</v>
      </c>
      <c r="M14673" s="26">
        <v>1.01E-2</v>
      </c>
      <c r="N14673" s="26">
        <v>5.1000000000000004E-3</v>
      </c>
      <c r="O14673">
        <v>629</v>
      </c>
    </row>
    <row r="14674" spans="1:15" x14ac:dyDescent="0.35">
      <c r="A14674" t="s">
        <v>228</v>
      </c>
      <c r="B14674" t="s">
        <v>245</v>
      </c>
      <c r="C14674" s="26">
        <v>0.73240000000000005</v>
      </c>
      <c r="D14674" s="26">
        <v>0.1055</v>
      </c>
      <c r="E14674" s="26">
        <v>4.7500000000000001E-2</v>
      </c>
      <c r="F14674" s="26">
        <v>5.7599999999999998E-2</v>
      </c>
      <c r="G14674" s="26">
        <v>3.0599999999999999E-2</v>
      </c>
      <c r="H14674" s="26">
        <v>3.7400000000000003E-2</v>
      </c>
      <c r="I14674" s="26">
        <v>1.6899999999999998E-2</v>
      </c>
      <c r="J14674" s="26">
        <v>1.77E-2</v>
      </c>
      <c r="K14674" s="26">
        <v>1.52E-2</v>
      </c>
      <c r="M14674" s="26">
        <v>5.1999999999999998E-3</v>
      </c>
      <c r="N14674" s="26">
        <v>1.2999999999999999E-3</v>
      </c>
      <c r="O14674">
        <v>324</v>
      </c>
    </row>
    <row r="14675" spans="1:15" x14ac:dyDescent="0.35">
      <c r="A14675" t="s">
        <v>228</v>
      </c>
      <c r="B14675" t="s">
        <v>246</v>
      </c>
      <c r="C14675" s="26">
        <v>0.69</v>
      </c>
      <c r="D14675" s="26">
        <v>0.1079</v>
      </c>
      <c r="E14675" s="26">
        <v>0.1143</v>
      </c>
      <c r="F14675" s="26">
        <v>0.16250000000000001</v>
      </c>
      <c r="G14675" s="26">
        <v>6.5500000000000003E-2</v>
      </c>
      <c r="H14675" s="26">
        <v>7.1599999999999997E-2</v>
      </c>
      <c r="I14675" s="26">
        <v>5.1999999999999998E-3</v>
      </c>
      <c r="J14675" s="26">
        <v>6.0000000000000001E-3</v>
      </c>
      <c r="K14675" s="26">
        <v>4.8500000000000001E-2</v>
      </c>
      <c r="O14675">
        <v>67</v>
      </c>
    </row>
    <row r="14676" spans="1:15" x14ac:dyDescent="0.35">
      <c r="A14676" t="s">
        <v>229</v>
      </c>
      <c r="B14676" t="s">
        <v>244</v>
      </c>
      <c r="C14676" s="26">
        <v>0.79890000000000005</v>
      </c>
      <c r="D14676" s="26">
        <v>8.4599999999999995E-2</v>
      </c>
      <c r="E14676" s="26">
        <v>3.1099999999999999E-2</v>
      </c>
      <c r="F14676" s="26">
        <v>3.7100000000000001E-2</v>
      </c>
      <c r="G14676" s="26">
        <v>2.4199999999999999E-2</v>
      </c>
      <c r="H14676" s="26">
        <v>8.9999999999999993E-3</v>
      </c>
      <c r="I14676" s="26">
        <v>4.1999999999999997E-3</v>
      </c>
      <c r="J14676" s="26">
        <v>9.5999999999999992E-3</v>
      </c>
      <c r="K14676" s="26">
        <v>1.4200000000000001E-2</v>
      </c>
      <c r="L14676" s="26">
        <v>2.9999999999999997E-4</v>
      </c>
      <c r="M14676" s="26">
        <v>1.6999999999999999E-3</v>
      </c>
      <c r="N14676" s="26">
        <v>5.0000000000000001E-4</v>
      </c>
      <c r="O14676">
        <v>541</v>
      </c>
    </row>
    <row r="14677" spans="1:15" x14ac:dyDescent="0.35">
      <c r="A14677" t="s">
        <v>229</v>
      </c>
      <c r="B14677" t="s">
        <v>245</v>
      </c>
      <c r="C14677" s="26">
        <v>0.80249999999999999</v>
      </c>
      <c r="D14677" s="26">
        <v>0.1163</v>
      </c>
      <c r="F14677" s="26">
        <v>6.9800000000000001E-2</v>
      </c>
      <c r="G14677" s="26">
        <v>1.0699999999999999E-2</v>
      </c>
      <c r="H14677" s="26">
        <v>2.1999999999999999E-2</v>
      </c>
      <c r="I14677" s="26">
        <v>2.46E-2</v>
      </c>
      <c r="L14677" s="26">
        <v>2.2599999999999999E-2</v>
      </c>
      <c r="M14677" s="26">
        <v>6.9999999999999999E-4</v>
      </c>
      <c r="N14677" s="26">
        <v>0.01</v>
      </c>
      <c r="O14677">
        <v>291</v>
      </c>
    </row>
    <row r="14678" spans="1:15" x14ac:dyDescent="0.35">
      <c r="A14678" t="s">
        <v>229</v>
      </c>
      <c r="B14678" t="s">
        <v>246</v>
      </c>
      <c r="C14678" s="26">
        <v>0.93700000000000006</v>
      </c>
      <c r="D14678" s="26">
        <v>4.8899999999999999E-2</v>
      </c>
      <c r="F14678" s="26">
        <v>1.24E-2</v>
      </c>
      <c r="I14678" s="26">
        <v>1.8E-3</v>
      </c>
      <c r="O14678">
        <v>45</v>
      </c>
    </row>
    <row r="14679" spans="1:15" x14ac:dyDescent="0.35">
      <c r="A14679" t="s">
        <v>230</v>
      </c>
      <c r="B14679" t="s">
        <v>244</v>
      </c>
      <c r="C14679" s="26">
        <v>0.78049999999999997</v>
      </c>
      <c r="D14679" s="26">
        <v>6.5100000000000005E-2</v>
      </c>
      <c r="E14679" s="26">
        <v>5.7099999999999998E-2</v>
      </c>
      <c r="F14679" s="26">
        <v>6.1699999999999998E-2</v>
      </c>
      <c r="G14679" s="26">
        <v>1.23E-2</v>
      </c>
      <c r="H14679" s="26">
        <v>7.1999999999999998E-3</v>
      </c>
      <c r="I14679" s="26">
        <v>2.64E-2</v>
      </c>
      <c r="J14679" s="26">
        <v>8.0000000000000004E-4</v>
      </c>
      <c r="K14679" s="26">
        <v>2.0999999999999999E-3</v>
      </c>
      <c r="L14679" s="26">
        <v>7.9000000000000008E-3</v>
      </c>
      <c r="O14679">
        <v>365</v>
      </c>
    </row>
    <row r="14680" spans="1:15" x14ac:dyDescent="0.35">
      <c r="A14680" t="s">
        <v>230</v>
      </c>
      <c r="B14680" t="s">
        <v>245</v>
      </c>
      <c r="C14680" s="26">
        <v>0.87729999999999997</v>
      </c>
      <c r="D14680" s="26">
        <v>7.17E-2</v>
      </c>
      <c r="E14680" s="26">
        <v>1.1000000000000001E-3</v>
      </c>
      <c r="F14680" s="26">
        <v>4.1999999999999997E-3</v>
      </c>
      <c r="G14680" s="26">
        <v>7.7000000000000002E-3</v>
      </c>
      <c r="H14680" s="26">
        <v>1.12E-2</v>
      </c>
      <c r="I14680" s="26">
        <v>1.14E-2</v>
      </c>
      <c r="J14680" s="26">
        <v>2.0799999999999999E-2</v>
      </c>
      <c r="K14680" s="26">
        <v>1.1000000000000001E-3</v>
      </c>
      <c r="O14680">
        <v>159</v>
      </c>
    </row>
    <row r="14681" spans="1:15" x14ac:dyDescent="0.35">
      <c r="A14681" s="27" t="s">
        <v>230</v>
      </c>
      <c r="B14681" s="27" t="s">
        <v>246</v>
      </c>
      <c r="C14681" s="28">
        <v>0.61280000000000001</v>
      </c>
      <c r="D14681" s="28">
        <v>0.12429999999999999</v>
      </c>
      <c r="E14681" s="28">
        <v>5.7000000000000002E-3</v>
      </c>
      <c r="F14681" s="28">
        <v>2.4299999999999999E-2</v>
      </c>
      <c r="G14681" s="28">
        <v>0.1186</v>
      </c>
      <c r="H14681" s="28">
        <v>5.7000000000000002E-3</v>
      </c>
      <c r="I14681" s="28">
        <v>1.8599999999999998E-2</v>
      </c>
      <c r="J14681" s="28">
        <v>0.1128</v>
      </c>
      <c r="K14681" s="28">
        <v>5.7000000000000002E-3</v>
      </c>
      <c r="L14681" s="29"/>
      <c r="M14681" s="28">
        <v>5.7000000000000002E-3</v>
      </c>
      <c r="N14681" s="29"/>
      <c r="O14681" s="29" t="s">
        <v>336</v>
      </c>
    </row>
    <row r="14682" spans="1:15" x14ac:dyDescent="0.35">
      <c r="A14682" t="s">
        <v>231</v>
      </c>
      <c r="B14682" t="s">
        <v>244</v>
      </c>
      <c r="C14682" s="26">
        <v>0.81720000000000004</v>
      </c>
      <c r="D14682" s="26">
        <v>6.4500000000000002E-2</v>
      </c>
      <c r="E14682" s="26">
        <v>3.2300000000000002E-2</v>
      </c>
      <c r="F14682" s="26">
        <v>2.1499999999999998E-2</v>
      </c>
      <c r="G14682" s="26">
        <v>1.0800000000000001E-2</v>
      </c>
      <c r="H14682" s="26">
        <v>1.0800000000000001E-2</v>
      </c>
      <c r="I14682" s="26">
        <v>3.2300000000000002E-2</v>
      </c>
      <c r="J14682" s="26">
        <v>1.0800000000000001E-2</v>
      </c>
      <c r="K14682" s="26">
        <v>1.0800000000000001E-2</v>
      </c>
      <c r="L14682" s="26">
        <v>1.0800000000000001E-2</v>
      </c>
      <c r="O14682">
        <v>93</v>
      </c>
    </row>
    <row r="14683" spans="1:15" x14ac:dyDescent="0.35">
      <c r="A14683" t="s">
        <v>231</v>
      </c>
      <c r="B14683" t="s">
        <v>245</v>
      </c>
      <c r="C14683" s="26">
        <v>0.83930000000000005</v>
      </c>
      <c r="D14683" s="26">
        <v>1.7899999999999999E-2</v>
      </c>
      <c r="E14683" s="26">
        <v>8.9300000000000004E-2</v>
      </c>
      <c r="G14683" s="26">
        <v>1.7899999999999999E-2</v>
      </c>
      <c r="H14683" s="26">
        <v>3.5700000000000003E-2</v>
      </c>
      <c r="J14683" s="26">
        <v>1.7899999999999999E-2</v>
      </c>
      <c r="L14683" s="26">
        <v>1.7899999999999999E-2</v>
      </c>
      <c r="O14683">
        <v>56</v>
      </c>
    </row>
    <row r="14684" spans="1:15" x14ac:dyDescent="0.35">
      <c r="A14684" s="27" t="s">
        <v>231</v>
      </c>
      <c r="B14684" s="27" t="s">
        <v>246</v>
      </c>
      <c r="C14684" s="28">
        <v>1</v>
      </c>
      <c r="D14684" s="29"/>
      <c r="E14684" s="29"/>
      <c r="F14684" s="29"/>
      <c r="G14684" s="29"/>
      <c r="H14684" s="29"/>
      <c r="I14684" s="29"/>
      <c r="J14684" s="29"/>
      <c r="K14684" s="29"/>
      <c r="L14684" s="29"/>
      <c r="M14684" s="29"/>
      <c r="N14684" s="29"/>
      <c r="O14684" s="29" t="s">
        <v>341</v>
      </c>
    </row>
    <row r="14685" spans="1:15" x14ac:dyDescent="0.35">
      <c r="A14685" t="s">
        <v>232</v>
      </c>
      <c r="B14685" t="s">
        <v>232</v>
      </c>
      <c r="C14685" s="26">
        <v>0.80920000000000003</v>
      </c>
      <c r="D14685" s="26">
        <v>6.9000000000000006E-2</v>
      </c>
      <c r="E14685" s="26">
        <v>4.3400000000000001E-2</v>
      </c>
      <c r="F14685" s="26">
        <v>3.8899999999999997E-2</v>
      </c>
      <c r="G14685" s="26">
        <v>1.89E-2</v>
      </c>
      <c r="H14685" s="26">
        <v>1.52E-2</v>
      </c>
      <c r="I14685" s="26">
        <v>1.3100000000000001E-2</v>
      </c>
      <c r="J14685" s="26">
        <v>1.11E-2</v>
      </c>
      <c r="K14685" s="26">
        <v>7.7999999999999996E-3</v>
      </c>
      <c r="L14685" s="26">
        <v>5.7999999999999996E-3</v>
      </c>
      <c r="M14685" s="26">
        <v>2E-3</v>
      </c>
      <c r="N14685" s="26">
        <v>1.6000000000000001E-3</v>
      </c>
      <c r="O14685">
        <v>2766</v>
      </c>
    </row>
    <row r="14687" spans="1:15" x14ac:dyDescent="0.35">
      <c r="A14687" s="1" t="s">
        <v>1608</v>
      </c>
    </row>
    <row r="14688" spans="1:15" x14ac:dyDescent="0.35">
      <c r="A14688" t="s">
        <v>219</v>
      </c>
      <c r="B14688" t="s">
        <v>305</v>
      </c>
      <c r="C14688" t="s">
        <v>550</v>
      </c>
      <c r="D14688" t="s">
        <v>1596</v>
      </c>
      <c r="E14688" t="s">
        <v>1597</v>
      </c>
      <c r="F14688" t="s">
        <v>1598</v>
      </c>
      <c r="G14688" t="s">
        <v>1599</v>
      </c>
      <c r="H14688" t="s">
        <v>1600</v>
      </c>
      <c r="I14688" t="s">
        <v>281</v>
      </c>
      <c r="J14688" t="s">
        <v>1601</v>
      </c>
      <c r="K14688" t="s">
        <v>1602</v>
      </c>
      <c r="L14688" t="s">
        <v>1603</v>
      </c>
      <c r="M14688" t="s">
        <v>1604</v>
      </c>
      <c r="N14688" t="s">
        <v>286</v>
      </c>
      <c r="O14688" t="s">
        <v>226</v>
      </c>
    </row>
    <row r="14689" spans="1:15" x14ac:dyDescent="0.35">
      <c r="A14689" t="s">
        <v>227</v>
      </c>
      <c r="B14689" t="s">
        <v>360</v>
      </c>
      <c r="C14689" s="26">
        <v>0.87180000000000002</v>
      </c>
      <c r="D14689" s="26">
        <v>2.5600000000000001E-2</v>
      </c>
      <c r="E14689" s="26">
        <v>2.5600000000000001E-2</v>
      </c>
      <c r="F14689" s="26">
        <v>5.1299999999999998E-2</v>
      </c>
      <c r="G14689" s="26">
        <v>2.5600000000000001E-2</v>
      </c>
      <c r="J14689" s="26">
        <v>2.5600000000000001E-2</v>
      </c>
      <c r="O14689">
        <v>39</v>
      </c>
    </row>
    <row r="14690" spans="1:15" x14ac:dyDescent="0.35">
      <c r="A14690" t="s">
        <v>227</v>
      </c>
      <c r="B14690" t="s">
        <v>361</v>
      </c>
      <c r="C14690" s="26">
        <v>0.9</v>
      </c>
      <c r="E14690" s="26">
        <v>6.6699999999999995E-2</v>
      </c>
      <c r="I14690" s="26">
        <v>3.3300000000000003E-2</v>
      </c>
      <c r="O14690">
        <v>30</v>
      </c>
    </row>
    <row r="14691" spans="1:15" x14ac:dyDescent="0.35">
      <c r="A14691" t="s">
        <v>227</v>
      </c>
      <c r="B14691" t="s">
        <v>362</v>
      </c>
      <c r="C14691" s="26">
        <v>0.7429</v>
      </c>
      <c r="D14691" s="26">
        <v>2.86E-2</v>
      </c>
      <c r="E14691" s="26">
        <v>0.1143</v>
      </c>
      <c r="F14691" s="26">
        <v>8.5699999999999998E-2</v>
      </c>
      <c r="G14691" s="26">
        <v>5.7099999999999998E-2</v>
      </c>
      <c r="J14691" s="26">
        <v>2.86E-2</v>
      </c>
      <c r="O14691">
        <v>35</v>
      </c>
    </row>
    <row r="14692" spans="1:15" x14ac:dyDescent="0.35">
      <c r="A14692" t="s">
        <v>227</v>
      </c>
      <c r="B14692" t="s">
        <v>363</v>
      </c>
      <c r="C14692" s="26">
        <v>0.86050000000000004</v>
      </c>
      <c r="D14692" s="26">
        <v>4.65E-2</v>
      </c>
      <c r="E14692" s="26">
        <v>6.9800000000000001E-2</v>
      </c>
      <c r="F14692" s="26">
        <v>2.3300000000000001E-2</v>
      </c>
      <c r="O14692">
        <v>43</v>
      </c>
    </row>
    <row r="14693" spans="1:15" x14ac:dyDescent="0.35">
      <c r="A14693" t="s">
        <v>228</v>
      </c>
      <c r="B14693" t="s">
        <v>360</v>
      </c>
      <c r="C14693" s="26">
        <v>0.70569999999999999</v>
      </c>
      <c r="D14693" s="26">
        <v>0.10440000000000001</v>
      </c>
      <c r="E14693" s="26">
        <v>8.3799999999999999E-2</v>
      </c>
      <c r="F14693" s="26">
        <v>8.4500000000000006E-2</v>
      </c>
      <c r="G14693" s="26">
        <v>5.7599999999999998E-2</v>
      </c>
      <c r="H14693" s="26">
        <v>4.53E-2</v>
      </c>
      <c r="I14693" s="26">
        <v>1.7000000000000001E-2</v>
      </c>
      <c r="J14693" s="26">
        <v>1.14E-2</v>
      </c>
      <c r="K14693" s="26">
        <v>2.1399999999999999E-2</v>
      </c>
      <c r="L14693" s="26">
        <v>1.9E-3</v>
      </c>
      <c r="M14693" s="26">
        <v>7.1999999999999998E-3</v>
      </c>
      <c r="O14693">
        <v>256</v>
      </c>
    </row>
    <row r="14694" spans="1:15" x14ac:dyDescent="0.35">
      <c r="A14694" t="s">
        <v>228</v>
      </c>
      <c r="B14694" t="s">
        <v>361</v>
      </c>
      <c r="C14694" s="26">
        <v>0.72760000000000002</v>
      </c>
      <c r="D14694" s="26">
        <v>9.3200000000000005E-2</v>
      </c>
      <c r="E14694" s="26">
        <v>6.9900000000000004E-2</v>
      </c>
      <c r="F14694" s="26">
        <v>9.2200000000000004E-2</v>
      </c>
      <c r="G14694" s="26">
        <v>1.5599999999999999E-2</v>
      </c>
      <c r="H14694" s="26">
        <v>2.5000000000000001E-2</v>
      </c>
      <c r="I14694" s="26">
        <v>3.5000000000000001E-3</v>
      </c>
      <c r="J14694" s="26">
        <v>1.21E-2</v>
      </c>
      <c r="K14694" s="26">
        <v>3.04E-2</v>
      </c>
      <c r="M14694" s="26">
        <v>2.2200000000000001E-2</v>
      </c>
      <c r="O14694">
        <v>193</v>
      </c>
    </row>
    <row r="14695" spans="1:15" x14ac:dyDescent="0.35">
      <c r="A14695" t="s">
        <v>228</v>
      </c>
      <c r="B14695" t="s">
        <v>363</v>
      </c>
      <c r="C14695" s="26">
        <v>0.77</v>
      </c>
      <c r="D14695" s="26">
        <v>0.13439999999999999</v>
      </c>
      <c r="E14695" s="26">
        <v>2.9399999999999999E-2</v>
      </c>
      <c r="F14695" s="26">
        <v>3.3399999999999999E-2</v>
      </c>
      <c r="G14695" s="26">
        <v>2.8500000000000001E-2</v>
      </c>
      <c r="H14695" s="26">
        <v>1.7000000000000001E-2</v>
      </c>
      <c r="I14695" s="26">
        <v>2.1299999999999999E-2</v>
      </c>
      <c r="J14695" s="26">
        <v>7.6E-3</v>
      </c>
      <c r="K14695" s="26">
        <v>3.5000000000000001E-3</v>
      </c>
      <c r="L14695" s="26">
        <v>1.8E-3</v>
      </c>
      <c r="M14695" s="26">
        <v>3.5000000000000001E-3</v>
      </c>
      <c r="O14695">
        <v>208</v>
      </c>
    </row>
    <row r="14696" spans="1:15" x14ac:dyDescent="0.35">
      <c r="A14696" t="s">
        <v>228</v>
      </c>
      <c r="B14696" t="s">
        <v>362</v>
      </c>
      <c r="C14696" s="26">
        <v>0.76470000000000005</v>
      </c>
      <c r="D14696" s="26">
        <v>9.2100000000000001E-2</v>
      </c>
      <c r="E14696" s="26">
        <v>4.7300000000000002E-2</v>
      </c>
      <c r="F14696" s="26">
        <v>7.0800000000000002E-2</v>
      </c>
      <c r="G14696" s="26">
        <v>2.76E-2</v>
      </c>
      <c r="H14696" s="26">
        <v>3.3099999999999997E-2</v>
      </c>
      <c r="I14696" s="26">
        <v>4.7000000000000002E-3</v>
      </c>
      <c r="J14696" s="26">
        <v>1.7999999999999999E-2</v>
      </c>
      <c r="K14696" s="26">
        <v>1.03E-2</v>
      </c>
      <c r="O14696">
        <v>234</v>
      </c>
    </row>
    <row r="14697" spans="1:15" x14ac:dyDescent="0.35">
      <c r="A14697" t="s">
        <v>229</v>
      </c>
      <c r="B14697" t="s">
        <v>363</v>
      </c>
      <c r="C14697" s="26">
        <v>0.78290000000000004</v>
      </c>
      <c r="D14697" s="26">
        <v>7.5300000000000006E-2</v>
      </c>
      <c r="E14697" s="26">
        <v>3.4599999999999999E-2</v>
      </c>
      <c r="F14697" s="26">
        <v>9.7500000000000003E-2</v>
      </c>
      <c r="G14697" s="26">
        <v>1.37E-2</v>
      </c>
      <c r="H14697" s="26">
        <v>1.14E-2</v>
      </c>
      <c r="I14697" s="26">
        <v>4.4999999999999997E-3</v>
      </c>
      <c r="J14697" s="26">
        <v>1.8700000000000001E-2</v>
      </c>
      <c r="M14697" s="26">
        <v>1.8E-3</v>
      </c>
      <c r="O14697">
        <v>191</v>
      </c>
    </row>
    <row r="14698" spans="1:15" x14ac:dyDescent="0.35">
      <c r="A14698" t="s">
        <v>229</v>
      </c>
      <c r="B14698" t="s">
        <v>360</v>
      </c>
      <c r="C14698" s="26">
        <v>0.81210000000000004</v>
      </c>
      <c r="D14698" s="26">
        <v>7.5999999999999998E-2</v>
      </c>
      <c r="E14698" s="26">
        <v>2.01E-2</v>
      </c>
      <c r="F14698" s="26">
        <v>2.2000000000000001E-3</v>
      </c>
      <c r="G14698" s="26">
        <v>3.5799999999999998E-2</v>
      </c>
      <c r="H14698" s="26">
        <v>7.3000000000000001E-3</v>
      </c>
      <c r="I14698" s="26">
        <v>5.1000000000000004E-3</v>
      </c>
      <c r="K14698" s="26">
        <v>2.23E-2</v>
      </c>
      <c r="L14698" s="26">
        <v>1.1000000000000001E-3</v>
      </c>
      <c r="M14698" s="26">
        <v>3.3E-3</v>
      </c>
      <c r="N14698" s="26">
        <v>1.6799999999999999E-2</v>
      </c>
      <c r="O14698">
        <v>161</v>
      </c>
    </row>
    <row r="14699" spans="1:15" x14ac:dyDescent="0.35">
      <c r="A14699" t="s">
        <v>229</v>
      </c>
      <c r="B14699" t="s">
        <v>361</v>
      </c>
      <c r="C14699" s="26">
        <v>0.86119999999999997</v>
      </c>
      <c r="D14699" s="26">
        <v>7.2900000000000006E-2</v>
      </c>
      <c r="F14699" s="26">
        <v>3.1099999999999999E-2</v>
      </c>
      <c r="G14699" s="26">
        <v>7.3000000000000001E-3</v>
      </c>
      <c r="H14699" s="26">
        <v>1.0800000000000001E-2</v>
      </c>
      <c r="J14699" s="26">
        <v>8.2000000000000007E-3</v>
      </c>
      <c r="K14699" s="26">
        <v>1.01E-2</v>
      </c>
      <c r="L14699" s="26">
        <v>1.5599999999999999E-2</v>
      </c>
      <c r="M14699" s="26">
        <v>5.0000000000000001E-4</v>
      </c>
      <c r="O14699">
        <v>235</v>
      </c>
    </row>
    <row r="14700" spans="1:15" x14ac:dyDescent="0.35">
      <c r="A14700" t="s">
        <v>229</v>
      </c>
      <c r="B14700" t="s">
        <v>362</v>
      </c>
      <c r="C14700" s="26">
        <v>0.74299999999999999</v>
      </c>
      <c r="D14700" s="26">
        <v>0.151</v>
      </c>
      <c r="E14700" s="26">
        <v>1.5599999999999999E-2</v>
      </c>
      <c r="F14700" s="26">
        <v>8.2100000000000006E-2</v>
      </c>
      <c r="G14700" s="26">
        <v>3.6400000000000002E-2</v>
      </c>
      <c r="H14700" s="26">
        <v>2.3900000000000001E-2</v>
      </c>
      <c r="I14700" s="26">
        <v>2.5999999999999999E-2</v>
      </c>
      <c r="K14700" s="26">
        <v>1.5599999999999999E-2</v>
      </c>
      <c r="O14700">
        <v>167</v>
      </c>
    </row>
    <row r="14701" spans="1:15" x14ac:dyDescent="0.35">
      <c r="A14701" t="s">
        <v>230</v>
      </c>
      <c r="B14701" t="s">
        <v>360</v>
      </c>
      <c r="C14701" s="26">
        <v>0.73629999999999995</v>
      </c>
      <c r="D14701" s="26">
        <v>8.9200000000000002E-2</v>
      </c>
      <c r="E14701" s="26">
        <v>2.98E-2</v>
      </c>
      <c r="F14701" s="26">
        <v>3.5900000000000001E-2</v>
      </c>
      <c r="G14701" s="26">
        <v>3.1300000000000001E-2</v>
      </c>
      <c r="H14701" s="26">
        <v>9.4999999999999998E-3</v>
      </c>
      <c r="I14701" s="26">
        <v>3.9800000000000002E-2</v>
      </c>
      <c r="J14701" s="26">
        <v>1.5E-3</v>
      </c>
      <c r="K14701" s="26">
        <v>3.0000000000000001E-3</v>
      </c>
      <c r="L14701" s="26">
        <v>2.98E-2</v>
      </c>
      <c r="O14701">
        <v>117</v>
      </c>
    </row>
    <row r="14702" spans="1:15" x14ac:dyDescent="0.35">
      <c r="A14702" t="s">
        <v>230</v>
      </c>
      <c r="B14702" t="s">
        <v>363</v>
      </c>
      <c r="C14702" s="26">
        <v>0.72399999999999998</v>
      </c>
      <c r="D14702" s="26">
        <v>4.7899999999999998E-2</v>
      </c>
      <c r="E14702" s="26">
        <v>7.3800000000000004E-2</v>
      </c>
      <c r="F14702" s="26">
        <v>0.10390000000000001</v>
      </c>
      <c r="G14702" s="26">
        <v>1.1900000000000001E-2</v>
      </c>
      <c r="H14702" s="26">
        <v>1.6799999999999999E-2</v>
      </c>
      <c r="I14702" s="26">
        <v>3.1600000000000003E-2</v>
      </c>
      <c r="J14702" s="26">
        <v>2.3800000000000002E-2</v>
      </c>
      <c r="O14702">
        <v>124</v>
      </c>
    </row>
    <row r="14703" spans="1:15" x14ac:dyDescent="0.35">
      <c r="A14703" t="s">
        <v>230</v>
      </c>
      <c r="B14703" t="s">
        <v>361</v>
      </c>
      <c r="C14703" s="26">
        <v>0.8508</v>
      </c>
      <c r="D14703" s="26">
        <v>3.1300000000000001E-2</v>
      </c>
      <c r="E14703" s="26">
        <v>4.3700000000000003E-2</v>
      </c>
      <c r="F14703" s="26">
        <v>5.0500000000000003E-2</v>
      </c>
      <c r="G14703" s="26">
        <v>2.46E-2</v>
      </c>
      <c r="H14703" s="26">
        <v>2.2000000000000001E-3</v>
      </c>
      <c r="I14703" s="26">
        <v>2.1299999999999999E-2</v>
      </c>
      <c r="K14703" s="26">
        <v>5.7000000000000002E-3</v>
      </c>
      <c r="M14703" s="26">
        <v>1.1000000000000001E-3</v>
      </c>
      <c r="O14703">
        <v>108</v>
      </c>
    </row>
    <row r="14704" spans="1:15" x14ac:dyDescent="0.35">
      <c r="A14704" t="s">
        <v>230</v>
      </c>
      <c r="B14704" t="s">
        <v>362</v>
      </c>
      <c r="C14704" s="26">
        <v>0.81340000000000001</v>
      </c>
      <c r="D14704" s="26">
        <v>0.12670000000000001</v>
      </c>
      <c r="E14704" s="26">
        <v>2.47E-2</v>
      </c>
      <c r="F14704" s="26">
        <v>5.7000000000000002E-3</v>
      </c>
      <c r="G14704" s="26">
        <v>2.2000000000000001E-3</v>
      </c>
      <c r="H14704" s="26">
        <v>7.9000000000000008E-3</v>
      </c>
      <c r="I14704" s="26">
        <v>1.1000000000000001E-3</v>
      </c>
      <c r="J14704" s="26">
        <v>2.2599999999999999E-2</v>
      </c>
      <c r="O14704">
        <v>147</v>
      </c>
    </row>
    <row r="14705" spans="1:15" x14ac:dyDescent="0.35">
      <c r="A14705" s="27" t="s">
        <v>231</v>
      </c>
      <c r="B14705" s="27" t="s">
        <v>362</v>
      </c>
      <c r="C14705" s="28">
        <v>0.89659999999999995</v>
      </c>
      <c r="D14705" s="29"/>
      <c r="E14705" s="28">
        <v>6.9000000000000006E-2</v>
      </c>
      <c r="F14705" s="29"/>
      <c r="G14705" s="29"/>
      <c r="H14705" s="28">
        <v>3.4500000000000003E-2</v>
      </c>
      <c r="I14705" s="29"/>
      <c r="J14705" s="28">
        <v>3.4500000000000003E-2</v>
      </c>
      <c r="K14705" s="29"/>
      <c r="L14705" s="29"/>
      <c r="M14705" s="29"/>
      <c r="N14705" s="29"/>
      <c r="O14705" s="29" t="s">
        <v>329</v>
      </c>
    </row>
    <row r="14706" spans="1:15" x14ac:dyDescent="0.35">
      <c r="A14706" t="s">
        <v>231</v>
      </c>
      <c r="B14706" t="s">
        <v>361</v>
      </c>
      <c r="C14706" s="26">
        <v>0.9</v>
      </c>
      <c r="D14706" s="26">
        <v>0.04</v>
      </c>
      <c r="G14706" s="26">
        <v>0.02</v>
      </c>
      <c r="H14706" s="26">
        <v>0.02</v>
      </c>
      <c r="I14706" s="26">
        <v>0.02</v>
      </c>
      <c r="L14706" s="26">
        <v>0.02</v>
      </c>
      <c r="O14706">
        <v>50</v>
      </c>
    </row>
    <row r="14707" spans="1:15" x14ac:dyDescent="0.35">
      <c r="A14707" t="s">
        <v>231</v>
      </c>
      <c r="B14707" t="s">
        <v>360</v>
      </c>
      <c r="C14707" s="26">
        <v>0.83720000000000006</v>
      </c>
      <c r="D14707" s="26">
        <v>6.9800000000000001E-2</v>
      </c>
      <c r="E14707" s="26">
        <v>6.9800000000000001E-2</v>
      </c>
      <c r="J14707" s="26">
        <v>2.3300000000000001E-2</v>
      </c>
      <c r="O14707">
        <v>43</v>
      </c>
    </row>
    <row r="14708" spans="1:15" x14ac:dyDescent="0.35">
      <c r="A14708" s="27" t="s">
        <v>231</v>
      </c>
      <c r="B14708" s="27" t="s">
        <v>363</v>
      </c>
      <c r="C14708" s="28">
        <v>0.69230000000000003</v>
      </c>
      <c r="D14708" s="28">
        <v>3.85E-2</v>
      </c>
      <c r="E14708" s="28">
        <v>0.1154</v>
      </c>
      <c r="F14708" s="28">
        <v>7.6899999999999996E-2</v>
      </c>
      <c r="G14708" s="28">
        <v>3.85E-2</v>
      </c>
      <c r="H14708" s="28">
        <v>3.85E-2</v>
      </c>
      <c r="I14708" s="28">
        <v>3.85E-2</v>
      </c>
      <c r="J14708" s="29"/>
      <c r="K14708" s="28">
        <v>3.85E-2</v>
      </c>
      <c r="L14708" s="29"/>
      <c r="M14708" s="29"/>
      <c r="N14708" s="29"/>
      <c r="O14708" s="29" t="s">
        <v>357</v>
      </c>
    </row>
    <row r="14709" spans="1:15" x14ac:dyDescent="0.35">
      <c r="A14709" t="s">
        <v>232</v>
      </c>
      <c r="B14709" t="s">
        <v>232</v>
      </c>
      <c r="C14709" s="26">
        <v>0.80920000000000003</v>
      </c>
      <c r="D14709" s="26">
        <v>6.9000000000000006E-2</v>
      </c>
      <c r="E14709" s="26">
        <v>4.3400000000000001E-2</v>
      </c>
      <c r="F14709" s="26">
        <v>3.8899999999999997E-2</v>
      </c>
      <c r="G14709" s="26">
        <v>1.89E-2</v>
      </c>
      <c r="H14709" s="26">
        <v>1.52E-2</v>
      </c>
      <c r="I14709" s="26">
        <v>1.3100000000000001E-2</v>
      </c>
      <c r="J14709" s="26">
        <v>1.11E-2</v>
      </c>
      <c r="K14709" s="26">
        <v>7.7999999999999996E-3</v>
      </c>
      <c r="L14709" s="26">
        <v>5.7999999999999996E-3</v>
      </c>
      <c r="M14709" s="26">
        <v>2E-3</v>
      </c>
      <c r="N14709" s="26">
        <v>1.6000000000000001E-3</v>
      </c>
      <c r="O14709">
        <v>2436</v>
      </c>
    </row>
    <row r="14711" spans="1:15" x14ac:dyDescent="0.35">
      <c r="A14711" s="1" t="s">
        <v>1609</v>
      </c>
    </row>
    <row r="14712" spans="1:15" x14ac:dyDescent="0.35">
      <c r="A14712" t="s">
        <v>219</v>
      </c>
      <c r="B14712" t="s">
        <v>305</v>
      </c>
      <c r="C14712" t="s">
        <v>550</v>
      </c>
      <c r="D14712" t="s">
        <v>1596</v>
      </c>
      <c r="E14712" t="s">
        <v>1597</v>
      </c>
      <c r="F14712" t="s">
        <v>1598</v>
      </c>
      <c r="G14712" t="s">
        <v>1599</v>
      </c>
      <c r="H14712" t="s">
        <v>1600</v>
      </c>
      <c r="I14712" t="s">
        <v>281</v>
      </c>
      <c r="J14712" t="s">
        <v>1601</v>
      </c>
      <c r="K14712" t="s">
        <v>1602</v>
      </c>
      <c r="L14712" t="s">
        <v>1603</v>
      </c>
      <c r="M14712" t="s">
        <v>1604</v>
      </c>
      <c r="N14712" t="s">
        <v>286</v>
      </c>
      <c r="O14712" t="s">
        <v>226</v>
      </c>
    </row>
    <row r="14713" spans="1:15" x14ac:dyDescent="0.35">
      <c r="A14713" t="s">
        <v>227</v>
      </c>
      <c r="B14713" t="s">
        <v>267</v>
      </c>
      <c r="C14713" s="26">
        <v>0.88890000000000002</v>
      </c>
      <c r="E14713" s="26">
        <v>2.7799999999999998E-2</v>
      </c>
      <c r="F14713" s="26">
        <v>5.5599999999999997E-2</v>
      </c>
      <c r="G14713" s="26">
        <v>2.7799999999999998E-2</v>
      </c>
      <c r="I14713" s="26">
        <v>2.7799999999999998E-2</v>
      </c>
      <c r="O14713">
        <v>36</v>
      </c>
    </row>
    <row r="14714" spans="1:15" x14ac:dyDescent="0.35">
      <c r="A14714" t="s">
        <v>227</v>
      </c>
      <c r="B14714" t="s">
        <v>266</v>
      </c>
      <c r="C14714" s="26">
        <v>0.85709999999999997</v>
      </c>
      <c r="D14714" s="26">
        <v>1.7899999999999999E-2</v>
      </c>
      <c r="E14714" s="26">
        <v>8.9300000000000004E-2</v>
      </c>
      <c r="F14714" s="26">
        <v>1.7899999999999999E-2</v>
      </c>
      <c r="G14714" s="26">
        <v>1.7899999999999999E-2</v>
      </c>
      <c r="O14714">
        <v>56</v>
      </c>
    </row>
    <row r="14715" spans="1:15" x14ac:dyDescent="0.35">
      <c r="A14715" t="s">
        <v>227</v>
      </c>
      <c r="B14715" t="s">
        <v>265</v>
      </c>
      <c r="C14715" s="26">
        <v>0.82540000000000002</v>
      </c>
      <c r="D14715" s="26">
        <v>4.7600000000000003E-2</v>
      </c>
      <c r="E14715" s="26">
        <v>6.3500000000000001E-2</v>
      </c>
      <c r="F14715" s="26">
        <v>4.7600000000000003E-2</v>
      </c>
      <c r="G14715" s="26">
        <v>1.5900000000000001E-2</v>
      </c>
      <c r="J14715" s="26">
        <v>3.1699999999999999E-2</v>
      </c>
      <c r="O14715">
        <v>63</v>
      </c>
    </row>
    <row r="14716" spans="1:15" x14ac:dyDescent="0.35">
      <c r="A14716" t="s">
        <v>228</v>
      </c>
      <c r="B14716" t="s">
        <v>267</v>
      </c>
      <c r="C14716" s="26">
        <v>0.71830000000000005</v>
      </c>
      <c r="D14716" s="26">
        <v>0.12239999999999999</v>
      </c>
      <c r="E14716" s="26">
        <v>5.4899999999999997E-2</v>
      </c>
      <c r="F14716" s="26">
        <v>5.57E-2</v>
      </c>
      <c r="G14716" s="26">
        <v>1.41E-2</v>
      </c>
      <c r="H14716" s="26">
        <v>3.6700000000000003E-2</v>
      </c>
      <c r="I14716" s="26">
        <v>7.6E-3</v>
      </c>
      <c r="J14716" s="26">
        <v>2.5000000000000001E-3</v>
      </c>
      <c r="K14716" s="26">
        <v>2.1700000000000001E-2</v>
      </c>
      <c r="M14716" s="26">
        <v>2.5000000000000001E-3</v>
      </c>
      <c r="O14716">
        <v>196</v>
      </c>
    </row>
    <row r="14717" spans="1:15" x14ac:dyDescent="0.35">
      <c r="A14717" t="s">
        <v>228</v>
      </c>
      <c r="B14717" t="s">
        <v>265</v>
      </c>
      <c r="C14717" s="26">
        <v>0.76480000000000004</v>
      </c>
      <c r="D14717" s="26">
        <v>9.9400000000000002E-2</v>
      </c>
      <c r="E14717" s="26">
        <v>2.8000000000000001E-2</v>
      </c>
      <c r="F14717" s="26">
        <v>6.2E-2</v>
      </c>
      <c r="G14717" s="26">
        <v>2.3199999999999998E-2</v>
      </c>
      <c r="H14717" s="26">
        <v>2.1700000000000001E-2</v>
      </c>
      <c r="I14717" s="26">
        <v>7.1999999999999998E-3</v>
      </c>
      <c r="J14717" s="26">
        <v>1.55E-2</v>
      </c>
      <c r="K14717" s="26">
        <v>1.7899999999999999E-2</v>
      </c>
      <c r="M14717" s="26">
        <v>1.2800000000000001E-2</v>
      </c>
      <c r="N14717" s="26">
        <v>8.0999999999999996E-3</v>
      </c>
      <c r="O14717">
        <v>377</v>
      </c>
    </row>
    <row r="14718" spans="1:15" x14ac:dyDescent="0.35">
      <c r="A14718" s="27" t="s">
        <v>228</v>
      </c>
      <c r="B14718" s="27" t="s">
        <v>236</v>
      </c>
      <c r="C14718" s="28">
        <v>0.5</v>
      </c>
      <c r="D14718" s="28">
        <v>0.5</v>
      </c>
      <c r="E14718" s="29"/>
      <c r="F14718" s="29"/>
      <c r="G14718" s="29"/>
      <c r="H14718" s="29"/>
      <c r="I14718" s="29"/>
      <c r="J14718" s="29"/>
      <c r="K14718" s="29"/>
      <c r="L14718" s="29"/>
      <c r="M14718" s="29"/>
      <c r="N14718" s="29"/>
      <c r="O14718" s="29" t="s">
        <v>314</v>
      </c>
    </row>
    <row r="14719" spans="1:15" x14ac:dyDescent="0.35">
      <c r="A14719" t="s">
        <v>228</v>
      </c>
      <c r="B14719" t="s">
        <v>266</v>
      </c>
      <c r="C14719" s="26">
        <v>0.73309999999999997</v>
      </c>
      <c r="D14719" s="26">
        <v>0.1007</v>
      </c>
      <c r="E14719" s="26">
        <v>7.6399999999999996E-2</v>
      </c>
      <c r="F14719" s="26">
        <v>7.5800000000000006E-2</v>
      </c>
      <c r="G14719" s="26">
        <v>3.9600000000000003E-2</v>
      </c>
      <c r="H14719" s="26">
        <v>3.7499999999999999E-2</v>
      </c>
      <c r="I14719" s="26">
        <v>1.7500000000000002E-2</v>
      </c>
      <c r="J14719" s="26">
        <v>1.8599999999999998E-2</v>
      </c>
      <c r="K14719" s="26">
        <v>1.21E-2</v>
      </c>
      <c r="L14719" s="26">
        <v>1.9E-3</v>
      </c>
      <c r="M14719" s="26">
        <v>5.7000000000000002E-3</v>
      </c>
      <c r="N14719" s="26">
        <v>8.9999999999999998E-4</v>
      </c>
      <c r="O14719">
        <v>445</v>
      </c>
    </row>
    <row r="14720" spans="1:15" x14ac:dyDescent="0.35">
      <c r="A14720" t="s">
        <v>229</v>
      </c>
      <c r="B14720" t="s">
        <v>266</v>
      </c>
      <c r="C14720" s="26">
        <v>0.76600000000000001</v>
      </c>
      <c r="D14720" s="26">
        <v>0.1074</v>
      </c>
      <c r="E14720" s="26">
        <v>1.72E-2</v>
      </c>
      <c r="F14720" s="26">
        <v>9.9699999999999997E-2</v>
      </c>
      <c r="G14720" s="26">
        <v>1.9300000000000001E-2</v>
      </c>
      <c r="H14720" s="26">
        <v>1.7999999999999999E-2</v>
      </c>
      <c r="I14720" s="26">
        <v>2.0400000000000001E-2</v>
      </c>
      <c r="J14720" s="26">
        <v>2.9999999999999997E-4</v>
      </c>
      <c r="K14720" s="26">
        <v>7.7999999999999996E-3</v>
      </c>
      <c r="L14720" s="26">
        <v>8.3999999999999995E-3</v>
      </c>
      <c r="M14720" s="26">
        <v>2.0999999999999999E-3</v>
      </c>
      <c r="N14720" s="26">
        <v>7.7999999999999996E-3</v>
      </c>
      <c r="O14720">
        <v>352</v>
      </c>
    </row>
    <row r="14721" spans="1:15" x14ac:dyDescent="0.35">
      <c r="A14721" t="s">
        <v>229</v>
      </c>
      <c r="B14721" t="s">
        <v>267</v>
      </c>
      <c r="C14721" s="26">
        <v>0.84440000000000004</v>
      </c>
      <c r="D14721" s="26">
        <v>8.0799999999999997E-2</v>
      </c>
      <c r="E14721" s="26">
        <v>2.8799999999999999E-2</v>
      </c>
      <c r="F14721" s="26">
        <v>3.0300000000000001E-2</v>
      </c>
      <c r="G14721" s="26">
        <v>1.2200000000000001E-2</v>
      </c>
      <c r="H14721" s="26">
        <v>8.5000000000000006E-3</v>
      </c>
      <c r="I14721" s="26">
        <v>1.5E-3</v>
      </c>
      <c r="J14721" s="26">
        <v>1.5E-3</v>
      </c>
      <c r="L14721" s="26">
        <v>1.37E-2</v>
      </c>
      <c r="M14721" s="26">
        <v>3.0000000000000001E-3</v>
      </c>
      <c r="O14721">
        <v>200</v>
      </c>
    </row>
    <row r="14722" spans="1:15" x14ac:dyDescent="0.35">
      <c r="A14722" t="s">
        <v>229</v>
      </c>
      <c r="B14722" t="s">
        <v>265</v>
      </c>
      <c r="C14722" s="26">
        <v>0.81920000000000004</v>
      </c>
      <c r="D14722" s="26">
        <v>8.3599999999999994E-2</v>
      </c>
      <c r="E14722" s="26">
        <v>2.07E-2</v>
      </c>
      <c r="F14722" s="26">
        <v>1.03E-2</v>
      </c>
      <c r="G14722" s="26">
        <v>2.3099999999999999E-2</v>
      </c>
      <c r="H14722" s="26">
        <v>8.9999999999999993E-3</v>
      </c>
      <c r="I14722" s="26">
        <v>5.1999999999999998E-3</v>
      </c>
      <c r="J14722" s="26">
        <v>1.38E-2</v>
      </c>
      <c r="K14722" s="26">
        <v>1.61E-2</v>
      </c>
      <c r="L14722" s="26">
        <v>4.0000000000000002E-4</v>
      </c>
      <c r="N14722" s="26">
        <v>8.0000000000000004E-4</v>
      </c>
      <c r="O14722">
        <v>325</v>
      </c>
    </row>
    <row r="14723" spans="1:15" x14ac:dyDescent="0.35">
      <c r="A14723" t="s">
        <v>230</v>
      </c>
      <c r="B14723" t="s">
        <v>267</v>
      </c>
      <c r="C14723" s="26">
        <v>0.82069999999999999</v>
      </c>
      <c r="D14723" s="26">
        <v>8.6499999999999994E-2</v>
      </c>
      <c r="E14723" s="26">
        <v>5.3100000000000001E-2</v>
      </c>
      <c r="F14723" s="26">
        <v>2.8400000000000002E-2</v>
      </c>
      <c r="G14723" s="26">
        <v>1.0800000000000001E-2</v>
      </c>
      <c r="H14723" s="26">
        <v>6.7000000000000002E-3</v>
      </c>
      <c r="K14723" s="26">
        <v>1.2999999999999999E-3</v>
      </c>
      <c r="O14723">
        <v>117</v>
      </c>
    </row>
    <row r="14724" spans="1:15" x14ac:dyDescent="0.35">
      <c r="A14724" t="s">
        <v>230</v>
      </c>
      <c r="B14724" t="s">
        <v>266</v>
      </c>
      <c r="C14724" s="26">
        <v>0.82110000000000005</v>
      </c>
      <c r="D14724" s="26">
        <v>7.0599999999999996E-2</v>
      </c>
      <c r="E14724" s="26">
        <v>1.7000000000000001E-2</v>
      </c>
      <c r="F14724" s="26">
        <v>4.0599999999999997E-2</v>
      </c>
      <c r="G14724" s="26">
        <v>7.4999999999999997E-3</v>
      </c>
      <c r="H14724" s="26">
        <v>1.0500000000000001E-2</v>
      </c>
      <c r="I14724" s="26">
        <v>2.3900000000000001E-2</v>
      </c>
      <c r="J14724" s="26">
        <v>1.6199999999999999E-2</v>
      </c>
      <c r="O14724">
        <v>228</v>
      </c>
    </row>
    <row r="14725" spans="1:15" x14ac:dyDescent="0.35">
      <c r="A14725" t="s">
        <v>230</v>
      </c>
      <c r="B14725" t="s">
        <v>265</v>
      </c>
      <c r="C14725" s="26">
        <v>0.76639999999999997</v>
      </c>
      <c r="D14725" s="26">
        <v>6.0100000000000001E-2</v>
      </c>
      <c r="E14725" s="26">
        <v>5.2200000000000003E-2</v>
      </c>
      <c r="F14725" s="26">
        <v>5.6899999999999999E-2</v>
      </c>
      <c r="G14725" s="26">
        <v>2.64E-2</v>
      </c>
      <c r="H14725" s="26">
        <v>6.8999999999999999E-3</v>
      </c>
      <c r="I14725" s="26">
        <v>3.2199999999999999E-2</v>
      </c>
      <c r="J14725" s="26">
        <v>1.35E-2</v>
      </c>
      <c r="K14725" s="26">
        <v>4.1000000000000003E-3</v>
      </c>
      <c r="L14725" s="26">
        <v>1.29E-2</v>
      </c>
      <c r="M14725" s="26">
        <v>6.9999999999999999E-4</v>
      </c>
      <c r="O14725">
        <v>207</v>
      </c>
    </row>
    <row r="14726" spans="1:15" x14ac:dyDescent="0.35">
      <c r="A14726" t="s">
        <v>231</v>
      </c>
      <c r="B14726" t="s">
        <v>267</v>
      </c>
      <c r="C14726" s="26">
        <v>0.82350000000000001</v>
      </c>
      <c r="D14726" s="26">
        <v>2.9399999999999999E-2</v>
      </c>
      <c r="F14726" s="26">
        <v>2.9399999999999999E-2</v>
      </c>
      <c r="H14726" s="26">
        <v>2.9399999999999999E-2</v>
      </c>
      <c r="I14726" s="26">
        <v>5.8799999999999998E-2</v>
      </c>
      <c r="K14726" s="26">
        <v>2.9399999999999999E-2</v>
      </c>
      <c r="L14726" s="26">
        <v>2.9399999999999999E-2</v>
      </c>
      <c r="O14726">
        <v>34</v>
      </c>
    </row>
    <row r="14727" spans="1:15" x14ac:dyDescent="0.35">
      <c r="A14727" t="s">
        <v>231</v>
      </c>
      <c r="B14727" t="s">
        <v>266</v>
      </c>
      <c r="C14727" s="26">
        <v>0.83609999999999995</v>
      </c>
      <c r="D14727" s="26">
        <v>3.2800000000000003E-2</v>
      </c>
      <c r="E14727" s="26">
        <v>9.8400000000000001E-2</v>
      </c>
      <c r="G14727" s="26">
        <v>1.6400000000000001E-2</v>
      </c>
      <c r="H14727" s="26">
        <v>1.6400000000000001E-2</v>
      </c>
      <c r="J14727" s="26">
        <v>1.6400000000000001E-2</v>
      </c>
      <c r="O14727">
        <v>61</v>
      </c>
    </row>
    <row r="14728" spans="1:15" x14ac:dyDescent="0.35">
      <c r="A14728" t="s">
        <v>231</v>
      </c>
      <c r="B14728" t="s">
        <v>265</v>
      </c>
      <c r="C14728" s="26">
        <v>0.85070000000000001</v>
      </c>
      <c r="D14728" s="26">
        <v>5.9700000000000003E-2</v>
      </c>
      <c r="E14728" s="26">
        <v>2.9899999999999999E-2</v>
      </c>
      <c r="F14728" s="26">
        <v>1.49E-2</v>
      </c>
      <c r="G14728" s="26">
        <v>1.49E-2</v>
      </c>
      <c r="H14728" s="26">
        <v>1.49E-2</v>
      </c>
      <c r="I14728" s="26">
        <v>1.49E-2</v>
      </c>
      <c r="J14728" s="26">
        <v>1.49E-2</v>
      </c>
      <c r="L14728" s="26">
        <v>1.49E-2</v>
      </c>
      <c r="O14728">
        <v>67</v>
      </c>
    </row>
    <row r="14729" spans="1:15" x14ac:dyDescent="0.35">
      <c r="A14729" t="s">
        <v>232</v>
      </c>
      <c r="B14729" t="s">
        <v>232</v>
      </c>
      <c r="C14729" s="26">
        <v>0.80920000000000003</v>
      </c>
      <c r="D14729" s="26">
        <v>6.9000000000000006E-2</v>
      </c>
      <c r="E14729" s="26">
        <v>4.3400000000000001E-2</v>
      </c>
      <c r="F14729" s="26">
        <v>3.8899999999999997E-2</v>
      </c>
      <c r="G14729" s="26">
        <v>1.89E-2</v>
      </c>
      <c r="H14729" s="26">
        <v>1.52E-2</v>
      </c>
      <c r="I14729" s="26">
        <v>1.3100000000000001E-2</v>
      </c>
      <c r="J14729" s="26">
        <v>1.11E-2</v>
      </c>
      <c r="K14729" s="26">
        <v>7.7999999999999996E-3</v>
      </c>
      <c r="L14729" s="26">
        <v>5.7999999999999996E-3</v>
      </c>
      <c r="M14729" s="26">
        <v>2E-3</v>
      </c>
      <c r="N14729" s="26">
        <v>1.6000000000000001E-3</v>
      </c>
      <c r="O14729">
        <v>2766</v>
      </c>
    </row>
    <row r="14731" spans="1:15" x14ac:dyDescent="0.35">
      <c r="A14731" s="1" t="s">
        <v>1610</v>
      </c>
    </row>
    <row r="14732" spans="1:15" x14ac:dyDescent="0.35">
      <c r="A14732" t="s">
        <v>219</v>
      </c>
      <c r="B14732" t="s">
        <v>305</v>
      </c>
      <c r="C14732" t="s">
        <v>550</v>
      </c>
      <c r="D14732" t="s">
        <v>1596</v>
      </c>
      <c r="E14732" t="s">
        <v>1597</v>
      </c>
      <c r="F14732" t="s">
        <v>1598</v>
      </c>
      <c r="G14732" t="s">
        <v>1599</v>
      </c>
      <c r="H14732" t="s">
        <v>1600</v>
      </c>
      <c r="I14732" t="s">
        <v>281</v>
      </c>
      <c r="J14732" t="s">
        <v>1601</v>
      </c>
      <c r="K14732" t="s">
        <v>1602</v>
      </c>
      <c r="L14732" t="s">
        <v>1603</v>
      </c>
      <c r="M14732" t="s">
        <v>1604</v>
      </c>
      <c r="N14732" t="s">
        <v>286</v>
      </c>
      <c r="O14732" t="s">
        <v>226</v>
      </c>
    </row>
    <row r="14733" spans="1:15" x14ac:dyDescent="0.35">
      <c r="A14733" t="s">
        <v>227</v>
      </c>
      <c r="B14733" t="s">
        <v>252</v>
      </c>
      <c r="C14733" s="26">
        <v>0.72729999999999995</v>
      </c>
      <c r="D14733" s="26">
        <v>4.5499999999999999E-2</v>
      </c>
      <c r="E14733" s="26">
        <v>9.0899999999999995E-2</v>
      </c>
      <c r="F14733" s="26">
        <v>0.11360000000000001</v>
      </c>
      <c r="G14733" s="26">
        <v>4.5499999999999999E-2</v>
      </c>
      <c r="J14733" s="26">
        <v>2.2700000000000001E-2</v>
      </c>
      <c r="O14733">
        <v>44</v>
      </c>
    </row>
    <row r="14734" spans="1:15" x14ac:dyDescent="0.35">
      <c r="A14734" t="s">
        <v>227</v>
      </c>
      <c r="B14734" t="s">
        <v>253</v>
      </c>
      <c r="C14734" s="26">
        <v>0.875</v>
      </c>
      <c r="E14734" s="26">
        <v>9.3799999999999994E-2</v>
      </c>
      <c r="J14734" s="26">
        <v>3.1199999999999999E-2</v>
      </c>
      <c r="O14734">
        <v>32</v>
      </c>
    </row>
    <row r="14735" spans="1:15" x14ac:dyDescent="0.35">
      <c r="A14735" t="s">
        <v>227</v>
      </c>
      <c r="B14735" t="s">
        <v>251</v>
      </c>
      <c r="C14735" s="26">
        <v>0.91139999999999999</v>
      </c>
      <c r="D14735" s="26">
        <v>2.53E-2</v>
      </c>
      <c r="E14735" s="26">
        <v>3.7999999999999999E-2</v>
      </c>
      <c r="F14735" s="26">
        <v>1.2699999999999999E-2</v>
      </c>
      <c r="G14735" s="26">
        <v>1.2699999999999999E-2</v>
      </c>
      <c r="I14735" s="26">
        <v>1.2699999999999999E-2</v>
      </c>
      <c r="O14735">
        <v>79</v>
      </c>
    </row>
    <row r="14736" spans="1:15" x14ac:dyDescent="0.35">
      <c r="A14736" t="s">
        <v>228</v>
      </c>
      <c r="B14736" t="s">
        <v>252</v>
      </c>
      <c r="C14736" s="26">
        <v>0.69310000000000005</v>
      </c>
      <c r="D14736" s="26">
        <v>0.14499999999999999</v>
      </c>
      <c r="E14736" s="26">
        <v>4.6899999999999997E-2</v>
      </c>
      <c r="F14736" s="26">
        <v>7.2999999999999995E-2</v>
      </c>
      <c r="G14736" s="26">
        <v>3.0200000000000001E-2</v>
      </c>
      <c r="H14736" s="26">
        <v>2.9000000000000001E-2</v>
      </c>
      <c r="I14736" s="26">
        <v>1.6400000000000001E-2</v>
      </c>
      <c r="J14736" s="26">
        <v>2.5399999999999999E-2</v>
      </c>
      <c r="K14736" s="26">
        <v>8.9999999999999993E-3</v>
      </c>
      <c r="M14736" s="26">
        <v>8.0000000000000004E-4</v>
      </c>
      <c r="O14736">
        <v>341</v>
      </c>
    </row>
    <row r="14737" spans="1:15" x14ac:dyDescent="0.35">
      <c r="A14737" t="s">
        <v>228</v>
      </c>
      <c r="B14737" t="s">
        <v>253</v>
      </c>
      <c r="C14737" s="26">
        <v>0.6633</v>
      </c>
      <c r="D14737" s="26">
        <v>0.1273</v>
      </c>
      <c r="E14737" s="26">
        <v>9.8000000000000004E-2</v>
      </c>
      <c r="F14737" s="26">
        <v>9.8100000000000007E-2</v>
      </c>
      <c r="G14737" s="26">
        <v>6.9900000000000004E-2</v>
      </c>
      <c r="H14737" s="26">
        <v>4.1200000000000001E-2</v>
      </c>
      <c r="I14737" s="26">
        <v>2.07E-2</v>
      </c>
      <c r="J14737" s="26">
        <v>9.4999999999999998E-3</v>
      </c>
      <c r="K14737" s="26">
        <v>3.61E-2</v>
      </c>
      <c r="L14737" s="26">
        <v>1.8E-3</v>
      </c>
      <c r="M14737" s="26">
        <v>2.23E-2</v>
      </c>
      <c r="O14737">
        <v>219</v>
      </c>
    </row>
    <row r="14738" spans="1:15" x14ac:dyDescent="0.35">
      <c r="A14738" t="s">
        <v>228</v>
      </c>
      <c r="B14738" t="s">
        <v>251</v>
      </c>
      <c r="C14738" s="26">
        <v>0.80869999999999997</v>
      </c>
      <c r="D14738" s="26">
        <v>7.17E-2</v>
      </c>
      <c r="E14738" s="26">
        <v>3.6200000000000003E-2</v>
      </c>
      <c r="F14738" s="26">
        <v>4.8099999999999997E-2</v>
      </c>
      <c r="G14738" s="26">
        <v>9.2999999999999992E-3</v>
      </c>
      <c r="H14738" s="26">
        <v>2.7099999999999999E-2</v>
      </c>
      <c r="I14738" s="26">
        <v>4.1999999999999997E-3</v>
      </c>
      <c r="J14738" s="26">
        <v>9.4000000000000004E-3</v>
      </c>
      <c r="K14738" s="26">
        <v>1.2200000000000001E-2</v>
      </c>
      <c r="L14738" s="26">
        <v>8.9999999999999998E-4</v>
      </c>
      <c r="M14738" s="26">
        <v>6.8999999999999999E-3</v>
      </c>
      <c r="N14738" s="26">
        <v>7.7999999999999996E-3</v>
      </c>
      <c r="O14738">
        <v>460</v>
      </c>
    </row>
    <row r="14739" spans="1:15" x14ac:dyDescent="0.35">
      <c r="A14739" t="s">
        <v>229</v>
      </c>
      <c r="B14739" t="s">
        <v>252</v>
      </c>
      <c r="C14739" s="26">
        <v>0.76719999999999999</v>
      </c>
      <c r="D14739" s="26">
        <v>0.10920000000000001</v>
      </c>
      <c r="E14739" s="26">
        <v>2.5999999999999999E-2</v>
      </c>
      <c r="F14739" s="26">
        <v>9.0700000000000003E-2</v>
      </c>
      <c r="G14739" s="26">
        <v>2.3800000000000002E-2</v>
      </c>
      <c r="H14739" s="26">
        <v>5.8999999999999999E-3</v>
      </c>
      <c r="I14739" s="26">
        <v>1.34E-2</v>
      </c>
      <c r="N14739" s="26">
        <v>1.12E-2</v>
      </c>
      <c r="O14739">
        <v>199</v>
      </c>
    </row>
    <row r="14740" spans="1:15" x14ac:dyDescent="0.35">
      <c r="A14740" t="s">
        <v>229</v>
      </c>
      <c r="B14740" t="s">
        <v>253</v>
      </c>
      <c r="C14740" s="26">
        <v>0.79269999999999996</v>
      </c>
      <c r="D14740" s="26">
        <v>6.9400000000000003E-2</v>
      </c>
      <c r="E14740" s="26">
        <v>4.8899999999999999E-2</v>
      </c>
      <c r="F14740" s="26">
        <v>3.7100000000000001E-2</v>
      </c>
      <c r="G14740" s="26">
        <v>4.0899999999999999E-2</v>
      </c>
      <c r="H14740" s="26">
        <v>3.5999999999999999E-3</v>
      </c>
      <c r="I14740" s="26">
        <v>7.7000000000000002E-3</v>
      </c>
      <c r="J14740" s="26">
        <v>5.0000000000000001E-4</v>
      </c>
      <c r="L14740" s="26">
        <v>8.9999999999999998E-4</v>
      </c>
      <c r="O14740">
        <v>142</v>
      </c>
    </row>
    <row r="14741" spans="1:15" x14ac:dyDescent="0.35">
      <c r="A14741" t="s">
        <v>229</v>
      </c>
      <c r="B14741" t="s">
        <v>251</v>
      </c>
      <c r="C14741" s="26">
        <v>0.82809999999999995</v>
      </c>
      <c r="D14741" s="26">
        <v>9.0499999999999997E-2</v>
      </c>
      <c r="E14741" s="26">
        <v>1.06E-2</v>
      </c>
      <c r="F14741" s="26">
        <v>2.8000000000000001E-2</v>
      </c>
      <c r="G14741" s="26">
        <v>1.06E-2</v>
      </c>
      <c r="H14741" s="26">
        <v>1.6899999999999998E-2</v>
      </c>
      <c r="I14741" s="26">
        <v>8.3000000000000001E-3</v>
      </c>
      <c r="J14741" s="26">
        <v>1.12E-2</v>
      </c>
      <c r="K14741" s="26">
        <v>1.6799999999999999E-2</v>
      </c>
      <c r="L14741" s="26">
        <v>0.01</v>
      </c>
      <c r="M14741" s="26">
        <v>2.3E-3</v>
      </c>
      <c r="N14741" s="26">
        <v>5.9999999999999995E-4</v>
      </c>
      <c r="O14741">
        <v>536</v>
      </c>
    </row>
    <row r="14742" spans="1:15" x14ac:dyDescent="0.35">
      <c r="A14742" t="s">
        <v>230</v>
      </c>
      <c r="B14742" t="s">
        <v>252</v>
      </c>
      <c r="C14742" s="26">
        <v>0.75209999999999999</v>
      </c>
      <c r="D14742" s="26">
        <v>0.1134</v>
      </c>
      <c r="E14742" s="26">
        <v>4.4200000000000003E-2</v>
      </c>
      <c r="F14742" s="26">
        <v>7.0900000000000005E-2</v>
      </c>
      <c r="G14742" s="26">
        <v>5.3E-3</v>
      </c>
      <c r="H14742" s="26">
        <v>1.37E-2</v>
      </c>
      <c r="I14742" s="26">
        <v>8.0999999999999996E-3</v>
      </c>
      <c r="J14742" s="26">
        <v>2.2100000000000002E-2</v>
      </c>
      <c r="O14742">
        <v>158</v>
      </c>
    </row>
    <row r="14743" spans="1:15" x14ac:dyDescent="0.35">
      <c r="A14743" t="s">
        <v>230</v>
      </c>
      <c r="B14743" t="s">
        <v>253</v>
      </c>
      <c r="C14743" s="26">
        <v>0.76439999999999997</v>
      </c>
      <c r="D14743" s="26">
        <v>0.1082</v>
      </c>
      <c r="E14743" s="26">
        <v>3.0000000000000001E-3</v>
      </c>
      <c r="F14743" s="26">
        <v>7.4700000000000003E-2</v>
      </c>
      <c r="G14743" s="26">
        <v>1.5E-3</v>
      </c>
      <c r="H14743" s="26">
        <v>1.7399999999999999E-2</v>
      </c>
      <c r="I14743" s="26">
        <v>3.9399999999999998E-2</v>
      </c>
      <c r="J14743" s="26">
        <v>1.5E-3</v>
      </c>
      <c r="K14743" s="26">
        <v>9.4000000000000004E-3</v>
      </c>
      <c r="L14743" s="26">
        <v>2.9700000000000001E-2</v>
      </c>
      <c r="M14743" s="26">
        <v>1.5E-3</v>
      </c>
      <c r="O14743">
        <v>106</v>
      </c>
    </row>
    <row r="14744" spans="1:15" x14ac:dyDescent="0.35">
      <c r="A14744" t="s">
        <v>230</v>
      </c>
      <c r="B14744" t="s">
        <v>251</v>
      </c>
      <c r="C14744" s="26">
        <v>0.83020000000000005</v>
      </c>
      <c r="D14744" s="26">
        <v>3.6499999999999998E-2</v>
      </c>
      <c r="E14744" s="26">
        <v>5.0099999999999999E-2</v>
      </c>
      <c r="F14744" s="26">
        <v>2.2800000000000001E-2</v>
      </c>
      <c r="G14744" s="26">
        <v>2.6200000000000001E-2</v>
      </c>
      <c r="H14744" s="26">
        <v>2.5000000000000001E-3</v>
      </c>
      <c r="I14744" s="26">
        <v>2.29E-2</v>
      </c>
      <c r="J14744" s="26">
        <v>9.7999999999999997E-3</v>
      </c>
      <c r="K14744" s="26">
        <v>5.0000000000000001E-4</v>
      </c>
      <c r="O14744">
        <v>288</v>
      </c>
    </row>
    <row r="14745" spans="1:15" x14ac:dyDescent="0.35">
      <c r="A14745" t="s">
        <v>231</v>
      </c>
      <c r="B14745" t="s">
        <v>252</v>
      </c>
      <c r="C14745" s="26">
        <v>0.79590000000000005</v>
      </c>
      <c r="D14745" s="26">
        <v>4.0800000000000003E-2</v>
      </c>
      <c r="E14745" s="26">
        <v>0.12239999999999999</v>
      </c>
      <c r="H14745" s="26">
        <v>2.0400000000000001E-2</v>
      </c>
      <c r="I14745" s="26">
        <v>2.0400000000000001E-2</v>
      </c>
      <c r="L14745" s="26">
        <v>2.0400000000000001E-2</v>
      </c>
      <c r="O14745">
        <v>49</v>
      </c>
    </row>
    <row r="14746" spans="1:15" x14ac:dyDescent="0.35">
      <c r="A14746" s="27" t="s">
        <v>231</v>
      </c>
      <c r="B14746" s="27" t="s">
        <v>253</v>
      </c>
      <c r="C14746" s="28">
        <v>0.89290000000000003</v>
      </c>
      <c r="D14746" s="29"/>
      <c r="E14746" s="29"/>
      <c r="F14746" s="29"/>
      <c r="G14746" s="28">
        <v>3.5700000000000003E-2</v>
      </c>
      <c r="H14746" s="29"/>
      <c r="I14746" s="28">
        <v>3.5700000000000003E-2</v>
      </c>
      <c r="J14746" s="28">
        <v>3.5700000000000003E-2</v>
      </c>
      <c r="K14746" s="29"/>
      <c r="L14746" s="29"/>
      <c r="M14746" s="29"/>
      <c r="N14746" s="29"/>
      <c r="O14746" s="29" t="s">
        <v>336</v>
      </c>
    </row>
    <row r="14747" spans="1:15" x14ac:dyDescent="0.35">
      <c r="A14747" t="s">
        <v>231</v>
      </c>
      <c r="B14747" t="s">
        <v>251</v>
      </c>
      <c r="C14747" s="26">
        <v>0.84709999999999996</v>
      </c>
      <c r="D14747" s="26">
        <v>5.8799999999999998E-2</v>
      </c>
      <c r="E14747" s="26">
        <v>2.35E-2</v>
      </c>
      <c r="F14747" s="26">
        <v>2.35E-2</v>
      </c>
      <c r="G14747" s="26">
        <v>1.18E-2</v>
      </c>
      <c r="H14747" s="26">
        <v>2.35E-2</v>
      </c>
      <c r="I14747" s="26">
        <v>1.18E-2</v>
      </c>
      <c r="J14747" s="26">
        <v>1.18E-2</v>
      </c>
      <c r="K14747" s="26">
        <v>1.18E-2</v>
      </c>
      <c r="L14747" s="26">
        <v>1.18E-2</v>
      </c>
      <c r="O14747">
        <v>85</v>
      </c>
    </row>
    <row r="14748" spans="1:15" x14ac:dyDescent="0.35">
      <c r="A14748" t="s">
        <v>232</v>
      </c>
      <c r="B14748" t="s">
        <v>232</v>
      </c>
      <c r="C14748" s="26">
        <v>0.80920000000000003</v>
      </c>
      <c r="D14748" s="26">
        <v>6.9000000000000006E-2</v>
      </c>
      <c r="E14748" s="26">
        <v>4.3400000000000001E-2</v>
      </c>
      <c r="F14748" s="26">
        <v>3.8899999999999997E-2</v>
      </c>
      <c r="G14748" s="26">
        <v>1.89E-2</v>
      </c>
      <c r="H14748" s="26">
        <v>1.52E-2</v>
      </c>
      <c r="I14748" s="26">
        <v>1.3100000000000001E-2</v>
      </c>
      <c r="J14748" s="26">
        <v>1.11E-2</v>
      </c>
      <c r="K14748" s="26">
        <v>7.7999999999999996E-3</v>
      </c>
      <c r="L14748" s="26">
        <v>5.7999999999999996E-3</v>
      </c>
      <c r="M14748" s="26">
        <v>2E-3</v>
      </c>
      <c r="N14748" s="26">
        <v>1.6000000000000001E-3</v>
      </c>
      <c r="O14748">
        <v>2766</v>
      </c>
    </row>
    <row r="14750" spans="1:15" x14ac:dyDescent="0.35">
      <c r="A14750" s="1" t="s">
        <v>1611</v>
      </c>
    </row>
    <row r="14751" spans="1:15" x14ac:dyDescent="0.35">
      <c r="A14751" t="s">
        <v>219</v>
      </c>
      <c r="B14751" t="s">
        <v>305</v>
      </c>
      <c r="C14751" t="s">
        <v>550</v>
      </c>
      <c r="D14751" t="s">
        <v>1596</v>
      </c>
      <c r="E14751" t="s">
        <v>1597</v>
      </c>
      <c r="F14751" t="s">
        <v>1598</v>
      </c>
      <c r="G14751" t="s">
        <v>1599</v>
      </c>
      <c r="H14751" t="s">
        <v>1600</v>
      </c>
      <c r="I14751" t="s">
        <v>281</v>
      </c>
      <c r="J14751" t="s">
        <v>1601</v>
      </c>
      <c r="K14751" t="s">
        <v>1602</v>
      </c>
      <c r="L14751" t="s">
        <v>1603</v>
      </c>
      <c r="M14751" t="s">
        <v>1604</v>
      </c>
      <c r="N14751" t="s">
        <v>286</v>
      </c>
      <c r="O14751" t="s">
        <v>226</v>
      </c>
    </row>
    <row r="14752" spans="1:15" x14ac:dyDescent="0.35">
      <c r="A14752" t="s">
        <v>227</v>
      </c>
      <c r="B14752" t="s">
        <v>249</v>
      </c>
      <c r="C14752" s="26">
        <v>0.83330000000000004</v>
      </c>
      <c r="D14752" s="26">
        <v>4.7600000000000003E-2</v>
      </c>
      <c r="E14752" s="26">
        <v>9.5200000000000007E-2</v>
      </c>
      <c r="G14752" s="26">
        <v>2.3800000000000002E-2</v>
      </c>
      <c r="O14752">
        <v>42</v>
      </c>
    </row>
    <row r="14753" spans="1:15" x14ac:dyDescent="0.35">
      <c r="A14753" t="s">
        <v>227</v>
      </c>
      <c r="B14753" t="s">
        <v>248</v>
      </c>
      <c r="C14753" s="26">
        <v>0.85840000000000005</v>
      </c>
      <c r="D14753" s="26">
        <v>1.77E-2</v>
      </c>
      <c r="E14753" s="26">
        <v>5.3100000000000001E-2</v>
      </c>
      <c r="F14753" s="26">
        <v>5.3100000000000001E-2</v>
      </c>
      <c r="G14753" s="26">
        <v>1.77E-2</v>
      </c>
      <c r="I14753" s="26">
        <v>8.8000000000000005E-3</v>
      </c>
      <c r="J14753" s="26">
        <v>1.77E-2</v>
      </c>
      <c r="O14753">
        <v>113</v>
      </c>
    </row>
    <row r="14754" spans="1:15" x14ac:dyDescent="0.35">
      <c r="A14754" t="s">
        <v>228</v>
      </c>
      <c r="B14754" t="s">
        <v>249</v>
      </c>
      <c r="C14754" s="26">
        <v>0.79169999999999996</v>
      </c>
      <c r="D14754" s="26">
        <v>6.3899999999999998E-2</v>
      </c>
      <c r="E14754" s="26">
        <v>6.6299999999999998E-2</v>
      </c>
      <c r="F14754" s="26">
        <v>5.8500000000000003E-2</v>
      </c>
      <c r="G14754" s="26">
        <v>2.1000000000000001E-2</v>
      </c>
      <c r="H14754" s="26">
        <v>3.5799999999999998E-2</v>
      </c>
      <c r="I14754" s="26">
        <v>3.0999999999999999E-3</v>
      </c>
      <c r="J14754" s="26">
        <v>8.9999999999999993E-3</v>
      </c>
      <c r="K14754" s="26">
        <v>1.38E-2</v>
      </c>
      <c r="L14754" s="26">
        <v>2.5999999999999999E-3</v>
      </c>
      <c r="M14754" s="26">
        <v>4.7999999999999996E-3</v>
      </c>
      <c r="N14754" s="26">
        <v>1.12E-2</v>
      </c>
      <c r="O14754">
        <v>271</v>
      </c>
    </row>
    <row r="14755" spans="1:15" x14ac:dyDescent="0.35">
      <c r="A14755" t="s">
        <v>228</v>
      </c>
      <c r="B14755" t="s">
        <v>248</v>
      </c>
      <c r="C14755" s="26">
        <v>0.72089999999999999</v>
      </c>
      <c r="D14755" s="26">
        <v>0.12470000000000001</v>
      </c>
      <c r="E14755" s="26">
        <v>4.6100000000000002E-2</v>
      </c>
      <c r="F14755" s="26">
        <v>6.9599999999999995E-2</v>
      </c>
      <c r="G14755" s="26">
        <v>3.1399999999999997E-2</v>
      </c>
      <c r="H14755" s="26">
        <v>2.8299999999999999E-2</v>
      </c>
      <c r="I14755" s="26">
        <v>1.5100000000000001E-2</v>
      </c>
      <c r="J14755" s="26">
        <v>1.6899999999999998E-2</v>
      </c>
      <c r="K14755" s="26">
        <v>1.7000000000000001E-2</v>
      </c>
      <c r="M14755" s="26">
        <v>9.4000000000000004E-3</v>
      </c>
      <c r="N14755" s="26">
        <v>5.0000000000000001E-4</v>
      </c>
      <c r="O14755">
        <v>749</v>
      </c>
    </row>
    <row r="14756" spans="1:15" x14ac:dyDescent="0.35">
      <c r="A14756" t="s">
        <v>229</v>
      </c>
      <c r="B14756" t="s">
        <v>249</v>
      </c>
      <c r="C14756" s="26">
        <v>0.85909999999999997</v>
      </c>
      <c r="D14756" s="26">
        <v>5.8799999999999998E-2</v>
      </c>
      <c r="E14756" s="26">
        <v>1.9199999999999998E-2</v>
      </c>
      <c r="F14756" s="26">
        <v>2.29E-2</v>
      </c>
      <c r="G14756" s="26">
        <v>9.5999999999999992E-3</v>
      </c>
      <c r="H14756" s="26">
        <v>5.5999999999999999E-3</v>
      </c>
      <c r="I14756" s="26">
        <v>3.5000000000000001E-3</v>
      </c>
      <c r="J14756" s="26">
        <v>2.0199999999999999E-2</v>
      </c>
      <c r="K14756" s="26">
        <v>1.9699999999999999E-2</v>
      </c>
      <c r="M14756" s="26">
        <v>2.5999999999999999E-3</v>
      </c>
      <c r="O14756">
        <v>249</v>
      </c>
    </row>
    <row r="14757" spans="1:15" x14ac:dyDescent="0.35">
      <c r="A14757" t="s">
        <v>229</v>
      </c>
      <c r="B14757" t="s">
        <v>248</v>
      </c>
      <c r="C14757" s="26">
        <v>0.78290000000000004</v>
      </c>
      <c r="D14757" s="26">
        <v>0.106</v>
      </c>
      <c r="E14757" s="26">
        <v>2.2499999999999999E-2</v>
      </c>
      <c r="F14757" s="26">
        <v>5.4300000000000001E-2</v>
      </c>
      <c r="G14757" s="26">
        <v>2.4E-2</v>
      </c>
      <c r="H14757" s="26">
        <v>1.4800000000000001E-2</v>
      </c>
      <c r="I14757" s="26">
        <v>1.21E-2</v>
      </c>
      <c r="J14757" s="26">
        <v>1E-4</v>
      </c>
      <c r="K14757" s="26">
        <v>5.0000000000000001E-3</v>
      </c>
      <c r="L14757" s="26">
        <v>8.8000000000000005E-3</v>
      </c>
      <c r="M14757" s="26">
        <v>8.0000000000000004E-4</v>
      </c>
      <c r="N14757" s="26">
        <v>4.3E-3</v>
      </c>
      <c r="O14757">
        <v>628</v>
      </c>
    </row>
    <row r="14758" spans="1:15" x14ac:dyDescent="0.35">
      <c r="A14758" t="s">
        <v>230</v>
      </c>
      <c r="B14758" t="s">
        <v>249</v>
      </c>
      <c r="C14758" s="26">
        <v>0.83450000000000002</v>
      </c>
      <c r="D14758" s="26">
        <v>3.39E-2</v>
      </c>
      <c r="E14758" s="26">
        <v>3.5000000000000003E-2</v>
      </c>
      <c r="F14758" s="26">
        <v>2.2200000000000001E-2</v>
      </c>
      <c r="G14758" s="26">
        <v>2.2599999999999999E-2</v>
      </c>
      <c r="H14758" s="26">
        <v>1.6000000000000001E-3</v>
      </c>
      <c r="I14758" s="26">
        <v>3.7999999999999999E-2</v>
      </c>
      <c r="J14758" s="26">
        <v>1.6299999999999999E-2</v>
      </c>
      <c r="K14758" s="26">
        <v>8.0000000000000004E-4</v>
      </c>
      <c r="M14758" s="26">
        <v>8.0000000000000004E-4</v>
      </c>
      <c r="O14758">
        <v>169</v>
      </c>
    </row>
    <row r="14759" spans="1:15" x14ac:dyDescent="0.35">
      <c r="A14759" t="s">
        <v>230</v>
      </c>
      <c r="B14759" t="s">
        <v>248</v>
      </c>
      <c r="C14759" s="26">
        <v>0.7792</v>
      </c>
      <c r="D14759" s="26">
        <v>8.7800000000000003E-2</v>
      </c>
      <c r="E14759" s="26">
        <v>4.24E-2</v>
      </c>
      <c r="F14759" s="26">
        <v>5.62E-2</v>
      </c>
      <c r="G14759" s="26">
        <v>1.3100000000000001E-2</v>
      </c>
      <c r="H14759" s="26">
        <v>1.14E-2</v>
      </c>
      <c r="I14759" s="26">
        <v>1.41E-2</v>
      </c>
      <c r="J14759" s="26">
        <v>9.1000000000000004E-3</v>
      </c>
      <c r="K14759" s="26">
        <v>2.5999999999999999E-3</v>
      </c>
      <c r="L14759" s="26">
        <v>8.2000000000000007E-3</v>
      </c>
      <c r="O14759">
        <v>383</v>
      </c>
    </row>
    <row r="14760" spans="1:15" x14ac:dyDescent="0.35">
      <c r="A14760" t="s">
        <v>231</v>
      </c>
      <c r="B14760" t="s">
        <v>249</v>
      </c>
      <c r="C14760" s="26">
        <v>0.8286</v>
      </c>
      <c r="D14760" s="26">
        <v>8.5699999999999998E-2</v>
      </c>
      <c r="E14760" s="26">
        <v>2.86E-2</v>
      </c>
      <c r="I14760" s="26">
        <v>2.86E-2</v>
      </c>
      <c r="K14760" s="26">
        <v>2.86E-2</v>
      </c>
      <c r="O14760">
        <v>35</v>
      </c>
    </row>
    <row r="14761" spans="1:15" x14ac:dyDescent="0.35">
      <c r="A14761" t="s">
        <v>231</v>
      </c>
      <c r="B14761" t="s">
        <v>248</v>
      </c>
      <c r="C14761" s="26">
        <v>0.84250000000000003</v>
      </c>
      <c r="D14761" s="26">
        <v>3.15E-2</v>
      </c>
      <c r="E14761" s="26">
        <v>5.5100000000000003E-2</v>
      </c>
      <c r="F14761" s="26">
        <v>1.5699999999999999E-2</v>
      </c>
      <c r="G14761" s="26">
        <v>1.5699999999999999E-2</v>
      </c>
      <c r="H14761" s="26">
        <v>2.3599999999999999E-2</v>
      </c>
      <c r="I14761" s="26">
        <v>1.5699999999999999E-2</v>
      </c>
      <c r="J14761" s="26">
        <v>1.5699999999999999E-2</v>
      </c>
      <c r="L14761" s="26">
        <v>1.5699999999999999E-2</v>
      </c>
      <c r="O14761">
        <v>127</v>
      </c>
    </row>
    <row r="14762" spans="1:15" x14ac:dyDescent="0.35">
      <c r="A14762" t="s">
        <v>232</v>
      </c>
      <c r="B14762" t="s">
        <v>232</v>
      </c>
      <c r="C14762" s="26">
        <v>0.80920000000000003</v>
      </c>
      <c r="D14762" s="26">
        <v>6.9000000000000006E-2</v>
      </c>
      <c r="E14762" s="26">
        <v>4.3400000000000001E-2</v>
      </c>
      <c r="F14762" s="26">
        <v>3.8899999999999997E-2</v>
      </c>
      <c r="G14762" s="26">
        <v>1.89E-2</v>
      </c>
      <c r="H14762" s="26">
        <v>1.52E-2</v>
      </c>
      <c r="I14762" s="26">
        <v>1.3100000000000001E-2</v>
      </c>
      <c r="J14762" s="26">
        <v>1.11E-2</v>
      </c>
      <c r="K14762" s="26">
        <v>7.7999999999999996E-3</v>
      </c>
      <c r="L14762" s="26">
        <v>5.7999999999999996E-3</v>
      </c>
      <c r="M14762" s="26">
        <v>2E-3</v>
      </c>
      <c r="N14762" s="26">
        <v>1.6000000000000001E-3</v>
      </c>
      <c r="O14762">
        <v>2766</v>
      </c>
    </row>
    <row r="14764" spans="1:15" x14ac:dyDescent="0.35">
      <c r="A14764" s="1" t="s">
        <v>1612</v>
      </c>
    </row>
    <row r="14765" spans="1:15" x14ac:dyDescent="0.35">
      <c r="A14765" t="s">
        <v>219</v>
      </c>
      <c r="B14765" t="s">
        <v>305</v>
      </c>
      <c r="C14765" t="s">
        <v>550</v>
      </c>
      <c r="D14765" t="s">
        <v>1596</v>
      </c>
      <c r="E14765" t="s">
        <v>1597</v>
      </c>
      <c r="F14765" t="s">
        <v>1598</v>
      </c>
      <c r="G14765" t="s">
        <v>1599</v>
      </c>
      <c r="H14765" t="s">
        <v>1600</v>
      </c>
      <c r="I14765" t="s">
        <v>281</v>
      </c>
      <c r="J14765" t="s">
        <v>1601</v>
      </c>
      <c r="K14765" t="s">
        <v>1602</v>
      </c>
      <c r="L14765" t="s">
        <v>1603</v>
      </c>
      <c r="M14765" t="s">
        <v>1604</v>
      </c>
      <c r="N14765" t="s">
        <v>286</v>
      </c>
      <c r="O14765" t="s">
        <v>226</v>
      </c>
    </row>
    <row r="14766" spans="1:15" x14ac:dyDescent="0.35">
      <c r="A14766" s="27" t="s">
        <v>227</v>
      </c>
      <c r="B14766" s="27" t="s">
        <v>263</v>
      </c>
      <c r="C14766" s="28">
        <v>1</v>
      </c>
      <c r="D14766" s="29"/>
      <c r="E14766" s="29"/>
      <c r="F14766" s="29"/>
      <c r="G14766" s="29"/>
      <c r="H14766" s="29"/>
      <c r="I14766" s="29"/>
      <c r="J14766" s="29"/>
      <c r="K14766" s="29"/>
      <c r="L14766" s="29"/>
      <c r="M14766" s="29"/>
      <c r="N14766" s="29"/>
      <c r="O14766" s="29" t="s">
        <v>315</v>
      </c>
    </row>
    <row r="14767" spans="1:15" x14ac:dyDescent="0.35">
      <c r="A14767" t="s">
        <v>227</v>
      </c>
      <c r="B14767" t="s">
        <v>261</v>
      </c>
      <c r="C14767" s="26">
        <v>0.375</v>
      </c>
      <c r="D14767" s="26">
        <v>9.3799999999999994E-2</v>
      </c>
      <c r="E14767" s="26">
        <v>0.3125</v>
      </c>
      <c r="F14767" s="26">
        <v>0.1875</v>
      </c>
      <c r="G14767" s="26">
        <v>3.1199999999999999E-2</v>
      </c>
      <c r="I14767" s="26">
        <v>3.1199999999999999E-2</v>
      </c>
      <c r="J14767" s="26">
        <v>6.25E-2</v>
      </c>
      <c r="O14767">
        <v>32</v>
      </c>
    </row>
    <row r="14768" spans="1:15" x14ac:dyDescent="0.35">
      <c r="A14768" s="27" t="s">
        <v>227</v>
      </c>
      <c r="B14768" s="27" t="s">
        <v>262</v>
      </c>
      <c r="C14768" s="28">
        <v>1</v>
      </c>
      <c r="D14768" s="29"/>
      <c r="E14768" s="29"/>
      <c r="F14768" s="29"/>
      <c r="G14768" s="29"/>
      <c r="H14768" s="29"/>
      <c r="I14768" s="29"/>
      <c r="J14768" s="29"/>
      <c r="K14768" s="29"/>
      <c r="L14768" s="29"/>
      <c r="M14768" s="29"/>
      <c r="N14768" s="29"/>
      <c r="O14768" s="29" t="s">
        <v>315</v>
      </c>
    </row>
    <row r="14769" spans="1:15" x14ac:dyDescent="0.35">
      <c r="A14769" t="s">
        <v>227</v>
      </c>
      <c r="B14769" t="s">
        <v>260</v>
      </c>
      <c r="C14769" s="26">
        <v>0.97440000000000004</v>
      </c>
      <c r="D14769" s="26">
        <v>8.5000000000000006E-3</v>
      </c>
      <c r="G14769" s="26">
        <v>1.7100000000000001E-2</v>
      </c>
      <c r="O14769">
        <v>117</v>
      </c>
    </row>
    <row r="14770" spans="1:15" x14ac:dyDescent="0.35">
      <c r="A14770" t="s">
        <v>228</v>
      </c>
      <c r="B14770" t="s">
        <v>261</v>
      </c>
      <c r="C14770" s="26">
        <v>0.2994</v>
      </c>
      <c r="D14770" s="26">
        <v>0.28220000000000001</v>
      </c>
      <c r="E14770" s="26">
        <v>0.2354</v>
      </c>
      <c r="F14770" s="26">
        <v>0.26090000000000002</v>
      </c>
      <c r="G14770" s="26">
        <v>5.0999999999999997E-2</v>
      </c>
      <c r="H14770" s="26">
        <v>7.8899999999999998E-2</v>
      </c>
      <c r="I14770" s="26">
        <v>2.0999999999999999E-3</v>
      </c>
      <c r="J14770" s="26">
        <v>3.2599999999999997E-2</v>
      </c>
      <c r="K14770" s="26">
        <v>5.2900000000000003E-2</v>
      </c>
      <c r="L14770" s="26">
        <v>1.9E-3</v>
      </c>
      <c r="M14770" s="26">
        <v>2.8899999999999999E-2</v>
      </c>
      <c r="N14770" s="26">
        <v>1.72E-2</v>
      </c>
      <c r="O14770">
        <v>191</v>
      </c>
    </row>
    <row r="14771" spans="1:15" x14ac:dyDescent="0.35">
      <c r="A14771" s="27" t="s">
        <v>228</v>
      </c>
      <c r="B14771" s="27" t="s">
        <v>236</v>
      </c>
      <c r="C14771" s="28">
        <v>0.46600000000000003</v>
      </c>
      <c r="D14771" s="28">
        <v>0.53400000000000003</v>
      </c>
      <c r="E14771" s="29"/>
      <c r="F14771" s="29"/>
      <c r="G14771" s="29"/>
      <c r="H14771" s="29"/>
      <c r="I14771" s="29"/>
      <c r="J14771" s="29"/>
      <c r="K14771" s="29"/>
      <c r="L14771" s="29"/>
      <c r="M14771" s="29"/>
      <c r="N14771" s="29"/>
      <c r="O14771" s="29" t="s">
        <v>335</v>
      </c>
    </row>
    <row r="14772" spans="1:15" x14ac:dyDescent="0.35">
      <c r="A14772" s="27" t="s">
        <v>228</v>
      </c>
      <c r="B14772" s="27" t="s">
        <v>263</v>
      </c>
      <c r="C14772" s="28">
        <v>0.62270000000000003</v>
      </c>
      <c r="D14772" s="28">
        <v>0.14430000000000001</v>
      </c>
      <c r="E14772" s="28">
        <v>0.17780000000000001</v>
      </c>
      <c r="F14772" s="28">
        <v>1.2999999999999999E-2</v>
      </c>
      <c r="G14772" s="28">
        <v>1.2999999999999999E-2</v>
      </c>
      <c r="H14772" s="28">
        <v>1.2999999999999999E-2</v>
      </c>
      <c r="I14772" s="28">
        <v>2.93E-2</v>
      </c>
      <c r="J14772" s="29"/>
      <c r="K14772" s="29"/>
      <c r="L14772" s="29"/>
      <c r="M14772" s="29"/>
      <c r="N14772" s="29"/>
      <c r="O14772" s="29" t="s">
        <v>312</v>
      </c>
    </row>
    <row r="14773" spans="1:15" x14ac:dyDescent="0.35">
      <c r="A14773" t="s">
        <v>228</v>
      </c>
      <c r="B14773" t="s">
        <v>262</v>
      </c>
      <c r="C14773" s="26">
        <v>0.80830000000000002</v>
      </c>
      <c r="D14773" s="26">
        <v>0.1027</v>
      </c>
      <c r="E14773" s="26">
        <v>8.6999999999999994E-3</v>
      </c>
      <c r="F14773" s="26">
        <v>2.9499999999999998E-2</v>
      </c>
      <c r="G14773" s="26">
        <v>0.02</v>
      </c>
      <c r="H14773" s="26">
        <v>3.2000000000000001E-2</v>
      </c>
      <c r="I14773" s="26">
        <v>1.9900000000000001E-2</v>
      </c>
      <c r="J14773" s="26">
        <v>3.7000000000000002E-3</v>
      </c>
      <c r="K14773" s="26">
        <v>8.6E-3</v>
      </c>
      <c r="L14773" s="26">
        <v>2.5000000000000001E-3</v>
      </c>
      <c r="O14773">
        <v>198</v>
      </c>
    </row>
    <row r="14774" spans="1:15" x14ac:dyDescent="0.35">
      <c r="A14774" t="s">
        <v>228</v>
      </c>
      <c r="B14774" t="s">
        <v>260</v>
      </c>
      <c r="C14774" s="26">
        <v>0.87239999999999995</v>
      </c>
      <c r="D14774" s="26">
        <v>4.5699999999999998E-2</v>
      </c>
      <c r="E14774" s="26">
        <v>2.0999999999999999E-3</v>
      </c>
      <c r="F14774" s="26">
        <v>1.6299999999999999E-2</v>
      </c>
      <c r="G14774" s="26">
        <v>2.4E-2</v>
      </c>
      <c r="H14774" s="26">
        <v>1.55E-2</v>
      </c>
      <c r="I14774" s="26">
        <v>1.17E-2</v>
      </c>
      <c r="J14774" s="26">
        <v>1.23E-2</v>
      </c>
      <c r="K14774" s="26">
        <v>6.8999999999999999E-3</v>
      </c>
      <c r="M14774" s="26">
        <v>3.8999999999999998E-3</v>
      </c>
      <c r="N14774" s="26">
        <v>5.9999999999999995E-4</v>
      </c>
      <c r="O14774">
        <v>600</v>
      </c>
    </row>
    <row r="14775" spans="1:15" x14ac:dyDescent="0.35">
      <c r="A14775" s="27" t="s">
        <v>229</v>
      </c>
      <c r="B14775" s="27" t="s">
        <v>263</v>
      </c>
      <c r="C14775" s="28">
        <v>0.80279999999999996</v>
      </c>
      <c r="D14775" s="28">
        <v>0.19719999999999999</v>
      </c>
      <c r="E14775" s="29"/>
      <c r="F14775" s="28">
        <v>0.1613</v>
      </c>
      <c r="G14775" s="29"/>
      <c r="H14775" s="28">
        <v>3.5900000000000001E-2</v>
      </c>
      <c r="I14775" s="29"/>
      <c r="J14775" s="29"/>
      <c r="K14775" s="29"/>
      <c r="L14775" s="29"/>
      <c r="M14775" s="29"/>
      <c r="N14775" s="29"/>
      <c r="O14775" s="29" t="s">
        <v>341</v>
      </c>
    </row>
    <row r="14776" spans="1:15" x14ac:dyDescent="0.35">
      <c r="A14776" t="s">
        <v>229</v>
      </c>
      <c r="B14776" t="s">
        <v>262</v>
      </c>
      <c r="C14776" s="26">
        <v>0.85929999999999995</v>
      </c>
      <c r="D14776" s="26">
        <v>8.7800000000000003E-2</v>
      </c>
      <c r="F14776" s="26">
        <v>2.3999999999999998E-3</v>
      </c>
      <c r="G14776" s="26">
        <v>1.11E-2</v>
      </c>
      <c r="H14776" s="26">
        <v>1.52E-2</v>
      </c>
      <c r="I14776" s="26">
        <v>3.7000000000000002E-3</v>
      </c>
      <c r="K14776" s="26">
        <v>1.11E-2</v>
      </c>
      <c r="L14776" s="26">
        <v>1.11E-2</v>
      </c>
      <c r="N14776" s="26">
        <v>1.1999999999999999E-3</v>
      </c>
      <c r="O14776">
        <v>183</v>
      </c>
    </row>
    <row r="14777" spans="1:15" x14ac:dyDescent="0.35">
      <c r="A14777" t="s">
        <v>229</v>
      </c>
      <c r="B14777" t="s">
        <v>261</v>
      </c>
      <c r="C14777" s="26">
        <v>0.28870000000000001</v>
      </c>
      <c r="D14777" s="26">
        <v>0.33810000000000001</v>
      </c>
      <c r="E14777" s="26">
        <v>0.1457</v>
      </c>
      <c r="F14777" s="26">
        <v>0.27050000000000002</v>
      </c>
      <c r="G14777" s="26">
        <v>1.7500000000000002E-2</v>
      </c>
      <c r="H14777" s="26">
        <v>3.1399999999999997E-2</v>
      </c>
      <c r="I14777" s="26">
        <v>2.3E-3</v>
      </c>
      <c r="J14777" s="26">
        <v>4.4299999999999999E-2</v>
      </c>
      <c r="K14777" s="26">
        <v>1.9800000000000002E-2</v>
      </c>
      <c r="L14777" s="26">
        <v>1.7500000000000002E-2</v>
      </c>
      <c r="M14777" s="26">
        <v>2.3E-3</v>
      </c>
      <c r="O14777">
        <v>93</v>
      </c>
    </row>
    <row r="14778" spans="1:15" x14ac:dyDescent="0.35">
      <c r="A14778" s="27" t="s">
        <v>229</v>
      </c>
      <c r="B14778" s="27" t="s">
        <v>236</v>
      </c>
      <c r="C14778" s="28">
        <v>1</v>
      </c>
      <c r="D14778" s="29"/>
      <c r="E14778" s="29"/>
      <c r="F14778" s="29"/>
      <c r="G14778" s="29"/>
      <c r="H14778" s="29"/>
      <c r="I14778" s="29"/>
      <c r="J14778" s="29"/>
      <c r="K14778" s="29"/>
      <c r="L14778" s="29"/>
      <c r="M14778" s="29"/>
      <c r="N14778" s="29"/>
      <c r="O14778" s="29" t="s">
        <v>331</v>
      </c>
    </row>
    <row r="14779" spans="1:15" x14ac:dyDescent="0.35">
      <c r="A14779" t="s">
        <v>229</v>
      </c>
      <c r="B14779" t="s">
        <v>260</v>
      </c>
      <c r="C14779" s="26">
        <v>0.91859999999999997</v>
      </c>
      <c r="D14779" s="26">
        <v>2.3400000000000001E-2</v>
      </c>
      <c r="F14779" s="26">
        <v>1.1999999999999999E-3</v>
      </c>
      <c r="G14779" s="26">
        <v>2.47E-2</v>
      </c>
      <c r="H14779" s="26">
        <v>4.1999999999999997E-3</v>
      </c>
      <c r="I14779" s="26">
        <v>1.43E-2</v>
      </c>
      <c r="J14779" s="26">
        <v>2.0000000000000001E-4</v>
      </c>
      <c r="K14779" s="26">
        <v>6.7999999999999996E-3</v>
      </c>
      <c r="L14779" s="26">
        <v>5.9999999999999995E-4</v>
      </c>
      <c r="M14779" s="26">
        <v>1.8E-3</v>
      </c>
      <c r="N14779" s="26">
        <v>4.5999999999999999E-3</v>
      </c>
      <c r="O14779">
        <v>587</v>
      </c>
    </row>
    <row r="14780" spans="1:15" x14ac:dyDescent="0.35">
      <c r="A14780" s="27" t="s">
        <v>230</v>
      </c>
      <c r="B14780" s="27" t="s">
        <v>236</v>
      </c>
      <c r="C14780" s="28">
        <v>1</v>
      </c>
      <c r="D14780" s="29"/>
      <c r="E14780" s="29"/>
      <c r="F14780" s="29"/>
      <c r="G14780" s="29"/>
      <c r="H14780" s="29"/>
      <c r="I14780" s="29"/>
      <c r="J14780" s="29"/>
      <c r="K14780" s="29"/>
      <c r="L14780" s="29"/>
      <c r="M14780" s="29"/>
      <c r="N14780" s="29"/>
      <c r="O14780" s="29" t="s">
        <v>315</v>
      </c>
    </row>
    <row r="14781" spans="1:15" x14ac:dyDescent="0.35">
      <c r="A14781" t="s">
        <v>230</v>
      </c>
      <c r="B14781" t="s">
        <v>262</v>
      </c>
      <c r="C14781" s="26">
        <v>0.84030000000000005</v>
      </c>
      <c r="D14781" s="26">
        <v>6.2700000000000006E-2</v>
      </c>
      <c r="E14781" s="26">
        <v>5.4999999999999997E-3</v>
      </c>
      <c r="F14781" s="26">
        <v>5.4999999999999997E-3</v>
      </c>
      <c r="G14781" s="26">
        <v>8.3699999999999997E-2</v>
      </c>
      <c r="H14781" s="26">
        <v>7.3000000000000001E-3</v>
      </c>
      <c r="I14781" s="26">
        <v>6.0000000000000001E-3</v>
      </c>
      <c r="K14781" s="26">
        <v>1.8E-3</v>
      </c>
      <c r="M14781" s="26">
        <v>1.8E-3</v>
      </c>
      <c r="O14781">
        <v>120</v>
      </c>
    </row>
    <row r="14782" spans="1:15" x14ac:dyDescent="0.35">
      <c r="A14782" t="s">
        <v>230</v>
      </c>
      <c r="B14782" t="s">
        <v>261</v>
      </c>
      <c r="C14782" s="26">
        <v>0.22589999999999999</v>
      </c>
      <c r="D14782" s="26">
        <v>0.21429999999999999</v>
      </c>
      <c r="E14782" s="26">
        <v>0.28460000000000002</v>
      </c>
      <c r="F14782" s="26">
        <v>0.22789999999999999</v>
      </c>
      <c r="G14782" s="26">
        <v>2E-3</v>
      </c>
      <c r="H14782" s="26">
        <v>2E-3</v>
      </c>
      <c r="I14782" s="26">
        <v>9.4200000000000006E-2</v>
      </c>
      <c r="J14782" s="26">
        <v>4.24E-2</v>
      </c>
      <c r="O14782">
        <v>57</v>
      </c>
    </row>
    <row r="14783" spans="1:15" x14ac:dyDescent="0.35">
      <c r="A14783" s="27" t="s">
        <v>230</v>
      </c>
      <c r="B14783" s="27" t="s">
        <v>263</v>
      </c>
      <c r="C14783" s="28">
        <v>0.18870000000000001</v>
      </c>
      <c r="D14783" s="28">
        <v>0.68149999999999999</v>
      </c>
      <c r="E14783" s="29"/>
      <c r="F14783" s="28">
        <v>8.8599999999999998E-2</v>
      </c>
      <c r="G14783" s="28">
        <v>5.8900000000000001E-2</v>
      </c>
      <c r="H14783" s="28">
        <v>3.5400000000000001E-2</v>
      </c>
      <c r="I14783" s="29"/>
      <c r="J14783" s="28">
        <v>1.77E-2</v>
      </c>
      <c r="K14783" s="28">
        <v>1.77E-2</v>
      </c>
      <c r="L14783" s="29"/>
      <c r="M14783" s="29"/>
      <c r="N14783" s="29"/>
      <c r="O14783" s="29" t="s">
        <v>310</v>
      </c>
    </row>
    <row r="14784" spans="1:15" x14ac:dyDescent="0.35">
      <c r="A14784" t="s">
        <v>230</v>
      </c>
      <c r="B14784" t="s">
        <v>260</v>
      </c>
      <c r="C14784" s="26">
        <v>0.91220000000000001</v>
      </c>
      <c r="D14784" s="26">
        <v>2.9700000000000001E-2</v>
      </c>
      <c r="E14784" s="26">
        <v>8.0000000000000004E-4</v>
      </c>
      <c r="F14784" s="26">
        <v>1.7000000000000001E-2</v>
      </c>
      <c r="G14784" s="26">
        <v>3.5000000000000001E-3</v>
      </c>
      <c r="H14784" s="26">
        <v>8.9999999999999993E-3</v>
      </c>
      <c r="I14784" s="26">
        <v>1.23E-2</v>
      </c>
      <c r="J14784" s="26">
        <v>7.9000000000000008E-3</v>
      </c>
      <c r="K14784" s="26">
        <v>2.0999999999999999E-3</v>
      </c>
      <c r="L14784" s="26">
        <v>7.9000000000000008E-3</v>
      </c>
      <c r="O14784">
        <v>348</v>
      </c>
    </row>
    <row r="14785" spans="1:15" x14ac:dyDescent="0.35">
      <c r="A14785" s="27" t="s">
        <v>231</v>
      </c>
      <c r="B14785" s="27" t="s">
        <v>263</v>
      </c>
      <c r="C14785" s="28">
        <v>0.5</v>
      </c>
      <c r="D14785" s="29"/>
      <c r="E14785" s="28">
        <v>0.5</v>
      </c>
      <c r="F14785" s="29"/>
      <c r="G14785" s="29"/>
      <c r="H14785" s="29"/>
      <c r="I14785" s="29"/>
      <c r="J14785" s="29"/>
      <c r="K14785" s="29"/>
      <c r="L14785" s="29"/>
      <c r="M14785" s="29"/>
      <c r="N14785" s="29"/>
      <c r="O14785" s="29" t="s">
        <v>314</v>
      </c>
    </row>
    <row r="14786" spans="1:15" x14ac:dyDescent="0.35">
      <c r="A14786" t="s">
        <v>231</v>
      </c>
      <c r="B14786" t="s">
        <v>260</v>
      </c>
      <c r="C14786" s="26">
        <v>0.94259999999999999</v>
      </c>
      <c r="D14786" s="26">
        <v>1.6400000000000001E-2</v>
      </c>
      <c r="G14786" s="26">
        <v>1.6400000000000001E-2</v>
      </c>
      <c r="I14786" s="26">
        <v>1.6400000000000001E-2</v>
      </c>
      <c r="K14786" s="26">
        <v>8.2000000000000007E-3</v>
      </c>
      <c r="O14786">
        <v>122</v>
      </c>
    </row>
    <row r="14787" spans="1:15" x14ac:dyDescent="0.35">
      <c r="A14787" s="27" t="s">
        <v>231</v>
      </c>
      <c r="B14787" s="27" t="s">
        <v>261</v>
      </c>
      <c r="C14787" s="28">
        <v>0.40739999999999998</v>
      </c>
      <c r="D14787" s="28">
        <v>0.1111</v>
      </c>
      <c r="E14787" s="28">
        <v>0.25929999999999997</v>
      </c>
      <c r="F14787" s="28">
        <v>7.4099999999999999E-2</v>
      </c>
      <c r="G14787" s="29"/>
      <c r="H14787" s="28">
        <v>7.4099999999999999E-2</v>
      </c>
      <c r="I14787" s="28">
        <v>3.6999999999999998E-2</v>
      </c>
      <c r="J14787" s="28">
        <v>7.4099999999999999E-2</v>
      </c>
      <c r="K14787" s="29"/>
      <c r="L14787" s="28">
        <v>7.4099999999999999E-2</v>
      </c>
      <c r="M14787" s="29"/>
      <c r="N14787" s="29"/>
      <c r="O14787" s="29" t="s">
        <v>338</v>
      </c>
    </row>
    <row r="14788" spans="1:15" x14ac:dyDescent="0.35">
      <c r="A14788" s="27" t="s">
        <v>231</v>
      </c>
      <c r="B14788" s="27" t="s">
        <v>262</v>
      </c>
      <c r="C14788" s="28">
        <v>0.81820000000000004</v>
      </c>
      <c r="D14788" s="28">
        <v>0.18179999999999999</v>
      </c>
      <c r="E14788" s="29"/>
      <c r="F14788" s="29"/>
      <c r="G14788" s="29"/>
      <c r="H14788" s="28">
        <v>9.0899999999999995E-2</v>
      </c>
      <c r="I14788" s="29"/>
      <c r="J14788" s="29"/>
      <c r="K14788" s="29"/>
      <c r="L14788" s="29"/>
      <c r="M14788" s="29"/>
      <c r="N14788" s="29"/>
      <c r="O14788" s="29" t="s">
        <v>352</v>
      </c>
    </row>
    <row r="14789" spans="1:15" x14ac:dyDescent="0.35">
      <c r="A14789" t="s">
        <v>232</v>
      </c>
      <c r="B14789" t="s">
        <v>232</v>
      </c>
      <c r="C14789" s="26">
        <v>0.80920000000000003</v>
      </c>
      <c r="D14789" s="26">
        <v>6.9000000000000006E-2</v>
      </c>
      <c r="E14789" s="26">
        <v>4.3400000000000001E-2</v>
      </c>
      <c r="F14789" s="26">
        <v>3.8899999999999997E-2</v>
      </c>
      <c r="G14789" s="26">
        <v>1.89E-2</v>
      </c>
      <c r="H14789" s="26">
        <v>1.52E-2</v>
      </c>
      <c r="I14789" s="26">
        <v>1.3100000000000001E-2</v>
      </c>
      <c r="J14789" s="26">
        <v>1.11E-2</v>
      </c>
      <c r="K14789" s="26">
        <v>7.7999999999999996E-3</v>
      </c>
      <c r="L14789" s="26">
        <v>5.7999999999999996E-3</v>
      </c>
      <c r="M14789" s="26">
        <v>2E-3</v>
      </c>
      <c r="N14789" s="26">
        <v>1.6000000000000001E-3</v>
      </c>
      <c r="O14789">
        <v>2766</v>
      </c>
    </row>
    <row r="14791" spans="1:15" x14ac:dyDescent="0.35">
      <c r="A14791" s="1" t="s">
        <v>1613</v>
      </c>
    </row>
    <row r="14792" spans="1:15" x14ac:dyDescent="0.35">
      <c r="A14792" t="s">
        <v>219</v>
      </c>
      <c r="B14792" t="s">
        <v>305</v>
      </c>
      <c r="C14792" t="s">
        <v>550</v>
      </c>
      <c r="D14792" t="s">
        <v>1596</v>
      </c>
      <c r="E14792" t="s">
        <v>1597</v>
      </c>
      <c r="F14792" t="s">
        <v>1598</v>
      </c>
      <c r="G14792" t="s">
        <v>1599</v>
      </c>
      <c r="H14792" t="s">
        <v>1600</v>
      </c>
      <c r="I14792" t="s">
        <v>281</v>
      </c>
      <c r="J14792" t="s">
        <v>1601</v>
      </c>
      <c r="K14792" t="s">
        <v>1602</v>
      </c>
      <c r="L14792" t="s">
        <v>1603</v>
      </c>
      <c r="M14792" t="s">
        <v>1604</v>
      </c>
      <c r="N14792" t="s">
        <v>286</v>
      </c>
      <c r="O14792" t="s">
        <v>226</v>
      </c>
    </row>
    <row r="14793" spans="1:15" x14ac:dyDescent="0.35">
      <c r="A14793" t="s">
        <v>227</v>
      </c>
      <c r="B14793" t="s">
        <v>368</v>
      </c>
      <c r="C14793" s="26">
        <v>0.375</v>
      </c>
      <c r="D14793" s="26">
        <v>9.3799999999999994E-2</v>
      </c>
      <c r="E14793" s="26">
        <v>0.3125</v>
      </c>
      <c r="F14793" s="26">
        <v>0.1875</v>
      </c>
      <c r="G14793" s="26">
        <v>3.1199999999999999E-2</v>
      </c>
      <c r="I14793" s="26">
        <v>3.1199999999999999E-2</v>
      </c>
      <c r="J14793" s="26">
        <v>6.25E-2</v>
      </c>
      <c r="O14793">
        <v>32</v>
      </c>
    </row>
    <row r="14794" spans="1:15" x14ac:dyDescent="0.35">
      <c r="A14794" t="s">
        <v>227</v>
      </c>
      <c r="B14794" t="s">
        <v>369</v>
      </c>
      <c r="C14794" s="26">
        <v>0.97560000000000002</v>
      </c>
      <c r="D14794" s="26">
        <v>8.0999999999999996E-3</v>
      </c>
      <c r="G14794" s="26">
        <v>1.6299999999999999E-2</v>
      </c>
      <c r="O14794">
        <v>123</v>
      </c>
    </row>
    <row r="14795" spans="1:15" x14ac:dyDescent="0.35">
      <c r="A14795" t="s">
        <v>228</v>
      </c>
      <c r="B14795" t="s">
        <v>368</v>
      </c>
      <c r="C14795" s="26">
        <v>0.2994</v>
      </c>
      <c r="D14795" s="26">
        <v>0.28220000000000001</v>
      </c>
      <c r="E14795" s="26">
        <v>0.2354</v>
      </c>
      <c r="F14795" s="26">
        <v>0.26090000000000002</v>
      </c>
      <c r="G14795" s="26">
        <v>5.0999999999999997E-2</v>
      </c>
      <c r="H14795" s="26">
        <v>7.8899999999999998E-2</v>
      </c>
      <c r="I14795" s="26">
        <v>2.0999999999999999E-3</v>
      </c>
      <c r="J14795" s="26">
        <v>3.2599999999999997E-2</v>
      </c>
      <c r="K14795" s="26">
        <v>5.2900000000000003E-2</v>
      </c>
      <c r="L14795" s="26">
        <v>1.9E-3</v>
      </c>
      <c r="M14795" s="26">
        <v>2.8899999999999999E-2</v>
      </c>
      <c r="N14795" s="26">
        <v>1.72E-2</v>
      </c>
      <c r="O14795">
        <v>191</v>
      </c>
    </row>
    <row r="14796" spans="1:15" x14ac:dyDescent="0.35">
      <c r="A14796" t="s">
        <v>228</v>
      </c>
      <c r="B14796" t="s">
        <v>369</v>
      </c>
      <c r="C14796" s="26">
        <v>0.85009999999999997</v>
      </c>
      <c r="D14796" s="26">
        <v>6.3600000000000004E-2</v>
      </c>
      <c r="E14796" s="26">
        <v>7.4999999999999997E-3</v>
      </c>
      <c r="F14796" s="26">
        <v>1.8800000000000001E-2</v>
      </c>
      <c r="G14796" s="26">
        <v>2.2700000000000001E-2</v>
      </c>
      <c r="H14796" s="26">
        <v>1.8800000000000001E-2</v>
      </c>
      <c r="I14796" s="26">
        <v>1.37E-2</v>
      </c>
      <c r="J14796" s="26">
        <v>1.01E-2</v>
      </c>
      <c r="K14796" s="26">
        <v>7.0000000000000001E-3</v>
      </c>
      <c r="L14796" s="26">
        <v>5.0000000000000001E-4</v>
      </c>
      <c r="M14796" s="26">
        <v>3.0000000000000001E-3</v>
      </c>
      <c r="N14796" s="26">
        <v>5.0000000000000001E-4</v>
      </c>
      <c r="O14796">
        <v>829</v>
      </c>
    </row>
    <row r="14797" spans="1:15" x14ac:dyDescent="0.35">
      <c r="A14797" t="s">
        <v>229</v>
      </c>
      <c r="B14797" t="s">
        <v>368</v>
      </c>
      <c r="C14797" s="26">
        <v>0.28870000000000001</v>
      </c>
      <c r="D14797" s="26">
        <v>0.33810000000000001</v>
      </c>
      <c r="E14797" s="26">
        <v>0.1457</v>
      </c>
      <c r="F14797" s="26">
        <v>0.27050000000000002</v>
      </c>
      <c r="G14797" s="26">
        <v>1.7500000000000002E-2</v>
      </c>
      <c r="H14797" s="26">
        <v>3.1399999999999997E-2</v>
      </c>
      <c r="I14797" s="26">
        <v>2.3E-3</v>
      </c>
      <c r="J14797" s="26">
        <v>4.4299999999999999E-2</v>
      </c>
      <c r="K14797" s="26">
        <v>1.9800000000000002E-2</v>
      </c>
      <c r="L14797" s="26">
        <v>1.7500000000000002E-2</v>
      </c>
      <c r="M14797" s="26">
        <v>2.3E-3</v>
      </c>
      <c r="O14797">
        <v>93</v>
      </c>
    </row>
    <row r="14798" spans="1:15" x14ac:dyDescent="0.35">
      <c r="A14798" t="s">
        <v>229</v>
      </c>
      <c r="B14798" t="s">
        <v>369</v>
      </c>
      <c r="C14798" s="26">
        <v>0.89670000000000005</v>
      </c>
      <c r="D14798" s="26">
        <v>4.82E-2</v>
      </c>
      <c r="F14798" s="26">
        <v>5.1999999999999998E-3</v>
      </c>
      <c r="G14798" s="26">
        <v>1.9699999999999999E-2</v>
      </c>
      <c r="H14798" s="26">
        <v>8.5000000000000006E-3</v>
      </c>
      <c r="I14798" s="26">
        <v>1.06E-2</v>
      </c>
      <c r="J14798" s="26">
        <v>1E-4</v>
      </c>
      <c r="K14798" s="26">
        <v>8.0000000000000002E-3</v>
      </c>
      <c r="L14798" s="26">
        <v>4.0000000000000001E-3</v>
      </c>
      <c r="M14798" s="26">
        <v>1.1999999999999999E-3</v>
      </c>
      <c r="N14798" s="26">
        <v>3.3999999999999998E-3</v>
      </c>
      <c r="O14798">
        <v>784</v>
      </c>
    </row>
    <row r="14799" spans="1:15" x14ac:dyDescent="0.35">
      <c r="A14799" t="s">
        <v>230</v>
      </c>
      <c r="B14799" t="s">
        <v>368</v>
      </c>
      <c r="C14799" s="26">
        <v>0.22589999999999999</v>
      </c>
      <c r="D14799" s="26">
        <v>0.21429999999999999</v>
      </c>
      <c r="E14799" s="26">
        <v>0.28460000000000002</v>
      </c>
      <c r="F14799" s="26">
        <v>0.22789999999999999</v>
      </c>
      <c r="G14799" s="26">
        <v>2E-3</v>
      </c>
      <c r="H14799" s="26">
        <v>2E-3</v>
      </c>
      <c r="I14799" s="26">
        <v>9.4200000000000006E-2</v>
      </c>
      <c r="J14799" s="26">
        <v>4.24E-2</v>
      </c>
      <c r="O14799">
        <v>57</v>
      </c>
    </row>
    <row r="14800" spans="1:15" x14ac:dyDescent="0.35">
      <c r="A14800" t="s">
        <v>230</v>
      </c>
      <c r="B14800" t="s">
        <v>369</v>
      </c>
      <c r="C14800" s="26">
        <v>0.88729999999999998</v>
      </c>
      <c r="D14800" s="26">
        <v>4.7E-2</v>
      </c>
      <c r="E14800" s="26">
        <v>1.6000000000000001E-3</v>
      </c>
      <c r="F14800" s="26">
        <v>1.6199999999999999E-2</v>
      </c>
      <c r="G14800" s="26">
        <v>1.8499999999999999E-2</v>
      </c>
      <c r="H14800" s="26">
        <v>9.1000000000000004E-3</v>
      </c>
      <c r="I14800" s="26">
        <v>1.0800000000000001E-2</v>
      </c>
      <c r="J14800" s="26">
        <v>6.6E-3</v>
      </c>
      <c r="K14800" s="26">
        <v>2.3E-3</v>
      </c>
      <c r="L14800" s="26">
        <v>6.3E-3</v>
      </c>
      <c r="M14800" s="26">
        <v>2.9999999999999997E-4</v>
      </c>
      <c r="O14800">
        <v>495</v>
      </c>
    </row>
    <row r="14801" spans="1:15" x14ac:dyDescent="0.35">
      <c r="A14801" s="27" t="s">
        <v>231</v>
      </c>
      <c r="B14801" s="27" t="s">
        <v>368</v>
      </c>
      <c r="C14801" s="28">
        <v>0.40739999999999998</v>
      </c>
      <c r="D14801" s="28">
        <v>0.1111</v>
      </c>
      <c r="E14801" s="28">
        <v>0.25929999999999997</v>
      </c>
      <c r="F14801" s="28">
        <v>7.4099999999999999E-2</v>
      </c>
      <c r="G14801" s="29"/>
      <c r="H14801" s="28">
        <v>7.4099999999999999E-2</v>
      </c>
      <c r="I14801" s="28">
        <v>3.6999999999999998E-2</v>
      </c>
      <c r="J14801" s="28">
        <v>7.4099999999999999E-2</v>
      </c>
      <c r="K14801" s="29"/>
      <c r="L14801" s="28">
        <v>7.4099999999999999E-2</v>
      </c>
      <c r="M14801" s="29"/>
      <c r="N14801" s="29"/>
      <c r="O14801" s="29" t="s">
        <v>338</v>
      </c>
    </row>
    <row r="14802" spans="1:15" x14ac:dyDescent="0.35">
      <c r="A14802" t="s">
        <v>231</v>
      </c>
      <c r="B14802" t="s">
        <v>369</v>
      </c>
      <c r="C14802" s="26">
        <v>0.92589999999999995</v>
      </c>
      <c r="D14802" s="26">
        <v>2.9600000000000001E-2</v>
      </c>
      <c r="E14802" s="26">
        <v>7.4000000000000003E-3</v>
      </c>
      <c r="G14802" s="26">
        <v>1.4800000000000001E-2</v>
      </c>
      <c r="H14802" s="26">
        <v>7.4000000000000003E-3</v>
      </c>
      <c r="I14802" s="26">
        <v>1.4800000000000001E-2</v>
      </c>
      <c r="K14802" s="26">
        <v>7.4000000000000003E-3</v>
      </c>
      <c r="O14802">
        <v>135</v>
      </c>
    </row>
    <row r="14803" spans="1:15" x14ac:dyDescent="0.35">
      <c r="A14803" t="s">
        <v>232</v>
      </c>
      <c r="B14803" t="s">
        <v>232</v>
      </c>
      <c r="C14803" s="26">
        <v>0.80920000000000003</v>
      </c>
      <c r="D14803" s="26">
        <v>6.9000000000000006E-2</v>
      </c>
      <c r="E14803" s="26">
        <v>4.3400000000000001E-2</v>
      </c>
      <c r="F14803" s="26">
        <v>3.8899999999999997E-2</v>
      </c>
      <c r="G14803" s="26">
        <v>1.89E-2</v>
      </c>
      <c r="H14803" s="26">
        <v>1.52E-2</v>
      </c>
      <c r="I14803" s="26">
        <v>1.3100000000000001E-2</v>
      </c>
      <c r="J14803" s="26">
        <v>1.11E-2</v>
      </c>
      <c r="K14803" s="26">
        <v>7.7999999999999996E-3</v>
      </c>
      <c r="L14803" s="26">
        <v>5.7999999999999996E-3</v>
      </c>
      <c r="M14803" s="26">
        <v>2E-3</v>
      </c>
      <c r="N14803" s="26">
        <v>1.6000000000000001E-3</v>
      </c>
      <c r="O14803">
        <v>2766</v>
      </c>
    </row>
    <row r="14805" spans="1:15" x14ac:dyDescent="0.35">
      <c r="A14805" s="1" t="s">
        <v>1614</v>
      </c>
    </row>
    <row r="14806" spans="1:15" x14ac:dyDescent="0.35">
      <c r="A14806" t="s">
        <v>219</v>
      </c>
      <c r="B14806" t="s">
        <v>305</v>
      </c>
      <c r="C14806" t="s">
        <v>550</v>
      </c>
      <c r="D14806" t="s">
        <v>1596</v>
      </c>
      <c r="E14806" t="s">
        <v>1597</v>
      </c>
      <c r="F14806" t="s">
        <v>1598</v>
      </c>
      <c r="G14806" t="s">
        <v>1599</v>
      </c>
      <c r="H14806" t="s">
        <v>1600</v>
      </c>
      <c r="I14806" t="s">
        <v>281</v>
      </c>
      <c r="J14806" t="s">
        <v>1601</v>
      </c>
      <c r="K14806" t="s">
        <v>1602</v>
      </c>
      <c r="L14806" t="s">
        <v>1603</v>
      </c>
      <c r="M14806" t="s">
        <v>1604</v>
      </c>
      <c r="N14806" t="s">
        <v>286</v>
      </c>
      <c r="O14806" t="s">
        <v>226</v>
      </c>
    </row>
    <row r="14807" spans="1:15" x14ac:dyDescent="0.35">
      <c r="A14807" t="s">
        <v>227</v>
      </c>
      <c r="B14807" t="s">
        <v>371</v>
      </c>
      <c r="C14807" s="26">
        <v>0.85160000000000002</v>
      </c>
      <c r="D14807" s="26">
        <v>2.58E-2</v>
      </c>
      <c r="E14807" s="26">
        <v>6.4500000000000002E-2</v>
      </c>
      <c r="F14807" s="26">
        <v>3.8699999999999998E-2</v>
      </c>
      <c r="G14807" s="26">
        <v>1.9400000000000001E-2</v>
      </c>
      <c r="I14807" s="26">
        <v>6.4999999999999997E-3</v>
      </c>
      <c r="J14807" s="26">
        <v>1.29E-2</v>
      </c>
      <c r="O14807">
        <v>155</v>
      </c>
    </row>
    <row r="14808" spans="1:15" x14ac:dyDescent="0.35">
      <c r="A14808" t="s">
        <v>228</v>
      </c>
      <c r="B14808" t="s">
        <v>371</v>
      </c>
      <c r="C14808" s="26">
        <v>0.74550000000000005</v>
      </c>
      <c r="D14808" s="26">
        <v>9.4200000000000006E-2</v>
      </c>
      <c r="E14808" s="26">
        <v>6.8199999999999997E-2</v>
      </c>
      <c r="F14808" s="26">
        <v>7.4399999999999994E-2</v>
      </c>
      <c r="G14808" s="26">
        <v>3.44E-2</v>
      </c>
      <c r="H14808" s="26">
        <v>2.1499999999999998E-2</v>
      </c>
      <c r="I14808" s="26">
        <v>7.7999999999999996E-3</v>
      </c>
      <c r="J14808" s="26">
        <v>8.6E-3</v>
      </c>
      <c r="K14808" s="26">
        <v>0.02</v>
      </c>
      <c r="L14808" s="26">
        <v>6.9999999999999999E-4</v>
      </c>
      <c r="M14808" s="26">
        <v>7.1000000000000004E-3</v>
      </c>
      <c r="N14808" s="26">
        <v>6.4000000000000003E-3</v>
      </c>
      <c r="O14808">
        <v>290</v>
      </c>
    </row>
    <row r="14809" spans="1:15" x14ac:dyDescent="0.35">
      <c r="A14809" t="s">
        <v>228</v>
      </c>
      <c r="B14809" t="s">
        <v>372</v>
      </c>
      <c r="C14809" s="26">
        <v>0.6895</v>
      </c>
      <c r="D14809" s="26">
        <v>0.21329999999999999</v>
      </c>
      <c r="E14809" s="26">
        <v>3.5999999999999997E-2</v>
      </c>
      <c r="F14809" s="26">
        <v>5.16E-2</v>
      </c>
      <c r="G14809" s="26">
        <v>1.24E-2</v>
      </c>
      <c r="H14809" s="26">
        <v>6.5699999999999995E-2</v>
      </c>
      <c r="I14809" s="26">
        <v>2.52E-2</v>
      </c>
      <c r="J14809" s="26">
        <v>1.29E-2</v>
      </c>
      <c r="K14809" s="26">
        <v>1.78E-2</v>
      </c>
      <c r="M14809" s="26">
        <v>2.8999999999999998E-3</v>
      </c>
      <c r="O14809">
        <v>212</v>
      </c>
    </row>
    <row r="14810" spans="1:15" x14ac:dyDescent="0.35">
      <c r="A14810" t="s">
        <v>228</v>
      </c>
      <c r="B14810" t="s">
        <v>373</v>
      </c>
      <c r="C14810" s="26">
        <v>0.74919999999999998</v>
      </c>
      <c r="D14810" s="26">
        <v>9.9900000000000003E-2</v>
      </c>
      <c r="E14810" s="26">
        <v>3.4500000000000003E-2</v>
      </c>
      <c r="F14810" s="26">
        <v>5.8500000000000003E-2</v>
      </c>
      <c r="G14810" s="26">
        <v>2.3599999999999999E-2</v>
      </c>
      <c r="H14810" s="26">
        <v>3.5000000000000003E-2</v>
      </c>
      <c r="I14810" s="26">
        <v>1.3299999999999999E-2</v>
      </c>
      <c r="J14810" s="26">
        <v>2.2700000000000001E-2</v>
      </c>
      <c r="K14810" s="26">
        <v>1.03E-2</v>
      </c>
      <c r="L14810" s="26">
        <v>1.1000000000000001E-3</v>
      </c>
      <c r="M14810" s="26">
        <v>1.04E-2</v>
      </c>
      <c r="N14810" s="26">
        <v>8.9999999999999998E-4</v>
      </c>
      <c r="O14810">
        <v>518</v>
      </c>
    </row>
    <row r="14811" spans="1:15" x14ac:dyDescent="0.35">
      <c r="A14811" t="s">
        <v>229</v>
      </c>
      <c r="B14811" t="s">
        <v>371</v>
      </c>
      <c r="C14811" s="26">
        <v>0.80769999999999997</v>
      </c>
      <c r="D14811" s="26">
        <v>9.1300000000000006E-2</v>
      </c>
      <c r="E14811" s="26">
        <v>2.2800000000000001E-2</v>
      </c>
      <c r="F14811" s="26">
        <v>4.3099999999999999E-2</v>
      </c>
      <c r="G14811" s="26">
        <v>2.0299999999999999E-2</v>
      </c>
      <c r="H14811" s="26">
        <v>8.8999999999999999E-3</v>
      </c>
      <c r="I14811" s="26">
        <v>8.0000000000000002E-3</v>
      </c>
      <c r="J14811" s="26">
        <v>6.7000000000000002E-3</v>
      </c>
      <c r="K14811" s="26">
        <v>1.0200000000000001E-2</v>
      </c>
      <c r="L14811" s="26">
        <v>6.4999999999999997E-3</v>
      </c>
      <c r="M14811" s="26">
        <v>6.9999999999999999E-4</v>
      </c>
      <c r="N14811" s="26">
        <v>2.8E-3</v>
      </c>
      <c r="O14811">
        <v>572</v>
      </c>
    </row>
    <row r="14812" spans="1:15" x14ac:dyDescent="0.35">
      <c r="A14812" t="s">
        <v>229</v>
      </c>
      <c r="B14812" t="s">
        <v>372</v>
      </c>
      <c r="C14812" s="26">
        <v>0.78280000000000005</v>
      </c>
      <c r="D14812" s="26">
        <v>0.1188</v>
      </c>
      <c r="F14812" s="26">
        <v>7.4200000000000002E-2</v>
      </c>
      <c r="G14812" s="26">
        <v>6.7000000000000002E-3</v>
      </c>
      <c r="H14812" s="26">
        <v>5.3100000000000001E-2</v>
      </c>
      <c r="I14812" s="26">
        <v>2.0199999999999999E-2</v>
      </c>
      <c r="J14812" s="26">
        <v>1.9E-3</v>
      </c>
      <c r="M14812" s="26">
        <v>6.7000000000000002E-3</v>
      </c>
      <c r="N14812" s="26">
        <v>6.7000000000000002E-3</v>
      </c>
      <c r="O14812">
        <v>215</v>
      </c>
    </row>
    <row r="14813" spans="1:15" x14ac:dyDescent="0.35">
      <c r="A14813" t="s">
        <v>229</v>
      </c>
      <c r="B14813" t="s">
        <v>373</v>
      </c>
      <c r="C14813" s="26">
        <v>0.84219999999999995</v>
      </c>
      <c r="D14813" s="26">
        <v>2.47E-2</v>
      </c>
      <c r="E14813" s="26">
        <v>1.23E-2</v>
      </c>
      <c r="F14813" s="26">
        <v>2.47E-2</v>
      </c>
      <c r="G14813" s="26">
        <v>1.23E-2</v>
      </c>
      <c r="H14813" s="26">
        <v>3.6999999999999998E-2</v>
      </c>
      <c r="I14813" s="26">
        <v>3.4500000000000003E-2</v>
      </c>
      <c r="J14813" s="26">
        <v>1.23E-2</v>
      </c>
      <c r="K14813" s="26">
        <v>1.23E-2</v>
      </c>
      <c r="M14813" s="26">
        <v>1.23E-2</v>
      </c>
      <c r="O14813">
        <v>90</v>
      </c>
    </row>
    <row r="14814" spans="1:15" x14ac:dyDescent="0.35">
      <c r="A14814" t="s">
        <v>230</v>
      </c>
      <c r="B14814" t="s">
        <v>371</v>
      </c>
      <c r="C14814" s="26">
        <v>0.79949999999999999</v>
      </c>
      <c r="D14814" s="26">
        <v>5.8200000000000002E-2</v>
      </c>
      <c r="E14814" s="26">
        <v>4.7E-2</v>
      </c>
      <c r="F14814" s="26">
        <v>4.7E-2</v>
      </c>
      <c r="G14814" s="26">
        <v>1.6799999999999999E-2</v>
      </c>
      <c r="H14814" s="26">
        <v>2.3E-3</v>
      </c>
      <c r="I14814" s="26">
        <v>2.24E-2</v>
      </c>
      <c r="J14814" s="26">
        <v>1.34E-2</v>
      </c>
      <c r="L14814" s="26">
        <v>6.7000000000000002E-3</v>
      </c>
      <c r="O14814">
        <v>257</v>
      </c>
    </row>
    <row r="14815" spans="1:15" x14ac:dyDescent="0.35">
      <c r="A14815" t="s">
        <v>230</v>
      </c>
      <c r="B14815" t="s">
        <v>372</v>
      </c>
      <c r="C14815" s="26">
        <v>0.6129</v>
      </c>
      <c r="D14815" s="26">
        <v>0.25690000000000002</v>
      </c>
      <c r="E14815" s="26">
        <v>2.3900000000000001E-2</v>
      </c>
      <c r="F14815" s="26">
        <v>8.2400000000000001E-2</v>
      </c>
      <c r="G14815" s="26">
        <v>2.87E-2</v>
      </c>
      <c r="H14815" s="26">
        <v>5.74E-2</v>
      </c>
      <c r="I14815" s="26">
        <v>2.0299999999999999E-2</v>
      </c>
      <c r="J14815" s="26">
        <v>9.5999999999999992E-3</v>
      </c>
      <c r="K14815" s="26">
        <v>1.9099999999999999E-2</v>
      </c>
      <c r="M14815" s="26">
        <v>4.7999999999999996E-3</v>
      </c>
      <c r="O14815">
        <v>144</v>
      </c>
    </row>
    <row r="14816" spans="1:15" x14ac:dyDescent="0.35">
      <c r="A14816" t="s">
        <v>230</v>
      </c>
      <c r="B14816" t="s">
        <v>373</v>
      </c>
      <c r="C14816" s="26">
        <v>0.87009999999999998</v>
      </c>
      <c r="D14816" s="26">
        <v>5.7700000000000001E-2</v>
      </c>
      <c r="E14816" s="26">
        <v>2.2000000000000001E-3</v>
      </c>
      <c r="F14816" s="26">
        <v>1.4E-2</v>
      </c>
      <c r="G14816" s="26">
        <v>7.0000000000000001E-3</v>
      </c>
      <c r="H14816" s="26">
        <v>2.3199999999999998E-2</v>
      </c>
      <c r="I14816" s="26">
        <v>2.1000000000000001E-2</v>
      </c>
      <c r="K14816" s="26">
        <v>7.0000000000000001E-3</v>
      </c>
      <c r="O14816">
        <v>151</v>
      </c>
    </row>
    <row r="14817" spans="1:15" x14ac:dyDescent="0.35">
      <c r="A14817" t="s">
        <v>231</v>
      </c>
      <c r="B14817" t="s">
        <v>371</v>
      </c>
      <c r="C14817" s="26">
        <v>0.83950000000000002</v>
      </c>
      <c r="D14817" s="26">
        <v>4.3200000000000002E-2</v>
      </c>
      <c r="E14817" s="26">
        <v>4.9399999999999999E-2</v>
      </c>
      <c r="F14817" s="26">
        <v>1.23E-2</v>
      </c>
      <c r="G14817" s="26">
        <v>1.23E-2</v>
      </c>
      <c r="H14817" s="26">
        <v>1.8499999999999999E-2</v>
      </c>
      <c r="I14817" s="26">
        <v>1.8499999999999999E-2</v>
      </c>
      <c r="J14817" s="26">
        <v>1.23E-2</v>
      </c>
      <c r="K14817" s="26">
        <v>6.1999999999999998E-3</v>
      </c>
      <c r="L14817" s="26">
        <v>1.23E-2</v>
      </c>
      <c r="O14817">
        <v>162</v>
      </c>
    </row>
    <row r="14818" spans="1:15" x14ac:dyDescent="0.35">
      <c r="A14818" t="s">
        <v>232</v>
      </c>
      <c r="B14818" t="s">
        <v>232</v>
      </c>
      <c r="C14818" s="26">
        <v>0.80920000000000003</v>
      </c>
      <c r="D14818" s="26">
        <v>6.9000000000000006E-2</v>
      </c>
      <c r="E14818" s="26">
        <v>4.3400000000000001E-2</v>
      </c>
      <c r="F14818" s="26">
        <v>3.8899999999999997E-2</v>
      </c>
      <c r="G14818" s="26">
        <v>1.89E-2</v>
      </c>
      <c r="H14818" s="26">
        <v>1.52E-2</v>
      </c>
      <c r="I14818" s="26">
        <v>1.3100000000000001E-2</v>
      </c>
      <c r="J14818" s="26">
        <v>1.11E-2</v>
      </c>
      <c r="K14818" s="26">
        <v>7.7999999999999996E-3</v>
      </c>
      <c r="L14818" s="26">
        <v>5.7999999999999996E-3</v>
      </c>
      <c r="M14818" s="26">
        <v>2E-3</v>
      </c>
      <c r="N14818" s="26">
        <v>1.6000000000000001E-3</v>
      </c>
      <c r="O14818">
        <v>2766</v>
      </c>
    </row>
    <row r="14820" spans="1:15" x14ac:dyDescent="0.35">
      <c r="A14820" s="1" t="s">
        <v>1615</v>
      </c>
    </row>
    <row r="14821" spans="1:15" x14ac:dyDescent="0.35">
      <c r="A14821" t="s">
        <v>219</v>
      </c>
      <c r="B14821" t="s">
        <v>305</v>
      </c>
      <c r="C14821" t="s">
        <v>550</v>
      </c>
      <c r="D14821" t="s">
        <v>1596</v>
      </c>
      <c r="E14821" t="s">
        <v>1597</v>
      </c>
      <c r="F14821" t="s">
        <v>1598</v>
      </c>
      <c r="G14821" t="s">
        <v>1599</v>
      </c>
      <c r="H14821" t="s">
        <v>1600</v>
      </c>
      <c r="I14821" t="s">
        <v>281</v>
      </c>
      <c r="J14821" t="s">
        <v>1601</v>
      </c>
      <c r="K14821" t="s">
        <v>1602</v>
      </c>
      <c r="L14821" t="s">
        <v>1603</v>
      </c>
      <c r="M14821" t="s">
        <v>1604</v>
      </c>
      <c r="N14821" t="s">
        <v>286</v>
      </c>
      <c r="O14821" t="s">
        <v>226</v>
      </c>
    </row>
    <row r="14822" spans="1:15" x14ac:dyDescent="0.35">
      <c r="A14822" t="s">
        <v>227</v>
      </c>
      <c r="B14822" t="s">
        <v>255</v>
      </c>
      <c r="C14822" s="26">
        <v>0.85840000000000005</v>
      </c>
      <c r="D14822" s="26">
        <v>1.77E-2</v>
      </c>
      <c r="E14822" s="26">
        <v>5.3100000000000001E-2</v>
      </c>
      <c r="F14822" s="26">
        <v>5.3100000000000001E-2</v>
      </c>
      <c r="G14822" s="26">
        <v>1.77E-2</v>
      </c>
      <c r="I14822" s="26">
        <v>8.8000000000000005E-3</v>
      </c>
      <c r="J14822" s="26">
        <v>1.77E-2</v>
      </c>
      <c r="O14822">
        <v>113</v>
      </c>
    </row>
    <row r="14823" spans="1:15" x14ac:dyDescent="0.35">
      <c r="A14823" s="27" t="s">
        <v>227</v>
      </c>
      <c r="B14823" s="27" t="s">
        <v>257</v>
      </c>
      <c r="C14823" s="28">
        <v>0.75</v>
      </c>
      <c r="D14823" s="29"/>
      <c r="E14823" s="28">
        <v>0.25</v>
      </c>
      <c r="F14823" s="29"/>
      <c r="G14823" s="29"/>
      <c r="H14823" s="29"/>
      <c r="I14823" s="29"/>
      <c r="J14823" s="29"/>
      <c r="K14823" s="29"/>
      <c r="L14823" s="29"/>
      <c r="M14823" s="29"/>
      <c r="N14823" s="29"/>
      <c r="O14823" s="29" t="s">
        <v>333</v>
      </c>
    </row>
    <row r="14824" spans="1:15" x14ac:dyDescent="0.35">
      <c r="A14824" t="s">
        <v>227</v>
      </c>
      <c r="B14824" t="s">
        <v>256</v>
      </c>
      <c r="C14824" s="26">
        <v>0.85289999999999999</v>
      </c>
      <c r="D14824" s="26">
        <v>5.8799999999999998E-2</v>
      </c>
      <c r="E14824" s="26">
        <v>5.8799999999999998E-2</v>
      </c>
      <c r="G14824" s="26">
        <v>2.9399999999999999E-2</v>
      </c>
      <c r="O14824">
        <v>34</v>
      </c>
    </row>
    <row r="14825" spans="1:15" x14ac:dyDescent="0.35">
      <c r="A14825" t="s">
        <v>228</v>
      </c>
      <c r="B14825" t="s">
        <v>257</v>
      </c>
      <c r="C14825" s="26">
        <v>0.86419999999999997</v>
      </c>
      <c r="D14825" s="26">
        <v>3.1E-2</v>
      </c>
      <c r="E14825" s="26">
        <v>7.17E-2</v>
      </c>
      <c r="F14825" s="26">
        <v>7.9000000000000008E-3</v>
      </c>
      <c r="H14825" s="26">
        <v>1.26E-2</v>
      </c>
      <c r="J14825" s="26">
        <v>4.7000000000000002E-3</v>
      </c>
      <c r="K14825" s="26">
        <v>7.9000000000000008E-3</v>
      </c>
      <c r="L14825" s="26">
        <v>7.9000000000000008E-3</v>
      </c>
      <c r="O14825">
        <v>49</v>
      </c>
    </row>
    <row r="14826" spans="1:15" x14ac:dyDescent="0.35">
      <c r="A14826" s="27" t="s">
        <v>228</v>
      </c>
      <c r="B14826" s="27" t="s">
        <v>258</v>
      </c>
      <c r="C14826" s="28">
        <v>0.30730000000000002</v>
      </c>
      <c r="D14826" s="28">
        <v>9.8100000000000007E-2</v>
      </c>
      <c r="E14826" s="28">
        <v>0.59470000000000001</v>
      </c>
      <c r="F14826" s="28">
        <v>9.8100000000000007E-2</v>
      </c>
      <c r="G14826" s="29"/>
      <c r="H14826" s="28">
        <v>9.8100000000000007E-2</v>
      </c>
      <c r="I14826" s="29"/>
      <c r="J14826" s="29"/>
      <c r="K14826" s="29"/>
      <c r="L14826" s="29"/>
      <c r="M14826" s="29"/>
      <c r="N14826" s="29"/>
      <c r="O14826" s="29" t="s">
        <v>337</v>
      </c>
    </row>
    <row r="14827" spans="1:15" x14ac:dyDescent="0.35">
      <c r="A14827" t="s">
        <v>228</v>
      </c>
      <c r="B14827" t="s">
        <v>256</v>
      </c>
      <c r="C14827" s="26">
        <v>0.7873</v>
      </c>
      <c r="D14827" s="26">
        <v>7.0300000000000001E-2</v>
      </c>
      <c r="E14827" s="26">
        <v>5.28E-2</v>
      </c>
      <c r="F14827" s="26">
        <v>6.8500000000000005E-2</v>
      </c>
      <c r="G14827" s="26">
        <v>2.5999999999999999E-2</v>
      </c>
      <c r="H14827" s="26">
        <v>3.9399999999999998E-2</v>
      </c>
      <c r="I14827" s="26">
        <v>3.8E-3</v>
      </c>
      <c r="J14827" s="26">
        <v>1.0200000000000001E-2</v>
      </c>
      <c r="K14827" s="26">
        <v>1.54E-2</v>
      </c>
      <c r="L14827" s="26">
        <v>1.5E-3</v>
      </c>
      <c r="M14827" s="26">
        <v>6.0000000000000001E-3</v>
      </c>
      <c r="N14827" s="26">
        <v>1.3899999999999999E-2</v>
      </c>
      <c r="O14827">
        <v>218</v>
      </c>
    </row>
    <row r="14828" spans="1:15" x14ac:dyDescent="0.35">
      <c r="A14828" t="s">
        <v>228</v>
      </c>
      <c r="B14828" t="s">
        <v>255</v>
      </c>
      <c r="C14828" s="26">
        <v>0.72089999999999999</v>
      </c>
      <c r="D14828" s="26">
        <v>0.12470000000000001</v>
      </c>
      <c r="E14828" s="26">
        <v>4.6100000000000002E-2</v>
      </c>
      <c r="F14828" s="26">
        <v>6.9599999999999995E-2</v>
      </c>
      <c r="G14828" s="26">
        <v>3.1399999999999997E-2</v>
      </c>
      <c r="H14828" s="26">
        <v>2.8299999999999999E-2</v>
      </c>
      <c r="I14828" s="26">
        <v>1.5100000000000001E-2</v>
      </c>
      <c r="J14828" s="26">
        <v>1.6899999999999998E-2</v>
      </c>
      <c r="K14828" s="26">
        <v>1.7000000000000001E-2</v>
      </c>
      <c r="M14828" s="26">
        <v>9.4000000000000004E-3</v>
      </c>
      <c r="N14828" s="26">
        <v>5.0000000000000001E-4</v>
      </c>
      <c r="O14828">
        <v>749</v>
      </c>
    </row>
    <row r="14829" spans="1:15" x14ac:dyDescent="0.35">
      <c r="A14829" t="s">
        <v>229</v>
      </c>
      <c r="B14829" t="s">
        <v>256</v>
      </c>
      <c r="C14829" s="26">
        <v>0.86229999999999996</v>
      </c>
      <c r="D14829" s="26">
        <v>5.7599999999999998E-2</v>
      </c>
      <c r="E14829" s="26">
        <v>2.2700000000000001E-2</v>
      </c>
      <c r="F14829" s="26">
        <v>1.6299999999999999E-2</v>
      </c>
      <c r="H14829" s="26">
        <v>4.0000000000000002E-4</v>
      </c>
      <c r="I14829" s="26">
        <v>4.1000000000000003E-3</v>
      </c>
      <c r="J14829" s="26">
        <v>2.4E-2</v>
      </c>
      <c r="K14829" s="26">
        <v>1.3899999999999999E-2</v>
      </c>
      <c r="M14829" s="26">
        <v>1.1999999999999999E-3</v>
      </c>
      <c r="O14829">
        <v>201</v>
      </c>
    </row>
    <row r="14830" spans="1:15" x14ac:dyDescent="0.35">
      <c r="A14830" t="s">
        <v>229</v>
      </c>
      <c r="B14830" t="s">
        <v>255</v>
      </c>
      <c r="C14830" s="26">
        <v>0.78290000000000004</v>
      </c>
      <c r="D14830" s="26">
        <v>0.106</v>
      </c>
      <c r="E14830" s="26">
        <v>2.2499999999999999E-2</v>
      </c>
      <c r="F14830" s="26">
        <v>5.4300000000000001E-2</v>
      </c>
      <c r="G14830" s="26">
        <v>2.4E-2</v>
      </c>
      <c r="H14830" s="26">
        <v>1.4800000000000001E-2</v>
      </c>
      <c r="I14830" s="26">
        <v>1.21E-2</v>
      </c>
      <c r="J14830" s="26">
        <v>1E-4</v>
      </c>
      <c r="K14830" s="26">
        <v>5.0000000000000001E-3</v>
      </c>
      <c r="L14830" s="26">
        <v>8.8000000000000005E-3</v>
      </c>
      <c r="M14830" s="26">
        <v>8.0000000000000004E-4</v>
      </c>
      <c r="N14830" s="26">
        <v>4.3E-3</v>
      </c>
      <c r="O14830">
        <v>628</v>
      </c>
    </row>
    <row r="14831" spans="1:15" x14ac:dyDescent="0.35">
      <c r="A14831" t="s">
        <v>229</v>
      </c>
      <c r="B14831" t="s">
        <v>257</v>
      </c>
      <c r="C14831" s="26">
        <v>0.8407</v>
      </c>
      <c r="D14831" s="26">
        <v>6.5699999999999995E-2</v>
      </c>
      <c r="F14831" s="26">
        <v>5.8900000000000001E-2</v>
      </c>
      <c r="G14831" s="26">
        <v>6.2300000000000001E-2</v>
      </c>
      <c r="H14831" s="26">
        <v>3.4599999999999999E-2</v>
      </c>
      <c r="K14831" s="26">
        <v>5.21E-2</v>
      </c>
      <c r="M14831" s="26">
        <v>1.03E-2</v>
      </c>
      <c r="O14831">
        <v>46</v>
      </c>
    </row>
    <row r="14832" spans="1:15" x14ac:dyDescent="0.35">
      <c r="A14832" s="27" t="s">
        <v>229</v>
      </c>
      <c r="B14832" s="27" t="s">
        <v>258</v>
      </c>
      <c r="C14832" s="28">
        <v>1</v>
      </c>
      <c r="D14832" s="29"/>
      <c r="E14832" s="29"/>
      <c r="F14832" s="29"/>
      <c r="G14832" s="29"/>
      <c r="H14832" s="29"/>
      <c r="I14832" s="29"/>
      <c r="J14832" s="29"/>
      <c r="K14832" s="29"/>
      <c r="L14832" s="29"/>
      <c r="M14832" s="29"/>
      <c r="N14832" s="29"/>
      <c r="O14832" s="29" t="s">
        <v>314</v>
      </c>
    </row>
    <row r="14833" spans="1:15" x14ac:dyDescent="0.35">
      <c r="A14833" t="s">
        <v>230</v>
      </c>
      <c r="B14833" t="s">
        <v>256</v>
      </c>
      <c r="C14833" s="26">
        <v>0.83579999999999999</v>
      </c>
      <c r="D14833" s="26">
        <v>4.2200000000000001E-2</v>
      </c>
      <c r="E14833" s="26">
        <v>2.3900000000000001E-2</v>
      </c>
      <c r="F14833" s="26">
        <v>2.7400000000000001E-2</v>
      </c>
      <c r="G14833" s="26">
        <v>2.53E-2</v>
      </c>
      <c r="H14833" s="26">
        <v>2.0999999999999999E-3</v>
      </c>
      <c r="I14833" s="26">
        <v>2.7699999999999999E-2</v>
      </c>
      <c r="J14833" s="26">
        <v>2.0799999999999999E-2</v>
      </c>
      <c r="K14833" s="26">
        <v>1.1000000000000001E-3</v>
      </c>
      <c r="M14833" s="26">
        <v>1.1000000000000001E-3</v>
      </c>
      <c r="O14833">
        <v>129</v>
      </c>
    </row>
    <row r="14834" spans="1:15" x14ac:dyDescent="0.35">
      <c r="A14834" t="s">
        <v>230</v>
      </c>
      <c r="B14834" t="s">
        <v>255</v>
      </c>
      <c r="C14834" s="26">
        <v>0.7792</v>
      </c>
      <c r="D14834" s="26">
        <v>8.7800000000000003E-2</v>
      </c>
      <c r="E14834" s="26">
        <v>4.24E-2</v>
      </c>
      <c r="F14834" s="26">
        <v>5.62E-2</v>
      </c>
      <c r="G14834" s="26">
        <v>1.3100000000000001E-2</v>
      </c>
      <c r="H14834" s="26">
        <v>1.14E-2</v>
      </c>
      <c r="I14834" s="26">
        <v>1.41E-2</v>
      </c>
      <c r="J14834" s="26">
        <v>9.1000000000000004E-3</v>
      </c>
      <c r="K14834" s="26">
        <v>2.5999999999999999E-3</v>
      </c>
      <c r="L14834" s="26">
        <v>8.2000000000000007E-3</v>
      </c>
      <c r="O14834">
        <v>383</v>
      </c>
    </row>
    <row r="14835" spans="1:15" x14ac:dyDescent="0.35">
      <c r="A14835" t="s">
        <v>230</v>
      </c>
      <c r="B14835" t="s">
        <v>257</v>
      </c>
      <c r="C14835" s="26">
        <v>0.81299999999999994</v>
      </c>
      <c r="D14835" s="26">
        <v>4.1999999999999997E-3</v>
      </c>
      <c r="E14835" s="26">
        <v>8.2400000000000001E-2</v>
      </c>
      <c r="F14835" s="26">
        <v>4.1999999999999997E-3</v>
      </c>
      <c r="G14835" s="26">
        <v>1.3899999999999999E-2</v>
      </c>
      <c r="I14835" s="26">
        <v>8.2400000000000001E-2</v>
      </c>
      <c r="O14835">
        <v>37</v>
      </c>
    </row>
    <row r="14836" spans="1:15" x14ac:dyDescent="0.35">
      <c r="A14836" s="27" t="s">
        <v>230</v>
      </c>
      <c r="B14836" s="27" t="s">
        <v>258</v>
      </c>
      <c r="C14836" s="28">
        <v>1</v>
      </c>
      <c r="D14836" s="29"/>
      <c r="E14836" s="29"/>
      <c r="F14836" s="29"/>
      <c r="G14836" s="29"/>
      <c r="H14836" s="29"/>
      <c r="I14836" s="29"/>
      <c r="J14836" s="29"/>
      <c r="K14836" s="29"/>
      <c r="L14836" s="29"/>
      <c r="M14836" s="29"/>
      <c r="N14836" s="29"/>
      <c r="O14836" s="29" t="s">
        <v>315</v>
      </c>
    </row>
    <row r="14837" spans="1:15" x14ac:dyDescent="0.35">
      <c r="A14837" s="27" t="s">
        <v>231</v>
      </c>
      <c r="B14837" s="27" t="s">
        <v>257</v>
      </c>
      <c r="C14837" s="28">
        <v>0.71430000000000005</v>
      </c>
      <c r="D14837" s="28">
        <v>0.1429</v>
      </c>
      <c r="E14837" s="28">
        <v>0.1429</v>
      </c>
      <c r="F14837" s="29"/>
      <c r="G14837" s="29"/>
      <c r="H14837" s="29"/>
      <c r="I14837" s="29"/>
      <c r="J14837" s="29"/>
      <c r="K14837" s="29"/>
      <c r="L14837" s="29"/>
      <c r="M14837" s="29"/>
      <c r="N14837" s="29"/>
      <c r="O14837" s="29" t="s">
        <v>339</v>
      </c>
    </row>
    <row r="14838" spans="1:15" x14ac:dyDescent="0.35">
      <c r="A14838" t="s">
        <v>231</v>
      </c>
      <c r="B14838" t="s">
        <v>255</v>
      </c>
      <c r="C14838" s="26">
        <v>0.84250000000000003</v>
      </c>
      <c r="D14838" s="26">
        <v>3.15E-2</v>
      </c>
      <c r="E14838" s="26">
        <v>5.5100000000000003E-2</v>
      </c>
      <c r="F14838" s="26">
        <v>1.5699999999999999E-2</v>
      </c>
      <c r="G14838" s="26">
        <v>1.5699999999999999E-2</v>
      </c>
      <c r="H14838" s="26">
        <v>2.3599999999999999E-2</v>
      </c>
      <c r="I14838" s="26">
        <v>1.5699999999999999E-2</v>
      </c>
      <c r="J14838" s="26">
        <v>1.5699999999999999E-2</v>
      </c>
      <c r="L14838" s="26">
        <v>1.5699999999999999E-2</v>
      </c>
      <c r="O14838">
        <v>127</v>
      </c>
    </row>
    <row r="14839" spans="1:15" x14ac:dyDescent="0.35">
      <c r="A14839" s="27" t="s">
        <v>231</v>
      </c>
      <c r="B14839" s="27" t="s">
        <v>256</v>
      </c>
      <c r="C14839" s="28">
        <v>0.85709999999999997</v>
      </c>
      <c r="D14839" s="28">
        <v>7.1400000000000005E-2</v>
      </c>
      <c r="E14839" s="29"/>
      <c r="F14839" s="29"/>
      <c r="G14839" s="29"/>
      <c r="H14839" s="29"/>
      <c r="I14839" s="28">
        <v>3.5700000000000003E-2</v>
      </c>
      <c r="J14839" s="29"/>
      <c r="K14839" s="28">
        <v>3.5700000000000003E-2</v>
      </c>
      <c r="L14839" s="29"/>
      <c r="M14839" s="29"/>
      <c r="N14839" s="29"/>
      <c r="O14839" s="29" t="s">
        <v>336</v>
      </c>
    </row>
    <row r="14840" spans="1:15" x14ac:dyDescent="0.35">
      <c r="A14840" t="s">
        <v>232</v>
      </c>
      <c r="B14840" t="s">
        <v>232</v>
      </c>
      <c r="C14840" s="26">
        <v>0.80920000000000003</v>
      </c>
      <c r="D14840" s="26">
        <v>6.9000000000000006E-2</v>
      </c>
      <c r="E14840" s="26">
        <v>4.3400000000000001E-2</v>
      </c>
      <c r="F14840" s="26">
        <v>3.8899999999999997E-2</v>
      </c>
      <c r="G14840" s="26">
        <v>1.89E-2</v>
      </c>
      <c r="H14840" s="26">
        <v>1.52E-2</v>
      </c>
      <c r="I14840" s="26">
        <v>1.3100000000000001E-2</v>
      </c>
      <c r="J14840" s="26">
        <v>1.11E-2</v>
      </c>
      <c r="K14840" s="26">
        <v>7.7999999999999996E-3</v>
      </c>
      <c r="L14840" s="26">
        <v>5.7999999999999996E-3</v>
      </c>
      <c r="M14840" s="26">
        <v>2E-3</v>
      </c>
      <c r="N14840" s="26">
        <v>1.6000000000000001E-3</v>
      </c>
      <c r="O14840">
        <v>2766</v>
      </c>
    </row>
    <row r="14842" spans="1:15" x14ac:dyDescent="0.35">
      <c r="A14842" s="1" t="s">
        <v>1616</v>
      </c>
    </row>
    <row r="14843" spans="1:15" x14ac:dyDescent="0.35">
      <c r="A14843" t="s">
        <v>219</v>
      </c>
      <c r="B14843" t="s">
        <v>305</v>
      </c>
      <c r="C14843" t="s">
        <v>550</v>
      </c>
      <c r="D14843" t="s">
        <v>1596</v>
      </c>
      <c r="E14843" t="s">
        <v>1597</v>
      </c>
      <c r="F14843" t="s">
        <v>1598</v>
      </c>
      <c r="G14843" t="s">
        <v>1599</v>
      </c>
      <c r="H14843" t="s">
        <v>1600</v>
      </c>
      <c r="I14843" t="s">
        <v>281</v>
      </c>
      <c r="J14843" t="s">
        <v>1601</v>
      </c>
      <c r="K14843" t="s">
        <v>1602</v>
      </c>
      <c r="L14843" t="s">
        <v>1603</v>
      </c>
      <c r="M14843" t="s">
        <v>1604</v>
      </c>
      <c r="N14843" t="s">
        <v>286</v>
      </c>
      <c r="O14843" t="s">
        <v>226</v>
      </c>
    </row>
    <row r="14844" spans="1:15" x14ac:dyDescent="0.35">
      <c r="A14844" t="s">
        <v>227</v>
      </c>
      <c r="B14844" t="s">
        <v>1341</v>
      </c>
      <c r="C14844" s="26">
        <v>0.8367</v>
      </c>
      <c r="D14844" s="26">
        <v>4.0800000000000003E-2</v>
      </c>
      <c r="E14844" s="26">
        <v>2.0400000000000001E-2</v>
      </c>
      <c r="F14844" s="26">
        <v>6.1199999999999997E-2</v>
      </c>
      <c r="G14844" s="26">
        <v>2.0400000000000001E-2</v>
      </c>
      <c r="I14844" s="26">
        <v>2.0400000000000001E-2</v>
      </c>
      <c r="J14844" s="26">
        <v>2.0400000000000001E-2</v>
      </c>
      <c r="O14844">
        <v>49</v>
      </c>
    </row>
    <row r="14845" spans="1:15" x14ac:dyDescent="0.35">
      <c r="A14845" s="27" t="s">
        <v>227</v>
      </c>
      <c r="B14845" s="27" t="s">
        <v>1342</v>
      </c>
      <c r="C14845" s="28">
        <v>1</v>
      </c>
      <c r="D14845" s="29"/>
      <c r="E14845" s="29"/>
      <c r="F14845" s="29"/>
      <c r="G14845" s="29"/>
      <c r="H14845" s="29"/>
      <c r="I14845" s="29"/>
      <c r="J14845" s="29"/>
      <c r="K14845" s="29"/>
      <c r="L14845" s="29"/>
      <c r="M14845" s="29"/>
      <c r="N14845" s="29"/>
      <c r="O14845" s="29" t="s">
        <v>331</v>
      </c>
    </row>
    <row r="14846" spans="1:15" x14ac:dyDescent="0.35">
      <c r="A14846" t="s">
        <v>227</v>
      </c>
      <c r="B14846" t="s">
        <v>1343</v>
      </c>
      <c r="C14846" s="26">
        <v>0.85709999999999997</v>
      </c>
      <c r="D14846" s="26">
        <v>1.9E-2</v>
      </c>
      <c r="E14846" s="26">
        <v>8.5699999999999998E-2</v>
      </c>
      <c r="F14846" s="26">
        <v>2.86E-2</v>
      </c>
      <c r="G14846" s="26">
        <v>1.9E-2</v>
      </c>
      <c r="J14846" s="26">
        <v>9.4999999999999998E-3</v>
      </c>
      <c r="O14846">
        <v>105</v>
      </c>
    </row>
    <row r="14847" spans="1:15" x14ac:dyDescent="0.35">
      <c r="A14847" t="s">
        <v>228</v>
      </c>
      <c r="B14847" t="s">
        <v>1341</v>
      </c>
      <c r="C14847" s="26">
        <v>0.72929999999999995</v>
      </c>
      <c r="D14847" s="26">
        <v>0.1242</v>
      </c>
      <c r="E14847" s="26">
        <v>4.8899999999999999E-2</v>
      </c>
      <c r="F14847" s="26">
        <v>6.0600000000000001E-2</v>
      </c>
      <c r="G14847" s="26">
        <v>1.6199999999999999E-2</v>
      </c>
      <c r="H14847" s="26">
        <v>3.6999999999999998E-2</v>
      </c>
      <c r="I14847" s="26">
        <v>7.4999999999999997E-3</v>
      </c>
      <c r="J14847" s="26">
        <v>2.3E-3</v>
      </c>
      <c r="K14847" s="26">
        <v>2.3900000000000001E-2</v>
      </c>
      <c r="M14847" s="26">
        <v>1.38E-2</v>
      </c>
      <c r="O14847">
        <v>299</v>
      </c>
    </row>
    <row r="14848" spans="1:15" x14ac:dyDescent="0.35">
      <c r="A14848" s="27" t="s">
        <v>228</v>
      </c>
      <c r="B14848" s="27" t="s">
        <v>1342</v>
      </c>
      <c r="C14848" s="29"/>
      <c r="D14848" s="28">
        <v>1</v>
      </c>
      <c r="E14848" s="29"/>
      <c r="F14848" s="29"/>
      <c r="G14848" s="29"/>
      <c r="H14848" s="29"/>
      <c r="I14848" s="29"/>
      <c r="J14848" s="29"/>
      <c r="K14848" s="29"/>
      <c r="L14848" s="29"/>
      <c r="M14848" s="29"/>
      <c r="N14848" s="29"/>
      <c r="O14848" s="29" t="s">
        <v>331</v>
      </c>
    </row>
    <row r="14849" spans="1:15" x14ac:dyDescent="0.35">
      <c r="A14849" t="s">
        <v>228</v>
      </c>
      <c r="B14849" t="s">
        <v>1343</v>
      </c>
      <c r="C14849" s="26">
        <v>0.75109999999999999</v>
      </c>
      <c r="D14849" s="26">
        <v>9.4799999999999995E-2</v>
      </c>
      <c r="E14849" s="26">
        <v>5.3800000000000001E-2</v>
      </c>
      <c r="F14849" s="26">
        <v>6.8900000000000003E-2</v>
      </c>
      <c r="G14849" s="26">
        <v>3.3399999999999999E-2</v>
      </c>
      <c r="H14849" s="26">
        <v>2.81E-2</v>
      </c>
      <c r="I14849" s="26">
        <v>1.32E-2</v>
      </c>
      <c r="J14849" s="26">
        <v>1.9699999999999999E-2</v>
      </c>
      <c r="K14849" s="26">
        <v>1.2800000000000001E-2</v>
      </c>
      <c r="L14849" s="26">
        <v>1.1000000000000001E-3</v>
      </c>
      <c r="M14849" s="26">
        <v>5.7000000000000002E-3</v>
      </c>
      <c r="N14849" s="26">
        <v>5.3E-3</v>
      </c>
      <c r="O14849">
        <v>720</v>
      </c>
    </row>
    <row r="14850" spans="1:15" x14ac:dyDescent="0.35">
      <c r="A14850" t="s">
        <v>229</v>
      </c>
      <c r="B14850" t="s">
        <v>1341</v>
      </c>
      <c r="C14850" s="26">
        <v>0.82369999999999999</v>
      </c>
      <c r="D14850" s="26">
        <v>7.0599999999999996E-2</v>
      </c>
      <c r="E14850" s="26">
        <v>9.4000000000000004E-3</v>
      </c>
      <c r="F14850" s="26">
        <v>2.35E-2</v>
      </c>
      <c r="G14850" s="26">
        <v>3.2000000000000001E-2</v>
      </c>
      <c r="H14850" s="26">
        <v>1.44E-2</v>
      </c>
      <c r="I14850" s="26">
        <v>1E-3</v>
      </c>
      <c r="J14850" s="26">
        <v>1.04E-2</v>
      </c>
      <c r="K14850" s="26">
        <v>1.04E-2</v>
      </c>
      <c r="L14850" s="26">
        <v>9.9000000000000008E-3</v>
      </c>
      <c r="M14850" s="26">
        <v>2.0999999999999999E-3</v>
      </c>
      <c r="O14850">
        <v>265</v>
      </c>
    </row>
    <row r="14851" spans="1:15" x14ac:dyDescent="0.35">
      <c r="A14851" t="s">
        <v>229</v>
      </c>
      <c r="B14851" t="s">
        <v>1343</v>
      </c>
      <c r="C14851" s="26">
        <v>0.79949999999999999</v>
      </c>
      <c r="D14851" s="26">
        <v>0.1007</v>
      </c>
      <c r="E14851" s="26">
        <v>2.7199999999999998E-2</v>
      </c>
      <c r="F14851" s="26">
        <v>5.4199999999999998E-2</v>
      </c>
      <c r="G14851" s="26">
        <v>1.32E-2</v>
      </c>
      <c r="H14851" s="26">
        <v>1.06E-2</v>
      </c>
      <c r="I14851" s="26">
        <v>1.34E-2</v>
      </c>
      <c r="J14851" s="26">
        <v>4.7000000000000002E-3</v>
      </c>
      <c r="K14851" s="26">
        <v>9.4000000000000004E-3</v>
      </c>
      <c r="L14851" s="26">
        <v>4.1000000000000003E-3</v>
      </c>
      <c r="M14851" s="26">
        <v>1E-3</v>
      </c>
      <c r="N14851" s="26">
        <v>4.3E-3</v>
      </c>
      <c r="O14851">
        <v>612</v>
      </c>
    </row>
    <row r="14852" spans="1:15" x14ac:dyDescent="0.35">
      <c r="A14852" t="s">
        <v>230</v>
      </c>
      <c r="B14852" t="s">
        <v>1341</v>
      </c>
      <c r="C14852" s="26">
        <v>0.77459999999999996</v>
      </c>
      <c r="D14852" s="26">
        <v>6.8500000000000005E-2</v>
      </c>
      <c r="E14852" s="26">
        <v>5.6500000000000002E-2</v>
      </c>
      <c r="F14852" s="26">
        <v>7.9200000000000007E-2</v>
      </c>
      <c r="G14852" s="26">
        <v>1.9699999999999999E-2</v>
      </c>
      <c r="H14852" s="26">
        <v>6.7000000000000002E-3</v>
      </c>
      <c r="I14852" s="26">
        <v>2.0899999999999998E-2</v>
      </c>
      <c r="K14852" s="26">
        <v>3.5999999999999999E-3</v>
      </c>
      <c r="M14852" s="26">
        <v>8.9999999999999998E-4</v>
      </c>
      <c r="O14852">
        <v>152</v>
      </c>
    </row>
    <row r="14853" spans="1:15" x14ac:dyDescent="0.35">
      <c r="A14853" t="s">
        <v>230</v>
      </c>
      <c r="B14853" t="s">
        <v>1343</v>
      </c>
      <c r="C14853" s="26">
        <v>0.80800000000000005</v>
      </c>
      <c r="D14853" s="26">
        <v>7.0199999999999999E-2</v>
      </c>
      <c r="E14853" s="26">
        <v>3.2599999999999997E-2</v>
      </c>
      <c r="F14853" s="26">
        <v>2.98E-2</v>
      </c>
      <c r="G14853" s="26">
        <v>1.47E-2</v>
      </c>
      <c r="H14853" s="26">
        <v>8.8000000000000005E-3</v>
      </c>
      <c r="I14853" s="26">
        <v>2.2700000000000001E-2</v>
      </c>
      <c r="J14853" s="26">
        <v>1.6500000000000001E-2</v>
      </c>
      <c r="K14853" s="26">
        <v>1.2999999999999999E-3</v>
      </c>
      <c r="L14853" s="26">
        <v>7.9000000000000008E-3</v>
      </c>
      <c r="O14853">
        <v>400</v>
      </c>
    </row>
    <row r="14854" spans="1:15" x14ac:dyDescent="0.35">
      <c r="A14854" t="s">
        <v>231</v>
      </c>
      <c r="B14854" t="s">
        <v>1341</v>
      </c>
      <c r="C14854" s="26">
        <v>0.875</v>
      </c>
      <c r="D14854" s="26">
        <v>6.25E-2</v>
      </c>
      <c r="F14854" s="26">
        <v>1.5599999999999999E-2</v>
      </c>
      <c r="G14854" s="26">
        <v>1.5599999999999999E-2</v>
      </c>
      <c r="H14854" s="26">
        <v>1.5599999999999999E-2</v>
      </c>
      <c r="I14854" s="26">
        <v>1.5599999999999999E-2</v>
      </c>
      <c r="L14854" s="26">
        <v>1.5599999999999999E-2</v>
      </c>
      <c r="O14854">
        <v>64</v>
      </c>
    </row>
    <row r="14855" spans="1:15" x14ac:dyDescent="0.35">
      <c r="A14855" t="s">
        <v>231</v>
      </c>
      <c r="B14855" t="s">
        <v>1343</v>
      </c>
      <c r="C14855" s="26">
        <v>0.81630000000000003</v>
      </c>
      <c r="D14855" s="26">
        <v>3.0599999999999999E-2</v>
      </c>
      <c r="E14855" s="26">
        <v>8.1600000000000006E-2</v>
      </c>
      <c r="F14855" s="26">
        <v>1.0200000000000001E-2</v>
      </c>
      <c r="G14855" s="26">
        <v>1.0200000000000001E-2</v>
      </c>
      <c r="H14855" s="26">
        <v>2.0400000000000001E-2</v>
      </c>
      <c r="I14855" s="26">
        <v>2.0400000000000001E-2</v>
      </c>
      <c r="J14855" s="26">
        <v>2.0400000000000001E-2</v>
      </c>
      <c r="K14855" s="26">
        <v>1.0200000000000001E-2</v>
      </c>
      <c r="L14855" s="26">
        <v>1.0200000000000001E-2</v>
      </c>
      <c r="O14855">
        <v>98</v>
      </c>
    </row>
    <row r="14856" spans="1:15" x14ac:dyDescent="0.35">
      <c r="A14856" t="s">
        <v>232</v>
      </c>
      <c r="B14856" t="s">
        <v>232</v>
      </c>
      <c r="C14856" s="26">
        <v>0.80920000000000003</v>
      </c>
      <c r="D14856" s="26">
        <v>6.9000000000000006E-2</v>
      </c>
      <c r="E14856" s="26">
        <v>4.3400000000000001E-2</v>
      </c>
      <c r="F14856" s="26">
        <v>3.8899999999999997E-2</v>
      </c>
      <c r="G14856" s="26">
        <v>1.89E-2</v>
      </c>
      <c r="H14856" s="26">
        <v>1.52E-2</v>
      </c>
      <c r="I14856" s="26">
        <v>1.3100000000000001E-2</v>
      </c>
      <c r="J14856" s="26">
        <v>1.11E-2</v>
      </c>
      <c r="K14856" s="26">
        <v>7.7999999999999996E-3</v>
      </c>
      <c r="L14856" s="26">
        <v>5.7999999999999996E-3</v>
      </c>
      <c r="M14856" s="26">
        <v>2E-3</v>
      </c>
      <c r="N14856" s="26">
        <v>1.6000000000000001E-3</v>
      </c>
      <c r="O14856">
        <v>2766</v>
      </c>
    </row>
    <row r="14858" spans="1:15" x14ac:dyDescent="0.35">
      <c r="A14858" s="1" t="s">
        <v>1617</v>
      </c>
    </row>
    <row r="14859" spans="1:15" x14ac:dyDescent="0.35">
      <c r="A14859" t="s">
        <v>219</v>
      </c>
      <c r="B14859" t="s">
        <v>305</v>
      </c>
      <c r="C14859" t="s">
        <v>550</v>
      </c>
      <c r="D14859" t="s">
        <v>1596</v>
      </c>
      <c r="E14859" t="s">
        <v>1597</v>
      </c>
      <c r="F14859" t="s">
        <v>1598</v>
      </c>
      <c r="G14859" t="s">
        <v>1599</v>
      </c>
      <c r="H14859" t="s">
        <v>1600</v>
      </c>
      <c r="I14859" t="s">
        <v>281</v>
      </c>
      <c r="J14859" t="s">
        <v>1601</v>
      </c>
      <c r="K14859" t="s">
        <v>1602</v>
      </c>
      <c r="L14859" t="s">
        <v>1603</v>
      </c>
      <c r="M14859" t="s">
        <v>1604</v>
      </c>
      <c r="N14859" t="s">
        <v>286</v>
      </c>
      <c r="O14859" t="s">
        <v>226</v>
      </c>
    </row>
    <row r="14860" spans="1:15" x14ac:dyDescent="0.35">
      <c r="A14860" s="27" t="s">
        <v>227</v>
      </c>
      <c r="B14860" s="27" t="s">
        <v>1345</v>
      </c>
      <c r="C14860" s="28">
        <v>1</v>
      </c>
      <c r="D14860" s="29"/>
      <c r="E14860" s="29"/>
      <c r="F14860" s="29"/>
      <c r="G14860" s="29"/>
      <c r="H14860" s="29"/>
      <c r="I14860" s="29"/>
      <c r="J14860" s="29"/>
      <c r="K14860" s="29"/>
      <c r="L14860" s="29"/>
      <c r="M14860" s="29"/>
      <c r="N14860" s="29"/>
      <c r="O14860" s="29" t="s">
        <v>314</v>
      </c>
    </row>
    <row r="14861" spans="1:15" x14ac:dyDescent="0.35">
      <c r="A14861" t="s">
        <v>227</v>
      </c>
      <c r="B14861" t="s">
        <v>1346</v>
      </c>
      <c r="C14861" s="26">
        <v>0.65790000000000004</v>
      </c>
      <c r="D14861" s="26">
        <v>5.2600000000000001E-2</v>
      </c>
      <c r="E14861" s="26">
        <v>0.13159999999999999</v>
      </c>
      <c r="F14861" s="26">
        <v>0.13159999999999999</v>
      </c>
      <c r="G14861" s="26">
        <v>5.2600000000000001E-2</v>
      </c>
      <c r="J14861" s="26">
        <v>2.63E-2</v>
      </c>
      <c r="O14861">
        <v>38</v>
      </c>
    </row>
    <row r="14862" spans="1:15" x14ac:dyDescent="0.35">
      <c r="A14862" t="s">
        <v>227</v>
      </c>
      <c r="B14862" t="s">
        <v>1347</v>
      </c>
      <c r="C14862" s="26">
        <v>0.86109999999999998</v>
      </c>
      <c r="D14862" s="26">
        <v>5.5599999999999997E-2</v>
      </c>
      <c r="E14862" s="26">
        <v>2.7799999999999998E-2</v>
      </c>
      <c r="G14862" s="26">
        <v>2.7799999999999998E-2</v>
      </c>
      <c r="I14862" s="26">
        <v>2.7799999999999998E-2</v>
      </c>
      <c r="O14862">
        <v>36</v>
      </c>
    </row>
    <row r="14863" spans="1:15" x14ac:dyDescent="0.35">
      <c r="A14863" t="s">
        <v>227</v>
      </c>
      <c r="B14863" t="s">
        <v>1348</v>
      </c>
      <c r="C14863" s="26">
        <v>0.93669999999999998</v>
      </c>
      <c r="E14863" s="26">
        <v>5.0599999999999999E-2</v>
      </c>
      <c r="F14863" s="26">
        <v>1.2699999999999999E-2</v>
      </c>
      <c r="J14863" s="26">
        <v>1.2699999999999999E-2</v>
      </c>
      <c r="O14863">
        <v>79</v>
      </c>
    </row>
    <row r="14864" spans="1:15" x14ac:dyDescent="0.35">
      <c r="A14864" t="s">
        <v>228</v>
      </c>
      <c r="B14864" t="s">
        <v>1348</v>
      </c>
      <c r="C14864" s="26">
        <v>0.74439999999999995</v>
      </c>
      <c r="D14864" s="26">
        <v>8.9099999999999999E-2</v>
      </c>
      <c r="E14864" s="26">
        <v>6.2300000000000001E-2</v>
      </c>
      <c r="F14864" s="26">
        <v>7.2800000000000004E-2</v>
      </c>
      <c r="G14864" s="26">
        <v>3.78E-2</v>
      </c>
      <c r="H14864" s="26">
        <v>3.4700000000000002E-2</v>
      </c>
      <c r="I14864" s="26">
        <v>7.7000000000000002E-3</v>
      </c>
      <c r="J14864" s="26">
        <v>1.7399999999999999E-2</v>
      </c>
      <c r="K14864" s="26">
        <v>1.9199999999999998E-2</v>
      </c>
      <c r="L14864" s="26">
        <v>8.0000000000000004E-4</v>
      </c>
      <c r="M14864" s="26">
        <v>1.06E-2</v>
      </c>
      <c r="N14864" s="26">
        <v>6.9999999999999999E-4</v>
      </c>
      <c r="O14864">
        <v>526</v>
      </c>
    </row>
    <row r="14865" spans="1:15" x14ac:dyDescent="0.35">
      <c r="A14865" t="s">
        <v>228</v>
      </c>
      <c r="B14865" t="s">
        <v>1347</v>
      </c>
      <c r="C14865" s="26">
        <v>0.76970000000000005</v>
      </c>
      <c r="D14865" s="26">
        <v>0.1152</v>
      </c>
      <c r="E14865" s="26">
        <v>3.0499999999999999E-2</v>
      </c>
      <c r="F14865" s="26">
        <v>4.4400000000000002E-2</v>
      </c>
      <c r="G14865" s="26">
        <v>8.6E-3</v>
      </c>
      <c r="H14865" s="26">
        <v>2.5999999999999999E-2</v>
      </c>
      <c r="I14865" s="26">
        <v>1.9E-3</v>
      </c>
      <c r="J14865" s="26">
        <v>7.1000000000000004E-3</v>
      </c>
      <c r="K14865" s="26">
        <v>2.47E-2</v>
      </c>
      <c r="L14865" s="26">
        <v>1.9E-3</v>
      </c>
      <c r="M14865" s="26">
        <v>8.6999999999999994E-3</v>
      </c>
      <c r="N14865" s="26">
        <v>1.7999999999999999E-2</v>
      </c>
      <c r="O14865">
        <v>199</v>
      </c>
    </row>
    <row r="14866" spans="1:15" x14ac:dyDescent="0.35">
      <c r="A14866" t="s">
        <v>228</v>
      </c>
      <c r="B14866" t="s">
        <v>1346</v>
      </c>
      <c r="C14866" s="26">
        <v>0.69620000000000004</v>
      </c>
      <c r="D14866" s="26">
        <v>0.14460000000000001</v>
      </c>
      <c r="E14866" s="26">
        <v>5.1499999999999997E-2</v>
      </c>
      <c r="F14866" s="26">
        <v>7.3999999999999996E-2</v>
      </c>
      <c r="G14866" s="26">
        <v>2.53E-2</v>
      </c>
      <c r="H14866" s="26">
        <v>2.8000000000000001E-2</v>
      </c>
      <c r="I14866" s="26">
        <v>2.7E-2</v>
      </c>
      <c r="J14866" s="26">
        <v>1.5100000000000001E-2</v>
      </c>
      <c r="K14866" s="26">
        <v>4.5999999999999999E-3</v>
      </c>
      <c r="M14866" s="26">
        <v>3.0999999999999999E-3</v>
      </c>
      <c r="O14866">
        <v>284</v>
      </c>
    </row>
    <row r="14867" spans="1:15" x14ac:dyDescent="0.35">
      <c r="A14867" s="27" t="s">
        <v>228</v>
      </c>
      <c r="B14867" s="27" t="s">
        <v>1345</v>
      </c>
      <c r="C14867" s="28">
        <v>1</v>
      </c>
      <c r="D14867" s="29"/>
      <c r="E14867" s="29"/>
      <c r="F14867" s="29"/>
      <c r="G14867" s="29"/>
      <c r="H14867" s="29"/>
      <c r="I14867" s="29"/>
      <c r="J14867" s="29"/>
      <c r="K14867" s="29"/>
      <c r="L14867" s="29"/>
      <c r="M14867" s="29"/>
      <c r="N14867" s="29"/>
      <c r="O14867" s="29" t="s">
        <v>352</v>
      </c>
    </row>
    <row r="14868" spans="1:15" x14ac:dyDescent="0.35">
      <c r="A14868" s="27" t="s">
        <v>229</v>
      </c>
      <c r="B14868" s="27" t="s">
        <v>1345</v>
      </c>
      <c r="C14868" s="28">
        <v>0.99309999999999998</v>
      </c>
      <c r="D14868" s="28">
        <v>3.5000000000000001E-3</v>
      </c>
      <c r="E14868" s="29"/>
      <c r="F14868" s="29"/>
      <c r="G14868" s="29"/>
      <c r="H14868" s="29"/>
      <c r="I14868" s="28">
        <v>3.5000000000000001E-3</v>
      </c>
      <c r="J14868" s="29"/>
      <c r="K14868" s="29"/>
      <c r="L14868" s="29"/>
      <c r="M14868" s="29"/>
      <c r="N14868" s="29"/>
      <c r="O14868" s="29" t="s">
        <v>312</v>
      </c>
    </row>
    <row r="14869" spans="1:15" x14ac:dyDescent="0.35">
      <c r="A14869" t="s">
        <v>229</v>
      </c>
      <c r="B14869" t="s">
        <v>1346</v>
      </c>
      <c r="C14869" s="26">
        <v>0.72140000000000004</v>
      </c>
      <c r="D14869" s="26">
        <v>0.10489999999999999</v>
      </c>
      <c r="E14869" s="26">
        <v>7.1300000000000002E-2</v>
      </c>
      <c r="F14869" s="26">
        <v>5.9299999999999999E-2</v>
      </c>
      <c r="G14869" s="26">
        <v>4.82E-2</v>
      </c>
      <c r="H14869" s="26">
        <v>4.7000000000000002E-3</v>
      </c>
      <c r="I14869" s="26">
        <v>1.29E-2</v>
      </c>
      <c r="J14869" s="26">
        <v>5.0000000000000001E-4</v>
      </c>
      <c r="N14869" s="26">
        <v>1.2E-2</v>
      </c>
      <c r="O14869">
        <v>184</v>
      </c>
    </row>
    <row r="14870" spans="1:15" x14ac:dyDescent="0.35">
      <c r="A14870" t="s">
        <v>229</v>
      </c>
      <c r="B14870" t="s">
        <v>1347</v>
      </c>
      <c r="C14870" s="26">
        <v>0.85019999999999996</v>
      </c>
      <c r="D14870" s="26">
        <v>8.3799999999999999E-2</v>
      </c>
      <c r="E14870" s="26">
        <v>1.04E-2</v>
      </c>
      <c r="F14870" s="26">
        <v>3.5200000000000002E-2</v>
      </c>
      <c r="G14870" s="26">
        <v>1.04E-2</v>
      </c>
      <c r="H14870" s="26">
        <v>1.37E-2</v>
      </c>
      <c r="I14870" s="26">
        <v>1.6999999999999999E-3</v>
      </c>
      <c r="J14870" s="26">
        <v>1.04E-2</v>
      </c>
      <c r="K14870" s="26">
        <v>8.6999999999999994E-3</v>
      </c>
      <c r="L14870" s="26">
        <v>9.9000000000000008E-3</v>
      </c>
      <c r="M14870" s="26">
        <v>2.3E-3</v>
      </c>
      <c r="O14870">
        <v>294</v>
      </c>
    </row>
    <row r="14871" spans="1:15" x14ac:dyDescent="0.35">
      <c r="A14871" t="s">
        <v>229</v>
      </c>
      <c r="B14871" t="s">
        <v>1348</v>
      </c>
      <c r="C14871" s="26">
        <v>0.80840000000000001</v>
      </c>
      <c r="D14871" s="26">
        <v>9.4100000000000003E-2</v>
      </c>
      <c r="E14871" s="26">
        <v>6.7000000000000002E-3</v>
      </c>
      <c r="F14871" s="26">
        <v>4.5600000000000002E-2</v>
      </c>
      <c r="G14871" s="26">
        <v>1.2999999999999999E-2</v>
      </c>
      <c r="H14871" s="26">
        <v>1.47E-2</v>
      </c>
      <c r="I14871" s="26">
        <v>1.29E-2</v>
      </c>
      <c r="J14871" s="26">
        <v>7.4000000000000003E-3</v>
      </c>
      <c r="K14871" s="26">
        <v>1.5599999999999999E-2</v>
      </c>
      <c r="L14871" s="26">
        <v>6.7000000000000002E-3</v>
      </c>
      <c r="M14871" s="26">
        <v>1.5E-3</v>
      </c>
      <c r="N14871" s="26">
        <v>6.9999999999999999E-4</v>
      </c>
      <c r="O14871">
        <v>374</v>
      </c>
    </row>
    <row r="14872" spans="1:15" x14ac:dyDescent="0.35">
      <c r="A14872" t="s">
        <v>230</v>
      </c>
      <c r="B14872" t="s">
        <v>1346</v>
      </c>
      <c r="C14872" s="26">
        <v>0.72840000000000005</v>
      </c>
      <c r="D14872" s="26">
        <v>0.1613</v>
      </c>
      <c r="E14872" s="26">
        <v>2.7300000000000001E-2</v>
      </c>
      <c r="F14872" s="26">
        <v>8.3400000000000002E-2</v>
      </c>
      <c r="G14872" s="26">
        <v>5.0000000000000001E-3</v>
      </c>
      <c r="H14872" s="26">
        <v>2.3099999999999999E-2</v>
      </c>
      <c r="I14872" s="26">
        <v>4.1999999999999997E-3</v>
      </c>
      <c r="O14872">
        <v>139</v>
      </c>
    </row>
    <row r="14873" spans="1:15" x14ac:dyDescent="0.35">
      <c r="A14873" t="s">
        <v>230</v>
      </c>
      <c r="B14873" t="s">
        <v>1348</v>
      </c>
      <c r="C14873" s="26">
        <v>0.8165</v>
      </c>
      <c r="D14873" s="26">
        <v>4.7300000000000002E-2</v>
      </c>
      <c r="E14873" s="26">
        <v>3.3599999999999998E-2</v>
      </c>
      <c r="F14873" s="26">
        <v>3.0099999999999998E-2</v>
      </c>
      <c r="G14873" s="26">
        <v>4.3E-3</v>
      </c>
      <c r="H14873" s="26">
        <v>5.7000000000000002E-3</v>
      </c>
      <c r="I14873" s="26">
        <v>4.1599999999999998E-2</v>
      </c>
      <c r="J14873" s="26">
        <v>2.3599999999999999E-2</v>
      </c>
      <c r="K14873" s="26">
        <v>3.5999999999999999E-3</v>
      </c>
      <c r="L14873" s="26">
        <v>1.12E-2</v>
      </c>
      <c r="O14873">
        <v>254</v>
      </c>
    </row>
    <row r="14874" spans="1:15" x14ac:dyDescent="0.35">
      <c r="A14874" t="s">
        <v>230</v>
      </c>
      <c r="B14874" t="s">
        <v>1347</v>
      </c>
      <c r="C14874" s="26">
        <v>0.82909999999999995</v>
      </c>
      <c r="D14874" s="26">
        <v>3.9800000000000002E-2</v>
      </c>
      <c r="E14874" s="26">
        <v>6.3100000000000003E-2</v>
      </c>
      <c r="F14874" s="26">
        <v>4.24E-2</v>
      </c>
      <c r="G14874" s="26">
        <v>2.7300000000000001E-2</v>
      </c>
      <c r="H14874" s="26">
        <v>1E-3</v>
      </c>
      <c r="I14874" s="26">
        <v>3.3E-3</v>
      </c>
      <c r="K14874" s="26">
        <v>1E-3</v>
      </c>
      <c r="M14874" s="26">
        <v>1E-3</v>
      </c>
      <c r="O14874">
        <v>152</v>
      </c>
    </row>
    <row r="14875" spans="1:15" x14ac:dyDescent="0.35">
      <c r="A14875" s="27" t="s">
        <v>230</v>
      </c>
      <c r="B14875" s="27" t="s">
        <v>1345</v>
      </c>
      <c r="C14875" s="28">
        <v>0.63200000000000001</v>
      </c>
      <c r="D14875" s="29"/>
      <c r="E14875" s="29"/>
      <c r="F14875" s="29"/>
      <c r="G14875" s="28">
        <v>0.36799999999999999</v>
      </c>
      <c r="H14875" s="29"/>
      <c r="I14875" s="29"/>
      <c r="J14875" s="29"/>
      <c r="K14875" s="29"/>
      <c r="L14875" s="29"/>
      <c r="M14875" s="29"/>
      <c r="N14875" s="29"/>
      <c r="O14875" s="29" t="s">
        <v>339</v>
      </c>
    </row>
    <row r="14876" spans="1:15" x14ac:dyDescent="0.35">
      <c r="A14876" s="27" t="s">
        <v>231</v>
      </c>
      <c r="B14876" s="27" t="s">
        <v>1345</v>
      </c>
      <c r="C14876" s="28">
        <v>0.75</v>
      </c>
      <c r="D14876" s="28">
        <v>0.25</v>
      </c>
      <c r="E14876" s="29"/>
      <c r="F14876" s="29"/>
      <c r="G14876" s="29"/>
      <c r="H14876" s="28">
        <v>0.25</v>
      </c>
      <c r="I14876" s="29"/>
      <c r="J14876" s="29"/>
      <c r="K14876" s="29"/>
      <c r="L14876" s="29"/>
      <c r="M14876" s="29"/>
      <c r="N14876" s="29"/>
      <c r="O14876" s="29" t="s">
        <v>337</v>
      </c>
    </row>
    <row r="14877" spans="1:15" x14ac:dyDescent="0.35">
      <c r="A14877" t="s">
        <v>231</v>
      </c>
      <c r="B14877" t="s">
        <v>1346</v>
      </c>
      <c r="C14877" s="26">
        <v>0.77500000000000002</v>
      </c>
      <c r="D14877" s="26">
        <v>0.05</v>
      </c>
      <c r="E14877" s="26">
        <v>0.125</v>
      </c>
      <c r="H14877" s="26">
        <v>2.5000000000000001E-2</v>
      </c>
      <c r="I14877" s="26">
        <v>2.5000000000000001E-2</v>
      </c>
      <c r="L14877" s="26">
        <v>2.5000000000000001E-2</v>
      </c>
      <c r="O14877">
        <v>40</v>
      </c>
    </row>
    <row r="14878" spans="1:15" x14ac:dyDescent="0.35">
      <c r="A14878" t="s">
        <v>231</v>
      </c>
      <c r="B14878" t="s">
        <v>1347</v>
      </c>
      <c r="C14878" s="26">
        <v>0.87880000000000003</v>
      </c>
      <c r="D14878" s="26">
        <v>6.0600000000000001E-2</v>
      </c>
      <c r="I14878" s="26">
        <v>3.0300000000000001E-2</v>
      </c>
      <c r="K14878" s="26">
        <v>3.0300000000000001E-2</v>
      </c>
      <c r="O14878">
        <v>33</v>
      </c>
    </row>
    <row r="14879" spans="1:15" x14ac:dyDescent="0.35">
      <c r="A14879" t="s">
        <v>231</v>
      </c>
      <c r="B14879" t="s">
        <v>1348</v>
      </c>
      <c r="C14879" s="26">
        <v>0.85880000000000001</v>
      </c>
      <c r="D14879" s="26">
        <v>2.35E-2</v>
      </c>
      <c r="E14879" s="26">
        <v>3.5299999999999998E-2</v>
      </c>
      <c r="F14879" s="26">
        <v>2.35E-2</v>
      </c>
      <c r="G14879" s="26">
        <v>2.35E-2</v>
      </c>
      <c r="H14879" s="26">
        <v>1.18E-2</v>
      </c>
      <c r="I14879" s="26">
        <v>1.18E-2</v>
      </c>
      <c r="J14879" s="26">
        <v>2.35E-2</v>
      </c>
      <c r="L14879" s="26">
        <v>1.18E-2</v>
      </c>
      <c r="O14879">
        <v>85</v>
      </c>
    </row>
    <row r="14880" spans="1:15" x14ac:dyDescent="0.35">
      <c r="A14880" t="s">
        <v>232</v>
      </c>
      <c r="B14880" t="s">
        <v>232</v>
      </c>
      <c r="C14880" s="26">
        <v>0.80920000000000003</v>
      </c>
      <c r="D14880" s="26">
        <v>6.9000000000000006E-2</v>
      </c>
      <c r="E14880" s="26">
        <v>4.3400000000000001E-2</v>
      </c>
      <c r="F14880" s="26">
        <v>3.8899999999999997E-2</v>
      </c>
      <c r="G14880" s="26">
        <v>1.89E-2</v>
      </c>
      <c r="H14880" s="26">
        <v>1.52E-2</v>
      </c>
      <c r="I14880" s="26">
        <v>1.3100000000000001E-2</v>
      </c>
      <c r="J14880" s="26">
        <v>1.11E-2</v>
      </c>
      <c r="K14880" s="26">
        <v>7.7999999999999996E-3</v>
      </c>
      <c r="L14880" s="26">
        <v>5.7999999999999996E-3</v>
      </c>
      <c r="M14880" s="26">
        <v>2E-3</v>
      </c>
      <c r="N14880" s="26">
        <v>1.6000000000000001E-3</v>
      </c>
      <c r="O14880">
        <v>2766</v>
      </c>
    </row>
    <row r="14882" spans="1:16" x14ac:dyDescent="0.35">
      <c r="A14882" s="1" t="s">
        <v>1618</v>
      </c>
    </row>
    <row r="14883" spans="1:16" x14ac:dyDescent="0.35">
      <c r="A14883" t="s">
        <v>219</v>
      </c>
      <c r="B14883" t="s">
        <v>305</v>
      </c>
      <c r="C14883" t="s">
        <v>345</v>
      </c>
      <c r="D14883" t="s">
        <v>550</v>
      </c>
      <c r="E14883" t="s">
        <v>1596</v>
      </c>
      <c r="F14883" t="s">
        <v>1597</v>
      </c>
      <c r="G14883" t="s">
        <v>1598</v>
      </c>
      <c r="H14883" t="s">
        <v>1599</v>
      </c>
      <c r="I14883" t="s">
        <v>1600</v>
      </c>
      <c r="J14883" t="s">
        <v>281</v>
      </c>
      <c r="K14883" t="s">
        <v>1601</v>
      </c>
      <c r="L14883" t="s">
        <v>1602</v>
      </c>
      <c r="M14883" t="s">
        <v>1603</v>
      </c>
      <c r="N14883" t="s">
        <v>1604</v>
      </c>
      <c r="O14883" t="s">
        <v>286</v>
      </c>
      <c r="P14883" t="s">
        <v>226</v>
      </c>
    </row>
    <row r="14884" spans="1:16" x14ac:dyDescent="0.35">
      <c r="A14884" s="27" t="s">
        <v>227</v>
      </c>
      <c r="B14884" s="27" t="s">
        <v>1341</v>
      </c>
      <c r="C14884" s="27" t="s">
        <v>1345</v>
      </c>
      <c r="D14884" s="28">
        <v>1</v>
      </c>
      <c r="E14884" s="29"/>
      <c r="F14884" s="29"/>
      <c r="G14884" s="29"/>
      <c r="H14884" s="29"/>
      <c r="I14884" s="29"/>
      <c r="J14884" s="29"/>
      <c r="K14884" s="29"/>
      <c r="L14884" s="29"/>
      <c r="M14884" s="29"/>
      <c r="N14884" s="29"/>
      <c r="O14884" s="29"/>
      <c r="P14884" s="29" t="s">
        <v>331</v>
      </c>
    </row>
    <row r="14885" spans="1:16" x14ac:dyDescent="0.35">
      <c r="A14885" s="27" t="s">
        <v>227</v>
      </c>
      <c r="B14885" s="27" t="s">
        <v>1343</v>
      </c>
      <c r="C14885" s="27" t="s">
        <v>1346</v>
      </c>
      <c r="D14885" s="28">
        <v>0.68</v>
      </c>
      <c r="E14885" s="28">
        <v>0.04</v>
      </c>
      <c r="F14885" s="28">
        <v>0.16</v>
      </c>
      <c r="G14885" s="28">
        <v>0.08</v>
      </c>
      <c r="H14885" s="28">
        <v>0.08</v>
      </c>
      <c r="I14885" s="29"/>
      <c r="J14885" s="29"/>
      <c r="K14885" s="29"/>
      <c r="L14885" s="29"/>
      <c r="M14885" s="29"/>
      <c r="N14885" s="29"/>
      <c r="O14885" s="29"/>
      <c r="P14885" s="29" t="s">
        <v>312</v>
      </c>
    </row>
    <row r="14886" spans="1:16" x14ac:dyDescent="0.35">
      <c r="A14886" t="s">
        <v>227</v>
      </c>
      <c r="B14886" t="s">
        <v>1343</v>
      </c>
      <c r="C14886" t="s">
        <v>1348</v>
      </c>
      <c r="D14886" s="26">
        <v>0.91069999999999995</v>
      </c>
      <c r="F14886" s="26">
        <v>7.1400000000000005E-2</v>
      </c>
      <c r="G14886" s="26">
        <v>1.7899999999999999E-2</v>
      </c>
      <c r="K14886" s="26">
        <v>1.7899999999999999E-2</v>
      </c>
      <c r="P14886">
        <v>56</v>
      </c>
    </row>
    <row r="14887" spans="1:16" x14ac:dyDescent="0.35">
      <c r="A14887" s="27" t="s">
        <v>227</v>
      </c>
      <c r="B14887" s="27" t="s">
        <v>1341</v>
      </c>
      <c r="C14887" s="27" t="s">
        <v>1347</v>
      </c>
      <c r="D14887" s="28">
        <v>0.76919999999999999</v>
      </c>
      <c r="E14887" s="28">
        <v>7.6899999999999996E-2</v>
      </c>
      <c r="F14887" s="29"/>
      <c r="G14887" s="29"/>
      <c r="H14887" s="28">
        <v>7.6899999999999996E-2</v>
      </c>
      <c r="I14887" s="29"/>
      <c r="J14887" s="28">
        <v>7.6899999999999996E-2</v>
      </c>
      <c r="K14887" s="29"/>
      <c r="L14887" s="29"/>
      <c r="M14887" s="29"/>
      <c r="N14887" s="29"/>
      <c r="O14887" s="29"/>
      <c r="P14887" s="29" t="s">
        <v>341</v>
      </c>
    </row>
    <row r="14888" spans="1:16" x14ac:dyDescent="0.35">
      <c r="A14888" s="27" t="s">
        <v>227</v>
      </c>
      <c r="B14888" s="27" t="s">
        <v>1343</v>
      </c>
      <c r="C14888" s="27" t="s">
        <v>1347</v>
      </c>
      <c r="D14888" s="28">
        <v>0.91300000000000003</v>
      </c>
      <c r="E14888" s="28">
        <v>4.3499999999999997E-2</v>
      </c>
      <c r="F14888" s="28">
        <v>4.3499999999999997E-2</v>
      </c>
      <c r="G14888" s="29"/>
      <c r="H14888" s="29"/>
      <c r="I14888" s="29"/>
      <c r="J14888" s="29"/>
      <c r="K14888" s="29"/>
      <c r="L14888" s="29"/>
      <c r="M14888" s="29"/>
      <c r="N14888" s="29"/>
      <c r="O14888" s="29"/>
      <c r="P14888" s="29" t="s">
        <v>328</v>
      </c>
    </row>
    <row r="14889" spans="1:16" x14ac:dyDescent="0.35">
      <c r="A14889" s="27" t="s">
        <v>227</v>
      </c>
      <c r="B14889" s="27" t="s">
        <v>1343</v>
      </c>
      <c r="C14889" s="27" t="s">
        <v>1345</v>
      </c>
      <c r="D14889" s="28">
        <v>1</v>
      </c>
      <c r="E14889" s="29"/>
      <c r="F14889" s="29"/>
      <c r="G14889" s="29"/>
      <c r="H14889" s="29"/>
      <c r="I14889" s="29"/>
      <c r="J14889" s="29"/>
      <c r="K14889" s="29"/>
      <c r="L14889" s="29"/>
      <c r="M14889" s="29"/>
      <c r="N14889" s="29"/>
      <c r="O14889" s="29"/>
      <c r="P14889" s="29" t="s">
        <v>331</v>
      </c>
    </row>
    <row r="14890" spans="1:16" x14ac:dyDescent="0.35">
      <c r="A14890" s="27" t="s">
        <v>227</v>
      </c>
      <c r="B14890" s="27" t="s">
        <v>1342</v>
      </c>
      <c r="C14890" s="27" t="s">
        <v>1348</v>
      </c>
      <c r="D14890" s="28">
        <v>1</v>
      </c>
      <c r="E14890" s="29"/>
      <c r="F14890" s="29"/>
      <c r="G14890" s="29"/>
      <c r="H14890" s="29"/>
      <c r="I14890" s="29"/>
      <c r="J14890" s="29"/>
      <c r="K14890" s="29"/>
      <c r="L14890" s="29"/>
      <c r="M14890" s="29"/>
      <c r="N14890" s="29"/>
      <c r="O14890" s="29"/>
      <c r="P14890" s="29" t="s">
        <v>331</v>
      </c>
    </row>
    <row r="14891" spans="1:16" x14ac:dyDescent="0.35">
      <c r="A14891" s="27" t="s">
        <v>227</v>
      </c>
      <c r="B14891" s="27" t="s">
        <v>1341</v>
      </c>
      <c r="C14891" s="27" t="s">
        <v>1348</v>
      </c>
      <c r="D14891" s="28">
        <v>1</v>
      </c>
      <c r="E14891" s="29"/>
      <c r="F14891" s="29"/>
      <c r="G14891" s="29"/>
      <c r="H14891" s="29"/>
      <c r="I14891" s="29"/>
      <c r="J14891" s="29"/>
      <c r="K14891" s="29"/>
      <c r="L14891" s="29"/>
      <c r="M14891" s="29"/>
      <c r="N14891" s="29"/>
      <c r="O14891" s="29"/>
      <c r="P14891" s="29" t="s">
        <v>347</v>
      </c>
    </row>
    <row r="14892" spans="1:16" x14ac:dyDescent="0.35">
      <c r="A14892" s="27" t="s">
        <v>227</v>
      </c>
      <c r="B14892" s="27" t="s">
        <v>1341</v>
      </c>
      <c r="C14892" s="27" t="s">
        <v>1346</v>
      </c>
      <c r="D14892" s="28">
        <v>0.61539999999999995</v>
      </c>
      <c r="E14892" s="28">
        <v>7.6899999999999996E-2</v>
      </c>
      <c r="F14892" s="28">
        <v>7.6899999999999996E-2</v>
      </c>
      <c r="G14892" s="28">
        <v>0.23080000000000001</v>
      </c>
      <c r="H14892" s="29"/>
      <c r="I14892" s="29"/>
      <c r="J14892" s="29"/>
      <c r="K14892" s="28">
        <v>7.6899999999999996E-2</v>
      </c>
      <c r="L14892" s="29"/>
      <c r="M14892" s="29"/>
      <c r="N14892" s="29"/>
      <c r="O14892" s="29"/>
      <c r="P14892" s="29" t="s">
        <v>341</v>
      </c>
    </row>
    <row r="14893" spans="1:16" x14ac:dyDescent="0.35">
      <c r="A14893" t="s">
        <v>228</v>
      </c>
      <c r="B14893" t="s">
        <v>1343</v>
      </c>
      <c r="C14893" t="s">
        <v>1348</v>
      </c>
      <c r="D14893" s="26">
        <v>0.76029999999999998</v>
      </c>
      <c r="E14893" s="26">
        <v>6.5600000000000006E-2</v>
      </c>
      <c r="F14893" s="26">
        <v>6.1899999999999997E-2</v>
      </c>
      <c r="G14893" s="26">
        <v>6.9000000000000006E-2</v>
      </c>
      <c r="H14893" s="26">
        <v>4.7699999999999999E-2</v>
      </c>
      <c r="I14893" s="26">
        <v>3.9800000000000002E-2</v>
      </c>
      <c r="J14893" s="26">
        <v>6.6E-3</v>
      </c>
      <c r="K14893" s="26">
        <v>2.5899999999999999E-2</v>
      </c>
      <c r="L14893" s="26">
        <v>1.9300000000000001E-2</v>
      </c>
      <c r="M14893" s="26">
        <v>1.1999999999999999E-3</v>
      </c>
      <c r="N14893" s="26">
        <v>5.8999999999999999E-3</v>
      </c>
      <c r="O14893" s="26">
        <v>1.1000000000000001E-3</v>
      </c>
      <c r="P14893">
        <v>349</v>
      </c>
    </row>
    <row r="14894" spans="1:16" x14ac:dyDescent="0.35">
      <c r="A14894" t="s">
        <v>228</v>
      </c>
      <c r="B14894" t="s">
        <v>1343</v>
      </c>
      <c r="C14894" t="s">
        <v>1347</v>
      </c>
      <c r="D14894" s="26">
        <v>0.80689999999999995</v>
      </c>
      <c r="E14894" s="26">
        <v>7.9399999999999998E-2</v>
      </c>
      <c r="F14894" s="26">
        <v>4.0599999999999997E-2</v>
      </c>
      <c r="G14894" s="26">
        <v>5.5899999999999998E-2</v>
      </c>
      <c r="H14894" s="26">
        <v>1.29E-2</v>
      </c>
      <c r="I14894" s="26">
        <v>1.84E-2</v>
      </c>
      <c r="K14894" s="26">
        <v>8.6999999999999994E-3</v>
      </c>
      <c r="L14894" s="26">
        <v>1.01E-2</v>
      </c>
      <c r="M14894" s="26">
        <v>2.8999999999999998E-3</v>
      </c>
      <c r="N14894" s="26">
        <v>9.7000000000000003E-3</v>
      </c>
      <c r="O14894" s="26">
        <v>2.7E-2</v>
      </c>
      <c r="P14894">
        <v>128</v>
      </c>
    </row>
    <row r="14895" spans="1:16" x14ac:dyDescent="0.35">
      <c r="A14895" s="27" t="s">
        <v>228</v>
      </c>
      <c r="B14895" s="27" t="s">
        <v>1343</v>
      </c>
      <c r="C14895" s="27" t="s">
        <v>1345</v>
      </c>
      <c r="D14895" s="28">
        <v>1</v>
      </c>
      <c r="E14895" s="29"/>
      <c r="F14895" s="29"/>
      <c r="G14895" s="29"/>
      <c r="H14895" s="29"/>
      <c r="I14895" s="29"/>
      <c r="J14895" s="29"/>
      <c r="K14895" s="29"/>
      <c r="L14895" s="29"/>
      <c r="M14895" s="29"/>
      <c r="N14895" s="29"/>
      <c r="O14895" s="29"/>
      <c r="P14895" s="29" t="s">
        <v>335</v>
      </c>
    </row>
    <row r="14896" spans="1:16" x14ac:dyDescent="0.35">
      <c r="A14896" t="s">
        <v>228</v>
      </c>
      <c r="B14896" t="s">
        <v>1341</v>
      </c>
      <c r="C14896" t="s">
        <v>1346</v>
      </c>
      <c r="D14896" s="26">
        <v>0.74180000000000001</v>
      </c>
      <c r="E14896" s="26">
        <v>8.2199999999999995E-2</v>
      </c>
      <c r="F14896" s="26">
        <v>4.5999999999999999E-2</v>
      </c>
      <c r="G14896" s="26">
        <v>3.2599999999999997E-2</v>
      </c>
      <c r="H14896" s="26">
        <v>2.5700000000000001E-2</v>
      </c>
      <c r="I14896" s="26">
        <v>9.4200000000000006E-2</v>
      </c>
      <c r="P14896">
        <v>47</v>
      </c>
    </row>
    <row r="14897" spans="1:16" x14ac:dyDescent="0.35">
      <c r="A14897" t="s">
        <v>228</v>
      </c>
      <c r="B14897" t="s">
        <v>1341</v>
      </c>
      <c r="C14897" t="s">
        <v>1348</v>
      </c>
      <c r="D14897" s="26">
        <v>0.72860000000000003</v>
      </c>
      <c r="E14897" s="26">
        <v>0.1158</v>
      </c>
      <c r="F14897" s="26">
        <v>6.4100000000000004E-2</v>
      </c>
      <c r="G14897" s="26">
        <v>8.1100000000000005E-2</v>
      </c>
      <c r="H14897" s="26">
        <v>2.0500000000000001E-2</v>
      </c>
      <c r="I14897" s="26">
        <v>2.5899999999999999E-2</v>
      </c>
      <c r="J14897" s="26">
        <v>9.7000000000000003E-3</v>
      </c>
      <c r="K14897" s="26">
        <v>2.2000000000000001E-3</v>
      </c>
      <c r="L14897" s="26">
        <v>1.9300000000000001E-2</v>
      </c>
      <c r="N14897" s="26">
        <v>1.9300000000000001E-2</v>
      </c>
      <c r="P14897">
        <v>176</v>
      </c>
    </row>
    <row r="14898" spans="1:16" x14ac:dyDescent="0.35">
      <c r="A14898" s="27" t="s">
        <v>228</v>
      </c>
      <c r="B14898" s="27" t="s">
        <v>1342</v>
      </c>
      <c r="C14898" s="27" t="s">
        <v>1348</v>
      </c>
      <c r="D14898" s="29"/>
      <c r="E14898" s="28">
        <v>1</v>
      </c>
      <c r="F14898" s="29"/>
      <c r="G14898" s="29"/>
      <c r="H14898" s="29"/>
      <c r="I14898" s="29"/>
      <c r="J14898" s="29"/>
      <c r="K14898" s="29"/>
      <c r="L14898" s="29"/>
      <c r="M14898" s="29"/>
      <c r="N14898" s="29"/>
      <c r="O14898" s="29"/>
      <c r="P14898" s="29" t="s">
        <v>331</v>
      </c>
    </row>
    <row r="14899" spans="1:16" x14ac:dyDescent="0.35">
      <c r="A14899" t="s">
        <v>228</v>
      </c>
      <c r="B14899" t="s">
        <v>1343</v>
      </c>
      <c r="C14899" t="s">
        <v>1346</v>
      </c>
      <c r="D14899" s="26">
        <v>0.68889999999999996</v>
      </c>
      <c r="E14899" s="26">
        <v>0.15459999999999999</v>
      </c>
      <c r="F14899" s="26">
        <v>5.2400000000000002E-2</v>
      </c>
      <c r="G14899" s="26">
        <v>8.0600000000000005E-2</v>
      </c>
      <c r="H14899" s="26">
        <v>2.52E-2</v>
      </c>
      <c r="I14899" s="26">
        <v>1.7399999999999999E-2</v>
      </c>
      <c r="J14899" s="26">
        <v>3.1300000000000001E-2</v>
      </c>
      <c r="K14899" s="26">
        <v>1.7500000000000002E-2</v>
      </c>
      <c r="L14899" s="26">
        <v>5.3E-3</v>
      </c>
      <c r="N14899" s="26">
        <v>3.5999999999999999E-3</v>
      </c>
      <c r="P14899">
        <v>237</v>
      </c>
    </row>
    <row r="14900" spans="1:16" x14ac:dyDescent="0.35">
      <c r="A14900" t="s">
        <v>228</v>
      </c>
      <c r="B14900" t="s">
        <v>1341</v>
      </c>
      <c r="C14900" t="s">
        <v>1347</v>
      </c>
      <c r="D14900" s="26">
        <v>0.69620000000000004</v>
      </c>
      <c r="E14900" s="26">
        <v>0.18609999999999999</v>
      </c>
      <c r="F14900" s="26">
        <v>1.06E-2</v>
      </c>
      <c r="G14900" s="26">
        <v>2.1600000000000001E-2</v>
      </c>
      <c r="I14900" s="26">
        <v>4.1099999999999998E-2</v>
      </c>
      <c r="J14900" s="26">
        <v>5.7999999999999996E-3</v>
      </c>
      <c r="K14900" s="26">
        <v>3.8999999999999998E-3</v>
      </c>
      <c r="L14900" s="26">
        <v>5.3600000000000002E-2</v>
      </c>
      <c r="N14900" s="26">
        <v>6.7000000000000002E-3</v>
      </c>
      <c r="P14900">
        <v>71</v>
      </c>
    </row>
    <row r="14901" spans="1:16" x14ac:dyDescent="0.35">
      <c r="A14901" s="27" t="s">
        <v>228</v>
      </c>
      <c r="B14901" s="27" t="s">
        <v>1341</v>
      </c>
      <c r="C14901" s="27" t="s">
        <v>1345</v>
      </c>
      <c r="D14901" s="28">
        <v>1</v>
      </c>
      <c r="E14901" s="29"/>
      <c r="F14901" s="29"/>
      <c r="G14901" s="29"/>
      <c r="H14901" s="29"/>
      <c r="I14901" s="29"/>
      <c r="J14901" s="29"/>
      <c r="K14901" s="29"/>
      <c r="L14901" s="29"/>
      <c r="M14901" s="29"/>
      <c r="N14901" s="29"/>
      <c r="O14901" s="29"/>
      <c r="P14901" s="29" t="s">
        <v>332</v>
      </c>
    </row>
    <row r="14902" spans="1:16" x14ac:dyDescent="0.35">
      <c r="A14902" t="s">
        <v>229</v>
      </c>
      <c r="B14902" t="s">
        <v>1343</v>
      </c>
      <c r="C14902" t="s">
        <v>1348</v>
      </c>
      <c r="D14902" s="26">
        <v>0.82250000000000001</v>
      </c>
      <c r="E14902" s="26">
        <v>0.1024</v>
      </c>
      <c r="G14902" s="26">
        <v>5.6399999999999999E-2</v>
      </c>
      <c r="H14902" s="26">
        <v>2.2000000000000001E-3</v>
      </c>
      <c r="I14902" s="26">
        <v>1.3599999999999999E-2</v>
      </c>
      <c r="J14902" s="26">
        <v>1.9300000000000001E-2</v>
      </c>
      <c r="K14902" s="26">
        <v>0.01</v>
      </c>
      <c r="L14902" s="26">
        <v>1.2200000000000001E-2</v>
      </c>
      <c r="O14902" s="26">
        <v>1.1000000000000001E-3</v>
      </c>
      <c r="P14902">
        <v>270</v>
      </c>
    </row>
    <row r="14903" spans="1:16" x14ac:dyDescent="0.35">
      <c r="A14903" t="s">
        <v>229</v>
      </c>
      <c r="B14903" t="s">
        <v>1341</v>
      </c>
      <c r="C14903" t="s">
        <v>1346</v>
      </c>
      <c r="D14903" s="26">
        <v>0.81420000000000003</v>
      </c>
      <c r="E14903" s="26">
        <v>9.2899999999999996E-2</v>
      </c>
      <c r="G14903" s="26">
        <v>5.7000000000000002E-3</v>
      </c>
      <c r="H14903" s="26">
        <v>8.72E-2</v>
      </c>
      <c r="I14903" s="26">
        <v>1.14E-2</v>
      </c>
      <c r="P14903">
        <v>53</v>
      </c>
    </row>
    <row r="14904" spans="1:16" x14ac:dyDescent="0.35">
      <c r="A14904" t="s">
        <v>229</v>
      </c>
      <c r="B14904" t="s">
        <v>1341</v>
      </c>
      <c r="C14904" t="s">
        <v>1347</v>
      </c>
      <c r="D14904" s="26">
        <v>0.87429999999999997</v>
      </c>
      <c r="E14904" s="26">
        <v>5.57E-2</v>
      </c>
      <c r="G14904" s="26">
        <v>3.5799999999999998E-2</v>
      </c>
      <c r="I14904" s="26">
        <v>1.4E-2</v>
      </c>
      <c r="J14904" s="26">
        <v>3.2000000000000002E-3</v>
      </c>
      <c r="K14904" s="26">
        <v>2.93E-2</v>
      </c>
      <c r="M14904" s="26">
        <v>1.6999999999999999E-3</v>
      </c>
      <c r="P14904">
        <v>100</v>
      </c>
    </row>
    <row r="14905" spans="1:16" x14ac:dyDescent="0.35">
      <c r="A14905" t="s">
        <v>229</v>
      </c>
      <c r="B14905" t="s">
        <v>1343</v>
      </c>
      <c r="C14905" t="s">
        <v>1346</v>
      </c>
      <c r="D14905" s="26">
        <v>0.68600000000000005</v>
      </c>
      <c r="E14905" s="26">
        <v>0.1095</v>
      </c>
      <c r="F14905" s="26">
        <v>9.8500000000000004E-2</v>
      </c>
      <c r="G14905" s="26">
        <v>7.9699999999999993E-2</v>
      </c>
      <c r="H14905" s="26">
        <v>3.3300000000000003E-2</v>
      </c>
      <c r="I14905" s="26">
        <v>2.2000000000000001E-3</v>
      </c>
      <c r="J14905" s="26">
        <v>1.78E-2</v>
      </c>
      <c r="K14905" s="26">
        <v>5.9999999999999995E-4</v>
      </c>
      <c r="O14905" s="26">
        <v>1.66E-2</v>
      </c>
      <c r="P14905">
        <v>131</v>
      </c>
    </row>
    <row r="14906" spans="1:16" x14ac:dyDescent="0.35">
      <c r="A14906" t="s">
        <v>229</v>
      </c>
      <c r="B14906" t="s">
        <v>1343</v>
      </c>
      <c r="C14906" t="s">
        <v>1347</v>
      </c>
      <c r="D14906" s="26">
        <v>0.83689999999999998</v>
      </c>
      <c r="E14906" s="26">
        <v>9.9299999999999999E-2</v>
      </c>
      <c r="F14906" s="26">
        <v>1.61E-2</v>
      </c>
      <c r="G14906" s="26">
        <v>3.49E-2</v>
      </c>
      <c r="H14906" s="26">
        <v>1.61E-2</v>
      </c>
      <c r="I14906" s="26">
        <v>1.35E-2</v>
      </c>
      <c r="J14906" s="26">
        <v>8.9999999999999998E-4</v>
      </c>
      <c r="L14906" s="26">
        <v>1.35E-2</v>
      </c>
      <c r="M14906" s="26">
        <v>1.44E-2</v>
      </c>
      <c r="N14906" s="26">
        <v>3.5999999999999999E-3</v>
      </c>
      <c r="P14906">
        <v>194</v>
      </c>
    </row>
    <row r="14907" spans="1:16" x14ac:dyDescent="0.35">
      <c r="A14907" s="27" t="s">
        <v>229</v>
      </c>
      <c r="B14907" s="27" t="s">
        <v>1341</v>
      </c>
      <c r="C14907" s="27" t="s">
        <v>1345</v>
      </c>
      <c r="D14907" s="28">
        <v>1</v>
      </c>
      <c r="E14907" s="29"/>
      <c r="F14907" s="29"/>
      <c r="G14907" s="29"/>
      <c r="H14907" s="29"/>
      <c r="I14907" s="29"/>
      <c r="J14907" s="29"/>
      <c r="K14907" s="29"/>
      <c r="L14907" s="29"/>
      <c r="M14907" s="29"/>
      <c r="N14907" s="29"/>
      <c r="O14907" s="29"/>
      <c r="P14907" s="29" t="s">
        <v>333</v>
      </c>
    </row>
    <row r="14908" spans="1:16" x14ac:dyDescent="0.35">
      <c r="A14908" s="27" t="s">
        <v>229</v>
      </c>
      <c r="B14908" s="27" t="s">
        <v>1343</v>
      </c>
      <c r="C14908" s="27" t="s">
        <v>1345</v>
      </c>
      <c r="D14908" s="28">
        <v>0.98870000000000002</v>
      </c>
      <c r="E14908" s="28">
        <v>5.7000000000000002E-3</v>
      </c>
      <c r="F14908" s="29"/>
      <c r="G14908" s="29"/>
      <c r="H14908" s="29"/>
      <c r="I14908" s="29"/>
      <c r="J14908" s="28">
        <v>5.7000000000000002E-3</v>
      </c>
      <c r="K14908" s="29"/>
      <c r="L14908" s="29"/>
      <c r="M14908" s="29"/>
      <c r="N14908" s="29"/>
      <c r="O14908" s="29"/>
      <c r="P14908" s="29" t="s">
        <v>343</v>
      </c>
    </row>
    <row r="14909" spans="1:16" x14ac:dyDescent="0.35">
      <c r="A14909" t="s">
        <v>229</v>
      </c>
      <c r="B14909" t="s">
        <v>1341</v>
      </c>
      <c r="C14909" t="s">
        <v>1348</v>
      </c>
      <c r="D14909" s="26">
        <v>0.77980000000000005</v>
      </c>
      <c r="E14909" s="26">
        <v>7.7200000000000005E-2</v>
      </c>
      <c r="F14909" s="26">
        <v>2.0299999999999999E-2</v>
      </c>
      <c r="G14909" s="26">
        <v>2.3599999999999999E-2</v>
      </c>
      <c r="H14909" s="26">
        <v>3.5000000000000003E-2</v>
      </c>
      <c r="I14909" s="26">
        <v>1.6899999999999998E-2</v>
      </c>
      <c r="K14909" s="26">
        <v>2.2000000000000001E-3</v>
      </c>
      <c r="L14909" s="26">
        <v>2.2499999999999999E-2</v>
      </c>
      <c r="M14909" s="26">
        <v>2.0299999999999999E-2</v>
      </c>
      <c r="N14909" s="26">
        <v>4.4000000000000003E-3</v>
      </c>
      <c r="P14909">
        <v>104</v>
      </c>
    </row>
    <row r="14910" spans="1:16" x14ac:dyDescent="0.35">
      <c r="A14910" t="s">
        <v>230</v>
      </c>
      <c r="B14910" t="s">
        <v>1343</v>
      </c>
      <c r="C14910" t="s">
        <v>1346</v>
      </c>
      <c r="D14910" s="26">
        <v>0.73640000000000005</v>
      </c>
      <c r="E14910" s="26">
        <v>0.15040000000000001</v>
      </c>
      <c r="F14910" s="26">
        <v>3.85E-2</v>
      </c>
      <c r="G14910" s="26">
        <v>4.7899999999999998E-2</v>
      </c>
      <c r="H14910" s="26">
        <v>5.3E-3</v>
      </c>
      <c r="I14910" s="26">
        <v>2.6700000000000002E-2</v>
      </c>
      <c r="J14910" s="26">
        <v>5.8999999999999999E-3</v>
      </c>
      <c r="P14910">
        <v>109</v>
      </c>
    </row>
    <row r="14911" spans="1:16" x14ac:dyDescent="0.35">
      <c r="A14911" s="27" t="s">
        <v>230</v>
      </c>
      <c r="B14911" s="27" t="s">
        <v>1341</v>
      </c>
      <c r="C14911" s="27" t="s">
        <v>1345</v>
      </c>
      <c r="D14911" s="28">
        <v>1</v>
      </c>
      <c r="E14911" s="29"/>
      <c r="F14911" s="29"/>
      <c r="G14911" s="29"/>
      <c r="H14911" s="29"/>
      <c r="I14911" s="29"/>
      <c r="J14911" s="29"/>
      <c r="K14911" s="29"/>
      <c r="L14911" s="29"/>
      <c r="M14911" s="29"/>
      <c r="N14911" s="29"/>
      <c r="O14911" s="29"/>
      <c r="P14911" s="29" t="s">
        <v>315</v>
      </c>
    </row>
    <row r="14912" spans="1:16" x14ac:dyDescent="0.35">
      <c r="A14912" t="s">
        <v>230</v>
      </c>
      <c r="B14912" t="s">
        <v>1343</v>
      </c>
      <c r="C14912" t="s">
        <v>1348</v>
      </c>
      <c r="D14912" s="26">
        <v>0.82140000000000002</v>
      </c>
      <c r="E14912" s="26">
        <v>4.3200000000000002E-2</v>
      </c>
      <c r="F14912" s="26">
        <v>1.5599999999999999E-2</v>
      </c>
      <c r="G14912" s="26">
        <v>3.6200000000000003E-2</v>
      </c>
      <c r="H14912" s="26">
        <v>6.0000000000000001E-3</v>
      </c>
      <c r="I14912" s="26">
        <v>5.4999999999999997E-3</v>
      </c>
      <c r="J14912" s="26">
        <v>3.9800000000000002E-2</v>
      </c>
      <c r="K14912" s="26">
        <v>3.2800000000000003E-2</v>
      </c>
      <c r="L14912" s="26">
        <v>2.5999999999999999E-3</v>
      </c>
      <c r="M14912" s="26">
        <v>1.5599999999999999E-2</v>
      </c>
      <c r="P14912">
        <v>182</v>
      </c>
    </row>
    <row r="14913" spans="1:16" x14ac:dyDescent="0.35">
      <c r="A14913" t="s">
        <v>230</v>
      </c>
      <c r="B14913" t="s">
        <v>1343</v>
      </c>
      <c r="C14913" t="s">
        <v>1347</v>
      </c>
      <c r="D14913" s="26">
        <v>0.86560000000000004</v>
      </c>
      <c r="E14913" s="26">
        <v>5.6099999999999997E-2</v>
      </c>
      <c r="F14913" s="26">
        <v>6.1600000000000002E-2</v>
      </c>
      <c r="G14913" s="26">
        <v>3.0000000000000001E-3</v>
      </c>
      <c r="H14913" s="26">
        <v>1.01E-2</v>
      </c>
      <c r="J14913" s="26">
        <v>5.1000000000000004E-3</v>
      </c>
      <c r="P14913">
        <v>105</v>
      </c>
    </row>
    <row r="14914" spans="1:16" x14ac:dyDescent="0.35">
      <c r="A14914" t="s">
        <v>230</v>
      </c>
      <c r="B14914" t="s">
        <v>1341</v>
      </c>
      <c r="C14914" t="s">
        <v>1348</v>
      </c>
      <c r="D14914" s="26">
        <v>0.80379999999999996</v>
      </c>
      <c r="E14914" s="26">
        <v>5.79E-2</v>
      </c>
      <c r="F14914" s="26">
        <v>7.9500000000000001E-2</v>
      </c>
      <c r="G14914" s="26">
        <v>1.46E-2</v>
      </c>
      <c r="I14914" s="26">
        <v>6.0000000000000001E-3</v>
      </c>
      <c r="J14914" s="26">
        <v>4.6300000000000001E-2</v>
      </c>
      <c r="L14914" s="26">
        <v>6.0000000000000001E-3</v>
      </c>
      <c r="P14914">
        <v>72</v>
      </c>
    </row>
    <row r="14915" spans="1:16" x14ac:dyDescent="0.35">
      <c r="A14915" t="s">
        <v>230</v>
      </c>
      <c r="B14915" t="s">
        <v>1341</v>
      </c>
      <c r="C14915" t="s">
        <v>1347</v>
      </c>
      <c r="D14915" s="26">
        <v>0.75970000000000004</v>
      </c>
      <c r="E14915" s="26">
        <v>8.6999999999999994E-3</v>
      </c>
      <c r="F14915" s="26">
        <v>6.59E-2</v>
      </c>
      <c r="G14915" s="26">
        <v>0.1173</v>
      </c>
      <c r="H14915" s="26">
        <v>6.0100000000000001E-2</v>
      </c>
      <c r="I14915" s="26">
        <v>2.8999999999999998E-3</v>
      </c>
      <c r="L14915" s="26">
        <v>2.8999999999999998E-3</v>
      </c>
      <c r="N14915" s="26">
        <v>2.8999999999999998E-3</v>
      </c>
      <c r="P14915">
        <v>47</v>
      </c>
    </row>
    <row r="14916" spans="1:16" x14ac:dyDescent="0.35">
      <c r="A14916" s="27" t="s">
        <v>230</v>
      </c>
      <c r="B14916" s="27" t="s">
        <v>1343</v>
      </c>
      <c r="C14916" s="27" t="s">
        <v>1345</v>
      </c>
      <c r="D14916" s="28">
        <v>0.27760000000000001</v>
      </c>
      <c r="E14916" s="29"/>
      <c r="F14916" s="29"/>
      <c r="G14916" s="29"/>
      <c r="H14916" s="28">
        <v>0.72240000000000004</v>
      </c>
      <c r="I14916" s="29"/>
      <c r="J14916" s="29"/>
      <c r="K14916" s="29"/>
      <c r="L14916" s="29"/>
      <c r="M14916" s="29"/>
      <c r="N14916" s="29"/>
      <c r="O14916" s="29"/>
      <c r="P14916" s="29" t="s">
        <v>337</v>
      </c>
    </row>
    <row r="14917" spans="1:16" x14ac:dyDescent="0.35">
      <c r="A14917" t="s">
        <v>230</v>
      </c>
      <c r="B14917" t="s">
        <v>1341</v>
      </c>
      <c r="C14917" t="s">
        <v>1346</v>
      </c>
      <c r="D14917" s="26">
        <v>0.70899999999999996</v>
      </c>
      <c r="E14917" s="26">
        <v>0.18770000000000001</v>
      </c>
      <c r="G14917" s="26">
        <v>0.1694</v>
      </c>
      <c r="H14917" s="26">
        <v>4.3E-3</v>
      </c>
      <c r="I14917" s="26">
        <v>1.43E-2</v>
      </c>
      <c r="P14917">
        <v>30</v>
      </c>
    </row>
    <row r="14918" spans="1:16" x14ac:dyDescent="0.35">
      <c r="A14918" t="s">
        <v>231</v>
      </c>
      <c r="B14918" t="s">
        <v>1343</v>
      </c>
      <c r="C14918" t="s">
        <v>1348</v>
      </c>
      <c r="D14918" s="26">
        <v>0.85709999999999997</v>
      </c>
      <c r="E14918" s="26">
        <v>2.0400000000000001E-2</v>
      </c>
      <c r="F14918" s="26">
        <v>6.1199999999999997E-2</v>
      </c>
      <c r="G14918" s="26">
        <v>2.0400000000000001E-2</v>
      </c>
      <c r="H14918" s="26">
        <v>2.0400000000000001E-2</v>
      </c>
      <c r="I14918" s="26">
        <v>2.0400000000000001E-2</v>
      </c>
      <c r="K14918" s="26">
        <v>4.0800000000000003E-2</v>
      </c>
      <c r="P14918">
        <v>49</v>
      </c>
    </row>
    <row r="14919" spans="1:16" x14ac:dyDescent="0.35">
      <c r="A14919" s="27" t="s">
        <v>231</v>
      </c>
      <c r="B14919" s="27" t="s">
        <v>1343</v>
      </c>
      <c r="C14919" s="27" t="s">
        <v>1345</v>
      </c>
      <c r="D14919" s="28">
        <v>1</v>
      </c>
      <c r="E14919" s="29"/>
      <c r="F14919" s="29"/>
      <c r="G14919" s="29"/>
      <c r="H14919" s="29"/>
      <c r="I14919" s="29"/>
      <c r="J14919" s="29"/>
      <c r="K14919" s="29"/>
      <c r="L14919" s="29"/>
      <c r="M14919" s="29"/>
      <c r="N14919" s="29"/>
      <c r="O14919" s="29"/>
      <c r="P14919" s="29" t="s">
        <v>315</v>
      </c>
    </row>
    <row r="14920" spans="1:16" x14ac:dyDescent="0.35">
      <c r="A14920" t="s">
        <v>231</v>
      </c>
      <c r="B14920" t="s">
        <v>1341</v>
      </c>
      <c r="C14920" t="s">
        <v>1348</v>
      </c>
      <c r="D14920" s="26">
        <v>0.86109999999999998</v>
      </c>
      <c r="E14920" s="26">
        <v>2.7799999999999998E-2</v>
      </c>
      <c r="G14920" s="26">
        <v>2.7799999999999998E-2</v>
      </c>
      <c r="H14920" s="26">
        <v>2.7799999999999998E-2</v>
      </c>
      <c r="J14920" s="26">
        <v>2.7799999999999998E-2</v>
      </c>
      <c r="M14920" s="26">
        <v>2.7799999999999998E-2</v>
      </c>
      <c r="P14920">
        <v>36</v>
      </c>
    </row>
    <row r="14921" spans="1:16" x14ac:dyDescent="0.35">
      <c r="A14921" s="27" t="s">
        <v>231</v>
      </c>
      <c r="B14921" s="27" t="s">
        <v>1341</v>
      </c>
      <c r="C14921" s="27" t="s">
        <v>1345</v>
      </c>
      <c r="D14921" s="29"/>
      <c r="E14921" s="28">
        <v>1</v>
      </c>
      <c r="F14921" s="29"/>
      <c r="G14921" s="29"/>
      <c r="H14921" s="29"/>
      <c r="I14921" s="28">
        <v>1</v>
      </c>
      <c r="J14921" s="29"/>
      <c r="K14921" s="29"/>
      <c r="L14921" s="29"/>
      <c r="M14921" s="29"/>
      <c r="N14921" s="29"/>
      <c r="O14921" s="29"/>
      <c r="P14921" s="29" t="s">
        <v>331</v>
      </c>
    </row>
    <row r="14922" spans="1:16" x14ac:dyDescent="0.35">
      <c r="A14922" s="27" t="s">
        <v>231</v>
      </c>
      <c r="B14922" s="27" t="s">
        <v>1343</v>
      </c>
      <c r="C14922" s="27" t="s">
        <v>1346</v>
      </c>
      <c r="D14922" s="28">
        <v>0.65380000000000005</v>
      </c>
      <c r="E14922" s="28">
        <v>7.6899999999999996E-2</v>
      </c>
      <c r="F14922" s="28">
        <v>0.1923</v>
      </c>
      <c r="G14922" s="29"/>
      <c r="H14922" s="29"/>
      <c r="I14922" s="28">
        <v>3.85E-2</v>
      </c>
      <c r="J14922" s="28">
        <v>3.85E-2</v>
      </c>
      <c r="K14922" s="29"/>
      <c r="L14922" s="29"/>
      <c r="M14922" s="28">
        <v>3.85E-2</v>
      </c>
      <c r="N14922" s="29"/>
      <c r="O14922" s="29"/>
      <c r="P14922" s="29" t="s">
        <v>357</v>
      </c>
    </row>
    <row r="14923" spans="1:16" x14ac:dyDescent="0.35">
      <c r="A14923" s="27" t="s">
        <v>231</v>
      </c>
      <c r="B14923" s="27" t="s">
        <v>1341</v>
      </c>
      <c r="C14923" s="27" t="s">
        <v>1346</v>
      </c>
      <c r="D14923" s="28">
        <v>1</v>
      </c>
      <c r="E14923" s="29"/>
      <c r="F14923" s="29"/>
      <c r="G14923" s="29"/>
      <c r="H14923" s="29"/>
      <c r="I14923" s="29"/>
      <c r="J14923" s="29"/>
      <c r="K14923" s="29"/>
      <c r="L14923" s="29"/>
      <c r="M14923" s="29"/>
      <c r="N14923" s="29"/>
      <c r="O14923" s="29"/>
      <c r="P14923" s="29" t="s">
        <v>379</v>
      </c>
    </row>
    <row r="14924" spans="1:16" x14ac:dyDescent="0.35">
      <c r="A14924" s="27" t="s">
        <v>231</v>
      </c>
      <c r="B14924" s="27" t="s">
        <v>1341</v>
      </c>
      <c r="C14924" s="27" t="s">
        <v>1347</v>
      </c>
      <c r="D14924" s="28">
        <v>0.84619999999999995</v>
      </c>
      <c r="E14924" s="28">
        <v>0.15379999999999999</v>
      </c>
      <c r="F14924" s="29"/>
      <c r="G14924" s="29"/>
      <c r="H14924" s="29"/>
      <c r="I14924" s="29"/>
      <c r="J14924" s="29"/>
      <c r="K14924" s="29"/>
      <c r="L14924" s="29"/>
      <c r="M14924" s="29"/>
      <c r="N14924" s="29"/>
      <c r="O14924" s="29"/>
      <c r="P14924" s="29" t="s">
        <v>341</v>
      </c>
    </row>
    <row r="14925" spans="1:16" x14ac:dyDescent="0.35">
      <c r="A14925" s="27" t="s">
        <v>231</v>
      </c>
      <c r="B14925" s="27" t="s">
        <v>1343</v>
      </c>
      <c r="C14925" s="27" t="s">
        <v>1347</v>
      </c>
      <c r="D14925" s="28">
        <v>0.9</v>
      </c>
      <c r="E14925" s="29"/>
      <c r="F14925" s="29"/>
      <c r="G14925" s="29"/>
      <c r="H14925" s="29"/>
      <c r="I14925" s="29"/>
      <c r="J14925" s="28">
        <v>0.05</v>
      </c>
      <c r="K14925" s="29"/>
      <c r="L14925" s="28">
        <v>0.05</v>
      </c>
      <c r="M14925" s="29"/>
      <c r="N14925" s="29"/>
      <c r="O14925" s="29"/>
      <c r="P14925" s="29" t="s">
        <v>350</v>
      </c>
    </row>
    <row r="14926" spans="1:16" x14ac:dyDescent="0.35">
      <c r="A14926" t="s">
        <v>232</v>
      </c>
      <c r="B14926" t="s">
        <v>232</v>
      </c>
      <c r="C14926" t="s">
        <v>232</v>
      </c>
      <c r="D14926" s="26">
        <v>0.80920000000000003</v>
      </c>
      <c r="E14926" s="26">
        <v>6.9000000000000006E-2</v>
      </c>
      <c r="F14926" s="26">
        <v>4.3400000000000001E-2</v>
      </c>
      <c r="G14926" s="26">
        <v>3.8899999999999997E-2</v>
      </c>
      <c r="H14926" s="26">
        <v>1.89E-2</v>
      </c>
      <c r="I14926" s="26">
        <v>1.52E-2</v>
      </c>
      <c r="J14926" s="26">
        <v>1.3100000000000001E-2</v>
      </c>
      <c r="K14926" s="26">
        <v>1.11E-2</v>
      </c>
      <c r="L14926" s="26">
        <v>7.7999999999999996E-3</v>
      </c>
      <c r="M14926" s="26">
        <v>5.7999999999999996E-3</v>
      </c>
      <c r="N14926" s="26">
        <v>2E-3</v>
      </c>
      <c r="O14926" s="26">
        <v>1.6000000000000001E-3</v>
      </c>
      <c r="P14926">
        <v>2766</v>
      </c>
    </row>
    <row r="14928" spans="1:16" x14ac:dyDescent="0.35">
      <c r="A14928" s="1" t="s">
        <v>1619</v>
      </c>
    </row>
    <row r="14929" spans="1:8" x14ac:dyDescent="0.35">
      <c r="A14929" t="s">
        <v>219</v>
      </c>
      <c r="B14929" t="s">
        <v>302</v>
      </c>
      <c r="C14929" t="s">
        <v>281</v>
      </c>
      <c r="D14929" t="s">
        <v>1620</v>
      </c>
      <c r="E14929" t="s">
        <v>1621</v>
      </c>
      <c r="F14929" t="s">
        <v>286</v>
      </c>
      <c r="G14929" t="s">
        <v>226</v>
      </c>
    </row>
    <row r="14930" spans="1:8" x14ac:dyDescent="0.35">
      <c r="A14930" t="s">
        <v>227</v>
      </c>
      <c r="B14930" s="26">
        <v>0.89380000000000004</v>
      </c>
      <c r="C14930" s="26">
        <v>0.1062</v>
      </c>
      <c r="G14930">
        <v>160</v>
      </c>
    </row>
    <row r="14931" spans="1:8" x14ac:dyDescent="0.35">
      <c r="A14931" t="s">
        <v>228</v>
      </c>
      <c r="B14931" s="26">
        <v>0.73719999999999997</v>
      </c>
      <c r="C14931" s="26">
        <v>0.1288</v>
      </c>
      <c r="D14931" s="26">
        <v>9.2200000000000004E-2</v>
      </c>
      <c r="E14931" s="26">
        <v>4.0500000000000001E-2</v>
      </c>
      <c r="F14931" s="26">
        <v>1.2999999999999999E-3</v>
      </c>
      <c r="G14931">
        <v>1033</v>
      </c>
    </row>
    <row r="14932" spans="1:8" x14ac:dyDescent="0.35">
      <c r="A14932" t="s">
        <v>229</v>
      </c>
      <c r="B14932" s="26">
        <v>0.7681</v>
      </c>
      <c r="C14932" s="26">
        <v>0.11119999999999999</v>
      </c>
      <c r="D14932" s="26">
        <v>8.6400000000000005E-2</v>
      </c>
      <c r="E14932" s="26">
        <v>3.3599999999999998E-2</v>
      </c>
      <c r="F14932" s="26">
        <v>6.9999999999999999E-4</v>
      </c>
      <c r="G14932">
        <v>895</v>
      </c>
    </row>
    <row r="14933" spans="1:8" x14ac:dyDescent="0.35">
      <c r="A14933" t="s">
        <v>230</v>
      </c>
      <c r="B14933" s="26">
        <v>0.68859999999999999</v>
      </c>
      <c r="C14933" s="26">
        <v>0.12759999999999999</v>
      </c>
      <c r="D14933" s="26">
        <v>0.1176</v>
      </c>
      <c r="E14933" s="26">
        <v>6.6100000000000006E-2</v>
      </c>
      <c r="G14933">
        <v>560</v>
      </c>
    </row>
    <row r="14934" spans="1:8" x14ac:dyDescent="0.35">
      <c r="A14934" t="s">
        <v>231</v>
      </c>
      <c r="B14934" s="26">
        <v>0.97499999999999998</v>
      </c>
      <c r="C14934" s="26">
        <v>2.5000000000000001E-2</v>
      </c>
      <c r="G14934">
        <v>160</v>
      </c>
    </row>
    <row r="14935" spans="1:8" x14ac:dyDescent="0.35">
      <c r="A14935" t="s">
        <v>232</v>
      </c>
      <c r="B14935" s="26">
        <v>0.82920000000000005</v>
      </c>
      <c r="C14935" s="26">
        <v>9.2299999999999993E-2</v>
      </c>
      <c r="D14935" s="26">
        <v>5.4199999999999998E-2</v>
      </c>
      <c r="E14935" s="26">
        <v>2.3900000000000001E-2</v>
      </c>
      <c r="F14935" s="26">
        <v>4.0000000000000002E-4</v>
      </c>
      <c r="G14935">
        <v>2808</v>
      </c>
    </row>
    <row r="14937" spans="1:8" x14ac:dyDescent="0.35">
      <c r="A14937" s="1" t="s">
        <v>1622</v>
      </c>
    </row>
    <row r="14938" spans="1:8" x14ac:dyDescent="0.35">
      <c r="A14938" t="s">
        <v>219</v>
      </c>
      <c r="B14938" t="s">
        <v>305</v>
      </c>
      <c r="C14938" t="s">
        <v>302</v>
      </c>
      <c r="D14938" t="s">
        <v>281</v>
      </c>
      <c r="E14938" t="s">
        <v>1620</v>
      </c>
      <c r="F14938" t="s">
        <v>1621</v>
      </c>
      <c r="G14938" t="s">
        <v>286</v>
      </c>
      <c r="H14938" t="s">
        <v>226</v>
      </c>
    </row>
    <row r="14939" spans="1:8" x14ac:dyDescent="0.35">
      <c r="A14939" t="s">
        <v>227</v>
      </c>
      <c r="B14939" t="s">
        <v>242</v>
      </c>
      <c r="C14939" s="26">
        <v>0.92649999999999999</v>
      </c>
      <c r="D14939" s="26">
        <v>7.3499999999999996E-2</v>
      </c>
      <c r="H14939">
        <v>68</v>
      </c>
    </row>
    <row r="14940" spans="1:8" x14ac:dyDescent="0.35">
      <c r="A14940" t="s">
        <v>227</v>
      </c>
      <c r="B14940" t="s">
        <v>241</v>
      </c>
      <c r="C14940" s="26">
        <v>0.86960000000000004</v>
      </c>
      <c r="D14940" s="26">
        <v>0.13039999999999999</v>
      </c>
      <c r="H14940">
        <v>92</v>
      </c>
    </row>
    <row r="14941" spans="1:8" x14ac:dyDescent="0.35">
      <c r="A14941" t="s">
        <v>228</v>
      </c>
      <c r="B14941" t="s">
        <v>242</v>
      </c>
      <c r="C14941" s="26">
        <v>0.72850000000000004</v>
      </c>
      <c r="D14941" s="26">
        <v>0.1394</v>
      </c>
      <c r="E14941" s="26">
        <v>8.0500000000000002E-2</v>
      </c>
      <c r="F14941" s="26">
        <v>5.0599999999999999E-2</v>
      </c>
      <c r="G14941" s="26">
        <v>1E-3</v>
      </c>
      <c r="H14941">
        <v>402</v>
      </c>
    </row>
    <row r="14942" spans="1:8" x14ac:dyDescent="0.35">
      <c r="A14942" t="s">
        <v>228</v>
      </c>
      <c r="B14942" t="s">
        <v>241</v>
      </c>
      <c r="C14942" s="26">
        <v>0.74209999999999998</v>
      </c>
      <c r="D14942" s="26">
        <v>0.12280000000000001</v>
      </c>
      <c r="E14942" s="26">
        <v>9.8900000000000002E-2</v>
      </c>
      <c r="F14942" s="26">
        <v>3.4700000000000002E-2</v>
      </c>
      <c r="G14942" s="26">
        <v>1.4E-3</v>
      </c>
      <c r="H14942">
        <v>631</v>
      </c>
    </row>
    <row r="14943" spans="1:8" x14ac:dyDescent="0.35">
      <c r="A14943" t="s">
        <v>229</v>
      </c>
      <c r="B14943" t="s">
        <v>242</v>
      </c>
      <c r="C14943" s="26">
        <v>0.76690000000000003</v>
      </c>
      <c r="D14943" s="26">
        <v>0.12939999999999999</v>
      </c>
      <c r="E14943" s="26">
        <v>6.0999999999999999E-2</v>
      </c>
      <c r="F14943" s="26">
        <v>4.19E-2</v>
      </c>
      <c r="G14943" s="26">
        <v>8.0000000000000004E-4</v>
      </c>
      <c r="H14943">
        <v>292</v>
      </c>
    </row>
    <row r="14944" spans="1:8" x14ac:dyDescent="0.35">
      <c r="A14944" t="s">
        <v>229</v>
      </c>
      <c r="B14944" t="s">
        <v>241</v>
      </c>
      <c r="C14944" s="26">
        <v>0.76890000000000003</v>
      </c>
      <c r="D14944" s="26">
        <v>9.9599999999999994E-2</v>
      </c>
      <c r="E14944" s="26">
        <v>0.1026</v>
      </c>
      <c r="F14944" s="26">
        <v>2.8299999999999999E-2</v>
      </c>
      <c r="G14944" s="26">
        <v>5.0000000000000001E-4</v>
      </c>
      <c r="H14944">
        <v>603</v>
      </c>
    </row>
    <row r="14945" spans="1:8" x14ac:dyDescent="0.35">
      <c r="A14945" t="s">
        <v>230</v>
      </c>
      <c r="B14945" t="s">
        <v>242</v>
      </c>
      <c r="C14945" s="26">
        <v>0.70979999999999999</v>
      </c>
      <c r="D14945" s="26">
        <v>0.1605</v>
      </c>
      <c r="E14945" s="26">
        <v>6.8000000000000005E-2</v>
      </c>
      <c r="F14945" s="26">
        <v>6.1699999999999998E-2</v>
      </c>
      <c r="H14945">
        <v>189</v>
      </c>
    </row>
    <row r="14946" spans="1:8" x14ac:dyDescent="0.35">
      <c r="A14946" t="s">
        <v>230</v>
      </c>
      <c r="B14946" t="s">
        <v>241</v>
      </c>
      <c r="C14946" s="26">
        <v>0.67779999999999996</v>
      </c>
      <c r="D14946" s="26">
        <v>0.1109</v>
      </c>
      <c r="E14946" s="26">
        <v>0.14299999999999999</v>
      </c>
      <c r="F14946" s="26">
        <v>6.83E-2</v>
      </c>
      <c r="H14946">
        <v>371</v>
      </c>
    </row>
    <row r="14947" spans="1:8" x14ac:dyDescent="0.35">
      <c r="A14947" t="s">
        <v>231</v>
      </c>
      <c r="B14947" t="s">
        <v>242</v>
      </c>
      <c r="C14947" s="26">
        <v>0.98109999999999997</v>
      </c>
      <c r="D14947" s="26">
        <v>1.89E-2</v>
      </c>
      <c r="H14947">
        <v>53</v>
      </c>
    </row>
    <row r="14948" spans="1:8" x14ac:dyDescent="0.35">
      <c r="A14948" t="s">
        <v>231</v>
      </c>
      <c r="B14948" t="s">
        <v>241</v>
      </c>
      <c r="C14948" s="26">
        <v>0.97199999999999998</v>
      </c>
      <c r="D14948" s="26">
        <v>2.8000000000000001E-2</v>
      </c>
      <c r="H14948">
        <v>107</v>
      </c>
    </row>
    <row r="14949" spans="1:8" x14ac:dyDescent="0.35">
      <c r="A14949" t="s">
        <v>232</v>
      </c>
      <c r="B14949" t="s">
        <v>232</v>
      </c>
      <c r="C14949" s="26">
        <v>0.82920000000000005</v>
      </c>
      <c r="D14949" s="26">
        <v>9.2299999999999993E-2</v>
      </c>
      <c r="E14949" s="26">
        <v>5.4199999999999998E-2</v>
      </c>
      <c r="F14949" s="26">
        <v>2.3900000000000001E-2</v>
      </c>
      <c r="G14949" s="26">
        <v>4.0000000000000002E-4</v>
      </c>
      <c r="H14949">
        <v>2808</v>
      </c>
    </row>
    <row r="14951" spans="1:8" x14ac:dyDescent="0.35">
      <c r="A14951" s="1" t="s">
        <v>1623</v>
      </c>
    </row>
    <row r="14952" spans="1:8" x14ac:dyDescent="0.35">
      <c r="A14952" t="s">
        <v>219</v>
      </c>
      <c r="B14952" t="s">
        <v>305</v>
      </c>
      <c r="C14952" t="s">
        <v>302</v>
      </c>
      <c r="D14952" t="s">
        <v>281</v>
      </c>
      <c r="E14952" t="s">
        <v>1620</v>
      </c>
      <c r="F14952" t="s">
        <v>1621</v>
      </c>
      <c r="G14952" t="s">
        <v>286</v>
      </c>
      <c r="H14952" t="s">
        <v>226</v>
      </c>
    </row>
    <row r="14953" spans="1:8" x14ac:dyDescent="0.35">
      <c r="A14953" t="s">
        <v>227</v>
      </c>
      <c r="B14953" t="s">
        <v>239</v>
      </c>
      <c r="C14953" s="26">
        <v>0.8387</v>
      </c>
      <c r="D14953" s="26">
        <v>0.1613</v>
      </c>
      <c r="H14953">
        <v>62</v>
      </c>
    </row>
    <row r="14954" spans="1:8" x14ac:dyDescent="0.35">
      <c r="A14954" t="s">
        <v>227</v>
      </c>
      <c r="B14954" t="s">
        <v>238</v>
      </c>
      <c r="C14954" s="26">
        <v>0.92859999999999998</v>
      </c>
      <c r="D14954" s="26">
        <v>7.1400000000000005E-2</v>
      </c>
      <c r="H14954">
        <v>98</v>
      </c>
    </row>
    <row r="14955" spans="1:8" x14ac:dyDescent="0.35">
      <c r="A14955" t="s">
        <v>228</v>
      </c>
      <c r="B14955" t="s">
        <v>239</v>
      </c>
      <c r="C14955" s="26">
        <v>0.72160000000000002</v>
      </c>
      <c r="D14955" s="26">
        <v>0.15210000000000001</v>
      </c>
      <c r="E14955" s="26">
        <v>8.4400000000000003E-2</v>
      </c>
      <c r="F14955" s="26">
        <v>4.0300000000000002E-2</v>
      </c>
      <c r="G14955" s="26">
        <v>1.6999999999999999E-3</v>
      </c>
      <c r="H14955">
        <v>330</v>
      </c>
    </row>
    <row r="14956" spans="1:8" x14ac:dyDescent="0.35">
      <c r="A14956" t="s">
        <v>228</v>
      </c>
      <c r="B14956" t="s">
        <v>238</v>
      </c>
      <c r="C14956" s="26">
        <v>0.74119999999999997</v>
      </c>
      <c r="D14956" s="26">
        <v>0.12280000000000001</v>
      </c>
      <c r="E14956" s="26">
        <v>9.4299999999999995E-2</v>
      </c>
      <c r="F14956" s="26">
        <v>4.0599999999999997E-2</v>
      </c>
      <c r="G14956" s="26">
        <v>1.1000000000000001E-3</v>
      </c>
      <c r="H14956">
        <v>703</v>
      </c>
    </row>
    <row r="14957" spans="1:8" x14ac:dyDescent="0.35">
      <c r="A14957" t="s">
        <v>229</v>
      </c>
      <c r="B14957" t="s">
        <v>239</v>
      </c>
      <c r="C14957" s="26">
        <v>0.75800000000000001</v>
      </c>
      <c r="D14957" s="26">
        <v>0.10979999999999999</v>
      </c>
      <c r="E14957" s="26">
        <v>0.1042</v>
      </c>
      <c r="F14957" s="26">
        <v>2.8000000000000001E-2</v>
      </c>
      <c r="H14957">
        <v>332</v>
      </c>
    </row>
    <row r="14958" spans="1:8" x14ac:dyDescent="0.35">
      <c r="A14958" t="s">
        <v>229</v>
      </c>
      <c r="B14958" t="s">
        <v>238</v>
      </c>
      <c r="C14958" s="26">
        <v>0.77149999999999996</v>
      </c>
      <c r="D14958" s="26">
        <v>0.11169999999999999</v>
      </c>
      <c r="E14958" s="26">
        <v>8.0299999999999996E-2</v>
      </c>
      <c r="F14958" s="26">
        <v>3.5499999999999997E-2</v>
      </c>
      <c r="G14958" s="26">
        <v>8.9999999999999998E-4</v>
      </c>
      <c r="H14958">
        <v>563</v>
      </c>
    </row>
    <row r="14959" spans="1:8" x14ac:dyDescent="0.35">
      <c r="A14959" t="s">
        <v>230</v>
      </c>
      <c r="B14959" t="s">
        <v>239</v>
      </c>
      <c r="C14959" s="26">
        <v>0.76300000000000001</v>
      </c>
      <c r="D14959" s="26">
        <v>0.11409999999999999</v>
      </c>
      <c r="E14959" s="26">
        <v>4.7500000000000001E-2</v>
      </c>
      <c r="F14959" s="26">
        <v>7.5300000000000006E-2</v>
      </c>
      <c r="H14959">
        <v>211</v>
      </c>
    </row>
    <row r="14960" spans="1:8" x14ac:dyDescent="0.35">
      <c r="A14960" t="s">
        <v>230</v>
      </c>
      <c r="B14960" t="s">
        <v>238</v>
      </c>
      <c r="C14960" s="26">
        <v>0.65659999999999996</v>
      </c>
      <c r="D14960" s="26">
        <v>0.13350000000000001</v>
      </c>
      <c r="E14960" s="26">
        <v>0.14779999999999999</v>
      </c>
      <c r="F14960" s="26">
        <v>6.2100000000000002E-2</v>
      </c>
      <c r="H14960">
        <v>349</v>
      </c>
    </row>
    <row r="14961" spans="1:8" x14ac:dyDescent="0.35">
      <c r="A14961" t="s">
        <v>231</v>
      </c>
      <c r="B14961" t="s">
        <v>239</v>
      </c>
      <c r="C14961" s="26">
        <v>0.96489999999999998</v>
      </c>
      <c r="D14961" s="26">
        <v>3.5099999999999999E-2</v>
      </c>
      <c r="H14961">
        <v>57</v>
      </c>
    </row>
    <row r="14962" spans="1:8" x14ac:dyDescent="0.35">
      <c r="A14962" t="s">
        <v>231</v>
      </c>
      <c r="B14962" t="s">
        <v>238</v>
      </c>
      <c r="C14962" s="26">
        <v>0.98060000000000003</v>
      </c>
      <c r="D14962" s="26">
        <v>1.9400000000000001E-2</v>
      </c>
      <c r="H14962">
        <v>103</v>
      </c>
    </row>
    <row r="14963" spans="1:8" x14ac:dyDescent="0.35">
      <c r="A14963" t="s">
        <v>232</v>
      </c>
      <c r="B14963" t="s">
        <v>232</v>
      </c>
      <c r="C14963" s="26">
        <v>0.82920000000000005</v>
      </c>
      <c r="D14963" s="26">
        <v>9.2299999999999993E-2</v>
      </c>
      <c r="E14963" s="26">
        <v>5.4199999999999998E-2</v>
      </c>
      <c r="F14963" s="26">
        <v>2.3900000000000001E-2</v>
      </c>
      <c r="G14963" s="26">
        <v>4.0000000000000002E-4</v>
      </c>
      <c r="H14963">
        <v>2808</v>
      </c>
    </row>
    <row r="14965" spans="1:8" x14ac:dyDescent="0.35">
      <c r="A14965" s="1" t="s">
        <v>1624</v>
      </c>
    </row>
    <row r="14966" spans="1:8" x14ac:dyDescent="0.35">
      <c r="A14966" t="s">
        <v>219</v>
      </c>
      <c r="B14966" t="s">
        <v>305</v>
      </c>
      <c r="C14966" t="s">
        <v>302</v>
      </c>
      <c r="D14966" t="s">
        <v>281</v>
      </c>
      <c r="E14966" t="s">
        <v>1620</v>
      </c>
      <c r="F14966" t="s">
        <v>1621</v>
      </c>
      <c r="G14966" t="s">
        <v>286</v>
      </c>
      <c r="H14966" t="s">
        <v>226</v>
      </c>
    </row>
    <row r="14967" spans="1:8" x14ac:dyDescent="0.35">
      <c r="A14967" t="s">
        <v>227</v>
      </c>
      <c r="B14967" t="s">
        <v>244</v>
      </c>
      <c r="C14967" s="26">
        <v>0.90620000000000001</v>
      </c>
      <c r="D14967" s="26">
        <v>9.3799999999999994E-2</v>
      </c>
      <c r="H14967">
        <v>96</v>
      </c>
    </row>
    <row r="14968" spans="1:8" x14ac:dyDescent="0.35">
      <c r="A14968" t="s">
        <v>227</v>
      </c>
      <c r="B14968" t="s">
        <v>245</v>
      </c>
      <c r="C14968" s="26">
        <v>0.8679</v>
      </c>
      <c r="D14968" s="26">
        <v>0.1321</v>
      </c>
      <c r="H14968">
        <v>53</v>
      </c>
    </row>
    <row r="14969" spans="1:8" x14ac:dyDescent="0.35">
      <c r="A14969" s="27" t="s">
        <v>227</v>
      </c>
      <c r="B14969" s="27" t="s">
        <v>246</v>
      </c>
      <c r="C14969" s="28">
        <v>0.90910000000000002</v>
      </c>
      <c r="D14969" s="28">
        <v>9.0899999999999995E-2</v>
      </c>
      <c r="E14969" s="29"/>
      <c r="F14969" s="29"/>
      <c r="G14969" s="29"/>
      <c r="H14969" s="29" t="s">
        <v>352</v>
      </c>
    </row>
    <row r="14970" spans="1:8" x14ac:dyDescent="0.35">
      <c r="A14970" t="s">
        <v>228</v>
      </c>
      <c r="B14970" t="s">
        <v>244</v>
      </c>
      <c r="C14970" s="26">
        <v>0.76300000000000001</v>
      </c>
      <c r="D14970" s="26">
        <v>0.10580000000000001</v>
      </c>
      <c r="E14970" s="26">
        <v>9.6600000000000005E-2</v>
      </c>
      <c r="F14970" s="26">
        <v>3.3300000000000003E-2</v>
      </c>
      <c r="G14970" s="26">
        <v>1.4E-3</v>
      </c>
      <c r="H14970">
        <v>638</v>
      </c>
    </row>
    <row r="14971" spans="1:8" x14ac:dyDescent="0.35">
      <c r="A14971" t="s">
        <v>228</v>
      </c>
      <c r="B14971" t="s">
        <v>245</v>
      </c>
      <c r="C14971" s="26">
        <v>0.66810000000000003</v>
      </c>
      <c r="D14971" s="26">
        <v>0.1837</v>
      </c>
      <c r="E14971" s="26">
        <v>0.09</v>
      </c>
      <c r="F14971" s="26">
        <v>5.6899999999999999E-2</v>
      </c>
      <c r="G14971" s="26">
        <v>1.2999999999999999E-3</v>
      </c>
      <c r="H14971">
        <v>328</v>
      </c>
    </row>
    <row r="14972" spans="1:8" x14ac:dyDescent="0.35">
      <c r="A14972" t="s">
        <v>228</v>
      </c>
      <c r="B14972" t="s">
        <v>246</v>
      </c>
      <c r="C14972" s="26">
        <v>0.77149999999999996</v>
      </c>
      <c r="D14972" s="26">
        <v>0.1258</v>
      </c>
      <c r="E14972" s="26">
        <v>5.9799999999999999E-2</v>
      </c>
      <c r="F14972" s="26">
        <v>4.2900000000000001E-2</v>
      </c>
      <c r="H14972">
        <v>67</v>
      </c>
    </row>
    <row r="14973" spans="1:8" x14ac:dyDescent="0.35">
      <c r="A14973" t="s">
        <v>229</v>
      </c>
      <c r="B14973" t="s">
        <v>244</v>
      </c>
      <c r="C14973" s="26">
        <v>0.7661</v>
      </c>
      <c r="D14973" s="26">
        <v>0.1149</v>
      </c>
      <c r="E14973" s="26">
        <v>8.8200000000000001E-2</v>
      </c>
      <c r="F14973" s="26">
        <v>3.04E-2</v>
      </c>
      <c r="G14973" s="26">
        <v>5.0000000000000001E-4</v>
      </c>
      <c r="H14973">
        <v>557</v>
      </c>
    </row>
    <row r="14974" spans="1:8" x14ac:dyDescent="0.35">
      <c r="A14974" t="s">
        <v>229</v>
      </c>
      <c r="B14974" t="s">
        <v>245</v>
      </c>
      <c r="C14974" s="26">
        <v>0.77910000000000001</v>
      </c>
      <c r="D14974" s="26">
        <v>0.1065</v>
      </c>
      <c r="E14974" s="26">
        <v>8.5300000000000001E-2</v>
      </c>
      <c r="F14974" s="26">
        <v>2.7799999999999998E-2</v>
      </c>
      <c r="G14974" s="26">
        <v>1.2999999999999999E-3</v>
      </c>
      <c r="H14974">
        <v>293</v>
      </c>
    </row>
    <row r="14975" spans="1:8" x14ac:dyDescent="0.35">
      <c r="A14975" t="s">
        <v>229</v>
      </c>
      <c r="B14975" t="s">
        <v>246</v>
      </c>
      <c r="C14975" s="26">
        <v>0.74099999999999999</v>
      </c>
      <c r="D14975" s="26">
        <v>8.6599999999999996E-2</v>
      </c>
      <c r="E14975" s="26">
        <v>6.8900000000000003E-2</v>
      </c>
      <c r="F14975" s="26">
        <v>0.10349999999999999</v>
      </c>
      <c r="H14975">
        <v>45</v>
      </c>
    </row>
    <row r="14976" spans="1:8" x14ac:dyDescent="0.35">
      <c r="A14976" t="s">
        <v>230</v>
      </c>
      <c r="B14976" t="s">
        <v>244</v>
      </c>
      <c r="C14976" s="26">
        <v>0.69820000000000004</v>
      </c>
      <c r="D14976" s="26">
        <v>0.113</v>
      </c>
      <c r="E14976" s="26">
        <v>0.11310000000000001</v>
      </c>
      <c r="F14976" s="26">
        <v>7.5600000000000001E-2</v>
      </c>
      <c r="H14976">
        <v>370</v>
      </c>
    </row>
    <row r="14977" spans="1:8" x14ac:dyDescent="0.35">
      <c r="A14977" t="s">
        <v>230</v>
      </c>
      <c r="B14977" t="s">
        <v>245</v>
      </c>
      <c r="C14977" s="26">
        <v>0.65159999999999996</v>
      </c>
      <c r="D14977" s="26">
        <v>0.16980000000000001</v>
      </c>
      <c r="E14977" s="26">
        <v>0.13780000000000001</v>
      </c>
      <c r="F14977" s="26">
        <v>4.07E-2</v>
      </c>
      <c r="H14977">
        <v>161</v>
      </c>
    </row>
    <row r="14978" spans="1:8" x14ac:dyDescent="0.35">
      <c r="A14978" s="27" t="s">
        <v>230</v>
      </c>
      <c r="B14978" s="27" t="s">
        <v>246</v>
      </c>
      <c r="C14978" s="28">
        <v>0.74980000000000002</v>
      </c>
      <c r="D14978" s="28">
        <v>0.1108</v>
      </c>
      <c r="E14978" s="28">
        <v>7.3400000000000007E-2</v>
      </c>
      <c r="F14978" s="28">
        <v>6.6000000000000003E-2</v>
      </c>
      <c r="G14978" s="29"/>
      <c r="H14978" s="29" t="s">
        <v>329</v>
      </c>
    </row>
    <row r="14979" spans="1:8" x14ac:dyDescent="0.35">
      <c r="A14979" t="s">
        <v>231</v>
      </c>
      <c r="B14979" t="s">
        <v>244</v>
      </c>
      <c r="C14979" s="26">
        <v>0.96740000000000004</v>
      </c>
      <c r="D14979" s="26">
        <v>3.2599999999999997E-2</v>
      </c>
      <c r="H14979">
        <v>92</v>
      </c>
    </row>
    <row r="14980" spans="1:8" x14ac:dyDescent="0.35">
      <c r="A14980" t="s">
        <v>231</v>
      </c>
      <c r="B14980" t="s">
        <v>245</v>
      </c>
      <c r="C14980" s="26">
        <v>0.98180000000000001</v>
      </c>
      <c r="D14980" s="26">
        <v>1.8200000000000001E-2</v>
      </c>
      <c r="H14980">
        <v>55</v>
      </c>
    </row>
    <row r="14981" spans="1:8" x14ac:dyDescent="0.35">
      <c r="A14981" s="27" t="s">
        <v>231</v>
      </c>
      <c r="B14981" s="27" t="s">
        <v>246</v>
      </c>
      <c r="C14981" s="28">
        <v>1</v>
      </c>
      <c r="D14981" s="29"/>
      <c r="E14981" s="29"/>
      <c r="F14981" s="29"/>
      <c r="G14981" s="29"/>
      <c r="H14981" s="29" t="s">
        <v>341</v>
      </c>
    </row>
    <row r="14982" spans="1:8" x14ac:dyDescent="0.35">
      <c r="A14982" t="s">
        <v>232</v>
      </c>
      <c r="B14982" t="s">
        <v>232</v>
      </c>
      <c r="C14982" s="26">
        <v>0.82920000000000005</v>
      </c>
      <c r="D14982" s="26">
        <v>9.2299999999999993E-2</v>
      </c>
      <c r="E14982" s="26">
        <v>5.4199999999999998E-2</v>
      </c>
      <c r="F14982" s="26">
        <v>2.3900000000000001E-2</v>
      </c>
      <c r="G14982" s="26">
        <v>4.0000000000000002E-4</v>
      </c>
      <c r="H14982">
        <v>2808</v>
      </c>
    </row>
    <row r="14984" spans="1:8" x14ac:dyDescent="0.35">
      <c r="A14984" s="1" t="s">
        <v>1625</v>
      </c>
    </row>
    <row r="14985" spans="1:8" x14ac:dyDescent="0.35">
      <c r="A14985" t="s">
        <v>219</v>
      </c>
      <c r="B14985" t="s">
        <v>305</v>
      </c>
      <c r="C14985" t="s">
        <v>302</v>
      </c>
      <c r="D14985" t="s">
        <v>281</v>
      </c>
      <c r="E14985" t="s">
        <v>1620</v>
      </c>
      <c r="F14985" t="s">
        <v>1621</v>
      </c>
      <c r="G14985" t="s">
        <v>286</v>
      </c>
      <c r="H14985" t="s">
        <v>226</v>
      </c>
    </row>
    <row r="14986" spans="1:8" x14ac:dyDescent="0.35">
      <c r="A14986" t="s">
        <v>227</v>
      </c>
      <c r="B14986" t="s">
        <v>360</v>
      </c>
      <c r="C14986" s="26">
        <v>0.89470000000000005</v>
      </c>
      <c r="D14986" s="26">
        <v>0.1053</v>
      </c>
      <c r="H14986">
        <v>38</v>
      </c>
    </row>
    <row r="14987" spans="1:8" x14ac:dyDescent="0.35">
      <c r="A14987" t="s">
        <v>227</v>
      </c>
      <c r="B14987" t="s">
        <v>361</v>
      </c>
      <c r="C14987" s="26">
        <v>0.96879999999999999</v>
      </c>
      <c r="D14987" s="26">
        <v>3.1199999999999999E-2</v>
      </c>
      <c r="H14987">
        <v>32</v>
      </c>
    </row>
    <row r="14988" spans="1:8" x14ac:dyDescent="0.35">
      <c r="A14988" t="s">
        <v>227</v>
      </c>
      <c r="B14988" t="s">
        <v>362</v>
      </c>
      <c r="C14988" s="26">
        <v>0.94589999999999996</v>
      </c>
      <c r="D14988" s="26">
        <v>5.4100000000000002E-2</v>
      </c>
      <c r="H14988">
        <v>37</v>
      </c>
    </row>
    <row r="14989" spans="1:8" x14ac:dyDescent="0.35">
      <c r="A14989" t="s">
        <v>227</v>
      </c>
      <c r="B14989" t="s">
        <v>363</v>
      </c>
      <c r="C14989" s="26">
        <v>0.8</v>
      </c>
      <c r="D14989" s="26">
        <v>0.2</v>
      </c>
      <c r="H14989">
        <v>45</v>
      </c>
    </row>
    <row r="14990" spans="1:8" x14ac:dyDescent="0.35">
      <c r="A14990" t="s">
        <v>228</v>
      </c>
      <c r="B14990" t="s">
        <v>360</v>
      </c>
      <c r="C14990" s="26">
        <v>0.70840000000000003</v>
      </c>
      <c r="D14990" s="26">
        <v>0.15920000000000001</v>
      </c>
      <c r="E14990" s="26">
        <v>9.1999999999999998E-2</v>
      </c>
      <c r="F14990" s="26">
        <v>3.8600000000000002E-2</v>
      </c>
      <c r="G14990" s="26">
        <v>1.8E-3</v>
      </c>
      <c r="H14990">
        <v>258</v>
      </c>
    </row>
    <row r="14991" spans="1:8" x14ac:dyDescent="0.35">
      <c r="A14991" t="s">
        <v>228</v>
      </c>
      <c r="B14991" t="s">
        <v>361</v>
      </c>
      <c r="C14991" s="26">
        <v>0.70079999999999998</v>
      </c>
      <c r="D14991" s="26">
        <v>0.13250000000000001</v>
      </c>
      <c r="E14991" s="26">
        <v>8.8300000000000003E-2</v>
      </c>
      <c r="F14991" s="26">
        <v>7.8399999999999997E-2</v>
      </c>
      <c r="H14991">
        <v>194</v>
      </c>
    </row>
    <row r="14992" spans="1:8" x14ac:dyDescent="0.35">
      <c r="A14992" t="s">
        <v>228</v>
      </c>
      <c r="B14992" t="s">
        <v>363</v>
      </c>
      <c r="C14992" s="26">
        <v>0.81830000000000003</v>
      </c>
      <c r="D14992" s="26">
        <v>8.0299999999999996E-2</v>
      </c>
      <c r="E14992" s="26">
        <v>8.7499999999999994E-2</v>
      </c>
      <c r="F14992" s="26">
        <v>1.3899999999999999E-2</v>
      </c>
      <c r="H14992">
        <v>212</v>
      </c>
    </row>
    <row r="14993" spans="1:8" x14ac:dyDescent="0.35">
      <c r="A14993" t="s">
        <v>228</v>
      </c>
      <c r="B14993" t="s">
        <v>362</v>
      </c>
      <c r="C14993" s="26">
        <v>0.75509999999999999</v>
      </c>
      <c r="D14993" s="26">
        <v>0.13589999999999999</v>
      </c>
      <c r="E14993" s="26">
        <v>8.5599999999999996E-2</v>
      </c>
      <c r="F14993" s="26">
        <v>2.3400000000000001E-2</v>
      </c>
      <c r="H14993">
        <v>236</v>
      </c>
    </row>
    <row r="14994" spans="1:8" x14ac:dyDescent="0.35">
      <c r="A14994" t="s">
        <v>229</v>
      </c>
      <c r="B14994" t="s">
        <v>363</v>
      </c>
      <c r="C14994" s="26">
        <v>0.76390000000000002</v>
      </c>
      <c r="D14994" s="26">
        <v>0.1246</v>
      </c>
      <c r="E14994" s="26">
        <v>6.9400000000000003E-2</v>
      </c>
      <c r="F14994" s="26">
        <v>4.2000000000000003E-2</v>
      </c>
      <c r="H14994">
        <v>191</v>
      </c>
    </row>
    <row r="14995" spans="1:8" x14ac:dyDescent="0.35">
      <c r="A14995" t="s">
        <v>229</v>
      </c>
      <c r="B14995" t="s">
        <v>360</v>
      </c>
      <c r="C14995" s="26">
        <v>0.74650000000000005</v>
      </c>
      <c r="D14995" s="26">
        <v>0.13020000000000001</v>
      </c>
      <c r="E14995" s="26">
        <v>0.10440000000000001</v>
      </c>
      <c r="F14995" s="26">
        <v>1.9E-2</v>
      </c>
      <c r="H14995">
        <v>164</v>
      </c>
    </row>
    <row r="14996" spans="1:8" x14ac:dyDescent="0.35">
      <c r="A14996" t="s">
        <v>229</v>
      </c>
      <c r="B14996" t="s">
        <v>361</v>
      </c>
      <c r="C14996" s="26">
        <v>0.80679999999999996</v>
      </c>
      <c r="D14996" s="26">
        <v>9.2100000000000001E-2</v>
      </c>
      <c r="E14996" s="26">
        <v>9.4899999999999998E-2</v>
      </c>
      <c r="F14996" s="26">
        <v>6.1999999999999998E-3</v>
      </c>
      <c r="H14996">
        <v>243</v>
      </c>
    </row>
    <row r="14997" spans="1:8" x14ac:dyDescent="0.35">
      <c r="A14997" t="s">
        <v>229</v>
      </c>
      <c r="B14997" t="s">
        <v>362</v>
      </c>
      <c r="C14997" s="26">
        <v>0.76800000000000002</v>
      </c>
      <c r="D14997" s="26">
        <v>0.1042</v>
      </c>
      <c r="E14997" s="26">
        <v>6.3299999999999995E-2</v>
      </c>
      <c r="F14997" s="26">
        <v>6.2399999999999997E-2</v>
      </c>
      <c r="G14997" s="26">
        <v>2E-3</v>
      </c>
      <c r="H14997">
        <v>171</v>
      </c>
    </row>
    <row r="14998" spans="1:8" x14ac:dyDescent="0.35">
      <c r="A14998" t="s">
        <v>230</v>
      </c>
      <c r="B14998" t="s">
        <v>360</v>
      </c>
      <c r="C14998" s="26">
        <v>0.70640000000000003</v>
      </c>
      <c r="D14998" s="26">
        <v>0.16070000000000001</v>
      </c>
      <c r="E14998" s="26">
        <v>9.6000000000000002E-2</v>
      </c>
      <c r="F14998" s="26">
        <v>3.6999999999999998E-2</v>
      </c>
      <c r="H14998">
        <v>120</v>
      </c>
    </row>
    <row r="14999" spans="1:8" x14ac:dyDescent="0.35">
      <c r="A14999" t="s">
        <v>230</v>
      </c>
      <c r="B14999" t="s">
        <v>363</v>
      </c>
      <c r="C14999" s="26">
        <v>0.73870000000000002</v>
      </c>
      <c r="D14999" s="26">
        <v>6.1499999999999999E-2</v>
      </c>
      <c r="E14999" s="26">
        <v>0.10340000000000001</v>
      </c>
      <c r="F14999" s="26">
        <v>9.64E-2</v>
      </c>
      <c r="H14999">
        <v>127</v>
      </c>
    </row>
    <row r="15000" spans="1:8" x14ac:dyDescent="0.35">
      <c r="A15000" t="s">
        <v>230</v>
      </c>
      <c r="B15000" t="s">
        <v>361</v>
      </c>
      <c r="C15000" s="26">
        <v>0.67469999999999997</v>
      </c>
      <c r="D15000" s="26">
        <v>0.1012</v>
      </c>
      <c r="E15000" s="26">
        <v>0.15260000000000001</v>
      </c>
      <c r="F15000" s="26">
        <v>7.1499999999999994E-2</v>
      </c>
      <c r="H15000">
        <v>109</v>
      </c>
    </row>
    <row r="15001" spans="1:8" x14ac:dyDescent="0.35">
      <c r="A15001" t="s">
        <v>230</v>
      </c>
      <c r="B15001" t="s">
        <v>362</v>
      </c>
      <c r="C15001" s="26">
        <v>0.7006</v>
      </c>
      <c r="D15001" s="26">
        <v>0.15709999999999999</v>
      </c>
      <c r="E15001" s="26">
        <v>0.1148</v>
      </c>
      <c r="F15001" s="26">
        <v>2.75E-2</v>
      </c>
      <c r="H15001">
        <v>148</v>
      </c>
    </row>
    <row r="15002" spans="1:8" x14ac:dyDescent="0.35">
      <c r="A15002" s="27" t="s">
        <v>231</v>
      </c>
      <c r="B15002" s="27" t="s">
        <v>362</v>
      </c>
      <c r="C15002" s="28">
        <v>0.96550000000000002</v>
      </c>
      <c r="D15002" s="28">
        <v>3.4500000000000003E-2</v>
      </c>
      <c r="E15002" s="29"/>
      <c r="F15002" s="29"/>
      <c r="G15002" s="29"/>
      <c r="H15002" s="29" t="s">
        <v>329</v>
      </c>
    </row>
    <row r="15003" spans="1:8" x14ac:dyDescent="0.35">
      <c r="A15003" t="s">
        <v>231</v>
      </c>
      <c r="B15003" t="s">
        <v>361</v>
      </c>
      <c r="C15003" s="26">
        <v>0.97870000000000001</v>
      </c>
      <c r="D15003" s="26">
        <v>2.1299999999999999E-2</v>
      </c>
      <c r="H15003">
        <v>47</v>
      </c>
    </row>
    <row r="15004" spans="1:8" x14ac:dyDescent="0.35">
      <c r="A15004" t="s">
        <v>231</v>
      </c>
      <c r="B15004" t="s">
        <v>360</v>
      </c>
      <c r="C15004" s="26">
        <v>0.97670000000000001</v>
      </c>
      <c r="D15004" s="26">
        <v>2.3300000000000001E-2</v>
      </c>
      <c r="H15004">
        <v>43</v>
      </c>
    </row>
    <row r="15005" spans="1:8" x14ac:dyDescent="0.35">
      <c r="A15005" s="27" t="s">
        <v>231</v>
      </c>
      <c r="B15005" s="27" t="s">
        <v>363</v>
      </c>
      <c r="C15005" s="28">
        <v>0.96299999999999997</v>
      </c>
      <c r="D15005" s="28">
        <v>3.6999999999999998E-2</v>
      </c>
      <c r="E15005" s="29"/>
      <c r="F15005" s="29"/>
      <c r="G15005" s="29"/>
      <c r="H15005" s="29" t="s">
        <v>338</v>
      </c>
    </row>
    <row r="15006" spans="1:8" x14ac:dyDescent="0.35">
      <c r="A15006" t="s">
        <v>232</v>
      </c>
      <c r="B15006" t="s">
        <v>232</v>
      </c>
      <c r="C15006" s="26">
        <v>0.82920000000000005</v>
      </c>
      <c r="D15006" s="26">
        <v>9.2299999999999993E-2</v>
      </c>
      <c r="E15006" s="26">
        <v>5.4199999999999998E-2</v>
      </c>
      <c r="F15006" s="26">
        <v>2.3900000000000001E-2</v>
      </c>
      <c r="G15006" s="26">
        <v>4.0000000000000002E-4</v>
      </c>
      <c r="H15006">
        <v>2471</v>
      </c>
    </row>
    <row r="15008" spans="1:8" x14ac:dyDescent="0.35">
      <c r="A15008" s="1" t="s">
        <v>1626</v>
      </c>
    </row>
    <row r="15009" spans="1:8" x14ac:dyDescent="0.35">
      <c r="A15009" t="s">
        <v>219</v>
      </c>
      <c r="B15009" t="s">
        <v>305</v>
      </c>
      <c r="C15009" t="s">
        <v>302</v>
      </c>
      <c r="D15009" t="s">
        <v>281</v>
      </c>
      <c r="E15009" t="s">
        <v>1620</v>
      </c>
      <c r="F15009" t="s">
        <v>1621</v>
      </c>
      <c r="G15009" t="s">
        <v>286</v>
      </c>
      <c r="H15009" t="s">
        <v>226</v>
      </c>
    </row>
    <row r="15010" spans="1:8" x14ac:dyDescent="0.35">
      <c r="A15010" t="s">
        <v>227</v>
      </c>
      <c r="B15010" t="s">
        <v>267</v>
      </c>
      <c r="C15010" s="26">
        <v>0.88890000000000002</v>
      </c>
      <c r="D15010" s="26">
        <v>0.1111</v>
      </c>
      <c r="H15010">
        <v>36</v>
      </c>
    </row>
    <row r="15011" spans="1:8" x14ac:dyDescent="0.35">
      <c r="A15011" t="s">
        <v>227</v>
      </c>
      <c r="B15011" t="s">
        <v>266</v>
      </c>
      <c r="C15011" s="26">
        <v>0.88139999999999996</v>
      </c>
      <c r="D15011" s="26">
        <v>0.1186</v>
      </c>
      <c r="H15011">
        <v>59</v>
      </c>
    </row>
    <row r="15012" spans="1:8" x14ac:dyDescent="0.35">
      <c r="A15012" t="s">
        <v>227</v>
      </c>
      <c r="B15012" t="s">
        <v>265</v>
      </c>
      <c r="C15012" s="26">
        <v>0.90769999999999995</v>
      </c>
      <c r="D15012" s="26">
        <v>9.2299999999999993E-2</v>
      </c>
      <c r="H15012">
        <v>65</v>
      </c>
    </row>
    <row r="15013" spans="1:8" x14ac:dyDescent="0.35">
      <c r="A15013" t="s">
        <v>228</v>
      </c>
      <c r="B15013" t="s">
        <v>267</v>
      </c>
      <c r="C15013" s="26">
        <v>0.67730000000000001</v>
      </c>
      <c r="D15013" s="26">
        <v>0.10920000000000001</v>
      </c>
      <c r="E15013" s="26">
        <v>0.1099</v>
      </c>
      <c r="F15013" s="26">
        <v>0.1037</v>
      </c>
      <c r="H15013">
        <v>199</v>
      </c>
    </row>
    <row r="15014" spans="1:8" x14ac:dyDescent="0.35">
      <c r="A15014" t="s">
        <v>228</v>
      </c>
      <c r="B15014" t="s">
        <v>265</v>
      </c>
      <c r="C15014" s="26">
        <v>0.78549999999999998</v>
      </c>
      <c r="D15014" s="26">
        <v>8.9200000000000002E-2</v>
      </c>
      <c r="E15014" s="26">
        <v>9.8400000000000001E-2</v>
      </c>
      <c r="F15014" s="26">
        <v>2.5999999999999999E-2</v>
      </c>
      <c r="G15014" s="26">
        <v>8.9999999999999998E-4</v>
      </c>
      <c r="H15014">
        <v>384</v>
      </c>
    </row>
    <row r="15015" spans="1:8" x14ac:dyDescent="0.35">
      <c r="A15015" s="27" t="s">
        <v>228</v>
      </c>
      <c r="B15015" s="27" t="s">
        <v>236</v>
      </c>
      <c r="C15015" s="28">
        <v>1</v>
      </c>
      <c r="D15015" s="29"/>
      <c r="E15015" s="29"/>
      <c r="F15015" s="29"/>
      <c r="G15015" s="29"/>
      <c r="H15015" s="29" t="s">
        <v>314</v>
      </c>
    </row>
    <row r="15016" spans="1:8" x14ac:dyDescent="0.35">
      <c r="A15016" t="s">
        <v>228</v>
      </c>
      <c r="B15016" t="s">
        <v>266</v>
      </c>
      <c r="C15016" s="26">
        <v>0.70889999999999997</v>
      </c>
      <c r="D15016" s="26">
        <v>0.17899999999999999</v>
      </c>
      <c r="E15016" s="26">
        <v>8.0199999999999994E-2</v>
      </c>
      <c r="F15016" s="26">
        <v>2.9700000000000001E-2</v>
      </c>
      <c r="G15016" s="26">
        <v>2.2000000000000001E-3</v>
      </c>
      <c r="H15016">
        <v>448</v>
      </c>
    </row>
    <row r="15017" spans="1:8" x14ac:dyDescent="0.35">
      <c r="A15017" t="s">
        <v>229</v>
      </c>
      <c r="B15017" t="s">
        <v>266</v>
      </c>
      <c r="C15017" s="26">
        <v>0.76</v>
      </c>
      <c r="D15017" s="26">
        <v>0.1159</v>
      </c>
      <c r="E15017" s="26">
        <v>8.2400000000000001E-2</v>
      </c>
      <c r="F15017" s="26">
        <v>4.07E-2</v>
      </c>
      <c r="G15017" s="26">
        <v>1E-3</v>
      </c>
      <c r="H15017">
        <v>359</v>
      </c>
    </row>
    <row r="15018" spans="1:8" x14ac:dyDescent="0.35">
      <c r="A15018" t="s">
        <v>229</v>
      </c>
      <c r="B15018" t="s">
        <v>267</v>
      </c>
      <c r="C15018" s="26">
        <v>0.78480000000000005</v>
      </c>
      <c r="D15018" s="26">
        <v>0.1053</v>
      </c>
      <c r="E15018" s="26">
        <v>9.3200000000000005E-2</v>
      </c>
      <c r="F15018" s="26">
        <v>1.67E-2</v>
      </c>
      <c r="H15018">
        <v>201</v>
      </c>
    </row>
    <row r="15019" spans="1:8" x14ac:dyDescent="0.35">
      <c r="A15019" t="s">
        <v>229</v>
      </c>
      <c r="B15019" t="s">
        <v>265</v>
      </c>
      <c r="C15019" s="26">
        <v>0.76580000000000004</v>
      </c>
      <c r="D15019" s="26">
        <v>0.1108</v>
      </c>
      <c r="E15019" s="26">
        <v>8.5999999999999993E-2</v>
      </c>
      <c r="F15019" s="26">
        <v>3.6700000000000003E-2</v>
      </c>
      <c r="G15019" s="26">
        <v>6.9999999999999999E-4</v>
      </c>
      <c r="H15019">
        <v>335</v>
      </c>
    </row>
    <row r="15020" spans="1:8" x14ac:dyDescent="0.35">
      <c r="A15020" t="s">
        <v>230</v>
      </c>
      <c r="B15020" t="s">
        <v>267</v>
      </c>
      <c r="C15020" s="26">
        <v>0.62829999999999997</v>
      </c>
      <c r="D15020" s="26">
        <v>0.1197</v>
      </c>
      <c r="E15020" s="26">
        <v>0.16719999999999999</v>
      </c>
      <c r="F15020" s="26">
        <v>8.48E-2</v>
      </c>
      <c r="H15020">
        <v>119</v>
      </c>
    </row>
    <row r="15021" spans="1:8" x14ac:dyDescent="0.35">
      <c r="A15021" t="s">
        <v>230</v>
      </c>
      <c r="B15021" t="s">
        <v>266</v>
      </c>
      <c r="C15021" s="26">
        <v>0.63260000000000005</v>
      </c>
      <c r="D15021" s="26">
        <v>0.1857</v>
      </c>
      <c r="E15021" s="26">
        <v>0.10340000000000001</v>
      </c>
      <c r="F15021" s="26">
        <v>7.8299999999999995E-2</v>
      </c>
      <c r="H15021">
        <v>232</v>
      </c>
    </row>
    <row r="15022" spans="1:8" x14ac:dyDescent="0.35">
      <c r="A15022" t="s">
        <v>230</v>
      </c>
      <c r="B15022" t="s">
        <v>265</v>
      </c>
      <c r="C15022" s="26">
        <v>0.76859999999999995</v>
      </c>
      <c r="D15022" s="26">
        <v>8.1699999999999995E-2</v>
      </c>
      <c r="E15022" s="26">
        <v>0.1038</v>
      </c>
      <c r="F15022" s="26">
        <v>4.58E-2</v>
      </c>
      <c r="H15022">
        <v>209</v>
      </c>
    </row>
    <row r="15023" spans="1:8" x14ac:dyDescent="0.35">
      <c r="A15023" t="s">
        <v>231</v>
      </c>
      <c r="B15023" t="s">
        <v>267</v>
      </c>
      <c r="C15023" s="26">
        <v>0.9375</v>
      </c>
      <c r="D15023" s="26">
        <v>6.25E-2</v>
      </c>
      <c r="H15023">
        <v>32</v>
      </c>
    </row>
    <row r="15024" spans="1:8" x14ac:dyDescent="0.35">
      <c r="A15024" t="s">
        <v>231</v>
      </c>
      <c r="B15024" t="s">
        <v>266</v>
      </c>
      <c r="C15024" s="26">
        <v>0.98360000000000003</v>
      </c>
      <c r="D15024" s="26">
        <v>1.6400000000000001E-2</v>
      </c>
      <c r="H15024">
        <v>61</v>
      </c>
    </row>
    <row r="15025" spans="1:8" x14ac:dyDescent="0.35">
      <c r="A15025" t="s">
        <v>231</v>
      </c>
      <c r="B15025" t="s">
        <v>265</v>
      </c>
      <c r="C15025" s="26">
        <v>0.98509999999999998</v>
      </c>
      <c r="D15025" s="26">
        <v>1.49E-2</v>
      </c>
      <c r="H15025">
        <v>67</v>
      </c>
    </row>
    <row r="15026" spans="1:8" x14ac:dyDescent="0.35">
      <c r="A15026" t="s">
        <v>232</v>
      </c>
      <c r="B15026" t="s">
        <v>232</v>
      </c>
      <c r="C15026" s="26">
        <v>0.82920000000000005</v>
      </c>
      <c r="D15026" s="26">
        <v>9.2299999999999993E-2</v>
      </c>
      <c r="E15026" s="26">
        <v>5.4199999999999998E-2</v>
      </c>
      <c r="F15026" s="26">
        <v>2.3900000000000001E-2</v>
      </c>
      <c r="G15026" s="26">
        <v>4.0000000000000002E-4</v>
      </c>
      <c r="H15026">
        <v>2808</v>
      </c>
    </row>
    <row r="15028" spans="1:8" x14ac:dyDescent="0.35">
      <c r="A15028" s="1" t="s">
        <v>1627</v>
      </c>
    </row>
    <row r="15029" spans="1:8" x14ac:dyDescent="0.35">
      <c r="A15029" t="s">
        <v>219</v>
      </c>
      <c r="B15029" t="s">
        <v>305</v>
      </c>
      <c r="C15029" t="s">
        <v>302</v>
      </c>
      <c r="D15029" t="s">
        <v>281</v>
      </c>
      <c r="E15029" t="s">
        <v>1620</v>
      </c>
      <c r="F15029" t="s">
        <v>1621</v>
      </c>
      <c r="G15029" t="s">
        <v>286</v>
      </c>
      <c r="H15029" t="s">
        <v>226</v>
      </c>
    </row>
    <row r="15030" spans="1:8" x14ac:dyDescent="0.35">
      <c r="A15030" t="s">
        <v>227</v>
      </c>
      <c r="B15030" t="s">
        <v>252</v>
      </c>
      <c r="C15030" s="26">
        <v>0.86670000000000003</v>
      </c>
      <c r="D15030" s="26">
        <v>0.1333</v>
      </c>
      <c r="H15030">
        <v>45</v>
      </c>
    </row>
    <row r="15031" spans="1:8" x14ac:dyDescent="0.35">
      <c r="A15031" t="s">
        <v>227</v>
      </c>
      <c r="B15031" t="s">
        <v>253</v>
      </c>
      <c r="C15031" s="26">
        <v>0.88239999999999996</v>
      </c>
      <c r="D15031" s="26">
        <v>0.1176</v>
      </c>
      <c r="H15031">
        <v>34</v>
      </c>
    </row>
    <row r="15032" spans="1:8" x14ac:dyDescent="0.35">
      <c r="A15032" t="s">
        <v>227</v>
      </c>
      <c r="B15032" t="s">
        <v>251</v>
      </c>
      <c r="C15032" s="26">
        <v>0.91359999999999997</v>
      </c>
      <c r="D15032" s="26">
        <v>8.6400000000000005E-2</v>
      </c>
      <c r="H15032">
        <v>81</v>
      </c>
    </row>
    <row r="15033" spans="1:8" x14ac:dyDescent="0.35">
      <c r="A15033" t="s">
        <v>228</v>
      </c>
      <c r="B15033" t="s">
        <v>252</v>
      </c>
      <c r="C15033" s="26">
        <v>0.75549999999999995</v>
      </c>
      <c r="D15033" s="26">
        <v>0.1517</v>
      </c>
      <c r="E15033" s="26">
        <v>7.3999999999999996E-2</v>
      </c>
      <c r="F15033" s="26">
        <v>1.6500000000000001E-2</v>
      </c>
      <c r="G15033" s="26">
        <v>2.2000000000000001E-3</v>
      </c>
      <c r="H15033">
        <v>344</v>
      </c>
    </row>
    <row r="15034" spans="1:8" x14ac:dyDescent="0.35">
      <c r="A15034" t="s">
        <v>228</v>
      </c>
      <c r="B15034" t="s">
        <v>253</v>
      </c>
      <c r="C15034" s="26">
        <v>0.68930000000000002</v>
      </c>
      <c r="D15034" s="26">
        <v>0.14779999999999999</v>
      </c>
      <c r="E15034" s="26">
        <v>0.105</v>
      </c>
      <c r="F15034" s="26">
        <v>5.79E-2</v>
      </c>
      <c r="H15034">
        <v>222</v>
      </c>
    </row>
    <row r="15035" spans="1:8" x14ac:dyDescent="0.35">
      <c r="A15035" t="s">
        <v>228</v>
      </c>
      <c r="B15035" t="s">
        <v>251</v>
      </c>
      <c r="C15035" s="26">
        <v>0.74539999999999995</v>
      </c>
      <c r="D15035" s="26">
        <v>0.1053</v>
      </c>
      <c r="E15035" s="26">
        <v>9.9000000000000005E-2</v>
      </c>
      <c r="F15035" s="26">
        <v>4.9200000000000001E-2</v>
      </c>
      <c r="G15035" s="26">
        <v>1.1999999999999999E-3</v>
      </c>
      <c r="H15035">
        <v>467</v>
      </c>
    </row>
    <row r="15036" spans="1:8" x14ac:dyDescent="0.35">
      <c r="A15036" t="s">
        <v>229</v>
      </c>
      <c r="B15036" t="s">
        <v>252</v>
      </c>
      <c r="C15036" s="26">
        <v>0.83520000000000005</v>
      </c>
      <c r="D15036" s="26">
        <v>0.11070000000000001</v>
      </c>
      <c r="E15036" s="26">
        <v>4.0800000000000003E-2</v>
      </c>
      <c r="F15036" s="26">
        <v>1.1900000000000001E-2</v>
      </c>
      <c r="G15036" s="26">
        <v>1.5E-3</v>
      </c>
      <c r="H15036">
        <v>199</v>
      </c>
    </row>
    <row r="15037" spans="1:8" x14ac:dyDescent="0.35">
      <c r="A15037" t="s">
        <v>229</v>
      </c>
      <c r="B15037" t="s">
        <v>253</v>
      </c>
      <c r="C15037" s="26">
        <v>0.73860000000000003</v>
      </c>
      <c r="D15037" s="26">
        <v>0.1149</v>
      </c>
      <c r="E15037" s="26">
        <v>0.10050000000000001</v>
      </c>
      <c r="F15037" s="26">
        <v>4.5900000000000003E-2</v>
      </c>
      <c r="H15037">
        <v>145</v>
      </c>
    </row>
    <row r="15038" spans="1:8" x14ac:dyDescent="0.35">
      <c r="A15038" t="s">
        <v>229</v>
      </c>
      <c r="B15038" t="s">
        <v>251</v>
      </c>
      <c r="C15038" s="26">
        <v>0.752</v>
      </c>
      <c r="D15038" s="26">
        <v>0.1103</v>
      </c>
      <c r="E15038" s="26">
        <v>9.9299999999999999E-2</v>
      </c>
      <c r="F15038" s="26">
        <v>3.7900000000000003E-2</v>
      </c>
      <c r="G15038" s="26">
        <v>5.9999999999999995E-4</v>
      </c>
      <c r="H15038">
        <v>551</v>
      </c>
    </row>
    <row r="15039" spans="1:8" x14ac:dyDescent="0.35">
      <c r="A15039" t="s">
        <v>230</v>
      </c>
      <c r="B15039" t="s">
        <v>252</v>
      </c>
      <c r="C15039" s="26">
        <v>0.69840000000000002</v>
      </c>
      <c r="D15039" s="26">
        <v>0.13719999999999999</v>
      </c>
      <c r="E15039" s="26">
        <v>0.122</v>
      </c>
      <c r="F15039" s="26">
        <v>4.24E-2</v>
      </c>
      <c r="H15039">
        <v>159</v>
      </c>
    </row>
    <row r="15040" spans="1:8" x14ac:dyDescent="0.35">
      <c r="A15040" t="s">
        <v>230</v>
      </c>
      <c r="B15040" t="s">
        <v>253</v>
      </c>
      <c r="C15040" s="26">
        <v>0.80120000000000002</v>
      </c>
      <c r="D15040" s="26">
        <v>3.27E-2</v>
      </c>
      <c r="E15040" s="26">
        <v>0.10009999999999999</v>
      </c>
      <c r="F15040" s="26">
        <v>6.6000000000000003E-2</v>
      </c>
      <c r="H15040">
        <v>110</v>
      </c>
    </row>
    <row r="15041" spans="1:8" x14ac:dyDescent="0.35">
      <c r="A15041" t="s">
        <v>230</v>
      </c>
      <c r="B15041" t="s">
        <v>251</v>
      </c>
      <c r="C15041" s="26">
        <v>0.64580000000000004</v>
      </c>
      <c r="D15041" s="26">
        <v>0.1555</v>
      </c>
      <c r="E15041" s="26">
        <v>0.1216</v>
      </c>
      <c r="F15041" s="26">
        <v>7.6999999999999999E-2</v>
      </c>
      <c r="H15041">
        <v>291</v>
      </c>
    </row>
    <row r="15042" spans="1:8" x14ac:dyDescent="0.35">
      <c r="A15042" t="s">
        <v>231</v>
      </c>
      <c r="B15042" t="s">
        <v>252</v>
      </c>
      <c r="C15042" s="26">
        <v>1</v>
      </c>
      <c r="H15042">
        <v>48</v>
      </c>
    </row>
    <row r="15043" spans="1:8" x14ac:dyDescent="0.35">
      <c r="A15043" s="27" t="s">
        <v>231</v>
      </c>
      <c r="B15043" s="27" t="s">
        <v>253</v>
      </c>
      <c r="C15043" s="28">
        <v>0.96550000000000002</v>
      </c>
      <c r="D15043" s="28">
        <v>3.4500000000000003E-2</v>
      </c>
      <c r="E15043" s="29"/>
      <c r="F15043" s="29"/>
      <c r="G15043" s="29"/>
      <c r="H15043" s="29" t="s">
        <v>329</v>
      </c>
    </row>
    <row r="15044" spans="1:8" x14ac:dyDescent="0.35">
      <c r="A15044" t="s">
        <v>231</v>
      </c>
      <c r="B15044" t="s">
        <v>251</v>
      </c>
      <c r="C15044" s="26">
        <v>0.96389999999999998</v>
      </c>
      <c r="D15044" s="26">
        <v>3.61E-2</v>
      </c>
      <c r="H15044">
        <v>83</v>
      </c>
    </row>
    <row r="15045" spans="1:8" x14ac:dyDescent="0.35">
      <c r="A15045" t="s">
        <v>232</v>
      </c>
      <c r="B15045" t="s">
        <v>232</v>
      </c>
      <c r="C15045" s="26">
        <v>0.82920000000000005</v>
      </c>
      <c r="D15045" s="26">
        <v>9.2299999999999993E-2</v>
      </c>
      <c r="E15045" s="26">
        <v>5.4199999999999998E-2</v>
      </c>
      <c r="F15045" s="26">
        <v>2.3900000000000001E-2</v>
      </c>
      <c r="G15045" s="26">
        <v>4.0000000000000002E-4</v>
      </c>
      <c r="H15045">
        <v>2808</v>
      </c>
    </row>
    <row r="15047" spans="1:8" x14ac:dyDescent="0.35">
      <c r="A15047" s="1" t="s">
        <v>1628</v>
      </c>
    </row>
    <row r="15048" spans="1:8" x14ac:dyDescent="0.35">
      <c r="A15048" t="s">
        <v>219</v>
      </c>
      <c r="B15048" t="s">
        <v>305</v>
      </c>
      <c r="C15048" t="s">
        <v>302</v>
      </c>
      <c r="D15048" t="s">
        <v>281</v>
      </c>
      <c r="E15048" t="s">
        <v>1620</v>
      </c>
      <c r="F15048" t="s">
        <v>1621</v>
      </c>
      <c r="G15048" t="s">
        <v>286</v>
      </c>
      <c r="H15048" t="s">
        <v>226</v>
      </c>
    </row>
    <row r="15049" spans="1:8" x14ac:dyDescent="0.35">
      <c r="A15049" t="s">
        <v>227</v>
      </c>
      <c r="B15049" t="s">
        <v>249</v>
      </c>
      <c r="C15049" s="26">
        <v>0.86050000000000004</v>
      </c>
      <c r="D15049" s="26">
        <v>0.13950000000000001</v>
      </c>
      <c r="H15049">
        <v>43</v>
      </c>
    </row>
    <row r="15050" spans="1:8" x14ac:dyDescent="0.35">
      <c r="A15050" t="s">
        <v>227</v>
      </c>
      <c r="B15050" t="s">
        <v>248</v>
      </c>
      <c r="C15050" s="26">
        <v>0.90600000000000003</v>
      </c>
      <c r="D15050" s="26">
        <v>9.4E-2</v>
      </c>
      <c r="H15050">
        <v>117</v>
      </c>
    </row>
    <row r="15051" spans="1:8" x14ac:dyDescent="0.35">
      <c r="A15051" t="s">
        <v>228</v>
      </c>
      <c r="B15051" t="s">
        <v>249</v>
      </c>
      <c r="C15051" s="26">
        <v>0.75560000000000005</v>
      </c>
      <c r="D15051" s="26">
        <v>0.1019</v>
      </c>
      <c r="E15051" s="26">
        <v>0.11269999999999999</v>
      </c>
      <c r="F15051" s="26">
        <v>2.8000000000000001E-2</v>
      </c>
      <c r="G15051" s="26">
        <v>1.8E-3</v>
      </c>
      <c r="H15051">
        <v>274</v>
      </c>
    </row>
    <row r="15052" spans="1:8" x14ac:dyDescent="0.35">
      <c r="A15052" t="s">
        <v>228</v>
      </c>
      <c r="B15052" t="s">
        <v>248</v>
      </c>
      <c r="C15052" s="26">
        <v>0.72929999999999995</v>
      </c>
      <c r="D15052" s="26">
        <v>0.14030000000000001</v>
      </c>
      <c r="E15052" s="26">
        <v>8.3500000000000005E-2</v>
      </c>
      <c r="F15052" s="26">
        <v>4.5900000000000003E-2</v>
      </c>
      <c r="G15052" s="26">
        <v>1E-3</v>
      </c>
      <c r="H15052">
        <v>759</v>
      </c>
    </row>
    <row r="15053" spans="1:8" x14ac:dyDescent="0.35">
      <c r="A15053" t="s">
        <v>229</v>
      </c>
      <c r="B15053" t="s">
        <v>249</v>
      </c>
      <c r="C15053" s="26">
        <v>0.72170000000000001</v>
      </c>
      <c r="D15053" s="26">
        <v>0.109</v>
      </c>
      <c r="E15053" s="26">
        <v>0.12590000000000001</v>
      </c>
      <c r="F15053" s="26">
        <v>4.3400000000000001E-2</v>
      </c>
      <c r="H15053">
        <v>259</v>
      </c>
    </row>
    <row r="15054" spans="1:8" x14ac:dyDescent="0.35">
      <c r="A15054" t="s">
        <v>229</v>
      </c>
      <c r="B15054" t="s">
        <v>248</v>
      </c>
      <c r="C15054" s="26">
        <v>0.79079999999999995</v>
      </c>
      <c r="D15054" s="26">
        <v>0.1123</v>
      </c>
      <c r="E15054" s="26">
        <v>6.7100000000000007E-2</v>
      </c>
      <c r="F15054" s="26">
        <v>2.8799999999999999E-2</v>
      </c>
      <c r="G15054" s="26">
        <v>1E-3</v>
      </c>
      <c r="H15054">
        <v>636</v>
      </c>
    </row>
    <row r="15055" spans="1:8" x14ac:dyDescent="0.35">
      <c r="A15055" t="s">
        <v>230</v>
      </c>
      <c r="B15055" t="s">
        <v>249</v>
      </c>
      <c r="C15055" s="26">
        <v>0.66769999999999996</v>
      </c>
      <c r="D15055" s="26">
        <v>0.14710000000000001</v>
      </c>
      <c r="E15055" s="26">
        <v>9.2700000000000005E-2</v>
      </c>
      <c r="F15055" s="26">
        <v>9.2499999999999999E-2</v>
      </c>
      <c r="H15055">
        <v>171</v>
      </c>
    </row>
    <row r="15056" spans="1:8" x14ac:dyDescent="0.35">
      <c r="A15056" t="s">
        <v>230</v>
      </c>
      <c r="B15056" t="s">
        <v>248</v>
      </c>
      <c r="C15056" s="26">
        <v>0.69930000000000003</v>
      </c>
      <c r="D15056" s="26">
        <v>0.1177</v>
      </c>
      <c r="E15056" s="26">
        <v>0.1303</v>
      </c>
      <c r="F15056" s="26">
        <v>5.2699999999999997E-2</v>
      </c>
      <c r="H15056">
        <v>389</v>
      </c>
    </row>
    <row r="15057" spans="1:8" x14ac:dyDescent="0.35">
      <c r="A15057" t="s">
        <v>231</v>
      </c>
      <c r="B15057" t="s">
        <v>249</v>
      </c>
      <c r="C15057" s="26">
        <v>0.97060000000000002</v>
      </c>
      <c r="D15057" s="26">
        <v>2.9399999999999999E-2</v>
      </c>
      <c r="H15057">
        <v>34</v>
      </c>
    </row>
    <row r="15058" spans="1:8" x14ac:dyDescent="0.35">
      <c r="A15058" t="s">
        <v>231</v>
      </c>
      <c r="B15058" t="s">
        <v>248</v>
      </c>
      <c r="C15058" s="26">
        <v>0.97619999999999996</v>
      </c>
      <c r="D15058" s="26">
        <v>2.3800000000000002E-2</v>
      </c>
      <c r="H15058">
        <v>126</v>
      </c>
    </row>
    <row r="15059" spans="1:8" x14ac:dyDescent="0.35">
      <c r="A15059" t="s">
        <v>232</v>
      </c>
      <c r="B15059" t="s">
        <v>232</v>
      </c>
      <c r="C15059" s="26">
        <v>0.82920000000000005</v>
      </c>
      <c r="D15059" s="26">
        <v>9.2299999999999993E-2</v>
      </c>
      <c r="E15059" s="26">
        <v>5.4199999999999998E-2</v>
      </c>
      <c r="F15059" s="26">
        <v>2.3900000000000001E-2</v>
      </c>
      <c r="G15059" s="26">
        <v>4.0000000000000002E-4</v>
      </c>
      <c r="H15059">
        <v>2808</v>
      </c>
    </row>
    <row r="15061" spans="1:8" x14ac:dyDescent="0.35">
      <c r="A15061" s="1" t="s">
        <v>1629</v>
      </c>
    </row>
    <row r="15062" spans="1:8" x14ac:dyDescent="0.35">
      <c r="A15062" t="s">
        <v>219</v>
      </c>
      <c r="B15062" t="s">
        <v>305</v>
      </c>
      <c r="C15062" t="s">
        <v>302</v>
      </c>
      <c r="D15062" t="s">
        <v>281</v>
      </c>
      <c r="E15062" t="s">
        <v>1620</v>
      </c>
      <c r="F15062" t="s">
        <v>1621</v>
      </c>
      <c r="G15062" t="s">
        <v>286</v>
      </c>
      <c r="H15062" t="s">
        <v>226</v>
      </c>
    </row>
    <row r="15063" spans="1:8" x14ac:dyDescent="0.35">
      <c r="A15063" s="27" t="s">
        <v>227</v>
      </c>
      <c r="B15063" s="27" t="s">
        <v>263</v>
      </c>
      <c r="C15063" s="28">
        <v>1</v>
      </c>
      <c r="D15063" s="29"/>
      <c r="E15063" s="29"/>
      <c r="F15063" s="29"/>
      <c r="G15063" s="29"/>
      <c r="H15063" s="29" t="s">
        <v>315</v>
      </c>
    </row>
    <row r="15064" spans="1:8" x14ac:dyDescent="0.35">
      <c r="A15064" t="s">
        <v>227</v>
      </c>
      <c r="B15064" t="s">
        <v>261</v>
      </c>
      <c r="C15064" s="26">
        <v>0.84379999999999999</v>
      </c>
      <c r="D15064" s="26">
        <v>0.15620000000000001</v>
      </c>
      <c r="H15064">
        <v>32</v>
      </c>
    </row>
    <row r="15065" spans="1:8" x14ac:dyDescent="0.35">
      <c r="A15065" s="27" t="s">
        <v>227</v>
      </c>
      <c r="B15065" s="27" t="s">
        <v>262</v>
      </c>
      <c r="C15065" s="28">
        <v>0.66669999999999996</v>
      </c>
      <c r="D15065" s="28">
        <v>0.33329999999999999</v>
      </c>
      <c r="E15065" s="29"/>
      <c r="F15065" s="29"/>
      <c r="G15065" s="29"/>
      <c r="H15065" s="29" t="s">
        <v>315</v>
      </c>
    </row>
    <row r="15066" spans="1:8" x14ac:dyDescent="0.35">
      <c r="A15066" t="s">
        <v>227</v>
      </c>
      <c r="B15066" t="s">
        <v>260</v>
      </c>
      <c r="C15066" s="26">
        <v>0.90980000000000005</v>
      </c>
      <c r="D15066" s="26">
        <v>9.0200000000000002E-2</v>
      </c>
      <c r="H15066">
        <v>122</v>
      </c>
    </row>
    <row r="15067" spans="1:8" x14ac:dyDescent="0.35">
      <c r="A15067" t="s">
        <v>228</v>
      </c>
      <c r="B15067" t="s">
        <v>261</v>
      </c>
      <c r="C15067" s="26">
        <v>0.76080000000000003</v>
      </c>
      <c r="D15067" s="26">
        <v>0.15429999999999999</v>
      </c>
      <c r="E15067" s="26">
        <v>5.4199999999999998E-2</v>
      </c>
      <c r="F15067" s="26">
        <v>3.0700000000000002E-2</v>
      </c>
      <c r="H15067">
        <v>192</v>
      </c>
    </row>
    <row r="15068" spans="1:8" x14ac:dyDescent="0.35">
      <c r="A15068" s="27" t="s">
        <v>228</v>
      </c>
      <c r="B15068" s="27" t="s">
        <v>263</v>
      </c>
      <c r="C15068" s="28">
        <v>0.57899999999999996</v>
      </c>
      <c r="D15068" s="28">
        <v>0.14760000000000001</v>
      </c>
      <c r="E15068" s="28">
        <v>0.25419999999999998</v>
      </c>
      <c r="F15068" s="28">
        <v>1.9199999999999998E-2</v>
      </c>
      <c r="G15068" s="29"/>
      <c r="H15068" s="29" t="s">
        <v>312</v>
      </c>
    </row>
    <row r="15069" spans="1:8" x14ac:dyDescent="0.35">
      <c r="A15069" s="27" t="s">
        <v>228</v>
      </c>
      <c r="B15069" s="27" t="s">
        <v>236</v>
      </c>
      <c r="C15069" s="28">
        <v>0.7732</v>
      </c>
      <c r="D15069" s="28">
        <v>0.2268</v>
      </c>
      <c r="E15069" s="29"/>
      <c r="F15069" s="29"/>
      <c r="G15069" s="29"/>
      <c r="H15069" s="29" t="s">
        <v>335</v>
      </c>
    </row>
    <row r="15070" spans="1:8" x14ac:dyDescent="0.35">
      <c r="A15070" t="s">
        <v>228</v>
      </c>
      <c r="B15070" t="s">
        <v>262</v>
      </c>
      <c r="C15070" s="26">
        <v>0.67049999999999998</v>
      </c>
      <c r="D15070" s="26">
        <v>0.1019</v>
      </c>
      <c r="E15070" s="26">
        <v>0.13150000000000001</v>
      </c>
      <c r="F15070" s="26">
        <v>9.6100000000000005E-2</v>
      </c>
      <c r="H15070">
        <v>201</v>
      </c>
    </row>
    <row r="15071" spans="1:8" x14ac:dyDescent="0.35">
      <c r="A15071" t="s">
        <v>228</v>
      </c>
      <c r="B15071" t="s">
        <v>260</v>
      </c>
      <c r="C15071" s="26">
        <v>0.75209999999999999</v>
      </c>
      <c r="D15071" s="26">
        <v>0.1265</v>
      </c>
      <c r="E15071" s="26">
        <v>8.9700000000000002E-2</v>
      </c>
      <c r="F15071" s="26">
        <v>2.9600000000000001E-2</v>
      </c>
      <c r="G15071" s="26">
        <v>2.0999999999999999E-3</v>
      </c>
      <c r="H15071">
        <v>609</v>
      </c>
    </row>
    <row r="15072" spans="1:8" x14ac:dyDescent="0.35">
      <c r="A15072" s="27" t="s">
        <v>229</v>
      </c>
      <c r="B15072" s="27" t="s">
        <v>263</v>
      </c>
      <c r="C15072" s="28">
        <v>0.60519999999999996</v>
      </c>
      <c r="D15072" s="28">
        <v>0.2908</v>
      </c>
      <c r="E15072" s="28">
        <v>3.4700000000000002E-2</v>
      </c>
      <c r="F15072" s="28">
        <v>6.93E-2</v>
      </c>
      <c r="G15072" s="29"/>
      <c r="H15072" s="29" t="s">
        <v>379</v>
      </c>
    </row>
    <row r="15073" spans="1:8" x14ac:dyDescent="0.35">
      <c r="A15073" t="s">
        <v>229</v>
      </c>
      <c r="B15073" t="s">
        <v>262</v>
      </c>
      <c r="C15073" s="26">
        <v>0.73850000000000005</v>
      </c>
      <c r="D15073" s="26">
        <v>8.6599999999999996E-2</v>
      </c>
      <c r="E15073" s="26">
        <v>0.1231</v>
      </c>
      <c r="F15073" s="26">
        <v>5.0599999999999999E-2</v>
      </c>
      <c r="G15073" s="26">
        <v>1.1999999999999999E-3</v>
      </c>
      <c r="H15073">
        <v>188</v>
      </c>
    </row>
    <row r="15074" spans="1:8" x14ac:dyDescent="0.35">
      <c r="A15074" t="s">
        <v>229</v>
      </c>
      <c r="B15074" t="s">
        <v>261</v>
      </c>
      <c r="C15074" s="26">
        <v>0.81279999999999997</v>
      </c>
      <c r="D15074" s="26">
        <v>0.1111</v>
      </c>
      <c r="E15074" s="26">
        <v>2.8000000000000001E-2</v>
      </c>
      <c r="F15074" s="26">
        <v>4.8099999999999997E-2</v>
      </c>
      <c r="H15074">
        <v>96</v>
      </c>
    </row>
    <row r="15075" spans="1:8" x14ac:dyDescent="0.35">
      <c r="A15075" s="27" t="s">
        <v>229</v>
      </c>
      <c r="B15075" s="27" t="s">
        <v>236</v>
      </c>
      <c r="C15075" s="29"/>
      <c r="D15075" s="28">
        <v>1</v>
      </c>
      <c r="E15075" s="29"/>
      <c r="F15075" s="29"/>
      <c r="G15075" s="29"/>
      <c r="H15075" s="29" t="s">
        <v>331</v>
      </c>
    </row>
    <row r="15076" spans="1:8" x14ac:dyDescent="0.35">
      <c r="A15076" t="s">
        <v>229</v>
      </c>
      <c r="B15076" t="s">
        <v>260</v>
      </c>
      <c r="C15076" s="26">
        <v>0.77690000000000003</v>
      </c>
      <c r="D15076" s="26">
        <v>0.1172</v>
      </c>
      <c r="E15076" s="26">
        <v>8.5400000000000004E-2</v>
      </c>
      <c r="F15076" s="26">
        <v>1.9900000000000001E-2</v>
      </c>
      <c r="G15076" s="26">
        <v>5.9999999999999995E-4</v>
      </c>
      <c r="H15076">
        <v>596</v>
      </c>
    </row>
    <row r="15077" spans="1:8" x14ac:dyDescent="0.35">
      <c r="A15077" s="27" t="s">
        <v>230</v>
      </c>
      <c r="B15077" s="27" t="s">
        <v>236</v>
      </c>
      <c r="C15077" s="28">
        <v>0.84430000000000005</v>
      </c>
      <c r="D15077" s="28">
        <v>3.6600000000000001E-2</v>
      </c>
      <c r="E15077" s="28">
        <v>0.11899999999999999</v>
      </c>
      <c r="F15077" s="29"/>
      <c r="G15077" s="29"/>
      <c r="H15077" s="29" t="s">
        <v>337</v>
      </c>
    </row>
    <row r="15078" spans="1:8" x14ac:dyDescent="0.35">
      <c r="A15078" t="s">
        <v>230</v>
      </c>
      <c r="B15078" t="s">
        <v>262</v>
      </c>
      <c r="C15078" s="26">
        <v>0.71799999999999997</v>
      </c>
      <c r="D15078" s="26">
        <v>6.5100000000000005E-2</v>
      </c>
      <c r="E15078" s="26">
        <v>0.10100000000000001</v>
      </c>
      <c r="F15078" s="26">
        <v>0.1159</v>
      </c>
      <c r="H15078">
        <v>122</v>
      </c>
    </row>
    <row r="15079" spans="1:8" x14ac:dyDescent="0.35">
      <c r="A15079" t="s">
        <v>230</v>
      </c>
      <c r="B15079" t="s">
        <v>261</v>
      </c>
      <c r="C15079" s="26">
        <v>0.6744</v>
      </c>
      <c r="D15079" s="26">
        <v>0.15690000000000001</v>
      </c>
      <c r="E15079" s="26">
        <v>0.14929999999999999</v>
      </c>
      <c r="F15079" s="26">
        <v>1.9400000000000001E-2</v>
      </c>
      <c r="H15079">
        <v>57</v>
      </c>
    </row>
    <row r="15080" spans="1:8" x14ac:dyDescent="0.35">
      <c r="A15080" s="27" t="s">
        <v>230</v>
      </c>
      <c r="B15080" s="27" t="s">
        <v>263</v>
      </c>
      <c r="C15080" s="28">
        <v>0.32079999999999997</v>
      </c>
      <c r="D15080" s="28">
        <v>0.4572</v>
      </c>
      <c r="E15080" s="28">
        <v>0.15490000000000001</v>
      </c>
      <c r="F15080" s="28">
        <v>6.7000000000000004E-2</v>
      </c>
      <c r="G15080" s="29"/>
      <c r="H15080" s="29" t="s">
        <v>312</v>
      </c>
    </row>
    <row r="15081" spans="1:8" x14ac:dyDescent="0.35">
      <c r="A15081" t="s">
        <v>230</v>
      </c>
      <c r="B15081" t="s">
        <v>260</v>
      </c>
      <c r="C15081" s="26">
        <v>0.69199999999999995</v>
      </c>
      <c r="D15081" s="26">
        <v>0.1288</v>
      </c>
      <c r="E15081" s="26">
        <v>0.1143</v>
      </c>
      <c r="F15081" s="26">
        <v>6.5000000000000002E-2</v>
      </c>
      <c r="H15081">
        <v>352</v>
      </c>
    </row>
    <row r="15082" spans="1:8" x14ac:dyDescent="0.35">
      <c r="A15082" s="27" t="s">
        <v>231</v>
      </c>
      <c r="B15082" s="27" t="s">
        <v>263</v>
      </c>
      <c r="C15082" s="28">
        <v>1</v>
      </c>
      <c r="D15082" s="29"/>
      <c r="E15082" s="29"/>
      <c r="F15082" s="29"/>
      <c r="G15082" s="29"/>
      <c r="H15082" s="29" t="s">
        <v>314</v>
      </c>
    </row>
    <row r="15083" spans="1:8" x14ac:dyDescent="0.35">
      <c r="A15083" t="s">
        <v>231</v>
      </c>
      <c r="B15083" t="s">
        <v>260</v>
      </c>
      <c r="C15083" s="26">
        <v>0.96719999999999995</v>
      </c>
      <c r="D15083" s="26">
        <v>3.2800000000000003E-2</v>
      </c>
      <c r="H15083">
        <v>122</v>
      </c>
    </row>
    <row r="15084" spans="1:8" x14ac:dyDescent="0.35">
      <c r="A15084" s="27" t="s">
        <v>231</v>
      </c>
      <c r="B15084" s="27" t="s">
        <v>261</v>
      </c>
      <c r="C15084" s="28">
        <v>1</v>
      </c>
      <c r="D15084" s="29"/>
      <c r="E15084" s="29"/>
      <c r="F15084" s="29"/>
      <c r="G15084" s="29"/>
      <c r="H15084" s="29" t="s">
        <v>338</v>
      </c>
    </row>
    <row r="15085" spans="1:8" x14ac:dyDescent="0.35">
      <c r="A15085" s="27" t="s">
        <v>231</v>
      </c>
      <c r="B15085" s="27" t="s">
        <v>262</v>
      </c>
      <c r="C15085" s="28">
        <v>1</v>
      </c>
      <c r="D15085" s="29"/>
      <c r="E15085" s="29"/>
      <c r="F15085" s="29"/>
      <c r="G15085" s="29"/>
      <c r="H15085" s="29" t="s">
        <v>334</v>
      </c>
    </row>
    <row r="15086" spans="1:8" x14ac:dyDescent="0.35">
      <c r="A15086" t="s">
        <v>232</v>
      </c>
      <c r="B15086" t="s">
        <v>232</v>
      </c>
      <c r="C15086" s="26">
        <v>0.82920000000000005</v>
      </c>
      <c r="D15086" s="26">
        <v>9.2299999999999993E-2</v>
      </c>
      <c r="E15086" s="26">
        <v>5.4199999999999998E-2</v>
      </c>
      <c r="F15086" s="26">
        <v>2.3900000000000001E-2</v>
      </c>
      <c r="G15086" s="26">
        <v>4.0000000000000002E-4</v>
      </c>
      <c r="H15086">
        <v>2808</v>
      </c>
    </row>
    <row r="15088" spans="1:8" x14ac:dyDescent="0.35">
      <c r="A15088" s="1" t="s">
        <v>1630</v>
      </c>
    </row>
    <row r="15089" spans="1:8" x14ac:dyDescent="0.35">
      <c r="A15089" t="s">
        <v>219</v>
      </c>
      <c r="B15089" t="s">
        <v>305</v>
      </c>
      <c r="C15089" t="s">
        <v>302</v>
      </c>
      <c r="D15089" t="s">
        <v>281</v>
      </c>
      <c r="E15089" t="s">
        <v>1620</v>
      </c>
      <c r="F15089" t="s">
        <v>1621</v>
      </c>
      <c r="G15089" t="s">
        <v>286</v>
      </c>
      <c r="H15089" t="s">
        <v>226</v>
      </c>
    </row>
    <row r="15090" spans="1:8" x14ac:dyDescent="0.35">
      <c r="A15090" t="s">
        <v>227</v>
      </c>
      <c r="B15090" t="s">
        <v>368</v>
      </c>
      <c r="C15090" s="26">
        <v>0.84379999999999999</v>
      </c>
      <c r="D15090" s="26">
        <v>0.15620000000000001</v>
      </c>
      <c r="H15090">
        <v>32</v>
      </c>
    </row>
    <row r="15091" spans="1:8" x14ac:dyDescent="0.35">
      <c r="A15091" t="s">
        <v>227</v>
      </c>
      <c r="B15091" t="s">
        <v>369</v>
      </c>
      <c r="C15091" s="26">
        <v>0.90620000000000001</v>
      </c>
      <c r="D15091" s="26">
        <v>9.3799999999999994E-2</v>
      </c>
      <c r="H15091">
        <v>128</v>
      </c>
    </row>
    <row r="15092" spans="1:8" x14ac:dyDescent="0.35">
      <c r="A15092" t="s">
        <v>228</v>
      </c>
      <c r="B15092" t="s">
        <v>368</v>
      </c>
      <c r="C15092" s="26">
        <v>0.76080000000000003</v>
      </c>
      <c r="D15092" s="26">
        <v>0.15429999999999999</v>
      </c>
      <c r="E15092" s="26">
        <v>5.4199999999999998E-2</v>
      </c>
      <c r="F15092" s="26">
        <v>3.0700000000000002E-2</v>
      </c>
      <c r="H15092">
        <v>192</v>
      </c>
    </row>
    <row r="15093" spans="1:8" x14ac:dyDescent="0.35">
      <c r="A15093" t="s">
        <v>228</v>
      </c>
      <c r="B15093" t="s">
        <v>369</v>
      </c>
      <c r="C15093" s="26">
        <v>0.73140000000000005</v>
      </c>
      <c r="D15093" s="26">
        <v>0.1227</v>
      </c>
      <c r="E15093" s="26">
        <v>0.1014</v>
      </c>
      <c r="F15093" s="26">
        <v>4.2900000000000001E-2</v>
      </c>
      <c r="G15093" s="26">
        <v>1.6000000000000001E-3</v>
      </c>
      <c r="H15093">
        <v>841</v>
      </c>
    </row>
    <row r="15094" spans="1:8" x14ac:dyDescent="0.35">
      <c r="A15094" t="s">
        <v>229</v>
      </c>
      <c r="B15094" t="s">
        <v>368</v>
      </c>
      <c r="C15094" s="26">
        <v>0.81279999999999997</v>
      </c>
      <c r="D15094" s="26">
        <v>0.1111</v>
      </c>
      <c r="E15094" s="26">
        <v>2.8000000000000001E-2</v>
      </c>
      <c r="F15094" s="26">
        <v>4.8099999999999997E-2</v>
      </c>
      <c r="H15094">
        <v>96</v>
      </c>
    </row>
    <row r="15095" spans="1:8" x14ac:dyDescent="0.35">
      <c r="A15095" t="s">
        <v>229</v>
      </c>
      <c r="B15095" t="s">
        <v>369</v>
      </c>
      <c r="C15095" s="26">
        <v>0.76029999999999998</v>
      </c>
      <c r="D15095" s="26">
        <v>0.1113</v>
      </c>
      <c r="E15095" s="26">
        <v>9.6600000000000005E-2</v>
      </c>
      <c r="F15095" s="26">
        <v>3.1099999999999999E-2</v>
      </c>
      <c r="G15095" s="26">
        <v>8.0000000000000004E-4</v>
      </c>
      <c r="H15095">
        <v>799</v>
      </c>
    </row>
    <row r="15096" spans="1:8" x14ac:dyDescent="0.35">
      <c r="A15096" t="s">
        <v>230</v>
      </c>
      <c r="B15096" t="s">
        <v>368</v>
      </c>
      <c r="C15096" s="26">
        <v>0.6744</v>
      </c>
      <c r="D15096" s="26">
        <v>0.15690000000000001</v>
      </c>
      <c r="E15096" s="26">
        <v>0.14929999999999999</v>
      </c>
      <c r="F15096" s="26">
        <v>1.9400000000000001E-2</v>
      </c>
      <c r="H15096">
        <v>57</v>
      </c>
    </row>
    <row r="15097" spans="1:8" x14ac:dyDescent="0.35">
      <c r="A15097" t="s">
        <v>230</v>
      </c>
      <c r="B15097" t="s">
        <v>369</v>
      </c>
      <c r="C15097" s="26">
        <v>0.69079999999999997</v>
      </c>
      <c r="D15097" s="26">
        <v>0.1231</v>
      </c>
      <c r="E15097" s="26">
        <v>0.1128</v>
      </c>
      <c r="F15097" s="26">
        <v>7.3300000000000004E-2</v>
      </c>
      <c r="H15097">
        <v>503</v>
      </c>
    </row>
    <row r="15098" spans="1:8" x14ac:dyDescent="0.35">
      <c r="A15098" s="27" t="s">
        <v>231</v>
      </c>
      <c r="B15098" s="27" t="s">
        <v>368</v>
      </c>
      <c r="C15098" s="28">
        <v>1</v>
      </c>
      <c r="D15098" s="29"/>
      <c r="E15098" s="29"/>
      <c r="F15098" s="29"/>
      <c r="G15098" s="29"/>
      <c r="H15098" s="29" t="s">
        <v>338</v>
      </c>
    </row>
    <row r="15099" spans="1:8" x14ac:dyDescent="0.35">
      <c r="A15099" t="s">
        <v>231</v>
      </c>
      <c r="B15099" t="s">
        <v>369</v>
      </c>
      <c r="C15099" s="26">
        <v>0.96989999999999998</v>
      </c>
      <c r="D15099" s="26">
        <v>3.0099999999999998E-2</v>
      </c>
      <c r="H15099">
        <v>133</v>
      </c>
    </row>
    <row r="15100" spans="1:8" x14ac:dyDescent="0.35">
      <c r="A15100" t="s">
        <v>232</v>
      </c>
      <c r="B15100" t="s">
        <v>232</v>
      </c>
      <c r="C15100" s="26">
        <v>0.82920000000000005</v>
      </c>
      <c r="D15100" s="26">
        <v>9.2299999999999993E-2</v>
      </c>
      <c r="E15100" s="26">
        <v>5.4199999999999998E-2</v>
      </c>
      <c r="F15100" s="26">
        <v>2.3900000000000001E-2</v>
      </c>
      <c r="G15100" s="26">
        <v>4.0000000000000002E-4</v>
      </c>
      <c r="H15100">
        <v>2808</v>
      </c>
    </row>
    <row r="15102" spans="1:8" x14ac:dyDescent="0.35">
      <c r="A15102" s="1" t="s">
        <v>1631</v>
      </c>
    </row>
    <row r="15103" spans="1:8" x14ac:dyDescent="0.35">
      <c r="A15103" t="s">
        <v>219</v>
      </c>
      <c r="B15103" t="s">
        <v>305</v>
      </c>
      <c r="C15103" t="s">
        <v>302</v>
      </c>
      <c r="D15103" t="s">
        <v>281</v>
      </c>
      <c r="E15103" t="s">
        <v>1620</v>
      </c>
      <c r="F15103" t="s">
        <v>1621</v>
      </c>
      <c r="G15103" t="s">
        <v>286</v>
      </c>
      <c r="H15103" t="s">
        <v>226</v>
      </c>
    </row>
    <row r="15104" spans="1:8" x14ac:dyDescent="0.35">
      <c r="A15104" t="s">
        <v>227</v>
      </c>
      <c r="B15104" t="s">
        <v>371</v>
      </c>
      <c r="C15104" s="26">
        <v>0.89380000000000004</v>
      </c>
      <c r="D15104" s="26">
        <v>0.1062</v>
      </c>
      <c r="H15104">
        <v>160</v>
      </c>
    </row>
    <row r="15105" spans="1:8" x14ac:dyDescent="0.35">
      <c r="A15105" t="s">
        <v>228</v>
      </c>
      <c r="B15105" t="s">
        <v>371</v>
      </c>
      <c r="C15105" s="26">
        <v>0.8619</v>
      </c>
      <c r="D15105" s="26">
        <v>8.8300000000000003E-2</v>
      </c>
      <c r="E15105" s="26">
        <v>3.7999999999999999E-2</v>
      </c>
      <c r="F15105" s="26">
        <v>1.0500000000000001E-2</v>
      </c>
      <c r="G15105" s="26">
        <v>1.4E-3</v>
      </c>
      <c r="H15105">
        <v>292</v>
      </c>
    </row>
    <row r="15106" spans="1:8" x14ac:dyDescent="0.35">
      <c r="A15106" t="s">
        <v>228</v>
      </c>
      <c r="B15106" t="s">
        <v>372</v>
      </c>
      <c r="C15106" s="26">
        <v>0.44540000000000002</v>
      </c>
      <c r="D15106" s="26">
        <v>0.21290000000000001</v>
      </c>
      <c r="E15106" s="26">
        <v>0.19520000000000001</v>
      </c>
      <c r="F15106" s="26">
        <v>0.1401</v>
      </c>
      <c r="G15106" s="26">
        <v>6.4000000000000003E-3</v>
      </c>
      <c r="H15106">
        <v>218</v>
      </c>
    </row>
    <row r="15107" spans="1:8" x14ac:dyDescent="0.35">
      <c r="A15107" t="s">
        <v>228</v>
      </c>
      <c r="B15107" t="s">
        <v>373</v>
      </c>
      <c r="C15107" s="26">
        <v>0.63460000000000005</v>
      </c>
      <c r="D15107" s="26">
        <v>0.1646</v>
      </c>
      <c r="E15107" s="26">
        <v>0.14199999999999999</v>
      </c>
      <c r="F15107" s="26">
        <v>5.8799999999999998E-2</v>
      </c>
      <c r="H15107">
        <v>523</v>
      </c>
    </row>
    <row r="15108" spans="1:8" x14ac:dyDescent="0.35">
      <c r="A15108" t="s">
        <v>229</v>
      </c>
      <c r="B15108" t="s">
        <v>371</v>
      </c>
      <c r="C15108" s="26">
        <v>0.78659999999999997</v>
      </c>
      <c r="D15108" s="26">
        <v>0.10349999999999999</v>
      </c>
      <c r="E15108" s="26">
        <v>7.9100000000000004E-2</v>
      </c>
      <c r="F15108" s="26">
        <v>3.0800000000000001E-2</v>
      </c>
      <c r="H15108">
        <v>584</v>
      </c>
    </row>
    <row r="15109" spans="1:8" x14ac:dyDescent="0.35">
      <c r="A15109" t="s">
        <v>229</v>
      </c>
      <c r="B15109" t="s">
        <v>372</v>
      </c>
      <c r="C15109" s="26">
        <v>0.52639999999999998</v>
      </c>
      <c r="D15109" s="26">
        <v>0.22689999999999999</v>
      </c>
      <c r="E15109" s="26">
        <v>0.16389999999999999</v>
      </c>
      <c r="F15109" s="26">
        <v>6.9699999999999998E-2</v>
      </c>
      <c r="G15109" s="26">
        <v>1.32E-2</v>
      </c>
      <c r="H15109">
        <v>221</v>
      </c>
    </row>
    <row r="15110" spans="1:8" x14ac:dyDescent="0.35">
      <c r="A15110" t="s">
        <v>229</v>
      </c>
      <c r="B15110" t="s">
        <v>373</v>
      </c>
      <c r="C15110" s="26">
        <v>0.58189999999999997</v>
      </c>
      <c r="D15110" s="26">
        <v>0.16139999999999999</v>
      </c>
      <c r="E15110" s="26">
        <v>0.1951</v>
      </c>
      <c r="F15110" s="26">
        <v>6.1600000000000002E-2</v>
      </c>
      <c r="H15110">
        <v>90</v>
      </c>
    </row>
    <row r="15111" spans="1:8" x14ac:dyDescent="0.35">
      <c r="A15111" t="s">
        <v>230</v>
      </c>
      <c r="B15111" t="s">
        <v>371</v>
      </c>
      <c r="C15111" s="26">
        <v>0.71889999999999998</v>
      </c>
      <c r="D15111" s="26">
        <v>0.12790000000000001</v>
      </c>
      <c r="E15111" s="26">
        <v>9.7000000000000003E-2</v>
      </c>
      <c r="F15111" s="26">
        <v>5.62E-2</v>
      </c>
      <c r="H15111">
        <v>262</v>
      </c>
    </row>
    <row r="15112" spans="1:8" x14ac:dyDescent="0.35">
      <c r="A15112" t="s">
        <v>230</v>
      </c>
      <c r="B15112" t="s">
        <v>372</v>
      </c>
      <c r="C15112" s="26">
        <v>0.39879999999999999</v>
      </c>
      <c r="D15112" s="26">
        <v>0.15029999999999999</v>
      </c>
      <c r="E15112" s="26">
        <v>0.31240000000000001</v>
      </c>
      <c r="F15112" s="26">
        <v>0.13850000000000001</v>
      </c>
      <c r="H15112">
        <v>146</v>
      </c>
    </row>
    <row r="15113" spans="1:8" x14ac:dyDescent="0.35">
      <c r="A15113" t="s">
        <v>230</v>
      </c>
      <c r="B15113" t="s">
        <v>373</v>
      </c>
      <c r="C15113" s="26">
        <v>0.62590000000000001</v>
      </c>
      <c r="D15113" s="26">
        <v>0.11559999999999999</v>
      </c>
      <c r="E15113" s="26">
        <v>0.16159999999999999</v>
      </c>
      <c r="F15113" s="26">
        <v>9.69E-2</v>
      </c>
      <c r="H15113">
        <v>152</v>
      </c>
    </row>
    <row r="15114" spans="1:8" x14ac:dyDescent="0.35">
      <c r="A15114" t="s">
        <v>231</v>
      </c>
      <c r="B15114" t="s">
        <v>371</v>
      </c>
      <c r="C15114" s="26">
        <v>0.97499999999999998</v>
      </c>
      <c r="D15114" s="26">
        <v>2.5000000000000001E-2</v>
      </c>
      <c r="H15114">
        <v>160</v>
      </c>
    </row>
    <row r="15115" spans="1:8" x14ac:dyDescent="0.35">
      <c r="A15115" t="s">
        <v>232</v>
      </c>
      <c r="B15115" t="s">
        <v>232</v>
      </c>
      <c r="C15115" s="26">
        <v>0.82920000000000005</v>
      </c>
      <c r="D15115" s="26">
        <v>9.2299999999999993E-2</v>
      </c>
      <c r="E15115" s="26">
        <v>5.4199999999999998E-2</v>
      </c>
      <c r="F15115" s="26">
        <v>2.3900000000000001E-2</v>
      </c>
      <c r="G15115" s="26">
        <v>4.0000000000000002E-4</v>
      </c>
      <c r="H15115">
        <v>2808</v>
      </c>
    </row>
    <row r="15117" spans="1:8" x14ac:dyDescent="0.35">
      <c r="A15117" s="1" t="s">
        <v>1632</v>
      </c>
    </row>
    <row r="15118" spans="1:8" x14ac:dyDescent="0.35">
      <c r="A15118" t="s">
        <v>219</v>
      </c>
      <c r="B15118" t="s">
        <v>305</v>
      </c>
      <c r="C15118" t="s">
        <v>302</v>
      </c>
      <c r="D15118" t="s">
        <v>281</v>
      </c>
      <c r="E15118" t="s">
        <v>1620</v>
      </c>
      <c r="F15118" t="s">
        <v>1621</v>
      </c>
      <c r="G15118" t="s">
        <v>286</v>
      </c>
      <c r="H15118" t="s">
        <v>226</v>
      </c>
    </row>
    <row r="15119" spans="1:8" x14ac:dyDescent="0.35">
      <c r="A15119" t="s">
        <v>227</v>
      </c>
      <c r="B15119" t="s">
        <v>255</v>
      </c>
      <c r="C15119" s="26">
        <v>0.90600000000000003</v>
      </c>
      <c r="D15119" s="26">
        <v>9.4E-2</v>
      </c>
      <c r="H15119">
        <v>117</v>
      </c>
    </row>
    <row r="15120" spans="1:8" x14ac:dyDescent="0.35">
      <c r="A15120" s="27" t="s">
        <v>227</v>
      </c>
      <c r="B15120" s="27" t="s">
        <v>257</v>
      </c>
      <c r="C15120" s="28">
        <v>1</v>
      </c>
      <c r="D15120" s="29"/>
      <c r="E15120" s="29"/>
      <c r="F15120" s="29"/>
      <c r="G15120" s="29"/>
      <c r="H15120" s="29" t="s">
        <v>334</v>
      </c>
    </row>
    <row r="15121" spans="1:8" x14ac:dyDescent="0.35">
      <c r="A15121" t="s">
        <v>227</v>
      </c>
      <c r="B15121" t="s">
        <v>256</v>
      </c>
      <c r="C15121" s="26">
        <v>0.82350000000000001</v>
      </c>
      <c r="D15121" s="26">
        <v>0.17649999999999999</v>
      </c>
      <c r="H15121">
        <v>34</v>
      </c>
    </row>
    <row r="15122" spans="1:8" x14ac:dyDescent="0.35">
      <c r="A15122" t="s">
        <v>228</v>
      </c>
      <c r="B15122" t="s">
        <v>257</v>
      </c>
      <c r="C15122" s="26">
        <v>0.71850000000000003</v>
      </c>
      <c r="D15122" s="26">
        <v>0.1459</v>
      </c>
      <c r="E15122" s="26">
        <v>0.1086</v>
      </c>
      <c r="F15122" s="26">
        <v>2.7099999999999999E-2</v>
      </c>
      <c r="H15122">
        <v>49</v>
      </c>
    </row>
    <row r="15123" spans="1:8" x14ac:dyDescent="0.35">
      <c r="A15123" s="27" t="s">
        <v>228</v>
      </c>
      <c r="B15123" s="27" t="s">
        <v>258</v>
      </c>
      <c r="C15123" s="28">
        <v>0.90190000000000003</v>
      </c>
      <c r="D15123" s="28">
        <v>9.8100000000000007E-2</v>
      </c>
      <c r="E15123" s="29"/>
      <c r="F15123" s="29"/>
      <c r="G15123" s="29"/>
      <c r="H15123" s="29" t="s">
        <v>337</v>
      </c>
    </row>
    <row r="15124" spans="1:8" x14ac:dyDescent="0.35">
      <c r="A15124" t="s">
        <v>228</v>
      </c>
      <c r="B15124" t="s">
        <v>256</v>
      </c>
      <c r="C15124" s="26">
        <v>0.76029999999999998</v>
      </c>
      <c r="D15124" s="26">
        <v>9.2499999999999999E-2</v>
      </c>
      <c r="E15124" s="26">
        <v>0.1162</v>
      </c>
      <c r="F15124" s="26">
        <v>2.8799999999999999E-2</v>
      </c>
      <c r="G15124" s="26">
        <v>2.3E-3</v>
      </c>
      <c r="H15124">
        <v>221</v>
      </c>
    </row>
    <row r="15125" spans="1:8" x14ac:dyDescent="0.35">
      <c r="A15125" t="s">
        <v>228</v>
      </c>
      <c r="B15125" t="s">
        <v>255</v>
      </c>
      <c r="C15125" s="26">
        <v>0.72929999999999995</v>
      </c>
      <c r="D15125" s="26">
        <v>0.14030000000000001</v>
      </c>
      <c r="E15125" s="26">
        <v>8.3500000000000005E-2</v>
      </c>
      <c r="F15125" s="26">
        <v>4.5900000000000003E-2</v>
      </c>
      <c r="G15125" s="26">
        <v>1E-3</v>
      </c>
      <c r="H15125">
        <v>759</v>
      </c>
    </row>
    <row r="15126" spans="1:8" x14ac:dyDescent="0.35">
      <c r="A15126" t="s">
        <v>229</v>
      </c>
      <c r="B15126" t="s">
        <v>256</v>
      </c>
      <c r="C15126" s="26">
        <v>0.71519999999999995</v>
      </c>
      <c r="D15126" s="26">
        <v>0.1012</v>
      </c>
      <c r="E15126" s="26">
        <v>0.13350000000000001</v>
      </c>
      <c r="F15126" s="26">
        <v>5.0200000000000002E-2</v>
      </c>
      <c r="H15126">
        <v>207</v>
      </c>
    </row>
    <row r="15127" spans="1:8" x14ac:dyDescent="0.35">
      <c r="A15127" t="s">
        <v>229</v>
      </c>
      <c r="B15127" t="s">
        <v>255</v>
      </c>
      <c r="C15127" s="26">
        <v>0.79079999999999995</v>
      </c>
      <c r="D15127" s="26">
        <v>0.1123</v>
      </c>
      <c r="E15127" s="26">
        <v>6.7100000000000007E-2</v>
      </c>
      <c r="F15127" s="26">
        <v>2.8799999999999999E-2</v>
      </c>
      <c r="G15127" s="26">
        <v>1E-3</v>
      </c>
      <c r="H15127">
        <v>636</v>
      </c>
    </row>
    <row r="15128" spans="1:8" x14ac:dyDescent="0.35">
      <c r="A15128" t="s">
        <v>229</v>
      </c>
      <c r="B15128" t="s">
        <v>257</v>
      </c>
      <c r="C15128" s="26">
        <v>0.76070000000000004</v>
      </c>
      <c r="D15128" s="26">
        <v>0.14960000000000001</v>
      </c>
      <c r="E15128" s="26">
        <v>8.0500000000000002E-2</v>
      </c>
      <c r="F15128" s="26">
        <v>9.1999999999999998E-3</v>
      </c>
      <c r="H15128">
        <v>50</v>
      </c>
    </row>
    <row r="15129" spans="1:8" x14ac:dyDescent="0.35">
      <c r="A15129" s="27" t="s">
        <v>229</v>
      </c>
      <c r="B15129" s="27" t="s">
        <v>258</v>
      </c>
      <c r="C15129" s="29"/>
      <c r="D15129" s="29"/>
      <c r="E15129" s="28">
        <v>1</v>
      </c>
      <c r="F15129" s="29"/>
      <c r="G15129" s="29"/>
      <c r="H15129" s="29" t="s">
        <v>314</v>
      </c>
    </row>
    <row r="15130" spans="1:8" x14ac:dyDescent="0.35">
      <c r="A15130" t="s">
        <v>230</v>
      </c>
      <c r="B15130" t="s">
        <v>256</v>
      </c>
      <c r="C15130" s="26">
        <v>0.70730000000000004</v>
      </c>
      <c r="D15130" s="26">
        <v>8.7300000000000003E-2</v>
      </c>
      <c r="E15130" s="26">
        <v>8.7400000000000005E-2</v>
      </c>
      <c r="F15130" s="26">
        <v>0.1179</v>
      </c>
      <c r="H15130">
        <v>130</v>
      </c>
    </row>
    <row r="15131" spans="1:8" x14ac:dyDescent="0.35">
      <c r="A15131" t="s">
        <v>230</v>
      </c>
      <c r="B15131" t="s">
        <v>255</v>
      </c>
      <c r="C15131" s="26">
        <v>0.69930000000000003</v>
      </c>
      <c r="D15131" s="26">
        <v>0.1177</v>
      </c>
      <c r="E15131" s="26">
        <v>0.1303</v>
      </c>
      <c r="F15131" s="26">
        <v>5.2699999999999997E-2</v>
      </c>
      <c r="H15131">
        <v>389</v>
      </c>
    </row>
    <row r="15132" spans="1:8" x14ac:dyDescent="0.35">
      <c r="A15132" t="s">
        <v>230</v>
      </c>
      <c r="B15132" t="s">
        <v>257</v>
      </c>
      <c r="C15132" s="26">
        <v>0.50749999999999995</v>
      </c>
      <c r="D15132" s="26">
        <v>0.36809999999999998</v>
      </c>
      <c r="E15132" s="26">
        <v>0.1166</v>
      </c>
      <c r="F15132" s="26">
        <v>7.7000000000000002E-3</v>
      </c>
      <c r="H15132">
        <v>38</v>
      </c>
    </row>
    <row r="15133" spans="1:8" x14ac:dyDescent="0.35">
      <c r="A15133" s="27" t="s">
        <v>230</v>
      </c>
      <c r="B15133" s="27" t="s">
        <v>258</v>
      </c>
      <c r="C15133" s="28">
        <v>0.82269999999999999</v>
      </c>
      <c r="D15133" s="28">
        <v>0.1356</v>
      </c>
      <c r="E15133" s="28">
        <v>4.1700000000000001E-2</v>
      </c>
      <c r="F15133" s="29"/>
      <c r="G15133" s="29"/>
      <c r="H15133" s="29" t="s">
        <v>315</v>
      </c>
    </row>
    <row r="15134" spans="1:8" x14ac:dyDescent="0.35">
      <c r="A15134" s="27" t="s">
        <v>231</v>
      </c>
      <c r="B15134" s="27" t="s">
        <v>257</v>
      </c>
      <c r="C15134" s="28">
        <v>1</v>
      </c>
      <c r="D15134" s="29"/>
      <c r="E15134" s="29"/>
      <c r="F15134" s="29"/>
      <c r="G15134" s="29"/>
      <c r="H15134" s="29" t="s">
        <v>335</v>
      </c>
    </row>
    <row r="15135" spans="1:8" x14ac:dyDescent="0.35">
      <c r="A15135" t="s">
        <v>231</v>
      </c>
      <c r="B15135" t="s">
        <v>255</v>
      </c>
      <c r="C15135" s="26">
        <v>0.97619999999999996</v>
      </c>
      <c r="D15135" s="26">
        <v>2.3800000000000002E-2</v>
      </c>
      <c r="H15135">
        <v>126</v>
      </c>
    </row>
    <row r="15136" spans="1:8" x14ac:dyDescent="0.35">
      <c r="A15136" s="27" t="s">
        <v>231</v>
      </c>
      <c r="B15136" s="27" t="s">
        <v>256</v>
      </c>
      <c r="C15136" s="28">
        <v>0.96430000000000005</v>
      </c>
      <c r="D15136" s="28">
        <v>3.5700000000000003E-2</v>
      </c>
      <c r="E15136" s="29"/>
      <c r="F15136" s="29"/>
      <c r="G15136" s="29"/>
      <c r="H15136" s="29" t="s">
        <v>336</v>
      </c>
    </row>
    <row r="15137" spans="1:8" x14ac:dyDescent="0.35">
      <c r="A15137" t="s">
        <v>232</v>
      </c>
      <c r="B15137" t="s">
        <v>232</v>
      </c>
      <c r="C15137" s="26">
        <v>0.82920000000000005</v>
      </c>
      <c r="D15137" s="26">
        <v>9.2299999999999993E-2</v>
      </c>
      <c r="E15137" s="26">
        <v>5.4199999999999998E-2</v>
      </c>
      <c r="F15137" s="26">
        <v>2.3900000000000001E-2</v>
      </c>
      <c r="G15137" s="26">
        <v>4.0000000000000002E-4</v>
      </c>
      <c r="H15137">
        <v>2808</v>
      </c>
    </row>
    <row r="15139" spans="1:8" x14ac:dyDescent="0.35">
      <c r="A15139" s="1" t="s">
        <v>1633</v>
      </c>
    </row>
    <row r="15140" spans="1:8" x14ac:dyDescent="0.35">
      <c r="A15140" t="s">
        <v>219</v>
      </c>
      <c r="B15140" t="s">
        <v>305</v>
      </c>
      <c r="C15140" t="s">
        <v>302</v>
      </c>
      <c r="D15140" t="s">
        <v>281</v>
      </c>
      <c r="E15140" t="s">
        <v>1620</v>
      </c>
      <c r="F15140" t="s">
        <v>1621</v>
      </c>
      <c r="G15140" t="s">
        <v>286</v>
      </c>
      <c r="H15140" t="s">
        <v>226</v>
      </c>
    </row>
    <row r="15141" spans="1:8" x14ac:dyDescent="0.35">
      <c r="A15141" t="s">
        <v>227</v>
      </c>
      <c r="B15141" t="s">
        <v>1341</v>
      </c>
      <c r="C15141" s="26">
        <v>0.89800000000000002</v>
      </c>
      <c r="D15141" s="26">
        <v>0.10199999999999999</v>
      </c>
      <c r="H15141">
        <v>49</v>
      </c>
    </row>
    <row r="15142" spans="1:8" x14ac:dyDescent="0.35">
      <c r="A15142" s="27" t="s">
        <v>227</v>
      </c>
      <c r="B15142" s="27" t="s">
        <v>1342</v>
      </c>
      <c r="C15142" s="28">
        <v>1</v>
      </c>
      <c r="D15142" s="29"/>
      <c r="E15142" s="29"/>
      <c r="F15142" s="29"/>
      <c r="G15142" s="29"/>
      <c r="H15142" s="29" t="s">
        <v>331</v>
      </c>
    </row>
    <row r="15143" spans="1:8" x14ac:dyDescent="0.35">
      <c r="A15143" t="s">
        <v>227</v>
      </c>
      <c r="B15143" t="s">
        <v>1343</v>
      </c>
      <c r="C15143" s="26">
        <v>0.89090000000000003</v>
      </c>
      <c r="D15143" s="26">
        <v>0.1091</v>
      </c>
      <c r="H15143">
        <v>110</v>
      </c>
    </row>
    <row r="15144" spans="1:8" x14ac:dyDescent="0.35">
      <c r="A15144" t="s">
        <v>228</v>
      </c>
      <c r="B15144" t="s">
        <v>1341</v>
      </c>
      <c r="C15144" s="26">
        <v>0.71260000000000001</v>
      </c>
      <c r="D15144" s="26">
        <v>7.9699999999999993E-2</v>
      </c>
      <c r="E15144" s="26">
        <v>0.13569999999999999</v>
      </c>
      <c r="F15144" s="26">
        <v>7.0699999999999999E-2</v>
      </c>
      <c r="G15144" s="26">
        <v>1.1999999999999999E-3</v>
      </c>
      <c r="H15144">
        <v>305</v>
      </c>
    </row>
    <row r="15145" spans="1:8" x14ac:dyDescent="0.35">
      <c r="A15145" s="27" t="s">
        <v>228</v>
      </c>
      <c r="B15145" s="27" t="s">
        <v>1342</v>
      </c>
      <c r="C15145" s="28">
        <v>1</v>
      </c>
      <c r="D15145" s="29"/>
      <c r="E15145" s="29"/>
      <c r="F15145" s="29"/>
      <c r="G15145" s="29"/>
      <c r="H15145" s="29" t="s">
        <v>331</v>
      </c>
    </row>
    <row r="15146" spans="1:8" x14ac:dyDescent="0.35">
      <c r="A15146" t="s">
        <v>228</v>
      </c>
      <c r="B15146" t="s">
        <v>1343</v>
      </c>
      <c r="C15146" s="26">
        <v>0.74609999999999999</v>
      </c>
      <c r="D15146" s="26">
        <v>0.14979999999999999</v>
      </c>
      <c r="E15146" s="26">
        <v>7.46E-2</v>
      </c>
      <c r="F15146" s="26">
        <v>2.8199999999999999E-2</v>
      </c>
      <c r="G15146" s="26">
        <v>1.2999999999999999E-3</v>
      </c>
      <c r="H15146">
        <v>727</v>
      </c>
    </row>
    <row r="15147" spans="1:8" x14ac:dyDescent="0.35">
      <c r="A15147" t="s">
        <v>229</v>
      </c>
      <c r="B15147" t="s">
        <v>1341</v>
      </c>
      <c r="C15147" s="26">
        <v>0.79879999999999995</v>
      </c>
      <c r="D15147" s="26">
        <v>9.06E-2</v>
      </c>
      <c r="E15147" s="26">
        <v>9.3100000000000002E-2</v>
      </c>
      <c r="F15147" s="26">
        <v>1.7500000000000002E-2</v>
      </c>
      <c r="H15147">
        <v>273</v>
      </c>
    </row>
    <row r="15148" spans="1:8" x14ac:dyDescent="0.35">
      <c r="A15148" t="s">
        <v>229</v>
      </c>
      <c r="B15148" t="s">
        <v>1343</v>
      </c>
      <c r="C15148" s="26">
        <v>0.75309999999999999</v>
      </c>
      <c r="D15148" s="26">
        <v>0.12130000000000001</v>
      </c>
      <c r="E15148" s="26">
        <v>8.3199999999999996E-2</v>
      </c>
      <c r="F15148" s="26">
        <v>4.1399999999999999E-2</v>
      </c>
      <c r="G15148" s="26">
        <v>1E-3</v>
      </c>
      <c r="H15148">
        <v>622</v>
      </c>
    </row>
    <row r="15149" spans="1:8" x14ac:dyDescent="0.35">
      <c r="A15149" t="s">
        <v>230</v>
      </c>
      <c r="B15149" t="s">
        <v>1341</v>
      </c>
      <c r="C15149" s="26">
        <v>0.67889999999999995</v>
      </c>
      <c r="D15149" s="26">
        <v>9.5000000000000001E-2</v>
      </c>
      <c r="E15149" s="26">
        <v>0.14249999999999999</v>
      </c>
      <c r="F15149" s="26">
        <v>8.3599999999999994E-2</v>
      </c>
      <c r="H15149">
        <v>156</v>
      </c>
    </row>
    <row r="15150" spans="1:8" x14ac:dyDescent="0.35">
      <c r="A15150" t="s">
        <v>230</v>
      </c>
      <c r="B15150" t="s">
        <v>1343</v>
      </c>
      <c r="C15150" s="26">
        <v>0.69299999999999995</v>
      </c>
      <c r="D15150" s="26">
        <v>0.14219999999999999</v>
      </c>
      <c r="E15150" s="26">
        <v>0.1066</v>
      </c>
      <c r="F15150" s="26">
        <v>5.8299999999999998E-2</v>
      </c>
      <c r="H15150">
        <v>404</v>
      </c>
    </row>
    <row r="15151" spans="1:8" x14ac:dyDescent="0.35">
      <c r="A15151" t="s">
        <v>231</v>
      </c>
      <c r="B15151" t="s">
        <v>1341</v>
      </c>
      <c r="C15151" s="26">
        <v>0.98440000000000005</v>
      </c>
      <c r="D15151" s="26">
        <v>1.5599999999999999E-2</v>
      </c>
      <c r="H15151">
        <v>64</v>
      </c>
    </row>
    <row r="15152" spans="1:8" x14ac:dyDescent="0.35">
      <c r="A15152" t="s">
        <v>231</v>
      </c>
      <c r="B15152" t="s">
        <v>1343</v>
      </c>
      <c r="C15152" s="26">
        <v>0.96879999999999999</v>
      </c>
      <c r="D15152" s="26">
        <v>3.1199999999999999E-2</v>
      </c>
      <c r="H15152">
        <v>96</v>
      </c>
    </row>
    <row r="15153" spans="1:8" x14ac:dyDescent="0.35">
      <c r="A15153" t="s">
        <v>232</v>
      </c>
      <c r="B15153" t="s">
        <v>232</v>
      </c>
      <c r="C15153" s="26">
        <v>0.82920000000000005</v>
      </c>
      <c r="D15153" s="26">
        <v>9.2299999999999993E-2</v>
      </c>
      <c r="E15153" s="26">
        <v>5.4199999999999998E-2</v>
      </c>
      <c r="F15153" s="26">
        <v>2.3900000000000001E-2</v>
      </c>
      <c r="G15153" s="26">
        <v>4.0000000000000002E-4</v>
      </c>
      <c r="H15153">
        <v>2808</v>
      </c>
    </row>
    <row r="15155" spans="1:8" x14ac:dyDescent="0.35">
      <c r="A15155" s="1" t="s">
        <v>1634</v>
      </c>
    </row>
    <row r="15156" spans="1:8" x14ac:dyDescent="0.35">
      <c r="A15156" t="s">
        <v>219</v>
      </c>
      <c r="B15156" t="s">
        <v>305</v>
      </c>
      <c r="C15156" t="s">
        <v>302</v>
      </c>
      <c r="D15156" t="s">
        <v>281</v>
      </c>
      <c r="E15156" t="s">
        <v>1620</v>
      </c>
      <c r="F15156" t="s">
        <v>1621</v>
      </c>
      <c r="G15156" t="s">
        <v>286</v>
      </c>
      <c r="H15156" t="s">
        <v>226</v>
      </c>
    </row>
    <row r="15157" spans="1:8" x14ac:dyDescent="0.35">
      <c r="A15157" s="27" t="s">
        <v>227</v>
      </c>
      <c r="B15157" s="27" t="s">
        <v>1345</v>
      </c>
      <c r="C15157" s="28">
        <v>1</v>
      </c>
      <c r="D15157" s="29"/>
      <c r="E15157" s="29"/>
      <c r="F15157" s="29"/>
      <c r="G15157" s="29"/>
      <c r="H15157" s="29" t="s">
        <v>314</v>
      </c>
    </row>
    <row r="15158" spans="1:8" x14ac:dyDescent="0.35">
      <c r="A15158" t="s">
        <v>227</v>
      </c>
      <c r="B15158" t="s">
        <v>1347</v>
      </c>
      <c r="C15158" s="26">
        <v>0.88570000000000004</v>
      </c>
      <c r="D15158" s="26">
        <v>0.1143</v>
      </c>
      <c r="H15158">
        <v>35</v>
      </c>
    </row>
    <row r="15159" spans="1:8" x14ac:dyDescent="0.35">
      <c r="A15159" t="s">
        <v>227</v>
      </c>
      <c r="B15159" t="s">
        <v>1348</v>
      </c>
      <c r="C15159" s="26">
        <v>0.91669999999999996</v>
      </c>
      <c r="D15159" s="26">
        <v>8.3299999999999999E-2</v>
      </c>
      <c r="H15159">
        <v>84</v>
      </c>
    </row>
    <row r="15160" spans="1:8" x14ac:dyDescent="0.35">
      <c r="A15160" t="s">
        <v>227</v>
      </c>
      <c r="B15160" t="s">
        <v>1346</v>
      </c>
      <c r="C15160" s="26">
        <v>0.84619999999999995</v>
      </c>
      <c r="D15160" s="26">
        <v>0.15379999999999999</v>
      </c>
      <c r="H15160">
        <v>39</v>
      </c>
    </row>
    <row r="15161" spans="1:8" x14ac:dyDescent="0.35">
      <c r="A15161" s="27" t="s">
        <v>228</v>
      </c>
      <c r="B15161" s="27" t="s">
        <v>1345</v>
      </c>
      <c r="C15161" s="28">
        <v>0.91990000000000005</v>
      </c>
      <c r="D15161" s="29"/>
      <c r="E15161" s="28">
        <v>8.0100000000000005E-2</v>
      </c>
      <c r="F15161" s="29"/>
      <c r="G15161" s="29"/>
      <c r="H15161" s="29" t="s">
        <v>352</v>
      </c>
    </row>
    <row r="15162" spans="1:8" x14ac:dyDescent="0.35">
      <c r="A15162" t="s">
        <v>228</v>
      </c>
      <c r="B15162" t="s">
        <v>1347</v>
      </c>
      <c r="C15162" s="26">
        <v>0.66859999999999997</v>
      </c>
      <c r="D15162" s="26">
        <v>0.15290000000000001</v>
      </c>
      <c r="E15162" s="26">
        <v>0.1206</v>
      </c>
      <c r="F15162" s="26">
        <v>5.79E-2</v>
      </c>
      <c r="H15162">
        <v>204</v>
      </c>
    </row>
    <row r="15163" spans="1:8" x14ac:dyDescent="0.35">
      <c r="A15163" t="s">
        <v>228</v>
      </c>
      <c r="B15163" t="s">
        <v>1346</v>
      </c>
      <c r="C15163" s="26">
        <v>0.76170000000000004</v>
      </c>
      <c r="D15163" s="26">
        <v>0.15579999999999999</v>
      </c>
      <c r="E15163" s="26">
        <v>6.7199999999999996E-2</v>
      </c>
      <c r="F15163" s="26">
        <v>1.2500000000000001E-2</v>
      </c>
      <c r="G15163" s="26">
        <v>2.8E-3</v>
      </c>
      <c r="H15163">
        <v>286</v>
      </c>
    </row>
    <row r="15164" spans="1:8" x14ac:dyDescent="0.35">
      <c r="A15164" t="s">
        <v>228</v>
      </c>
      <c r="B15164" t="s">
        <v>1348</v>
      </c>
      <c r="C15164" s="26">
        <v>0.74229999999999996</v>
      </c>
      <c r="D15164" s="26">
        <v>0.11219999999999999</v>
      </c>
      <c r="E15164" s="26">
        <v>9.4799999999999995E-2</v>
      </c>
      <c r="F15164" s="26">
        <v>4.9599999999999998E-2</v>
      </c>
      <c r="G15164" s="26">
        <v>1E-3</v>
      </c>
      <c r="H15164">
        <v>532</v>
      </c>
    </row>
    <row r="15165" spans="1:8" x14ac:dyDescent="0.35">
      <c r="A15165" t="s">
        <v>229</v>
      </c>
      <c r="B15165" t="s">
        <v>1346</v>
      </c>
      <c r="C15165" s="26">
        <v>0.8417</v>
      </c>
      <c r="D15165" s="26">
        <v>8.8900000000000007E-2</v>
      </c>
      <c r="E15165" s="26">
        <v>4.1300000000000003E-2</v>
      </c>
      <c r="F15165" s="26">
        <v>2.6499999999999999E-2</v>
      </c>
      <c r="G15165" s="26">
        <v>1.6000000000000001E-3</v>
      </c>
      <c r="H15165">
        <v>184</v>
      </c>
    </row>
    <row r="15166" spans="1:8" x14ac:dyDescent="0.35">
      <c r="A15166" s="27" t="s">
        <v>229</v>
      </c>
      <c r="B15166" s="27" t="s">
        <v>1345</v>
      </c>
      <c r="C15166" s="28">
        <v>0.61699999999999999</v>
      </c>
      <c r="D15166" s="28">
        <v>0.13100000000000001</v>
      </c>
      <c r="E15166" s="28">
        <v>0.13039999999999999</v>
      </c>
      <c r="F15166" s="28">
        <v>0.1216</v>
      </c>
      <c r="G15166" s="29"/>
      <c r="H15166" s="29" t="s">
        <v>357</v>
      </c>
    </row>
    <row r="15167" spans="1:8" x14ac:dyDescent="0.35">
      <c r="A15167" t="s">
        <v>229</v>
      </c>
      <c r="B15167" t="s">
        <v>1347</v>
      </c>
      <c r="C15167" s="26">
        <v>0.73650000000000004</v>
      </c>
      <c r="D15167" s="26">
        <v>0.1014</v>
      </c>
      <c r="E15167" s="26">
        <v>0.12970000000000001</v>
      </c>
      <c r="F15167" s="26">
        <v>3.2399999999999998E-2</v>
      </c>
      <c r="H15167">
        <v>302</v>
      </c>
    </row>
    <row r="15168" spans="1:8" x14ac:dyDescent="0.35">
      <c r="A15168" t="s">
        <v>229</v>
      </c>
      <c r="B15168" t="s">
        <v>1348</v>
      </c>
      <c r="C15168" s="26">
        <v>0.76439999999999997</v>
      </c>
      <c r="D15168" s="26">
        <v>0.12620000000000001</v>
      </c>
      <c r="E15168" s="26">
        <v>7.6399999999999996E-2</v>
      </c>
      <c r="F15168" s="26">
        <v>3.2199999999999999E-2</v>
      </c>
      <c r="G15168" s="26">
        <v>6.9999999999999999E-4</v>
      </c>
      <c r="H15168">
        <v>383</v>
      </c>
    </row>
    <row r="15169" spans="1:9" x14ac:dyDescent="0.35">
      <c r="A15169" s="27" t="s">
        <v>230</v>
      </c>
      <c r="B15169" s="27" t="s">
        <v>1345</v>
      </c>
      <c r="C15169" s="28">
        <v>0.67310000000000003</v>
      </c>
      <c r="D15169" s="28">
        <v>5.8000000000000003E-2</v>
      </c>
      <c r="E15169" s="29"/>
      <c r="F15169" s="28">
        <v>0.26900000000000002</v>
      </c>
      <c r="G15169" s="29"/>
      <c r="H15169" s="29" t="s">
        <v>333</v>
      </c>
    </row>
    <row r="15170" spans="1:9" x14ac:dyDescent="0.35">
      <c r="A15170" t="s">
        <v>230</v>
      </c>
      <c r="B15170" t="s">
        <v>1346</v>
      </c>
      <c r="C15170" s="26">
        <v>0.6734</v>
      </c>
      <c r="D15170" s="26">
        <v>0.1615</v>
      </c>
      <c r="E15170" s="26">
        <v>0.14380000000000001</v>
      </c>
      <c r="F15170" s="26">
        <v>2.1299999999999999E-2</v>
      </c>
      <c r="H15170">
        <v>140</v>
      </c>
    </row>
    <row r="15171" spans="1:9" x14ac:dyDescent="0.35">
      <c r="A15171" t="s">
        <v>230</v>
      </c>
      <c r="B15171" t="s">
        <v>1347</v>
      </c>
      <c r="C15171" s="26">
        <v>0.64259999999999995</v>
      </c>
      <c r="D15171" s="26">
        <v>0.1308</v>
      </c>
      <c r="E15171" s="26">
        <v>0.16700000000000001</v>
      </c>
      <c r="F15171" s="26">
        <v>5.96E-2</v>
      </c>
      <c r="H15171">
        <v>153</v>
      </c>
    </row>
    <row r="15172" spans="1:9" x14ac:dyDescent="0.35">
      <c r="A15172" t="s">
        <v>230</v>
      </c>
      <c r="B15172" t="s">
        <v>1348</v>
      </c>
      <c r="C15172" s="26">
        <v>0.72260000000000002</v>
      </c>
      <c r="D15172" s="26">
        <v>0.1134</v>
      </c>
      <c r="E15172" s="26">
        <v>8.2299999999999998E-2</v>
      </c>
      <c r="F15172" s="26">
        <v>8.1600000000000006E-2</v>
      </c>
      <c r="H15172">
        <v>259</v>
      </c>
    </row>
    <row r="15173" spans="1:9" x14ac:dyDescent="0.35">
      <c r="A15173" t="s">
        <v>231</v>
      </c>
      <c r="B15173" t="s">
        <v>1348</v>
      </c>
      <c r="C15173" s="26">
        <v>0.96389999999999998</v>
      </c>
      <c r="D15173" s="26">
        <v>3.61E-2</v>
      </c>
      <c r="H15173">
        <v>83</v>
      </c>
    </row>
    <row r="15174" spans="1:9" x14ac:dyDescent="0.35">
      <c r="A15174" t="s">
        <v>231</v>
      </c>
      <c r="B15174" t="s">
        <v>1347</v>
      </c>
      <c r="C15174" s="26">
        <v>0.97060000000000002</v>
      </c>
      <c r="D15174" s="26">
        <v>2.9399999999999999E-2</v>
      </c>
      <c r="H15174">
        <v>34</v>
      </c>
    </row>
    <row r="15175" spans="1:9" x14ac:dyDescent="0.35">
      <c r="A15175" s="27" t="s">
        <v>231</v>
      </c>
      <c r="B15175" s="27" t="s">
        <v>1345</v>
      </c>
      <c r="C15175" s="28">
        <v>1</v>
      </c>
      <c r="D15175" s="29"/>
      <c r="E15175" s="29"/>
      <c r="F15175" s="29"/>
      <c r="G15175" s="29"/>
      <c r="H15175" s="29" t="s">
        <v>315</v>
      </c>
    </row>
    <row r="15176" spans="1:9" x14ac:dyDescent="0.35">
      <c r="A15176" t="s">
        <v>231</v>
      </c>
      <c r="B15176" t="s">
        <v>1346</v>
      </c>
      <c r="C15176" s="26">
        <v>1</v>
      </c>
      <c r="H15176">
        <v>40</v>
      </c>
    </row>
    <row r="15177" spans="1:9" x14ac:dyDescent="0.35">
      <c r="A15177" t="s">
        <v>232</v>
      </c>
      <c r="B15177" t="s">
        <v>232</v>
      </c>
      <c r="C15177" s="26">
        <v>0.82920000000000005</v>
      </c>
      <c r="D15177" s="26">
        <v>9.2299999999999993E-2</v>
      </c>
      <c r="E15177" s="26">
        <v>5.4199999999999998E-2</v>
      </c>
      <c r="F15177" s="26">
        <v>2.3900000000000001E-2</v>
      </c>
      <c r="G15177" s="26">
        <v>4.0000000000000002E-4</v>
      </c>
      <c r="H15177">
        <v>2808</v>
      </c>
    </row>
    <row r="15179" spans="1:9" x14ac:dyDescent="0.35">
      <c r="A15179" s="1" t="s">
        <v>1635</v>
      </c>
    </row>
    <row r="15180" spans="1:9" x14ac:dyDescent="0.35">
      <c r="A15180" t="s">
        <v>219</v>
      </c>
      <c r="B15180" t="s">
        <v>305</v>
      </c>
      <c r="C15180" t="s">
        <v>345</v>
      </c>
      <c r="D15180" t="s">
        <v>302</v>
      </c>
      <c r="E15180" t="s">
        <v>281</v>
      </c>
      <c r="F15180" t="s">
        <v>1620</v>
      </c>
      <c r="G15180" t="s">
        <v>1621</v>
      </c>
      <c r="H15180" t="s">
        <v>286</v>
      </c>
      <c r="I15180" t="s">
        <v>226</v>
      </c>
    </row>
    <row r="15181" spans="1:9" x14ac:dyDescent="0.35">
      <c r="A15181" s="27" t="s">
        <v>227</v>
      </c>
      <c r="B15181" s="27" t="s">
        <v>1341</v>
      </c>
      <c r="C15181" s="27" t="s">
        <v>1345</v>
      </c>
      <c r="D15181" s="28">
        <v>1</v>
      </c>
      <c r="E15181" s="29"/>
      <c r="F15181" s="29"/>
      <c r="G15181" s="29"/>
      <c r="H15181" s="29"/>
      <c r="I15181" s="29" t="s">
        <v>331</v>
      </c>
    </row>
    <row r="15182" spans="1:9" x14ac:dyDescent="0.35">
      <c r="A15182" s="27" t="s">
        <v>227</v>
      </c>
      <c r="B15182" s="27" t="s">
        <v>1343</v>
      </c>
      <c r="C15182" s="27" t="s">
        <v>1346</v>
      </c>
      <c r="D15182" s="28">
        <v>0.80769999999999997</v>
      </c>
      <c r="E15182" s="28">
        <v>0.1923</v>
      </c>
      <c r="F15182" s="29"/>
      <c r="G15182" s="29"/>
      <c r="H15182" s="29"/>
      <c r="I15182" s="29" t="s">
        <v>357</v>
      </c>
    </row>
    <row r="15183" spans="1:9" x14ac:dyDescent="0.35">
      <c r="A15183" t="s">
        <v>227</v>
      </c>
      <c r="B15183" t="s">
        <v>1343</v>
      </c>
      <c r="C15183" t="s">
        <v>1348</v>
      </c>
      <c r="D15183" s="26">
        <v>0.93440000000000001</v>
      </c>
      <c r="E15183" s="26">
        <v>6.5600000000000006E-2</v>
      </c>
      <c r="I15183">
        <v>61</v>
      </c>
    </row>
    <row r="15184" spans="1:9" x14ac:dyDescent="0.35">
      <c r="A15184" s="27" t="s">
        <v>227</v>
      </c>
      <c r="B15184" s="27" t="s">
        <v>1341</v>
      </c>
      <c r="C15184" s="27" t="s">
        <v>1347</v>
      </c>
      <c r="D15184" s="28">
        <v>0.92310000000000003</v>
      </c>
      <c r="E15184" s="28">
        <v>7.6899999999999996E-2</v>
      </c>
      <c r="F15184" s="29"/>
      <c r="G15184" s="29"/>
      <c r="H15184" s="29"/>
      <c r="I15184" s="29" t="s">
        <v>341</v>
      </c>
    </row>
    <row r="15185" spans="1:9" x14ac:dyDescent="0.35">
      <c r="A15185" s="27" t="s">
        <v>227</v>
      </c>
      <c r="B15185" s="27" t="s">
        <v>1343</v>
      </c>
      <c r="C15185" s="27" t="s">
        <v>1347</v>
      </c>
      <c r="D15185" s="28">
        <v>0.86360000000000003</v>
      </c>
      <c r="E15185" s="28">
        <v>0.13639999999999999</v>
      </c>
      <c r="F15185" s="29"/>
      <c r="G15185" s="29"/>
      <c r="H15185" s="29"/>
      <c r="I15185" s="29" t="s">
        <v>347</v>
      </c>
    </row>
    <row r="15186" spans="1:9" x14ac:dyDescent="0.35">
      <c r="A15186" s="27" t="s">
        <v>227</v>
      </c>
      <c r="B15186" s="27" t="s">
        <v>1343</v>
      </c>
      <c r="C15186" s="27" t="s">
        <v>1345</v>
      </c>
      <c r="D15186" s="28">
        <v>1</v>
      </c>
      <c r="E15186" s="29"/>
      <c r="F15186" s="29"/>
      <c r="G15186" s="29"/>
      <c r="H15186" s="29"/>
      <c r="I15186" s="29" t="s">
        <v>331</v>
      </c>
    </row>
    <row r="15187" spans="1:9" x14ac:dyDescent="0.35">
      <c r="A15187" s="27" t="s">
        <v>227</v>
      </c>
      <c r="B15187" s="27" t="s">
        <v>1341</v>
      </c>
      <c r="C15187" s="27" t="s">
        <v>1348</v>
      </c>
      <c r="D15187" s="28">
        <v>0.86360000000000003</v>
      </c>
      <c r="E15187" s="28">
        <v>0.13639999999999999</v>
      </c>
      <c r="F15187" s="29"/>
      <c r="G15187" s="29"/>
      <c r="H15187" s="29"/>
      <c r="I15187" s="29" t="s">
        <v>347</v>
      </c>
    </row>
    <row r="15188" spans="1:9" x14ac:dyDescent="0.35">
      <c r="A15188" s="27" t="s">
        <v>227</v>
      </c>
      <c r="B15188" s="27" t="s">
        <v>1342</v>
      </c>
      <c r="C15188" s="27" t="s">
        <v>1348</v>
      </c>
      <c r="D15188" s="28">
        <v>1</v>
      </c>
      <c r="E15188" s="29"/>
      <c r="F15188" s="29"/>
      <c r="G15188" s="29"/>
      <c r="H15188" s="29"/>
      <c r="I15188" s="29" t="s">
        <v>331</v>
      </c>
    </row>
    <row r="15189" spans="1:9" x14ac:dyDescent="0.35">
      <c r="A15189" s="27" t="s">
        <v>227</v>
      </c>
      <c r="B15189" s="27" t="s">
        <v>1341</v>
      </c>
      <c r="C15189" s="27" t="s">
        <v>1346</v>
      </c>
      <c r="D15189" s="28">
        <v>0.92310000000000003</v>
      </c>
      <c r="E15189" s="28">
        <v>7.6899999999999996E-2</v>
      </c>
      <c r="F15189" s="29"/>
      <c r="G15189" s="29"/>
      <c r="H15189" s="29"/>
      <c r="I15189" s="29" t="s">
        <v>341</v>
      </c>
    </row>
    <row r="15190" spans="1:9" x14ac:dyDescent="0.35">
      <c r="A15190" t="s">
        <v>228</v>
      </c>
      <c r="B15190" t="s">
        <v>1343</v>
      </c>
      <c r="C15190" t="s">
        <v>1348</v>
      </c>
      <c r="D15190" s="26">
        <v>0.75729999999999997</v>
      </c>
      <c r="E15190" s="26">
        <v>0.1386</v>
      </c>
      <c r="F15190" s="26">
        <v>6.9500000000000006E-2</v>
      </c>
      <c r="G15190" s="26">
        <v>3.3000000000000002E-2</v>
      </c>
      <c r="H15190" s="26">
        <v>1.6000000000000001E-3</v>
      </c>
      <c r="I15190">
        <v>352</v>
      </c>
    </row>
    <row r="15191" spans="1:9" x14ac:dyDescent="0.35">
      <c r="A15191" t="s">
        <v>228</v>
      </c>
      <c r="B15191" t="s">
        <v>1343</v>
      </c>
      <c r="C15191" t="s">
        <v>1347</v>
      </c>
      <c r="D15191" s="26">
        <v>0.66610000000000003</v>
      </c>
      <c r="E15191" s="26">
        <v>0.1749</v>
      </c>
      <c r="F15191" s="26">
        <v>0.1163</v>
      </c>
      <c r="G15191" s="26">
        <v>4.2799999999999998E-2</v>
      </c>
      <c r="I15191">
        <v>130</v>
      </c>
    </row>
    <row r="15192" spans="1:9" x14ac:dyDescent="0.35">
      <c r="A15192" s="27" t="s">
        <v>228</v>
      </c>
      <c r="B15192" s="27" t="s">
        <v>1343</v>
      </c>
      <c r="C15192" s="27" t="s">
        <v>1345</v>
      </c>
      <c r="D15192" s="28">
        <v>0.96350000000000002</v>
      </c>
      <c r="E15192" s="29"/>
      <c r="F15192" s="28">
        <v>3.6499999999999998E-2</v>
      </c>
      <c r="G15192" s="29"/>
      <c r="H15192" s="29"/>
      <c r="I15192" s="29" t="s">
        <v>335</v>
      </c>
    </row>
    <row r="15193" spans="1:9" x14ac:dyDescent="0.35">
      <c r="A15193" t="s">
        <v>228</v>
      </c>
      <c r="B15193" t="s">
        <v>1341</v>
      </c>
      <c r="C15193" t="s">
        <v>1346</v>
      </c>
      <c r="D15193" s="26">
        <v>0.7742</v>
      </c>
      <c r="E15193" s="26">
        <v>0.1123</v>
      </c>
      <c r="F15193" s="26">
        <v>0.1033</v>
      </c>
      <c r="H15193" s="26">
        <v>1.0200000000000001E-2</v>
      </c>
      <c r="I15193">
        <v>47</v>
      </c>
    </row>
    <row r="15194" spans="1:9" x14ac:dyDescent="0.35">
      <c r="A15194" s="27" t="s">
        <v>228</v>
      </c>
      <c r="B15194" s="27" t="s">
        <v>1342</v>
      </c>
      <c r="C15194" s="27" t="s">
        <v>1348</v>
      </c>
      <c r="D15194" s="28">
        <v>1</v>
      </c>
      <c r="E15194" s="29"/>
      <c r="F15194" s="29"/>
      <c r="G15194" s="29"/>
      <c r="H15194" s="29"/>
      <c r="I15194" s="29" t="s">
        <v>331</v>
      </c>
    </row>
    <row r="15195" spans="1:9" x14ac:dyDescent="0.35">
      <c r="A15195" t="s">
        <v>228</v>
      </c>
      <c r="B15195" t="s">
        <v>1343</v>
      </c>
      <c r="C15195" t="s">
        <v>1346</v>
      </c>
      <c r="D15195" s="26">
        <v>0.75980000000000003</v>
      </c>
      <c r="E15195" s="26">
        <v>0.16270000000000001</v>
      </c>
      <c r="F15195" s="26">
        <v>6.1499999999999999E-2</v>
      </c>
      <c r="G15195" s="26">
        <v>1.4500000000000001E-2</v>
      </c>
      <c r="H15195" s="26">
        <v>1.6000000000000001E-3</v>
      </c>
      <c r="I15195">
        <v>239</v>
      </c>
    </row>
    <row r="15196" spans="1:9" x14ac:dyDescent="0.35">
      <c r="A15196" s="27" t="s">
        <v>228</v>
      </c>
      <c r="B15196" s="27" t="s">
        <v>1341</v>
      </c>
      <c r="C15196" s="27" t="s">
        <v>1345</v>
      </c>
      <c r="D15196" s="28">
        <v>0.81830000000000003</v>
      </c>
      <c r="E15196" s="29"/>
      <c r="F15196" s="28">
        <v>0.1817</v>
      </c>
      <c r="G15196" s="29"/>
      <c r="H15196" s="29"/>
      <c r="I15196" s="29" t="s">
        <v>332</v>
      </c>
    </row>
    <row r="15197" spans="1:9" x14ac:dyDescent="0.35">
      <c r="A15197" t="s">
        <v>228</v>
      </c>
      <c r="B15197" t="s">
        <v>1341</v>
      </c>
      <c r="C15197" t="s">
        <v>1348</v>
      </c>
      <c r="D15197" s="26">
        <v>0.71060000000000001</v>
      </c>
      <c r="E15197" s="26">
        <v>6.6400000000000001E-2</v>
      </c>
      <c r="F15197" s="26">
        <v>0.1424</v>
      </c>
      <c r="G15197" s="26">
        <v>8.0600000000000005E-2</v>
      </c>
      <c r="I15197">
        <v>179</v>
      </c>
    </row>
    <row r="15198" spans="1:9" x14ac:dyDescent="0.35">
      <c r="A15198" t="s">
        <v>228</v>
      </c>
      <c r="B15198" t="s">
        <v>1341</v>
      </c>
      <c r="C15198" t="s">
        <v>1347</v>
      </c>
      <c r="D15198" s="26">
        <v>0.67369999999999997</v>
      </c>
      <c r="E15198" s="26">
        <v>0.10879999999999999</v>
      </c>
      <c r="F15198" s="26">
        <v>0.12939999999999999</v>
      </c>
      <c r="G15198" s="26">
        <v>8.8099999999999998E-2</v>
      </c>
      <c r="I15198">
        <v>74</v>
      </c>
    </row>
    <row r="15199" spans="1:9" x14ac:dyDescent="0.35">
      <c r="A15199" t="s">
        <v>229</v>
      </c>
      <c r="B15199" t="s">
        <v>1343</v>
      </c>
      <c r="C15199" t="s">
        <v>1348</v>
      </c>
      <c r="D15199" s="26">
        <v>0.76180000000000003</v>
      </c>
      <c r="E15199" s="26">
        <v>0.1295</v>
      </c>
      <c r="F15199" s="26">
        <v>7.2800000000000004E-2</v>
      </c>
      <c r="G15199" s="26">
        <v>3.49E-2</v>
      </c>
      <c r="H15199" s="26">
        <v>1.1000000000000001E-3</v>
      </c>
      <c r="I15199">
        <v>276</v>
      </c>
    </row>
    <row r="15200" spans="1:9" x14ac:dyDescent="0.35">
      <c r="A15200" s="27" t="s">
        <v>229</v>
      </c>
      <c r="B15200" s="27" t="s">
        <v>1341</v>
      </c>
      <c r="C15200" s="27" t="s">
        <v>1345</v>
      </c>
      <c r="D15200" s="28">
        <v>0.64559999999999995</v>
      </c>
      <c r="E15200" s="28">
        <v>0.27239999999999998</v>
      </c>
      <c r="F15200" s="28">
        <v>7.3599999999999999E-2</v>
      </c>
      <c r="G15200" s="28">
        <v>8.3999999999999995E-3</v>
      </c>
      <c r="H15200" s="29"/>
      <c r="I15200" s="29" t="s">
        <v>334</v>
      </c>
    </row>
    <row r="15201" spans="1:9" x14ac:dyDescent="0.35">
      <c r="A15201" t="s">
        <v>229</v>
      </c>
      <c r="B15201" t="s">
        <v>1343</v>
      </c>
      <c r="C15201" t="s">
        <v>1347</v>
      </c>
      <c r="D15201" s="26">
        <v>0.68689999999999996</v>
      </c>
      <c r="E15201" s="26">
        <v>0.1489</v>
      </c>
      <c r="F15201" s="26">
        <v>0.122</v>
      </c>
      <c r="G15201" s="26">
        <v>4.2200000000000001E-2</v>
      </c>
      <c r="I15201">
        <v>198</v>
      </c>
    </row>
    <row r="15202" spans="1:9" x14ac:dyDescent="0.35">
      <c r="A15202" s="27" t="s">
        <v>229</v>
      </c>
      <c r="B15202" s="27" t="s">
        <v>1343</v>
      </c>
      <c r="C15202" s="27" t="s">
        <v>1345</v>
      </c>
      <c r="D15202" s="28">
        <v>0.59770000000000001</v>
      </c>
      <c r="E15202" s="28">
        <v>3.5299999999999998E-2</v>
      </c>
      <c r="F15202" s="28">
        <v>0.16889999999999999</v>
      </c>
      <c r="G15202" s="28">
        <v>0.19819999999999999</v>
      </c>
      <c r="H15202" s="29"/>
      <c r="I15202" s="29" t="s">
        <v>343</v>
      </c>
    </row>
    <row r="15203" spans="1:9" x14ac:dyDescent="0.35">
      <c r="A15203" t="s">
        <v>229</v>
      </c>
      <c r="B15203" t="s">
        <v>1341</v>
      </c>
      <c r="C15203" t="s">
        <v>1348</v>
      </c>
      <c r="D15203" s="26">
        <v>0.76980000000000004</v>
      </c>
      <c r="E15203" s="26">
        <v>0.1196</v>
      </c>
      <c r="F15203" s="26">
        <v>8.3699999999999997E-2</v>
      </c>
      <c r="G15203" s="26">
        <v>2.69E-2</v>
      </c>
      <c r="I15203">
        <v>107</v>
      </c>
    </row>
    <row r="15204" spans="1:9" x14ac:dyDescent="0.35">
      <c r="A15204" t="s">
        <v>229</v>
      </c>
      <c r="B15204" t="s">
        <v>1343</v>
      </c>
      <c r="C15204" t="s">
        <v>1346</v>
      </c>
      <c r="D15204" s="26">
        <v>0.83720000000000006</v>
      </c>
      <c r="E15204" s="26">
        <v>7.85E-2</v>
      </c>
      <c r="F15204" s="26">
        <v>4.5499999999999999E-2</v>
      </c>
      <c r="G15204" s="26">
        <v>3.6600000000000001E-2</v>
      </c>
      <c r="H15204" s="26">
        <v>2.2000000000000001E-3</v>
      </c>
      <c r="I15204">
        <v>131</v>
      </c>
    </row>
    <row r="15205" spans="1:9" x14ac:dyDescent="0.35">
      <c r="A15205" t="s">
        <v>229</v>
      </c>
      <c r="B15205" t="s">
        <v>1341</v>
      </c>
      <c r="C15205" t="s">
        <v>1346</v>
      </c>
      <c r="D15205" s="26">
        <v>0.85360000000000003</v>
      </c>
      <c r="E15205" s="26">
        <v>0.11600000000000001</v>
      </c>
      <c r="F15205" s="26">
        <v>3.04E-2</v>
      </c>
      <c r="I15205">
        <v>53</v>
      </c>
    </row>
    <row r="15206" spans="1:9" x14ac:dyDescent="0.35">
      <c r="A15206" t="s">
        <v>229</v>
      </c>
      <c r="B15206" t="s">
        <v>1341</v>
      </c>
      <c r="C15206" t="s">
        <v>1347</v>
      </c>
      <c r="D15206" s="26">
        <v>0.82869999999999999</v>
      </c>
      <c r="E15206" s="26">
        <v>1.3100000000000001E-2</v>
      </c>
      <c r="F15206" s="26">
        <v>0.14419999999999999</v>
      </c>
      <c r="G15206" s="26">
        <v>1.4E-2</v>
      </c>
      <c r="I15206">
        <v>104</v>
      </c>
    </row>
    <row r="15207" spans="1:9" x14ac:dyDescent="0.35">
      <c r="A15207" s="27" t="s">
        <v>230</v>
      </c>
      <c r="B15207" s="27" t="s">
        <v>1343</v>
      </c>
      <c r="C15207" s="27" t="s">
        <v>1345</v>
      </c>
      <c r="D15207" s="28">
        <v>0.96340000000000003</v>
      </c>
      <c r="E15207" s="28">
        <v>3.6600000000000001E-2</v>
      </c>
      <c r="F15207" s="29"/>
      <c r="G15207" s="29"/>
      <c r="H15207" s="29"/>
      <c r="I15207" s="29" t="s">
        <v>337</v>
      </c>
    </row>
    <row r="15208" spans="1:9" x14ac:dyDescent="0.35">
      <c r="A15208" t="s">
        <v>230</v>
      </c>
      <c r="B15208" t="s">
        <v>1343</v>
      </c>
      <c r="C15208" t="s">
        <v>1346</v>
      </c>
      <c r="D15208" s="26">
        <v>0.67220000000000002</v>
      </c>
      <c r="E15208" s="26">
        <v>0.21640000000000001</v>
      </c>
      <c r="F15208" s="26">
        <v>8.8800000000000004E-2</v>
      </c>
      <c r="G15208" s="26">
        <v>2.2599999999999999E-2</v>
      </c>
      <c r="I15208">
        <v>110</v>
      </c>
    </row>
    <row r="15209" spans="1:9" x14ac:dyDescent="0.35">
      <c r="A15209" t="s">
        <v>230</v>
      </c>
      <c r="B15209" t="s">
        <v>1341</v>
      </c>
      <c r="C15209" t="s">
        <v>1347</v>
      </c>
      <c r="D15209" s="26">
        <v>0.66890000000000005</v>
      </c>
      <c r="E15209" s="26">
        <v>7.5999999999999998E-2</v>
      </c>
      <c r="F15209" s="26">
        <v>0.16650000000000001</v>
      </c>
      <c r="G15209" s="26">
        <v>8.8599999999999998E-2</v>
      </c>
      <c r="I15209">
        <v>47</v>
      </c>
    </row>
    <row r="15210" spans="1:9" x14ac:dyDescent="0.35">
      <c r="A15210" t="s">
        <v>230</v>
      </c>
      <c r="B15210" t="s">
        <v>1343</v>
      </c>
      <c r="C15210" t="s">
        <v>1347</v>
      </c>
      <c r="D15210" s="26">
        <v>0.62909999999999999</v>
      </c>
      <c r="E15210" s="26">
        <v>0.1588</v>
      </c>
      <c r="F15210" s="26">
        <v>0.16719999999999999</v>
      </c>
      <c r="G15210" s="26">
        <v>4.48E-2</v>
      </c>
      <c r="I15210">
        <v>106</v>
      </c>
    </row>
    <row r="15211" spans="1:9" x14ac:dyDescent="0.35">
      <c r="A15211" s="27" t="s">
        <v>230</v>
      </c>
      <c r="B15211" s="27" t="s">
        <v>1341</v>
      </c>
      <c r="C15211" s="27" t="s">
        <v>1345</v>
      </c>
      <c r="D15211" s="28">
        <v>0.50080000000000002</v>
      </c>
      <c r="E15211" s="28">
        <v>7.0599999999999996E-2</v>
      </c>
      <c r="F15211" s="29"/>
      <c r="G15211" s="28">
        <v>0.42849999999999999</v>
      </c>
      <c r="H15211" s="29"/>
      <c r="I15211" s="29" t="s">
        <v>337</v>
      </c>
    </row>
    <row r="15212" spans="1:9" x14ac:dyDescent="0.35">
      <c r="A15212" t="s">
        <v>230</v>
      </c>
      <c r="B15212" t="s">
        <v>1341</v>
      </c>
      <c r="C15212" t="s">
        <v>1348</v>
      </c>
      <c r="D15212" s="26">
        <v>0.70309999999999995</v>
      </c>
      <c r="E15212" s="26">
        <v>0.14099999999999999</v>
      </c>
      <c r="F15212" s="26">
        <v>7.6999999999999999E-2</v>
      </c>
      <c r="G15212" s="26">
        <v>7.8899999999999998E-2</v>
      </c>
      <c r="I15212">
        <v>75</v>
      </c>
    </row>
    <row r="15213" spans="1:9" x14ac:dyDescent="0.35">
      <c r="A15213" t="s">
        <v>230</v>
      </c>
      <c r="B15213" t="s">
        <v>1343</v>
      </c>
      <c r="C15213" t="s">
        <v>1348</v>
      </c>
      <c r="D15213" s="26">
        <v>0.73040000000000005</v>
      </c>
      <c r="E15213" s="26">
        <v>0.10249999999999999</v>
      </c>
      <c r="F15213" s="26">
        <v>8.4400000000000003E-2</v>
      </c>
      <c r="G15213" s="26">
        <v>8.2699999999999996E-2</v>
      </c>
      <c r="I15213">
        <v>184</v>
      </c>
    </row>
    <row r="15214" spans="1:9" x14ac:dyDescent="0.35">
      <c r="A15214" t="s">
        <v>230</v>
      </c>
      <c r="B15214" t="s">
        <v>1341</v>
      </c>
      <c r="C15214" t="s">
        <v>1346</v>
      </c>
      <c r="D15214" s="26">
        <v>0.6764</v>
      </c>
      <c r="E15214" s="26">
        <v>2.8299999999999999E-2</v>
      </c>
      <c r="F15214" s="26">
        <v>0.27710000000000001</v>
      </c>
      <c r="G15214" s="26">
        <v>1.83E-2</v>
      </c>
      <c r="I15214">
        <v>30</v>
      </c>
    </row>
    <row r="15215" spans="1:9" x14ac:dyDescent="0.35">
      <c r="A15215" s="27" t="s">
        <v>231</v>
      </c>
      <c r="B15215" s="27" t="s">
        <v>1343</v>
      </c>
      <c r="C15215" s="27" t="s">
        <v>1345</v>
      </c>
      <c r="D15215" s="28">
        <v>1</v>
      </c>
      <c r="E15215" s="29"/>
      <c r="F15215" s="29"/>
      <c r="G15215" s="29"/>
      <c r="H15215" s="29"/>
      <c r="I15215" s="29" t="s">
        <v>315</v>
      </c>
    </row>
    <row r="15216" spans="1:9" x14ac:dyDescent="0.35">
      <c r="A15216" s="27" t="s">
        <v>231</v>
      </c>
      <c r="B15216" s="27" t="s">
        <v>1343</v>
      </c>
      <c r="C15216" s="27" t="s">
        <v>1346</v>
      </c>
      <c r="D15216" s="28">
        <v>1</v>
      </c>
      <c r="E15216" s="29"/>
      <c r="F15216" s="29"/>
      <c r="G15216" s="29"/>
      <c r="H15216" s="29"/>
      <c r="I15216" s="29" t="s">
        <v>357</v>
      </c>
    </row>
    <row r="15217" spans="1:9" x14ac:dyDescent="0.35">
      <c r="A15217" t="s">
        <v>231</v>
      </c>
      <c r="B15217" t="s">
        <v>1343</v>
      </c>
      <c r="C15217" t="s">
        <v>1348</v>
      </c>
      <c r="D15217" s="26">
        <v>0.95740000000000003</v>
      </c>
      <c r="E15217" s="26">
        <v>4.2599999999999999E-2</v>
      </c>
      <c r="I15217">
        <v>47</v>
      </c>
    </row>
    <row r="15218" spans="1:9" x14ac:dyDescent="0.35">
      <c r="A15218" s="27" t="s">
        <v>231</v>
      </c>
      <c r="B15218" s="27" t="s">
        <v>1341</v>
      </c>
      <c r="C15218" s="27" t="s">
        <v>1347</v>
      </c>
      <c r="D15218" s="28">
        <v>1</v>
      </c>
      <c r="E15218" s="29"/>
      <c r="F15218" s="29"/>
      <c r="G15218" s="29"/>
      <c r="H15218" s="29"/>
      <c r="I15218" s="29" t="s">
        <v>379</v>
      </c>
    </row>
    <row r="15219" spans="1:9" x14ac:dyDescent="0.35">
      <c r="A15219" t="s">
        <v>231</v>
      </c>
      <c r="B15219" t="s">
        <v>1341</v>
      </c>
      <c r="C15219" t="s">
        <v>1348</v>
      </c>
      <c r="D15219" s="26">
        <v>0.97219999999999995</v>
      </c>
      <c r="E15219" s="26">
        <v>2.7799999999999998E-2</v>
      </c>
      <c r="I15219">
        <v>36</v>
      </c>
    </row>
    <row r="15220" spans="1:9" x14ac:dyDescent="0.35">
      <c r="A15220" s="27" t="s">
        <v>231</v>
      </c>
      <c r="B15220" s="27" t="s">
        <v>1341</v>
      </c>
      <c r="C15220" s="27" t="s">
        <v>1346</v>
      </c>
      <c r="D15220" s="28">
        <v>1</v>
      </c>
      <c r="E15220" s="29"/>
      <c r="F15220" s="29"/>
      <c r="G15220" s="29"/>
      <c r="H15220" s="29"/>
      <c r="I15220" s="29" t="s">
        <v>379</v>
      </c>
    </row>
    <row r="15221" spans="1:9" x14ac:dyDescent="0.35">
      <c r="A15221" s="27" t="s">
        <v>231</v>
      </c>
      <c r="B15221" s="27" t="s">
        <v>1343</v>
      </c>
      <c r="C15221" s="27" t="s">
        <v>1347</v>
      </c>
      <c r="D15221" s="28">
        <v>0.95</v>
      </c>
      <c r="E15221" s="28">
        <v>0.05</v>
      </c>
      <c r="F15221" s="29"/>
      <c r="G15221" s="29"/>
      <c r="H15221" s="29"/>
      <c r="I15221" s="29" t="s">
        <v>350</v>
      </c>
    </row>
    <row r="15222" spans="1:9" x14ac:dyDescent="0.35">
      <c r="A15222" t="s">
        <v>232</v>
      </c>
      <c r="B15222" t="s">
        <v>232</v>
      </c>
      <c r="C15222" t="s">
        <v>232</v>
      </c>
      <c r="D15222" s="26">
        <v>0.82920000000000005</v>
      </c>
      <c r="E15222" s="26">
        <v>9.2299999999999993E-2</v>
      </c>
      <c r="F15222" s="26">
        <v>5.4199999999999998E-2</v>
      </c>
      <c r="G15222" s="26">
        <v>2.3900000000000001E-2</v>
      </c>
      <c r="H15222" s="26">
        <v>4.0000000000000002E-4</v>
      </c>
      <c r="I15222">
        <v>2808</v>
      </c>
    </row>
    <row r="15224" spans="1:9" x14ac:dyDescent="0.35">
      <c r="A15224" s="1" t="s">
        <v>1636</v>
      </c>
    </row>
    <row r="15225" spans="1:9" x14ac:dyDescent="0.35">
      <c r="A15225" t="s">
        <v>219</v>
      </c>
      <c r="B15225" t="s">
        <v>303</v>
      </c>
      <c r="C15225" t="s">
        <v>302</v>
      </c>
      <c r="D15225" t="s">
        <v>281</v>
      </c>
      <c r="E15225" t="s">
        <v>226</v>
      </c>
    </row>
    <row r="15226" spans="1:9" x14ac:dyDescent="0.35">
      <c r="A15226" s="27" t="s">
        <v>227</v>
      </c>
      <c r="B15226" s="28">
        <v>1</v>
      </c>
      <c r="C15226" s="29"/>
      <c r="D15226" s="29"/>
      <c r="E15226" s="29" t="s">
        <v>331</v>
      </c>
    </row>
    <row r="15227" spans="1:9" x14ac:dyDescent="0.35">
      <c r="A15227" t="s">
        <v>228</v>
      </c>
      <c r="B15227" s="26">
        <v>0.68320000000000003</v>
      </c>
      <c r="C15227" s="26">
        <v>0.1822</v>
      </c>
      <c r="D15227" s="26">
        <v>0.1346</v>
      </c>
      <c r="E15227">
        <v>207</v>
      </c>
    </row>
    <row r="15228" spans="1:9" x14ac:dyDescent="0.35">
      <c r="A15228" t="s">
        <v>229</v>
      </c>
      <c r="B15228" s="26">
        <v>0.48209999999999997</v>
      </c>
      <c r="C15228" s="26">
        <v>0.37419999999999998</v>
      </c>
      <c r="D15228" s="26">
        <v>0.14369999999999999</v>
      </c>
      <c r="E15228">
        <v>147</v>
      </c>
    </row>
    <row r="15229" spans="1:9" x14ac:dyDescent="0.35">
      <c r="A15229" t="s">
        <v>230</v>
      </c>
      <c r="B15229" s="26">
        <v>0.50029999999999997</v>
      </c>
      <c r="C15229" s="26">
        <v>0.40749999999999997</v>
      </c>
      <c r="D15229" s="26">
        <v>9.2200000000000004E-2</v>
      </c>
      <c r="E15229">
        <v>151</v>
      </c>
    </row>
    <row r="15230" spans="1:9" x14ac:dyDescent="0.35">
      <c r="A15230" s="27" t="s">
        <v>231</v>
      </c>
      <c r="B15230" s="28">
        <v>0.25</v>
      </c>
      <c r="C15230" s="28">
        <v>0.75</v>
      </c>
      <c r="D15230" s="29"/>
      <c r="E15230" s="29" t="s">
        <v>337</v>
      </c>
    </row>
    <row r="15231" spans="1:9" x14ac:dyDescent="0.35">
      <c r="A15231" t="s">
        <v>232</v>
      </c>
      <c r="B15231" s="26">
        <v>0.53410000000000002</v>
      </c>
      <c r="C15231" s="26">
        <v>0.34849999999999998</v>
      </c>
      <c r="D15231" s="26">
        <v>0.1174</v>
      </c>
      <c r="E15231">
        <v>510</v>
      </c>
    </row>
    <row r="15233" spans="1:6" x14ac:dyDescent="0.35">
      <c r="A15233" s="1" t="s">
        <v>1637</v>
      </c>
    </row>
    <row r="15234" spans="1:6" x14ac:dyDescent="0.35">
      <c r="A15234" t="s">
        <v>219</v>
      </c>
      <c r="B15234" t="s">
        <v>305</v>
      </c>
      <c r="C15234" t="s">
        <v>303</v>
      </c>
      <c r="D15234" t="s">
        <v>302</v>
      </c>
      <c r="E15234" t="s">
        <v>281</v>
      </c>
      <c r="F15234" t="s">
        <v>226</v>
      </c>
    </row>
    <row r="15235" spans="1:6" x14ac:dyDescent="0.35">
      <c r="A15235" s="27" t="s">
        <v>227</v>
      </c>
      <c r="B15235" s="27" t="s">
        <v>241</v>
      </c>
      <c r="C15235" s="28">
        <v>1</v>
      </c>
      <c r="D15235" s="29"/>
      <c r="E15235" s="29"/>
      <c r="F15235" s="29" t="s">
        <v>331</v>
      </c>
    </row>
    <row r="15236" spans="1:6" x14ac:dyDescent="0.35">
      <c r="A15236" t="s">
        <v>228</v>
      </c>
      <c r="B15236" t="s">
        <v>242</v>
      </c>
      <c r="C15236" s="26">
        <v>0.76990000000000003</v>
      </c>
      <c r="D15236" s="26">
        <v>0.14349999999999999</v>
      </c>
      <c r="E15236" s="26">
        <v>8.6499999999999994E-2</v>
      </c>
      <c r="F15236">
        <v>79</v>
      </c>
    </row>
    <row r="15237" spans="1:6" x14ac:dyDescent="0.35">
      <c r="A15237" t="s">
        <v>228</v>
      </c>
      <c r="B15237" t="s">
        <v>241</v>
      </c>
      <c r="C15237" s="26">
        <v>0.63449999999999995</v>
      </c>
      <c r="D15237" s="26">
        <v>0.2039</v>
      </c>
      <c r="E15237" s="26">
        <v>0.16159999999999999</v>
      </c>
      <c r="F15237">
        <v>128</v>
      </c>
    </row>
    <row r="15238" spans="1:6" x14ac:dyDescent="0.35">
      <c r="A15238" t="s">
        <v>229</v>
      </c>
      <c r="B15238" t="s">
        <v>242</v>
      </c>
      <c r="C15238" s="26">
        <v>0.4834</v>
      </c>
      <c r="D15238" s="26">
        <v>0.3674</v>
      </c>
      <c r="E15238" s="26">
        <v>0.1492</v>
      </c>
      <c r="F15238">
        <v>39</v>
      </c>
    </row>
    <row r="15239" spans="1:6" x14ac:dyDescent="0.35">
      <c r="A15239" t="s">
        <v>229</v>
      </c>
      <c r="B15239" t="s">
        <v>241</v>
      </c>
      <c r="C15239" s="26">
        <v>0.48139999999999999</v>
      </c>
      <c r="D15239" s="26">
        <v>0.37769999999999998</v>
      </c>
      <c r="E15239" s="26">
        <v>0.1409</v>
      </c>
      <c r="F15239">
        <v>108</v>
      </c>
    </row>
    <row r="15240" spans="1:6" x14ac:dyDescent="0.35">
      <c r="A15240" t="s">
        <v>230</v>
      </c>
      <c r="B15240" t="s">
        <v>242</v>
      </c>
      <c r="C15240" s="26">
        <v>0.64019999999999999</v>
      </c>
      <c r="D15240" s="26">
        <v>0.19620000000000001</v>
      </c>
      <c r="E15240" s="26">
        <v>0.1636</v>
      </c>
      <c r="F15240">
        <v>45</v>
      </c>
    </row>
    <row r="15241" spans="1:6" x14ac:dyDescent="0.35">
      <c r="A15241" t="s">
        <v>230</v>
      </c>
      <c r="B15241" t="s">
        <v>241</v>
      </c>
      <c r="C15241" s="26">
        <v>0.45639999999999997</v>
      </c>
      <c r="D15241" s="26">
        <v>0.4738</v>
      </c>
      <c r="E15241" s="26">
        <v>6.9800000000000001E-2</v>
      </c>
      <c r="F15241">
        <v>106</v>
      </c>
    </row>
    <row r="15242" spans="1:6" x14ac:dyDescent="0.35">
      <c r="A15242" s="27" t="s">
        <v>231</v>
      </c>
      <c r="B15242" s="27" t="s">
        <v>242</v>
      </c>
      <c r="C15242" s="29"/>
      <c r="D15242" s="28">
        <v>1</v>
      </c>
      <c r="E15242" s="29"/>
      <c r="F15242" s="29" t="s">
        <v>331</v>
      </c>
    </row>
    <row r="15243" spans="1:6" x14ac:dyDescent="0.35">
      <c r="A15243" s="27" t="s">
        <v>231</v>
      </c>
      <c r="B15243" s="27" t="s">
        <v>241</v>
      </c>
      <c r="C15243" s="28">
        <v>0.33329999999999999</v>
      </c>
      <c r="D15243" s="28">
        <v>0.66669999999999996</v>
      </c>
      <c r="E15243" s="29"/>
      <c r="F15243" s="29" t="s">
        <v>315</v>
      </c>
    </row>
    <row r="15244" spans="1:6" x14ac:dyDescent="0.35">
      <c r="A15244" t="s">
        <v>232</v>
      </c>
      <c r="B15244" t="s">
        <v>232</v>
      </c>
      <c r="C15244" s="26">
        <v>0.53410000000000002</v>
      </c>
      <c r="D15244" s="26">
        <v>0.34849999999999998</v>
      </c>
      <c r="E15244" s="26">
        <v>0.1174</v>
      </c>
      <c r="F15244">
        <v>510</v>
      </c>
    </row>
    <row r="15246" spans="1:6" x14ac:dyDescent="0.35">
      <c r="A15246" s="1" t="s">
        <v>1638</v>
      </c>
    </row>
    <row r="15247" spans="1:6" x14ac:dyDescent="0.35">
      <c r="A15247" t="s">
        <v>219</v>
      </c>
      <c r="B15247" t="s">
        <v>305</v>
      </c>
      <c r="C15247" t="s">
        <v>303</v>
      </c>
      <c r="D15247" t="s">
        <v>302</v>
      </c>
      <c r="E15247" t="s">
        <v>281</v>
      </c>
      <c r="F15247" t="s">
        <v>226</v>
      </c>
    </row>
    <row r="15248" spans="1:6" x14ac:dyDescent="0.35">
      <c r="A15248" s="27" t="s">
        <v>227</v>
      </c>
      <c r="B15248" s="27" t="s">
        <v>238</v>
      </c>
      <c r="C15248" s="28">
        <v>1</v>
      </c>
      <c r="D15248" s="29"/>
      <c r="E15248" s="29"/>
      <c r="F15248" s="29" t="s">
        <v>331</v>
      </c>
    </row>
    <row r="15249" spans="1:6" x14ac:dyDescent="0.35">
      <c r="A15249" t="s">
        <v>228</v>
      </c>
      <c r="B15249" t="s">
        <v>239</v>
      </c>
      <c r="C15249" s="26">
        <v>0.73860000000000003</v>
      </c>
      <c r="D15249" s="26">
        <v>9.01E-2</v>
      </c>
      <c r="E15249" s="26">
        <v>0.17130000000000001</v>
      </c>
      <c r="F15249">
        <v>60</v>
      </c>
    </row>
    <row r="15250" spans="1:6" x14ac:dyDescent="0.35">
      <c r="A15250" t="s">
        <v>228</v>
      </c>
      <c r="B15250" t="s">
        <v>238</v>
      </c>
      <c r="C15250" s="26">
        <v>0.66979999999999995</v>
      </c>
      <c r="D15250" s="26">
        <v>0.20430000000000001</v>
      </c>
      <c r="E15250" s="26">
        <v>0.1258</v>
      </c>
      <c r="F15250">
        <v>147</v>
      </c>
    </row>
    <row r="15251" spans="1:6" x14ac:dyDescent="0.35">
      <c r="A15251" t="s">
        <v>229</v>
      </c>
      <c r="B15251" t="s">
        <v>239</v>
      </c>
      <c r="C15251" s="26">
        <v>0.43440000000000001</v>
      </c>
      <c r="D15251" s="26">
        <v>0.44890000000000002</v>
      </c>
      <c r="E15251" s="26">
        <v>0.1167</v>
      </c>
      <c r="F15251">
        <v>55</v>
      </c>
    </row>
    <row r="15252" spans="1:6" x14ac:dyDescent="0.35">
      <c r="A15252" t="s">
        <v>229</v>
      </c>
      <c r="B15252" t="s">
        <v>238</v>
      </c>
      <c r="C15252" s="26">
        <v>0.50060000000000004</v>
      </c>
      <c r="D15252" s="26">
        <v>0.34520000000000001</v>
      </c>
      <c r="E15252" s="26">
        <v>0.1542</v>
      </c>
      <c r="F15252">
        <v>92</v>
      </c>
    </row>
    <row r="15253" spans="1:6" x14ac:dyDescent="0.35">
      <c r="A15253" t="s">
        <v>230</v>
      </c>
      <c r="B15253" t="s">
        <v>239</v>
      </c>
      <c r="C15253" s="26">
        <v>0.56559999999999999</v>
      </c>
      <c r="D15253" s="26">
        <v>0.38590000000000002</v>
      </c>
      <c r="E15253" s="26">
        <v>4.8500000000000001E-2</v>
      </c>
      <c r="F15253">
        <v>46</v>
      </c>
    </row>
    <row r="15254" spans="1:6" x14ac:dyDescent="0.35">
      <c r="A15254" t="s">
        <v>230</v>
      </c>
      <c r="B15254" t="s">
        <v>238</v>
      </c>
      <c r="C15254" s="26">
        <v>0.48380000000000001</v>
      </c>
      <c r="D15254" s="26">
        <v>0.41299999999999998</v>
      </c>
      <c r="E15254" s="26">
        <v>0.1033</v>
      </c>
      <c r="F15254">
        <v>105</v>
      </c>
    </row>
    <row r="15255" spans="1:6" x14ac:dyDescent="0.35">
      <c r="A15255" s="27" t="s">
        <v>231</v>
      </c>
      <c r="B15255" s="27" t="s">
        <v>238</v>
      </c>
      <c r="C15255" s="28">
        <v>0.25</v>
      </c>
      <c r="D15255" s="28">
        <v>0.75</v>
      </c>
      <c r="E15255" s="29"/>
      <c r="F15255" s="29" t="s">
        <v>337</v>
      </c>
    </row>
    <row r="15256" spans="1:6" x14ac:dyDescent="0.35">
      <c r="A15256" t="s">
        <v>232</v>
      </c>
      <c r="B15256" t="s">
        <v>232</v>
      </c>
      <c r="C15256" s="26">
        <v>0.53410000000000002</v>
      </c>
      <c r="D15256" s="26">
        <v>0.34849999999999998</v>
      </c>
      <c r="E15256" s="26">
        <v>0.1174</v>
      </c>
      <c r="F15256">
        <v>510</v>
      </c>
    </row>
    <row r="15258" spans="1:6" x14ac:dyDescent="0.35">
      <c r="A15258" s="1" t="s">
        <v>1639</v>
      </c>
    </row>
    <row r="15259" spans="1:6" x14ac:dyDescent="0.35">
      <c r="A15259" t="s">
        <v>219</v>
      </c>
      <c r="B15259" t="s">
        <v>305</v>
      </c>
      <c r="C15259" t="s">
        <v>303</v>
      </c>
      <c r="D15259" t="s">
        <v>302</v>
      </c>
      <c r="E15259" t="s">
        <v>281</v>
      </c>
      <c r="F15259" t="s">
        <v>226</v>
      </c>
    </row>
    <row r="15260" spans="1:6" x14ac:dyDescent="0.35">
      <c r="A15260" s="27" t="s">
        <v>227</v>
      </c>
      <c r="B15260" s="27" t="s">
        <v>246</v>
      </c>
      <c r="C15260" s="28">
        <v>1</v>
      </c>
      <c r="D15260" s="29"/>
      <c r="E15260" s="29"/>
      <c r="F15260" s="29" t="s">
        <v>331</v>
      </c>
    </row>
    <row r="15261" spans="1:6" x14ac:dyDescent="0.35">
      <c r="A15261" t="s">
        <v>228</v>
      </c>
      <c r="B15261" t="s">
        <v>244</v>
      </c>
      <c r="C15261" s="26">
        <v>0.65780000000000005</v>
      </c>
      <c r="D15261" s="26">
        <v>0.1852</v>
      </c>
      <c r="E15261" s="26">
        <v>0.157</v>
      </c>
      <c r="F15261">
        <v>123</v>
      </c>
    </row>
    <row r="15262" spans="1:6" x14ac:dyDescent="0.35">
      <c r="A15262" t="s">
        <v>228</v>
      </c>
      <c r="B15262" t="s">
        <v>245</v>
      </c>
      <c r="C15262" s="26">
        <v>0.76659999999999995</v>
      </c>
      <c r="D15262" s="26">
        <v>0.12189999999999999</v>
      </c>
      <c r="E15262" s="26">
        <v>0.1115</v>
      </c>
      <c r="F15262">
        <v>71</v>
      </c>
    </row>
    <row r="15263" spans="1:6" x14ac:dyDescent="0.35">
      <c r="A15263" s="27" t="s">
        <v>228</v>
      </c>
      <c r="B15263" s="27" t="s">
        <v>246</v>
      </c>
      <c r="C15263" s="28">
        <v>0.50429999999999997</v>
      </c>
      <c r="D15263" s="28">
        <v>0.49569999999999997</v>
      </c>
      <c r="E15263" s="29"/>
      <c r="F15263" s="29" t="s">
        <v>341</v>
      </c>
    </row>
    <row r="15264" spans="1:6" x14ac:dyDescent="0.35">
      <c r="A15264" t="s">
        <v>229</v>
      </c>
      <c r="B15264" t="s">
        <v>244</v>
      </c>
      <c r="C15264" s="26">
        <v>0.51770000000000005</v>
      </c>
      <c r="D15264" s="26">
        <v>0.38929999999999998</v>
      </c>
      <c r="E15264" s="26">
        <v>9.2999999999999999E-2</v>
      </c>
      <c r="F15264">
        <v>88</v>
      </c>
    </row>
    <row r="15265" spans="1:6" x14ac:dyDescent="0.35">
      <c r="A15265" t="s">
        <v>229</v>
      </c>
      <c r="B15265" t="s">
        <v>245</v>
      </c>
      <c r="C15265" s="26">
        <v>0.31890000000000002</v>
      </c>
      <c r="D15265" s="26">
        <v>0.34620000000000001</v>
      </c>
      <c r="E15265" s="26">
        <v>0.33489999999999998</v>
      </c>
      <c r="F15265">
        <v>53</v>
      </c>
    </row>
    <row r="15266" spans="1:6" x14ac:dyDescent="0.35">
      <c r="A15266" s="27" t="s">
        <v>229</v>
      </c>
      <c r="B15266" s="27" t="s">
        <v>246</v>
      </c>
      <c r="C15266" s="28">
        <v>0.67300000000000004</v>
      </c>
      <c r="D15266" s="28">
        <v>0.32700000000000001</v>
      </c>
      <c r="E15266" s="29"/>
      <c r="F15266" s="29" t="s">
        <v>335</v>
      </c>
    </row>
    <row r="15267" spans="1:6" x14ac:dyDescent="0.35">
      <c r="A15267" t="s">
        <v>230</v>
      </c>
      <c r="B15267" t="s">
        <v>244</v>
      </c>
      <c r="C15267" s="26">
        <v>0.47889999999999999</v>
      </c>
      <c r="D15267" s="26">
        <v>0.45729999999999998</v>
      </c>
      <c r="E15267" s="26">
        <v>6.3799999999999996E-2</v>
      </c>
      <c r="F15267">
        <v>102</v>
      </c>
    </row>
    <row r="15268" spans="1:6" x14ac:dyDescent="0.35">
      <c r="A15268" t="s">
        <v>230</v>
      </c>
      <c r="B15268" t="s">
        <v>245</v>
      </c>
      <c r="C15268" s="26">
        <v>0.56430000000000002</v>
      </c>
      <c r="D15268" s="26">
        <v>0.28860000000000002</v>
      </c>
      <c r="E15268" s="26">
        <v>0.14699999999999999</v>
      </c>
      <c r="F15268">
        <v>40</v>
      </c>
    </row>
    <row r="15269" spans="1:6" x14ac:dyDescent="0.35">
      <c r="A15269" s="27" t="s">
        <v>230</v>
      </c>
      <c r="B15269" s="27" t="s">
        <v>246</v>
      </c>
      <c r="C15269" s="28">
        <v>0.4733</v>
      </c>
      <c r="D15269" s="28">
        <v>0.26179999999999998</v>
      </c>
      <c r="E15269" s="28">
        <v>0.26490000000000002</v>
      </c>
      <c r="F15269" s="29" t="s">
        <v>334</v>
      </c>
    </row>
    <row r="15270" spans="1:6" x14ac:dyDescent="0.35">
      <c r="A15270" s="27" t="s">
        <v>231</v>
      </c>
      <c r="B15270" s="27" t="s">
        <v>244</v>
      </c>
      <c r="C15270" s="29"/>
      <c r="D15270" s="28">
        <v>1</v>
      </c>
      <c r="E15270" s="29"/>
      <c r="F15270" s="29" t="s">
        <v>315</v>
      </c>
    </row>
    <row r="15271" spans="1:6" x14ac:dyDescent="0.35">
      <c r="A15271" s="27" t="s">
        <v>231</v>
      </c>
      <c r="B15271" s="27" t="s">
        <v>245</v>
      </c>
      <c r="C15271" s="28">
        <v>1</v>
      </c>
      <c r="D15271" s="29"/>
      <c r="E15271" s="29"/>
      <c r="F15271" s="29" t="s">
        <v>331</v>
      </c>
    </row>
    <row r="15272" spans="1:6" x14ac:dyDescent="0.35">
      <c r="A15272" t="s">
        <v>232</v>
      </c>
      <c r="B15272" t="s">
        <v>232</v>
      </c>
      <c r="C15272" s="26">
        <v>0.53410000000000002</v>
      </c>
      <c r="D15272" s="26">
        <v>0.34849999999999998</v>
      </c>
      <c r="E15272" s="26">
        <v>0.1174</v>
      </c>
      <c r="F15272">
        <v>510</v>
      </c>
    </row>
    <row r="15274" spans="1:6" x14ac:dyDescent="0.35">
      <c r="A15274" s="1" t="s">
        <v>1640</v>
      </c>
    </row>
    <row r="15275" spans="1:6" x14ac:dyDescent="0.35">
      <c r="A15275" t="s">
        <v>219</v>
      </c>
      <c r="B15275" t="s">
        <v>305</v>
      </c>
      <c r="C15275" t="s">
        <v>303</v>
      </c>
      <c r="D15275" t="s">
        <v>302</v>
      </c>
      <c r="E15275" t="s">
        <v>281</v>
      </c>
      <c r="F15275" t="s">
        <v>226</v>
      </c>
    </row>
    <row r="15276" spans="1:6" x14ac:dyDescent="0.35">
      <c r="A15276" s="27" t="s">
        <v>227</v>
      </c>
      <c r="B15276" s="27" t="s">
        <v>360</v>
      </c>
      <c r="C15276" s="28">
        <v>1</v>
      </c>
      <c r="D15276" s="29"/>
      <c r="E15276" s="29"/>
      <c r="F15276" s="29" t="s">
        <v>331</v>
      </c>
    </row>
    <row r="15277" spans="1:6" x14ac:dyDescent="0.35">
      <c r="A15277" t="s">
        <v>228</v>
      </c>
      <c r="B15277" t="s">
        <v>360</v>
      </c>
      <c r="C15277" s="26">
        <v>0.71879999999999999</v>
      </c>
      <c r="D15277" s="26">
        <v>0.1928</v>
      </c>
      <c r="E15277" s="26">
        <v>8.8400000000000006E-2</v>
      </c>
      <c r="F15277">
        <v>48</v>
      </c>
    </row>
    <row r="15278" spans="1:6" x14ac:dyDescent="0.35">
      <c r="A15278" t="s">
        <v>228</v>
      </c>
      <c r="B15278" t="s">
        <v>361</v>
      </c>
      <c r="C15278" s="26">
        <v>0.74139999999999995</v>
      </c>
      <c r="D15278" s="26">
        <v>6.6100000000000006E-2</v>
      </c>
      <c r="E15278" s="26">
        <v>0.19259999999999999</v>
      </c>
      <c r="F15278">
        <v>47</v>
      </c>
    </row>
    <row r="15279" spans="1:6" x14ac:dyDescent="0.35">
      <c r="A15279" t="s">
        <v>228</v>
      </c>
      <c r="B15279" t="s">
        <v>362</v>
      </c>
      <c r="C15279" s="26">
        <v>0.55979999999999996</v>
      </c>
      <c r="D15279" s="26">
        <v>0.31759999999999999</v>
      </c>
      <c r="E15279" s="26">
        <v>0.1226</v>
      </c>
      <c r="F15279">
        <v>40</v>
      </c>
    </row>
    <row r="15280" spans="1:6" x14ac:dyDescent="0.35">
      <c r="A15280" t="s">
        <v>228</v>
      </c>
      <c r="B15280" t="s">
        <v>363</v>
      </c>
      <c r="C15280" s="26">
        <v>0.73799999999999999</v>
      </c>
      <c r="D15280" s="26">
        <v>0.1857</v>
      </c>
      <c r="E15280" s="26">
        <v>7.6399999999999996E-2</v>
      </c>
      <c r="F15280">
        <v>35</v>
      </c>
    </row>
    <row r="15281" spans="1:6" x14ac:dyDescent="0.35">
      <c r="A15281" s="27" t="s">
        <v>229</v>
      </c>
      <c r="B15281" s="27" t="s">
        <v>360</v>
      </c>
      <c r="C15281" s="28">
        <v>0.59819999999999995</v>
      </c>
      <c r="D15281" s="28">
        <v>0.22720000000000001</v>
      </c>
      <c r="E15281" s="28">
        <v>0.17460000000000001</v>
      </c>
      <c r="F15281" s="29" t="s">
        <v>357</v>
      </c>
    </row>
    <row r="15282" spans="1:6" x14ac:dyDescent="0.35">
      <c r="A15282" t="s">
        <v>229</v>
      </c>
      <c r="B15282" t="s">
        <v>361</v>
      </c>
      <c r="C15282" s="26">
        <v>0.51590000000000003</v>
      </c>
      <c r="D15282" s="26">
        <v>0.38469999999999999</v>
      </c>
      <c r="E15282" s="26">
        <v>9.9299999999999999E-2</v>
      </c>
      <c r="F15282">
        <v>41</v>
      </c>
    </row>
    <row r="15283" spans="1:6" x14ac:dyDescent="0.35">
      <c r="A15283" s="27" t="s">
        <v>229</v>
      </c>
      <c r="B15283" s="27" t="s">
        <v>362</v>
      </c>
      <c r="C15283" s="28">
        <v>0.50760000000000005</v>
      </c>
      <c r="D15283" s="28">
        <v>0.3241</v>
      </c>
      <c r="E15283" s="28">
        <v>0.16830000000000001</v>
      </c>
      <c r="F15283" s="29" t="s">
        <v>329</v>
      </c>
    </row>
    <row r="15284" spans="1:6" x14ac:dyDescent="0.35">
      <c r="A15284" s="27" t="s">
        <v>229</v>
      </c>
      <c r="B15284" s="27" t="s">
        <v>363</v>
      </c>
      <c r="C15284" s="28">
        <v>0.30520000000000003</v>
      </c>
      <c r="D15284" s="28">
        <v>0.49059999999999998</v>
      </c>
      <c r="E15284" s="28">
        <v>0.20419999999999999</v>
      </c>
      <c r="F15284" s="29" t="s">
        <v>338</v>
      </c>
    </row>
    <row r="15285" spans="1:6" x14ac:dyDescent="0.35">
      <c r="A15285" t="s">
        <v>230</v>
      </c>
      <c r="B15285" t="s">
        <v>360</v>
      </c>
      <c r="C15285" s="26">
        <v>0.42620000000000002</v>
      </c>
      <c r="D15285" s="26">
        <v>0.32079999999999997</v>
      </c>
      <c r="E15285" s="26">
        <v>0.253</v>
      </c>
      <c r="F15285">
        <v>31</v>
      </c>
    </row>
    <row r="15286" spans="1:6" x14ac:dyDescent="0.35">
      <c r="A15286" s="27" t="s">
        <v>230</v>
      </c>
      <c r="B15286" s="27" t="s">
        <v>361</v>
      </c>
      <c r="C15286" s="28">
        <v>0.5222</v>
      </c>
      <c r="D15286" s="28">
        <v>0.44180000000000003</v>
      </c>
      <c r="E15286" s="28">
        <v>3.5999999999999997E-2</v>
      </c>
      <c r="F15286" s="29" t="s">
        <v>329</v>
      </c>
    </row>
    <row r="15287" spans="1:6" x14ac:dyDescent="0.35">
      <c r="A15287" t="s">
        <v>230</v>
      </c>
      <c r="B15287" t="s">
        <v>362</v>
      </c>
      <c r="C15287" s="26">
        <v>0.59340000000000004</v>
      </c>
      <c r="D15287" s="26">
        <v>0.2157</v>
      </c>
      <c r="E15287" s="26">
        <v>0.19089999999999999</v>
      </c>
      <c r="F15287">
        <v>43</v>
      </c>
    </row>
    <row r="15288" spans="1:6" x14ac:dyDescent="0.35">
      <c r="A15288" t="s">
        <v>230</v>
      </c>
      <c r="B15288" t="s">
        <v>363</v>
      </c>
      <c r="C15288" s="26">
        <v>0.4995</v>
      </c>
      <c r="D15288" s="26">
        <v>0.50049999999999994</v>
      </c>
      <c r="F15288">
        <v>41</v>
      </c>
    </row>
    <row r="15289" spans="1:6" x14ac:dyDescent="0.35">
      <c r="A15289" s="27" t="s">
        <v>231</v>
      </c>
      <c r="B15289" s="27" t="s">
        <v>360</v>
      </c>
      <c r="C15289" s="29"/>
      <c r="D15289" s="28">
        <v>1</v>
      </c>
      <c r="E15289" s="29"/>
      <c r="F15289" s="29" t="s">
        <v>331</v>
      </c>
    </row>
    <row r="15290" spans="1:6" x14ac:dyDescent="0.35">
      <c r="A15290" s="27" t="s">
        <v>231</v>
      </c>
      <c r="B15290" s="27" t="s">
        <v>361</v>
      </c>
      <c r="C15290" s="28">
        <v>0.33329999999999999</v>
      </c>
      <c r="D15290" s="28">
        <v>0.66669999999999996</v>
      </c>
      <c r="E15290" s="29"/>
      <c r="F15290" s="29" t="s">
        <v>315</v>
      </c>
    </row>
    <row r="15291" spans="1:6" x14ac:dyDescent="0.35">
      <c r="A15291" t="s">
        <v>232</v>
      </c>
      <c r="B15291" t="s">
        <v>232</v>
      </c>
      <c r="C15291" s="26">
        <v>0.53410000000000002</v>
      </c>
      <c r="D15291" s="26">
        <v>0.34849999999999998</v>
      </c>
      <c r="E15291" s="26">
        <v>0.1174</v>
      </c>
      <c r="F15291">
        <v>442</v>
      </c>
    </row>
    <row r="15293" spans="1:6" x14ac:dyDescent="0.35">
      <c r="A15293" s="1" t="s">
        <v>1641</v>
      </c>
    </row>
    <row r="15294" spans="1:6" x14ac:dyDescent="0.35">
      <c r="A15294" t="s">
        <v>219</v>
      </c>
      <c r="B15294" t="s">
        <v>305</v>
      </c>
      <c r="C15294" t="s">
        <v>303</v>
      </c>
      <c r="D15294" t="s">
        <v>302</v>
      </c>
      <c r="E15294" t="s">
        <v>281</v>
      </c>
      <c r="F15294" t="s">
        <v>226</v>
      </c>
    </row>
    <row r="15295" spans="1:6" x14ac:dyDescent="0.35">
      <c r="A15295" s="27" t="s">
        <v>227</v>
      </c>
      <c r="B15295" s="27" t="s">
        <v>265</v>
      </c>
      <c r="C15295" s="28">
        <v>1</v>
      </c>
      <c r="D15295" s="29"/>
      <c r="E15295" s="29"/>
      <c r="F15295" s="29" t="s">
        <v>331</v>
      </c>
    </row>
    <row r="15296" spans="1:6" x14ac:dyDescent="0.35">
      <c r="A15296" t="s">
        <v>228</v>
      </c>
      <c r="B15296" t="s">
        <v>267</v>
      </c>
      <c r="C15296" s="26">
        <v>0.82440000000000002</v>
      </c>
      <c r="D15296" s="26">
        <v>8.6199999999999999E-2</v>
      </c>
      <c r="E15296" s="26">
        <v>8.9499999999999996E-2</v>
      </c>
      <c r="F15296">
        <v>59</v>
      </c>
    </row>
    <row r="15297" spans="1:6" x14ac:dyDescent="0.35">
      <c r="A15297" t="s">
        <v>228</v>
      </c>
      <c r="B15297" t="s">
        <v>266</v>
      </c>
      <c r="C15297" s="26">
        <v>0.61480000000000001</v>
      </c>
      <c r="D15297" s="26">
        <v>0.22289999999999999</v>
      </c>
      <c r="E15297" s="26">
        <v>0.16220000000000001</v>
      </c>
      <c r="F15297">
        <v>79</v>
      </c>
    </row>
    <row r="15298" spans="1:6" x14ac:dyDescent="0.35">
      <c r="A15298" t="s">
        <v>228</v>
      </c>
      <c r="B15298" t="s">
        <v>265</v>
      </c>
      <c r="C15298" s="26">
        <v>0.64400000000000002</v>
      </c>
      <c r="D15298" s="26">
        <v>0.21390000000000001</v>
      </c>
      <c r="E15298" s="26">
        <v>0.1421</v>
      </c>
      <c r="F15298">
        <v>69</v>
      </c>
    </row>
    <row r="15299" spans="1:6" x14ac:dyDescent="0.35">
      <c r="A15299" t="s">
        <v>229</v>
      </c>
      <c r="B15299" t="s">
        <v>267</v>
      </c>
      <c r="C15299" s="26">
        <v>0.43580000000000002</v>
      </c>
      <c r="D15299" s="26">
        <v>0.4032</v>
      </c>
      <c r="E15299" s="26">
        <v>0.16109999999999999</v>
      </c>
      <c r="F15299">
        <v>34</v>
      </c>
    </row>
    <row r="15300" spans="1:6" x14ac:dyDescent="0.35">
      <c r="A15300" t="s">
        <v>229</v>
      </c>
      <c r="B15300" t="s">
        <v>266</v>
      </c>
      <c r="C15300" s="26">
        <v>0.3836</v>
      </c>
      <c r="D15300" s="26">
        <v>0.3856</v>
      </c>
      <c r="E15300" s="26">
        <v>0.23080000000000001</v>
      </c>
      <c r="F15300">
        <v>62</v>
      </c>
    </row>
    <row r="15301" spans="1:6" x14ac:dyDescent="0.35">
      <c r="A15301" t="s">
        <v>229</v>
      </c>
      <c r="B15301" t="s">
        <v>265</v>
      </c>
      <c r="C15301" s="26">
        <v>0.57469999999999999</v>
      </c>
      <c r="D15301" s="26">
        <v>0.35310000000000002</v>
      </c>
      <c r="E15301" s="26">
        <v>7.22E-2</v>
      </c>
      <c r="F15301">
        <v>51</v>
      </c>
    </row>
    <row r="15302" spans="1:6" x14ac:dyDescent="0.35">
      <c r="A15302" t="s">
        <v>230</v>
      </c>
      <c r="B15302" t="s">
        <v>267</v>
      </c>
      <c r="C15302" s="26">
        <v>0.61809999999999998</v>
      </c>
      <c r="D15302" s="26">
        <v>0.24790000000000001</v>
      </c>
      <c r="E15302" s="26">
        <v>0.13400000000000001</v>
      </c>
      <c r="F15302">
        <v>38</v>
      </c>
    </row>
    <row r="15303" spans="1:6" x14ac:dyDescent="0.35">
      <c r="A15303" t="s">
        <v>230</v>
      </c>
      <c r="B15303" t="s">
        <v>266</v>
      </c>
      <c r="C15303" s="26">
        <v>0.57930000000000004</v>
      </c>
      <c r="D15303" s="26">
        <v>0.3034</v>
      </c>
      <c r="E15303" s="26">
        <v>0.1173</v>
      </c>
      <c r="F15303">
        <v>62</v>
      </c>
    </row>
    <row r="15304" spans="1:6" x14ac:dyDescent="0.35">
      <c r="A15304" t="s">
        <v>230</v>
      </c>
      <c r="B15304" t="s">
        <v>265</v>
      </c>
      <c r="C15304" s="26">
        <v>0.31309999999999999</v>
      </c>
      <c r="D15304" s="26">
        <v>0.65790000000000004</v>
      </c>
      <c r="E15304" s="26">
        <v>2.9000000000000001E-2</v>
      </c>
      <c r="F15304">
        <v>51</v>
      </c>
    </row>
    <row r="15305" spans="1:6" x14ac:dyDescent="0.35">
      <c r="A15305" s="27" t="s">
        <v>231</v>
      </c>
      <c r="B15305" s="27" t="s">
        <v>267</v>
      </c>
      <c r="C15305" s="28">
        <v>0.5</v>
      </c>
      <c r="D15305" s="28">
        <v>0.5</v>
      </c>
      <c r="E15305" s="29"/>
      <c r="F15305" s="29" t="s">
        <v>314</v>
      </c>
    </row>
    <row r="15306" spans="1:6" x14ac:dyDescent="0.35">
      <c r="A15306" s="27" t="s">
        <v>231</v>
      </c>
      <c r="B15306" s="27" t="s">
        <v>266</v>
      </c>
      <c r="C15306" s="29"/>
      <c r="D15306" s="28">
        <v>1</v>
      </c>
      <c r="E15306" s="29"/>
      <c r="F15306" s="29" t="s">
        <v>331</v>
      </c>
    </row>
    <row r="15307" spans="1:6" x14ac:dyDescent="0.35">
      <c r="A15307" s="27" t="s">
        <v>231</v>
      </c>
      <c r="B15307" s="27" t="s">
        <v>265</v>
      </c>
      <c r="C15307" s="29"/>
      <c r="D15307" s="28">
        <v>1</v>
      </c>
      <c r="E15307" s="29"/>
      <c r="F15307" s="29" t="s">
        <v>331</v>
      </c>
    </row>
    <row r="15308" spans="1:6" x14ac:dyDescent="0.35">
      <c r="A15308" t="s">
        <v>232</v>
      </c>
      <c r="B15308" t="s">
        <v>232</v>
      </c>
      <c r="C15308" s="26">
        <v>0.53410000000000002</v>
      </c>
      <c r="D15308" s="26">
        <v>0.34849999999999998</v>
      </c>
      <c r="E15308" s="26">
        <v>0.1174</v>
      </c>
      <c r="F15308">
        <v>510</v>
      </c>
    </row>
    <row r="15310" spans="1:6" x14ac:dyDescent="0.35">
      <c r="A15310" s="1" t="s">
        <v>1642</v>
      </c>
    </row>
    <row r="15311" spans="1:6" x14ac:dyDescent="0.35">
      <c r="A15311" t="s">
        <v>219</v>
      </c>
      <c r="B15311" t="s">
        <v>305</v>
      </c>
      <c r="C15311" t="s">
        <v>303</v>
      </c>
      <c r="D15311" t="s">
        <v>302</v>
      </c>
      <c r="E15311" t="s">
        <v>281</v>
      </c>
      <c r="F15311" t="s">
        <v>226</v>
      </c>
    </row>
    <row r="15312" spans="1:6" x14ac:dyDescent="0.35">
      <c r="A15312" s="27" t="s">
        <v>227</v>
      </c>
      <c r="B15312" s="27" t="s">
        <v>251</v>
      </c>
      <c r="C15312" s="28">
        <v>1</v>
      </c>
      <c r="D15312" s="29"/>
      <c r="E15312" s="29"/>
      <c r="F15312" s="29" t="s">
        <v>331</v>
      </c>
    </row>
    <row r="15313" spans="1:6" x14ac:dyDescent="0.35">
      <c r="A15313" t="s">
        <v>228</v>
      </c>
      <c r="B15313" t="s">
        <v>252</v>
      </c>
      <c r="C15313" s="26">
        <v>0.71160000000000001</v>
      </c>
      <c r="D15313" s="26">
        <v>9.0800000000000006E-2</v>
      </c>
      <c r="E15313" s="26">
        <v>0.1976</v>
      </c>
      <c r="F15313">
        <v>54</v>
      </c>
    </row>
    <row r="15314" spans="1:6" x14ac:dyDescent="0.35">
      <c r="A15314" t="s">
        <v>228</v>
      </c>
      <c r="B15314" t="s">
        <v>253</v>
      </c>
      <c r="C15314" s="26">
        <v>0.92069999999999996</v>
      </c>
      <c r="D15314" s="26">
        <v>4.1399999999999999E-2</v>
      </c>
      <c r="E15314" s="26">
        <v>3.7999999999999999E-2</v>
      </c>
      <c r="F15314">
        <v>50</v>
      </c>
    </row>
    <row r="15315" spans="1:6" x14ac:dyDescent="0.35">
      <c r="A15315" t="s">
        <v>228</v>
      </c>
      <c r="B15315" t="s">
        <v>251</v>
      </c>
      <c r="C15315" s="26">
        <v>0.55910000000000004</v>
      </c>
      <c r="D15315" s="26">
        <v>0.28649999999999998</v>
      </c>
      <c r="E15315" s="26">
        <v>0.1545</v>
      </c>
      <c r="F15315">
        <v>103</v>
      </c>
    </row>
    <row r="15316" spans="1:6" x14ac:dyDescent="0.35">
      <c r="A15316" s="27" t="s">
        <v>229</v>
      </c>
      <c r="B15316" s="27" t="s">
        <v>252</v>
      </c>
      <c r="C15316" s="28">
        <v>0.34339999999999998</v>
      </c>
      <c r="D15316" s="28">
        <v>0.38879999999999998</v>
      </c>
      <c r="E15316" s="28">
        <v>0.26779999999999998</v>
      </c>
      <c r="F15316" s="29" t="s">
        <v>338</v>
      </c>
    </row>
    <row r="15317" spans="1:6" x14ac:dyDescent="0.35">
      <c r="A15317" s="27" t="s">
        <v>229</v>
      </c>
      <c r="B15317" s="27" t="s">
        <v>253</v>
      </c>
      <c r="C15317" s="28">
        <v>0.48149999999999998</v>
      </c>
      <c r="D15317" s="28">
        <v>0.41020000000000001</v>
      </c>
      <c r="E15317" s="28">
        <v>0.10829999999999999</v>
      </c>
      <c r="F15317" s="29" t="s">
        <v>351</v>
      </c>
    </row>
    <row r="15318" spans="1:6" x14ac:dyDescent="0.35">
      <c r="A15318" t="s">
        <v>229</v>
      </c>
      <c r="B15318" t="s">
        <v>251</v>
      </c>
      <c r="C15318" s="26">
        <v>0.50260000000000005</v>
      </c>
      <c r="D15318" s="26">
        <v>0.35980000000000001</v>
      </c>
      <c r="E15318" s="26">
        <v>0.13769999999999999</v>
      </c>
      <c r="F15318">
        <v>99</v>
      </c>
    </row>
    <row r="15319" spans="1:6" x14ac:dyDescent="0.35">
      <c r="A15319" t="s">
        <v>230</v>
      </c>
      <c r="B15319" t="s">
        <v>252</v>
      </c>
      <c r="C15319" s="26">
        <v>0.78190000000000004</v>
      </c>
      <c r="D15319" s="26">
        <v>7.7200000000000005E-2</v>
      </c>
      <c r="E15319" s="26">
        <v>0.1409</v>
      </c>
      <c r="F15319">
        <v>43</v>
      </c>
    </row>
    <row r="15320" spans="1:6" x14ac:dyDescent="0.35">
      <c r="A15320" t="s">
        <v>230</v>
      </c>
      <c r="B15320" t="s">
        <v>253</v>
      </c>
      <c r="C15320" s="26">
        <v>0.4007</v>
      </c>
      <c r="D15320" s="26">
        <v>0.57110000000000005</v>
      </c>
      <c r="E15320" s="26">
        <v>2.8299999999999999E-2</v>
      </c>
      <c r="F15320">
        <v>34</v>
      </c>
    </row>
    <row r="15321" spans="1:6" x14ac:dyDescent="0.35">
      <c r="A15321" t="s">
        <v>230</v>
      </c>
      <c r="B15321" t="s">
        <v>251</v>
      </c>
      <c r="C15321" s="26">
        <v>0.42109999999999997</v>
      </c>
      <c r="D15321" s="26">
        <v>0.48699999999999999</v>
      </c>
      <c r="E15321" s="26">
        <v>9.1899999999999996E-2</v>
      </c>
      <c r="F15321">
        <v>74</v>
      </c>
    </row>
    <row r="15322" spans="1:6" x14ac:dyDescent="0.35">
      <c r="A15322" s="27" t="s">
        <v>231</v>
      </c>
      <c r="B15322" s="27" t="s">
        <v>252</v>
      </c>
      <c r="C15322" s="29"/>
      <c r="D15322" s="28">
        <v>1</v>
      </c>
      <c r="E15322" s="29"/>
      <c r="F15322" s="29" t="s">
        <v>331</v>
      </c>
    </row>
    <row r="15323" spans="1:6" x14ac:dyDescent="0.35">
      <c r="A15323" s="27" t="s">
        <v>231</v>
      </c>
      <c r="B15323" s="27" t="s">
        <v>253</v>
      </c>
      <c r="C15323" s="29"/>
      <c r="D15323" s="28">
        <v>1</v>
      </c>
      <c r="E15323" s="29"/>
      <c r="F15323" s="29" t="s">
        <v>331</v>
      </c>
    </row>
    <row r="15324" spans="1:6" x14ac:dyDescent="0.35">
      <c r="A15324" s="27" t="s">
        <v>231</v>
      </c>
      <c r="B15324" s="27" t="s">
        <v>251</v>
      </c>
      <c r="C15324" s="28">
        <v>0.5</v>
      </c>
      <c r="D15324" s="28">
        <v>0.5</v>
      </c>
      <c r="E15324" s="29"/>
      <c r="F15324" s="29" t="s">
        <v>314</v>
      </c>
    </row>
    <row r="15325" spans="1:6" x14ac:dyDescent="0.35">
      <c r="A15325" t="s">
        <v>232</v>
      </c>
      <c r="B15325" t="s">
        <v>232</v>
      </c>
      <c r="C15325" s="26">
        <v>0.53410000000000002</v>
      </c>
      <c r="D15325" s="26">
        <v>0.34849999999999998</v>
      </c>
      <c r="E15325" s="26">
        <v>0.1174</v>
      </c>
      <c r="F15325">
        <v>510</v>
      </c>
    </row>
    <row r="15327" spans="1:6" x14ac:dyDescent="0.35">
      <c r="A15327" s="1" t="s">
        <v>1643</v>
      </c>
    </row>
    <row r="15328" spans="1:6" x14ac:dyDescent="0.35">
      <c r="A15328" t="s">
        <v>219</v>
      </c>
      <c r="B15328" t="s">
        <v>305</v>
      </c>
      <c r="C15328" t="s">
        <v>303</v>
      </c>
      <c r="D15328" t="s">
        <v>302</v>
      </c>
      <c r="E15328" t="s">
        <v>281</v>
      </c>
      <c r="F15328" t="s">
        <v>226</v>
      </c>
    </row>
    <row r="15329" spans="1:6" x14ac:dyDescent="0.35">
      <c r="A15329" s="27" t="s">
        <v>227</v>
      </c>
      <c r="B15329" s="27" t="s">
        <v>249</v>
      </c>
      <c r="C15329" s="28">
        <v>1</v>
      </c>
      <c r="D15329" s="29"/>
      <c r="E15329" s="29"/>
      <c r="F15329" s="29" t="s">
        <v>331</v>
      </c>
    </row>
    <row r="15330" spans="1:6" x14ac:dyDescent="0.35">
      <c r="A15330" t="s">
        <v>228</v>
      </c>
      <c r="B15330" t="s">
        <v>249</v>
      </c>
      <c r="C15330" s="26">
        <v>0.49209999999999998</v>
      </c>
      <c r="D15330" s="26">
        <v>0.36249999999999999</v>
      </c>
      <c r="E15330" s="26">
        <v>0.1454</v>
      </c>
      <c r="F15330">
        <v>55</v>
      </c>
    </row>
    <row r="15331" spans="1:6" x14ac:dyDescent="0.35">
      <c r="A15331" t="s">
        <v>228</v>
      </c>
      <c r="B15331" t="s">
        <v>248</v>
      </c>
      <c r="C15331" s="26">
        <v>0.77180000000000004</v>
      </c>
      <c r="D15331" s="26">
        <v>9.8599999999999993E-2</v>
      </c>
      <c r="E15331" s="26">
        <v>0.12959999999999999</v>
      </c>
      <c r="F15331">
        <v>152</v>
      </c>
    </row>
    <row r="15332" spans="1:6" x14ac:dyDescent="0.35">
      <c r="A15332" t="s">
        <v>229</v>
      </c>
      <c r="B15332" t="s">
        <v>249</v>
      </c>
      <c r="C15332" s="26">
        <v>0.65880000000000005</v>
      </c>
      <c r="D15332" s="26">
        <v>0.26950000000000002</v>
      </c>
      <c r="E15332" s="26">
        <v>7.1599999999999997E-2</v>
      </c>
      <c r="F15332">
        <v>45</v>
      </c>
    </row>
    <row r="15333" spans="1:6" x14ac:dyDescent="0.35">
      <c r="A15333" t="s">
        <v>229</v>
      </c>
      <c r="B15333" t="s">
        <v>248</v>
      </c>
      <c r="C15333" s="26">
        <v>0.32929999999999998</v>
      </c>
      <c r="D15333" s="26">
        <v>0.4647</v>
      </c>
      <c r="E15333" s="26">
        <v>0.20599999999999999</v>
      </c>
      <c r="F15333">
        <v>102</v>
      </c>
    </row>
    <row r="15334" spans="1:6" x14ac:dyDescent="0.35">
      <c r="A15334" t="s">
        <v>230</v>
      </c>
      <c r="B15334" t="s">
        <v>249</v>
      </c>
      <c r="C15334" s="26">
        <v>0.52259999999999995</v>
      </c>
      <c r="D15334" s="26">
        <v>0.33400000000000002</v>
      </c>
      <c r="E15334" s="26">
        <v>0.1434</v>
      </c>
      <c r="F15334">
        <v>48</v>
      </c>
    </row>
    <row r="15335" spans="1:6" x14ac:dyDescent="0.35">
      <c r="A15335" t="s">
        <v>230</v>
      </c>
      <c r="B15335" t="s">
        <v>248</v>
      </c>
      <c r="C15335" s="26">
        <v>0.48870000000000002</v>
      </c>
      <c r="D15335" s="26">
        <v>0.44540000000000002</v>
      </c>
      <c r="E15335" s="26">
        <v>6.59E-2</v>
      </c>
      <c r="F15335">
        <v>103</v>
      </c>
    </row>
    <row r="15336" spans="1:6" x14ac:dyDescent="0.35">
      <c r="A15336" s="27" t="s">
        <v>231</v>
      </c>
      <c r="B15336" s="27" t="s">
        <v>249</v>
      </c>
      <c r="C15336" s="29"/>
      <c r="D15336" s="28">
        <v>1</v>
      </c>
      <c r="E15336" s="29"/>
      <c r="F15336" s="29" t="s">
        <v>331</v>
      </c>
    </row>
    <row r="15337" spans="1:6" x14ac:dyDescent="0.35">
      <c r="A15337" s="27" t="s">
        <v>231</v>
      </c>
      <c r="B15337" s="27" t="s">
        <v>248</v>
      </c>
      <c r="C15337" s="28">
        <v>0.33329999999999999</v>
      </c>
      <c r="D15337" s="28">
        <v>0.66669999999999996</v>
      </c>
      <c r="E15337" s="29"/>
      <c r="F15337" s="29" t="s">
        <v>315</v>
      </c>
    </row>
    <row r="15338" spans="1:6" x14ac:dyDescent="0.35">
      <c r="A15338" t="s">
        <v>232</v>
      </c>
      <c r="B15338" t="s">
        <v>232</v>
      </c>
      <c r="C15338" s="26">
        <v>0.53410000000000002</v>
      </c>
      <c r="D15338" s="26">
        <v>0.34849999999999998</v>
      </c>
      <c r="E15338" s="26">
        <v>0.1174</v>
      </c>
      <c r="F15338">
        <v>510</v>
      </c>
    </row>
    <row r="15340" spans="1:6" x14ac:dyDescent="0.35">
      <c r="A15340" s="1" t="s">
        <v>1644</v>
      </c>
    </row>
    <row r="15341" spans="1:6" x14ac:dyDescent="0.35">
      <c r="A15341" t="s">
        <v>219</v>
      </c>
      <c r="B15341" t="s">
        <v>305</v>
      </c>
      <c r="C15341" t="s">
        <v>303</v>
      </c>
      <c r="D15341" t="s">
        <v>302</v>
      </c>
      <c r="E15341" t="s">
        <v>281</v>
      </c>
      <c r="F15341" t="s">
        <v>226</v>
      </c>
    </row>
    <row r="15342" spans="1:6" x14ac:dyDescent="0.35">
      <c r="A15342" s="27" t="s">
        <v>227</v>
      </c>
      <c r="B15342" s="27" t="s">
        <v>261</v>
      </c>
      <c r="C15342" s="28">
        <v>1</v>
      </c>
      <c r="D15342" s="29"/>
      <c r="E15342" s="29"/>
      <c r="F15342" s="29" t="s">
        <v>331</v>
      </c>
    </row>
    <row r="15343" spans="1:6" x14ac:dyDescent="0.35">
      <c r="A15343" s="27" t="s">
        <v>228</v>
      </c>
      <c r="B15343" s="27" t="s">
        <v>263</v>
      </c>
      <c r="C15343" s="28">
        <v>1</v>
      </c>
      <c r="D15343" s="29"/>
      <c r="E15343" s="29"/>
      <c r="F15343" s="29" t="s">
        <v>333</v>
      </c>
    </row>
    <row r="15344" spans="1:6" x14ac:dyDescent="0.35">
      <c r="A15344" t="s">
        <v>228</v>
      </c>
      <c r="B15344" t="s">
        <v>261</v>
      </c>
      <c r="C15344" s="26">
        <v>0.59289999999999998</v>
      </c>
      <c r="D15344" s="26">
        <v>0.1709</v>
      </c>
      <c r="E15344" s="26">
        <v>0.23619999999999999</v>
      </c>
      <c r="F15344">
        <v>30</v>
      </c>
    </row>
    <row r="15345" spans="1:6" x14ac:dyDescent="0.35">
      <c r="A15345" t="s">
        <v>228</v>
      </c>
      <c r="B15345" t="s">
        <v>262</v>
      </c>
      <c r="C15345" s="26">
        <v>0.76370000000000005</v>
      </c>
      <c r="D15345" s="26">
        <v>0.1744</v>
      </c>
      <c r="E15345" s="26">
        <v>6.1899999999999997E-2</v>
      </c>
      <c r="F15345">
        <v>60</v>
      </c>
    </row>
    <row r="15346" spans="1:6" x14ac:dyDescent="0.35">
      <c r="A15346" t="s">
        <v>228</v>
      </c>
      <c r="B15346" t="s">
        <v>260</v>
      </c>
      <c r="C15346" s="26">
        <v>0.63990000000000002</v>
      </c>
      <c r="D15346" s="26">
        <v>0.20150000000000001</v>
      </c>
      <c r="E15346" s="26">
        <v>0.15870000000000001</v>
      </c>
      <c r="F15346">
        <v>109</v>
      </c>
    </row>
    <row r="15347" spans="1:6" x14ac:dyDescent="0.35">
      <c r="A15347" s="27" t="s">
        <v>229</v>
      </c>
      <c r="B15347" s="27" t="s">
        <v>263</v>
      </c>
      <c r="C15347" s="28">
        <v>1</v>
      </c>
      <c r="D15347" s="29"/>
      <c r="E15347" s="29"/>
      <c r="F15347" s="29" t="s">
        <v>315</v>
      </c>
    </row>
    <row r="15348" spans="1:6" x14ac:dyDescent="0.35">
      <c r="A15348" t="s">
        <v>229</v>
      </c>
      <c r="B15348" t="s">
        <v>262</v>
      </c>
      <c r="C15348" s="26">
        <v>0.54659999999999997</v>
      </c>
      <c r="D15348" s="26">
        <v>0.38800000000000001</v>
      </c>
      <c r="E15348" s="26">
        <v>6.54E-2</v>
      </c>
      <c r="F15348">
        <v>43</v>
      </c>
    </row>
    <row r="15349" spans="1:6" x14ac:dyDescent="0.35">
      <c r="A15349" s="27" t="s">
        <v>229</v>
      </c>
      <c r="B15349" s="27" t="s">
        <v>261</v>
      </c>
      <c r="C15349" s="28">
        <v>0.45529999999999998</v>
      </c>
      <c r="D15349" s="28">
        <v>0.54469999999999996</v>
      </c>
      <c r="E15349" s="29"/>
      <c r="F15349" s="29" t="s">
        <v>352</v>
      </c>
    </row>
    <row r="15350" spans="1:6" x14ac:dyDescent="0.35">
      <c r="A15350" t="s">
        <v>229</v>
      </c>
      <c r="B15350" t="s">
        <v>260</v>
      </c>
      <c r="C15350" s="26">
        <v>0.41560000000000002</v>
      </c>
      <c r="D15350" s="26">
        <v>0.34250000000000003</v>
      </c>
      <c r="E15350" s="26">
        <v>0.2419</v>
      </c>
      <c r="F15350">
        <v>90</v>
      </c>
    </row>
    <row r="15351" spans="1:6" x14ac:dyDescent="0.35">
      <c r="A15351" t="s">
        <v>230</v>
      </c>
      <c r="B15351" t="s">
        <v>262</v>
      </c>
      <c r="C15351" s="26">
        <v>0.62809999999999999</v>
      </c>
      <c r="D15351" s="26">
        <v>0.31890000000000002</v>
      </c>
      <c r="E15351" s="26">
        <v>5.2999999999999999E-2</v>
      </c>
      <c r="F15351">
        <v>41</v>
      </c>
    </row>
    <row r="15352" spans="1:6" x14ac:dyDescent="0.35">
      <c r="A15352" s="27" t="s">
        <v>230</v>
      </c>
      <c r="B15352" s="27" t="s">
        <v>236</v>
      </c>
      <c r="C15352" s="29"/>
      <c r="D15352" s="29"/>
      <c r="E15352" s="28">
        <v>1</v>
      </c>
      <c r="F15352" s="29" t="s">
        <v>331</v>
      </c>
    </row>
    <row r="15353" spans="1:6" x14ac:dyDescent="0.35">
      <c r="A15353" t="s">
        <v>230</v>
      </c>
      <c r="B15353" t="s">
        <v>260</v>
      </c>
      <c r="C15353" s="26">
        <v>0.42509999999999998</v>
      </c>
      <c r="D15353" s="26">
        <v>0.51</v>
      </c>
      <c r="E15353" s="26">
        <v>6.4899999999999999E-2</v>
      </c>
      <c r="F15353">
        <v>83</v>
      </c>
    </row>
    <row r="15354" spans="1:6" x14ac:dyDescent="0.35">
      <c r="A15354" s="27" t="s">
        <v>230</v>
      </c>
      <c r="B15354" s="27" t="s">
        <v>261</v>
      </c>
      <c r="C15354" s="28">
        <v>0.70909999999999995</v>
      </c>
      <c r="D15354" s="28">
        <v>5.16E-2</v>
      </c>
      <c r="E15354" s="28">
        <v>0.23930000000000001</v>
      </c>
      <c r="F15354" s="29" t="s">
        <v>346</v>
      </c>
    </row>
    <row r="15355" spans="1:6" x14ac:dyDescent="0.35">
      <c r="A15355" s="27" t="s">
        <v>230</v>
      </c>
      <c r="B15355" s="27" t="s">
        <v>263</v>
      </c>
      <c r="C15355" s="28">
        <v>0.75480000000000003</v>
      </c>
      <c r="D15355" s="29"/>
      <c r="E15355" s="28">
        <v>0.2452</v>
      </c>
      <c r="F15355" s="29" t="s">
        <v>352</v>
      </c>
    </row>
    <row r="15356" spans="1:6" x14ac:dyDescent="0.35">
      <c r="A15356" s="27" t="s">
        <v>231</v>
      </c>
      <c r="B15356" s="27" t="s">
        <v>262</v>
      </c>
      <c r="C15356" s="28">
        <v>0.5</v>
      </c>
      <c r="D15356" s="28">
        <v>0.5</v>
      </c>
      <c r="E15356" s="29"/>
      <c r="F15356" s="29" t="s">
        <v>314</v>
      </c>
    </row>
    <row r="15357" spans="1:6" x14ac:dyDescent="0.35">
      <c r="A15357" s="27" t="s">
        <v>231</v>
      </c>
      <c r="B15357" s="27" t="s">
        <v>260</v>
      </c>
      <c r="C15357" s="29"/>
      <c r="D15357" s="28">
        <v>1</v>
      </c>
      <c r="E15357" s="29"/>
      <c r="F15357" s="29" t="s">
        <v>314</v>
      </c>
    </row>
    <row r="15358" spans="1:6" x14ac:dyDescent="0.35">
      <c r="A15358" t="s">
        <v>232</v>
      </c>
      <c r="B15358" t="s">
        <v>232</v>
      </c>
      <c r="C15358" s="26">
        <v>0.53410000000000002</v>
      </c>
      <c r="D15358" s="26">
        <v>0.34849999999999998</v>
      </c>
      <c r="E15358" s="26">
        <v>0.1174</v>
      </c>
      <c r="F15358">
        <v>510</v>
      </c>
    </row>
    <row r="15360" spans="1:6" x14ac:dyDescent="0.35">
      <c r="A15360" s="1" t="s">
        <v>1645</v>
      </c>
    </row>
    <row r="15361" spans="1:6" x14ac:dyDescent="0.35">
      <c r="A15361" t="s">
        <v>219</v>
      </c>
      <c r="B15361" t="s">
        <v>305</v>
      </c>
      <c r="C15361" t="s">
        <v>303</v>
      </c>
      <c r="D15361" t="s">
        <v>302</v>
      </c>
      <c r="E15361" t="s">
        <v>281</v>
      </c>
      <c r="F15361" t="s">
        <v>226</v>
      </c>
    </row>
    <row r="15362" spans="1:6" x14ac:dyDescent="0.35">
      <c r="A15362" s="27" t="s">
        <v>227</v>
      </c>
      <c r="B15362" s="27" t="s">
        <v>368</v>
      </c>
      <c r="C15362" s="28">
        <v>1</v>
      </c>
      <c r="D15362" s="29"/>
      <c r="E15362" s="29"/>
      <c r="F15362" s="29" t="s">
        <v>331</v>
      </c>
    </row>
    <row r="15363" spans="1:6" x14ac:dyDescent="0.35">
      <c r="A15363" t="s">
        <v>228</v>
      </c>
      <c r="B15363" t="s">
        <v>368</v>
      </c>
      <c r="C15363" s="26">
        <v>0.59289999999999998</v>
      </c>
      <c r="D15363" s="26">
        <v>0.1709</v>
      </c>
      <c r="E15363" s="26">
        <v>0.23619999999999999</v>
      </c>
      <c r="F15363">
        <v>30</v>
      </c>
    </row>
    <row r="15364" spans="1:6" x14ac:dyDescent="0.35">
      <c r="A15364" t="s">
        <v>228</v>
      </c>
      <c r="B15364" t="s">
        <v>369</v>
      </c>
      <c r="C15364" s="26">
        <v>0.69599999999999995</v>
      </c>
      <c r="D15364" s="26">
        <v>0.18379999999999999</v>
      </c>
      <c r="E15364" s="26">
        <v>0.1202</v>
      </c>
      <c r="F15364">
        <v>177</v>
      </c>
    </row>
    <row r="15365" spans="1:6" x14ac:dyDescent="0.35">
      <c r="A15365" s="27" t="s">
        <v>229</v>
      </c>
      <c r="B15365" s="27" t="s">
        <v>368</v>
      </c>
      <c r="C15365" s="28">
        <v>0.45529999999999998</v>
      </c>
      <c r="D15365" s="28">
        <v>0.54469999999999996</v>
      </c>
      <c r="E15365" s="29"/>
      <c r="F15365" s="29" t="s">
        <v>352</v>
      </c>
    </row>
    <row r="15366" spans="1:6" x14ac:dyDescent="0.35">
      <c r="A15366" t="s">
        <v>229</v>
      </c>
      <c r="B15366" t="s">
        <v>369</v>
      </c>
      <c r="C15366" s="26">
        <v>0.48480000000000001</v>
      </c>
      <c r="D15366" s="26">
        <v>0.35649999999999998</v>
      </c>
      <c r="E15366" s="26">
        <v>0.15870000000000001</v>
      </c>
      <c r="F15366">
        <v>136</v>
      </c>
    </row>
    <row r="15367" spans="1:6" x14ac:dyDescent="0.35">
      <c r="A15367" s="27" t="s">
        <v>230</v>
      </c>
      <c r="B15367" s="27" t="s">
        <v>368</v>
      </c>
      <c r="C15367" s="28">
        <v>0.70909999999999995</v>
      </c>
      <c r="D15367" s="28">
        <v>5.16E-2</v>
      </c>
      <c r="E15367" s="28">
        <v>0.23930000000000001</v>
      </c>
      <c r="F15367" s="29" t="s">
        <v>346</v>
      </c>
    </row>
    <row r="15368" spans="1:6" x14ac:dyDescent="0.35">
      <c r="A15368" t="s">
        <v>230</v>
      </c>
      <c r="B15368" t="s">
        <v>369</v>
      </c>
      <c r="C15368" s="26">
        <v>0.47110000000000002</v>
      </c>
      <c r="D15368" s="26">
        <v>0.4572</v>
      </c>
      <c r="E15368" s="26">
        <v>7.17E-2</v>
      </c>
      <c r="F15368">
        <v>136</v>
      </c>
    </row>
    <row r="15369" spans="1:6" x14ac:dyDescent="0.35">
      <c r="A15369" s="27" t="s">
        <v>231</v>
      </c>
      <c r="B15369" s="27" t="s">
        <v>369</v>
      </c>
      <c r="C15369" s="28">
        <v>0.25</v>
      </c>
      <c r="D15369" s="28">
        <v>0.75</v>
      </c>
      <c r="E15369" s="29"/>
      <c r="F15369" s="29" t="s">
        <v>337</v>
      </c>
    </row>
    <row r="15370" spans="1:6" x14ac:dyDescent="0.35">
      <c r="A15370" t="s">
        <v>232</v>
      </c>
      <c r="B15370" t="s">
        <v>232</v>
      </c>
      <c r="C15370" s="26">
        <v>0.53410000000000002</v>
      </c>
      <c r="D15370" s="26">
        <v>0.34849999999999998</v>
      </c>
      <c r="E15370" s="26">
        <v>0.1174</v>
      </c>
      <c r="F15370">
        <v>510</v>
      </c>
    </row>
    <row r="15372" spans="1:6" x14ac:dyDescent="0.35">
      <c r="A15372" s="1" t="s">
        <v>1646</v>
      </c>
    </row>
    <row r="15373" spans="1:6" x14ac:dyDescent="0.35">
      <c r="A15373" t="s">
        <v>219</v>
      </c>
      <c r="B15373" t="s">
        <v>305</v>
      </c>
      <c r="C15373" t="s">
        <v>303</v>
      </c>
      <c r="D15373" t="s">
        <v>302</v>
      </c>
      <c r="E15373" t="s">
        <v>281</v>
      </c>
      <c r="F15373" t="s">
        <v>226</v>
      </c>
    </row>
    <row r="15374" spans="1:6" x14ac:dyDescent="0.35">
      <c r="A15374" s="27" t="s">
        <v>227</v>
      </c>
      <c r="B15374" s="27" t="s">
        <v>371</v>
      </c>
      <c r="C15374" s="28">
        <v>1</v>
      </c>
      <c r="D15374" s="29"/>
      <c r="E15374" s="29"/>
      <c r="F15374" s="29" t="s">
        <v>331</v>
      </c>
    </row>
    <row r="15375" spans="1:6" x14ac:dyDescent="0.35">
      <c r="A15375" s="27" t="s">
        <v>228</v>
      </c>
      <c r="B15375" s="27" t="s">
        <v>371</v>
      </c>
      <c r="C15375" s="28">
        <v>0.47699999999999998</v>
      </c>
      <c r="D15375" s="28">
        <v>0.30470000000000003</v>
      </c>
      <c r="E15375" s="28">
        <v>0.21829999999999999</v>
      </c>
      <c r="F15375" s="29" t="s">
        <v>329</v>
      </c>
    </row>
    <row r="15376" spans="1:6" x14ac:dyDescent="0.35">
      <c r="A15376" t="s">
        <v>228</v>
      </c>
      <c r="B15376" t="s">
        <v>372</v>
      </c>
      <c r="C15376" s="26">
        <v>0.76959999999999995</v>
      </c>
      <c r="D15376" s="26">
        <v>0.10630000000000001</v>
      </c>
      <c r="E15376" s="26">
        <v>0.1241</v>
      </c>
      <c r="F15376">
        <v>74</v>
      </c>
    </row>
    <row r="15377" spans="1:6" x14ac:dyDescent="0.35">
      <c r="A15377" t="s">
        <v>228</v>
      </c>
      <c r="B15377" t="s">
        <v>373</v>
      </c>
      <c r="C15377" s="26">
        <v>0.71809999999999996</v>
      </c>
      <c r="D15377" s="26">
        <v>0.17030000000000001</v>
      </c>
      <c r="E15377" s="26">
        <v>0.1116</v>
      </c>
      <c r="F15377">
        <v>104</v>
      </c>
    </row>
    <row r="15378" spans="1:6" x14ac:dyDescent="0.35">
      <c r="A15378" t="s">
        <v>229</v>
      </c>
      <c r="B15378" t="s">
        <v>371</v>
      </c>
      <c r="C15378" s="26">
        <v>0.44290000000000002</v>
      </c>
      <c r="D15378" s="26">
        <v>0.4108</v>
      </c>
      <c r="E15378" s="26">
        <v>0.14630000000000001</v>
      </c>
      <c r="F15378">
        <v>70</v>
      </c>
    </row>
    <row r="15379" spans="1:6" x14ac:dyDescent="0.35">
      <c r="A15379" t="s">
        <v>229</v>
      </c>
      <c r="B15379" t="s">
        <v>372</v>
      </c>
      <c r="C15379" s="26">
        <v>0.75839999999999996</v>
      </c>
      <c r="D15379" s="26">
        <v>0.1489</v>
      </c>
      <c r="E15379" s="26">
        <v>9.2600000000000002E-2</v>
      </c>
      <c r="F15379">
        <v>54</v>
      </c>
    </row>
    <row r="15380" spans="1:6" x14ac:dyDescent="0.35">
      <c r="A15380" s="27" t="s">
        <v>229</v>
      </c>
      <c r="B15380" s="27" t="s">
        <v>373</v>
      </c>
      <c r="C15380" s="28">
        <v>0.59130000000000005</v>
      </c>
      <c r="D15380" s="28">
        <v>0.2167</v>
      </c>
      <c r="E15380" s="28">
        <v>0.192</v>
      </c>
      <c r="F15380" s="29" t="s">
        <v>328</v>
      </c>
    </row>
    <row r="15381" spans="1:6" x14ac:dyDescent="0.35">
      <c r="A15381" t="s">
        <v>230</v>
      </c>
      <c r="B15381" t="s">
        <v>371</v>
      </c>
      <c r="C15381" s="26">
        <v>0.3528</v>
      </c>
      <c r="D15381" s="26">
        <v>0.5393</v>
      </c>
      <c r="E15381" s="26">
        <v>0.1079</v>
      </c>
      <c r="F15381">
        <v>34</v>
      </c>
    </row>
    <row r="15382" spans="1:6" x14ac:dyDescent="0.35">
      <c r="A15382" t="s">
        <v>230</v>
      </c>
      <c r="B15382" t="s">
        <v>372</v>
      </c>
      <c r="C15382" s="26">
        <v>0.92649999999999999</v>
      </c>
      <c r="D15382" s="26">
        <v>4.2000000000000003E-2</v>
      </c>
      <c r="E15382" s="26">
        <v>3.15E-2</v>
      </c>
      <c r="F15382">
        <v>75</v>
      </c>
    </row>
    <row r="15383" spans="1:6" x14ac:dyDescent="0.35">
      <c r="A15383" t="s">
        <v>230</v>
      </c>
      <c r="B15383" t="s">
        <v>373</v>
      </c>
      <c r="C15383" s="26">
        <v>0.72260000000000002</v>
      </c>
      <c r="D15383" s="26">
        <v>0.19670000000000001</v>
      </c>
      <c r="E15383" s="26">
        <v>8.0699999999999994E-2</v>
      </c>
      <c r="F15383">
        <v>42</v>
      </c>
    </row>
    <row r="15384" spans="1:6" x14ac:dyDescent="0.35">
      <c r="A15384" s="27" t="s">
        <v>231</v>
      </c>
      <c r="B15384" s="27" t="s">
        <v>371</v>
      </c>
      <c r="C15384" s="28">
        <v>0.25</v>
      </c>
      <c r="D15384" s="28">
        <v>0.75</v>
      </c>
      <c r="E15384" s="29"/>
      <c r="F15384" s="29" t="s">
        <v>337</v>
      </c>
    </row>
    <row r="15385" spans="1:6" x14ac:dyDescent="0.35">
      <c r="A15385" t="s">
        <v>232</v>
      </c>
      <c r="B15385" t="s">
        <v>232</v>
      </c>
      <c r="C15385" s="26">
        <v>0.53410000000000002</v>
      </c>
      <c r="D15385" s="26">
        <v>0.34849999999999998</v>
      </c>
      <c r="E15385" s="26">
        <v>0.1174</v>
      </c>
      <c r="F15385">
        <v>510</v>
      </c>
    </row>
    <row r="15387" spans="1:6" x14ac:dyDescent="0.35">
      <c r="A15387" s="1" t="s">
        <v>1647</v>
      </c>
    </row>
    <row r="15388" spans="1:6" x14ac:dyDescent="0.35">
      <c r="A15388" t="s">
        <v>219</v>
      </c>
      <c r="B15388" t="s">
        <v>305</v>
      </c>
      <c r="C15388" t="s">
        <v>303</v>
      </c>
      <c r="D15388" t="s">
        <v>302</v>
      </c>
      <c r="E15388" t="s">
        <v>281</v>
      </c>
      <c r="F15388" t="s">
        <v>226</v>
      </c>
    </row>
    <row r="15389" spans="1:6" x14ac:dyDescent="0.35">
      <c r="A15389" s="27" t="s">
        <v>227</v>
      </c>
      <c r="B15389" s="27" t="s">
        <v>256</v>
      </c>
      <c r="C15389" s="28">
        <v>1</v>
      </c>
      <c r="D15389" s="29"/>
      <c r="E15389" s="29"/>
      <c r="F15389" s="29" t="s">
        <v>331</v>
      </c>
    </row>
    <row r="15390" spans="1:6" x14ac:dyDescent="0.35">
      <c r="A15390" t="s">
        <v>228</v>
      </c>
      <c r="B15390" t="s">
        <v>255</v>
      </c>
      <c r="C15390" s="26">
        <v>0.77180000000000004</v>
      </c>
      <c r="D15390" s="26">
        <v>9.8599999999999993E-2</v>
      </c>
      <c r="E15390" s="26">
        <v>0.12959999999999999</v>
      </c>
      <c r="F15390">
        <v>152</v>
      </c>
    </row>
    <row r="15391" spans="1:6" x14ac:dyDescent="0.35">
      <c r="A15391" t="s">
        <v>228</v>
      </c>
      <c r="B15391" t="s">
        <v>256</v>
      </c>
      <c r="C15391" s="26">
        <v>0.4844</v>
      </c>
      <c r="D15391" s="26">
        <v>0.34079999999999999</v>
      </c>
      <c r="E15391" s="26">
        <v>0.17480000000000001</v>
      </c>
      <c r="F15391">
        <v>46</v>
      </c>
    </row>
    <row r="15392" spans="1:6" x14ac:dyDescent="0.35">
      <c r="A15392" s="27" t="s">
        <v>228</v>
      </c>
      <c r="B15392" s="27" t="s">
        <v>257</v>
      </c>
      <c r="C15392" s="28">
        <v>0.53</v>
      </c>
      <c r="D15392" s="28">
        <v>0.47</v>
      </c>
      <c r="E15392" s="29"/>
      <c r="F15392" s="29" t="s">
        <v>334</v>
      </c>
    </row>
    <row r="15393" spans="1:6" x14ac:dyDescent="0.35">
      <c r="A15393" t="s">
        <v>229</v>
      </c>
      <c r="B15393" t="s">
        <v>255</v>
      </c>
      <c r="C15393" s="26">
        <v>0.32929999999999998</v>
      </c>
      <c r="D15393" s="26">
        <v>0.4647</v>
      </c>
      <c r="E15393" s="26">
        <v>0.20599999999999999</v>
      </c>
      <c r="F15393">
        <v>102</v>
      </c>
    </row>
    <row r="15394" spans="1:6" x14ac:dyDescent="0.35">
      <c r="A15394" t="s">
        <v>229</v>
      </c>
      <c r="B15394" t="s">
        <v>256</v>
      </c>
      <c r="C15394" s="26">
        <v>0.62960000000000005</v>
      </c>
      <c r="D15394" s="26">
        <v>0.29780000000000001</v>
      </c>
      <c r="E15394" s="26">
        <v>7.2599999999999998E-2</v>
      </c>
      <c r="F15394">
        <v>35</v>
      </c>
    </row>
    <row r="15395" spans="1:6" x14ac:dyDescent="0.35">
      <c r="A15395" s="27" t="s">
        <v>229</v>
      </c>
      <c r="B15395" s="27" t="s">
        <v>257</v>
      </c>
      <c r="C15395" s="28">
        <v>1</v>
      </c>
      <c r="D15395" s="29"/>
      <c r="E15395" s="29"/>
      <c r="F15395" s="29" t="s">
        <v>333</v>
      </c>
    </row>
    <row r="15396" spans="1:6" x14ac:dyDescent="0.35">
      <c r="A15396" s="27" t="s">
        <v>229</v>
      </c>
      <c r="B15396" s="27" t="s">
        <v>258</v>
      </c>
      <c r="C15396" s="28">
        <v>0.22409999999999999</v>
      </c>
      <c r="D15396" s="29"/>
      <c r="E15396" s="28">
        <v>0.77590000000000003</v>
      </c>
      <c r="F15396" s="29" t="s">
        <v>314</v>
      </c>
    </row>
    <row r="15397" spans="1:6" x14ac:dyDescent="0.35">
      <c r="A15397" t="s">
        <v>230</v>
      </c>
      <c r="B15397" t="s">
        <v>255</v>
      </c>
      <c r="C15397" s="26">
        <v>0.48870000000000002</v>
      </c>
      <c r="D15397" s="26">
        <v>0.44540000000000002</v>
      </c>
      <c r="E15397" s="26">
        <v>6.59E-2</v>
      </c>
      <c r="F15397">
        <v>103</v>
      </c>
    </row>
    <row r="15398" spans="1:6" x14ac:dyDescent="0.35">
      <c r="A15398" t="s">
        <v>230</v>
      </c>
      <c r="B15398" t="s">
        <v>256</v>
      </c>
      <c r="C15398" s="26">
        <v>0.58069999999999999</v>
      </c>
      <c r="D15398" s="26">
        <v>0.3856</v>
      </c>
      <c r="E15398" s="26">
        <v>3.3599999999999998E-2</v>
      </c>
      <c r="F15398">
        <v>38</v>
      </c>
    </row>
    <row r="15399" spans="1:6" x14ac:dyDescent="0.35">
      <c r="A15399" s="27" t="s">
        <v>230</v>
      </c>
      <c r="B15399" s="27" t="s">
        <v>257</v>
      </c>
      <c r="C15399" s="28">
        <v>0.1552</v>
      </c>
      <c r="D15399" s="28">
        <v>3.1E-2</v>
      </c>
      <c r="E15399" s="28">
        <v>0.81379999999999997</v>
      </c>
      <c r="F15399" s="29" t="s">
        <v>334</v>
      </c>
    </row>
    <row r="15400" spans="1:6" x14ac:dyDescent="0.35">
      <c r="A15400" s="27" t="s">
        <v>230</v>
      </c>
      <c r="B15400" s="27" t="s">
        <v>258</v>
      </c>
      <c r="C15400" s="28">
        <v>1</v>
      </c>
      <c r="D15400" s="29"/>
      <c r="E15400" s="29"/>
      <c r="F15400" s="29" t="s">
        <v>331</v>
      </c>
    </row>
    <row r="15401" spans="1:6" x14ac:dyDescent="0.35">
      <c r="A15401" s="27" t="s">
        <v>231</v>
      </c>
      <c r="B15401" s="27" t="s">
        <v>255</v>
      </c>
      <c r="C15401" s="28">
        <v>0.33329999999999999</v>
      </c>
      <c r="D15401" s="28">
        <v>0.66669999999999996</v>
      </c>
      <c r="E15401" s="29"/>
      <c r="F15401" s="29" t="s">
        <v>315</v>
      </c>
    </row>
    <row r="15402" spans="1:6" x14ac:dyDescent="0.35">
      <c r="A15402" s="27" t="s">
        <v>231</v>
      </c>
      <c r="B15402" s="27" t="s">
        <v>257</v>
      </c>
      <c r="C15402" s="29"/>
      <c r="D15402" s="28">
        <v>1</v>
      </c>
      <c r="E15402" s="29"/>
      <c r="F15402" s="29" t="s">
        <v>331</v>
      </c>
    </row>
    <row r="15403" spans="1:6" x14ac:dyDescent="0.35">
      <c r="A15403" t="s">
        <v>232</v>
      </c>
      <c r="B15403" t="s">
        <v>232</v>
      </c>
      <c r="C15403" s="26">
        <v>0.53410000000000002</v>
      </c>
      <c r="D15403" s="26">
        <v>0.34849999999999998</v>
      </c>
      <c r="E15403" s="26">
        <v>0.1174</v>
      </c>
      <c r="F15403">
        <v>510</v>
      </c>
    </row>
    <row r="15405" spans="1:6" x14ac:dyDescent="0.35">
      <c r="A15405" s="1" t="s">
        <v>1648</v>
      </c>
    </row>
    <row r="15406" spans="1:6" x14ac:dyDescent="0.35">
      <c r="A15406" t="s">
        <v>219</v>
      </c>
      <c r="B15406" t="s">
        <v>305</v>
      </c>
      <c r="C15406" t="s">
        <v>303</v>
      </c>
      <c r="D15406" t="s">
        <v>302</v>
      </c>
      <c r="E15406" t="s">
        <v>281</v>
      </c>
      <c r="F15406" t="s">
        <v>226</v>
      </c>
    </row>
    <row r="15407" spans="1:6" x14ac:dyDescent="0.35">
      <c r="A15407" s="27" t="s">
        <v>227</v>
      </c>
      <c r="B15407" s="27" t="s">
        <v>1343</v>
      </c>
      <c r="C15407" s="28">
        <v>1</v>
      </c>
      <c r="D15407" s="29"/>
      <c r="E15407" s="29"/>
      <c r="F15407" s="29" t="s">
        <v>331</v>
      </c>
    </row>
    <row r="15408" spans="1:6" x14ac:dyDescent="0.35">
      <c r="A15408" t="s">
        <v>228</v>
      </c>
      <c r="B15408" t="s">
        <v>1341</v>
      </c>
      <c r="C15408" s="26">
        <v>0.69499999999999995</v>
      </c>
      <c r="D15408" s="26">
        <v>0.16880000000000001</v>
      </c>
      <c r="E15408" s="26">
        <v>0.1361</v>
      </c>
      <c r="F15408">
        <v>81</v>
      </c>
    </row>
    <row r="15409" spans="1:6" x14ac:dyDescent="0.35">
      <c r="A15409" t="s">
        <v>228</v>
      </c>
      <c r="B15409" t="s">
        <v>1343</v>
      </c>
      <c r="C15409" s="26">
        <v>0.67330000000000001</v>
      </c>
      <c r="D15409" s="26">
        <v>0.1933</v>
      </c>
      <c r="E15409" s="26">
        <v>0.13339999999999999</v>
      </c>
      <c r="F15409">
        <v>126</v>
      </c>
    </row>
    <row r="15410" spans="1:6" x14ac:dyDescent="0.35">
      <c r="A15410" t="s">
        <v>229</v>
      </c>
      <c r="B15410" t="s">
        <v>1341</v>
      </c>
      <c r="C15410" s="26">
        <v>0.46410000000000001</v>
      </c>
      <c r="D15410" s="26">
        <v>0.40039999999999998</v>
      </c>
      <c r="E15410" s="26">
        <v>0.1356</v>
      </c>
      <c r="F15410">
        <v>50</v>
      </c>
    </row>
    <row r="15411" spans="1:6" x14ac:dyDescent="0.35">
      <c r="A15411" t="s">
        <v>229</v>
      </c>
      <c r="B15411" t="s">
        <v>1343</v>
      </c>
      <c r="C15411" s="26">
        <v>0.48980000000000001</v>
      </c>
      <c r="D15411" s="26">
        <v>0.3629</v>
      </c>
      <c r="E15411" s="26">
        <v>0.1472</v>
      </c>
      <c r="F15411">
        <v>97</v>
      </c>
    </row>
    <row r="15412" spans="1:6" x14ac:dyDescent="0.35">
      <c r="A15412" t="s">
        <v>230</v>
      </c>
      <c r="B15412" t="s">
        <v>1341</v>
      </c>
      <c r="C15412" s="26">
        <v>0.3866</v>
      </c>
      <c r="D15412" s="26">
        <v>0.51029999999999998</v>
      </c>
      <c r="E15412" s="26">
        <v>0.1031</v>
      </c>
      <c r="F15412">
        <v>48</v>
      </c>
    </row>
    <row r="15413" spans="1:6" x14ac:dyDescent="0.35">
      <c r="A15413" t="s">
        <v>230</v>
      </c>
      <c r="B15413" t="s">
        <v>1343</v>
      </c>
      <c r="C15413" s="26">
        <v>0.5696</v>
      </c>
      <c r="D15413" s="26">
        <v>0.3448</v>
      </c>
      <c r="E15413" s="26">
        <v>8.5599999999999996E-2</v>
      </c>
      <c r="F15413">
        <v>103</v>
      </c>
    </row>
    <row r="15414" spans="1:6" x14ac:dyDescent="0.35">
      <c r="A15414" s="27" t="s">
        <v>231</v>
      </c>
      <c r="B15414" s="27" t="s">
        <v>1341</v>
      </c>
      <c r="C15414" s="28">
        <v>1</v>
      </c>
      <c r="D15414" s="29"/>
      <c r="E15414" s="29"/>
      <c r="F15414" s="29" t="s">
        <v>331</v>
      </c>
    </row>
    <row r="15415" spans="1:6" x14ac:dyDescent="0.35">
      <c r="A15415" s="27" t="s">
        <v>231</v>
      </c>
      <c r="B15415" s="27" t="s">
        <v>1343</v>
      </c>
      <c r="C15415" s="29"/>
      <c r="D15415" s="28">
        <v>1</v>
      </c>
      <c r="E15415" s="29"/>
      <c r="F15415" s="29" t="s">
        <v>315</v>
      </c>
    </row>
    <row r="15416" spans="1:6" x14ac:dyDescent="0.35">
      <c r="A15416" t="s">
        <v>232</v>
      </c>
      <c r="B15416" t="s">
        <v>232</v>
      </c>
      <c r="C15416" s="26">
        <v>0.53410000000000002</v>
      </c>
      <c r="D15416" s="26">
        <v>0.34849999999999998</v>
      </c>
      <c r="E15416" s="26">
        <v>0.1174</v>
      </c>
      <c r="F15416">
        <v>510</v>
      </c>
    </row>
    <row r="15418" spans="1:6" x14ac:dyDescent="0.35">
      <c r="A15418" s="1" t="s">
        <v>1649</v>
      </c>
    </row>
    <row r="15419" spans="1:6" x14ac:dyDescent="0.35">
      <c r="A15419" t="s">
        <v>219</v>
      </c>
      <c r="B15419" t="s">
        <v>305</v>
      </c>
      <c r="C15419" t="s">
        <v>303</v>
      </c>
      <c r="D15419" t="s">
        <v>302</v>
      </c>
      <c r="E15419" t="s">
        <v>281</v>
      </c>
      <c r="F15419" t="s">
        <v>226</v>
      </c>
    </row>
    <row r="15420" spans="1:6" x14ac:dyDescent="0.35">
      <c r="A15420" s="27" t="s">
        <v>227</v>
      </c>
      <c r="B15420" s="27" t="s">
        <v>1347</v>
      </c>
      <c r="C15420" s="28">
        <v>1</v>
      </c>
      <c r="D15420" s="29"/>
      <c r="E15420" s="29"/>
      <c r="F15420" s="29" t="s">
        <v>331</v>
      </c>
    </row>
    <row r="15421" spans="1:6" x14ac:dyDescent="0.35">
      <c r="A15421" s="27" t="s">
        <v>228</v>
      </c>
      <c r="B15421" s="27" t="s">
        <v>1345</v>
      </c>
      <c r="C15421" s="29"/>
      <c r="D15421" s="28">
        <v>0.68089999999999995</v>
      </c>
      <c r="E15421" s="28">
        <v>0.31909999999999999</v>
      </c>
      <c r="F15421" s="29" t="s">
        <v>314</v>
      </c>
    </row>
    <row r="15422" spans="1:6" x14ac:dyDescent="0.35">
      <c r="A15422" t="s">
        <v>228</v>
      </c>
      <c r="B15422" t="s">
        <v>1347</v>
      </c>
      <c r="C15422" s="26">
        <v>0.73909999999999998</v>
      </c>
      <c r="D15422" s="26">
        <v>0.21199999999999999</v>
      </c>
      <c r="E15422" s="26">
        <v>4.8899999999999999E-2</v>
      </c>
      <c r="F15422">
        <v>47</v>
      </c>
    </row>
    <row r="15423" spans="1:6" x14ac:dyDescent="0.35">
      <c r="A15423" t="s">
        <v>228</v>
      </c>
      <c r="B15423" t="s">
        <v>1348</v>
      </c>
      <c r="C15423" s="26">
        <v>0.68769999999999998</v>
      </c>
      <c r="D15423" s="26">
        <v>0.16650000000000001</v>
      </c>
      <c r="E15423" s="26">
        <v>0.14580000000000001</v>
      </c>
      <c r="F15423">
        <v>116</v>
      </c>
    </row>
    <row r="15424" spans="1:6" x14ac:dyDescent="0.35">
      <c r="A15424" t="s">
        <v>228</v>
      </c>
      <c r="B15424" t="s">
        <v>1346</v>
      </c>
      <c r="C15424" s="26">
        <v>0.63129999999999997</v>
      </c>
      <c r="D15424" s="26">
        <v>0.15</v>
      </c>
      <c r="E15424" s="26">
        <v>0.21859999999999999</v>
      </c>
      <c r="F15424">
        <v>42</v>
      </c>
    </row>
    <row r="15425" spans="1:7" x14ac:dyDescent="0.35">
      <c r="A15425" s="27" t="s">
        <v>229</v>
      </c>
      <c r="B15425" s="27" t="s">
        <v>1345</v>
      </c>
      <c r="C15425" s="28">
        <v>0.224</v>
      </c>
      <c r="D15425" s="28">
        <v>0.77600000000000002</v>
      </c>
      <c r="E15425" s="29"/>
      <c r="F15425" s="29" t="s">
        <v>339</v>
      </c>
    </row>
    <row r="15426" spans="1:7" x14ac:dyDescent="0.35">
      <c r="A15426" t="s">
        <v>229</v>
      </c>
      <c r="B15426" t="s">
        <v>1347</v>
      </c>
      <c r="C15426" s="26">
        <v>0.65249999999999997</v>
      </c>
      <c r="D15426" s="26">
        <v>0.32669999999999999</v>
      </c>
      <c r="E15426" s="26">
        <v>2.0799999999999999E-2</v>
      </c>
      <c r="F15426">
        <v>54</v>
      </c>
    </row>
    <row r="15427" spans="1:7" x14ac:dyDescent="0.35">
      <c r="A15427" t="s">
        <v>229</v>
      </c>
      <c r="B15427" t="s">
        <v>1348</v>
      </c>
      <c r="C15427" s="26">
        <v>0.43190000000000001</v>
      </c>
      <c r="D15427" s="26">
        <v>0.2616</v>
      </c>
      <c r="E15427" s="26">
        <v>0.30649999999999999</v>
      </c>
      <c r="F15427">
        <v>63</v>
      </c>
    </row>
    <row r="15428" spans="1:7" x14ac:dyDescent="0.35">
      <c r="A15428" s="27" t="s">
        <v>229</v>
      </c>
      <c r="B15428" s="27" t="s">
        <v>1346</v>
      </c>
      <c r="C15428" s="28">
        <v>0.21340000000000001</v>
      </c>
      <c r="D15428" s="28">
        <v>0.74</v>
      </c>
      <c r="E15428" s="28">
        <v>4.6699999999999998E-2</v>
      </c>
      <c r="F15428" s="29" t="s">
        <v>328</v>
      </c>
    </row>
    <row r="15429" spans="1:7" x14ac:dyDescent="0.35">
      <c r="A15429" s="27" t="s">
        <v>230</v>
      </c>
      <c r="B15429" s="27" t="s">
        <v>1345</v>
      </c>
      <c r="C15429" s="29"/>
      <c r="D15429" s="28">
        <v>1</v>
      </c>
      <c r="E15429" s="29"/>
      <c r="F15429" s="29" t="s">
        <v>331</v>
      </c>
    </row>
    <row r="15430" spans="1:7" x14ac:dyDescent="0.35">
      <c r="A15430" t="s">
        <v>230</v>
      </c>
      <c r="B15430" t="s">
        <v>1347</v>
      </c>
      <c r="C15430" s="26">
        <v>0.4945</v>
      </c>
      <c r="D15430" s="26">
        <v>0.3594</v>
      </c>
      <c r="E15430" s="26">
        <v>0.14610000000000001</v>
      </c>
      <c r="F15430">
        <v>43</v>
      </c>
    </row>
    <row r="15431" spans="1:7" x14ac:dyDescent="0.35">
      <c r="A15431" t="s">
        <v>230</v>
      </c>
      <c r="B15431" t="s">
        <v>1348</v>
      </c>
      <c r="C15431" s="26">
        <v>0.48110000000000003</v>
      </c>
      <c r="D15431" s="26">
        <v>0.49630000000000002</v>
      </c>
      <c r="E15431" s="26">
        <v>2.2599999999999999E-2</v>
      </c>
      <c r="F15431">
        <v>70</v>
      </c>
    </row>
    <row r="15432" spans="1:7" x14ac:dyDescent="0.35">
      <c r="A15432" t="s">
        <v>230</v>
      </c>
      <c r="B15432" t="s">
        <v>1346</v>
      </c>
      <c r="C15432" s="26">
        <v>0.62760000000000005</v>
      </c>
      <c r="D15432" s="26">
        <v>0.2074</v>
      </c>
      <c r="E15432" s="26">
        <v>0.16500000000000001</v>
      </c>
      <c r="F15432">
        <v>37</v>
      </c>
    </row>
    <row r="15433" spans="1:7" x14ac:dyDescent="0.35">
      <c r="A15433" s="27" t="s">
        <v>231</v>
      </c>
      <c r="B15433" s="27" t="s">
        <v>1345</v>
      </c>
      <c r="C15433" s="28">
        <v>1</v>
      </c>
      <c r="D15433" s="29"/>
      <c r="E15433" s="29"/>
      <c r="F15433" s="29" t="s">
        <v>331</v>
      </c>
    </row>
    <row r="15434" spans="1:7" x14ac:dyDescent="0.35">
      <c r="A15434" s="27" t="s">
        <v>231</v>
      </c>
      <c r="B15434" s="27" t="s">
        <v>1348</v>
      </c>
      <c r="C15434" s="29"/>
      <c r="D15434" s="28">
        <v>1</v>
      </c>
      <c r="E15434" s="29"/>
      <c r="F15434" s="29" t="s">
        <v>315</v>
      </c>
    </row>
    <row r="15435" spans="1:7" x14ac:dyDescent="0.35">
      <c r="A15435" t="s">
        <v>232</v>
      </c>
      <c r="B15435" t="s">
        <v>232</v>
      </c>
      <c r="C15435" s="26">
        <v>0.53410000000000002</v>
      </c>
      <c r="D15435" s="26">
        <v>0.34849999999999998</v>
      </c>
      <c r="E15435" s="26">
        <v>0.1174</v>
      </c>
      <c r="F15435">
        <v>510</v>
      </c>
    </row>
    <row r="15437" spans="1:7" x14ac:dyDescent="0.35">
      <c r="A15437" s="1" t="s">
        <v>1650</v>
      </c>
    </row>
    <row r="15438" spans="1:7" x14ac:dyDescent="0.35">
      <c r="A15438" t="s">
        <v>219</v>
      </c>
      <c r="B15438" t="s">
        <v>305</v>
      </c>
      <c r="C15438" t="s">
        <v>345</v>
      </c>
      <c r="D15438" t="s">
        <v>303</v>
      </c>
      <c r="E15438" t="s">
        <v>302</v>
      </c>
      <c r="F15438" t="s">
        <v>281</v>
      </c>
      <c r="G15438" t="s">
        <v>226</v>
      </c>
    </row>
    <row r="15439" spans="1:7" x14ac:dyDescent="0.35">
      <c r="A15439" s="27" t="s">
        <v>227</v>
      </c>
      <c r="B15439" s="27" t="s">
        <v>1343</v>
      </c>
      <c r="C15439" s="27" t="s">
        <v>1347</v>
      </c>
      <c r="D15439" s="28">
        <v>1</v>
      </c>
      <c r="E15439" s="29"/>
      <c r="F15439" s="29"/>
      <c r="G15439" s="29" t="s">
        <v>331</v>
      </c>
    </row>
    <row r="15440" spans="1:7" x14ac:dyDescent="0.35">
      <c r="A15440" s="27" t="s">
        <v>228</v>
      </c>
      <c r="B15440" s="27" t="s">
        <v>1341</v>
      </c>
      <c r="C15440" s="27" t="s">
        <v>1345</v>
      </c>
      <c r="D15440" s="29"/>
      <c r="E15440" s="28">
        <v>1</v>
      </c>
      <c r="F15440" s="29"/>
      <c r="G15440" s="29" t="s">
        <v>331</v>
      </c>
    </row>
    <row r="15441" spans="1:7" x14ac:dyDescent="0.35">
      <c r="A15441" t="s">
        <v>228</v>
      </c>
      <c r="B15441" t="s">
        <v>1343</v>
      </c>
      <c r="C15441" t="s">
        <v>1348</v>
      </c>
      <c r="D15441" s="26">
        <v>0.64829999999999999</v>
      </c>
      <c r="E15441" s="26">
        <v>0.19719999999999999</v>
      </c>
      <c r="F15441" s="26">
        <v>0.1545</v>
      </c>
      <c r="G15441">
        <v>65</v>
      </c>
    </row>
    <row r="15442" spans="1:7" x14ac:dyDescent="0.35">
      <c r="A15442" s="27" t="s">
        <v>228</v>
      </c>
      <c r="B15442" s="27" t="s">
        <v>1343</v>
      </c>
      <c r="C15442" s="27" t="s">
        <v>1347</v>
      </c>
      <c r="D15442" s="28">
        <v>0.71879999999999999</v>
      </c>
      <c r="E15442" s="28">
        <v>0.2399</v>
      </c>
      <c r="F15442" s="28">
        <v>4.1300000000000003E-2</v>
      </c>
      <c r="G15442" s="29" t="s">
        <v>357</v>
      </c>
    </row>
    <row r="15443" spans="1:7" x14ac:dyDescent="0.35">
      <c r="A15443" s="27" t="s">
        <v>228</v>
      </c>
      <c r="B15443" s="27" t="s">
        <v>1343</v>
      </c>
      <c r="C15443" s="27" t="s">
        <v>1345</v>
      </c>
      <c r="D15443" s="29"/>
      <c r="E15443" s="29"/>
      <c r="F15443" s="28">
        <v>1</v>
      </c>
      <c r="G15443" s="29" t="s">
        <v>331</v>
      </c>
    </row>
    <row r="15444" spans="1:7" x14ac:dyDescent="0.35">
      <c r="A15444" s="27" t="s">
        <v>228</v>
      </c>
      <c r="B15444" s="27" t="s">
        <v>1341</v>
      </c>
      <c r="C15444" s="27" t="s">
        <v>1346</v>
      </c>
      <c r="D15444" s="28">
        <v>0.34760000000000002</v>
      </c>
      <c r="E15444" s="28">
        <v>0.21210000000000001</v>
      </c>
      <c r="F15444" s="28">
        <v>0.44030000000000002</v>
      </c>
      <c r="G15444" s="29" t="s">
        <v>333</v>
      </c>
    </row>
    <row r="15445" spans="1:7" x14ac:dyDescent="0.35">
      <c r="A15445" t="s">
        <v>228</v>
      </c>
      <c r="B15445" t="s">
        <v>1341</v>
      </c>
      <c r="C15445" t="s">
        <v>1348</v>
      </c>
      <c r="D15445" s="26">
        <v>0.72050000000000003</v>
      </c>
      <c r="E15445" s="26">
        <v>0.14099999999999999</v>
      </c>
      <c r="F15445" s="26">
        <v>0.13850000000000001</v>
      </c>
      <c r="G15445">
        <v>51</v>
      </c>
    </row>
    <row r="15446" spans="1:7" x14ac:dyDescent="0.35">
      <c r="A15446" t="s">
        <v>228</v>
      </c>
      <c r="B15446" t="s">
        <v>1343</v>
      </c>
      <c r="C15446" t="s">
        <v>1346</v>
      </c>
      <c r="D15446" s="26">
        <v>0.69199999999999995</v>
      </c>
      <c r="E15446" s="26">
        <v>0.1368</v>
      </c>
      <c r="F15446" s="26">
        <v>0.17130000000000001</v>
      </c>
      <c r="G15446">
        <v>34</v>
      </c>
    </row>
    <row r="15447" spans="1:7" x14ac:dyDescent="0.35">
      <c r="A15447" s="27" t="s">
        <v>228</v>
      </c>
      <c r="B15447" s="27" t="s">
        <v>1341</v>
      </c>
      <c r="C15447" s="27" t="s">
        <v>1347</v>
      </c>
      <c r="D15447" s="28">
        <v>0.76870000000000005</v>
      </c>
      <c r="E15447" s="28">
        <v>0.17130000000000001</v>
      </c>
      <c r="F15447" s="28">
        <v>0.06</v>
      </c>
      <c r="G15447" s="29" t="s">
        <v>351</v>
      </c>
    </row>
    <row r="15448" spans="1:7" x14ac:dyDescent="0.35">
      <c r="A15448" s="27" t="s">
        <v>229</v>
      </c>
      <c r="B15448" s="27" t="s">
        <v>1341</v>
      </c>
      <c r="C15448" s="27" t="s">
        <v>1347</v>
      </c>
      <c r="D15448" s="28">
        <v>0.60270000000000001</v>
      </c>
      <c r="E15448" s="28">
        <v>0.33639999999999998</v>
      </c>
      <c r="F15448" s="28">
        <v>6.0900000000000003E-2</v>
      </c>
      <c r="G15448" s="29" t="s">
        <v>351</v>
      </c>
    </row>
    <row r="15449" spans="1:7" x14ac:dyDescent="0.35">
      <c r="A15449" s="27" t="s">
        <v>229</v>
      </c>
      <c r="B15449" s="27" t="s">
        <v>1341</v>
      </c>
      <c r="C15449" s="27" t="s">
        <v>1346</v>
      </c>
      <c r="D15449" s="28">
        <v>0.61880000000000002</v>
      </c>
      <c r="E15449" s="28">
        <v>0.38119999999999998</v>
      </c>
      <c r="F15449" s="29"/>
      <c r="G15449" s="29" t="s">
        <v>339</v>
      </c>
    </row>
    <row r="15450" spans="1:7" x14ac:dyDescent="0.35">
      <c r="A15450" s="27" t="s">
        <v>229</v>
      </c>
      <c r="B15450" s="27" t="s">
        <v>1343</v>
      </c>
      <c r="C15450" s="27" t="s">
        <v>1345</v>
      </c>
      <c r="D15450" s="28">
        <v>0.10680000000000001</v>
      </c>
      <c r="E15450" s="28">
        <v>0.89319999999999999</v>
      </c>
      <c r="F15450" s="29"/>
      <c r="G15450" s="29" t="s">
        <v>337</v>
      </c>
    </row>
    <row r="15451" spans="1:7" x14ac:dyDescent="0.35">
      <c r="A15451" s="27" t="s">
        <v>229</v>
      </c>
      <c r="B15451" s="27" t="s">
        <v>1341</v>
      </c>
      <c r="C15451" s="27" t="s">
        <v>1345</v>
      </c>
      <c r="D15451" s="28">
        <v>1</v>
      </c>
      <c r="E15451" s="29"/>
      <c r="F15451" s="29"/>
      <c r="G15451" s="29" t="s">
        <v>315</v>
      </c>
    </row>
    <row r="15452" spans="1:7" x14ac:dyDescent="0.35">
      <c r="A15452" s="27" t="s">
        <v>229</v>
      </c>
      <c r="B15452" s="27" t="s">
        <v>1341</v>
      </c>
      <c r="C15452" s="27" t="s">
        <v>1348</v>
      </c>
      <c r="D15452" s="28">
        <v>0.28749999999999998</v>
      </c>
      <c r="E15452" s="28">
        <v>0.48480000000000001</v>
      </c>
      <c r="F15452" s="28">
        <v>0.22770000000000001</v>
      </c>
      <c r="G15452" s="29" t="s">
        <v>349</v>
      </c>
    </row>
    <row r="15453" spans="1:7" x14ac:dyDescent="0.35">
      <c r="A15453" t="s">
        <v>229</v>
      </c>
      <c r="B15453" t="s">
        <v>1343</v>
      </c>
      <c r="C15453" t="s">
        <v>1347</v>
      </c>
      <c r="D15453" s="26">
        <v>0.67830000000000001</v>
      </c>
      <c r="E15453" s="26">
        <v>0.32169999999999999</v>
      </c>
      <c r="G15453">
        <v>33</v>
      </c>
    </row>
    <row r="15454" spans="1:7" x14ac:dyDescent="0.35">
      <c r="A15454" s="27" t="s">
        <v>229</v>
      </c>
      <c r="B15454" s="27" t="s">
        <v>1343</v>
      </c>
      <c r="C15454" s="27" t="s">
        <v>1346</v>
      </c>
      <c r="D15454" s="28">
        <v>0.156</v>
      </c>
      <c r="E15454" s="28">
        <v>0.79079999999999995</v>
      </c>
      <c r="F15454" s="28">
        <v>5.33E-2</v>
      </c>
      <c r="G15454" s="29" t="s">
        <v>348</v>
      </c>
    </row>
    <row r="15455" spans="1:7" x14ac:dyDescent="0.35">
      <c r="A15455" t="s">
        <v>229</v>
      </c>
      <c r="B15455" t="s">
        <v>1343</v>
      </c>
      <c r="C15455" t="s">
        <v>1348</v>
      </c>
      <c r="D15455" s="26">
        <v>0.50570000000000004</v>
      </c>
      <c r="E15455" s="26">
        <v>0.14760000000000001</v>
      </c>
      <c r="F15455" s="26">
        <v>0.34670000000000001</v>
      </c>
      <c r="G15455">
        <v>44</v>
      </c>
    </row>
    <row r="15456" spans="1:7" x14ac:dyDescent="0.35">
      <c r="A15456" s="27" t="s">
        <v>230</v>
      </c>
      <c r="B15456" s="27" t="s">
        <v>1341</v>
      </c>
      <c r="C15456" s="27" t="s">
        <v>1348</v>
      </c>
      <c r="D15456" s="28">
        <v>0.4017</v>
      </c>
      <c r="E15456" s="28">
        <v>0.55589999999999995</v>
      </c>
      <c r="F15456" s="28">
        <v>4.2299999999999997E-2</v>
      </c>
      <c r="G15456" s="29" t="s">
        <v>328</v>
      </c>
    </row>
    <row r="15457" spans="1:7" x14ac:dyDescent="0.35">
      <c r="A15457" s="27" t="s">
        <v>230</v>
      </c>
      <c r="B15457" s="27" t="s">
        <v>1341</v>
      </c>
      <c r="C15457" s="27" t="s">
        <v>1346</v>
      </c>
      <c r="D15457" s="28">
        <v>0.37780000000000002</v>
      </c>
      <c r="E15457" s="28">
        <v>0.33529999999999999</v>
      </c>
      <c r="F15457" s="28">
        <v>0.28689999999999999</v>
      </c>
      <c r="G15457" s="29" t="s">
        <v>333</v>
      </c>
    </row>
    <row r="15458" spans="1:7" x14ac:dyDescent="0.35">
      <c r="A15458" s="27" t="s">
        <v>230</v>
      </c>
      <c r="B15458" s="27" t="s">
        <v>1343</v>
      </c>
      <c r="C15458" s="27" t="s">
        <v>1346</v>
      </c>
      <c r="D15458" s="28">
        <v>0.90059999999999996</v>
      </c>
      <c r="E15458" s="28">
        <v>6.7599999999999993E-2</v>
      </c>
      <c r="F15458" s="28">
        <v>3.1800000000000002E-2</v>
      </c>
      <c r="G15458" s="29" t="s">
        <v>329</v>
      </c>
    </row>
    <row r="15459" spans="1:7" x14ac:dyDescent="0.35">
      <c r="A15459" s="27" t="s">
        <v>230</v>
      </c>
      <c r="B15459" s="27" t="s">
        <v>1341</v>
      </c>
      <c r="C15459" s="27" t="s">
        <v>1347</v>
      </c>
      <c r="D15459" s="28">
        <v>0.46650000000000003</v>
      </c>
      <c r="E15459" s="28">
        <v>0.49659999999999999</v>
      </c>
      <c r="F15459" s="28">
        <v>3.6900000000000002E-2</v>
      </c>
      <c r="G15459" s="29" t="s">
        <v>348</v>
      </c>
    </row>
    <row r="15460" spans="1:7" x14ac:dyDescent="0.35">
      <c r="A15460" s="27" t="s">
        <v>230</v>
      </c>
      <c r="B15460" s="27" t="s">
        <v>1343</v>
      </c>
      <c r="C15460" s="27" t="s">
        <v>1347</v>
      </c>
      <c r="D15460" s="28">
        <v>0.51170000000000004</v>
      </c>
      <c r="E15460" s="28">
        <v>0.2752</v>
      </c>
      <c r="F15460" s="28">
        <v>0.21310000000000001</v>
      </c>
      <c r="G15460" s="29" t="s">
        <v>338</v>
      </c>
    </row>
    <row r="15461" spans="1:7" x14ac:dyDescent="0.35">
      <c r="A15461" t="s">
        <v>230</v>
      </c>
      <c r="B15461" t="s">
        <v>1343</v>
      </c>
      <c r="C15461" t="s">
        <v>1348</v>
      </c>
      <c r="D15461" s="26">
        <v>0.51049999999999995</v>
      </c>
      <c r="E15461" s="26">
        <v>0.47420000000000001</v>
      </c>
      <c r="F15461" s="26">
        <v>1.5299999999999999E-2</v>
      </c>
      <c r="G15461">
        <v>47</v>
      </c>
    </row>
    <row r="15462" spans="1:7" x14ac:dyDescent="0.35">
      <c r="A15462" s="27" t="s">
        <v>230</v>
      </c>
      <c r="B15462" s="27" t="s">
        <v>1341</v>
      </c>
      <c r="C15462" s="27" t="s">
        <v>1345</v>
      </c>
      <c r="D15462" s="29"/>
      <c r="E15462" s="28">
        <v>1</v>
      </c>
      <c r="F15462" s="29"/>
      <c r="G15462" s="29" t="s">
        <v>331</v>
      </c>
    </row>
    <row r="15463" spans="1:7" x14ac:dyDescent="0.35">
      <c r="A15463" s="27" t="s">
        <v>231</v>
      </c>
      <c r="B15463" s="27" t="s">
        <v>1341</v>
      </c>
      <c r="C15463" s="27" t="s">
        <v>1345</v>
      </c>
      <c r="D15463" s="28">
        <v>1</v>
      </c>
      <c r="E15463" s="29"/>
      <c r="F15463" s="29"/>
      <c r="G15463" s="29" t="s">
        <v>331</v>
      </c>
    </row>
    <row r="15464" spans="1:7" x14ac:dyDescent="0.35">
      <c r="A15464" s="27" t="s">
        <v>231</v>
      </c>
      <c r="B15464" s="27" t="s">
        <v>1343</v>
      </c>
      <c r="C15464" s="27" t="s">
        <v>1348</v>
      </c>
      <c r="D15464" s="29"/>
      <c r="E15464" s="28">
        <v>1</v>
      </c>
      <c r="F15464" s="29"/>
      <c r="G15464" s="29" t="s">
        <v>315</v>
      </c>
    </row>
    <row r="15465" spans="1:7" x14ac:dyDescent="0.35">
      <c r="A15465" t="s">
        <v>232</v>
      </c>
      <c r="B15465" t="s">
        <v>232</v>
      </c>
      <c r="C15465" t="s">
        <v>232</v>
      </c>
      <c r="D15465" s="26">
        <v>0.53410000000000002</v>
      </c>
      <c r="E15465" s="26">
        <v>0.34849999999999998</v>
      </c>
      <c r="F15465" s="26">
        <v>0.1174</v>
      </c>
      <c r="G15465">
        <v>510</v>
      </c>
    </row>
    <row r="15467" spans="1:7" x14ac:dyDescent="0.35">
      <c r="A15467" s="1" t="s">
        <v>1651</v>
      </c>
    </row>
    <row r="15468" spans="1:7" x14ac:dyDescent="0.35">
      <c r="A15468" t="s">
        <v>219</v>
      </c>
      <c r="B15468" t="s">
        <v>534</v>
      </c>
      <c r="C15468" t="s">
        <v>535</v>
      </c>
      <c r="D15468" t="s">
        <v>536</v>
      </c>
      <c r="E15468" t="s">
        <v>537</v>
      </c>
      <c r="F15468" t="s">
        <v>226</v>
      </c>
    </row>
    <row r="15469" spans="1:7" x14ac:dyDescent="0.35">
      <c r="A15469" t="s">
        <v>227</v>
      </c>
      <c r="B15469">
        <v>1.79</v>
      </c>
      <c r="C15469">
        <v>0</v>
      </c>
      <c r="D15469">
        <v>0</v>
      </c>
      <c r="E15469">
        <v>20</v>
      </c>
      <c r="F15469">
        <v>156</v>
      </c>
    </row>
    <row r="15470" spans="1:7" x14ac:dyDescent="0.35">
      <c r="A15470" t="s">
        <v>228</v>
      </c>
      <c r="B15470">
        <v>2.0499999999999998</v>
      </c>
      <c r="C15470">
        <v>0</v>
      </c>
      <c r="D15470">
        <v>0</v>
      </c>
      <c r="E15470">
        <v>24</v>
      </c>
      <c r="F15470">
        <v>1019</v>
      </c>
    </row>
    <row r="15471" spans="1:7" x14ac:dyDescent="0.35">
      <c r="A15471" t="s">
        <v>229</v>
      </c>
      <c r="B15471">
        <v>1.54</v>
      </c>
      <c r="C15471">
        <v>0</v>
      </c>
      <c r="D15471">
        <v>0</v>
      </c>
      <c r="E15471">
        <v>20</v>
      </c>
      <c r="F15471">
        <v>884</v>
      </c>
    </row>
    <row r="15472" spans="1:7" x14ac:dyDescent="0.35">
      <c r="A15472" t="s">
        <v>230</v>
      </c>
      <c r="B15472">
        <v>1.81</v>
      </c>
      <c r="C15472">
        <v>0</v>
      </c>
      <c r="D15472">
        <v>0</v>
      </c>
      <c r="E15472">
        <v>20</v>
      </c>
      <c r="F15472">
        <v>555</v>
      </c>
    </row>
    <row r="15473" spans="1:7" x14ac:dyDescent="0.35">
      <c r="A15473" t="s">
        <v>231</v>
      </c>
      <c r="B15473">
        <v>1.37</v>
      </c>
      <c r="C15473">
        <v>0</v>
      </c>
      <c r="D15473">
        <v>0</v>
      </c>
      <c r="E15473">
        <v>20</v>
      </c>
      <c r="F15473">
        <v>158</v>
      </c>
    </row>
    <row r="15474" spans="1:7" x14ac:dyDescent="0.35">
      <c r="A15474" t="s">
        <v>232</v>
      </c>
      <c r="B15474">
        <v>1.66</v>
      </c>
      <c r="C15474">
        <v>0</v>
      </c>
      <c r="D15474">
        <v>0</v>
      </c>
      <c r="E15474">
        <v>24</v>
      </c>
      <c r="F15474">
        <v>2772</v>
      </c>
    </row>
    <row r="15476" spans="1:7" x14ac:dyDescent="0.35">
      <c r="A15476" s="1" t="s">
        <v>1652</v>
      </c>
    </row>
    <row r="15477" spans="1:7" x14ac:dyDescent="0.35">
      <c r="A15477" t="s">
        <v>219</v>
      </c>
      <c r="B15477" t="s">
        <v>305</v>
      </c>
      <c r="C15477" t="s">
        <v>534</v>
      </c>
      <c r="D15477" t="s">
        <v>535</v>
      </c>
      <c r="E15477" t="s">
        <v>536</v>
      </c>
      <c r="F15477" t="s">
        <v>537</v>
      </c>
      <c r="G15477" t="s">
        <v>226</v>
      </c>
    </row>
    <row r="15478" spans="1:7" x14ac:dyDescent="0.35">
      <c r="A15478" t="s">
        <v>227</v>
      </c>
      <c r="B15478" t="s">
        <v>242</v>
      </c>
      <c r="C15478">
        <v>1.31</v>
      </c>
      <c r="D15478">
        <v>0</v>
      </c>
      <c r="E15478">
        <v>0</v>
      </c>
      <c r="F15478">
        <v>20</v>
      </c>
      <c r="G15478">
        <v>67</v>
      </c>
    </row>
    <row r="15479" spans="1:7" x14ac:dyDescent="0.35">
      <c r="A15479" t="s">
        <v>227</v>
      </c>
      <c r="B15479" t="s">
        <v>241</v>
      </c>
      <c r="C15479">
        <v>2.15</v>
      </c>
      <c r="D15479">
        <v>1</v>
      </c>
      <c r="E15479">
        <v>0</v>
      </c>
      <c r="F15479">
        <v>15</v>
      </c>
      <c r="G15479">
        <v>89</v>
      </c>
    </row>
    <row r="15480" spans="1:7" x14ac:dyDescent="0.35">
      <c r="A15480" t="s">
        <v>228</v>
      </c>
      <c r="B15480" t="s">
        <v>242</v>
      </c>
      <c r="C15480">
        <v>2.0299999999999998</v>
      </c>
      <c r="D15480">
        <v>0</v>
      </c>
      <c r="E15480">
        <v>0</v>
      </c>
      <c r="F15480">
        <v>24</v>
      </c>
      <c r="G15480">
        <v>399</v>
      </c>
    </row>
    <row r="15481" spans="1:7" x14ac:dyDescent="0.35">
      <c r="A15481" t="s">
        <v>228</v>
      </c>
      <c r="B15481" t="s">
        <v>241</v>
      </c>
      <c r="C15481">
        <v>2.06</v>
      </c>
      <c r="D15481">
        <v>1</v>
      </c>
      <c r="E15481">
        <v>0</v>
      </c>
      <c r="F15481">
        <v>20</v>
      </c>
      <c r="G15481">
        <v>620</v>
      </c>
    </row>
    <row r="15482" spans="1:7" x14ac:dyDescent="0.35">
      <c r="A15482" t="s">
        <v>229</v>
      </c>
      <c r="B15482" t="s">
        <v>242</v>
      </c>
      <c r="C15482">
        <v>1.49</v>
      </c>
      <c r="D15482">
        <v>0</v>
      </c>
      <c r="E15482">
        <v>0</v>
      </c>
      <c r="F15482">
        <v>20</v>
      </c>
      <c r="G15482">
        <v>290</v>
      </c>
    </row>
    <row r="15483" spans="1:7" x14ac:dyDescent="0.35">
      <c r="A15483" t="s">
        <v>229</v>
      </c>
      <c r="B15483" t="s">
        <v>241</v>
      </c>
      <c r="C15483">
        <v>1.57</v>
      </c>
      <c r="D15483">
        <v>0</v>
      </c>
      <c r="E15483">
        <v>0</v>
      </c>
      <c r="F15483">
        <v>20</v>
      </c>
      <c r="G15483">
        <v>594</v>
      </c>
    </row>
    <row r="15484" spans="1:7" x14ac:dyDescent="0.35">
      <c r="A15484" t="s">
        <v>230</v>
      </c>
      <c r="B15484" t="s">
        <v>242</v>
      </c>
      <c r="C15484">
        <v>2.13</v>
      </c>
      <c r="D15484">
        <v>0</v>
      </c>
      <c r="E15484">
        <v>0</v>
      </c>
      <c r="F15484">
        <v>20</v>
      </c>
      <c r="G15484">
        <v>186</v>
      </c>
    </row>
    <row r="15485" spans="1:7" x14ac:dyDescent="0.35">
      <c r="A15485" t="s">
        <v>230</v>
      </c>
      <c r="B15485" t="s">
        <v>241</v>
      </c>
      <c r="C15485">
        <v>1.65</v>
      </c>
      <c r="D15485">
        <v>0</v>
      </c>
      <c r="E15485">
        <v>0</v>
      </c>
      <c r="F15485">
        <v>20</v>
      </c>
      <c r="G15485">
        <v>369</v>
      </c>
    </row>
    <row r="15486" spans="1:7" x14ac:dyDescent="0.35">
      <c r="A15486" t="s">
        <v>231</v>
      </c>
      <c r="B15486" t="s">
        <v>242</v>
      </c>
      <c r="C15486">
        <v>0.79</v>
      </c>
      <c r="D15486">
        <v>0</v>
      </c>
      <c r="E15486">
        <v>0</v>
      </c>
      <c r="F15486">
        <v>10</v>
      </c>
      <c r="G15486">
        <v>52</v>
      </c>
    </row>
    <row r="15487" spans="1:7" x14ac:dyDescent="0.35">
      <c r="A15487" t="s">
        <v>231</v>
      </c>
      <c r="B15487" t="s">
        <v>241</v>
      </c>
      <c r="C15487">
        <v>1.65</v>
      </c>
      <c r="D15487">
        <v>0</v>
      </c>
      <c r="E15487">
        <v>0</v>
      </c>
      <c r="F15487">
        <v>20</v>
      </c>
      <c r="G15487">
        <v>106</v>
      </c>
    </row>
    <row r="15488" spans="1:7" x14ac:dyDescent="0.35">
      <c r="A15488" t="s">
        <v>232</v>
      </c>
      <c r="B15488" t="s">
        <v>232</v>
      </c>
      <c r="C15488">
        <v>1.66</v>
      </c>
      <c r="D15488">
        <v>0</v>
      </c>
      <c r="E15488">
        <v>0</v>
      </c>
      <c r="F15488">
        <v>24</v>
      </c>
      <c r="G15488">
        <v>2772</v>
      </c>
    </row>
    <row r="15490" spans="1:7" x14ac:dyDescent="0.35">
      <c r="A15490" s="1" t="s">
        <v>1653</v>
      </c>
    </row>
    <row r="15491" spans="1:7" x14ac:dyDescent="0.35">
      <c r="A15491" t="s">
        <v>219</v>
      </c>
      <c r="B15491" t="s">
        <v>305</v>
      </c>
      <c r="C15491" t="s">
        <v>534</v>
      </c>
      <c r="D15491" t="s">
        <v>535</v>
      </c>
      <c r="E15491" t="s">
        <v>536</v>
      </c>
      <c r="F15491" t="s">
        <v>537</v>
      </c>
      <c r="G15491" t="s">
        <v>226</v>
      </c>
    </row>
    <row r="15492" spans="1:7" x14ac:dyDescent="0.35">
      <c r="A15492" t="s">
        <v>227</v>
      </c>
      <c r="B15492" t="s">
        <v>239</v>
      </c>
      <c r="C15492">
        <v>1.93</v>
      </c>
      <c r="D15492">
        <v>0</v>
      </c>
      <c r="E15492">
        <v>0</v>
      </c>
      <c r="F15492">
        <v>20</v>
      </c>
      <c r="G15492">
        <v>59</v>
      </c>
    </row>
    <row r="15493" spans="1:7" x14ac:dyDescent="0.35">
      <c r="A15493" t="s">
        <v>227</v>
      </c>
      <c r="B15493" t="s">
        <v>238</v>
      </c>
      <c r="C15493">
        <v>1.7</v>
      </c>
      <c r="D15493">
        <v>0</v>
      </c>
      <c r="E15493">
        <v>0</v>
      </c>
      <c r="F15493">
        <v>12</v>
      </c>
      <c r="G15493">
        <v>97</v>
      </c>
    </row>
    <row r="15494" spans="1:7" x14ac:dyDescent="0.35">
      <c r="A15494" t="s">
        <v>228</v>
      </c>
      <c r="B15494" t="s">
        <v>239</v>
      </c>
      <c r="C15494">
        <v>1.59</v>
      </c>
      <c r="D15494">
        <v>0</v>
      </c>
      <c r="E15494">
        <v>0</v>
      </c>
      <c r="F15494">
        <v>20</v>
      </c>
      <c r="G15494">
        <v>325</v>
      </c>
    </row>
    <row r="15495" spans="1:7" x14ac:dyDescent="0.35">
      <c r="A15495" t="s">
        <v>228</v>
      </c>
      <c r="B15495" t="s">
        <v>238</v>
      </c>
      <c r="C15495">
        <v>2.17</v>
      </c>
      <c r="D15495">
        <v>0</v>
      </c>
      <c r="E15495">
        <v>0</v>
      </c>
      <c r="F15495">
        <v>24</v>
      </c>
      <c r="G15495">
        <v>694</v>
      </c>
    </row>
    <row r="15496" spans="1:7" x14ac:dyDescent="0.35">
      <c r="A15496" t="s">
        <v>229</v>
      </c>
      <c r="B15496" t="s">
        <v>239</v>
      </c>
      <c r="C15496">
        <v>1.36</v>
      </c>
      <c r="D15496">
        <v>0</v>
      </c>
      <c r="E15496">
        <v>0</v>
      </c>
      <c r="F15496">
        <v>20</v>
      </c>
      <c r="G15496">
        <v>327</v>
      </c>
    </row>
    <row r="15497" spans="1:7" x14ac:dyDescent="0.35">
      <c r="A15497" t="s">
        <v>229</v>
      </c>
      <c r="B15497" t="s">
        <v>238</v>
      </c>
      <c r="C15497">
        <v>1.6</v>
      </c>
      <c r="D15497">
        <v>0</v>
      </c>
      <c r="E15497">
        <v>0</v>
      </c>
      <c r="F15497">
        <v>20</v>
      </c>
      <c r="G15497">
        <v>557</v>
      </c>
    </row>
    <row r="15498" spans="1:7" x14ac:dyDescent="0.35">
      <c r="A15498" t="s">
        <v>230</v>
      </c>
      <c r="B15498" t="s">
        <v>239</v>
      </c>
      <c r="C15498">
        <v>2.4900000000000002</v>
      </c>
      <c r="D15498">
        <v>1</v>
      </c>
      <c r="E15498">
        <v>0</v>
      </c>
      <c r="F15498">
        <v>20</v>
      </c>
      <c r="G15498">
        <v>209</v>
      </c>
    </row>
    <row r="15499" spans="1:7" x14ac:dyDescent="0.35">
      <c r="A15499" t="s">
        <v>230</v>
      </c>
      <c r="B15499" t="s">
        <v>238</v>
      </c>
      <c r="C15499">
        <v>1.52</v>
      </c>
      <c r="D15499">
        <v>0</v>
      </c>
      <c r="E15499">
        <v>0</v>
      </c>
      <c r="F15499">
        <v>20</v>
      </c>
      <c r="G15499">
        <v>346</v>
      </c>
    </row>
    <row r="15500" spans="1:7" x14ac:dyDescent="0.35">
      <c r="A15500" t="s">
        <v>231</v>
      </c>
      <c r="B15500" t="s">
        <v>239</v>
      </c>
      <c r="C15500">
        <v>1.29</v>
      </c>
      <c r="D15500">
        <v>0</v>
      </c>
      <c r="E15500">
        <v>0</v>
      </c>
      <c r="F15500">
        <v>20</v>
      </c>
      <c r="G15500">
        <v>55</v>
      </c>
    </row>
    <row r="15501" spans="1:7" x14ac:dyDescent="0.35">
      <c r="A15501" t="s">
        <v>231</v>
      </c>
      <c r="B15501" t="s">
        <v>238</v>
      </c>
      <c r="C15501">
        <v>1.41</v>
      </c>
      <c r="D15501">
        <v>0</v>
      </c>
      <c r="E15501">
        <v>0</v>
      </c>
      <c r="F15501">
        <v>20</v>
      </c>
      <c r="G15501">
        <v>103</v>
      </c>
    </row>
    <row r="15502" spans="1:7" x14ac:dyDescent="0.35">
      <c r="A15502" t="s">
        <v>232</v>
      </c>
      <c r="B15502" t="s">
        <v>232</v>
      </c>
      <c r="C15502">
        <v>1.66</v>
      </c>
      <c r="D15502">
        <v>0</v>
      </c>
      <c r="E15502">
        <v>0</v>
      </c>
      <c r="F15502">
        <v>24</v>
      </c>
      <c r="G15502">
        <v>2772</v>
      </c>
    </row>
    <row r="15504" spans="1:7" x14ac:dyDescent="0.35">
      <c r="A15504" s="1" t="s">
        <v>1654</v>
      </c>
    </row>
    <row r="15505" spans="1:7" x14ac:dyDescent="0.35">
      <c r="A15505" t="s">
        <v>219</v>
      </c>
      <c r="B15505" t="s">
        <v>305</v>
      </c>
      <c r="C15505" t="s">
        <v>534</v>
      </c>
      <c r="D15505" t="s">
        <v>535</v>
      </c>
      <c r="E15505" t="s">
        <v>536</v>
      </c>
      <c r="F15505" t="s">
        <v>537</v>
      </c>
      <c r="G15505" t="s">
        <v>226</v>
      </c>
    </row>
    <row r="15506" spans="1:7" x14ac:dyDescent="0.35">
      <c r="A15506" t="s">
        <v>227</v>
      </c>
      <c r="B15506" t="s">
        <v>244</v>
      </c>
      <c r="C15506">
        <v>1.84</v>
      </c>
      <c r="D15506">
        <v>0</v>
      </c>
      <c r="E15506">
        <v>0</v>
      </c>
      <c r="F15506">
        <v>20</v>
      </c>
      <c r="G15506">
        <v>94</v>
      </c>
    </row>
    <row r="15507" spans="1:7" x14ac:dyDescent="0.35">
      <c r="A15507" t="s">
        <v>227</v>
      </c>
      <c r="B15507" t="s">
        <v>245</v>
      </c>
      <c r="C15507">
        <v>1.29</v>
      </c>
      <c r="D15507">
        <v>0</v>
      </c>
      <c r="E15507">
        <v>0</v>
      </c>
      <c r="F15507">
        <v>12</v>
      </c>
      <c r="G15507">
        <v>51</v>
      </c>
    </row>
    <row r="15508" spans="1:7" x14ac:dyDescent="0.35">
      <c r="A15508" s="27" t="s">
        <v>227</v>
      </c>
      <c r="B15508" s="27" t="s">
        <v>246</v>
      </c>
      <c r="C15508" s="29">
        <v>3.64</v>
      </c>
      <c r="D15508" s="29">
        <v>3</v>
      </c>
      <c r="E15508" s="29">
        <v>0</v>
      </c>
      <c r="F15508" s="29">
        <v>12</v>
      </c>
      <c r="G15508" s="29">
        <v>11</v>
      </c>
    </row>
    <row r="15509" spans="1:7" x14ac:dyDescent="0.35">
      <c r="A15509" t="s">
        <v>228</v>
      </c>
      <c r="B15509" t="s">
        <v>244</v>
      </c>
      <c r="C15509">
        <v>2.08</v>
      </c>
      <c r="D15509">
        <v>1</v>
      </c>
      <c r="E15509">
        <v>0</v>
      </c>
      <c r="F15509">
        <v>20</v>
      </c>
      <c r="G15509">
        <v>631</v>
      </c>
    </row>
    <row r="15510" spans="1:7" x14ac:dyDescent="0.35">
      <c r="A15510" t="s">
        <v>228</v>
      </c>
      <c r="B15510" t="s">
        <v>245</v>
      </c>
      <c r="C15510">
        <v>1.8</v>
      </c>
      <c r="D15510">
        <v>0</v>
      </c>
      <c r="E15510">
        <v>0</v>
      </c>
      <c r="F15510">
        <v>24</v>
      </c>
      <c r="G15510">
        <v>323</v>
      </c>
    </row>
    <row r="15511" spans="1:7" x14ac:dyDescent="0.35">
      <c r="A15511" t="s">
        <v>228</v>
      </c>
      <c r="B15511" t="s">
        <v>246</v>
      </c>
      <c r="C15511">
        <v>2.78</v>
      </c>
      <c r="D15511">
        <v>2</v>
      </c>
      <c r="E15511">
        <v>0</v>
      </c>
      <c r="F15511">
        <v>15</v>
      </c>
      <c r="G15511">
        <v>65</v>
      </c>
    </row>
    <row r="15512" spans="1:7" x14ac:dyDescent="0.35">
      <c r="A15512" t="s">
        <v>229</v>
      </c>
      <c r="B15512" t="s">
        <v>244</v>
      </c>
      <c r="C15512">
        <v>1.59</v>
      </c>
      <c r="D15512">
        <v>0</v>
      </c>
      <c r="E15512">
        <v>0</v>
      </c>
      <c r="F15512">
        <v>20</v>
      </c>
      <c r="G15512">
        <v>547</v>
      </c>
    </row>
    <row r="15513" spans="1:7" x14ac:dyDescent="0.35">
      <c r="A15513" t="s">
        <v>229</v>
      </c>
      <c r="B15513" t="s">
        <v>245</v>
      </c>
      <c r="C15513">
        <v>1.39</v>
      </c>
      <c r="D15513">
        <v>0</v>
      </c>
      <c r="E15513">
        <v>0</v>
      </c>
      <c r="F15513">
        <v>20</v>
      </c>
      <c r="G15513">
        <v>293</v>
      </c>
    </row>
    <row r="15514" spans="1:7" x14ac:dyDescent="0.35">
      <c r="A15514" t="s">
        <v>229</v>
      </c>
      <c r="B15514" t="s">
        <v>246</v>
      </c>
      <c r="C15514">
        <v>1.71</v>
      </c>
      <c r="D15514">
        <v>0</v>
      </c>
      <c r="E15514">
        <v>0</v>
      </c>
      <c r="F15514">
        <v>20</v>
      </c>
      <c r="G15514">
        <v>44</v>
      </c>
    </row>
    <row r="15515" spans="1:7" x14ac:dyDescent="0.35">
      <c r="A15515" t="s">
        <v>230</v>
      </c>
      <c r="B15515" t="s">
        <v>244</v>
      </c>
      <c r="C15515">
        <v>2.0499999999999998</v>
      </c>
      <c r="D15515">
        <v>1</v>
      </c>
      <c r="E15515">
        <v>0</v>
      </c>
      <c r="F15515">
        <v>20</v>
      </c>
      <c r="G15515">
        <v>368</v>
      </c>
    </row>
    <row r="15516" spans="1:7" x14ac:dyDescent="0.35">
      <c r="A15516" t="s">
        <v>230</v>
      </c>
      <c r="B15516" t="s">
        <v>245</v>
      </c>
      <c r="C15516">
        <v>0.79</v>
      </c>
      <c r="D15516">
        <v>0</v>
      </c>
      <c r="E15516">
        <v>0</v>
      </c>
      <c r="F15516">
        <v>15</v>
      </c>
      <c r="G15516">
        <v>159</v>
      </c>
    </row>
    <row r="15517" spans="1:7" x14ac:dyDescent="0.35">
      <c r="A15517" s="27" t="s">
        <v>230</v>
      </c>
      <c r="B15517" s="27" t="s">
        <v>246</v>
      </c>
      <c r="C15517" s="29">
        <v>4.17</v>
      </c>
      <c r="D15517" s="29">
        <v>1</v>
      </c>
      <c r="E15517" s="29">
        <v>0</v>
      </c>
      <c r="F15517" s="29">
        <v>20</v>
      </c>
      <c r="G15517" s="29">
        <v>28</v>
      </c>
    </row>
    <row r="15518" spans="1:7" x14ac:dyDescent="0.35">
      <c r="A15518" t="s">
        <v>231</v>
      </c>
      <c r="B15518" t="s">
        <v>244</v>
      </c>
      <c r="C15518">
        <v>1.34</v>
      </c>
      <c r="D15518">
        <v>0</v>
      </c>
      <c r="E15518">
        <v>0</v>
      </c>
      <c r="F15518">
        <v>20</v>
      </c>
      <c r="G15518">
        <v>91</v>
      </c>
    </row>
    <row r="15519" spans="1:7" x14ac:dyDescent="0.35">
      <c r="A15519" t="s">
        <v>231</v>
      </c>
      <c r="B15519" t="s">
        <v>245</v>
      </c>
      <c r="C15519">
        <v>1.36</v>
      </c>
      <c r="D15519">
        <v>0</v>
      </c>
      <c r="E15519">
        <v>0</v>
      </c>
      <c r="F15519">
        <v>20</v>
      </c>
      <c r="G15519">
        <v>55</v>
      </c>
    </row>
    <row r="15520" spans="1:7" x14ac:dyDescent="0.35">
      <c r="A15520" s="27" t="s">
        <v>231</v>
      </c>
      <c r="B15520" s="27" t="s">
        <v>246</v>
      </c>
      <c r="C15520" s="29">
        <v>1.58</v>
      </c>
      <c r="D15520" s="29">
        <v>1</v>
      </c>
      <c r="E15520" s="29">
        <v>0</v>
      </c>
      <c r="F15520" s="29">
        <v>5</v>
      </c>
      <c r="G15520" s="29">
        <v>12</v>
      </c>
    </row>
    <row r="15521" spans="1:7" x14ac:dyDescent="0.35">
      <c r="A15521" t="s">
        <v>232</v>
      </c>
      <c r="B15521" t="s">
        <v>232</v>
      </c>
      <c r="C15521">
        <v>1.66</v>
      </c>
      <c r="D15521">
        <v>0</v>
      </c>
      <c r="E15521">
        <v>0</v>
      </c>
      <c r="F15521">
        <v>24</v>
      </c>
      <c r="G15521">
        <v>2772</v>
      </c>
    </row>
    <row r="15523" spans="1:7" x14ac:dyDescent="0.35">
      <c r="A15523" s="1" t="s">
        <v>1655</v>
      </c>
    </row>
    <row r="15524" spans="1:7" x14ac:dyDescent="0.35">
      <c r="A15524" t="s">
        <v>219</v>
      </c>
      <c r="B15524" t="s">
        <v>305</v>
      </c>
      <c r="C15524" t="s">
        <v>534</v>
      </c>
      <c r="D15524" t="s">
        <v>535</v>
      </c>
      <c r="E15524" t="s">
        <v>536</v>
      </c>
      <c r="F15524" t="s">
        <v>537</v>
      </c>
      <c r="G15524" t="s">
        <v>226</v>
      </c>
    </row>
    <row r="15525" spans="1:7" x14ac:dyDescent="0.35">
      <c r="A15525" t="s">
        <v>227</v>
      </c>
      <c r="B15525" t="s">
        <v>360</v>
      </c>
      <c r="C15525">
        <v>1.73</v>
      </c>
      <c r="D15525">
        <v>0</v>
      </c>
      <c r="E15525">
        <v>0</v>
      </c>
      <c r="F15525">
        <v>12</v>
      </c>
      <c r="G15525">
        <v>37</v>
      </c>
    </row>
    <row r="15526" spans="1:7" x14ac:dyDescent="0.35">
      <c r="A15526" t="s">
        <v>227</v>
      </c>
      <c r="B15526" t="s">
        <v>363</v>
      </c>
      <c r="C15526">
        <v>2.42</v>
      </c>
      <c r="D15526">
        <v>0</v>
      </c>
      <c r="E15526">
        <v>0</v>
      </c>
      <c r="F15526">
        <v>20</v>
      </c>
      <c r="G15526">
        <v>43</v>
      </c>
    </row>
    <row r="15527" spans="1:7" x14ac:dyDescent="0.35">
      <c r="A15527" t="s">
        <v>227</v>
      </c>
      <c r="B15527" t="s">
        <v>361</v>
      </c>
      <c r="C15527">
        <v>1.1200000000000001</v>
      </c>
      <c r="D15527">
        <v>0</v>
      </c>
      <c r="E15527">
        <v>0</v>
      </c>
      <c r="F15527">
        <v>10</v>
      </c>
      <c r="G15527">
        <v>32</v>
      </c>
    </row>
    <row r="15528" spans="1:7" x14ac:dyDescent="0.35">
      <c r="A15528" t="s">
        <v>227</v>
      </c>
      <c r="B15528" t="s">
        <v>362</v>
      </c>
      <c r="C15528">
        <v>1.61</v>
      </c>
      <c r="D15528">
        <v>0</v>
      </c>
      <c r="E15528">
        <v>0</v>
      </c>
      <c r="F15528">
        <v>12</v>
      </c>
      <c r="G15528">
        <v>36</v>
      </c>
    </row>
    <row r="15529" spans="1:7" x14ac:dyDescent="0.35">
      <c r="A15529" t="s">
        <v>228</v>
      </c>
      <c r="B15529" t="s">
        <v>361</v>
      </c>
      <c r="C15529">
        <v>3.29</v>
      </c>
      <c r="D15529">
        <v>1</v>
      </c>
      <c r="E15529">
        <v>0</v>
      </c>
      <c r="F15529">
        <v>24</v>
      </c>
      <c r="G15529">
        <v>190</v>
      </c>
    </row>
    <row r="15530" spans="1:7" x14ac:dyDescent="0.35">
      <c r="A15530" t="s">
        <v>228</v>
      </c>
      <c r="B15530" t="s">
        <v>362</v>
      </c>
      <c r="C15530">
        <v>1.43</v>
      </c>
      <c r="D15530">
        <v>0</v>
      </c>
      <c r="E15530">
        <v>0</v>
      </c>
      <c r="F15530">
        <v>20</v>
      </c>
      <c r="G15530">
        <v>235</v>
      </c>
    </row>
    <row r="15531" spans="1:7" x14ac:dyDescent="0.35">
      <c r="A15531" t="s">
        <v>228</v>
      </c>
      <c r="B15531" t="s">
        <v>363</v>
      </c>
      <c r="C15531">
        <v>1.74</v>
      </c>
      <c r="D15531">
        <v>1</v>
      </c>
      <c r="E15531">
        <v>0</v>
      </c>
      <c r="F15531">
        <v>15</v>
      </c>
      <c r="G15531">
        <v>211</v>
      </c>
    </row>
    <row r="15532" spans="1:7" x14ac:dyDescent="0.35">
      <c r="A15532" t="s">
        <v>228</v>
      </c>
      <c r="B15532" t="s">
        <v>360</v>
      </c>
      <c r="C15532">
        <v>1.67</v>
      </c>
      <c r="D15532">
        <v>1</v>
      </c>
      <c r="E15532">
        <v>0</v>
      </c>
      <c r="F15532">
        <v>15</v>
      </c>
      <c r="G15532">
        <v>253</v>
      </c>
    </row>
    <row r="15533" spans="1:7" x14ac:dyDescent="0.35">
      <c r="A15533" t="s">
        <v>229</v>
      </c>
      <c r="B15533" t="s">
        <v>362</v>
      </c>
      <c r="C15533">
        <v>1.4</v>
      </c>
      <c r="D15533">
        <v>0</v>
      </c>
      <c r="E15533">
        <v>0</v>
      </c>
      <c r="F15533">
        <v>20</v>
      </c>
      <c r="G15533">
        <v>170</v>
      </c>
    </row>
    <row r="15534" spans="1:7" x14ac:dyDescent="0.35">
      <c r="A15534" t="s">
        <v>229</v>
      </c>
      <c r="B15534" t="s">
        <v>360</v>
      </c>
      <c r="C15534">
        <v>1.51</v>
      </c>
      <c r="D15534">
        <v>0</v>
      </c>
      <c r="E15534">
        <v>0</v>
      </c>
      <c r="F15534">
        <v>12</v>
      </c>
      <c r="G15534">
        <v>162</v>
      </c>
    </row>
    <row r="15535" spans="1:7" x14ac:dyDescent="0.35">
      <c r="A15535" t="s">
        <v>229</v>
      </c>
      <c r="B15535" t="s">
        <v>361</v>
      </c>
      <c r="C15535">
        <v>1.46</v>
      </c>
      <c r="D15535">
        <v>0</v>
      </c>
      <c r="E15535">
        <v>0</v>
      </c>
      <c r="F15535">
        <v>20</v>
      </c>
      <c r="G15535">
        <v>240</v>
      </c>
    </row>
    <row r="15536" spans="1:7" x14ac:dyDescent="0.35">
      <c r="A15536" t="s">
        <v>229</v>
      </c>
      <c r="B15536" t="s">
        <v>363</v>
      </c>
      <c r="C15536">
        <v>1.39</v>
      </c>
      <c r="D15536">
        <v>0</v>
      </c>
      <c r="E15536">
        <v>0</v>
      </c>
      <c r="F15536">
        <v>20</v>
      </c>
      <c r="G15536">
        <v>187</v>
      </c>
    </row>
    <row r="15537" spans="1:7" x14ac:dyDescent="0.35">
      <c r="A15537" t="s">
        <v>230</v>
      </c>
      <c r="B15537" t="s">
        <v>361</v>
      </c>
      <c r="C15537">
        <v>2.6</v>
      </c>
      <c r="D15537">
        <v>1</v>
      </c>
      <c r="E15537">
        <v>0</v>
      </c>
      <c r="F15537">
        <v>20</v>
      </c>
      <c r="G15537">
        <v>108</v>
      </c>
    </row>
    <row r="15538" spans="1:7" x14ac:dyDescent="0.35">
      <c r="A15538" t="s">
        <v>230</v>
      </c>
      <c r="B15538" t="s">
        <v>363</v>
      </c>
      <c r="C15538">
        <v>1.68</v>
      </c>
      <c r="D15538">
        <v>1</v>
      </c>
      <c r="E15538">
        <v>0</v>
      </c>
      <c r="F15538">
        <v>20</v>
      </c>
      <c r="G15538">
        <v>126</v>
      </c>
    </row>
    <row r="15539" spans="1:7" x14ac:dyDescent="0.35">
      <c r="A15539" t="s">
        <v>230</v>
      </c>
      <c r="B15539" t="s">
        <v>360</v>
      </c>
      <c r="C15539">
        <v>1.41</v>
      </c>
      <c r="D15539">
        <v>0</v>
      </c>
      <c r="E15539">
        <v>0</v>
      </c>
      <c r="F15539">
        <v>15</v>
      </c>
      <c r="G15539">
        <v>119</v>
      </c>
    </row>
    <row r="15540" spans="1:7" x14ac:dyDescent="0.35">
      <c r="A15540" t="s">
        <v>230</v>
      </c>
      <c r="B15540" t="s">
        <v>362</v>
      </c>
      <c r="C15540">
        <v>1.41</v>
      </c>
      <c r="D15540">
        <v>0</v>
      </c>
      <c r="E15540">
        <v>0</v>
      </c>
      <c r="F15540">
        <v>20</v>
      </c>
      <c r="G15540">
        <v>147</v>
      </c>
    </row>
    <row r="15541" spans="1:7" x14ac:dyDescent="0.35">
      <c r="A15541" t="s">
        <v>231</v>
      </c>
      <c r="B15541" t="s">
        <v>360</v>
      </c>
      <c r="C15541">
        <v>1.1599999999999999</v>
      </c>
      <c r="D15541">
        <v>0</v>
      </c>
      <c r="E15541">
        <v>0</v>
      </c>
      <c r="F15541">
        <v>10</v>
      </c>
      <c r="G15541">
        <v>43</v>
      </c>
    </row>
    <row r="15542" spans="1:7" x14ac:dyDescent="0.35">
      <c r="A15542" s="27" t="s">
        <v>231</v>
      </c>
      <c r="B15542" s="27" t="s">
        <v>363</v>
      </c>
      <c r="C15542" s="29">
        <v>0.81</v>
      </c>
      <c r="D15542" s="29">
        <v>0</v>
      </c>
      <c r="E15542" s="29">
        <v>0</v>
      </c>
      <c r="F15542" s="29">
        <v>5</v>
      </c>
      <c r="G15542" s="29">
        <v>26</v>
      </c>
    </row>
    <row r="15543" spans="1:7" x14ac:dyDescent="0.35">
      <c r="A15543" t="s">
        <v>231</v>
      </c>
      <c r="B15543" t="s">
        <v>361</v>
      </c>
      <c r="C15543">
        <v>1.28</v>
      </c>
      <c r="D15543">
        <v>0</v>
      </c>
      <c r="E15543">
        <v>0</v>
      </c>
      <c r="F15543">
        <v>20</v>
      </c>
      <c r="G15543">
        <v>47</v>
      </c>
    </row>
    <row r="15544" spans="1:7" x14ac:dyDescent="0.35">
      <c r="A15544" s="27" t="s">
        <v>231</v>
      </c>
      <c r="B15544" s="27" t="s">
        <v>362</v>
      </c>
      <c r="C15544" s="29">
        <v>1.9</v>
      </c>
      <c r="D15544" s="29">
        <v>0</v>
      </c>
      <c r="E15544" s="29">
        <v>0</v>
      </c>
      <c r="F15544" s="29">
        <v>20</v>
      </c>
      <c r="G15544" s="29">
        <v>29</v>
      </c>
    </row>
    <row r="15545" spans="1:7" x14ac:dyDescent="0.35">
      <c r="A15545" t="s">
        <v>232</v>
      </c>
      <c r="B15545" t="s">
        <v>232</v>
      </c>
      <c r="C15545">
        <v>1.66</v>
      </c>
      <c r="D15545">
        <v>0</v>
      </c>
      <c r="E15545">
        <v>0</v>
      </c>
      <c r="F15545">
        <v>24</v>
      </c>
      <c r="G15545">
        <v>2772</v>
      </c>
    </row>
    <row r="15547" spans="1:7" x14ac:dyDescent="0.35">
      <c r="A15547" s="1" t="s">
        <v>1656</v>
      </c>
    </row>
    <row r="15548" spans="1:7" x14ac:dyDescent="0.35">
      <c r="A15548" t="s">
        <v>219</v>
      </c>
      <c r="B15548" t="s">
        <v>305</v>
      </c>
      <c r="C15548" t="s">
        <v>534</v>
      </c>
      <c r="D15548" t="s">
        <v>535</v>
      </c>
      <c r="E15548" t="s">
        <v>536</v>
      </c>
      <c r="F15548" t="s">
        <v>537</v>
      </c>
      <c r="G15548" t="s">
        <v>226</v>
      </c>
    </row>
    <row r="15549" spans="1:7" x14ac:dyDescent="0.35">
      <c r="A15549" t="s">
        <v>227</v>
      </c>
      <c r="B15549" t="s">
        <v>267</v>
      </c>
      <c r="C15549">
        <v>1.69</v>
      </c>
      <c r="D15549">
        <v>1</v>
      </c>
      <c r="E15549">
        <v>0</v>
      </c>
      <c r="F15549">
        <v>10</v>
      </c>
      <c r="G15549">
        <v>35</v>
      </c>
    </row>
    <row r="15550" spans="1:7" x14ac:dyDescent="0.35">
      <c r="A15550" t="s">
        <v>227</v>
      </c>
      <c r="B15550" t="s">
        <v>266</v>
      </c>
      <c r="C15550">
        <v>1.1599999999999999</v>
      </c>
      <c r="D15550">
        <v>0</v>
      </c>
      <c r="E15550">
        <v>0</v>
      </c>
      <c r="F15550">
        <v>12</v>
      </c>
      <c r="G15550">
        <v>57</v>
      </c>
    </row>
    <row r="15551" spans="1:7" x14ac:dyDescent="0.35">
      <c r="A15551" t="s">
        <v>227</v>
      </c>
      <c r="B15551" t="s">
        <v>265</v>
      </c>
      <c r="C15551">
        <v>2.41</v>
      </c>
      <c r="D15551">
        <v>1</v>
      </c>
      <c r="E15551">
        <v>0</v>
      </c>
      <c r="F15551">
        <v>20</v>
      </c>
      <c r="G15551">
        <v>64</v>
      </c>
    </row>
    <row r="15552" spans="1:7" x14ac:dyDescent="0.35">
      <c r="A15552" t="s">
        <v>228</v>
      </c>
      <c r="B15552" t="s">
        <v>267</v>
      </c>
      <c r="C15552">
        <v>1.63</v>
      </c>
      <c r="D15552">
        <v>1</v>
      </c>
      <c r="E15552">
        <v>0</v>
      </c>
      <c r="F15552">
        <v>15</v>
      </c>
      <c r="G15552">
        <v>195</v>
      </c>
    </row>
    <row r="15553" spans="1:7" x14ac:dyDescent="0.35">
      <c r="A15553" t="s">
        <v>228</v>
      </c>
      <c r="B15553" t="s">
        <v>266</v>
      </c>
      <c r="C15553">
        <v>2.4500000000000002</v>
      </c>
      <c r="D15553">
        <v>0</v>
      </c>
      <c r="E15553">
        <v>0</v>
      </c>
      <c r="F15553">
        <v>24</v>
      </c>
      <c r="G15553">
        <v>442</v>
      </c>
    </row>
    <row r="15554" spans="1:7" x14ac:dyDescent="0.35">
      <c r="A15554" s="27" t="s">
        <v>228</v>
      </c>
      <c r="B15554" s="27" t="s">
        <v>236</v>
      </c>
      <c r="C15554" s="29">
        <v>1</v>
      </c>
      <c r="D15554" s="29">
        <v>0</v>
      </c>
      <c r="E15554" s="29">
        <v>0</v>
      </c>
      <c r="F15554" s="29">
        <v>2</v>
      </c>
      <c r="G15554" s="29">
        <v>2</v>
      </c>
    </row>
    <row r="15555" spans="1:7" x14ac:dyDescent="0.35">
      <c r="A15555" t="s">
        <v>228</v>
      </c>
      <c r="B15555" t="s">
        <v>265</v>
      </c>
      <c r="C15555">
        <v>1.84</v>
      </c>
      <c r="D15555">
        <v>0</v>
      </c>
      <c r="E15555">
        <v>0</v>
      </c>
      <c r="F15555">
        <v>20</v>
      </c>
      <c r="G15555">
        <v>380</v>
      </c>
    </row>
    <row r="15556" spans="1:7" x14ac:dyDescent="0.35">
      <c r="A15556" t="s">
        <v>229</v>
      </c>
      <c r="B15556" t="s">
        <v>267</v>
      </c>
      <c r="C15556">
        <v>1.1599999999999999</v>
      </c>
      <c r="D15556">
        <v>0</v>
      </c>
      <c r="E15556">
        <v>0</v>
      </c>
      <c r="F15556">
        <v>20</v>
      </c>
      <c r="G15556">
        <v>200</v>
      </c>
    </row>
    <row r="15557" spans="1:7" x14ac:dyDescent="0.35">
      <c r="A15557" t="s">
        <v>229</v>
      </c>
      <c r="B15557" t="s">
        <v>265</v>
      </c>
      <c r="C15557">
        <v>1.63</v>
      </c>
      <c r="D15557">
        <v>0</v>
      </c>
      <c r="E15557">
        <v>0</v>
      </c>
      <c r="F15557">
        <v>20</v>
      </c>
      <c r="G15557">
        <v>327</v>
      </c>
    </row>
    <row r="15558" spans="1:7" x14ac:dyDescent="0.35">
      <c r="A15558" t="s">
        <v>229</v>
      </c>
      <c r="B15558" t="s">
        <v>266</v>
      </c>
      <c r="C15558">
        <v>1.68</v>
      </c>
      <c r="D15558">
        <v>0</v>
      </c>
      <c r="E15558">
        <v>0</v>
      </c>
      <c r="F15558">
        <v>20</v>
      </c>
      <c r="G15558">
        <v>357</v>
      </c>
    </row>
    <row r="15559" spans="1:7" x14ac:dyDescent="0.35">
      <c r="A15559" t="s">
        <v>230</v>
      </c>
      <c r="B15559" t="s">
        <v>265</v>
      </c>
      <c r="C15559">
        <v>2.3199999999999998</v>
      </c>
      <c r="D15559">
        <v>1</v>
      </c>
      <c r="E15559">
        <v>0</v>
      </c>
      <c r="F15559">
        <v>20</v>
      </c>
      <c r="G15559">
        <v>207</v>
      </c>
    </row>
    <row r="15560" spans="1:7" x14ac:dyDescent="0.35">
      <c r="A15560" t="s">
        <v>230</v>
      </c>
      <c r="B15560" t="s">
        <v>266</v>
      </c>
      <c r="C15560">
        <v>1.58</v>
      </c>
      <c r="D15560">
        <v>0</v>
      </c>
      <c r="E15560">
        <v>0</v>
      </c>
      <c r="F15560">
        <v>20</v>
      </c>
      <c r="G15560">
        <v>230</v>
      </c>
    </row>
    <row r="15561" spans="1:7" x14ac:dyDescent="0.35">
      <c r="A15561" t="s">
        <v>230</v>
      </c>
      <c r="B15561" t="s">
        <v>267</v>
      </c>
      <c r="C15561">
        <v>1.24</v>
      </c>
      <c r="D15561">
        <v>0</v>
      </c>
      <c r="E15561">
        <v>0</v>
      </c>
      <c r="F15561">
        <v>15</v>
      </c>
      <c r="G15561">
        <v>118</v>
      </c>
    </row>
    <row r="15562" spans="1:7" x14ac:dyDescent="0.35">
      <c r="A15562" t="s">
        <v>231</v>
      </c>
      <c r="B15562" t="s">
        <v>267</v>
      </c>
      <c r="C15562">
        <v>1.64</v>
      </c>
      <c r="D15562">
        <v>0</v>
      </c>
      <c r="E15562">
        <v>0</v>
      </c>
      <c r="F15562">
        <v>20</v>
      </c>
      <c r="G15562">
        <v>33</v>
      </c>
    </row>
    <row r="15563" spans="1:7" x14ac:dyDescent="0.35">
      <c r="A15563" t="s">
        <v>231</v>
      </c>
      <c r="B15563" t="s">
        <v>265</v>
      </c>
      <c r="C15563">
        <v>1.17</v>
      </c>
      <c r="D15563">
        <v>0</v>
      </c>
      <c r="E15563">
        <v>0</v>
      </c>
      <c r="F15563">
        <v>20</v>
      </c>
      <c r="G15563">
        <v>65</v>
      </c>
    </row>
    <row r="15564" spans="1:7" x14ac:dyDescent="0.35">
      <c r="A15564" t="s">
        <v>231</v>
      </c>
      <c r="B15564" t="s">
        <v>266</v>
      </c>
      <c r="C15564">
        <v>1.43</v>
      </c>
      <c r="D15564">
        <v>0</v>
      </c>
      <c r="E15564">
        <v>0</v>
      </c>
      <c r="F15564">
        <v>10</v>
      </c>
      <c r="G15564">
        <v>60</v>
      </c>
    </row>
    <row r="15565" spans="1:7" x14ac:dyDescent="0.35">
      <c r="A15565" t="s">
        <v>232</v>
      </c>
      <c r="B15565" t="s">
        <v>232</v>
      </c>
      <c r="C15565">
        <v>1.66</v>
      </c>
      <c r="D15565">
        <v>0</v>
      </c>
      <c r="E15565">
        <v>0</v>
      </c>
      <c r="F15565">
        <v>24</v>
      </c>
      <c r="G15565">
        <v>2772</v>
      </c>
    </row>
    <row r="15567" spans="1:7" x14ac:dyDescent="0.35">
      <c r="A15567" s="1" t="s">
        <v>1657</v>
      </c>
    </row>
    <row r="15568" spans="1:7" x14ac:dyDescent="0.35">
      <c r="A15568" t="s">
        <v>219</v>
      </c>
      <c r="B15568" t="s">
        <v>305</v>
      </c>
      <c r="C15568" t="s">
        <v>534</v>
      </c>
      <c r="D15568" t="s">
        <v>535</v>
      </c>
      <c r="E15568" t="s">
        <v>536</v>
      </c>
      <c r="F15568" t="s">
        <v>537</v>
      </c>
      <c r="G15568" t="s">
        <v>226</v>
      </c>
    </row>
    <row r="15569" spans="1:7" x14ac:dyDescent="0.35">
      <c r="A15569" t="s">
        <v>227</v>
      </c>
      <c r="B15569" t="s">
        <v>252</v>
      </c>
      <c r="C15569">
        <v>1.18</v>
      </c>
      <c r="D15569">
        <v>0</v>
      </c>
      <c r="E15569">
        <v>0</v>
      </c>
      <c r="F15569">
        <v>20</v>
      </c>
      <c r="G15569">
        <v>44</v>
      </c>
    </row>
    <row r="15570" spans="1:7" x14ac:dyDescent="0.35">
      <c r="A15570" t="s">
        <v>227</v>
      </c>
      <c r="B15570" t="s">
        <v>253</v>
      </c>
      <c r="C15570">
        <v>1.52</v>
      </c>
      <c r="D15570">
        <v>0</v>
      </c>
      <c r="E15570">
        <v>0</v>
      </c>
      <c r="F15570">
        <v>12</v>
      </c>
      <c r="G15570">
        <v>33</v>
      </c>
    </row>
    <row r="15571" spans="1:7" x14ac:dyDescent="0.35">
      <c r="A15571" t="s">
        <v>227</v>
      </c>
      <c r="B15571" t="s">
        <v>251</v>
      </c>
      <c r="C15571">
        <v>2.2400000000000002</v>
      </c>
      <c r="D15571">
        <v>1</v>
      </c>
      <c r="E15571">
        <v>0</v>
      </c>
      <c r="F15571">
        <v>15</v>
      </c>
      <c r="G15571">
        <v>79</v>
      </c>
    </row>
    <row r="15572" spans="1:7" x14ac:dyDescent="0.35">
      <c r="A15572" t="s">
        <v>228</v>
      </c>
      <c r="B15572" t="s">
        <v>252</v>
      </c>
      <c r="C15572">
        <v>1.76</v>
      </c>
      <c r="D15572">
        <v>0</v>
      </c>
      <c r="E15572">
        <v>0</v>
      </c>
      <c r="F15572">
        <v>24</v>
      </c>
      <c r="G15572">
        <v>341</v>
      </c>
    </row>
    <row r="15573" spans="1:7" x14ac:dyDescent="0.35">
      <c r="A15573" t="s">
        <v>228</v>
      </c>
      <c r="B15573" t="s">
        <v>253</v>
      </c>
      <c r="C15573">
        <v>2.4300000000000002</v>
      </c>
      <c r="D15573">
        <v>1</v>
      </c>
      <c r="E15573">
        <v>0</v>
      </c>
      <c r="F15573">
        <v>20</v>
      </c>
      <c r="G15573">
        <v>220</v>
      </c>
    </row>
    <row r="15574" spans="1:7" x14ac:dyDescent="0.35">
      <c r="A15574" t="s">
        <v>228</v>
      </c>
      <c r="B15574" t="s">
        <v>251</v>
      </c>
      <c r="C15574">
        <v>2.08</v>
      </c>
      <c r="D15574">
        <v>1</v>
      </c>
      <c r="E15574">
        <v>0</v>
      </c>
      <c r="F15574">
        <v>20</v>
      </c>
      <c r="G15574">
        <v>458</v>
      </c>
    </row>
    <row r="15575" spans="1:7" x14ac:dyDescent="0.35">
      <c r="A15575" t="s">
        <v>229</v>
      </c>
      <c r="B15575" t="s">
        <v>252</v>
      </c>
      <c r="C15575">
        <v>0.97</v>
      </c>
      <c r="D15575">
        <v>0</v>
      </c>
      <c r="E15575">
        <v>0</v>
      </c>
      <c r="F15575">
        <v>20</v>
      </c>
      <c r="G15575">
        <v>198</v>
      </c>
    </row>
    <row r="15576" spans="1:7" x14ac:dyDescent="0.35">
      <c r="A15576" t="s">
        <v>229</v>
      </c>
      <c r="B15576" t="s">
        <v>253</v>
      </c>
      <c r="C15576">
        <v>1.42</v>
      </c>
      <c r="D15576">
        <v>0</v>
      </c>
      <c r="E15576">
        <v>0</v>
      </c>
      <c r="F15576">
        <v>15</v>
      </c>
      <c r="G15576">
        <v>142</v>
      </c>
    </row>
    <row r="15577" spans="1:7" x14ac:dyDescent="0.35">
      <c r="A15577" t="s">
        <v>229</v>
      </c>
      <c r="B15577" t="s">
        <v>251</v>
      </c>
      <c r="C15577">
        <v>1.8</v>
      </c>
      <c r="D15577">
        <v>1</v>
      </c>
      <c r="E15577">
        <v>0</v>
      </c>
      <c r="F15577">
        <v>20</v>
      </c>
      <c r="G15577">
        <v>544</v>
      </c>
    </row>
    <row r="15578" spans="1:7" x14ac:dyDescent="0.35">
      <c r="A15578" t="s">
        <v>230</v>
      </c>
      <c r="B15578" t="s">
        <v>252</v>
      </c>
      <c r="C15578">
        <v>0.7</v>
      </c>
      <c r="D15578">
        <v>0</v>
      </c>
      <c r="E15578">
        <v>0</v>
      </c>
      <c r="F15578">
        <v>10</v>
      </c>
      <c r="G15578">
        <v>156</v>
      </c>
    </row>
    <row r="15579" spans="1:7" x14ac:dyDescent="0.35">
      <c r="A15579" t="s">
        <v>230</v>
      </c>
      <c r="B15579" t="s">
        <v>253</v>
      </c>
      <c r="C15579">
        <v>1.65</v>
      </c>
      <c r="D15579">
        <v>0</v>
      </c>
      <c r="E15579">
        <v>0</v>
      </c>
      <c r="F15579">
        <v>20</v>
      </c>
      <c r="G15579">
        <v>108</v>
      </c>
    </row>
    <row r="15580" spans="1:7" x14ac:dyDescent="0.35">
      <c r="A15580" t="s">
        <v>230</v>
      </c>
      <c r="B15580" t="s">
        <v>251</v>
      </c>
      <c r="C15580">
        <v>2.37</v>
      </c>
      <c r="D15580">
        <v>1</v>
      </c>
      <c r="E15580">
        <v>0</v>
      </c>
      <c r="F15580">
        <v>20</v>
      </c>
      <c r="G15580">
        <v>291</v>
      </c>
    </row>
    <row r="15581" spans="1:7" x14ac:dyDescent="0.35">
      <c r="A15581" t="s">
        <v>231</v>
      </c>
      <c r="B15581" t="s">
        <v>252</v>
      </c>
      <c r="C15581">
        <v>1.1000000000000001</v>
      </c>
      <c r="D15581">
        <v>0</v>
      </c>
      <c r="E15581">
        <v>0</v>
      </c>
      <c r="F15581">
        <v>15</v>
      </c>
      <c r="G15581">
        <v>48</v>
      </c>
    </row>
    <row r="15582" spans="1:7" x14ac:dyDescent="0.35">
      <c r="A15582" s="27" t="s">
        <v>231</v>
      </c>
      <c r="B15582" s="27" t="s">
        <v>253</v>
      </c>
      <c r="C15582" s="29">
        <v>1.48</v>
      </c>
      <c r="D15582" s="29">
        <v>0</v>
      </c>
      <c r="E15582" s="29">
        <v>0</v>
      </c>
      <c r="F15582" s="29">
        <v>20</v>
      </c>
      <c r="G15582" s="29">
        <v>29</v>
      </c>
    </row>
    <row r="15583" spans="1:7" x14ac:dyDescent="0.35">
      <c r="A15583" t="s">
        <v>231</v>
      </c>
      <c r="B15583" t="s">
        <v>251</v>
      </c>
      <c r="C15583">
        <v>1.48</v>
      </c>
      <c r="D15583">
        <v>0</v>
      </c>
      <c r="E15583">
        <v>0</v>
      </c>
      <c r="F15583">
        <v>20</v>
      </c>
      <c r="G15583">
        <v>81</v>
      </c>
    </row>
    <row r="15584" spans="1:7" x14ac:dyDescent="0.35">
      <c r="A15584" t="s">
        <v>232</v>
      </c>
      <c r="B15584" t="s">
        <v>232</v>
      </c>
      <c r="C15584">
        <v>1.66</v>
      </c>
      <c r="D15584">
        <v>0</v>
      </c>
      <c r="E15584">
        <v>0</v>
      </c>
      <c r="F15584">
        <v>24</v>
      </c>
      <c r="G15584">
        <v>2772</v>
      </c>
    </row>
    <row r="15586" spans="1:7" x14ac:dyDescent="0.35">
      <c r="A15586" s="1" t="s">
        <v>1658</v>
      </c>
    </row>
    <row r="15587" spans="1:7" x14ac:dyDescent="0.35">
      <c r="A15587" t="s">
        <v>219</v>
      </c>
      <c r="B15587" t="s">
        <v>305</v>
      </c>
      <c r="C15587" t="s">
        <v>534</v>
      </c>
      <c r="D15587" t="s">
        <v>535</v>
      </c>
      <c r="E15587" t="s">
        <v>536</v>
      </c>
      <c r="F15587" t="s">
        <v>537</v>
      </c>
      <c r="G15587" t="s">
        <v>226</v>
      </c>
    </row>
    <row r="15588" spans="1:7" x14ac:dyDescent="0.35">
      <c r="A15588" t="s">
        <v>227</v>
      </c>
      <c r="B15588" t="s">
        <v>249</v>
      </c>
      <c r="C15588">
        <v>3.37</v>
      </c>
      <c r="D15588">
        <v>2</v>
      </c>
      <c r="E15588">
        <v>0</v>
      </c>
      <c r="F15588">
        <v>15</v>
      </c>
      <c r="G15588">
        <v>41</v>
      </c>
    </row>
    <row r="15589" spans="1:7" x14ac:dyDescent="0.35">
      <c r="A15589" t="s">
        <v>227</v>
      </c>
      <c r="B15589" t="s">
        <v>248</v>
      </c>
      <c r="C15589">
        <v>1.23</v>
      </c>
      <c r="D15589">
        <v>0</v>
      </c>
      <c r="E15589">
        <v>0</v>
      </c>
      <c r="F15589">
        <v>20</v>
      </c>
      <c r="G15589">
        <v>115</v>
      </c>
    </row>
    <row r="15590" spans="1:7" x14ac:dyDescent="0.35">
      <c r="A15590" t="s">
        <v>228</v>
      </c>
      <c r="B15590" t="s">
        <v>249</v>
      </c>
      <c r="C15590">
        <v>2.92</v>
      </c>
      <c r="D15590">
        <v>1</v>
      </c>
      <c r="E15590">
        <v>0</v>
      </c>
      <c r="F15590">
        <v>20</v>
      </c>
      <c r="G15590">
        <v>269</v>
      </c>
    </row>
    <row r="15591" spans="1:7" x14ac:dyDescent="0.35">
      <c r="A15591" t="s">
        <v>228</v>
      </c>
      <c r="B15591" t="s">
        <v>248</v>
      </c>
      <c r="C15591">
        <v>1.68</v>
      </c>
      <c r="D15591">
        <v>0</v>
      </c>
      <c r="E15591">
        <v>0</v>
      </c>
      <c r="F15591">
        <v>24</v>
      </c>
      <c r="G15591">
        <v>750</v>
      </c>
    </row>
    <row r="15592" spans="1:7" x14ac:dyDescent="0.35">
      <c r="A15592" t="s">
        <v>229</v>
      </c>
      <c r="B15592" t="s">
        <v>249</v>
      </c>
      <c r="C15592">
        <v>1.9</v>
      </c>
      <c r="D15592">
        <v>1</v>
      </c>
      <c r="E15592">
        <v>0</v>
      </c>
      <c r="F15592">
        <v>20</v>
      </c>
      <c r="G15592">
        <v>254</v>
      </c>
    </row>
    <row r="15593" spans="1:7" x14ac:dyDescent="0.35">
      <c r="A15593" t="s">
        <v>229</v>
      </c>
      <c r="B15593" t="s">
        <v>248</v>
      </c>
      <c r="C15593">
        <v>1.37</v>
      </c>
      <c r="D15593">
        <v>0</v>
      </c>
      <c r="E15593">
        <v>0</v>
      </c>
      <c r="F15593">
        <v>20</v>
      </c>
      <c r="G15593">
        <v>630</v>
      </c>
    </row>
    <row r="15594" spans="1:7" x14ac:dyDescent="0.35">
      <c r="A15594" t="s">
        <v>230</v>
      </c>
      <c r="B15594" t="s">
        <v>249</v>
      </c>
      <c r="C15594">
        <v>2.79</v>
      </c>
      <c r="D15594">
        <v>1</v>
      </c>
      <c r="E15594">
        <v>0</v>
      </c>
      <c r="F15594">
        <v>20</v>
      </c>
      <c r="G15594">
        <v>170</v>
      </c>
    </row>
    <row r="15595" spans="1:7" x14ac:dyDescent="0.35">
      <c r="A15595" t="s">
        <v>230</v>
      </c>
      <c r="B15595" t="s">
        <v>248</v>
      </c>
      <c r="C15595">
        <v>1.31</v>
      </c>
      <c r="D15595">
        <v>0</v>
      </c>
      <c r="E15595">
        <v>0</v>
      </c>
      <c r="F15595">
        <v>20</v>
      </c>
      <c r="G15595">
        <v>385</v>
      </c>
    </row>
    <row r="15596" spans="1:7" x14ac:dyDescent="0.35">
      <c r="A15596" t="s">
        <v>231</v>
      </c>
      <c r="B15596" t="s">
        <v>249</v>
      </c>
      <c r="C15596">
        <v>2.25</v>
      </c>
      <c r="D15596">
        <v>1</v>
      </c>
      <c r="E15596">
        <v>0</v>
      </c>
      <c r="F15596">
        <v>20</v>
      </c>
      <c r="G15596">
        <v>32</v>
      </c>
    </row>
    <row r="15597" spans="1:7" x14ac:dyDescent="0.35">
      <c r="A15597" t="s">
        <v>231</v>
      </c>
      <c r="B15597" t="s">
        <v>248</v>
      </c>
      <c r="C15597">
        <v>1.1399999999999999</v>
      </c>
      <c r="D15597">
        <v>0</v>
      </c>
      <c r="E15597">
        <v>0</v>
      </c>
      <c r="F15597">
        <v>20</v>
      </c>
      <c r="G15597">
        <v>126</v>
      </c>
    </row>
    <row r="15598" spans="1:7" x14ac:dyDescent="0.35">
      <c r="A15598" t="s">
        <v>232</v>
      </c>
      <c r="B15598" t="s">
        <v>232</v>
      </c>
      <c r="C15598">
        <v>1.66</v>
      </c>
      <c r="D15598">
        <v>0</v>
      </c>
      <c r="E15598">
        <v>0</v>
      </c>
      <c r="F15598">
        <v>24</v>
      </c>
      <c r="G15598">
        <v>2772</v>
      </c>
    </row>
    <row r="15600" spans="1:7" x14ac:dyDescent="0.35">
      <c r="A15600" s="1" t="s">
        <v>1659</v>
      </c>
    </row>
    <row r="15601" spans="1:7" x14ac:dyDescent="0.35">
      <c r="A15601" t="s">
        <v>219</v>
      </c>
      <c r="B15601" t="s">
        <v>305</v>
      </c>
      <c r="C15601" t="s">
        <v>534</v>
      </c>
      <c r="D15601" t="s">
        <v>535</v>
      </c>
      <c r="E15601" t="s">
        <v>536</v>
      </c>
      <c r="F15601" t="s">
        <v>537</v>
      </c>
      <c r="G15601" t="s">
        <v>226</v>
      </c>
    </row>
    <row r="15602" spans="1:7" x14ac:dyDescent="0.35">
      <c r="A15602" s="27" t="s">
        <v>227</v>
      </c>
      <c r="B15602" s="27" t="s">
        <v>263</v>
      </c>
      <c r="C15602" s="29">
        <v>0.67</v>
      </c>
      <c r="D15602" s="29">
        <v>2</v>
      </c>
      <c r="E15602" s="29">
        <v>0</v>
      </c>
      <c r="F15602" s="29">
        <v>2</v>
      </c>
      <c r="G15602" s="29">
        <v>3</v>
      </c>
    </row>
    <row r="15603" spans="1:7" x14ac:dyDescent="0.35">
      <c r="A15603" s="27" t="s">
        <v>227</v>
      </c>
      <c r="B15603" s="27" t="s">
        <v>262</v>
      </c>
      <c r="C15603" s="29">
        <v>0</v>
      </c>
      <c r="D15603" s="29">
        <v>0</v>
      </c>
      <c r="E15603" s="29">
        <v>0</v>
      </c>
      <c r="F15603" s="29">
        <v>0</v>
      </c>
      <c r="G15603" s="29">
        <v>3</v>
      </c>
    </row>
    <row r="15604" spans="1:7" x14ac:dyDescent="0.35">
      <c r="A15604" t="s">
        <v>227</v>
      </c>
      <c r="B15604" t="s">
        <v>260</v>
      </c>
      <c r="C15604">
        <v>1.83</v>
      </c>
      <c r="D15604">
        <v>0</v>
      </c>
      <c r="E15604">
        <v>0</v>
      </c>
      <c r="F15604">
        <v>15</v>
      </c>
      <c r="G15604">
        <v>117</v>
      </c>
    </row>
    <row r="15605" spans="1:7" x14ac:dyDescent="0.35">
      <c r="A15605" t="s">
        <v>227</v>
      </c>
      <c r="B15605" t="s">
        <v>261</v>
      </c>
      <c r="C15605">
        <v>1.91</v>
      </c>
      <c r="D15605">
        <v>0</v>
      </c>
      <c r="E15605">
        <v>0</v>
      </c>
      <c r="F15605">
        <v>20</v>
      </c>
      <c r="G15605">
        <v>33</v>
      </c>
    </row>
    <row r="15606" spans="1:7" x14ac:dyDescent="0.35">
      <c r="A15606" t="s">
        <v>228</v>
      </c>
      <c r="B15606" t="s">
        <v>262</v>
      </c>
      <c r="C15606">
        <v>1.99</v>
      </c>
      <c r="D15606">
        <v>1</v>
      </c>
      <c r="E15606">
        <v>0</v>
      </c>
      <c r="F15606">
        <v>20</v>
      </c>
      <c r="G15606">
        <v>198</v>
      </c>
    </row>
    <row r="15607" spans="1:7" x14ac:dyDescent="0.35">
      <c r="A15607" s="27" t="s">
        <v>228</v>
      </c>
      <c r="B15607" s="27" t="s">
        <v>236</v>
      </c>
      <c r="C15607" s="29">
        <v>3.9</v>
      </c>
      <c r="D15607" s="29">
        <v>5</v>
      </c>
      <c r="E15607" s="29">
        <v>0</v>
      </c>
      <c r="F15607" s="29">
        <v>5</v>
      </c>
      <c r="G15607" s="29">
        <v>6</v>
      </c>
    </row>
    <row r="15608" spans="1:7" x14ac:dyDescent="0.35">
      <c r="A15608" t="s">
        <v>228</v>
      </c>
      <c r="B15608" t="s">
        <v>260</v>
      </c>
      <c r="C15608">
        <v>1.58</v>
      </c>
      <c r="D15608">
        <v>0</v>
      </c>
      <c r="E15608">
        <v>0</v>
      </c>
      <c r="F15608">
        <v>20</v>
      </c>
      <c r="G15608">
        <v>603</v>
      </c>
    </row>
    <row r="15609" spans="1:7" x14ac:dyDescent="0.35">
      <c r="A15609" s="27" t="s">
        <v>228</v>
      </c>
      <c r="B15609" s="27" t="s">
        <v>263</v>
      </c>
      <c r="C15609" s="29">
        <v>1.37</v>
      </c>
      <c r="D15609" s="29">
        <v>2</v>
      </c>
      <c r="E15609" s="29">
        <v>0</v>
      </c>
      <c r="F15609" s="29">
        <v>6</v>
      </c>
      <c r="G15609" s="29">
        <v>25</v>
      </c>
    </row>
    <row r="15610" spans="1:7" x14ac:dyDescent="0.35">
      <c r="A15610" t="s">
        <v>228</v>
      </c>
      <c r="B15610" t="s">
        <v>261</v>
      </c>
      <c r="C15610">
        <v>3.63</v>
      </c>
      <c r="D15610">
        <v>1</v>
      </c>
      <c r="E15610">
        <v>0</v>
      </c>
      <c r="F15610">
        <v>24</v>
      </c>
      <c r="G15610">
        <v>187</v>
      </c>
    </row>
    <row r="15611" spans="1:7" x14ac:dyDescent="0.35">
      <c r="A15611" t="s">
        <v>229</v>
      </c>
      <c r="B15611" t="s">
        <v>261</v>
      </c>
      <c r="C15611">
        <v>1.97</v>
      </c>
      <c r="D15611">
        <v>1</v>
      </c>
      <c r="E15611">
        <v>0</v>
      </c>
      <c r="F15611">
        <v>20</v>
      </c>
      <c r="G15611">
        <v>96</v>
      </c>
    </row>
    <row r="15612" spans="1:7" x14ac:dyDescent="0.35">
      <c r="A15612" t="s">
        <v>229</v>
      </c>
      <c r="B15612" t="s">
        <v>262</v>
      </c>
      <c r="C15612">
        <v>1.58</v>
      </c>
      <c r="D15612">
        <v>0</v>
      </c>
      <c r="E15612">
        <v>0</v>
      </c>
      <c r="F15612">
        <v>20</v>
      </c>
      <c r="G15612">
        <v>185</v>
      </c>
    </row>
    <row r="15613" spans="1:7" x14ac:dyDescent="0.35">
      <c r="A15613" s="27" t="s">
        <v>229</v>
      </c>
      <c r="B15613" s="27" t="s">
        <v>263</v>
      </c>
      <c r="C15613" s="29">
        <v>1.5</v>
      </c>
      <c r="D15613" s="29">
        <v>1</v>
      </c>
      <c r="E15613" s="29">
        <v>0</v>
      </c>
      <c r="F15613" s="29">
        <v>20</v>
      </c>
      <c r="G15613" s="29">
        <v>13</v>
      </c>
    </row>
    <row r="15614" spans="1:7" x14ac:dyDescent="0.35">
      <c r="A15614" t="s">
        <v>229</v>
      </c>
      <c r="B15614" t="s">
        <v>260</v>
      </c>
      <c r="C15614">
        <v>1.41</v>
      </c>
      <c r="D15614">
        <v>0</v>
      </c>
      <c r="E15614">
        <v>0</v>
      </c>
      <c r="F15614">
        <v>20</v>
      </c>
      <c r="G15614">
        <v>589</v>
      </c>
    </row>
    <row r="15615" spans="1:7" x14ac:dyDescent="0.35">
      <c r="A15615" s="27" t="s">
        <v>229</v>
      </c>
      <c r="B15615" s="27" t="s">
        <v>236</v>
      </c>
      <c r="C15615" s="29">
        <v>0</v>
      </c>
      <c r="D15615" s="29">
        <v>0</v>
      </c>
      <c r="E15615" s="29">
        <v>0</v>
      </c>
      <c r="F15615" s="29">
        <v>0</v>
      </c>
      <c r="G15615" s="29">
        <v>1</v>
      </c>
    </row>
    <row r="15616" spans="1:7" x14ac:dyDescent="0.35">
      <c r="A15616" t="s">
        <v>230</v>
      </c>
      <c r="B15616" t="s">
        <v>262</v>
      </c>
      <c r="C15616">
        <v>2.3199999999999998</v>
      </c>
      <c r="D15616">
        <v>1</v>
      </c>
      <c r="E15616">
        <v>0</v>
      </c>
      <c r="F15616">
        <v>20</v>
      </c>
      <c r="G15616">
        <v>122</v>
      </c>
    </row>
    <row r="15617" spans="1:7" x14ac:dyDescent="0.35">
      <c r="A15617" s="27" t="s">
        <v>230</v>
      </c>
      <c r="B15617" s="27" t="s">
        <v>236</v>
      </c>
      <c r="C15617" s="29">
        <v>0.46</v>
      </c>
      <c r="D15617" s="29">
        <v>2</v>
      </c>
      <c r="E15617" s="29">
        <v>0</v>
      </c>
      <c r="F15617" s="29">
        <v>6</v>
      </c>
      <c r="G15617" s="29">
        <v>4</v>
      </c>
    </row>
    <row r="15618" spans="1:7" x14ac:dyDescent="0.35">
      <c r="A15618" s="27" t="s">
        <v>230</v>
      </c>
      <c r="B15618" s="27" t="s">
        <v>263</v>
      </c>
      <c r="C15618" s="29">
        <v>7.75</v>
      </c>
      <c r="D15618" s="29">
        <v>2</v>
      </c>
      <c r="E15618" s="29">
        <v>0</v>
      </c>
      <c r="F15618" s="29">
        <v>20</v>
      </c>
      <c r="G15618" s="29">
        <v>25</v>
      </c>
    </row>
    <row r="15619" spans="1:7" x14ac:dyDescent="0.35">
      <c r="A15619" t="s">
        <v>230</v>
      </c>
      <c r="B15619" t="s">
        <v>260</v>
      </c>
      <c r="C15619">
        <v>1.61</v>
      </c>
      <c r="D15619">
        <v>0</v>
      </c>
      <c r="E15619">
        <v>0</v>
      </c>
      <c r="F15619">
        <v>20</v>
      </c>
      <c r="G15619">
        <v>347</v>
      </c>
    </row>
    <row r="15620" spans="1:7" x14ac:dyDescent="0.35">
      <c r="A15620" t="s">
        <v>230</v>
      </c>
      <c r="B15620" t="s">
        <v>261</v>
      </c>
      <c r="C15620">
        <v>1.61</v>
      </c>
      <c r="D15620">
        <v>0</v>
      </c>
      <c r="E15620">
        <v>0</v>
      </c>
      <c r="F15620">
        <v>15</v>
      </c>
      <c r="G15620">
        <v>57</v>
      </c>
    </row>
    <row r="15621" spans="1:7" x14ac:dyDescent="0.35">
      <c r="A15621" s="27" t="s">
        <v>231</v>
      </c>
      <c r="B15621" s="27" t="s">
        <v>262</v>
      </c>
      <c r="C15621" s="29">
        <v>1.2</v>
      </c>
      <c r="D15621" s="29">
        <v>0</v>
      </c>
      <c r="E15621" s="29">
        <v>0</v>
      </c>
      <c r="F15621" s="29">
        <v>5</v>
      </c>
      <c r="G15621" s="29">
        <v>10</v>
      </c>
    </row>
    <row r="15622" spans="1:7" x14ac:dyDescent="0.35">
      <c r="A15622" s="27" t="s">
        <v>231</v>
      </c>
      <c r="B15622" s="27" t="s">
        <v>263</v>
      </c>
      <c r="C15622" s="29">
        <v>2.5</v>
      </c>
      <c r="D15622" s="29">
        <v>0</v>
      </c>
      <c r="E15622" s="29">
        <v>0</v>
      </c>
      <c r="F15622" s="29">
        <v>5</v>
      </c>
      <c r="G15622" s="29">
        <v>2</v>
      </c>
    </row>
    <row r="15623" spans="1:7" x14ac:dyDescent="0.35">
      <c r="A15623" s="27" t="s">
        <v>231</v>
      </c>
      <c r="B15623" s="27" t="s">
        <v>261</v>
      </c>
      <c r="C15623" s="29">
        <v>2.81</v>
      </c>
      <c r="D15623" s="29">
        <v>1</v>
      </c>
      <c r="E15623" s="29">
        <v>0</v>
      </c>
      <c r="F15623" s="29">
        <v>20</v>
      </c>
      <c r="G15623" s="29">
        <v>26</v>
      </c>
    </row>
    <row r="15624" spans="1:7" x14ac:dyDescent="0.35">
      <c r="A15624" t="s">
        <v>231</v>
      </c>
      <c r="B15624" t="s">
        <v>260</v>
      </c>
      <c r="C15624">
        <v>1.05</v>
      </c>
      <c r="D15624">
        <v>0</v>
      </c>
      <c r="E15624">
        <v>0</v>
      </c>
      <c r="F15624">
        <v>20</v>
      </c>
      <c r="G15624">
        <v>120</v>
      </c>
    </row>
    <row r="15625" spans="1:7" x14ac:dyDescent="0.35">
      <c r="A15625" t="s">
        <v>232</v>
      </c>
      <c r="B15625" t="s">
        <v>232</v>
      </c>
      <c r="C15625">
        <v>1.66</v>
      </c>
      <c r="D15625">
        <v>0</v>
      </c>
      <c r="E15625">
        <v>0</v>
      </c>
      <c r="F15625">
        <v>24</v>
      </c>
      <c r="G15625">
        <v>2772</v>
      </c>
    </row>
    <row r="15627" spans="1:7" x14ac:dyDescent="0.35">
      <c r="A15627" s="1" t="s">
        <v>1660</v>
      </c>
    </row>
    <row r="15628" spans="1:7" x14ac:dyDescent="0.35">
      <c r="A15628" t="s">
        <v>219</v>
      </c>
      <c r="B15628" t="s">
        <v>305</v>
      </c>
      <c r="C15628" t="s">
        <v>534</v>
      </c>
      <c r="D15628" t="s">
        <v>535</v>
      </c>
      <c r="E15628" t="s">
        <v>536</v>
      </c>
      <c r="F15628" t="s">
        <v>537</v>
      </c>
      <c r="G15628" t="s">
        <v>226</v>
      </c>
    </row>
    <row r="15629" spans="1:7" x14ac:dyDescent="0.35">
      <c r="A15629" t="s">
        <v>227</v>
      </c>
      <c r="B15629" t="s">
        <v>368</v>
      </c>
      <c r="C15629">
        <v>1.91</v>
      </c>
      <c r="D15629">
        <v>0</v>
      </c>
      <c r="E15629">
        <v>0</v>
      </c>
      <c r="F15629">
        <v>20</v>
      </c>
      <c r="G15629">
        <v>33</v>
      </c>
    </row>
    <row r="15630" spans="1:7" x14ac:dyDescent="0.35">
      <c r="A15630" t="s">
        <v>227</v>
      </c>
      <c r="B15630" t="s">
        <v>369</v>
      </c>
      <c r="C15630">
        <v>1.76</v>
      </c>
      <c r="D15630">
        <v>0</v>
      </c>
      <c r="E15630">
        <v>0</v>
      </c>
      <c r="F15630">
        <v>15</v>
      </c>
      <c r="G15630">
        <v>123</v>
      </c>
    </row>
    <row r="15631" spans="1:7" x14ac:dyDescent="0.35">
      <c r="A15631" t="s">
        <v>228</v>
      </c>
      <c r="B15631" t="s">
        <v>368</v>
      </c>
      <c r="C15631">
        <v>3.63</v>
      </c>
      <c r="D15631">
        <v>1</v>
      </c>
      <c r="E15631">
        <v>0</v>
      </c>
      <c r="F15631">
        <v>24</v>
      </c>
      <c r="G15631">
        <v>187</v>
      </c>
    </row>
    <row r="15632" spans="1:7" x14ac:dyDescent="0.35">
      <c r="A15632" t="s">
        <v>228</v>
      </c>
      <c r="B15632" t="s">
        <v>369</v>
      </c>
      <c r="C15632">
        <v>1.68</v>
      </c>
      <c r="D15632">
        <v>0</v>
      </c>
      <c r="E15632">
        <v>0</v>
      </c>
      <c r="F15632">
        <v>20</v>
      </c>
      <c r="G15632">
        <v>832</v>
      </c>
    </row>
    <row r="15633" spans="1:7" x14ac:dyDescent="0.35">
      <c r="A15633" t="s">
        <v>229</v>
      </c>
      <c r="B15633" t="s">
        <v>368</v>
      </c>
      <c r="C15633">
        <v>1.97</v>
      </c>
      <c r="D15633">
        <v>1</v>
      </c>
      <c r="E15633">
        <v>0</v>
      </c>
      <c r="F15633">
        <v>20</v>
      </c>
      <c r="G15633">
        <v>96</v>
      </c>
    </row>
    <row r="15634" spans="1:7" x14ac:dyDescent="0.35">
      <c r="A15634" t="s">
        <v>229</v>
      </c>
      <c r="B15634" t="s">
        <v>369</v>
      </c>
      <c r="C15634">
        <v>1.47</v>
      </c>
      <c r="D15634">
        <v>0</v>
      </c>
      <c r="E15634">
        <v>0</v>
      </c>
      <c r="F15634">
        <v>20</v>
      </c>
      <c r="G15634">
        <v>788</v>
      </c>
    </row>
    <row r="15635" spans="1:7" x14ac:dyDescent="0.35">
      <c r="A15635" t="s">
        <v>230</v>
      </c>
      <c r="B15635" t="s">
        <v>368</v>
      </c>
      <c r="C15635">
        <v>1.61</v>
      </c>
      <c r="D15635">
        <v>0</v>
      </c>
      <c r="E15635">
        <v>0</v>
      </c>
      <c r="F15635">
        <v>15</v>
      </c>
      <c r="G15635">
        <v>57</v>
      </c>
    </row>
    <row r="15636" spans="1:7" x14ac:dyDescent="0.35">
      <c r="A15636" t="s">
        <v>230</v>
      </c>
      <c r="B15636" t="s">
        <v>369</v>
      </c>
      <c r="C15636">
        <v>1.84</v>
      </c>
      <c r="D15636">
        <v>0</v>
      </c>
      <c r="E15636">
        <v>0</v>
      </c>
      <c r="F15636">
        <v>20</v>
      </c>
      <c r="G15636">
        <v>498</v>
      </c>
    </row>
    <row r="15637" spans="1:7" x14ac:dyDescent="0.35">
      <c r="A15637" s="27" t="s">
        <v>231</v>
      </c>
      <c r="B15637" s="27" t="s">
        <v>368</v>
      </c>
      <c r="C15637" s="29">
        <v>2.81</v>
      </c>
      <c r="D15637" s="29">
        <v>1</v>
      </c>
      <c r="E15637" s="29">
        <v>0</v>
      </c>
      <c r="F15637" s="29">
        <v>20</v>
      </c>
      <c r="G15637" s="29">
        <v>26</v>
      </c>
    </row>
    <row r="15638" spans="1:7" x14ac:dyDescent="0.35">
      <c r="A15638" t="s">
        <v>231</v>
      </c>
      <c r="B15638" t="s">
        <v>369</v>
      </c>
      <c r="C15638">
        <v>1.08</v>
      </c>
      <c r="D15638">
        <v>0</v>
      </c>
      <c r="E15638">
        <v>0</v>
      </c>
      <c r="F15638">
        <v>20</v>
      </c>
      <c r="G15638">
        <v>132</v>
      </c>
    </row>
    <row r="15639" spans="1:7" x14ac:dyDescent="0.35">
      <c r="A15639" t="s">
        <v>232</v>
      </c>
      <c r="B15639" t="s">
        <v>232</v>
      </c>
      <c r="C15639">
        <v>1.66</v>
      </c>
      <c r="D15639">
        <v>0</v>
      </c>
      <c r="E15639">
        <v>0</v>
      </c>
      <c r="F15639">
        <v>24</v>
      </c>
      <c r="G15639">
        <v>2772</v>
      </c>
    </row>
    <row r="15641" spans="1:7" x14ac:dyDescent="0.35">
      <c r="A15641" s="1" t="s">
        <v>1661</v>
      </c>
    </row>
    <row r="15642" spans="1:7" x14ac:dyDescent="0.35">
      <c r="A15642" t="s">
        <v>219</v>
      </c>
      <c r="B15642" t="s">
        <v>305</v>
      </c>
      <c r="C15642" t="s">
        <v>534</v>
      </c>
      <c r="D15642" t="s">
        <v>535</v>
      </c>
      <c r="E15642" t="s">
        <v>536</v>
      </c>
      <c r="F15642" t="s">
        <v>537</v>
      </c>
      <c r="G15642" t="s">
        <v>226</v>
      </c>
    </row>
    <row r="15643" spans="1:7" x14ac:dyDescent="0.35">
      <c r="A15643" t="s">
        <v>227</v>
      </c>
      <c r="B15643" t="s">
        <v>371</v>
      </c>
      <c r="C15643">
        <v>1.79</v>
      </c>
      <c r="D15643">
        <v>0</v>
      </c>
      <c r="E15643">
        <v>0</v>
      </c>
      <c r="F15643">
        <v>20</v>
      </c>
      <c r="G15643">
        <v>156</v>
      </c>
    </row>
    <row r="15644" spans="1:7" x14ac:dyDescent="0.35">
      <c r="A15644" t="s">
        <v>228</v>
      </c>
      <c r="B15644" t="s">
        <v>371</v>
      </c>
      <c r="C15644">
        <v>2.27</v>
      </c>
      <c r="D15644">
        <v>0</v>
      </c>
      <c r="E15644">
        <v>0</v>
      </c>
      <c r="F15644">
        <v>24</v>
      </c>
      <c r="G15644">
        <v>288</v>
      </c>
    </row>
    <row r="15645" spans="1:7" x14ac:dyDescent="0.35">
      <c r="A15645" t="s">
        <v>228</v>
      </c>
      <c r="B15645" t="s">
        <v>372</v>
      </c>
      <c r="C15645">
        <v>1.97</v>
      </c>
      <c r="D15645">
        <v>1</v>
      </c>
      <c r="E15645">
        <v>0</v>
      </c>
      <c r="F15645">
        <v>15</v>
      </c>
      <c r="G15645">
        <v>215</v>
      </c>
    </row>
    <row r="15646" spans="1:7" x14ac:dyDescent="0.35">
      <c r="A15646" t="s">
        <v>228</v>
      </c>
      <c r="B15646" t="s">
        <v>373</v>
      </c>
      <c r="C15646">
        <v>1.78</v>
      </c>
      <c r="D15646">
        <v>1</v>
      </c>
      <c r="E15646">
        <v>0</v>
      </c>
      <c r="F15646">
        <v>20</v>
      </c>
      <c r="G15646">
        <v>516</v>
      </c>
    </row>
    <row r="15647" spans="1:7" x14ac:dyDescent="0.35">
      <c r="A15647" t="s">
        <v>229</v>
      </c>
      <c r="B15647" t="s">
        <v>371</v>
      </c>
      <c r="C15647">
        <v>1.51</v>
      </c>
      <c r="D15647">
        <v>0</v>
      </c>
      <c r="E15647">
        <v>0</v>
      </c>
      <c r="F15647">
        <v>20</v>
      </c>
      <c r="G15647">
        <v>575</v>
      </c>
    </row>
    <row r="15648" spans="1:7" x14ac:dyDescent="0.35">
      <c r="A15648" t="s">
        <v>229</v>
      </c>
      <c r="B15648" t="s">
        <v>372</v>
      </c>
      <c r="C15648">
        <v>2.13</v>
      </c>
      <c r="D15648">
        <v>1</v>
      </c>
      <c r="E15648">
        <v>0</v>
      </c>
      <c r="F15648">
        <v>20</v>
      </c>
      <c r="G15648">
        <v>220</v>
      </c>
    </row>
    <row r="15649" spans="1:7" x14ac:dyDescent="0.35">
      <c r="A15649" t="s">
        <v>229</v>
      </c>
      <c r="B15649" t="s">
        <v>373</v>
      </c>
      <c r="C15649">
        <v>1.53</v>
      </c>
      <c r="D15649">
        <v>1</v>
      </c>
      <c r="E15649">
        <v>0</v>
      </c>
      <c r="F15649">
        <v>20</v>
      </c>
      <c r="G15649">
        <v>89</v>
      </c>
    </row>
    <row r="15650" spans="1:7" x14ac:dyDescent="0.35">
      <c r="A15650" t="s">
        <v>230</v>
      </c>
      <c r="B15650" t="s">
        <v>371</v>
      </c>
      <c r="C15650">
        <v>1.72</v>
      </c>
      <c r="D15650">
        <v>0</v>
      </c>
      <c r="E15650">
        <v>0</v>
      </c>
      <c r="F15650">
        <v>20</v>
      </c>
      <c r="G15650">
        <v>259</v>
      </c>
    </row>
    <row r="15651" spans="1:7" x14ac:dyDescent="0.35">
      <c r="A15651" t="s">
        <v>230</v>
      </c>
      <c r="B15651" t="s">
        <v>372</v>
      </c>
      <c r="C15651">
        <v>2.63</v>
      </c>
      <c r="D15651">
        <v>1</v>
      </c>
      <c r="E15651">
        <v>0</v>
      </c>
      <c r="F15651">
        <v>20</v>
      </c>
      <c r="G15651">
        <v>145</v>
      </c>
    </row>
    <row r="15652" spans="1:7" x14ac:dyDescent="0.35">
      <c r="A15652" t="s">
        <v>230</v>
      </c>
      <c r="B15652" t="s">
        <v>373</v>
      </c>
      <c r="C15652">
        <v>2.0099999999999998</v>
      </c>
      <c r="D15652">
        <v>1</v>
      </c>
      <c r="E15652">
        <v>0</v>
      </c>
      <c r="F15652">
        <v>20</v>
      </c>
      <c r="G15652">
        <v>151</v>
      </c>
    </row>
    <row r="15653" spans="1:7" x14ac:dyDescent="0.35">
      <c r="A15653" t="s">
        <v>231</v>
      </c>
      <c r="B15653" t="s">
        <v>371</v>
      </c>
      <c r="C15653">
        <v>1.37</v>
      </c>
      <c r="D15653">
        <v>0</v>
      </c>
      <c r="E15653">
        <v>0</v>
      </c>
      <c r="F15653">
        <v>20</v>
      </c>
      <c r="G15653">
        <v>158</v>
      </c>
    </row>
    <row r="15654" spans="1:7" x14ac:dyDescent="0.35">
      <c r="A15654" t="s">
        <v>232</v>
      </c>
      <c r="B15654" t="s">
        <v>232</v>
      </c>
      <c r="C15654">
        <v>1.66</v>
      </c>
      <c r="D15654">
        <v>0</v>
      </c>
      <c r="E15654">
        <v>0</v>
      </c>
      <c r="F15654">
        <v>24</v>
      </c>
      <c r="G15654">
        <v>2772</v>
      </c>
    </row>
    <row r="15656" spans="1:7" x14ac:dyDescent="0.35">
      <c r="A15656" s="1" t="s">
        <v>1662</v>
      </c>
    </row>
    <row r="15657" spans="1:7" x14ac:dyDescent="0.35">
      <c r="A15657" t="s">
        <v>219</v>
      </c>
      <c r="B15657" t="s">
        <v>305</v>
      </c>
      <c r="C15657" t="s">
        <v>534</v>
      </c>
      <c r="D15657" t="s">
        <v>535</v>
      </c>
      <c r="E15657" t="s">
        <v>536</v>
      </c>
      <c r="F15657" t="s">
        <v>537</v>
      </c>
      <c r="G15657" t="s">
        <v>226</v>
      </c>
    </row>
    <row r="15658" spans="1:7" x14ac:dyDescent="0.35">
      <c r="A15658" t="s">
        <v>227</v>
      </c>
      <c r="B15658" t="s">
        <v>255</v>
      </c>
      <c r="C15658">
        <v>1.23</v>
      </c>
      <c r="D15658">
        <v>0</v>
      </c>
      <c r="E15658">
        <v>0</v>
      </c>
      <c r="F15658">
        <v>20</v>
      </c>
      <c r="G15658">
        <v>115</v>
      </c>
    </row>
    <row r="15659" spans="1:7" x14ac:dyDescent="0.35">
      <c r="A15659" t="s">
        <v>227</v>
      </c>
      <c r="B15659" t="s">
        <v>256</v>
      </c>
      <c r="C15659">
        <v>3.15</v>
      </c>
      <c r="D15659">
        <v>2</v>
      </c>
      <c r="E15659">
        <v>0</v>
      </c>
      <c r="F15659">
        <v>15</v>
      </c>
      <c r="G15659">
        <v>33</v>
      </c>
    </row>
    <row r="15660" spans="1:7" x14ac:dyDescent="0.35">
      <c r="A15660" s="27" t="s">
        <v>227</v>
      </c>
      <c r="B15660" s="27" t="s">
        <v>257</v>
      </c>
      <c r="C15660" s="29">
        <v>4.25</v>
      </c>
      <c r="D15660" s="29">
        <v>1</v>
      </c>
      <c r="E15660" s="29">
        <v>0</v>
      </c>
      <c r="F15660" s="29">
        <v>10</v>
      </c>
      <c r="G15660" s="29">
        <v>8</v>
      </c>
    </row>
    <row r="15661" spans="1:7" x14ac:dyDescent="0.35">
      <c r="A15661" t="s">
        <v>228</v>
      </c>
      <c r="B15661" t="s">
        <v>255</v>
      </c>
      <c r="C15661">
        <v>1.68</v>
      </c>
      <c r="D15661">
        <v>0</v>
      </c>
      <c r="E15661">
        <v>0</v>
      </c>
      <c r="F15661">
        <v>24</v>
      </c>
      <c r="G15661">
        <v>750</v>
      </c>
    </row>
    <row r="15662" spans="1:7" x14ac:dyDescent="0.35">
      <c r="A15662" t="s">
        <v>228</v>
      </c>
      <c r="B15662" t="s">
        <v>256</v>
      </c>
      <c r="C15662">
        <v>2.52</v>
      </c>
      <c r="D15662">
        <v>1</v>
      </c>
      <c r="E15662">
        <v>0</v>
      </c>
      <c r="F15662">
        <v>20</v>
      </c>
      <c r="G15662">
        <v>218</v>
      </c>
    </row>
    <row r="15663" spans="1:7" x14ac:dyDescent="0.35">
      <c r="A15663" t="s">
        <v>228</v>
      </c>
      <c r="B15663" t="s">
        <v>257</v>
      </c>
      <c r="C15663">
        <v>4.9400000000000004</v>
      </c>
      <c r="D15663">
        <v>2</v>
      </c>
      <c r="E15663">
        <v>0</v>
      </c>
      <c r="F15663">
        <v>20</v>
      </c>
      <c r="G15663">
        <v>47</v>
      </c>
    </row>
    <row r="15664" spans="1:7" x14ac:dyDescent="0.35">
      <c r="A15664" s="27" t="s">
        <v>228</v>
      </c>
      <c r="B15664" s="27" t="s">
        <v>258</v>
      </c>
      <c r="C15664" s="29">
        <v>2.48</v>
      </c>
      <c r="D15664" s="29">
        <v>10</v>
      </c>
      <c r="E15664" s="29">
        <v>1</v>
      </c>
      <c r="F15664" s="29">
        <v>10</v>
      </c>
      <c r="G15664" s="29">
        <v>4</v>
      </c>
    </row>
    <row r="15665" spans="1:7" x14ac:dyDescent="0.35">
      <c r="A15665" t="s">
        <v>229</v>
      </c>
      <c r="B15665" t="s">
        <v>255</v>
      </c>
      <c r="C15665">
        <v>1.37</v>
      </c>
      <c r="D15665">
        <v>0</v>
      </c>
      <c r="E15665">
        <v>0</v>
      </c>
      <c r="F15665">
        <v>20</v>
      </c>
      <c r="G15665">
        <v>630</v>
      </c>
    </row>
    <row r="15666" spans="1:7" x14ac:dyDescent="0.35">
      <c r="A15666" s="27" t="s">
        <v>229</v>
      </c>
      <c r="B15666" s="27" t="s">
        <v>258</v>
      </c>
      <c r="C15666" s="29">
        <v>0</v>
      </c>
      <c r="D15666" s="29">
        <v>0</v>
      </c>
      <c r="E15666" s="29">
        <v>0</v>
      </c>
      <c r="F15666" s="29">
        <v>0</v>
      </c>
      <c r="G15666" s="29">
        <v>2</v>
      </c>
    </row>
    <row r="15667" spans="1:7" x14ac:dyDescent="0.35">
      <c r="A15667" t="s">
        <v>229</v>
      </c>
      <c r="B15667" t="s">
        <v>256</v>
      </c>
      <c r="C15667">
        <v>1.77</v>
      </c>
      <c r="D15667">
        <v>1</v>
      </c>
      <c r="E15667">
        <v>0</v>
      </c>
      <c r="F15667">
        <v>20</v>
      </c>
      <c r="G15667">
        <v>202</v>
      </c>
    </row>
    <row r="15668" spans="1:7" x14ac:dyDescent="0.35">
      <c r="A15668" t="s">
        <v>229</v>
      </c>
      <c r="B15668" t="s">
        <v>257</v>
      </c>
      <c r="C15668">
        <v>2.52</v>
      </c>
      <c r="D15668">
        <v>2</v>
      </c>
      <c r="E15668">
        <v>0</v>
      </c>
      <c r="F15668">
        <v>10</v>
      </c>
      <c r="G15668">
        <v>50</v>
      </c>
    </row>
    <row r="15669" spans="1:7" x14ac:dyDescent="0.35">
      <c r="A15669" t="s">
        <v>230</v>
      </c>
      <c r="B15669" t="s">
        <v>255</v>
      </c>
      <c r="C15669">
        <v>1.31</v>
      </c>
      <c r="D15669">
        <v>0</v>
      </c>
      <c r="E15669">
        <v>0</v>
      </c>
      <c r="F15669">
        <v>20</v>
      </c>
      <c r="G15669">
        <v>385</v>
      </c>
    </row>
    <row r="15670" spans="1:7" x14ac:dyDescent="0.35">
      <c r="A15670" t="s">
        <v>230</v>
      </c>
      <c r="B15670" t="s">
        <v>256</v>
      </c>
      <c r="C15670">
        <v>2.97</v>
      </c>
      <c r="D15670">
        <v>1</v>
      </c>
      <c r="E15670">
        <v>0</v>
      </c>
      <c r="F15670">
        <v>20</v>
      </c>
      <c r="G15670">
        <v>129</v>
      </c>
    </row>
    <row r="15671" spans="1:7" x14ac:dyDescent="0.35">
      <c r="A15671" s="27" t="s">
        <v>230</v>
      </c>
      <c r="B15671" s="27" t="s">
        <v>258</v>
      </c>
      <c r="C15671" s="29">
        <v>0.34</v>
      </c>
      <c r="D15671" s="29">
        <v>1</v>
      </c>
      <c r="E15671" s="29">
        <v>0</v>
      </c>
      <c r="F15671" s="29">
        <v>5</v>
      </c>
      <c r="G15671" s="29">
        <v>3</v>
      </c>
    </row>
    <row r="15672" spans="1:7" x14ac:dyDescent="0.35">
      <c r="A15672" t="s">
        <v>230</v>
      </c>
      <c r="B15672" t="s">
        <v>257</v>
      </c>
      <c r="C15672">
        <v>2.38</v>
      </c>
      <c r="D15672">
        <v>1</v>
      </c>
      <c r="E15672">
        <v>0</v>
      </c>
      <c r="F15672">
        <v>20</v>
      </c>
      <c r="G15672">
        <v>38</v>
      </c>
    </row>
    <row r="15673" spans="1:7" x14ac:dyDescent="0.35">
      <c r="A15673" s="27" t="s">
        <v>231</v>
      </c>
      <c r="B15673" s="27" t="s">
        <v>256</v>
      </c>
      <c r="C15673" s="29">
        <v>1.6</v>
      </c>
      <c r="D15673" s="29">
        <v>0</v>
      </c>
      <c r="E15673" s="29">
        <v>0</v>
      </c>
      <c r="F15673" s="29">
        <v>20</v>
      </c>
      <c r="G15673" s="29">
        <v>25</v>
      </c>
    </row>
    <row r="15674" spans="1:7" x14ac:dyDescent="0.35">
      <c r="A15674" t="s">
        <v>231</v>
      </c>
      <c r="B15674" t="s">
        <v>255</v>
      </c>
      <c r="C15674">
        <v>1.1399999999999999</v>
      </c>
      <c r="D15674">
        <v>0</v>
      </c>
      <c r="E15674">
        <v>0</v>
      </c>
      <c r="F15674">
        <v>20</v>
      </c>
      <c r="G15674">
        <v>126</v>
      </c>
    </row>
    <row r="15675" spans="1:7" x14ac:dyDescent="0.35">
      <c r="A15675" s="27" t="s">
        <v>231</v>
      </c>
      <c r="B15675" s="27" t="s">
        <v>257</v>
      </c>
      <c r="C15675" s="29">
        <v>4.57</v>
      </c>
      <c r="D15675" s="29">
        <v>4</v>
      </c>
      <c r="E15675" s="29">
        <v>0</v>
      </c>
      <c r="F15675" s="29">
        <v>10</v>
      </c>
      <c r="G15675" s="29">
        <v>7</v>
      </c>
    </row>
    <row r="15676" spans="1:7" x14ac:dyDescent="0.35">
      <c r="A15676" t="s">
        <v>232</v>
      </c>
      <c r="B15676" t="s">
        <v>232</v>
      </c>
      <c r="C15676">
        <v>1.66</v>
      </c>
      <c r="D15676">
        <v>0</v>
      </c>
      <c r="E15676">
        <v>0</v>
      </c>
      <c r="F15676">
        <v>24</v>
      </c>
      <c r="G15676">
        <v>2772</v>
      </c>
    </row>
    <row r="15678" spans="1:7" x14ac:dyDescent="0.35">
      <c r="A15678" s="1" t="s">
        <v>1663</v>
      </c>
    </row>
    <row r="15679" spans="1:7" x14ac:dyDescent="0.35">
      <c r="A15679" t="s">
        <v>219</v>
      </c>
      <c r="B15679" t="s">
        <v>305</v>
      </c>
      <c r="C15679" t="s">
        <v>534</v>
      </c>
      <c r="D15679" t="s">
        <v>535</v>
      </c>
      <c r="E15679" t="s">
        <v>536</v>
      </c>
      <c r="F15679" t="s">
        <v>537</v>
      </c>
      <c r="G15679" t="s">
        <v>226</v>
      </c>
    </row>
    <row r="15680" spans="1:7" x14ac:dyDescent="0.35">
      <c r="A15680" t="s">
        <v>227</v>
      </c>
      <c r="B15680" t="s">
        <v>1341</v>
      </c>
      <c r="C15680">
        <v>1.72</v>
      </c>
      <c r="D15680">
        <v>0</v>
      </c>
      <c r="E15680">
        <v>0</v>
      </c>
      <c r="F15680">
        <v>15</v>
      </c>
      <c r="G15680">
        <v>47</v>
      </c>
    </row>
    <row r="15681" spans="1:7" x14ac:dyDescent="0.35">
      <c r="A15681" s="27" t="s">
        <v>227</v>
      </c>
      <c r="B15681" s="27" t="s">
        <v>1342</v>
      </c>
      <c r="C15681" s="29">
        <v>1</v>
      </c>
      <c r="D15681" s="29">
        <v>1</v>
      </c>
      <c r="E15681" s="29">
        <v>1</v>
      </c>
      <c r="F15681" s="29">
        <v>1</v>
      </c>
      <c r="G15681" s="29">
        <v>1</v>
      </c>
    </row>
    <row r="15682" spans="1:7" x14ac:dyDescent="0.35">
      <c r="A15682" t="s">
        <v>227</v>
      </c>
      <c r="B15682" t="s">
        <v>1343</v>
      </c>
      <c r="C15682">
        <v>1.82</v>
      </c>
      <c r="D15682">
        <v>0</v>
      </c>
      <c r="E15682">
        <v>0</v>
      </c>
      <c r="F15682">
        <v>20</v>
      </c>
      <c r="G15682">
        <v>108</v>
      </c>
    </row>
    <row r="15683" spans="1:7" x14ac:dyDescent="0.35">
      <c r="A15683" t="s">
        <v>228</v>
      </c>
      <c r="B15683" t="s">
        <v>1341</v>
      </c>
      <c r="C15683">
        <v>1.66</v>
      </c>
      <c r="D15683">
        <v>0</v>
      </c>
      <c r="E15683">
        <v>0</v>
      </c>
      <c r="F15683">
        <v>20</v>
      </c>
      <c r="G15683">
        <v>300</v>
      </c>
    </row>
    <row r="15684" spans="1:7" x14ac:dyDescent="0.35">
      <c r="A15684" s="27" t="s">
        <v>228</v>
      </c>
      <c r="B15684" s="27" t="s">
        <v>1342</v>
      </c>
      <c r="C15684" s="29">
        <v>2</v>
      </c>
      <c r="D15684" s="29">
        <v>2</v>
      </c>
      <c r="E15684" s="29">
        <v>2</v>
      </c>
      <c r="F15684" s="29">
        <v>2</v>
      </c>
      <c r="G15684" s="29">
        <v>1</v>
      </c>
    </row>
    <row r="15685" spans="1:7" x14ac:dyDescent="0.35">
      <c r="A15685" t="s">
        <v>228</v>
      </c>
      <c r="B15685" t="s">
        <v>1343</v>
      </c>
      <c r="C15685">
        <v>2.21</v>
      </c>
      <c r="D15685">
        <v>0</v>
      </c>
      <c r="E15685">
        <v>0</v>
      </c>
      <c r="F15685">
        <v>24</v>
      </c>
      <c r="G15685">
        <v>718</v>
      </c>
    </row>
    <row r="15686" spans="1:7" x14ac:dyDescent="0.35">
      <c r="A15686" t="s">
        <v>229</v>
      </c>
      <c r="B15686" t="s">
        <v>1341</v>
      </c>
      <c r="C15686">
        <v>1.21</v>
      </c>
      <c r="D15686">
        <v>0</v>
      </c>
      <c r="E15686">
        <v>0</v>
      </c>
      <c r="F15686">
        <v>20</v>
      </c>
      <c r="G15686">
        <v>268</v>
      </c>
    </row>
    <row r="15687" spans="1:7" x14ac:dyDescent="0.35">
      <c r="A15687" t="s">
        <v>229</v>
      </c>
      <c r="B15687" t="s">
        <v>1343</v>
      </c>
      <c r="C15687">
        <v>1.7</v>
      </c>
      <c r="D15687">
        <v>0</v>
      </c>
      <c r="E15687">
        <v>0</v>
      </c>
      <c r="F15687">
        <v>20</v>
      </c>
      <c r="G15687">
        <v>616</v>
      </c>
    </row>
    <row r="15688" spans="1:7" x14ac:dyDescent="0.35">
      <c r="A15688" t="s">
        <v>230</v>
      </c>
      <c r="B15688" t="s">
        <v>1341</v>
      </c>
      <c r="C15688">
        <v>1.1100000000000001</v>
      </c>
      <c r="D15688">
        <v>0</v>
      </c>
      <c r="E15688">
        <v>0</v>
      </c>
      <c r="F15688">
        <v>15</v>
      </c>
      <c r="G15688">
        <v>154</v>
      </c>
    </row>
    <row r="15689" spans="1:7" x14ac:dyDescent="0.35">
      <c r="A15689" t="s">
        <v>230</v>
      </c>
      <c r="B15689" t="s">
        <v>1343</v>
      </c>
      <c r="C15689">
        <v>2.12</v>
      </c>
      <c r="D15689">
        <v>1</v>
      </c>
      <c r="E15689">
        <v>0</v>
      </c>
      <c r="F15689">
        <v>20</v>
      </c>
      <c r="G15689">
        <v>401</v>
      </c>
    </row>
    <row r="15690" spans="1:7" x14ac:dyDescent="0.35">
      <c r="A15690" t="s">
        <v>231</v>
      </c>
      <c r="B15690" t="s">
        <v>1341</v>
      </c>
      <c r="C15690">
        <v>1.27</v>
      </c>
      <c r="D15690">
        <v>0</v>
      </c>
      <c r="E15690">
        <v>0</v>
      </c>
      <c r="F15690">
        <v>20</v>
      </c>
      <c r="G15690">
        <v>63</v>
      </c>
    </row>
    <row r="15691" spans="1:7" x14ac:dyDescent="0.35">
      <c r="A15691" t="s">
        <v>231</v>
      </c>
      <c r="B15691" t="s">
        <v>1343</v>
      </c>
      <c r="C15691">
        <v>1.43</v>
      </c>
      <c r="D15691">
        <v>0</v>
      </c>
      <c r="E15691">
        <v>0</v>
      </c>
      <c r="F15691">
        <v>15</v>
      </c>
      <c r="G15691">
        <v>95</v>
      </c>
    </row>
    <row r="15692" spans="1:7" x14ac:dyDescent="0.35">
      <c r="A15692" t="s">
        <v>232</v>
      </c>
      <c r="B15692" t="s">
        <v>232</v>
      </c>
      <c r="C15692">
        <v>1.66</v>
      </c>
      <c r="D15692">
        <v>0</v>
      </c>
      <c r="E15692">
        <v>0</v>
      </c>
      <c r="F15692">
        <v>24</v>
      </c>
      <c r="G15692">
        <v>2772</v>
      </c>
    </row>
    <row r="15694" spans="1:7" x14ac:dyDescent="0.35">
      <c r="A15694" s="1" t="s">
        <v>1664</v>
      </c>
    </row>
    <row r="15695" spans="1:7" x14ac:dyDescent="0.35">
      <c r="A15695" t="s">
        <v>219</v>
      </c>
      <c r="B15695" t="s">
        <v>305</v>
      </c>
      <c r="C15695" t="s">
        <v>534</v>
      </c>
      <c r="D15695" t="s">
        <v>535</v>
      </c>
      <c r="E15695" t="s">
        <v>536</v>
      </c>
      <c r="F15695" t="s">
        <v>537</v>
      </c>
      <c r="G15695" t="s">
        <v>226</v>
      </c>
    </row>
    <row r="15696" spans="1:7" x14ac:dyDescent="0.35">
      <c r="A15696" s="27" t="s">
        <v>227</v>
      </c>
      <c r="B15696" s="27" t="s">
        <v>1345</v>
      </c>
      <c r="C15696" s="29">
        <v>2.5</v>
      </c>
      <c r="D15696" s="29">
        <v>2</v>
      </c>
      <c r="E15696" s="29">
        <v>2</v>
      </c>
      <c r="F15696" s="29">
        <v>3</v>
      </c>
      <c r="G15696" s="29">
        <v>2</v>
      </c>
    </row>
    <row r="15697" spans="1:7" x14ac:dyDescent="0.35">
      <c r="A15697" t="s">
        <v>227</v>
      </c>
      <c r="B15697" t="s">
        <v>1346</v>
      </c>
      <c r="C15697">
        <v>1.37</v>
      </c>
      <c r="D15697">
        <v>0</v>
      </c>
      <c r="E15697">
        <v>0</v>
      </c>
      <c r="F15697">
        <v>20</v>
      </c>
      <c r="G15697">
        <v>38</v>
      </c>
    </row>
    <row r="15698" spans="1:7" x14ac:dyDescent="0.35">
      <c r="A15698" t="s">
        <v>227</v>
      </c>
      <c r="B15698" t="s">
        <v>1347</v>
      </c>
      <c r="C15698">
        <v>2.68</v>
      </c>
      <c r="D15698">
        <v>1</v>
      </c>
      <c r="E15698">
        <v>0</v>
      </c>
      <c r="F15698">
        <v>15</v>
      </c>
      <c r="G15698">
        <v>34</v>
      </c>
    </row>
    <row r="15699" spans="1:7" x14ac:dyDescent="0.35">
      <c r="A15699" t="s">
        <v>227</v>
      </c>
      <c r="B15699" t="s">
        <v>1348</v>
      </c>
      <c r="C15699">
        <v>1.6</v>
      </c>
      <c r="D15699">
        <v>0</v>
      </c>
      <c r="E15699">
        <v>0</v>
      </c>
      <c r="F15699">
        <v>12</v>
      </c>
      <c r="G15699">
        <v>82</v>
      </c>
    </row>
    <row r="15700" spans="1:7" x14ac:dyDescent="0.35">
      <c r="A15700" t="s">
        <v>228</v>
      </c>
      <c r="B15700" t="s">
        <v>1347</v>
      </c>
      <c r="C15700">
        <v>1.97</v>
      </c>
      <c r="D15700">
        <v>1</v>
      </c>
      <c r="E15700">
        <v>0</v>
      </c>
      <c r="F15700">
        <v>20</v>
      </c>
      <c r="G15700">
        <v>199</v>
      </c>
    </row>
    <row r="15701" spans="1:7" x14ac:dyDescent="0.35">
      <c r="A15701" t="s">
        <v>228</v>
      </c>
      <c r="B15701" t="s">
        <v>1348</v>
      </c>
      <c r="C15701">
        <v>2.08</v>
      </c>
      <c r="D15701">
        <v>1</v>
      </c>
      <c r="E15701">
        <v>0</v>
      </c>
      <c r="F15701">
        <v>20</v>
      </c>
      <c r="G15701">
        <v>526</v>
      </c>
    </row>
    <row r="15702" spans="1:7" x14ac:dyDescent="0.35">
      <c r="A15702" t="s">
        <v>228</v>
      </c>
      <c r="B15702" t="s">
        <v>1346</v>
      </c>
      <c r="C15702">
        <v>2.08</v>
      </c>
      <c r="D15702">
        <v>0</v>
      </c>
      <c r="E15702">
        <v>0</v>
      </c>
      <c r="F15702">
        <v>24</v>
      </c>
      <c r="G15702">
        <v>283</v>
      </c>
    </row>
    <row r="15703" spans="1:7" x14ac:dyDescent="0.35">
      <c r="A15703" s="27" t="s">
        <v>228</v>
      </c>
      <c r="B15703" s="27" t="s">
        <v>1345</v>
      </c>
      <c r="C15703" s="29">
        <v>1.64</v>
      </c>
      <c r="D15703" s="29">
        <v>1</v>
      </c>
      <c r="E15703" s="29">
        <v>0</v>
      </c>
      <c r="F15703" s="29">
        <v>8</v>
      </c>
      <c r="G15703" s="29">
        <v>11</v>
      </c>
    </row>
    <row r="15704" spans="1:7" x14ac:dyDescent="0.35">
      <c r="A15704" t="s">
        <v>229</v>
      </c>
      <c r="B15704" t="s">
        <v>1348</v>
      </c>
      <c r="C15704">
        <v>1.27</v>
      </c>
      <c r="D15704">
        <v>0</v>
      </c>
      <c r="E15704">
        <v>0</v>
      </c>
      <c r="F15704">
        <v>20</v>
      </c>
      <c r="G15704">
        <v>377</v>
      </c>
    </row>
    <row r="15705" spans="1:7" x14ac:dyDescent="0.35">
      <c r="A15705" s="27" t="s">
        <v>229</v>
      </c>
      <c r="B15705" s="27" t="s">
        <v>1345</v>
      </c>
      <c r="C15705" s="29">
        <v>1.98</v>
      </c>
      <c r="D15705" s="29">
        <v>1</v>
      </c>
      <c r="E15705" s="29">
        <v>0</v>
      </c>
      <c r="F15705" s="29">
        <v>10</v>
      </c>
      <c r="G15705" s="29">
        <v>26</v>
      </c>
    </row>
    <row r="15706" spans="1:7" x14ac:dyDescent="0.35">
      <c r="A15706" t="s">
        <v>229</v>
      </c>
      <c r="B15706" t="s">
        <v>1347</v>
      </c>
      <c r="C15706">
        <v>2.0099999999999998</v>
      </c>
      <c r="D15706">
        <v>1</v>
      </c>
      <c r="E15706">
        <v>0</v>
      </c>
      <c r="F15706">
        <v>20</v>
      </c>
      <c r="G15706">
        <v>299</v>
      </c>
    </row>
    <row r="15707" spans="1:7" x14ac:dyDescent="0.35">
      <c r="A15707" t="s">
        <v>229</v>
      </c>
      <c r="B15707" t="s">
        <v>1346</v>
      </c>
      <c r="C15707">
        <v>1.42</v>
      </c>
      <c r="D15707">
        <v>0</v>
      </c>
      <c r="E15707">
        <v>0</v>
      </c>
      <c r="F15707">
        <v>20</v>
      </c>
      <c r="G15707">
        <v>182</v>
      </c>
    </row>
    <row r="15708" spans="1:7" x14ac:dyDescent="0.35">
      <c r="A15708" t="s">
        <v>230</v>
      </c>
      <c r="B15708" t="s">
        <v>1347</v>
      </c>
      <c r="C15708">
        <v>2.66</v>
      </c>
      <c r="D15708">
        <v>1</v>
      </c>
      <c r="E15708">
        <v>0</v>
      </c>
      <c r="F15708">
        <v>20</v>
      </c>
      <c r="G15708">
        <v>152</v>
      </c>
    </row>
    <row r="15709" spans="1:7" x14ac:dyDescent="0.35">
      <c r="A15709" t="s">
        <v>230</v>
      </c>
      <c r="B15709" t="s">
        <v>1346</v>
      </c>
      <c r="C15709">
        <v>0.83</v>
      </c>
      <c r="D15709">
        <v>0</v>
      </c>
      <c r="E15709">
        <v>0</v>
      </c>
      <c r="F15709">
        <v>15</v>
      </c>
      <c r="G15709">
        <v>137</v>
      </c>
    </row>
    <row r="15710" spans="1:7" x14ac:dyDescent="0.35">
      <c r="A15710" s="27" t="s">
        <v>230</v>
      </c>
      <c r="B15710" s="27" t="s">
        <v>1345</v>
      </c>
      <c r="C15710" s="29">
        <v>5.08</v>
      </c>
      <c r="D15710" s="29">
        <v>10</v>
      </c>
      <c r="E15710" s="29">
        <v>1</v>
      </c>
      <c r="F15710" s="29">
        <v>10</v>
      </c>
      <c r="G15710" s="29">
        <v>8</v>
      </c>
    </row>
    <row r="15711" spans="1:7" x14ac:dyDescent="0.35">
      <c r="A15711" t="s">
        <v>230</v>
      </c>
      <c r="B15711" t="s">
        <v>1348</v>
      </c>
      <c r="C15711">
        <v>1.63</v>
      </c>
      <c r="D15711">
        <v>0</v>
      </c>
      <c r="E15711">
        <v>0</v>
      </c>
      <c r="F15711">
        <v>20</v>
      </c>
      <c r="G15711">
        <v>258</v>
      </c>
    </row>
    <row r="15712" spans="1:7" x14ac:dyDescent="0.35">
      <c r="A15712" s="27" t="s">
        <v>231</v>
      </c>
      <c r="B15712" s="27" t="s">
        <v>1345</v>
      </c>
      <c r="C15712" s="29">
        <v>1.67</v>
      </c>
      <c r="D15712" s="29">
        <v>4</v>
      </c>
      <c r="E15712" s="29">
        <v>0</v>
      </c>
      <c r="F15712" s="29">
        <v>4</v>
      </c>
      <c r="G15712" s="29">
        <v>3</v>
      </c>
    </row>
    <row r="15713" spans="1:8" x14ac:dyDescent="0.35">
      <c r="A15713" t="s">
        <v>231</v>
      </c>
      <c r="B15713" t="s">
        <v>1346</v>
      </c>
      <c r="C15713">
        <v>1.08</v>
      </c>
      <c r="D15713">
        <v>0</v>
      </c>
      <c r="E15713">
        <v>0</v>
      </c>
      <c r="F15713">
        <v>15</v>
      </c>
      <c r="G15713">
        <v>39</v>
      </c>
    </row>
    <row r="15714" spans="1:8" x14ac:dyDescent="0.35">
      <c r="A15714" t="s">
        <v>231</v>
      </c>
      <c r="B15714" t="s">
        <v>1347</v>
      </c>
      <c r="C15714">
        <v>0.84</v>
      </c>
      <c r="D15714">
        <v>0</v>
      </c>
      <c r="E15714">
        <v>0</v>
      </c>
      <c r="F15714">
        <v>10</v>
      </c>
      <c r="G15714">
        <v>32</v>
      </c>
    </row>
    <row r="15715" spans="1:8" x14ac:dyDescent="0.35">
      <c r="A15715" t="s">
        <v>231</v>
      </c>
      <c r="B15715" t="s">
        <v>1348</v>
      </c>
      <c r="C15715">
        <v>1.69</v>
      </c>
      <c r="D15715">
        <v>0</v>
      </c>
      <c r="E15715">
        <v>0</v>
      </c>
      <c r="F15715">
        <v>20</v>
      </c>
      <c r="G15715">
        <v>84</v>
      </c>
    </row>
    <row r="15716" spans="1:8" x14ac:dyDescent="0.35">
      <c r="A15716" t="s">
        <v>232</v>
      </c>
      <c r="B15716" t="s">
        <v>232</v>
      </c>
      <c r="C15716">
        <v>1.66</v>
      </c>
      <c r="D15716">
        <v>0</v>
      </c>
      <c r="E15716">
        <v>0</v>
      </c>
      <c r="F15716">
        <v>24</v>
      </c>
      <c r="G15716">
        <v>2772</v>
      </c>
    </row>
    <row r="15718" spans="1:8" x14ac:dyDescent="0.35">
      <c r="A15718" s="1" t="s">
        <v>1665</v>
      </c>
    </row>
    <row r="15719" spans="1:8" x14ac:dyDescent="0.35">
      <c r="A15719" t="s">
        <v>219</v>
      </c>
      <c r="B15719" t="s">
        <v>305</v>
      </c>
      <c r="C15719" t="s">
        <v>345</v>
      </c>
      <c r="D15719" t="s">
        <v>534</v>
      </c>
      <c r="E15719" t="s">
        <v>535</v>
      </c>
      <c r="F15719" t="s">
        <v>536</v>
      </c>
      <c r="G15719" t="s">
        <v>537</v>
      </c>
      <c r="H15719" t="s">
        <v>226</v>
      </c>
    </row>
    <row r="15720" spans="1:8" x14ac:dyDescent="0.35">
      <c r="A15720" s="27" t="s">
        <v>227</v>
      </c>
      <c r="B15720" s="27" t="s">
        <v>1341</v>
      </c>
      <c r="C15720" s="27" t="s">
        <v>1345</v>
      </c>
      <c r="D15720" s="29">
        <v>2</v>
      </c>
      <c r="E15720" s="29">
        <v>2</v>
      </c>
      <c r="F15720" s="29">
        <v>2</v>
      </c>
      <c r="G15720" s="29">
        <v>2</v>
      </c>
      <c r="H15720" s="29">
        <v>1</v>
      </c>
    </row>
    <row r="15721" spans="1:8" x14ac:dyDescent="0.35">
      <c r="A15721" s="27" t="s">
        <v>227</v>
      </c>
      <c r="B15721" s="27" t="s">
        <v>1343</v>
      </c>
      <c r="C15721" s="27" t="s">
        <v>1346</v>
      </c>
      <c r="D15721" s="29">
        <v>1.19</v>
      </c>
      <c r="E15721" s="29">
        <v>0</v>
      </c>
      <c r="F15721" s="29">
        <v>0</v>
      </c>
      <c r="G15721" s="29">
        <v>20</v>
      </c>
      <c r="H15721" s="29">
        <v>26</v>
      </c>
    </row>
    <row r="15722" spans="1:8" x14ac:dyDescent="0.35">
      <c r="A15722" t="s">
        <v>227</v>
      </c>
      <c r="B15722" t="s">
        <v>1343</v>
      </c>
      <c r="C15722" t="s">
        <v>1348</v>
      </c>
      <c r="D15722">
        <v>1.56</v>
      </c>
      <c r="E15722">
        <v>0</v>
      </c>
      <c r="F15722">
        <v>0</v>
      </c>
      <c r="G15722">
        <v>12</v>
      </c>
      <c r="H15722">
        <v>59</v>
      </c>
    </row>
    <row r="15723" spans="1:8" x14ac:dyDescent="0.35">
      <c r="A15723" s="27" t="s">
        <v>227</v>
      </c>
      <c r="B15723" s="27" t="s">
        <v>1341</v>
      </c>
      <c r="C15723" s="27" t="s">
        <v>1347</v>
      </c>
      <c r="D15723" s="29">
        <v>1.67</v>
      </c>
      <c r="E15723" s="29">
        <v>0</v>
      </c>
      <c r="F15723" s="29">
        <v>0</v>
      </c>
      <c r="G15723" s="29">
        <v>15</v>
      </c>
      <c r="H15723" s="29">
        <v>12</v>
      </c>
    </row>
    <row r="15724" spans="1:8" x14ac:dyDescent="0.35">
      <c r="A15724" s="27" t="s">
        <v>227</v>
      </c>
      <c r="B15724" s="27" t="s">
        <v>1343</v>
      </c>
      <c r="C15724" s="27" t="s">
        <v>1347</v>
      </c>
      <c r="D15724" s="29">
        <v>3.23</v>
      </c>
      <c r="E15724" s="29">
        <v>2</v>
      </c>
      <c r="F15724" s="29">
        <v>0</v>
      </c>
      <c r="G15724" s="29">
        <v>10</v>
      </c>
      <c r="H15724" s="29">
        <v>22</v>
      </c>
    </row>
    <row r="15725" spans="1:8" x14ac:dyDescent="0.35">
      <c r="A15725" s="27" t="s">
        <v>227</v>
      </c>
      <c r="B15725" s="27" t="s">
        <v>1343</v>
      </c>
      <c r="C15725" s="27" t="s">
        <v>1345</v>
      </c>
      <c r="D15725" s="29">
        <v>3</v>
      </c>
      <c r="E15725" s="29">
        <v>3</v>
      </c>
      <c r="F15725" s="29">
        <v>3</v>
      </c>
      <c r="G15725" s="29">
        <v>3</v>
      </c>
      <c r="H15725" s="29">
        <v>1</v>
      </c>
    </row>
    <row r="15726" spans="1:8" x14ac:dyDescent="0.35">
      <c r="A15726" s="27" t="s">
        <v>227</v>
      </c>
      <c r="B15726" s="27" t="s">
        <v>1341</v>
      </c>
      <c r="C15726" s="27" t="s">
        <v>1348</v>
      </c>
      <c r="D15726" s="29">
        <v>1.73</v>
      </c>
      <c r="E15726" s="29">
        <v>0</v>
      </c>
      <c r="F15726" s="29">
        <v>0</v>
      </c>
      <c r="G15726" s="29">
        <v>12</v>
      </c>
      <c r="H15726" s="29">
        <v>22</v>
      </c>
    </row>
    <row r="15727" spans="1:8" x14ac:dyDescent="0.35">
      <c r="A15727" s="27" t="s">
        <v>227</v>
      </c>
      <c r="B15727" s="27" t="s">
        <v>1342</v>
      </c>
      <c r="C15727" s="27" t="s">
        <v>1348</v>
      </c>
      <c r="D15727" s="29">
        <v>1</v>
      </c>
      <c r="E15727" s="29">
        <v>1</v>
      </c>
      <c r="F15727" s="29">
        <v>1</v>
      </c>
      <c r="G15727" s="29">
        <v>1</v>
      </c>
      <c r="H15727" s="29">
        <v>1</v>
      </c>
    </row>
    <row r="15728" spans="1:8" x14ac:dyDescent="0.35">
      <c r="A15728" s="27" t="s">
        <v>227</v>
      </c>
      <c r="B15728" s="27" t="s">
        <v>1341</v>
      </c>
      <c r="C15728" s="27" t="s">
        <v>1346</v>
      </c>
      <c r="D15728" s="29">
        <v>1.75</v>
      </c>
      <c r="E15728" s="29">
        <v>0</v>
      </c>
      <c r="F15728" s="29">
        <v>0</v>
      </c>
      <c r="G15728" s="29">
        <v>10</v>
      </c>
      <c r="H15728" s="29">
        <v>12</v>
      </c>
    </row>
    <row r="15729" spans="1:8" x14ac:dyDescent="0.35">
      <c r="A15729" t="s">
        <v>228</v>
      </c>
      <c r="B15729" t="s">
        <v>1343</v>
      </c>
      <c r="C15729" t="s">
        <v>1346</v>
      </c>
      <c r="D15729">
        <v>2.15</v>
      </c>
      <c r="E15729">
        <v>0</v>
      </c>
      <c r="F15729">
        <v>0</v>
      </c>
      <c r="G15729">
        <v>24</v>
      </c>
      <c r="H15729">
        <v>237</v>
      </c>
    </row>
    <row r="15730" spans="1:8" x14ac:dyDescent="0.35">
      <c r="A15730" t="s">
        <v>228</v>
      </c>
      <c r="B15730" t="s">
        <v>1343</v>
      </c>
      <c r="C15730" t="s">
        <v>1348</v>
      </c>
      <c r="D15730">
        <v>2.5299999999999998</v>
      </c>
      <c r="E15730">
        <v>1</v>
      </c>
      <c r="F15730">
        <v>0</v>
      </c>
      <c r="G15730">
        <v>20</v>
      </c>
      <c r="H15730">
        <v>349</v>
      </c>
    </row>
    <row r="15731" spans="1:8" x14ac:dyDescent="0.35">
      <c r="A15731" t="s">
        <v>228</v>
      </c>
      <c r="B15731" t="s">
        <v>1343</v>
      </c>
      <c r="C15731" t="s">
        <v>1347</v>
      </c>
      <c r="D15731">
        <v>1.4</v>
      </c>
      <c r="E15731">
        <v>1</v>
      </c>
      <c r="F15731">
        <v>0</v>
      </c>
      <c r="G15731">
        <v>20</v>
      </c>
      <c r="H15731">
        <v>126</v>
      </c>
    </row>
    <row r="15732" spans="1:8" x14ac:dyDescent="0.35">
      <c r="A15732" s="27" t="s">
        <v>228</v>
      </c>
      <c r="B15732" s="27" t="s">
        <v>1343</v>
      </c>
      <c r="C15732" s="27" t="s">
        <v>1345</v>
      </c>
      <c r="D15732" s="29">
        <v>2.29</v>
      </c>
      <c r="E15732" s="29">
        <v>2</v>
      </c>
      <c r="F15732" s="29">
        <v>0</v>
      </c>
      <c r="G15732" s="29">
        <v>8</v>
      </c>
      <c r="H15732" s="29">
        <v>6</v>
      </c>
    </row>
    <row r="15733" spans="1:8" x14ac:dyDescent="0.35">
      <c r="A15733" t="s">
        <v>228</v>
      </c>
      <c r="B15733" t="s">
        <v>1341</v>
      </c>
      <c r="C15733" t="s">
        <v>1346</v>
      </c>
      <c r="D15733">
        <v>1.62</v>
      </c>
      <c r="E15733">
        <v>0</v>
      </c>
      <c r="F15733">
        <v>0</v>
      </c>
      <c r="G15733">
        <v>10</v>
      </c>
      <c r="H15733">
        <v>46</v>
      </c>
    </row>
    <row r="15734" spans="1:8" x14ac:dyDescent="0.35">
      <c r="A15734" s="27" t="s">
        <v>228</v>
      </c>
      <c r="B15734" s="27" t="s">
        <v>1342</v>
      </c>
      <c r="C15734" s="27" t="s">
        <v>1348</v>
      </c>
      <c r="D15734" s="29">
        <v>2</v>
      </c>
      <c r="E15734" s="29">
        <v>2</v>
      </c>
      <c r="F15734" s="29">
        <v>2</v>
      </c>
      <c r="G15734" s="29">
        <v>2</v>
      </c>
      <c r="H15734" s="29">
        <v>1</v>
      </c>
    </row>
    <row r="15735" spans="1:8" x14ac:dyDescent="0.35">
      <c r="A15735" t="s">
        <v>228</v>
      </c>
      <c r="B15735" t="s">
        <v>1341</v>
      </c>
      <c r="C15735" t="s">
        <v>1347</v>
      </c>
      <c r="D15735">
        <v>3.03</v>
      </c>
      <c r="E15735">
        <v>1</v>
      </c>
      <c r="F15735">
        <v>0</v>
      </c>
      <c r="G15735">
        <v>20</v>
      </c>
      <c r="H15735">
        <v>73</v>
      </c>
    </row>
    <row r="15736" spans="1:8" x14ac:dyDescent="0.35">
      <c r="A15736" t="s">
        <v>228</v>
      </c>
      <c r="B15736" t="s">
        <v>1341</v>
      </c>
      <c r="C15736" t="s">
        <v>1348</v>
      </c>
      <c r="D15736">
        <v>1.26</v>
      </c>
      <c r="E15736">
        <v>0</v>
      </c>
      <c r="F15736">
        <v>0</v>
      </c>
      <c r="G15736">
        <v>15</v>
      </c>
      <c r="H15736">
        <v>176</v>
      </c>
    </row>
    <row r="15737" spans="1:8" x14ac:dyDescent="0.35">
      <c r="A15737" s="27" t="s">
        <v>228</v>
      </c>
      <c r="B15737" s="27" t="s">
        <v>1341</v>
      </c>
      <c r="C15737" s="27" t="s">
        <v>1345</v>
      </c>
      <c r="D15737" s="29">
        <v>0.12</v>
      </c>
      <c r="E15737" s="29">
        <v>0</v>
      </c>
      <c r="F15737" s="29">
        <v>0</v>
      </c>
      <c r="G15737" s="29">
        <v>1</v>
      </c>
      <c r="H15737" s="29">
        <v>5</v>
      </c>
    </row>
    <row r="15738" spans="1:8" x14ac:dyDescent="0.35">
      <c r="A15738" t="s">
        <v>229</v>
      </c>
      <c r="B15738" t="s">
        <v>1341</v>
      </c>
      <c r="C15738" t="s">
        <v>1348</v>
      </c>
      <c r="D15738">
        <v>1</v>
      </c>
      <c r="E15738">
        <v>0</v>
      </c>
      <c r="F15738">
        <v>0</v>
      </c>
      <c r="G15738">
        <v>20</v>
      </c>
      <c r="H15738">
        <v>106</v>
      </c>
    </row>
    <row r="15739" spans="1:8" x14ac:dyDescent="0.35">
      <c r="A15739" t="s">
        <v>229</v>
      </c>
      <c r="B15739" t="s">
        <v>1341</v>
      </c>
      <c r="C15739" t="s">
        <v>1346</v>
      </c>
      <c r="D15739">
        <v>0.14000000000000001</v>
      </c>
      <c r="E15739">
        <v>0</v>
      </c>
      <c r="F15739">
        <v>0</v>
      </c>
      <c r="G15739">
        <v>4</v>
      </c>
      <c r="H15739">
        <v>51</v>
      </c>
    </row>
    <row r="15740" spans="1:8" x14ac:dyDescent="0.35">
      <c r="A15740" t="s">
        <v>229</v>
      </c>
      <c r="B15740" t="s">
        <v>1343</v>
      </c>
      <c r="C15740" t="s">
        <v>1346</v>
      </c>
      <c r="D15740">
        <v>1.9</v>
      </c>
      <c r="E15740">
        <v>0</v>
      </c>
      <c r="F15740">
        <v>0</v>
      </c>
      <c r="G15740">
        <v>20</v>
      </c>
      <c r="H15740">
        <v>131</v>
      </c>
    </row>
    <row r="15741" spans="1:8" x14ac:dyDescent="0.35">
      <c r="A15741" s="27" t="s">
        <v>229</v>
      </c>
      <c r="B15741" s="27" t="s">
        <v>1341</v>
      </c>
      <c r="C15741" s="27" t="s">
        <v>1345</v>
      </c>
      <c r="D15741" s="29">
        <v>0.93</v>
      </c>
      <c r="E15741" s="29">
        <v>1</v>
      </c>
      <c r="F15741" s="29">
        <v>0</v>
      </c>
      <c r="G15741" s="29">
        <v>5</v>
      </c>
      <c r="H15741" s="29">
        <v>9</v>
      </c>
    </row>
    <row r="15742" spans="1:8" x14ac:dyDescent="0.35">
      <c r="A15742" s="27" t="s">
        <v>229</v>
      </c>
      <c r="B15742" s="27" t="s">
        <v>1343</v>
      </c>
      <c r="C15742" s="27" t="s">
        <v>1345</v>
      </c>
      <c r="D15742" s="29">
        <v>2.69</v>
      </c>
      <c r="E15742" s="29">
        <v>4</v>
      </c>
      <c r="F15742" s="29">
        <v>0</v>
      </c>
      <c r="G15742" s="29">
        <v>10</v>
      </c>
      <c r="H15742" s="29">
        <v>17</v>
      </c>
    </row>
    <row r="15743" spans="1:8" x14ac:dyDescent="0.35">
      <c r="A15743" t="s">
        <v>229</v>
      </c>
      <c r="B15743" t="s">
        <v>1343</v>
      </c>
      <c r="C15743" t="s">
        <v>1348</v>
      </c>
      <c r="D15743">
        <v>1.41</v>
      </c>
      <c r="E15743">
        <v>0</v>
      </c>
      <c r="F15743">
        <v>0</v>
      </c>
      <c r="G15743">
        <v>20</v>
      </c>
      <c r="H15743">
        <v>271</v>
      </c>
    </row>
    <row r="15744" spans="1:8" x14ac:dyDescent="0.35">
      <c r="A15744" t="s">
        <v>229</v>
      </c>
      <c r="B15744" t="s">
        <v>1341</v>
      </c>
      <c r="C15744" t="s">
        <v>1347</v>
      </c>
      <c r="D15744">
        <v>2.2000000000000002</v>
      </c>
      <c r="E15744">
        <v>1</v>
      </c>
      <c r="F15744">
        <v>0</v>
      </c>
      <c r="G15744">
        <v>20</v>
      </c>
      <c r="H15744">
        <v>102</v>
      </c>
    </row>
    <row r="15745" spans="1:8" x14ac:dyDescent="0.35">
      <c r="A15745" t="s">
        <v>229</v>
      </c>
      <c r="B15745" t="s">
        <v>1343</v>
      </c>
      <c r="C15745" t="s">
        <v>1347</v>
      </c>
      <c r="D15745">
        <v>1.92</v>
      </c>
      <c r="E15745">
        <v>1</v>
      </c>
      <c r="F15745">
        <v>0</v>
      </c>
      <c r="G15745">
        <v>20</v>
      </c>
      <c r="H15745">
        <v>197</v>
      </c>
    </row>
    <row r="15746" spans="1:8" x14ac:dyDescent="0.35">
      <c r="A15746" t="s">
        <v>230</v>
      </c>
      <c r="B15746" t="s">
        <v>1343</v>
      </c>
      <c r="C15746" t="s">
        <v>1346</v>
      </c>
      <c r="D15746">
        <v>0.95</v>
      </c>
      <c r="E15746">
        <v>0</v>
      </c>
      <c r="F15746">
        <v>0</v>
      </c>
      <c r="G15746">
        <v>12</v>
      </c>
      <c r="H15746">
        <v>108</v>
      </c>
    </row>
    <row r="15747" spans="1:8" x14ac:dyDescent="0.35">
      <c r="A15747" t="s">
        <v>230</v>
      </c>
      <c r="B15747" t="s">
        <v>1343</v>
      </c>
      <c r="C15747" t="s">
        <v>1348</v>
      </c>
      <c r="D15747">
        <v>1.87</v>
      </c>
      <c r="E15747">
        <v>1</v>
      </c>
      <c r="F15747">
        <v>0</v>
      </c>
      <c r="G15747">
        <v>20</v>
      </c>
      <c r="H15747">
        <v>183</v>
      </c>
    </row>
    <row r="15748" spans="1:8" x14ac:dyDescent="0.35">
      <c r="A15748" s="27" t="s">
        <v>230</v>
      </c>
      <c r="B15748" s="27" t="s">
        <v>1341</v>
      </c>
      <c r="C15748" s="27" t="s">
        <v>1345</v>
      </c>
      <c r="D15748" s="29">
        <v>5.71</v>
      </c>
      <c r="E15748" s="29">
        <v>10</v>
      </c>
      <c r="F15748" s="29">
        <v>1</v>
      </c>
      <c r="G15748" s="29">
        <v>10</v>
      </c>
      <c r="H15748" s="29">
        <v>4</v>
      </c>
    </row>
    <row r="15749" spans="1:8" x14ac:dyDescent="0.35">
      <c r="A15749" t="s">
        <v>230</v>
      </c>
      <c r="B15749" t="s">
        <v>1343</v>
      </c>
      <c r="C15749" t="s">
        <v>1347</v>
      </c>
      <c r="D15749">
        <v>3.48</v>
      </c>
      <c r="E15749">
        <v>1</v>
      </c>
      <c r="F15749">
        <v>0</v>
      </c>
      <c r="G15749">
        <v>20</v>
      </c>
      <c r="H15749">
        <v>106</v>
      </c>
    </row>
    <row r="15750" spans="1:8" x14ac:dyDescent="0.35">
      <c r="A15750" t="s">
        <v>230</v>
      </c>
      <c r="B15750" t="s">
        <v>1341</v>
      </c>
      <c r="C15750" t="s">
        <v>1348</v>
      </c>
      <c r="D15750">
        <v>1.06</v>
      </c>
      <c r="E15750">
        <v>0</v>
      </c>
      <c r="F15750">
        <v>0</v>
      </c>
      <c r="G15750">
        <v>10</v>
      </c>
      <c r="H15750">
        <v>75</v>
      </c>
    </row>
    <row r="15751" spans="1:8" x14ac:dyDescent="0.35">
      <c r="A15751" s="27" t="s">
        <v>230</v>
      </c>
      <c r="B15751" s="27" t="s">
        <v>1343</v>
      </c>
      <c r="C15751" s="27" t="s">
        <v>1345</v>
      </c>
      <c r="D15751" s="29">
        <v>4.01</v>
      </c>
      <c r="E15751" s="29">
        <v>5</v>
      </c>
      <c r="F15751" s="29">
        <v>1</v>
      </c>
      <c r="G15751" s="29">
        <v>5</v>
      </c>
      <c r="H15751" s="29">
        <v>4</v>
      </c>
    </row>
    <row r="15752" spans="1:8" x14ac:dyDescent="0.35">
      <c r="A15752" t="s">
        <v>230</v>
      </c>
      <c r="B15752" t="s">
        <v>1341</v>
      </c>
      <c r="C15752" t="s">
        <v>1347</v>
      </c>
      <c r="D15752">
        <v>0.95</v>
      </c>
      <c r="E15752">
        <v>1</v>
      </c>
      <c r="F15752">
        <v>0</v>
      </c>
      <c r="G15752">
        <v>10</v>
      </c>
      <c r="H15752">
        <v>46</v>
      </c>
    </row>
    <row r="15753" spans="1:8" x14ac:dyDescent="0.35">
      <c r="A15753" s="27" t="s">
        <v>230</v>
      </c>
      <c r="B15753" s="27" t="s">
        <v>1341</v>
      </c>
      <c r="C15753" s="27" t="s">
        <v>1346</v>
      </c>
      <c r="D15753" s="29">
        <v>0.54</v>
      </c>
      <c r="E15753" s="29">
        <v>0</v>
      </c>
      <c r="F15753" s="29">
        <v>0</v>
      </c>
      <c r="G15753" s="29">
        <v>15</v>
      </c>
      <c r="H15753" s="29">
        <v>29</v>
      </c>
    </row>
    <row r="15754" spans="1:8" x14ac:dyDescent="0.35">
      <c r="A15754" s="27" t="s">
        <v>231</v>
      </c>
      <c r="B15754" s="27" t="s">
        <v>1343</v>
      </c>
      <c r="C15754" s="27" t="s">
        <v>1347</v>
      </c>
      <c r="D15754" s="29">
        <v>1.1599999999999999</v>
      </c>
      <c r="E15754" s="29">
        <v>0</v>
      </c>
      <c r="F15754" s="29">
        <v>0</v>
      </c>
      <c r="G15754" s="29">
        <v>10</v>
      </c>
      <c r="H15754" s="29">
        <v>19</v>
      </c>
    </row>
    <row r="15755" spans="1:8" x14ac:dyDescent="0.35">
      <c r="A15755" s="27" t="s">
        <v>231</v>
      </c>
      <c r="B15755" s="27" t="s">
        <v>1341</v>
      </c>
      <c r="C15755" s="27" t="s">
        <v>1345</v>
      </c>
      <c r="D15755" s="29">
        <v>4</v>
      </c>
      <c r="E15755" s="29">
        <v>4</v>
      </c>
      <c r="F15755" s="29">
        <v>4</v>
      </c>
      <c r="G15755" s="29">
        <v>4</v>
      </c>
      <c r="H15755" s="29">
        <v>1</v>
      </c>
    </row>
    <row r="15756" spans="1:8" x14ac:dyDescent="0.35">
      <c r="A15756" s="27" t="s">
        <v>231</v>
      </c>
      <c r="B15756" s="27" t="s">
        <v>1343</v>
      </c>
      <c r="C15756" s="27" t="s">
        <v>1345</v>
      </c>
      <c r="D15756" s="29">
        <v>0.5</v>
      </c>
      <c r="E15756" s="29">
        <v>0</v>
      </c>
      <c r="F15756" s="29">
        <v>0</v>
      </c>
      <c r="G15756" s="29">
        <v>1</v>
      </c>
      <c r="H15756" s="29">
        <v>2</v>
      </c>
    </row>
    <row r="15757" spans="1:8" x14ac:dyDescent="0.35">
      <c r="A15757" t="s">
        <v>231</v>
      </c>
      <c r="B15757" t="s">
        <v>1343</v>
      </c>
      <c r="C15757" t="s">
        <v>1348</v>
      </c>
      <c r="D15757">
        <v>1.59</v>
      </c>
      <c r="E15757">
        <v>0</v>
      </c>
      <c r="F15757">
        <v>0</v>
      </c>
      <c r="G15757">
        <v>10</v>
      </c>
      <c r="H15757">
        <v>49</v>
      </c>
    </row>
    <row r="15758" spans="1:8" x14ac:dyDescent="0.35">
      <c r="A15758" s="27" t="s">
        <v>231</v>
      </c>
      <c r="B15758" s="27" t="s">
        <v>1341</v>
      </c>
      <c r="C15758" s="27" t="s">
        <v>1347</v>
      </c>
      <c r="D15758" s="29">
        <v>0.38</v>
      </c>
      <c r="E15758" s="29">
        <v>0</v>
      </c>
      <c r="F15758" s="29">
        <v>0</v>
      </c>
      <c r="G15758" s="29">
        <v>3</v>
      </c>
      <c r="H15758" s="29">
        <v>13</v>
      </c>
    </row>
    <row r="15759" spans="1:8" x14ac:dyDescent="0.35">
      <c r="A15759" s="27" t="s">
        <v>231</v>
      </c>
      <c r="B15759" s="27" t="s">
        <v>1343</v>
      </c>
      <c r="C15759" s="27" t="s">
        <v>1346</v>
      </c>
      <c r="D15759" s="29">
        <v>1.4</v>
      </c>
      <c r="E15759" s="29">
        <v>0</v>
      </c>
      <c r="F15759" s="29">
        <v>0</v>
      </c>
      <c r="G15759" s="29">
        <v>15</v>
      </c>
      <c r="H15759" s="29">
        <v>25</v>
      </c>
    </row>
    <row r="15760" spans="1:8" x14ac:dyDescent="0.35">
      <c r="A15760" s="27" t="s">
        <v>231</v>
      </c>
      <c r="B15760" s="27" t="s">
        <v>1341</v>
      </c>
      <c r="C15760" s="27" t="s">
        <v>1346</v>
      </c>
      <c r="D15760" s="29">
        <v>0.5</v>
      </c>
      <c r="E15760" s="29">
        <v>0</v>
      </c>
      <c r="F15760" s="29">
        <v>0</v>
      </c>
      <c r="G15760" s="29">
        <v>5</v>
      </c>
      <c r="H15760" s="29">
        <v>14</v>
      </c>
    </row>
    <row r="15761" spans="1:10" x14ac:dyDescent="0.35">
      <c r="A15761" t="s">
        <v>231</v>
      </c>
      <c r="B15761" t="s">
        <v>1341</v>
      </c>
      <c r="C15761" t="s">
        <v>1348</v>
      </c>
      <c r="D15761">
        <v>1.83</v>
      </c>
      <c r="E15761">
        <v>0</v>
      </c>
      <c r="F15761">
        <v>0</v>
      </c>
      <c r="G15761">
        <v>20</v>
      </c>
      <c r="H15761">
        <v>35</v>
      </c>
    </row>
    <row r="15762" spans="1:10" x14ac:dyDescent="0.35">
      <c r="A15762" t="s">
        <v>232</v>
      </c>
      <c r="B15762" t="s">
        <v>232</v>
      </c>
      <c r="C15762" t="s">
        <v>232</v>
      </c>
      <c r="D15762">
        <v>1.66</v>
      </c>
      <c r="E15762">
        <v>0</v>
      </c>
      <c r="F15762">
        <v>0</v>
      </c>
      <c r="G15762">
        <v>24</v>
      </c>
      <c r="H15762">
        <v>2772</v>
      </c>
    </row>
    <row r="15764" spans="1:10" x14ac:dyDescent="0.35">
      <c r="A15764" s="1" t="s">
        <v>1666</v>
      </c>
    </row>
    <row r="15765" spans="1:10" x14ac:dyDescent="0.35">
      <c r="A15765" t="s">
        <v>219</v>
      </c>
      <c r="B15765" t="s">
        <v>1667</v>
      </c>
      <c r="C15765" t="s">
        <v>1668</v>
      </c>
      <c r="D15765" t="s">
        <v>1669</v>
      </c>
      <c r="E15765" t="s">
        <v>1670</v>
      </c>
      <c r="F15765" t="s">
        <v>1671</v>
      </c>
      <c r="G15765" t="s">
        <v>286</v>
      </c>
      <c r="H15765" t="s">
        <v>281</v>
      </c>
      <c r="I15765" t="s">
        <v>226</v>
      </c>
    </row>
    <row r="15766" spans="1:10" x14ac:dyDescent="0.35">
      <c r="A15766" t="s">
        <v>227</v>
      </c>
      <c r="B15766" s="26">
        <v>0.92549999999999999</v>
      </c>
      <c r="C15766" s="26">
        <v>1.8599999999999998E-2</v>
      </c>
      <c r="D15766" s="26">
        <v>4.3499999999999997E-2</v>
      </c>
      <c r="E15766" s="26">
        <v>1.24E-2</v>
      </c>
      <c r="I15766">
        <v>161</v>
      </c>
    </row>
    <row r="15767" spans="1:10" x14ac:dyDescent="0.35">
      <c r="A15767" t="s">
        <v>228</v>
      </c>
      <c r="B15767" s="26">
        <v>0.89200000000000002</v>
      </c>
      <c r="C15767" s="26">
        <v>5.0599999999999999E-2</v>
      </c>
      <c r="D15767" s="26">
        <v>3.78E-2</v>
      </c>
      <c r="E15767" s="26">
        <v>1.4800000000000001E-2</v>
      </c>
      <c r="F15767" s="26">
        <v>4.4000000000000003E-3</v>
      </c>
      <c r="H15767" s="26">
        <v>4.0000000000000002E-4</v>
      </c>
      <c r="I15767">
        <v>1033</v>
      </c>
    </row>
    <row r="15768" spans="1:10" x14ac:dyDescent="0.35">
      <c r="A15768" t="s">
        <v>229</v>
      </c>
      <c r="B15768" s="26">
        <v>0.90169999999999995</v>
      </c>
      <c r="C15768" s="26">
        <v>5.6599999999999998E-2</v>
      </c>
      <c r="D15768" s="26">
        <v>1.26E-2</v>
      </c>
      <c r="E15768" s="26">
        <v>1.6400000000000001E-2</v>
      </c>
      <c r="F15768" s="26">
        <v>9.4000000000000004E-3</v>
      </c>
      <c r="G15768" s="26">
        <v>3.3E-3</v>
      </c>
      <c r="I15768">
        <v>895</v>
      </c>
    </row>
    <row r="15769" spans="1:10" x14ac:dyDescent="0.35">
      <c r="A15769" t="s">
        <v>230</v>
      </c>
      <c r="B15769" s="26">
        <v>0.91890000000000005</v>
      </c>
      <c r="C15769" s="26">
        <v>3.2500000000000001E-2</v>
      </c>
      <c r="D15769" s="26">
        <v>2.5899999999999999E-2</v>
      </c>
      <c r="E15769" s="26">
        <v>2.2800000000000001E-2</v>
      </c>
      <c r="I15769">
        <v>560</v>
      </c>
    </row>
    <row r="15770" spans="1:10" x14ac:dyDescent="0.35">
      <c r="A15770" t="s">
        <v>231</v>
      </c>
      <c r="B15770" s="26">
        <v>0.85980000000000001</v>
      </c>
      <c r="C15770" s="26">
        <v>4.2700000000000002E-2</v>
      </c>
      <c r="D15770" s="26">
        <v>7.9299999999999995E-2</v>
      </c>
      <c r="E15770" s="26">
        <v>6.1000000000000004E-3</v>
      </c>
      <c r="F15770" s="26">
        <v>1.2200000000000001E-2</v>
      </c>
      <c r="I15770">
        <v>164</v>
      </c>
    </row>
    <row r="15771" spans="1:10" x14ac:dyDescent="0.35">
      <c r="A15771" t="s">
        <v>232</v>
      </c>
      <c r="B15771" s="26">
        <v>0.89359999999999995</v>
      </c>
      <c r="C15771" s="26">
        <v>4.36E-2</v>
      </c>
      <c r="D15771" s="26">
        <v>4.1700000000000001E-2</v>
      </c>
      <c r="E15771" s="26">
        <v>1.3299999999999999E-2</v>
      </c>
      <c r="F15771" s="26">
        <v>6.8999999999999999E-3</v>
      </c>
      <c r="G15771" s="26">
        <v>8.9999999999999998E-4</v>
      </c>
      <c r="H15771" s="26">
        <v>1E-4</v>
      </c>
      <c r="I15771">
        <v>2813</v>
      </c>
    </row>
    <row r="15773" spans="1:10" x14ac:dyDescent="0.35">
      <c r="A15773" s="1" t="s">
        <v>1672</v>
      </c>
    </row>
    <row r="15774" spans="1:10" x14ac:dyDescent="0.35">
      <c r="A15774" t="s">
        <v>219</v>
      </c>
      <c r="B15774" t="s">
        <v>305</v>
      </c>
      <c r="C15774" t="s">
        <v>1667</v>
      </c>
      <c r="D15774" t="s">
        <v>1668</v>
      </c>
      <c r="E15774" t="s">
        <v>1669</v>
      </c>
      <c r="F15774" t="s">
        <v>1670</v>
      </c>
      <c r="G15774" t="s">
        <v>1671</v>
      </c>
      <c r="H15774" t="s">
        <v>286</v>
      </c>
      <c r="I15774" t="s">
        <v>281</v>
      </c>
      <c r="J15774" t="s">
        <v>226</v>
      </c>
    </row>
    <row r="15775" spans="1:10" x14ac:dyDescent="0.35">
      <c r="A15775" t="s">
        <v>227</v>
      </c>
      <c r="B15775" t="s">
        <v>242</v>
      </c>
      <c r="C15775" s="26">
        <v>0.89710000000000001</v>
      </c>
      <c r="D15775" s="26">
        <v>1.47E-2</v>
      </c>
      <c r="E15775" s="26">
        <v>7.3499999999999996E-2</v>
      </c>
      <c r="F15775" s="26">
        <v>1.47E-2</v>
      </c>
      <c r="J15775">
        <v>68</v>
      </c>
    </row>
    <row r="15776" spans="1:10" x14ac:dyDescent="0.35">
      <c r="A15776" t="s">
        <v>227</v>
      </c>
      <c r="B15776" t="s">
        <v>241</v>
      </c>
      <c r="C15776" s="26">
        <v>0.94620000000000004</v>
      </c>
      <c r="D15776" s="26">
        <v>2.1499999999999998E-2</v>
      </c>
      <c r="E15776" s="26">
        <v>2.1499999999999998E-2</v>
      </c>
      <c r="F15776" s="26">
        <v>1.0800000000000001E-2</v>
      </c>
      <c r="J15776">
        <v>93</v>
      </c>
    </row>
    <row r="15777" spans="1:10" x14ac:dyDescent="0.35">
      <c r="A15777" t="s">
        <v>228</v>
      </c>
      <c r="B15777" t="s">
        <v>242</v>
      </c>
      <c r="C15777" s="26">
        <v>0.89219999999999999</v>
      </c>
      <c r="D15777" s="26">
        <v>5.8799999999999998E-2</v>
      </c>
      <c r="E15777" s="26">
        <v>4.1200000000000001E-2</v>
      </c>
      <c r="F15777" s="26">
        <v>6.7999999999999996E-3</v>
      </c>
      <c r="I15777" s="26">
        <v>1E-3</v>
      </c>
      <c r="J15777">
        <v>402</v>
      </c>
    </row>
    <row r="15778" spans="1:10" x14ac:dyDescent="0.35">
      <c r="A15778" t="s">
        <v>228</v>
      </c>
      <c r="B15778" t="s">
        <v>241</v>
      </c>
      <c r="C15778" s="26">
        <v>0.89180000000000004</v>
      </c>
      <c r="D15778" s="26">
        <v>4.5900000000000003E-2</v>
      </c>
      <c r="E15778" s="26">
        <v>3.5900000000000001E-2</v>
      </c>
      <c r="F15778" s="26">
        <v>1.95E-2</v>
      </c>
      <c r="G15778" s="26">
        <v>6.8999999999999999E-3</v>
      </c>
      <c r="J15778">
        <v>631</v>
      </c>
    </row>
    <row r="15779" spans="1:10" x14ac:dyDescent="0.35">
      <c r="A15779" t="s">
        <v>229</v>
      </c>
      <c r="B15779" t="s">
        <v>242</v>
      </c>
      <c r="C15779" s="26">
        <v>0.87250000000000005</v>
      </c>
      <c r="D15779" s="26">
        <v>7.9299999999999995E-2</v>
      </c>
      <c r="E15779" s="26">
        <v>1.7100000000000001E-2</v>
      </c>
      <c r="F15779" s="26">
        <v>2.2599999999999999E-2</v>
      </c>
      <c r="G15779" s="26">
        <v>8.0000000000000004E-4</v>
      </c>
      <c r="H15779" s="26">
        <v>7.7000000000000002E-3</v>
      </c>
      <c r="J15779">
        <v>292</v>
      </c>
    </row>
    <row r="15780" spans="1:10" x14ac:dyDescent="0.35">
      <c r="A15780" t="s">
        <v>229</v>
      </c>
      <c r="B15780" t="s">
        <v>241</v>
      </c>
      <c r="C15780" s="26">
        <v>0.9204</v>
      </c>
      <c r="D15780" s="26">
        <v>4.2099999999999999E-2</v>
      </c>
      <c r="E15780" s="26">
        <v>9.7000000000000003E-3</v>
      </c>
      <c r="F15780" s="26">
        <v>1.24E-2</v>
      </c>
      <c r="G15780" s="26">
        <v>1.4800000000000001E-2</v>
      </c>
      <c r="H15780" s="26">
        <v>5.0000000000000001E-4</v>
      </c>
      <c r="J15780">
        <v>603</v>
      </c>
    </row>
    <row r="15781" spans="1:10" x14ac:dyDescent="0.35">
      <c r="A15781" t="s">
        <v>230</v>
      </c>
      <c r="B15781" t="s">
        <v>242</v>
      </c>
      <c r="C15781" s="26">
        <v>0.87490000000000001</v>
      </c>
      <c r="D15781" s="26">
        <v>3.09E-2</v>
      </c>
      <c r="E15781" s="26">
        <v>3.4500000000000003E-2</v>
      </c>
      <c r="F15781" s="26">
        <v>5.9799999999999999E-2</v>
      </c>
      <c r="J15781">
        <v>189</v>
      </c>
    </row>
    <row r="15782" spans="1:10" x14ac:dyDescent="0.35">
      <c r="A15782" t="s">
        <v>230</v>
      </c>
      <c r="B15782" t="s">
        <v>241</v>
      </c>
      <c r="C15782" s="26">
        <v>0.94130000000000003</v>
      </c>
      <c r="D15782" s="26">
        <v>3.3300000000000003E-2</v>
      </c>
      <c r="E15782" s="26">
        <v>2.1499999999999998E-2</v>
      </c>
      <c r="F15782" s="26">
        <v>3.8E-3</v>
      </c>
      <c r="J15782">
        <v>371</v>
      </c>
    </row>
    <row r="15783" spans="1:10" x14ac:dyDescent="0.35">
      <c r="A15783" t="s">
        <v>231</v>
      </c>
      <c r="B15783" t="s">
        <v>242</v>
      </c>
      <c r="C15783" s="26">
        <v>0.90739999999999998</v>
      </c>
      <c r="D15783" s="26">
        <v>1.8499999999999999E-2</v>
      </c>
      <c r="E15783" s="26">
        <v>5.5599999999999997E-2</v>
      </c>
      <c r="F15783" s="26">
        <v>1.8499999999999999E-2</v>
      </c>
      <c r="J15783">
        <v>54</v>
      </c>
    </row>
    <row r="15784" spans="1:10" x14ac:dyDescent="0.35">
      <c r="A15784" t="s">
        <v>231</v>
      </c>
      <c r="B15784" t="s">
        <v>241</v>
      </c>
      <c r="C15784" s="26">
        <v>0.83640000000000003</v>
      </c>
      <c r="D15784" s="26">
        <v>5.45E-2</v>
      </c>
      <c r="E15784" s="26">
        <v>9.0899999999999995E-2</v>
      </c>
      <c r="G15784" s="26">
        <v>1.8200000000000001E-2</v>
      </c>
      <c r="J15784">
        <v>110</v>
      </c>
    </row>
    <row r="15785" spans="1:10" x14ac:dyDescent="0.35">
      <c r="A15785" t="s">
        <v>232</v>
      </c>
      <c r="B15785" t="s">
        <v>232</v>
      </c>
      <c r="C15785" s="26">
        <v>0.89359999999999995</v>
      </c>
      <c r="D15785" s="26">
        <v>4.36E-2</v>
      </c>
      <c r="E15785" s="26">
        <v>4.1700000000000001E-2</v>
      </c>
      <c r="F15785" s="26">
        <v>1.3299999999999999E-2</v>
      </c>
      <c r="G15785" s="26">
        <v>6.8999999999999999E-3</v>
      </c>
      <c r="H15785" s="26">
        <v>8.9999999999999998E-4</v>
      </c>
      <c r="I15785" s="26">
        <v>1E-4</v>
      </c>
      <c r="J15785">
        <v>2813</v>
      </c>
    </row>
    <row r="15787" spans="1:10" x14ac:dyDescent="0.35">
      <c r="A15787" s="1" t="s">
        <v>1673</v>
      </c>
    </row>
    <row r="15788" spans="1:10" x14ac:dyDescent="0.35">
      <c r="A15788" t="s">
        <v>219</v>
      </c>
      <c r="B15788" t="s">
        <v>305</v>
      </c>
      <c r="C15788" t="s">
        <v>1667</v>
      </c>
      <c r="D15788" t="s">
        <v>1668</v>
      </c>
      <c r="E15788" t="s">
        <v>1669</v>
      </c>
      <c r="F15788" t="s">
        <v>1670</v>
      </c>
      <c r="G15788" t="s">
        <v>1671</v>
      </c>
      <c r="H15788" t="s">
        <v>286</v>
      </c>
      <c r="I15788" t="s">
        <v>281</v>
      </c>
      <c r="J15788" t="s">
        <v>226</v>
      </c>
    </row>
    <row r="15789" spans="1:10" x14ac:dyDescent="0.35">
      <c r="A15789" t="s">
        <v>227</v>
      </c>
      <c r="B15789" t="s">
        <v>239</v>
      </c>
      <c r="C15789" s="26">
        <v>0.9194</v>
      </c>
      <c r="D15789" s="26">
        <v>1.61E-2</v>
      </c>
      <c r="E15789" s="26">
        <v>6.4500000000000002E-2</v>
      </c>
      <c r="J15789">
        <v>62</v>
      </c>
    </row>
    <row r="15790" spans="1:10" x14ac:dyDescent="0.35">
      <c r="A15790" t="s">
        <v>227</v>
      </c>
      <c r="B15790" t="s">
        <v>238</v>
      </c>
      <c r="C15790" s="26">
        <v>0.92930000000000001</v>
      </c>
      <c r="D15790" s="26">
        <v>2.0199999999999999E-2</v>
      </c>
      <c r="E15790" s="26">
        <v>3.0300000000000001E-2</v>
      </c>
      <c r="F15790" s="26">
        <v>2.0199999999999999E-2</v>
      </c>
      <c r="J15790">
        <v>99</v>
      </c>
    </row>
    <row r="15791" spans="1:10" x14ac:dyDescent="0.35">
      <c r="A15791" t="s">
        <v>228</v>
      </c>
      <c r="B15791" t="s">
        <v>239</v>
      </c>
      <c r="C15791" s="26">
        <v>0.87680000000000002</v>
      </c>
      <c r="D15791" s="26">
        <v>2.64E-2</v>
      </c>
      <c r="E15791" s="26">
        <v>5.4899999999999997E-2</v>
      </c>
      <c r="F15791" s="26">
        <v>2.3199999999999998E-2</v>
      </c>
      <c r="G15791" s="26">
        <v>1.8700000000000001E-2</v>
      </c>
      <c r="J15791">
        <v>330</v>
      </c>
    </row>
    <row r="15792" spans="1:10" x14ac:dyDescent="0.35">
      <c r="A15792" t="s">
        <v>228</v>
      </c>
      <c r="B15792" t="s">
        <v>238</v>
      </c>
      <c r="C15792" s="26">
        <v>0.89590000000000003</v>
      </c>
      <c r="D15792" s="26">
        <v>5.6899999999999999E-2</v>
      </c>
      <c r="E15792" s="26">
        <v>3.3399999999999999E-2</v>
      </c>
      <c r="F15792" s="26">
        <v>1.2699999999999999E-2</v>
      </c>
      <c r="G15792" s="26">
        <v>6.9999999999999999E-4</v>
      </c>
      <c r="I15792" s="26">
        <v>5.0000000000000001E-4</v>
      </c>
      <c r="J15792">
        <v>703</v>
      </c>
    </row>
    <row r="15793" spans="1:10" x14ac:dyDescent="0.35">
      <c r="A15793" t="s">
        <v>229</v>
      </c>
      <c r="B15793" t="s">
        <v>239</v>
      </c>
      <c r="C15793" s="26">
        <v>0.91279999999999994</v>
      </c>
      <c r="D15793" s="26">
        <v>4.5199999999999997E-2</v>
      </c>
      <c r="E15793" s="26">
        <v>3.8999999999999998E-3</v>
      </c>
      <c r="F15793" s="26">
        <v>3.7699999999999997E-2</v>
      </c>
      <c r="G15793" s="26">
        <v>4.0000000000000002E-4</v>
      </c>
      <c r="J15793">
        <v>332</v>
      </c>
    </row>
    <row r="15794" spans="1:10" x14ac:dyDescent="0.35">
      <c r="A15794" t="s">
        <v>229</v>
      </c>
      <c r="B15794" t="s">
        <v>238</v>
      </c>
      <c r="C15794" s="26">
        <v>0.89790000000000003</v>
      </c>
      <c r="D15794" s="26">
        <v>6.0499999999999998E-2</v>
      </c>
      <c r="E15794" s="26">
        <v>1.5599999999999999E-2</v>
      </c>
      <c r="F15794" s="26">
        <v>9.1000000000000004E-3</v>
      </c>
      <c r="G15794" s="26">
        <v>1.24E-2</v>
      </c>
      <c r="H15794" s="26">
        <v>4.4999999999999997E-3</v>
      </c>
      <c r="J15794">
        <v>563</v>
      </c>
    </row>
    <row r="15795" spans="1:10" x14ac:dyDescent="0.35">
      <c r="A15795" t="s">
        <v>230</v>
      </c>
      <c r="B15795" t="s">
        <v>239</v>
      </c>
      <c r="C15795" s="26">
        <v>0.92910000000000004</v>
      </c>
      <c r="D15795" s="26">
        <v>5.45E-2</v>
      </c>
      <c r="E15795" s="26">
        <v>6.7999999999999996E-3</v>
      </c>
      <c r="F15795" s="26">
        <v>9.7000000000000003E-3</v>
      </c>
      <c r="J15795">
        <v>211</v>
      </c>
    </row>
    <row r="15796" spans="1:10" x14ac:dyDescent="0.35">
      <c r="A15796" t="s">
        <v>230</v>
      </c>
      <c r="B15796" t="s">
        <v>238</v>
      </c>
      <c r="C15796" s="26">
        <v>0.91449999999999998</v>
      </c>
      <c r="D15796" s="26">
        <v>2.3E-2</v>
      </c>
      <c r="E15796" s="26">
        <v>3.4200000000000001E-2</v>
      </c>
      <c r="F15796" s="26">
        <v>2.8400000000000002E-2</v>
      </c>
      <c r="J15796">
        <v>349</v>
      </c>
    </row>
    <row r="15797" spans="1:10" x14ac:dyDescent="0.35">
      <c r="A15797" t="s">
        <v>231</v>
      </c>
      <c r="B15797" t="s">
        <v>239</v>
      </c>
      <c r="C15797" s="26">
        <v>0.87719999999999998</v>
      </c>
      <c r="D15797" s="26">
        <v>1.7500000000000002E-2</v>
      </c>
      <c r="E15797" s="26">
        <v>8.77E-2</v>
      </c>
      <c r="G15797" s="26">
        <v>1.7500000000000002E-2</v>
      </c>
      <c r="J15797">
        <v>57</v>
      </c>
    </row>
    <row r="15798" spans="1:10" x14ac:dyDescent="0.35">
      <c r="A15798" t="s">
        <v>231</v>
      </c>
      <c r="B15798" t="s">
        <v>238</v>
      </c>
      <c r="C15798" s="26">
        <v>0.85050000000000003</v>
      </c>
      <c r="D15798" s="26">
        <v>5.6099999999999997E-2</v>
      </c>
      <c r="E15798" s="26">
        <v>7.4800000000000005E-2</v>
      </c>
      <c r="F15798" s="26">
        <v>9.2999999999999992E-3</v>
      </c>
      <c r="G15798" s="26">
        <v>9.2999999999999992E-3</v>
      </c>
      <c r="J15798">
        <v>107</v>
      </c>
    </row>
    <row r="15799" spans="1:10" x14ac:dyDescent="0.35">
      <c r="A15799" t="s">
        <v>232</v>
      </c>
      <c r="B15799" t="s">
        <v>232</v>
      </c>
      <c r="C15799" s="26">
        <v>0.89359999999999995</v>
      </c>
      <c r="D15799" s="26">
        <v>4.36E-2</v>
      </c>
      <c r="E15799" s="26">
        <v>4.1700000000000001E-2</v>
      </c>
      <c r="F15799" s="26">
        <v>1.3299999999999999E-2</v>
      </c>
      <c r="G15799" s="26">
        <v>6.8999999999999999E-3</v>
      </c>
      <c r="H15799" s="26">
        <v>8.9999999999999998E-4</v>
      </c>
      <c r="I15799" s="26">
        <v>1E-4</v>
      </c>
      <c r="J15799">
        <v>2813</v>
      </c>
    </row>
    <row r="15801" spans="1:10" x14ac:dyDescent="0.35">
      <c r="A15801" s="1" t="s">
        <v>1674</v>
      </c>
    </row>
    <row r="15802" spans="1:10" x14ac:dyDescent="0.35">
      <c r="A15802" t="s">
        <v>219</v>
      </c>
      <c r="B15802" t="s">
        <v>305</v>
      </c>
      <c r="C15802" t="s">
        <v>1667</v>
      </c>
      <c r="D15802" t="s">
        <v>1668</v>
      </c>
      <c r="E15802" t="s">
        <v>1669</v>
      </c>
      <c r="F15802" t="s">
        <v>1670</v>
      </c>
      <c r="G15802" t="s">
        <v>1671</v>
      </c>
      <c r="H15802" t="s">
        <v>286</v>
      </c>
      <c r="I15802" t="s">
        <v>281</v>
      </c>
      <c r="J15802" t="s">
        <v>226</v>
      </c>
    </row>
    <row r="15803" spans="1:10" x14ac:dyDescent="0.35">
      <c r="A15803" t="s">
        <v>227</v>
      </c>
      <c r="B15803" t="s">
        <v>244</v>
      </c>
      <c r="C15803" s="26">
        <v>0.9375</v>
      </c>
      <c r="D15803" s="26">
        <v>1.04E-2</v>
      </c>
      <c r="E15803" s="26">
        <v>4.1700000000000001E-2</v>
      </c>
      <c r="F15803" s="26">
        <v>1.04E-2</v>
      </c>
      <c r="J15803">
        <v>96</v>
      </c>
    </row>
    <row r="15804" spans="1:10" x14ac:dyDescent="0.35">
      <c r="A15804" t="s">
        <v>227</v>
      </c>
      <c r="B15804" t="s">
        <v>245</v>
      </c>
      <c r="C15804" s="26">
        <v>0.90569999999999995</v>
      </c>
      <c r="D15804" s="26">
        <v>3.7699999999999997E-2</v>
      </c>
      <c r="E15804" s="26">
        <v>5.6599999999999998E-2</v>
      </c>
      <c r="J15804">
        <v>53</v>
      </c>
    </row>
    <row r="15805" spans="1:10" x14ac:dyDescent="0.35">
      <c r="A15805" s="27" t="s">
        <v>227</v>
      </c>
      <c r="B15805" s="27" t="s">
        <v>246</v>
      </c>
      <c r="C15805" s="28">
        <v>0.91669999999999996</v>
      </c>
      <c r="D15805" s="29"/>
      <c r="E15805" s="29"/>
      <c r="F15805" s="28">
        <v>8.3299999999999999E-2</v>
      </c>
      <c r="G15805" s="29"/>
      <c r="H15805" s="29"/>
      <c r="I15805" s="29"/>
      <c r="J15805" s="29" t="s">
        <v>342</v>
      </c>
    </row>
    <row r="15806" spans="1:10" x14ac:dyDescent="0.35">
      <c r="A15806" t="s">
        <v>228</v>
      </c>
      <c r="B15806" t="s">
        <v>244</v>
      </c>
      <c r="C15806" s="26">
        <v>0.90349999999999997</v>
      </c>
      <c r="D15806" s="26">
        <v>4.41E-2</v>
      </c>
      <c r="E15806" s="26">
        <v>3.0700000000000002E-2</v>
      </c>
      <c r="F15806" s="26">
        <v>1.5800000000000002E-2</v>
      </c>
      <c r="G15806" s="26">
        <v>5.8999999999999999E-3</v>
      </c>
      <c r="J15806">
        <v>638</v>
      </c>
    </row>
    <row r="15807" spans="1:10" x14ac:dyDescent="0.35">
      <c r="A15807" t="s">
        <v>228</v>
      </c>
      <c r="B15807" t="s">
        <v>245</v>
      </c>
      <c r="C15807" s="26">
        <v>0.86809999999999998</v>
      </c>
      <c r="D15807" s="26">
        <v>6.9699999999999998E-2</v>
      </c>
      <c r="E15807" s="26">
        <v>4.9200000000000001E-2</v>
      </c>
      <c r="F15807" s="26">
        <v>9.7000000000000003E-3</v>
      </c>
      <c r="G15807" s="26">
        <v>2E-3</v>
      </c>
      <c r="I15807" s="26">
        <v>1.2999999999999999E-3</v>
      </c>
      <c r="J15807">
        <v>328</v>
      </c>
    </row>
    <row r="15808" spans="1:10" x14ac:dyDescent="0.35">
      <c r="A15808" t="s">
        <v>228</v>
      </c>
      <c r="B15808" t="s">
        <v>246</v>
      </c>
      <c r="C15808" s="26">
        <v>0.87890000000000001</v>
      </c>
      <c r="D15808" s="26">
        <v>3.4099999999999998E-2</v>
      </c>
      <c r="E15808" s="26">
        <v>0.06</v>
      </c>
      <c r="F15808" s="26">
        <v>2.7E-2</v>
      </c>
      <c r="J15808">
        <v>67</v>
      </c>
    </row>
    <row r="15809" spans="1:10" x14ac:dyDescent="0.35">
      <c r="A15809" t="s">
        <v>229</v>
      </c>
      <c r="B15809" t="s">
        <v>244</v>
      </c>
      <c r="C15809" s="26">
        <v>0.91639999999999999</v>
      </c>
      <c r="D15809" s="26">
        <v>4.4999999999999998E-2</v>
      </c>
      <c r="E15809" s="26">
        <v>1.7999999999999999E-2</v>
      </c>
      <c r="F15809" s="26">
        <v>1.0999999999999999E-2</v>
      </c>
      <c r="G15809" s="26">
        <v>4.7000000000000002E-3</v>
      </c>
      <c r="H15809" s="26">
        <v>4.7999999999999996E-3</v>
      </c>
      <c r="J15809">
        <v>557</v>
      </c>
    </row>
    <row r="15810" spans="1:10" x14ac:dyDescent="0.35">
      <c r="A15810" t="s">
        <v>229</v>
      </c>
      <c r="B15810" t="s">
        <v>245</v>
      </c>
      <c r="C15810" s="26">
        <v>0.87350000000000005</v>
      </c>
      <c r="D15810" s="26">
        <v>7.7799999999999994E-2</v>
      </c>
      <c r="E15810" s="26">
        <v>4.0000000000000002E-4</v>
      </c>
      <c r="F15810" s="26">
        <v>2.4299999999999999E-2</v>
      </c>
      <c r="G15810" s="26">
        <v>2.4E-2</v>
      </c>
      <c r="J15810">
        <v>293</v>
      </c>
    </row>
    <row r="15811" spans="1:10" x14ac:dyDescent="0.35">
      <c r="A15811" t="s">
        <v>229</v>
      </c>
      <c r="B15811" t="s">
        <v>246</v>
      </c>
      <c r="C15811" s="26">
        <v>0.84450000000000003</v>
      </c>
      <c r="D15811" s="26">
        <v>0.1066</v>
      </c>
      <c r="F15811" s="26">
        <v>4.8899999999999999E-2</v>
      </c>
      <c r="J15811">
        <v>45</v>
      </c>
    </row>
    <row r="15812" spans="1:10" x14ac:dyDescent="0.35">
      <c r="A15812" t="s">
        <v>230</v>
      </c>
      <c r="B15812" t="s">
        <v>244</v>
      </c>
      <c r="C15812" s="26">
        <v>0.94199999999999995</v>
      </c>
      <c r="D15812" s="26">
        <v>3.2300000000000002E-2</v>
      </c>
      <c r="E15812" s="26">
        <v>1.9800000000000002E-2</v>
      </c>
      <c r="F15812" s="26">
        <v>5.8999999999999999E-3</v>
      </c>
      <c r="J15812">
        <v>370</v>
      </c>
    </row>
    <row r="15813" spans="1:10" x14ac:dyDescent="0.35">
      <c r="A15813" t="s">
        <v>230</v>
      </c>
      <c r="B15813" t="s">
        <v>245</v>
      </c>
      <c r="C15813" s="26">
        <v>0.85109999999999997</v>
      </c>
      <c r="D15813" s="26">
        <v>3.4500000000000003E-2</v>
      </c>
      <c r="E15813" s="26">
        <v>4.7E-2</v>
      </c>
      <c r="F15813" s="26">
        <v>6.7500000000000004E-2</v>
      </c>
      <c r="J15813">
        <v>161</v>
      </c>
    </row>
    <row r="15814" spans="1:10" x14ac:dyDescent="0.35">
      <c r="A15814" s="27" t="s">
        <v>230</v>
      </c>
      <c r="B15814" s="27" t="s">
        <v>246</v>
      </c>
      <c r="C15814" s="28">
        <v>0.95179999999999998</v>
      </c>
      <c r="D15814" s="28">
        <v>2.3900000000000001E-2</v>
      </c>
      <c r="E15814" s="29"/>
      <c r="F15814" s="28">
        <v>2.4299999999999999E-2</v>
      </c>
      <c r="G15814" s="29"/>
      <c r="H15814" s="29"/>
      <c r="I15814" s="29"/>
      <c r="J15814" s="29" t="s">
        <v>329</v>
      </c>
    </row>
    <row r="15815" spans="1:10" x14ac:dyDescent="0.35">
      <c r="A15815" t="s">
        <v>231</v>
      </c>
      <c r="B15815" t="s">
        <v>244</v>
      </c>
      <c r="C15815" s="26">
        <v>0.86319999999999997</v>
      </c>
      <c r="D15815" s="26">
        <v>4.2099999999999999E-2</v>
      </c>
      <c r="E15815" s="26">
        <v>8.4199999999999997E-2</v>
      </c>
      <c r="F15815" s="26">
        <v>1.0500000000000001E-2</v>
      </c>
      <c r="J15815">
        <v>95</v>
      </c>
    </row>
    <row r="15816" spans="1:10" x14ac:dyDescent="0.35">
      <c r="A15816" t="s">
        <v>231</v>
      </c>
      <c r="B15816" t="s">
        <v>245</v>
      </c>
      <c r="C15816" s="26">
        <v>0.83930000000000005</v>
      </c>
      <c r="D15816" s="26">
        <v>5.3600000000000002E-2</v>
      </c>
      <c r="E15816" s="26">
        <v>7.1400000000000005E-2</v>
      </c>
      <c r="G15816" s="26">
        <v>3.5700000000000003E-2</v>
      </c>
      <c r="J15816">
        <v>56</v>
      </c>
    </row>
    <row r="15817" spans="1:10" x14ac:dyDescent="0.35">
      <c r="A15817" s="27" t="s">
        <v>231</v>
      </c>
      <c r="B15817" s="27" t="s">
        <v>246</v>
      </c>
      <c r="C15817" s="28">
        <v>0.92310000000000003</v>
      </c>
      <c r="D15817" s="29"/>
      <c r="E15817" s="28">
        <v>7.6899999999999996E-2</v>
      </c>
      <c r="F15817" s="29"/>
      <c r="G15817" s="29"/>
      <c r="H15817" s="29"/>
      <c r="I15817" s="29"/>
      <c r="J15817" s="29" t="s">
        <v>341</v>
      </c>
    </row>
    <row r="15818" spans="1:10" x14ac:dyDescent="0.35">
      <c r="A15818" t="s">
        <v>232</v>
      </c>
      <c r="B15818" t="s">
        <v>232</v>
      </c>
      <c r="C15818" s="26">
        <v>0.89359999999999995</v>
      </c>
      <c r="D15818" s="26">
        <v>4.36E-2</v>
      </c>
      <c r="E15818" s="26">
        <v>4.1700000000000001E-2</v>
      </c>
      <c r="F15818" s="26">
        <v>1.3299999999999999E-2</v>
      </c>
      <c r="G15818" s="26">
        <v>6.8999999999999999E-3</v>
      </c>
      <c r="H15818" s="26">
        <v>8.9999999999999998E-4</v>
      </c>
      <c r="I15818" s="26">
        <v>1E-4</v>
      </c>
      <c r="J15818">
        <v>2813</v>
      </c>
    </row>
    <row r="15820" spans="1:10" x14ac:dyDescent="0.35">
      <c r="A15820" s="1" t="s">
        <v>1675</v>
      </c>
    </row>
    <row r="15821" spans="1:10" x14ac:dyDescent="0.35">
      <c r="A15821" t="s">
        <v>219</v>
      </c>
      <c r="B15821" t="s">
        <v>305</v>
      </c>
      <c r="C15821" t="s">
        <v>1667</v>
      </c>
      <c r="D15821" t="s">
        <v>1668</v>
      </c>
      <c r="E15821" t="s">
        <v>1669</v>
      </c>
      <c r="F15821" t="s">
        <v>1670</v>
      </c>
      <c r="G15821" t="s">
        <v>1671</v>
      </c>
      <c r="H15821" t="s">
        <v>286</v>
      </c>
      <c r="I15821" t="s">
        <v>281</v>
      </c>
      <c r="J15821" t="s">
        <v>226</v>
      </c>
    </row>
    <row r="15822" spans="1:10" x14ac:dyDescent="0.35">
      <c r="A15822" t="s">
        <v>227</v>
      </c>
      <c r="B15822" t="s">
        <v>360</v>
      </c>
      <c r="C15822" s="26">
        <v>0.92310000000000003</v>
      </c>
      <c r="E15822" s="26">
        <v>2.5600000000000001E-2</v>
      </c>
      <c r="F15822" s="26">
        <v>5.1299999999999998E-2</v>
      </c>
      <c r="J15822">
        <v>39</v>
      </c>
    </row>
    <row r="15823" spans="1:10" x14ac:dyDescent="0.35">
      <c r="A15823" t="s">
        <v>227</v>
      </c>
      <c r="B15823" t="s">
        <v>361</v>
      </c>
      <c r="C15823" s="26">
        <v>0.96879999999999999</v>
      </c>
      <c r="E15823" s="26">
        <v>3.1199999999999999E-2</v>
      </c>
      <c r="J15823">
        <v>32</v>
      </c>
    </row>
    <row r="15824" spans="1:10" x14ac:dyDescent="0.35">
      <c r="A15824" t="s">
        <v>227</v>
      </c>
      <c r="B15824" t="s">
        <v>362</v>
      </c>
      <c r="C15824" s="26">
        <v>0.89190000000000003</v>
      </c>
      <c r="E15824" s="26">
        <v>0.1081</v>
      </c>
      <c r="J15824">
        <v>37</v>
      </c>
    </row>
    <row r="15825" spans="1:10" x14ac:dyDescent="0.35">
      <c r="A15825" t="s">
        <v>227</v>
      </c>
      <c r="B15825" t="s">
        <v>363</v>
      </c>
      <c r="C15825" s="26">
        <v>0.91110000000000002</v>
      </c>
      <c r="D15825" s="26">
        <v>6.6699999999999995E-2</v>
      </c>
      <c r="E15825" s="26">
        <v>2.2200000000000001E-2</v>
      </c>
      <c r="J15825">
        <v>45</v>
      </c>
    </row>
    <row r="15826" spans="1:10" x14ac:dyDescent="0.35">
      <c r="A15826" t="s">
        <v>228</v>
      </c>
      <c r="B15826" t="s">
        <v>360</v>
      </c>
      <c r="C15826" s="26">
        <v>0.84799999999999998</v>
      </c>
      <c r="D15826" s="26">
        <v>5.0500000000000003E-2</v>
      </c>
      <c r="E15826" s="26">
        <v>7.17E-2</v>
      </c>
      <c r="F15826" s="26">
        <v>2.52E-2</v>
      </c>
      <c r="G15826" s="26">
        <v>2.8E-3</v>
      </c>
      <c r="I15826" s="26">
        <v>1.8E-3</v>
      </c>
      <c r="J15826">
        <v>258</v>
      </c>
    </row>
    <row r="15827" spans="1:10" x14ac:dyDescent="0.35">
      <c r="A15827" t="s">
        <v>228</v>
      </c>
      <c r="B15827" t="s">
        <v>361</v>
      </c>
      <c r="C15827" s="26">
        <v>0.9163</v>
      </c>
      <c r="D15827" s="26">
        <v>3.8899999999999997E-2</v>
      </c>
      <c r="E15827" s="26">
        <v>2.76E-2</v>
      </c>
      <c r="F15827" s="26">
        <v>1.72E-2</v>
      </c>
      <c r="J15827">
        <v>194</v>
      </c>
    </row>
    <row r="15828" spans="1:10" x14ac:dyDescent="0.35">
      <c r="A15828" t="s">
        <v>228</v>
      </c>
      <c r="B15828" t="s">
        <v>363</v>
      </c>
      <c r="C15828" s="26">
        <v>0.87139999999999995</v>
      </c>
      <c r="D15828" s="26">
        <v>7.2099999999999997E-2</v>
      </c>
      <c r="E15828" s="26">
        <v>3.1899999999999998E-2</v>
      </c>
      <c r="F15828" s="26">
        <v>8.3999999999999995E-3</v>
      </c>
      <c r="G15828" s="26">
        <v>1.6199999999999999E-2</v>
      </c>
      <c r="J15828">
        <v>212</v>
      </c>
    </row>
    <row r="15829" spans="1:10" x14ac:dyDescent="0.35">
      <c r="A15829" t="s">
        <v>228</v>
      </c>
      <c r="B15829" t="s">
        <v>362</v>
      </c>
      <c r="C15829" s="26">
        <v>0.90359999999999996</v>
      </c>
      <c r="D15829" s="26">
        <v>5.5E-2</v>
      </c>
      <c r="E15829" s="26">
        <v>2.7699999999999999E-2</v>
      </c>
      <c r="F15829" s="26">
        <v>1.3599999999999999E-2</v>
      </c>
      <c r="J15829">
        <v>236</v>
      </c>
    </row>
    <row r="15830" spans="1:10" x14ac:dyDescent="0.35">
      <c r="A15830" t="s">
        <v>229</v>
      </c>
      <c r="B15830" t="s">
        <v>363</v>
      </c>
      <c r="C15830" s="26">
        <v>0.84950000000000003</v>
      </c>
      <c r="D15830" s="26">
        <v>4.7100000000000003E-2</v>
      </c>
      <c r="E15830" s="26">
        <v>3.6499999999999998E-2</v>
      </c>
      <c r="F15830" s="26">
        <v>3.3700000000000001E-2</v>
      </c>
      <c r="G15830" s="26">
        <v>1.6899999999999998E-2</v>
      </c>
      <c r="H15830" s="26">
        <v>1.6400000000000001E-2</v>
      </c>
      <c r="J15830">
        <v>191</v>
      </c>
    </row>
    <row r="15831" spans="1:10" x14ac:dyDescent="0.35">
      <c r="A15831" t="s">
        <v>229</v>
      </c>
      <c r="B15831" t="s">
        <v>360</v>
      </c>
      <c r="C15831" s="26">
        <v>0.91890000000000005</v>
      </c>
      <c r="D15831" s="26">
        <v>2.69E-2</v>
      </c>
      <c r="E15831" s="26">
        <v>1.6199999999999999E-2</v>
      </c>
      <c r="F15831" s="26">
        <v>3.73E-2</v>
      </c>
      <c r="G15831" s="26">
        <v>5.9999999999999995E-4</v>
      </c>
      <c r="J15831">
        <v>164</v>
      </c>
    </row>
    <row r="15832" spans="1:10" x14ac:dyDescent="0.35">
      <c r="A15832" t="s">
        <v>229</v>
      </c>
      <c r="B15832" t="s">
        <v>361</v>
      </c>
      <c r="C15832" s="26">
        <v>0.91869999999999996</v>
      </c>
      <c r="D15832" s="26">
        <v>5.4600000000000003E-2</v>
      </c>
      <c r="E15832" s="26">
        <v>7.9000000000000008E-3</v>
      </c>
      <c r="F15832" s="26">
        <v>0.01</v>
      </c>
      <c r="G15832" s="26">
        <v>8.8000000000000005E-3</v>
      </c>
      <c r="J15832">
        <v>243</v>
      </c>
    </row>
    <row r="15833" spans="1:10" x14ac:dyDescent="0.35">
      <c r="A15833" t="s">
        <v>229</v>
      </c>
      <c r="B15833" t="s">
        <v>362</v>
      </c>
      <c r="C15833" s="26">
        <v>0.87990000000000002</v>
      </c>
      <c r="D15833" s="26">
        <v>0.1134</v>
      </c>
      <c r="E15833" s="26">
        <v>2.5999999999999999E-3</v>
      </c>
      <c r="F15833" s="26">
        <v>2E-3</v>
      </c>
      <c r="G15833" s="26">
        <v>2E-3</v>
      </c>
      <c r="J15833">
        <v>171</v>
      </c>
    </row>
    <row r="15834" spans="1:10" x14ac:dyDescent="0.35">
      <c r="A15834" t="s">
        <v>230</v>
      </c>
      <c r="B15834" t="s">
        <v>360</v>
      </c>
      <c r="C15834" s="26">
        <v>0.84619999999999995</v>
      </c>
      <c r="D15834" s="26">
        <v>1.7399999999999999E-2</v>
      </c>
      <c r="E15834" s="26">
        <v>3.7900000000000003E-2</v>
      </c>
      <c r="F15834" s="26">
        <v>9.8500000000000004E-2</v>
      </c>
      <c r="J15834">
        <v>120</v>
      </c>
    </row>
    <row r="15835" spans="1:10" x14ac:dyDescent="0.35">
      <c r="A15835" t="s">
        <v>230</v>
      </c>
      <c r="B15835" t="s">
        <v>363</v>
      </c>
      <c r="C15835" s="26">
        <v>0.89119999999999999</v>
      </c>
      <c r="D15835" s="26">
        <v>2.81E-2</v>
      </c>
      <c r="E15835" s="26">
        <v>7.6899999999999996E-2</v>
      </c>
      <c r="F15835" s="26">
        <v>3.8E-3</v>
      </c>
      <c r="J15835">
        <v>127</v>
      </c>
    </row>
    <row r="15836" spans="1:10" x14ac:dyDescent="0.35">
      <c r="A15836" t="s">
        <v>230</v>
      </c>
      <c r="B15836" t="s">
        <v>361</v>
      </c>
      <c r="C15836" s="26">
        <v>0.97409999999999997</v>
      </c>
      <c r="D15836" s="26">
        <v>2.12E-2</v>
      </c>
      <c r="F15836" s="26">
        <v>4.7000000000000002E-3</v>
      </c>
      <c r="J15836">
        <v>109</v>
      </c>
    </row>
    <row r="15837" spans="1:10" x14ac:dyDescent="0.35">
      <c r="A15837" t="s">
        <v>230</v>
      </c>
      <c r="B15837" t="s">
        <v>362</v>
      </c>
      <c r="C15837" s="26">
        <v>0.95989999999999998</v>
      </c>
      <c r="D15837" s="26">
        <v>3.2099999999999997E-2</v>
      </c>
      <c r="F15837" s="26">
        <v>8.0000000000000002E-3</v>
      </c>
      <c r="J15837">
        <v>148</v>
      </c>
    </row>
    <row r="15838" spans="1:10" x14ac:dyDescent="0.35">
      <c r="A15838" s="27" t="s">
        <v>231</v>
      </c>
      <c r="B15838" s="27" t="s">
        <v>362</v>
      </c>
      <c r="C15838" s="28">
        <v>0.86209999999999998</v>
      </c>
      <c r="D15838" s="29"/>
      <c r="E15838" s="28">
        <v>0.10340000000000001</v>
      </c>
      <c r="F15838" s="29"/>
      <c r="G15838" s="28">
        <v>3.4500000000000003E-2</v>
      </c>
      <c r="H15838" s="29"/>
      <c r="I15838" s="29"/>
      <c r="J15838" s="29" t="s">
        <v>329</v>
      </c>
    </row>
    <row r="15839" spans="1:10" x14ac:dyDescent="0.35">
      <c r="A15839" t="s">
        <v>231</v>
      </c>
      <c r="B15839" t="s">
        <v>361</v>
      </c>
      <c r="C15839" s="26">
        <v>0.84</v>
      </c>
      <c r="D15839" s="26">
        <v>0.06</v>
      </c>
      <c r="E15839" s="26">
        <v>0.08</v>
      </c>
      <c r="G15839" s="26">
        <v>0.02</v>
      </c>
      <c r="J15839">
        <v>50</v>
      </c>
    </row>
    <row r="15840" spans="1:10" x14ac:dyDescent="0.35">
      <c r="A15840" t="s">
        <v>231</v>
      </c>
      <c r="B15840" t="s">
        <v>360</v>
      </c>
      <c r="C15840" s="26">
        <v>0.90910000000000002</v>
      </c>
      <c r="D15840" s="26">
        <v>2.2700000000000001E-2</v>
      </c>
      <c r="E15840" s="26">
        <v>4.5499999999999999E-2</v>
      </c>
      <c r="F15840" s="26">
        <v>2.2700000000000001E-2</v>
      </c>
      <c r="J15840">
        <v>44</v>
      </c>
    </row>
    <row r="15841" spans="1:10" x14ac:dyDescent="0.35">
      <c r="A15841" s="27" t="s">
        <v>231</v>
      </c>
      <c r="B15841" s="27" t="s">
        <v>363</v>
      </c>
      <c r="C15841" s="28">
        <v>0.88890000000000002</v>
      </c>
      <c r="D15841" s="28">
        <v>7.4099999999999999E-2</v>
      </c>
      <c r="E15841" s="28">
        <v>3.6999999999999998E-2</v>
      </c>
      <c r="F15841" s="29"/>
      <c r="G15841" s="29"/>
      <c r="H15841" s="29"/>
      <c r="I15841" s="29"/>
      <c r="J15841" s="29" t="s">
        <v>338</v>
      </c>
    </row>
    <row r="15842" spans="1:10" x14ac:dyDescent="0.35">
      <c r="A15842" t="s">
        <v>232</v>
      </c>
      <c r="B15842" t="s">
        <v>232</v>
      </c>
      <c r="C15842" s="26">
        <v>0.89359999999999995</v>
      </c>
      <c r="D15842" s="26">
        <v>4.36E-2</v>
      </c>
      <c r="E15842" s="26">
        <v>4.1700000000000001E-2</v>
      </c>
      <c r="F15842" s="26">
        <v>1.3299999999999999E-2</v>
      </c>
      <c r="G15842" s="26">
        <v>6.8999999999999999E-3</v>
      </c>
      <c r="H15842" s="26">
        <v>8.9999999999999998E-4</v>
      </c>
      <c r="I15842" s="26">
        <v>1E-4</v>
      </c>
      <c r="J15842">
        <v>2476</v>
      </c>
    </row>
    <row r="15844" spans="1:10" x14ac:dyDescent="0.35">
      <c r="A15844" s="1" t="s">
        <v>1676</v>
      </c>
    </row>
    <row r="15845" spans="1:10" x14ac:dyDescent="0.35">
      <c r="A15845" t="s">
        <v>219</v>
      </c>
      <c r="B15845" t="s">
        <v>305</v>
      </c>
      <c r="C15845" t="s">
        <v>1667</v>
      </c>
      <c r="D15845" t="s">
        <v>1668</v>
      </c>
      <c r="E15845" t="s">
        <v>1669</v>
      </c>
      <c r="F15845" t="s">
        <v>1670</v>
      </c>
      <c r="G15845" t="s">
        <v>1671</v>
      </c>
      <c r="H15845" t="s">
        <v>286</v>
      </c>
      <c r="I15845" t="s">
        <v>281</v>
      </c>
      <c r="J15845" t="s">
        <v>226</v>
      </c>
    </row>
    <row r="15846" spans="1:10" x14ac:dyDescent="0.35">
      <c r="A15846" t="s">
        <v>227</v>
      </c>
      <c r="B15846" t="s">
        <v>267</v>
      </c>
      <c r="C15846" s="26">
        <v>0.91669999999999996</v>
      </c>
      <c r="D15846" s="26">
        <v>2.7799999999999998E-2</v>
      </c>
      <c r="E15846" s="26">
        <v>5.5599999999999997E-2</v>
      </c>
      <c r="J15846">
        <v>36</v>
      </c>
    </row>
    <row r="15847" spans="1:10" x14ac:dyDescent="0.35">
      <c r="A15847" t="s">
        <v>227</v>
      </c>
      <c r="B15847" t="s">
        <v>266</v>
      </c>
      <c r="C15847" s="26">
        <v>0.88139999999999996</v>
      </c>
      <c r="D15847" s="26">
        <v>3.39E-2</v>
      </c>
      <c r="E15847" s="26">
        <v>6.7799999999999999E-2</v>
      </c>
      <c r="F15847" s="26">
        <v>1.6899999999999998E-2</v>
      </c>
      <c r="J15847">
        <v>59</v>
      </c>
    </row>
    <row r="15848" spans="1:10" x14ac:dyDescent="0.35">
      <c r="A15848" t="s">
        <v>227</v>
      </c>
      <c r="B15848" t="s">
        <v>265</v>
      </c>
      <c r="C15848" s="26">
        <v>0.96970000000000001</v>
      </c>
      <c r="E15848" s="26">
        <v>1.52E-2</v>
      </c>
      <c r="F15848" s="26">
        <v>1.52E-2</v>
      </c>
      <c r="J15848">
        <v>66</v>
      </c>
    </row>
    <row r="15849" spans="1:10" x14ac:dyDescent="0.35">
      <c r="A15849" t="s">
        <v>228</v>
      </c>
      <c r="B15849" t="s">
        <v>267</v>
      </c>
      <c r="C15849" s="26">
        <v>0.88180000000000003</v>
      </c>
      <c r="D15849" s="26">
        <v>8.2500000000000004E-2</v>
      </c>
      <c r="E15849" s="26">
        <v>4.7000000000000002E-3</v>
      </c>
      <c r="F15849" s="26">
        <v>8.2000000000000007E-3</v>
      </c>
      <c r="G15849" s="26">
        <v>2.29E-2</v>
      </c>
      <c r="J15849">
        <v>199</v>
      </c>
    </row>
    <row r="15850" spans="1:10" x14ac:dyDescent="0.35">
      <c r="A15850" t="s">
        <v>228</v>
      </c>
      <c r="B15850" t="s">
        <v>265</v>
      </c>
      <c r="C15850" s="26">
        <v>0.92689999999999995</v>
      </c>
      <c r="D15850" s="26">
        <v>3.1800000000000002E-2</v>
      </c>
      <c r="E15850" s="26">
        <v>2.4500000000000001E-2</v>
      </c>
      <c r="F15850" s="26">
        <v>1.6899999999999998E-2</v>
      </c>
      <c r="J15850">
        <v>384</v>
      </c>
    </row>
    <row r="15851" spans="1:10" x14ac:dyDescent="0.35">
      <c r="A15851" s="27" t="s">
        <v>228</v>
      </c>
      <c r="B15851" s="27" t="s">
        <v>236</v>
      </c>
      <c r="C15851" s="28">
        <v>1</v>
      </c>
      <c r="D15851" s="29"/>
      <c r="E15851" s="29"/>
      <c r="F15851" s="29"/>
      <c r="G15851" s="29"/>
      <c r="H15851" s="29"/>
      <c r="I15851" s="29"/>
      <c r="J15851" s="29" t="s">
        <v>314</v>
      </c>
    </row>
    <row r="15852" spans="1:10" x14ac:dyDescent="0.35">
      <c r="A15852" t="s">
        <v>228</v>
      </c>
      <c r="B15852" t="s">
        <v>266</v>
      </c>
      <c r="C15852" s="26">
        <v>0.85919999999999996</v>
      </c>
      <c r="D15852" s="26">
        <v>5.7200000000000001E-2</v>
      </c>
      <c r="E15852" s="26">
        <v>6.5600000000000006E-2</v>
      </c>
      <c r="F15852" s="26">
        <v>1.5800000000000002E-2</v>
      </c>
      <c r="G15852" s="26">
        <v>1.2999999999999999E-3</v>
      </c>
      <c r="I15852" s="26">
        <v>8.9999999999999998E-4</v>
      </c>
      <c r="J15852">
        <v>448</v>
      </c>
    </row>
    <row r="15853" spans="1:10" x14ac:dyDescent="0.35">
      <c r="A15853" t="s">
        <v>229</v>
      </c>
      <c r="B15853" t="s">
        <v>266</v>
      </c>
      <c r="C15853" s="26">
        <v>0.88100000000000001</v>
      </c>
      <c r="D15853" s="26">
        <v>8.6499999999999994E-2</v>
      </c>
      <c r="E15853" s="26">
        <v>1.2999999999999999E-3</v>
      </c>
      <c r="F15853" s="26">
        <v>1.11E-2</v>
      </c>
      <c r="G15853" s="26">
        <v>1.09E-2</v>
      </c>
      <c r="H15853" s="26">
        <v>9.1000000000000004E-3</v>
      </c>
      <c r="J15853">
        <v>359</v>
      </c>
    </row>
    <row r="15854" spans="1:10" x14ac:dyDescent="0.35">
      <c r="A15854" t="s">
        <v>229</v>
      </c>
      <c r="B15854" t="s">
        <v>267</v>
      </c>
      <c r="C15854" s="26">
        <v>0.9264</v>
      </c>
      <c r="D15854" s="26">
        <v>3.3099999999999997E-2</v>
      </c>
      <c r="E15854" s="26">
        <v>1.35E-2</v>
      </c>
      <c r="F15854" s="26">
        <v>1.5699999999999999E-2</v>
      </c>
      <c r="G15854" s="26">
        <v>1.1299999999999999E-2</v>
      </c>
      <c r="J15854">
        <v>201</v>
      </c>
    </row>
    <row r="15855" spans="1:10" x14ac:dyDescent="0.35">
      <c r="A15855" t="s">
        <v>229</v>
      </c>
      <c r="B15855" t="s">
        <v>265</v>
      </c>
      <c r="C15855" s="26">
        <v>0.90469999999999995</v>
      </c>
      <c r="D15855" s="26">
        <v>4.6399999999999997E-2</v>
      </c>
      <c r="E15855" s="26">
        <v>2.0400000000000001E-2</v>
      </c>
      <c r="F15855" s="26">
        <v>2.06E-2</v>
      </c>
      <c r="G15855" s="26">
        <v>7.3000000000000001E-3</v>
      </c>
      <c r="H15855" s="26">
        <v>6.9999999999999999E-4</v>
      </c>
      <c r="J15855">
        <v>335</v>
      </c>
    </row>
    <row r="15856" spans="1:10" x14ac:dyDescent="0.35">
      <c r="A15856" t="s">
        <v>230</v>
      </c>
      <c r="B15856" t="s">
        <v>267</v>
      </c>
      <c r="C15856" s="26">
        <v>0.9758</v>
      </c>
      <c r="D15856" s="26">
        <v>8.2000000000000007E-3</v>
      </c>
      <c r="E15856" s="26">
        <v>4.0000000000000001E-3</v>
      </c>
      <c r="F15856" s="26">
        <v>1.2E-2</v>
      </c>
      <c r="J15856">
        <v>119</v>
      </c>
    </row>
    <row r="15857" spans="1:10" x14ac:dyDescent="0.35">
      <c r="A15857" t="s">
        <v>230</v>
      </c>
      <c r="B15857" t="s">
        <v>266</v>
      </c>
      <c r="C15857" s="26">
        <v>0.86660000000000004</v>
      </c>
      <c r="D15857" s="26">
        <v>2.81E-2</v>
      </c>
      <c r="E15857" s="26">
        <v>5.11E-2</v>
      </c>
      <c r="F15857" s="26">
        <v>5.4199999999999998E-2</v>
      </c>
      <c r="J15857">
        <v>232</v>
      </c>
    </row>
    <row r="15858" spans="1:10" x14ac:dyDescent="0.35">
      <c r="A15858" t="s">
        <v>230</v>
      </c>
      <c r="B15858" t="s">
        <v>265</v>
      </c>
      <c r="C15858" s="26">
        <v>0.93400000000000005</v>
      </c>
      <c r="D15858" s="26">
        <v>4.9000000000000002E-2</v>
      </c>
      <c r="E15858" s="26">
        <v>1.5699999999999999E-2</v>
      </c>
      <c r="F15858" s="26">
        <v>1.2999999999999999E-3</v>
      </c>
      <c r="J15858">
        <v>209</v>
      </c>
    </row>
    <row r="15859" spans="1:10" x14ac:dyDescent="0.35">
      <c r="A15859" t="s">
        <v>231</v>
      </c>
      <c r="B15859" t="s">
        <v>267</v>
      </c>
      <c r="C15859" s="26">
        <v>0.76470000000000005</v>
      </c>
      <c r="D15859" s="26">
        <v>8.8200000000000001E-2</v>
      </c>
      <c r="E15859" s="26">
        <v>0.1176</v>
      </c>
      <c r="G15859" s="26">
        <v>2.9399999999999999E-2</v>
      </c>
      <c r="J15859">
        <v>34</v>
      </c>
    </row>
    <row r="15860" spans="1:10" x14ac:dyDescent="0.35">
      <c r="A15860" t="s">
        <v>231</v>
      </c>
      <c r="B15860" t="s">
        <v>266</v>
      </c>
      <c r="C15860" s="26">
        <v>0.9032</v>
      </c>
      <c r="D15860" s="26">
        <v>3.2300000000000002E-2</v>
      </c>
      <c r="E15860" s="26">
        <v>4.8399999999999999E-2</v>
      </c>
      <c r="G15860" s="26">
        <v>1.61E-2</v>
      </c>
      <c r="J15860">
        <v>62</v>
      </c>
    </row>
    <row r="15861" spans="1:10" x14ac:dyDescent="0.35">
      <c r="A15861" t="s">
        <v>231</v>
      </c>
      <c r="B15861" t="s">
        <v>265</v>
      </c>
      <c r="C15861" s="26">
        <v>0.86760000000000004</v>
      </c>
      <c r="D15861" s="26">
        <v>2.9399999999999999E-2</v>
      </c>
      <c r="E15861" s="26">
        <v>8.8200000000000001E-2</v>
      </c>
      <c r="F15861" s="26">
        <v>1.47E-2</v>
      </c>
      <c r="J15861">
        <v>68</v>
      </c>
    </row>
    <row r="15862" spans="1:10" x14ac:dyDescent="0.35">
      <c r="A15862" t="s">
        <v>232</v>
      </c>
      <c r="B15862" t="s">
        <v>232</v>
      </c>
      <c r="C15862" s="26">
        <v>0.89359999999999995</v>
      </c>
      <c r="D15862" s="26">
        <v>4.36E-2</v>
      </c>
      <c r="E15862" s="26">
        <v>4.1700000000000001E-2</v>
      </c>
      <c r="F15862" s="26">
        <v>1.3299999999999999E-2</v>
      </c>
      <c r="G15862" s="26">
        <v>6.8999999999999999E-3</v>
      </c>
      <c r="H15862" s="26">
        <v>8.9999999999999998E-4</v>
      </c>
      <c r="I15862" s="26">
        <v>1E-4</v>
      </c>
      <c r="J15862">
        <v>2813</v>
      </c>
    </row>
    <row r="15864" spans="1:10" x14ac:dyDescent="0.35">
      <c r="A15864" s="1" t="s">
        <v>1677</v>
      </c>
    </row>
    <row r="15865" spans="1:10" x14ac:dyDescent="0.35">
      <c r="A15865" t="s">
        <v>219</v>
      </c>
      <c r="B15865" t="s">
        <v>305</v>
      </c>
      <c r="C15865" t="s">
        <v>1667</v>
      </c>
      <c r="D15865" t="s">
        <v>1668</v>
      </c>
      <c r="E15865" t="s">
        <v>1669</v>
      </c>
      <c r="F15865" t="s">
        <v>1670</v>
      </c>
      <c r="G15865" t="s">
        <v>1671</v>
      </c>
      <c r="H15865" t="s">
        <v>286</v>
      </c>
      <c r="I15865" t="s">
        <v>281</v>
      </c>
      <c r="J15865" t="s">
        <v>226</v>
      </c>
    </row>
    <row r="15866" spans="1:10" x14ac:dyDescent="0.35">
      <c r="A15866" t="s">
        <v>227</v>
      </c>
      <c r="B15866" t="s">
        <v>252</v>
      </c>
      <c r="C15866" s="26">
        <v>0.93330000000000002</v>
      </c>
      <c r="D15866" s="26">
        <v>2.2200000000000001E-2</v>
      </c>
      <c r="E15866" s="26">
        <v>4.4400000000000002E-2</v>
      </c>
      <c r="J15866">
        <v>45</v>
      </c>
    </row>
    <row r="15867" spans="1:10" x14ac:dyDescent="0.35">
      <c r="A15867" t="s">
        <v>227</v>
      </c>
      <c r="B15867" t="s">
        <v>253</v>
      </c>
      <c r="C15867" s="26">
        <v>0.91180000000000005</v>
      </c>
      <c r="E15867" s="26">
        <v>5.8799999999999998E-2</v>
      </c>
      <c r="F15867" s="26">
        <v>2.9399999999999999E-2</v>
      </c>
      <c r="J15867">
        <v>34</v>
      </c>
    </row>
    <row r="15868" spans="1:10" x14ac:dyDescent="0.35">
      <c r="A15868" t="s">
        <v>227</v>
      </c>
      <c r="B15868" t="s">
        <v>251</v>
      </c>
      <c r="C15868" s="26">
        <v>0.92679999999999996</v>
      </c>
      <c r="D15868" s="26">
        <v>2.4400000000000002E-2</v>
      </c>
      <c r="E15868" s="26">
        <v>3.6600000000000001E-2</v>
      </c>
      <c r="F15868" s="26">
        <v>1.2200000000000001E-2</v>
      </c>
      <c r="J15868">
        <v>82</v>
      </c>
    </row>
    <row r="15869" spans="1:10" x14ac:dyDescent="0.35">
      <c r="A15869" t="s">
        <v>228</v>
      </c>
      <c r="B15869" t="s">
        <v>252</v>
      </c>
      <c r="C15869" s="26">
        <v>0.88619999999999999</v>
      </c>
      <c r="D15869" s="26">
        <v>5.4600000000000003E-2</v>
      </c>
      <c r="E15869" s="26">
        <v>4.5699999999999998E-2</v>
      </c>
      <c r="F15869" s="26">
        <v>8.9999999999999993E-3</v>
      </c>
      <c r="G15869" s="26">
        <v>3.3999999999999998E-3</v>
      </c>
      <c r="I15869" s="26">
        <v>1.1000000000000001E-3</v>
      </c>
      <c r="J15869">
        <v>344</v>
      </c>
    </row>
    <row r="15870" spans="1:10" x14ac:dyDescent="0.35">
      <c r="A15870" t="s">
        <v>228</v>
      </c>
      <c r="B15870" t="s">
        <v>253</v>
      </c>
      <c r="C15870" s="26">
        <v>0.91620000000000001</v>
      </c>
      <c r="D15870" s="26">
        <v>4.19E-2</v>
      </c>
      <c r="E15870" s="26">
        <v>1.06E-2</v>
      </c>
      <c r="F15870" s="26">
        <v>3.1300000000000001E-2</v>
      </c>
      <c r="J15870">
        <v>222</v>
      </c>
    </row>
    <row r="15871" spans="1:10" x14ac:dyDescent="0.35">
      <c r="A15871" t="s">
        <v>228</v>
      </c>
      <c r="B15871" t="s">
        <v>251</v>
      </c>
      <c r="C15871" s="26">
        <v>0.88539999999999996</v>
      </c>
      <c r="D15871" s="26">
        <v>5.16E-2</v>
      </c>
      <c r="E15871" s="26">
        <v>4.4299999999999999E-2</v>
      </c>
      <c r="F15871" s="26">
        <v>1.17E-2</v>
      </c>
      <c r="G15871" s="26">
        <v>7.0000000000000001E-3</v>
      </c>
      <c r="J15871">
        <v>467</v>
      </c>
    </row>
    <row r="15872" spans="1:10" x14ac:dyDescent="0.35">
      <c r="A15872" t="s">
        <v>229</v>
      </c>
      <c r="B15872" t="s">
        <v>252</v>
      </c>
      <c r="C15872" s="26">
        <v>0.86240000000000006</v>
      </c>
      <c r="D15872" s="26">
        <v>6.9900000000000004E-2</v>
      </c>
      <c r="E15872" s="26">
        <v>1.5299999999999999E-2</v>
      </c>
      <c r="F15872" s="26">
        <v>2.5999999999999999E-2</v>
      </c>
      <c r="G15872" s="26">
        <v>2.64E-2</v>
      </c>
      <c r="J15872">
        <v>199</v>
      </c>
    </row>
    <row r="15873" spans="1:10" x14ac:dyDescent="0.35">
      <c r="A15873" t="s">
        <v>229</v>
      </c>
      <c r="B15873" t="s">
        <v>253</v>
      </c>
      <c r="C15873" s="26">
        <v>0.89700000000000002</v>
      </c>
      <c r="D15873" s="26">
        <v>5.9200000000000003E-2</v>
      </c>
      <c r="E15873" s="26">
        <v>1.3299999999999999E-2</v>
      </c>
      <c r="F15873" s="26">
        <v>2.7E-2</v>
      </c>
      <c r="G15873" s="26">
        <v>3.5000000000000001E-3</v>
      </c>
      <c r="J15873">
        <v>145</v>
      </c>
    </row>
    <row r="15874" spans="1:10" x14ac:dyDescent="0.35">
      <c r="A15874" t="s">
        <v>229</v>
      </c>
      <c r="B15874" t="s">
        <v>251</v>
      </c>
      <c r="C15874" s="26">
        <v>0.91820000000000002</v>
      </c>
      <c r="D15874" s="26">
        <v>5.0700000000000002E-2</v>
      </c>
      <c r="E15874" s="26">
        <v>1.14E-2</v>
      </c>
      <c r="F15874" s="26">
        <v>9.2999999999999992E-3</v>
      </c>
      <c r="G15874" s="26">
        <v>4.7000000000000002E-3</v>
      </c>
      <c r="H15874" s="26">
        <v>5.7000000000000002E-3</v>
      </c>
      <c r="J15874">
        <v>551</v>
      </c>
    </row>
    <row r="15875" spans="1:10" x14ac:dyDescent="0.35">
      <c r="A15875" t="s">
        <v>230</v>
      </c>
      <c r="B15875" t="s">
        <v>252</v>
      </c>
      <c r="C15875" s="26">
        <v>0.83579999999999999</v>
      </c>
      <c r="D15875" s="26">
        <v>4.5600000000000002E-2</v>
      </c>
      <c r="E15875" s="26">
        <v>4.7699999999999999E-2</v>
      </c>
      <c r="F15875" s="26">
        <v>7.0900000000000005E-2</v>
      </c>
      <c r="J15875">
        <v>159</v>
      </c>
    </row>
    <row r="15876" spans="1:10" x14ac:dyDescent="0.35">
      <c r="A15876" t="s">
        <v>230</v>
      </c>
      <c r="B15876" t="s">
        <v>253</v>
      </c>
      <c r="C15876" s="26">
        <v>0.97209999999999996</v>
      </c>
      <c r="D15876" s="26">
        <v>2.0299999999999999E-2</v>
      </c>
      <c r="F15876" s="26">
        <v>7.6E-3</v>
      </c>
      <c r="J15876">
        <v>110</v>
      </c>
    </row>
    <row r="15877" spans="1:10" x14ac:dyDescent="0.35">
      <c r="A15877" t="s">
        <v>230</v>
      </c>
      <c r="B15877" t="s">
        <v>251</v>
      </c>
      <c r="C15877" s="26">
        <v>0.93899999999999995</v>
      </c>
      <c r="D15877" s="26">
        <v>3.0499999999999999E-2</v>
      </c>
      <c r="E15877" s="26">
        <v>2.47E-2</v>
      </c>
      <c r="F15877" s="26">
        <v>5.7000000000000002E-3</v>
      </c>
      <c r="J15877">
        <v>291</v>
      </c>
    </row>
    <row r="15878" spans="1:10" x14ac:dyDescent="0.35">
      <c r="A15878" t="s">
        <v>231</v>
      </c>
      <c r="B15878" t="s">
        <v>252</v>
      </c>
      <c r="C15878" s="26">
        <v>0.85709999999999997</v>
      </c>
      <c r="D15878" s="26">
        <v>2.0400000000000001E-2</v>
      </c>
      <c r="E15878" s="26">
        <v>0.10199999999999999</v>
      </c>
      <c r="G15878" s="26">
        <v>2.0400000000000001E-2</v>
      </c>
      <c r="J15878">
        <v>49</v>
      </c>
    </row>
    <row r="15879" spans="1:10" x14ac:dyDescent="0.35">
      <c r="A15879" t="s">
        <v>231</v>
      </c>
      <c r="B15879" t="s">
        <v>253</v>
      </c>
      <c r="C15879" s="26">
        <v>0.9</v>
      </c>
      <c r="D15879" s="26">
        <v>3.3300000000000003E-2</v>
      </c>
      <c r="E15879" s="26">
        <v>3.3300000000000003E-2</v>
      </c>
      <c r="F15879" s="26">
        <v>3.3300000000000003E-2</v>
      </c>
      <c r="J15879">
        <v>30</v>
      </c>
    </row>
    <row r="15880" spans="1:10" x14ac:dyDescent="0.35">
      <c r="A15880" t="s">
        <v>231</v>
      </c>
      <c r="B15880" t="s">
        <v>251</v>
      </c>
      <c r="C15880" s="26">
        <v>0.84709999999999996</v>
      </c>
      <c r="D15880" s="26">
        <v>5.8799999999999998E-2</v>
      </c>
      <c r="E15880" s="26">
        <v>8.2400000000000001E-2</v>
      </c>
      <c r="G15880" s="26">
        <v>1.18E-2</v>
      </c>
      <c r="J15880">
        <v>85</v>
      </c>
    </row>
    <row r="15881" spans="1:10" x14ac:dyDescent="0.35">
      <c r="A15881" t="s">
        <v>232</v>
      </c>
      <c r="B15881" t="s">
        <v>232</v>
      </c>
      <c r="C15881" s="26">
        <v>0.89359999999999995</v>
      </c>
      <c r="D15881" s="26">
        <v>4.36E-2</v>
      </c>
      <c r="E15881" s="26">
        <v>4.1700000000000001E-2</v>
      </c>
      <c r="F15881" s="26">
        <v>1.3299999999999999E-2</v>
      </c>
      <c r="G15881" s="26">
        <v>6.8999999999999999E-3</v>
      </c>
      <c r="H15881" s="26">
        <v>8.9999999999999998E-4</v>
      </c>
      <c r="I15881" s="26">
        <v>1E-4</v>
      </c>
      <c r="J15881">
        <v>2813</v>
      </c>
    </row>
    <row r="15883" spans="1:10" x14ac:dyDescent="0.35">
      <c r="A15883" s="1" t="s">
        <v>1678</v>
      </c>
    </row>
    <row r="15884" spans="1:10" x14ac:dyDescent="0.35">
      <c r="A15884" t="s">
        <v>219</v>
      </c>
      <c r="B15884" t="s">
        <v>305</v>
      </c>
      <c r="C15884" t="s">
        <v>1667</v>
      </c>
      <c r="D15884" t="s">
        <v>1668</v>
      </c>
      <c r="E15884" t="s">
        <v>1669</v>
      </c>
      <c r="F15884" t="s">
        <v>1670</v>
      </c>
      <c r="G15884" t="s">
        <v>1671</v>
      </c>
      <c r="H15884" t="s">
        <v>286</v>
      </c>
      <c r="I15884" t="s">
        <v>281</v>
      </c>
      <c r="J15884" t="s">
        <v>226</v>
      </c>
    </row>
    <row r="15885" spans="1:10" x14ac:dyDescent="0.35">
      <c r="A15885" t="s">
        <v>227</v>
      </c>
      <c r="B15885" t="s">
        <v>249</v>
      </c>
      <c r="C15885" s="26">
        <v>0.93179999999999996</v>
      </c>
      <c r="D15885" s="26">
        <v>2.2700000000000001E-2</v>
      </c>
      <c r="E15885" s="26">
        <v>2.2700000000000001E-2</v>
      </c>
      <c r="F15885" s="26">
        <v>2.2700000000000001E-2</v>
      </c>
      <c r="J15885">
        <v>44</v>
      </c>
    </row>
    <row r="15886" spans="1:10" x14ac:dyDescent="0.35">
      <c r="A15886" t="s">
        <v>227</v>
      </c>
      <c r="B15886" t="s">
        <v>248</v>
      </c>
      <c r="C15886" s="26">
        <v>0.92310000000000003</v>
      </c>
      <c r="D15886" s="26">
        <v>1.7100000000000001E-2</v>
      </c>
      <c r="E15886" s="26">
        <v>5.1299999999999998E-2</v>
      </c>
      <c r="F15886" s="26">
        <v>8.5000000000000006E-3</v>
      </c>
      <c r="J15886">
        <v>117</v>
      </c>
    </row>
    <row r="15887" spans="1:10" x14ac:dyDescent="0.35">
      <c r="A15887" t="s">
        <v>228</v>
      </c>
      <c r="B15887" t="s">
        <v>249</v>
      </c>
      <c r="C15887" s="26">
        <v>0.90469999999999995</v>
      </c>
      <c r="D15887" s="26">
        <v>5.16E-2</v>
      </c>
      <c r="E15887" s="26">
        <v>3.2199999999999999E-2</v>
      </c>
      <c r="F15887" s="26">
        <v>1.1599999999999999E-2</v>
      </c>
      <c r="J15887">
        <v>274</v>
      </c>
    </row>
    <row r="15888" spans="1:10" x14ac:dyDescent="0.35">
      <c r="A15888" t="s">
        <v>228</v>
      </c>
      <c r="B15888" t="s">
        <v>248</v>
      </c>
      <c r="C15888" s="26">
        <v>0.88649999999999995</v>
      </c>
      <c r="D15888" s="26">
        <v>5.0099999999999999E-2</v>
      </c>
      <c r="E15888" s="26">
        <v>4.0300000000000002E-2</v>
      </c>
      <c r="F15888" s="26">
        <v>1.6199999999999999E-2</v>
      </c>
      <c r="G15888" s="26">
        <v>6.3E-3</v>
      </c>
      <c r="I15888" s="26">
        <v>5.0000000000000001E-4</v>
      </c>
      <c r="J15888">
        <v>759</v>
      </c>
    </row>
    <row r="15889" spans="1:10" x14ac:dyDescent="0.35">
      <c r="A15889" t="s">
        <v>229</v>
      </c>
      <c r="B15889" t="s">
        <v>249</v>
      </c>
      <c r="C15889" s="26">
        <v>0.89949999999999997</v>
      </c>
      <c r="D15889" s="26">
        <v>5.8299999999999998E-2</v>
      </c>
      <c r="E15889" s="26">
        <v>1.8200000000000001E-2</v>
      </c>
      <c r="F15889" s="26">
        <v>1.3899999999999999E-2</v>
      </c>
      <c r="G15889" s="26">
        <v>9.9000000000000008E-3</v>
      </c>
      <c r="J15889">
        <v>259</v>
      </c>
    </row>
    <row r="15890" spans="1:10" x14ac:dyDescent="0.35">
      <c r="A15890" t="s">
        <v>229</v>
      </c>
      <c r="B15890" t="s">
        <v>248</v>
      </c>
      <c r="C15890" s="26">
        <v>0.90280000000000005</v>
      </c>
      <c r="D15890" s="26">
        <v>5.57E-2</v>
      </c>
      <c r="E15890" s="26">
        <v>9.7999999999999997E-3</v>
      </c>
      <c r="F15890" s="26">
        <v>1.7600000000000001E-2</v>
      </c>
      <c r="G15890" s="26">
        <v>9.1000000000000004E-3</v>
      </c>
      <c r="H15890" s="26">
        <v>5.0000000000000001E-3</v>
      </c>
      <c r="J15890">
        <v>636</v>
      </c>
    </row>
    <row r="15891" spans="1:10" x14ac:dyDescent="0.35">
      <c r="A15891" t="s">
        <v>230</v>
      </c>
      <c r="B15891" t="s">
        <v>249</v>
      </c>
      <c r="C15891" s="26">
        <v>0.94540000000000002</v>
      </c>
      <c r="D15891" s="26">
        <v>2.2800000000000001E-2</v>
      </c>
      <c r="E15891" s="26">
        <v>2.3900000000000001E-2</v>
      </c>
      <c r="F15891" s="26">
        <v>7.7999999999999996E-3</v>
      </c>
      <c r="J15891">
        <v>171</v>
      </c>
    </row>
    <row r="15892" spans="1:10" x14ac:dyDescent="0.35">
      <c r="A15892" t="s">
        <v>230</v>
      </c>
      <c r="B15892" t="s">
        <v>248</v>
      </c>
      <c r="C15892" s="26">
        <v>0.90539999999999998</v>
      </c>
      <c r="D15892" s="26">
        <v>3.73E-2</v>
      </c>
      <c r="E15892" s="26">
        <v>2.69E-2</v>
      </c>
      <c r="F15892" s="26">
        <v>3.04E-2</v>
      </c>
      <c r="J15892">
        <v>389</v>
      </c>
    </row>
    <row r="15893" spans="1:10" x14ac:dyDescent="0.35">
      <c r="A15893" t="s">
        <v>231</v>
      </c>
      <c r="B15893" t="s">
        <v>249</v>
      </c>
      <c r="C15893" s="26">
        <v>0.9143</v>
      </c>
      <c r="D15893" s="26">
        <v>2.86E-2</v>
      </c>
      <c r="E15893" s="26">
        <v>5.7099999999999998E-2</v>
      </c>
      <c r="J15893">
        <v>35</v>
      </c>
    </row>
    <row r="15894" spans="1:10" x14ac:dyDescent="0.35">
      <c r="A15894" t="s">
        <v>231</v>
      </c>
      <c r="B15894" t="s">
        <v>248</v>
      </c>
      <c r="C15894" s="26">
        <v>0.84499999999999997</v>
      </c>
      <c r="D15894" s="26">
        <v>4.65E-2</v>
      </c>
      <c r="E15894" s="26">
        <v>8.5300000000000001E-2</v>
      </c>
      <c r="F15894" s="26">
        <v>7.7999999999999996E-3</v>
      </c>
      <c r="G15894" s="26">
        <v>1.55E-2</v>
      </c>
      <c r="J15894">
        <v>129</v>
      </c>
    </row>
    <row r="15895" spans="1:10" x14ac:dyDescent="0.35">
      <c r="A15895" t="s">
        <v>232</v>
      </c>
      <c r="B15895" t="s">
        <v>232</v>
      </c>
      <c r="C15895" s="26">
        <v>0.89359999999999995</v>
      </c>
      <c r="D15895" s="26">
        <v>4.36E-2</v>
      </c>
      <c r="E15895" s="26">
        <v>4.1700000000000001E-2</v>
      </c>
      <c r="F15895" s="26">
        <v>1.3299999999999999E-2</v>
      </c>
      <c r="G15895" s="26">
        <v>6.8999999999999999E-3</v>
      </c>
      <c r="H15895" s="26">
        <v>8.9999999999999998E-4</v>
      </c>
      <c r="I15895" s="26">
        <v>1E-4</v>
      </c>
      <c r="J15895">
        <v>2813</v>
      </c>
    </row>
    <row r="15897" spans="1:10" x14ac:dyDescent="0.35">
      <c r="A15897" s="1" t="s">
        <v>1679</v>
      </c>
    </row>
    <row r="15898" spans="1:10" x14ac:dyDescent="0.35">
      <c r="A15898" t="s">
        <v>219</v>
      </c>
      <c r="B15898" t="s">
        <v>305</v>
      </c>
      <c r="C15898" t="s">
        <v>1667</v>
      </c>
      <c r="D15898" t="s">
        <v>1668</v>
      </c>
      <c r="E15898" t="s">
        <v>1669</v>
      </c>
      <c r="F15898" t="s">
        <v>1670</v>
      </c>
      <c r="G15898" t="s">
        <v>1671</v>
      </c>
      <c r="H15898" t="s">
        <v>286</v>
      </c>
      <c r="I15898" t="s">
        <v>281</v>
      </c>
      <c r="J15898" t="s">
        <v>226</v>
      </c>
    </row>
    <row r="15899" spans="1:10" x14ac:dyDescent="0.35">
      <c r="A15899" s="27" t="s">
        <v>227</v>
      </c>
      <c r="B15899" s="27" t="s">
        <v>263</v>
      </c>
      <c r="C15899" s="28">
        <v>1</v>
      </c>
      <c r="D15899" s="29"/>
      <c r="E15899" s="29"/>
      <c r="F15899" s="29"/>
      <c r="G15899" s="29"/>
      <c r="H15899" s="29"/>
      <c r="I15899" s="29"/>
      <c r="J15899" s="29" t="s">
        <v>315</v>
      </c>
    </row>
    <row r="15900" spans="1:10" x14ac:dyDescent="0.35">
      <c r="A15900" t="s">
        <v>227</v>
      </c>
      <c r="B15900" t="s">
        <v>261</v>
      </c>
      <c r="C15900" s="26">
        <v>0.69699999999999995</v>
      </c>
      <c r="D15900" s="26">
        <v>3.0300000000000001E-2</v>
      </c>
      <c r="E15900" s="26">
        <v>0.21210000000000001</v>
      </c>
      <c r="F15900" s="26">
        <v>6.0600000000000001E-2</v>
      </c>
      <c r="J15900">
        <v>33</v>
      </c>
    </row>
    <row r="15901" spans="1:10" x14ac:dyDescent="0.35">
      <c r="A15901" s="27" t="s">
        <v>227</v>
      </c>
      <c r="B15901" s="27" t="s">
        <v>262</v>
      </c>
      <c r="C15901" s="28">
        <v>1</v>
      </c>
      <c r="D15901" s="29"/>
      <c r="E15901" s="29"/>
      <c r="F15901" s="29"/>
      <c r="G15901" s="29"/>
      <c r="H15901" s="29"/>
      <c r="I15901" s="29"/>
      <c r="J15901" s="29" t="s">
        <v>315</v>
      </c>
    </row>
    <row r="15902" spans="1:10" x14ac:dyDescent="0.35">
      <c r="A15902" t="s">
        <v>227</v>
      </c>
      <c r="B15902" t="s">
        <v>260</v>
      </c>
      <c r="C15902" s="26">
        <v>0.98360000000000003</v>
      </c>
      <c r="D15902" s="26">
        <v>1.6400000000000001E-2</v>
      </c>
      <c r="J15902">
        <v>122</v>
      </c>
    </row>
    <row r="15903" spans="1:10" x14ac:dyDescent="0.35">
      <c r="A15903" t="s">
        <v>228</v>
      </c>
      <c r="B15903" t="s">
        <v>261</v>
      </c>
      <c r="C15903" s="26">
        <v>0.64200000000000002</v>
      </c>
      <c r="D15903" s="26">
        <v>0.10929999999999999</v>
      </c>
      <c r="E15903" s="26">
        <v>0.16639999999999999</v>
      </c>
      <c r="F15903" s="26">
        <v>5.96E-2</v>
      </c>
      <c r="G15903" s="26">
        <v>2.2700000000000001E-2</v>
      </c>
      <c r="J15903">
        <v>192</v>
      </c>
    </row>
    <row r="15904" spans="1:10" x14ac:dyDescent="0.35">
      <c r="A15904" s="27" t="s">
        <v>228</v>
      </c>
      <c r="B15904" s="27" t="s">
        <v>263</v>
      </c>
      <c r="C15904" s="28">
        <v>0.95150000000000001</v>
      </c>
      <c r="D15904" s="28">
        <v>4.8500000000000001E-2</v>
      </c>
      <c r="E15904" s="29"/>
      <c r="F15904" s="29"/>
      <c r="G15904" s="29"/>
      <c r="H15904" s="29"/>
      <c r="I15904" s="29"/>
      <c r="J15904" s="29" t="s">
        <v>312</v>
      </c>
    </row>
    <row r="15905" spans="1:10" x14ac:dyDescent="0.35">
      <c r="A15905" s="27" t="s">
        <v>228</v>
      </c>
      <c r="B15905" s="27" t="s">
        <v>236</v>
      </c>
      <c r="C15905" s="28">
        <v>1</v>
      </c>
      <c r="D15905" s="29"/>
      <c r="E15905" s="29"/>
      <c r="F15905" s="29"/>
      <c r="G15905" s="29"/>
      <c r="H15905" s="29"/>
      <c r="I15905" s="29"/>
      <c r="J15905" s="29" t="s">
        <v>335</v>
      </c>
    </row>
    <row r="15906" spans="1:10" x14ac:dyDescent="0.35">
      <c r="A15906" t="s">
        <v>228</v>
      </c>
      <c r="B15906" t="s">
        <v>262</v>
      </c>
      <c r="C15906" s="26">
        <v>0.91979999999999995</v>
      </c>
      <c r="D15906" s="26">
        <v>6.08E-2</v>
      </c>
      <c r="E15906" s="26">
        <v>1.2800000000000001E-2</v>
      </c>
      <c r="F15906" s="26">
        <v>4.4000000000000003E-3</v>
      </c>
      <c r="I15906" s="26">
        <v>2.2000000000000001E-3</v>
      </c>
      <c r="J15906">
        <v>201</v>
      </c>
    </row>
    <row r="15907" spans="1:10" x14ac:dyDescent="0.35">
      <c r="A15907" t="s">
        <v>228</v>
      </c>
      <c r="B15907" t="s">
        <v>260</v>
      </c>
      <c r="C15907" s="26">
        <v>0.9607</v>
      </c>
      <c r="D15907" s="26">
        <v>2.98E-2</v>
      </c>
      <c r="E15907" s="26">
        <v>5.4000000000000003E-3</v>
      </c>
      <c r="F15907" s="26">
        <v>4.1000000000000003E-3</v>
      </c>
      <c r="J15907">
        <v>609</v>
      </c>
    </row>
    <row r="15908" spans="1:10" x14ac:dyDescent="0.35">
      <c r="A15908" s="27" t="s">
        <v>229</v>
      </c>
      <c r="B15908" s="27" t="s">
        <v>263</v>
      </c>
      <c r="C15908" s="28">
        <v>0.96530000000000005</v>
      </c>
      <c r="D15908" s="29"/>
      <c r="E15908" s="29"/>
      <c r="F15908" s="29"/>
      <c r="G15908" s="28">
        <v>3.4700000000000002E-2</v>
      </c>
      <c r="H15908" s="29"/>
      <c r="I15908" s="29"/>
      <c r="J15908" s="29" t="s">
        <v>379</v>
      </c>
    </row>
    <row r="15909" spans="1:10" x14ac:dyDescent="0.35">
      <c r="A15909" t="s">
        <v>229</v>
      </c>
      <c r="B15909" t="s">
        <v>262</v>
      </c>
      <c r="C15909" s="26">
        <v>0.93589999999999995</v>
      </c>
      <c r="D15909" s="26">
        <v>5.0700000000000002E-2</v>
      </c>
      <c r="F15909" s="26">
        <v>1.1999999999999999E-3</v>
      </c>
      <c r="G15909" s="26">
        <v>2.9999999999999997E-4</v>
      </c>
      <c r="H15909" s="26">
        <v>1.1900000000000001E-2</v>
      </c>
      <c r="J15909">
        <v>188</v>
      </c>
    </row>
    <row r="15910" spans="1:10" x14ac:dyDescent="0.35">
      <c r="A15910" t="s">
        <v>229</v>
      </c>
      <c r="B15910" t="s">
        <v>261</v>
      </c>
      <c r="C15910" s="26">
        <v>0.68410000000000004</v>
      </c>
      <c r="D15910" s="26">
        <v>0.1729</v>
      </c>
      <c r="E15910" s="26">
        <v>8.2500000000000004E-2</v>
      </c>
      <c r="F15910" s="26">
        <v>4.0399999999999998E-2</v>
      </c>
      <c r="G15910" s="26">
        <v>2.0199999999999999E-2</v>
      </c>
      <c r="J15910">
        <v>96</v>
      </c>
    </row>
    <row r="15911" spans="1:10" x14ac:dyDescent="0.35">
      <c r="A15911" s="27" t="s">
        <v>229</v>
      </c>
      <c r="B15911" s="27" t="s">
        <v>236</v>
      </c>
      <c r="C15911" s="28">
        <v>1</v>
      </c>
      <c r="D15911" s="29"/>
      <c r="E15911" s="29"/>
      <c r="F15911" s="29"/>
      <c r="G15911" s="29"/>
      <c r="H15911" s="29"/>
      <c r="I15911" s="29"/>
      <c r="J15911" s="29" t="s">
        <v>331</v>
      </c>
    </row>
    <row r="15912" spans="1:10" x14ac:dyDescent="0.35">
      <c r="A15912" t="s">
        <v>229</v>
      </c>
      <c r="B15912" t="s">
        <v>260</v>
      </c>
      <c r="C15912" s="26">
        <v>0.94069999999999998</v>
      </c>
      <c r="D15912" s="26">
        <v>3.0300000000000001E-2</v>
      </c>
      <c r="E15912" s="26">
        <v>5.9999999999999995E-4</v>
      </c>
      <c r="F15912" s="26">
        <v>1.8200000000000001E-2</v>
      </c>
      <c r="G15912" s="26">
        <v>1.01E-2</v>
      </c>
      <c r="J15912">
        <v>596</v>
      </c>
    </row>
    <row r="15913" spans="1:10" x14ac:dyDescent="0.35">
      <c r="A15913" s="27" t="s">
        <v>230</v>
      </c>
      <c r="B15913" s="27" t="s">
        <v>236</v>
      </c>
      <c r="C15913" s="28">
        <v>0.27760000000000001</v>
      </c>
      <c r="D15913" s="29"/>
      <c r="E15913" s="29"/>
      <c r="F15913" s="28">
        <v>0.72240000000000004</v>
      </c>
      <c r="G15913" s="29"/>
      <c r="H15913" s="29"/>
      <c r="I15913" s="29"/>
      <c r="J15913" s="29" t="s">
        <v>337</v>
      </c>
    </row>
    <row r="15914" spans="1:10" x14ac:dyDescent="0.35">
      <c r="A15914" t="s">
        <v>230</v>
      </c>
      <c r="B15914" t="s">
        <v>262</v>
      </c>
      <c r="C15914" s="26">
        <v>0.9073</v>
      </c>
      <c r="D15914" s="26">
        <v>4.5400000000000003E-2</v>
      </c>
      <c r="E15914" s="26">
        <v>3.5799999999999998E-2</v>
      </c>
      <c r="F15914" s="26">
        <v>1.15E-2</v>
      </c>
      <c r="J15914">
        <v>122</v>
      </c>
    </row>
    <row r="15915" spans="1:10" x14ac:dyDescent="0.35">
      <c r="A15915" t="s">
        <v>230</v>
      </c>
      <c r="B15915" t="s">
        <v>261</v>
      </c>
      <c r="C15915" s="26">
        <v>0.81479999999999997</v>
      </c>
      <c r="D15915" s="26">
        <v>5.3800000000000001E-2</v>
      </c>
      <c r="E15915" s="26">
        <v>0.107</v>
      </c>
      <c r="F15915" s="26">
        <v>2.4400000000000002E-2</v>
      </c>
      <c r="J15915">
        <v>57</v>
      </c>
    </row>
    <row r="15916" spans="1:10" x14ac:dyDescent="0.35">
      <c r="A15916" s="27" t="s">
        <v>230</v>
      </c>
      <c r="B15916" s="27" t="s">
        <v>263</v>
      </c>
      <c r="C15916" s="28">
        <v>0.93300000000000005</v>
      </c>
      <c r="D15916" s="29"/>
      <c r="E15916" s="29"/>
      <c r="F15916" s="28">
        <v>6.7000000000000004E-2</v>
      </c>
      <c r="G15916" s="29"/>
      <c r="H15916" s="29"/>
      <c r="I15916" s="29"/>
      <c r="J15916" s="29" t="s">
        <v>312</v>
      </c>
    </row>
    <row r="15917" spans="1:10" x14ac:dyDescent="0.35">
      <c r="A15917" t="s">
        <v>230</v>
      </c>
      <c r="B15917" t="s">
        <v>260</v>
      </c>
      <c r="C15917" s="26">
        <v>0.94799999999999995</v>
      </c>
      <c r="D15917" s="26">
        <v>2.6700000000000002E-2</v>
      </c>
      <c r="E15917" s="26">
        <v>8.9999999999999993E-3</v>
      </c>
      <c r="F15917" s="26">
        <v>1.6299999999999999E-2</v>
      </c>
      <c r="J15917">
        <v>352</v>
      </c>
    </row>
    <row r="15918" spans="1:10" x14ac:dyDescent="0.35">
      <c r="A15918" s="27" t="s">
        <v>231</v>
      </c>
      <c r="B15918" s="27" t="s">
        <v>263</v>
      </c>
      <c r="C15918" s="28">
        <v>1</v>
      </c>
      <c r="D15918" s="29"/>
      <c r="E15918" s="29"/>
      <c r="F15918" s="29"/>
      <c r="G15918" s="29"/>
      <c r="H15918" s="29"/>
      <c r="I15918" s="29"/>
      <c r="J15918" s="29" t="s">
        <v>314</v>
      </c>
    </row>
    <row r="15919" spans="1:10" x14ac:dyDescent="0.35">
      <c r="A15919" t="s">
        <v>231</v>
      </c>
      <c r="B15919" t="s">
        <v>260</v>
      </c>
      <c r="C15919" s="26">
        <v>0.9516</v>
      </c>
      <c r="D15919" s="26">
        <v>2.4199999999999999E-2</v>
      </c>
      <c r="E15919" s="26">
        <v>8.0999999999999996E-3</v>
      </c>
      <c r="G15919" s="26">
        <v>1.61E-2</v>
      </c>
      <c r="J15919">
        <v>124</v>
      </c>
    </row>
    <row r="15920" spans="1:10" x14ac:dyDescent="0.35">
      <c r="A15920" s="27" t="s">
        <v>231</v>
      </c>
      <c r="B15920" s="27" t="s">
        <v>261</v>
      </c>
      <c r="C15920" s="28">
        <v>0.44440000000000002</v>
      </c>
      <c r="D15920" s="28">
        <v>0.14810000000000001</v>
      </c>
      <c r="E15920" s="28">
        <v>0.37040000000000001</v>
      </c>
      <c r="F15920" s="28">
        <v>3.6999999999999998E-2</v>
      </c>
      <c r="G15920" s="29"/>
      <c r="H15920" s="29"/>
      <c r="I15920" s="29"/>
      <c r="J15920" s="29" t="s">
        <v>338</v>
      </c>
    </row>
    <row r="15921" spans="1:10" x14ac:dyDescent="0.35">
      <c r="A15921" s="27" t="s">
        <v>231</v>
      </c>
      <c r="B15921" s="27" t="s">
        <v>262</v>
      </c>
      <c r="C15921" s="28">
        <v>0.81820000000000004</v>
      </c>
      <c r="D15921" s="29"/>
      <c r="E15921" s="28">
        <v>0.18179999999999999</v>
      </c>
      <c r="F15921" s="29"/>
      <c r="G15921" s="29"/>
      <c r="H15921" s="29"/>
      <c r="I15921" s="29"/>
      <c r="J15921" s="29" t="s">
        <v>352</v>
      </c>
    </row>
    <row r="15922" spans="1:10" x14ac:dyDescent="0.35">
      <c r="A15922" t="s">
        <v>232</v>
      </c>
      <c r="B15922" t="s">
        <v>232</v>
      </c>
      <c r="C15922" s="26">
        <v>0.89359999999999995</v>
      </c>
      <c r="D15922" s="26">
        <v>4.36E-2</v>
      </c>
      <c r="E15922" s="26">
        <v>4.1700000000000001E-2</v>
      </c>
      <c r="F15922" s="26">
        <v>1.3299999999999999E-2</v>
      </c>
      <c r="G15922" s="26">
        <v>6.8999999999999999E-3</v>
      </c>
      <c r="H15922" s="26">
        <v>8.9999999999999998E-4</v>
      </c>
      <c r="I15922" s="26">
        <v>1E-4</v>
      </c>
      <c r="J15922">
        <v>2813</v>
      </c>
    </row>
    <row r="15924" spans="1:10" x14ac:dyDescent="0.35">
      <c r="A15924" s="1" t="s">
        <v>1680</v>
      </c>
    </row>
    <row r="15925" spans="1:10" x14ac:dyDescent="0.35">
      <c r="A15925" t="s">
        <v>219</v>
      </c>
      <c r="B15925" t="s">
        <v>305</v>
      </c>
      <c r="C15925" t="s">
        <v>1667</v>
      </c>
      <c r="D15925" t="s">
        <v>1668</v>
      </c>
      <c r="E15925" t="s">
        <v>1669</v>
      </c>
      <c r="F15925" t="s">
        <v>1670</v>
      </c>
      <c r="G15925" t="s">
        <v>1671</v>
      </c>
      <c r="H15925" t="s">
        <v>286</v>
      </c>
      <c r="I15925" t="s">
        <v>281</v>
      </c>
      <c r="J15925" t="s">
        <v>226</v>
      </c>
    </row>
    <row r="15926" spans="1:10" x14ac:dyDescent="0.35">
      <c r="A15926" t="s">
        <v>227</v>
      </c>
      <c r="B15926" t="s">
        <v>368</v>
      </c>
      <c r="C15926" s="26">
        <v>0.69699999999999995</v>
      </c>
      <c r="D15926" s="26">
        <v>3.0300000000000001E-2</v>
      </c>
      <c r="E15926" s="26">
        <v>0.21210000000000001</v>
      </c>
      <c r="F15926" s="26">
        <v>6.0600000000000001E-2</v>
      </c>
      <c r="J15926">
        <v>33</v>
      </c>
    </row>
    <row r="15927" spans="1:10" x14ac:dyDescent="0.35">
      <c r="A15927" t="s">
        <v>227</v>
      </c>
      <c r="B15927" t="s">
        <v>369</v>
      </c>
      <c r="C15927" s="26">
        <v>0.98440000000000005</v>
      </c>
      <c r="D15927" s="26">
        <v>1.5599999999999999E-2</v>
      </c>
      <c r="J15927">
        <v>128</v>
      </c>
    </row>
    <row r="15928" spans="1:10" x14ac:dyDescent="0.35">
      <c r="A15928" t="s">
        <v>228</v>
      </c>
      <c r="B15928" t="s">
        <v>368</v>
      </c>
      <c r="C15928" s="26">
        <v>0.64200000000000002</v>
      </c>
      <c r="D15928" s="26">
        <v>0.10929999999999999</v>
      </c>
      <c r="E15928" s="26">
        <v>0.16639999999999999</v>
      </c>
      <c r="F15928" s="26">
        <v>5.96E-2</v>
      </c>
      <c r="G15928" s="26">
        <v>2.2700000000000001E-2</v>
      </c>
      <c r="J15928">
        <v>192</v>
      </c>
    </row>
    <row r="15929" spans="1:10" x14ac:dyDescent="0.35">
      <c r="A15929" t="s">
        <v>228</v>
      </c>
      <c r="B15929" t="s">
        <v>369</v>
      </c>
      <c r="C15929" s="26">
        <v>0.95240000000000002</v>
      </c>
      <c r="D15929" s="26">
        <v>3.6400000000000002E-2</v>
      </c>
      <c r="E15929" s="26">
        <v>6.7999999999999996E-3</v>
      </c>
      <c r="F15929" s="26">
        <v>4.0000000000000001E-3</v>
      </c>
      <c r="I15929" s="26">
        <v>4.0000000000000002E-4</v>
      </c>
      <c r="J15929">
        <v>841</v>
      </c>
    </row>
    <row r="15930" spans="1:10" x14ac:dyDescent="0.35">
      <c r="A15930" t="s">
        <v>229</v>
      </c>
      <c r="B15930" t="s">
        <v>368</v>
      </c>
      <c r="C15930" s="26">
        <v>0.68410000000000004</v>
      </c>
      <c r="D15930" s="26">
        <v>0.1729</v>
      </c>
      <c r="E15930" s="26">
        <v>8.2500000000000004E-2</v>
      </c>
      <c r="F15930" s="26">
        <v>4.0399999999999998E-2</v>
      </c>
      <c r="G15930" s="26">
        <v>2.0199999999999999E-2</v>
      </c>
      <c r="J15930">
        <v>96</v>
      </c>
    </row>
    <row r="15931" spans="1:10" x14ac:dyDescent="0.35">
      <c r="A15931" t="s">
        <v>229</v>
      </c>
      <c r="B15931" t="s">
        <v>369</v>
      </c>
      <c r="C15931" s="26">
        <v>0.93969999999999998</v>
      </c>
      <c r="D15931" s="26">
        <v>3.6299999999999999E-2</v>
      </c>
      <c r="E15931" s="26">
        <v>4.0000000000000002E-4</v>
      </c>
      <c r="F15931" s="26">
        <v>1.2200000000000001E-2</v>
      </c>
      <c r="G15931" s="26">
        <v>7.4999999999999997E-3</v>
      </c>
      <c r="H15931" s="26">
        <v>3.8999999999999998E-3</v>
      </c>
      <c r="J15931">
        <v>799</v>
      </c>
    </row>
    <row r="15932" spans="1:10" x14ac:dyDescent="0.35">
      <c r="A15932" t="s">
        <v>230</v>
      </c>
      <c r="B15932" t="s">
        <v>368</v>
      </c>
      <c r="C15932" s="26">
        <v>0.81479999999999997</v>
      </c>
      <c r="D15932" s="26">
        <v>5.3800000000000001E-2</v>
      </c>
      <c r="E15932" s="26">
        <v>0.107</v>
      </c>
      <c r="F15932" s="26">
        <v>2.4400000000000002E-2</v>
      </c>
      <c r="J15932">
        <v>57</v>
      </c>
    </row>
    <row r="15933" spans="1:10" x14ac:dyDescent="0.35">
      <c r="A15933" t="s">
        <v>230</v>
      </c>
      <c r="B15933" t="s">
        <v>369</v>
      </c>
      <c r="C15933" s="26">
        <v>0.93489999999999995</v>
      </c>
      <c r="D15933" s="26">
        <v>2.92E-2</v>
      </c>
      <c r="E15933" s="26">
        <v>1.34E-2</v>
      </c>
      <c r="F15933" s="26">
        <v>2.2499999999999999E-2</v>
      </c>
      <c r="J15933">
        <v>503</v>
      </c>
    </row>
    <row r="15934" spans="1:10" x14ac:dyDescent="0.35">
      <c r="A15934" s="27" t="s">
        <v>231</v>
      </c>
      <c r="B15934" s="27" t="s">
        <v>368</v>
      </c>
      <c r="C15934" s="28">
        <v>0.44440000000000002</v>
      </c>
      <c r="D15934" s="28">
        <v>0.14810000000000001</v>
      </c>
      <c r="E15934" s="28">
        <v>0.37040000000000001</v>
      </c>
      <c r="F15934" s="28">
        <v>3.6999999999999998E-2</v>
      </c>
      <c r="G15934" s="29"/>
      <c r="H15934" s="29"/>
      <c r="I15934" s="29"/>
      <c r="J15934" s="29" t="s">
        <v>338</v>
      </c>
    </row>
    <row r="15935" spans="1:10" x14ac:dyDescent="0.35">
      <c r="A15935" t="s">
        <v>231</v>
      </c>
      <c r="B15935" t="s">
        <v>369</v>
      </c>
      <c r="C15935" s="26">
        <v>0.94159999999999999</v>
      </c>
      <c r="D15935" s="26">
        <v>2.1899999999999999E-2</v>
      </c>
      <c r="E15935" s="26">
        <v>2.1899999999999999E-2</v>
      </c>
      <c r="G15935" s="26">
        <v>1.46E-2</v>
      </c>
      <c r="J15935">
        <v>137</v>
      </c>
    </row>
    <row r="15936" spans="1:10" x14ac:dyDescent="0.35">
      <c r="A15936" t="s">
        <v>232</v>
      </c>
      <c r="B15936" t="s">
        <v>232</v>
      </c>
      <c r="C15936" s="26">
        <v>0.89359999999999995</v>
      </c>
      <c r="D15936" s="26">
        <v>4.36E-2</v>
      </c>
      <c r="E15936" s="26">
        <v>4.1700000000000001E-2</v>
      </c>
      <c r="F15936" s="26">
        <v>1.3299999999999999E-2</v>
      </c>
      <c r="G15936" s="26">
        <v>6.8999999999999999E-3</v>
      </c>
      <c r="H15936" s="26">
        <v>8.9999999999999998E-4</v>
      </c>
      <c r="I15936" s="26">
        <v>1E-4</v>
      </c>
      <c r="J15936">
        <v>2813</v>
      </c>
    </row>
    <row r="15938" spans="1:10" x14ac:dyDescent="0.35">
      <c r="A15938" s="1" t="s">
        <v>1681</v>
      </c>
    </row>
    <row r="15939" spans="1:10" x14ac:dyDescent="0.35">
      <c r="A15939" t="s">
        <v>219</v>
      </c>
      <c r="B15939" t="s">
        <v>305</v>
      </c>
      <c r="C15939" t="s">
        <v>1667</v>
      </c>
      <c r="D15939" t="s">
        <v>1668</v>
      </c>
      <c r="E15939" t="s">
        <v>1669</v>
      </c>
      <c r="F15939" t="s">
        <v>1670</v>
      </c>
      <c r="G15939" t="s">
        <v>1671</v>
      </c>
      <c r="H15939" t="s">
        <v>286</v>
      </c>
      <c r="I15939" t="s">
        <v>281</v>
      </c>
      <c r="J15939" t="s">
        <v>226</v>
      </c>
    </row>
    <row r="15940" spans="1:10" x14ac:dyDescent="0.35">
      <c r="A15940" t="s">
        <v>227</v>
      </c>
      <c r="B15940" t="s">
        <v>371</v>
      </c>
      <c r="C15940" s="26">
        <v>0.92549999999999999</v>
      </c>
      <c r="D15940" s="26">
        <v>1.8599999999999998E-2</v>
      </c>
      <c r="E15940" s="26">
        <v>4.3499999999999997E-2</v>
      </c>
      <c r="F15940" s="26">
        <v>1.24E-2</v>
      </c>
      <c r="J15940">
        <v>161</v>
      </c>
    </row>
    <row r="15941" spans="1:10" x14ac:dyDescent="0.35">
      <c r="A15941" t="s">
        <v>228</v>
      </c>
      <c r="B15941" t="s">
        <v>371</v>
      </c>
      <c r="C15941" s="26">
        <v>0.89249999999999996</v>
      </c>
      <c r="D15941" s="26">
        <v>3.7400000000000003E-2</v>
      </c>
      <c r="E15941" s="26">
        <v>5.2200000000000003E-2</v>
      </c>
      <c r="F15941" s="26">
        <v>9.7999999999999997E-3</v>
      </c>
      <c r="G15941" s="26">
        <v>7.4000000000000003E-3</v>
      </c>
      <c r="I15941" s="26">
        <v>6.9999999999999999E-4</v>
      </c>
      <c r="J15941">
        <v>292</v>
      </c>
    </row>
    <row r="15942" spans="1:10" x14ac:dyDescent="0.35">
      <c r="A15942" t="s">
        <v>228</v>
      </c>
      <c r="B15942" t="s">
        <v>372</v>
      </c>
      <c r="C15942" s="26">
        <v>0.88639999999999997</v>
      </c>
      <c r="D15942" s="26">
        <v>6.88E-2</v>
      </c>
      <c r="E15942" s="26">
        <v>2.0500000000000001E-2</v>
      </c>
      <c r="F15942" s="26">
        <v>2.4199999999999999E-2</v>
      </c>
      <c r="J15942">
        <v>218</v>
      </c>
    </row>
    <row r="15943" spans="1:10" x14ac:dyDescent="0.35">
      <c r="A15943" t="s">
        <v>228</v>
      </c>
      <c r="B15943" t="s">
        <v>373</v>
      </c>
      <c r="C15943" s="26">
        <v>0.89249999999999996</v>
      </c>
      <c r="D15943" s="26">
        <v>6.4199999999999993E-2</v>
      </c>
      <c r="E15943" s="26">
        <v>2.24E-2</v>
      </c>
      <c r="F15943" s="26">
        <v>1.95E-2</v>
      </c>
      <c r="G15943" s="26">
        <v>1.4E-3</v>
      </c>
      <c r="J15943">
        <v>523</v>
      </c>
    </row>
    <row r="15944" spans="1:10" x14ac:dyDescent="0.35">
      <c r="A15944" t="s">
        <v>229</v>
      </c>
      <c r="B15944" t="s">
        <v>371</v>
      </c>
      <c r="C15944" s="26">
        <v>0.90249999999999997</v>
      </c>
      <c r="D15944" s="26">
        <v>5.6599999999999998E-2</v>
      </c>
      <c r="E15944" s="26">
        <v>1.32E-2</v>
      </c>
      <c r="F15944" s="26">
        <v>1.4800000000000001E-2</v>
      </c>
      <c r="G15944" s="26">
        <v>9.7000000000000003E-3</v>
      </c>
      <c r="H15944" s="26">
        <v>3.2000000000000002E-3</v>
      </c>
      <c r="J15944">
        <v>584</v>
      </c>
    </row>
    <row r="15945" spans="1:10" x14ac:dyDescent="0.35">
      <c r="A15945" t="s">
        <v>229</v>
      </c>
      <c r="B15945" t="s">
        <v>372</v>
      </c>
      <c r="C15945" s="26">
        <v>0.8891</v>
      </c>
      <c r="D15945" s="26">
        <v>5.45E-2</v>
      </c>
      <c r="E15945" s="26">
        <v>1.9E-3</v>
      </c>
      <c r="F15945" s="26">
        <v>3.95E-2</v>
      </c>
      <c r="G15945" s="26">
        <v>8.5000000000000006E-3</v>
      </c>
      <c r="H15945" s="26">
        <v>6.6E-3</v>
      </c>
      <c r="J15945">
        <v>221</v>
      </c>
    </row>
    <row r="15946" spans="1:10" x14ac:dyDescent="0.35">
      <c r="A15946" t="s">
        <v>229</v>
      </c>
      <c r="B15946" t="s">
        <v>373</v>
      </c>
      <c r="C15946" s="26">
        <v>0.89780000000000004</v>
      </c>
      <c r="D15946" s="26">
        <v>6.1600000000000002E-2</v>
      </c>
      <c r="E15946" s="26">
        <v>1.23E-2</v>
      </c>
      <c r="F15946" s="26">
        <v>2.8199999999999999E-2</v>
      </c>
      <c r="J15946">
        <v>90</v>
      </c>
    </row>
    <row r="15947" spans="1:10" x14ac:dyDescent="0.35">
      <c r="A15947" t="s">
        <v>230</v>
      </c>
      <c r="B15947" t="s">
        <v>371</v>
      </c>
      <c r="C15947" s="26">
        <v>0.91839999999999999</v>
      </c>
      <c r="D15947" s="26">
        <v>3.09E-2</v>
      </c>
      <c r="E15947" s="26">
        <v>2.75E-2</v>
      </c>
      <c r="F15947" s="26">
        <v>2.3199999999999998E-2</v>
      </c>
      <c r="J15947">
        <v>262</v>
      </c>
    </row>
    <row r="15948" spans="1:10" x14ac:dyDescent="0.35">
      <c r="A15948" t="s">
        <v>230</v>
      </c>
      <c r="B15948" t="s">
        <v>372</v>
      </c>
      <c r="C15948" s="26">
        <v>0.89349999999999996</v>
      </c>
      <c r="D15948" s="26">
        <v>2.9600000000000001E-2</v>
      </c>
      <c r="E15948" s="26">
        <v>2.9600000000000001E-2</v>
      </c>
      <c r="F15948" s="26">
        <v>4.7300000000000002E-2</v>
      </c>
      <c r="J15948">
        <v>146</v>
      </c>
    </row>
    <row r="15949" spans="1:10" x14ac:dyDescent="0.35">
      <c r="A15949" t="s">
        <v>230</v>
      </c>
      <c r="B15949" t="s">
        <v>373</v>
      </c>
      <c r="C15949" s="26">
        <v>0.93310000000000004</v>
      </c>
      <c r="D15949" s="26">
        <v>4.3900000000000002E-2</v>
      </c>
      <c r="E15949" s="26">
        <v>1.3899999999999999E-2</v>
      </c>
      <c r="F15949" s="26">
        <v>9.1000000000000004E-3</v>
      </c>
      <c r="J15949">
        <v>152</v>
      </c>
    </row>
    <row r="15950" spans="1:10" x14ac:dyDescent="0.35">
      <c r="A15950" t="s">
        <v>231</v>
      </c>
      <c r="B15950" t="s">
        <v>371</v>
      </c>
      <c r="C15950" s="26">
        <v>0.85980000000000001</v>
      </c>
      <c r="D15950" s="26">
        <v>4.2700000000000002E-2</v>
      </c>
      <c r="E15950" s="26">
        <v>7.9299999999999995E-2</v>
      </c>
      <c r="F15950" s="26">
        <v>6.1000000000000004E-3</v>
      </c>
      <c r="G15950" s="26">
        <v>1.2200000000000001E-2</v>
      </c>
      <c r="J15950">
        <v>164</v>
      </c>
    </row>
    <row r="15951" spans="1:10" x14ac:dyDescent="0.35">
      <c r="A15951" t="s">
        <v>232</v>
      </c>
      <c r="B15951" t="s">
        <v>232</v>
      </c>
      <c r="C15951" s="26">
        <v>0.89359999999999995</v>
      </c>
      <c r="D15951" s="26">
        <v>4.36E-2</v>
      </c>
      <c r="E15951" s="26">
        <v>4.1700000000000001E-2</v>
      </c>
      <c r="F15951" s="26">
        <v>1.3299999999999999E-2</v>
      </c>
      <c r="G15951" s="26">
        <v>6.8999999999999999E-3</v>
      </c>
      <c r="H15951" s="26">
        <v>8.9999999999999998E-4</v>
      </c>
      <c r="I15951" s="26">
        <v>1E-4</v>
      </c>
      <c r="J15951">
        <v>2813</v>
      </c>
    </row>
    <row r="15953" spans="1:10" x14ac:dyDescent="0.35">
      <c r="A15953" s="1" t="s">
        <v>1682</v>
      </c>
    </row>
    <row r="15954" spans="1:10" x14ac:dyDescent="0.35">
      <c r="A15954" t="s">
        <v>219</v>
      </c>
      <c r="B15954" t="s">
        <v>305</v>
      </c>
      <c r="C15954" t="s">
        <v>1667</v>
      </c>
      <c r="D15954" t="s">
        <v>1668</v>
      </c>
      <c r="E15954" t="s">
        <v>1669</v>
      </c>
      <c r="F15954" t="s">
        <v>1670</v>
      </c>
      <c r="G15954" t="s">
        <v>1671</v>
      </c>
      <c r="H15954" t="s">
        <v>286</v>
      </c>
      <c r="I15954" t="s">
        <v>281</v>
      </c>
      <c r="J15954" t="s">
        <v>226</v>
      </c>
    </row>
    <row r="15955" spans="1:10" x14ac:dyDescent="0.35">
      <c r="A15955" t="s">
        <v>227</v>
      </c>
      <c r="B15955" t="s">
        <v>255</v>
      </c>
      <c r="C15955" s="26">
        <v>0.92310000000000003</v>
      </c>
      <c r="D15955" s="26">
        <v>1.7100000000000001E-2</v>
      </c>
      <c r="E15955" s="26">
        <v>5.1299999999999998E-2</v>
      </c>
      <c r="F15955" s="26">
        <v>8.5000000000000006E-3</v>
      </c>
      <c r="J15955">
        <v>117</v>
      </c>
    </row>
    <row r="15956" spans="1:10" x14ac:dyDescent="0.35">
      <c r="A15956" s="27" t="s">
        <v>227</v>
      </c>
      <c r="B15956" s="27" t="s">
        <v>257</v>
      </c>
      <c r="C15956" s="28">
        <v>0.88890000000000002</v>
      </c>
      <c r="D15956" s="29"/>
      <c r="E15956" s="28">
        <v>0.1111</v>
      </c>
      <c r="F15956" s="29"/>
      <c r="G15956" s="29"/>
      <c r="H15956" s="29"/>
      <c r="I15956" s="29"/>
      <c r="J15956" s="29" t="s">
        <v>334</v>
      </c>
    </row>
    <row r="15957" spans="1:10" x14ac:dyDescent="0.35">
      <c r="A15957" t="s">
        <v>227</v>
      </c>
      <c r="B15957" t="s">
        <v>256</v>
      </c>
      <c r="C15957" s="26">
        <v>0.94289999999999996</v>
      </c>
      <c r="D15957" s="26">
        <v>2.86E-2</v>
      </c>
      <c r="F15957" s="26">
        <v>2.86E-2</v>
      </c>
      <c r="J15957">
        <v>35</v>
      </c>
    </row>
    <row r="15958" spans="1:10" x14ac:dyDescent="0.35">
      <c r="A15958" t="s">
        <v>228</v>
      </c>
      <c r="B15958" t="s">
        <v>257</v>
      </c>
      <c r="C15958" s="26">
        <v>0.79169999999999996</v>
      </c>
      <c r="D15958" s="26">
        <v>3.44E-2</v>
      </c>
      <c r="E15958" s="26">
        <v>0.15790000000000001</v>
      </c>
      <c r="F15958" s="26">
        <v>1.6E-2</v>
      </c>
      <c r="J15958">
        <v>49</v>
      </c>
    </row>
    <row r="15959" spans="1:10" x14ac:dyDescent="0.35">
      <c r="A15959" s="27" t="s">
        <v>228</v>
      </c>
      <c r="B15959" s="27" t="s">
        <v>258</v>
      </c>
      <c r="C15959" s="28">
        <v>1</v>
      </c>
      <c r="D15959" s="29"/>
      <c r="E15959" s="29"/>
      <c r="F15959" s="29"/>
      <c r="G15959" s="29"/>
      <c r="H15959" s="29"/>
      <c r="I15959" s="29"/>
      <c r="J15959" s="29" t="s">
        <v>337</v>
      </c>
    </row>
    <row r="15960" spans="1:10" x14ac:dyDescent="0.35">
      <c r="A15960" t="s">
        <v>228</v>
      </c>
      <c r="B15960" t="s">
        <v>256</v>
      </c>
      <c r="C15960" s="26">
        <v>0.92679999999999996</v>
      </c>
      <c r="D15960" s="26">
        <v>5.6500000000000002E-2</v>
      </c>
      <c r="E15960" s="26">
        <v>5.7999999999999996E-3</v>
      </c>
      <c r="F15960" s="26">
        <v>1.09E-2</v>
      </c>
      <c r="J15960">
        <v>221</v>
      </c>
    </row>
    <row r="15961" spans="1:10" x14ac:dyDescent="0.35">
      <c r="A15961" t="s">
        <v>228</v>
      </c>
      <c r="B15961" t="s">
        <v>255</v>
      </c>
      <c r="C15961" s="26">
        <v>0.88649999999999995</v>
      </c>
      <c r="D15961" s="26">
        <v>5.0099999999999999E-2</v>
      </c>
      <c r="E15961" s="26">
        <v>4.0300000000000002E-2</v>
      </c>
      <c r="F15961" s="26">
        <v>1.6199999999999999E-2</v>
      </c>
      <c r="G15961" s="26">
        <v>6.3E-3</v>
      </c>
      <c r="I15961" s="26">
        <v>5.0000000000000001E-4</v>
      </c>
      <c r="J15961">
        <v>759</v>
      </c>
    </row>
    <row r="15962" spans="1:10" x14ac:dyDescent="0.35">
      <c r="A15962" t="s">
        <v>229</v>
      </c>
      <c r="B15962" t="s">
        <v>256</v>
      </c>
      <c r="C15962" s="26">
        <v>0.9123</v>
      </c>
      <c r="D15962" s="26">
        <v>3.8300000000000001E-2</v>
      </c>
      <c r="E15962" s="26">
        <v>2.1899999999999999E-2</v>
      </c>
      <c r="F15962" s="26">
        <v>1.55E-2</v>
      </c>
      <c r="G15962" s="26">
        <v>1.1900000000000001E-2</v>
      </c>
      <c r="J15962">
        <v>207</v>
      </c>
    </row>
    <row r="15963" spans="1:10" x14ac:dyDescent="0.35">
      <c r="A15963" t="s">
        <v>229</v>
      </c>
      <c r="B15963" t="s">
        <v>255</v>
      </c>
      <c r="C15963" s="26">
        <v>0.90280000000000005</v>
      </c>
      <c r="D15963" s="26">
        <v>5.57E-2</v>
      </c>
      <c r="E15963" s="26">
        <v>9.7999999999999997E-3</v>
      </c>
      <c r="F15963" s="26">
        <v>1.7600000000000001E-2</v>
      </c>
      <c r="G15963" s="26">
        <v>9.1000000000000004E-3</v>
      </c>
      <c r="H15963" s="26">
        <v>5.0000000000000001E-3</v>
      </c>
      <c r="J15963">
        <v>636</v>
      </c>
    </row>
    <row r="15964" spans="1:10" x14ac:dyDescent="0.35">
      <c r="A15964" t="s">
        <v>229</v>
      </c>
      <c r="B15964" t="s">
        <v>257</v>
      </c>
      <c r="C15964" s="26">
        <v>0.83989999999999998</v>
      </c>
      <c r="D15964" s="26">
        <v>0.154</v>
      </c>
      <c r="F15964" s="26">
        <v>6.1000000000000004E-3</v>
      </c>
      <c r="J15964">
        <v>50</v>
      </c>
    </row>
    <row r="15965" spans="1:10" x14ac:dyDescent="0.35">
      <c r="A15965" s="27" t="s">
        <v>229</v>
      </c>
      <c r="B15965" s="27" t="s">
        <v>258</v>
      </c>
      <c r="C15965" s="28">
        <v>0.22409999999999999</v>
      </c>
      <c r="D15965" s="28">
        <v>0.77590000000000003</v>
      </c>
      <c r="E15965" s="29"/>
      <c r="F15965" s="29"/>
      <c r="G15965" s="29"/>
      <c r="H15965" s="29"/>
      <c r="I15965" s="29"/>
      <c r="J15965" s="29" t="s">
        <v>314</v>
      </c>
    </row>
    <row r="15966" spans="1:10" x14ac:dyDescent="0.35">
      <c r="A15966" t="s">
        <v>230</v>
      </c>
      <c r="B15966" t="s">
        <v>256</v>
      </c>
      <c r="C15966" s="26">
        <v>0.93610000000000004</v>
      </c>
      <c r="D15966" s="26">
        <v>2.9600000000000001E-2</v>
      </c>
      <c r="E15966" s="26">
        <v>2.76E-2</v>
      </c>
      <c r="F15966" s="26">
        <v>6.6E-3</v>
      </c>
      <c r="J15966">
        <v>130</v>
      </c>
    </row>
    <row r="15967" spans="1:10" x14ac:dyDescent="0.35">
      <c r="A15967" t="s">
        <v>230</v>
      </c>
      <c r="B15967" t="s">
        <v>255</v>
      </c>
      <c r="C15967" s="26">
        <v>0.90539999999999998</v>
      </c>
      <c r="D15967" s="26">
        <v>3.73E-2</v>
      </c>
      <c r="E15967" s="26">
        <v>2.69E-2</v>
      </c>
      <c r="F15967" s="26">
        <v>3.04E-2</v>
      </c>
      <c r="J15967">
        <v>389</v>
      </c>
    </row>
    <row r="15968" spans="1:10" x14ac:dyDescent="0.35">
      <c r="A15968" t="s">
        <v>230</v>
      </c>
      <c r="B15968" t="s">
        <v>257</v>
      </c>
      <c r="C15968" s="26">
        <v>0.97460000000000002</v>
      </c>
      <c r="E15968" s="26">
        <v>1.2500000000000001E-2</v>
      </c>
      <c r="F15968" s="26">
        <v>1.2800000000000001E-2</v>
      </c>
      <c r="J15968">
        <v>38</v>
      </c>
    </row>
    <row r="15969" spans="1:10" x14ac:dyDescent="0.35">
      <c r="A15969" s="27" t="s">
        <v>230</v>
      </c>
      <c r="B15969" s="27" t="s">
        <v>258</v>
      </c>
      <c r="C15969" s="28">
        <v>1</v>
      </c>
      <c r="D15969" s="29"/>
      <c r="E15969" s="29"/>
      <c r="F15969" s="29"/>
      <c r="G15969" s="29"/>
      <c r="H15969" s="29"/>
      <c r="I15969" s="29"/>
      <c r="J15969" s="29" t="s">
        <v>315</v>
      </c>
    </row>
    <row r="15970" spans="1:10" x14ac:dyDescent="0.35">
      <c r="A15970" s="27" t="s">
        <v>231</v>
      </c>
      <c r="B15970" s="27" t="s">
        <v>257</v>
      </c>
      <c r="C15970" s="28">
        <v>0.85709999999999997</v>
      </c>
      <c r="D15970" s="29"/>
      <c r="E15970" s="28">
        <v>0.1429</v>
      </c>
      <c r="F15970" s="29"/>
      <c r="G15970" s="29"/>
      <c r="H15970" s="29"/>
      <c r="I15970" s="29"/>
      <c r="J15970" s="29" t="s">
        <v>339</v>
      </c>
    </row>
    <row r="15971" spans="1:10" x14ac:dyDescent="0.35">
      <c r="A15971" t="s">
        <v>231</v>
      </c>
      <c r="B15971" t="s">
        <v>255</v>
      </c>
      <c r="C15971" s="26">
        <v>0.84499999999999997</v>
      </c>
      <c r="D15971" s="26">
        <v>4.65E-2</v>
      </c>
      <c r="E15971" s="26">
        <v>8.5300000000000001E-2</v>
      </c>
      <c r="F15971" s="26">
        <v>7.7999999999999996E-3</v>
      </c>
      <c r="G15971" s="26">
        <v>1.55E-2</v>
      </c>
      <c r="J15971">
        <v>129</v>
      </c>
    </row>
    <row r="15972" spans="1:10" x14ac:dyDescent="0.35">
      <c r="A15972" s="27" t="s">
        <v>231</v>
      </c>
      <c r="B15972" s="27" t="s">
        <v>256</v>
      </c>
      <c r="C15972" s="28">
        <v>0.92859999999999998</v>
      </c>
      <c r="D15972" s="28">
        <v>3.5700000000000003E-2</v>
      </c>
      <c r="E15972" s="28">
        <v>3.5700000000000003E-2</v>
      </c>
      <c r="F15972" s="29"/>
      <c r="G15972" s="29"/>
      <c r="H15972" s="29"/>
      <c r="I15972" s="29"/>
      <c r="J15972" s="29" t="s">
        <v>336</v>
      </c>
    </row>
    <row r="15973" spans="1:10" x14ac:dyDescent="0.35">
      <c r="A15973" t="s">
        <v>232</v>
      </c>
      <c r="B15973" t="s">
        <v>232</v>
      </c>
      <c r="C15973" s="26">
        <v>0.89359999999999995</v>
      </c>
      <c r="D15973" s="26">
        <v>4.36E-2</v>
      </c>
      <c r="E15973" s="26">
        <v>4.1700000000000001E-2</v>
      </c>
      <c r="F15973" s="26">
        <v>1.3299999999999999E-2</v>
      </c>
      <c r="G15973" s="26">
        <v>6.8999999999999999E-3</v>
      </c>
      <c r="H15973" s="26">
        <v>8.9999999999999998E-4</v>
      </c>
      <c r="I15973" s="26">
        <v>1E-4</v>
      </c>
      <c r="J15973">
        <v>2813</v>
      </c>
    </row>
    <row r="15975" spans="1:10" x14ac:dyDescent="0.35">
      <c r="A15975" s="1" t="s">
        <v>1683</v>
      </c>
    </row>
    <row r="15976" spans="1:10" x14ac:dyDescent="0.35">
      <c r="A15976" t="s">
        <v>219</v>
      </c>
      <c r="B15976" t="s">
        <v>1684</v>
      </c>
      <c r="C15976" t="s">
        <v>1685</v>
      </c>
      <c r="D15976" t="s">
        <v>1686</v>
      </c>
      <c r="E15976" t="s">
        <v>1687</v>
      </c>
      <c r="F15976" t="s">
        <v>286</v>
      </c>
      <c r="G15976" t="s">
        <v>281</v>
      </c>
      <c r="H15976" t="s">
        <v>226</v>
      </c>
    </row>
    <row r="15977" spans="1:10" x14ac:dyDescent="0.35">
      <c r="A15977" t="s">
        <v>227</v>
      </c>
      <c r="B15977" s="26">
        <v>0.3831</v>
      </c>
      <c r="C15977" s="26">
        <v>0.61040000000000005</v>
      </c>
      <c r="D15977" s="26">
        <v>6.4999999999999997E-3</v>
      </c>
      <c r="H15977">
        <v>154</v>
      </c>
    </row>
    <row r="15978" spans="1:10" x14ac:dyDescent="0.35">
      <c r="A15978" t="s">
        <v>228</v>
      </c>
      <c r="B15978" s="26">
        <v>0.61019999999999996</v>
      </c>
      <c r="C15978" s="26">
        <v>0.3866</v>
      </c>
      <c r="D15978" s="26">
        <v>1.4E-3</v>
      </c>
      <c r="E15978" s="26">
        <v>1.1999999999999999E-3</v>
      </c>
      <c r="F15978" s="26">
        <v>5.9999999999999995E-4</v>
      </c>
      <c r="H15978">
        <v>1008</v>
      </c>
    </row>
    <row r="15979" spans="1:10" x14ac:dyDescent="0.35">
      <c r="A15979" t="s">
        <v>229</v>
      </c>
      <c r="B15979" s="26">
        <v>0.61009999999999998</v>
      </c>
      <c r="C15979" s="26">
        <v>0.3755</v>
      </c>
      <c r="D15979" s="26">
        <v>1.44E-2</v>
      </c>
      <c r="H15979">
        <v>885</v>
      </c>
    </row>
    <row r="15980" spans="1:10" x14ac:dyDescent="0.35">
      <c r="A15980" t="s">
        <v>230</v>
      </c>
      <c r="B15980" s="26">
        <v>0.4884</v>
      </c>
      <c r="C15980" s="26">
        <v>0.50180000000000002</v>
      </c>
      <c r="D15980" s="26">
        <v>9.4999999999999998E-3</v>
      </c>
      <c r="G15980" s="26">
        <v>2.9999999999999997E-4</v>
      </c>
      <c r="H15980">
        <v>548</v>
      </c>
    </row>
    <row r="15981" spans="1:10" x14ac:dyDescent="0.35">
      <c r="A15981" t="s">
        <v>231</v>
      </c>
      <c r="B15981" s="26">
        <v>0.47710000000000002</v>
      </c>
      <c r="C15981" s="26">
        <v>0.50980000000000003</v>
      </c>
      <c r="D15981" s="26">
        <v>1.3100000000000001E-2</v>
      </c>
      <c r="H15981">
        <v>153</v>
      </c>
    </row>
    <row r="15982" spans="1:10" x14ac:dyDescent="0.35">
      <c r="A15982" t="s">
        <v>232</v>
      </c>
      <c r="B15982" s="26">
        <v>0.52880000000000005</v>
      </c>
      <c r="C15982" s="26">
        <v>0.46100000000000002</v>
      </c>
      <c r="D15982" s="26">
        <v>9.9000000000000008E-3</v>
      </c>
      <c r="E15982" s="26">
        <v>2.0000000000000001E-4</v>
      </c>
      <c r="F15982" s="26">
        <v>1E-4</v>
      </c>
      <c r="G15982" s="26">
        <v>0</v>
      </c>
      <c r="H15982">
        <v>2748</v>
      </c>
    </row>
    <row r="15984" spans="1:10" x14ac:dyDescent="0.35">
      <c r="A15984" s="1" t="s">
        <v>1688</v>
      </c>
    </row>
    <row r="15985" spans="1:9" x14ac:dyDescent="0.35">
      <c r="A15985" t="s">
        <v>219</v>
      </c>
      <c r="B15985" t="s">
        <v>305</v>
      </c>
      <c r="C15985" t="s">
        <v>1684</v>
      </c>
      <c r="D15985" t="s">
        <v>1685</v>
      </c>
      <c r="E15985" t="s">
        <v>1686</v>
      </c>
      <c r="F15985" t="s">
        <v>1687</v>
      </c>
      <c r="G15985" t="s">
        <v>286</v>
      </c>
      <c r="H15985" t="s">
        <v>281</v>
      </c>
      <c r="I15985" t="s">
        <v>226</v>
      </c>
    </row>
    <row r="15986" spans="1:9" x14ac:dyDescent="0.35">
      <c r="A15986" t="s">
        <v>227</v>
      </c>
      <c r="B15986" t="s">
        <v>242</v>
      </c>
      <c r="C15986" s="26">
        <v>0.28570000000000001</v>
      </c>
      <c r="D15986" s="26">
        <v>0.69840000000000002</v>
      </c>
      <c r="E15986" s="26">
        <v>1.5900000000000001E-2</v>
      </c>
      <c r="I15986">
        <v>63</v>
      </c>
    </row>
    <row r="15987" spans="1:9" x14ac:dyDescent="0.35">
      <c r="A15987" t="s">
        <v>227</v>
      </c>
      <c r="B15987" t="s">
        <v>241</v>
      </c>
      <c r="C15987" s="26">
        <v>0.45050000000000001</v>
      </c>
      <c r="D15987" s="26">
        <v>0.54949999999999999</v>
      </c>
      <c r="I15987">
        <v>91</v>
      </c>
    </row>
    <row r="15988" spans="1:9" x14ac:dyDescent="0.35">
      <c r="A15988" t="s">
        <v>228</v>
      </c>
      <c r="B15988" t="s">
        <v>242</v>
      </c>
      <c r="C15988" s="26">
        <v>0.58089999999999997</v>
      </c>
      <c r="D15988" s="26">
        <v>0.4158</v>
      </c>
      <c r="E15988" s="26">
        <v>1.6999999999999999E-3</v>
      </c>
      <c r="G15988" s="26">
        <v>1.6000000000000001E-3</v>
      </c>
      <c r="I15988">
        <v>390</v>
      </c>
    </row>
    <row r="15989" spans="1:9" x14ac:dyDescent="0.35">
      <c r="A15989" t="s">
        <v>228</v>
      </c>
      <c r="B15989" t="s">
        <v>241</v>
      </c>
      <c r="C15989" s="26">
        <v>0.62660000000000005</v>
      </c>
      <c r="D15989" s="26">
        <v>0.37019999999999997</v>
      </c>
      <c r="E15989" s="26">
        <v>1.2999999999999999E-3</v>
      </c>
      <c r="F15989" s="26">
        <v>1.9E-3</v>
      </c>
      <c r="I15989">
        <v>618</v>
      </c>
    </row>
    <row r="15990" spans="1:9" x14ac:dyDescent="0.35">
      <c r="A15990" t="s">
        <v>229</v>
      </c>
      <c r="B15990" t="s">
        <v>242</v>
      </c>
      <c r="C15990" s="26">
        <v>0.55579999999999996</v>
      </c>
      <c r="D15990" s="26">
        <v>0.42930000000000001</v>
      </c>
      <c r="E15990" s="26">
        <v>1.49E-2</v>
      </c>
      <c r="I15990">
        <v>288</v>
      </c>
    </row>
    <row r="15991" spans="1:9" x14ac:dyDescent="0.35">
      <c r="A15991" t="s">
        <v>229</v>
      </c>
      <c r="B15991" t="s">
        <v>241</v>
      </c>
      <c r="C15991" s="26">
        <v>0.64439999999999997</v>
      </c>
      <c r="D15991" s="26">
        <v>0.34150000000000003</v>
      </c>
      <c r="E15991" s="26">
        <v>1.41E-2</v>
      </c>
      <c r="I15991">
        <v>597</v>
      </c>
    </row>
    <row r="15992" spans="1:9" x14ac:dyDescent="0.35">
      <c r="A15992" t="s">
        <v>230</v>
      </c>
      <c r="B15992" t="s">
        <v>242</v>
      </c>
      <c r="C15992" s="26">
        <v>0.44419999999999998</v>
      </c>
      <c r="D15992" s="26">
        <v>0.53280000000000005</v>
      </c>
      <c r="E15992" s="26">
        <v>2.29E-2</v>
      </c>
      <c r="I15992">
        <v>185</v>
      </c>
    </row>
    <row r="15993" spans="1:9" x14ac:dyDescent="0.35">
      <c r="A15993" t="s">
        <v>230</v>
      </c>
      <c r="B15993" t="s">
        <v>241</v>
      </c>
      <c r="C15993" s="26">
        <v>0.51060000000000005</v>
      </c>
      <c r="D15993" s="26">
        <v>0.48620000000000002</v>
      </c>
      <c r="E15993" s="26">
        <v>2.8E-3</v>
      </c>
      <c r="H15993" s="26">
        <v>4.0000000000000002E-4</v>
      </c>
      <c r="I15993">
        <v>363</v>
      </c>
    </row>
    <row r="15994" spans="1:9" x14ac:dyDescent="0.35">
      <c r="A15994" t="s">
        <v>231</v>
      </c>
      <c r="B15994" t="s">
        <v>242</v>
      </c>
      <c r="C15994" s="26">
        <v>0.44230000000000003</v>
      </c>
      <c r="D15994" s="26">
        <v>0.53849999999999998</v>
      </c>
      <c r="E15994" s="26">
        <v>1.9199999999999998E-2</v>
      </c>
      <c r="I15994">
        <v>52</v>
      </c>
    </row>
    <row r="15995" spans="1:9" x14ac:dyDescent="0.35">
      <c r="A15995" t="s">
        <v>231</v>
      </c>
      <c r="B15995" t="s">
        <v>241</v>
      </c>
      <c r="C15995" s="26">
        <v>0.495</v>
      </c>
      <c r="D15995" s="26">
        <v>0.495</v>
      </c>
      <c r="E15995" s="26">
        <v>9.9000000000000008E-3</v>
      </c>
      <c r="I15995">
        <v>101</v>
      </c>
    </row>
    <row r="15996" spans="1:9" x14ac:dyDescent="0.35">
      <c r="A15996" t="s">
        <v>232</v>
      </c>
      <c r="B15996" t="s">
        <v>232</v>
      </c>
      <c r="C15996" s="26">
        <v>0.52880000000000005</v>
      </c>
      <c r="D15996" s="26">
        <v>0.46100000000000002</v>
      </c>
      <c r="E15996" s="26">
        <v>9.9000000000000008E-3</v>
      </c>
      <c r="F15996" s="26">
        <v>2.0000000000000001E-4</v>
      </c>
      <c r="G15996" s="26">
        <v>1E-4</v>
      </c>
      <c r="H15996" s="26">
        <v>0</v>
      </c>
      <c r="I15996">
        <v>2748</v>
      </c>
    </row>
    <row r="15998" spans="1:9" x14ac:dyDescent="0.35">
      <c r="A15998" s="1" t="s">
        <v>1689</v>
      </c>
    </row>
    <row r="15999" spans="1:9" x14ac:dyDescent="0.35">
      <c r="A15999" t="s">
        <v>219</v>
      </c>
      <c r="B15999" t="s">
        <v>305</v>
      </c>
      <c r="C15999" t="s">
        <v>1684</v>
      </c>
      <c r="D15999" t="s">
        <v>1685</v>
      </c>
      <c r="E15999" t="s">
        <v>1686</v>
      </c>
      <c r="F15999" t="s">
        <v>1687</v>
      </c>
      <c r="G15999" t="s">
        <v>286</v>
      </c>
      <c r="H15999" t="s">
        <v>281</v>
      </c>
      <c r="I15999" t="s">
        <v>226</v>
      </c>
    </row>
    <row r="16000" spans="1:9" x14ac:dyDescent="0.35">
      <c r="A16000" t="s">
        <v>227</v>
      </c>
      <c r="B16000" t="s">
        <v>239</v>
      </c>
      <c r="C16000" s="26">
        <v>0.1552</v>
      </c>
      <c r="D16000" s="26">
        <v>0.8276</v>
      </c>
      <c r="E16000" s="26">
        <v>1.72E-2</v>
      </c>
      <c r="I16000">
        <v>58</v>
      </c>
    </row>
    <row r="16001" spans="1:9" x14ac:dyDescent="0.35">
      <c r="A16001" t="s">
        <v>227</v>
      </c>
      <c r="B16001" t="s">
        <v>238</v>
      </c>
      <c r="C16001" s="26">
        <v>0.52080000000000004</v>
      </c>
      <c r="D16001" s="26">
        <v>0.47920000000000001</v>
      </c>
      <c r="I16001">
        <v>96</v>
      </c>
    </row>
    <row r="16002" spans="1:9" x14ac:dyDescent="0.35">
      <c r="A16002" t="s">
        <v>228</v>
      </c>
      <c r="B16002" t="s">
        <v>239</v>
      </c>
      <c r="C16002" s="26">
        <v>0.18970000000000001</v>
      </c>
      <c r="D16002" s="26">
        <v>0.80469999999999997</v>
      </c>
      <c r="E16002" s="26">
        <v>2.8E-3</v>
      </c>
      <c r="G16002" s="26">
        <v>2.8E-3</v>
      </c>
      <c r="I16002">
        <v>318</v>
      </c>
    </row>
    <row r="16003" spans="1:9" x14ac:dyDescent="0.35">
      <c r="A16003" t="s">
        <v>228</v>
      </c>
      <c r="B16003" t="s">
        <v>238</v>
      </c>
      <c r="C16003" s="26">
        <v>0.71650000000000003</v>
      </c>
      <c r="D16003" s="26">
        <v>0.28089999999999998</v>
      </c>
      <c r="E16003" s="26">
        <v>1.1000000000000001E-3</v>
      </c>
      <c r="F16003" s="26">
        <v>1.5E-3</v>
      </c>
      <c r="I16003">
        <v>690</v>
      </c>
    </row>
    <row r="16004" spans="1:9" x14ac:dyDescent="0.35">
      <c r="A16004" t="s">
        <v>229</v>
      </c>
      <c r="B16004" t="s">
        <v>239</v>
      </c>
      <c r="C16004" s="26">
        <v>0.1603</v>
      </c>
      <c r="D16004" s="26">
        <v>0.78749999999999998</v>
      </c>
      <c r="E16004" s="26">
        <v>5.2200000000000003E-2</v>
      </c>
      <c r="I16004">
        <v>329</v>
      </c>
    </row>
    <row r="16005" spans="1:9" x14ac:dyDescent="0.35">
      <c r="A16005" t="s">
        <v>229</v>
      </c>
      <c r="B16005" t="s">
        <v>238</v>
      </c>
      <c r="C16005" s="26">
        <v>0.76580000000000004</v>
      </c>
      <c r="D16005" s="26">
        <v>0.23280000000000001</v>
      </c>
      <c r="E16005" s="26">
        <v>1.4E-3</v>
      </c>
      <c r="I16005">
        <v>556</v>
      </c>
    </row>
    <row r="16006" spans="1:9" x14ac:dyDescent="0.35">
      <c r="A16006" t="s">
        <v>230</v>
      </c>
      <c r="B16006" t="s">
        <v>239</v>
      </c>
      <c r="C16006" s="26">
        <v>0.123</v>
      </c>
      <c r="D16006" s="26">
        <v>0.87609999999999999</v>
      </c>
      <c r="E16006" s="26">
        <v>8.9999999999999998E-4</v>
      </c>
      <c r="I16006">
        <v>208</v>
      </c>
    </row>
    <row r="16007" spans="1:9" x14ac:dyDescent="0.35">
      <c r="A16007" t="s">
        <v>230</v>
      </c>
      <c r="B16007" t="s">
        <v>238</v>
      </c>
      <c r="C16007" s="26">
        <v>0.65059999999999996</v>
      </c>
      <c r="D16007" s="26">
        <v>0.3357</v>
      </c>
      <c r="E16007" s="26">
        <v>1.3299999999999999E-2</v>
      </c>
      <c r="H16007" s="26">
        <v>4.0000000000000002E-4</v>
      </c>
      <c r="I16007">
        <v>340</v>
      </c>
    </row>
    <row r="16008" spans="1:9" x14ac:dyDescent="0.35">
      <c r="A16008" t="s">
        <v>231</v>
      </c>
      <c r="B16008" t="s">
        <v>239</v>
      </c>
      <c r="C16008" s="26">
        <v>0.1132</v>
      </c>
      <c r="D16008" s="26">
        <v>0.88680000000000003</v>
      </c>
      <c r="I16008">
        <v>53</v>
      </c>
    </row>
    <row r="16009" spans="1:9" x14ac:dyDescent="0.35">
      <c r="A16009" t="s">
        <v>231</v>
      </c>
      <c r="B16009" t="s">
        <v>238</v>
      </c>
      <c r="C16009" s="26">
        <v>0.67</v>
      </c>
      <c r="D16009" s="26">
        <v>0.31</v>
      </c>
      <c r="E16009" s="26">
        <v>0.02</v>
      </c>
      <c r="I16009">
        <v>100</v>
      </c>
    </row>
    <row r="16010" spans="1:9" x14ac:dyDescent="0.35">
      <c r="A16010" t="s">
        <v>232</v>
      </c>
      <c r="B16010" t="s">
        <v>232</v>
      </c>
      <c r="C16010" s="26">
        <v>0.52880000000000005</v>
      </c>
      <c r="D16010" s="26">
        <v>0.46100000000000002</v>
      </c>
      <c r="E16010" s="26">
        <v>9.9000000000000008E-3</v>
      </c>
      <c r="F16010" s="26">
        <v>2.0000000000000001E-4</v>
      </c>
      <c r="G16010" s="26">
        <v>1E-4</v>
      </c>
      <c r="H16010" s="26">
        <v>0</v>
      </c>
      <c r="I16010">
        <v>2748</v>
      </c>
    </row>
    <row r="16012" spans="1:9" x14ac:dyDescent="0.35">
      <c r="A16012" s="1" t="s">
        <v>1690</v>
      </c>
    </row>
    <row r="16013" spans="1:9" x14ac:dyDescent="0.35">
      <c r="A16013" t="s">
        <v>219</v>
      </c>
      <c r="B16013" t="s">
        <v>305</v>
      </c>
      <c r="C16013" t="s">
        <v>1684</v>
      </c>
      <c r="D16013" t="s">
        <v>1685</v>
      </c>
      <c r="E16013" t="s">
        <v>1686</v>
      </c>
      <c r="F16013" t="s">
        <v>1687</v>
      </c>
      <c r="G16013" t="s">
        <v>286</v>
      </c>
      <c r="H16013" t="s">
        <v>281</v>
      </c>
      <c r="I16013" t="s">
        <v>226</v>
      </c>
    </row>
    <row r="16014" spans="1:9" x14ac:dyDescent="0.35">
      <c r="A16014" t="s">
        <v>227</v>
      </c>
      <c r="B16014" t="s">
        <v>244</v>
      </c>
      <c r="C16014" s="26">
        <v>0.36959999999999998</v>
      </c>
      <c r="D16014" s="26">
        <v>0.63039999999999996</v>
      </c>
      <c r="I16014">
        <v>92</v>
      </c>
    </row>
    <row r="16015" spans="1:9" x14ac:dyDescent="0.35">
      <c r="A16015" t="s">
        <v>227</v>
      </c>
      <c r="B16015" t="s">
        <v>245</v>
      </c>
      <c r="C16015" s="26">
        <v>0.42</v>
      </c>
      <c r="D16015" s="26">
        <v>0.57999999999999996</v>
      </c>
      <c r="I16015">
        <v>50</v>
      </c>
    </row>
    <row r="16016" spans="1:9" x14ac:dyDescent="0.35">
      <c r="A16016" s="27" t="s">
        <v>227</v>
      </c>
      <c r="B16016" s="27" t="s">
        <v>246</v>
      </c>
      <c r="C16016" s="28">
        <v>0.33329999999999999</v>
      </c>
      <c r="D16016" s="28">
        <v>0.58330000000000004</v>
      </c>
      <c r="E16016" s="28">
        <v>8.3299999999999999E-2</v>
      </c>
      <c r="F16016" s="29"/>
      <c r="G16016" s="29"/>
      <c r="H16016" s="29"/>
      <c r="I16016" s="29" t="s">
        <v>342</v>
      </c>
    </row>
    <row r="16017" spans="1:9" x14ac:dyDescent="0.35">
      <c r="A16017" t="s">
        <v>228</v>
      </c>
      <c r="B16017" t="s">
        <v>244</v>
      </c>
      <c r="C16017" s="26">
        <v>0.60840000000000005</v>
      </c>
      <c r="D16017" s="26">
        <v>0.3906</v>
      </c>
      <c r="E16017" s="26">
        <v>8.9999999999999998E-4</v>
      </c>
      <c r="I16017">
        <v>620</v>
      </c>
    </row>
    <row r="16018" spans="1:9" x14ac:dyDescent="0.35">
      <c r="A16018" t="s">
        <v>228</v>
      </c>
      <c r="B16018" t="s">
        <v>245</v>
      </c>
      <c r="C16018" s="26">
        <v>0.70979999999999999</v>
      </c>
      <c r="D16018" s="26">
        <v>0.28100000000000003</v>
      </c>
      <c r="E16018" s="26">
        <v>2.8999999999999998E-3</v>
      </c>
      <c r="F16018" s="26">
        <v>4.3E-3</v>
      </c>
      <c r="G16018" s="26">
        <v>2E-3</v>
      </c>
      <c r="I16018">
        <v>324</v>
      </c>
    </row>
    <row r="16019" spans="1:9" x14ac:dyDescent="0.35">
      <c r="A16019" t="s">
        <v>228</v>
      </c>
      <c r="B16019" t="s">
        <v>246</v>
      </c>
      <c r="C16019" s="26">
        <v>0.20849999999999999</v>
      </c>
      <c r="D16019" s="26">
        <v>0.79149999999999998</v>
      </c>
      <c r="I16019">
        <v>64</v>
      </c>
    </row>
    <row r="16020" spans="1:9" x14ac:dyDescent="0.35">
      <c r="A16020" t="s">
        <v>229</v>
      </c>
      <c r="B16020" t="s">
        <v>244</v>
      </c>
      <c r="C16020" s="26">
        <v>0.623</v>
      </c>
      <c r="D16020" s="26">
        <v>0.36449999999999999</v>
      </c>
      <c r="E16020" s="26">
        <v>1.26E-2</v>
      </c>
      <c r="I16020">
        <v>548</v>
      </c>
    </row>
    <row r="16021" spans="1:9" x14ac:dyDescent="0.35">
      <c r="A16021" t="s">
        <v>229</v>
      </c>
      <c r="B16021" t="s">
        <v>245</v>
      </c>
      <c r="C16021" s="26">
        <v>0.63219999999999998</v>
      </c>
      <c r="D16021" s="26">
        <v>0.35659999999999997</v>
      </c>
      <c r="E16021" s="26">
        <v>1.12E-2</v>
      </c>
      <c r="I16021">
        <v>292</v>
      </c>
    </row>
    <row r="16022" spans="1:9" x14ac:dyDescent="0.35">
      <c r="A16022" t="s">
        <v>229</v>
      </c>
      <c r="B16022" t="s">
        <v>246</v>
      </c>
      <c r="C16022" s="26">
        <v>0.34139999999999998</v>
      </c>
      <c r="D16022" s="26">
        <v>0.60540000000000005</v>
      </c>
      <c r="E16022" s="26">
        <v>5.33E-2</v>
      </c>
      <c r="I16022">
        <v>45</v>
      </c>
    </row>
    <row r="16023" spans="1:9" x14ac:dyDescent="0.35">
      <c r="A16023" t="s">
        <v>230</v>
      </c>
      <c r="B16023" t="s">
        <v>244</v>
      </c>
      <c r="C16023" s="26">
        <v>0.50629999999999997</v>
      </c>
      <c r="D16023" s="26">
        <v>0.48139999999999999</v>
      </c>
      <c r="E16023" s="26">
        <v>1.1900000000000001E-2</v>
      </c>
      <c r="H16023" s="26">
        <v>4.0000000000000002E-4</v>
      </c>
      <c r="I16023">
        <v>363</v>
      </c>
    </row>
    <row r="16024" spans="1:9" x14ac:dyDescent="0.35">
      <c r="A16024" t="s">
        <v>230</v>
      </c>
      <c r="B16024" t="s">
        <v>245</v>
      </c>
      <c r="C16024" s="26">
        <v>0.50619999999999998</v>
      </c>
      <c r="D16024" s="26">
        <v>0.48899999999999999</v>
      </c>
      <c r="E16024" s="26">
        <v>4.7999999999999996E-3</v>
      </c>
      <c r="I16024">
        <v>156</v>
      </c>
    </row>
    <row r="16025" spans="1:9" x14ac:dyDescent="0.35">
      <c r="A16025" s="27" t="s">
        <v>230</v>
      </c>
      <c r="B16025" s="27" t="s">
        <v>246</v>
      </c>
      <c r="C16025" s="28">
        <v>0.1477</v>
      </c>
      <c r="D16025" s="28">
        <v>0.85229999999999995</v>
      </c>
      <c r="E16025" s="29"/>
      <c r="F16025" s="29"/>
      <c r="G16025" s="29"/>
      <c r="H16025" s="29"/>
      <c r="I16025" s="29" t="s">
        <v>329</v>
      </c>
    </row>
    <row r="16026" spans="1:9" x14ac:dyDescent="0.35">
      <c r="A16026" t="s">
        <v>231</v>
      </c>
      <c r="B16026" t="s">
        <v>244</v>
      </c>
      <c r="C16026" s="26">
        <v>0.46589999999999998</v>
      </c>
      <c r="D16026" s="26">
        <v>0.53410000000000002</v>
      </c>
      <c r="I16026">
        <v>88</v>
      </c>
    </row>
    <row r="16027" spans="1:9" x14ac:dyDescent="0.35">
      <c r="A16027" t="s">
        <v>231</v>
      </c>
      <c r="B16027" t="s">
        <v>245</v>
      </c>
      <c r="C16027" s="26">
        <v>0.58489999999999998</v>
      </c>
      <c r="D16027" s="26">
        <v>0.37740000000000001</v>
      </c>
      <c r="E16027" s="26">
        <v>3.7699999999999997E-2</v>
      </c>
      <c r="I16027">
        <v>53</v>
      </c>
    </row>
    <row r="16028" spans="1:9" x14ac:dyDescent="0.35">
      <c r="A16028" s="27" t="s">
        <v>231</v>
      </c>
      <c r="B16028" s="27" t="s">
        <v>246</v>
      </c>
      <c r="C16028" s="28">
        <v>8.3299999999999999E-2</v>
      </c>
      <c r="D16028" s="28">
        <v>0.91669999999999996</v>
      </c>
      <c r="E16028" s="29"/>
      <c r="F16028" s="29"/>
      <c r="G16028" s="29"/>
      <c r="H16028" s="29"/>
      <c r="I16028" s="29" t="s">
        <v>342</v>
      </c>
    </row>
    <row r="16029" spans="1:9" x14ac:dyDescent="0.35">
      <c r="A16029" t="s">
        <v>232</v>
      </c>
      <c r="B16029" t="s">
        <v>232</v>
      </c>
      <c r="C16029" s="26">
        <v>0.52880000000000005</v>
      </c>
      <c r="D16029" s="26">
        <v>0.46100000000000002</v>
      </c>
      <c r="E16029" s="26">
        <v>9.9000000000000008E-3</v>
      </c>
      <c r="F16029" s="26">
        <v>2.0000000000000001E-4</v>
      </c>
      <c r="G16029" s="26">
        <v>1E-4</v>
      </c>
      <c r="H16029" s="26">
        <v>0</v>
      </c>
      <c r="I16029">
        <v>2748</v>
      </c>
    </row>
    <row r="16031" spans="1:9" x14ac:dyDescent="0.35">
      <c r="A16031" s="1" t="s">
        <v>1691</v>
      </c>
    </row>
    <row r="16032" spans="1:9" x14ac:dyDescent="0.35">
      <c r="A16032" t="s">
        <v>219</v>
      </c>
      <c r="B16032" t="s">
        <v>305</v>
      </c>
      <c r="C16032" t="s">
        <v>1684</v>
      </c>
      <c r="D16032" t="s">
        <v>1685</v>
      </c>
      <c r="E16032" t="s">
        <v>1686</v>
      </c>
      <c r="F16032" t="s">
        <v>1687</v>
      </c>
      <c r="G16032" t="s">
        <v>286</v>
      </c>
      <c r="H16032" t="s">
        <v>281</v>
      </c>
      <c r="I16032" t="s">
        <v>226</v>
      </c>
    </row>
    <row r="16033" spans="1:9" x14ac:dyDescent="0.35">
      <c r="A16033" t="s">
        <v>227</v>
      </c>
      <c r="B16033" t="s">
        <v>360</v>
      </c>
      <c r="C16033" s="26">
        <v>0.1842</v>
      </c>
      <c r="D16033" s="26">
        <v>0.78949999999999998</v>
      </c>
      <c r="E16033" s="26">
        <v>2.63E-2</v>
      </c>
      <c r="I16033">
        <v>38</v>
      </c>
    </row>
    <row r="16034" spans="1:9" x14ac:dyDescent="0.35">
      <c r="A16034" t="s">
        <v>227</v>
      </c>
      <c r="B16034" t="s">
        <v>361</v>
      </c>
      <c r="C16034" s="26">
        <v>0.5161</v>
      </c>
      <c r="D16034" s="26">
        <v>0.4839</v>
      </c>
      <c r="I16034">
        <v>31</v>
      </c>
    </row>
    <row r="16035" spans="1:9" x14ac:dyDescent="0.35">
      <c r="A16035" t="s">
        <v>227</v>
      </c>
      <c r="B16035" t="s">
        <v>362</v>
      </c>
      <c r="C16035" s="26">
        <v>0.33329999999999999</v>
      </c>
      <c r="D16035" s="26">
        <v>0.66669999999999996</v>
      </c>
      <c r="I16035">
        <v>33</v>
      </c>
    </row>
    <row r="16036" spans="1:9" x14ac:dyDescent="0.35">
      <c r="A16036" t="s">
        <v>227</v>
      </c>
      <c r="B16036" t="s">
        <v>363</v>
      </c>
      <c r="C16036" s="26">
        <v>0.4773</v>
      </c>
      <c r="D16036" s="26">
        <v>0.52270000000000005</v>
      </c>
      <c r="I16036">
        <v>44</v>
      </c>
    </row>
    <row r="16037" spans="1:9" x14ac:dyDescent="0.35">
      <c r="A16037" t="s">
        <v>228</v>
      </c>
      <c r="B16037" t="s">
        <v>360</v>
      </c>
      <c r="C16037" s="26">
        <v>0.46039999999999998</v>
      </c>
      <c r="D16037" s="26">
        <v>0.5363</v>
      </c>
      <c r="E16037" s="26">
        <v>3.3E-3</v>
      </c>
      <c r="I16037">
        <v>248</v>
      </c>
    </row>
    <row r="16038" spans="1:9" x14ac:dyDescent="0.35">
      <c r="A16038" t="s">
        <v>228</v>
      </c>
      <c r="B16038" t="s">
        <v>361</v>
      </c>
      <c r="C16038" s="26">
        <v>0.75900000000000001</v>
      </c>
      <c r="D16038" s="26">
        <v>0.23380000000000001</v>
      </c>
      <c r="F16038" s="26">
        <v>4.7999999999999996E-3</v>
      </c>
      <c r="G16038" s="26">
        <v>2.3E-3</v>
      </c>
      <c r="I16038">
        <v>194</v>
      </c>
    </row>
    <row r="16039" spans="1:9" x14ac:dyDescent="0.35">
      <c r="A16039" t="s">
        <v>228</v>
      </c>
      <c r="B16039" t="s">
        <v>363</v>
      </c>
      <c r="C16039" s="26">
        <v>0.58660000000000001</v>
      </c>
      <c r="D16039" s="26">
        <v>0.41339999999999999</v>
      </c>
      <c r="I16039">
        <v>208</v>
      </c>
    </row>
    <row r="16040" spans="1:9" x14ac:dyDescent="0.35">
      <c r="A16040" t="s">
        <v>228</v>
      </c>
      <c r="B16040" t="s">
        <v>362</v>
      </c>
      <c r="C16040" s="26">
        <v>0.62039999999999995</v>
      </c>
      <c r="D16040" s="26">
        <v>0.3785</v>
      </c>
      <c r="E16040" s="26">
        <v>1.1000000000000001E-3</v>
      </c>
      <c r="I16040">
        <v>231</v>
      </c>
    </row>
    <row r="16041" spans="1:9" x14ac:dyDescent="0.35">
      <c r="A16041" t="s">
        <v>229</v>
      </c>
      <c r="B16041" t="s">
        <v>363</v>
      </c>
      <c r="C16041" s="26">
        <v>0.62190000000000001</v>
      </c>
      <c r="D16041" s="26">
        <v>0.37809999999999999</v>
      </c>
      <c r="I16041">
        <v>187</v>
      </c>
    </row>
    <row r="16042" spans="1:9" x14ac:dyDescent="0.35">
      <c r="A16042" t="s">
        <v>229</v>
      </c>
      <c r="B16042" t="s">
        <v>360</v>
      </c>
      <c r="C16042" s="26">
        <v>0.39879999999999999</v>
      </c>
      <c r="D16042" s="26">
        <v>0.56589999999999996</v>
      </c>
      <c r="E16042" s="26">
        <v>3.5299999999999998E-2</v>
      </c>
      <c r="I16042">
        <v>162</v>
      </c>
    </row>
    <row r="16043" spans="1:9" x14ac:dyDescent="0.35">
      <c r="A16043" t="s">
        <v>229</v>
      </c>
      <c r="B16043" t="s">
        <v>361</v>
      </c>
      <c r="C16043" s="26">
        <v>0.72389999999999999</v>
      </c>
      <c r="D16043" s="26">
        <v>0.2611</v>
      </c>
      <c r="E16043" s="26">
        <v>1.4999999999999999E-2</v>
      </c>
      <c r="I16043">
        <v>242</v>
      </c>
    </row>
    <row r="16044" spans="1:9" x14ac:dyDescent="0.35">
      <c r="A16044" t="s">
        <v>229</v>
      </c>
      <c r="B16044" t="s">
        <v>362</v>
      </c>
      <c r="C16044" s="26">
        <v>0.42199999999999999</v>
      </c>
      <c r="D16044" s="26">
        <v>0.55840000000000001</v>
      </c>
      <c r="E16044" s="26">
        <v>1.9599999999999999E-2</v>
      </c>
      <c r="I16044">
        <v>169</v>
      </c>
    </row>
    <row r="16045" spans="1:9" x14ac:dyDescent="0.35">
      <c r="A16045" t="s">
        <v>230</v>
      </c>
      <c r="B16045" t="s">
        <v>360</v>
      </c>
      <c r="C16045" s="26">
        <v>0.28060000000000002</v>
      </c>
      <c r="D16045" s="26">
        <v>0.68940000000000001</v>
      </c>
      <c r="E16045" s="26">
        <v>2.9899999999999999E-2</v>
      </c>
      <c r="I16045">
        <v>115</v>
      </c>
    </row>
    <row r="16046" spans="1:9" x14ac:dyDescent="0.35">
      <c r="A16046" t="s">
        <v>230</v>
      </c>
      <c r="B16046" t="s">
        <v>363</v>
      </c>
      <c r="C16046" s="26">
        <v>0.54769999999999996</v>
      </c>
      <c r="D16046" s="26">
        <v>0.44390000000000002</v>
      </c>
      <c r="E16046" s="26">
        <v>8.3999999999999995E-3</v>
      </c>
      <c r="I16046">
        <v>122</v>
      </c>
    </row>
    <row r="16047" spans="1:9" x14ac:dyDescent="0.35">
      <c r="A16047" t="s">
        <v>230</v>
      </c>
      <c r="B16047" t="s">
        <v>361</v>
      </c>
      <c r="C16047" s="26">
        <v>0.64490000000000003</v>
      </c>
      <c r="D16047" s="26">
        <v>0.35410000000000003</v>
      </c>
      <c r="E16047" s="26">
        <v>1.1000000000000001E-3</v>
      </c>
      <c r="I16047">
        <v>109</v>
      </c>
    </row>
    <row r="16048" spans="1:9" x14ac:dyDescent="0.35">
      <c r="A16048" t="s">
        <v>230</v>
      </c>
      <c r="B16048" t="s">
        <v>362</v>
      </c>
      <c r="C16048" s="26">
        <v>0.4451</v>
      </c>
      <c r="D16048" s="26">
        <v>0.5514</v>
      </c>
      <c r="E16048" s="26">
        <v>3.5000000000000001E-3</v>
      </c>
      <c r="I16048">
        <v>147</v>
      </c>
    </row>
    <row r="16049" spans="1:9" x14ac:dyDescent="0.35">
      <c r="A16049" s="27" t="s">
        <v>231</v>
      </c>
      <c r="B16049" s="27" t="s">
        <v>362</v>
      </c>
      <c r="C16049" s="28">
        <v>0.33329999999999999</v>
      </c>
      <c r="D16049" s="28">
        <v>0.66669999999999996</v>
      </c>
      <c r="E16049" s="29"/>
      <c r="F16049" s="29"/>
      <c r="G16049" s="29"/>
      <c r="H16049" s="29"/>
      <c r="I16049" s="29" t="s">
        <v>338</v>
      </c>
    </row>
    <row r="16050" spans="1:9" x14ac:dyDescent="0.35">
      <c r="A16050" t="s">
        <v>231</v>
      </c>
      <c r="B16050" t="s">
        <v>361</v>
      </c>
      <c r="C16050" s="26">
        <v>0.68089999999999995</v>
      </c>
      <c r="D16050" s="26">
        <v>0.2979</v>
      </c>
      <c r="E16050" s="26">
        <v>2.1299999999999999E-2</v>
      </c>
      <c r="I16050">
        <v>47</v>
      </c>
    </row>
    <row r="16051" spans="1:9" x14ac:dyDescent="0.35">
      <c r="A16051" t="s">
        <v>231</v>
      </c>
      <c r="B16051" t="s">
        <v>360</v>
      </c>
      <c r="C16051" s="26">
        <v>0.28570000000000001</v>
      </c>
      <c r="D16051" s="26">
        <v>0.6905</v>
      </c>
      <c r="E16051" s="26">
        <v>2.3800000000000002E-2</v>
      </c>
      <c r="I16051">
        <v>42</v>
      </c>
    </row>
    <row r="16052" spans="1:9" x14ac:dyDescent="0.35">
      <c r="A16052" s="27" t="s">
        <v>231</v>
      </c>
      <c r="B16052" s="27" t="s">
        <v>363</v>
      </c>
      <c r="C16052" s="28">
        <v>0.46150000000000002</v>
      </c>
      <c r="D16052" s="28">
        <v>0.53849999999999998</v>
      </c>
      <c r="E16052" s="29"/>
      <c r="F16052" s="29"/>
      <c r="G16052" s="29"/>
      <c r="H16052" s="29"/>
      <c r="I16052" s="29" t="s">
        <v>357</v>
      </c>
    </row>
    <row r="16053" spans="1:9" x14ac:dyDescent="0.35">
      <c r="A16053" t="s">
        <v>232</v>
      </c>
      <c r="B16053" t="s">
        <v>232</v>
      </c>
      <c r="C16053" s="26">
        <v>0.52880000000000005</v>
      </c>
      <c r="D16053" s="26">
        <v>0.46100000000000002</v>
      </c>
      <c r="E16053" s="26">
        <v>9.9000000000000008E-3</v>
      </c>
      <c r="F16053" s="26">
        <v>2.0000000000000001E-4</v>
      </c>
      <c r="G16053" s="26">
        <v>1E-4</v>
      </c>
      <c r="H16053" s="26">
        <v>0</v>
      </c>
      <c r="I16053">
        <v>2422</v>
      </c>
    </row>
    <row r="16055" spans="1:9" x14ac:dyDescent="0.35">
      <c r="A16055" s="1" t="s">
        <v>1692</v>
      </c>
    </row>
    <row r="16056" spans="1:9" x14ac:dyDescent="0.35">
      <c r="A16056" t="s">
        <v>219</v>
      </c>
      <c r="B16056" t="s">
        <v>305</v>
      </c>
      <c r="C16056" t="s">
        <v>1684</v>
      </c>
      <c r="D16056" t="s">
        <v>1685</v>
      </c>
      <c r="E16056" t="s">
        <v>1686</v>
      </c>
      <c r="F16056" t="s">
        <v>1687</v>
      </c>
      <c r="G16056" t="s">
        <v>286</v>
      </c>
      <c r="H16056" t="s">
        <v>281</v>
      </c>
      <c r="I16056" t="s">
        <v>226</v>
      </c>
    </row>
    <row r="16057" spans="1:9" x14ac:dyDescent="0.35">
      <c r="A16057" t="s">
        <v>227</v>
      </c>
      <c r="B16057" t="s">
        <v>267</v>
      </c>
      <c r="C16057" s="26">
        <v>0.29409999999999997</v>
      </c>
      <c r="D16057" s="26">
        <v>0.70589999999999997</v>
      </c>
      <c r="I16057">
        <v>34</v>
      </c>
    </row>
    <row r="16058" spans="1:9" x14ac:dyDescent="0.35">
      <c r="A16058" t="s">
        <v>227</v>
      </c>
      <c r="B16058" t="s">
        <v>266</v>
      </c>
      <c r="C16058" s="26">
        <v>0.4909</v>
      </c>
      <c r="D16058" s="26">
        <v>0.4909</v>
      </c>
      <c r="E16058" s="26">
        <v>1.8200000000000001E-2</v>
      </c>
      <c r="I16058">
        <v>55</v>
      </c>
    </row>
    <row r="16059" spans="1:9" x14ac:dyDescent="0.35">
      <c r="A16059" t="s">
        <v>227</v>
      </c>
      <c r="B16059" t="s">
        <v>265</v>
      </c>
      <c r="C16059" s="26">
        <v>0.33850000000000002</v>
      </c>
      <c r="D16059" s="26">
        <v>0.66149999999999998</v>
      </c>
      <c r="I16059">
        <v>65</v>
      </c>
    </row>
    <row r="16060" spans="1:9" x14ac:dyDescent="0.35">
      <c r="A16060" t="s">
        <v>228</v>
      </c>
      <c r="B16060" t="s">
        <v>267</v>
      </c>
      <c r="C16060" s="26">
        <v>0.61260000000000003</v>
      </c>
      <c r="D16060" s="26">
        <v>0.3841</v>
      </c>
      <c r="E16060" s="26">
        <v>3.3E-3</v>
      </c>
      <c r="I16060">
        <v>197</v>
      </c>
    </row>
    <row r="16061" spans="1:9" x14ac:dyDescent="0.35">
      <c r="A16061" t="s">
        <v>228</v>
      </c>
      <c r="B16061" t="s">
        <v>265</v>
      </c>
      <c r="C16061" s="26">
        <v>0.57150000000000001</v>
      </c>
      <c r="D16061" s="26">
        <v>0.42759999999999998</v>
      </c>
      <c r="E16061" s="26">
        <v>8.9999999999999998E-4</v>
      </c>
      <c r="I16061">
        <v>374</v>
      </c>
    </row>
    <row r="16062" spans="1:9" x14ac:dyDescent="0.35">
      <c r="A16062" s="27" t="s">
        <v>228</v>
      </c>
      <c r="B16062" s="27" t="s">
        <v>236</v>
      </c>
      <c r="C16062" s="28">
        <v>0.5</v>
      </c>
      <c r="D16062" s="28">
        <v>0.5</v>
      </c>
      <c r="E16062" s="29"/>
      <c r="F16062" s="29"/>
      <c r="G16062" s="29"/>
      <c r="H16062" s="29"/>
      <c r="I16062" s="29" t="s">
        <v>314</v>
      </c>
    </row>
    <row r="16063" spans="1:9" x14ac:dyDescent="0.35">
      <c r="A16063" t="s">
        <v>228</v>
      </c>
      <c r="B16063" t="s">
        <v>266</v>
      </c>
      <c r="C16063" s="26">
        <v>0.65110000000000001</v>
      </c>
      <c r="D16063" s="26">
        <v>0.34329999999999999</v>
      </c>
      <c r="E16063" s="26">
        <v>1.1999999999999999E-3</v>
      </c>
      <c r="F16063" s="26">
        <v>3.0000000000000001E-3</v>
      </c>
      <c r="G16063" s="26">
        <v>1.4E-3</v>
      </c>
      <c r="I16063">
        <v>435</v>
      </c>
    </row>
    <row r="16064" spans="1:9" x14ac:dyDescent="0.35">
      <c r="A16064" t="s">
        <v>229</v>
      </c>
      <c r="B16064" t="s">
        <v>266</v>
      </c>
      <c r="C16064" s="26">
        <v>0.60750000000000004</v>
      </c>
      <c r="D16064" s="26">
        <v>0.376</v>
      </c>
      <c r="E16064" s="26">
        <v>1.6400000000000001E-2</v>
      </c>
      <c r="I16064">
        <v>356</v>
      </c>
    </row>
    <row r="16065" spans="1:9" x14ac:dyDescent="0.35">
      <c r="A16065" t="s">
        <v>229</v>
      </c>
      <c r="B16065" t="s">
        <v>267</v>
      </c>
      <c r="C16065" s="26">
        <v>0.59340000000000004</v>
      </c>
      <c r="D16065" s="26">
        <v>0.40660000000000002</v>
      </c>
      <c r="I16065">
        <v>200</v>
      </c>
    </row>
    <row r="16066" spans="1:9" x14ac:dyDescent="0.35">
      <c r="A16066" t="s">
        <v>229</v>
      </c>
      <c r="B16066" t="s">
        <v>265</v>
      </c>
      <c r="C16066" s="26">
        <v>0.62029999999999996</v>
      </c>
      <c r="D16066" s="26">
        <v>0.35959999999999998</v>
      </c>
      <c r="E16066" s="26">
        <v>2.01E-2</v>
      </c>
      <c r="I16066">
        <v>329</v>
      </c>
    </row>
    <row r="16067" spans="1:9" x14ac:dyDescent="0.35">
      <c r="A16067" t="s">
        <v>230</v>
      </c>
      <c r="B16067" t="s">
        <v>267</v>
      </c>
      <c r="C16067" s="26">
        <v>0.56740000000000002</v>
      </c>
      <c r="D16067" s="26">
        <v>0.42720000000000002</v>
      </c>
      <c r="E16067" s="26">
        <v>4.1000000000000003E-3</v>
      </c>
      <c r="H16067" s="26">
        <v>1.1999999999999999E-3</v>
      </c>
      <c r="I16067">
        <v>118</v>
      </c>
    </row>
    <row r="16068" spans="1:9" x14ac:dyDescent="0.35">
      <c r="A16068" t="s">
        <v>230</v>
      </c>
      <c r="B16068" t="s">
        <v>266</v>
      </c>
      <c r="C16068" s="26">
        <v>0.48620000000000002</v>
      </c>
      <c r="D16068" s="26">
        <v>0.49719999999999998</v>
      </c>
      <c r="E16068" s="26">
        <v>1.6500000000000001E-2</v>
      </c>
      <c r="I16068">
        <v>224</v>
      </c>
    </row>
    <row r="16069" spans="1:9" x14ac:dyDescent="0.35">
      <c r="A16069" t="s">
        <v>230</v>
      </c>
      <c r="B16069" t="s">
        <v>265</v>
      </c>
      <c r="C16069" s="26">
        <v>0.4481</v>
      </c>
      <c r="D16069" s="26">
        <v>0.54530000000000001</v>
      </c>
      <c r="E16069" s="26">
        <v>6.6E-3</v>
      </c>
      <c r="I16069">
        <v>206</v>
      </c>
    </row>
    <row r="16070" spans="1:9" x14ac:dyDescent="0.35">
      <c r="A16070" t="s">
        <v>231</v>
      </c>
      <c r="B16070" t="s">
        <v>267</v>
      </c>
      <c r="C16070" s="26">
        <v>0.43330000000000002</v>
      </c>
      <c r="D16070" s="26">
        <v>0.5</v>
      </c>
      <c r="E16070" s="26">
        <v>6.6699999999999995E-2</v>
      </c>
      <c r="I16070">
        <v>30</v>
      </c>
    </row>
    <row r="16071" spans="1:9" x14ac:dyDescent="0.35">
      <c r="A16071" t="s">
        <v>231</v>
      </c>
      <c r="B16071" t="s">
        <v>266</v>
      </c>
      <c r="C16071" s="26">
        <v>0.58330000000000004</v>
      </c>
      <c r="D16071" s="26">
        <v>0.41670000000000001</v>
      </c>
      <c r="I16071">
        <v>60</v>
      </c>
    </row>
    <row r="16072" spans="1:9" x14ac:dyDescent="0.35">
      <c r="A16072" t="s">
        <v>231</v>
      </c>
      <c r="B16072" t="s">
        <v>265</v>
      </c>
      <c r="C16072" s="26">
        <v>0.39679999999999999</v>
      </c>
      <c r="D16072" s="26">
        <v>0.60319999999999996</v>
      </c>
      <c r="I16072">
        <v>63</v>
      </c>
    </row>
    <row r="16073" spans="1:9" x14ac:dyDescent="0.35">
      <c r="A16073" t="s">
        <v>232</v>
      </c>
      <c r="B16073" t="s">
        <v>232</v>
      </c>
      <c r="C16073" s="26">
        <v>0.52880000000000005</v>
      </c>
      <c r="D16073" s="26">
        <v>0.46100000000000002</v>
      </c>
      <c r="E16073" s="26">
        <v>9.9000000000000008E-3</v>
      </c>
      <c r="F16073" s="26">
        <v>2.0000000000000001E-4</v>
      </c>
      <c r="G16073" s="26">
        <v>1E-4</v>
      </c>
      <c r="H16073" s="26">
        <v>0</v>
      </c>
      <c r="I16073">
        <v>2748</v>
      </c>
    </row>
    <row r="16075" spans="1:9" x14ac:dyDescent="0.35">
      <c r="A16075" s="1" t="s">
        <v>1693</v>
      </c>
    </row>
    <row r="16076" spans="1:9" x14ac:dyDescent="0.35">
      <c r="A16076" t="s">
        <v>219</v>
      </c>
      <c r="B16076" t="s">
        <v>305</v>
      </c>
      <c r="C16076" t="s">
        <v>1684</v>
      </c>
      <c r="D16076" t="s">
        <v>1685</v>
      </c>
      <c r="E16076" t="s">
        <v>1686</v>
      </c>
      <c r="F16076" t="s">
        <v>1687</v>
      </c>
      <c r="G16076" t="s">
        <v>286</v>
      </c>
      <c r="H16076" t="s">
        <v>281</v>
      </c>
      <c r="I16076" t="s">
        <v>226</v>
      </c>
    </row>
    <row r="16077" spans="1:9" x14ac:dyDescent="0.35">
      <c r="A16077" t="s">
        <v>227</v>
      </c>
      <c r="B16077" t="s">
        <v>252</v>
      </c>
      <c r="C16077" s="26">
        <v>0.27910000000000001</v>
      </c>
      <c r="D16077" s="26">
        <v>0.72089999999999999</v>
      </c>
      <c r="I16077">
        <v>43</v>
      </c>
    </row>
    <row r="16078" spans="1:9" x14ac:dyDescent="0.35">
      <c r="A16078" t="s">
        <v>227</v>
      </c>
      <c r="B16078" t="s">
        <v>253</v>
      </c>
      <c r="C16078" s="26">
        <v>0.3125</v>
      </c>
      <c r="D16078" s="26">
        <v>0.6875</v>
      </c>
      <c r="I16078">
        <v>32</v>
      </c>
    </row>
    <row r="16079" spans="1:9" x14ac:dyDescent="0.35">
      <c r="A16079" t="s">
        <v>227</v>
      </c>
      <c r="B16079" t="s">
        <v>251</v>
      </c>
      <c r="C16079" s="26">
        <v>0.46839999999999998</v>
      </c>
      <c r="D16079" s="26">
        <v>0.51900000000000002</v>
      </c>
      <c r="E16079" s="26">
        <v>1.2699999999999999E-2</v>
      </c>
      <c r="I16079">
        <v>79</v>
      </c>
    </row>
    <row r="16080" spans="1:9" x14ac:dyDescent="0.35">
      <c r="A16080" t="s">
        <v>228</v>
      </c>
      <c r="B16080" t="s">
        <v>252</v>
      </c>
      <c r="C16080" s="26">
        <v>0.65439999999999998</v>
      </c>
      <c r="D16080" s="26">
        <v>0.3448</v>
      </c>
      <c r="E16080" s="26">
        <v>8.0000000000000004E-4</v>
      </c>
      <c r="I16080">
        <v>333</v>
      </c>
    </row>
    <row r="16081" spans="1:9" x14ac:dyDescent="0.35">
      <c r="A16081" t="s">
        <v>228</v>
      </c>
      <c r="B16081" t="s">
        <v>253</v>
      </c>
      <c r="C16081" s="26">
        <v>0.51419999999999999</v>
      </c>
      <c r="D16081" s="26">
        <v>0.48399999999999999</v>
      </c>
      <c r="E16081" s="26">
        <v>1.8E-3</v>
      </c>
      <c r="I16081">
        <v>218</v>
      </c>
    </row>
    <row r="16082" spans="1:9" x14ac:dyDescent="0.35">
      <c r="A16082" t="s">
        <v>228</v>
      </c>
      <c r="B16082" t="s">
        <v>251</v>
      </c>
      <c r="C16082" s="26">
        <v>0.623</v>
      </c>
      <c r="D16082" s="26">
        <v>0.3715</v>
      </c>
      <c r="E16082" s="26">
        <v>1.6999999999999999E-3</v>
      </c>
      <c r="F16082" s="26">
        <v>2.5000000000000001E-3</v>
      </c>
      <c r="G16082" s="26">
        <v>1.1999999999999999E-3</v>
      </c>
      <c r="I16082">
        <v>457</v>
      </c>
    </row>
    <row r="16083" spans="1:9" x14ac:dyDescent="0.35">
      <c r="A16083" t="s">
        <v>229</v>
      </c>
      <c r="B16083" t="s">
        <v>252</v>
      </c>
      <c r="C16083" s="26">
        <v>0.52629999999999999</v>
      </c>
      <c r="D16083" s="26">
        <v>0.47220000000000001</v>
      </c>
      <c r="E16083" s="26">
        <v>1.5E-3</v>
      </c>
      <c r="I16083">
        <v>196</v>
      </c>
    </row>
    <row r="16084" spans="1:9" x14ac:dyDescent="0.35">
      <c r="A16084" t="s">
        <v>229</v>
      </c>
      <c r="B16084" t="s">
        <v>253</v>
      </c>
      <c r="C16084" s="26">
        <v>0.44819999999999999</v>
      </c>
      <c r="D16084" s="26">
        <v>0.5383</v>
      </c>
      <c r="E16084" s="26">
        <v>1.35E-2</v>
      </c>
      <c r="I16084">
        <v>143</v>
      </c>
    </row>
    <row r="16085" spans="1:9" x14ac:dyDescent="0.35">
      <c r="A16085" t="s">
        <v>229</v>
      </c>
      <c r="B16085" t="s">
        <v>251</v>
      </c>
      <c r="C16085" s="26">
        <v>0.69430000000000003</v>
      </c>
      <c r="D16085" s="26">
        <v>0.28599999999999998</v>
      </c>
      <c r="E16085" s="26">
        <v>1.9699999999999999E-2</v>
      </c>
      <c r="I16085">
        <v>546</v>
      </c>
    </row>
    <row r="16086" spans="1:9" x14ac:dyDescent="0.35">
      <c r="A16086" t="s">
        <v>230</v>
      </c>
      <c r="B16086" t="s">
        <v>252</v>
      </c>
      <c r="C16086" s="26">
        <v>0.46060000000000001</v>
      </c>
      <c r="D16086" s="26">
        <v>0.51500000000000001</v>
      </c>
      <c r="E16086" s="26">
        <v>2.3300000000000001E-2</v>
      </c>
      <c r="H16086" s="26">
        <v>1.1000000000000001E-3</v>
      </c>
      <c r="I16086">
        <v>153</v>
      </c>
    </row>
    <row r="16087" spans="1:9" x14ac:dyDescent="0.35">
      <c r="A16087" t="s">
        <v>230</v>
      </c>
      <c r="B16087" t="s">
        <v>253</v>
      </c>
      <c r="C16087" s="26">
        <v>0.40589999999999998</v>
      </c>
      <c r="D16087" s="26">
        <v>0.58930000000000005</v>
      </c>
      <c r="E16087" s="26">
        <v>4.7999999999999996E-3</v>
      </c>
      <c r="I16087">
        <v>110</v>
      </c>
    </row>
    <row r="16088" spans="1:9" x14ac:dyDescent="0.35">
      <c r="A16088" t="s">
        <v>230</v>
      </c>
      <c r="B16088" t="s">
        <v>251</v>
      </c>
      <c r="C16088" s="26">
        <v>0.52959999999999996</v>
      </c>
      <c r="D16088" s="26">
        <v>0.46539999999999998</v>
      </c>
      <c r="E16088" s="26">
        <v>5.0000000000000001E-3</v>
      </c>
      <c r="I16088">
        <v>285</v>
      </c>
    </row>
    <row r="16089" spans="1:9" x14ac:dyDescent="0.35">
      <c r="A16089" t="s">
        <v>231</v>
      </c>
      <c r="B16089" t="s">
        <v>252</v>
      </c>
      <c r="C16089" s="26">
        <v>0.43180000000000002</v>
      </c>
      <c r="D16089" s="26">
        <v>0.54549999999999998</v>
      </c>
      <c r="E16089" s="26">
        <v>2.2700000000000001E-2</v>
      </c>
      <c r="I16089">
        <v>44</v>
      </c>
    </row>
    <row r="16090" spans="1:9" x14ac:dyDescent="0.35">
      <c r="A16090" s="27" t="s">
        <v>231</v>
      </c>
      <c r="B16090" s="27" t="s">
        <v>253</v>
      </c>
      <c r="C16090" s="28">
        <v>0.3448</v>
      </c>
      <c r="D16090" s="28">
        <v>0.6552</v>
      </c>
      <c r="E16090" s="29"/>
      <c r="F16090" s="29"/>
      <c r="G16090" s="29"/>
      <c r="H16090" s="29"/>
      <c r="I16090" s="29" t="s">
        <v>329</v>
      </c>
    </row>
    <row r="16091" spans="1:9" x14ac:dyDescent="0.35">
      <c r="A16091" t="s">
        <v>231</v>
      </c>
      <c r="B16091" t="s">
        <v>251</v>
      </c>
      <c r="C16091" s="26">
        <v>0.55000000000000004</v>
      </c>
      <c r="D16091" s="26">
        <v>0.4375</v>
      </c>
      <c r="E16091" s="26">
        <v>1.2500000000000001E-2</v>
      </c>
      <c r="I16091">
        <v>80</v>
      </c>
    </row>
    <row r="16092" spans="1:9" x14ac:dyDescent="0.35">
      <c r="A16092" t="s">
        <v>232</v>
      </c>
      <c r="B16092" t="s">
        <v>232</v>
      </c>
      <c r="C16092" s="26">
        <v>0.52880000000000005</v>
      </c>
      <c r="D16092" s="26">
        <v>0.46100000000000002</v>
      </c>
      <c r="E16092" s="26">
        <v>9.9000000000000008E-3</v>
      </c>
      <c r="F16092" s="26">
        <v>2.0000000000000001E-4</v>
      </c>
      <c r="G16092" s="26">
        <v>1E-4</v>
      </c>
      <c r="H16092" s="26">
        <v>0</v>
      </c>
      <c r="I16092">
        <v>2748</v>
      </c>
    </row>
    <row r="16094" spans="1:9" x14ac:dyDescent="0.35">
      <c r="A16094" s="1" t="s">
        <v>1694</v>
      </c>
    </row>
    <row r="16095" spans="1:9" x14ac:dyDescent="0.35">
      <c r="A16095" t="s">
        <v>219</v>
      </c>
      <c r="B16095" t="s">
        <v>305</v>
      </c>
      <c r="C16095" t="s">
        <v>1684</v>
      </c>
      <c r="D16095" t="s">
        <v>1685</v>
      </c>
      <c r="E16095" t="s">
        <v>1686</v>
      </c>
      <c r="F16095" t="s">
        <v>1687</v>
      </c>
      <c r="G16095" t="s">
        <v>286</v>
      </c>
      <c r="H16095" t="s">
        <v>281</v>
      </c>
      <c r="I16095" t="s">
        <v>226</v>
      </c>
    </row>
    <row r="16096" spans="1:9" x14ac:dyDescent="0.35">
      <c r="A16096" t="s">
        <v>227</v>
      </c>
      <c r="B16096" t="s">
        <v>249</v>
      </c>
      <c r="C16096" s="26">
        <v>0.39529999999999998</v>
      </c>
      <c r="D16096" s="26">
        <v>0.58140000000000003</v>
      </c>
      <c r="E16096" s="26">
        <v>2.3300000000000001E-2</v>
      </c>
      <c r="I16096">
        <v>43</v>
      </c>
    </row>
    <row r="16097" spans="1:9" x14ac:dyDescent="0.35">
      <c r="A16097" t="s">
        <v>227</v>
      </c>
      <c r="B16097" t="s">
        <v>248</v>
      </c>
      <c r="C16097" s="26">
        <v>0.37840000000000001</v>
      </c>
      <c r="D16097" s="26">
        <v>0.62160000000000004</v>
      </c>
      <c r="I16097">
        <v>111</v>
      </c>
    </row>
    <row r="16098" spans="1:9" x14ac:dyDescent="0.35">
      <c r="A16098" t="s">
        <v>228</v>
      </c>
      <c r="B16098" t="s">
        <v>249</v>
      </c>
      <c r="C16098" s="26">
        <v>0.5655</v>
      </c>
      <c r="D16098" s="26">
        <v>0.4345</v>
      </c>
      <c r="I16098">
        <v>266</v>
      </c>
    </row>
    <row r="16099" spans="1:9" x14ac:dyDescent="0.35">
      <c r="A16099" t="s">
        <v>228</v>
      </c>
      <c r="B16099" t="s">
        <v>248</v>
      </c>
      <c r="C16099" s="26">
        <v>0.62919999999999998</v>
      </c>
      <c r="D16099" s="26">
        <v>0.36620000000000003</v>
      </c>
      <c r="E16099" s="26">
        <v>2E-3</v>
      </c>
      <c r="F16099" s="26">
        <v>1.6999999999999999E-3</v>
      </c>
      <c r="G16099" s="26">
        <v>8.0000000000000004E-4</v>
      </c>
      <c r="I16099">
        <v>742</v>
      </c>
    </row>
    <row r="16100" spans="1:9" x14ac:dyDescent="0.35">
      <c r="A16100" t="s">
        <v>229</v>
      </c>
      <c r="B16100" t="s">
        <v>249</v>
      </c>
      <c r="C16100" s="26">
        <v>0.64659999999999995</v>
      </c>
      <c r="D16100" s="26">
        <v>0.33479999999999999</v>
      </c>
      <c r="E16100" s="26">
        <v>1.8599999999999998E-2</v>
      </c>
      <c r="I16100">
        <v>257</v>
      </c>
    </row>
    <row r="16101" spans="1:9" x14ac:dyDescent="0.35">
      <c r="A16101" t="s">
        <v>229</v>
      </c>
      <c r="B16101" t="s">
        <v>248</v>
      </c>
      <c r="C16101" s="26">
        <v>0.59230000000000005</v>
      </c>
      <c r="D16101" s="26">
        <v>0.39529999999999998</v>
      </c>
      <c r="E16101" s="26">
        <v>1.24E-2</v>
      </c>
      <c r="I16101">
        <v>628</v>
      </c>
    </row>
    <row r="16102" spans="1:9" x14ac:dyDescent="0.35">
      <c r="A16102" t="s">
        <v>230</v>
      </c>
      <c r="B16102" t="s">
        <v>249</v>
      </c>
      <c r="C16102" s="26">
        <v>0.44059999999999999</v>
      </c>
      <c r="D16102" s="26">
        <v>0.55389999999999995</v>
      </c>
      <c r="E16102" s="26">
        <v>5.4999999999999997E-3</v>
      </c>
      <c r="I16102">
        <v>167</v>
      </c>
    </row>
    <row r="16103" spans="1:9" x14ac:dyDescent="0.35">
      <c r="A16103" t="s">
        <v>230</v>
      </c>
      <c r="B16103" t="s">
        <v>248</v>
      </c>
      <c r="C16103" s="26">
        <v>0.51280000000000003</v>
      </c>
      <c r="D16103" s="26">
        <v>0.4753</v>
      </c>
      <c r="E16103" s="26">
        <v>1.1599999999999999E-2</v>
      </c>
      <c r="H16103" s="26">
        <v>4.0000000000000002E-4</v>
      </c>
      <c r="I16103">
        <v>381</v>
      </c>
    </row>
    <row r="16104" spans="1:9" x14ac:dyDescent="0.35">
      <c r="A16104" t="s">
        <v>231</v>
      </c>
      <c r="B16104" t="s">
        <v>249</v>
      </c>
      <c r="C16104" s="26">
        <v>0.45450000000000002</v>
      </c>
      <c r="D16104" s="26">
        <v>0.54549999999999998</v>
      </c>
      <c r="I16104">
        <v>33</v>
      </c>
    </row>
    <row r="16105" spans="1:9" x14ac:dyDescent="0.35">
      <c r="A16105" t="s">
        <v>231</v>
      </c>
      <c r="B16105" t="s">
        <v>248</v>
      </c>
      <c r="C16105" s="26">
        <v>0.48330000000000001</v>
      </c>
      <c r="D16105" s="26">
        <v>0.5</v>
      </c>
      <c r="E16105" s="26">
        <v>1.67E-2</v>
      </c>
      <c r="I16105">
        <v>120</v>
      </c>
    </row>
    <row r="16106" spans="1:9" x14ac:dyDescent="0.35">
      <c r="A16106" t="s">
        <v>232</v>
      </c>
      <c r="B16106" t="s">
        <v>232</v>
      </c>
      <c r="C16106" s="26">
        <v>0.52880000000000005</v>
      </c>
      <c r="D16106" s="26">
        <v>0.46100000000000002</v>
      </c>
      <c r="E16106" s="26">
        <v>9.9000000000000008E-3</v>
      </c>
      <c r="F16106" s="26">
        <v>2.0000000000000001E-4</v>
      </c>
      <c r="G16106" s="26">
        <v>1E-4</v>
      </c>
      <c r="H16106" s="26">
        <v>0</v>
      </c>
      <c r="I16106">
        <v>2748</v>
      </c>
    </row>
    <row r="16108" spans="1:9" x14ac:dyDescent="0.35">
      <c r="A16108" s="1" t="s">
        <v>1695</v>
      </c>
    </row>
    <row r="16109" spans="1:9" x14ac:dyDescent="0.35">
      <c r="A16109" t="s">
        <v>219</v>
      </c>
      <c r="B16109" t="s">
        <v>305</v>
      </c>
      <c r="C16109" t="s">
        <v>1684</v>
      </c>
      <c r="D16109" t="s">
        <v>1685</v>
      </c>
      <c r="E16109" t="s">
        <v>1686</v>
      </c>
      <c r="F16109" t="s">
        <v>1687</v>
      </c>
      <c r="G16109" t="s">
        <v>286</v>
      </c>
      <c r="H16109" t="s">
        <v>281</v>
      </c>
      <c r="I16109" t="s">
        <v>226</v>
      </c>
    </row>
    <row r="16110" spans="1:9" x14ac:dyDescent="0.35">
      <c r="A16110" s="27" t="s">
        <v>227</v>
      </c>
      <c r="B16110" s="27" t="s">
        <v>263</v>
      </c>
      <c r="C16110" s="28">
        <v>0.66669999999999996</v>
      </c>
      <c r="D16110" s="28">
        <v>0.33329999999999999</v>
      </c>
      <c r="E16110" s="29"/>
      <c r="F16110" s="29"/>
      <c r="G16110" s="29"/>
      <c r="H16110" s="29"/>
      <c r="I16110" s="29" t="s">
        <v>315</v>
      </c>
    </row>
    <row r="16111" spans="1:9" x14ac:dyDescent="0.35">
      <c r="A16111" s="27" t="s">
        <v>227</v>
      </c>
      <c r="B16111" s="27" t="s">
        <v>261</v>
      </c>
      <c r="C16111" s="28">
        <v>0.30769999999999997</v>
      </c>
      <c r="D16111" s="28">
        <v>0.69230000000000003</v>
      </c>
      <c r="E16111" s="29"/>
      <c r="F16111" s="29"/>
      <c r="G16111" s="29"/>
      <c r="H16111" s="29"/>
      <c r="I16111" s="29" t="s">
        <v>357</v>
      </c>
    </row>
    <row r="16112" spans="1:9" x14ac:dyDescent="0.35">
      <c r="A16112" s="27" t="s">
        <v>227</v>
      </c>
      <c r="B16112" s="27" t="s">
        <v>262</v>
      </c>
      <c r="C16112" s="28">
        <v>1</v>
      </c>
      <c r="D16112" s="29"/>
      <c r="E16112" s="29"/>
      <c r="F16112" s="29"/>
      <c r="G16112" s="29"/>
      <c r="H16112" s="29"/>
      <c r="I16112" s="29" t="s">
        <v>315</v>
      </c>
    </row>
    <row r="16113" spans="1:9" x14ac:dyDescent="0.35">
      <c r="A16113" t="s">
        <v>227</v>
      </c>
      <c r="B16113" t="s">
        <v>260</v>
      </c>
      <c r="C16113" s="26">
        <v>0.377</v>
      </c>
      <c r="D16113" s="26">
        <v>0.61480000000000001</v>
      </c>
      <c r="E16113" s="26">
        <v>8.2000000000000007E-3</v>
      </c>
      <c r="I16113">
        <v>122</v>
      </c>
    </row>
    <row r="16114" spans="1:9" x14ac:dyDescent="0.35">
      <c r="A16114" t="s">
        <v>228</v>
      </c>
      <c r="B16114" t="s">
        <v>261</v>
      </c>
      <c r="C16114" s="26">
        <v>0.61570000000000003</v>
      </c>
      <c r="D16114" s="26">
        <v>0.37590000000000001</v>
      </c>
      <c r="E16114" s="26">
        <v>1.4E-3</v>
      </c>
      <c r="F16114" s="26">
        <v>6.8999999999999999E-3</v>
      </c>
      <c r="I16114">
        <v>172</v>
      </c>
    </row>
    <row r="16115" spans="1:9" x14ac:dyDescent="0.35">
      <c r="A16115" s="27" t="s">
        <v>228</v>
      </c>
      <c r="B16115" s="27" t="s">
        <v>263</v>
      </c>
      <c r="C16115" s="28">
        <v>0.58930000000000005</v>
      </c>
      <c r="D16115" s="28">
        <v>0.41070000000000001</v>
      </c>
      <c r="E16115" s="29"/>
      <c r="F16115" s="29"/>
      <c r="G16115" s="29"/>
      <c r="H16115" s="29"/>
      <c r="I16115" s="29" t="s">
        <v>312</v>
      </c>
    </row>
    <row r="16116" spans="1:9" x14ac:dyDescent="0.35">
      <c r="A16116" s="27" t="s">
        <v>228</v>
      </c>
      <c r="B16116" s="27" t="s">
        <v>236</v>
      </c>
      <c r="C16116" s="28">
        <v>0.85560000000000003</v>
      </c>
      <c r="D16116" s="28">
        <v>0.1444</v>
      </c>
      <c r="E16116" s="29"/>
      <c r="F16116" s="29"/>
      <c r="G16116" s="29"/>
      <c r="H16116" s="29"/>
      <c r="I16116" s="29" t="s">
        <v>335</v>
      </c>
    </row>
    <row r="16117" spans="1:9" x14ac:dyDescent="0.35">
      <c r="A16117" t="s">
        <v>228</v>
      </c>
      <c r="B16117" t="s">
        <v>262</v>
      </c>
      <c r="C16117" s="26">
        <v>0.67149999999999999</v>
      </c>
      <c r="D16117" s="26">
        <v>0.32369999999999999</v>
      </c>
      <c r="E16117" s="26">
        <v>4.7999999999999996E-3</v>
      </c>
      <c r="I16117">
        <v>197</v>
      </c>
    </row>
    <row r="16118" spans="1:9" x14ac:dyDescent="0.35">
      <c r="A16118" t="s">
        <v>228</v>
      </c>
      <c r="B16118" t="s">
        <v>260</v>
      </c>
      <c r="C16118" s="26">
        <v>0.59040000000000004</v>
      </c>
      <c r="D16118" s="26">
        <v>0.40820000000000001</v>
      </c>
      <c r="E16118" s="26">
        <v>5.9999999999999995E-4</v>
      </c>
      <c r="G16118" s="26">
        <v>8.9999999999999998E-4</v>
      </c>
      <c r="I16118">
        <v>608</v>
      </c>
    </row>
    <row r="16119" spans="1:9" x14ac:dyDescent="0.35">
      <c r="A16119" s="27" t="s">
        <v>229</v>
      </c>
      <c r="B16119" s="27" t="s">
        <v>263</v>
      </c>
      <c r="C16119" s="28">
        <v>0.46710000000000002</v>
      </c>
      <c r="D16119" s="28">
        <v>0.4027</v>
      </c>
      <c r="E16119" s="28">
        <v>0.13009999999999999</v>
      </c>
      <c r="F16119" s="29"/>
      <c r="G16119" s="29"/>
      <c r="H16119" s="29"/>
      <c r="I16119" s="29" t="s">
        <v>379</v>
      </c>
    </row>
    <row r="16120" spans="1:9" x14ac:dyDescent="0.35">
      <c r="A16120" t="s">
        <v>229</v>
      </c>
      <c r="B16120" t="s">
        <v>262</v>
      </c>
      <c r="C16120" s="26">
        <v>0.75649999999999995</v>
      </c>
      <c r="D16120" s="26">
        <v>0.24229999999999999</v>
      </c>
      <c r="E16120" s="26">
        <v>1.1999999999999999E-3</v>
      </c>
      <c r="I16120">
        <v>186</v>
      </c>
    </row>
    <row r="16121" spans="1:9" x14ac:dyDescent="0.35">
      <c r="A16121" t="s">
        <v>229</v>
      </c>
      <c r="B16121" t="s">
        <v>261</v>
      </c>
      <c r="C16121" s="26">
        <v>0.6865</v>
      </c>
      <c r="D16121" s="26">
        <v>0.2903</v>
      </c>
      <c r="E16121" s="26">
        <v>2.3199999999999998E-2</v>
      </c>
      <c r="I16121">
        <v>90</v>
      </c>
    </row>
    <row r="16122" spans="1:9" x14ac:dyDescent="0.35">
      <c r="A16122" s="27" t="s">
        <v>229</v>
      </c>
      <c r="B16122" s="27" t="s">
        <v>236</v>
      </c>
      <c r="C16122" s="28">
        <v>1</v>
      </c>
      <c r="D16122" s="29"/>
      <c r="E16122" s="29"/>
      <c r="F16122" s="29"/>
      <c r="G16122" s="29"/>
      <c r="H16122" s="29"/>
      <c r="I16122" s="29" t="s">
        <v>331</v>
      </c>
    </row>
    <row r="16123" spans="1:9" x14ac:dyDescent="0.35">
      <c r="A16123" t="s">
        <v>229</v>
      </c>
      <c r="B16123" t="s">
        <v>260</v>
      </c>
      <c r="C16123" s="26">
        <v>0.52290000000000003</v>
      </c>
      <c r="D16123" s="26">
        <v>0.46229999999999999</v>
      </c>
      <c r="E16123" s="26">
        <v>1.4800000000000001E-2</v>
      </c>
      <c r="I16123">
        <v>594</v>
      </c>
    </row>
    <row r="16124" spans="1:9" x14ac:dyDescent="0.35">
      <c r="A16124" s="27" t="s">
        <v>230</v>
      </c>
      <c r="B16124" s="27" t="s">
        <v>236</v>
      </c>
      <c r="C16124" s="29"/>
      <c r="D16124" s="28">
        <v>1</v>
      </c>
      <c r="E16124" s="29"/>
      <c r="F16124" s="29"/>
      <c r="G16124" s="29"/>
      <c r="H16124" s="29"/>
      <c r="I16124" s="29" t="s">
        <v>337</v>
      </c>
    </row>
    <row r="16125" spans="1:9" x14ac:dyDescent="0.35">
      <c r="A16125" t="s">
        <v>230</v>
      </c>
      <c r="B16125" t="s">
        <v>262</v>
      </c>
      <c r="C16125" s="26">
        <v>0.59750000000000003</v>
      </c>
      <c r="D16125" s="26">
        <v>0.3881</v>
      </c>
      <c r="E16125" s="26">
        <v>1.44E-2</v>
      </c>
      <c r="I16125">
        <v>121</v>
      </c>
    </row>
    <row r="16126" spans="1:9" x14ac:dyDescent="0.35">
      <c r="A16126" t="s">
        <v>230</v>
      </c>
      <c r="B16126" t="s">
        <v>261</v>
      </c>
      <c r="C16126" s="26">
        <v>0.70179999999999998</v>
      </c>
      <c r="D16126" s="26">
        <v>0.29049999999999998</v>
      </c>
      <c r="E16126" s="26">
        <v>7.6E-3</v>
      </c>
      <c r="I16126">
        <v>49</v>
      </c>
    </row>
    <row r="16127" spans="1:9" x14ac:dyDescent="0.35">
      <c r="A16127" s="27" t="s">
        <v>230</v>
      </c>
      <c r="B16127" s="27" t="s">
        <v>263</v>
      </c>
      <c r="C16127" s="28">
        <v>0.43809999999999999</v>
      </c>
      <c r="D16127" s="28">
        <v>0.50749999999999995</v>
      </c>
      <c r="E16127" s="28">
        <v>5.4399999999999997E-2</v>
      </c>
      <c r="F16127" s="29"/>
      <c r="G16127" s="29"/>
      <c r="H16127" s="29"/>
      <c r="I16127" s="29" t="s">
        <v>312</v>
      </c>
    </row>
    <row r="16128" spans="1:9" x14ac:dyDescent="0.35">
      <c r="A16128" t="s">
        <v>230</v>
      </c>
      <c r="B16128" t="s">
        <v>260</v>
      </c>
      <c r="C16128" s="26">
        <v>0.43480000000000002</v>
      </c>
      <c r="D16128" s="26">
        <v>0.55700000000000005</v>
      </c>
      <c r="E16128" s="26">
        <v>7.7999999999999996E-3</v>
      </c>
      <c r="H16128" s="26">
        <v>4.0000000000000002E-4</v>
      </c>
      <c r="I16128">
        <v>349</v>
      </c>
    </row>
    <row r="16129" spans="1:9" x14ac:dyDescent="0.35">
      <c r="A16129" s="27" t="s">
        <v>231</v>
      </c>
      <c r="B16129" s="27" t="s">
        <v>263</v>
      </c>
      <c r="C16129" s="28">
        <v>0.5</v>
      </c>
      <c r="D16129" s="28">
        <v>0.5</v>
      </c>
      <c r="E16129" s="29"/>
      <c r="F16129" s="29"/>
      <c r="G16129" s="29"/>
      <c r="H16129" s="29"/>
      <c r="I16129" s="29" t="s">
        <v>314</v>
      </c>
    </row>
    <row r="16130" spans="1:9" x14ac:dyDescent="0.35">
      <c r="A16130" t="s">
        <v>231</v>
      </c>
      <c r="B16130" t="s">
        <v>260</v>
      </c>
      <c r="C16130" s="26">
        <v>0.4274</v>
      </c>
      <c r="D16130" s="26">
        <v>0.5645</v>
      </c>
      <c r="E16130" s="26">
        <v>8.0999999999999996E-3</v>
      </c>
      <c r="I16130">
        <v>124</v>
      </c>
    </row>
    <row r="16131" spans="1:9" x14ac:dyDescent="0.35">
      <c r="A16131" s="27" t="s">
        <v>231</v>
      </c>
      <c r="B16131" s="27" t="s">
        <v>261</v>
      </c>
      <c r="C16131" s="28">
        <v>0.77780000000000005</v>
      </c>
      <c r="D16131" s="28">
        <v>0.16669999999999999</v>
      </c>
      <c r="E16131" s="28">
        <v>5.5599999999999997E-2</v>
      </c>
      <c r="F16131" s="29"/>
      <c r="G16131" s="29"/>
      <c r="H16131" s="29"/>
      <c r="I16131" s="29" t="s">
        <v>353</v>
      </c>
    </row>
    <row r="16132" spans="1:9" x14ac:dyDescent="0.35">
      <c r="A16132" s="27" t="s">
        <v>231</v>
      </c>
      <c r="B16132" s="27" t="s">
        <v>262</v>
      </c>
      <c r="C16132" s="28">
        <v>0.55559999999999998</v>
      </c>
      <c r="D16132" s="28">
        <v>0.44440000000000002</v>
      </c>
      <c r="E16132" s="29"/>
      <c r="F16132" s="29"/>
      <c r="G16132" s="29"/>
      <c r="H16132" s="29"/>
      <c r="I16132" s="29" t="s">
        <v>334</v>
      </c>
    </row>
    <row r="16133" spans="1:9" x14ac:dyDescent="0.35">
      <c r="A16133" t="s">
        <v>232</v>
      </c>
      <c r="B16133" t="s">
        <v>232</v>
      </c>
      <c r="C16133" s="26">
        <v>0.52880000000000005</v>
      </c>
      <c r="D16133" s="26">
        <v>0.46100000000000002</v>
      </c>
      <c r="E16133" s="26">
        <v>9.9000000000000008E-3</v>
      </c>
      <c r="F16133" s="26">
        <v>2.0000000000000001E-4</v>
      </c>
      <c r="G16133" s="26">
        <v>1E-4</v>
      </c>
      <c r="H16133" s="26">
        <v>0</v>
      </c>
      <c r="I16133">
        <v>2748</v>
      </c>
    </row>
    <row r="16135" spans="1:9" x14ac:dyDescent="0.35">
      <c r="A16135" s="1" t="s">
        <v>1696</v>
      </c>
    </row>
    <row r="16136" spans="1:9" x14ac:dyDescent="0.35">
      <c r="A16136" t="s">
        <v>219</v>
      </c>
      <c r="B16136" t="s">
        <v>305</v>
      </c>
      <c r="C16136" t="s">
        <v>1684</v>
      </c>
      <c r="D16136" t="s">
        <v>1685</v>
      </c>
      <c r="E16136" t="s">
        <v>1686</v>
      </c>
      <c r="F16136" t="s">
        <v>1687</v>
      </c>
      <c r="G16136" t="s">
        <v>286</v>
      </c>
      <c r="H16136" t="s">
        <v>281</v>
      </c>
      <c r="I16136" t="s">
        <v>226</v>
      </c>
    </row>
    <row r="16137" spans="1:9" x14ac:dyDescent="0.35">
      <c r="A16137" s="27" t="s">
        <v>227</v>
      </c>
      <c r="B16137" s="27" t="s">
        <v>368</v>
      </c>
      <c r="C16137" s="28">
        <v>0.30769999999999997</v>
      </c>
      <c r="D16137" s="28">
        <v>0.69230000000000003</v>
      </c>
      <c r="E16137" s="29"/>
      <c r="F16137" s="29"/>
      <c r="G16137" s="29"/>
      <c r="H16137" s="29"/>
      <c r="I16137" s="29" t="s">
        <v>357</v>
      </c>
    </row>
    <row r="16138" spans="1:9" x14ac:dyDescent="0.35">
      <c r="A16138" t="s">
        <v>227</v>
      </c>
      <c r="B16138" t="s">
        <v>369</v>
      </c>
      <c r="C16138" s="26">
        <v>0.39839999999999998</v>
      </c>
      <c r="D16138" s="26">
        <v>0.59379999999999999</v>
      </c>
      <c r="E16138" s="26">
        <v>7.7999999999999996E-3</v>
      </c>
      <c r="I16138">
        <v>128</v>
      </c>
    </row>
    <row r="16139" spans="1:9" x14ac:dyDescent="0.35">
      <c r="A16139" t="s">
        <v>228</v>
      </c>
      <c r="B16139" t="s">
        <v>368</v>
      </c>
      <c r="C16139" s="26">
        <v>0.61570000000000003</v>
      </c>
      <c r="D16139" s="26">
        <v>0.37590000000000001</v>
      </c>
      <c r="E16139" s="26">
        <v>1.4E-3</v>
      </c>
      <c r="F16139" s="26">
        <v>6.8999999999999999E-3</v>
      </c>
      <c r="I16139">
        <v>172</v>
      </c>
    </row>
    <row r="16140" spans="1:9" x14ac:dyDescent="0.35">
      <c r="A16140" t="s">
        <v>228</v>
      </c>
      <c r="B16140" t="s">
        <v>369</v>
      </c>
      <c r="C16140" s="26">
        <v>0.60899999999999999</v>
      </c>
      <c r="D16140" s="26">
        <v>0.38890000000000002</v>
      </c>
      <c r="E16140" s="26">
        <v>1.4E-3</v>
      </c>
      <c r="G16140" s="26">
        <v>6.9999999999999999E-4</v>
      </c>
      <c r="I16140">
        <v>836</v>
      </c>
    </row>
    <row r="16141" spans="1:9" x14ac:dyDescent="0.35">
      <c r="A16141" t="s">
        <v>229</v>
      </c>
      <c r="B16141" t="s">
        <v>368</v>
      </c>
      <c r="C16141" s="26">
        <v>0.6865</v>
      </c>
      <c r="D16141" s="26">
        <v>0.2903</v>
      </c>
      <c r="E16141" s="26">
        <v>2.3199999999999998E-2</v>
      </c>
      <c r="I16141">
        <v>90</v>
      </c>
    </row>
    <row r="16142" spans="1:9" x14ac:dyDescent="0.35">
      <c r="A16142" t="s">
        <v>229</v>
      </c>
      <c r="B16142" t="s">
        <v>369</v>
      </c>
      <c r="C16142" s="26">
        <v>0.5978</v>
      </c>
      <c r="D16142" s="26">
        <v>0.38919999999999999</v>
      </c>
      <c r="E16142" s="26">
        <v>1.2999999999999999E-2</v>
      </c>
      <c r="I16142">
        <v>795</v>
      </c>
    </row>
    <row r="16143" spans="1:9" x14ac:dyDescent="0.35">
      <c r="A16143" t="s">
        <v>230</v>
      </c>
      <c r="B16143" t="s">
        <v>368</v>
      </c>
      <c r="C16143" s="26">
        <v>0.70179999999999998</v>
      </c>
      <c r="D16143" s="26">
        <v>0.29049999999999998</v>
      </c>
      <c r="E16143" s="26">
        <v>7.6E-3</v>
      </c>
      <c r="I16143">
        <v>49</v>
      </c>
    </row>
    <row r="16144" spans="1:9" x14ac:dyDescent="0.35">
      <c r="A16144" t="s">
        <v>230</v>
      </c>
      <c r="B16144" t="s">
        <v>369</v>
      </c>
      <c r="C16144" s="26">
        <v>0.45860000000000001</v>
      </c>
      <c r="D16144" s="26">
        <v>0.53129999999999999</v>
      </c>
      <c r="E16144" s="26">
        <v>9.7999999999999997E-3</v>
      </c>
      <c r="H16144" s="26">
        <v>2.9999999999999997E-4</v>
      </c>
      <c r="I16144">
        <v>499</v>
      </c>
    </row>
    <row r="16145" spans="1:9" x14ac:dyDescent="0.35">
      <c r="A16145" s="27" t="s">
        <v>231</v>
      </c>
      <c r="B16145" s="27" t="s">
        <v>368</v>
      </c>
      <c r="C16145" s="28">
        <v>0.77780000000000005</v>
      </c>
      <c r="D16145" s="28">
        <v>0.16669999999999999</v>
      </c>
      <c r="E16145" s="28">
        <v>5.5599999999999997E-2</v>
      </c>
      <c r="F16145" s="29"/>
      <c r="G16145" s="29"/>
      <c r="H16145" s="29"/>
      <c r="I16145" s="29" t="s">
        <v>353</v>
      </c>
    </row>
    <row r="16146" spans="1:9" x14ac:dyDescent="0.35">
      <c r="A16146" t="s">
        <v>231</v>
      </c>
      <c r="B16146" t="s">
        <v>369</v>
      </c>
      <c r="C16146" s="26">
        <v>0.437</v>
      </c>
      <c r="D16146" s="26">
        <v>0.55559999999999998</v>
      </c>
      <c r="E16146" s="26">
        <v>7.4000000000000003E-3</v>
      </c>
      <c r="I16146">
        <v>135</v>
      </c>
    </row>
    <row r="16147" spans="1:9" x14ac:dyDescent="0.35">
      <c r="A16147" t="s">
        <v>232</v>
      </c>
      <c r="B16147" t="s">
        <v>232</v>
      </c>
      <c r="C16147" s="26">
        <v>0.52880000000000005</v>
      </c>
      <c r="D16147" s="26">
        <v>0.46100000000000002</v>
      </c>
      <c r="E16147" s="26">
        <v>9.9000000000000008E-3</v>
      </c>
      <c r="F16147" s="26">
        <v>2.0000000000000001E-4</v>
      </c>
      <c r="G16147" s="26">
        <v>1E-4</v>
      </c>
      <c r="H16147" s="26">
        <v>0</v>
      </c>
      <c r="I16147">
        <v>2748</v>
      </c>
    </row>
    <row r="16149" spans="1:9" x14ac:dyDescent="0.35">
      <c r="A16149" s="1" t="s">
        <v>1697</v>
      </c>
    </row>
    <row r="16150" spans="1:9" x14ac:dyDescent="0.35">
      <c r="A16150" t="s">
        <v>219</v>
      </c>
      <c r="B16150" t="s">
        <v>305</v>
      </c>
      <c r="C16150" t="s">
        <v>1684</v>
      </c>
      <c r="D16150" t="s">
        <v>1685</v>
      </c>
      <c r="E16150" t="s">
        <v>1686</v>
      </c>
      <c r="F16150" t="s">
        <v>1687</v>
      </c>
      <c r="G16150" t="s">
        <v>286</v>
      </c>
      <c r="H16150" t="s">
        <v>281</v>
      </c>
      <c r="I16150" t="s">
        <v>226</v>
      </c>
    </row>
    <row r="16151" spans="1:9" x14ac:dyDescent="0.35">
      <c r="A16151" t="s">
        <v>227</v>
      </c>
      <c r="B16151" t="s">
        <v>371</v>
      </c>
      <c r="C16151" s="26">
        <v>0.3831</v>
      </c>
      <c r="D16151" s="26">
        <v>0.61040000000000005</v>
      </c>
      <c r="E16151" s="26">
        <v>6.4999999999999997E-3</v>
      </c>
      <c r="I16151">
        <v>154</v>
      </c>
    </row>
    <row r="16152" spans="1:9" x14ac:dyDescent="0.35">
      <c r="A16152" t="s">
        <v>228</v>
      </c>
      <c r="B16152" t="s">
        <v>371</v>
      </c>
      <c r="C16152" s="26">
        <v>0.62419999999999998</v>
      </c>
      <c r="D16152" s="26">
        <v>0.37509999999999999</v>
      </c>
      <c r="E16152" s="26">
        <v>6.9999999999999999E-4</v>
      </c>
      <c r="I16152">
        <v>284</v>
      </c>
    </row>
    <row r="16153" spans="1:9" x14ac:dyDescent="0.35">
      <c r="A16153" t="s">
        <v>228</v>
      </c>
      <c r="B16153" t="s">
        <v>372</v>
      </c>
      <c r="C16153" s="26">
        <v>0.34010000000000001</v>
      </c>
      <c r="D16153" s="26">
        <v>0.65039999999999998</v>
      </c>
      <c r="E16153" s="26">
        <v>9.4999999999999998E-3</v>
      </c>
      <c r="I16153">
        <v>214</v>
      </c>
    </row>
    <row r="16154" spans="1:9" x14ac:dyDescent="0.35">
      <c r="A16154" t="s">
        <v>228</v>
      </c>
      <c r="B16154" t="s">
        <v>373</v>
      </c>
      <c r="C16154" s="26">
        <v>0.65059999999999996</v>
      </c>
      <c r="D16154" s="26">
        <v>0.34429999999999999</v>
      </c>
      <c r="E16154" s="26">
        <v>5.9999999999999995E-4</v>
      </c>
      <c r="F16154" s="26">
        <v>3.0000000000000001E-3</v>
      </c>
      <c r="G16154" s="26">
        <v>1.4E-3</v>
      </c>
      <c r="I16154">
        <v>510</v>
      </c>
    </row>
    <row r="16155" spans="1:9" x14ac:dyDescent="0.35">
      <c r="A16155" t="s">
        <v>229</v>
      </c>
      <c r="B16155" t="s">
        <v>371</v>
      </c>
      <c r="C16155" s="26">
        <v>0.62829999999999997</v>
      </c>
      <c r="D16155" s="26">
        <v>0.35709999999999997</v>
      </c>
      <c r="E16155" s="26">
        <v>1.4500000000000001E-2</v>
      </c>
      <c r="I16155">
        <v>577</v>
      </c>
    </row>
    <row r="16156" spans="1:9" x14ac:dyDescent="0.35">
      <c r="A16156" t="s">
        <v>229</v>
      </c>
      <c r="B16156" t="s">
        <v>372</v>
      </c>
      <c r="C16156" s="26">
        <v>0.46010000000000001</v>
      </c>
      <c r="D16156" s="26">
        <v>0.52659999999999996</v>
      </c>
      <c r="E16156" s="26">
        <v>1.3299999999999999E-2</v>
      </c>
      <c r="I16156">
        <v>219</v>
      </c>
    </row>
    <row r="16157" spans="1:9" x14ac:dyDescent="0.35">
      <c r="A16157" t="s">
        <v>229</v>
      </c>
      <c r="B16157" t="s">
        <v>373</v>
      </c>
      <c r="C16157" s="26">
        <v>0.26569999999999999</v>
      </c>
      <c r="D16157" s="26">
        <v>0.7218</v>
      </c>
      <c r="E16157" s="26">
        <v>1.2500000000000001E-2</v>
      </c>
      <c r="I16157">
        <v>89</v>
      </c>
    </row>
    <row r="16158" spans="1:9" x14ac:dyDescent="0.35">
      <c r="A16158" t="s">
        <v>230</v>
      </c>
      <c r="B16158" t="s">
        <v>371</v>
      </c>
      <c r="C16158" s="26">
        <v>0.48659999999999998</v>
      </c>
      <c r="D16158" s="26">
        <v>0.50319999999999998</v>
      </c>
      <c r="E16158" s="26">
        <v>1.0200000000000001E-2</v>
      </c>
      <c r="I16158">
        <v>256</v>
      </c>
    </row>
    <row r="16159" spans="1:9" x14ac:dyDescent="0.35">
      <c r="A16159" t="s">
        <v>230</v>
      </c>
      <c r="B16159" t="s">
        <v>372</v>
      </c>
      <c r="C16159" s="26">
        <v>0.3427</v>
      </c>
      <c r="D16159" s="26">
        <v>0.63170000000000004</v>
      </c>
      <c r="E16159" s="26">
        <v>2.07E-2</v>
      </c>
      <c r="H16159" s="26">
        <v>4.8999999999999998E-3</v>
      </c>
      <c r="I16159">
        <v>142</v>
      </c>
    </row>
    <row r="16160" spans="1:9" x14ac:dyDescent="0.35">
      <c r="A16160" t="s">
        <v>230</v>
      </c>
      <c r="B16160" t="s">
        <v>373</v>
      </c>
      <c r="C16160" s="26">
        <v>0.56459999999999999</v>
      </c>
      <c r="D16160" s="26">
        <v>0.43540000000000001</v>
      </c>
      <c r="I16160">
        <v>150</v>
      </c>
    </row>
    <row r="16161" spans="1:9" x14ac:dyDescent="0.35">
      <c r="A16161" t="s">
        <v>231</v>
      </c>
      <c r="B16161" t="s">
        <v>371</v>
      </c>
      <c r="C16161" s="26">
        <v>0.47710000000000002</v>
      </c>
      <c r="D16161" s="26">
        <v>0.50980000000000003</v>
      </c>
      <c r="E16161" s="26">
        <v>1.3100000000000001E-2</v>
      </c>
      <c r="I16161">
        <v>153</v>
      </c>
    </row>
    <row r="16162" spans="1:9" x14ac:dyDescent="0.35">
      <c r="A16162" t="s">
        <v>232</v>
      </c>
      <c r="B16162" t="s">
        <v>232</v>
      </c>
      <c r="C16162" s="26">
        <v>0.52880000000000005</v>
      </c>
      <c r="D16162" s="26">
        <v>0.46100000000000002</v>
      </c>
      <c r="E16162" s="26">
        <v>9.9000000000000008E-3</v>
      </c>
      <c r="F16162" s="26">
        <v>2.0000000000000001E-4</v>
      </c>
      <c r="G16162" s="26">
        <v>1E-4</v>
      </c>
      <c r="H16162" s="26">
        <v>0</v>
      </c>
      <c r="I16162">
        <v>2748</v>
      </c>
    </row>
    <row r="16164" spans="1:9" x14ac:dyDescent="0.35">
      <c r="A16164" s="1" t="s">
        <v>1698</v>
      </c>
    </row>
    <row r="16165" spans="1:9" x14ac:dyDescent="0.35">
      <c r="A16165" t="s">
        <v>219</v>
      </c>
      <c r="B16165" t="s">
        <v>305</v>
      </c>
      <c r="C16165" t="s">
        <v>1684</v>
      </c>
      <c r="D16165" t="s">
        <v>1685</v>
      </c>
      <c r="E16165" t="s">
        <v>1686</v>
      </c>
      <c r="F16165" t="s">
        <v>1687</v>
      </c>
      <c r="G16165" t="s">
        <v>286</v>
      </c>
      <c r="H16165" t="s">
        <v>281</v>
      </c>
      <c r="I16165" t="s">
        <v>226</v>
      </c>
    </row>
    <row r="16166" spans="1:9" x14ac:dyDescent="0.35">
      <c r="A16166" t="s">
        <v>227</v>
      </c>
      <c r="B16166" t="s">
        <v>255</v>
      </c>
      <c r="C16166" s="26">
        <v>0.37840000000000001</v>
      </c>
      <c r="D16166" s="26">
        <v>0.62160000000000004</v>
      </c>
      <c r="I16166">
        <v>111</v>
      </c>
    </row>
    <row r="16167" spans="1:9" x14ac:dyDescent="0.35">
      <c r="A16167" s="27" t="s">
        <v>227</v>
      </c>
      <c r="B16167" s="27" t="s">
        <v>257</v>
      </c>
      <c r="C16167" s="28">
        <v>0.625</v>
      </c>
      <c r="D16167" s="28">
        <v>0.25</v>
      </c>
      <c r="E16167" s="28">
        <v>0.125</v>
      </c>
      <c r="F16167" s="29"/>
      <c r="G16167" s="29"/>
      <c r="H16167" s="29"/>
      <c r="I16167" s="29" t="s">
        <v>333</v>
      </c>
    </row>
    <row r="16168" spans="1:9" x14ac:dyDescent="0.35">
      <c r="A16168" t="s">
        <v>227</v>
      </c>
      <c r="B16168" t="s">
        <v>256</v>
      </c>
      <c r="C16168" s="26">
        <v>0.34289999999999998</v>
      </c>
      <c r="D16168" s="26">
        <v>0.65710000000000002</v>
      </c>
      <c r="I16168">
        <v>35</v>
      </c>
    </row>
    <row r="16169" spans="1:9" x14ac:dyDescent="0.35">
      <c r="A16169" t="s">
        <v>228</v>
      </c>
      <c r="B16169" t="s">
        <v>257</v>
      </c>
      <c r="C16169" s="26">
        <v>0.6139</v>
      </c>
      <c r="D16169" s="26">
        <v>0.3861</v>
      </c>
      <c r="I16169">
        <v>45</v>
      </c>
    </row>
    <row r="16170" spans="1:9" x14ac:dyDescent="0.35">
      <c r="A16170" s="27" t="s">
        <v>228</v>
      </c>
      <c r="B16170" s="27" t="s">
        <v>258</v>
      </c>
      <c r="C16170" s="28">
        <v>0.90190000000000003</v>
      </c>
      <c r="D16170" s="28">
        <v>9.8100000000000007E-2</v>
      </c>
      <c r="E16170" s="29"/>
      <c r="F16170" s="29"/>
      <c r="G16170" s="29"/>
      <c r="H16170" s="29"/>
      <c r="I16170" s="29" t="s">
        <v>337</v>
      </c>
    </row>
    <row r="16171" spans="1:9" x14ac:dyDescent="0.35">
      <c r="A16171" t="s">
        <v>228</v>
      </c>
      <c r="B16171" t="s">
        <v>256</v>
      </c>
      <c r="C16171" s="26">
        <v>0.54879999999999995</v>
      </c>
      <c r="D16171" s="26">
        <v>0.45119999999999999</v>
      </c>
      <c r="I16171">
        <v>217</v>
      </c>
    </row>
    <row r="16172" spans="1:9" x14ac:dyDescent="0.35">
      <c r="A16172" t="s">
        <v>228</v>
      </c>
      <c r="B16172" t="s">
        <v>255</v>
      </c>
      <c r="C16172" s="26">
        <v>0.62919999999999998</v>
      </c>
      <c r="D16172" s="26">
        <v>0.36620000000000003</v>
      </c>
      <c r="E16172" s="26">
        <v>2E-3</v>
      </c>
      <c r="F16172" s="26">
        <v>1.6999999999999999E-3</v>
      </c>
      <c r="G16172" s="26">
        <v>8.0000000000000004E-4</v>
      </c>
      <c r="I16172">
        <v>742</v>
      </c>
    </row>
    <row r="16173" spans="1:9" x14ac:dyDescent="0.35">
      <c r="A16173" t="s">
        <v>229</v>
      </c>
      <c r="B16173" t="s">
        <v>256</v>
      </c>
      <c r="C16173" s="26">
        <v>0.64800000000000002</v>
      </c>
      <c r="D16173" s="26">
        <v>0.3296</v>
      </c>
      <c r="E16173" s="26">
        <v>2.24E-2</v>
      </c>
      <c r="I16173">
        <v>205</v>
      </c>
    </row>
    <row r="16174" spans="1:9" x14ac:dyDescent="0.35">
      <c r="A16174" t="s">
        <v>229</v>
      </c>
      <c r="B16174" t="s">
        <v>255</v>
      </c>
      <c r="C16174" s="26">
        <v>0.59230000000000005</v>
      </c>
      <c r="D16174" s="26">
        <v>0.39529999999999998</v>
      </c>
      <c r="E16174" s="26">
        <v>1.24E-2</v>
      </c>
      <c r="I16174">
        <v>628</v>
      </c>
    </row>
    <row r="16175" spans="1:9" x14ac:dyDescent="0.35">
      <c r="A16175" t="s">
        <v>229</v>
      </c>
      <c r="B16175" t="s">
        <v>257</v>
      </c>
      <c r="C16175" s="26">
        <v>0.64459999999999995</v>
      </c>
      <c r="D16175" s="26">
        <v>0.35539999999999999</v>
      </c>
      <c r="I16175">
        <v>50</v>
      </c>
    </row>
    <row r="16176" spans="1:9" x14ac:dyDescent="0.35">
      <c r="A16176" s="27" t="s">
        <v>229</v>
      </c>
      <c r="B16176" s="27" t="s">
        <v>258</v>
      </c>
      <c r="C16176" s="29"/>
      <c r="D16176" s="28">
        <v>1</v>
      </c>
      <c r="E16176" s="29"/>
      <c r="F16176" s="29"/>
      <c r="G16176" s="29"/>
      <c r="H16176" s="29"/>
      <c r="I16176" s="29" t="s">
        <v>314</v>
      </c>
    </row>
    <row r="16177" spans="1:9" x14ac:dyDescent="0.35">
      <c r="A16177" t="s">
        <v>230</v>
      </c>
      <c r="B16177" t="s">
        <v>256</v>
      </c>
      <c r="C16177" s="26">
        <v>0.39300000000000002</v>
      </c>
      <c r="D16177" s="26">
        <v>0.5998</v>
      </c>
      <c r="E16177" s="26">
        <v>7.1999999999999998E-3</v>
      </c>
      <c r="I16177">
        <v>127</v>
      </c>
    </row>
    <row r="16178" spans="1:9" x14ac:dyDescent="0.35">
      <c r="A16178" t="s">
        <v>230</v>
      </c>
      <c r="B16178" t="s">
        <v>255</v>
      </c>
      <c r="C16178" s="26">
        <v>0.51280000000000003</v>
      </c>
      <c r="D16178" s="26">
        <v>0.4753</v>
      </c>
      <c r="E16178" s="26">
        <v>1.1599999999999999E-2</v>
      </c>
      <c r="H16178" s="26">
        <v>4.0000000000000002E-4</v>
      </c>
      <c r="I16178">
        <v>381</v>
      </c>
    </row>
    <row r="16179" spans="1:9" x14ac:dyDescent="0.35">
      <c r="A16179" t="s">
        <v>230</v>
      </c>
      <c r="B16179" t="s">
        <v>257</v>
      </c>
      <c r="C16179" s="26">
        <v>0.64149999999999996</v>
      </c>
      <c r="D16179" s="26">
        <v>0.35849999999999999</v>
      </c>
      <c r="I16179">
        <v>37</v>
      </c>
    </row>
    <row r="16180" spans="1:9" x14ac:dyDescent="0.35">
      <c r="A16180" s="27" t="s">
        <v>230</v>
      </c>
      <c r="B16180" s="27" t="s">
        <v>258</v>
      </c>
      <c r="C16180" s="28">
        <v>0.1356</v>
      </c>
      <c r="D16180" s="28">
        <v>0.86439999999999995</v>
      </c>
      <c r="E16180" s="29"/>
      <c r="F16180" s="29"/>
      <c r="G16180" s="29"/>
      <c r="H16180" s="29"/>
      <c r="I16180" s="29" t="s">
        <v>315</v>
      </c>
    </row>
    <row r="16181" spans="1:9" x14ac:dyDescent="0.35">
      <c r="A16181" s="27" t="s">
        <v>231</v>
      </c>
      <c r="B16181" s="27" t="s">
        <v>257</v>
      </c>
      <c r="C16181" s="28">
        <v>0.66669999999999996</v>
      </c>
      <c r="D16181" s="28">
        <v>0.33329999999999999</v>
      </c>
      <c r="E16181" s="29"/>
      <c r="F16181" s="29"/>
      <c r="G16181" s="29"/>
      <c r="H16181" s="29"/>
      <c r="I16181" s="29" t="s">
        <v>335</v>
      </c>
    </row>
    <row r="16182" spans="1:9" x14ac:dyDescent="0.35">
      <c r="A16182" t="s">
        <v>231</v>
      </c>
      <c r="B16182" t="s">
        <v>255</v>
      </c>
      <c r="C16182" s="26">
        <v>0.48330000000000001</v>
      </c>
      <c r="D16182" s="26">
        <v>0.5</v>
      </c>
      <c r="E16182" s="26">
        <v>1.67E-2</v>
      </c>
      <c r="I16182">
        <v>120</v>
      </c>
    </row>
    <row r="16183" spans="1:9" x14ac:dyDescent="0.35">
      <c r="A16183" s="27" t="s">
        <v>231</v>
      </c>
      <c r="B16183" s="27" t="s">
        <v>256</v>
      </c>
      <c r="C16183" s="28">
        <v>0.40739999999999998</v>
      </c>
      <c r="D16183" s="28">
        <v>0.59260000000000002</v>
      </c>
      <c r="E16183" s="29"/>
      <c r="F16183" s="29"/>
      <c r="G16183" s="29"/>
      <c r="H16183" s="29"/>
      <c r="I16183" s="29" t="s">
        <v>338</v>
      </c>
    </row>
    <row r="16184" spans="1:9" x14ac:dyDescent="0.35">
      <c r="A16184" t="s">
        <v>232</v>
      </c>
      <c r="B16184" t="s">
        <v>232</v>
      </c>
      <c r="C16184" s="26">
        <v>0.52880000000000005</v>
      </c>
      <c r="D16184" s="26">
        <v>0.46100000000000002</v>
      </c>
      <c r="E16184" s="26">
        <v>9.9000000000000008E-3</v>
      </c>
      <c r="F16184" s="26">
        <v>2.0000000000000001E-4</v>
      </c>
      <c r="G16184" s="26">
        <v>1E-4</v>
      </c>
      <c r="H16184" s="26">
        <v>0</v>
      </c>
      <c r="I16184">
        <v>2748</v>
      </c>
    </row>
    <row r="16186" spans="1:9" x14ac:dyDescent="0.35">
      <c r="A16186" s="1" t="s">
        <v>1699</v>
      </c>
    </row>
    <row r="16187" spans="1:9" x14ac:dyDescent="0.35">
      <c r="A16187" t="s">
        <v>219</v>
      </c>
      <c r="B16187" t="s">
        <v>534</v>
      </c>
      <c r="C16187" t="s">
        <v>535</v>
      </c>
      <c r="D16187" t="s">
        <v>536</v>
      </c>
      <c r="E16187" t="s">
        <v>537</v>
      </c>
      <c r="F16187" t="s">
        <v>226</v>
      </c>
    </row>
    <row r="16188" spans="1:9" x14ac:dyDescent="0.35">
      <c r="A16188" t="s">
        <v>227</v>
      </c>
      <c r="B16188">
        <v>62.05</v>
      </c>
      <c r="C16188">
        <v>60</v>
      </c>
      <c r="D16188">
        <v>6</v>
      </c>
      <c r="E16188">
        <v>245</v>
      </c>
      <c r="F16188">
        <v>132</v>
      </c>
    </row>
    <row r="16189" spans="1:9" x14ac:dyDescent="0.35">
      <c r="A16189" t="s">
        <v>228</v>
      </c>
      <c r="B16189">
        <v>58.55</v>
      </c>
      <c r="C16189">
        <v>55</v>
      </c>
      <c r="D16189">
        <v>5</v>
      </c>
      <c r="E16189">
        <v>205</v>
      </c>
      <c r="F16189">
        <v>831</v>
      </c>
    </row>
    <row r="16190" spans="1:9" x14ac:dyDescent="0.35">
      <c r="A16190" t="s">
        <v>229</v>
      </c>
      <c r="B16190">
        <v>60.93</v>
      </c>
      <c r="C16190">
        <v>56</v>
      </c>
      <c r="D16190">
        <v>12</v>
      </c>
      <c r="E16190">
        <v>285</v>
      </c>
      <c r="F16190">
        <v>757</v>
      </c>
    </row>
    <row r="16191" spans="1:9" x14ac:dyDescent="0.35">
      <c r="A16191" t="s">
        <v>230</v>
      </c>
      <c r="B16191">
        <v>64.790000000000006</v>
      </c>
      <c r="C16191">
        <v>58</v>
      </c>
      <c r="D16191">
        <v>8</v>
      </c>
      <c r="E16191">
        <v>260</v>
      </c>
      <c r="F16191">
        <v>464</v>
      </c>
    </row>
    <row r="16192" spans="1:9" x14ac:dyDescent="0.35">
      <c r="A16192" t="s">
        <v>231</v>
      </c>
      <c r="B16192">
        <v>70.81</v>
      </c>
      <c r="C16192">
        <v>60</v>
      </c>
      <c r="D16192">
        <v>10</v>
      </c>
      <c r="E16192">
        <v>260</v>
      </c>
      <c r="F16192">
        <v>126</v>
      </c>
    </row>
    <row r="16193" spans="1:7" x14ac:dyDescent="0.35">
      <c r="A16193" t="s">
        <v>232</v>
      </c>
      <c r="B16193">
        <v>63.55</v>
      </c>
      <c r="C16193">
        <v>59</v>
      </c>
      <c r="D16193">
        <v>5</v>
      </c>
      <c r="E16193">
        <v>285</v>
      </c>
      <c r="F16193">
        <v>2310</v>
      </c>
    </row>
    <row r="16195" spans="1:7" x14ac:dyDescent="0.35">
      <c r="A16195" s="1" t="s">
        <v>1700</v>
      </c>
    </row>
    <row r="16196" spans="1:7" x14ac:dyDescent="0.35">
      <c r="A16196" t="s">
        <v>219</v>
      </c>
      <c r="B16196" t="s">
        <v>305</v>
      </c>
      <c r="C16196" t="s">
        <v>534</v>
      </c>
      <c r="D16196" t="s">
        <v>535</v>
      </c>
      <c r="E16196" t="s">
        <v>536</v>
      </c>
      <c r="F16196" t="s">
        <v>537</v>
      </c>
      <c r="G16196" t="s">
        <v>226</v>
      </c>
    </row>
    <row r="16197" spans="1:7" x14ac:dyDescent="0.35">
      <c r="A16197" t="s">
        <v>227</v>
      </c>
      <c r="B16197" t="s">
        <v>242</v>
      </c>
      <c r="C16197">
        <v>64.239999999999995</v>
      </c>
      <c r="D16197">
        <v>60</v>
      </c>
      <c r="E16197">
        <v>6</v>
      </c>
      <c r="F16197">
        <v>245</v>
      </c>
      <c r="G16197">
        <v>55</v>
      </c>
    </row>
    <row r="16198" spans="1:7" x14ac:dyDescent="0.35">
      <c r="A16198" t="s">
        <v>227</v>
      </c>
      <c r="B16198" t="s">
        <v>241</v>
      </c>
      <c r="C16198">
        <v>60.48</v>
      </c>
      <c r="D16198">
        <v>60</v>
      </c>
      <c r="E16198">
        <v>13</v>
      </c>
      <c r="F16198">
        <v>126</v>
      </c>
      <c r="G16198">
        <v>77</v>
      </c>
    </row>
    <row r="16199" spans="1:7" x14ac:dyDescent="0.35">
      <c r="A16199" t="s">
        <v>228</v>
      </c>
      <c r="B16199" t="s">
        <v>242</v>
      </c>
      <c r="C16199">
        <v>58.55</v>
      </c>
      <c r="D16199">
        <v>58</v>
      </c>
      <c r="E16199">
        <v>5</v>
      </c>
      <c r="F16199">
        <v>186</v>
      </c>
      <c r="G16199">
        <v>316</v>
      </c>
    </row>
    <row r="16200" spans="1:7" x14ac:dyDescent="0.35">
      <c r="A16200" t="s">
        <v>228</v>
      </c>
      <c r="B16200" t="s">
        <v>241</v>
      </c>
      <c r="C16200">
        <v>58.55</v>
      </c>
      <c r="D16200">
        <v>54</v>
      </c>
      <c r="E16200">
        <v>6</v>
      </c>
      <c r="F16200">
        <v>205</v>
      </c>
      <c r="G16200">
        <v>515</v>
      </c>
    </row>
    <row r="16201" spans="1:7" x14ac:dyDescent="0.35">
      <c r="A16201" t="s">
        <v>229</v>
      </c>
      <c r="B16201" t="s">
        <v>242</v>
      </c>
      <c r="C16201">
        <v>62.48</v>
      </c>
      <c r="D16201">
        <v>60</v>
      </c>
      <c r="E16201">
        <v>12</v>
      </c>
      <c r="F16201">
        <v>285</v>
      </c>
      <c r="G16201">
        <v>256</v>
      </c>
    </row>
    <row r="16202" spans="1:7" x14ac:dyDescent="0.35">
      <c r="A16202" t="s">
        <v>229</v>
      </c>
      <c r="B16202" t="s">
        <v>241</v>
      </c>
      <c r="C16202">
        <v>59.96</v>
      </c>
      <c r="D16202">
        <v>56</v>
      </c>
      <c r="E16202">
        <v>12</v>
      </c>
      <c r="F16202">
        <v>240</v>
      </c>
      <c r="G16202">
        <v>501</v>
      </c>
    </row>
    <row r="16203" spans="1:7" x14ac:dyDescent="0.35">
      <c r="A16203" t="s">
        <v>230</v>
      </c>
      <c r="B16203" t="s">
        <v>242</v>
      </c>
      <c r="C16203">
        <v>64.87</v>
      </c>
      <c r="D16203">
        <v>54</v>
      </c>
      <c r="E16203">
        <v>8</v>
      </c>
      <c r="F16203">
        <v>250</v>
      </c>
      <c r="G16203">
        <v>155</v>
      </c>
    </row>
    <row r="16204" spans="1:7" x14ac:dyDescent="0.35">
      <c r="A16204" t="s">
        <v>230</v>
      </c>
      <c r="B16204" t="s">
        <v>241</v>
      </c>
      <c r="C16204">
        <v>64.760000000000005</v>
      </c>
      <c r="D16204">
        <v>60</v>
      </c>
      <c r="E16204">
        <v>8</v>
      </c>
      <c r="F16204">
        <v>260</v>
      </c>
      <c r="G16204">
        <v>309</v>
      </c>
    </row>
    <row r="16205" spans="1:7" x14ac:dyDescent="0.35">
      <c r="A16205" t="s">
        <v>231</v>
      </c>
      <c r="B16205" t="s">
        <v>242</v>
      </c>
      <c r="C16205">
        <v>72.44</v>
      </c>
      <c r="D16205">
        <v>65</v>
      </c>
      <c r="E16205">
        <v>25</v>
      </c>
      <c r="F16205">
        <v>200</v>
      </c>
      <c r="G16205">
        <v>43</v>
      </c>
    </row>
    <row r="16206" spans="1:7" x14ac:dyDescent="0.35">
      <c r="A16206" t="s">
        <v>231</v>
      </c>
      <c r="B16206" t="s">
        <v>241</v>
      </c>
      <c r="C16206">
        <v>69.959999999999994</v>
      </c>
      <c r="D16206">
        <v>60</v>
      </c>
      <c r="E16206">
        <v>10</v>
      </c>
      <c r="F16206">
        <v>260</v>
      </c>
      <c r="G16206">
        <v>83</v>
      </c>
    </row>
    <row r="16207" spans="1:7" x14ac:dyDescent="0.35">
      <c r="A16207" t="s">
        <v>232</v>
      </c>
      <c r="B16207" t="s">
        <v>232</v>
      </c>
      <c r="C16207">
        <v>63.55</v>
      </c>
      <c r="D16207">
        <v>59</v>
      </c>
      <c r="E16207">
        <v>5</v>
      </c>
      <c r="F16207">
        <v>285</v>
      </c>
      <c r="G16207">
        <v>2310</v>
      </c>
    </row>
    <row r="16209" spans="1:7" x14ac:dyDescent="0.35">
      <c r="A16209" s="1" t="s">
        <v>1701</v>
      </c>
    </row>
    <row r="16210" spans="1:7" x14ac:dyDescent="0.35">
      <c r="A16210" t="s">
        <v>219</v>
      </c>
      <c r="B16210" t="s">
        <v>305</v>
      </c>
      <c r="C16210" t="s">
        <v>534</v>
      </c>
      <c r="D16210" t="s">
        <v>535</v>
      </c>
      <c r="E16210" t="s">
        <v>536</v>
      </c>
      <c r="F16210" t="s">
        <v>537</v>
      </c>
      <c r="G16210" t="s">
        <v>226</v>
      </c>
    </row>
    <row r="16211" spans="1:7" x14ac:dyDescent="0.35">
      <c r="A16211" t="s">
        <v>227</v>
      </c>
      <c r="B16211" t="s">
        <v>239</v>
      </c>
      <c r="C16211">
        <v>69.150000000000006</v>
      </c>
      <c r="D16211">
        <v>63</v>
      </c>
      <c r="E16211">
        <v>30</v>
      </c>
      <c r="F16211">
        <v>120</v>
      </c>
      <c r="G16211">
        <v>48</v>
      </c>
    </row>
    <row r="16212" spans="1:7" x14ac:dyDescent="0.35">
      <c r="A16212" t="s">
        <v>227</v>
      </c>
      <c r="B16212" t="s">
        <v>238</v>
      </c>
      <c r="C16212">
        <v>57.99</v>
      </c>
      <c r="D16212">
        <v>54</v>
      </c>
      <c r="E16212">
        <v>6</v>
      </c>
      <c r="F16212">
        <v>245</v>
      </c>
      <c r="G16212">
        <v>84</v>
      </c>
    </row>
    <row r="16213" spans="1:7" x14ac:dyDescent="0.35">
      <c r="A16213" t="s">
        <v>228</v>
      </c>
      <c r="B16213" t="s">
        <v>239</v>
      </c>
      <c r="C16213">
        <v>64.930000000000007</v>
      </c>
      <c r="D16213">
        <v>62</v>
      </c>
      <c r="E16213">
        <v>5</v>
      </c>
      <c r="F16213">
        <v>200</v>
      </c>
      <c r="G16213">
        <v>250</v>
      </c>
    </row>
    <row r="16214" spans="1:7" x14ac:dyDescent="0.35">
      <c r="A16214" t="s">
        <v>228</v>
      </c>
      <c r="B16214" t="s">
        <v>238</v>
      </c>
      <c r="C16214">
        <v>56.99</v>
      </c>
      <c r="D16214">
        <v>53</v>
      </c>
      <c r="E16214">
        <v>6</v>
      </c>
      <c r="F16214">
        <v>205</v>
      </c>
      <c r="G16214">
        <v>581</v>
      </c>
    </row>
    <row r="16215" spans="1:7" x14ac:dyDescent="0.35">
      <c r="A16215" t="s">
        <v>229</v>
      </c>
      <c r="B16215" t="s">
        <v>239</v>
      </c>
      <c r="C16215">
        <v>74.239999999999995</v>
      </c>
      <c r="D16215">
        <v>68</v>
      </c>
      <c r="E16215">
        <v>12</v>
      </c>
      <c r="F16215">
        <v>220</v>
      </c>
      <c r="G16215">
        <v>268</v>
      </c>
    </row>
    <row r="16216" spans="1:7" x14ac:dyDescent="0.35">
      <c r="A16216" t="s">
        <v>229</v>
      </c>
      <c r="B16216" t="s">
        <v>238</v>
      </c>
      <c r="C16216">
        <v>56.54</v>
      </c>
      <c r="D16216">
        <v>51</v>
      </c>
      <c r="E16216">
        <v>12</v>
      </c>
      <c r="F16216">
        <v>285</v>
      </c>
      <c r="G16216">
        <v>489</v>
      </c>
    </row>
    <row r="16217" spans="1:7" x14ac:dyDescent="0.35">
      <c r="A16217" t="s">
        <v>230</v>
      </c>
      <c r="B16217" t="s">
        <v>239</v>
      </c>
      <c r="C16217">
        <v>75.56</v>
      </c>
      <c r="D16217">
        <v>64</v>
      </c>
      <c r="E16217">
        <v>15</v>
      </c>
      <c r="F16217">
        <v>260</v>
      </c>
      <c r="G16217">
        <v>171</v>
      </c>
    </row>
    <row r="16218" spans="1:7" x14ac:dyDescent="0.35">
      <c r="A16218" t="s">
        <v>230</v>
      </c>
      <c r="B16218" t="s">
        <v>238</v>
      </c>
      <c r="C16218">
        <v>59.81</v>
      </c>
      <c r="D16218">
        <v>52</v>
      </c>
      <c r="E16218">
        <v>8</v>
      </c>
      <c r="F16218">
        <v>250</v>
      </c>
      <c r="G16218">
        <v>293</v>
      </c>
    </row>
    <row r="16219" spans="1:7" x14ac:dyDescent="0.35">
      <c r="A16219" t="s">
        <v>231</v>
      </c>
      <c r="B16219" t="s">
        <v>239</v>
      </c>
      <c r="C16219">
        <v>77.87</v>
      </c>
      <c r="D16219">
        <v>70</v>
      </c>
      <c r="E16219">
        <v>10</v>
      </c>
      <c r="F16219">
        <v>200</v>
      </c>
      <c r="G16219">
        <v>45</v>
      </c>
    </row>
    <row r="16220" spans="1:7" x14ac:dyDescent="0.35">
      <c r="A16220" t="s">
        <v>231</v>
      </c>
      <c r="B16220" t="s">
        <v>238</v>
      </c>
      <c r="C16220">
        <v>66.89</v>
      </c>
      <c r="D16220">
        <v>58</v>
      </c>
      <c r="E16220">
        <v>18</v>
      </c>
      <c r="F16220">
        <v>260</v>
      </c>
      <c r="G16220">
        <v>81</v>
      </c>
    </row>
    <row r="16221" spans="1:7" x14ac:dyDescent="0.35">
      <c r="A16221" t="s">
        <v>232</v>
      </c>
      <c r="B16221" t="s">
        <v>232</v>
      </c>
      <c r="C16221">
        <v>63.55</v>
      </c>
      <c r="D16221">
        <v>59</v>
      </c>
      <c r="E16221">
        <v>5</v>
      </c>
      <c r="F16221">
        <v>285</v>
      </c>
      <c r="G16221">
        <v>2310</v>
      </c>
    </row>
    <row r="16223" spans="1:7" x14ac:dyDescent="0.35">
      <c r="A16223" s="1" t="s">
        <v>1702</v>
      </c>
    </row>
    <row r="16224" spans="1:7" x14ac:dyDescent="0.35">
      <c r="A16224" t="s">
        <v>219</v>
      </c>
      <c r="B16224" t="s">
        <v>305</v>
      </c>
      <c r="C16224" t="s">
        <v>534</v>
      </c>
      <c r="D16224" t="s">
        <v>535</v>
      </c>
      <c r="E16224" t="s">
        <v>536</v>
      </c>
      <c r="F16224" t="s">
        <v>537</v>
      </c>
      <c r="G16224" t="s">
        <v>226</v>
      </c>
    </row>
    <row r="16225" spans="1:7" x14ac:dyDescent="0.35">
      <c r="A16225" t="s">
        <v>227</v>
      </c>
      <c r="B16225" t="s">
        <v>244</v>
      </c>
      <c r="C16225">
        <v>67.400000000000006</v>
      </c>
      <c r="D16225">
        <v>62</v>
      </c>
      <c r="E16225">
        <v>20</v>
      </c>
      <c r="F16225">
        <v>245</v>
      </c>
      <c r="G16225">
        <v>77</v>
      </c>
    </row>
    <row r="16226" spans="1:7" x14ac:dyDescent="0.35">
      <c r="A16226" t="s">
        <v>227</v>
      </c>
      <c r="B16226" t="s">
        <v>245</v>
      </c>
      <c r="C16226">
        <v>53.76</v>
      </c>
      <c r="D16226">
        <v>52</v>
      </c>
      <c r="E16226">
        <v>13</v>
      </c>
      <c r="F16226">
        <v>120</v>
      </c>
      <c r="G16226">
        <v>45</v>
      </c>
    </row>
    <row r="16227" spans="1:7" x14ac:dyDescent="0.35">
      <c r="A16227" s="27" t="s">
        <v>227</v>
      </c>
      <c r="B16227" s="27" t="s">
        <v>246</v>
      </c>
      <c r="C16227" s="29">
        <v>58.1</v>
      </c>
      <c r="D16227" s="29">
        <v>54</v>
      </c>
      <c r="E16227" s="29">
        <v>6</v>
      </c>
      <c r="F16227" s="29">
        <v>100</v>
      </c>
      <c r="G16227" s="29">
        <v>10</v>
      </c>
    </row>
    <row r="16228" spans="1:7" x14ac:dyDescent="0.35">
      <c r="A16228" t="s">
        <v>228</v>
      </c>
      <c r="B16228" t="s">
        <v>244</v>
      </c>
      <c r="C16228">
        <v>61.27</v>
      </c>
      <c r="D16228">
        <v>60</v>
      </c>
      <c r="E16228">
        <v>6</v>
      </c>
      <c r="F16228">
        <v>170</v>
      </c>
      <c r="G16228">
        <v>511</v>
      </c>
    </row>
    <row r="16229" spans="1:7" x14ac:dyDescent="0.35">
      <c r="A16229" t="s">
        <v>228</v>
      </c>
      <c r="B16229" t="s">
        <v>245</v>
      </c>
      <c r="C16229">
        <v>47.18</v>
      </c>
      <c r="D16229">
        <v>46</v>
      </c>
      <c r="E16229">
        <v>5</v>
      </c>
      <c r="F16229">
        <v>200</v>
      </c>
      <c r="G16229">
        <v>268</v>
      </c>
    </row>
    <row r="16230" spans="1:7" x14ac:dyDescent="0.35">
      <c r="A16230" t="s">
        <v>228</v>
      </c>
      <c r="B16230" t="s">
        <v>246</v>
      </c>
      <c r="C16230">
        <v>81.16</v>
      </c>
      <c r="D16230">
        <v>85</v>
      </c>
      <c r="E16230">
        <v>35</v>
      </c>
      <c r="F16230">
        <v>205</v>
      </c>
      <c r="G16230">
        <v>52</v>
      </c>
    </row>
    <row r="16231" spans="1:7" x14ac:dyDescent="0.35">
      <c r="A16231" t="s">
        <v>229</v>
      </c>
      <c r="B16231" t="s">
        <v>244</v>
      </c>
      <c r="C16231">
        <v>63.79</v>
      </c>
      <c r="D16231">
        <v>60</v>
      </c>
      <c r="E16231">
        <v>12</v>
      </c>
      <c r="F16231">
        <v>240</v>
      </c>
      <c r="G16231">
        <v>464</v>
      </c>
    </row>
    <row r="16232" spans="1:7" x14ac:dyDescent="0.35">
      <c r="A16232" t="s">
        <v>229</v>
      </c>
      <c r="B16232" t="s">
        <v>245</v>
      </c>
      <c r="C16232">
        <v>49.37</v>
      </c>
      <c r="D16232">
        <v>48</v>
      </c>
      <c r="E16232">
        <v>12</v>
      </c>
      <c r="F16232">
        <v>130</v>
      </c>
      <c r="G16232">
        <v>256</v>
      </c>
    </row>
    <row r="16233" spans="1:7" x14ac:dyDescent="0.35">
      <c r="A16233" t="s">
        <v>229</v>
      </c>
      <c r="B16233" t="s">
        <v>246</v>
      </c>
      <c r="C16233">
        <v>82.68</v>
      </c>
      <c r="D16233">
        <v>74</v>
      </c>
      <c r="E16233">
        <v>26</v>
      </c>
      <c r="F16233">
        <v>285</v>
      </c>
      <c r="G16233">
        <v>37</v>
      </c>
    </row>
    <row r="16234" spans="1:7" x14ac:dyDescent="0.35">
      <c r="A16234" t="s">
        <v>230</v>
      </c>
      <c r="B16234" t="s">
        <v>244</v>
      </c>
      <c r="C16234">
        <v>67.87</v>
      </c>
      <c r="D16234">
        <v>60</v>
      </c>
      <c r="E16234">
        <v>12</v>
      </c>
      <c r="F16234">
        <v>260</v>
      </c>
      <c r="G16234">
        <v>311</v>
      </c>
    </row>
    <row r="16235" spans="1:7" x14ac:dyDescent="0.35">
      <c r="A16235" t="s">
        <v>230</v>
      </c>
      <c r="B16235" t="s">
        <v>245</v>
      </c>
      <c r="C16235">
        <v>51.57</v>
      </c>
      <c r="D16235">
        <v>50</v>
      </c>
      <c r="E16235">
        <v>8</v>
      </c>
      <c r="F16235">
        <v>248</v>
      </c>
      <c r="G16235">
        <v>130</v>
      </c>
    </row>
    <row r="16236" spans="1:7" x14ac:dyDescent="0.35">
      <c r="A16236" s="27" t="s">
        <v>230</v>
      </c>
      <c r="B16236" s="27" t="s">
        <v>246</v>
      </c>
      <c r="C16236" s="29">
        <v>85.46</v>
      </c>
      <c r="D16236" s="29">
        <v>76</v>
      </c>
      <c r="E16236" s="29">
        <v>20</v>
      </c>
      <c r="F16236" s="29">
        <v>250</v>
      </c>
      <c r="G16236" s="29">
        <v>23</v>
      </c>
    </row>
    <row r="16237" spans="1:7" x14ac:dyDescent="0.35">
      <c r="A16237" t="s">
        <v>231</v>
      </c>
      <c r="B16237" t="s">
        <v>244</v>
      </c>
      <c r="C16237">
        <v>76.37</v>
      </c>
      <c r="D16237">
        <v>67</v>
      </c>
      <c r="E16237">
        <v>20</v>
      </c>
      <c r="F16237">
        <v>260</v>
      </c>
      <c r="G16237">
        <v>71</v>
      </c>
    </row>
    <row r="16238" spans="1:7" x14ac:dyDescent="0.35">
      <c r="A16238" t="s">
        <v>231</v>
      </c>
      <c r="B16238" t="s">
        <v>245</v>
      </c>
      <c r="C16238">
        <v>58.02</v>
      </c>
      <c r="D16238">
        <v>50</v>
      </c>
      <c r="E16238">
        <v>10</v>
      </c>
      <c r="F16238">
        <v>200</v>
      </c>
      <c r="G16238">
        <v>45</v>
      </c>
    </row>
    <row r="16239" spans="1:7" x14ac:dyDescent="0.35">
      <c r="A16239" s="27" t="s">
        <v>231</v>
      </c>
      <c r="B16239" s="27" t="s">
        <v>246</v>
      </c>
      <c r="C16239" s="29">
        <v>88.9</v>
      </c>
      <c r="D16239" s="29">
        <v>74</v>
      </c>
      <c r="E16239" s="29">
        <v>60</v>
      </c>
      <c r="F16239" s="29">
        <v>150</v>
      </c>
      <c r="G16239" s="29">
        <v>10</v>
      </c>
    </row>
    <row r="16240" spans="1:7" x14ac:dyDescent="0.35">
      <c r="A16240" t="s">
        <v>232</v>
      </c>
      <c r="B16240" t="s">
        <v>232</v>
      </c>
      <c r="C16240">
        <v>63.55</v>
      </c>
      <c r="D16240">
        <v>59</v>
      </c>
      <c r="E16240">
        <v>5</v>
      </c>
      <c r="F16240">
        <v>285</v>
      </c>
      <c r="G16240">
        <v>2310</v>
      </c>
    </row>
    <row r="16242" spans="1:7" x14ac:dyDescent="0.35">
      <c r="A16242" s="1" t="s">
        <v>1703</v>
      </c>
    </row>
    <row r="16243" spans="1:7" x14ac:dyDescent="0.35">
      <c r="A16243" t="s">
        <v>219</v>
      </c>
      <c r="B16243" t="s">
        <v>305</v>
      </c>
      <c r="C16243" t="s">
        <v>534</v>
      </c>
      <c r="D16243" t="s">
        <v>535</v>
      </c>
      <c r="E16243" t="s">
        <v>536</v>
      </c>
      <c r="F16243" t="s">
        <v>537</v>
      </c>
      <c r="G16243" t="s">
        <v>226</v>
      </c>
    </row>
    <row r="16244" spans="1:7" x14ac:dyDescent="0.35">
      <c r="A16244" t="s">
        <v>227</v>
      </c>
      <c r="B16244" t="s">
        <v>360</v>
      </c>
      <c r="C16244">
        <v>58.81</v>
      </c>
      <c r="D16244">
        <v>52</v>
      </c>
      <c r="E16244">
        <v>13</v>
      </c>
      <c r="F16244">
        <v>120</v>
      </c>
      <c r="G16244">
        <v>31</v>
      </c>
    </row>
    <row r="16245" spans="1:7" x14ac:dyDescent="0.35">
      <c r="A16245" t="s">
        <v>227</v>
      </c>
      <c r="B16245" t="s">
        <v>363</v>
      </c>
      <c r="C16245">
        <v>57.34</v>
      </c>
      <c r="D16245">
        <v>58</v>
      </c>
      <c r="E16245">
        <v>18</v>
      </c>
      <c r="F16245">
        <v>110</v>
      </c>
      <c r="G16245">
        <v>38</v>
      </c>
    </row>
    <row r="16246" spans="1:7" x14ac:dyDescent="0.35">
      <c r="A16246" s="27" t="s">
        <v>227</v>
      </c>
      <c r="B16246" s="27" t="s">
        <v>361</v>
      </c>
      <c r="C16246" s="29">
        <v>70.11</v>
      </c>
      <c r="D16246" s="29">
        <v>63</v>
      </c>
      <c r="E16246" s="29">
        <v>20</v>
      </c>
      <c r="F16246" s="29">
        <v>245</v>
      </c>
      <c r="G16246" s="29">
        <v>28</v>
      </c>
    </row>
    <row r="16247" spans="1:7" x14ac:dyDescent="0.35">
      <c r="A16247" s="27" t="s">
        <v>227</v>
      </c>
      <c r="B16247" s="27" t="s">
        <v>362</v>
      </c>
      <c r="C16247" s="29">
        <v>62.76</v>
      </c>
      <c r="D16247" s="29">
        <v>65</v>
      </c>
      <c r="E16247" s="29">
        <v>6</v>
      </c>
      <c r="F16247" s="29">
        <v>120</v>
      </c>
      <c r="G16247" s="29">
        <v>29</v>
      </c>
    </row>
    <row r="16248" spans="1:7" x14ac:dyDescent="0.35">
      <c r="A16248" t="s">
        <v>228</v>
      </c>
      <c r="B16248" t="s">
        <v>361</v>
      </c>
      <c r="C16248">
        <v>59.49</v>
      </c>
      <c r="D16248">
        <v>54</v>
      </c>
      <c r="E16248">
        <v>8</v>
      </c>
      <c r="F16248">
        <v>186</v>
      </c>
      <c r="G16248">
        <v>170</v>
      </c>
    </row>
    <row r="16249" spans="1:7" x14ac:dyDescent="0.35">
      <c r="A16249" t="s">
        <v>228</v>
      </c>
      <c r="B16249" t="s">
        <v>362</v>
      </c>
      <c r="C16249">
        <v>54.54</v>
      </c>
      <c r="D16249">
        <v>54</v>
      </c>
      <c r="E16249">
        <v>12</v>
      </c>
      <c r="F16249">
        <v>120</v>
      </c>
      <c r="G16249">
        <v>193</v>
      </c>
    </row>
    <row r="16250" spans="1:7" x14ac:dyDescent="0.35">
      <c r="A16250" t="s">
        <v>228</v>
      </c>
      <c r="B16250" t="s">
        <v>363</v>
      </c>
      <c r="C16250">
        <v>58.22</v>
      </c>
      <c r="D16250">
        <v>54</v>
      </c>
      <c r="E16250">
        <v>12</v>
      </c>
      <c r="F16250">
        <v>200</v>
      </c>
      <c r="G16250">
        <v>175</v>
      </c>
    </row>
    <row r="16251" spans="1:7" x14ac:dyDescent="0.35">
      <c r="A16251" t="s">
        <v>228</v>
      </c>
      <c r="B16251" t="s">
        <v>360</v>
      </c>
      <c r="C16251">
        <v>60.26</v>
      </c>
      <c r="D16251">
        <v>59</v>
      </c>
      <c r="E16251">
        <v>5</v>
      </c>
      <c r="F16251">
        <v>120</v>
      </c>
      <c r="G16251">
        <v>204</v>
      </c>
    </row>
    <row r="16252" spans="1:7" x14ac:dyDescent="0.35">
      <c r="A16252" t="s">
        <v>229</v>
      </c>
      <c r="B16252" t="s">
        <v>362</v>
      </c>
      <c r="C16252">
        <v>55.91</v>
      </c>
      <c r="D16252">
        <v>60</v>
      </c>
      <c r="E16252">
        <v>15</v>
      </c>
      <c r="F16252">
        <v>134</v>
      </c>
      <c r="G16252">
        <v>154</v>
      </c>
    </row>
    <row r="16253" spans="1:7" x14ac:dyDescent="0.35">
      <c r="A16253" t="s">
        <v>229</v>
      </c>
      <c r="B16253" t="s">
        <v>360</v>
      </c>
      <c r="C16253">
        <v>59.26</v>
      </c>
      <c r="D16253">
        <v>58</v>
      </c>
      <c r="E16253">
        <v>12</v>
      </c>
      <c r="F16253">
        <v>140</v>
      </c>
      <c r="G16253">
        <v>140</v>
      </c>
    </row>
    <row r="16254" spans="1:7" x14ac:dyDescent="0.35">
      <c r="A16254" t="s">
        <v>229</v>
      </c>
      <c r="B16254" t="s">
        <v>361</v>
      </c>
      <c r="C16254">
        <v>66.260000000000005</v>
      </c>
      <c r="D16254">
        <v>56</v>
      </c>
      <c r="E16254">
        <v>15</v>
      </c>
      <c r="F16254">
        <v>285</v>
      </c>
      <c r="G16254">
        <v>215</v>
      </c>
    </row>
    <row r="16255" spans="1:7" x14ac:dyDescent="0.35">
      <c r="A16255" t="s">
        <v>229</v>
      </c>
      <c r="B16255" t="s">
        <v>363</v>
      </c>
      <c r="C16255">
        <v>56.62</v>
      </c>
      <c r="D16255">
        <v>53</v>
      </c>
      <c r="E16255">
        <v>12</v>
      </c>
      <c r="F16255">
        <v>240</v>
      </c>
      <c r="G16255">
        <v>166</v>
      </c>
    </row>
    <row r="16256" spans="1:7" x14ac:dyDescent="0.35">
      <c r="A16256" t="s">
        <v>230</v>
      </c>
      <c r="B16256" t="s">
        <v>361</v>
      </c>
      <c r="C16256">
        <v>71.959999999999994</v>
      </c>
      <c r="D16256">
        <v>60</v>
      </c>
      <c r="E16256">
        <v>8</v>
      </c>
      <c r="F16256">
        <v>260</v>
      </c>
      <c r="G16256">
        <v>102</v>
      </c>
    </row>
    <row r="16257" spans="1:7" x14ac:dyDescent="0.35">
      <c r="A16257" t="s">
        <v>230</v>
      </c>
      <c r="B16257" t="s">
        <v>363</v>
      </c>
      <c r="C16257">
        <v>60.09</v>
      </c>
      <c r="D16257">
        <v>50</v>
      </c>
      <c r="E16257">
        <v>18</v>
      </c>
      <c r="F16257">
        <v>250</v>
      </c>
      <c r="G16257">
        <v>108</v>
      </c>
    </row>
    <row r="16258" spans="1:7" x14ac:dyDescent="0.35">
      <c r="A16258" t="s">
        <v>230</v>
      </c>
      <c r="B16258" t="s">
        <v>360</v>
      </c>
      <c r="C16258">
        <v>71.209999999999994</v>
      </c>
      <c r="D16258">
        <v>61</v>
      </c>
      <c r="E16258">
        <v>15</v>
      </c>
      <c r="F16258">
        <v>200</v>
      </c>
      <c r="G16258">
        <v>84</v>
      </c>
    </row>
    <row r="16259" spans="1:7" x14ac:dyDescent="0.35">
      <c r="A16259" t="s">
        <v>230</v>
      </c>
      <c r="B16259" t="s">
        <v>362</v>
      </c>
      <c r="C16259">
        <v>54.94</v>
      </c>
      <c r="D16259">
        <v>55</v>
      </c>
      <c r="E16259">
        <v>8</v>
      </c>
      <c r="F16259">
        <v>141</v>
      </c>
      <c r="G16259">
        <v>132</v>
      </c>
    </row>
    <row r="16260" spans="1:7" x14ac:dyDescent="0.35">
      <c r="A16260" t="s">
        <v>231</v>
      </c>
      <c r="B16260" t="s">
        <v>360</v>
      </c>
      <c r="C16260">
        <v>76.87</v>
      </c>
      <c r="D16260">
        <v>64</v>
      </c>
      <c r="E16260">
        <v>28</v>
      </c>
      <c r="F16260">
        <v>260</v>
      </c>
      <c r="G16260">
        <v>31</v>
      </c>
    </row>
    <row r="16261" spans="1:7" x14ac:dyDescent="0.35">
      <c r="A16261" s="27" t="s">
        <v>231</v>
      </c>
      <c r="B16261" s="27" t="s">
        <v>363</v>
      </c>
      <c r="C16261" s="29">
        <v>76.260000000000005</v>
      </c>
      <c r="D16261" s="29">
        <v>70</v>
      </c>
      <c r="E16261" s="29">
        <v>20</v>
      </c>
      <c r="F16261" s="29">
        <v>200</v>
      </c>
      <c r="G16261" s="29">
        <v>23</v>
      </c>
    </row>
    <row r="16262" spans="1:7" x14ac:dyDescent="0.35">
      <c r="A16262" t="s">
        <v>231</v>
      </c>
      <c r="B16262" t="s">
        <v>361</v>
      </c>
      <c r="C16262">
        <v>63.21</v>
      </c>
      <c r="D16262">
        <v>60</v>
      </c>
      <c r="E16262">
        <v>10</v>
      </c>
      <c r="F16262">
        <v>150</v>
      </c>
      <c r="G16262">
        <v>43</v>
      </c>
    </row>
    <row r="16263" spans="1:7" x14ac:dyDescent="0.35">
      <c r="A16263" s="27" t="s">
        <v>231</v>
      </c>
      <c r="B16263" s="27" t="s">
        <v>362</v>
      </c>
      <c r="C16263" s="29">
        <v>74.39</v>
      </c>
      <c r="D16263" s="29">
        <v>67</v>
      </c>
      <c r="E16263" s="29">
        <v>12</v>
      </c>
      <c r="F16263" s="29">
        <v>200</v>
      </c>
      <c r="G16263" s="29">
        <v>23</v>
      </c>
    </row>
    <row r="16264" spans="1:7" x14ac:dyDescent="0.35">
      <c r="A16264" t="s">
        <v>232</v>
      </c>
      <c r="B16264" t="s">
        <v>232</v>
      </c>
      <c r="C16264">
        <v>63.55</v>
      </c>
      <c r="D16264">
        <v>59</v>
      </c>
      <c r="E16264">
        <v>5</v>
      </c>
      <c r="F16264">
        <v>285</v>
      </c>
      <c r="G16264">
        <v>2310</v>
      </c>
    </row>
    <row r="16266" spans="1:7" x14ac:dyDescent="0.35">
      <c r="A16266" s="1" t="s">
        <v>1704</v>
      </c>
    </row>
    <row r="16267" spans="1:7" x14ac:dyDescent="0.35">
      <c r="A16267" t="s">
        <v>219</v>
      </c>
      <c r="B16267" t="s">
        <v>305</v>
      </c>
      <c r="C16267" t="s">
        <v>534</v>
      </c>
      <c r="D16267" t="s">
        <v>535</v>
      </c>
      <c r="E16267" t="s">
        <v>536</v>
      </c>
      <c r="F16267" t="s">
        <v>537</v>
      </c>
      <c r="G16267" t="s">
        <v>226</v>
      </c>
    </row>
    <row r="16268" spans="1:7" x14ac:dyDescent="0.35">
      <c r="A16268" s="27" t="s">
        <v>227</v>
      </c>
      <c r="B16268" s="27" t="s">
        <v>267</v>
      </c>
      <c r="C16268" s="29">
        <v>62.85</v>
      </c>
      <c r="D16268" s="29">
        <v>62</v>
      </c>
      <c r="E16268" s="29">
        <v>26</v>
      </c>
      <c r="F16268" s="29">
        <v>120</v>
      </c>
      <c r="G16268" s="29">
        <v>27</v>
      </c>
    </row>
    <row r="16269" spans="1:7" x14ac:dyDescent="0.35">
      <c r="A16269" t="s">
        <v>227</v>
      </c>
      <c r="B16269" t="s">
        <v>266</v>
      </c>
      <c r="C16269">
        <v>52.53</v>
      </c>
      <c r="D16269">
        <v>52</v>
      </c>
      <c r="E16269">
        <v>13</v>
      </c>
      <c r="F16269">
        <v>120</v>
      </c>
      <c r="G16269">
        <v>47</v>
      </c>
    </row>
    <row r="16270" spans="1:7" x14ac:dyDescent="0.35">
      <c r="A16270" t="s">
        <v>227</v>
      </c>
      <c r="B16270" t="s">
        <v>265</v>
      </c>
      <c r="C16270">
        <v>69.38</v>
      </c>
      <c r="D16270">
        <v>62</v>
      </c>
      <c r="E16270">
        <v>6</v>
      </c>
      <c r="F16270">
        <v>245</v>
      </c>
      <c r="G16270">
        <v>58</v>
      </c>
    </row>
    <row r="16271" spans="1:7" x14ac:dyDescent="0.35">
      <c r="A16271" t="s">
        <v>228</v>
      </c>
      <c r="B16271" t="s">
        <v>267</v>
      </c>
      <c r="C16271">
        <v>59.82</v>
      </c>
      <c r="D16271">
        <v>56</v>
      </c>
      <c r="E16271">
        <v>12</v>
      </c>
      <c r="F16271">
        <v>160</v>
      </c>
      <c r="G16271">
        <v>151</v>
      </c>
    </row>
    <row r="16272" spans="1:7" x14ac:dyDescent="0.35">
      <c r="A16272" t="s">
        <v>228</v>
      </c>
      <c r="B16272" t="s">
        <v>266</v>
      </c>
      <c r="C16272">
        <v>51.15</v>
      </c>
      <c r="D16272">
        <v>49</v>
      </c>
      <c r="E16272">
        <v>5</v>
      </c>
      <c r="F16272">
        <v>205</v>
      </c>
      <c r="G16272">
        <v>360</v>
      </c>
    </row>
    <row r="16273" spans="1:7" x14ac:dyDescent="0.35">
      <c r="A16273" s="27" t="s">
        <v>228</v>
      </c>
      <c r="B16273" s="27" t="s">
        <v>236</v>
      </c>
      <c r="C16273" s="29">
        <v>69.5</v>
      </c>
      <c r="D16273" s="29">
        <v>57</v>
      </c>
      <c r="E16273" s="29">
        <v>57</v>
      </c>
      <c r="F16273" s="29">
        <v>82</v>
      </c>
      <c r="G16273" s="29">
        <v>2</v>
      </c>
    </row>
    <row r="16274" spans="1:7" x14ac:dyDescent="0.35">
      <c r="A16274" t="s">
        <v>228</v>
      </c>
      <c r="B16274" t="s">
        <v>265</v>
      </c>
      <c r="C16274">
        <v>64.819999999999993</v>
      </c>
      <c r="D16274">
        <v>60</v>
      </c>
      <c r="E16274">
        <v>6</v>
      </c>
      <c r="F16274">
        <v>170</v>
      </c>
      <c r="G16274">
        <v>318</v>
      </c>
    </row>
    <row r="16275" spans="1:7" x14ac:dyDescent="0.35">
      <c r="A16275" t="s">
        <v>229</v>
      </c>
      <c r="B16275" t="s">
        <v>267</v>
      </c>
      <c r="C16275">
        <v>65.2</v>
      </c>
      <c r="D16275">
        <v>60</v>
      </c>
      <c r="E16275">
        <v>15</v>
      </c>
      <c r="F16275">
        <v>285</v>
      </c>
      <c r="G16275">
        <v>171</v>
      </c>
    </row>
    <row r="16276" spans="1:7" x14ac:dyDescent="0.35">
      <c r="A16276" t="s">
        <v>229</v>
      </c>
      <c r="B16276" t="s">
        <v>265</v>
      </c>
      <c r="C16276">
        <v>64.69</v>
      </c>
      <c r="D16276">
        <v>60</v>
      </c>
      <c r="E16276">
        <v>12</v>
      </c>
      <c r="F16276">
        <v>240</v>
      </c>
      <c r="G16276">
        <v>282</v>
      </c>
    </row>
    <row r="16277" spans="1:7" x14ac:dyDescent="0.35">
      <c r="A16277" t="s">
        <v>229</v>
      </c>
      <c r="B16277" t="s">
        <v>266</v>
      </c>
      <c r="C16277">
        <v>52.99</v>
      </c>
      <c r="D16277">
        <v>50</v>
      </c>
      <c r="E16277">
        <v>12</v>
      </c>
      <c r="F16277">
        <v>240</v>
      </c>
      <c r="G16277">
        <v>304</v>
      </c>
    </row>
    <row r="16278" spans="1:7" x14ac:dyDescent="0.35">
      <c r="A16278" t="s">
        <v>230</v>
      </c>
      <c r="B16278" t="s">
        <v>265</v>
      </c>
      <c r="C16278">
        <v>72.67</v>
      </c>
      <c r="D16278">
        <v>60</v>
      </c>
      <c r="E16278">
        <v>15</v>
      </c>
      <c r="F16278">
        <v>200</v>
      </c>
      <c r="G16278">
        <v>177</v>
      </c>
    </row>
    <row r="16279" spans="1:7" x14ac:dyDescent="0.35">
      <c r="A16279" t="s">
        <v>230</v>
      </c>
      <c r="B16279" t="s">
        <v>266</v>
      </c>
      <c r="C16279">
        <v>55.74</v>
      </c>
      <c r="D16279">
        <v>54</v>
      </c>
      <c r="E16279">
        <v>8</v>
      </c>
      <c r="F16279">
        <v>200</v>
      </c>
      <c r="G16279">
        <v>186</v>
      </c>
    </row>
    <row r="16280" spans="1:7" x14ac:dyDescent="0.35">
      <c r="A16280" t="s">
        <v>230</v>
      </c>
      <c r="B16280" t="s">
        <v>267</v>
      </c>
      <c r="C16280">
        <v>63.01</v>
      </c>
      <c r="D16280">
        <v>52</v>
      </c>
      <c r="E16280">
        <v>8</v>
      </c>
      <c r="F16280">
        <v>260</v>
      </c>
      <c r="G16280">
        <v>101</v>
      </c>
    </row>
    <row r="16281" spans="1:7" x14ac:dyDescent="0.35">
      <c r="A16281" t="s">
        <v>231</v>
      </c>
      <c r="B16281" t="s">
        <v>267</v>
      </c>
      <c r="C16281">
        <v>74.930000000000007</v>
      </c>
      <c r="D16281">
        <v>54</v>
      </c>
      <c r="E16281">
        <v>10</v>
      </c>
      <c r="F16281">
        <v>260</v>
      </c>
      <c r="G16281">
        <v>30</v>
      </c>
    </row>
    <row r="16282" spans="1:7" x14ac:dyDescent="0.35">
      <c r="A16282" t="s">
        <v>231</v>
      </c>
      <c r="B16282" t="s">
        <v>265</v>
      </c>
      <c r="C16282">
        <v>76.02</v>
      </c>
      <c r="D16282">
        <v>65</v>
      </c>
      <c r="E16282">
        <v>20</v>
      </c>
      <c r="F16282">
        <v>200</v>
      </c>
      <c r="G16282">
        <v>52</v>
      </c>
    </row>
    <row r="16283" spans="1:7" x14ac:dyDescent="0.35">
      <c r="A16283" t="s">
        <v>231</v>
      </c>
      <c r="B16283" t="s">
        <v>266</v>
      </c>
      <c r="C16283">
        <v>61.84</v>
      </c>
      <c r="D16283">
        <v>58</v>
      </c>
      <c r="E16283">
        <v>12</v>
      </c>
      <c r="F16283">
        <v>190</v>
      </c>
      <c r="G16283">
        <v>44</v>
      </c>
    </row>
    <row r="16284" spans="1:7" x14ac:dyDescent="0.35">
      <c r="A16284" t="s">
        <v>232</v>
      </c>
      <c r="B16284" t="s">
        <v>232</v>
      </c>
      <c r="C16284">
        <v>63.55</v>
      </c>
      <c r="D16284">
        <v>59</v>
      </c>
      <c r="E16284">
        <v>5</v>
      </c>
      <c r="F16284">
        <v>285</v>
      </c>
      <c r="G16284">
        <v>2310</v>
      </c>
    </row>
    <row r="16286" spans="1:7" x14ac:dyDescent="0.35">
      <c r="A16286" s="1" t="s">
        <v>1705</v>
      </c>
    </row>
    <row r="16287" spans="1:7" x14ac:dyDescent="0.35">
      <c r="A16287" t="s">
        <v>219</v>
      </c>
      <c r="B16287" t="s">
        <v>305</v>
      </c>
      <c r="C16287" t="s">
        <v>534</v>
      </c>
      <c r="D16287" t="s">
        <v>535</v>
      </c>
      <c r="E16287" t="s">
        <v>536</v>
      </c>
      <c r="F16287" t="s">
        <v>537</v>
      </c>
      <c r="G16287" t="s">
        <v>226</v>
      </c>
    </row>
    <row r="16288" spans="1:7" x14ac:dyDescent="0.35">
      <c r="A16288" t="s">
        <v>227</v>
      </c>
      <c r="B16288" t="s">
        <v>252</v>
      </c>
      <c r="C16288">
        <v>64.319999999999993</v>
      </c>
      <c r="D16288">
        <v>60</v>
      </c>
      <c r="E16288">
        <v>13</v>
      </c>
      <c r="F16288">
        <v>245</v>
      </c>
      <c r="G16288">
        <v>40</v>
      </c>
    </row>
    <row r="16289" spans="1:7" x14ac:dyDescent="0.35">
      <c r="A16289" s="27" t="s">
        <v>227</v>
      </c>
      <c r="B16289" s="27" t="s">
        <v>253</v>
      </c>
      <c r="C16289" s="29">
        <v>68.89</v>
      </c>
      <c r="D16289" s="29">
        <v>70</v>
      </c>
      <c r="E16289" s="29">
        <v>29</v>
      </c>
      <c r="F16289" s="29">
        <v>126</v>
      </c>
      <c r="G16289" s="29">
        <v>27</v>
      </c>
    </row>
    <row r="16290" spans="1:7" x14ac:dyDescent="0.35">
      <c r="A16290" t="s">
        <v>227</v>
      </c>
      <c r="B16290" t="s">
        <v>251</v>
      </c>
      <c r="C16290">
        <v>57.8</v>
      </c>
      <c r="D16290">
        <v>54</v>
      </c>
      <c r="E16290">
        <v>6</v>
      </c>
      <c r="F16290">
        <v>120</v>
      </c>
      <c r="G16290">
        <v>65</v>
      </c>
    </row>
    <row r="16291" spans="1:7" x14ac:dyDescent="0.35">
      <c r="A16291" t="s">
        <v>228</v>
      </c>
      <c r="B16291" t="s">
        <v>252</v>
      </c>
      <c r="C16291">
        <v>54.1</v>
      </c>
      <c r="D16291">
        <v>54</v>
      </c>
      <c r="E16291">
        <v>5</v>
      </c>
      <c r="F16291">
        <v>200</v>
      </c>
      <c r="G16291">
        <v>278</v>
      </c>
    </row>
    <row r="16292" spans="1:7" x14ac:dyDescent="0.35">
      <c r="A16292" t="s">
        <v>228</v>
      </c>
      <c r="B16292" t="s">
        <v>253</v>
      </c>
      <c r="C16292">
        <v>66.400000000000006</v>
      </c>
      <c r="D16292">
        <v>60</v>
      </c>
      <c r="E16292">
        <v>6</v>
      </c>
      <c r="F16292">
        <v>150</v>
      </c>
      <c r="G16292">
        <v>183</v>
      </c>
    </row>
    <row r="16293" spans="1:7" x14ac:dyDescent="0.35">
      <c r="A16293" t="s">
        <v>228</v>
      </c>
      <c r="B16293" t="s">
        <v>251</v>
      </c>
      <c r="C16293">
        <v>58.06</v>
      </c>
      <c r="D16293">
        <v>52</v>
      </c>
      <c r="E16293">
        <v>8</v>
      </c>
      <c r="F16293">
        <v>205</v>
      </c>
      <c r="G16293">
        <v>370</v>
      </c>
    </row>
    <row r="16294" spans="1:7" x14ac:dyDescent="0.35">
      <c r="A16294" t="s">
        <v>229</v>
      </c>
      <c r="B16294" t="s">
        <v>252</v>
      </c>
      <c r="C16294">
        <v>56.86</v>
      </c>
      <c r="D16294">
        <v>58</v>
      </c>
      <c r="E16294">
        <v>12</v>
      </c>
      <c r="F16294">
        <v>130</v>
      </c>
      <c r="G16294">
        <v>185</v>
      </c>
    </row>
    <row r="16295" spans="1:7" x14ac:dyDescent="0.35">
      <c r="A16295" t="s">
        <v>229</v>
      </c>
      <c r="B16295" t="s">
        <v>253</v>
      </c>
      <c r="C16295">
        <v>69.59</v>
      </c>
      <c r="D16295">
        <v>60</v>
      </c>
      <c r="E16295">
        <v>12</v>
      </c>
      <c r="F16295">
        <v>285</v>
      </c>
      <c r="G16295">
        <v>120</v>
      </c>
    </row>
    <row r="16296" spans="1:7" x14ac:dyDescent="0.35">
      <c r="A16296" t="s">
        <v>229</v>
      </c>
      <c r="B16296" t="s">
        <v>251</v>
      </c>
      <c r="C16296">
        <v>59.85</v>
      </c>
      <c r="D16296">
        <v>55</v>
      </c>
      <c r="E16296">
        <v>15</v>
      </c>
      <c r="F16296">
        <v>240</v>
      </c>
      <c r="G16296">
        <v>452</v>
      </c>
    </row>
    <row r="16297" spans="1:7" x14ac:dyDescent="0.35">
      <c r="A16297" t="s">
        <v>230</v>
      </c>
      <c r="B16297" t="s">
        <v>252</v>
      </c>
      <c r="C16297">
        <v>54.25</v>
      </c>
      <c r="D16297">
        <v>50</v>
      </c>
      <c r="E16297">
        <v>8</v>
      </c>
      <c r="F16297">
        <v>248</v>
      </c>
      <c r="G16297">
        <v>136</v>
      </c>
    </row>
    <row r="16298" spans="1:7" x14ac:dyDescent="0.35">
      <c r="A16298" t="s">
        <v>230</v>
      </c>
      <c r="B16298" t="s">
        <v>253</v>
      </c>
      <c r="C16298">
        <v>81.02</v>
      </c>
      <c r="D16298">
        <v>70</v>
      </c>
      <c r="E16298">
        <v>27</v>
      </c>
      <c r="F16298">
        <v>260</v>
      </c>
      <c r="G16298">
        <v>98</v>
      </c>
    </row>
    <row r="16299" spans="1:7" x14ac:dyDescent="0.35">
      <c r="A16299" t="s">
        <v>230</v>
      </c>
      <c r="B16299" t="s">
        <v>251</v>
      </c>
      <c r="C16299">
        <v>63.62</v>
      </c>
      <c r="D16299">
        <v>51</v>
      </c>
      <c r="E16299">
        <v>8</v>
      </c>
      <c r="F16299">
        <v>250</v>
      </c>
      <c r="G16299">
        <v>230</v>
      </c>
    </row>
    <row r="16300" spans="1:7" x14ac:dyDescent="0.35">
      <c r="A16300" t="s">
        <v>231</v>
      </c>
      <c r="B16300" t="s">
        <v>252</v>
      </c>
      <c r="C16300">
        <v>73.78</v>
      </c>
      <c r="D16300">
        <v>60</v>
      </c>
      <c r="E16300">
        <v>16</v>
      </c>
      <c r="F16300">
        <v>260</v>
      </c>
      <c r="G16300">
        <v>40</v>
      </c>
    </row>
    <row r="16301" spans="1:7" x14ac:dyDescent="0.35">
      <c r="A16301" s="27" t="s">
        <v>231</v>
      </c>
      <c r="B16301" s="27" t="s">
        <v>253</v>
      </c>
      <c r="C16301" s="29">
        <v>82.55</v>
      </c>
      <c r="D16301" s="29">
        <v>77</v>
      </c>
      <c r="E16301" s="29">
        <v>44</v>
      </c>
      <c r="F16301" s="29">
        <v>180</v>
      </c>
      <c r="G16301" s="29">
        <v>22</v>
      </c>
    </row>
    <row r="16302" spans="1:7" x14ac:dyDescent="0.35">
      <c r="A16302" t="s">
        <v>231</v>
      </c>
      <c r="B16302" t="s">
        <v>251</v>
      </c>
      <c r="C16302">
        <v>64.92</v>
      </c>
      <c r="D16302">
        <v>60</v>
      </c>
      <c r="E16302">
        <v>10</v>
      </c>
      <c r="F16302">
        <v>150</v>
      </c>
      <c r="G16302">
        <v>64</v>
      </c>
    </row>
    <row r="16303" spans="1:7" x14ac:dyDescent="0.35">
      <c r="A16303" t="s">
        <v>232</v>
      </c>
      <c r="B16303" t="s">
        <v>232</v>
      </c>
      <c r="C16303">
        <v>63.55</v>
      </c>
      <c r="D16303">
        <v>59</v>
      </c>
      <c r="E16303">
        <v>5</v>
      </c>
      <c r="F16303">
        <v>285</v>
      </c>
      <c r="G16303">
        <v>2310</v>
      </c>
    </row>
    <row r="16305" spans="1:7" x14ac:dyDescent="0.35">
      <c r="A16305" s="1" t="s">
        <v>1706</v>
      </c>
    </row>
    <row r="16306" spans="1:7" x14ac:dyDescent="0.35">
      <c r="A16306" t="s">
        <v>219</v>
      </c>
      <c r="B16306" t="s">
        <v>305</v>
      </c>
      <c r="C16306" t="s">
        <v>534</v>
      </c>
      <c r="D16306" t="s">
        <v>535</v>
      </c>
      <c r="E16306" t="s">
        <v>536</v>
      </c>
      <c r="F16306" t="s">
        <v>537</v>
      </c>
      <c r="G16306" t="s">
        <v>226</v>
      </c>
    </row>
    <row r="16307" spans="1:7" x14ac:dyDescent="0.35">
      <c r="A16307" t="s">
        <v>227</v>
      </c>
      <c r="B16307" t="s">
        <v>249</v>
      </c>
      <c r="C16307">
        <v>60.09</v>
      </c>
      <c r="D16307">
        <v>55</v>
      </c>
      <c r="E16307">
        <v>6</v>
      </c>
      <c r="F16307">
        <v>120</v>
      </c>
      <c r="G16307">
        <v>34</v>
      </c>
    </row>
    <row r="16308" spans="1:7" x14ac:dyDescent="0.35">
      <c r="A16308" t="s">
        <v>227</v>
      </c>
      <c r="B16308" t="s">
        <v>248</v>
      </c>
      <c r="C16308">
        <v>62.72</v>
      </c>
      <c r="D16308">
        <v>60</v>
      </c>
      <c r="E16308">
        <v>13</v>
      </c>
      <c r="F16308">
        <v>245</v>
      </c>
      <c r="G16308">
        <v>98</v>
      </c>
    </row>
    <row r="16309" spans="1:7" x14ac:dyDescent="0.35">
      <c r="A16309" t="s">
        <v>228</v>
      </c>
      <c r="B16309" t="s">
        <v>249</v>
      </c>
      <c r="C16309">
        <v>67.31</v>
      </c>
      <c r="D16309">
        <v>60</v>
      </c>
      <c r="E16309">
        <v>12</v>
      </c>
      <c r="F16309">
        <v>205</v>
      </c>
      <c r="G16309">
        <v>212</v>
      </c>
    </row>
    <row r="16310" spans="1:7" x14ac:dyDescent="0.35">
      <c r="A16310" t="s">
        <v>228</v>
      </c>
      <c r="B16310" t="s">
        <v>248</v>
      </c>
      <c r="C16310">
        <v>55</v>
      </c>
      <c r="D16310">
        <v>52</v>
      </c>
      <c r="E16310">
        <v>5</v>
      </c>
      <c r="F16310">
        <v>200</v>
      </c>
      <c r="G16310">
        <v>619</v>
      </c>
    </row>
    <row r="16311" spans="1:7" x14ac:dyDescent="0.35">
      <c r="A16311" t="s">
        <v>229</v>
      </c>
      <c r="B16311" t="s">
        <v>249</v>
      </c>
      <c r="C16311">
        <v>65.13</v>
      </c>
      <c r="D16311">
        <v>60</v>
      </c>
      <c r="E16311">
        <v>12</v>
      </c>
      <c r="F16311">
        <v>285</v>
      </c>
      <c r="G16311">
        <v>218</v>
      </c>
    </row>
    <row r="16312" spans="1:7" x14ac:dyDescent="0.35">
      <c r="A16312" t="s">
        <v>229</v>
      </c>
      <c r="B16312" t="s">
        <v>248</v>
      </c>
      <c r="C16312">
        <v>58.85</v>
      </c>
      <c r="D16312">
        <v>54</v>
      </c>
      <c r="E16312">
        <v>12</v>
      </c>
      <c r="F16312">
        <v>240</v>
      </c>
      <c r="G16312">
        <v>539</v>
      </c>
    </row>
    <row r="16313" spans="1:7" x14ac:dyDescent="0.35">
      <c r="A16313" t="s">
        <v>230</v>
      </c>
      <c r="B16313" t="s">
        <v>249</v>
      </c>
      <c r="C16313">
        <v>65.97</v>
      </c>
      <c r="D16313">
        <v>56</v>
      </c>
      <c r="E16313">
        <v>15</v>
      </c>
      <c r="F16313">
        <v>250</v>
      </c>
      <c r="G16313">
        <v>136</v>
      </c>
    </row>
    <row r="16314" spans="1:7" x14ac:dyDescent="0.35">
      <c r="A16314" t="s">
        <v>230</v>
      </c>
      <c r="B16314" t="s">
        <v>248</v>
      </c>
      <c r="C16314">
        <v>64.209999999999994</v>
      </c>
      <c r="D16314">
        <v>58</v>
      </c>
      <c r="E16314">
        <v>8</v>
      </c>
      <c r="F16314">
        <v>260</v>
      </c>
      <c r="G16314">
        <v>328</v>
      </c>
    </row>
    <row r="16315" spans="1:7" x14ac:dyDescent="0.35">
      <c r="A16315" s="27" t="s">
        <v>231</v>
      </c>
      <c r="B16315" s="27" t="s">
        <v>249</v>
      </c>
      <c r="C16315" s="29">
        <v>73.88</v>
      </c>
      <c r="D16315" s="29">
        <v>70</v>
      </c>
      <c r="E16315" s="29">
        <v>30</v>
      </c>
      <c r="F16315" s="29">
        <v>160</v>
      </c>
      <c r="G16315" s="29">
        <v>26</v>
      </c>
    </row>
    <row r="16316" spans="1:7" x14ac:dyDescent="0.35">
      <c r="A16316" t="s">
        <v>231</v>
      </c>
      <c r="B16316" t="s">
        <v>248</v>
      </c>
      <c r="C16316">
        <v>70.010000000000005</v>
      </c>
      <c r="D16316">
        <v>60</v>
      </c>
      <c r="E16316">
        <v>10</v>
      </c>
      <c r="F16316">
        <v>260</v>
      </c>
      <c r="G16316">
        <v>100</v>
      </c>
    </row>
    <row r="16317" spans="1:7" x14ac:dyDescent="0.35">
      <c r="A16317" t="s">
        <v>232</v>
      </c>
      <c r="B16317" t="s">
        <v>232</v>
      </c>
      <c r="C16317">
        <v>63.55</v>
      </c>
      <c r="D16317">
        <v>59</v>
      </c>
      <c r="E16317">
        <v>5</v>
      </c>
      <c r="F16317">
        <v>285</v>
      </c>
      <c r="G16317">
        <v>2310</v>
      </c>
    </row>
    <row r="16319" spans="1:7" x14ac:dyDescent="0.35">
      <c r="A16319" s="1" t="s">
        <v>1707</v>
      </c>
    </row>
    <row r="16320" spans="1:7" x14ac:dyDescent="0.35">
      <c r="A16320" t="s">
        <v>219</v>
      </c>
      <c r="B16320" t="s">
        <v>305</v>
      </c>
      <c r="C16320" t="s">
        <v>534</v>
      </c>
      <c r="D16320" t="s">
        <v>535</v>
      </c>
      <c r="E16320" t="s">
        <v>536</v>
      </c>
      <c r="F16320" t="s">
        <v>537</v>
      </c>
      <c r="G16320" t="s">
        <v>226</v>
      </c>
    </row>
    <row r="16321" spans="1:7" x14ac:dyDescent="0.35">
      <c r="A16321" s="27" t="s">
        <v>227</v>
      </c>
      <c r="B16321" s="27" t="s">
        <v>263</v>
      </c>
      <c r="C16321" s="29">
        <v>69</v>
      </c>
      <c r="D16321" s="29">
        <v>58</v>
      </c>
      <c r="E16321" s="29">
        <v>58</v>
      </c>
      <c r="F16321" s="29">
        <v>80</v>
      </c>
      <c r="G16321" s="29">
        <v>2</v>
      </c>
    </row>
    <row r="16322" spans="1:7" x14ac:dyDescent="0.35">
      <c r="A16322" s="27" t="s">
        <v>227</v>
      </c>
      <c r="B16322" s="27" t="s">
        <v>262</v>
      </c>
      <c r="C16322" s="29">
        <v>40.67</v>
      </c>
      <c r="D16322" s="29">
        <v>55</v>
      </c>
      <c r="E16322" s="29">
        <v>27</v>
      </c>
      <c r="F16322" s="29">
        <v>55</v>
      </c>
      <c r="G16322" s="29">
        <v>3</v>
      </c>
    </row>
    <row r="16323" spans="1:7" x14ac:dyDescent="0.35">
      <c r="A16323" s="27" t="s">
        <v>227</v>
      </c>
      <c r="B16323" s="27" t="s">
        <v>261</v>
      </c>
      <c r="C16323" s="29">
        <v>47.17</v>
      </c>
      <c r="D16323" s="29">
        <v>48</v>
      </c>
      <c r="E16323" s="29">
        <v>6</v>
      </c>
      <c r="F16323" s="29">
        <v>99</v>
      </c>
      <c r="G16323" s="29">
        <v>23</v>
      </c>
    </row>
    <row r="16324" spans="1:7" x14ac:dyDescent="0.35">
      <c r="A16324" t="s">
        <v>227</v>
      </c>
      <c r="B16324" t="s">
        <v>260</v>
      </c>
      <c r="C16324">
        <v>65.819999999999993</v>
      </c>
      <c r="D16324">
        <v>61</v>
      </c>
      <c r="E16324">
        <v>13</v>
      </c>
      <c r="F16324">
        <v>245</v>
      </c>
      <c r="G16324">
        <v>104</v>
      </c>
    </row>
    <row r="16325" spans="1:7" x14ac:dyDescent="0.35">
      <c r="A16325" t="s">
        <v>228</v>
      </c>
      <c r="B16325" t="s">
        <v>262</v>
      </c>
      <c r="C16325">
        <v>58.54</v>
      </c>
      <c r="D16325">
        <v>60</v>
      </c>
      <c r="E16325">
        <v>12</v>
      </c>
      <c r="F16325">
        <v>205</v>
      </c>
      <c r="G16325">
        <v>181</v>
      </c>
    </row>
    <row r="16326" spans="1:7" x14ac:dyDescent="0.35">
      <c r="A16326" s="27" t="s">
        <v>228</v>
      </c>
      <c r="B16326" s="27" t="s">
        <v>236</v>
      </c>
      <c r="C16326" s="29">
        <v>59.94</v>
      </c>
      <c r="D16326" s="29">
        <v>80</v>
      </c>
      <c r="E16326" s="29">
        <v>48</v>
      </c>
      <c r="F16326" s="29">
        <v>80</v>
      </c>
      <c r="G16326" s="29">
        <v>3</v>
      </c>
    </row>
    <row r="16327" spans="1:7" x14ac:dyDescent="0.35">
      <c r="A16327" t="s">
        <v>228</v>
      </c>
      <c r="B16327" t="s">
        <v>260</v>
      </c>
      <c r="C16327">
        <v>60.2</v>
      </c>
      <c r="D16327">
        <v>56</v>
      </c>
      <c r="E16327">
        <v>5</v>
      </c>
      <c r="F16327">
        <v>186</v>
      </c>
      <c r="G16327">
        <v>506</v>
      </c>
    </row>
    <row r="16328" spans="1:7" x14ac:dyDescent="0.35">
      <c r="A16328" t="s">
        <v>228</v>
      </c>
      <c r="B16328" t="s">
        <v>261</v>
      </c>
      <c r="C16328">
        <v>49.46</v>
      </c>
      <c r="D16328">
        <v>45</v>
      </c>
      <c r="E16328">
        <v>6</v>
      </c>
      <c r="F16328">
        <v>200</v>
      </c>
      <c r="G16328">
        <v>121</v>
      </c>
    </row>
    <row r="16329" spans="1:7" x14ac:dyDescent="0.35">
      <c r="A16329" s="27" t="s">
        <v>228</v>
      </c>
      <c r="B16329" s="27" t="s">
        <v>263</v>
      </c>
      <c r="C16329" s="29">
        <v>67.44</v>
      </c>
      <c r="D16329" s="29">
        <v>52</v>
      </c>
      <c r="E16329" s="29">
        <v>40</v>
      </c>
      <c r="F16329" s="29">
        <v>150</v>
      </c>
      <c r="G16329" s="29">
        <v>20</v>
      </c>
    </row>
    <row r="16330" spans="1:7" x14ac:dyDescent="0.35">
      <c r="A16330" t="s">
        <v>229</v>
      </c>
      <c r="B16330" t="s">
        <v>260</v>
      </c>
      <c r="C16330">
        <v>62.31</v>
      </c>
      <c r="D16330">
        <v>57</v>
      </c>
      <c r="E16330">
        <v>12</v>
      </c>
      <c r="F16330">
        <v>285</v>
      </c>
      <c r="G16330">
        <v>506</v>
      </c>
    </row>
    <row r="16331" spans="1:7" x14ac:dyDescent="0.35">
      <c r="A16331" s="27" t="s">
        <v>229</v>
      </c>
      <c r="B16331" s="27" t="s">
        <v>263</v>
      </c>
      <c r="C16331" s="29">
        <v>52.19</v>
      </c>
      <c r="D16331" s="29">
        <v>50</v>
      </c>
      <c r="E16331" s="29">
        <v>15</v>
      </c>
      <c r="F16331" s="29">
        <v>100</v>
      </c>
      <c r="G16331" s="29">
        <v>13</v>
      </c>
    </row>
    <row r="16332" spans="1:7" x14ac:dyDescent="0.35">
      <c r="A16332" t="s">
        <v>229</v>
      </c>
      <c r="B16332" t="s">
        <v>262</v>
      </c>
      <c r="C16332">
        <v>65.37</v>
      </c>
      <c r="D16332">
        <v>60</v>
      </c>
      <c r="E16332">
        <v>15</v>
      </c>
      <c r="F16332">
        <v>240</v>
      </c>
      <c r="G16332">
        <v>164</v>
      </c>
    </row>
    <row r="16333" spans="1:7" x14ac:dyDescent="0.35">
      <c r="A16333" t="s">
        <v>229</v>
      </c>
      <c r="B16333" t="s">
        <v>261</v>
      </c>
      <c r="C16333">
        <v>46.62</v>
      </c>
      <c r="D16333">
        <v>45</v>
      </c>
      <c r="E16333">
        <v>12</v>
      </c>
      <c r="F16333">
        <v>130</v>
      </c>
      <c r="G16333">
        <v>74</v>
      </c>
    </row>
    <row r="16334" spans="1:7" x14ac:dyDescent="0.35">
      <c r="A16334" t="s">
        <v>230</v>
      </c>
      <c r="B16334" t="s">
        <v>261</v>
      </c>
      <c r="C16334">
        <v>48.06</v>
      </c>
      <c r="D16334">
        <v>49</v>
      </c>
      <c r="E16334">
        <v>8</v>
      </c>
      <c r="F16334">
        <v>100</v>
      </c>
      <c r="G16334">
        <v>42</v>
      </c>
    </row>
    <row r="16335" spans="1:7" x14ac:dyDescent="0.35">
      <c r="A16335" t="s">
        <v>230</v>
      </c>
      <c r="B16335" t="s">
        <v>260</v>
      </c>
      <c r="C16335">
        <v>65.180000000000007</v>
      </c>
      <c r="D16335">
        <v>60</v>
      </c>
      <c r="E16335">
        <v>8</v>
      </c>
      <c r="F16335">
        <v>260</v>
      </c>
      <c r="G16335">
        <v>290</v>
      </c>
    </row>
    <row r="16336" spans="1:7" x14ac:dyDescent="0.35">
      <c r="A16336" s="27" t="s">
        <v>230</v>
      </c>
      <c r="B16336" s="27" t="s">
        <v>263</v>
      </c>
      <c r="C16336" s="29">
        <v>54.46</v>
      </c>
      <c r="D16336" s="29">
        <v>36</v>
      </c>
      <c r="E16336" s="29">
        <v>18</v>
      </c>
      <c r="F16336" s="29">
        <v>250</v>
      </c>
      <c r="G16336" s="29">
        <v>22</v>
      </c>
    </row>
    <row r="16337" spans="1:7" x14ac:dyDescent="0.35">
      <c r="A16337" s="27" t="s">
        <v>230</v>
      </c>
      <c r="B16337" s="27" t="s">
        <v>236</v>
      </c>
      <c r="C16337" s="29">
        <v>75</v>
      </c>
      <c r="D16337" s="29">
        <v>75</v>
      </c>
      <c r="E16337" s="29">
        <v>75</v>
      </c>
      <c r="F16337" s="29">
        <v>75</v>
      </c>
      <c r="G16337" s="29">
        <v>1</v>
      </c>
    </row>
    <row r="16338" spans="1:7" x14ac:dyDescent="0.35">
      <c r="A16338" t="s">
        <v>230</v>
      </c>
      <c r="B16338" t="s">
        <v>262</v>
      </c>
      <c r="C16338">
        <v>76.260000000000005</v>
      </c>
      <c r="D16338">
        <v>61</v>
      </c>
      <c r="E16338">
        <v>15</v>
      </c>
      <c r="F16338">
        <v>200</v>
      </c>
      <c r="G16338">
        <v>109</v>
      </c>
    </row>
    <row r="16339" spans="1:7" x14ac:dyDescent="0.35">
      <c r="A16339" s="27" t="s">
        <v>231</v>
      </c>
      <c r="B16339" s="27" t="s">
        <v>261</v>
      </c>
      <c r="C16339" s="29">
        <v>47.09</v>
      </c>
      <c r="D16339" s="29">
        <v>36</v>
      </c>
      <c r="E16339" s="29">
        <v>10</v>
      </c>
      <c r="F16339" s="29">
        <v>120</v>
      </c>
      <c r="G16339" s="29">
        <v>11</v>
      </c>
    </row>
    <row r="16340" spans="1:7" x14ac:dyDescent="0.35">
      <c r="A16340" s="27" t="s">
        <v>231</v>
      </c>
      <c r="B16340" s="27" t="s">
        <v>262</v>
      </c>
      <c r="C16340" s="29">
        <v>69.87</v>
      </c>
      <c r="D16340" s="29">
        <v>58</v>
      </c>
      <c r="E16340" s="29">
        <v>18</v>
      </c>
      <c r="F16340" s="29">
        <v>150</v>
      </c>
      <c r="G16340" s="29">
        <v>8</v>
      </c>
    </row>
    <row r="16341" spans="1:7" x14ac:dyDescent="0.35">
      <c r="A16341" t="s">
        <v>231</v>
      </c>
      <c r="B16341" t="s">
        <v>260</v>
      </c>
      <c r="C16341">
        <v>73.319999999999993</v>
      </c>
      <c r="D16341">
        <v>64</v>
      </c>
      <c r="E16341">
        <v>20</v>
      </c>
      <c r="F16341">
        <v>260</v>
      </c>
      <c r="G16341">
        <v>107</v>
      </c>
    </row>
    <row r="16342" spans="1:7" x14ac:dyDescent="0.35">
      <c r="A16342" t="s">
        <v>232</v>
      </c>
      <c r="B16342" t="s">
        <v>232</v>
      </c>
      <c r="C16342">
        <v>63.55</v>
      </c>
      <c r="D16342">
        <v>59</v>
      </c>
      <c r="E16342">
        <v>5</v>
      </c>
      <c r="F16342">
        <v>285</v>
      </c>
      <c r="G16342">
        <v>2310</v>
      </c>
    </row>
    <row r="16344" spans="1:7" x14ac:dyDescent="0.35">
      <c r="A16344" s="1" t="s">
        <v>1708</v>
      </c>
    </row>
    <row r="16345" spans="1:7" x14ac:dyDescent="0.35">
      <c r="A16345" t="s">
        <v>219</v>
      </c>
      <c r="B16345" t="s">
        <v>305</v>
      </c>
      <c r="C16345" t="s">
        <v>534</v>
      </c>
      <c r="D16345" t="s">
        <v>535</v>
      </c>
      <c r="E16345" t="s">
        <v>536</v>
      </c>
      <c r="F16345" t="s">
        <v>537</v>
      </c>
      <c r="G16345" t="s">
        <v>226</v>
      </c>
    </row>
    <row r="16346" spans="1:7" x14ac:dyDescent="0.35">
      <c r="A16346" s="27" t="s">
        <v>227</v>
      </c>
      <c r="B16346" s="27" t="s">
        <v>368</v>
      </c>
      <c r="C16346" s="29">
        <v>47.17</v>
      </c>
      <c r="D16346" s="29">
        <v>48</v>
      </c>
      <c r="E16346" s="29">
        <v>6</v>
      </c>
      <c r="F16346" s="29">
        <v>99</v>
      </c>
      <c r="G16346" s="29">
        <v>23</v>
      </c>
    </row>
    <row r="16347" spans="1:7" x14ac:dyDescent="0.35">
      <c r="A16347" t="s">
        <v>227</v>
      </c>
      <c r="B16347" t="s">
        <v>369</v>
      </c>
      <c r="C16347">
        <v>65.180000000000007</v>
      </c>
      <c r="D16347">
        <v>61</v>
      </c>
      <c r="E16347">
        <v>13</v>
      </c>
      <c r="F16347">
        <v>245</v>
      </c>
      <c r="G16347">
        <v>109</v>
      </c>
    </row>
    <row r="16348" spans="1:7" x14ac:dyDescent="0.35">
      <c r="A16348" t="s">
        <v>228</v>
      </c>
      <c r="B16348" t="s">
        <v>368</v>
      </c>
      <c r="C16348">
        <v>49.46</v>
      </c>
      <c r="D16348">
        <v>45</v>
      </c>
      <c r="E16348">
        <v>6</v>
      </c>
      <c r="F16348">
        <v>200</v>
      </c>
      <c r="G16348">
        <v>121</v>
      </c>
    </row>
    <row r="16349" spans="1:7" x14ac:dyDescent="0.35">
      <c r="A16349" t="s">
        <v>228</v>
      </c>
      <c r="B16349" t="s">
        <v>369</v>
      </c>
      <c r="C16349">
        <v>59.99</v>
      </c>
      <c r="D16349">
        <v>57</v>
      </c>
      <c r="E16349">
        <v>5</v>
      </c>
      <c r="F16349">
        <v>205</v>
      </c>
      <c r="G16349">
        <v>710</v>
      </c>
    </row>
    <row r="16350" spans="1:7" x14ac:dyDescent="0.35">
      <c r="A16350" t="s">
        <v>229</v>
      </c>
      <c r="B16350" t="s">
        <v>368</v>
      </c>
      <c r="C16350">
        <v>46.62</v>
      </c>
      <c r="D16350">
        <v>45</v>
      </c>
      <c r="E16350">
        <v>12</v>
      </c>
      <c r="F16350">
        <v>130</v>
      </c>
      <c r="G16350">
        <v>74</v>
      </c>
    </row>
    <row r="16351" spans="1:7" x14ac:dyDescent="0.35">
      <c r="A16351" t="s">
        <v>229</v>
      </c>
      <c r="B16351" t="s">
        <v>369</v>
      </c>
      <c r="C16351">
        <v>63.07</v>
      </c>
      <c r="D16351">
        <v>60</v>
      </c>
      <c r="E16351">
        <v>12</v>
      </c>
      <c r="F16351">
        <v>285</v>
      </c>
      <c r="G16351">
        <v>683</v>
      </c>
    </row>
    <row r="16352" spans="1:7" x14ac:dyDescent="0.35">
      <c r="A16352" t="s">
        <v>230</v>
      </c>
      <c r="B16352" t="s">
        <v>368</v>
      </c>
      <c r="C16352">
        <v>48.06</v>
      </c>
      <c r="D16352">
        <v>49</v>
      </c>
      <c r="E16352">
        <v>8</v>
      </c>
      <c r="F16352">
        <v>100</v>
      </c>
      <c r="G16352">
        <v>42</v>
      </c>
    </row>
    <row r="16353" spans="1:7" x14ac:dyDescent="0.35">
      <c r="A16353" t="s">
        <v>230</v>
      </c>
      <c r="B16353" t="s">
        <v>369</v>
      </c>
      <c r="C16353">
        <v>67.06</v>
      </c>
      <c r="D16353">
        <v>60</v>
      </c>
      <c r="E16353">
        <v>8</v>
      </c>
      <c r="F16353">
        <v>260</v>
      </c>
      <c r="G16353">
        <v>422</v>
      </c>
    </row>
    <row r="16354" spans="1:7" x14ac:dyDescent="0.35">
      <c r="A16354" s="27" t="s">
        <v>231</v>
      </c>
      <c r="B16354" s="27" t="s">
        <v>368</v>
      </c>
      <c r="C16354" s="29">
        <v>47.09</v>
      </c>
      <c r="D16354" s="29">
        <v>36</v>
      </c>
      <c r="E16354" s="29">
        <v>10</v>
      </c>
      <c r="F16354" s="29">
        <v>120</v>
      </c>
      <c r="G16354" s="29">
        <v>11</v>
      </c>
    </row>
    <row r="16355" spans="1:7" x14ac:dyDescent="0.35">
      <c r="A16355" t="s">
        <v>231</v>
      </c>
      <c r="B16355" t="s">
        <v>369</v>
      </c>
      <c r="C16355">
        <v>73.08</v>
      </c>
      <c r="D16355">
        <v>64</v>
      </c>
      <c r="E16355">
        <v>18</v>
      </c>
      <c r="F16355">
        <v>260</v>
      </c>
      <c r="G16355">
        <v>115</v>
      </c>
    </row>
    <row r="16356" spans="1:7" x14ac:dyDescent="0.35">
      <c r="A16356" t="s">
        <v>232</v>
      </c>
      <c r="B16356" t="s">
        <v>232</v>
      </c>
      <c r="C16356">
        <v>63.55</v>
      </c>
      <c r="D16356">
        <v>59</v>
      </c>
      <c r="E16356">
        <v>5</v>
      </c>
      <c r="F16356">
        <v>285</v>
      </c>
      <c r="G16356">
        <v>2310</v>
      </c>
    </row>
    <row r="16358" spans="1:7" x14ac:dyDescent="0.35">
      <c r="A16358" s="1" t="s">
        <v>1709</v>
      </c>
    </row>
    <row r="16359" spans="1:7" x14ac:dyDescent="0.35">
      <c r="A16359" t="s">
        <v>219</v>
      </c>
      <c r="B16359" t="s">
        <v>305</v>
      </c>
      <c r="C16359" t="s">
        <v>534</v>
      </c>
      <c r="D16359" t="s">
        <v>535</v>
      </c>
      <c r="E16359" t="s">
        <v>536</v>
      </c>
      <c r="F16359" t="s">
        <v>537</v>
      </c>
      <c r="G16359" t="s">
        <v>226</v>
      </c>
    </row>
    <row r="16360" spans="1:7" x14ac:dyDescent="0.35">
      <c r="A16360" t="s">
        <v>227</v>
      </c>
      <c r="B16360" t="s">
        <v>371</v>
      </c>
      <c r="C16360">
        <v>62.05</v>
      </c>
      <c r="D16360">
        <v>60</v>
      </c>
      <c r="E16360">
        <v>6</v>
      </c>
      <c r="F16360">
        <v>245</v>
      </c>
      <c r="G16360">
        <v>132</v>
      </c>
    </row>
    <row r="16361" spans="1:7" x14ac:dyDescent="0.35">
      <c r="A16361" t="s">
        <v>228</v>
      </c>
      <c r="B16361" t="s">
        <v>371</v>
      </c>
      <c r="C16361">
        <v>60.08</v>
      </c>
      <c r="D16361">
        <v>59</v>
      </c>
      <c r="E16361">
        <v>5</v>
      </c>
      <c r="F16361">
        <v>205</v>
      </c>
      <c r="G16361">
        <v>234</v>
      </c>
    </row>
    <row r="16362" spans="1:7" x14ac:dyDescent="0.35">
      <c r="A16362" t="s">
        <v>228</v>
      </c>
      <c r="B16362" t="s">
        <v>372</v>
      </c>
      <c r="C16362">
        <v>61.63</v>
      </c>
      <c r="D16362">
        <v>58</v>
      </c>
      <c r="E16362">
        <v>12</v>
      </c>
      <c r="F16362">
        <v>140</v>
      </c>
      <c r="G16362">
        <v>178</v>
      </c>
    </row>
    <row r="16363" spans="1:7" x14ac:dyDescent="0.35">
      <c r="A16363" t="s">
        <v>228</v>
      </c>
      <c r="B16363" t="s">
        <v>373</v>
      </c>
      <c r="C16363">
        <v>55.85</v>
      </c>
      <c r="D16363">
        <v>50</v>
      </c>
      <c r="E16363">
        <v>12</v>
      </c>
      <c r="F16363">
        <v>200</v>
      </c>
      <c r="G16363">
        <v>419</v>
      </c>
    </row>
    <row r="16364" spans="1:7" x14ac:dyDescent="0.35">
      <c r="A16364" t="s">
        <v>229</v>
      </c>
      <c r="B16364" t="s">
        <v>371</v>
      </c>
      <c r="C16364">
        <v>60.75</v>
      </c>
      <c r="D16364">
        <v>56</v>
      </c>
      <c r="E16364">
        <v>12</v>
      </c>
      <c r="F16364">
        <v>285</v>
      </c>
      <c r="G16364">
        <v>497</v>
      </c>
    </row>
    <row r="16365" spans="1:7" x14ac:dyDescent="0.35">
      <c r="A16365" t="s">
        <v>229</v>
      </c>
      <c r="B16365" t="s">
        <v>372</v>
      </c>
      <c r="C16365">
        <v>63.15</v>
      </c>
      <c r="D16365">
        <v>60</v>
      </c>
      <c r="E16365">
        <v>16</v>
      </c>
      <c r="F16365">
        <v>240</v>
      </c>
      <c r="G16365">
        <v>187</v>
      </c>
    </row>
    <row r="16366" spans="1:7" x14ac:dyDescent="0.35">
      <c r="A16366" t="s">
        <v>229</v>
      </c>
      <c r="B16366" t="s">
        <v>373</v>
      </c>
      <c r="C16366">
        <v>63.43</v>
      </c>
      <c r="D16366">
        <v>60</v>
      </c>
      <c r="E16366">
        <v>15</v>
      </c>
      <c r="F16366">
        <v>130</v>
      </c>
      <c r="G16366">
        <v>73</v>
      </c>
    </row>
    <row r="16367" spans="1:7" x14ac:dyDescent="0.35">
      <c r="A16367" t="s">
        <v>230</v>
      </c>
      <c r="B16367" t="s">
        <v>371</v>
      </c>
      <c r="C16367">
        <v>65.09</v>
      </c>
      <c r="D16367">
        <v>60</v>
      </c>
      <c r="E16367">
        <v>8</v>
      </c>
      <c r="F16367">
        <v>248</v>
      </c>
      <c r="G16367">
        <v>213</v>
      </c>
    </row>
    <row r="16368" spans="1:7" x14ac:dyDescent="0.35">
      <c r="A16368" t="s">
        <v>230</v>
      </c>
      <c r="B16368" t="s">
        <v>372</v>
      </c>
      <c r="C16368">
        <v>59.77</v>
      </c>
      <c r="D16368">
        <v>52</v>
      </c>
      <c r="E16368">
        <v>15</v>
      </c>
      <c r="F16368">
        <v>260</v>
      </c>
      <c r="G16368">
        <v>119</v>
      </c>
    </row>
    <row r="16369" spans="1:7" x14ac:dyDescent="0.35">
      <c r="A16369" t="s">
        <v>230</v>
      </c>
      <c r="B16369" t="s">
        <v>373</v>
      </c>
      <c r="C16369">
        <v>65.14</v>
      </c>
      <c r="D16369">
        <v>60</v>
      </c>
      <c r="E16369">
        <v>20</v>
      </c>
      <c r="F16369">
        <v>250</v>
      </c>
      <c r="G16369">
        <v>132</v>
      </c>
    </row>
    <row r="16370" spans="1:7" x14ac:dyDescent="0.35">
      <c r="A16370" t="s">
        <v>231</v>
      </c>
      <c r="B16370" t="s">
        <v>371</v>
      </c>
      <c r="C16370">
        <v>70.81</v>
      </c>
      <c r="D16370">
        <v>60</v>
      </c>
      <c r="E16370">
        <v>10</v>
      </c>
      <c r="F16370">
        <v>260</v>
      </c>
      <c r="G16370">
        <v>126</v>
      </c>
    </row>
    <row r="16371" spans="1:7" x14ac:dyDescent="0.35">
      <c r="A16371" t="s">
        <v>232</v>
      </c>
      <c r="B16371" t="s">
        <v>232</v>
      </c>
      <c r="C16371">
        <v>63.55</v>
      </c>
      <c r="D16371">
        <v>59</v>
      </c>
      <c r="E16371">
        <v>5</v>
      </c>
      <c r="F16371">
        <v>285</v>
      </c>
      <c r="G16371">
        <v>2310</v>
      </c>
    </row>
    <row r="16373" spans="1:7" x14ac:dyDescent="0.35">
      <c r="A16373" s="1" t="s">
        <v>1710</v>
      </c>
    </row>
    <row r="16374" spans="1:7" x14ac:dyDescent="0.35">
      <c r="A16374" t="s">
        <v>219</v>
      </c>
      <c r="B16374" t="s">
        <v>305</v>
      </c>
      <c r="C16374" t="s">
        <v>534</v>
      </c>
      <c r="D16374" t="s">
        <v>535</v>
      </c>
      <c r="E16374" t="s">
        <v>536</v>
      </c>
      <c r="F16374" t="s">
        <v>537</v>
      </c>
      <c r="G16374" t="s">
        <v>226</v>
      </c>
    </row>
    <row r="16375" spans="1:7" x14ac:dyDescent="0.35">
      <c r="A16375" t="s">
        <v>227</v>
      </c>
      <c r="B16375" t="s">
        <v>255</v>
      </c>
      <c r="C16375">
        <v>62.72</v>
      </c>
      <c r="D16375">
        <v>60</v>
      </c>
      <c r="E16375">
        <v>13</v>
      </c>
      <c r="F16375">
        <v>245</v>
      </c>
      <c r="G16375">
        <v>98</v>
      </c>
    </row>
    <row r="16376" spans="1:7" x14ac:dyDescent="0.35">
      <c r="A16376" s="27" t="s">
        <v>227</v>
      </c>
      <c r="B16376" s="27" t="s">
        <v>256</v>
      </c>
      <c r="C16376" s="29">
        <v>59.79</v>
      </c>
      <c r="D16376" s="29">
        <v>60</v>
      </c>
      <c r="E16376" s="29">
        <v>6</v>
      </c>
      <c r="F16376" s="29">
        <v>110</v>
      </c>
      <c r="G16376" s="29">
        <v>29</v>
      </c>
    </row>
    <row r="16377" spans="1:7" x14ac:dyDescent="0.35">
      <c r="A16377" s="27" t="s">
        <v>227</v>
      </c>
      <c r="B16377" s="27" t="s">
        <v>257</v>
      </c>
      <c r="C16377" s="29">
        <v>61.8</v>
      </c>
      <c r="D16377" s="29">
        <v>62</v>
      </c>
      <c r="E16377" s="29">
        <v>35</v>
      </c>
      <c r="F16377" s="29">
        <v>120</v>
      </c>
      <c r="G16377" s="29">
        <v>5</v>
      </c>
    </row>
    <row r="16378" spans="1:7" x14ac:dyDescent="0.35">
      <c r="A16378" t="s">
        <v>228</v>
      </c>
      <c r="B16378" t="s">
        <v>255</v>
      </c>
      <c r="C16378">
        <v>55</v>
      </c>
      <c r="D16378">
        <v>52</v>
      </c>
      <c r="E16378">
        <v>5</v>
      </c>
      <c r="F16378">
        <v>200</v>
      </c>
      <c r="G16378">
        <v>619</v>
      </c>
    </row>
    <row r="16379" spans="1:7" x14ac:dyDescent="0.35">
      <c r="A16379" t="s">
        <v>228</v>
      </c>
      <c r="B16379" t="s">
        <v>256</v>
      </c>
      <c r="C16379">
        <v>69.83</v>
      </c>
      <c r="D16379">
        <v>61</v>
      </c>
      <c r="E16379">
        <v>17</v>
      </c>
      <c r="F16379">
        <v>205</v>
      </c>
      <c r="G16379">
        <v>173</v>
      </c>
    </row>
    <row r="16380" spans="1:7" x14ac:dyDescent="0.35">
      <c r="A16380" t="s">
        <v>228</v>
      </c>
      <c r="B16380" t="s">
        <v>257</v>
      </c>
      <c r="C16380">
        <v>56.67</v>
      </c>
      <c r="D16380">
        <v>54</v>
      </c>
      <c r="E16380">
        <v>12</v>
      </c>
      <c r="F16380">
        <v>120</v>
      </c>
      <c r="G16380">
        <v>36</v>
      </c>
    </row>
    <row r="16381" spans="1:7" x14ac:dyDescent="0.35">
      <c r="A16381" s="27" t="s">
        <v>228</v>
      </c>
      <c r="B16381" s="27" t="s">
        <v>258</v>
      </c>
      <c r="C16381" s="29">
        <v>54.44</v>
      </c>
      <c r="D16381" s="29">
        <v>120</v>
      </c>
      <c r="E16381" s="29">
        <v>42</v>
      </c>
      <c r="F16381" s="29">
        <v>120</v>
      </c>
      <c r="G16381" s="29">
        <v>3</v>
      </c>
    </row>
    <row r="16382" spans="1:7" x14ac:dyDescent="0.35">
      <c r="A16382" t="s">
        <v>229</v>
      </c>
      <c r="B16382" t="s">
        <v>255</v>
      </c>
      <c r="C16382">
        <v>58.85</v>
      </c>
      <c r="D16382">
        <v>54</v>
      </c>
      <c r="E16382">
        <v>12</v>
      </c>
      <c r="F16382">
        <v>240</v>
      </c>
      <c r="G16382">
        <v>539</v>
      </c>
    </row>
    <row r="16383" spans="1:7" x14ac:dyDescent="0.35">
      <c r="A16383" s="27" t="s">
        <v>229</v>
      </c>
      <c r="B16383" s="27" t="s">
        <v>258</v>
      </c>
      <c r="C16383" s="29">
        <v>64.03</v>
      </c>
      <c r="D16383" s="29">
        <v>60</v>
      </c>
      <c r="E16383" s="29">
        <v>60</v>
      </c>
      <c r="F16383" s="29">
        <v>78</v>
      </c>
      <c r="G16383" s="29">
        <v>2</v>
      </c>
    </row>
    <row r="16384" spans="1:7" x14ac:dyDescent="0.35">
      <c r="A16384" t="s">
        <v>229</v>
      </c>
      <c r="B16384" t="s">
        <v>256</v>
      </c>
      <c r="C16384">
        <v>67.5</v>
      </c>
      <c r="D16384">
        <v>60</v>
      </c>
      <c r="E16384">
        <v>12</v>
      </c>
      <c r="F16384">
        <v>285</v>
      </c>
      <c r="G16384">
        <v>177</v>
      </c>
    </row>
    <row r="16385" spans="1:7" x14ac:dyDescent="0.35">
      <c r="A16385" t="s">
        <v>229</v>
      </c>
      <c r="B16385" t="s">
        <v>257</v>
      </c>
      <c r="C16385">
        <v>52.55</v>
      </c>
      <c r="D16385">
        <v>50</v>
      </c>
      <c r="E16385">
        <v>18</v>
      </c>
      <c r="F16385">
        <v>100</v>
      </c>
      <c r="G16385">
        <v>39</v>
      </c>
    </row>
    <row r="16386" spans="1:7" x14ac:dyDescent="0.35">
      <c r="A16386" t="s">
        <v>230</v>
      </c>
      <c r="B16386" t="s">
        <v>255</v>
      </c>
      <c r="C16386">
        <v>64.209999999999994</v>
      </c>
      <c r="D16386">
        <v>58</v>
      </c>
      <c r="E16386">
        <v>8</v>
      </c>
      <c r="F16386">
        <v>260</v>
      </c>
      <c r="G16386">
        <v>328</v>
      </c>
    </row>
    <row r="16387" spans="1:7" x14ac:dyDescent="0.35">
      <c r="A16387" t="s">
        <v>230</v>
      </c>
      <c r="B16387" t="s">
        <v>256</v>
      </c>
      <c r="C16387">
        <v>71.400000000000006</v>
      </c>
      <c r="D16387">
        <v>60</v>
      </c>
      <c r="E16387">
        <v>15</v>
      </c>
      <c r="F16387">
        <v>250</v>
      </c>
      <c r="G16387">
        <v>104</v>
      </c>
    </row>
    <row r="16388" spans="1:7" x14ac:dyDescent="0.35">
      <c r="A16388" s="27" t="s">
        <v>230</v>
      </c>
      <c r="B16388" s="27" t="s">
        <v>258</v>
      </c>
      <c r="C16388" s="29">
        <v>43.24</v>
      </c>
      <c r="D16388" s="29">
        <v>39</v>
      </c>
      <c r="E16388" s="29">
        <v>39</v>
      </c>
      <c r="F16388" s="29">
        <v>57</v>
      </c>
      <c r="G16388" s="29">
        <v>2</v>
      </c>
    </row>
    <row r="16389" spans="1:7" x14ac:dyDescent="0.35">
      <c r="A16389" t="s">
        <v>230</v>
      </c>
      <c r="B16389" t="s">
        <v>257</v>
      </c>
      <c r="C16389">
        <v>46.97</v>
      </c>
      <c r="D16389">
        <v>47</v>
      </c>
      <c r="E16389">
        <v>15</v>
      </c>
      <c r="F16389">
        <v>90</v>
      </c>
      <c r="G16389">
        <v>30</v>
      </c>
    </row>
    <row r="16390" spans="1:7" x14ac:dyDescent="0.35">
      <c r="A16390" s="27" t="s">
        <v>231</v>
      </c>
      <c r="B16390" s="27" t="s">
        <v>256</v>
      </c>
      <c r="C16390" s="29">
        <v>76.62</v>
      </c>
      <c r="D16390" s="29">
        <v>70</v>
      </c>
      <c r="E16390" s="29">
        <v>30</v>
      </c>
      <c r="F16390" s="29">
        <v>160</v>
      </c>
      <c r="G16390" s="29">
        <v>21</v>
      </c>
    </row>
    <row r="16391" spans="1:7" x14ac:dyDescent="0.35">
      <c r="A16391" t="s">
        <v>231</v>
      </c>
      <c r="B16391" t="s">
        <v>255</v>
      </c>
      <c r="C16391">
        <v>70.010000000000005</v>
      </c>
      <c r="D16391">
        <v>60</v>
      </c>
      <c r="E16391">
        <v>10</v>
      </c>
      <c r="F16391">
        <v>260</v>
      </c>
      <c r="G16391">
        <v>100</v>
      </c>
    </row>
    <row r="16392" spans="1:7" x14ac:dyDescent="0.35">
      <c r="A16392" s="27" t="s">
        <v>231</v>
      </c>
      <c r="B16392" s="27" t="s">
        <v>257</v>
      </c>
      <c r="C16392" s="29">
        <v>62.4</v>
      </c>
      <c r="D16392" s="29">
        <v>80</v>
      </c>
      <c r="E16392" s="29">
        <v>40</v>
      </c>
      <c r="F16392" s="29">
        <v>88</v>
      </c>
      <c r="G16392" s="29">
        <v>5</v>
      </c>
    </row>
    <row r="16393" spans="1:7" x14ac:dyDescent="0.35">
      <c r="A16393" t="s">
        <v>232</v>
      </c>
      <c r="B16393" t="s">
        <v>232</v>
      </c>
      <c r="C16393">
        <v>63.55</v>
      </c>
      <c r="D16393">
        <v>59</v>
      </c>
      <c r="E16393">
        <v>5</v>
      </c>
      <c r="F16393">
        <v>285</v>
      </c>
      <c r="G16393">
        <v>2310</v>
      </c>
    </row>
    <row r="16395" spans="1:7" x14ac:dyDescent="0.35">
      <c r="A16395" s="1" t="s">
        <v>1711</v>
      </c>
    </row>
    <row r="16396" spans="1:7" x14ac:dyDescent="0.35">
      <c r="A16396" t="s">
        <v>219</v>
      </c>
      <c r="B16396" t="s">
        <v>534</v>
      </c>
      <c r="C16396" t="s">
        <v>535</v>
      </c>
      <c r="D16396" t="s">
        <v>536</v>
      </c>
      <c r="E16396" t="s">
        <v>537</v>
      </c>
      <c r="F16396" t="s">
        <v>226</v>
      </c>
    </row>
    <row r="16397" spans="1:7" x14ac:dyDescent="0.35">
      <c r="A16397" t="s">
        <v>227</v>
      </c>
      <c r="B16397">
        <v>2.31</v>
      </c>
      <c r="C16397">
        <v>2</v>
      </c>
      <c r="D16397">
        <v>1</v>
      </c>
      <c r="E16397">
        <v>8</v>
      </c>
      <c r="F16397">
        <v>154</v>
      </c>
    </row>
    <row r="16398" spans="1:7" x14ac:dyDescent="0.35">
      <c r="A16398" t="s">
        <v>228</v>
      </c>
      <c r="B16398">
        <v>2.39</v>
      </c>
      <c r="C16398">
        <v>2</v>
      </c>
      <c r="D16398">
        <v>1</v>
      </c>
      <c r="E16398">
        <v>10</v>
      </c>
      <c r="F16398">
        <v>1008</v>
      </c>
    </row>
    <row r="16399" spans="1:7" x14ac:dyDescent="0.35">
      <c r="A16399" t="s">
        <v>229</v>
      </c>
      <c r="B16399">
        <v>2.42</v>
      </c>
      <c r="C16399">
        <v>2</v>
      </c>
      <c r="D16399">
        <v>1</v>
      </c>
      <c r="E16399">
        <v>39</v>
      </c>
      <c r="F16399">
        <v>886</v>
      </c>
    </row>
    <row r="16400" spans="1:7" x14ac:dyDescent="0.35">
      <c r="A16400" t="s">
        <v>230</v>
      </c>
      <c r="B16400">
        <v>2.39</v>
      </c>
      <c r="C16400">
        <v>2</v>
      </c>
      <c r="D16400">
        <v>1</v>
      </c>
      <c r="E16400">
        <v>8</v>
      </c>
      <c r="F16400">
        <v>549</v>
      </c>
    </row>
    <row r="16401" spans="1:7" x14ac:dyDescent="0.35">
      <c r="A16401" t="s">
        <v>231</v>
      </c>
      <c r="B16401">
        <v>2.4300000000000002</v>
      </c>
      <c r="C16401">
        <v>2</v>
      </c>
      <c r="D16401">
        <v>1</v>
      </c>
      <c r="E16401">
        <v>15</v>
      </c>
      <c r="F16401">
        <v>153</v>
      </c>
    </row>
    <row r="16402" spans="1:7" x14ac:dyDescent="0.35">
      <c r="A16402" t="s">
        <v>232</v>
      </c>
      <c r="B16402">
        <v>2.4</v>
      </c>
      <c r="C16402">
        <v>2</v>
      </c>
      <c r="D16402">
        <v>1</v>
      </c>
      <c r="E16402">
        <v>39</v>
      </c>
      <c r="F16402">
        <v>2750</v>
      </c>
    </row>
    <row r="16404" spans="1:7" x14ac:dyDescent="0.35">
      <c r="A16404" s="1" t="s">
        <v>1712</v>
      </c>
    </row>
    <row r="16405" spans="1:7" x14ac:dyDescent="0.35">
      <c r="A16405" t="s">
        <v>219</v>
      </c>
      <c r="B16405" t="s">
        <v>305</v>
      </c>
      <c r="C16405" t="s">
        <v>534</v>
      </c>
      <c r="D16405" t="s">
        <v>535</v>
      </c>
      <c r="E16405" t="s">
        <v>536</v>
      </c>
      <c r="F16405" t="s">
        <v>537</v>
      </c>
      <c r="G16405" t="s">
        <v>226</v>
      </c>
    </row>
    <row r="16406" spans="1:7" x14ac:dyDescent="0.35">
      <c r="A16406" t="s">
        <v>227</v>
      </c>
      <c r="B16406" t="s">
        <v>242</v>
      </c>
      <c r="C16406">
        <v>2.52</v>
      </c>
      <c r="D16406">
        <v>2</v>
      </c>
      <c r="E16406">
        <v>1</v>
      </c>
      <c r="F16406">
        <v>8</v>
      </c>
      <c r="G16406">
        <v>63</v>
      </c>
    </row>
    <row r="16407" spans="1:7" x14ac:dyDescent="0.35">
      <c r="A16407" t="s">
        <v>227</v>
      </c>
      <c r="B16407" t="s">
        <v>241</v>
      </c>
      <c r="C16407">
        <v>2.15</v>
      </c>
      <c r="D16407">
        <v>2</v>
      </c>
      <c r="E16407">
        <v>1</v>
      </c>
      <c r="F16407">
        <v>7</v>
      </c>
      <c r="G16407">
        <v>91</v>
      </c>
    </row>
    <row r="16408" spans="1:7" x14ac:dyDescent="0.35">
      <c r="A16408" t="s">
        <v>228</v>
      </c>
      <c r="B16408" t="s">
        <v>242</v>
      </c>
      <c r="C16408">
        <v>2.5299999999999998</v>
      </c>
      <c r="D16408">
        <v>2</v>
      </c>
      <c r="E16408">
        <v>1</v>
      </c>
      <c r="F16408">
        <v>9</v>
      </c>
      <c r="G16408">
        <v>390</v>
      </c>
    </row>
    <row r="16409" spans="1:7" x14ac:dyDescent="0.35">
      <c r="A16409" t="s">
        <v>228</v>
      </c>
      <c r="B16409" t="s">
        <v>241</v>
      </c>
      <c r="C16409">
        <v>2.31</v>
      </c>
      <c r="D16409">
        <v>2</v>
      </c>
      <c r="E16409">
        <v>1</v>
      </c>
      <c r="F16409">
        <v>10</v>
      </c>
      <c r="G16409">
        <v>618</v>
      </c>
    </row>
    <row r="16410" spans="1:7" x14ac:dyDescent="0.35">
      <c r="A16410" t="s">
        <v>229</v>
      </c>
      <c r="B16410" t="s">
        <v>242</v>
      </c>
      <c r="C16410">
        <v>2.63</v>
      </c>
      <c r="D16410">
        <v>2</v>
      </c>
      <c r="E16410">
        <v>1</v>
      </c>
      <c r="F16410">
        <v>7</v>
      </c>
      <c r="G16410">
        <v>288</v>
      </c>
    </row>
    <row r="16411" spans="1:7" x14ac:dyDescent="0.35">
      <c r="A16411" t="s">
        <v>229</v>
      </c>
      <c r="B16411" t="s">
        <v>241</v>
      </c>
      <c r="C16411">
        <v>2.2999999999999998</v>
      </c>
      <c r="D16411">
        <v>2</v>
      </c>
      <c r="E16411">
        <v>1</v>
      </c>
      <c r="F16411">
        <v>39</v>
      </c>
      <c r="G16411">
        <v>598</v>
      </c>
    </row>
    <row r="16412" spans="1:7" x14ac:dyDescent="0.35">
      <c r="A16412" t="s">
        <v>230</v>
      </c>
      <c r="B16412" t="s">
        <v>242</v>
      </c>
      <c r="C16412">
        <v>2.5099999999999998</v>
      </c>
      <c r="D16412">
        <v>2</v>
      </c>
      <c r="E16412">
        <v>1</v>
      </c>
      <c r="F16412">
        <v>6</v>
      </c>
      <c r="G16412">
        <v>186</v>
      </c>
    </row>
    <row r="16413" spans="1:7" x14ac:dyDescent="0.35">
      <c r="A16413" t="s">
        <v>230</v>
      </c>
      <c r="B16413" t="s">
        <v>241</v>
      </c>
      <c r="C16413">
        <v>2.33</v>
      </c>
      <c r="D16413">
        <v>2</v>
      </c>
      <c r="E16413">
        <v>1</v>
      </c>
      <c r="F16413">
        <v>8</v>
      </c>
      <c r="G16413">
        <v>363</v>
      </c>
    </row>
    <row r="16414" spans="1:7" x14ac:dyDescent="0.35">
      <c r="A16414" t="s">
        <v>231</v>
      </c>
      <c r="B16414" t="s">
        <v>242</v>
      </c>
      <c r="C16414">
        <v>2.35</v>
      </c>
      <c r="D16414">
        <v>2</v>
      </c>
      <c r="E16414">
        <v>1</v>
      </c>
      <c r="F16414">
        <v>6</v>
      </c>
      <c r="G16414">
        <v>52</v>
      </c>
    </row>
    <row r="16415" spans="1:7" x14ac:dyDescent="0.35">
      <c r="A16415" t="s">
        <v>231</v>
      </c>
      <c r="B16415" t="s">
        <v>241</v>
      </c>
      <c r="C16415">
        <v>2.48</v>
      </c>
      <c r="D16415">
        <v>2</v>
      </c>
      <c r="E16415">
        <v>1</v>
      </c>
      <c r="F16415">
        <v>15</v>
      </c>
      <c r="G16415">
        <v>101</v>
      </c>
    </row>
    <row r="16416" spans="1:7" x14ac:dyDescent="0.35">
      <c r="A16416" t="s">
        <v>232</v>
      </c>
      <c r="B16416" t="s">
        <v>232</v>
      </c>
      <c r="C16416">
        <v>2.4</v>
      </c>
      <c r="D16416">
        <v>2</v>
      </c>
      <c r="E16416">
        <v>1</v>
      </c>
      <c r="F16416">
        <v>39</v>
      </c>
      <c r="G16416">
        <v>2750</v>
      </c>
    </row>
    <row r="16418" spans="1:7" x14ac:dyDescent="0.35">
      <c r="A16418" s="1" t="s">
        <v>1713</v>
      </c>
    </row>
    <row r="16419" spans="1:7" x14ac:dyDescent="0.35">
      <c r="A16419" t="s">
        <v>219</v>
      </c>
      <c r="B16419" t="s">
        <v>305</v>
      </c>
      <c r="C16419" t="s">
        <v>534</v>
      </c>
      <c r="D16419" t="s">
        <v>535</v>
      </c>
      <c r="E16419" t="s">
        <v>536</v>
      </c>
      <c r="F16419" t="s">
        <v>537</v>
      </c>
      <c r="G16419" t="s">
        <v>226</v>
      </c>
    </row>
    <row r="16420" spans="1:7" x14ac:dyDescent="0.35">
      <c r="A16420" t="s">
        <v>227</v>
      </c>
      <c r="B16420" t="s">
        <v>239</v>
      </c>
      <c r="C16420">
        <v>2.36</v>
      </c>
      <c r="D16420">
        <v>2</v>
      </c>
      <c r="E16420">
        <v>1</v>
      </c>
      <c r="F16420">
        <v>6</v>
      </c>
      <c r="G16420">
        <v>58</v>
      </c>
    </row>
    <row r="16421" spans="1:7" x14ac:dyDescent="0.35">
      <c r="A16421" t="s">
        <v>227</v>
      </c>
      <c r="B16421" t="s">
        <v>238</v>
      </c>
      <c r="C16421">
        <v>2.27</v>
      </c>
      <c r="D16421">
        <v>2</v>
      </c>
      <c r="E16421">
        <v>1</v>
      </c>
      <c r="F16421">
        <v>8</v>
      </c>
      <c r="G16421">
        <v>96</v>
      </c>
    </row>
    <row r="16422" spans="1:7" x14ac:dyDescent="0.35">
      <c r="A16422" t="s">
        <v>228</v>
      </c>
      <c r="B16422" t="s">
        <v>239</v>
      </c>
      <c r="C16422">
        <v>2.5099999999999998</v>
      </c>
      <c r="D16422">
        <v>2</v>
      </c>
      <c r="E16422">
        <v>1</v>
      </c>
      <c r="F16422">
        <v>10</v>
      </c>
      <c r="G16422">
        <v>318</v>
      </c>
    </row>
    <row r="16423" spans="1:7" x14ac:dyDescent="0.35">
      <c r="A16423" t="s">
        <v>228</v>
      </c>
      <c r="B16423" t="s">
        <v>238</v>
      </c>
      <c r="C16423">
        <v>2.36</v>
      </c>
      <c r="D16423">
        <v>2</v>
      </c>
      <c r="E16423">
        <v>1</v>
      </c>
      <c r="F16423">
        <v>9</v>
      </c>
      <c r="G16423">
        <v>690</v>
      </c>
    </row>
    <row r="16424" spans="1:7" x14ac:dyDescent="0.35">
      <c r="A16424" t="s">
        <v>229</v>
      </c>
      <c r="B16424" t="s">
        <v>239</v>
      </c>
      <c r="C16424">
        <v>2.71</v>
      </c>
      <c r="D16424">
        <v>2</v>
      </c>
      <c r="E16424">
        <v>1</v>
      </c>
      <c r="F16424">
        <v>39</v>
      </c>
      <c r="G16424">
        <v>330</v>
      </c>
    </row>
    <row r="16425" spans="1:7" x14ac:dyDescent="0.35">
      <c r="A16425" t="s">
        <v>229</v>
      </c>
      <c r="B16425" t="s">
        <v>238</v>
      </c>
      <c r="C16425">
        <v>2.33</v>
      </c>
      <c r="D16425">
        <v>2</v>
      </c>
      <c r="E16425">
        <v>1</v>
      </c>
      <c r="F16425">
        <v>7</v>
      </c>
      <c r="G16425">
        <v>556</v>
      </c>
    </row>
    <row r="16426" spans="1:7" x14ac:dyDescent="0.35">
      <c r="A16426" t="s">
        <v>230</v>
      </c>
      <c r="B16426" t="s">
        <v>239</v>
      </c>
      <c r="C16426">
        <v>2.76</v>
      </c>
      <c r="D16426">
        <v>2</v>
      </c>
      <c r="E16426">
        <v>1</v>
      </c>
      <c r="F16426">
        <v>8</v>
      </c>
      <c r="G16426">
        <v>208</v>
      </c>
    </row>
    <row r="16427" spans="1:7" x14ac:dyDescent="0.35">
      <c r="A16427" t="s">
        <v>230</v>
      </c>
      <c r="B16427" t="s">
        <v>238</v>
      </c>
      <c r="C16427">
        <v>2.23</v>
      </c>
      <c r="D16427">
        <v>2</v>
      </c>
      <c r="E16427">
        <v>1</v>
      </c>
      <c r="F16427">
        <v>6</v>
      </c>
      <c r="G16427">
        <v>341</v>
      </c>
    </row>
    <row r="16428" spans="1:7" x14ac:dyDescent="0.35">
      <c r="A16428" t="s">
        <v>231</v>
      </c>
      <c r="B16428" t="s">
        <v>239</v>
      </c>
      <c r="C16428">
        <v>3</v>
      </c>
      <c r="D16428">
        <v>2</v>
      </c>
      <c r="E16428">
        <v>1</v>
      </c>
      <c r="F16428">
        <v>15</v>
      </c>
      <c r="G16428">
        <v>53</v>
      </c>
    </row>
    <row r="16429" spans="1:7" x14ac:dyDescent="0.35">
      <c r="A16429" t="s">
        <v>231</v>
      </c>
      <c r="B16429" t="s">
        <v>238</v>
      </c>
      <c r="C16429">
        <v>2.13</v>
      </c>
      <c r="D16429">
        <v>2</v>
      </c>
      <c r="E16429">
        <v>1</v>
      </c>
      <c r="F16429">
        <v>10</v>
      </c>
      <c r="G16429">
        <v>100</v>
      </c>
    </row>
    <row r="16430" spans="1:7" x14ac:dyDescent="0.35">
      <c r="A16430" t="s">
        <v>232</v>
      </c>
      <c r="B16430" t="s">
        <v>232</v>
      </c>
      <c r="C16430">
        <v>2.4</v>
      </c>
      <c r="D16430">
        <v>2</v>
      </c>
      <c r="E16430">
        <v>1</v>
      </c>
      <c r="F16430">
        <v>39</v>
      </c>
      <c r="G16430">
        <v>2750</v>
      </c>
    </row>
    <row r="16432" spans="1:7" x14ac:dyDescent="0.35">
      <c r="A16432" s="1" t="s">
        <v>1714</v>
      </c>
    </row>
    <row r="16433" spans="1:7" x14ac:dyDescent="0.35">
      <c r="A16433" t="s">
        <v>219</v>
      </c>
      <c r="B16433" t="s">
        <v>305</v>
      </c>
      <c r="C16433" t="s">
        <v>534</v>
      </c>
      <c r="D16433" t="s">
        <v>535</v>
      </c>
      <c r="E16433" t="s">
        <v>536</v>
      </c>
      <c r="F16433" t="s">
        <v>537</v>
      </c>
      <c r="G16433" t="s">
        <v>226</v>
      </c>
    </row>
    <row r="16434" spans="1:7" x14ac:dyDescent="0.35">
      <c r="A16434" t="s">
        <v>227</v>
      </c>
      <c r="B16434" t="s">
        <v>244</v>
      </c>
      <c r="C16434">
        <v>2.59</v>
      </c>
      <c r="D16434">
        <v>2</v>
      </c>
      <c r="E16434">
        <v>2</v>
      </c>
      <c r="F16434">
        <v>4</v>
      </c>
      <c r="G16434">
        <v>92</v>
      </c>
    </row>
    <row r="16435" spans="1:7" x14ac:dyDescent="0.35">
      <c r="A16435" t="s">
        <v>227</v>
      </c>
      <c r="B16435" t="s">
        <v>245</v>
      </c>
      <c r="C16435">
        <v>1.02</v>
      </c>
      <c r="D16435">
        <v>1</v>
      </c>
      <c r="E16435">
        <v>1</v>
      </c>
      <c r="F16435">
        <v>2</v>
      </c>
      <c r="G16435">
        <v>50</v>
      </c>
    </row>
    <row r="16436" spans="1:7" x14ac:dyDescent="0.35">
      <c r="A16436" s="27" t="s">
        <v>227</v>
      </c>
      <c r="B16436" s="27" t="s">
        <v>246</v>
      </c>
      <c r="C16436" s="29">
        <v>5.5</v>
      </c>
      <c r="D16436" s="29">
        <v>5</v>
      </c>
      <c r="E16436" s="29">
        <v>5</v>
      </c>
      <c r="F16436" s="29">
        <v>8</v>
      </c>
      <c r="G16436" s="29">
        <v>12</v>
      </c>
    </row>
    <row r="16437" spans="1:7" x14ac:dyDescent="0.35">
      <c r="A16437" t="s">
        <v>228</v>
      </c>
      <c r="B16437" t="s">
        <v>244</v>
      </c>
      <c r="C16437">
        <v>2.6</v>
      </c>
      <c r="D16437">
        <v>2</v>
      </c>
      <c r="E16437">
        <v>2</v>
      </c>
      <c r="F16437">
        <v>5</v>
      </c>
      <c r="G16437">
        <v>620</v>
      </c>
    </row>
    <row r="16438" spans="1:7" x14ac:dyDescent="0.35">
      <c r="A16438" t="s">
        <v>228</v>
      </c>
      <c r="B16438" t="s">
        <v>245</v>
      </c>
      <c r="C16438">
        <v>1.03</v>
      </c>
      <c r="D16438">
        <v>1</v>
      </c>
      <c r="E16438">
        <v>1</v>
      </c>
      <c r="F16438">
        <v>3</v>
      </c>
      <c r="G16438">
        <v>324</v>
      </c>
    </row>
    <row r="16439" spans="1:7" x14ac:dyDescent="0.35">
      <c r="A16439" t="s">
        <v>228</v>
      </c>
      <c r="B16439" t="s">
        <v>246</v>
      </c>
      <c r="C16439">
        <v>6.02</v>
      </c>
      <c r="D16439">
        <v>6</v>
      </c>
      <c r="E16439">
        <v>5</v>
      </c>
      <c r="F16439">
        <v>10</v>
      </c>
      <c r="G16439">
        <v>64</v>
      </c>
    </row>
    <row r="16440" spans="1:7" x14ac:dyDescent="0.35">
      <c r="A16440" t="s">
        <v>229</v>
      </c>
      <c r="B16440" t="s">
        <v>244</v>
      </c>
      <c r="C16440">
        <v>2.7</v>
      </c>
      <c r="D16440">
        <v>3</v>
      </c>
      <c r="E16440">
        <v>1</v>
      </c>
      <c r="F16440">
        <v>39</v>
      </c>
      <c r="G16440">
        <v>549</v>
      </c>
    </row>
    <row r="16441" spans="1:7" x14ac:dyDescent="0.35">
      <c r="A16441" t="s">
        <v>229</v>
      </c>
      <c r="B16441" t="s">
        <v>245</v>
      </c>
      <c r="C16441">
        <v>1.05</v>
      </c>
      <c r="D16441">
        <v>1</v>
      </c>
      <c r="E16441">
        <v>1</v>
      </c>
      <c r="F16441">
        <v>4</v>
      </c>
      <c r="G16441">
        <v>292</v>
      </c>
    </row>
    <row r="16442" spans="1:7" x14ac:dyDescent="0.35">
      <c r="A16442" t="s">
        <v>229</v>
      </c>
      <c r="B16442" t="s">
        <v>246</v>
      </c>
      <c r="C16442">
        <v>5.48</v>
      </c>
      <c r="D16442">
        <v>5</v>
      </c>
      <c r="E16442">
        <v>5</v>
      </c>
      <c r="F16442">
        <v>7</v>
      </c>
      <c r="G16442">
        <v>45</v>
      </c>
    </row>
    <row r="16443" spans="1:7" x14ac:dyDescent="0.35">
      <c r="A16443" t="s">
        <v>230</v>
      </c>
      <c r="B16443" t="s">
        <v>244</v>
      </c>
      <c r="C16443">
        <v>2.65</v>
      </c>
      <c r="D16443">
        <v>2</v>
      </c>
      <c r="E16443">
        <v>2</v>
      </c>
      <c r="F16443">
        <v>5</v>
      </c>
      <c r="G16443">
        <v>364</v>
      </c>
    </row>
    <row r="16444" spans="1:7" x14ac:dyDescent="0.35">
      <c r="A16444" t="s">
        <v>230</v>
      </c>
      <c r="B16444" t="s">
        <v>245</v>
      </c>
      <c r="C16444">
        <v>1</v>
      </c>
      <c r="D16444">
        <v>1</v>
      </c>
      <c r="E16444">
        <v>1</v>
      </c>
      <c r="F16444">
        <v>2</v>
      </c>
      <c r="G16444">
        <v>156</v>
      </c>
    </row>
    <row r="16445" spans="1:7" x14ac:dyDescent="0.35">
      <c r="A16445" s="27" t="s">
        <v>230</v>
      </c>
      <c r="B16445" s="27" t="s">
        <v>246</v>
      </c>
      <c r="C16445" s="29">
        <v>5.89</v>
      </c>
      <c r="D16445" s="29">
        <v>6</v>
      </c>
      <c r="E16445" s="29">
        <v>5</v>
      </c>
      <c r="F16445" s="29">
        <v>8</v>
      </c>
      <c r="G16445" s="29">
        <v>29</v>
      </c>
    </row>
    <row r="16446" spans="1:7" x14ac:dyDescent="0.35">
      <c r="A16446" t="s">
        <v>231</v>
      </c>
      <c r="B16446" t="s">
        <v>244</v>
      </c>
      <c r="C16446">
        <v>2.66</v>
      </c>
      <c r="D16446">
        <v>2</v>
      </c>
      <c r="E16446">
        <v>2</v>
      </c>
      <c r="F16446">
        <v>4</v>
      </c>
      <c r="G16446">
        <v>88</v>
      </c>
    </row>
    <row r="16447" spans="1:7" x14ac:dyDescent="0.35">
      <c r="A16447" t="s">
        <v>231</v>
      </c>
      <c r="B16447" t="s">
        <v>245</v>
      </c>
      <c r="C16447">
        <v>1.26</v>
      </c>
      <c r="D16447">
        <v>1</v>
      </c>
      <c r="E16447">
        <v>1</v>
      </c>
      <c r="F16447">
        <v>10</v>
      </c>
      <c r="G16447">
        <v>53</v>
      </c>
    </row>
    <row r="16448" spans="1:7" x14ac:dyDescent="0.35">
      <c r="A16448" s="27" t="s">
        <v>231</v>
      </c>
      <c r="B16448" s="27" t="s">
        <v>246</v>
      </c>
      <c r="C16448" s="29">
        <v>5.92</v>
      </c>
      <c r="D16448" s="29">
        <v>5</v>
      </c>
      <c r="E16448" s="29">
        <v>5</v>
      </c>
      <c r="F16448" s="29">
        <v>15</v>
      </c>
      <c r="G16448" s="29">
        <v>12</v>
      </c>
    </row>
    <row r="16449" spans="1:7" x14ac:dyDescent="0.35">
      <c r="A16449" t="s">
        <v>232</v>
      </c>
      <c r="B16449" t="s">
        <v>232</v>
      </c>
      <c r="C16449">
        <v>2.4</v>
      </c>
      <c r="D16449">
        <v>2</v>
      </c>
      <c r="E16449">
        <v>1</v>
      </c>
      <c r="F16449">
        <v>39</v>
      </c>
      <c r="G16449">
        <v>2750</v>
      </c>
    </row>
    <row r="16451" spans="1:7" x14ac:dyDescent="0.35">
      <c r="A16451" s="1" t="s">
        <v>1715</v>
      </c>
    </row>
    <row r="16452" spans="1:7" x14ac:dyDescent="0.35">
      <c r="A16452" t="s">
        <v>219</v>
      </c>
      <c r="B16452" t="s">
        <v>305</v>
      </c>
      <c r="C16452" t="s">
        <v>534</v>
      </c>
      <c r="D16452" t="s">
        <v>535</v>
      </c>
      <c r="E16452" t="s">
        <v>536</v>
      </c>
      <c r="F16452" t="s">
        <v>537</v>
      </c>
      <c r="G16452" t="s">
        <v>226</v>
      </c>
    </row>
    <row r="16453" spans="1:7" x14ac:dyDescent="0.35">
      <c r="A16453" t="s">
        <v>227</v>
      </c>
      <c r="B16453" t="s">
        <v>360</v>
      </c>
      <c r="C16453">
        <v>2.61</v>
      </c>
      <c r="D16453">
        <v>2</v>
      </c>
      <c r="E16453">
        <v>1</v>
      </c>
      <c r="F16453">
        <v>8</v>
      </c>
      <c r="G16453">
        <v>38</v>
      </c>
    </row>
    <row r="16454" spans="1:7" x14ac:dyDescent="0.35">
      <c r="A16454" t="s">
        <v>227</v>
      </c>
      <c r="B16454" t="s">
        <v>363</v>
      </c>
      <c r="C16454">
        <v>2.41</v>
      </c>
      <c r="D16454">
        <v>2</v>
      </c>
      <c r="E16454">
        <v>1</v>
      </c>
      <c r="F16454">
        <v>5</v>
      </c>
      <c r="G16454">
        <v>44</v>
      </c>
    </row>
    <row r="16455" spans="1:7" x14ac:dyDescent="0.35">
      <c r="A16455" t="s">
        <v>227</v>
      </c>
      <c r="B16455" t="s">
        <v>361</v>
      </c>
      <c r="C16455">
        <v>1.84</v>
      </c>
      <c r="D16455">
        <v>2</v>
      </c>
      <c r="E16455">
        <v>1</v>
      </c>
      <c r="F16455">
        <v>3</v>
      </c>
      <c r="G16455">
        <v>31</v>
      </c>
    </row>
    <row r="16456" spans="1:7" x14ac:dyDescent="0.35">
      <c r="A16456" t="s">
        <v>227</v>
      </c>
      <c r="B16456" t="s">
        <v>362</v>
      </c>
      <c r="C16456">
        <v>2.33</v>
      </c>
      <c r="D16456">
        <v>2</v>
      </c>
      <c r="E16456">
        <v>1</v>
      </c>
      <c r="F16456">
        <v>5</v>
      </c>
      <c r="G16456">
        <v>33</v>
      </c>
    </row>
    <row r="16457" spans="1:7" x14ac:dyDescent="0.35">
      <c r="A16457" t="s">
        <v>228</v>
      </c>
      <c r="B16457" t="s">
        <v>361</v>
      </c>
      <c r="C16457">
        <v>2.13</v>
      </c>
      <c r="D16457">
        <v>2</v>
      </c>
      <c r="E16457">
        <v>1</v>
      </c>
      <c r="F16457">
        <v>5</v>
      </c>
      <c r="G16457">
        <v>194</v>
      </c>
    </row>
    <row r="16458" spans="1:7" x14ac:dyDescent="0.35">
      <c r="A16458" t="s">
        <v>228</v>
      </c>
      <c r="B16458" t="s">
        <v>362</v>
      </c>
      <c r="C16458">
        <v>2.42</v>
      </c>
      <c r="D16458">
        <v>2</v>
      </c>
      <c r="E16458">
        <v>1</v>
      </c>
      <c r="F16458">
        <v>7</v>
      </c>
      <c r="G16458">
        <v>231</v>
      </c>
    </row>
    <row r="16459" spans="1:7" x14ac:dyDescent="0.35">
      <c r="A16459" t="s">
        <v>228</v>
      </c>
      <c r="B16459" t="s">
        <v>363</v>
      </c>
      <c r="C16459">
        <v>2.4900000000000002</v>
      </c>
      <c r="D16459">
        <v>2</v>
      </c>
      <c r="E16459">
        <v>1</v>
      </c>
      <c r="F16459">
        <v>9</v>
      </c>
      <c r="G16459">
        <v>208</v>
      </c>
    </row>
    <row r="16460" spans="1:7" x14ac:dyDescent="0.35">
      <c r="A16460" t="s">
        <v>228</v>
      </c>
      <c r="B16460" t="s">
        <v>360</v>
      </c>
      <c r="C16460">
        <v>2.62</v>
      </c>
      <c r="D16460">
        <v>2</v>
      </c>
      <c r="E16460">
        <v>1</v>
      </c>
      <c r="F16460">
        <v>10</v>
      </c>
      <c r="G16460">
        <v>248</v>
      </c>
    </row>
    <row r="16461" spans="1:7" x14ac:dyDescent="0.35">
      <c r="A16461" t="s">
        <v>229</v>
      </c>
      <c r="B16461" t="s">
        <v>362</v>
      </c>
      <c r="C16461">
        <v>2.4</v>
      </c>
      <c r="D16461">
        <v>2</v>
      </c>
      <c r="E16461">
        <v>1</v>
      </c>
      <c r="F16461">
        <v>6</v>
      </c>
      <c r="G16461">
        <v>169</v>
      </c>
    </row>
    <row r="16462" spans="1:7" x14ac:dyDescent="0.35">
      <c r="A16462" t="s">
        <v>229</v>
      </c>
      <c r="B16462" t="s">
        <v>360</v>
      </c>
      <c r="C16462">
        <v>2.92</v>
      </c>
      <c r="D16462">
        <v>3</v>
      </c>
      <c r="E16462">
        <v>1</v>
      </c>
      <c r="F16462">
        <v>39</v>
      </c>
      <c r="G16462">
        <v>163</v>
      </c>
    </row>
    <row r="16463" spans="1:7" x14ac:dyDescent="0.35">
      <c r="A16463" t="s">
        <v>229</v>
      </c>
      <c r="B16463" t="s">
        <v>361</v>
      </c>
      <c r="C16463">
        <v>2.34</v>
      </c>
      <c r="D16463">
        <v>2</v>
      </c>
      <c r="E16463">
        <v>1</v>
      </c>
      <c r="F16463">
        <v>6</v>
      </c>
      <c r="G16463">
        <v>242</v>
      </c>
    </row>
    <row r="16464" spans="1:7" x14ac:dyDescent="0.35">
      <c r="A16464" t="s">
        <v>229</v>
      </c>
      <c r="B16464" t="s">
        <v>363</v>
      </c>
      <c r="C16464">
        <v>2.2400000000000002</v>
      </c>
      <c r="D16464">
        <v>2</v>
      </c>
      <c r="E16464">
        <v>1</v>
      </c>
      <c r="F16464">
        <v>6</v>
      </c>
      <c r="G16464">
        <v>187</v>
      </c>
    </row>
    <row r="16465" spans="1:7" x14ac:dyDescent="0.35">
      <c r="A16465" t="s">
        <v>230</v>
      </c>
      <c r="B16465" t="s">
        <v>361</v>
      </c>
      <c r="C16465">
        <v>2.2999999999999998</v>
      </c>
      <c r="D16465">
        <v>2</v>
      </c>
      <c r="E16465">
        <v>1</v>
      </c>
      <c r="F16465">
        <v>6</v>
      </c>
      <c r="G16465">
        <v>109</v>
      </c>
    </row>
    <row r="16466" spans="1:7" x14ac:dyDescent="0.35">
      <c r="A16466" t="s">
        <v>230</v>
      </c>
      <c r="B16466" t="s">
        <v>363</v>
      </c>
      <c r="C16466">
        <v>2.21</v>
      </c>
      <c r="D16466">
        <v>2</v>
      </c>
      <c r="E16466">
        <v>1</v>
      </c>
      <c r="F16466">
        <v>5</v>
      </c>
      <c r="G16466">
        <v>122</v>
      </c>
    </row>
    <row r="16467" spans="1:7" x14ac:dyDescent="0.35">
      <c r="A16467" t="s">
        <v>230</v>
      </c>
      <c r="B16467" t="s">
        <v>360</v>
      </c>
      <c r="C16467">
        <v>2.78</v>
      </c>
      <c r="D16467">
        <v>2</v>
      </c>
      <c r="E16467">
        <v>1</v>
      </c>
      <c r="F16467">
        <v>8</v>
      </c>
      <c r="G16467">
        <v>115</v>
      </c>
    </row>
    <row r="16468" spans="1:7" x14ac:dyDescent="0.35">
      <c r="A16468" t="s">
        <v>230</v>
      </c>
      <c r="B16468" t="s">
        <v>362</v>
      </c>
      <c r="C16468">
        <v>2.37</v>
      </c>
      <c r="D16468">
        <v>2</v>
      </c>
      <c r="E16468">
        <v>1</v>
      </c>
      <c r="F16468">
        <v>6</v>
      </c>
      <c r="G16468">
        <v>148</v>
      </c>
    </row>
    <row r="16469" spans="1:7" x14ac:dyDescent="0.35">
      <c r="A16469" t="s">
        <v>231</v>
      </c>
      <c r="B16469" t="s">
        <v>360</v>
      </c>
      <c r="C16469">
        <v>2.88</v>
      </c>
      <c r="D16469">
        <v>2</v>
      </c>
      <c r="E16469">
        <v>1</v>
      </c>
      <c r="F16469">
        <v>15</v>
      </c>
      <c r="G16469">
        <v>42</v>
      </c>
    </row>
    <row r="16470" spans="1:7" x14ac:dyDescent="0.35">
      <c r="A16470" s="27" t="s">
        <v>231</v>
      </c>
      <c r="B16470" s="27" t="s">
        <v>363</v>
      </c>
      <c r="C16470" s="29">
        <v>2.73</v>
      </c>
      <c r="D16470" s="29">
        <v>2</v>
      </c>
      <c r="E16470" s="29">
        <v>1</v>
      </c>
      <c r="F16470" s="29">
        <v>5</v>
      </c>
      <c r="G16470" s="29">
        <v>26</v>
      </c>
    </row>
    <row r="16471" spans="1:7" x14ac:dyDescent="0.35">
      <c r="A16471" t="s">
        <v>231</v>
      </c>
      <c r="B16471" t="s">
        <v>361</v>
      </c>
      <c r="C16471">
        <v>2.17</v>
      </c>
      <c r="D16471">
        <v>2</v>
      </c>
      <c r="E16471">
        <v>1</v>
      </c>
      <c r="F16471">
        <v>10</v>
      </c>
      <c r="G16471">
        <v>47</v>
      </c>
    </row>
    <row r="16472" spans="1:7" x14ac:dyDescent="0.35">
      <c r="A16472" s="27" t="s">
        <v>231</v>
      </c>
      <c r="B16472" s="27" t="s">
        <v>362</v>
      </c>
      <c r="C16472" s="29">
        <v>2.04</v>
      </c>
      <c r="D16472" s="29">
        <v>2</v>
      </c>
      <c r="E16472" s="29">
        <v>1</v>
      </c>
      <c r="F16472" s="29">
        <v>5</v>
      </c>
      <c r="G16472" s="29">
        <v>27</v>
      </c>
    </row>
    <row r="16473" spans="1:7" x14ac:dyDescent="0.35">
      <c r="A16473" t="s">
        <v>232</v>
      </c>
      <c r="B16473" t="s">
        <v>232</v>
      </c>
      <c r="C16473">
        <v>2.4</v>
      </c>
      <c r="D16473">
        <v>2</v>
      </c>
      <c r="E16473">
        <v>1</v>
      </c>
      <c r="F16473">
        <v>39</v>
      </c>
      <c r="G16473">
        <v>2750</v>
      </c>
    </row>
    <row r="16475" spans="1:7" x14ac:dyDescent="0.35">
      <c r="A16475" s="1" t="s">
        <v>1716</v>
      </c>
    </row>
    <row r="16476" spans="1:7" x14ac:dyDescent="0.35">
      <c r="A16476" t="s">
        <v>219</v>
      </c>
      <c r="B16476" t="s">
        <v>305</v>
      </c>
      <c r="C16476" t="s">
        <v>534</v>
      </c>
      <c r="D16476" t="s">
        <v>535</v>
      </c>
      <c r="E16476" t="s">
        <v>536</v>
      </c>
      <c r="F16476" t="s">
        <v>537</v>
      </c>
      <c r="G16476" t="s">
        <v>226</v>
      </c>
    </row>
    <row r="16477" spans="1:7" x14ac:dyDescent="0.35">
      <c r="A16477" t="s">
        <v>227</v>
      </c>
      <c r="B16477" t="s">
        <v>267</v>
      </c>
      <c r="C16477">
        <v>1.74</v>
      </c>
      <c r="D16477">
        <v>1</v>
      </c>
      <c r="E16477">
        <v>1</v>
      </c>
      <c r="F16477">
        <v>4</v>
      </c>
      <c r="G16477">
        <v>34</v>
      </c>
    </row>
    <row r="16478" spans="1:7" x14ac:dyDescent="0.35">
      <c r="A16478" t="s">
        <v>227</v>
      </c>
      <c r="B16478" t="s">
        <v>266</v>
      </c>
      <c r="C16478">
        <v>1.69</v>
      </c>
      <c r="D16478">
        <v>1</v>
      </c>
      <c r="E16478">
        <v>1</v>
      </c>
      <c r="F16478">
        <v>6</v>
      </c>
      <c r="G16478">
        <v>55</v>
      </c>
    </row>
    <row r="16479" spans="1:7" x14ac:dyDescent="0.35">
      <c r="A16479" t="s">
        <v>227</v>
      </c>
      <c r="B16479" t="s">
        <v>265</v>
      </c>
      <c r="C16479">
        <v>3.12</v>
      </c>
      <c r="D16479">
        <v>3</v>
      </c>
      <c r="E16479">
        <v>2</v>
      </c>
      <c r="F16479">
        <v>8</v>
      </c>
      <c r="G16479">
        <v>65</v>
      </c>
    </row>
    <row r="16480" spans="1:7" x14ac:dyDescent="0.35">
      <c r="A16480" t="s">
        <v>228</v>
      </c>
      <c r="B16480" t="s">
        <v>267</v>
      </c>
      <c r="C16480">
        <v>2.17</v>
      </c>
      <c r="D16480">
        <v>2</v>
      </c>
      <c r="E16480">
        <v>1</v>
      </c>
      <c r="F16480">
        <v>8</v>
      </c>
      <c r="G16480">
        <v>197</v>
      </c>
    </row>
    <row r="16481" spans="1:7" x14ac:dyDescent="0.35">
      <c r="A16481" t="s">
        <v>228</v>
      </c>
      <c r="B16481" t="s">
        <v>266</v>
      </c>
      <c r="C16481">
        <v>1.83</v>
      </c>
      <c r="D16481">
        <v>1</v>
      </c>
      <c r="E16481">
        <v>1</v>
      </c>
      <c r="F16481">
        <v>9</v>
      </c>
      <c r="G16481">
        <v>435</v>
      </c>
    </row>
    <row r="16482" spans="1:7" x14ac:dyDescent="0.35">
      <c r="A16482" s="27" t="s">
        <v>228</v>
      </c>
      <c r="B16482" s="27" t="s">
        <v>236</v>
      </c>
      <c r="C16482" s="29">
        <v>1.5</v>
      </c>
      <c r="D16482" s="29">
        <v>1</v>
      </c>
      <c r="E16482" s="29">
        <v>1</v>
      </c>
      <c r="F16482" s="29">
        <v>2</v>
      </c>
      <c r="G16482" s="29">
        <v>2</v>
      </c>
    </row>
    <row r="16483" spans="1:7" x14ac:dyDescent="0.35">
      <c r="A16483" t="s">
        <v>228</v>
      </c>
      <c r="B16483" t="s">
        <v>265</v>
      </c>
      <c r="C16483">
        <v>3.03</v>
      </c>
      <c r="D16483">
        <v>3</v>
      </c>
      <c r="E16483">
        <v>2</v>
      </c>
      <c r="F16483">
        <v>10</v>
      </c>
      <c r="G16483">
        <v>374</v>
      </c>
    </row>
    <row r="16484" spans="1:7" x14ac:dyDescent="0.35">
      <c r="A16484" t="s">
        <v>229</v>
      </c>
      <c r="B16484" t="s">
        <v>267</v>
      </c>
      <c r="C16484">
        <v>2.23</v>
      </c>
      <c r="D16484">
        <v>2</v>
      </c>
      <c r="E16484">
        <v>1</v>
      </c>
      <c r="F16484">
        <v>39</v>
      </c>
      <c r="G16484">
        <v>200</v>
      </c>
    </row>
    <row r="16485" spans="1:7" x14ac:dyDescent="0.35">
      <c r="A16485" t="s">
        <v>229</v>
      </c>
      <c r="B16485" t="s">
        <v>265</v>
      </c>
      <c r="C16485">
        <v>2.95</v>
      </c>
      <c r="D16485">
        <v>3</v>
      </c>
      <c r="E16485">
        <v>2</v>
      </c>
      <c r="F16485">
        <v>7</v>
      </c>
      <c r="G16485">
        <v>330</v>
      </c>
    </row>
    <row r="16486" spans="1:7" x14ac:dyDescent="0.35">
      <c r="A16486" t="s">
        <v>229</v>
      </c>
      <c r="B16486" t="s">
        <v>266</v>
      </c>
      <c r="C16486">
        <v>1.84</v>
      </c>
      <c r="D16486">
        <v>1</v>
      </c>
      <c r="E16486">
        <v>1</v>
      </c>
      <c r="F16486">
        <v>7</v>
      </c>
      <c r="G16486">
        <v>356</v>
      </c>
    </row>
    <row r="16487" spans="1:7" x14ac:dyDescent="0.35">
      <c r="A16487" t="s">
        <v>230</v>
      </c>
      <c r="B16487" t="s">
        <v>265</v>
      </c>
      <c r="C16487">
        <v>3.07</v>
      </c>
      <c r="D16487">
        <v>3</v>
      </c>
      <c r="E16487">
        <v>2</v>
      </c>
      <c r="F16487">
        <v>8</v>
      </c>
      <c r="G16487">
        <v>206</v>
      </c>
    </row>
    <row r="16488" spans="1:7" x14ac:dyDescent="0.35">
      <c r="A16488" t="s">
        <v>230</v>
      </c>
      <c r="B16488" t="s">
        <v>266</v>
      </c>
      <c r="C16488">
        <v>1.69</v>
      </c>
      <c r="D16488">
        <v>1</v>
      </c>
      <c r="E16488">
        <v>1</v>
      </c>
      <c r="F16488">
        <v>5</v>
      </c>
      <c r="G16488">
        <v>225</v>
      </c>
    </row>
    <row r="16489" spans="1:7" x14ac:dyDescent="0.35">
      <c r="A16489" t="s">
        <v>230</v>
      </c>
      <c r="B16489" t="s">
        <v>267</v>
      </c>
      <c r="C16489">
        <v>2.2200000000000002</v>
      </c>
      <c r="D16489">
        <v>2</v>
      </c>
      <c r="E16489">
        <v>1</v>
      </c>
      <c r="F16489">
        <v>6</v>
      </c>
      <c r="G16489">
        <v>118</v>
      </c>
    </row>
    <row r="16490" spans="1:7" x14ac:dyDescent="0.35">
      <c r="A16490" t="s">
        <v>231</v>
      </c>
      <c r="B16490" t="s">
        <v>267</v>
      </c>
      <c r="C16490">
        <v>2.57</v>
      </c>
      <c r="D16490">
        <v>2</v>
      </c>
      <c r="E16490">
        <v>1</v>
      </c>
      <c r="F16490">
        <v>10</v>
      </c>
      <c r="G16490">
        <v>30</v>
      </c>
    </row>
    <row r="16491" spans="1:7" x14ac:dyDescent="0.35">
      <c r="A16491" t="s">
        <v>231</v>
      </c>
      <c r="B16491" t="s">
        <v>265</v>
      </c>
      <c r="C16491">
        <v>3.19</v>
      </c>
      <c r="D16491">
        <v>3</v>
      </c>
      <c r="E16491">
        <v>2</v>
      </c>
      <c r="F16491">
        <v>15</v>
      </c>
      <c r="G16491">
        <v>63</v>
      </c>
    </row>
    <row r="16492" spans="1:7" x14ac:dyDescent="0.35">
      <c r="A16492" t="s">
        <v>231</v>
      </c>
      <c r="B16492" t="s">
        <v>266</v>
      </c>
      <c r="C16492">
        <v>1.57</v>
      </c>
      <c r="D16492">
        <v>1</v>
      </c>
      <c r="E16492">
        <v>1</v>
      </c>
      <c r="F16492">
        <v>5</v>
      </c>
      <c r="G16492">
        <v>60</v>
      </c>
    </row>
    <row r="16493" spans="1:7" x14ac:dyDescent="0.35">
      <c r="A16493" t="s">
        <v>232</v>
      </c>
      <c r="B16493" t="s">
        <v>232</v>
      </c>
      <c r="C16493">
        <v>2.4</v>
      </c>
      <c r="D16493">
        <v>2</v>
      </c>
      <c r="E16493">
        <v>1</v>
      </c>
      <c r="F16493">
        <v>39</v>
      </c>
      <c r="G16493">
        <v>2750</v>
      </c>
    </row>
    <row r="16495" spans="1:7" x14ac:dyDescent="0.35">
      <c r="A16495" s="1" t="s">
        <v>1717</v>
      </c>
    </row>
    <row r="16496" spans="1:7" x14ac:dyDescent="0.35">
      <c r="A16496" t="s">
        <v>219</v>
      </c>
      <c r="B16496" t="s">
        <v>305</v>
      </c>
      <c r="C16496" t="s">
        <v>534</v>
      </c>
      <c r="D16496" t="s">
        <v>535</v>
      </c>
      <c r="E16496" t="s">
        <v>536</v>
      </c>
      <c r="F16496" t="s">
        <v>537</v>
      </c>
      <c r="G16496" t="s">
        <v>226</v>
      </c>
    </row>
    <row r="16497" spans="1:7" x14ac:dyDescent="0.35">
      <c r="A16497" t="s">
        <v>227</v>
      </c>
      <c r="B16497" t="s">
        <v>252</v>
      </c>
      <c r="C16497">
        <v>1.53</v>
      </c>
      <c r="D16497">
        <v>2</v>
      </c>
      <c r="E16497">
        <v>1</v>
      </c>
      <c r="F16497">
        <v>3</v>
      </c>
      <c r="G16497">
        <v>43</v>
      </c>
    </row>
    <row r="16498" spans="1:7" x14ac:dyDescent="0.35">
      <c r="A16498" t="s">
        <v>227</v>
      </c>
      <c r="B16498" t="s">
        <v>253</v>
      </c>
      <c r="C16498">
        <v>3.19</v>
      </c>
      <c r="D16498">
        <v>3</v>
      </c>
      <c r="E16498">
        <v>2</v>
      </c>
      <c r="F16498">
        <v>8</v>
      </c>
      <c r="G16498">
        <v>32</v>
      </c>
    </row>
    <row r="16499" spans="1:7" x14ac:dyDescent="0.35">
      <c r="A16499" t="s">
        <v>227</v>
      </c>
      <c r="B16499" t="s">
        <v>251</v>
      </c>
      <c r="C16499">
        <v>2.37</v>
      </c>
      <c r="D16499">
        <v>2</v>
      </c>
      <c r="E16499">
        <v>1</v>
      </c>
      <c r="F16499">
        <v>7</v>
      </c>
      <c r="G16499">
        <v>79</v>
      </c>
    </row>
    <row r="16500" spans="1:7" x14ac:dyDescent="0.35">
      <c r="A16500" t="s">
        <v>228</v>
      </c>
      <c r="B16500" t="s">
        <v>252</v>
      </c>
      <c r="C16500">
        <v>1.56</v>
      </c>
      <c r="D16500">
        <v>2</v>
      </c>
      <c r="E16500">
        <v>1</v>
      </c>
      <c r="F16500">
        <v>5</v>
      </c>
      <c r="G16500">
        <v>333</v>
      </c>
    </row>
    <row r="16501" spans="1:7" x14ac:dyDescent="0.35">
      <c r="A16501" t="s">
        <v>228</v>
      </c>
      <c r="B16501" t="s">
        <v>253</v>
      </c>
      <c r="C16501">
        <v>3.46</v>
      </c>
      <c r="D16501">
        <v>3</v>
      </c>
      <c r="E16501">
        <v>2</v>
      </c>
      <c r="F16501">
        <v>10</v>
      </c>
      <c r="G16501">
        <v>218</v>
      </c>
    </row>
    <row r="16502" spans="1:7" x14ac:dyDescent="0.35">
      <c r="A16502" t="s">
        <v>228</v>
      </c>
      <c r="B16502" t="s">
        <v>251</v>
      </c>
      <c r="C16502">
        <v>2.4700000000000002</v>
      </c>
      <c r="D16502">
        <v>2</v>
      </c>
      <c r="E16502">
        <v>1</v>
      </c>
      <c r="F16502">
        <v>8</v>
      </c>
      <c r="G16502">
        <v>457</v>
      </c>
    </row>
    <row r="16503" spans="1:7" x14ac:dyDescent="0.35">
      <c r="A16503" t="s">
        <v>229</v>
      </c>
      <c r="B16503" t="s">
        <v>252</v>
      </c>
      <c r="C16503">
        <v>1.55</v>
      </c>
      <c r="D16503">
        <v>2</v>
      </c>
      <c r="E16503">
        <v>1</v>
      </c>
      <c r="F16503">
        <v>5</v>
      </c>
      <c r="G16503">
        <v>196</v>
      </c>
    </row>
    <row r="16504" spans="1:7" x14ac:dyDescent="0.35">
      <c r="A16504" t="s">
        <v>229</v>
      </c>
      <c r="B16504" t="s">
        <v>253</v>
      </c>
      <c r="C16504">
        <v>3.41</v>
      </c>
      <c r="D16504">
        <v>3</v>
      </c>
      <c r="E16504">
        <v>2</v>
      </c>
      <c r="F16504">
        <v>7</v>
      </c>
      <c r="G16504">
        <v>144</v>
      </c>
    </row>
    <row r="16505" spans="1:7" x14ac:dyDescent="0.35">
      <c r="A16505" t="s">
        <v>229</v>
      </c>
      <c r="B16505" t="s">
        <v>251</v>
      </c>
      <c r="C16505">
        <v>2.44</v>
      </c>
      <c r="D16505">
        <v>2</v>
      </c>
      <c r="E16505">
        <v>1</v>
      </c>
      <c r="F16505">
        <v>39</v>
      </c>
      <c r="G16505">
        <v>546</v>
      </c>
    </row>
    <row r="16506" spans="1:7" x14ac:dyDescent="0.35">
      <c r="A16506" t="s">
        <v>230</v>
      </c>
      <c r="B16506" t="s">
        <v>252</v>
      </c>
      <c r="C16506">
        <v>1.51</v>
      </c>
      <c r="D16506">
        <v>1</v>
      </c>
      <c r="E16506">
        <v>1</v>
      </c>
      <c r="F16506">
        <v>5</v>
      </c>
      <c r="G16506">
        <v>154</v>
      </c>
    </row>
    <row r="16507" spans="1:7" x14ac:dyDescent="0.35">
      <c r="A16507" t="s">
        <v>230</v>
      </c>
      <c r="B16507" t="s">
        <v>253</v>
      </c>
      <c r="C16507">
        <v>2.79</v>
      </c>
      <c r="D16507">
        <v>2</v>
      </c>
      <c r="E16507">
        <v>2</v>
      </c>
      <c r="F16507">
        <v>6</v>
      </c>
      <c r="G16507">
        <v>110</v>
      </c>
    </row>
    <row r="16508" spans="1:7" x14ac:dyDescent="0.35">
      <c r="A16508" t="s">
        <v>230</v>
      </c>
      <c r="B16508" t="s">
        <v>251</v>
      </c>
      <c r="C16508">
        <v>2.65</v>
      </c>
      <c r="D16508">
        <v>3</v>
      </c>
      <c r="E16508">
        <v>1</v>
      </c>
      <c r="F16508">
        <v>8</v>
      </c>
      <c r="G16508">
        <v>285</v>
      </c>
    </row>
    <row r="16509" spans="1:7" x14ac:dyDescent="0.35">
      <c r="A16509" t="s">
        <v>231</v>
      </c>
      <c r="B16509" t="s">
        <v>252</v>
      </c>
      <c r="C16509">
        <v>1.48</v>
      </c>
      <c r="D16509">
        <v>1</v>
      </c>
      <c r="E16509">
        <v>1</v>
      </c>
      <c r="F16509">
        <v>5</v>
      </c>
      <c r="G16509">
        <v>44</v>
      </c>
    </row>
    <row r="16510" spans="1:7" x14ac:dyDescent="0.35">
      <c r="A16510" s="27" t="s">
        <v>231</v>
      </c>
      <c r="B16510" s="27" t="s">
        <v>253</v>
      </c>
      <c r="C16510" s="29">
        <v>3.21</v>
      </c>
      <c r="D16510" s="29">
        <v>3</v>
      </c>
      <c r="E16510" s="29">
        <v>2</v>
      </c>
      <c r="F16510" s="29">
        <v>6</v>
      </c>
      <c r="G16510" s="29">
        <v>29</v>
      </c>
    </row>
    <row r="16511" spans="1:7" x14ac:dyDescent="0.35">
      <c r="A16511" t="s">
        <v>231</v>
      </c>
      <c r="B16511" t="s">
        <v>251</v>
      </c>
      <c r="C16511">
        <v>2.68</v>
      </c>
      <c r="D16511">
        <v>2</v>
      </c>
      <c r="E16511">
        <v>1</v>
      </c>
      <c r="F16511">
        <v>15</v>
      </c>
      <c r="G16511">
        <v>80</v>
      </c>
    </row>
    <row r="16512" spans="1:7" x14ac:dyDescent="0.35">
      <c r="A16512" t="s">
        <v>232</v>
      </c>
      <c r="B16512" t="s">
        <v>232</v>
      </c>
      <c r="C16512">
        <v>2.4</v>
      </c>
      <c r="D16512">
        <v>2</v>
      </c>
      <c r="E16512">
        <v>1</v>
      </c>
      <c r="F16512">
        <v>39</v>
      </c>
      <c r="G16512">
        <v>2750</v>
      </c>
    </row>
    <row r="16514" spans="1:7" x14ac:dyDescent="0.35">
      <c r="A16514" s="1" t="s">
        <v>1718</v>
      </c>
    </row>
    <row r="16515" spans="1:7" x14ac:dyDescent="0.35">
      <c r="A16515" t="s">
        <v>219</v>
      </c>
      <c r="B16515" t="s">
        <v>305</v>
      </c>
      <c r="C16515" t="s">
        <v>534</v>
      </c>
      <c r="D16515" t="s">
        <v>535</v>
      </c>
      <c r="E16515" t="s">
        <v>536</v>
      </c>
      <c r="F16515" t="s">
        <v>537</v>
      </c>
      <c r="G16515" t="s">
        <v>226</v>
      </c>
    </row>
    <row r="16516" spans="1:7" x14ac:dyDescent="0.35">
      <c r="A16516" t="s">
        <v>227</v>
      </c>
      <c r="B16516" t="s">
        <v>249</v>
      </c>
      <c r="C16516">
        <v>3.84</v>
      </c>
      <c r="D16516">
        <v>4</v>
      </c>
      <c r="E16516">
        <v>2</v>
      </c>
      <c r="F16516">
        <v>8</v>
      </c>
      <c r="G16516">
        <v>43</v>
      </c>
    </row>
    <row r="16517" spans="1:7" x14ac:dyDescent="0.35">
      <c r="A16517" t="s">
        <v>227</v>
      </c>
      <c r="B16517" t="s">
        <v>248</v>
      </c>
      <c r="C16517">
        <v>1.71</v>
      </c>
      <c r="D16517">
        <v>2</v>
      </c>
      <c r="E16517">
        <v>1</v>
      </c>
      <c r="F16517">
        <v>4</v>
      </c>
      <c r="G16517">
        <v>111</v>
      </c>
    </row>
    <row r="16518" spans="1:7" x14ac:dyDescent="0.35">
      <c r="A16518" t="s">
        <v>228</v>
      </c>
      <c r="B16518" t="s">
        <v>249</v>
      </c>
      <c r="C16518">
        <v>3.82</v>
      </c>
      <c r="D16518">
        <v>4</v>
      </c>
      <c r="E16518">
        <v>2</v>
      </c>
      <c r="F16518">
        <v>10</v>
      </c>
      <c r="G16518">
        <v>266</v>
      </c>
    </row>
    <row r="16519" spans="1:7" x14ac:dyDescent="0.35">
      <c r="A16519" t="s">
        <v>228</v>
      </c>
      <c r="B16519" t="s">
        <v>248</v>
      </c>
      <c r="C16519">
        <v>1.78</v>
      </c>
      <c r="D16519">
        <v>2</v>
      </c>
      <c r="E16519">
        <v>1</v>
      </c>
      <c r="F16519">
        <v>5</v>
      </c>
      <c r="G16519">
        <v>742</v>
      </c>
    </row>
    <row r="16520" spans="1:7" x14ac:dyDescent="0.35">
      <c r="A16520" t="s">
        <v>229</v>
      </c>
      <c r="B16520" t="s">
        <v>249</v>
      </c>
      <c r="C16520">
        <v>3.61</v>
      </c>
      <c r="D16520">
        <v>3</v>
      </c>
      <c r="E16520">
        <v>2</v>
      </c>
      <c r="F16520">
        <v>39</v>
      </c>
      <c r="G16520">
        <v>257</v>
      </c>
    </row>
    <row r="16521" spans="1:7" x14ac:dyDescent="0.35">
      <c r="A16521" t="s">
        <v>229</v>
      </c>
      <c r="B16521" t="s">
        <v>248</v>
      </c>
      <c r="C16521">
        <v>1.85</v>
      </c>
      <c r="D16521">
        <v>2</v>
      </c>
      <c r="E16521">
        <v>1</v>
      </c>
      <c r="F16521">
        <v>7</v>
      </c>
      <c r="G16521">
        <v>629</v>
      </c>
    </row>
    <row r="16522" spans="1:7" x14ac:dyDescent="0.35">
      <c r="A16522" t="s">
        <v>230</v>
      </c>
      <c r="B16522" t="s">
        <v>249</v>
      </c>
      <c r="C16522">
        <v>3.54</v>
      </c>
      <c r="D16522">
        <v>3</v>
      </c>
      <c r="E16522">
        <v>2</v>
      </c>
      <c r="F16522">
        <v>8</v>
      </c>
      <c r="G16522">
        <v>167</v>
      </c>
    </row>
    <row r="16523" spans="1:7" x14ac:dyDescent="0.35">
      <c r="A16523" t="s">
        <v>230</v>
      </c>
      <c r="B16523" t="s">
        <v>248</v>
      </c>
      <c r="C16523">
        <v>1.81</v>
      </c>
      <c r="D16523">
        <v>2</v>
      </c>
      <c r="E16523">
        <v>1</v>
      </c>
      <c r="F16523">
        <v>5</v>
      </c>
      <c r="G16523">
        <v>382</v>
      </c>
    </row>
    <row r="16524" spans="1:7" x14ac:dyDescent="0.35">
      <c r="A16524" t="s">
        <v>231</v>
      </c>
      <c r="B16524" t="s">
        <v>249</v>
      </c>
      <c r="C16524">
        <v>4</v>
      </c>
      <c r="D16524">
        <v>4</v>
      </c>
      <c r="E16524">
        <v>2</v>
      </c>
      <c r="F16524">
        <v>15</v>
      </c>
      <c r="G16524">
        <v>33</v>
      </c>
    </row>
    <row r="16525" spans="1:7" x14ac:dyDescent="0.35">
      <c r="A16525" t="s">
        <v>231</v>
      </c>
      <c r="B16525" t="s">
        <v>248</v>
      </c>
      <c r="C16525">
        <v>2</v>
      </c>
      <c r="D16525">
        <v>2</v>
      </c>
      <c r="E16525">
        <v>1</v>
      </c>
      <c r="F16525">
        <v>10</v>
      </c>
      <c r="G16525">
        <v>120</v>
      </c>
    </row>
    <row r="16526" spans="1:7" x14ac:dyDescent="0.35">
      <c r="A16526" t="s">
        <v>232</v>
      </c>
      <c r="B16526" t="s">
        <v>232</v>
      </c>
      <c r="C16526">
        <v>2.4</v>
      </c>
      <c r="D16526">
        <v>2</v>
      </c>
      <c r="E16526">
        <v>1</v>
      </c>
      <c r="F16526">
        <v>39</v>
      </c>
      <c r="G16526">
        <v>2750</v>
      </c>
    </row>
    <row r="16528" spans="1:7" x14ac:dyDescent="0.35">
      <c r="A16528" s="1" t="s">
        <v>1719</v>
      </c>
    </row>
    <row r="16529" spans="1:7" x14ac:dyDescent="0.35">
      <c r="A16529" t="s">
        <v>219</v>
      </c>
      <c r="B16529" t="s">
        <v>305</v>
      </c>
      <c r="C16529" t="s">
        <v>534</v>
      </c>
      <c r="D16529" t="s">
        <v>535</v>
      </c>
      <c r="E16529" t="s">
        <v>536</v>
      </c>
      <c r="F16529" t="s">
        <v>537</v>
      </c>
      <c r="G16529" t="s">
        <v>226</v>
      </c>
    </row>
    <row r="16530" spans="1:7" x14ac:dyDescent="0.35">
      <c r="A16530" s="27" t="s">
        <v>227</v>
      </c>
      <c r="B16530" s="27" t="s">
        <v>263</v>
      </c>
      <c r="C16530" s="29">
        <v>1.67</v>
      </c>
      <c r="D16530" s="29">
        <v>2</v>
      </c>
      <c r="E16530" s="29">
        <v>1</v>
      </c>
      <c r="F16530" s="29">
        <v>2</v>
      </c>
      <c r="G16530" s="29">
        <v>3</v>
      </c>
    </row>
    <row r="16531" spans="1:7" x14ac:dyDescent="0.35">
      <c r="A16531" s="27" t="s">
        <v>227</v>
      </c>
      <c r="B16531" s="27" t="s">
        <v>262</v>
      </c>
      <c r="C16531" s="29">
        <v>3.67</v>
      </c>
      <c r="D16531" s="29">
        <v>5</v>
      </c>
      <c r="E16531" s="29">
        <v>1</v>
      </c>
      <c r="F16531" s="29">
        <v>5</v>
      </c>
      <c r="G16531" s="29">
        <v>3</v>
      </c>
    </row>
    <row r="16532" spans="1:7" x14ac:dyDescent="0.35">
      <c r="A16532" t="s">
        <v>227</v>
      </c>
      <c r="B16532" t="s">
        <v>260</v>
      </c>
      <c r="C16532">
        <v>2.25</v>
      </c>
      <c r="D16532">
        <v>2</v>
      </c>
      <c r="E16532">
        <v>1</v>
      </c>
      <c r="F16532">
        <v>8</v>
      </c>
      <c r="G16532">
        <v>122</v>
      </c>
    </row>
    <row r="16533" spans="1:7" x14ac:dyDescent="0.35">
      <c r="A16533" s="27" t="s">
        <v>227</v>
      </c>
      <c r="B16533" s="27" t="s">
        <v>261</v>
      </c>
      <c r="C16533" s="29">
        <v>2.46</v>
      </c>
      <c r="D16533" s="29">
        <v>2</v>
      </c>
      <c r="E16533" s="29">
        <v>1</v>
      </c>
      <c r="F16533" s="29">
        <v>7</v>
      </c>
      <c r="G16533" s="29">
        <v>26</v>
      </c>
    </row>
    <row r="16534" spans="1:7" x14ac:dyDescent="0.35">
      <c r="A16534" t="s">
        <v>228</v>
      </c>
      <c r="B16534" t="s">
        <v>262</v>
      </c>
      <c r="C16534">
        <v>2.73</v>
      </c>
      <c r="D16534">
        <v>2</v>
      </c>
      <c r="E16534">
        <v>1</v>
      </c>
      <c r="F16534">
        <v>9</v>
      </c>
      <c r="G16534">
        <v>197</v>
      </c>
    </row>
    <row r="16535" spans="1:7" x14ac:dyDescent="0.35">
      <c r="A16535" s="27" t="s">
        <v>228</v>
      </c>
      <c r="B16535" s="27" t="s">
        <v>236</v>
      </c>
      <c r="C16535" s="29">
        <v>1.28</v>
      </c>
      <c r="D16535" s="29">
        <v>2</v>
      </c>
      <c r="E16535" s="29">
        <v>1</v>
      </c>
      <c r="F16535" s="29">
        <v>2</v>
      </c>
      <c r="G16535" s="29">
        <v>6</v>
      </c>
    </row>
    <row r="16536" spans="1:7" x14ac:dyDescent="0.35">
      <c r="A16536" t="s">
        <v>228</v>
      </c>
      <c r="B16536" t="s">
        <v>260</v>
      </c>
      <c r="C16536">
        <v>2.2200000000000002</v>
      </c>
      <c r="D16536">
        <v>2</v>
      </c>
      <c r="E16536">
        <v>1</v>
      </c>
      <c r="F16536">
        <v>10</v>
      </c>
      <c r="G16536">
        <v>608</v>
      </c>
    </row>
    <row r="16537" spans="1:7" x14ac:dyDescent="0.35">
      <c r="A16537" s="27" t="s">
        <v>228</v>
      </c>
      <c r="B16537" s="27" t="s">
        <v>263</v>
      </c>
      <c r="C16537" s="29">
        <v>2.5</v>
      </c>
      <c r="D16537" s="29">
        <v>2</v>
      </c>
      <c r="E16537" s="29">
        <v>1</v>
      </c>
      <c r="F16537" s="29">
        <v>5</v>
      </c>
      <c r="G16537" s="29">
        <v>25</v>
      </c>
    </row>
    <row r="16538" spans="1:7" x14ac:dyDescent="0.35">
      <c r="A16538" t="s">
        <v>228</v>
      </c>
      <c r="B16538" t="s">
        <v>261</v>
      </c>
      <c r="C16538">
        <v>2.68</v>
      </c>
      <c r="D16538">
        <v>2</v>
      </c>
      <c r="E16538">
        <v>1</v>
      </c>
      <c r="F16538">
        <v>8</v>
      </c>
      <c r="G16538">
        <v>172</v>
      </c>
    </row>
    <row r="16539" spans="1:7" x14ac:dyDescent="0.35">
      <c r="A16539" t="s">
        <v>229</v>
      </c>
      <c r="B16539" t="s">
        <v>261</v>
      </c>
      <c r="C16539">
        <v>2.39</v>
      </c>
      <c r="D16539">
        <v>2</v>
      </c>
      <c r="E16539">
        <v>1</v>
      </c>
      <c r="F16539">
        <v>6</v>
      </c>
      <c r="G16539">
        <v>90</v>
      </c>
    </row>
    <row r="16540" spans="1:7" x14ac:dyDescent="0.35">
      <c r="A16540" t="s">
        <v>229</v>
      </c>
      <c r="B16540" t="s">
        <v>262</v>
      </c>
      <c r="C16540">
        <v>2.86</v>
      </c>
      <c r="D16540">
        <v>3</v>
      </c>
      <c r="E16540">
        <v>1</v>
      </c>
      <c r="F16540">
        <v>39</v>
      </c>
      <c r="G16540">
        <v>186</v>
      </c>
    </row>
    <row r="16541" spans="1:7" x14ac:dyDescent="0.35">
      <c r="A16541" s="27" t="s">
        <v>229</v>
      </c>
      <c r="B16541" s="27" t="s">
        <v>263</v>
      </c>
      <c r="C16541" s="29">
        <v>2.84</v>
      </c>
      <c r="D16541" s="29">
        <v>2</v>
      </c>
      <c r="E16541" s="29">
        <v>1</v>
      </c>
      <c r="F16541" s="29">
        <v>6</v>
      </c>
      <c r="G16541" s="29">
        <v>14</v>
      </c>
    </row>
    <row r="16542" spans="1:7" x14ac:dyDescent="0.35">
      <c r="A16542" t="s">
        <v>229</v>
      </c>
      <c r="B16542" t="s">
        <v>260</v>
      </c>
      <c r="C16542">
        <v>2.2000000000000002</v>
      </c>
      <c r="D16542">
        <v>2</v>
      </c>
      <c r="E16542">
        <v>1</v>
      </c>
      <c r="F16542">
        <v>7</v>
      </c>
      <c r="G16542">
        <v>595</v>
      </c>
    </row>
    <row r="16543" spans="1:7" x14ac:dyDescent="0.35">
      <c r="A16543" s="27" t="s">
        <v>229</v>
      </c>
      <c r="B16543" s="27" t="s">
        <v>236</v>
      </c>
      <c r="C16543" s="29">
        <v>1</v>
      </c>
      <c r="D16543" s="29">
        <v>1</v>
      </c>
      <c r="E16543" s="29">
        <v>1</v>
      </c>
      <c r="F16543" s="29">
        <v>1</v>
      </c>
      <c r="G16543" s="29">
        <v>1</v>
      </c>
    </row>
    <row r="16544" spans="1:7" x14ac:dyDescent="0.35">
      <c r="A16544" t="s">
        <v>230</v>
      </c>
      <c r="B16544" t="s">
        <v>262</v>
      </c>
      <c r="C16544">
        <v>2.69</v>
      </c>
      <c r="D16544">
        <v>3</v>
      </c>
      <c r="E16544">
        <v>1</v>
      </c>
      <c r="F16544">
        <v>6</v>
      </c>
      <c r="G16544">
        <v>121</v>
      </c>
    </row>
    <row r="16545" spans="1:7" x14ac:dyDescent="0.35">
      <c r="A16545" s="27" t="s">
        <v>230</v>
      </c>
      <c r="B16545" s="27" t="s">
        <v>236</v>
      </c>
      <c r="C16545" s="29">
        <v>1.27</v>
      </c>
      <c r="D16545" s="29">
        <v>2</v>
      </c>
      <c r="E16545" s="29">
        <v>1</v>
      </c>
      <c r="F16545" s="29">
        <v>3</v>
      </c>
      <c r="G16545" s="29">
        <v>4</v>
      </c>
    </row>
    <row r="16546" spans="1:7" x14ac:dyDescent="0.35">
      <c r="A16546" s="27" t="s">
        <v>230</v>
      </c>
      <c r="B16546" s="27" t="s">
        <v>263</v>
      </c>
      <c r="C16546" s="29">
        <v>3.79</v>
      </c>
      <c r="D16546" s="29">
        <v>3</v>
      </c>
      <c r="E16546" s="29">
        <v>1</v>
      </c>
      <c r="F16546" s="29">
        <v>6</v>
      </c>
      <c r="G16546" s="29">
        <v>25</v>
      </c>
    </row>
    <row r="16547" spans="1:7" x14ac:dyDescent="0.35">
      <c r="A16547" t="s">
        <v>230</v>
      </c>
      <c r="B16547" t="s">
        <v>260</v>
      </c>
      <c r="C16547">
        <v>2.2599999999999998</v>
      </c>
      <c r="D16547">
        <v>2</v>
      </c>
      <c r="E16547">
        <v>1</v>
      </c>
      <c r="F16547">
        <v>8</v>
      </c>
      <c r="G16547">
        <v>350</v>
      </c>
    </row>
    <row r="16548" spans="1:7" x14ac:dyDescent="0.35">
      <c r="A16548" t="s">
        <v>230</v>
      </c>
      <c r="B16548" t="s">
        <v>261</v>
      </c>
      <c r="C16548">
        <v>2.65</v>
      </c>
      <c r="D16548">
        <v>2</v>
      </c>
      <c r="E16548">
        <v>1</v>
      </c>
      <c r="F16548">
        <v>6</v>
      </c>
      <c r="G16548">
        <v>49</v>
      </c>
    </row>
    <row r="16549" spans="1:7" x14ac:dyDescent="0.35">
      <c r="A16549" s="27" t="s">
        <v>231</v>
      </c>
      <c r="B16549" s="27" t="s">
        <v>262</v>
      </c>
      <c r="C16549" s="29">
        <v>2.67</v>
      </c>
      <c r="D16549" s="29">
        <v>3</v>
      </c>
      <c r="E16549" s="29">
        <v>1</v>
      </c>
      <c r="F16549" s="29">
        <v>5</v>
      </c>
      <c r="G16549" s="29">
        <v>9</v>
      </c>
    </row>
    <row r="16550" spans="1:7" x14ac:dyDescent="0.35">
      <c r="A16550" s="27" t="s">
        <v>231</v>
      </c>
      <c r="B16550" s="27" t="s">
        <v>263</v>
      </c>
      <c r="C16550" s="29">
        <v>2.5</v>
      </c>
      <c r="D16550" s="29">
        <v>1</v>
      </c>
      <c r="E16550" s="29">
        <v>1</v>
      </c>
      <c r="F16550" s="29">
        <v>4</v>
      </c>
      <c r="G16550" s="29">
        <v>2</v>
      </c>
    </row>
    <row r="16551" spans="1:7" x14ac:dyDescent="0.35">
      <c r="A16551" s="27" t="s">
        <v>231</v>
      </c>
      <c r="B16551" s="27" t="s">
        <v>261</v>
      </c>
      <c r="C16551" s="29">
        <v>2.39</v>
      </c>
      <c r="D16551" s="29">
        <v>2</v>
      </c>
      <c r="E16551" s="29">
        <v>1</v>
      </c>
      <c r="F16551" s="29">
        <v>10</v>
      </c>
      <c r="G16551" s="29">
        <v>18</v>
      </c>
    </row>
    <row r="16552" spans="1:7" x14ac:dyDescent="0.35">
      <c r="A16552" t="s">
        <v>231</v>
      </c>
      <c r="B16552" t="s">
        <v>260</v>
      </c>
      <c r="C16552">
        <v>2.42</v>
      </c>
      <c r="D16552">
        <v>2</v>
      </c>
      <c r="E16552">
        <v>1</v>
      </c>
      <c r="F16552">
        <v>15</v>
      </c>
      <c r="G16552">
        <v>124</v>
      </c>
    </row>
    <row r="16553" spans="1:7" x14ac:dyDescent="0.35">
      <c r="A16553" t="s">
        <v>232</v>
      </c>
      <c r="B16553" t="s">
        <v>232</v>
      </c>
      <c r="C16553">
        <v>2.4</v>
      </c>
      <c r="D16553">
        <v>2</v>
      </c>
      <c r="E16553">
        <v>1</v>
      </c>
      <c r="F16553">
        <v>39</v>
      </c>
      <c r="G16553">
        <v>2750</v>
      </c>
    </row>
    <row r="16555" spans="1:7" x14ac:dyDescent="0.35">
      <c r="A16555" s="1" t="s">
        <v>1720</v>
      </c>
    </row>
    <row r="16556" spans="1:7" x14ac:dyDescent="0.35">
      <c r="A16556" t="s">
        <v>219</v>
      </c>
      <c r="B16556" t="s">
        <v>305</v>
      </c>
      <c r="C16556" t="s">
        <v>534</v>
      </c>
      <c r="D16556" t="s">
        <v>535</v>
      </c>
      <c r="E16556" t="s">
        <v>536</v>
      </c>
      <c r="F16556" t="s">
        <v>537</v>
      </c>
      <c r="G16556" t="s">
        <v>226</v>
      </c>
    </row>
    <row r="16557" spans="1:7" x14ac:dyDescent="0.35">
      <c r="A16557" s="27" t="s">
        <v>227</v>
      </c>
      <c r="B16557" s="27" t="s">
        <v>368</v>
      </c>
      <c r="C16557" s="29">
        <v>2.46</v>
      </c>
      <c r="D16557" s="29">
        <v>2</v>
      </c>
      <c r="E16557" s="29">
        <v>1</v>
      </c>
      <c r="F16557" s="29">
        <v>7</v>
      </c>
      <c r="G16557" s="29">
        <v>26</v>
      </c>
    </row>
    <row r="16558" spans="1:7" x14ac:dyDescent="0.35">
      <c r="A16558" t="s">
        <v>227</v>
      </c>
      <c r="B16558" t="s">
        <v>369</v>
      </c>
      <c r="C16558">
        <v>2.27</v>
      </c>
      <c r="D16558">
        <v>2</v>
      </c>
      <c r="E16558">
        <v>1</v>
      </c>
      <c r="F16558">
        <v>8</v>
      </c>
      <c r="G16558">
        <v>128</v>
      </c>
    </row>
    <row r="16559" spans="1:7" x14ac:dyDescent="0.35">
      <c r="A16559" t="s">
        <v>228</v>
      </c>
      <c r="B16559" t="s">
        <v>368</v>
      </c>
      <c r="C16559">
        <v>2.68</v>
      </c>
      <c r="D16559">
        <v>2</v>
      </c>
      <c r="E16559">
        <v>1</v>
      </c>
      <c r="F16559">
        <v>8</v>
      </c>
      <c r="G16559">
        <v>172</v>
      </c>
    </row>
    <row r="16560" spans="1:7" x14ac:dyDescent="0.35">
      <c r="A16560" t="s">
        <v>228</v>
      </c>
      <c r="B16560" t="s">
        <v>369</v>
      </c>
      <c r="C16560">
        <v>2.33</v>
      </c>
      <c r="D16560">
        <v>2</v>
      </c>
      <c r="E16560">
        <v>1</v>
      </c>
      <c r="F16560">
        <v>10</v>
      </c>
      <c r="G16560">
        <v>836</v>
      </c>
    </row>
    <row r="16561" spans="1:7" x14ac:dyDescent="0.35">
      <c r="A16561" t="s">
        <v>229</v>
      </c>
      <c r="B16561" t="s">
        <v>368</v>
      </c>
      <c r="C16561">
        <v>2.39</v>
      </c>
      <c r="D16561">
        <v>2</v>
      </c>
      <c r="E16561">
        <v>1</v>
      </c>
      <c r="F16561">
        <v>6</v>
      </c>
      <c r="G16561">
        <v>90</v>
      </c>
    </row>
    <row r="16562" spans="1:7" x14ac:dyDescent="0.35">
      <c r="A16562" t="s">
        <v>229</v>
      </c>
      <c r="B16562" t="s">
        <v>369</v>
      </c>
      <c r="C16562">
        <v>2.4300000000000002</v>
      </c>
      <c r="D16562">
        <v>2</v>
      </c>
      <c r="E16562">
        <v>1</v>
      </c>
      <c r="F16562">
        <v>39</v>
      </c>
      <c r="G16562">
        <v>796</v>
      </c>
    </row>
    <row r="16563" spans="1:7" x14ac:dyDescent="0.35">
      <c r="A16563" t="s">
        <v>230</v>
      </c>
      <c r="B16563" t="s">
        <v>368</v>
      </c>
      <c r="C16563">
        <v>2.65</v>
      </c>
      <c r="D16563">
        <v>2</v>
      </c>
      <c r="E16563">
        <v>1</v>
      </c>
      <c r="F16563">
        <v>6</v>
      </c>
      <c r="G16563">
        <v>49</v>
      </c>
    </row>
    <row r="16564" spans="1:7" x14ac:dyDescent="0.35">
      <c r="A16564" t="s">
        <v>230</v>
      </c>
      <c r="B16564" t="s">
        <v>369</v>
      </c>
      <c r="C16564">
        <v>2.36</v>
      </c>
      <c r="D16564">
        <v>2</v>
      </c>
      <c r="E16564">
        <v>1</v>
      </c>
      <c r="F16564">
        <v>8</v>
      </c>
      <c r="G16564">
        <v>500</v>
      </c>
    </row>
    <row r="16565" spans="1:7" x14ac:dyDescent="0.35">
      <c r="A16565" s="27" t="s">
        <v>231</v>
      </c>
      <c r="B16565" s="27" t="s">
        <v>368</v>
      </c>
      <c r="C16565" s="29">
        <v>2.39</v>
      </c>
      <c r="D16565" s="29">
        <v>2</v>
      </c>
      <c r="E16565" s="29">
        <v>1</v>
      </c>
      <c r="F16565" s="29">
        <v>10</v>
      </c>
      <c r="G16565" s="29">
        <v>18</v>
      </c>
    </row>
    <row r="16566" spans="1:7" x14ac:dyDescent="0.35">
      <c r="A16566" t="s">
        <v>231</v>
      </c>
      <c r="B16566" t="s">
        <v>369</v>
      </c>
      <c r="C16566">
        <v>2.44</v>
      </c>
      <c r="D16566">
        <v>2</v>
      </c>
      <c r="E16566">
        <v>1</v>
      </c>
      <c r="F16566">
        <v>15</v>
      </c>
      <c r="G16566">
        <v>135</v>
      </c>
    </row>
    <row r="16567" spans="1:7" x14ac:dyDescent="0.35">
      <c r="A16567" t="s">
        <v>232</v>
      </c>
      <c r="B16567" t="s">
        <v>232</v>
      </c>
      <c r="C16567">
        <v>2.4</v>
      </c>
      <c r="D16567">
        <v>2</v>
      </c>
      <c r="E16567">
        <v>1</v>
      </c>
      <c r="F16567">
        <v>39</v>
      </c>
      <c r="G16567">
        <v>2750</v>
      </c>
    </row>
    <row r="16569" spans="1:7" x14ac:dyDescent="0.35">
      <c r="A16569" s="1" t="s">
        <v>1721</v>
      </c>
    </row>
    <row r="16570" spans="1:7" x14ac:dyDescent="0.35">
      <c r="A16570" t="s">
        <v>219</v>
      </c>
      <c r="B16570" t="s">
        <v>305</v>
      </c>
      <c r="C16570" t="s">
        <v>534</v>
      </c>
      <c r="D16570" t="s">
        <v>535</v>
      </c>
      <c r="E16570" t="s">
        <v>536</v>
      </c>
      <c r="F16570" t="s">
        <v>537</v>
      </c>
      <c r="G16570" t="s">
        <v>226</v>
      </c>
    </row>
    <row r="16571" spans="1:7" x14ac:dyDescent="0.35">
      <c r="A16571" t="s">
        <v>227</v>
      </c>
      <c r="B16571" t="s">
        <v>371</v>
      </c>
      <c r="C16571">
        <v>2.31</v>
      </c>
      <c r="D16571">
        <v>2</v>
      </c>
      <c r="E16571">
        <v>1</v>
      </c>
      <c r="F16571">
        <v>8</v>
      </c>
      <c r="G16571">
        <v>154</v>
      </c>
    </row>
    <row r="16572" spans="1:7" x14ac:dyDescent="0.35">
      <c r="A16572" t="s">
        <v>228</v>
      </c>
      <c r="B16572" t="s">
        <v>371</v>
      </c>
      <c r="C16572">
        <v>2.52</v>
      </c>
      <c r="D16572">
        <v>2</v>
      </c>
      <c r="E16572">
        <v>1</v>
      </c>
      <c r="F16572">
        <v>8</v>
      </c>
      <c r="G16572">
        <v>284</v>
      </c>
    </row>
    <row r="16573" spans="1:7" x14ac:dyDescent="0.35">
      <c r="A16573" t="s">
        <v>228</v>
      </c>
      <c r="B16573" t="s">
        <v>372</v>
      </c>
      <c r="C16573">
        <v>2.2000000000000002</v>
      </c>
      <c r="D16573">
        <v>2</v>
      </c>
      <c r="E16573">
        <v>1</v>
      </c>
      <c r="F16573">
        <v>10</v>
      </c>
      <c r="G16573">
        <v>214</v>
      </c>
    </row>
    <row r="16574" spans="1:7" x14ac:dyDescent="0.35">
      <c r="A16574" t="s">
        <v>228</v>
      </c>
      <c r="B16574" t="s">
        <v>373</v>
      </c>
      <c r="C16574">
        <v>2.2599999999999998</v>
      </c>
      <c r="D16574">
        <v>2</v>
      </c>
      <c r="E16574">
        <v>1</v>
      </c>
      <c r="F16574">
        <v>9</v>
      </c>
      <c r="G16574">
        <v>510</v>
      </c>
    </row>
    <row r="16575" spans="1:7" x14ac:dyDescent="0.35">
      <c r="A16575" t="s">
        <v>229</v>
      </c>
      <c r="B16575" t="s">
        <v>371</v>
      </c>
      <c r="C16575">
        <v>2.44</v>
      </c>
      <c r="D16575">
        <v>2</v>
      </c>
      <c r="E16575">
        <v>1</v>
      </c>
      <c r="F16575">
        <v>39</v>
      </c>
      <c r="G16575">
        <v>578</v>
      </c>
    </row>
    <row r="16576" spans="1:7" x14ac:dyDescent="0.35">
      <c r="A16576" t="s">
        <v>229</v>
      </c>
      <c r="B16576" t="s">
        <v>372</v>
      </c>
      <c r="C16576">
        <v>2.25</v>
      </c>
      <c r="D16576">
        <v>2</v>
      </c>
      <c r="E16576">
        <v>1</v>
      </c>
      <c r="F16576">
        <v>7</v>
      </c>
      <c r="G16576">
        <v>219</v>
      </c>
    </row>
    <row r="16577" spans="1:7" x14ac:dyDescent="0.35">
      <c r="A16577" t="s">
        <v>229</v>
      </c>
      <c r="B16577" t="s">
        <v>373</v>
      </c>
      <c r="C16577">
        <v>2.2200000000000002</v>
      </c>
      <c r="D16577">
        <v>2</v>
      </c>
      <c r="E16577">
        <v>1</v>
      </c>
      <c r="F16577">
        <v>6</v>
      </c>
      <c r="G16577">
        <v>89</v>
      </c>
    </row>
    <row r="16578" spans="1:7" x14ac:dyDescent="0.35">
      <c r="A16578" t="s">
        <v>230</v>
      </c>
      <c r="B16578" t="s">
        <v>371</v>
      </c>
      <c r="C16578">
        <v>2.4300000000000002</v>
      </c>
      <c r="D16578">
        <v>2</v>
      </c>
      <c r="E16578">
        <v>1</v>
      </c>
      <c r="F16578">
        <v>8</v>
      </c>
      <c r="G16578">
        <v>257</v>
      </c>
    </row>
    <row r="16579" spans="1:7" x14ac:dyDescent="0.35">
      <c r="A16579" t="s">
        <v>230</v>
      </c>
      <c r="B16579" t="s">
        <v>372</v>
      </c>
      <c r="C16579">
        <v>2.13</v>
      </c>
      <c r="D16579">
        <v>2</v>
      </c>
      <c r="E16579">
        <v>1</v>
      </c>
      <c r="F16579">
        <v>6</v>
      </c>
      <c r="G16579">
        <v>142</v>
      </c>
    </row>
    <row r="16580" spans="1:7" x14ac:dyDescent="0.35">
      <c r="A16580" t="s">
        <v>230</v>
      </c>
      <c r="B16580" t="s">
        <v>373</v>
      </c>
      <c r="C16580">
        <v>2.27</v>
      </c>
      <c r="D16580">
        <v>2</v>
      </c>
      <c r="E16580">
        <v>1</v>
      </c>
      <c r="F16580">
        <v>6</v>
      </c>
      <c r="G16580">
        <v>150</v>
      </c>
    </row>
    <row r="16581" spans="1:7" x14ac:dyDescent="0.35">
      <c r="A16581" t="s">
        <v>231</v>
      </c>
      <c r="B16581" t="s">
        <v>371</v>
      </c>
      <c r="C16581">
        <v>2.4300000000000002</v>
      </c>
      <c r="D16581">
        <v>2</v>
      </c>
      <c r="E16581">
        <v>1</v>
      </c>
      <c r="F16581">
        <v>15</v>
      </c>
      <c r="G16581">
        <v>153</v>
      </c>
    </row>
    <row r="16582" spans="1:7" x14ac:dyDescent="0.35">
      <c r="A16582" t="s">
        <v>232</v>
      </c>
      <c r="B16582" t="s">
        <v>232</v>
      </c>
      <c r="C16582">
        <v>2.4</v>
      </c>
      <c r="D16582">
        <v>2</v>
      </c>
      <c r="E16582">
        <v>1</v>
      </c>
      <c r="F16582">
        <v>39</v>
      </c>
      <c r="G16582">
        <v>2750</v>
      </c>
    </row>
    <row r="16584" spans="1:7" x14ac:dyDescent="0.35">
      <c r="A16584" s="1" t="s">
        <v>1722</v>
      </c>
    </row>
    <row r="16585" spans="1:7" x14ac:dyDescent="0.35">
      <c r="A16585" t="s">
        <v>219</v>
      </c>
      <c r="B16585" t="s">
        <v>305</v>
      </c>
      <c r="C16585" t="s">
        <v>534</v>
      </c>
      <c r="D16585" t="s">
        <v>535</v>
      </c>
      <c r="E16585" t="s">
        <v>536</v>
      </c>
      <c r="F16585" t="s">
        <v>537</v>
      </c>
      <c r="G16585" t="s">
        <v>226</v>
      </c>
    </row>
    <row r="16586" spans="1:7" x14ac:dyDescent="0.35">
      <c r="A16586" t="s">
        <v>227</v>
      </c>
      <c r="B16586" t="s">
        <v>255</v>
      </c>
      <c r="C16586">
        <v>1.71</v>
      </c>
      <c r="D16586">
        <v>2</v>
      </c>
      <c r="E16586">
        <v>1</v>
      </c>
      <c r="F16586">
        <v>4</v>
      </c>
      <c r="G16586">
        <v>111</v>
      </c>
    </row>
    <row r="16587" spans="1:7" x14ac:dyDescent="0.35">
      <c r="A16587" t="s">
        <v>227</v>
      </c>
      <c r="B16587" t="s">
        <v>256</v>
      </c>
      <c r="C16587">
        <v>4.09</v>
      </c>
      <c r="D16587">
        <v>4</v>
      </c>
      <c r="E16587">
        <v>3</v>
      </c>
      <c r="F16587">
        <v>8</v>
      </c>
      <c r="G16587">
        <v>35</v>
      </c>
    </row>
    <row r="16588" spans="1:7" x14ac:dyDescent="0.35">
      <c r="A16588" s="27" t="s">
        <v>227</v>
      </c>
      <c r="B16588" s="27" t="s">
        <v>257</v>
      </c>
      <c r="C16588" s="29">
        <v>2.75</v>
      </c>
      <c r="D16588" s="29">
        <v>2</v>
      </c>
      <c r="E16588" s="29">
        <v>2</v>
      </c>
      <c r="F16588" s="29">
        <v>6</v>
      </c>
      <c r="G16588" s="29">
        <v>8</v>
      </c>
    </row>
    <row r="16589" spans="1:7" x14ac:dyDescent="0.35">
      <c r="A16589" t="s">
        <v>228</v>
      </c>
      <c r="B16589" t="s">
        <v>255</v>
      </c>
      <c r="C16589">
        <v>1.78</v>
      </c>
      <c r="D16589">
        <v>2</v>
      </c>
      <c r="E16589">
        <v>1</v>
      </c>
      <c r="F16589">
        <v>5</v>
      </c>
      <c r="G16589">
        <v>742</v>
      </c>
    </row>
    <row r="16590" spans="1:7" x14ac:dyDescent="0.35">
      <c r="A16590" t="s">
        <v>228</v>
      </c>
      <c r="B16590" t="s">
        <v>256</v>
      </c>
      <c r="C16590">
        <v>4.1399999999999997</v>
      </c>
      <c r="D16590">
        <v>4</v>
      </c>
      <c r="E16590">
        <v>2</v>
      </c>
      <c r="F16590">
        <v>10</v>
      </c>
      <c r="G16590">
        <v>217</v>
      </c>
    </row>
    <row r="16591" spans="1:7" x14ac:dyDescent="0.35">
      <c r="A16591" t="s">
        <v>228</v>
      </c>
      <c r="B16591" t="s">
        <v>257</v>
      </c>
      <c r="C16591">
        <v>2.2400000000000002</v>
      </c>
      <c r="D16591">
        <v>2</v>
      </c>
      <c r="E16591">
        <v>2</v>
      </c>
      <c r="F16591">
        <v>3</v>
      </c>
      <c r="G16591">
        <v>45</v>
      </c>
    </row>
    <row r="16592" spans="1:7" x14ac:dyDescent="0.35">
      <c r="A16592" s="27" t="s">
        <v>228</v>
      </c>
      <c r="B16592" s="27" t="s">
        <v>258</v>
      </c>
      <c r="C16592" s="29">
        <v>2.39</v>
      </c>
      <c r="D16592" s="29">
        <v>2</v>
      </c>
      <c r="E16592" s="29">
        <v>2</v>
      </c>
      <c r="F16592" s="29">
        <v>4</v>
      </c>
      <c r="G16592" s="29">
        <v>4</v>
      </c>
    </row>
    <row r="16593" spans="1:8" x14ac:dyDescent="0.35">
      <c r="A16593" t="s">
        <v>229</v>
      </c>
      <c r="B16593" t="s">
        <v>255</v>
      </c>
      <c r="C16593">
        <v>1.85</v>
      </c>
      <c r="D16593">
        <v>2</v>
      </c>
      <c r="E16593">
        <v>1</v>
      </c>
      <c r="F16593">
        <v>7</v>
      </c>
      <c r="G16593">
        <v>629</v>
      </c>
    </row>
    <row r="16594" spans="1:8" x14ac:dyDescent="0.35">
      <c r="A16594" s="27" t="s">
        <v>229</v>
      </c>
      <c r="B16594" s="27" t="s">
        <v>258</v>
      </c>
      <c r="C16594" s="29">
        <v>2</v>
      </c>
      <c r="D16594" s="29">
        <v>2</v>
      </c>
      <c r="E16594" s="29">
        <v>2</v>
      </c>
      <c r="F16594" s="29">
        <v>2</v>
      </c>
      <c r="G16594" s="29">
        <v>2</v>
      </c>
    </row>
    <row r="16595" spans="1:8" x14ac:dyDescent="0.35">
      <c r="A16595" t="s">
        <v>229</v>
      </c>
      <c r="B16595" t="s">
        <v>256</v>
      </c>
      <c r="C16595">
        <v>3.84</v>
      </c>
      <c r="D16595">
        <v>4</v>
      </c>
      <c r="E16595">
        <v>3</v>
      </c>
      <c r="F16595">
        <v>39</v>
      </c>
      <c r="G16595">
        <v>205</v>
      </c>
    </row>
    <row r="16596" spans="1:8" x14ac:dyDescent="0.35">
      <c r="A16596" t="s">
        <v>229</v>
      </c>
      <c r="B16596" t="s">
        <v>257</v>
      </c>
      <c r="C16596">
        <v>2.4500000000000002</v>
      </c>
      <c r="D16596">
        <v>2</v>
      </c>
      <c r="E16596">
        <v>2</v>
      </c>
      <c r="F16596">
        <v>4</v>
      </c>
      <c r="G16596">
        <v>50</v>
      </c>
    </row>
    <row r="16597" spans="1:8" x14ac:dyDescent="0.35">
      <c r="A16597" t="s">
        <v>230</v>
      </c>
      <c r="B16597" t="s">
        <v>255</v>
      </c>
      <c r="C16597">
        <v>1.81</v>
      </c>
      <c r="D16597">
        <v>2</v>
      </c>
      <c r="E16597">
        <v>1</v>
      </c>
      <c r="F16597">
        <v>5</v>
      </c>
      <c r="G16597">
        <v>382</v>
      </c>
    </row>
    <row r="16598" spans="1:8" x14ac:dyDescent="0.35">
      <c r="A16598" t="s">
        <v>230</v>
      </c>
      <c r="B16598" t="s">
        <v>256</v>
      </c>
      <c r="C16598">
        <v>3.94</v>
      </c>
      <c r="D16598">
        <v>4</v>
      </c>
      <c r="E16598">
        <v>3</v>
      </c>
      <c r="F16598">
        <v>8</v>
      </c>
      <c r="G16598">
        <v>127</v>
      </c>
    </row>
    <row r="16599" spans="1:8" x14ac:dyDescent="0.35">
      <c r="A16599" s="27" t="s">
        <v>230</v>
      </c>
      <c r="B16599" s="27" t="s">
        <v>258</v>
      </c>
      <c r="C16599" s="29">
        <v>2</v>
      </c>
      <c r="D16599" s="29">
        <v>2</v>
      </c>
      <c r="E16599" s="29">
        <v>2</v>
      </c>
      <c r="F16599" s="29">
        <v>2</v>
      </c>
      <c r="G16599" s="29">
        <v>3</v>
      </c>
    </row>
    <row r="16600" spans="1:8" x14ac:dyDescent="0.35">
      <c r="A16600" t="s">
        <v>230</v>
      </c>
      <c r="B16600" t="s">
        <v>257</v>
      </c>
      <c r="C16600">
        <v>2.25</v>
      </c>
      <c r="D16600">
        <v>2</v>
      </c>
      <c r="E16600">
        <v>2</v>
      </c>
      <c r="F16600">
        <v>4</v>
      </c>
      <c r="G16600">
        <v>37</v>
      </c>
    </row>
    <row r="16601" spans="1:8" x14ac:dyDescent="0.35">
      <c r="A16601" s="27" t="s">
        <v>231</v>
      </c>
      <c r="B16601" s="27" t="s">
        <v>256</v>
      </c>
      <c r="C16601" s="29">
        <v>4.37</v>
      </c>
      <c r="D16601" s="29">
        <v>4</v>
      </c>
      <c r="E16601" s="29">
        <v>3</v>
      </c>
      <c r="F16601" s="29">
        <v>15</v>
      </c>
      <c r="G16601" s="29">
        <v>27</v>
      </c>
    </row>
    <row r="16602" spans="1:8" x14ac:dyDescent="0.35">
      <c r="A16602" t="s">
        <v>231</v>
      </c>
      <c r="B16602" t="s">
        <v>255</v>
      </c>
      <c r="C16602">
        <v>2</v>
      </c>
      <c r="D16602">
        <v>2</v>
      </c>
      <c r="E16602">
        <v>1</v>
      </c>
      <c r="F16602">
        <v>10</v>
      </c>
      <c r="G16602">
        <v>120</v>
      </c>
    </row>
    <row r="16603" spans="1:8" x14ac:dyDescent="0.35">
      <c r="A16603" s="27" t="s">
        <v>231</v>
      </c>
      <c r="B16603" s="27" t="s">
        <v>257</v>
      </c>
      <c r="C16603" s="29">
        <v>2.33</v>
      </c>
      <c r="D16603" s="29">
        <v>2</v>
      </c>
      <c r="E16603" s="29">
        <v>2</v>
      </c>
      <c r="F16603" s="29">
        <v>3</v>
      </c>
      <c r="G16603" s="29">
        <v>6</v>
      </c>
    </row>
    <row r="16604" spans="1:8" x14ac:dyDescent="0.35">
      <c r="A16604" t="s">
        <v>232</v>
      </c>
      <c r="B16604" t="s">
        <v>232</v>
      </c>
      <c r="C16604">
        <v>2.4</v>
      </c>
      <c r="D16604">
        <v>2</v>
      </c>
      <c r="E16604">
        <v>1</v>
      </c>
      <c r="F16604">
        <v>39</v>
      </c>
      <c r="G16604">
        <v>2750</v>
      </c>
    </row>
    <row r="16606" spans="1:8" x14ac:dyDescent="0.35">
      <c r="A16606" s="1" t="s">
        <v>1723</v>
      </c>
    </row>
    <row r="16607" spans="1:8" x14ac:dyDescent="0.35">
      <c r="A16607" t="s">
        <v>219</v>
      </c>
      <c r="B16607" t="s">
        <v>1724</v>
      </c>
      <c r="C16607" t="s">
        <v>1725</v>
      </c>
      <c r="D16607" t="s">
        <v>1726</v>
      </c>
      <c r="E16607" t="s">
        <v>281</v>
      </c>
      <c r="F16607" t="s">
        <v>1727</v>
      </c>
      <c r="G16607" t="s">
        <v>286</v>
      </c>
      <c r="H16607" t="s">
        <v>226</v>
      </c>
    </row>
    <row r="16608" spans="1:8" x14ac:dyDescent="0.35">
      <c r="A16608" t="s">
        <v>227</v>
      </c>
      <c r="B16608" s="26">
        <v>0.81169999999999998</v>
      </c>
      <c r="C16608" s="26">
        <v>0.14940000000000001</v>
      </c>
      <c r="D16608" s="26">
        <v>3.9E-2</v>
      </c>
      <c r="H16608">
        <v>154</v>
      </c>
    </row>
    <row r="16609" spans="1:9" x14ac:dyDescent="0.35">
      <c r="A16609" t="s">
        <v>228</v>
      </c>
      <c r="B16609" s="26">
        <v>0.76980000000000004</v>
      </c>
      <c r="C16609" s="26">
        <v>0.1623</v>
      </c>
      <c r="D16609" s="26">
        <v>6.1499999999999999E-2</v>
      </c>
      <c r="E16609" s="26">
        <v>5.0000000000000001E-3</v>
      </c>
      <c r="F16609" s="26">
        <v>8.9999999999999998E-4</v>
      </c>
      <c r="G16609" s="26">
        <v>4.0000000000000002E-4</v>
      </c>
      <c r="H16609">
        <v>1008</v>
      </c>
    </row>
    <row r="16610" spans="1:9" x14ac:dyDescent="0.35">
      <c r="A16610" t="s">
        <v>229</v>
      </c>
      <c r="B16610" s="26">
        <v>0.80469999999999997</v>
      </c>
      <c r="C16610" s="26">
        <v>0.14149999999999999</v>
      </c>
      <c r="D16610" s="26">
        <v>4.6800000000000001E-2</v>
      </c>
      <c r="E16610" s="26">
        <v>6.4999999999999997E-3</v>
      </c>
      <c r="F16610" s="26">
        <v>1E-4</v>
      </c>
      <c r="G16610" s="26">
        <v>2.9999999999999997E-4</v>
      </c>
      <c r="H16610">
        <v>886</v>
      </c>
    </row>
    <row r="16611" spans="1:9" x14ac:dyDescent="0.35">
      <c r="A16611" t="s">
        <v>230</v>
      </c>
      <c r="B16611" s="26">
        <v>0.75519999999999998</v>
      </c>
      <c r="C16611" s="26">
        <v>0.18440000000000001</v>
      </c>
      <c r="D16611" s="26">
        <v>6.0400000000000002E-2</v>
      </c>
      <c r="H16611">
        <v>549</v>
      </c>
    </row>
    <row r="16612" spans="1:9" x14ac:dyDescent="0.35">
      <c r="A16612" t="s">
        <v>231</v>
      </c>
      <c r="B16612" s="26">
        <v>0.77780000000000005</v>
      </c>
      <c r="C16612" s="26">
        <v>0.16339999999999999</v>
      </c>
      <c r="D16612" s="26">
        <v>4.58E-2</v>
      </c>
      <c r="E16612" s="26">
        <v>6.4999999999999997E-3</v>
      </c>
      <c r="F16612" s="26">
        <v>6.4999999999999997E-3</v>
      </c>
      <c r="H16612">
        <v>153</v>
      </c>
    </row>
    <row r="16613" spans="1:9" x14ac:dyDescent="0.35">
      <c r="A16613" t="s">
        <v>232</v>
      </c>
      <c r="B16613" s="26">
        <v>0.78700000000000003</v>
      </c>
      <c r="C16613" s="26">
        <v>0.15670000000000001</v>
      </c>
      <c r="D16613" s="26">
        <v>4.9500000000000002E-2</v>
      </c>
      <c r="E16613" s="26">
        <v>4.5999999999999999E-3</v>
      </c>
      <c r="F16613" s="26">
        <v>1.9E-3</v>
      </c>
      <c r="G16613" s="26">
        <v>2.0000000000000001E-4</v>
      </c>
      <c r="H16613">
        <v>2750</v>
      </c>
    </row>
    <row r="16615" spans="1:9" x14ac:dyDescent="0.35">
      <c r="A16615" s="1" t="s">
        <v>1728</v>
      </c>
    </row>
    <row r="16616" spans="1:9" x14ac:dyDescent="0.35">
      <c r="A16616" t="s">
        <v>219</v>
      </c>
      <c r="B16616" t="s">
        <v>305</v>
      </c>
      <c r="C16616" t="s">
        <v>1724</v>
      </c>
      <c r="D16616" t="s">
        <v>1725</v>
      </c>
      <c r="E16616" t="s">
        <v>1726</v>
      </c>
      <c r="F16616" t="s">
        <v>281</v>
      </c>
      <c r="G16616" t="s">
        <v>1727</v>
      </c>
      <c r="H16616" t="s">
        <v>286</v>
      </c>
      <c r="I16616" t="s">
        <v>226</v>
      </c>
    </row>
    <row r="16617" spans="1:9" x14ac:dyDescent="0.35">
      <c r="A16617" t="s">
        <v>227</v>
      </c>
      <c r="B16617" t="s">
        <v>242</v>
      </c>
      <c r="C16617" s="26">
        <v>0.746</v>
      </c>
      <c r="D16617" s="26">
        <v>0.20630000000000001</v>
      </c>
      <c r="E16617" s="26">
        <v>4.7600000000000003E-2</v>
      </c>
      <c r="I16617">
        <v>63</v>
      </c>
    </row>
    <row r="16618" spans="1:9" x14ac:dyDescent="0.35">
      <c r="A16618" t="s">
        <v>227</v>
      </c>
      <c r="B16618" t="s">
        <v>241</v>
      </c>
      <c r="C16618" s="26">
        <v>0.85709999999999997</v>
      </c>
      <c r="D16618" s="26">
        <v>0.1099</v>
      </c>
      <c r="E16618" s="26">
        <v>3.3000000000000002E-2</v>
      </c>
      <c r="I16618">
        <v>91</v>
      </c>
    </row>
    <row r="16619" spans="1:9" x14ac:dyDescent="0.35">
      <c r="A16619" t="s">
        <v>228</v>
      </c>
      <c r="B16619" t="s">
        <v>242</v>
      </c>
      <c r="C16619" s="26">
        <v>0.72609999999999997</v>
      </c>
      <c r="D16619" s="26">
        <v>0.23419999999999999</v>
      </c>
      <c r="E16619" s="26">
        <v>3.6299999999999999E-2</v>
      </c>
      <c r="F16619" s="26">
        <v>2.3999999999999998E-3</v>
      </c>
      <c r="G16619" s="26">
        <v>1E-3</v>
      </c>
      <c r="I16619">
        <v>390</v>
      </c>
    </row>
    <row r="16620" spans="1:9" x14ac:dyDescent="0.35">
      <c r="A16620" t="s">
        <v>228</v>
      </c>
      <c r="B16620" t="s">
        <v>241</v>
      </c>
      <c r="C16620" s="26">
        <v>0.7944</v>
      </c>
      <c r="D16620" s="26">
        <v>0.12189999999999999</v>
      </c>
      <c r="E16620" s="26">
        <v>7.5700000000000003E-2</v>
      </c>
      <c r="F16620" s="26">
        <v>6.4999999999999997E-3</v>
      </c>
      <c r="G16620" s="26">
        <v>8.9999999999999998E-4</v>
      </c>
      <c r="H16620" s="26">
        <v>6.9999999999999999E-4</v>
      </c>
      <c r="I16620">
        <v>618</v>
      </c>
    </row>
    <row r="16621" spans="1:9" x14ac:dyDescent="0.35">
      <c r="A16621" t="s">
        <v>229</v>
      </c>
      <c r="B16621" t="s">
        <v>242</v>
      </c>
      <c r="C16621" s="26">
        <v>0.79979999999999996</v>
      </c>
      <c r="D16621" s="26">
        <v>0.13800000000000001</v>
      </c>
      <c r="E16621" s="26">
        <v>6.1400000000000003E-2</v>
      </c>
      <c r="H16621" s="26">
        <v>8.9999999999999998E-4</v>
      </c>
      <c r="I16621">
        <v>288</v>
      </c>
    </row>
    <row r="16622" spans="1:9" x14ac:dyDescent="0.35">
      <c r="A16622" t="s">
        <v>229</v>
      </c>
      <c r="B16622" t="s">
        <v>241</v>
      </c>
      <c r="C16622" s="26">
        <v>0.80779999999999996</v>
      </c>
      <c r="D16622" s="26">
        <v>0.14369999999999999</v>
      </c>
      <c r="E16622" s="26">
        <v>3.7699999999999997E-2</v>
      </c>
      <c r="F16622" s="26">
        <v>1.06E-2</v>
      </c>
      <c r="G16622" s="26">
        <v>2.0000000000000001E-4</v>
      </c>
      <c r="I16622">
        <v>598</v>
      </c>
    </row>
    <row r="16623" spans="1:9" x14ac:dyDescent="0.35">
      <c r="A16623" t="s">
        <v>230</v>
      </c>
      <c r="B16623" t="s">
        <v>242</v>
      </c>
      <c r="C16623" s="26">
        <v>0.62849999999999995</v>
      </c>
      <c r="D16623" s="26">
        <v>0.26350000000000001</v>
      </c>
      <c r="E16623" s="26">
        <v>0.108</v>
      </c>
      <c r="I16623">
        <v>186</v>
      </c>
    </row>
    <row r="16624" spans="1:9" x14ac:dyDescent="0.35">
      <c r="A16624" t="s">
        <v>230</v>
      </c>
      <c r="B16624" t="s">
        <v>241</v>
      </c>
      <c r="C16624" s="26">
        <v>0.81910000000000005</v>
      </c>
      <c r="D16624" s="26">
        <v>0.14449999999999999</v>
      </c>
      <c r="E16624" s="26">
        <v>3.6400000000000002E-2</v>
      </c>
      <c r="I16624">
        <v>363</v>
      </c>
    </row>
    <row r="16625" spans="1:9" x14ac:dyDescent="0.35">
      <c r="A16625" t="s">
        <v>231</v>
      </c>
      <c r="B16625" t="s">
        <v>242</v>
      </c>
      <c r="C16625" s="26">
        <v>0.80769999999999997</v>
      </c>
      <c r="D16625" s="26">
        <v>0.1154</v>
      </c>
      <c r="E16625" s="26">
        <v>5.7700000000000001E-2</v>
      </c>
      <c r="F16625" s="26">
        <v>1.9199999999999998E-2</v>
      </c>
      <c r="I16625">
        <v>52</v>
      </c>
    </row>
    <row r="16626" spans="1:9" x14ac:dyDescent="0.35">
      <c r="A16626" t="s">
        <v>231</v>
      </c>
      <c r="B16626" t="s">
        <v>241</v>
      </c>
      <c r="C16626" s="26">
        <v>0.76239999999999997</v>
      </c>
      <c r="D16626" s="26">
        <v>0.18809999999999999</v>
      </c>
      <c r="E16626" s="26">
        <v>3.9600000000000003E-2</v>
      </c>
      <c r="G16626" s="26">
        <v>9.9000000000000008E-3</v>
      </c>
      <c r="I16626">
        <v>101</v>
      </c>
    </row>
    <row r="16627" spans="1:9" x14ac:dyDescent="0.35">
      <c r="A16627" t="s">
        <v>232</v>
      </c>
      <c r="B16627" t="s">
        <v>232</v>
      </c>
      <c r="C16627" s="26">
        <v>0.78700000000000003</v>
      </c>
      <c r="D16627" s="26">
        <v>0.15670000000000001</v>
      </c>
      <c r="E16627" s="26">
        <v>4.9500000000000002E-2</v>
      </c>
      <c r="F16627" s="26">
        <v>4.5999999999999999E-3</v>
      </c>
      <c r="G16627" s="26">
        <v>1.9E-3</v>
      </c>
      <c r="H16627" s="26">
        <v>2.0000000000000001E-4</v>
      </c>
      <c r="I16627">
        <v>2750</v>
      </c>
    </row>
    <row r="16629" spans="1:9" x14ac:dyDescent="0.35">
      <c r="A16629" s="1" t="s">
        <v>1729</v>
      </c>
    </row>
    <row r="16630" spans="1:9" x14ac:dyDescent="0.35">
      <c r="A16630" t="s">
        <v>219</v>
      </c>
      <c r="B16630" t="s">
        <v>305</v>
      </c>
      <c r="C16630" t="s">
        <v>1724</v>
      </c>
      <c r="D16630" t="s">
        <v>1725</v>
      </c>
      <c r="E16630" t="s">
        <v>1726</v>
      </c>
      <c r="F16630" t="s">
        <v>281</v>
      </c>
      <c r="G16630" t="s">
        <v>1727</v>
      </c>
      <c r="H16630" t="s">
        <v>286</v>
      </c>
      <c r="I16630" t="s">
        <v>226</v>
      </c>
    </row>
    <row r="16631" spans="1:9" x14ac:dyDescent="0.35">
      <c r="A16631" t="s">
        <v>227</v>
      </c>
      <c r="B16631" t="s">
        <v>239</v>
      </c>
      <c r="C16631" s="26">
        <v>0.8448</v>
      </c>
      <c r="D16631" s="26">
        <v>0.1207</v>
      </c>
      <c r="E16631" s="26">
        <v>3.4500000000000003E-2</v>
      </c>
      <c r="I16631">
        <v>58</v>
      </c>
    </row>
    <row r="16632" spans="1:9" x14ac:dyDescent="0.35">
      <c r="A16632" t="s">
        <v>227</v>
      </c>
      <c r="B16632" t="s">
        <v>238</v>
      </c>
      <c r="C16632" s="26">
        <v>0.79169999999999996</v>
      </c>
      <c r="D16632" s="26">
        <v>0.16669999999999999</v>
      </c>
      <c r="E16632" s="26">
        <v>4.1700000000000001E-2</v>
      </c>
      <c r="I16632">
        <v>96</v>
      </c>
    </row>
    <row r="16633" spans="1:9" x14ac:dyDescent="0.35">
      <c r="A16633" t="s">
        <v>228</v>
      </c>
      <c r="B16633" t="s">
        <v>239</v>
      </c>
      <c r="C16633" s="26">
        <v>0.74880000000000002</v>
      </c>
      <c r="D16633" s="26">
        <v>0.13220000000000001</v>
      </c>
      <c r="E16633" s="26">
        <v>9.74E-2</v>
      </c>
      <c r="F16633" s="26">
        <v>1.7000000000000001E-2</v>
      </c>
      <c r="G16633" s="26">
        <v>4.5999999999999999E-3</v>
      </c>
      <c r="I16633">
        <v>318</v>
      </c>
    </row>
    <row r="16634" spans="1:9" x14ac:dyDescent="0.35">
      <c r="A16634" t="s">
        <v>228</v>
      </c>
      <c r="B16634" t="s">
        <v>238</v>
      </c>
      <c r="C16634" s="26">
        <v>0.77510000000000001</v>
      </c>
      <c r="D16634" s="26">
        <v>0.1699</v>
      </c>
      <c r="E16634" s="26">
        <v>5.2400000000000002E-2</v>
      </c>
      <c r="F16634" s="26">
        <v>2E-3</v>
      </c>
      <c r="H16634" s="26">
        <v>5.0000000000000001E-4</v>
      </c>
      <c r="I16634">
        <v>690</v>
      </c>
    </row>
    <row r="16635" spans="1:9" x14ac:dyDescent="0.35">
      <c r="A16635" t="s">
        <v>229</v>
      </c>
      <c r="B16635" t="s">
        <v>239</v>
      </c>
      <c r="C16635" s="26">
        <v>0.83199999999999996</v>
      </c>
      <c r="D16635" s="26">
        <v>7.3200000000000001E-2</v>
      </c>
      <c r="E16635" s="26">
        <v>8.2600000000000007E-2</v>
      </c>
      <c r="F16635" s="26">
        <v>1.2200000000000001E-2</v>
      </c>
      <c r="I16635">
        <v>330</v>
      </c>
    </row>
    <row r="16636" spans="1:9" x14ac:dyDescent="0.35">
      <c r="A16636" t="s">
        <v>229</v>
      </c>
      <c r="B16636" t="s">
        <v>238</v>
      </c>
      <c r="C16636" s="26">
        <v>0.79530000000000001</v>
      </c>
      <c r="D16636" s="26">
        <v>0.16520000000000001</v>
      </c>
      <c r="E16636" s="26">
        <v>3.44E-2</v>
      </c>
      <c r="F16636" s="26">
        <v>4.5999999999999999E-3</v>
      </c>
      <c r="G16636" s="26">
        <v>1E-4</v>
      </c>
      <c r="H16636" s="26">
        <v>5.0000000000000001E-4</v>
      </c>
      <c r="I16636">
        <v>556</v>
      </c>
    </row>
    <row r="16637" spans="1:9" x14ac:dyDescent="0.35">
      <c r="A16637" t="s">
        <v>230</v>
      </c>
      <c r="B16637" t="s">
        <v>239</v>
      </c>
      <c r="C16637" s="26">
        <v>0.8538</v>
      </c>
      <c r="D16637" s="26">
        <v>6.9900000000000004E-2</v>
      </c>
      <c r="E16637" s="26">
        <v>7.6300000000000007E-2</v>
      </c>
      <c r="I16637">
        <v>208</v>
      </c>
    </row>
    <row r="16638" spans="1:9" x14ac:dyDescent="0.35">
      <c r="A16638" t="s">
        <v>230</v>
      </c>
      <c r="B16638" t="s">
        <v>238</v>
      </c>
      <c r="C16638" s="26">
        <v>0.71150000000000002</v>
      </c>
      <c r="D16638" s="26">
        <v>0.2351</v>
      </c>
      <c r="E16638" s="26">
        <v>5.3400000000000003E-2</v>
      </c>
      <c r="I16638">
        <v>341</v>
      </c>
    </row>
    <row r="16639" spans="1:9" x14ac:dyDescent="0.35">
      <c r="A16639" t="s">
        <v>231</v>
      </c>
      <c r="B16639" t="s">
        <v>239</v>
      </c>
      <c r="C16639" s="26">
        <v>0.88680000000000003</v>
      </c>
      <c r="D16639" s="26">
        <v>3.7699999999999997E-2</v>
      </c>
      <c r="E16639" s="26">
        <v>7.5499999999999998E-2</v>
      </c>
      <c r="I16639">
        <v>53</v>
      </c>
    </row>
    <row r="16640" spans="1:9" x14ac:dyDescent="0.35">
      <c r="A16640" t="s">
        <v>231</v>
      </c>
      <c r="B16640" t="s">
        <v>238</v>
      </c>
      <c r="C16640" s="26">
        <v>0.72</v>
      </c>
      <c r="D16640" s="26">
        <v>0.23</v>
      </c>
      <c r="E16640" s="26">
        <v>0.03</v>
      </c>
      <c r="F16640" s="26">
        <v>0.01</v>
      </c>
      <c r="G16640" s="26">
        <v>0.01</v>
      </c>
      <c r="I16640">
        <v>100</v>
      </c>
    </row>
    <row r="16641" spans="1:9" x14ac:dyDescent="0.35">
      <c r="A16641" t="s">
        <v>232</v>
      </c>
      <c r="B16641" t="s">
        <v>232</v>
      </c>
      <c r="C16641" s="26">
        <v>0.78700000000000003</v>
      </c>
      <c r="D16641" s="26">
        <v>0.15670000000000001</v>
      </c>
      <c r="E16641" s="26">
        <v>4.9500000000000002E-2</v>
      </c>
      <c r="F16641" s="26">
        <v>4.5999999999999999E-3</v>
      </c>
      <c r="G16641" s="26">
        <v>1.9E-3</v>
      </c>
      <c r="H16641" s="26">
        <v>2.0000000000000001E-4</v>
      </c>
      <c r="I16641">
        <v>2750</v>
      </c>
    </row>
    <row r="16643" spans="1:9" x14ac:dyDescent="0.35">
      <c r="A16643" s="1" t="s">
        <v>1730</v>
      </c>
    </row>
    <row r="16644" spans="1:9" x14ac:dyDescent="0.35">
      <c r="A16644" t="s">
        <v>219</v>
      </c>
      <c r="B16644" t="s">
        <v>305</v>
      </c>
      <c r="C16644" t="s">
        <v>1724</v>
      </c>
      <c r="D16644" t="s">
        <v>1725</v>
      </c>
      <c r="E16644" t="s">
        <v>1726</v>
      </c>
      <c r="F16644" t="s">
        <v>281</v>
      </c>
      <c r="G16644" t="s">
        <v>1727</v>
      </c>
      <c r="H16644" t="s">
        <v>286</v>
      </c>
      <c r="I16644" t="s">
        <v>226</v>
      </c>
    </row>
    <row r="16645" spans="1:9" x14ac:dyDescent="0.35">
      <c r="A16645" t="s">
        <v>227</v>
      </c>
      <c r="B16645" t="s">
        <v>244</v>
      </c>
      <c r="C16645" s="26">
        <v>0.79349999999999998</v>
      </c>
      <c r="D16645" s="26">
        <v>0.1739</v>
      </c>
      <c r="E16645" s="26">
        <v>3.2599999999999997E-2</v>
      </c>
      <c r="I16645">
        <v>92</v>
      </c>
    </row>
    <row r="16646" spans="1:9" x14ac:dyDescent="0.35">
      <c r="A16646" t="s">
        <v>227</v>
      </c>
      <c r="B16646" t="s">
        <v>245</v>
      </c>
      <c r="C16646" s="26">
        <v>0.84</v>
      </c>
      <c r="D16646" s="26">
        <v>0.12</v>
      </c>
      <c r="E16646" s="26">
        <v>0.04</v>
      </c>
      <c r="I16646">
        <v>50</v>
      </c>
    </row>
    <row r="16647" spans="1:9" x14ac:dyDescent="0.35">
      <c r="A16647" s="27" t="s">
        <v>227</v>
      </c>
      <c r="B16647" s="27" t="s">
        <v>246</v>
      </c>
      <c r="C16647" s="28">
        <v>0.83330000000000004</v>
      </c>
      <c r="D16647" s="28">
        <v>8.3299999999999999E-2</v>
      </c>
      <c r="E16647" s="28">
        <v>8.3299999999999999E-2</v>
      </c>
      <c r="F16647" s="29"/>
      <c r="G16647" s="29"/>
      <c r="H16647" s="29"/>
      <c r="I16647" s="29" t="s">
        <v>342</v>
      </c>
    </row>
    <row r="16648" spans="1:9" x14ac:dyDescent="0.35">
      <c r="A16648" t="s">
        <v>228</v>
      </c>
      <c r="B16648" t="s">
        <v>244</v>
      </c>
      <c r="C16648" s="26">
        <v>0.7873</v>
      </c>
      <c r="D16648" s="26">
        <v>0.15989999999999999</v>
      </c>
      <c r="E16648" s="26">
        <v>4.9700000000000001E-2</v>
      </c>
      <c r="F16648" s="26">
        <v>1.6999999999999999E-3</v>
      </c>
      <c r="G16648" s="26">
        <v>1.4E-3</v>
      </c>
      <c r="I16648">
        <v>620</v>
      </c>
    </row>
    <row r="16649" spans="1:9" x14ac:dyDescent="0.35">
      <c r="A16649" t="s">
        <v>228</v>
      </c>
      <c r="B16649" t="s">
        <v>245</v>
      </c>
      <c r="C16649" s="26">
        <v>0.75890000000000002</v>
      </c>
      <c r="D16649" s="26">
        <v>0.14369999999999999</v>
      </c>
      <c r="E16649" s="26">
        <v>8.2699999999999996E-2</v>
      </c>
      <c r="F16649" s="26">
        <v>1.32E-2</v>
      </c>
      <c r="H16649" s="26">
        <v>1.5E-3</v>
      </c>
      <c r="I16649">
        <v>324</v>
      </c>
    </row>
    <row r="16650" spans="1:9" x14ac:dyDescent="0.35">
      <c r="A16650" t="s">
        <v>228</v>
      </c>
      <c r="B16650" t="s">
        <v>246</v>
      </c>
      <c r="C16650" s="26">
        <v>0.64349999999999996</v>
      </c>
      <c r="D16650" s="26">
        <v>0.26419999999999999</v>
      </c>
      <c r="E16650" s="26">
        <v>8.8499999999999995E-2</v>
      </c>
      <c r="F16650" s="26">
        <v>3.8E-3</v>
      </c>
      <c r="I16650">
        <v>64</v>
      </c>
    </row>
    <row r="16651" spans="1:9" x14ac:dyDescent="0.35">
      <c r="A16651" t="s">
        <v>229</v>
      </c>
      <c r="B16651" t="s">
        <v>244</v>
      </c>
      <c r="C16651" s="26">
        <v>0.81869999999999998</v>
      </c>
      <c r="D16651" s="26">
        <v>0.13089999999999999</v>
      </c>
      <c r="E16651" s="26">
        <v>4.9500000000000002E-2</v>
      </c>
      <c r="F16651" s="26">
        <v>1E-3</v>
      </c>
      <c r="I16651">
        <v>549</v>
      </c>
    </row>
    <row r="16652" spans="1:9" x14ac:dyDescent="0.35">
      <c r="A16652" t="s">
        <v>229</v>
      </c>
      <c r="B16652" t="s">
        <v>245</v>
      </c>
      <c r="C16652" s="26">
        <v>0.75090000000000001</v>
      </c>
      <c r="D16652" s="26">
        <v>0.1862</v>
      </c>
      <c r="E16652" s="26">
        <v>3.8800000000000001E-2</v>
      </c>
      <c r="F16652" s="26">
        <v>2.24E-2</v>
      </c>
      <c r="G16652" s="26">
        <v>4.0000000000000002E-4</v>
      </c>
      <c r="H16652" s="26">
        <v>1.2999999999999999E-3</v>
      </c>
      <c r="I16652">
        <v>292</v>
      </c>
    </row>
    <row r="16653" spans="1:9" x14ac:dyDescent="0.35">
      <c r="A16653" t="s">
        <v>229</v>
      </c>
      <c r="B16653" t="s">
        <v>246</v>
      </c>
      <c r="C16653" s="26">
        <v>0.88349999999999995</v>
      </c>
      <c r="D16653" s="26">
        <v>6.2600000000000003E-2</v>
      </c>
      <c r="E16653" s="26">
        <v>5.21E-2</v>
      </c>
      <c r="F16653" s="26">
        <v>1.8E-3</v>
      </c>
      <c r="I16653">
        <v>45</v>
      </c>
    </row>
    <row r="16654" spans="1:9" x14ac:dyDescent="0.35">
      <c r="A16654" t="s">
        <v>230</v>
      </c>
      <c r="B16654" t="s">
        <v>244</v>
      </c>
      <c r="C16654" s="26">
        <v>0.75049999999999994</v>
      </c>
      <c r="D16654" s="26">
        <v>0.21160000000000001</v>
      </c>
      <c r="E16654" s="26">
        <v>3.7900000000000003E-2</v>
      </c>
      <c r="I16654">
        <v>364</v>
      </c>
    </row>
    <row r="16655" spans="1:9" x14ac:dyDescent="0.35">
      <c r="A16655" t="s">
        <v>230</v>
      </c>
      <c r="B16655" t="s">
        <v>245</v>
      </c>
      <c r="C16655" s="26">
        <v>0.78390000000000004</v>
      </c>
      <c r="D16655" s="26">
        <v>0.1133</v>
      </c>
      <c r="E16655" s="26">
        <v>0.1028</v>
      </c>
      <c r="I16655">
        <v>156</v>
      </c>
    </row>
    <row r="16656" spans="1:9" x14ac:dyDescent="0.35">
      <c r="A16656" s="27" t="s">
        <v>230</v>
      </c>
      <c r="B16656" s="27" t="s">
        <v>246</v>
      </c>
      <c r="C16656" s="28">
        <v>0.67510000000000003</v>
      </c>
      <c r="D16656" s="28">
        <v>0.16550000000000001</v>
      </c>
      <c r="E16656" s="28">
        <v>0.15939999999999999</v>
      </c>
      <c r="F16656" s="29"/>
      <c r="G16656" s="29"/>
      <c r="H16656" s="29"/>
      <c r="I16656" s="29" t="s">
        <v>329</v>
      </c>
    </row>
    <row r="16657" spans="1:9" x14ac:dyDescent="0.35">
      <c r="A16657" t="s">
        <v>231</v>
      </c>
      <c r="B16657" t="s">
        <v>244</v>
      </c>
      <c r="C16657" s="26">
        <v>0.81820000000000004</v>
      </c>
      <c r="D16657" s="26">
        <v>0.125</v>
      </c>
      <c r="E16657" s="26">
        <v>4.5499999999999999E-2</v>
      </c>
      <c r="F16657" s="26">
        <v>1.14E-2</v>
      </c>
      <c r="I16657">
        <v>88</v>
      </c>
    </row>
    <row r="16658" spans="1:9" x14ac:dyDescent="0.35">
      <c r="A16658" t="s">
        <v>231</v>
      </c>
      <c r="B16658" t="s">
        <v>245</v>
      </c>
      <c r="C16658" s="26">
        <v>0.66039999999999999</v>
      </c>
      <c r="D16658" s="26">
        <v>0.26419999999999999</v>
      </c>
      <c r="E16658" s="26">
        <v>5.6599999999999998E-2</v>
      </c>
      <c r="G16658" s="26">
        <v>1.89E-2</v>
      </c>
      <c r="I16658">
        <v>53</v>
      </c>
    </row>
    <row r="16659" spans="1:9" x14ac:dyDescent="0.35">
      <c r="A16659" s="27" t="s">
        <v>231</v>
      </c>
      <c r="B16659" s="27" t="s">
        <v>246</v>
      </c>
      <c r="C16659" s="28">
        <v>1</v>
      </c>
      <c r="D16659" s="29"/>
      <c r="E16659" s="29"/>
      <c r="F16659" s="29"/>
      <c r="G16659" s="29"/>
      <c r="H16659" s="29"/>
      <c r="I16659" s="29" t="s">
        <v>342</v>
      </c>
    </row>
    <row r="16660" spans="1:9" x14ac:dyDescent="0.35">
      <c r="A16660" t="s">
        <v>232</v>
      </c>
      <c r="B16660" t="s">
        <v>232</v>
      </c>
      <c r="C16660" s="26">
        <v>0.78700000000000003</v>
      </c>
      <c r="D16660" s="26">
        <v>0.15670000000000001</v>
      </c>
      <c r="E16660" s="26">
        <v>4.9500000000000002E-2</v>
      </c>
      <c r="F16660" s="26">
        <v>4.5999999999999999E-3</v>
      </c>
      <c r="G16660" s="26">
        <v>1.9E-3</v>
      </c>
      <c r="H16660" s="26">
        <v>2.0000000000000001E-4</v>
      </c>
      <c r="I16660">
        <v>2750</v>
      </c>
    </row>
    <row r="16662" spans="1:9" x14ac:dyDescent="0.35">
      <c r="A16662" s="1" t="s">
        <v>1731</v>
      </c>
    </row>
    <row r="16663" spans="1:9" x14ac:dyDescent="0.35">
      <c r="A16663" t="s">
        <v>219</v>
      </c>
      <c r="B16663" t="s">
        <v>305</v>
      </c>
      <c r="C16663" t="s">
        <v>1724</v>
      </c>
      <c r="D16663" t="s">
        <v>1725</v>
      </c>
      <c r="E16663" t="s">
        <v>1726</v>
      </c>
      <c r="F16663" t="s">
        <v>281</v>
      </c>
      <c r="G16663" t="s">
        <v>1727</v>
      </c>
      <c r="H16663" t="s">
        <v>286</v>
      </c>
      <c r="I16663" t="s">
        <v>226</v>
      </c>
    </row>
    <row r="16664" spans="1:9" x14ac:dyDescent="0.35">
      <c r="A16664" t="s">
        <v>227</v>
      </c>
      <c r="B16664" t="s">
        <v>360</v>
      </c>
      <c r="C16664" s="26">
        <v>0.84209999999999996</v>
      </c>
      <c r="D16664" s="26">
        <v>7.8899999999999998E-2</v>
      </c>
      <c r="E16664" s="26">
        <v>7.8899999999999998E-2</v>
      </c>
      <c r="I16664">
        <v>38</v>
      </c>
    </row>
    <row r="16665" spans="1:9" x14ac:dyDescent="0.35">
      <c r="A16665" t="s">
        <v>227</v>
      </c>
      <c r="B16665" t="s">
        <v>361</v>
      </c>
      <c r="C16665" s="26">
        <v>0.8387</v>
      </c>
      <c r="D16665" s="26">
        <v>0.1613</v>
      </c>
      <c r="I16665">
        <v>31</v>
      </c>
    </row>
    <row r="16666" spans="1:9" x14ac:dyDescent="0.35">
      <c r="A16666" t="s">
        <v>227</v>
      </c>
      <c r="B16666" t="s">
        <v>362</v>
      </c>
      <c r="C16666" s="26">
        <v>0.75760000000000005</v>
      </c>
      <c r="D16666" s="26">
        <v>0.21210000000000001</v>
      </c>
      <c r="E16666" s="26">
        <v>3.0300000000000001E-2</v>
      </c>
      <c r="I16666">
        <v>33</v>
      </c>
    </row>
    <row r="16667" spans="1:9" x14ac:dyDescent="0.35">
      <c r="A16667" t="s">
        <v>227</v>
      </c>
      <c r="B16667" t="s">
        <v>363</v>
      </c>
      <c r="C16667" s="26">
        <v>0.79549999999999998</v>
      </c>
      <c r="D16667" s="26">
        <v>0.18179999999999999</v>
      </c>
      <c r="E16667" s="26">
        <v>2.2700000000000001E-2</v>
      </c>
      <c r="I16667">
        <v>44</v>
      </c>
    </row>
    <row r="16668" spans="1:9" x14ac:dyDescent="0.35">
      <c r="A16668" t="s">
        <v>228</v>
      </c>
      <c r="B16668" t="s">
        <v>360</v>
      </c>
      <c r="C16668" s="26">
        <v>0.74870000000000003</v>
      </c>
      <c r="D16668" s="26">
        <v>0.1837</v>
      </c>
      <c r="E16668" s="26">
        <v>5.7500000000000002E-2</v>
      </c>
      <c r="F16668" s="26">
        <v>7.1999999999999998E-3</v>
      </c>
      <c r="G16668" s="26">
        <v>3.0000000000000001E-3</v>
      </c>
      <c r="I16668">
        <v>248</v>
      </c>
    </row>
    <row r="16669" spans="1:9" x14ac:dyDescent="0.35">
      <c r="A16669" t="s">
        <v>228</v>
      </c>
      <c r="B16669" t="s">
        <v>361</v>
      </c>
      <c r="C16669" s="26">
        <v>0.73919999999999997</v>
      </c>
      <c r="D16669" s="26">
        <v>0.18840000000000001</v>
      </c>
      <c r="E16669" s="26">
        <v>7.2400000000000006E-2</v>
      </c>
      <c r="I16669">
        <v>194</v>
      </c>
    </row>
    <row r="16670" spans="1:9" x14ac:dyDescent="0.35">
      <c r="A16670" t="s">
        <v>228</v>
      </c>
      <c r="B16670" t="s">
        <v>363</v>
      </c>
      <c r="C16670" s="26">
        <v>0.78039999999999998</v>
      </c>
      <c r="D16670" s="26">
        <v>0.13339999999999999</v>
      </c>
      <c r="E16670" s="26">
        <v>8.5099999999999995E-2</v>
      </c>
      <c r="F16670" s="26">
        <v>1E-3</v>
      </c>
      <c r="I16670">
        <v>208</v>
      </c>
    </row>
    <row r="16671" spans="1:9" x14ac:dyDescent="0.35">
      <c r="A16671" t="s">
        <v>228</v>
      </c>
      <c r="B16671" t="s">
        <v>362</v>
      </c>
      <c r="C16671" s="26">
        <v>0.79569999999999996</v>
      </c>
      <c r="D16671" s="26">
        <v>0.1401</v>
      </c>
      <c r="E16671" s="26">
        <v>4.8000000000000001E-2</v>
      </c>
      <c r="F16671" s="26">
        <v>1.47E-2</v>
      </c>
      <c r="G16671" s="26">
        <v>1.6000000000000001E-3</v>
      </c>
      <c r="I16671">
        <v>231</v>
      </c>
    </row>
    <row r="16672" spans="1:9" x14ac:dyDescent="0.35">
      <c r="A16672" t="s">
        <v>229</v>
      </c>
      <c r="B16672" t="s">
        <v>363</v>
      </c>
      <c r="C16672" s="26">
        <v>0.79449999999999998</v>
      </c>
      <c r="D16672" s="26">
        <v>0.127</v>
      </c>
      <c r="E16672" s="26">
        <v>5.9700000000000003E-2</v>
      </c>
      <c r="F16672" s="26">
        <v>1.83E-2</v>
      </c>
      <c r="G16672" s="26">
        <v>5.0000000000000001E-4</v>
      </c>
      <c r="I16672">
        <v>187</v>
      </c>
    </row>
    <row r="16673" spans="1:9" x14ac:dyDescent="0.35">
      <c r="A16673" t="s">
        <v>229</v>
      </c>
      <c r="B16673" t="s">
        <v>360</v>
      </c>
      <c r="C16673" s="26">
        <v>0.83299999999999996</v>
      </c>
      <c r="D16673" s="26">
        <v>8.3400000000000002E-2</v>
      </c>
      <c r="E16673" s="26">
        <v>8.2900000000000001E-2</v>
      </c>
      <c r="F16673" s="26">
        <v>5.9999999999999995E-4</v>
      </c>
      <c r="I16673">
        <v>163</v>
      </c>
    </row>
    <row r="16674" spans="1:9" x14ac:dyDescent="0.35">
      <c r="A16674" t="s">
        <v>229</v>
      </c>
      <c r="B16674" t="s">
        <v>361</v>
      </c>
      <c r="C16674" s="26">
        <v>0.82830000000000004</v>
      </c>
      <c r="D16674" s="26">
        <v>0.1444</v>
      </c>
      <c r="E16674" s="26">
        <v>1.9800000000000002E-2</v>
      </c>
      <c r="F16674" s="26">
        <v>7.4999999999999997E-3</v>
      </c>
      <c r="I16674">
        <v>242</v>
      </c>
    </row>
    <row r="16675" spans="1:9" x14ac:dyDescent="0.35">
      <c r="A16675" t="s">
        <v>229</v>
      </c>
      <c r="B16675" t="s">
        <v>362</v>
      </c>
      <c r="C16675" s="26">
        <v>0.76539999999999997</v>
      </c>
      <c r="D16675" s="26">
        <v>0.17469999999999999</v>
      </c>
      <c r="E16675" s="26">
        <v>5.79E-2</v>
      </c>
      <c r="H16675" s="26">
        <v>2E-3</v>
      </c>
      <c r="I16675">
        <v>169</v>
      </c>
    </row>
    <row r="16676" spans="1:9" x14ac:dyDescent="0.35">
      <c r="A16676" t="s">
        <v>230</v>
      </c>
      <c r="B16676" t="s">
        <v>360</v>
      </c>
      <c r="C16676" s="26">
        <v>0.6492</v>
      </c>
      <c r="D16676" s="26">
        <v>0.19739999999999999</v>
      </c>
      <c r="E16676" s="26">
        <v>0.15340000000000001</v>
      </c>
      <c r="I16676">
        <v>115</v>
      </c>
    </row>
    <row r="16677" spans="1:9" x14ac:dyDescent="0.35">
      <c r="A16677" t="s">
        <v>230</v>
      </c>
      <c r="B16677" t="s">
        <v>363</v>
      </c>
      <c r="C16677" s="26">
        <v>0.81910000000000005</v>
      </c>
      <c r="D16677" s="26">
        <v>0.16059999999999999</v>
      </c>
      <c r="E16677" s="26">
        <v>2.0299999999999999E-2</v>
      </c>
      <c r="I16677">
        <v>122</v>
      </c>
    </row>
    <row r="16678" spans="1:9" x14ac:dyDescent="0.35">
      <c r="A16678" t="s">
        <v>230</v>
      </c>
      <c r="B16678" t="s">
        <v>361</v>
      </c>
      <c r="C16678" s="26">
        <v>0.73080000000000001</v>
      </c>
      <c r="D16678" s="26">
        <v>0.21879999999999999</v>
      </c>
      <c r="E16678" s="26">
        <v>5.04E-2</v>
      </c>
      <c r="I16678">
        <v>109</v>
      </c>
    </row>
    <row r="16679" spans="1:9" x14ac:dyDescent="0.35">
      <c r="A16679" t="s">
        <v>230</v>
      </c>
      <c r="B16679" t="s">
        <v>362</v>
      </c>
      <c r="C16679" s="26">
        <v>0.75060000000000004</v>
      </c>
      <c r="D16679" s="26">
        <v>0.1953</v>
      </c>
      <c r="E16679" s="26">
        <v>5.4100000000000002E-2</v>
      </c>
      <c r="I16679">
        <v>148</v>
      </c>
    </row>
    <row r="16680" spans="1:9" x14ac:dyDescent="0.35">
      <c r="A16680" s="27" t="s">
        <v>231</v>
      </c>
      <c r="B16680" s="27" t="s">
        <v>362</v>
      </c>
      <c r="C16680" s="28">
        <v>0.85189999999999999</v>
      </c>
      <c r="D16680" s="28">
        <v>7.4099999999999999E-2</v>
      </c>
      <c r="E16680" s="28">
        <v>7.4099999999999999E-2</v>
      </c>
      <c r="F16680" s="29"/>
      <c r="G16680" s="29"/>
      <c r="H16680" s="29"/>
      <c r="I16680" s="29" t="s">
        <v>338</v>
      </c>
    </row>
    <row r="16681" spans="1:9" x14ac:dyDescent="0.35">
      <c r="A16681" t="s">
        <v>231</v>
      </c>
      <c r="B16681" t="s">
        <v>361</v>
      </c>
      <c r="C16681" s="26">
        <v>0.70209999999999995</v>
      </c>
      <c r="D16681" s="26">
        <v>0.23400000000000001</v>
      </c>
      <c r="E16681" s="26">
        <v>4.2599999999999999E-2</v>
      </c>
      <c r="G16681" s="26">
        <v>2.1299999999999999E-2</v>
      </c>
      <c r="I16681">
        <v>47</v>
      </c>
    </row>
    <row r="16682" spans="1:9" x14ac:dyDescent="0.35">
      <c r="A16682" t="s">
        <v>231</v>
      </c>
      <c r="B16682" t="s">
        <v>360</v>
      </c>
      <c r="C16682" s="26">
        <v>0.88100000000000001</v>
      </c>
      <c r="D16682" s="26">
        <v>9.5200000000000007E-2</v>
      </c>
      <c r="F16682" s="26">
        <v>2.3800000000000002E-2</v>
      </c>
      <c r="I16682">
        <v>42</v>
      </c>
    </row>
    <row r="16683" spans="1:9" x14ac:dyDescent="0.35">
      <c r="A16683" s="27" t="s">
        <v>231</v>
      </c>
      <c r="B16683" s="27" t="s">
        <v>363</v>
      </c>
      <c r="C16683" s="28">
        <v>0.80769999999999997</v>
      </c>
      <c r="D16683" s="28">
        <v>0.1154</v>
      </c>
      <c r="E16683" s="28">
        <v>7.6899999999999996E-2</v>
      </c>
      <c r="F16683" s="29"/>
      <c r="G16683" s="29"/>
      <c r="H16683" s="29"/>
      <c r="I16683" s="29" t="s">
        <v>357</v>
      </c>
    </row>
    <row r="16684" spans="1:9" x14ac:dyDescent="0.35">
      <c r="A16684" t="s">
        <v>232</v>
      </c>
      <c r="B16684" t="s">
        <v>232</v>
      </c>
      <c r="C16684" s="26">
        <v>0.78700000000000003</v>
      </c>
      <c r="D16684" s="26">
        <v>0.15670000000000001</v>
      </c>
      <c r="E16684" s="26">
        <v>4.9500000000000002E-2</v>
      </c>
      <c r="F16684" s="26">
        <v>4.5999999999999999E-3</v>
      </c>
      <c r="G16684" s="26">
        <v>1.9E-3</v>
      </c>
      <c r="H16684" s="26">
        <v>2.0000000000000001E-4</v>
      </c>
      <c r="I16684">
        <v>2424</v>
      </c>
    </row>
    <row r="16686" spans="1:9" x14ac:dyDescent="0.35">
      <c r="A16686" s="1" t="s">
        <v>1732</v>
      </c>
    </row>
    <row r="16687" spans="1:9" x14ac:dyDescent="0.35">
      <c r="A16687" t="s">
        <v>219</v>
      </c>
      <c r="B16687" t="s">
        <v>305</v>
      </c>
      <c r="C16687" t="s">
        <v>1724</v>
      </c>
      <c r="D16687" t="s">
        <v>1725</v>
      </c>
      <c r="E16687" t="s">
        <v>1726</v>
      </c>
      <c r="F16687" t="s">
        <v>281</v>
      </c>
      <c r="G16687" t="s">
        <v>1727</v>
      </c>
      <c r="H16687" t="s">
        <v>286</v>
      </c>
      <c r="I16687" t="s">
        <v>226</v>
      </c>
    </row>
    <row r="16688" spans="1:9" x14ac:dyDescent="0.35">
      <c r="A16688" t="s">
        <v>227</v>
      </c>
      <c r="B16688" t="s">
        <v>267</v>
      </c>
      <c r="C16688" s="26">
        <v>0.82350000000000001</v>
      </c>
      <c r="D16688" s="26">
        <v>0.17649999999999999</v>
      </c>
      <c r="I16688">
        <v>34</v>
      </c>
    </row>
    <row r="16689" spans="1:9" x14ac:dyDescent="0.35">
      <c r="A16689" t="s">
        <v>227</v>
      </c>
      <c r="B16689" t="s">
        <v>266</v>
      </c>
      <c r="C16689" s="26">
        <v>0.81820000000000004</v>
      </c>
      <c r="D16689" s="26">
        <v>0.1091</v>
      </c>
      <c r="E16689" s="26">
        <v>7.2700000000000001E-2</v>
      </c>
      <c r="I16689">
        <v>55</v>
      </c>
    </row>
    <row r="16690" spans="1:9" x14ac:dyDescent="0.35">
      <c r="A16690" t="s">
        <v>227</v>
      </c>
      <c r="B16690" t="s">
        <v>265</v>
      </c>
      <c r="C16690" s="26">
        <v>0.8</v>
      </c>
      <c r="D16690" s="26">
        <v>0.16919999999999999</v>
      </c>
      <c r="E16690" s="26">
        <v>3.0800000000000001E-2</v>
      </c>
      <c r="I16690">
        <v>65</v>
      </c>
    </row>
    <row r="16691" spans="1:9" x14ac:dyDescent="0.35">
      <c r="A16691" t="s">
        <v>228</v>
      </c>
      <c r="B16691" t="s">
        <v>267</v>
      </c>
      <c r="C16691" s="26">
        <v>0.78269999999999995</v>
      </c>
      <c r="D16691" s="26">
        <v>0.1638</v>
      </c>
      <c r="E16691" s="26">
        <v>5.21E-2</v>
      </c>
      <c r="F16691" s="26">
        <v>1.4E-3</v>
      </c>
      <c r="I16691">
        <v>197</v>
      </c>
    </row>
    <row r="16692" spans="1:9" x14ac:dyDescent="0.35">
      <c r="A16692" t="s">
        <v>228</v>
      </c>
      <c r="B16692" t="s">
        <v>265</v>
      </c>
      <c r="C16692" s="26">
        <v>0.78449999999999998</v>
      </c>
      <c r="D16692" s="26">
        <v>0.15840000000000001</v>
      </c>
      <c r="E16692" s="26">
        <v>5.5100000000000003E-2</v>
      </c>
      <c r="F16692" s="26">
        <v>5.9999999999999995E-4</v>
      </c>
      <c r="G16692" s="26">
        <v>1.4E-3</v>
      </c>
      <c r="I16692">
        <v>374</v>
      </c>
    </row>
    <row r="16693" spans="1:9" x14ac:dyDescent="0.35">
      <c r="A16693" s="27" t="s">
        <v>228</v>
      </c>
      <c r="B16693" s="27" t="s">
        <v>236</v>
      </c>
      <c r="C16693" s="28">
        <v>1</v>
      </c>
      <c r="D16693" s="29"/>
      <c r="E16693" s="29"/>
      <c r="F16693" s="29"/>
      <c r="G16693" s="29"/>
      <c r="H16693" s="29"/>
      <c r="I16693" s="29" t="s">
        <v>314</v>
      </c>
    </row>
    <row r="16694" spans="1:9" x14ac:dyDescent="0.35">
      <c r="A16694" t="s">
        <v>228</v>
      </c>
      <c r="B16694" t="s">
        <v>266</v>
      </c>
      <c r="C16694" s="26">
        <v>0.74509999999999998</v>
      </c>
      <c r="D16694" s="26">
        <v>0.16839999999999999</v>
      </c>
      <c r="E16694" s="26">
        <v>7.3200000000000001E-2</v>
      </c>
      <c r="F16694" s="26">
        <v>1.1299999999999999E-2</v>
      </c>
      <c r="G16694" s="26">
        <v>8.9999999999999998E-4</v>
      </c>
      <c r="H16694" s="26">
        <v>1.1000000000000001E-3</v>
      </c>
      <c r="I16694">
        <v>435</v>
      </c>
    </row>
    <row r="16695" spans="1:9" x14ac:dyDescent="0.35">
      <c r="A16695" t="s">
        <v>229</v>
      </c>
      <c r="B16695" t="s">
        <v>266</v>
      </c>
      <c r="C16695" s="26">
        <v>0.73699999999999999</v>
      </c>
      <c r="D16695" s="26">
        <v>0.20300000000000001</v>
      </c>
      <c r="E16695" s="26">
        <v>4.9299999999999997E-2</v>
      </c>
      <c r="F16695" s="26">
        <v>9.7000000000000003E-3</v>
      </c>
      <c r="H16695" s="26">
        <v>1E-3</v>
      </c>
      <c r="I16695">
        <v>356</v>
      </c>
    </row>
    <row r="16696" spans="1:9" x14ac:dyDescent="0.35">
      <c r="A16696" t="s">
        <v>229</v>
      </c>
      <c r="B16696" t="s">
        <v>267</v>
      </c>
      <c r="C16696" s="26">
        <v>0.8054</v>
      </c>
      <c r="D16696" s="26">
        <v>0.1318</v>
      </c>
      <c r="E16696" s="26">
        <v>4.9399999999999999E-2</v>
      </c>
      <c r="F16696" s="26">
        <v>1.2999999999999999E-2</v>
      </c>
      <c r="G16696" s="26">
        <v>4.0000000000000002E-4</v>
      </c>
      <c r="I16696">
        <v>200</v>
      </c>
    </row>
    <row r="16697" spans="1:9" x14ac:dyDescent="0.35">
      <c r="A16697" t="s">
        <v>229</v>
      </c>
      <c r="B16697" t="s">
        <v>265</v>
      </c>
      <c r="C16697" s="26">
        <v>0.85440000000000005</v>
      </c>
      <c r="D16697" s="26">
        <v>0.1009</v>
      </c>
      <c r="E16697" s="26">
        <v>4.3799999999999999E-2</v>
      </c>
      <c r="F16697" s="26">
        <v>1E-3</v>
      </c>
      <c r="I16697">
        <v>330</v>
      </c>
    </row>
    <row r="16698" spans="1:9" x14ac:dyDescent="0.35">
      <c r="A16698" t="s">
        <v>230</v>
      </c>
      <c r="B16698" t="s">
        <v>267</v>
      </c>
      <c r="C16698" s="26">
        <v>0.70509999999999995</v>
      </c>
      <c r="D16698" s="26">
        <v>0.2505</v>
      </c>
      <c r="E16698" s="26">
        <v>4.4400000000000002E-2</v>
      </c>
      <c r="I16698">
        <v>118</v>
      </c>
    </row>
    <row r="16699" spans="1:9" x14ac:dyDescent="0.35">
      <c r="A16699" t="s">
        <v>230</v>
      </c>
      <c r="B16699" t="s">
        <v>266</v>
      </c>
      <c r="C16699" s="26">
        <v>0.75970000000000004</v>
      </c>
      <c r="D16699" s="26">
        <v>0.1731</v>
      </c>
      <c r="E16699" s="26">
        <v>6.7100000000000007E-2</v>
      </c>
      <c r="I16699">
        <v>225</v>
      </c>
    </row>
    <row r="16700" spans="1:9" x14ac:dyDescent="0.35">
      <c r="A16700" t="s">
        <v>230</v>
      </c>
      <c r="B16700" t="s">
        <v>265</v>
      </c>
      <c r="C16700" s="26">
        <v>0.77810000000000001</v>
      </c>
      <c r="D16700" s="26">
        <v>0.15859999999999999</v>
      </c>
      <c r="E16700" s="26">
        <v>6.3399999999999998E-2</v>
      </c>
      <c r="I16700">
        <v>206</v>
      </c>
    </row>
    <row r="16701" spans="1:9" x14ac:dyDescent="0.35">
      <c r="A16701" t="s">
        <v>231</v>
      </c>
      <c r="B16701" t="s">
        <v>267</v>
      </c>
      <c r="C16701" s="26">
        <v>0.86670000000000003</v>
      </c>
      <c r="D16701" s="26">
        <v>6.6699999999999995E-2</v>
      </c>
      <c r="E16701" s="26">
        <v>3.3300000000000003E-2</v>
      </c>
      <c r="G16701" s="26">
        <v>3.3300000000000003E-2</v>
      </c>
      <c r="I16701">
        <v>30</v>
      </c>
    </row>
    <row r="16702" spans="1:9" x14ac:dyDescent="0.35">
      <c r="A16702" t="s">
        <v>231</v>
      </c>
      <c r="B16702" t="s">
        <v>266</v>
      </c>
      <c r="C16702" s="26">
        <v>0.7167</v>
      </c>
      <c r="D16702" s="26">
        <v>0.23330000000000001</v>
      </c>
      <c r="E16702" s="26">
        <v>0.05</v>
      </c>
      <c r="I16702">
        <v>60</v>
      </c>
    </row>
    <row r="16703" spans="1:9" x14ac:dyDescent="0.35">
      <c r="A16703" t="s">
        <v>231</v>
      </c>
      <c r="B16703" t="s">
        <v>265</v>
      </c>
      <c r="C16703" s="26">
        <v>0.79369999999999996</v>
      </c>
      <c r="D16703" s="26">
        <v>0.1429</v>
      </c>
      <c r="E16703" s="26">
        <v>4.7600000000000003E-2</v>
      </c>
      <c r="F16703" s="26">
        <v>1.5900000000000001E-2</v>
      </c>
      <c r="I16703">
        <v>63</v>
      </c>
    </row>
    <row r="16704" spans="1:9" x14ac:dyDescent="0.35">
      <c r="A16704" t="s">
        <v>232</v>
      </c>
      <c r="B16704" t="s">
        <v>232</v>
      </c>
      <c r="C16704" s="26">
        <v>0.78700000000000003</v>
      </c>
      <c r="D16704" s="26">
        <v>0.15670000000000001</v>
      </c>
      <c r="E16704" s="26">
        <v>4.9500000000000002E-2</v>
      </c>
      <c r="F16704" s="26">
        <v>4.5999999999999999E-3</v>
      </c>
      <c r="G16704" s="26">
        <v>1.9E-3</v>
      </c>
      <c r="H16704" s="26">
        <v>2.0000000000000001E-4</v>
      </c>
      <c r="I16704">
        <v>2750</v>
      </c>
    </row>
    <row r="16706" spans="1:9" x14ac:dyDescent="0.35">
      <c r="A16706" s="1" t="s">
        <v>1733</v>
      </c>
    </row>
    <row r="16707" spans="1:9" x14ac:dyDescent="0.35">
      <c r="A16707" t="s">
        <v>219</v>
      </c>
      <c r="B16707" t="s">
        <v>305</v>
      </c>
      <c r="C16707" t="s">
        <v>1724</v>
      </c>
      <c r="D16707" t="s">
        <v>1725</v>
      </c>
      <c r="E16707" t="s">
        <v>1726</v>
      </c>
      <c r="F16707" t="s">
        <v>281</v>
      </c>
      <c r="G16707" t="s">
        <v>1727</v>
      </c>
      <c r="H16707" t="s">
        <v>286</v>
      </c>
      <c r="I16707" t="s">
        <v>226</v>
      </c>
    </row>
    <row r="16708" spans="1:9" x14ac:dyDescent="0.35">
      <c r="A16708" t="s">
        <v>227</v>
      </c>
      <c r="B16708" t="s">
        <v>252</v>
      </c>
      <c r="C16708" s="26">
        <v>0.79069999999999996</v>
      </c>
      <c r="D16708" s="26">
        <v>0.1628</v>
      </c>
      <c r="E16708" s="26">
        <v>4.65E-2</v>
      </c>
      <c r="I16708">
        <v>43</v>
      </c>
    </row>
    <row r="16709" spans="1:9" x14ac:dyDescent="0.35">
      <c r="A16709" t="s">
        <v>227</v>
      </c>
      <c r="B16709" t="s">
        <v>253</v>
      </c>
      <c r="C16709" s="26">
        <v>0.84379999999999999</v>
      </c>
      <c r="D16709" s="26">
        <v>9.3799999999999994E-2</v>
      </c>
      <c r="E16709" s="26">
        <v>6.25E-2</v>
      </c>
      <c r="I16709">
        <v>32</v>
      </c>
    </row>
    <row r="16710" spans="1:9" x14ac:dyDescent="0.35">
      <c r="A16710" t="s">
        <v>227</v>
      </c>
      <c r="B16710" t="s">
        <v>251</v>
      </c>
      <c r="C16710" s="26">
        <v>0.81010000000000004</v>
      </c>
      <c r="D16710" s="26">
        <v>0.1646</v>
      </c>
      <c r="E16710" s="26">
        <v>2.53E-2</v>
      </c>
      <c r="I16710">
        <v>79</v>
      </c>
    </row>
    <row r="16711" spans="1:9" x14ac:dyDescent="0.35">
      <c r="A16711" t="s">
        <v>228</v>
      </c>
      <c r="B16711" t="s">
        <v>252</v>
      </c>
      <c r="C16711" s="26">
        <v>0.8085</v>
      </c>
      <c r="D16711" s="26">
        <v>0.13819999999999999</v>
      </c>
      <c r="E16711" s="26">
        <v>5.0700000000000002E-2</v>
      </c>
      <c r="F16711" s="26">
        <v>8.0000000000000004E-4</v>
      </c>
      <c r="G16711" s="26">
        <v>1.8E-3</v>
      </c>
      <c r="I16711">
        <v>333</v>
      </c>
    </row>
    <row r="16712" spans="1:9" x14ac:dyDescent="0.35">
      <c r="A16712" t="s">
        <v>228</v>
      </c>
      <c r="B16712" t="s">
        <v>253</v>
      </c>
      <c r="C16712" s="26">
        <v>0.77200000000000002</v>
      </c>
      <c r="D16712" s="26">
        <v>0.17130000000000001</v>
      </c>
      <c r="E16712" s="26">
        <v>5.3699999999999998E-2</v>
      </c>
      <c r="F16712" s="26">
        <v>1.1999999999999999E-3</v>
      </c>
      <c r="G16712" s="26">
        <v>1.8E-3</v>
      </c>
      <c r="I16712">
        <v>218</v>
      </c>
    </row>
    <row r="16713" spans="1:9" x14ac:dyDescent="0.35">
      <c r="A16713" t="s">
        <v>228</v>
      </c>
      <c r="B16713" t="s">
        <v>251</v>
      </c>
      <c r="C16713" s="26">
        <v>0.74329999999999996</v>
      </c>
      <c r="D16713" s="26">
        <v>0.17419999999999999</v>
      </c>
      <c r="E16713" s="26">
        <v>7.1999999999999995E-2</v>
      </c>
      <c r="F16713" s="26">
        <v>9.4999999999999998E-3</v>
      </c>
      <c r="H16713" s="26">
        <v>8.9999999999999998E-4</v>
      </c>
      <c r="I16713">
        <v>457</v>
      </c>
    </row>
    <row r="16714" spans="1:9" x14ac:dyDescent="0.35">
      <c r="A16714" t="s">
        <v>229</v>
      </c>
      <c r="B16714" t="s">
        <v>252</v>
      </c>
      <c r="C16714" s="26">
        <v>0.7772</v>
      </c>
      <c r="D16714" s="26">
        <v>0.1231</v>
      </c>
      <c r="E16714" s="26">
        <v>8.4699999999999998E-2</v>
      </c>
      <c r="F16714" s="26">
        <v>1.3599999999999999E-2</v>
      </c>
      <c r="H16714" s="26">
        <v>1.5E-3</v>
      </c>
      <c r="I16714">
        <v>196</v>
      </c>
    </row>
    <row r="16715" spans="1:9" x14ac:dyDescent="0.35">
      <c r="A16715" t="s">
        <v>229</v>
      </c>
      <c r="B16715" t="s">
        <v>253</v>
      </c>
      <c r="C16715" s="26">
        <v>0.85819999999999996</v>
      </c>
      <c r="D16715" s="26">
        <v>9.74E-2</v>
      </c>
      <c r="E16715" s="26">
        <v>4.4400000000000002E-2</v>
      </c>
      <c r="I16715">
        <v>144</v>
      </c>
    </row>
    <row r="16716" spans="1:9" x14ac:dyDescent="0.35">
      <c r="A16716" t="s">
        <v>229</v>
      </c>
      <c r="B16716" t="s">
        <v>251</v>
      </c>
      <c r="C16716" s="26">
        <v>0.79800000000000004</v>
      </c>
      <c r="D16716" s="26">
        <v>0.1628</v>
      </c>
      <c r="E16716" s="26">
        <v>3.32E-2</v>
      </c>
      <c r="F16716" s="26">
        <v>5.8999999999999999E-3</v>
      </c>
      <c r="G16716" s="26">
        <v>2.0000000000000001E-4</v>
      </c>
      <c r="I16716">
        <v>546</v>
      </c>
    </row>
    <row r="16717" spans="1:9" x14ac:dyDescent="0.35">
      <c r="A16717" t="s">
        <v>230</v>
      </c>
      <c r="B16717" t="s">
        <v>252</v>
      </c>
      <c r="C16717" s="26">
        <v>0.73740000000000006</v>
      </c>
      <c r="D16717" s="26">
        <v>0.15570000000000001</v>
      </c>
      <c r="E16717" s="26">
        <v>0.1069</v>
      </c>
      <c r="I16717">
        <v>154</v>
      </c>
    </row>
    <row r="16718" spans="1:9" x14ac:dyDescent="0.35">
      <c r="A16718" t="s">
        <v>230</v>
      </c>
      <c r="B16718" t="s">
        <v>253</v>
      </c>
      <c r="C16718" s="26">
        <v>0.86199999999999999</v>
      </c>
      <c r="D16718" s="26">
        <v>9.2899999999999996E-2</v>
      </c>
      <c r="E16718" s="26">
        <v>4.5100000000000001E-2</v>
      </c>
      <c r="I16718">
        <v>110</v>
      </c>
    </row>
    <row r="16719" spans="1:9" x14ac:dyDescent="0.35">
      <c r="A16719" t="s">
        <v>230</v>
      </c>
      <c r="B16719" t="s">
        <v>251</v>
      </c>
      <c r="C16719" s="26">
        <v>0.72599999999999998</v>
      </c>
      <c r="D16719" s="26">
        <v>0.22919999999999999</v>
      </c>
      <c r="E16719" s="26">
        <v>4.48E-2</v>
      </c>
      <c r="I16719">
        <v>285</v>
      </c>
    </row>
    <row r="16720" spans="1:9" x14ac:dyDescent="0.35">
      <c r="A16720" t="s">
        <v>231</v>
      </c>
      <c r="B16720" t="s">
        <v>252</v>
      </c>
      <c r="C16720" s="26">
        <v>0.86360000000000003</v>
      </c>
      <c r="D16720" s="26">
        <v>0.13639999999999999</v>
      </c>
      <c r="I16720">
        <v>44</v>
      </c>
    </row>
    <row r="16721" spans="1:9" x14ac:dyDescent="0.35">
      <c r="A16721" s="27" t="s">
        <v>231</v>
      </c>
      <c r="B16721" s="27" t="s">
        <v>253</v>
      </c>
      <c r="C16721" s="28">
        <v>0.86209999999999998</v>
      </c>
      <c r="D16721" s="28">
        <v>3.4500000000000003E-2</v>
      </c>
      <c r="E16721" s="28">
        <v>6.9000000000000006E-2</v>
      </c>
      <c r="F16721" s="28">
        <v>3.4500000000000003E-2</v>
      </c>
      <c r="G16721" s="29"/>
      <c r="H16721" s="29"/>
      <c r="I16721" s="29" t="s">
        <v>329</v>
      </c>
    </row>
    <row r="16722" spans="1:9" x14ac:dyDescent="0.35">
      <c r="A16722" t="s">
        <v>231</v>
      </c>
      <c r="B16722" t="s">
        <v>251</v>
      </c>
      <c r="C16722" s="26">
        <v>0.7</v>
      </c>
      <c r="D16722" s="26">
        <v>0.22500000000000001</v>
      </c>
      <c r="E16722" s="26">
        <v>6.25E-2</v>
      </c>
      <c r="G16722" s="26">
        <v>1.2500000000000001E-2</v>
      </c>
      <c r="I16722">
        <v>80</v>
      </c>
    </row>
    <row r="16723" spans="1:9" x14ac:dyDescent="0.35">
      <c r="A16723" t="s">
        <v>232</v>
      </c>
      <c r="B16723" t="s">
        <v>232</v>
      </c>
      <c r="C16723" s="26">
        <v>0.78700000000000003</v>
      </c>
      <c r="D16723" s="26">
        <v>0.15670000000000001</v>
      </c>
      <c r="E16723" s="26">
        <v>4.9500000000000002E-2</v>
      </c>
      <c r="F16723" s="26">
        <v>4.5999999999999999E-3</v>
      </c>
      <c r="G16723" s="26">
        <v>1.9E-3</v>
      </c>
      <c r="H16723" s="26">
        <v>2.0000000000000001E-4</v>
      </c>
      <c r="I16723">
        <v>2750</v>
      </c>
    </row>
    <row r="16725" spans="1:9" x14ac:dyDescent="0.35">
      <c r="A16725" s="1" t="s">
        <v>1734</v>
      </c>
    </row>
    <row r="16726" spans="1:9" x14ac:dyDescent="0.35">
      <c r="A16726" t="s">
        <v>219</v>
      </c>
      <c r="B16726" t="s">
        <v>305</v>
      </c>
      <c r="C16726" t="s">
        <v>1724</v>
      </c>
      <c r="D16726" t="s">
        <v>1725</v>
      </c>
      <c r="E16726" t="s">
        <v>1726</v>
      </c>
      <c r="F16726" t="s">
        <v>281</v>
      </c>
      <c r="G16726" t="s">
        <v>1727</v>
      </c>
      <c r="H16726" t="s">
        <v>286</v>
      </c>
      <c r="I16726" t="s">
        <v>226</v>
      </c>
    </row>
    <row r="16727" spans="1:9" x14ac:dyDescent="0.35">
      <c r="A16727" t="s">
        <v>227</v>
      </c>
      <c r="B16727" t="s">
        <v>249</v>
      </c>
      <c r="C16727" s="26">
        <v>0.83720000000000006</v>
      </c>
      <c r="D16727" s="26">
        <v>0.1163</v>
      </c>
      <c r="E16727" s="26">
        <v>4.65E-2</v>
      </c>
      <c r="I16727">
        <v>43</v>
      </c>
    </row>
    <row r="16728" spans="1:9" x14ac:dyDescent="0.35">
      <c r="A16728" t="s">
        <v>227</v>
      </c>
      <c r="B16728" t="s">
        <v>248</v>
      </c>
      <c r="C16728" s="26">
        <v>0.80179999999999996</v>
      </c>
      <c r="D16728" s="26">
        <v>0.16220000000000001</v>
      </c>
      <c r="E16728" s="26">
        <v>3.5999999999999997E-2</v>
      </c>
      <c r="I16728">
        <v>111</v>
      </c>
    </row>
    <row r="16729" spans="1:9" x14ac:dyDescent="0.35">
      <c r="A16729" t="s">
        <v>228</v>
      </c>
      <c r="B16729" t="s">
        <v>249</v>
      </c>
      <c r="C16729" s="26">
        <v>0.73380000000000001</v>
      </c>
      <c r="D16729" s="26">
        <v>0.1968</v>
      </c>
      <c r="E16729" s="26">
        <v>6.4399999999999999E-2</v>
      </c>
      <c r="F16729" s="26">
        <v>3.7000000000000002E-3</v>
      </c>
      <c r="G16729" s="26">
        <v>1.1999999999999999E-3</v>
      </c>
      <c r="I16729">
        <v>266</v>
      </c>
    </row>
    <row r="16730" spans="1:9" x14ac:dyDescent="0.35">
      <c r="A16730" t="s">
        <v>228</v>
      </c>
      <c r="B16730" t="s">
        <v>248</v>
      </c>
      <c r="C16730" s="26">
        <v>0.78520000000000001</v>
      </c>
      <c r="D16730" s="26">
        <v>0.14760000000000001</v>
      </c>
      <c r="E16730" s="26">
        <v>6.0199999999999997E-2</v>
      </c>
      <c r="F16730" s="26">
        <v>5.5999999999999999E-3</v>
      </c>
      <c r="G16730" s="26">
        <v>8.0000000000000004E-4</v>
      </c>
      <c r="H16730" s="26">
        <v>5.9999999999999995E-4</v>
      </c>
      <c r="I16730">
        <v>742</v>
      </c>
    </row>
    <row r="16731" spans="1:9" x14ac:dyDescent="0.35">
      <c r="A16731" t="s">
        <v>229</v>
      </c>
      <c r="B16731" t="s">
        <v>249</v>
      </c>
      <c r="C16731" s="26">
        <v>0.85560000000000003</v>
      </c>
      <c r="D16731" s="26">
        <v>0.1077</v>
      </c>
      <c r="E16731" s="26">
        <v>3.6400000000000002E-2</v>
      </c>
      <c r="F16731" s="26">
        <v>2.9999999999999997E-4</v>
      </c>
      <c r="I16731">
        <v>257</v>
      </c>
    </row>
    <row r="16732" spans="1:9" x14ac:dyDescent="0.35">
      <c r="A16732" t="s">
        <v>229</v>
      </c>
      <c r="B16732" t="s">
        <v>248</v>
      </c>
      <c r="C16732" s="26">
        <v>0.77990000000000004</v>
      </c>
      <c r="D16732" s="26">
        <v>0.15790000000000001</v>
      </c>
      <c r="E16732" s="26">
        <v>5.1900000000000002E-2</v>
      </c>
      <c r="F16732" s="26">
        <v>9.5999999999999992E-3</v>
      </c>
      <c r="G16732" s="26">
        <v>1E-4</v>
      </c>
      <c r="H16732" s="26">
        <v>5.0000000000000001E-4</v>
      </c>
      <c r="I16732">
        <v>629</v>
      </c>
    </row>
    <row r="16733" spans="1:9" x14ac:dyDescent="0.35">
      <c r="A16733" t="s">
        <v>230</v>
      </c>
      <c r="B16733" t="s">
        <v>249</v>
      </c>
      <c r="C16733" s="26">
        <v>0.7298</v>
      </c>
      <c r="D16733" s="26">
        <v>0.20419999999999999</v>
      </c>
      <c r="E16733" s="26">
        <v>6.6100000000000006E-2</v>
      </c>
      <c r="I16733">
        <v>167</v>
      </c>
    </row>
    <row r="16734" spans="1:9" x14ac:dyDescent="0.35">
      <c r="A16734" t="s">
        <v>230</v>
      </c>
      <c r="B16734" t="s">
        <v>248</v>
      </c>
      <c r="C16734" s="26">
        <v>0.76819999999999999</v>
      </c>
      <c r="D16734" s="26">
        <v>0.17430000000000001</v>
      </c>
      <c r="E16734" s="26">
        <v>5.7500000000000002E-2</v>
      </c>
      <c r="I16734">
        <v>382</v>
      </c>
    </row>
    <row r="16735" spans="1:9" x14ac:dyDescent="0.35">
      <c r="A16735" t="s">
        <v>231</v>
      </c>
      <c r="B16735" t="s">
        <v>249</v>
      </c>
      <c r="C16735" s="26">
        <v>0.78790000000000004</v>
      </c>
      <c r="D16735" s="26">
        <v>0.18179999999999999</v>
      </c>
      <c r="E16735" s="26">
        <v>3.0300000000000001E-2</v>
      </c>
      <c r="I16735">
        <v>33</v>
      </c>
    </row>
    <row r="16736" spans="1:9" x14ac:dyDescent="0.35">
      <c r="A16736" t="s">
        <v>231</v>
      </c>
      <c r="B16736" t="s">
        <v>248</v>
      </c>
      <c r="C16736" s="26">
        <v>0.77500000000000002</v>
      </c>
      <c r="D16736" s="26">
        <v>0.1583</v>
      </c>
      <c r="E16736" s="26">
        <v>0.05</v>
      </c>
      <c r="F16736" s="26">
        <v>8.3000000000000001E-3</v>
      </c>
      <c r="G16736" s="26">
        <v>8.3000000000000001E-3</v>
      </c>
      <c r="I16736">
        <v>120</v>
      </c>
    </row>
    <row r="16737" spans="1:9" x14ac:dyDescent="0.35">
      <c r="A16737" t="s">
        <v>232</v>
      </c>
      <c r="B16737" t="s">
        <v>232</v>
      </c>
      <c r="C16737" s="26">
        <v>0.78700000000000003</v>
      </c>
      <c r="D16737" s="26">
        <v>0.15670000000000001</v>
      </c>
      <c r="E16737" s="26">
        <v>4.9500000000000002E-2</v>
      </c>
      <c r="F16737" s="26">
        <v>4.5999999999999999E-3</v>
      </c>
      <c r="G16737" s="26">
        <v>1.9E-3</v>
      </c>
      <c r="H16737" s="26">
        <v>2.0000000000000001E-4</v>
      </c>
      <c r="I16737">
        <v>2750</v>
      </c>
    </row>
    <row r="16739" spans="1:9" x14ac:dyDescent="0.35">
      <c r="A16739" s="1" t="s">
        <v>1735</v>
      </c>
    </row>
    <row r="16740" spans="1:9" x14ac:dyDescent="0.35">
      <c r="A16740" t="s">
        <v>219</v>
      </c>
      <c r="B16740" t="s">
        <v>305</v>
      </c>
      <c r="C16740" t="s">
        <v>1724</v>
      </c>
      <c r="D16740" t="s">
        <v>1725</v>
      </c>
      <c r="E16740" t="s">
        <v>1726</v>
      </c>
      <c r="F16740" t="s">
        <v>281</v>
      </c>
      <c r="G16740" t="s">
        <v>1727</v>
      </c>
      <c r="H16740" t="s">
        <v>286</v>
      </c>
      <c r="I16740" t="s">
        <v>226</v>
      </c>
    </row>
    <row r="16741" spans="1:9" x14ac:dyDescent="0.35">
      <c r="A16741" s="27" t="s">
        <v>227</v>
      </c>
      <c r="B16741" s="27" t="s">
        <v>263</v>
      </c>
      <c r="C16741" s="28">
        <v>0.66669999999999996</v>
      </c>
      <c r="D16741" s="28">
        <v>0.33329999999999999</v>
      </c>
      <c r="E16741" s="29"/>
      <c r="F16741" s="29"/>
      <c r="G16741" s="29"/>
      <c r="H16741" s="29"/>
      <c r="I16741" s="29" t="s">
        <v>315</v>
      </c>
    </row>
    <row r="16742" spans="1:9" x14ac:dyDescent="0.35">
      <c r="A16742" s="27" t="s">
        <v>227</v>
      </c>
      <c r="B16742" s="27" t="s">
        <v>261</v>
      </c>
      <c r="C16742" s="28">
        <v>0.23080000000000001</v>
      </c>
      <c r="D16742" s="28">
        <v>0.57689999999999997</v>
      </c>
      <c r="E16742" s="28">
        <v>0.1923</v>
      </c>
      <c r="F16742" s="29"/>
      <c r="G16742" s="29"/>
      <c r="H16742" s="29"/>
      <c r="I16742" s="29" t="s">
        <v>357</v>
      </c>
    </row>
    <row r="16743" spans="1:9" x14ac:dyDescent="0.35">
      <c r="A16743" s="27" t="s">
        <v>227</v>
      </c>
      <c r="B16743" s="27" t="s">
        <v>262</v>
      </c>
      <c r="C16743" s="28">
        <v>0.66669999999999996</v>
      </c>
      <c r="D16743" s="28">
        <v>0.33329999999999999</v>
      </c>
      <c r="E16743" s="29"/>
      <c r="F16743" s="29"/>
      <c r="G16743" s="29"/>
      <c r="H16743" s="29"/>
      <c r="I16743" s="29" t="s">
        <v>315</v>
      </c>
    </row>
    <row r="16744" spans="1:9" x14ac:dyDescent="0.35">
      <c r="A16744" t="s">
        <v>227</v>
      </c>
      <c r="B16744" t="s">
        <v>260</v>
      </c>
      <c r="C16744" s="26">
        <v>0.94259999999999999</v>
      </c>
      <c r="D16744" s="26">
        <v>4.9200000000000001E-2</v>
      </c>
      <c r="E16744" s="26">
        <v>8.2000000000000007E-3</v>
      </c>
      <c r="I16744">
        <v>122</v>
      </c>
    </row>
    <row r="16745" spans="1:9" x14ac:dyDescent="0.35">
      <c r="A16745" t="s">
        <v>228</v>
      </c>
      <c r="B16745" t="s">
        <v>261</v>
      </c>
      <c r="C16745" s="26">
        <v>0.123</v>
      </c>
      <c r="D16745" s="26">
        <v>0.65310000000000001</v>
      </c>
      <c r="E16745" s="26">
        <v>0.21879999999999999</v>
      </c>
      <c r="F16745" s="26">
        <v>2.8999999999999998E-3</v>
      </c>
      <c r="G16745" s="26">
        <v>2.0999999999999999E-3</v>
      </c>
      <c r="I16745">
        <v>172</v>
      </c>
    </row>
    <row r="16746" spans="1:9" x14ac:dyDescent="0.35">
      <c r="A16746" s="27" t="s">
        <v>228</v>
      </c>
      <c r="B16746" s="27" t="s">
        <v>263</v>
      </c>
      <c r="C16746" s="28">
        <v>0.61629999999999996</v>
      </c>
      <c r="D16746" s="28">
        <v>0.32619999999999999</v>
      </c>
      <c r="E16746" s="28">
        <v>5.7500000000000002E-2</v>
      </c>
      <c r="F16746" s="29"/>
      <c r="G16746" s="29"/>
      <c r="H16746" s="29"/>
      <c r="I16746" s="29" t="s">
        <v>312</v>
      </c>
    </row>
    <row r="16747" spans="1:9" x14ac:dyDescent="0.35">
      <c r="A16747" s="27" t="s">
        <v>228</v>
      </c>
      <c r="B16747" s="27" t="s">
        <v>236</v>
      </c>
      <c r="C16747" s="28">
        <v>0.33229999999999998</v>
      </c>
      <c r="D16747" s="28">
        <v>0.53400000000000003</v>
      </c>
      <c r="E16747" s="29"/>
      <c r="F16747" s="28">
        <v>0.13370000000000001</v>
      </c>
      <c r="G16747" s="29"/>
      <c r="H16747" s="29"/>
      <c r="I16747" s="29" t="s">
        <v>335</v>
      </c>
    </row>
    <row r="16748" spans="1:9" x14ac:dyDescent="0.35">
      <c r="A16748" t="s">
        <v>228</v>
      </c>
      <c r="B16748" t="s">
        <v>262</v>
      </c>
      <c r="C16748" s="26">
        <v>0.87409999999999999</v>
      </c>
      <c r="D16748" s="26">
        <v>7.0900000000000005E-2</v>
      </c>
      <c r="E16748" s="26">
        <v>5.2400000000000002E-2</v>
      </c>
      <c r="H16748" s="26">
        <v>2.5000000000000001E-3</v>
      </c>
      <c r="I16748">
        <v>197</v>
      </c>
    </row>
    <row r="16749" spans="1:9" x14ac:dyDescent="0.35">
      <c r="A16749" t="s">
        <v>228</v>
      </c>
      <c r="B16749" t="s">
        <v>260</v>
      </c>
      <c r="C16749" s="26">
        <v>0.93020000000000003</v>
      </c>
      <c r="D16749" s="26">
        <v>4.2000000000000003E-2</v>
      </c>
      <c r="E16749" s="26">
        <v>2.1100000000000001E-2</v>
      </c>
      <c r="F16749" s="26">
        <v>5.7999999999999996E-3</v>
      </c>
      <c r="G16749" s="26">
        <v>8.9999999999999998E-4</v>
      </c>
      <c r="I16749">
        <v>608</v>
      </c>
    </row>
    <row r="16750" spans="1:9" x14ac:dyDescent="0.35">
      <c r="A16750" s="27" t="s">
        <v>229</v>
      </c>
      <c r="B16750" s="27" t="s">
        <v>263</v>
      </c>
      <c r="C16750" s="28">
        <v>0.52380000000000004</v>
      </c>
      <c r="D16750" s="28">
        <v>0.34610000000000002</v>
      </c>
      <c r="E16750" s="28">
        <v>0.13009999999999999</v>
      </c>
      <c r="F16750" s="29"/>
      <c r="G16750" s="29"/>
      <c r="H16750" s="29"/>
      <c r="I16750" s="29" t="s">
        <v>379</v>
      </c>
    </row>
    <row r="16751" spans="1:9" x14ac:dyDescent="0.35">
      <c r="A16751" t="s">
        <v>229</v>
      </c>
      <c r="B16751" t="s">
        <v>262</v>
      </c>
      <c r="C16751" s="26">
        <v>0.91610000000000003</v>
      </c>
      <c r="D16751" s="26">
        <v>6.0999999999999999E-2</v>
      </c>
      <c r="E16751" s="26">
        <v>2.1700000000000001E-2</v>
      </c>
      <c r="F16751" s="26">
        <v>1.1999999999999999E-3</v>
      </c>
      <c r="I16751">
        <v>186</v>
      </c>
    </row>
    <row r="16752" spans="1:9" x14ac:dyDescent="0.35">
      <c r="A16752" t="s">
        <v>229</v>
      </c>
      <c r="B16752" t="s">
        <v>261</v>
      </c>
      <c r="C16752" s="26">
        <v>0.20039999999999999</v>
      </c>
      <c r="D16752" s="26">
        <v>0.64610000000000001</v>
      </c>
      <c r="E16752" s="26">
        <v>0.15040000000000001</v>
      </c>
      <c r="G16752" s="26">
        <v>6.9999999999999999E-4</v>
      </c>
      <c r="H16752" s="26">
        <v>2.3999999999999998E-3</v>
      </c>
      <c r="I16752">
        <v>90</v>
      </c>
    </row>
    <row r="16753" spans="1:9" x14ac:dyDescent="0.35">
      <c r="A16753" s="27" t="s">
        <v>229</v>
      </c>
      <c r="B16753" s="27" t="s">
        <v>236</v>
      </c>
      <c r="C16753" s="28">
        <v>1</v>
      </c>
      <c r="D16753" s="29"/>
      <c r="E16753" s="29"/>
      <c r="F16753" s="29"/>
      <c r="G16753" s="29"/>
      <c r="H16753" s="29"/>
      <c r="I16753" s="29" t="s">
        <v>331</v>
      </c>
    </row>
    <row r="16754" spans="1:9" x14ac:dyDescent="0.35">
      <c r="A16754" t="s">
        <v>229</v>
      </c>
      <c r="B16754" t="s">
        <v>260</v>
      </c>
      <c r="C16754" s="26">
        <v>0.90800000000000003</v>
      </c>
      <c r="D16754" s="26">
        <v>5.0099999999999999E-2</v>
      </c>
      <c r="E16754" s="26">
        <v>3.09E-2</v>
      </c>
      <c r="F16754" s="26">
        <v>1.0999999999999999E-2</v>
      </c>
      <c r="I16754">
        <v>595</v>
      </c>
    </row>
    <row r="16755" spans="1:9" x14ac:dyDescent="0.35">
      <c r="A16755" s="27" t="s">
        <v>230</v>
      </c>
      <c r="B16755" s="27" t="s">
        <v>236</v>
      </c>
      <c r="C16755" s="28">
        <v>0.27760000000000001</v>
      </c>
      <c r="D16755" s="29"/>
      <c r="E16755" s="28">
        <v>0.72240000000000004</v>
      </c>
      <c r="F16755" s="29"/>
      <c r="G16755" s="29"/>
      <c r="H16755" s="29"/>
      <c r="I16755" s="29" t="s">
        <v>337</v>
      </c>
    </row>
    <row r="16756" spans="1:9" x14ac:dyDescent="0.35">
      <c r="A16756" t="s">
        <v>230</v>
      </c>
      <c r="B16756" t="s">
        <v>262</v>
      </c>
      <c r="C16756" s="26">
        <v>0.8175</v>
      </c>
      <c r="D16756" s="26">
        <v>5.33E-2</v>
      </c>
      <c r="E16756" s="26">
        <v>0.12909999999999999</v>
      </c>
      <c r="I16756">
        <v>121</v>
      </c>
    </row>
    <row r="16757" spans="1:9" x14ac:dyDescent="0.35">
      <c r="A16757" t="s">
        <v>230</v>
      </c>
      <c r="B16757" t="s">
        <v>261</v>
      </c>
      <c r="C16757" s="26">
        <v>0.05</v>
      </c>
      <c r="D16757" s="26">
        <v>0.89049999999999996</v>
      </c>
      <c r="E16757" s="26">
        <v>5.96E-2</v>
      </c>
      <c r="I16757">
        <v>49</v>
      </c>
    </row>
    <row r="16758" spans="1:9" x14ac:dyDescent="0.35">
      <c r="A16758" s="27" t="s">
        <v>230</v>
      </c>
      <c r="B16758" s="27" t="s">
        <v>263</v>
      </c>
      <c r="C16758" s="28">
        <v>0.60089999999999999</v>
      </c>
      <c r="D16758" s="28">
        <v>0.21479999999999999</v>
      </c>
      <c r="E16758" s="28">
        <v>0.18429999999999999</v>
      </c>
      <c r="F16758" s="29"/>
      <c r="G16758" s="29"/>
      <c r="H16758" s="29"/>
      <c r="I16758" s="29" t="s">
        <v>312</v>
      </c>
    </row>
    <row r="16759" spans="1:9" x14ac:dyDescent="0.35">
      <c r="A16759" t="s">
        <v>230</v>
      </c>
      <c r="B16759" t="s">
        <v>260</v>
      </c>
      <c r="C16759" s="26">
        <v>0.87319999999999998</v>
      </c>
      <c r="D16759" s="26">
        <v>9.0800000000000006E-2</v>
      </c>
      <c r="E16759" s="26">
        <v>3.5999999999999997E-2</v>
      </c>
      <c r="I16759">
        <v>350</v>
      </c>
    </row>
    <row r="16760" spans="1:9" x14ac:dyDescent="0.35">
      <c r="A16760" s="27" t="s">
        <v>231</v>
      </c>
      <c r="B16760" s="27" t="s">
        <v>263</v>
      </c>
      <c r="C16760" s="29"/>
      <c r="D16760" s="28">
        <v>1</v>
      </c>
      <c r="E16760" s="29"/>
      <c r="F16760" s="29"/>
      <c r="G16760" s="29"/>
      <c r="H16760" s="29"/>
      <c r="I16760" s="29" t="s">
        <v>314</v>
      </c>
    </row>
    <row r="16761" spans="1:9" x14ac:dyDescent="0.35">
      <c r="A16761" t="s">
        <v>231</v>
      </c>
      <c r="B16761" t="s">
        <v>260</v>
      </c>
      <c r="C16761" s="26">
        <v>0.8952</v>
      </c>
      <c r="D16761" s="26">
        <v>8.8700000000000001E-2</v>
      </c>
      <c r="E16761" s="26">
        <v>1.61E-2</v>
      </c>
      <c r="I16761">
        <v>124</v>
      </c>
    </row>
    <row r="16762" spans="1:9" x14ac:dyDescent="0.35">
      <c r="A16762" s="27" t="s">
        <v>231</v>
      </c>
      <c r="B16762" s="27" t="s">
        <v>261</v>
      </c>
      <c r="C16762" s="29"/>
      <c r="D16762" s="28">
        <v>0.61109999999999998</v>
      </c>
      <c r="E16762" s="28">
        <v>0.27779999999999999</v>
      </c>
      <c r="F16762" s="28">
        <v>5.5599999999999997E-2</v>
      </c>
      <c r="G16762" s="28">
        <v>5.5599999999999997E-2</v>
      </c>
      <c r="H16762" s="29"/>
      <c r="I16762" s="29" t="s">
        <v>353</v>
      </c>
    </row>
    <row r="16763" spans="1:9" x14ac:dyDescent="0.35">
      <c r="A16763" s="27" t="s">
        <v>231</v>
      </c>
      <c r="B16763" s="27" t="s">
        <v>262</v>
      </c>
      <c r="C16763" s="28">
        <v>0.88890000000000002</v>
      </c>
      <c r="D16763" s="28">
        <v>0.1111</v>
      </c>
      <c r="E16763" s="29"/>
      <c r="F16763" s="29"/>
      <c r="G16763" s="29"/>
      <c r="H16763" s="29"/>
      <c r="I16763" s="29" t="s">
        <v>334</v>
      </c>
    </row>
    <row r="16764" spans="1:9" x14ac:dyDescent="0.35">
      <c r="A16764" t="s">
        <v>232</v>
      </c>
      <c r="B16764" t="s">
        <v>232</v>
      </c>
      <c r="C16764" s="26">
        <v>0.78700000000000003</v>
      </c>
      <c r="D16764" s="26">
        <v>0.15670000000000001</v>
      </c>
      <c r="E16764" s="26">
        <v>4.9500000000000002E-2</v>
      </c>
      <c r="F16764" s="26">
        <v>4.5999999999999999E-3</v>
      </c>
      <c r="G16764" s="26">
        <v>1.9E-3</v>
      </c>
      <c r="H16764" s="26">
        <v>2.0000000000000001E-4</v>
      </c>
      <c r="I16764">
        <v>2750</v>
      </c>
    </row>
    <row r="16766" spans="1:9" x14ac:dyDescent="0.35">
      <c r="A16766" s="1" t="s">
        <v>1736</v>
      </c>
    </row>
    <row r="16767" spans="1:9" x14ac:dyDescent="0.35">
      <c r="A16767" t="s">
        <v>219</v>
      </c>
      <c r="B16767" t="s">
        <v>305</v>
      </c>
      <c r="C16767" t="s">
        <v>1724</v>
      </c>
      <c r="D16767" t="s">
        <v>1725</v>
      </c>
      <c r="E16767" t="s">
        <v>1726</v>
      </c>
      <c r="F16767" t="s">
        <v>281</v>
      </c>
      <c r="G16767" t="s">
        <v>1727</v>
      </c>
      <c r="H16767" t="s">
        <v>286</v>
      </c>
      <c r="I16767" t="s">
        <v>226</v>
      </c>
    </row>
    <row r="16768" spans="1:9" x14ac:dyDescent="0.35">
      <c r="A16768" s="27" t="s">
        <v>227</v>
      </c>
      <c r="B16768" s="27" t="s">
        <v>368</v>
      </c>
      <c r="C16768" s="28">
        <v>0.23080000000000001</v>
      </c>
      <c r="D16768" s="28">
        <v>0.57689999999999997</v>
      </c>
      <c r="E16768" s="28">
        <v>0.1923</v>
      </c>
      <c r="F16768" s="29"/>
      <c r="G16768" s="29"/>
      <c r="H16768" s="29"/>
      <c r="I16768" s="29" t="s">
        <v>357</v>
      </c>
    </row>
    <row r="16769" spans="1:9" x14ac:dyDescent="0.35">
      <c r="A16769" t="s">
        <v>227</v>
      </c>
      <c r="B16769" t="s">
        <v>369</v>
      </c>
      <c r="C16769" s="26">
        <v>0.92969999999999997</v>
      </c>
      <c r="D16769" s="26">
        <v>6.25E-2</v>
      </c>
      <c r="E16769" s="26">
        <v>7.7999999999999996E-3</v>
      </c>
      <c r="I16769">
        <v>128</v>
      </c>
    </row>
    <row r="16770" spans="1:9" x14ac:dyDescent="0.35">
      <c r="A16770" t="s">
        <v>228</v>
      </c>
      <c r="B16770" t="s">
        <v>368</v>
      </c>
      <c r="C16770" s="26">
        <v>0.123</v>
      </c>
      <c r="D16770" s="26">
        <v>0.65310000000000001</v>
      </c>
      <c r="E16770" s="26">
        <v>0.21879999999999999</v>
      </c>
      <c r="F16770" s="26">
        <v>2.8999999999999998E-3</v>
      </c>
      <c r="G16770" s="26">
        <v>2.0999999999999999E-3</v>
      </c>
      <c r="I16770">
        <v>172</v>
      </c>
    </row>
    <row r="16771" spans="1:9" x14ac:dyDescent="0.35">
      <c r="A16771" t="s">
        <v>228</v>
      </c>
      <c r="B16771" t="s">
        <v>369</v>
      </c>
      <c r="C16771" s="26">
        <v>0.90680000000000005</v>
      </c>
      <c r="D16771" s="26">
        <v>5.8400000000000001E-2</v>
      </c>
      <c r="E16771" s="26">
        <v>2.8199999999999999E-2</v>
      </c>
      <c r="F16771" s="26">
        <v>5.4999999999999997E-3</v>
      </c>
      <c r="G16771" s="26">
        <v>6.9999999999999999E-4</v>
      </c>
      <c r="H16771" s="26">
        <v>5.0000000000000001E-4</v>
      </c>
      <c r="I16771">
        <v>836</v>
      </c>
    </row>
    <row r="16772" spans="1:9" x14ac:dyDescent="0.35">
      <c r="A16772" t="s">
        <v>229</v>
      </c>
      <c r="B16772" t="s">
        <v>368</v>
      </c>
      <c r="C16772" s="26">
        <v>0.20039999999999999</v>
      </c>
      <c r="D16772" s="26">
        <v>0.64610000000000001</v>
      </c>
      <c r="E16772" s="26">
        <v>0.15040000000000001</v>
      </c>
      <c r="G16772" s="26">
        <v>6.9999999999999999E-4</v>
      </c>
      <c r="H16772" s="26">
        <v>2.3999999999999998E-3</v>
      </c>
      <c r="I16772">
        <v>90</v>
      </c>
    </row>
    <row r="16773" spans="1:9" x14ac:dyDescent="0.35">
      <c r="A16773" t="s">
        <v>229</v>
      </c>
      <c r="B16773" t="s">
        <v>369</v>
      </c>
      <c r="C16773" s="26">
        <v>0.90190000000000003</v>
      </c>
      <c r="D16773" s="26">
        <v>6.0299999999999999E-2</v>
      </c>
      <c r="E16773" s="26">
        <v>3.0200000000000001E-2</v>
      </c>
      <c r="F16773" s="26">
        <v>7.6E-3</v>
      </c>
      <c r="I16773">
        <v>796</v>
      </c>
    </row>
    <row r="16774" spans="1:9" x14ac:dyDescent="0.35">
      <c r="A16774" t="s">
        <v>230</v>
      </c>
      <c r="B16774" t="s">
        <v>368</v>
      </c>
      <c r="C16774" s="26">
        <v>0.05</v>
      </c>
      <c r="D16774" s="26">
        <v>0.89049999999999996</v>
      </c>
      <c r="E16774" s="26">
        <v>5.96E-2</v>
      </c>
      <c r="I16774">
        <v>49</v>
      </c>
    </row>
    <row r="16775" spans="1:9" x14ac:dyDescent="0.35">
      <c r="A16775" t="s">
        <v>230</v>
      </c>
      <c r="B16775" t="s">
        <v>369</v>
      </c>
      <c r="C16775" s="26">
        <v>0.85340000000000005</v>
      </c>
      <c r="D16775" s="26">
        <v>8.6099999999999996E-2</v>
      </c>
      <c r="E16775" s="26">
        <v>6.0499999999999998E-2</v>
      </c>
      <c r="I16775">
        <v>500</v>
      </c>
    </row>
    <row r="16776" spans="1:9" x14ac:dyDescent="0.35">
      <c r="A16776" s="27" t="s">
        <v>231</v>
      </c>
      <c r="B16776" s="27" t="s">
        <v>368</v>
      </c>
      <c r="C16776" s="29"/>
      <c r="D16776" s="28">
        <v>0.61109999999999998</v>
      </c>
      <c r="E16776" s="28">
        <v>0.27779999999999999</v>
      </c>
      <c r="F16776" s="28">
        <v>5.5599999999999997E-2</v>
      </c>
      <c r="G16776" s="28">
        <v>5.5599999999999997E-2</v>
      </c>
      <c r="H16776" s="29"/>
      <c r="I16776" s="29" t="s">
        <v>353</v>
      </c>
    </row>
    <row r="16777" spans="1:9" x14ac:dyDescent="0.35">
      <c r="A16777" t="s">
        <v>231</v>
      </c>
      <c r="B16777" t="s">
        <v>369</v>
      </c>
      <c r="C16777" s="26">
        <v>0.88149999999999995</v>
      </c>
      <c r="D16777" s="26">
        <v>0.1037</v>
      </c>
      <c r="E16777" s="26">
        <v>1.4800000000000001E-2</v>
      </c>
      <c r="I16777">
        <v>135</v>
      </c>
    </row>
    <row r="16778" spans="1:9" x14ac:dyDescent="0.35">
      <c r="A16778" t="s">
        <v>232</v>
      </c>
      <c r="B16778" t="s">
        <v>232</v>
      </c>
      <c r="C16778" s="26">
        <v>0.78700000000000003</v>
      </c>
      <c r="D16778" s="26">
        <v>0.15670000000000001</v>
      </c>
      <c r="E16778" s="26">
        <v>4.9500000000000002E-2</v>
      </c>
      <c r="F16778" s="26">
        <v>4.5999999999999999E-3</v>
      </c>
      <c r="G16778" s="26">
        <v>1.9E-3</v>
      </c>
      <c r="H16778" s="26">
        <v>2.0000000000000001E-4</v>
      </c>
      <c r="I16778">
        <v>2750</v>
      </c>
    </row>
    <row r="16780" spans="1:9" x14ac:dyDescent="0.35">
      <c r="A16780" s="1" t="s">
        <v>1737</v>
      </c>
    </row>
    <row r="16781" spans="1:9" x14ac:dyDescent="0.35">
      <c r="A16781" t="s">
        <v>219</v>
      </c>
      <c r="B16781" t="s">
        <v>305</v>
      </c>
      <c r="C16781" t="s">
        <v>1724</v>
      </c>
      <c r="D16781" t="s">
        <v>1725</v>
      </c>
      <c r="E16781" t="s">
        <v>1726</v>
      </c>
      <c r="F16781" t="s">
        <v>281</v>
      </c>
      <c r="G16781" t="s">
        <v>1727</v>
      </c>
      <c r="H16781" t="s">
        <v>286</v>
      </c>
      <c r="I16781" t="s">
        <v>226</v>
      </c>
    </row>
    <row r="16782" spans="1:9" x14ac:dyDescent="0.35">
      <c r="A16782" t="s">
        <v>227</v>
      </c>
      <c r="B16782" t="s">
        <v>371</v>
      </c>
      <c r="C16782" s="26">
        <v>0.81169999999999998</v>
      </c>
      <c r="D16782" s="26">
        <v>0.14940000000000001</v>
      </c>
      <c r="E16782" s="26">
        <v>3.9E-2</v>
      </c>
      <c r="I16782">
        <v>154</v>
      </c>
    </row>
    <row r="16783" spans="1:9" x14ac:dyDescent="0.35">
      <c r="A16783" t="s">
        <v>228</v>
      </c>
      <c r="B16783" t="s">
        <v>371</v>
      </c>
      <c r="C16783" s="26">
        <v>0.73760000000000003</v>
      </c>
      <c r="D16783" s="26">
        <v>0.1915</v>
      </c>
      <c r="E16783" s="26">
        <v>6.3600000000000004E-2</v>
      </c>
      <c r="F16783" s="26">
        <v>6.6E-3</v>
      </c>
      <c r="G16783" s="26">
        <v>6.9999999999999999E-4</v>
      </c>
      <c r="I16783">
        <v>284</v>
      </c>
    </row>
    <row r="16784" spans="1:9" x14ac:dyDescent="0.35">
      <c r="A16784" t="s">
        <v>228</v>
      </c>
      <c r="B16784" t="s">
        <v>372</v>
      </c>
      <c r="C16784" s="26">
        <v>0.86539999999999995</v>
      </c>
      <c r="D16784" s="26">
        <v>4.0899999999999999E-2</v>
      </c>
      <c r="E16784" s="26">
        <v>8.2199999999999995E-2</v>
      </c>
      <c r="G16784" s="26">
        <v>6.6E-3</v>
      </c>
      <c r="H16784" s="26">
        <v>5.0000000000000001E-3</v>
      </c>
      <c r="I16784">
        <v>214</v>
      </c>
    </row>
    <row r="16785" spans="1:9" x14ac:dyDescent="0.35">
      <c r="A16785" t="s">
        <v>228</v>
      </c>
      <c r="B16785" t="s">
        <v>373</v>
      </c>
      <c r="C16785" s="26">
        <v>0.79110000000000003</v>
      </c>
      <c r="D16785" s="26">
        <v>0.15060000000000001</v>
      </c>
      <c r="E16785" s="26">
        <v>5.4300000000000001E-2</v>
      </c>
      <c r="F16785" s="26">
        <v>4.1000000000000003E-3</v>
      </c>
      <c r="I16785">
        <v>510</v>
      </c>
    </row>
    <row r="16786" spans="1:9" x14ac:dyDescent="0.35">
      <c r="A16786" t="s">
        <v>229</v>
      </c>
      <c r="B16786" t="s">
        <v>371</v>
      </c>
      <c r="C16786" s="26">
        <v>0.80300000000000005</v>
      </c>
      <c r="D16786" s="26">
        <v>0.1452</v>
      </c>
      <c r="E16786" s="26">
        <v>4.5600000000000002E-2</v>
      </c>
      <c r="F16786" s="26">
        <v>6.1999999999999998E-3</v>
      </c>
      <c r="I16786">
        <v>578</v>
      </c>
    </row>
    <row r="16787" spans="1:9" x14ac:dyDescent="0.35">
      <c r="A16787" t="s">
        <v>229</v>
      </c>
      <c r="B16787" t="s">
        <v>372</v>
      </c>
      <c r="C16787" s="26">
        <v>0.78949999999999998</v>
      </c>
      <c r="D16787" s="26">
        <v>0.12709999999999999</v>
      </c>
      <c r="E16787" s="26">
        <v>6.6299999999999998E-2</v>
      </c>
      <c r="F16787" s="26">
        <v>8.6E-3</v>
      </c>
      <c r="G16787" s="26">
        <v>1.9E-3</v>
      </c>
      <c r="H16787" s="26">
        <v>6.6E-3</v>
      </c>
      <c r="I16787">
        <v>219</v>
      </c>
    </row>
    <row r="16788" spans="1:9" x14ac:dyDescent="0.35">
      <c r="A16788" t="s">
        <v>229</v>
      </c>
      <c r="B16788" t="s">
        <v>373</v>
      </c>
      <c r="C16788" s="26">
        <v>0.89290000000000003</v>
      </c>
      <c r="D16788" s="26">
        <v>4.1000000000000002E-2</v>
      </c>
      <c r="E16788" s="26">
        <v>5.3499999999999999E-2</v>
      </c>
      <c r="F16788" s="26">
        <v>1.2500000000000001E-2</v>
      </c>
      <c r="I16788">
        <v>89</v>
      </c>
    </row>
    <row r="16789" spans="1:9" x14ac:dyDescent="0.35">
      <c r="A16789" t="s">
        <v>230</v>
      </c>
      <c r="B16789" t="s">
        <v>371</v>
      </c>
      <c r="C16789" s="26">
        <v>0.73609999999999998</v>
      </c>
      <c r="D16789" s="26">
        <v>0.20380000000000001</v>
      </c>
      <c r="E16789" s="26">
        <v>6.0100000000000001E-2</v>
      </c>
      <c r="I16789">
        <v>257</v>
      </c>
    </row>
    <row r="16790" spans="1:9" x14ac:dyDescent="0.35">
      <c r="A16790" t="s">
        <v>230</v>
      </c>
      <c r="B16790" t="s">
        <v>372</v>
      </c>
      <c r="C16790" s="26">
        <v>0.78659999999999997</v>
      </c>
      <c r="D16790" s="26">
        <v>6.9500000000000006E-2</v>
      </c>
      <c r="E16790" s="26">
        <v>0.1439</v>
      </c>
      <c r="I16790">
        <v>142</v>
      </c>
    </row>
    <row r="16791" spans="1:9" x14ac:dyDescent="0.35">
      <c r="A16791" t="s">
        <v>230</v>
      </c>
      <c r="B16791" t="s">
        <v>373</v>
      </c>
      <c r="C16791" s="26">
        <v>0.86160000000000003</v>
      </c>
      <c r="D16791" s="26">
        <v>0.1129</v>
      </c>
      <c r="E16791" s="26">
        <v>2.5499999999999998E-2</v>
      </c>
      <c r="I16791">
        <v>150</v>
      </c>
    </row>
    <row r="16792" spans="1:9" x14ac:dyDescent="0.35">
      <c r="A16792" t="s">
        <v>231</v>
      </c>
      <c r="B16792" t="s">
        <v>371</v>
      </c>
      <c r="C16792" s="26">
        <v>0.77780000000000005</v>
      </c>
      <c r="D16792" s="26">
        <v>0.16339999999999999</v>
      </c>
      <c r="E16792" s="26">
        <v>4.58E-2</v>
      </c>
      <c r="F16792" s="26">
        <v>6.4999999999999997E-3</v>
      </c>
      <c r="G16792" s="26">
        <v>6.4999999999999997E-3</v>
      </c>
      <c r="I16792">
        <v>153</v>
      </c>
    </row>
    <row r="16793" spans="1:9" x14ac:dyDescent="0.35">
      <c r="A16793" t="s">
        <v>232</v>
      </c>
      <c r="B16793" t="s">
        <v>232</v>
      </c>
      <c r="C16793" s="26">
        <v>0.78700000000000003</v>
      </c>
      <c r="D16793" s="26">
        <v>0.15670000000000001</v>
      </c>
      <c r="E16793" s="26">
        <v>4.9500000000000002E-2</v>
      </c>
      <c r="F16793" s="26">
        <v>4.5999999999999999E-3</v>
      </c>
      <c r="G16793" s="26">
        <v>1.9E-3</v>
      </c>
      <c r="H16793" s="26">
        <v>2.0000000000000001E-4</v>
      </c>
      <c r="I16793">
        <v>2750</v>
      </c>
    </row>
    <row r="16795" spans="1:9" x14ac:dyDescent="0.35">
      <c r="A16795" s="1" t="s">
        <v>1738</v>
      </c>
    </row>
    <row r="16796" spans="1:9" x14ac:dyDescent="0.35">
      <c r="A16796" t="s">
        <v>219</v>
      </c>
      <c r="B16796" t="s">
        <v>305</v>
      </c>
      <c r="C16796" t="s">
        <v>1724</v>
      </c>
      <c r="D16796" t="s">
        <v>1725</v>
      </c>
      <c r="E16796" t="s">
        <v>1726</v>
      </c>
      <c r="F16796" t="s">
        <v>281</v>
      </c>
      <c r="G16796" t="s">
        <v>1727</v>
      </c>
      <c r="H16796" t="s">
        <v>286</v>
      </c>
      <c r="I16796" t="s">
        <v>226</v>
      </c>
    </row>
    <row r="16797" spans="1:9" x14ac:dyDescent="0.35">
      <c r="A16797" t="s">
        <v>227</v>
      </c>
      <c r="B16797" t="s">
        <v>255</v>
      </c>
      <c r="C16797" s="26">
        <v>0.80179999999999996</v>
      </c>
      <c r="D16797" s="26">
        <v>0.16220000000000001</v>
      </c>
      <c r="E16797" s="26">
        <v>3.5999999999999997E-2</v>
      </c>
      <c r="I16797">
        <v>111</v>
      </c>
    </row>
    <row r="16798" spans="1:9" x14ac:dyDescent="0.35">
      <c r="A16798" s="27" t="s">
        <v>227</v>
      </c>
      <c r="B16798" s="27" t="s">
        <v>257</v>
      </c>
      <c r="C16798" s="28">
        <v>0.75</v>
      </c>
      <c r="D16798" s="28">
        <v>0.125</v>
      </c>
      <c r="E16798" s="28">
        <v>0.125</v>
      </c>
      <c r="F16798" s="29"/>
      <c r="G16798" s="29"/>
      <c r="H16798" s="29"/>
      <c r="I16798" s="29" t="s">
        <v>333</v>
      </c>
    </row>
    <row r="16799" spans="1:9" x14ac:dyDescent="0.35">
      <c r="A16799" t="s">
        <v>227</v>
      </c>
      <c r="B16799" t="s">
        <v>256</v>
      </c>
      <c r="C16799" s="26">
        <v>0.85709999999999997</v>
      </c>
      <c r="D16799" s="26">
        <v>0.1143</v>
      </c>
      <c r="E16799" s="26">
        <v>2.86E-2</v>
      </c>
      <c r="I16799">
        <v>35</v>
      </c>
    </row>
    <row r="16800" spans="1:9" x14ac:dyDescent="0.35">
      <c r="A16800" t="s">
        <v>228</v>
      </c>
      <c r="B16800" t="s">
        <v>257</v>
      </c>
      <c r="C16800" s="26">
        <v>0.80059999999999998</v>
      </c>
      <c r="D16800" s="26">
        <v>0.13139999999999999</v>
      </c>
      <c r="E16800" s="26">
        <v>4.9000000000000002E-2</v>
      </c>
      <c r="F16800" s="26">
        <v>1.9E-2</v>
      </c>
      <c r="I16800">
        <v>45</v>
      </c>
    </row>
    <row r="16801" spans="1:9" x14ac:dyDescent="0.35">
      <c r="A16801" s="27" t="s">
        <v>228</v>
      </c>
      <c r="B16801" s="27" t="s">
        <v>258</v>
      </c>
      <c r="C16801" s="28">
        <v>0.40529999999999999</v>
      </c>
      <c r="D16801" s="28">
        <v>0.59470000000000001</v>
      </c>
      <c r="E16801" s="29"/>
      <c r="F16801" s="29"/>
      <c r="G16801" s="29"/>
      <c r="H16801" s="29"/>
      <c r="I16801" s="29" t="s">
        <v>337</v>
      </c>
    </row>
    <row r="16802" spans="1:9" x14ac:dyDescent="0.35">
      <c r="A16802" t="s">
        <v>228</v>
      </c>
      <c r="B16802" t="s">
        <v>256</v>
      </c>
      <c r="C16802" s="26">
        <v>0.72919999999999996</v>
      </c>
      <c r="D16802" s="26">
        <v>0.19950000000000001</v>
      </c>
      <c r="E16802" s="26">
        <v>6.88E-2</v>
      </c>
      <c r="F16802" s="26">
        <v>1E-3</v>
      </c>
      <c r="G16802" s="26">
        <v>1.5E-3</v>
      </c>
      <c r="I16802">
        <v>217</v>
      </c>
    </row>
    <row r="16803" spans="1:9" x14ac:dyDescent="0.35">
      <c r="A16803" t="s">
        <v>228</v>
      </c>
      <c r="B16803" t="s">
        <v>255</v>
      </c>
      <c r="C16803" s="26">
        <v>0.78520000000000001</v>
      </c>
      <c r="D16803" s="26">
        <v>0.14760000000000001</v>
      </c>
      <c r="E16803" s="26">
        <v>6.0199999999999997E-2</v>
      </c>
      <c r="F16803" s="26">
        <v>5.5999999999999999E-3</v>
      </c>
      <c r="G16803" s="26">
        <v>8.0000000000000004E-4</v>
      </c>
      <c r="H16803" s="26">
        <v>5.9999999999999995E-4</v>
      </c>
      <c r="I16803">
        <v>742</v>
      </c>
    </row>
    <row r="16804" spans="1:9" x14ac:dyDescent="0.35">
      <c r="A16804" t="s">
        <v>229</v>
      </c>
      <c r="B16804" t="s">
        <v>256</v>
      </c>
      <c r="C16804" s="26">
        <v>0.88060000000000005</v>
      </c>
      <c r="D16804" s="26">
        <v>8.0199999999999994E-2</v>
      </c>
      <c r="E16804" s="26">
        <v>3.8800000000000001E-2</v>
      </c>
      <c r="F16804" s="26">
        <v>4.0000000000000002E-4</v>
      </c>
      <c r="I16804">
        <v>205</v>
      </c>
    </row>
    <row r="16805" spans="1:9" x14ac:dyDescent="0.35">
      <c r="A16805" t="s">
        <v>229</v>
      </c>
      <c r="B16805" t="s">
        <v>255</v>
      </c>
      <c r="C16805" s="26">
        <v>0.77990000000000004</v>
      </c>
      <c r="D16805" s="26">
        <v>0.15790000000000001</v>
      </c>
      <c r="E16805" s="26">
        <v>5.1900000000000002E-2</v>
      </c>
      <c r="F16805" s="26">
        <v>9.5999999999999992E-3</v>
      </c>
      <c r="G16805" s="26">
        <v>1E-4</v>
      </c>
      <c r="H16805" s="26">
        <v>5.0000000000000001E-4</v>
      </c>
      <c r="I16805">
        <v>629</v>
      </c>
    </row>
    <row r="16806" spans="1:9" x14ac:dyDescent="0.35">
      <c r="A16806" t="s">
        <v>229</v>
      </c>
      <c r="B16806" t="s">
        <v>257</v>
      </c>
      <c r="C16806" s="26">
        <v>0.73660000000000003</v>
      </c>
      <c r="D16806" s="26">
        <v>0.23880000000000001</v>
      </c>
      <c r="E16806" s="26">
        <v>2.46E-2</v>
      </c>
      <c r="I16806">
        <v>50</v>
      </c>
    </row>
    <row r="16807" spans="1:9" x14ac:dyDescent="0.35">
      <c r="A16807" s="27" t="s">
        <v>229</v>
      </c>
      <c r="B16807" s="27" t="s">
        <v>258</v>
      </c>
      <c r="C16807" s="28">
        <v>0.22409999999999999</v>
      </c>
      <c r="D16807" s="28">
        <v>0.77590000000000003</v>
      </c>
      <c r="E16807" s="29"/>
      <c r="F16807" s="29"/>
      <c r="G16807" s="29"/>
      <c r="H16807" s="29"/>
      <c r="I16807" s="29" t="s">
        <v>314</v>
      </c>
    </row>
    <row r="16808" spans="1:9" x14ac:dyDescent="0.35">
      <c r="A16808" t="s">
        <v>230</v>
      </c>
      <c r="B16808" t="s">
        <v>256</v>
      </c>
      <c r="C16808" s="26">
        <v>0.74970000000000003</v>
      </c>
      <c r="D16808" s="26">
        <v>0.16789999999999999</v>
      </c>
      <c r="E16808" s="26">
        <v>8.2400000000000001E-2</v>
      </c>
      <c r="I16808">
        <v>127</v>
      </c>
    </row>
    <row r="16809" spans="1:9" x14ac:dyDescent="0.35">
      <c r="A16809" t="s">
        <v>230</v>
      </c>
      <c r="B16809" t="s">
        <v>255</v>
      </c>
      <c r="C16809" s="26">
        <v>0.76819999999999999</v>
      </c>
      <c r="D16809" s="26">
        <v>0.17430000000000001</v>
      </c>
      <c r="E16809" s="26">
        <v>5.7500000000000002E-2</v>
      </c>
      <c r="I16809">
        <v>382</v>
      </c>
    </row>
    <row r="16810" spans="1:9" x14ac:dyDescent="0.35">
      <c r="A16810" t="s">
        <v>230</v>
      </c>
      <c r="B16810" t="s">
        <v>257</v>
      </c>
      <c r="C16810" s="26">
        <v>0.63239999999999996</v>
      </c>
      <c r="D16810" s="26">
        <v>0.35460000000000003</v>
      </c>
      <c r="E16810" s="26">
        <v>1.2999999999999999E-2</v>
      </c>
      <c r="I16810">
        <v>37</v>
      </c>
    </row>
    <row r="16811" spans="1:9" x14ac:dyDescent="0.35">
      <c r="A16811" s="27" t="s">
        <v>230</v>
      </c>
      <c r="B16811" s="27" t="s">
        <v>258</v>
      </c>
      <c r="C16811" s="28">
        <v>1</v>
      </c>
      <c r="D16811" s="29"/>
      <c r="E16811" s="29"/>
      <c r="F16811" s="29"/>
      <c r="G16811" s="29"/>
      <c r="H16811" s="29"/>
      <c r="I16811" s="29" t="s">
        <v>315</v>
      </c>
    </row>
    <row r="16812" spans="1:9" x14ac:dyDescent="0.35">
      <c r="A16812" s="27" t="s">
        <v>231</v>
      </c>
      <c r="B16812" s="27" t="s">
        <v>257</v>
      </c>
      <c r="C16812" s="28">
        <v>0.83330000000000004</v>
      </c>
      <c r="D16812" s="28">
        <v>0.16669999999999999</v>
      </c>
      <c r="E16812" s="29"/>
      <c r="F16812" s="29"/>
      <c r="G16812" s="29"/>
      <c r="H16812" s="29"/>
      <c r="I16812" s="29" t="s">
        <v>335</v>
      </c>
    </row>
    <row r="16813" spans="1:9" x14ac:dyDescent="0.35">
      <c r="A16813" t="s">
        <v>231</v>
      </c>
      <c r="B16813" t="s">
        <v>255</v>
      </c>
      <c r="C16813" s="26">
        <v>0.77500000000000002</v>
      </c>
      <c r="D16813" s="26">
        <v>0.1583</v>
      </c>
      <c r="E16813" s="26">
        <v>0.05</v>
      </c>
      <c r="F16813" s="26">
        <v>8.3000000000000001E-3</v>
      </c>
      <c r="G16813" s="26">
        <v>8.3000000000000001E-3</v>
      </c>
      <c r="I16813">
        <v>120</v>
      </c>
    </row>
    <row r="16814" spans="1:9" x14ac:dyDescent="0.35">
      <c r="A16814" s="27" t="s">
        <v>231</v>
      </c>
      <c r="B16814" s="27" t="s">
        <v>256</v>
      </c>
      <c r="C16814" s="28">
        <v>0.77780000000000005</v>
      </c>
      <c r="D16814" s="28">
        <v>0.1852</v>
      </c>
      <c r="E16814" s="28">
        <v>3.6999999999999998E-2</v>
      </c>
      <c r="F16814" s="29"/>
      <c r="G16814" s="29"/>
      <c r="H16814" s="29"/>
      <c r="I16814" s="29" t="s">
        <v>338</v>
      </c>
    </row>
    <row r="16815" spans="1:9" x14ac:dyDescent="0.35">
      <c r="A16815" t="s">
        <v>232</v>
      </c>
      <c r="B16815" t="s">
        <v>232</v>
      </c>
      <c r="C16815" s="26">
        <v>0.78700000000000003</v>
      </c>
      <c r="D16815" s="26">
        <v>0.15670000000000001</v>
      </c>
      <c r="E16815" s="26">
        <v>4.9500000000000002E-2</v>
      </c>
      <c r="F16815" s="26">
        <v>4.5999999999999999E-3</v>
      </c>
      <c r="G16815" s="26">
        <v>1.9E-3</v>
      </c>
      <c r="H16815" s="26">
        <v>2.0000000000000001E-4</v>
      </c>
      <c r="I16815">
        <v>2750</v>
      </c>
    </row>
    <row r="16817" spans="1:7" x14ac:dyDescent="0.35">
      <c r="A16817" s="1" t="s">
        <v>1739</v>
      </c>
    </row>
    <row r="16818" spans="1:7" x14ac:dyDescent="0.35">
      <c r="A16818" t="s">
        <v>219</v>
      </c>
      <c r="B16818" t="s">
        <v>302</v>
      </c>
      <c r="C16818" t="s">
        <v>281</v>
      </c>
      <c r="D16818" t="s">
        <v>303</v>
      </c>
      <c r="E16818" t="s">
        <v>286</v>
      </c>
      <c r="F16818" t="s">
        <v>226</v>
      </c>
    </row>
    <row r="16819" spans="1:7" x14ac:dyDescent="0.35">
      <c r="A16819" t="s">
        <v>227</v>
      </c>
      <c r="B16819" s="26">
        <v>0.92549999999999999</v>
      </c>
      <c r="C16819" s="26">
        <v>3.1099999999999999E-2</v>
      </c>
      <c r="D16819" s="26">
        <v>4.3499999999999997E-2</v>
      </c>
      <c r="F16819">
        <v>161</v>
      </c>
    </row>
    <row r="16820" spans="1:7" x14ac:dyDescent="0.35">
      <c r="A16820" t="s">
        <v>228</v>
      </c>
      <c r="B16820" s="26">
        <v>0.83209999999999995</v>
      </c>
      <c r="C16820" s="26">
        <v>0.10979999999999999</v>
      </c>
      <c r="D16820" s="26">
        <v>5.8000000000000003E-2</v>
      </c>
      <c r="F16820">
        <v>1032</v>
      </c>
    </row>
    <row r="16821" spans="1:7" x14ac:dyDescent="0.35">
      <c r="A16821" t="s">
        <v>229</v>
      </c>
      <c r="B16821" s="26">
        <v>0.89449999999999996</v>
      </c>
      <c r="C16821" s="26">
        <v>6.7900000000000002E-2</v>
      </c>
      <c r="D16821" s="26">
        <v>3.7400000000000003E-2</v>
      </c>
      <c r="E16821" s="26">
        <v>1E-4</v>
      </c>
      <c r="F16821">
        <v>893</v>
      </c>
    </row>
    <row r="16822" spans="1:7" x14ac:dyDescent="0.35">
      <c r="A16822" t="s">
        <v>230</v>
      </c>
      <c r="B16822" s="26">
        <v>0.9032</v>
      </c>
      <c r="C16822" s="26">
        <v>6.7699999999999996E-2</v>
      </c>
      <c r="D16822" s="26">
        <v>2.9100000000000001E-2</v>
      </c>
      <c r="F16822">
        <v>560</v>
      </c>
    </row>
    <row r="16823" spans="1:7" x14ac:dyDescent="0.35">
      <c r="A16823" t="s">
        <v>231</v>
      </c>
      <c r="B16823" s="26">
        <v>0.8841</v>
      </c>
      <c r="C16823" s="26">
        <v>6.7100000000000007E-2</v>
      </c>
      <c r="D16823" s="26">
        <v>4.8800000000000003E-2</v>
      </c>
      <c r="F16823">
        <v>164</v>
      </c>
    </row>
    <row r="16824" spans="1:7" x14ac:dyDescent="0.35">
      <c r="A16824" t="s">
        <v>232</v>
      </c>
      <c r="B16824" s="26">
        <v>0.8851</v>
      </c>
      <c r="C16824" s="26">
        <v>7.0199999999999999E-2</v>
      </c>
      <c r="D16824" s="26">
        <v>4.4699999999999997E-2</v>
      </c>
      <c r="E16824" s="26">
        <v>0</v>
      </c>
      <c r="F16824">
        <v>2810</v>
      </c>
    </row>
    <row r="16826" spans="1:7" x14ac:dyDescent="0.35">
      <c r="A16826" s="1" t="s">
        <v>1740</v>
      </c>
    </row>
    <row r="16827" spans="1:7" x14ac:dyDescent="0.35">
      <c r="A16827" t="s">
        <v>219</v>
      </c>
      <c r="B16827" t="s">
        <v>305</v>
      </c>
      <c r="C16827" t="s">
        <v>302</v>
      </c>
      <c r="D16827" t="s">
        <v>281</v>
      </c>
      <c r="E16827" t="s">
        <v>303</v>
      </c>
      <c r="F16827" t="s">
        <v>286</v>
      </c>
      <c r="G16827" t="s">
        <v>226</v>
      </c>
    </row>
    <row r="16828" spans="1:7" x14ac:dyDescent="0.35">
      <c r="A16828" t="s">
        <v>227</v>
      </c>
      <c r="B16828" t="s">
        <v>242</v>
      </c>
      <c r="C16828" s="26">
        <v>0.88239999999999996</v>
      </c>
      <c r="D16828" s="26">
        <v>2.9399999999999999E-2</v>
      </c>
      <c r="E16828" s="26">
        <v>8.8200000000000001E-2</v>
      </c>
      <c r="G16828">
        <v>68</v>
      </c>
    </row>
    <row r="16829" spans="1:7" x14ac:dyDescent="0.35">
      <c r="A16829" t="s">
        <v>227</v>
      </c>
      <c r="B16829" t="s">
        <v>241</v>
      </c>
      <c r="C16829" s="26">
        <v>0.95699999999999996</v>
      </c>
      <c r="D16829" s="26">
        <v>3.2300000000000002E-2</v>
      </c>
      <c r="E16829" s="26">
        <v>1.0800000000000001E-2</v>
      </c>
      <c r="G16829">
        <v>93</v>
      </c>
    </row>
    <row r="16830" spans="1:7" x14ac:dyDescent="0.35">
      <c r="A16830" t="s">
        <v>228</v>
      </c>
      <c r="B16830" t="s">
        <v>242</v>
      </c>
      <c r="C16830" s="26">
        <v>0.80759999999999998</v>
      </c>
      <c r="D16830" s="26">
        <v>0.10059999999999999</v>
      </c>
      <c r="E16830" s="26">
        <v>9.1800000000000007E-2</v>
      </c>
      <c r="G16830">
        <v>401</v>
      </c>
    </row>
    <row r="16831" spans="1:7" x14ac:dyDescent="0.35">
      <c r="A16831" t="s">
        <v>228</v>
      </c>
      <c r="B16831" t="s">
        <v>241</v>
      </c>
      <c r="C16831" s="26">
        <v>0.84609999999999996</v>
      </c>
      <c r="D16831" s="26">
        <v>0.11509999999999999</v>
      </c>
      <c r="E16831" s="26">
        <v>3.8800000000000001E-2</v>
      </c>
      <c r="G16831">
        <v>631</v>
      </c>
    </row>
    <row r="16832" spans="1:7" x14ac:dyDescent="0.35">
      <c r="A16832" t="s">
        <v>229</v>
      </c>
      <c r="B16832" t="s">
        <v>242</v>
      </c>
      <c r="C16832" s="26">
        <v>0.85170000000000001</v>
      </c>
      <c r="D16832" s="26">
        <v>9.3200000000000005E-2</v>
      </c>
      <c r="E16832" s="26">
        <v>5.5100000000000003E-2</v>
      </c>
      <c r="G16832">
        <v>291</v>
      </c>
    </row>
    <row r="16833" spans="1:7" x14ac:dyDescent="0.35">
      <c r="A16833" t="s">
        <v>229</v>
      </c>
      <c r="B16833" t="s">
        <v>241</v>
      </c>
      <c r="C16833" s="26">
        <v>0.92179999999999995</v>
      </c>
      <c r="D16833" s="26">
        <v>5.1900000000000002E-2</v>
      </c>
      <c r="E16833" s="26">
        <v>2.6200000000000001E-2</v>
      </c>
      <c r="F16833" s="26">
        <v>2.0000000000000001E-4</v>
      </c>
      <c r="G16833">
        <v>602</v>
      </c>
    </row>
    <row r="16834" spans="1:7" x14ac:dyDescent="0.35">
      <c r="A16834" t="s">
        <v>230</v>
      </c>
      <c r="B16834" t="s">
        <v>242</v>
      </c>
      <c r="C16834" s="26">
        <v>0.85109999999999997</v>
      </c>
      <c r="D16834" s="26">
        <v>0.13589999999999999</v>
      </c>
      <c r="E16834" s="26">
        <v>1.2999999999999999E-2</v>
      </c>
      <c r="G16834">
        <v>189</v>
      </c>
    </row>
    <row r="16835" spans="1:7" x14ac:dyDescent="0.35">
      <c r="A16835" t="s">
        <v>230</v>
      </c>
      <c r="B16835" t="s">
        <v>241</v>
      </c>
      <c r="C16835" s="26">
        <v>0.92979999999999996</v>
      </c>
      <c r="D16835" s="26">
        <v>3.3000000000000002E-2</v>
      </c>
      <c r="E16835" s="26">
        <v>3.73E-2</v>
      </c>
      <c r="G16835">
        <v>371</v>
      </c>
    </row>
    <row r="16836" spans="1:7" x14ac:dyDescent="0.35">
      <c r="A16836" t="s">
        <v>231</v>
      </c>
      <c r="B16836" t="s">
        <v>242</v>
      </c>
      <c r="C16836" s="26">
        <v>0.85189999999999999</v>
      </c>
      <c r="D16836" s="26">
        <v>9.2600000000000002E-2</v>
      </c>
      <c r="E16836" s="26">
        <v>5.5599999999999997E-2</v>
      </c>
      <c r="G16836">
        <v>54</v>
      </c>
    </row>
    <row r="16837" spans="1:7" x14ac:dyDescent="0.35">
      <c r="A16837" t="s">
        <v>231</v>
      </c>
      <c r="B16837" t="s">
        <v>241</v>
      </c>
      <c r="C16837" s="26">
        <v>0.9</v>
      </c>
      <c r="D16837" s="26">
        <v>5.45E-2</v>
      </c>
      <c r="E16837" s="26">
        <v>4.5499999999999999E-2</v>
      </c>
      <c r="G16837">
        <v>110</v>
      </c>
    </row>
    <row r="16838" spans="1:7" x14ac:dyDescent="0.35">
      <c r="A16838" t="s">
        <v>232</v>
      </c>
      <c r="B16838" t="s">
        <v>232</v>
      </c>
      <c r="C16838" s="26">
        <v>0.8851</v>
      </c>
      <c r="D16838" s="26">
        <v>7.0199999999999999E-2</v>
      </c>
      <c r="E16838" s="26">
        <v>4.4699999999999997E-2</v>
      </c>
      <c r="F16838" s="26">
        <v>0</v>
      </c>
      <c r="G16838">
        <v>2810</v>
      </c>
    </row>
    <row r="16840" spans="1:7" x14ac:dyDescent="0.35">
      <c r="A16840" s="1" t="s">
        <v>1741</v>
      </c>
    </row>
    <row r="16841" spans="1:7" x14ac:dyDescent="0.35">
      <c r="A16841" t="s">
        <v>219</v>
      </c>
      <c r="B16841" t="s">
        <v>305</v>
      </c>
      <c r="C16841" t="s">
        <v>302</v>
      </c>
      <c r="D16841" t="s">
        <v>281</v>
      </c>
      <c r="E16841" t="s">
        <v>303</v>
      </c>
      <c r="F16841" t="s">
        <v>286</v>
      </c>
      <c r="G16841" t="s">
        <v>226</v>
      </c>
    </row>
    <row r="16842" spans="1:7" x14ac:dyDescent="0.35">
      <c r="A16842" t="s">
        <v>227</v>
      </c>
      <c r="B16842" t="s">
        <v>239</v>
      </c>
      <c r="C16842" s="26">
        <v>0.9194</v>
      </c>
      <c r="D16842" s="26">
        <v>1.61E-2</v>
      </c>
      <c r="E16842" s="26">
        <v>6.4500000000000002E-2</v>
      </c>
      <c r="G16842">
        <v>62</v>
      </c>
    </row>
    <row r="16843" spans="1:7" x14ac:dyDescent="0.35">
      <c r="A16843" t="s">
        <v>227</v>
      </c>
      <c r="B16843" t="s">
        <v>238</v>
      </c>
      <c r="C16843" s="26">
        <v>0.92930000000000001</v>
      </c>
      <c r="D16843" s="26">
        <v>4.0399999999999998E-2</v>
      </c>
      <c r="E16843" s="26">
        <v>3.0300000000000001E-2</v>
      </c>
      <c r="G16843">
        <v>99</v>
      </c>
    </row>
    <row r="16844" spans="1:7" x14ac:dyDescent="0.35">
      <c r="A16844" t="s">
        <v>228</v>
      </c>
      <c r="B16844" t="s">
        <v>239</v>
      </c>
      <c r="C16844" s="26">
        <v>0.74809999999999999</v>
      </c>
      <c r="D16844" s="26">
        <v>0.1542</v>
      </c>
      <c r="E16844" s="26">
        <v>9.7699999999999995E-2</v>
      </c>
      <c r="G16844">
        <v>330</v>
      </c>
    </row>
    <row r="16845" spans="1:7" x14ac:dyDescent="0.35">
      <c r="A16845" t="s">
        <v>228</v>
      </c>
      <c r="B16845" t="s">
        <v>238</v>
      </c>
      <c r="C16845" s="26">
        <v>0.85399999999999998</v>
      </c>
      <c r="D16845" s="26">
        <v>9.8299999999999998E-2</v>
      </c>
      <c r="E16845" s="26">
        <v>4.7699999999999999E-2</v>
      </c>
      <c r="G16845">
        <v>702</v>
      </c>
    </row>
    <row r="16846" spans="1:7" x14ac:dyDescent="0.35">
      <c r="A16846" t="s">
        <v>229</v>
      </c>
      <c r="B16846" t="s">
        <v>239</v>
      </c>
      <c r="C16846" s="26">
        <v>0.93459999999999999</v>
      </c>
      <c r="D16846" s="26">
        <v>2.86E-2</v>
      </c>
      <c r="E16846" s="26">
        <v>3.6400000000000002E-2</v>
      </c>
      <c r="F16846" s="26">
        <v>4.0000000000000002E-4</v>
      </c>
      <c r="G16846">
        <v>332</v>
      </c>
    </row>
    <row r="16847" spans="1:7" x14ac:dyDescent="0.35">
      <c r="A16847" t="s">
        <v>229</v>
      </c>
      <c r="B16847" t="s">
        <v>238</v>
      </c>
      <c r="C16847" s="26">
        <v>0.88080000000000003</v>
      </c>
      <c r="D16847" s="26">
        <v>8.14E-2</v>
      </c>
      <c r="E16847" s="26">
        <v>3.7699999999999997E-2</v>
      </c>
      <c r="G16847">
        <v>561</v>
      </c>
    </row>
    <row r="16848" spans="1:7" x14ac:dyDescent="0.35">
      <c r="A16848" t="s">
        <v>230</v>
      </c>
      <c r="B16848" t="s">
        <v>239</v>
      </c>
      <c r="C16848" s="26">
        <v>0.90490000000000004</v>
      </c>
      <c r="D16848" s="26">
        <v>6.1800000000000001E-2</v>
      </c>
      <c r="E16848" s="26">
        <v>3.3300000000000003E-2</v>
      </c>
      <c r="G16848">
        <v>211</v>
      </c>
    </row>
    <row r="16849" spans="1:7" x14ac:dyDescent="0.35">
      <c r="A16849" t="s">
        <v>230</v>
      </c>
      <c r="B16849" t="s">
        <v>238</v>
      </c>
      <c r="C16849" s="26">
        <v>0.90239999999999998</v>
      </c>
      <c r="D16849" s="26">
        <v>7.0300000000000001E-2</v>
      </c>
      <c r="E16849" s="26">
        <v>2.7300000000000001E-2</v>
      </c>
      <c r="G16849">
        <v>349</v>
      </c>
    </row>
    <row r="16850" spans="1:7" x14ac:dyDescent="0.35">
      <c r="A16850" t="s">
        <v>231</v>
      </c>
      <c r="B16850" t="s">
        <v>239</v>
      </c>
      <c r="C16850" s="26">
        <v>0.92979999999999996</v>
      </c>
      <c r="D16850" s="26">
        <v>3.5099999999999999E-2</v>
      </c>
      <c r="E16850" s="26">
        <v>3.5099999999999999E-2</v>
      </c>
      <c r="G16850">
        <v>57</v>
      </c>
    </row>
    <row r="16851" spans="1:7" x14ac:dyDescent="0.35">
      <c r="A16851" t="s">
        <v>231</v>
      </c>
      <c r="B16851" t="s">
        <v>238</v>
      </c>
      <c r="C16851" s="26">
        <v>0.85980000000000001</v>
      </c>
      <c r="D16851" s="26">
        <v>8.4099999999999994E-2</v>
      </c>
      <c r="E16851" s="26">
        <v>5.6099999999999997E-2</v>
      </c>
      <c r="G16851">
        <v>107</v>
      </c>
    </row>
    <row r="16852" spans="1:7" x14ac:dyDescent="0.35">
      <c r="A16852" t="s">
        <v>232</v>
      </c>
      <c r="B16852" t="s">
        <v>232</v>
      </c>
      <c r="C16852" s="26">
        <v>0.8851</v>
      </c>
      <c r="D16852" s="26">
        <v>7.0199999999999999E-2</v>
      </c>
      <c r="E16852" s="26">
        <v>4.4699999999999997E-2</v>
      </c>
      <c r="F16852" s="26">
        <v>0</v>
      </c>
      <c r="G16852">
        <v>2810</v>
      </c>
    </row>
    <row r="16854" spans="1:7" x14ac:dyDescent="0.35">
      <c r="A16854" s="1" t="s">
        <v>1742</v>
      </c>
    </row>
    <row r="16855" spans="1:7" x14ac:dyDescent="0.35">
      <c r="A16855" t="s">
        <v>219</v>
      </c>
      <c r="B16855" t="s">
        <v>305</v>
      </c>
      <c r="C16855" t="s">
        <v>302</v>
      </c>
      <c r="D16855" t="s">
        <v>281</v>
      </c>
      <c r="E16855" t="s">
        <v>303</v>
      </c>
      <c r="F16855" t="s">
        <v>286</v>
      </c>
      <c r="G16855" t="s">
        <v>226</v>
      </c>
    </row>
    <row r="16856" spans="1:7" x14ac:dyDescent="0.35">
      <c r="A16856" t="s">
        <v>227</v>
      </c>
      <c r="B16856" t="s">
        <v>244</v>
      </c>
      <c r="C16856" s="26">
        <v>0.89580000000000004</v>
      </c>
      <c r="D16856" s="26">
        <v>3.1199999999999999E-2</v>
      </c>
      <c r="E16856" s="26">
        <v>7.2900000000000006E-2</v>
      </c>
      <c r="G16856">
        <v>96</v>
      </c>
    </row>
    <row r="16857" spans="1:7" x14ac:dyDescent="0.35">
      <c r="A16857" t="s">
        <v>227</v>
      </c>
      <c r="B16857" t="s">
        <v>245</v>
      </c>
      <c r="C16857" s="26">
        <v>0.96230000000000004</v>
      </c>
      <c r="D16857" s="26">
        <v>3.7699999999999997E-2</v>
      </c>
      <c r="G16857">
        <v>53</v>
      </c>
    </row>
    <row r="16858" spans="1:7" x14ac:dyDescent="0.35">
      <c r="A16858" s="27" t="s">
        <v>227</v>
      </c>
      <c r="B16858" s="27" t="s">
        <v>246</v>
      </c>
      <c r="C16858" s="28">
        <v>1</v>
      </c>
      <c r="D16858" s="29"/>
      <c r="E16858" s="29"/>
      <c r="F16858" s="29"/>
      <c r="G16858" s="29" t="s">
        <v>342</v>
      </c>
    </row>
    <row r="16859" spans="1:7" x14ac:dyDescent="0.35">
      <c r="A16859" t="s">
        <v>228</v>
      </c>
      <c r="B16859" t="s">
        <v>244</v>
      </c>
      <c r="C16859" s="26">
        <v>0.84140000000000004</v>
      </c>
      <c r="D16859" s="26">
        <v>0.1016</v>
      </c>
      <c r="E16859" s="26">
        <v>5.7000000000000002E-2</v>
      </c>
      <c r="G16859">
        <v>638</v>
      </c>
    </row>
    <row r="16860" spans="1:7" x14ac:dyDescent="0.35">
      <c r="A16860" t="s">
        <v>228</v>
      </c>
      <c r="B16860" t="s">
        <v>245</v>
      </c>
      <c r="C16860" s="26">
        <v>0.84019999999999995</v>
      </c>
      <c r="D16860" s="26">
        <v>0.1318</v>
      </c>
      <c r="E16860" s="26">
        <v>2.8000000000000001E-2</v>
      </c>
      <c r="G16860">
        <v>327</v>
      </c>
    </row>
    <row r="16861" spans="1:7" x14ac:dyDescent="0.35">
      <c r="A16861" t="s">
        <v>228</v>
      </c>
      <c r="B16861" t="s">
        <v>246</v>
      </c>
      <c r="C16861" s="26">
        <v>0.71140000000000003</v>
      </c>
      <c r="D16861" s="26">
        <v>9.8799999999999999E-2</v>
      </c>
      <c r="E16861" s="26">
        <v>0.1898</v>
      </c>
      <c r="G16861">
        <v>67</v>
      </c>
    </row>
    <row r="16862" spans="1:7" x14ac:dyDescent="0.35">
      <c r="A16862" t="s">
        <v>229</v>
      </c>
      <c r="B16862" t="s">
        <v>244</v>
      </c>
      <c r="C16862" s="26">
        <v>0.9052</v>
      </c>
      <c r="D16862" s="26">
        <v>6.4399999999999999E-2</v>
      </c>
      <c r="E16862" s="26">
        <v>3.0499999999999999E-2</v>
      </c>
      <c r="G16862">
        <v>555</v>
      </c>
    </row>
    <row r="16863" spans="1:7" x14ac:dyDescent="0.35">
      <c r="A16863" t="s">
        <v>229</v>
      </c>
      <c r="B16863" t="s">
        <v>245</v>
      </c>
      <c r="C16863" s="26">
        <v>0.86560000000000004</v>
      </c>
      <c r="D16863" s="26">
        <v>0.09</v>
      </c>
      <c r="E16863" s="26">
        <v>4.4400000000000002E-2</v>
      </c>
      <c r="G16863">
        <v>293</v>
      </c>
    </row>
    <row r="16864" spans="1:7" x14ac:dyDescent="0.35">
      <c r="A16864" t="s">
        <v>229</v>
      </c>
      <c r="B16864" t="s">
        <v>246</v>
      </c>
      <c r="C16864" s="26">
        <v>0.89459999999999995</v>
      </c>
      <c r="D16864" s="26">
        <v>9.4000000000000004E-3</v>
      </c>
      <c r="E16864" s="26">
        <v>9.4200000000000006E-2</v>
      </c>
      <c r="F16864" s="26">
        <v>1.8E-3</v>
      </c>
      <c r="G16864">
        <v>45</v>
      </c>
    </row>
    <row r="16865" spans="1:7" x14ac:dyDescent="0.35">
      <c r="A16865" t="s">
        <v>230</v>
      </c>
      <c r="B16865" t="s">
        <v>244</v>
      </c>
      <c r="C16865" s="26">
        <v>0.90780000000000005</v>
      </c>
      <c r="D16865" s="26">
        <v>5.3400000000000003E-2</v>
      </c>
      <c r="E16865" s="26">
        <v>3.8800000000000001E-2</v>
      </c>
      <c r="G16865">
        <v>370</v>
      </c>
    </row>
    <row r="16866" spans="1:7" x14ac:dyDescent="0.35">
      <c r="A16866" t="s">
        <v>230</v>
      </c>
      <c r="B16866" t="s">
        <v>245</v>
      </c>
      <c r="C16866" s="26">
        <v>0.87919999999999998</v>
      </c>
      <c r="D16866" s="26">
        <v>0.1142</v>
      </c>
      <c r="E16866" s="26">
        <v>6.6E-3</v>
      </c>
      <c r="G16866">
        <v>161</v>
      </c>
    </row>
    <row r="16867" spans="1:7" x14ac:dyDescent="0.35">
      <c r="A16867" s="27" t="s">
        <v>230</v>
      </c>
      <c r="B16867" s="27" t="s">
        <v>246</v>
      </c>
      <c r="C16867" s="28">
        <v>0.96489999999999998</v>
      </c>
      <c r="D16867" s="28">
        <v>2.3900000000000001E-2</v>
      </c>
      <c r="E16867" s="28">
        <v>1.12E-2</v>
      </c>
      <c r="F16867" s="29"/>
      <c r="G16867" s="29" t="s">
        <v>329</v>
      </c>
    </row>
    <row r="16868" spans="1:7" x14ac:dyDescent="0.35">
      <c r="A16868" t="s">
        <v>231</v>
      </c>
      <c r="B16868" t="s">
        <v>244</v>
      </c>
      <c r="C16868" s="26">
        <v>0.88419999999999999</v>
      </c>
      <c r="D16868" s="26">
        <v>4.2099999999999999E-2</v>
      </c>
      <c r="E16868" s="26">
        <v>7.3700000000000002E-2</v>
      </c>
      <c r="G16868">
        <v>95</v>
      </c>
    </row>
    <row r="16869" spans="1:7" x14ac:dyDescent="0.35">
      <c r="A16869" t="s">
        <v>231</v>
      </c>
      <c r="B16869" t="s">
        <v>245</v>
      </c>
      <c r="C16869" s="26">
        <v>0.875</v>
      </c>
      <c r="D16869" s="26">
        <v>0.1071</v>
      </c>
      <c r="E16869" s="26">
        <v>1.7899999999999999E-2</v>
      </c>
      <c r="G16869">
        <v>56</v>
      </c>
    </row>
    <row r="16870" spans="1:7" x14ac:dyDescent="0.35">
      <c r="A16870" s="27" t="s">
        <v>231</v>
      </c>
      <c r="B16870" s="27" t="s">
        <v>246</v>
      </c>
      <c r="C16870" s="28">
        <v>0.92310000000000003</v>
      </c>
      <c r="D16870" s="28">
        <v>7.6899999999999996E-2</v>
      </c>
      <c r="E16870" s="29"/>
      <c r="F16870" s="29"/>
      <c r="G16870" s="29" t="s">
        <v>341</v>
      </c>
    </row>
    <row r="16871" spans="1:7" x14ac:dyDescent="0.35">
      <c r="A16871" t="s">
        <v>232</v>
      </c>
      <c r="B16871" t="s">
        <v>232</v>
      </c>
      <c r="C16871" s="26">
        <v>0.8851</v>
      </c>
      <c r="D16871" s="26">
        <v>7.0199999999999999E-2</v>
      </c>
      <c r="E16871" s="26">
        <v>4.4699999999999997E-2</v>
      </c>
      <c r="F16871" s="26">
        <v>0</v>
      </c>
      <c r="G16871">
        <v>2810</v>
      </c>
    </row>
    <row r="16873" spans="1:7" x14ac:dyDescent="0.35">
      <c r="A16873" s="1" t="s">
        <v>1743</v>
      </c>
    </row>
    <row r="16874" spans="1:7" x14ac:dyDescent="0.35">
      <c r="A16874" t="s">
        <v>219</v>
      </c>
      <c r="B16874" t="s">
        <v>305</v>
      </c>
      <c r="C16874" t="s">
        <v>302</v>
      </c>
      <c r="D16874" t="s">
        <v>281</v>
      </c>
      <c r="E16874" t="s">
        <v>303</v>
      </c>
      <c r="F16874" t="s">
        <v>286</v>
      </c>
      <c r="G16874" t="s">
        <v>226</v>
      </c>
    </row>
    <row r="16875" spans="1:7" x14ac:dyDescent="0.35">
      <c r="A16875" t="s">
        <v>227</v>
      </c>
      <c r="B16875" t="s">
        <v>360</v>
      </c>
      <c r="C16875" s="26">
        <v>0.92310000000000003</v>
      </c>
      <c r="D16875" s="26">
        <v>5.1299999999999998E-2</v>
      </c>
      <c r="E16875" s="26">
        <v>2.5600000000000001E-2</v>
      </c>
      <c r="G16875">
        <v>39</v>
      </c>
    </row>
    <row r="16876" spans="1:7" x14ac:dyDescent="0.35">
      <c r="A16876" t="s">
        <v>227</v>
      </c>
      <c r="B16876" t="s">
        <v>361</v>
      </c>
      <c r="C16876" s="26">
        <v>1</v>
      </c>
      <c r="G16876">
        <v>32</v>
      </c>
    </row>
    <row r="16877" spans="1:7" x14ac:dyDescent="0.35">
      <c r="A16877" t="s">
        <v>227</v>
      </c>
      <c r="B16877" t="s">
        <v>362</v>
      </c>
      <c r="C16877" s="26">
        <v>0.8649</v>
      </c>
      <c r="D16877" s="26">
        <v>2.7E-2</v>
      </c>
      <c r="E16877" s="26">
        <v>0.1081</v>
      </c>
      <c r="G16877">
        <v>37</v>
      </c>
    </row>
    <row r="16878" spans="1:7" x14ac:dyDescent="0.35">
      <c r="A16878" t="s">
        <v>227</v>
      </c>
      <c r="B16878" t="s">
        <v>363</v>
      </c>
      <c r="C16878" s="26">
        <v>0.9556</v>
      </c>
      <c r="E16878" s="26">
        <v>4.4400000000000002E-2</v>
      </c>
      <c r="G16878">
        <v>45</v>
      </c>
    </row>
    <row r="16879" spans="1:7" x14ac:dyDescent="0.35">
      <c r="A16879" t="s">
        <v>228</v>
      </c>
      <c r="B16879" t="s">
        <v>360</v>
      </c>
      <c r="C16879" s="26">
        <v>0.76490000000000002</v>
      </c>
      <c r="D16879" s="26">
        <v>0.1623</v>
      </c>
      <c r="E16879" s="26">
        <v>7.2800000000000004E-2</v>
      </c>
      <c r="G16879">
        <v>257</v>
      </c>
    </row>
    <row r="16880" spans="1:7" x14ac:dyDescent="0.35">
      <c r="A16880" t="s">
        <v>228</v>
      </c>
      <c r="B16880" t="s">
        <v>361</v>
      </c>
      <c r="C16880" s="26">
        <v>0.84919999999999995</v>
      </c>
      <c r="D16880" s="26">
        <v>8.4099999999999994E-2</v>
      </c>
      <c r="E16880" s="26">
        <v>6.6699999999999995E-2</v>
      </c>
      <c r="G16880">
        <v>194</v>
      </c>
    </row>
    <row r="16881" spans="1:7" x14ac:dyDescent="0.35">
      <c r="A16881" t="s">
        <v>228</v>
      </c>
      <c r="B16881" t="s">
        <v>363</v>
      </c>
      <c r="C16881" s="26">
        <v>0.89600000000000002</v>
      </c>
      <c r="D16881" s="26">
        <v>6.6100000000000006E-2</v>
      </c>
      <c r="E16881" s="26">
        <v>3.7900000000000003E-2</v>
      </c>
      <c r="G16881">
        <v>212</v>
      </c>
    </row>
    <row r="16882" spans="1:7" x14ac:dyDescent="0.35">
      <c r="A16882" t="s">
        <v>228</v>
      </c>
      <c r="B16882" t="s">
        <v>362</v>
      </c>
      <c r="C16882" s="26">
        <v>0.80979999999999996</v>
      </c>
      <c r="D16882" s="26">
        <v>0.12690000000000001</v>
      </c>
      <c r="E16882" s="26">
        <v>6.3299999999999995E-2</v>
      </c>
      <c r="G16882">
        <v>236</v>
      </c>
    </row>
    <row r="16883" spans="1:7" x14ac:dyDescent="0.35">
      <c r="A16883" t="s">
        <v>229</v>
      </c>
      <c r="B16883" t="s">
        <v>363</v>
      </c>
      <c r="C16883" s="26">
        <v>0.87729999999999997</v>
      </c>
      <c r="D16883" s="26">
        <v>0.1051</v>
      </c>
      <c r="E16883" s="26">
        <v>1.7600000000000001E-2</v>
      </c>
      <c r="G16883">
        <v>190</v>
      </c>
    </row>
    <row r="16884" spans="1:7" x14ac:dyDescent="0.35">
      <c r="A16884" t="s">
        <v>229</v>
      </c>
      <c r="B16884" t="s">
        <v>360</v>
      </c>
      <c r="C16884" s="26">
        <v>0.87339999999999995</v>
      </c>
      <c r="D16884" s="26">
        <v>7.2999999999999995E-2</v>
      </c>
      <c r="E16884" s="26">
        <v>5.2999999999999999E-2</v>
      </c>
      <c r="F16884" s="26">
        <v>5.9999999999999995E-4</v>
      </c>
      <c r="G16884">
        <v>164</v>
      </c>
    </row>
    <row r="16885" spans="1:7" x14ac:dyDescent="0.35">
      <c r="A16885" t="s">
        <v>229</v>
      </c>
      <c r="B16885" t="s">
        <v>361</v>
      </c>
      <c r="C16885" s="26">
        <v>0.93479999999999996</v>
      </c>
      <c r="D16885" s="26">
        <v>2.7099999999999999E-2</v>
      </c>
      <c r="E16885" s="26">
        <v>3.8100000000000002E-2</v>
      </c>
      <c r="G16885">
        <v>243</v>
      </c>
    </row>
    <row r="16886" spans="1:7" x14ac:dyDescent="0.35">
      <c r="A16886" t="s">
        <v>229</v>
      </c>
      <c r="B16886" t="s">
        <v>362</v>
      </c>
      <c r="C16886" s="26">
        <v>0.86919999999999997</v>
      </c>
      <c r="D16886" s="26">
        <v>8.2799999999999999E-2</v>
      </c>
      <c r="E16886" s="26">
        <v>4.8000000000000001E-2</v>
      </c>
      <c r="G16886">
        <v>171</v>
      </c>
    </row>
    <row r="16887" spans="1:7" x14ac:dyDescent="0.35">
      <c r="A16887" t="s">
        <v>230</v>
      </c>
      <c r="B16887" t="s">
        <v>360</v>
      </c>
      <c r="C16887" s="26">
        <v>0.78649999999999998</v>
      </c>
      <c r="D16887" s="26">
        <v>0.17849999999999999</v>
      </c>
      <c r="E16887" s="26">
        <v>3.5000000000000003E-2</v>
      </c>
      <c r="G16887">
        <v>120</v>
      </c>
    </row>
    <row r="16888" spans="1:7" x14ac:dyDescent="0.35">
      <c r="A16888" t="s">
        <v>230</v>
      </c>
      <c r="B16888" t="s">
        <v>363</v>
      </c>
      <c r="C16888" s="26">
        <v>0.93540000000000001</v>
      </c>
      <c r="D16888" s="26">
        <v>3.4299999999999997E-2</v>
      </c>
      <c r="E16888" s="26">
        <v>3.04E-2</v>
      </c>
      <c r="G16888">
        <v>127</v>
      </c>
    </row>
    <row r="16889" spans="1:7" x14ac:dyDescent="0.35">
      <c r="A16889" t="s">
        <v>230</v>
      </c>
      <c r="B16889" t="s">
        <v>361</v>
      </c>
      <c r="C16889" s="26">
        <v>0.93169999999999997</v>
      </c>
      <c r="D16889" s="26">
        <v>2.58E-2</v>
      </c>
      <c r="E16889" s="26">
        <v>4.2500000000000003E-2</v>
      </c>
      <c r="G16889">
        <v>109</v>
      </c>
    </row>
    <row r="16890" spans="1:7" x14ac:dyDescent="0.35">
      <c r="A16890" t="s">
        <v>230</v>
      </c>
      <c r="B16890" t="s">
        <v>362</v>
      </c>
      <c r="C16890" s="26">
        <v>0.91490000000000005</v>
      </c>
      <c r="D16890" s="26">
        <v>7.1099999999999997E-2</v>
      </c>
      <c r="E16890" s="26">
        <v>1.4E-2</v>
      </c>
      <c r="G16890">
        <v>148</v>
      </c>
    </row>
    <row r="16891" spans="1:7" x14ac:dyDescent="0.35">
      <c r="A16891" s="27" t="s">
        <v>231</v>
      </c>
      <c r="B16891" s="27" t="s">
        <v>362</v>
      </c>
      <c r="C16891" s="28">
        <v>0.93100000000000005</v>
      </c>
      <c r="D16891" s="28">
        <v>3.4500000000000003E-2</v>
      </c>
      <c r="E16891" s="28">
        <v>3.4500000000000003E-2</v>
      </c>
      <c r="F16891" s="29"/>
      <c r="G16891" s="29" t="s">
        <v>329</v>
      </c>
    </row>
    <row r="16892" spans="1:7" x14ac:dyDescent="0.35">
      <c r="A16892" t="s">
        <v>231</v>
      </c>
      <c r="B16892" t="s">
        <v>361</v>
      </c>
      <c r="C16892" s="26">
        <v>0.9</v>
      </c>
      <c r="D16892" s="26">
        <v>0.06</v>
      </c>
      <c r="E16892" s="26">
        <v>0.04</v>
      </c>
      <c r="G16892">
        <v>50</v>
      </c>
    </row>
    <row r="16893" spans="1:7" x14ac:dyDescent="0.35">
      <c r="A16893" t="s">
        <v>231</v>
      </c>
      <c r="B16893" t="s">
        <v>360</v>
      </c>
      <c r="C16893" s="26">
        <v>0.84089999999999998</v>
      </c>
      <c r="D16893" s="26">
        <v>9.0899999999999995E-2</v>
      </c>
      <c r="E16893" s="26">
        <v>6.8199999999999997E-2</v>
      </c>
      <c r="G16893">
        <v>44</v>
      </c>
    </row>
    <row r="16894" spans="1:7" x14ac:dyDescent="0.35">
      <c r="A16894" s="27" t="s">
        <v>231</v>
      </c>
      <c r="B16894" s="27" t="s">
        <v>363</v>
      </c>
      <c r="C16894" s="28">
        <v>1</v>
      </c>
      <c r="D16894" s="29"/>
      <c r="E16894" s="29"/>
      <c r="F16894" s="29"/>
      <c r="G16894" s="29" t="s">
        <v>338</v>
      </c>
    </row>
    <row r="16895" spans="1:7" x14ac:dyDescent="0.35">
      <c r="A16895" t="s">
        <v>232</v>
      </c>
      <c r="B16895" t="s">
        <v>232</v>
      </c>
      <c r="C16895" s="26">
        <v>0.8851</v>
      </c>
      <c r="D16895" s="26">
        <v>7.0199999999999999E-2</v>
      </c>
      <c r="E16895" s="26">
        <v>4.4699999999999997E-2</v>
      </c>
      <c r="F16895" s="26">
        <v>0</v>
      </c>
      <c r="G16895">
        <v>2474</v>
      </c>
    </row>
    <row r="16897" spans="1:7" x14ac:dyDescent="0.35">
      <c r="A16897" s="1" t="s">
        <v>1744</v>
      </c>
    </row>
    <row r="16898" spans="1:7" x14ac:dyDescent="0.35">
      <c r="A16898" t="s">
        <v>219</v>
      </c>
      <c r="B16898" t="s">
        <v>305</v>
      </c>
      <c r="C16898" t="s">
        <v>302</v>
      </c>
      <c r="D16898" t="s">
        <v>281</v>
      </c>
      <c r="E16898" t="s">
        <v>303</v>
      </c>
      <c r="F16898" t="s">
        <v>286</v>
      </c>
      <c r="G16898" t="s">
        <v>226</v>
      </c>
    </row>
    <row r="16899" spans="1:7" x14ac:dyDescent="0.35">
      <c r="A16899" t="s">
        <v>227</v>
      </c>
      <c r="B16899" t="s">
        <v>267</v>
      </c>
      <c r="C16899" s="26">
        <v>0.83330000000000004</v>
      </c>
      <c r="D16899" s="26">
        <v>5.5599999999999997E-2</v>
      </c>
      <c r="E16899" s="26">
        <v>0.1111</v>
      </c>
      <c r="G16899">
        <v>36</v>
      </c>
    </row>
    <row r="16900" spans="1:7" x14ac:dyDescent="0.35">
      <c r="A16900" t="s">
        <v>227</v>
      </c>
      <c r="B16900" t="s">
        <v>266</v>
      </c>
      <c r="C16900" s="26">
        <v>0.94920000000000004</v>
      </c>
      <c r="D16900" s="26">
        <v>5.0799999999999998E-2</v>
      </c>
      <c r="G16900">
        <v>59</v>
      </c>
    </row>
    <row r="16901" spans="1:7" x14ac:dyDescent="0.35">
      <c r="A16901" t="s">
        <v>227</v>
      </c>
      <c r="B16901" t="s">
        <v>265</v>
      </c>
      <c r="C16901" s="26">
        <v>0.95450000000000002</v>
      </c>
      <c r="E16901" s="26">
        <v>4.5499999999999999E-2</v>
      </c>
      <c r="G16901">
        <v>66</v>
      </c>
    </row>
    <row r="16902" spans="1:7" x14ac:dyDescent="0.35">
      <c r="A16902" t="s">
        <v>228</v>
      </c>
      <c r="B16902" t="s">
        <v>267</v>
      </c>
      <c r="C16902" s="26">
        <v>0.85470000000000002</v>
      </c>
      <c r="D16902" s="26">
        <v>9.5299999999999996E-2</v>
      </c>
      <c r="E16902" s="26">
        <v>0.05</v>
      </c>
      <c r="G16902">
        <v>199</v>
      </c>
    </row>
    <row r="16903" spans="1:7" x14ac:dyDescent="0.35">
      <c r="A16903" t="s">
        <v>228</v>
      </c>
      <c r="B16903" t="s">
        <v>265</v>
      </c>
      <c r="C16903" s="26">
        <v>0.81679999999999997</v>
      </c>
      <c r="D16903" s="26">
        <v>0.1187</v>
      </c>
      <c r="E16903" s="26">
        <v>6.4500000000000002E-2</v>
      </c>
      <c r="G16903">
        <v>384</v>
      </c>
    </row>
    <row r="16904" spans="1:7" x14ac:dyDescent="0.35">
      <c r="A16904" s="27" t="s">
        <v>228</v>
      </c>
      <c r="B16904" s="27" t="s">
        <v>236</v>
      </c>
      <c r="C16904" s="28">
        <v>1</v>
      </c>
      <c r="D16904" s="29"/>
      <c r="E16904" s="29"/>
      <c r="F16904" s="29"/>
      <c r="G16904" s="29" t="s">
        <v>314</v>
      </c>
    </row>
    <row r="16905" spans="1:7" x14ac:dyDescent="0.35">
      <c r="A16905" t="s">
        <v>228</v>
      </c>
      <c r="B16905" t="s">
        <v>266</v>
      </c>
      <c r="C16905" s="26">
        <v>0.83550000000000002</v>
      </c>
      <c r="D16905" s="26">
        <v>0.1087</v>
      </c>
      <c r="E16905" s="26">
        <v>5.57E-2</v>
      </c>
      <c r="G16905">
        <v>447</v>
      </c>
    </row>
    <row r="16906" spans="1:7" x14ac:dyDescent="0.35">
      <c r="A16906" t="s">
        <v>229</v>
      </c>
      <c r="B16906" t="s">
        <v>266</v>
      </c>
      <c r="C16906" s="26">
        <v>0.87649999999999995</v>
      </c>
      <c r="D16906" s="26">
        <v>9.3700000000000006E-2</v>
      </c>
      <c r="E16906" s="26">
        <v>2.98E-2</v>
      </c>
      <c r="G16906">
        <v>358</v>
      </c>
    </row>
    <row r="16907" spans="1:7" x14ac:dyDescent="0.35">
      <c r="A16907" t="s">
        <v>229</v>
      </c>
      <c r="B16907" t="s">
        <v>267</v>
      </c>
      <c r="C16907" s="26">
        <v>0.90039999999999998</v>
      </c>
      <c r="D16907" s="26">
        <v>4.7300000000000002E-2</v>
      </c>
      <c r="E16907" s="26">
        <v>5.2299999999999999E-2</v>
      </c>
      <c r="G16907">
        <v>201</v>
      </c>
    </row>
    <row r="16908" spans="1:7" x14ac:dyDescent="0.35">
      <c r="A16908" t="s">
        <v>229</v>
      </c>
      <c r="B16908" t="s">
        <v>265</v>
      </c>
      <c r="C16908" s="26">
        <v>0.90469999999999995</v>
      </c>
      <c r="D16908" s="26">
        <v>5.9499999999999997E-2</v>
      </c>
      <c r="E16908" s="26">
        <v>3.56E-2</v>
      </c>
      <c r="F16908" s="26">
        <v>2.0000000000000001E-4</v>
      </c>
      <c r="G16908">
        <v>334</v>
      </c>
    </row>
    <row r="16909" spans="1:7" x14ac:dyDescent="0.35">
      <c r="A16909" t="s">
        <v>230</v>
      </c>
      <c r="B16909" t="s">
        <v>267</v>
      </c>
      <c r="C16909" s="26">
        <v>0.94199999999999995</v>
      </c>
      <c r="D16909" s="26">
        <v>4.6199999999999998E-2</v>
      </c>
      <c r="E16909" s="26">
        <v>1.1900000000000001E-2</v>
      </c>
      <c r="G16909">
        <v>119</v>
      </c>
    </row>
    <row r="16910" spans="1:7" x14ac:dyDescent="0.35">
      <c r="A16910" t="s">
        <v>230</v>
      </c>
      <c r="B16910" t="s">
        <v>266</v>
      </c>
      <c r="C16910" s="26">
        <v>0.86019999999999996</v>
      </c>
      <c r="D16910" s="26">
        <v>0.1043</v>
      </c>
      <c r="E16910" s="26">
        <v>3.5499999999999997E-2</v>
      </c>
      <c r="G16910">
        <v>232</v>
      </c>
    </row>
    <row r="16911" spans="1:7" x14ac:dyDescent="0.35">
      <c r="A16911" t="s">
        <v>230</v>
      </c>
      <c r="B16911" t="s">
        <v>265</v>
      </c>
      <c r="C16911" s="26">
        <v>0.91979999999999995</v>
      </c>
      <c r="D16911" s="26">
        <v>4.7600000000000003E-2</v>
      </c>
      <c r="E16911" s="26">
        <v>3.2599999999999997E-2</v>
      </c>
      <c r="G16911">
        <v>209</v>
      </c>
    </row>
    <row r="16912" spans="1:7" x14ac:dyDescent="0.35">
      <c r="A16912" t="s">
        <v>231</v>
      </c>
      <c r="B16912" t="s">
        <v>267</v>
      </c>
      <c r="C16912" s="26">
        <v>0.91180000000000005</v>
      </c>
      <c r="D16912" s="26">
        <v>5.8799999999999998E-2</v>
      </c>
      <c r="E16912" s="26">
        <v>2.9399999999999999E-2</v>
      </c>
      <c r="G16912">
        <v>34</v>
      </c>
    </row>
    <row r="16913" spans="1:7" x14ac:dyDescent="0.35">
      <c r="A16913" t="s">
        <v>231</v>
      </c>
      <c r="B16913" t="s">
        <v>266</v>
      </c>
      <c r="C16913" s="26">
        <v>0.9032</v>
      </c>
      <c r="D16913" s="26">
        <v>6.4500000000000002E-2</v>
      </c>
      <c r="E16913" s="26">
        <v>3.2300000000000002E-2</v>
      </c>
      <c r="G16913">
        <v>62</v>
      </c>
    </row>
    <row r="16914" spans="1:7" x14ac:dyDescent="0.35">
      <c r="A16914" t="s">
        <v>231</v>
      </c>
      <c r="B16914" t="s">
        <v>265</v>
      </c>
      <c r="C16914" s="26">
        <v>0.85289999999999999</v>
      </c>
      <c r="D16914" s="26">
        <v>7.3499999999999996E-2</v>
      </c>
      <c r="E16914" s="26">
        <v>7.3499999999999996E-2</v>
      </c>
      <c r="G16914">
        <v>68</v>
      </c>
    </row>
    <row r="16915" spans="1:7" x14ac:dyDescent="0.35">
      <c r="A16915" t="s">
        <v>232</v>
      </c>
      <c r="B16915" t="s">
        <v>232</v>
      </c>
      <c r="C16915" s="26">
        <v>0.8851</v>
      </c>
      <c r="D16915" s="26">
        <v>7.0199999999999999E-2</v>
      </c>
      <c r="E16915" s="26">
        <v>4.4699999999999997E-2</v>
      </c>
      <c r="F16915" s="26">
        <v>0</v>
      </c>
      <c r="G16915">
        <v>2810</v>
      </c>
    </row>
    <row r="16917" spans="1:7" x14ac:dyDescent="0.35">
      <c r="A16917" s="1" t="s">
        <v>1745</v>
      </c>
    </row>
    <row r="16918" spans="1:7" x14ac:dyDescent="0.35">
      <c r="A16918" t="s">
        <v>219</v>
      </c>
      <c r="B16918" t="s">
        <v>305</v>
      </c>
      <c r="C16918" t="s">
        <v>302</v>
      </c>
      <c r="D16918" t="s">
        <v>281</v>
      </c>
      <c r="E16918" t="s">
        <v>303</v>
      </c>
      <c r="F16918" t="s">
        <v>286</v>
      </c>
      <c r="G16918" t="s">
        <v>226</v>
      </c>
    </row>
    <row r="16919" spans="1:7" x14ac:dyDescent="0.35">
      <c r="A16919" t="s">
        <v>227</v>
      </c>
      <c r="B16919" t="s">
        <v>252</v>
      </c>
      <c r="C16919" s="26">
        <v>0.88890000000000002</v>
      </c>
      <c r="D16919" s="26">
        <v>4.4400000000000002E-2</v>
      </c>
      <c r="E16919" s="26">
        <v>6.6699999999999995E-2</v>
      </c>
      <c r="G16919">
        <v>45</v>
      </c>
    </row>
    <row r="16920" spans="1:7" x14ac:dyDescent="0.35">
      <c r="A16920" t="s">
        <v>227</v>
      </c>
      <c r="B16920" t="s">
        <v>253</v>
      </c>
      <c r="C16920" s="26">
        <v>0.88239999999999996</v>
      </c>
      <c r="D16920" s="26">
        <v>2.9399999999999999E-2</v>
      </c>
      <c r="E16920" s="26">
        <v>8.8200000000000001E-2</v>
      </c>
      <c r="G16920">
        <v>34</v>
      </c>
    </row>
    <row r="16921" spans="1:7" x14ac:dyDescent="0.35">
      <c r="A16921" t="s">
        <v>227</v>
      </c>
      <c r="B16921" t="s">
        <v>251</v>
      </c>
      <c r="C16921" s="26">
        <v>0.96340000000000003</v>
      </c>
      <c r="D16921" s="26">
        <v>2.4400000000000002E-2</v>
      </c>
      <c r="E16921" s="26">
        <v>1.2200000000000001E-2</v>
      </c>
      <c r="G16921">
        <v>82</v>
      </c>
    </row>
    <row r="16922" spans="1:7" x14ac:dyDescent="0.35">
      <c r="A16922" t="s">
        <v>228</v>
      </c>
      <c r="B16922" t="s">
        <v>252</v>
      </c>
      <c r="C16922" s="26">
        <v>0.83520000000000005</v>
      </c>
      <c r="D16922" s="26">
        <v>0.13489999999999999</v>
      </c>
      <c r="E16922" s="26">
        <v>2.9899999999999999E-2</v>
      </c>
      <c r="G16922">
        <v>343</v>
      </c>
    </row>
    <row r="16923" spans="1:7" x14ac:dyDescent="0.35">
      <c r="A16923" t="s">
        <v>228</v>
      </c>
      <c r="B16923" t="s">
        <v>253</v>
      </c>
      <c r="C16923" s="26">
        <v>0.79269999999999996</v>
      </c>
      <c r="D16923" s="26">
        <v>0.105</v>
      </c>
      <c r="E16923" s="26">
        <v>0.1023</v>
      </c>
      <c r="G16923">
        <v>222</v>
      </c>
    </row>
    <row r="16924" spans="1:7" x14ac:dyDescent="0.35">
      <c r="A16924" t="s">
        <v>228</v>
      </c>
      <c r="B16924" t="s">
        <v>251</v>
      </c>
      <c r="C16924" s="26">
        <v>0.84709999999999996</v>
      </c>
      <c r="D16924" s="26">
        <v>9.5000000000000001E-2</v>
      </c>
      <c r="E16924" s="26">
        <v>5.79E-2</v>
      </c>
      <c r="G16924">
        <v>467</v>
      </c>
    </row>
    <row r="16925" spans="1:7" x14ac:dyDescent="0.35">
      <c r="A16925" t="s">
        <v>229</v>
      </c>
      <c r="B16925" t="s">
        <v>252</v>
      </c>
      <c r="C16925" s="26">
        <v>0.90969999999999995</v>
      </c>
      <c r="D16925" s="26">
        <v>8.8099999999999998E-2</v>
      </c>
      <c r="E16925" s="26">
        <v>2.2000000000000001E-3</v>
      </c>
      <c r="G16925">
        <v>199</v>
      </c>
    </row>
    <row r="16926" spans="1:7" x14ac:dyDescent="0.35">
      <c r="A16926" t="s">
        <v>229</v>
      </c>
      <c r="B16926" t="s">
        <v>253</v>
      </c>
      <c r="C16926" s="26">
        <v>0.8488</v>
      </c>
      <c r="D16926" s="26">
        <v>7.5700000000000003E-2</v>
      </c>
      <c r="E16926" s="26">
        <v>7.4999999999999997E-2</v>
      </c>
      <c r="F16926" s="26">
        <v>5.0000000000000001E-4</v>
      </c>
      <c r="G16926">
        <v>145</v>
      </c>
    </row>
    <row r="16927" spans="1:7" x14ac:dyDescent="0.35">
      <c r="A16927" t="s">
        <v>229</v>
      </c>
      <c r="B16927" t="s">
        <v>251</v>
      </c>
      <c r="C16927" s="26">
        <v>0.90349999999999997</v>
      </c>
      <c r="D16927" s="26">
        <v>5.7700000000000001E-2</v>
      </c>
      <c r="E16927" s="26">
        <v>3.8699999999999998E-2</v>
      </c>
      <c r="G16927">
        <v>549</v>
      </c>
    </row>
    <row r="16928" spans="1:7" x14ac:dyDescent="0.35">
      <c r="A16928" t="s">
        <v>230</v>
      </c>
      <c r="B16928" t="s">
        <v>252</v>
      </c>
      <c r="C16928" s="26">
        <v>0.83960000000000001</v>
      </c>
      <c r="D16928" s="26">
        <v>0.15490000000000001</v>
      </c>
      <c r="E16928" s="26">
        <v>5.5999999999999999E-3</v>
      </c>
      <c r="G16928">
        <v>159</v>
      </c>
    </row>
    <row r="16929" spans="1:7" x14ac:dyDescent="0.35">
      <c r="A16929" t="s">
        <v>230</v>
      </c>
      <c r="B16929" t="s">
        <v>253</v>
      </c>
      <c r="C16929" s="26">
        <v>0.92630000000000001</v>
      </c>
      <c r="D16929" s="26">
        <v>4.0399999999999998E-2</v>
      </c>
      <c r="E16929" s="26">
        <v>3.3300000000000003E-2</v>
      </c>
      <c r="G16929">
        <v>110</v>
      </c>
    </row>
    <row r="16930" spans="1:7" x14ac:dyDescent="0.35">
      <c r="A16930" t="s">
        <v>230</v>
      </c>
      <c r="B16930" t="s">
        <v>251</v>
      </c>
      <c r="C16930" s="26">
        <v>0.92459999999999998</v>
      </c>
      <c r="D16930" s="26">
        <v>3.6900000000000002E-2</v>
      </c>
      <c r="E16930" s="26">
        <v>3.85E-2</v>
      </c>
      <c r="G16930">
        <v>291</v>
      </c>
    </row>
    <row r="16931" spans="1:7" x14ac:dyDescent="0.35">
      <c r="A16931" t="s">
        <v>231</v>
      </c>
      <c r="B16931" t="s">
        <v>252</v>
      </c>
      <c r="C16931" s="26">
        <v>0.89800000000000002</v>
      </c>
      <c r="D16931" s="26">
        <v>6.1199999999999997E-2</v>
      </c>
      <c r="E16931" s="26">
        <v>4.0800000000000003E-2</v>
      </c>
      <c r="G16931">
        <v>49</v>
      </c>
    </row>
    <row r="16932" spans="1:7" x14ac:dyDescent="0.35">
      <c r="A16932" t="s">
        <v>231</v>
      </c>
      <c r="B16932" t="s">
        <v>253</v>
      </c>
      <c r="C16932" s="26">
        <v>0.9</v>
      </c>
      <c r="D16932" s="26">
        <v>3.3300000000000003E-2</v>
      </c>
      <c r="E16932" s="26">
        <v>6.6699999999999995E-2</v>
      </c>
      <c r="G16932">
        <v>30</v>
      </c>
    </row>
    <row r="16933" spans="1:7" x14ac:dyDescent="0.35">
      <c r="A16933" t="s">
        <v>231</v>
      </c>
      <c r="B16933" t="s">
        <v>251</v>
      </c>
      <c r="C16933" s="26">
        <v>0.87060000000000004</v>
      </c>
      <c r="D16933" s="26">
        <v>8.2400000000000001E-2</v>
      </c>
      <c r="E16933" s="26">
        <v>4.7100000000000003E-2</v>
      </c>
      <c r="G16933">
        <v>85</v>
      </c>
    </row>
    <row r="16934" spans="1:7" x14ac:dyDescent="0.35">
      <c r="A16934" t="s">
        <v>232</v>
      </c>
      <c r="B16934" t="s">
        <v>232</v>
      </c>
      <c r="C16934" s="26">
        <v>0.8851</v>
      </c>
      <c r="D16934" s="26">
        <v>7.0199999999999999E-2</v>
      </c>
      <c r="E16934" s="26">
        <v>4.4699999999999997E-2</v>
      </c>
      <c r="F16934" s="26">
        <v>0</v>
      </c>
      <c r="G16934">
        <v>2810</v>
      </c>
    </row>
    <row r="16936" spans="1:7" x14ac:dyDescent="0.35">
      <c r="A16936" s="1" t="s">
        <v>1746</v>
      </c>
    </row>
    <row r="16937" spans="1:7" x14ac:dyDescent="0.35">
      <c r="A16937" t="s">
        <v>219</v>
      </c>
      <c r="B16937" t="s">
        <v>305</v>
      </c>
      <c r="C16937" t="s">
        <v>302</v>
      </c>
      <c r="D16937" t="s">
        <v>281</v>
      </c>
      <c r="E16937" t="s">
        <v>303</v>
      </c>
      <c r="F16937" t="s">
        <v>286</v>
      </c>
      <c r="G16937" t="s">
        <v>226</v>
      </c>
    </row>
    <row r="16938" spans="1:7" x14ac:dyDescent="0.35">
      <c r="A16938" t="s">
        <v>227</v>
      </c>
      <c r="B16938" t="s">
        <v>249</v>
      </c>
      <c r="C16938" s="26">
        <v>0.93179999999999996</v>
      </c>
      <c r="D16938" s="26">
        <v>2.2700000000000001E-2</v>
      </c>
      <c r="E16938" s="26">
        <v>4.5499999999999999E-2</v>
      </c>
      <c r="G16938">
        <v>44</v>
      </c>
    </row>
    <row r="16939" spans="1:7" x14ac:dyDescent="0.35">
      <c r="A16939" t="s">
        <v>227</v>
      </c>
      <c r="B16939" t="s">
        <v>248</v>
      </c>
      <c r="C16939" s="26">
        <v>0.92310000000000003</v>
      </c>
      <c r="D16939" s="26">
        <v>3.4200000000000001E-2</v>
      </c>
      <c r="E16939" s="26">
        <v>4.2700000000000002E-2</v>
      </c>
      <c r="G16939">
        <v>117</v>
      </c>
    </row>
    <row r="16940" spans="1:7" x14ac:dyDescent="0.35">
      <c r="A16940" t="s">
        <v>228</v>
      </c>
      <c r="B16940" t="s">
        <v>249</v>
      </c>
      <c r="C16940" s="26">
        <v>0.84850000000000003</v>
      </c>
      <c r="D16940" s="26">
        <v>7.2499999999999995E-2</v>
      </c>
      <c r="E16940" s="26">
        <v>7.9000000000000001E-2</v>
      </c>
      <c r="G16940">
        <v>274</v>
      </c>
    </row>
    <row r="16941" spans="1:7" x14ac:dyDescent="0.35">
      <c r="A16941" t="s">
        <v>228</v>
      </c>
      <c r="B16941" t="s">
        <v>248</v>
      </c>
      <c r="C16941" s="26">
        <v>0.82509999999999994</v>
      </c>
      <c r="D16941" s="26">
        <v>0.1258</v>
      </c>
      <c r="E16941" s="26">
        <v>4.9099999999999998E-2</v>
      </c>
      <c r="G16941">
        <v>758</v>
      </c>
    </row>
    <row r="16942" spans="1:7" x14ac:dyDescent="0.35">
      <c r="A16942" t="s">
        <v>229</v>
      </c>
      <c r="B16942" t="s">
        <v>249</v>
      </c>
      <c r="C16942" s="26">
        <v>0.90280000000000005</v>
      </c>
      <c r="D16942" s="26">
        <v>6.3100000000000003E-2</v>
      </c>
      <c r="E16942" s="26">
        <v>3.3799999999999997E-2</v>
      </c>
      <c r="F16942" s="26">
        <v>2.9999999999999997E-4</v>
      </c>
      <c r="G16942">
        <v>259</v>
      </c>
    </row>
    <row r="16943" spans="1:7" x14ac:dyDescent="0.35">
      <c r="A16943" t="s">
        <v>229</v>
      </c>
      <c r="B16943" t="s">
        <v>248</v>
      </c>
      <c r="C16943" s="26">
        <v>0.89049999999999996</v>
      </c>
      <c r="D16943" s="26">
        <v>7.0300000000000001E-2</v>
      </c>
      <c r="E16943" s="26">
        <v>3.9199999999999999E-2</v>
      </c>
      <c r="G16943">
        <v>634</v>
      </c>
    </row>
    <row r="16944" spans="1:7" x14ac:dyDescent="0.35">
      <c r="A16944" t="s">
        <v>230</v>
      </c>
      <c r="B16944" t="s">
        <v>249</v>
      </c>
      <c r="C16944" s="26">
        <v>0.92589999999999995</v>
      </c>
      <c r="D16944" s="26">
        <v>5.04E-2</v>
      </c>
      <c r="E16944" s="26">
        <v>2.3699999999999999E-2</v>
      </c>
      <c r="G16944">
        <v>171</v>
      </c>
    </row>
    <row r="16945" spans="1:7" x14ac:dyDescent="0.35">
      <c r="A16945" t="s">
        <v>230</v>
      </c>
      <c r="B16945" t="s">
        <v>248</v>
      </c>
      <c r="C16945" s="26">
        <v>0.89159999999999995</v>
      </c>
      <c r="D16945" s="26">
        <v>7.6600000000000001E-2</v>
      </c>
      <c r="E16945" s="26">
        <v>3.1800000000000002E-2</v>
      </c>
      <c r="G16945">
        <v>389</v>
      </c>
    </row>
    <row r="16946" spans="1:7" x14ac:dyDescent="0.35">
      <c r="A16946" t="s">
        <v>231</v>
      </c>
      <c r="B16946" t="s">
        <v>249</v>
      </c>
      <c r="C16946" s="26">
        <v>0.9143</v>
      </c>
      <c r="D16946" s="26">
        <v>5.7099999999999998E-2</v>
      </c>
      <c r="E16946" s="26">
        <v>2.86E-2</v>
      </c>
      <c r="G16946">
        <v>35</v>
      </c>
    </row>
    <row r="16947" spans="1:7" x14ac:dyDescent="0.35">
      <c r="A16947" t="s">
        <v>231</v>
      </c>
      <c r="B16947" t="s">
        <v>248</v>
      </c>
      <c r="C16947" s="26">
        <v>0.876</v>
      </c>
      <c r="D16947" s="26">
        <v>6.9800000000000001E-2</v>
      </c>
      <c r="E16947" s="26">
        <v>5.4300000000000001E-2</v>
      </c>
      <c r="G16947">
        <v>129</v>
      </c>
    </row>
    <row r="16948" spans="1:7" x14ac:dyDescent="0.35">
      <c r="A16948" t="s">
        <v>232</v>
      </c>
      <c r="B16948" t="s">
        <v>232</v>
      </c>
      <c r="C16948" s="26">
        <v>0.8851</v>
      </c>
      <c r="D16948" s="26">
        <v>7.0199999999999999E-2</v>
      </c>
      <c r="E16948" s="26">
        <v>4.4699999999999997E-2</v>
      </c>
      <c r="F16948" s="26">
        <v>0</v>
      </c>
      <c r="G16948">
        <v>2810</v>
      </c>
    </row>
    <row r="16950" spans="1:7" x14ac:dyDescent="0.35">
      <c r="A16950" s="1" t="s">
        <v>1747</v>
      </c>
    </row>
    <row r="16951" spans="1:7" x14ac:dyDescent="0.35">
      <c r="A16951" t="s">
        <v>219</v>
      </c>
      <c r="B16951" t="s">
        <v>305</v>
      </c>
      <c r="C16951" t="s">
        <v>302</v>
      </c>
      <c r="D16951" t="s">
        <v>281</v>
      </c>
      <c r="E16951" t="s">
        <v>303</v>
      </c>
      <c r="F16951" t="s">
        <v>286</v>
      </c>
      <c r="G16951" t="s">
        <v>226</v>
      </c>
    </row>
    <row r="16952" spans="1:7" x14ac:dyDescent="0.35">
      <c r="A16952" s="27" t="s">
        <v>227</v>
      </c>
      <c r="B16952" s="27" t="s">
        <v>263</v>
      </c>
      <c r="C16952" s="28">
        <v>1</v>
      </c>
      <c r="D16952" s="29"/>
      <c r="E16952" s="29"/>
      <c r="F16952" s="29"/>
      <c r="G16952" s="29" t="s">
        <v>315</v>
      </c>
    </row>
    <row r="16953" spans="1:7" x14ac:dyDescent="0.35">
      <c r="A16953" t="s">
        <v>227</v>
      </c>
      <c r="B16953" t="s">
        <v>261</v>
      </c>
      <c r="C16953" s="26">
        <v>0.81820000000000004</v>
      </c>
      <c r="D16953" s="26">
        <v>3.0300000000000001E-2</v>
      </c>
      <c r="E16953" s="26">
        <v>0.1515</v>
      </c>
      <c r="G16953">
        <v>33</v>
      </c>
    </row>
    <row r="16954" spans="1:7" x14ac:dyDescent="0.35">
      <c r="A16954" s="27" t="s">
        <v>227</v>
      </c>
      <c r="B16954" s="27" t="s">
        <v>262</v>
      </c>
      <c r="C16954" s="28">
        <v>1</v>
      </c>
      <c r="D16954" s="29"/>
      <c r="E16954" s="29"/>
      <c r="F16954" s="29"/>
      <c r="G16954" s="29" t="s">
        <v>315</v>
      </c>
    </row>
    <row r="16955" spans="1:7" x14ac:dyDescent="0.35">
      <c r="A16955" t="s">
        <v>227</v>
      </c>
      <c r="B16955" t="s">
        <v>260</v>
      </c>
      <c r="C16955" s="26">
        <v>0.95079999999999998</v>
      </c>
      <c r="D16955" s="26">
        <v>3.2800000000000003E-2</v>
      </c>
      <c r="E16955" s="26">
        <v>1.6400000000000001E-2</v>
      </c>
      <c r="G16955">
        <v>122</v>
      </c>
    </row>
    <row r="16956" spans="1:7" x14ac:dyDescent="0.35">
      <c r="A16956" t="s">
        <v>228</v>
      </c>
      <c r="B16956" t="s">
        <v>261</v>
      </c>
      <c r="C16956" s="26">
        <v>0.71279999999999999</v>
      </c>
      <c r="D16956" s="26">
        <v>0.1401</v>
      </c>
      <c r="E16956" s="26">
        <v>0.14710000000000001</v>
      </c>
      <c r="G16956">
        <v>192</v>
      </c>
    </row>
    <row r="16957" spans="1:7" x14ac:dyDescent="0.35">
      <c r="A16957" s="27" t="s">
        <v>228</v>
      </c>
      <c r="B16957" s="27" t="s">
        <v>263</v>
      </c>
      <c r="C16957" s="28">
        <v>0.86180000000000001</v>
      </c>
      <c r="D16957" s="28">
        <v>5.1400000000000001E-2</v>
      </c>
      <c r="E16957" s="28">
        <v>8.6800000000000002E-2</v>
      </c>
      <c r="F16957" s="29"/>
      <c r="G16957" s="29" t="s">
        <v>312</v>
      </c>
    </row>
    <row r="16958" spans="1:7" x14ac:dyDescent="0.35">
      <c r="A16958" s="27" t="s">
        <v>228</v>
      </c>
      <c r="B16958" s="27" t="s">
        <v>236</v>
      </c>
      <c r="C16958" s="28">
        <v>0.82730000000000004</v>
      </c>
      <c r="D16958" s="28">
        <v>0.17269999999999999</v>
      </c>
      <c r="E16958" s="29"/>
      <c r="F16958" s="29"/>
      <c r="G16958" s="29" t="s">
        <v>335</v>
      </c>
    </row>
    <row r="16959" spans="1:7" x14ac:dyDescent="0.35">
      <c r="A16959" t="s">
        <v>228</v>
      </c>
      <c r="B16959" t="s">
        <v>262</v>
      </c>
      <c r="C16959" s="26">
        <v>0.83809999999999996</v>
      </c>
      <c r="D16959" s="26">
        <v>7.2700000000000001E-2</v>
      </c>
      <c r="E16959" s="26">
        <v>8.9200000000000002E-2</v>
      </c>
      <c r="G16959">
        <v>200</v>
      </c>
    </row>
    <row r="16960" spans="1:7" x14ac:dyDescent="0.35">
      <c r="A16960" t="s">
        <v>228</v>
      </c>
      <c r="B16960" t="s">
        <v>260</v>
      </c>
      <c r="C16960" s="26">
        <v>0.86750000000000005</v>
      </c>
      <c r="D16960" s="26">
        <v>0.1114</v>
      </c>
      <c r="E16960" s="26">
        <v>2.1100000000000001E-2</v>
      </c>
      <c r="G16960">
        <v>609</v>
      </c>
    </row>
    <row r="16961" spans="1:7" x14ac:dyDescent="0.35">
      <c r="A16961" s="27" t="s">
        <v>229</v>
      </c>
      <c r="B16961" s="27" t="s">
        <v>263</v>
      </c>
      <c r="C16961" s="28">
        <v>0.63690000000000002</v>
      </c>
      <c r="D16961" s="28">
        <v>0.17280000000000001</v>
      </c>
      <c r="E16961" s="28">
        <v>0.19040000000000001</v>
      </c>
      <c r="F16961" s="29"/>
      <c r="G16961" s="29" t="s">
        <v>379</v>
      </c>
    </row>
    <row r="16962" spans="1:7" x14ac:dyDescent="0.35">
      <c r="A16962" t="s">
        <v>229</v>
      </c>
      <c r="B16962" t="s">
        <v>262</v>
      </c>
      <c r="C16962" s="26">
        <v>0.94589999999999996</v>
      </c>
      <c r="D16962" s="26">
        <v>4.0500000000000001E-2</v>
      </c>
      <c r="E16962" s="26">
        <v>1.3599999999999999E-2</v>
      </c>
      <c r="G16962">
        <v>186</v>
      </c>
    </row>
    <row r="16963" spans="1:7" x14ac:dyDescent="0.35">
      <c r="A16963" t="s">
        <v>229</v>
      </c>
      <c r="B16963" t="s">
        <v>261</v>
      </c>
      <c r="C16963" s="26">
        <v>0.77339999999999998</v>
      </c>
      <c r="D16963" s="26">
        <v>0.1087</v>
      </c>
      <c r="E16963" s="26">
        <v>0.1179</v>
      </c>
      <c r="G16963">
        <v>96</v>
      </c>
    </row>
    <row r="16964" spans="1:7" x14ac:dyDescent="0.35">
      <c r="A16964" s="27" t="s">
        <v>229</v>
      </c>
      <c r="B16964" s="27" t="s">
        <v>236</v>
      </c>
      <c r="C16964" s="28">
        <v>1</v>
      </c>
      <c r="D16964" s="29"/>
      <c r="E16964" s="29"/>
      <c r="F16964" s="29"/>
      <c r="G16964" s="29" t="s">
        <v>331</v>
      </c>
    </row>
    <row r="16965" spans="1:7" x14ac:dyDescent="0.35">
      <c r="A16965" t="s">
        <v>229</v>
      </c>
      <c r="B16965" t="s">
        <v>260</v>
      </c>
      <c r="C16965" s="26">
        <v>0.91039999999999999</v>
      </c>
      <c r="D16965" s="26">
        <v>6.7100000000000007E-2</v>
      </c>
      <c r="E16965" s="26">
        <v>2.23E-2</v>
      </c>
      <c r="F16965" s="26">
        <v>2.0000000000000001E-4</v>
      </c>
      <c r="G16965">
        <v>596</v>
      </c>
    </row>
    <row r="16966" spans="1:7" x14ac:dyDescent="0.35">
      <c r="A16966" s="27" t="s">
        <v>230</v>
      </c>
      <c r="B16966" s="27" t="s">
        <v>236</v>
      </c>
      <c r="C16966" s="28">
        <v>0.2409</v>
      </c>
      <c r="D16966" s="28">
        <v>0.7591</v>
      </c>
      <c r="E16966" s="29"/>
      <c r="F16966" s="29"/>
      <c r="G16966" s="29" t="s">
        <v>337</v>
      </c>
    </row>
    <row r="16967" spans="1:7" x14ac:dyDescent="0.35">
      <c r="A16967" t="s">
        <v>230</v>
      </c>
      <c r="B16967" t="s">
        <v>262</v>
      </c>
      <c r="C16967" s="26">
        <v>0.92559999999999998</v>
      </c>
      <c r="D16967" s="26">
        <v>1.9199999999999998E-2</v>
      </c>
      <c r="E16967" s="26">
        <v>5.5199999999999999E-2</v>
      </c>
      <c r="G16967">
        <v>122</v>
      </c>
    </row>
    <row r="16968" spans="1:7" x14ac:dyDescent="0.35">
      <c r="A16968" t="s">
        <v>230</v>
      </c>
      <c r="B16968" t="s">
        <v>261</v>
      </c>
      <c r="C16968" s="26">
        <v>0.77190000000000003</v>
      </c>
      <c r="D16968" s="26">
        <v>0.1366</v>
      </c>
      <c r="E16968" s="26">
        <v>9.1499999999999998E-2</v>
      </c>
      <c r="G16968">
        <v>57</v>
      </c>
    </row>
    <row r="16969" spans="1:7" x14ac:dyDescent="0.35">
      <c r="A16969" s="27" t="s">
        <v>230</v>
      </c>
      <c r="B16969" s="27" t="s">
        <v>263</v>
      </c>
      <c r="C16969" s="28">
        <v>0.92749999999999999</v>
      </c>
      <c r="D16969" s="28">
        <v>1.6799999999999999E-2</v>
      </c>
      <c r="E16969" s="28">
        <v>5.57E-2</v>
      </c>
      <c r="F16969" s="29"/>
      <c r="G16969" s="29" t="s">
        <v>312</v>
      </c>
    </row>
    <row r="16970" spans="1:7" x14ac:dyDescent="0.35">
      <c r="A16970" t="s">
        <v>230</v>
      </c>
      <c r="B16970" t="s">
        <v>260</v>
      </c>
      <c r="C16970" s="26">
        <v>0.93010000000000004</v>
      </c>
      <c r="D16970" s="26">
        <v>5.8799999999999998E-2</v>
      </c>
      <c r="E16970" s="26">
        <v>1.11E-2</v>
      </c>
      <c r="G16970">
        <v>352</v>
      </c>
    </row>
    <row r="16971" spans="1:7" x14ac:dyDescent="0.35">
      <c r="A16971" s="27" t="s">
        <v>231</v>
      </c>
      <c r="B16971" s="27" t="s">
        <v>263</v>
      </c>
      <c r="C16971" s="29"/>
      <c r="D16971" s="28">
        <v>1</v>
      </c>
      <c r="E16971" s="29"/>
      <c r="F16971" s="29"/>
      <c r="G16971" s="29" t="s">
        <v>314</v>
      </c>
    </row>
    <row r="16972" spans="1:7" x14ac:dyDescent="0.35">
      <c r="A16972" t="s">
        <v>231</v>
      </c>
      <c r="B16972" t="s">
        <v>260</v>
      </c>
      <c r="C16972" s="26">
        <v>0.9274</v>
      </c>
      <c r="D16972" s="26">
        <v>3.2300000000000002E-2</v>
      </c>
      <c r="E16972" s="26">
        <v>4.0300000000000002E-2</v>
      </c>
      <c r="G16972">
        <v>124</v>
      </c>
    </row>
    <row r="16973" spans="1:7" x14ac:dyDescent="0.35">
      <c r="A16973" s="27" t="s">
        <v>231</v>
      </c>
      <c r="B16973" s="27" t="s">
        <v>261</v>
      </c>
      <c r="C16973" s="28">
        <v>0.70369999999999999</v>
      </c>
      <c r="D16973" s="28">
        <v>0.1852</v>
      </c>
      <c r="E16973" s="28">
        <v>0.1111</v>
      </c>
      <c r="F16973" s="29"/>
      <c r="G16973" s="29" t="s">
        <v>338</v>
      </c>
    </row>
    <row r="16974" spans="1:7" x14ac:dyDescent="0.35">
      <c r="A16974" s="27" t="s">
        <v>231</v>
      </c>
      <c r="B16974" s="27" t="s">
        <v>262</v>
      </c>
      <c r="C16974" s="28">
        <v>1</v>
      </c>
      <c r="D16974" s="29"/>
      <c r="E16974" s="29"/>
      <c r="F16974" s="29"/>
      <c r="G16974" s="29" t="s">
        <v>352</v>
      </c>
    </row>
    <row r="16975" spans="1:7" x14ac:dyDescent="0.35">
      <c r="A16975" t="s">
        <v>232</v>
      </c>
      <c r="B16975" t="s">
        <v>232</v>
      </c>
      <c r="C16975" s="26">
        <v>0.8851</v>
      </c>
      <c r="D16975" s="26">
        <v>7.0199999999999999E-2</v>
      </c>
      <c r="E16975" s="26">
        <v>4.4699999999999997E-2</v>
      </c>
      <c r="F16975" s="26">
        <v>0</v>
      </c>
      <c r="G16975">
        <v>2810</v>
      </c>
    </row>
    <row r="16977" spans="1:7" x14ac:dyDescent="0.35">
      <c r="A16977" s="1" t="s">
        <v>1748</v>
      </c>
    </row>
    <row r="16978" spans="1:7" x14ac:dyDescent="0.35">
      <c r="A16978" t="s">
        <v>219</v>
      </c>
      <c r="B16978" t="s">
        <v>305</v>
      </c>
      <c r="C16978" t="s">
        <v>302</v>
      </c>
      <c r="D16978" t="s">
        <v>281</v>
      </c>
      <c r="E16978" t="s">
        <v>303</v>
      </c>
      <c r="F16978" t="s">
        <v>286</v>
      </c>
      <c r="G16978" t="s">
        <v>226</v>
      </c>
    </row>
    <row r="16979" spans="1:7" x14ac:dyDescent="0.35">
      <c r="A16979" t="s">
        <v>227</v>
      </c>
      <c r="B16979" t="s">
        <v>368</v>
      </c>
      <c r="C16979" s="26">
        <v>0.81820000000000004</v>
      </c>
      <c r="D16979" s="26">
        <v>3.0300000000000001E-2</v>
      </c>
      <c r="E16979" s="26">
        <v>0.1515</v>
      </c>
      <c r="G16979">
        <v>33</v>
      </c>
    </row>
    <row r="16980" spans="1:7" x14ac:dyDescent="0.35">
      <c r="A16980" t="s">
        <v>227</v>
      </c>
      <c r="B16980" t="s">
        <v>369</v>
      </c>
      <c r="C16980" s="26">
        <v>0.95309999999999995</v>
      </c>
      <c r="D16980" s="26">
        <v>3.1199999999999999E-2</v>
      </c>
      <c r="E16980" s="26">
        <v>1.5599999999999999E-2</v>
      </c>
      <c r="G16980">
        <v>128</v>
      </c>
    </row>
    <row r="16981" spans="1:7" x14ac:dyDescent="0.35">
      <c r="A16981" t="s">
        <v>228</v>
      </c>
      <c r="B16981" t="s">
        <v>368</v>
      </c>
      <c r="C16981" s="26">
        <v>0.71279999999999999</v>
      </c>
      <c r="D16981" s="26">
        <v>0.1401</v>
      </c>
      <c r="E16981" s="26">
        <v>0.14710000000000001</v>
      </c>
      <c r="G16981">
        <v>192</v>
      </c>
    </row>
    <row r="16982" spans="1:7" x14ac:dyDescent="0.35">
      <c r="A16982" t="s">
        <v>228</v>
      </c>
      <c r="B16982" t="s">
        <v>369</v>
      </c>
      <c r="C16982" s="26">
        <v>0.86099999999999999</v>
      </c>
      <c r="D16982" s="26">
        <v>0.10249999999999999</v>
      </c>
      <c r="E16982" s="26">
        <v>3.6499999999999998E-2</v>
      </c>
      <c r="G16982">
        <v>840</v>
      </c>
    </row>
    <row r="16983" spans="1:7" x14ac:dyDescent="0.35">
      <c r="A16983" t="s">
        <v>229</v>
      </c>
      <c r="B16983" t="s">
        <v>368</v>
      </c>
      <c r="C16983" s="26">
        <v>0.77339999999999998</v>
      </c>
      <c r="D16983" s="26">
        <v>0.1087</v>
      </c>
      <c r="E16983" s="26">
        <v>0.1179</v>
      </c>
      <c r="G16983">
        <v>96</v>
      </c>
    </row>
    <row r="16984" spans="1:7" x14ac:dyDescent="0.35">
      <c r="A16984" t="s">
        <v>229</v>
      </c>
      <c r="B16984" t="s">
        <v>369</v>
      </c>
      <c r="C16984" s="26">
        <v>0.91579999999999995</v>
      </c>
      <c r="D16984" s="26">
        <v>6.08E-2</v>
      </c>
      <c r="E16984" s="26">
        <v>2.3300000000000001E-2</v>
      </c>
      <c r="F16984" s="26">
        <v>1E-4</v>
      </c>
      <c r="G16984">
        <v>797</v>
      </c>
    </row>
    <row r="16985" spans="1:7" x14ac:dyDescent="0.35">
      <c r="A16985" t="s">
        <v>230</v>
      </c>
      <c r="B16985" t="s">
        <v>368</v>
      </c>
      <c r="C16985" s="26">
        <v>0.77190000000000003</v>
      </c>
      <c r="D16985" s="26">
        <v>0.1366</v>
      </c>
      <c r="E16985" s="26">
        <v>9.1499999999999998E-2</v>
      </c>
      <c r="G16985">
        <v>57</v>
      </c>
    </row>
    <row r="16986" spans="1:7" x14ac:dyDescent="0.35">
      <c r="A16986" t="s">
        <v>230</v>
      </c>
      <c r="B16986" t="s">
        <v>369</v>
      </c>
      <c r="C16986" s="26">
        <v>0.92330000000000001</v>
      </c>
      <c r="D16986" s="26">
        <v>5.7200000000000001E-2</v>
      </c>
      <c r="E16986" s="26">
        <v>1.95E-2</v>
      </c>
      <c r="G16986">
        <v>503</v>
      </c>
    </row>
    <row r="16987" spans="1:7" x14ac:dyDescent="0.35">
      <c r="A16987" s="27" t="s">
        <v>231</v>
      </c>
      <c r="B16987" s="27" t="s">
        <v>368</v>
      </c>
      <c r="C16987" s="28">
        <v>0.70369999999999999</v>
      </c>
      <c r="D16987" s="28">
        <v>0.1852</v>
      </c>
      <c r="E16987" s="28">
        <v>0.1111</v>
      </c>
      <c r="F16987" s="29"/>
      <c r="G16987" s="29" t="s">
        <v>338</v>
      </c>
    </row>
    <row r="16988" spans="1:7" x14ac:dyDescent="0.35">
      <c r="A16988" t="s">
        <v>231</v>
      </c>
      <c r="B16988" t="s">
        <v>369</v>
      </c>
      <c r="C16988" s="26">
        <v>0.91969999999999996</v>
      </c>
      <c r="D16988" s="26">
        <v>4.3799999999999999E-2</v>
      </c>
      <c r="E16988" s="26">
        <v>3.6499999999999998E-2</v>
      </c>
      <c r="G16988">
        <v>137</v>
      </c>
    </row>
    <row r="16989" spans="1:7" x14ac:dyDescent="0.35">
      <c r="A16989" t="s">
        <v>232</v>
      </c>
      <c r="B16989" t="s">
        <v>232</v>
      </c>
      <c r="C16989" s="26">
        <v>0.8851</v>
      </c>
      <c r="D16989" s="26">
        <v>7.0199999999999999E-2</v>
      </c>
      <c r="E16989" s="26">
        <v>4.4699999999999997E-2</v>
      </c>
      <c r="F16989" s="26">
        <v>0</v>
      </c>
      <c r="G16989">
        <v>2810</v>
      </c>
    </row>
    <row r="16991" spans="1:7" x14ac:dyDescent="0.35">
      <c r="A16991" s="1" t="s">
        <v>1749</v>
      </c>
    </row>
    <row r="16992" spans="1:7" x14ac:dyDescent="0.35">
      <c r="A16992" t="s">
        <v>219</v>
      </c>
      <c r="B16992" t="s">
        <v>305</v>
      </c>
      <c r="C16992" t="s">
        <v>302</v>
      </c>
      <c r="D16992" t="s">
        <v>281</v>
      </c>
      <c r="E16992" t="s">
        <v>303</v>
      </c>
      <c r="F16992" t="s">
        <v>286</v>
      </c>
      <c r="G16992" t="s">
        <v>226</v>
      </c>
    </row>
    <row r="16993" spans="1:7" x14ac:dyDescent="0.35">
      <c r="A16993" t="s">
        <v>227</v>
      </c>
      <c r="B16993" t="s">
        <v>371</v>
      </c>
      <c r="C16993" s="26">
        <v>0.92549999999999999</v>
      </c>
      <c r="D16993" s="26">
        <v>3.1099999999999999E-2</v>
      </c>
      <c r="E16993" s="26">
        <v>4.3499999999999997E-2</v>
      </c>
      <c r="G16993">
        <v>161</v>
      </c>
    </row>
    <row r="16994" spans="1:7" x14ac:dyDescent="0.35">
      <c r="A16994" t="s">
        <v>228</v>
      </c>
      <c r="B16994" t="s">
        <v>371</v>
      </c>
      <c r="C16994" s="26">
        <v>0.82299999999999995</v>
      </c>
      <c r="D16994" s="26">
        <v>0.1169</v>
      </c>
      <c r="E16994" s="26">
        <v>6.0100000000000001E-2</v>
      </c>
      <c r="G16994">
        <v>291</v>
      </c>
    </row>
    <row r="16995" spans="1:7" x14ac:dyDescent="0.35">
      <c r="A16995" t="s">
        <v>228</v>
      </c>
      <c r="B16995" t="s">
        <v>372</v>
      </c>
      <c r="C16995" s="26">
        <v>0.79630000000000001</v>
      </c>
      <c r="D16995" s="26">
        <v>0.1187</v>
      </c>
      <c r="E16995" s="26">
        <v>8.4900000000000003E-2</v>
      </c>
      <c r="G16995">
        <v>218</v>
      </c>
    </row>
    <row r="16996" spans="1:7" x14ac:dyDescent="0.35">
      <c r="A16996" t="s">
        <v>228</v>
      </c>
      <c r="B16996" t="s">
        <v>373</v>
      </c>
      <c r="C16996" s="26">
        <v>0.85209999999999997</v>
      </c>
      <c r="D16996" s="26">
        <v>9.8500000000000004E-2</v>
      </c>
      <c r="E16996" s="26">
        <v>4.9399999999999999E-2</v>
      </c>
      <c r="G16996">
        <v>523</v>
      </c>
    </row>
    <row r="16997" spans="1:7" x14ac:dyDescent="0.35">
      <c r="A16997" t="s">
        <v>229</v>
      </c>
      <c r="B16997" t="s">
        <v>371</v>
      </c>
      <c r="C16997" s="26">
        <v>0.89839999999999998</v>
      </c>
      <c r="D16997" s="26">
        <v>6.3500000000000001E-2</v>
      </c>
      <c r="E16997" s="26">
        <v>3.8100000000000002E-2</v>
      </c>
      <c r="G16997">
        <v>583</v>
      </c>
    </row>
    <row r="16998" spans="1:7" x14ac:dyDescent="0.35">
      <c r="A16998" t="s">
        <v>229</v>
      </c>
      <c r="B16998" t="s">
        <v>372</v>
      </c>
      <c r="C16998" s="26">
        <v>0.83799999999999997</v>
      </c>
      <c r="D16998" s="26">
        <v>0.1232</v>
      </c>
      <c r="E16998" s="26">
        <v>3.8800000000000001E-2</v>
      </c>
      <c r="G16998">
        <v>220</v>
      </c>
    </row>
    <row r="16999" spans="1:7" x14ac:dyDescent="0.35">
      <c r="A16999" t="s">
        <v>229</v>
      </c>
      <c r="B16999" t="s">
        <v>373</v>
      </c>
      <c r="C16999" s="26">
        <v>0.8669</v>
      </c>
      <c r="D16999" s="26">
        <v>0.1173</v>
      </c>
      <c r="E16999" s="26">
        <v>1.23E-2</v>
      </c>
      <c r="F16999" s="26">
        <v>3.5999999999999999E-3</v>
      </c>
      <c r="G16999">
        <v>90</v>
      </c>
    </row>
    <row r="17000" spans="1:7" x14ac:dyDescent="0.35">
      <c r="A17000" t="s">
        <v>230</v>
      </c>
      <c r="B17000" t="s">
        <v>371</v>
      </c>
      <c r="C17000" s="26">
        <v>0.90300000000000002</v>
      </c>
      <c r="D17000" s="26">
        <v>6.7199999999999996E-2</v>
      </c>
      <c r="E17000" s="26">
        <v>2.98E-2</v>
      </c>
      <c r="G17000">
        <v>262</v>
      </c>
    </row>
    <row r="17001" spans="1:7" x14ac:dyDescent="0.35">
      <c r="A17001" t="s">
        <v>230</v>
      </c>
      <c r="B17001" t="s">
        <v>372</v>
      </c>
      <c r="C17001" s="26">
        <v>0.82369999999999999</v>
      </c>
      <c r="D17001" s="26">
        <v>0.1278</v>
      </c>
      <c r="E17001" s="26">
        <v>4.8500000000000001E-2</v>
      </c>
      <c r="G17001">
        <v>146</v>
      </c>
    </row>
    <row r="17002" spans="1:7" x14ac:dyDescent="0.35">
      <c r="A17002" t="s">
        <v>230</v>
      </c>
      <c r="B17002" t="s">
        <v>373</v>
      </c>
      <c r="C17002" s="26">
        <v>0.94010000000000005</v>
      </c>
      <c r="D17002" s="26">
        <v>4.3900000000000002E-2</v>
      </c>
      <c r="E17002" s="26">
        <v>1.61E-2</v>
      </c>
      <c r="G17002">
        <v>152</v>
      </c>
    </row>
    <row r="17003" spans="1:7" x14ac:dyDescent="0.35">
      <c r="A17003" t="s">
        <v>231</v>
      </c>
      <c r="B17003" t="s">
        <v>371</v>
      </c>
      <c r="C17003" s="26">
        <v>0.8841</v>
      </c>
      <c r="D17003" s="26">
        <v>6.7100000000000007E-2</v>
      </c>
      <c r="E17003" s="26">
        <v>4.8800000000000003E-2</v>
      </c>
      <c r="G17003">
        <v>164</v>
      </c>
    </row>
    <row r="17004" spans="1:7" x14ac:dyDescent="0.35">
      <c r="A17004" t="s">
        <v>232</v>
      </c>
      <c r="B17004" t="s">
        <v>232</v>
      </c>
      <c r="C17004" s="26">
        <v>0.8851</v>
      </c>
      <c r="D17004" s="26">
        <v>7.0199999999999999E-2</v>
      </c>
      <c r="E17004" s="26">
        <v>4.4699999999999997E-2</v>
      </c>
      <c r="F17004" s="26">
        <v>0</v>
      </c>
      <c r="G17004">
        <v>2810</v>
      </c>
    </row>
    <row r="17006" spans="1:7" x14ac:dyDescent="0.35">
      <c r="A17006" s="1" t="s">
        <v>1750</v>
      </c>
    </row>
    <row r="17007" spans="1:7" x14ac:dyDescent="0.35">
      <c r="A17007" t="s">
        <v>219</v>
      </c>
      <c r="B17007" t="s">
        <v>305</v>
      </c>
      <c r="C17007" t="s">
        <v>302</v>
      </c>
      <c r="D17007" t="s">
        <v>281</v>
      </c>
      <c r="E17007" t="s">
        <v>303</v>
      </c>
      <c r="F17007" t="s">
        <v>286</v>
      </c>
      <c r="G17007" t="s">
        <v>226</v>
      </c>
    </row>
    <row r="17008" spans="1:7" x14ac:dyDescent="0.35">
      <c r="A17008" t="s">
        <v>227</v>
      </c>
      <c r="B17008" t="s">
        <v>255</v>
      </c>
      <c r="C17008" s="26">
        <v>0.92310000000000003</v>
      </c>
      <c r="D17008" s="26">
        <v>3.4200000000000001E-2</v>
      </c>
      <c r="E17008" s="26">
        <v>4.2700000000000002E-2</v>
      </c>
      <c r="G17008">
        <v>117</v>
      </c>
    </row>
    <row r="17009" spans="1:7" x14ac:dyDescent="0.35">
      <c r="A17009" s="27" t="s">
        <v>227</v>
      </c>
      <c r="B17009" s="27" t="s">
        <v>257</v>
      </c>
      <c r="C17009" s="28">
        <v>0.88890000000000002</v>
      </c>
      <c r="D17009" s="28">
        <v>0.1111</v>
      </c>
      <c r="E17009" s="29"/>
      <c r="F17009" s="29"/>
      <c r="G17009" s="29" t="s">
        <v>334</v>
      </c>
    </row>
    <row r="17010" spans="1:7" x14ac:dyDescent="0.35">
      <c r="A17010" t="s">
        <v>227</v>
      </c>
      <c r="B17010" t="s">
        <v>256</v>
      </c>
      <c r="C17010" s="26">
        <v>0.94289999999999996</v>
      </c>
      <c r="E17010" s="26">
        <v>5.7099999999999998E-2</v>
      </c>
      <c r="G17010">
        <v>35</v>
      </c>
    </row>
    <row r="17011" spans="1:7" x14ac:dyDescent="0.35">
      <c r="A17011" t="s">
        <v>228</v>
      </c>
      <c r="B17011" t="s">
        <v>257</v>
      </c>
      <c r="C17011" s="26">
        <v>0.71519999999999995</v>
      </c>
      <c r="D17011" s="26">
        <v>0.17119999999999999</v>
      </c>
      <c r="E17011" s="26">
        <v>0.11360000000000001</v>
      </c>
      <c r="G17011">
        <v>49</v>
      </c>
    </row>
    <row r="17012" spans="1:7" x14ac:dyDescent="0.35">
      <c r="A17012" s="27" t="s">
        <v>228</v>
      </c>
      <c r="B17012" s="27" t="s">
        <v>258</v>
      </c>
      <c r="C17012" s="28">
        <v>1</v>
      </c>
      <c r="D17012" s="29"/>
      <c r="E17012" s="29"/>
      <c r="F17012" s="29"/>
      <c r="G17012" s="29" t="s">
        <v>337</v>
      </c>
    </row>
    <row r="17013" spans="1:7" x14ac:dyDescent="0.35">
      <c r="A17013" t="s">
        <v>228</v>
      </c>
      <c r="B17013" t="s">
        <v>256</v>
      </c>
      <c r="C17013" s="26">
        <v>0.87380000000000002</v>
      </c>
      <c r="D17013" s="26">
        <v>5.2900000000000003E-2</v>
      </c>
      <c r="E17013" s="26">
        <v>7.3300000000000004E-2</v>
      </c>
      <c r="G17013">
        <v>221</v>
      </c>
    </row>
    <row r="17014" spans="1:7" x14ac:dyDescent="0.35">
      <c r="A17014" t="s">
        <v>228</v>
      </c>
      <c r="B17014" t="s">
        <v>255</v>
      </c>
      <c r="C17014" s="26">
        <v>0.82509999999999994</v>
      </c>
      <c r="D17014" s="26">
        <v>0.1258</v>
      </c>
      <c r="E17014" s="26">
        <v>4.9099999999999998E-2</v>
      </c>
      <c r="G17014">
        <v>758</v>
      </c>
    </row>
    <row r="17015" spans="1:7" x14ac:dyDescent="0.35">
      <c r="A17015" t="s">
        <v>229</v>
      </c>
      <c r="B17015" t="s">
        <v>256</v>
      </c>
      <c r="C17015" s="26">
        <v>0.90759999999999996</v>
      </c>
      <c r="D17015" s="26">
        <v>6.2600000000000003E-2</v>
      </c>
      <c r="E17015" s="26">
        <v>2.9499999999999998E-2</v>
      </c>
      <c r="F17015" s="26">
        <v>2.9999999999999997E-4</v>
      </c>
      <c r="G17015">
        <v>207</v>
      </c>
    </row>
    <row r="17016" spans="1:7" x14ac:dyDescent="0.35">
      <c r="A17016" t="s">
        <v>229</v>
      </c>
      <c r="B17016" t="s">
        <v>255</v>
      </c>
      <c r="C17016" s="26">
        <v>0.89049999999999996</v>
      </c>
      <c r="D17016" s="26">
        <v>7.0300000000000001E-2</v>
      </c>
      <c r="E17016" s="26">
        <v>3.9199999999999999E-2</v>
      </c>
      <c r="G17016">
        <v>634</v>
      </c>
    </row>
    <row r="17017" spans="1:7" x14ac:dyDescent="0.35">
      <c r="A17017" t="s">
        <v>229</v>
      </c>
      <c r="B17017" t="s">
        <v>257</v>
      </c>
      <c r="C17017" s="26">
        <v>0.87809999999999999</v>
      </c>
      <c r="D17017" s="26">
        <v>6.6500000000000004E-2</v>
      </c>
      <c r="E17017" s="26">
        <v>5.5500000000000001E-2</v>
      </c>
      <c r="G17017">
        <v>50</v>
      </c>
    </row>
    <row r="17018" spans="1:7" x14ac:dyDescent="0.35">
      <c r="A17018" s="27" t="s">
        <v>229</v>
      </c>
      <c r="B17018" s="27" t="s">
        <v>258</v>
      </c>
      <c r="C17018" s="28">
        <v>1</v>
      </c>
      <c r="D17018" s="29"/>
      <c r="E17018" s="29"/>
      <c r="F17018" s="29"/>
      <c r="G17018" s="29" t="s">
        <v>314</v>
      </c>
    </row>
    <row r="17019" spans="1:7" x14ac:dyDescent="0.35">
      <c r="A17019" t="s">
        <v>230</v>
      </c>
      <c r="B17019" t="s">
        <v>256</v>
      </c>
      <c r="C17019" s="26">
        <v>0.95679999999999998</v>
      </c>
      <c r="D17019" s="26">
        <v>3.6600000000000001E-2</v>
      </c>
      <c r="E17019" s="26">
        <v>6.6E-3</v>
      </c>
      <c r="G17019">
        <v>130</v>
      </c>
    </row>
    <row r="17020" spans="1:7" x14ac:dyDescent="0.35">
      <c r="A17020" t="s">
        <v>230</v>
      </c>
      <c r="B17020" t="s">
        <v>255</v>
      </c>
      <c r="C17020" s="26">
        <v>0.89159999999999995</v>
      </c>
      <c r="D17020" s="26">
        <v>7.6600000000000001E-2</v>
      </c>
      <c r="E17020" s="26">
        <v>3.1800000000000002E-2</v>
      </c>
      <c r="G17020">
        <v>389</v>
      </c>
    </row>
    <row r="17021" spans="1:7" x14ac:dyDescent="0.35">
      <c r="A17021" t="s">
        <v>230</v>
      </c>
      <c r="B17021" t="s">
        <v>257</v>
      </c>
      <c r="C17021" s="26">
        <v>0.80920000000000003</v>
      </c>
      <c r="D17021" s="26">
        <v>0.1018</v>
      </c>
      <c r="E17021" s="26">
        <v>8.8999999999999996E-2</v>
      </c>
      <c r="G17021">
        <v>38</v>
      </c>
    </row>
    <row r="17022" spans="1:7" x14ac:dyDescent="0.35">
      <c r="A17022" s="27" t="s">
        <v>230</v>
      </c>
      <c r="B17022" s="27" t="s">
        <v>258</v>
      </c>
      <c r="C17022" s="28">
        <v>0.95830000000000004</v>
      </c>
      <c r="D17022" s="28">
        <v>4.1700000000000001E-2</v>
      </c>
      <c r="E17022" s="29"/>
      <c r="F17022" s="29"/>
      <c r="G17022" s="29" t="s">
        <v>315</v>
      </c>
    </row>
    <row r="17023" spans="1:7" x14ac:dyDescent="0.35">
      <c r="A17023" s="27" t="s">
        <v>231</v>
      </c>
      <c r="B17023" s="27" t="s">
        <v>257</v>
      </c>
      <c r="C17023" s="28">
        <v>1</v>
      </c>
      <c r="D17023" s="29"/>
      <c r="E17023" s="29"/>
      <c r="F17023" s="29"/>
      <c r="G17023" s="29" t="s">
        <v>339</v>
      </c>
    </row>
    <row r="17024" spans="1:7" x14ac:dyDescent="0.35">
      <c r="A17024" t="s">
        <v>231</v>
      </c>
      <c r="B17024" t="s">
        <v>255</v>
      </c>
      <c r="C17024" s="26">
        <v>0.876</v>
      </c>
      <c r="D17024" s="26">
        <v>6.9800000000000001E-2</v>
      </c>
      <c r="E17024" s="26">
        <v>5.4300000000000001E-2</v>
      </c>
      <c r="G17024">
        <v>129</v>
      </c>
    </row>
    <row r="17025" spans="1:9" x14ac:dyDescent="0.35">
      <c r="A17025" s="27" t="s">
        <v>231</v>
      </c>
      <c r="B17025" s="27" t="s">
        <v>256</v>
      </c>
      <c r="C17025" s="28">
        <v>0.89290000000000003</v>
      </c>
      <c r="D17025" s="28">
        <v>7.1400000000000005E-2</v>
      </c>
      <c r="E17025" s="28">
        <v>3.5700000000000003E-2</v>
      </c>
      <c r="F17025" s="29"/>
      <c r="G17025" s="29" t="s">
        <v>336</v>
      </c>
    </row>
    <row r="17026" spans="1:9" x14ac:dyDescent="0.35">
      <c r="A17026" t="s">
        <v>232</v>
      </c>
      <c r="B17026" t="s">
        <v>232</v>
      </c>
      <c r="C17026" s="26">
        <v>0.8851</v>
      </c>
      <c r="D17026" s="26">
        <v>7.0199999999999999E-2</v>
      </c>
      <c r="E17026" s="26">
        <v>4.4699999999999997E-2</v>
      </c>
      <c r="F17026" s="26">
        <v>0</v>
      </c>
      <c r="G17026">
        <v>2810</v>
      </c>
    </row>
    <row r="17028" spans="1:9" x14ac:dyDescent="0.35">
      <c r="A17028" s="1" t="s">
        <v>1751</v>
      </c>
    </row>
    <row r="17029" spans="1:9" x14ac:dyDescent="0.35">
      <c r="A17029" t="s">
        <v>219</v>
      </c>
      <c r="B17029" t="s">
        <v>302</v>
      </c>
      <c r="C17029" t="s">
        <v>1752</v>
      </c>
      <c r="D17029" t="s">
        <v>1753</v>
      </c>
      <c r="E17029" t="s">
        <v>281</v>
      </c>
      <c r="F17029" t="s">
        <v>1754</v>
      </c>
      <c r="G17029" t="s">
        <v>286</v>
      </c>
      <c r="H17029" t="s">
        <v>226</v>
      </c>
    </row>
    <row r="17030" spans="1:9" x14ac:dyDescent="0.35">
      <c r="A17030" s="27" t="s">
        <v>227</v>
      </c>
      <c r="B17030" s="28">
        <v>0.42859999999999998</v>
      </c>
      <c r="C17030" s="28">
        <v>0.42859999999999998</v>
      </c>
      <c r="D17030" s="28">
        <v>0.1429</v>
      </c>
      <c r="E17030" s="29"/>
      <c r="F17030" s="29"/>
      <c r="G17030" s="29"/>
      <c r="H17030" s="29" t="s">
        <v>339</v>
      </c>
    </row>
    <row r="17031" spans="1:9" x14ac:dyDescent="0.35">
      <c r="A17031" t="s">
        <v>228</v>
      </c>
      <c r="B17031" s="26">
        <v>0.49930000000000002</v>
      </c>
      <c r="C17031" s="26">
        <v>0.30120000000000002</v>
      </c>
      <c r="D17031" s="26">
        <v>0.13519999999999999</v>
      </c>
      <c r="E17031" s="26">
        <v>8.3999999999999995E-3</v>
      </c>
      <c r="F17031" s="26">
        <v>5.5899999999999998E-2</v>
      </c>
      <c r="H17031">
        <v>68</v>
      </c>
    </row>
    <row r="17032" spans="1:9" x14ac:dyDescent="0.35">
      <c r="A17032" s="27" t="s">
        <v>229</v>
      </c>
      <c r="B17032" s="28">
        <v>0.3644</v>
      </c>
      <c r="C17032" s="28">
        <v>0.40050000000000002</v>
      </c>
      <c r="D17032" s="28">
        <v>0.14760000000000001</v>
      </c>
      <c r="E17032" s="28">
        <v>8.0399999999999999E-2</v>
      </c>
      <c r="F17032" s="28">
        <v>4.4999999999999997E-3</v>
      </c>
      <c r="G17032" s="28">
        <v>2.5000000000000001E-3</v>
      </c>
      <c r="H17032" s="29" t="s">
        <v>338</v>
      </c>
    </row>
    <row r="17033" spans="1:9" x14ac:dyDescent="0.35">
      <c r="A17033" s="27" t="s">
        <v>230</v>
      </c>
      <c r="B17033" s="28">
        <v>0.1477</v>
      </c>
      <c r="C17033" s="28">
        <v>0.41049999999999998</v>
      </c>
      <c r="D17033" s="28">
        <v>0.37</v>
      </c>
      <c r="E17033" s="28">
        <v>6.2399999999999997E-2</v>
      </c>
      <c r="F17033" s="28">
        <v>9.4000000000000004E-3</v>
      </c>
      <c r="G17033" s="29"/>
      <c r="H17033" s="29" t="s">
        <v>353</v>
      </c>
    </row>
    <row r="17034" spans="1:9" x14ac:dyDescent="0.35">
      <c r="A17034" s="27" t="s">
        <v>231</v>
      </c>
      <c r="B17034" s="28">
        <v>0.75</v>
      </c>
      <c r="C17034" s="28">
        <v>0.125</v>
      </c>
      <c r="D17034" s="28">
        <v>0.125</v>
      </c>
      <c r="E17034" s="29"/>
      <c r="F17034" s="29"/>
      <c r="G17034" s="29"/>
      <c r="H17034" s="29" t="s">
        <v>333</v>
      </c>
    </row>
    <row r="17035" spans="1:9" x14ac:dyDescent="0.35">
      <c r="A17035" t="s">
        <v>232</v>
      </c>
      <c r="B17035" s="26">
        <v>0.51</v>
      </c>
      <c r="C17035" s="26">
        <v>0.29759999999999998</v>
      </c>
      <c r="D17035" s="26">
        <v>0.15090000000000001</v>
      </c>
      <c r="E17035" s="26">
        <v>2.5100000000000001E-2</v>
      </c>
      <c r="F17035" s="26">
        <v>1.5800000000000002E-2</v>
      </c>
      <c r="G17035" s="26">
        <v>5.9999999999999995E-4</v>
      </c>
      <c r="H17035">
        <v>128</v>
      </c>
    </row>
    <row r="17037" spans="1:9" x14ac:dyDescent="0.35">
      <c r="A17037" s="1" t="s">
        <v>1755</v>
      </c>
    </row>
    <row r="17038" spans="1:9" x14ac:dyDescent="0.35">
      <c r="A17038" t="s">
        <v>219</v>
      </c>
      <c r="B17038" t="s">
        <v>305</v>
      </c>
      <c r="C17038" t="s">
        <v>302</v>
      </c>
      <c r="D17038" t="s">
        <v>1752</v>
      </c>
      <c r="E17038" t="s">
        <v>1753</v>
      </c>
      <c r="F17038" t="s">
        <v>281</v>
      </c>
      <c r="G17038" t="s">
        <v>1754</v>
      </c>
      <c r="H17038" t="s">
        <v>286</v>
      </c>
      <c r="I17038" t="s">
        <v>226</v>
      </c>
    </row>
    <row r="17039" spans="1:9" x14ac:dyDescent="0.35">
      <c r="A17039" s="27" t="s">
        <v>227</v>
      </c>
      <c r="B17039" s="27" t="s">
        <v>242</v>
      </c>
      <c r="C17039" s="28">
        <v>0.33329999999999999</v>
      </c>
      <c r="D17039" s="28">
        <v>0.5</v>
      </c>
      <c r="E17039" s="28">
        <v>0.16669999999999999</v>
      </c>
      <c r="F17039" s="29"/>
      <c r="G17039" s="29"/>
      <c r="H17039" s="29"/>
      <c r="I17039" s="29" t="s">
        <v>335</v>
      </c>
    </row>
    <row r="17040" spans="1:9" x14ac:dyDescent="0.35">
      <c r="A17040" s="27" t="s">
        <v>227</v>
      </c>
      <c r="B17040" s="27" t="s">
        <v>241</v>
      </c>
      <c r="C17040" s="28">
        <v>1</v>
      </c>
      <c r="D17040" s="29"/>
      <c r="E17040" s="29"/>
      <c r="F17040" s="29"/>
      <c r="G17040" s="29"/>
      <c r="H17040" s="29"/>
      <c r="I17040" s="29" t="s">
        <v>331</v>
      </c>
    </row>
    <row r="17041" spans="1:9" x14ac:dyDescent="0.35">
      <c r="A17041" t="s">
        <v>228</v>
      </c>
      <c r="B17041" t="s">
        <v>242</v>
      </c>
      <c r="C17041" s="26">
        <v>0.43609999999999999</v>
      </c>
      <c r="D17041" s="26">
        <v>0.28799999999999998</v>
      </c>
      <c r="E17041" s="26">
        <v>0.22289999999999999</v>
      </c>
      <c r="F17041" s="26">
        <v>7.3000000000000001E-3</v>
      </c>
      <c r="G17041" s="26">
        <v>4.58E-2</v>
      </c>
      <c r="I17041">
        <v>36</v>
      </c>
    </row>
    <row r="17042" spans="1:9" x14ac:dyDescent="0.35">
      <c r="A17042" t="s">
        <v>228</v>
      </c>
      <c r="B17042" t="s">
        <v>241</v>
      </c>
      <c r="C17042" s="26">
        <v>0.5847</v>
      </c>
      <c r="D17042" s="26">
        <v>0.31919999999999998</v>
      </c>
      <c r="E17042" s="26">
        <v>1.6799999999999999E-2</v>
      </c>
      <c r="F17042" s="26">
        <v>9.7999999999999997E-3</v>
      </c>
      <c r="G17042" s="26">
        <v>6.9599999999999995E-2</v>
      </c>
      <c r="I17042">
        <v>32</v>
      </c>
    </row>
    <row r="17043" spans="1:9" x14ac:dyDescent="0.35">
      <c r="A17043" s="27" t="s">
        <v>229</v>
      </c>
      <c r="B17043" s="27" t="s">
        <v>242</v>
      </c>
      <c r="C17043" s="28">
        <v>0.3281</v>
      </c>
      <c r="D17043" s="28">
        <v>0.53149999999999997</v>
      </c>
      <c r="E17043" s="29"/>
      <c r="F17043" s="28">
        <v>0.1404</v>
      </c>
      <c r="G17043" s="29"/>
      <c r="H17043" s="29"/>
      <c r="I17043" s="29" t="s">
        <v>341</v>
      </c>
    </row>
    <row r="17044" spans="1:9" x14ac:dyDescent="0.35">
      <c r="A17044" s="27" t="s">
        <v>229</v>
      </c>
      <c r="B17044" s="27" t="s">
        <v>241</v>
      </c>
      <c r="C17044" s="28">
        <v>0.41310000000000002</v>
      </c>
      <c r="D17044" s="28">
        <v>0.22520000000000001</v>
      </c>
      <c r="E17044" s="28">
        <v>0.34520000000000001</v>
      </c>
      <c r="F17044" s="29"/>
      <c r="G17044" s="28">
        <v>1.06E-2</v>
      </c>
      <c r="H17044" s="28">
        <v>6.0000000000000001E-3</v>
      </c>
      <c r="I17044" s="29" t="s">
        <v>379</v>
      </c>
    </row>
    <row r="17045" spans="1:9" x14ac:dyDescent="0.35">
      <c r="A17045" s="27" t="s">
        <v>230</v>
      </c>
      <c r="B17045" s="27" t="s">
        <v>242</v>
      </c>
      <c r="C17045" s="28">
        <v>0.52610000000000001</v>
      </c>
      <c r="D17045" s="28">
        <v>0.20599999999999999</v>
      </c>
      <c r="E17045" s="29"/>
      <c r="F17045" s="28">
        <v>0.20599999999999999</v>
      </c>
      <c r="G17045" s="28">
        <v>6.1899999999999997E-2</v>
      </c>
      <c r="H17045" s="29"/>
      <c r="I17045" s="29" t="s">
        <v>339</v>
      </c>
    </row>
    <row r="17046" spans="1:9" x14ac:dyDescent="0.35">
      <c r="A17046" s="27" t="s">
        <v>230</v>
      </c>
      <c r="B17046" s="27" t="s">
        <v>241</v>
      </c>
      <c r="C17046" s="28">
        <v>8.0100000000000005E-2</v>
      </c>
      <c r="D17046" s="28">
        <v>0.4471</v>
      </c>
      <c r="E17046" s="28">
        <v>0.436</v>
      </c>
      <c r="F17046" s="28">
        <v>3.6799999999999999E-2</v>
      </c>
      <c r="G17046" s="29"/>
      <c r="H17046" s="29"/>
      <c r="I17046" s="29" t="s">
        <v>352</v>
      </c>
    </row>
    <row r="17047" spans="1:9" x14ac:dyDescent="0.35">
      <c r="A17047" s="27" t="s">
        <v>231</v>
      </c>
      <c r="B17047" s="27" t="s">
        <v>242</v>
      </c>
      <c r="C17047" s="28">
        <v>0.66669999999999996</v>
      </c>
      <c r="D17047" s="29"/>
      <c r="E17047" s="28">
        <v>0.33329999999999999</v>
      </c>
      <c r="F17047" s="29"/>
      <c r="G17047" s="29"/>
      <c r="H17047" s="29"/>
      <c r="I17047" s="29" t="s">
        <v>315</v>
      </c>
    </row>
    <row r="17048" spans="1:9" x14ac:dyDescent="0.35">
      <c r="A17048" s="27" t="s">
        <v>231</v>
      </c>
      <c r="B17048" s="27" t="s">
        <v>241</v>
      </c>
      <c r="C17048" s="28">
        <v>0.8</v>
      </c>
      <c r="D17048" s="28">
        <v>0.2</v>
      </c>
      <c r="E17048" s="29"/>
      <c r="F17048" s="29"/>
      <c r="G17048" s="29"/>
      <c r="H17048" s="29"/>
      <c r="I17048" s="29" t="s">
        <v>332</v>
      </c>
    </row>
    <row r="17049" spans="1:9" x14ac:dyDescent="0.35">
      <c r="A17049" t="s">
        <v>232</v>
      </c>
      <c r="B17049" t="s">
        <v>232</v>
      </c>
      <c r="C17049" s="26">
        <v>0.51</v>
      </c>
      <c r="D17049" s="26">
        <v>0.29759999999999998</v>
      </c>
      <c r="E17049" s="26">
        <v>0.15090000000000001</v>
      </c>
      <c r="F17049" s="26">
        <v>2.5100000000000001E-2</v>
      </c>
      <c r="G17049" s="26">
        <v>1.5800000000000002E-2</v>
      </c>
      <c r="H17049" s="26">
        <v>5.9999999999999995E-4</v>
      </c>
      <c r="I17049">
        <v>128</v>
      </c>
    </row>
    <row r="17051" spans="1:9" x14ac:dyDescent="0.35">
      <c r="A17051" s="1" t="s">
        <v>1756</v>
      </c>
    </row>
    <row r="17052" spans="1:9" x14ac:dyDescent="0.35">
      <c r="A17052" t="s">
        <v>219</v>
      </c>
      <c r="B17052" t="s">
        <v>305</v>
      </c>
      <c r="C17052" t="s">
        <v>302</v>
      </c>
      <c r="D17052" t="s">
        <v>1752</v>
      </c>
      <c r="E17052" t="s">
        <v>1753</v>
      </c>
      <c r="F17052" t="s">
        <v>281</v>
      </c>
      <c r="G17052" t="s">
        <v>1754</v>
      </c>
      <c r="H17052" t="s">
        <v>286</v>
      </c>
      <c r="I17052" t="s">
        <v>226</v>
      </c>
    </row>
    <row r="17053" spans="1:9" x14ac:dyDescent="0.35">
      <c r="A17053" s="27" t="s">
        <v>227</v>
      </c>
      <c r="B17053" s="27" t="s">
        <v>239</v>
      </c>
      <c r="C17053" s="28">
        <v>0.5</v>
      </c>
      <c r="D17053" s="28">
        <v>0.5</v>
      </c>
      <c r="E17053" s="29"/>
      <c r="F17053" s="29"/>
      <c r="G17053" s="29"/>
      <c r="H17053" s="29"/>
      <c r="I17053" s="29" t="s">
        <v>337</v>
      </c>
    </row>
    <row r="17054" spans="1:9" x14ac:dyDescent="0.35">
      <c r="A17054" s="27" t="s">
        <v>227</v>
      </c>
      <c r="B17054" s="27" t="s">
        <v>238</v>
      </c>
      <c r="C17054" s="28">
        <v>0.33329999999999999</v>
      </c>
      <c r="D17054" s="28">
        <v>0.33329999999999999</v>
      </c>
      <c r="E17054" s="28">
        <v>0.33329999999999999</v>
      </c>
      <c r="F17054" s="29"/>
      <c r="G17054" s="29"/>
      <c r="H17054" s="29"/>
      <c r="I17054" s="29" t="s">
        <v>315</v>
      </c>
    </row>
    <row r="17055" spans="1:9" x14ac:dyDescent="0.35">
      <c r="A17055" s="27" t="s">
        <v>228</v>
      </c>
      <c r="B17055" s="27" t="s">
        <v>239</v>
      </c>
      <c r="C17055" s="28">
        <v>0.54110000000000003</v>
      </c>
      <c r="D17055" s="28">
        <v>0.35420000000000001</v>
      </c>
      <c r="E17055" s="28">
        <v>5.9700000000000003E-2</v>
      </c>
      <c r="F17055" s="29"/>
      <c r="G17055" s="28">
        <v>4.4999999999999998E-2</v>
      </c>
      <c r="H17055" s="29"/>
      <c r="I17055" s="29" t="s">
        <v>338</v>
      </c>
    </row>
    <row r="17056" spans="1:9" x14ac:dyDescent="0.35">
      <c r="A17056" t="s">
        <v>228</v>
      </c>
      <c r="B17056" t="s">
        <v>238</v>
      </c>
      <c r="C17056" s="26">
        <v>0.47699999999999998</v>
      </c>
      <c r="D17056" s="26">
        <v>0.27300000000000002</v>
      </c>
      <c r="E17056" s="26">
        <v>0.17549999999999999</v>
      </c>
      <c r="F17056" s="26">
        <v>1.2800000000000001E-2</v>
      </c>
      <c r="G17056" s="26">
        <v>6.1699999999999998E-2</v>
      </c>
      <c r="I17056">
        <v>41</v>
      </c>
    </row>
    <row r="17057" spans="1:9" x14ac:dyDescent="0.35">
      <c r="A17057" s="27" t="s">
        <v>229</v>
      </c>
      <c r="B17057" s="27" t="s">
        <v>239</v>
      </c>
      <c r="C17057" s="28">
        <v>0.64770000000000005</v>
      </c>
      <c r="D17057" s="28">
        <v>6.3899999999999998E-2</v>
      </c>
      <c r="E17057" s="28">
        <v>0.2702</v>
      </c>
      <c r="F17057" s="29"/>
      <c r="G17057" s="28">
        <v>1.8200000000000001E-2</v>
      </c>
      <c r="H17057" s="29"/>
      <c r="I17057" s="29" t="s">
        <v>334</v>
      </c>
    </row>
    <row r="17058" spans="1:9" x14ac:dyDescent="0.35">
      <c r="A17058" s="27" t="s">
        <v>229</v>
      </c>
      <c r="B17058" s="27" t="s">
        <v>238</v>
      </c>
      <c r="C17058" s="28">
        <v>0.27060000000000001</v>
      </c>
      <c r="D17058" s="28">
        <v>0.51200000000000001</v>
      </c>
      <c r="E17058" s="28">
        <v>0.107</v>
      </c>
      <c r="F17058" s="28">
        <v>0.107</v>
      </c>
      <c r="G17058" s="29"/>
      <c r="H17058" s="28">
        <v>3.3999999999999998E-3</v>
      </c>
      <c r="I17058" s="29" t="s">
        <v>353</v>
      </c>
    </row>
    <row r="17059" spans="1:9" x14ac:dyDescent="0.35">
      <c r="A17059" s="27" t="s">
        <v>230</v>
      </c>
      <c r="B17059" s="27" t="s">
        <v>239</v>
      </c>
      <c r="C17059" s="28">
        <v>0.34649999999999997</v>
      </c>
      <c r="D17059" s="28">
        <v>0.53600000000000003</v>
      </c>
      <c r="E17059" s="29"/>
      <c r="F17059" s="28">
        <v>9.0399999999999994E-2</v>
      </c>
      <c r="G17059" s="28">
        <v>2.7199999999999998E-2</v>
      </c>
      <c r="H17059" s="29"/>
      <c r="I17059" s="29" t="s">
        <v>334</v>
      </c>
    </row>
    <row r="17060" spans="1:9" x14ac:dyDescent="0.35">
      <c r="A17060" s="27" t="s">
        <v>230</v>
      </c>
      <c r="B17060" s="27" t="s">
        <v>238</v>
      </c>
      <c r="C17060" s="28">
        <v>4.2999999999999997E-2</v>
      </c>
      <c r="D17060" s="28">
        <v>0.34439999999999998</v>
      </c>
      <c r="E17060" s="28">
        <v>0.56489999999999996</v>
      </c>
      <c r="F17060" s="28">
        <v>4.7699999999999999E-2</v>
      </c>
      <c r="G17060" s="29"/>
      <c r="H17060" s="29"/>
      <c r="I17060" s="29" t="s">
        <v>334</v>
      </c>
    </row>
    <row r="17061" spans="1:9" x14ac:dyDescent="0.35">
      <c r="A17061" s="27" t="s">
        <v>231</v>
      </c>
      <c r="B17061" s="27" t="s">
        <v>239</v>
      </c>
      <c r="C17061" s="28">
        <v>1</v>
      </c>
      <c r="D17061" s="29"/>
      <c r="E17061" s="29"/>
      <c r="F17061" s="29"/>
      <c r="G17061" s="29"/>
      <c r="H17061" s="29"/>
      <c r="I17061" s="29" t="s">
        <v>314</v>
      </c>
    </row>
    <row r="17062" spans="1:9" x14ac:dyDescent="0.35">
      <c r="A17062" s="27" t="s">
        <v>231</v>
      </c>
      <c r="B17062" s="27" t="s">
        <v>238</v>
      </c>
      <c r="C17062" s="28">
        <v>0.66669999999999996</v>
      </c>
      <c r="D17062" s="28">
        <v>0.16669999999999999</v>
      </c>
      <c r="E17062" s="28">
        <v>0.16669999999999999</v>
      </c>
      <c r="F17062" s="29"/>
      <c r="G17062" s="29"/>
      <c r="H17062" s="29"/>
      <c r="I17062" s="29" t="s">
        <v>335</v>
      </c>
    </row>
    <row r="17063" spans="1:9" x14ac:dyDescent="0.35">
      <c r="A17063" t="s">
        <v>232</v>
      </c>
      <c r="B17063" t="s">
        <v>232</v>
      </c>
      <c r="C17063" s="26">
        <v>0.51</v>
      </c>
      <c r="D17063" s="26">
        <v>0.29759999999999998</v>
      </c>
      <c r="E17063" s="26">
        <v>0.15090000000000001</v>
      </c>
      <c r="F17063" s="26">
        <v>2.5100000000000001E-2</v>
      </c>
      <c r="G17063" s="26">
        <v>1.5800000000000002E-2</v>
      </c>
      <c r="H17063" s="26">
        <v>5.9999999999999995E-4</v>
      </c>
      <c r="I17063">
        <v>128</v>
      </c>
    </row>
    <row r="17065" spans="1:9" x14ac:dyDescent="0.35">
      <c r="A17065" s="1" t="s">
        <v>1757</v>
      </c>
    </row>
    <row r="17066" spans="1:9" x14ac:dyDescent="0.35">
      <c r="A17066" t="s">
        <v>219</v>
      </c>
      <c r="B17066" t="s">
        <v>305</v>
      </c>
      <c r="C17066" t="s">
        <v>302</v>
      </c>
      <c r="D17066" t="s">
        <v>1752</v>
      </c>
      <c r="E17066" t="s">
        <v>1753</v>
      </c>
      <c r="F17066" t="s">
        <v>281</v>
      </c>
      <c r="G17066" t="s">
        <v>1754</v>
      </c>
      <c r="H17066" t="s">
        <v>286</v>
      </c>
      <c r="I17066" t="s">
        <v>226</v>
      </c>
    </row>
    <row r="17067" spans="1:9" x14ac:dyDescent="0.35">
      <c r="A17067" s="27" t="s">
        <v>227</v>
      </c>
      <c r="B17067" s="27" t="s">
        <v>244</v>
      </c>
      <c r="C17067" s="28">
        <v>0.42859999999999998</v>
      </c>
      <c r="D17067" s="28">
        <v>0.42859999999999998</v>
      </c>
      <c r="E17067" s="28">
        <v>0.1429</v>
      </c>
      <c r="F17067" s="29"/>
      <c r="G17067" s="29"/>
      <c r="H17067" s="29"/>
      <c r="I17067" s="29" t="s">
        <v>339</v>
      </c>
    </row>
    <row r="17068" spans="1:9" x14ac:dyDescent="0.35">
      <c r="A17068" t="s">
        <v>228</v>
      </c>
      <c r="B17068" t="s">
        <v>244</v>
      </c>
      <c r="C17068" s="26">
        <v>0.69359999999999999</v>
      </c>
      <c r="D17068" s="26">
        <v>0.21840000000000001</v>
      </c>
      <c r="E17068" s="26">
        <v>2.58E-2</v>
      </c>
      <c r="F17068" s="26">
        <v>6.4999999999999997E-3</v>
      </c>
      <c r="G17068" s="26">
        <v>5.57E-2</v>
      </c>
      <c r="I17068">
        <v>45</v>
      </c>
    </row>
    <row r="17069" spans="1:9" x14ac:dyDescent="0.35">
      <c r="A17069" s="27" t="s">
        <v>228</v>
      </c>
      <c r="B17069" s="27" t="s">
        <v>245</v>
      </c>
      <c r="C17069" s="28">
        <v>0.33300000000000002</v>
      </c>
      <c r="D17069" s="28">
        <v>0.1777</v>
      </c>
      <c r="E17069" s="28">
        <v>0.45810000000000001</v>
      </c>
      <c r="F17069" s="28">
        <v>3.1199999999999999E-2</v>
      </c>
      <c r="G17069" s="29"/>
      <c r="H17069" s="29"/>
      <c r="I17069" s="29" t="s">
        <v>346</v>
      </c>
    </row>
    <row r="17070" spans="1:9" x14ac:dyDescent="0.35">
      <c r="A17070" s="27" t="s">
        <v>228</v>
      </c>
      <c r="B17070" s="27" t="s">
        <v>246</v>
      </c>
      <c r="C17070" s="28">
        <v>4.2099999999999999E-2</v>
      </c>
      <c r="D17070" s="28">
        <v>0.61250000000000004</v>
      </c>
      <c r="E17070" s="28">
        <v>0.2555</v>
      </c>
      <c r="F17070" s="29"/>
      <c r="G17070" s="28">
        <v>8.9899999999999994E-2</v>
      </c>
      <c r="H17070" s="29"/>
      <c r="I17070" s="29" t="s">
        <v>333</v>
      </c>
    </row>
    <row r="17071" spans="1:9" x14ac:dyDescent="0.35">
      <c r="A17071" s="27" t="s">
        <v>229</v>
      </c>
      <c r="B17071" s="27" t="s">
        <v>244</v>
      </c>
      <c r="C17071" s="28">
        <v>0.2611</v>
      </c>
      <c r="D17071" s="28">
        <v>0.5917</v>
      </c>
      <c r="E17071" s="29"/>
      <c r="F17071" s="28">
        <v>0.14269999999999999</v>
      </c>
      <c r="G17071" s="29"/>
      <c r="H17071" s="28">
        <v>4.4999999999999997E-3</v>
      </c>
      <c r="I17071" s="29" t="s">
        <v>349</v>
      </c>
    </row>
    <row r="17072" spans="1:9" x14ac:dyDescent="0.35">
      <c r="A17072" s="27" t="s">
        <v>229</v>
      </c>
      <c r="B17072" s="27" t="s">
        <v>245</v>
      </c>
      <c r="C17072" s="28">
        <v>0.27439999999999998</v>
      </c>
      <c r="D17072" s="28">
        <v>0.2223</v>
      </c>
      <c r="E17072" s="28">
        <v>0.48830000000000001</v>
      </c>
      <c r="F17072" s="29"/>
      <c r="G17072" s="28">
        <v>1.4999999999999999E-2</v>
      </c>
      <c r="H17072" s="29"/>
      <c r="I17072" s="29" t="s">
        <v>335</v>
      </c>
    </row>
    <row r="17073" spans="1:9" x14ac:dyDescent="0.35">
      <c r="A17073" s="27" t="s">
        <v>229</v>
      </c>
      <c r="B17073" s="27" t="s">
        <v>246</v>
      </c>
      <c r="C17073" s="28">
        <v>1</v>
      </c>
      <c r="D17073" s="29"/>
      <c r="E17073" s="29"/>
      <c r="F17073" s="29"/>
      <c r="G17073" s="29"/>
      <c r="H17073" s="29"/>
      <c r="I17073" s="29" t="s">
        <v>314</v>
      </c>
    </row>
    <row r="17074" spans="1:9" x14ac:dyDescent="0.35">
      <c r="A17074" s="27" t="s">
        <v>230</v>
      </c>
      <c r="B17074" s="27" t="s">
        <v>244</v>
      </c>
      <c r="C17074" s="28">
        <v>8.6400000000000005E-2</v>
      </c>
      <c r="D17074" s="28">
        <v>0.44500000000000001</v>
      </c>
      <c r="E17074" s="28">
        <v>0.40100000000000002</v>
      </c>
      <c r="F17074" s="28">
        <v>6.7599999999999993E-2</v>
      </c>
      <c r="G17074" s="29"/>
      <c r="H17074" s="29"/>
      <c r="I17074" s="29" t="s">
        <v>342</v>
      </c>
    </row>
    <row r="17075" spans="1:9" x14ac:dyDescent="0.35">
      <c r="A17075" s="27" t="s">
        <v>230</v>
      </c>
      <c r="B17075" s="27" t="s">
        <v>245</v>
      </c>
      <c r="C17075" s="28">
        <v>0.84</v>
      </c>
      <c r="D17075" s="29"/>
      <c r="E17075" s="29"/>
      <c r="F17075" s="29"/>
      <c r="G17075" s="28">
        <v>0.16</v>
      </c>
      <c r="H17075" s="29"/>
      <c r="I17075" s="29" t="s">
        <v>337</v>
      </c>
    </row>
    <row r="17076" spans="1:9" x14ac:dyDescent="0.35">
      <c r="A17076" s="27" t="s">
        <v>230</v>
      </c>
      <c r="B17076" s="27" t="s">
        <v>246</v>
      </c>
      <c r="C17076" s="28">
        <v>1</v>
      </c>
      <c r="D17076" s="29"/>
      <c r="E17076" s="29"/>
      <c r="F17076" s="29"/>
      <c r="G17076" s="29"/>
      <c r="H17076" s="29"/>
      <c r="I17076" s="29" t="s">
        <v>314</v>
      </c>
    </row>
    <row r="17077" spans="1:9" x14ac:dyDescent="0.35">
      <c r="A17077" s="27" t="s">
        <v>231</v>
      </c>
      <c r="B17077" s="27" t="s">
        <v>244</v>
      </c>
      <c r="C17077" s="28">
        <v>0.71430000000000005</v>
      </c>
      <c r="D17077" s="28">
        <v>0.1429</v>
      </c>
      <c r="E17077" s="28">
        <v>0.1429</v>
      </c>
      <c r="F17077" s="29"/>
      <c r="G17077" s="29"/>
      <c r="H17077" s="29"/>
      <c r="I17077" s="29" t="s">
        <v>339</v>
      </c>
    </row>
    <row r="17078" spans="1:9" x14ac:dyDescent="0.35">
      <c r="A17078" s="27" t="s">
        <v>231</v>
      </c>
      <c r="B17078" s="27" t="s">
        <v>245</v>
      </c>
      <c r="C17078" s="28">
        <v>1</v>
      </c>
      <c r="D17078" s="29"/>
      <c r="E17078" s="29"/>
      <c r="F17078" s="29"/>
      <c r="G17078" s="29"/>
      <c r="H17078" s="29"/>
      <c r="I17078" s="29" t="s">
        <v>331</v>
      </c>
    </row>
    <row r="17079" spans="1:9" x14ac:dyDescent="0.35">
      <c r="A17079" t="s">
        <v>232</v>
      </c>
      <c r="B17079" t="s">
        <v>232</v>
      </c>
      <c r="C17079" s="26">
        <v>0.51</v>
      </c>
      <c r="D17079" s="26">
        <v>0.29759999999999998</v>
      </c>
      <c r="E17079" s="26">
        <v>0.15090000000000001</v>
      </c>
      <c r="F17079" s="26">
        <v>2.5100000000000001E-2</v>
      </c>
      <c r="G17079" s="26">
        <v>1.5800000000000002E-2</v>
      </c>
      <c r="H17079" s="26">
        <v>5.9999999999999995E-4</v>
      </c>
      <c r="I17079">
        <v>128</v>
      </c>
    </row>
    <row r="17081" spans="1:9" x14ac:dyDescent="0.35">
      <c r="A17081" s="1" t="s">
        <v>1758</v>
      </c>
    </row>
    <row r="17082" spans="1:9" x14ac:dyDescent="0.35">
      <c r="A17082" t="s">
        <v>219</v>
      </c>
      <c r="B17082" t="s">
        <v>305</v>
      </c>
      <c r="C17082" t="s">
        <v>302</v>
      </c>
      <c r="D17082" t="s">
        <v>1752</v>
      </c>
      <c r="E17082" t="s">
        <v>1753</v>
      </c>
      <c r="F17082" t="s">
        <v>281</v>
      </c>
      <c r="G17082" t="s">
        <v>1754</v>
      </c>
      <c r="H17082" t="s">
        <v>286</v>
      </c>
      <c r="I17082" t="s">
        <v>226</v>
      </c>
    </row>
    <row r="17083" spans="1:9" x14ac:dyDescent="0.35">
      <c r="A17083" s="27" t="s">
        <v>227</v>
      </c>
      <c r="B17083" s="27" t="s">
        <v>360</v>
      </c>
      <c r="C17083" s="28">
        <v>1</v>
      </c>
      <c r="D17083" s="29"/>
      <c r="E17083" s="29"/>
      <c r="F17083" s="29"/>
      <c r="G17083" s="29"/>
      <c r="H17083" s="29"/>
      <c r="I17083" s="29" t="s">
        <v>331</v>
      </c>
    </row>
    <row r="17084" spans="1:9" x14ac:dyDescent="0.35">
      <c r="A17084" s="27" t="s">
        <v>227</v>
      </c>
      <c r="B17084" s="27" t="s">
        <v>362</v>
      </c>
      <c r="C17084" s="28">
        <v>0.25</v>
      </c>
      <c r="D17084" s="28">
        <v>0.5</v>
      </c>
      <c r="E17084" s="28">
        <v>0.25</v>
      </c>
      <c r="F17084" s="29"/>
      <c r="G17084" s="29"/>
      <c r="H17084" s="29"/>
      <c r="I17084" s="29" t="s">
        <v>337</v>
      </c>
    </row>
    <row r="17085" spans="1:9" x14ac:dyDescent="0.35">
      <c r="A17085" s="27" t="s">
        <v>227</v>
      </c>
      <c r="B17085" s="27" t="s">
        <v>363</v>
      </c>
      <c r="C17085" s="28">
        <v>0.5</v>
      </c>
      <c r="D17085" s="28">
        <v>0.5</v>
      </c>
      <c r="E17085" s="29"/>
      <c r="F17085" s="29"/>
      <c r="G17085" s="29"/>
      <c r="H17085" s="29"/>
      <c r="I17085" s="29" t="s">
        <v>314</v>
      </c>
    </row>
    <row r="17086" spans="1:9" x14ac:dyDescent="0.35">
      <c r="A17086" s="27" t="s">
        <v>228</v>
      </c>
      <c r="B17086" s="27" t="s">
        <v>360</v>
      </c>
      <c r="C17086" s="28">
        <v>0.31340000000000001</v>
      </c>
      <c r="D17086" s="28">
        <v>0.33579999999999999</v>
      </c>
      <c r="E17086" s="28">
        <v>0.26950000000000002</v>
      </c>
      <c r="F17086" s="29"/>
      <c r="G17086" s="28">
        <v>8.14E-2</v>
      </c>
      <c r="H17086" s="29"/>
      <c r="I17086" s="29" t="s">
        <v>349</v>
      </c>
    </row>
    <row r="17087" spans="1:9" x14ac:dyDescent="0.35">
      <c r="A17087" s="27" t="s">
        <v>228</v>
      </c>
      <c r="B17087" s="27" t="s">
        <v>361</v>
      </c>
      <c r="C17087" s="28">
        <v>0.76790000000000003</v>
      </c>
      <c r="D17087" s="28">
        <v>0.2321</v>
      </c>
      <c r="E17087" s="29"/>
      <c r="F17087" s="29"/>
      <c r="G17087" s="29"/>
      <c r="H17087" s="29"/>
      <c r="I17087" s="29" t="s">
        <v>307</v>
      </c>
    </row>
    <row r="17088" spans="1:9" x14ac:dyDescent="0.35">
      <c r="A17088" s="27" t="s">
        <v>228</v>
      </c>
      <c r="B17088" s="27" t="s">
        <v>363</v>
      </c>
      <c r="C17088" s="28">
        <v>0.75629999999999997</v>
      </c>
      <c r="D17088" s="28">
        <v>0.21690000000000001</v>
      </c>
      <c r="E17088" s="29"/>
      <c r="F17088" s="28">
        <v>2.6800000000000001E-2</v>
      </c>
      <c r="G17088" s="29"/>
      <c r="H17088" s="29"/>
      <c r="I17088" s="29" t="s">
        <v>307</v>
      </c>
    </row>
    <row r="17089" spans="1:9" x14ac:dyDescent="0.35">
      <c r="A17089" s="27" t="s">
        <v>228</v>
      </c>
      <c r="B17089" s="27" t="s">
        <v>362</v>
      </c>
      <c r="C17089" s="28">
        <v>0.253</v>
      </c>
      <c r="D17089" s="28">
        <v>0.36399999999999999</v>
      </c>
      <c r="E17089" s="28">
        <v>0.24199999999999999</v>
      </c>
      <c r="F17089" s="29"/>
      <c r="G17089" s="28">
        <v>0.1409</v>
      </c>
      <c r="H17089" s="29"/>
      <c r="I17089" s="29" t="s">
        <v>350</v>
      </c>
    </row>
    <row r="17090" spans="1:9" x14ac:dyDescent="0.35">
      <c r="A17090" s="27" t="s">
        <v>229</v>
      </c>
      <c r="B17090" s="27" t="s">
        <v>360</v>
      </c>
      <c r="C17090" s="28">
        <v>0.95879999999999999</v>
      </c>
      <c r="D17090" s="28">
        <v>4.1200000000000001E-2</v>
      </c>
      <c r="E17090" s="29"/>
      <c r="F17090" s="29"/>
      <c r="G17090" s="29"/>
      <c r="H17090" s="29"/>
      <c r="I17090" s="29" t="s">
        <v>335</v>
      </c>
    </row>
    <row r="17091" spans="1:9" x14ac:dyDescent="0.35">
      <c r="A17091" s="27" t="s">
        <v>229</v>
      </c>
      <c r="B17091" s="27" t="s">
        <v>363</v>
      </c>
      <c r="C17091" s="29"/>
      <c r="D17091" s="29"/>
      <c r="E17091" s="28">
        <v>0.94669999999999999</v>
      </c>
      <c r="F17091" s="29"/>
      <c r="G17091" s="28">
        <v>5.33E-2</v>
      </c>
      <c r="H17091" s="29"/>
      <c r="I17091" s="29" t="s">
        <v>314</v>
      </c>
    </row>
    <row r="17092" spans="1:9" x14ac:dyDescent="0.35">
      <c r="A17092" s="27" t="s">
        <v>229</v>
      </c>
      <c r="B17092" s="27" t="s">
        <v>361</v>
      </c>
      <c r="C17092" s="28">
        <v>0.2356</v>
      </c>
      <c r="D17092" s="28">
        <v>0.59189999999999998</v>
      </c>
      <c r="E17092" s="28">
        <v>0.17249999999999999</v>
      </c>
      <c r="F17092" s="29"/>
      <c r="G17092" s="29"/>
      <c r="H17092" s="29"/>
      <c r="I17092" s="29" t="s">
        <v>333</v>
      </c>
    </row>
    <row r="17093" spans="1:9" x14ac:dyDescent="0.35">
      <c r="A17093" s="27" t="s">
        <v>229</v>
      </c>
      <c r="B17093" s="27" t="s">
        <v>362</v>
      </c>
      <c r="C17093" s="28">
        <v>0.25679999999999997</v>
      </c>
      <c r="D17093" s="28">
        <v>0.73099999999999998</v>
      </c>
      <c r="E17093" s="29"/>
      <c r="F17093" s="29"/>
      <c r="G17093" s="29"/>
      <c r="H17093" s="28">
        <v>1.2200000000000001E-2</v>
      </c>
      <c r="I17093" s="29" t="s">
        <v>333</v>
      </c>
    </row>
    <row r="17094" spans="1:9" x14ac:dyDescent="0.35">
      <c r="A17094" s="27" t="s">
        <v>230</v>
      </c>
      <c r="B17094" s="27" t="s">
        <v>360</v>
      </c>
      <c r="C17094" s="28">
        <v>0.1356</v>
      </c>
      <c r="D17094" s="28">
        <v>0.82269999999999999</v>
      </c>
      <c r="E17094" s="29"/>
      <c r="F17094" s="29"/>
      <c r="G17094" s="28">
        <v>4.1700000000000001E-2</v>
      </c>
      <c r="H17094" s="29"/>
      <c r="I17094" s="29" t="s">
        <v>315</v>
      </c>
    </row>
    <row r="17095" spans="1:9" x14ac:dyDescent="0.35">
      <c r="A17095" s="27" t="s">
        <v>230</v>
      </c>
      <c r="B17095" s="27" t="s">
        <v>363</v>
      </c>
      <c r="C17095" s="28">
        <v>0.2021</v>
      </c>
      <c r="D17095" s="28">
        <v>3.85E-2</v>
      </c>
      <c r="E17095" s="28">
        <v>0.75939999999999996</v>
      </c>
      <c r="F17095" s="29"/>
      <c r="G17095" s="29"/>
      <c r="H17095" s="29"/>
      <c r="I17095" s="29" t="s">
        <v>332</v>
      </c>
    </row>
    <row r="17096" spans="1:9" x14ac:dyDescent="0.35">
      <c r="A17096" s="27" t="s">
        <v>230</v>
      </c>
      <c r="B17096" s="27" t="s">
        <v>361</v>
      </c>
      <c r="C17096" s="29"/>
      <c r="D17096" s="28">
        <v>0.5</v>
      </c>
      <c r="E17096" s="28">
        <v>0.5</v>
      </c>
      <c r="F17096" s="29"/>
      <c r="G17096" s="29"/>
      <c r="H17096" s="29"/>
      <c r="I17096" s="29" t="s">
        <v>314</v>
      </c>
    </row>
    <row r="17097" spans="1:9" x14ac:dyDescent="0.35">
      <c r="A17097" s="27" t="s">
        <v>230</v>
      </c>
      <c r="B17097" s="27" t="s">
        <v>362</v>
      </c>
      <c r="C17097" s="28">
        <v>0.48430000000000001</v>
      </c>
      <c r="D17097" s="28">
        <v>0.25779999999999997</v>
      </c>
      <c r="E17097" s="29"/>
      <c r="F17097" s="28">
        <v>0.25779999999999997</v>
      </c>
      <c r="G17097" s="29"/>
      <c r="H17097" s="29"/>
      <c r="I17097" s="29" t="s">
        <v>335</v>
      </c>
    </row>
    <row r="17098" spans="1:9" x14ac:dyDescent="0.35">
      <c r="A17098" s="27" t="s">
        <v>231</v>
      </c>
      <c r="B17098" s="27" t="s">
        <v>362</v>
      </c>
      <c r="C17098" s="28">
        <v>1</v>
      </c>
      <c r="D17098" s="29"/>
      <c r="E17098" s="29"/>
      <c r="F17098" s="29"/>
      <c r="G17098" s="29"/>
      <c r="H17098" s="29"/>
      <c r="I17098" s="29" t="s">
        <v>331</v>
      </c>
    </row>
    <row r="17099" spans="1:9" x14ac:dyDescent="0.35">
      <c r="A17099" s="27" t="s">
        <v>231</v>
      </c>
      <c r="B17099" s="27" t="s">
        <v>360</v>
      </c>
      <c r="C17099" s="28">
        <v>0.66669999999999996</v>
      </c>
      <c r="D17099" s="28">
        <v>0.33329999999999999</v>
      </c>
      <c r="E17099" s="29"/>
      <c r="F17099" s="29"/>
      <c r="G17099" s="29"/>
      <c r="H17099" s="29"/>
      <c r="I17099" s="29" t="s">
        <v>315</v>
      </c>
    </row>
    <row r="17100" spans="1:9" x14ac:dyDescent="0.35">
      <c r="A17100" s="27" t="s">
        <v>231</v>
      </c>
      <c r="B17100" s="27" t="s">
        <v>361</v>
      </c>
      <c r="C17100" s="28">
        <v>0.5</v>
      </c>
      <c r="D17100" s="29"/>
      <c r="E17100" s="28">
        <v>0.5</v>
      </c>
      <c r="F17100" s="29"/>
      <c r="G17100" s="29"/>
      <c r="H17100" s="29"/>
      <c r="I17100" s="29" t="s">
        <v>314</v>
      </c>
    </row>
    <row r="17101" spans="1:9" x14ac:dyDescent="0.35">
      <c r="A17101" t="s">
        <v>232</v>
      </c>
      <c r="B17101" t="s">
        <v>232</v>
      </c>
      <c r="C17101" s="26">
        <v>0.51</v>
      </c>
      <c r="D17101" s="26">
        <v>0.29759999999999998</v>
      </c>
      <c r="E17101" s="26">
        <v>0.15090000000000001</v>
      </c>
      <c r="F17101" s="26">
        <v>2.5100000000000001E-2</v>
      </c>
      <c r="G17101" s="26">
        <v>1.5800000000000002E-2</v>
      </c>
      <c r="H17101" s="26">
        <v>5.9999999999999995E-4</v>
      </c>
      <c r="I17101">
        <v>112</v>
      </c>
    </row>
    <row r="17103" spans="1:9" x14ac:dyDescent="0.35">
      <c r="A17103" s="1" t="s">
        <v>1759</v>
      </c>
    </row>
    <row r="17104" spans="1:9" x14ac:dyDescent="0.35">
      <c r="A17104" t="s">
        <v>219</v>
      </c>
      <c r="B17104" t="s">
        <v>305</v>
      </c>
      <c r="C17104" t="s">
        <v>302</v>
      </c>
      <c r="D17104" t="s">
        <v>1752</v>
      </c>
      <c r="E17104" t="s">
        <v>1753</v>
      </c>
      <c r="F17104" t="s">
        <v>281</v>
      </c>
      <c r="G17104" t="s">
        <v>1754</v>
      </c>
      <c r="H17104" t="s">
        <v>286</v>
      </c>
      <c r="I17104" t="s">
        <v>226</v>
      </c>
    </row>
    <row r="17105" spans="1:9" x14ac:dyDescent="0.35">
      <c r="A17105" s="27" t="s">
        <v>227</v>
      </c>
      <c r="B17105" s="27" t="s">
        <v>267</v>
      </c>
      <c r="C17105" s="28">
        <v>0.25</v>
      </c>
      <c r="D17105" s="28">
        <v>0.5</v>
      </c>
      <c r="E17105" s="28">
        <v>0.25</v>
      </c>
      <c r="F17105" s="29"/>
      <c r="G17105" s="29"/>
      <c r="H17105" s="29"/>
      <c r="I17105" s="29" t="s">
        <v>337</v>
      </c>
    </row>
    <row r="17106" spans="1:9" x14ac:dyDescent="0.35">
      <c r="A17106" s="27" t="s">
        <v>227</v>
      </c>
      <c r="B17106" s="27" t="s">
        <v>265</v>
      </c>
      <c r="C17106" s="28">
        <v>0.66669999999999996</v>
      </c>
      <c r="D17106" s="28">
        <v>0.33329999999999999</v>
      </c>
      <c r="E17106" s="29"/>
      <c r="F17106" s="29"/>
      <c r="G17106" s="29"/>
      <c r="H17106" s="29"/>
      <c r="I17106" s="29" t="s">
        <v>315</v>
      </c>
    </row>
    <row r="17107" spans="1:9" x14ac:dyDescent="0.35">
      <c r="A17107" s="27" t="s">
        <v>228</v>
      </c>
      <c r="B17107" s="27" t="s">
        <v>267</v>
      </c>
      <c r="C17107" s="28">
        <v>0.42059999999999997</v>
      </c>
      <c r="D17107" s="28">
        <v>0.42130000000000001</v>
      </c>
      <c r="E17107" s="28">
        <v>9.3399999999999997E-2</v>
      </c>
      <c r="F17107" s="29"/>
      <c r="G17107" s="28">
        <v>6.4699999999999994E-2</v>
      </c>
      <c r="H17107" s="29"/>
      <c r="I17107" s="29" t="s">
        <v>352</v>
      </c>
    </row>
    <row r="17108" spans="1:9" x14ac:dyDescent="0.35">
      <c r="A17108" t="s">
        <v>228</v>
      </c>
      <c r="B17108" t="s">
        <v>266</v>
      </c>
      <c r="C17108" s="26">
        <v>0.186</v>
      </c>
      <c r="D17108" s="26">
        <v>0.5272</v>
      </c>
      <c r="E17108" s="26">
        <v>0.1633</v>
      </c>
      <c r="F17108" s="26">
        <v>2.12E-2</v>
      </c>
      <c r="G17108" s="26">
        <v>0.1022</v>
      </c>
      <c r="I17108">
        <v>31</v>
      </c>
    </row>
    <row r="17109" spans="1:9" x14ac:dyDescent="0.35">
      <c r="A17109" s="27" t="s">
        <v>228</v>
      </c>
      <c r="B17109" s="27" t="s">
        <v>265</v>
      </c>
      <c r="C17109" s="28">
        <v>0.79249999999999998</v>
      </c>
      <c r="D17109" s="28">
        <v>6.9599999999999995E-2</v>
      </c>
      <c r="E17109" s="28">
        <v>0.1244</v>
      </c>
      <c r="F17109" s="29"/>
      <c r="G17109" s="28">
        <v>1.35E-2</v>
      </c>
      <c r="H17109" s="29"/>
      <c r="I17109" s="29" t="s">
        <v>357</v>
      </c>
    </row>
    <row r="17110" spans="1:9" x14ac:dyDescent="0.35">
      <c r="A17110" s="27" t="s">
        <v>229</v>
      </c>
      <c r="B17110" s="27" t="s">
        <v>267</v>
      </c>
      <c r="C17110" s="28">
        <v>0.2586</v>
      </c>
      <c r="D17110" s="28">
        <v>0.26679999999999998</v>
      </c>
      <c r="E17110" s="28">
        <v>0.47470000000000001</v>
      </c>
      <c r="F17110" s="29"/>
      <c r="G17110" s="29"/>
      <c r="H17110" s="29"/>
      <c r="I17110" s="29" t="s">
        <v>332</v>
      </c>
    </row>
    <row r="17111" spans="1:9" x14ac:dyDescent="0.35">
      <c r="A17111" s="27" t="s">
        <v>229</v>
      </c>
      <c r="B17111" s="27" t="s">
        <v>266</v>
      </c>
      <c r="C17111" s="28">
        <v>0.3705</v>
      </c>
      <c r="D17111" s="28">
        <v>0.60229999999999995</v>
      </c>
      <c r="E17111" s="29"/>
      <c r="F17111" s="29"/>
      <c r="G17111" s="28">
        <v>1.7399999999999999E-2</v>
      </c>
      <c r="H17111" s="28">
        <v>9.7999999999999997E-3</v>
      </c>
      <c r="I17111" s="29" t="s">
        <v>342</v>
      </c>
    </row>
    <row r="17112" spans="1:9" x14ac:dyDescent="0.35">
      <c r="A17112" s="27" t="s">
        <v>229</v>
      </c>
      <c r="B17112" s="27" t="s">
        <v>265</v>
      </c>
      <c r="C17112" s="28">
        <v>0.4375</v>
      </c>
      <c r="D17112" s="28">
        <v>0.375</v>
      </c>
      <c r="E17112" s="29"/>
      <c r="F17112" s="28">
        <v>0.1875</v>
      </c>
      <c r="G17112" s="29"/>
      <c r="H17112" s="29"/>
      <c r="I17112" s="29" t="s">
        <v>307</v>
      </c>
    </row>
    <row r="17113" spans="1:9" x14ac:dyDescent="0.35">
      <c r="A17113" s="27" t="s">
        <v>230</v>
      </c>
      <c r="B17113" s="27" t="s">
        <v>267</v>
      </c>
      <c r="C17113" s="28">
        <v>0.44369999999999998</v>
      </c>
      <c r="D17113" s="28">
        <v>0.10440000000000001</v>
      </c>
      <c r="E17113" s="29"/>
      <c r="F17113" s="28">
        <v>0.34739999999999999</v>
      </c>
      <c r="G17113" s="28">
        <v>0.10440000000000001</v>
      </c>
      <c r="H17113" s="29"/>
      <c r="I17113" s="29" t="s">
        <v>332</v>
      </c>
    </row>
    <row r="17114" spans="1:9" x14ac:dyDescent="0.35">
      <c r="A17114" s="27" t="s">
        <v>230</v>
      </c>
      <c r="B17114" s="27" t="s">
        <v>266</v>
      </c>
      <c r="C17114" s="28">
        <v>9.0399999999999994E-2</v>
      </c>
      <c r="D17114" s="28">
        <v>0.4194</v>
      </c>
      <c r="E17114" s="28">
        <v>0.4194</v>
      </c>
      <c r="F17114" s="28">
        <v>7.0800000000000002E-2</v>
      </c>
      <c r="G17114" s="29"/>
      <c r="H17114" s="29"/>
      <c r="I17114" s="29" t="s">
        <v>332</v>
      </c>
    </row>
    <row r="17115" spans="1:9" x14ac:dyDescent="0.35">
      <c r="A17115" s="27" t="s">
        <v>230</v>
      </c>
      <c r="B17115" s="27" t="s">
        <v>265</v>
      </c>
      <c r="C17115" s="28">
        <v>0.1449</v>
      </c>
      <c r="D17115" s="28">
        <v>0.46079999999999999</v>
      </c>
      <c r="E17115" s="28">
        <v>0.39429999999999998</v>
      </c>
      <c r="F17115" s="29"/>
      <c r="G17115" s="29"/>
      <c r="H17115" s="29"/>
      <c r="I17115" s="29" t="s">
        <v>333</v>
      </c>
    </row>
    <row r="17116" spans="1:9" x14ac:dyDescent="0.35">
      <c r="A17116" s="27" t="s">
        <v>231</v>
      </c>
      <c r="B17116" s="27" t="s">
        <v>267</v>
      </c>
      <c r="C17116" s="28">
        <v>1</v>
      </c>
      <c r="D17116" s="29"/>
      <c r="E17116" s="29"/>
      <c r="F17116" s="29"/>
      <c r="G17116" s="29"/>
      <c r="H17116" s="29"/>
      <c r="I17116" s="29" t="s">
        <v>331</v>
      </c>
    </row>
    <row r="17117" spans="1:9" x14ac:dyDescent="0.35">
      <c r="A17117" s="27" t="s">
        <v>231</v>
      </c>
      <c r="B17117" s="27" t="s">
        <v>266</v>
      </c>
      <c r="C17117" s="28">
        <v>1</v>
      </c>
      <c r="D17117" s="29"/>
      <c r="E17117" s="29"/>
      <c r="F17117" s="29"/>
      <c r="G17117" s="29"/>
      <c r="H17117" s="29"/>
      <c r="I17117" s="29" t="s">
        <v>314</v>
      </c>
    </row>
    <row r="17118" spans="1:9" x14ac:dyDescent="0.35">
      <c r="A17118" s="27" t="s">
        <v>231</v>
      </c>
      <c r="B17118" s="27" t="s">
        <v>265</v>
      </c>
      <c r="C17118" s="28">
        <v>0.6</v>
      </c>
      <c r="D17118" s="28">
        <v>0.2</v>
      </c>
      <c r="E17118" s="28">
        <v>0.2</v>
      </c>
      <c r="F17118" s="29"/>
      <c r="G17118" s="29"/>
      <c r="H17118" s="29"/>
      <c r="I17118" s="29" t="s">
        <v>332</v>
      </c>
    </row>
    <row r="17119" spans="1:9" x14ac:dyDescent="0.35">
      <c r="A17119" t="s">
        <v>232</v>
      </c>
      <c r="B17119" t="s">
        <v>232</v>
      </c>
      <c r="C17119" s="26">
        <v>0.51</v>
      </c>
      <c r="D17119" s="26">
        <v>0.29759999999999998</v>
      </c>
      <c r="E17119" s="26">
        <v>0.15090000000000001</v>
      </c>
      <c r="F17119" s="26">
        <v>2.5100000000000001E-2</v>
      </c>
      <c r="G17119" s="26">
        <v>1.5800000000000002E-2</v>
      </c>
      <c r="H17119" s="26">
        <v>5.9999999999999995E-4</v>
      </c>
      <c r="I17119">
        <v>128</v>
      </c>
    </row>
    <row r="17121" spans="1:9" x14ac:dyDescent="0.35">
      <c r="A17121" s="1" t="s">
        <v>1760</v>
      </c>
    </row>
    <row r="17122" spans="1:9" x14ac:dyDescent="0.35">
      <c r="A17122" t="s">
        <v>219</v>
      </c>
      <c r="B17122" t="s">
        <v>305</v>
      </c>
      <c r="C17122" t="s">
        <v>302</v>
      </c>
      <c r="D17122" t="s">
        <v>1752</v>
      </c>
      <c r="E17122" t="s">
        <v>1753</v>
      </c>
      <c r="F17122" t="s">
        <v>281</v>
      </c>
      <c r="G17122" t="s">
        <v>1754</v>
      </c>
      <c r="H17122" t="s">
        <v>286</v>
      </c>
      <c r="I17122" t="s">
        <v>226</v>
      </c>
    </row>
    <row r="17123" spans="1:9" x14ac:dyDescent="0.35">
      <c r="A17123" s="27" t="s">
        <v>227</v>
      </c>
      <c r="B17123" s="27" t="s">
        <v>252</v>
      </c>
      <c r="C17123" s="29"/>
      <c r="D17123" s="28">
        <v>0.66669999999999996</v>
      </c>
      <c r="E17123" s="28">
        <v>0.33329999999999999</v>
      </c>
      <c r="F17123" s="29"/>
      <c r="G17123" s="29"/>
      <c r="H17123" s="29"/>
      <c r="I17123" s="29" t="s">
        <v>315</v>
      </c>
    </row>
    <row r="17124" spans="1:9" x14ac:dyDescent="0.35">
      <c r="A17124" s="27" t="s">
        <v>227</v>
      </c>
      <c r="B17124" s="27" t="s">
        <v>253</v>
      </c>
      <c r="C17124" s="28">
        <v>1</v>
      </c>
      <c r="D17124" s="29"/>
      <c r="E17124" s="29"/>
      <c r="F17124" s="29"/>
      <c r="G17124" s="29"/>
      <c r="H17124" s="29"/>
      <c r="I17124" s="29" t="s">
        <v>315</v>
      </c>
    </row>
    <row r="17125" spans="1:9" x14ac:dyDescent="0.35">
      <c r="A17125" s="27" t="s">
        <v>227</v>
      </c>
      <c r="B17125" s="27" t="s">
        <v>251</v>
      </c>
      <c r="C17125" s="29"/>
      <c r="D17125" s="28">
        <v>1</v>
      </c>
      <c r="E17125" s="29"/>
      <c r="F17125" s="29"/>
      <c r="G17125" s="29"/>
      <c r="H17125" s="29"/>
      <c r="I17125" s="29" t="s">
        <v>331</v>
      </c>
    </row>
    <row r="17126" spans="1:9" x14ac:dyDescent="0.35">
      <c r="A17126" s="27" t="s">
        <v>228</v>
      </c>
      <c r="B17126" s="27" t="s">
        <v>252</v>
      </c>
      <c r="C17126" s="28">
        <v>0.46489999999999998</v>
      </c>
      <c r="D17126" s="28">
        <v>0.16250000000000001</v>
      </c>
      <c r="E17126" s="28">
        <v>0.37259999999999999</v>
      </c>
      <c r="F17126" s="29"/>
      <c r="G17126" s="29"/>
      <c r="H17126" s="29"/>
      <c r="I17126" s="29" t="s">
        <v>348</v>
      </c>
    </row>
    <row r="17127" spans="1:9" x14ac:dyDescent="0.35">
      <c r="A17127" s="27" t="s">
        <v>228</v>
      </c>
      <c r="B17127" s="27" t="s">
        <v>253</v>
      </c>
      <c r="C17127" s="28">
        <v>0.33450000000000002</v>
      </c>
      <c r="D17127" s="28">
        <v>0.4546</v>
      </c>
      <c r="E17127" s="28">
        <v>0.1847</v>
      </c>
      <c r="F17127" s="29"/>
      <c r="G17127" s="28">
        <v>2.6100000000000002E-2</v>
      </c>
      <c r="H17127" s="29"/>
      <c r="I17127" s="29" t="s">
        <v>351</v>
      </c>
    </row>
    <row r="17128" spans="1:9" x14ac:dyDescent="0.35">
      <c r="A17128" t="s">
        <v>228</v>
      </c>
      <c r="B17128" t="s">
        <v>251</v>
      </c>
      <c r="C17128" s="26">
        <v>0.63660000000000005</v>
      </c>
      <c r="D17128" s="26">
        <v>0.23269999999999999</v>
      </c>
      <c r="E17128" s="26">
        <v>1.4999999999999999E-2</v>
      </c>
      <c r="F17128" s="26">
        <v>1.7600000000000001E-2</v>
      </c>
      <c r="G17128" s="26">
        <v>9.8000000000000004E-2</v>
      </c>
      <c r="I17128">
        <v>31</v>
      </c>
    </row>
    <row r="17129" spans="1:9" x14ac:dyDescent="0.35">
      <c r="A17129" s="27" t="s">
        <v>229</v>
      </c>
      <c r="B17129" s="27" t="s">
        <v>252</v>
      </c>
      <c r="C17129" s="28">
        <v>0.66090000000000004</v>
      </c>
      <c r="D17129" s="28">
        <v>0.33910000000000001</v>
      </c>
      <c r="E17129" s="29"/>
      <c r="F17129" s="29"/>
      <c r="G17129" s="29"/>
      <c r="H17129" s="29"/>
      <c r="I17129" s="29" t="s">
        <v>314</v>
      </c>
    </row>
    <row r="17130" spans="1:9" x14ac:dyDescent="0.35">
      <c r="A17130" s="27" t="s">
        <v>229</v>
      </c>
      <c r="B17130" s="27" t="s">
        <v>253</v>
      </c>
      <c r="C17130" s="28">
        <v>0.57720000000000005</v>
      </c>
      <c r="D17130" s="28">
        <v>0.42280000000000001</v>
      </c>
      <c r="E17130" s="29"/>
      <c r="F17130" s="29"/>
      <c r="G17130" s="29"/>
      <c r="H17130" s="29"/>
      <c r="I17130" s="29" t="s">
        <v>335</v>
      </c>
    </row>
    <row r="17131" spans="1:9" x14ac:dyDescent="0.35">
      <c r="A17131" s="27" t="s">
        <v>229</v>
      </c>
      <c r="B17131" s="27" t="s">
        <v>251</v>
      </c>
      <c r="C17131" s="28">
        <v>0.22450000000000001</v>
      </c>
      <c r="D17131" s="28">
        <v>0.38790000000000002</v>
      </c>
      <c r="E17131" s="28">
        <v>0.24340000000000001</v>
      </c>
      <c r="F17131" s="28">
        <v>0.1326</v>
      </c>
      <c r="G17131" s="28">
        <v>7.4999999999999997E-3</v>
      </c>
      <c r="H17131" s="28">
        <v>4.1999999999999997E-3</v>
      </c>
      <c r="I17131" s="29" t="s">
        <v>349</v>
      </c>
    </row>
    <row r="17132" spans="1:9" x14ac:dyDescent="0.35">
      <c r="A17132" s="27" t="s">
        <v>230</v>
      </c>
      <c r="B17132" s="27" t="s">
        <v>252</v>
      </c>
      <c r="C17132" s="28">
        <v>0.8095</v>
      </c>
      <c r="D17132" s="29"/>
      <c r="E17132" s="29"/>
      <c r="F17132" s="29"/>
      <c r="G17132" s="28">
        <v>0.1905</v>
      </c>
      <c r="H17132" s="29"/>
      <c r="I17132" s="29" t="s">
        <v>315</v>
      </c>
    </row>
    <row r="17133" spans="1:9" x14ac:dyDescent="0.35">
      <c r="A17133" s="27" t="s">
        <v>230</v>
      </c>
      <c r="B17133" s="27" t="s">
        <v>253</v>
      </c>
      <c r="C17133" s="29"/>
      <c r="D17133" s="28">
        <v>0.1444</v>
      </c>
      <c r="E17133" s="28">
        <v>0.85560000000000003</v>
      </c>
      <c r="F17133" s="29"/>
      <c r="G17133" s="29"/>
      <c r="H17133" s="29"/>
      <c r="I17133" s="29" t="s">
        <v>314</v>
      </c>
    </row>
    <row r="17134" spans="1:9" x14ac:dyDescent="0.35">
      <c r="A17134" s="27" t="s">
        <v>230</v>
      </c>
      <c r="B17134" s="27" t="s">
        <v>251</v>
      </c>
      <c r="C17134" s="28">
        <v>0.14680000000000001</v>
      </c>
      <c r="D17134" s="28">
        <v>0.51639999999999997</v>
      </c>
      <c r="E17134" s="28">
        <v>0.25180000000000002</v>
      </c>
      <c r="F17134" s="28">
        <v>8.5000000000000006E-2</v>
      </c>
      <c r="G17134" s="29"/>
      <c r="H17134" s="29"/>
      <c r="I17134" s="29" t="s">
        <v>341</v>
      </c>
    </row>
    <row r="17135" spans="1:9" x14ac:dyDescent="0.35">
      <c r="A17135" s="27" t="s">
        <v>231</v>
      </c>
      <c r="B17135" s="27" t="s">
        <v>252</v>
      </c>
      <c r="C17135" s="28">
        <v>0.5</v>
      </c>
      <c r="D17135" s="28">
        <v>0.5</v>
      </c>
      <c r="E17135" s="29"/>
      <c r="F17135" s="29"/>
      <c r="G17135" s="29"/>
      <c r="H17135" s="29"/>
      <c r="I17135" s="29" t="s">
        <v>314</v>
      </c>
    </row>
    <row r="17136" spans="1:9" x14ac:dyDescent="0.35">
      <c r="A17136" s="27" t="s">
        <v>231</v>
      </c>
      <c r="B17136" s="27" t="s">
        <v>253</v>
      </c>
      <c r="C17136" s="28">
        <v>1</v>
      </c>
      <c r="D17136" s="29"/>
      <c r="E17136" s="29"/>
      <c r="F17136" s="29"/>
      <c r="G17136" s="29"/>
      <c r="H17136" s="29"/>
      <c r="I17136" s="29" t="s">
        <v>314</v>
      </c>
    </row>
    <row r="17137" spans="1:9" x14ac:dyDescent="0.35">
      <c r="A17137" s="27" t="s">
        <v>231</v>
      </c>
      <c r="B17137" s="27" t="s">
        <v>251</v>
      </c>
      <c r="C17137" s="28">
        <v>0.75</v>
      </c>
      <c r="D17137" s="29"/>
      <c r="E17137" s="28">
        <v>0.25</v>
      </c>
      <c r="F17137" s="29"/>
      <c r="G17137" s="29"/>
      <c r="H17137" s="29"/>
      <c r="I17137" s="29" t="s">
        <v>337</v>
      </c>
    </row>
    <row r="17138" spans="1:9" x14ac:dyDescent="0.35">
      <c r="A17138" t="s">
        <v>232</v>
      </c>
      <c r="B17138" t="s">
        <v>232</v>
      </c>
      <c r="C17138" s="26">
        <v>0.51</v>
      </c>
      <c r="D17138" s="26">
        <v>0.29759999999999998</v>
      </c>
      <c r="E17138" s="26">
        <v>0.15090000000000001</v>
      </c>
      <c r="F17138" s="26">
        <v>2.5100000000000001E-2</v>
      </c>
      <c r="G17138" s="26">
        <v>1.5800000000000002E-2</v>
      </c>
      <c r="H17138" s="26">
        <v>5.9999999999999995E-4</v>
      </c>
      <c r="I17138">
        <v>128</v>
      </c>
    </row>
    <row r="17140" spans="1:9" x14ac:dyDescent="0.35">
      <c r="A17140" s="1" t="s">
        <v>1761</v>
      </c>
    </row>
    <row r="17141" spans="1:9" x14ac:dyDescent="0.35">
      <c r="A17141" t="s">
        <v>219</v>
      </c>
      <c r="B17141" t="s">
        <v>305</v>
      </c>
      <c r="C17141" t="s">
        <v>302</v>
      </c>
      <c r="D17141" t="s">
        <v>1752</v>
      </c>
      <c r="E17141" t="s">
        <v>1753</v>
      </c>
      <c r="F17141" t="s">
        <v>281</v>
      </c>
      <c r="G17141" t="s">
        <v>1754</v>
      </c>
      <c r="H17141" t="s">
        <v>286</v>
      </c>
      <c r="I17141" t="s">
        <v>226</v>
      </c>
    </row>
    <row r="17142" spans="1:9" x14ac:dyDescent="0.35">
      <c r="A17142" s="27" t="s">
        <v>227</v>
      </c>
      <c r="B17142" s="27" t="s">
        <v>249</v>
      </c>
      <c r="C17142" s="28">
        <v>0.5</v>
      </c>
      <c r="D17142" s="28">
        <v>0.5</v>
      </c>
      <c r="E17142" s="29"/>
      <c r="F17142" s="29"/>
      <c r="G17142" s="29"/>
      <c r="H17142" s="29"/>
      <c r="I17142" s="29" t="s">
        <v>314</v>
      </c>
    </row>
    <row r="17143" spans="1:9" x14ac:dyDescent="0.35">
      <c r="A17143" s="27" t="s">
        <v>227</v>
      </c>
      <c r="B17143" s="27" t="s">
        <v>248</v>
      </c>
      <c r="C17143" s="28">
        <v>0.4</v>
      </c>
      <c r="D17143" s="28">
        <v>0.4</v>
      </c>
      <c r="E17143" s="28">
        <v>0.2</v>
      </c>
      <c r="F17143" s="29"/>
      <c r="G17143" s="29"/>
      <c r="H17143" s="29"/>
      <c r="I17143" s="29" t="s">
        <v>332</v>
      </c>
    </row>
    <row r="17144" spans="1:9" x14ac:dyDescent="0.35">
      <c r="A17144" s="27" t="s">
        <v>228</v>
      </c>
      <c r="B17144" s="27" t="s">
        <v>249</v>
      </c>
      <c r="C17144" s="28">
        <v>0.29770000000000002</v>
      </c>
      <c r="D17144" s="28">
        <v>0.5756</v>
      </c>
      <c r="E17144" s="28">
        <v>1.7500000000000002E-2</v>
      </c>
      <c r="F17144" s="28">
        <v>1.03E-2</v>
      </c>
      <c r="G17144" s="28">
        <v>9.8900000000000002E-2</v>
      </c>
      <c r="H17144" s="29"/>
      <c r="I17144" s="29" t="s">
        <v>310</v>
      </c>
    </row>
    <row r="17145" spans="1:9" x14ac:dyDescent="0.35">
      <c r="A17145" t="s">
        <v>228</v>
      </c>
      <c r="B17145" t="s">
        <v>248</v>
      </c>
      <c r="C17145" s="26">
        <v>0.63759999999999994</v>
      </c>
      <c r="D17145" s="26">
        <v>0.1129</v>
      </c>
      <c r="E17145" s="26">
        <v>0.21609999999999999</v>
      </c>
      <c r="F17145" s="26">
        <v>7.0000000000000001E-3</v>
      </c>
      <c r="G17145" s="26">
        <v>2.64E-2</v>
      </c>
      <c r="I17145">
        <v>44</v>
      </c>
    </row>
    <row r="17146" spans="1:9" x14ac:dyDescent="0.35">
      <c r="A17146" s="27" t="s">
        <v>229</v>
      </c>
      <c r="B17146" s="27" t="s">
        <v>249</v>
      </c>
      <c r="C17146" s="28">
        <v>0.43519999999999998</v>
      </c>
      <c r="D17146" s="28">
        <v>0.55620000000000003</v>
      </c>
      <c r="E17146" s="29"/>
      <c r="F17146" s="29"/>
      <c r="G17146" s="29"/>
      <c r="H17146" s="28">
        <v>8.6E-3</v>
      </c>
      <c r="I17146" s="29" t="s">
        <v>342</v>
      </c>
    </row>
    <row r="17147" spans="1:9" x14ac:dyDescent="0.35">
      <c r="A17147" s="27" t="s">
        <v>229</v>
      </c>
      <c r="B17147" s="27" t="s">
        <v>248</v>
      </c>
      <c r="C17147" s="28">
        <v>0.33450000000000002</v>
      </c>
      <c r="D17147" s="28">
        <v>0.33460000000000001</v>
      </c>
      <c r="E17147" s="28">
        <v>0.21010000000000001</v>
      </c>
      <c r="F17147" s="28">
        <v>0.1144</v>
      </c>
      <c r="G17147" s="28">
        <v>6.4000000000000003E-3</v>
      </c>
      <c r="H17147" s="29"/>
      <c r="I17147" s="29" t="s">
        <v>346</v>
      </c>
    </row>
    <row r="17148" spans="1:9" x14ac:dyDescent="0.35">
      <c r="A17148" s="27" t="s">
        <v>230</v>
      </c>
      <c r="B17148" s="27" t="s">
        <v>249</v>
      </c>
      <c r="C17148" s="28">
        <v>0.1792</v>
      </c>
      <c r="D17148" s="28">
        <v>0.70730000000000004</v>
      </c>
      <c r="E17148" s="29"/>
      <c r="F17148" s="28">
        <v>0.11360000000000001</v>
      </c>
      <c r="G17148" s="29"/>
      <c r="H17148" s="29"/>
      <c r="I17148" s="29" t="s">
        <v>335</v>
      </c>
    </row>
    <row r="17149" spans="1:9" x14ac:dyDescent="0.35">
      <c r="A17149" s="27" t="s">
        <v>230</v>
      </c>
      <c r="B17149" s="27" t="s">
        <v>248</v>
      </c>
      <c r="C17149" s="28">
        <v>0.1358</v>
      </c>
      <c r="D17149" s="28">
        <v>0.29809999999999998</v>
      </c>
      <c r="E17149" s="28">
        <v>0.5101</v>
      </c>
      <c r="F17149" s="28">
        <v>4.2999999999999997E-2</v>
      </c>
      <c r="G17149" s="28">
        <v>1.29E-2</v>
      </c>
      <c r="H17149" s="29"/>
      <c r="I17149" s="29" t="s">
        <v>342</v>
      </c>
    </row>
    <row r="17150" spans="1:9" x14ac:dyDescent="0.35">
      <c r="A17150" s="27" t="s">
        <v>231</v>
      </c>
      <c r="B17150" s="27" t="s">
        <v>249</v>
      </c>
      <c r="C17150" s="28">
        <v>1</v>
      </c>
      <c r="D17150" s="29"/>
      <c r="E17150" s="29"/>
      <c r="F17150" s="29"/>
      <c r="G17150" s="29"/>
      <c r="H17150" s="29"/>
      <c r="I17150" s="29" t="s">
        <v>331</v>
      </c>
    </row>
    <row r="17151" spans="1:9" x14ac:dyDescent="0.35">
      <c r="A17151" s="27" t="s">
        <v>231</v>
      </c>
      <c r="B17151" s="27" t="s">
        <v>248</v>
      </c>
      <c r="C17151" s="28">
        <v>0.71430000000000005</v>
      </c>
      <c r="D17151" s="28">
        <v>0.1429</v>
      </c>
      <c r="E17151" s="28">
        <v>0.1429</v>
      </c>
      <c r="F17151" s="29"/>
      <c r="G17151" s="29"/>
      <c r="H17151" s="29"/>
      <c r="I17151" s="29" t="s">
        <v>339</v>
      </c>
    </row>
    <row r="17152" spans="1:9" x14ac:dyDescent="0.35">
      <c r="A17152" t="s">
        <v>232</v>
      </c>
      <c r="B17152" t="s">
        <v>232</v>
      </c>
      <c r="C17152" s="26">
        <v>0.51</v>
      </c>
      <c r="D17152" s="26">
        <v>0.29759999999999998</v>
      </c>
      <c r="E17152" s="26">
        <v>0.15090000000000001</v>
      </c>
      <c r="F17152" s="26">
        <v>2.5100000000000001E-2</v>
      </c>
      <c r="G17152" s="26">
        <v>1.5800000000000002E-2</v>
      </c>
      <c r="H17152" s="26">
        <v>5.9999999999999995E-4</v>
      </c>
      <c r="I17152">
        <v>128</v>
      </c>
    </row>
    <row r="17154" spans="1:9" x14ac:dyDescent="0.35">
      <c r="A17154" s="1" t="s">
        <v>1762</v>
      </c>
    </row>
    <row r="17155" spans="1:9" x14ac:dyDescent="0.35">
      <c r="A17155" t="s">
        <v>219</v>
      </c>
      <c r="B17155" t="s">
        <v>305</v>
      </c>
      <c r="C17155" t="s">
        <v>302</v>
      </c>
      <c r="D17155" t="s">
        <v>1752</v>
      </c>
      <c r="E17155" t="s">
        <v>1753</v>
      </c>
      <c r="F17155" t="s">
        <v>281</v>
      </c>
      <c r="G17155" t="s">
        <v>1754</v>
      </c>
      <c r="H17155" t="s">
        <v>286</v>
      </c>
      <c r="I17155" t="s">
        <v>226</v>
      </c>
    </row>
    <row r="17156" spans="1:9" x14ac:dyDescent="0.35">
      <c r="A17156" s="27" t="s">
        <v>227</v>
      </c>
      <c r="B17156" s="27" t="s">
        <v>260</v>
      </c>
      <c r="C17156" s="28">
        <v>0.5</v>
      </c>
      <c r="D17156" s="28">
        <v>0.5</v>
      </c>
      <c r="E17156" s="29"/>
      <c r="F17156" s="29"/>
      <c r="G17156" s="29"/>
      <c r="H17156" s="29"/>
      <c r="I17156" s="29" t="s">
        <v>314</v>
      </c>
    </row>
    <row r="17157" spans="1:9" x14ac:dyDescent="0.35">
      <c r="A17157" s="27" t="s">
        <v>227</v>
      </c>
      <c r="B17157" s="27" t="s">
        <v>261</v>
      </c>
      <c r="C17157" s="28">
        <v>0.4</v>
      </c>
      <c r="D17157" s="28">
        <v>0.4</v>
      </c>
      <c r="E17157" s="28">
        <v>0.2</v>
      </c>
      <c r="F17157" s="29"/>
      <c r="G17157" s="29"/>
      <c r="H17157" s="29"/>
      <c r="I17157" s="29" t="s">
        <v>332</v>
      </c>
    </row>
    <row r="17158" spans="1:9" x14ac:dyDescent="0.35">
      <c r="A17158" s="27" t="s">
        <v>228</v>
      </c>
      <c r="B17158" s="27" t="s">
        <v>263</v>
      </c>
      <c r="C17158" s="28">
        <v>0.6623</v>
      </c>
      <c r="D17158" s="29"/>
      <c r="E17158" s="28">
        <v>0.3377</v>
      </c>
      <c r="F17158" s="29"/>
      <c r="G17158" s="29"/>
      <c r="H17158" s="29"/>
      <c r="I17158" s="29" t="s">
        <v>315</v>
      </c>
    </row>
    <row r="17159" spans="1:9" x14ac:dyDescent="0.35">
      <c r="A17159" s="27" t="s">
        <v>228</v>
      </c>
      <c r="B17159" s="27" t="s">
        <v>261</v>
      </c>
      <c r="C17159" s="28">
        <v>0.34229999999999999</v>
      </c>
      <c r="D17159" s="28">
        <v>0.49790000000000001</v>
      </c>
      <c r="E17159" s="28">
        <v>0.13880000000000001</v>
      </c>
      <c r="F17159" s="28">
        <v>8.5000000000000006E-3</v>
      </c>
      <c r="G17159" s="28">
        <v>1.2500000000000001E-2</v>
      </c>
      <c r="H17159" s="29"/>
      <c r="I17159" s="29" t="s">
        <v>336</v>
      </c>
    </row>
    <row r="17160" spans="1:9" x14ac:dyDescent="0.35">
      <c r="A17160" s="27" t="s">
        <v>228</v>
      </c>
      <c r="B17160" s="27" t="s">
        <v>262</v>
      </c>
      <c r="C17160" s="28">
        <v>0.74780000000000002</v>
      </c>
      <c r="D17160" s="28">
        <v>7.7700000000000005E-2</v>
      </c>
      <c r="E17160" s="29"/>
      <c r="F17160" s="28">
        <v>1.6400000000000001E-2</v>
      </c>
      <c r="G17160" s="28">
        <v>0.158</v>
      </c>
      <c r="H17160" s="29"/>
      <c r="I17160" s="29" t="s">
        <v>353</v>
      </c>
    </row>
    <row r="17161" spans="1:9" x14ac:dyDescent="0.35">
      <c r="A17161" s="27" t="s">
        <v>228</v>
      </c>
      <c r="B17161" s="27" t="s">
        <v>260</v>
      </c>
      <c r="C17161" s="28">
        <v>0.5423</v>
      </c>
      <c r="D17161" s="28">
        <v>0.15939999999999999</v>
      </c>
      <c r="E17161" s="28">
        <v>0.25609999999999999</v>
      </c>
      <c r="F17161" s="29"/>
      <c r="G17161" s="28">
        <v>4.2200000000000001E-2</v>
      </c>
      <c r="H17161" s="29"/>
      <c r="I17161" s="29" t="s">
        <v>349</v>
      </c>
    </row>
    <row r="17162" spans="1:9" x14ac:dyDescent="0.35">
      <c r="A17162" s="27" t="s">
        <v>229</v>
      </c>
      <c r="B17162" s="27" t="s">
        <v>263</v>
      </c>
      <c r="C17162" s="28">
        <v>0.18210000000000001</v>
      </c>
      <c r="D17162" s="28">
        <v>0.81789999999999996</v>
      </c>
      <c r="E17162" s="29"/>
      <c r="F17162" s="29"/>
      <c r="G17162" s="29"/>
      <c r="H17162" s="29"/>
      <c r="I17162" s="29" t="s">
        <v>314</v>
      </c>
    </row>
    <row r="17163" spans="1:9" x14ac:dyDescent="0.35">
      <c r="A17163" s="27" t="s">
        <v>229</v>
      </c>
      <c r="B17163" s="27" t="s">
        <v>262</v>
      </c>
      <c r="C17163" s="28">
        <v>0.97470000000000001</v>
      </c>
      <c r="D17163" s="28">
        <v>2.53E-2</v>
      </c>
      <c r="E17163" s="29"/>
      <c r="F17163" s="29"/>
      <c r="G17163" s="29"/>
      <c r="H17163" s="29"/>
      <c r="I17163" s="29" t="s">
        <v>337</v>
      </c>
    </row>
    <row r="17164" spans="1:9" x14ac:dyDescent="0.35">
      <c r="A17164" s="27" t="s">
        <v>229</v>
      </c>
      <c r="B17164" s="27" t="s">
        <v>261</v>
      </c>
      <c r="C17164" s="28">
        <v>0.3241</v>
      </c>
      <c r="D17164" s="28">
        <v>0.49519999999999997</v>
      </c>
      <c r="E17164" s="29"/>
      <c r="F17164" s="28">
        <v>0.1711</v>
      </c>
      <c r="G17164" s="28">
        <v>9.5999999999999992E-3</v>
      </c>
      <c r="H17164" s="29"/>
      <c r="I17164" s="29" t="s">
        <v>352</v>
      </c>
    </row>
    <row r="17165" spans="1:9" x14ac:dyDescent="0.35">
      <c r="A17165" s="27" t="s">
        <v>229</v>
      </c>
      <c r="B17165" s="27" t="s">
        <v>260</v>
      </c>
      <c r="C17165" s="28">
        <v>0.29039999999999999</v>
      </c>
      <c r="D17165" s="28">
        <v>0.25629999999999997</v>
      </c>
      <c r="E17165" s="28">
        <v>0.44550000000000001</v>
      </c>
      <c r="F17165" s="29"/>
      <c r="G17165" s="29"/>
      <c r="H17165" s="28">
        <v>7.7000000000000002E-3</v>
      </c>
      <c r="I17165" s="29" t="s">
        <v>307</v>
      </c>
    </row>
    <row r="17166" spans="1:9" x14ac:dyDescent="0.35">
      <c r="A17166" s="27" t="s">
        <v>230</v>
      </c>
      <c r="B17166" s="27" t="s">
        <v>262</v>
      </c>
      <c r="C17166" s="28">
        <v>9.8799999999999999E-2</v>
      </c>
      <c r="D17166" s="28">
        <v>0.1095</v>
      </c>
      <c r="E17166" s="28">
        <v>0.6492</v>
      </c>
      <c r="F17166" s="28">
        <v>0.1095</v>
      </c>
      <c r="G17166" s="28">
        <v>3.2899999999999999E-2</v>
      </c>
      <c r="H17166" s="29"/>
      <c r="I17166" s="29" t="s">
        <v>339</v>
      </c>
    </row>
    <row r="17167" spans="1:9" x14ac:dyDescent="0.35">
      <c r="A17167" s="27" t="s">
        <v>230</v>
      </c>
      <c r="B17167" s="27" t="s">
        <v>263</v>
      </c>
      <c r="C17167" s="29"/>
      <c r="D17167" s="29"/>
      <c r="E17167" s="29"/>
      <c r="F17167" s="28">
        <v>1</v>
      </c>
      <c r="G17167" s="29"/>
      <c r="H17167" s="29"/>
      <c r="I17167" s="29" t="s">
        <v>331</v>
      </c>
    </row>
    <row r="17168" spans="1:9" x14ac:dyDescent="0.35">
      <c r="A17168" s="27" t="s">
        <v>230</v>
      </c>
      <c r="B17168" s="27" t="s">
        <v>260</v>
      </c>
      <c r="C17168" s="28">
        <v>0.30120000000000002</v>
      </c>
      <c r="D17168" s="28">
        <v>0.69879999999999998</v>
      </c>
      <c r="E17168" s="29"/>
      <c r="F17168" s="29"/>
      <c r="G17168" s="29"/>
      <c r="H17168" s="29"/>
      <c r="I17168" s="29" t="s">
        <v>332</v>
      </c>
    </row>
    <row r="17169" spans="1:9" x14ac:dyDescent="0.35">
      <c r="A17169" s="27" t="s">
        <v>230</v>
      </c>
      <c r="B17169" s="27" t="s">
        <v>261</v>
      </c>
      <c r="C17169" s="28">
        <v>9.5100000000000004E-2</v>
      </c>
      <c r="D17169" s="28">
        <v>0.46360000000000001</v>
      </c>
      <c r="E17169" s="28">
        <v>0.44130000000000003</v>
      </c>
      <c r="F17169" s="29"/>
      <c r="G17169" s="29"/>
      <c r="H17169" s="29"/>
      <c r="I17169" s="29" t="s">
        <v>332</v>
      </c>
    </row>
    <row r="17170" spans="1:9" x14ac:dyDescent="0.35">
      <c r="A17170" s="27" t="s">
        <v>231</v>
      </c>
      <c r="B17170" s="27" t="s">
        <v>261</v>
      </c>
      <c r="C17170" s="28">
        <v>0.66669999999999996</v>
      </c>
      <c r="D17170" s="28">
        <v>0.33329999999999999</v>
      </c>
      <c r="E17170" s="29"/>
      <c r="F17170" s="29"/>
      <c r="G17170" s="29"/>
      <c r="H17170" s="29"/>
      <c r="I17170" s="29" t="s">
        <v>315</v>
      </c>
    </row>
    <row r="17171" spans="1:9" x14ac:dyDescent="0.35">
      <c r="A17171" s="27" t="s">
        <v>231</v>
      </c>
      <c r="B17171" s="27" t="s">
        <v>260</v>
      </c>
      <c r="C17171" s="28">
        <v>0.8</v>
      </c>
      <c r="D17171" s="29"/>
      <c r="E17171" s="28">
        <v>0.2</v>
      </c>
      <c r="F17171" s="29"/>
      <c r="G17171" s="29"/>
      <c r="H17171" s="29"/>
      <c r="I17171" s="29" t="s">
        <v>332</v>
      </c>
    </row>
    <row r="17172" spans="1:9" x14ac:dyDescent="0.35">
      <c r="A17172" t="s">
        <v>232</v>
      </c>
      <c r="B17172" t="s">
        <v>232</v>
      </c>
      <c r="C17172" s="26">
        <v>0.51</v>
      </c>
      <c r="D17172" s="26">
        <v>0.29759999999999998</v>
      </c>
      <c r="E17172" s="26">
        <v>0.15090000000000001</v>
      </c>
      <c r="F17172" s="26">
        <v>2.5100000000000001E-2</v>
      </c>
      <c r="G17172" s="26">
        <v>1.5800000000000002E-2</v>
      </c>
      <c r="H17172" s="26">
        <v>5.9999999999999995E-4</v>
      </c>
      <c r="I17172">
        <v>128</v>
      </c>
    </row>
    <row r="17174" spans="1:9" x14ac:dyDescent="0.35">
      <c r="A17174" s="1" t="s">
        <v>1763</v>
      </c>
    </row>
    <row r="17175" spans="1:9" x14ac:dyDescent="0.35">
      <c r="A17175" t="s">
        <v>219</v>
      </c>
      <c r="B17175" t="s">
        <v>305</v>
      </c>
      <c r="C17175" t="s">
        <v>302</v>
      </c>
      <c r="D17175" t="s">
        <v>1752</v>
      </c>
      <c r="E17175" t="s">
        <v>1753</v>
      </c>
      <c r="F17175" t="s">
        <v>281</v>
      </c>
      <c r="G17175" t="s">
        <v>1754</v>
      </c>
      <c r="H17175" t="s">
        <v>286</v>
      </c>
      <c r="I17175" t="s">
        <v>226</v>
      </c>
    </row>
    <row r="17176" spans="1:9" x14ac:dyDescent="0.35">
      <c r="A17176" s="27" t="s">
        <v>227</v>
      </c>
      <c r="B17176" s="27" t="s">
        <v>368</v>
      </c>
      <c r="C17176" s="28">
        <v>0.4</v>
      </c>
      <c r="D17176" s="28">
        <v>0.4</v>
      </c>
      <c r="E17176" s="28">
        <v>0.2</v>
      </c>
      <c r="F17176" s="29"/>
      <c r="G17176" s="29"/>
      <c r="H17176" s="29"/>
      <c r="I17176" s="29" t="s">
        <v>332</v>
      </c>
    </row>
    <row r="17177" spans="1:9" x14ac:dyDescent="0.35">
      <c r="A17177" s="27" t="s">
        <v>227</v>
      </c>
      <c r="B17177" s="27" t="s">
        <v>369</v>
      </c>
      <c r="C17177" s="28">
        <v>0.5</v>
      </c>
      <c r="D17177" s="28">
        <v>0.5</v>
      </c>
      <c r="E17177" s="29"/>
      <c r="F17177" s="29"/>
      <c r="G17177" s="29"/>
      <c r="H17177" s="29"/>
      <c r="I17177" s="29" t="s">
        <v>314</v>
      </c>
    </row>
    <row r="17178" spans="1:9" x14ac:dyDescent="0.35">
      <c r="A17178" s="27" t="s">
        <v>228</v>
      </c>
      <c r="B17178" s="27" t="s">
        <v>368</v>
      </c>
      <c r="C17178" s="28">
        <v>0.34229999999999999</v>
      </c>
      <c r="D17178" s="28">
        <v>0.49790000000000001</v>
      </c>
      <c r="E17178" s="28">
        <v>0.13880000000000001</v>
      </c>
      <c r="F17178" s="28">
        <v>8.5000000000000006E-3</v>
      </c>
      <c r="G17178" s="28">
        <v>1.2500000000000001E-2</v>
      </c>
      <c r="H17178" s="29"/>
      <c r="I17178" s="29" t="s">
        <v>336</v>
      </c>
    </row>
    <row r="17179" spans="1:9" x14ac:dyDescent="0.35">
      <c r="A17179" t="s">
        <v>228</v>
      </c>
      <c r="B17179" t="s">
        <v>369</v>
      </c>
      <c r="C17179" s="26">
        <v>0.65239999999999998</v>
      </c>
      <c r="D17179" s="26">
        <v>0.1095</v>
      </c>
      <c r="E17179" s="26">
        <v>0.13170000000000001</v>
      </c>
      <c r="F17179" s="26">
        <v>8.2000000000000007E-3</v>
      </c>
      <c r="G17179" s="26">
        <v>9.8199999999999996E-2</v>
      </c>
      <c r="I17179">
        <v>40</v>
      </c>
    </row>
    <row r="17180" spans="1:9" x14ac:dyDescent="0.35">
      <c r="A17180" s="27" t="s">
        <v>229</v>
      </c>
      <c r="B17180" s="27" t="s">
        <v>368</v>
      </c>
      <c r="C17180" s="28">
        <v>0.3241</v>
      </c>
      <c r="D17180" s="28">
        <v>0.49519999999999997</v>
      </c>
      <c r="E17180" s="29"/>
      <c r="F17180" s="28">
        <v>0.1711</v>
      </c>
      <c r="G17180" s="28">
        <v>9.5999999999999992E-3</v>
      </c>
      <c r="H17180" s="29"/>
      <c r="I17180" s="29" t="s">
        <v>352</v>
      </c>
    </row>
    <row r="17181" spans="1:9" x14ac:dyDescent="0.35">
      <c r="A17181" s="27" t="s">
        <v>229</v>
      </c>
      <c r="B17181" s="27" t="s">
        <v>369</v>
      </c>
      <c r="C17181" s="28">
        <v>0.4002</v>
      </c>
      <c r="D17181" s="28">
        <v>0.31659999999999999</v>
      </c>
      <c r="E17181" s="28">
        <v>0.27839999999999998</v>
      </c>
      <c r="F17181" s="29"/>
      <c r="G17181" s="29"/>
      <c r="H17181" s="28">
        <v>4.7999999999999996E-3</v>
      </c>
      <c r="I17181" s="29" t="s">
        <v>348</v>
      </c>
    </row>
    <row r="17182" spans="1:9" x14ac:dyDescent="0.35">
      <c r="A17182" s="27" t="s">
        <v>230</v>
      </c>
      <c r="B17182" s="27" t="s">
        <v>368</v>
      </c>
      <c r="C17182" s="28">
        <v>9.5100000000000004E-2</v>
      </c>
      <c r="D17182" s="28">
        <v>0.46360000000000001</v>
      </c>
      <c r="E17182" s="28">
        <v>0.44130000000000003</v>
      </c>
      <c r="F17182" s="29"/>
      <c r="G17182" s="29"/>
      <c r="H17182" s="29"/>
      <c r="I17182" s="29" t="s">
        <v>332</v>
      </c>
    </row>
    <row r="17183" spans="1:9" x14ac:dyDescent="0.35">
      <c r="A17183" s="27" t="s">
        <v>230</v>
      </c>
      <c r="B17183" s="27" t="s">
        <v>369</v>
      </c>
      <c r="C17183" s="28">
        <v>0.1857</v>
      </c>
      <c r="D17183" s="28">
        <v>0.37219999999999998</v>
      </c>
      <c r="E17183" s="28">
        <v>0.31850000000000001</v>
      </c>
      <c r="F17183" s="28">
        <v>0.1075</v>
      </c>
      <c r="G17183" s="28">
        <v>1.61E-2</v>
      </c>
      <c r="H17183" s="29"/>
      <c r="I17183" s="29" t="s">
        <v>341</v>
      </c>
    </row>
    <row r="17184" spans="1:9" x14ac:dyDescent="0.35">
      <c r="A17184" s="27" t="s">
        <v>231</v>
      </c>
      <c r="B17184" s="27" t="s">
        <v>368</v>
      </c>
      <c r="C17184" s="28">
        <v>0.66669999999999996</v>
      </c>
      <c r="D17184" s="28">
        <v>0.33329999999999999</v>
      </c>
      <c r="E17184" s="29"/>
      <c r="F17184" s="29"/>
      <c r="G17184" s="29"/>
      <c r="H17184" s="29"/>
      <c r="I17184" s="29" t="s">
        <v>315</v>
      </c>
    </row>
    <row r="17185" spans="1:9" x14ac:dyDescent="0.35">
      <c r="A17185" s="27" t="s">
        <v>231</v>
      </c>
      <c r="B17185" s="27" t="s">
        <v>369</v>
      </c>
      <c r="C17185" s="28">
        <v>0.8</v>
      </c>
      <c r="D17185" s="29"/>
      <c r="E17185" s="28">
        <v>0.2</v>
      </c>
      <c r="F17185" s="29"/>
      <c r="G17185" s="29"/>
      <c r="H17185" s="29"/>
      <c r="I17185" s="29" t="s">
        <v>332</v>
      </c>
    </row>
    <row r="17186" spans="1:9" x14ac:dyDescent="0.35">
      <c r="A17186" t="s">
        <v>232</v>
      </c>
      <c r="B17186" t="s">
        <v>232</v>
      </c>
      <c r="C17186" s="26">
        <v>0.51</v>
      </c>
      <c r="D17186" s="26">
        <v>0.29759999999999998</v>
      </c>
      <c r="E17186" s="26">
        <v>0.15090000000000001</v>
      </c>
      <c r="F17186" s="26">
        <v>2.5100000000000001E-2</v>
      </c>
      <c r="G17186" s="26">
        <v>1.5800000000000002E-2</v>
      </c>
      <c r="H17186" s="26">
        <v>5.9999999999999995E-4</v>
      </c>
      <c r="I17186">
        <v>128</v>
      </c>
    </row>
    <row r="17188" spans="1:9" x14ac:dyDescent="0.35">
      <c r="A17188" s="1" t="s">
        <v>1764</v>
      </c>
    </row>
    <row r="17189" spans="1:9" x14ac:dyDescent="0.35">
      <c r="A17189" t="s">
        <v>219</v>
      </c>
      <c r="B17189" t="s">
        <v>305</v>
      </c>
      <c r="C17189" t="s">
        <v>302</v>
      </c>
      <c r="D17189" t="s">
        <v>1752</v>
      </c>
      <c r="E17189" t="s">
        <v>1753</v>
      </c>
      <c r="F17189" t="s">
        <v>281</v>
      </c>
      <c r="G17189" t="s">
        <v>1754</v>
      </c>
      <c r="H17189" t="s">
        <v>286</v>
      </c>
      <c r="I17189" t="s">
        <v>226</v>
      </c>
    </row>
    <row r="17190" spans="1:9" x14ac:dyDescent="0.35">
      <c r="A17190" s="27" t="s">
        <v>227</v>
      </c>
      <c r="B17190" s="27" t="s">
        <v>371</v>
      </c>
      <c r="C17190" s="28">
        <v>0.42859999999999998</v>
      </c>
      <c r="D17190" s="28">
        <v>0.42859999999999998</v>
      </c>
      <c r="E17190" s="28">
        <v>0.1429</v>
      </c>
      <c r="F17190" s="29"/>
      <c r="G17190" s="29"/>
      <c r="H17190" s="29"/>
      <c r="I17190" s="29" t="s">
        <v>339</v>
      </c>
    </row>
    <row r="17191" spans="1:9" x14ac:dyDescent="0.35">
      <c r="A17191" s="27" t="s">
        <v>228</v>
      </c>
      <c r="B17191" s="27" t="s">
        <v>371</v>
      </c>
      <c r="C17191" s="28">
        <v>0.43480000000000002</v>
      </c>
      <c r="D17191" s="28">
        <v>0.34210000000000002</v>
      </c>
      <c r="E17191" s="28">
        <v>0.2117</v>
      </c>
      <c r="F17191" s="29"/>
      <c r="G17191" s="28">
        <v>1.14E-2</v>
      </c>
      <c r="H17191" s="29"/>
      <c r="I17191" s="29" t="s">
        <v>341</v>
      </c>
    </row>
    <row r="17192" spans="1:9" x14ac:dyDescent="0.35">
      <c r="A17192" s="27" t="s">
        <v>228</v>
      </c>
      <c r="B17192" s="27" t="s">
        <v>372</v>
      </c>
      <c r="C17192" s="28">
        <v>0.56699999999999995</v>
      </c>
      <c r="D17192" s="28">
        <v>0.2482</v>
      </c>
      <c r="E17192" s="28">
        <v>7.5700000000000003E-2</v>
      </c>
      <c r="F17192" s="28">
        <v>3.3500000000000002E-2</v>
      </c>
      <c r="G17192" s="28">
        <v>7.5700000000000003E-2</v>
      </c>
      <c r="H17192" s="29"/>
      <c r="I17192" s="29" t="s">
        <v>347</v>
      </c>
    </row>
    <row r="17193" spans="1:9" x14ac:dyDescent="0.35">
      <c r="A17193" t="s">
        <v>228</v>
      </c>
      <c r="B17193" t="s">
        <v>373</v>
      </c>
      <c r="C17193" s="26">
        <v>0.57830000000000004</v>
      </c>
      <c r="D17193" s="26">
        <v>0.25490000000000002</v>
      </c>
      <c r="E17193" s="26">
        <v>3.3799999999999997E-2</v>
      </c>
      <c r="F17193" s="26">
        <v>1.2500000000000001E-2</v>
      </c>
      <c r="G17193" s="26">
        <v>0.1205</v>
      </c>
      <c r="I17193">
        <v>33</v>
      </c>
    </row>
    <row r="17194" spans="1:9" x14ac:dyDescent="0.35">
      <c r="A17194" s="27" t="s">
        <v>229</v>
      </c>
      <c r="B17194" s="27" t="s">
        <v>371</v>
      </c>
      <c r="C17194" s="28">
        <v>0.33829999999999999</v>
      </c>
      <c r="D17194" s="28">
        <v>0.41420000000000001</v>
      </c>
      <c r="E17194" s="28">
        <v>0.15709999999999999</v>
      </c>
      <c r="F17194" s="28">
        <v>8.5599999999999996E-2</v>
      </c>
      <c r="G17194" s="28">
        <v>4.7999999999999996E-3</v>
      </c>
      <c r="H17194" s="29"/>
      <c r="I17194" s="29" t="s">
        <v>353</v>
      </c>
    </row>
    <row r="17195" spans="1:9" x14ac:dyDescent="0.35">
      <c r="A17195" s="27" t="s">
        <v>229</v>
      </c>
      <c r="B17195" s="27" t="s">
        <v>372</v>
      </c>
      <c r="C17195" s="28">
        <v>0.73109999999999997</v>
      </c>
      <c r="D17195" s="28">
        <v>0.21970000000000001</v>
      </c>
      <c r="E17195" s="29"/>
      <c r="F17195" s="29"/>
      <c r="G17195" s="29"/>
      <c r="H17195" s="28">
        <v>4.9200000000000001E-2</v>
      </c>
      <c r="I17195" s="29" t="s">
        <v>333</v>
      </c>
    </row>
    <row r="17196" spans="1:9" x14ac:dyDescent="0.35">
      <c r="A17196" s="27" t="s">
        <v>229</v>
      </c>
      <c r="B17196" s="27" t="s">
        <v>373</v>
      </c>
      <c r="C17196" s="28">
        <v>1</v>
      </c>
      <c r="D17196" s="29"/>
      <c r="E17196" s="29"/>
      <c r="F17196" s="29"/>
      <c r="G17196" s="29"/>
      <c r="H17196" s="29"/>
      <c r="I17196" s="29" t="s">
        <v>331</v>
      </c>
    </row>
    <row r="17197" spans="1:9" x14ac:dyDescent="0.35">
      <c r="A17197" s="27" t="s">
        <v>230</v>
      </c>
      <c r="B17197" s="27" t="s">
        <v>371</v>
      </c>
      <c r="C17197" s="29"/>
      <c r="D17197" s="28">
        <v>0.48130000000000001</v>
      </c>
      <c r="E17197" s="28">
        <v>0.44379999999999997</v>
      </c>
      <c r="F17197" s="28">
        <v>7.4899999999999994E-2</v>
      </c>
      <c r="G17197" s="29"/>
      <c r="H17197" s="29"/>
      <c r="I17197" s="29" t="s">
        <v>339</v>
      </c>
    </row>
    <row r="17198" spans="1:9" x14ac:dyDescent="0.35">
      <c r="A17198" s="27" t="s">
        <v>230</v>
      </c>
      <c r="B17198" s="27" t="s">
        <v>372</v>
      </c>
      <c r="C17198" s="28">
        <v>0.80489999999999995</v>
      </c>
      <c r="D17198" s="28">
        <v>9.7600000000000006E-2</v>
      </c>
      <c r="E17198" s="29"/>
      <c r="F17198" s="29"/>
      <c r="G17198" s="28">
        <v>9.7600000000000006E-2</v>
      </c>
      <c r="H17198" s="29"/>
      <c r="I17198" s="29" t="s">
        <v>333</v>
      </c>
    </row>
    <row r="17199" spans="1:9" x14ac:dyDescent="0.35">
      <c r="A17199" s="27" t="s">
        <v>230</v>
      </c>
      <c r="B17199" s="27" t="s">
        <v>373</v>
      </c>
      <c r="C17199" s="28">
        <v>1</v>
      </c>
      <c r="D17199" s="29"/>
      <c r="E17199" s="29"/>
      <c r="F17199" s="29"/>
      <c r="G17199" s="29"/>
      <c r="H17199" s="29"/>
      <c r="I17199" s="29" t="s">
        <v>315</v>
      </c>
    </row>
    <row r="17200" spans="1:9" x14ac:dyDescent="0.35">
      <c r="A17200" s="27" t="s">
        <v>231</v>
      </c>
      <c r="B17200" s="27" t="s">
        <v>371</v>
      </c>
      <c r="C17200" s="28">
        <v>0.75</v>
      </c>
      <c r="D17200" s="28">
        <v>0.125</v>
      </c>
      <c r="E17200" s="28">
        <v>0.125</v>
      </c>
      <c r="F17200" s="29"/>
      <c r="G17200" s="29"/>
      <c r="H17200" s="29"/>
      <c r="I17200" s="29" t="s">
        <v>333</v>
      </c>
    </row>
    <row r="17201" spans="1:9" x14ac:dyDescent="0.35">
      <c r="A17201" t="s">
        <v>232</v>
      </c>
      <c r="B17201" t="s">
        <v>232</v>
      </c>
      <c r="C17201" s="26">
        <v>0.51</v>
      </c>
      <c r="D17201" s="26">
        <v>0.29759999999999998</v>
      </c>
      <c r="E17201" s="26">
        <v>0.15090000000000001</v>
      </c>
      <c r="F17201" s="26">
        <v>2.5100000000000001E-2</v>
      </c>
      <c r="G17201" s="26">
        <v>1.5800000000000002E-2</v>
      </c>
      <c r="H17201" s="26">
        <v>5.9999999999999995E-4</v>
      </c>
      <c r="I17201">
        <v>128</v>
      </c>
    </row>
    <row r="17203" spans="1:9" x14ac:dyDescent="0.35">
      <c r="A17203" s="1" t="s">
        <v>1765</v>
      </c>
    </row>
    <row r="17204" spans="1:9" x14ac:dyDescent="0.35">
      <c r="A17204" t="s">
        <v>219</v>
      </c>
      <c r="B17204" t="s">
        <v>305</v>
      </c>
      <c r="C17204" t="s">
        <v>302</v>
      </c>
      <c r="D17204" t="s">
        <v>1752</v>
      </c>
      <c r="E17204" t="s">
        <v>1753</v>
      </c>
      <c r="F17204" t="s">
        <v>281</v>
      </c>
      <c r="G17204" t="s">
        <v>1754</v>
      </c>
      <c r="H17204" t="s">
        <v>286</v>
      </c>
      <c r="I17204" t="s">
        <v>226</v>
      </c>
    </row>
    <row r="17205" spans="1:9" x14ac:dyDescent="0.35">
      <c r="A17205" s="27" t="s">
        <v>227</v>
      </c>
      <c r="B17205" s="27" t="s">
        <v>255</v>
      </c>
      <c r="C17205" s="28">
        <v>0.4</v>
      </c>
      <c r="D17205" s="28">
        <v>0.4</v>
      </c>
      <c r="E17205" s="28">
        <v>0.2</v>
      </c>
      <c r="F17205" s="29"/>
      <c r="G17205" s="29"/>
      <c r="H17205" s="29"/>
      <c r="I17205" s="29" t="s">
        <v>332</v>
      </c>
    </row>
    <row r="17206" spans="1:9" x14ac:dyDescent="0.35">
      <c r="A17206" s="27" t="s">
        <v>227</v>
      </c>
      <c r="B17206" s="27" t="s">
        <v>256</v>
      </c>
      <c r="C17206" s="28">
        <v>0.5</v>
      </c>
      <c r="D17206" s="28">
        <v>0.5</v>
      </c>
      <c r="E17206" s="29"/>
      <c r="F17206" s="29"/>
      <c r="G17206" s="29"/>
      <c r="H17206" s="29"/>
      <c r="I17206" s="29" t="s">
        <v>314</v>
      </c>
    </row>
    <row r="17207" spans="1:9" x14ac:dyDescent="0.35">
      <c r="A17207" t="s">
        <v>228</v>
      </c>
      <c r="B17207" t="s">
        <v>255</v>
      </c>
      <c r="C17207" s="26">
        <v>0.63759999999999994</v>
      </c>
      <c r="D17207" s="26">
        <v>0.1129</v>
      </c>
      <c r="E17207" s="26">
        <v>0.21609999999999999</v>
      </c>
      <c r="F17207" s="26">
        <v>7.0000000000000001E-3</v>
      </c>
      <c r="G17207" s="26">
        <v>2.64E-2</v>
      </c>
      <c r="I17207">
        <v>44</v>
      </c>
    </row>
    <row r="17208" spans="1:9" x14ac:dyDescent="0.35">
      <c r="A17208" s="27" t="s">
        <v>228</v>
      </c>
      <c r="B17208" s="27" t="s">
        <v>256</v>
      </c>
      <c r="C17208" s="28">
        <v>0.35360000000000003</v>
      </c>
      <c r="D17208" s="28">
        <v>0.56669999999999998</v>
      </c>
      <c r="E17208" s="29"/>
      <c r="F17208" s="28">
        <v>1.37E-2</v>
      </c>
      <c r="G17208" s="28">
        <v>6.6000000000000003E-2</v>
      </c>
      <c r="H17208" s="29"/>
      <c r="I17208" s="29" t="s">
        <v>353</v>
      </c>
    </row>
    <row r="17209" spans="1:9" x14ac:dyDescent="0.35">
      <c r="A17209" s="27" t="s">
        <v>228</v>
      </c>
      <c r="B17209" s="27" t="s">
        <v>257</v>
      </c>
      <c r="C17209" s="28">
        <v>0.13059999999999999</v>
      </c>
      <c r="D17209" s="28">
        <v>0.60219999999999996</v>
      </c>
      <c r="E17209" s="28">
        <v>6.9900000000000004E-2</v>
      </c>
      <c r="F17209" s="29"/>
      <c r="G17209" s="28">
        <v>0.19739999999999999</v>
      </c>
      <c r="H17209" s="29"/>
      <c r="I17209" s="29" t="s">
        <v>335</v>
      </c>
    </row>
    <row r="17210" spans="1:9" x14ac:dyDescent="0.35">
      <c r="A17210" s="27" t="s">
        <v>229</v>
      </c>
      <c r="B17210" s="27" t="s">
        <v>255</v>
      </c>
      <c r="C17210" s="28">
        <v>0.33450000000000002</v>
      </c>
      <c r="D17210" s="28">
        <v>0.33460000000000001</v>
      </c>
      <c r="E17210" s="28">
        <v>0.21010000000000001</v>
      </c>
      <c r="F17210" s="28">
        <v>0.1144</v>
      </c>
      <c r="G17210" s="28">
        <v>6.4000000000000003E-3</v>
      </c>
      <c r="H17210" s="29"/>
      <c r="I17210" s="29" t="s">
        <v>346</v>
      </c>
    </row>
    <row r="17211" spans="1:9" x14ac:dyDescent="0.35">
      <c r="A17211" s="27" t="s">
        <v>229</v>
      </c>
      <c r="B17211" s="27" t="s">
        <v>256</v>
      </c>
      <c r="C17211" s="28">
        <v>0.5968</v>
      </c>
      <c r="D17211" s="28">
        <v>0.39150000000000001</v>
      </c>
      <c r="E17211" s="29"/>
      <c r="F17211" s="29"/>
      <c r="G17211" s="29"/>
      <c r="H17211" s="28">
        <v>1.17E-2</v>
      </c>
      <c r="I17211" s="29" t="s">
        <v>334</v>
      </c>
    </row>
    <row r="17212" spans="1:9" x14ac:dyDescent="0.35">
      <c r="A17212" s="27" t="s">
        <v>229</v>
      </c>
      <c r="B17212" s="27" t="s">
        <v>257</v>
      </c>
      <c r="C17212" s="29"/>
      <c r="D17212" s="28">
        <v>1</v>
      </c>
      <c r="E17212" s="29"/>
      <c r="F17212" s="29"/>
      <c r="G17212" s="29"/>
      <c r="H17212" s="29"/>
      <c r="I17212" s="29" t="s">
        <v>315</v>
      </c>
    </row>
    <row r="17213" spans="1:9" x14ac:dyDescent="0.35">
      <c r="A17213" s="27" t="s">
        <v>230</v>
      </c>
      <c r="B17213" s="27" t="s">
        <v>255</v>
      </c>
      <c r="C17213" s="28">
        <v>0.1358</v>
      </c>
      <c r="D17213" s="28">
        <v>0.29809999999999998</v>
      </c>
      <c r="E17213" s="28">
        <v>0.5101</v>
      </c>
      <c r="F17213" s="28">
        <v>4.2999999999999997E-2</v>
      </c>
      <c r="G17213" s="28">
        <v>1.29E-2</v>
      </c>
      <c r="H17213" s="29"/>
      <c r="I17213" s="29" t="s">
        <v>342</v>
      </c>
    </row>
    <row r="17214" spans="1:9" x14ac:dyDescent="0.35">
      <c r="A17214" s="27" t="s">
        <v>230</v>
      </c>
      <c r="B17214" s="27" t="s">
        <v>256</v>
      </c>
      <c r="C17214" s="28">
        <v>0.84</v>
      </c>
      <c r="D17214" s="28">
        <v>0.16</v>
      </c>
      <c r="E17214" s="29"/>
      <c r="F17214" s="29"/>
      <c r="G17214" s="29"/>
      <c r="H17214" s="29"/>
      <c r="I17214" s="29" t="s">
        <v>337</v>
      </c>
    </row>
    <row r="17215" spans="1:9" x14ac:dyDescent="0.35">
      <c r="A17215" s="27" t="s">
        <v>230</v>
      </c>
      <c r="B17215" s="27" t="s">
        <v>257</v>
      </c>
      <c r="C17215" s="29"/>
      <c r="D17215" s="28">
        <v>0.85560000000000003</v>
      </c>
      <c r="E17215" s="29"/>
      <c r="F17215" s="28">
        <v>0.1444</v>
      </c>
      <c r="G17215" s="29"/>
      <c r="H17215" s="29"/>
      <c r="I17215" s="29" t="s">
        <v>314</v>
      </c>
    </row>
    <row r="17216" spans="1:9" x14ac:dyDescent="0.35">
      <c r="A17216" s="27" t="s">
        <v>231</v>
      </c>
      <c r="B17216" s="27" t="s">
        <v>255</v>
      </c>
      <c r="C17216" s="28">
        <v>0.71430000000000005</v>
      </c>
      <c r="D17216" s="28">
        <v>0.1429</v>
      </c>
      <c r="E17216" s="28">
        <v>0.1429</v>
      </c>
      <c r="F17216" s="29"/>
      <c r="G17216" s="29"/>
      <c r="H17216" s="29"/>
      <c r="I17216" s="29" t="s">
        <v>339</v>
      </c>
    </row>
    <row r="17217" spans="1:18" x14ac:dyDescent="0.35">
      <c r="A17217" s="27" t="s">
        <v>231</v>
      </c>
      <c r="B17217" s="27" t="s">
        <v>256</v>
      </c>
      <c r="C17217" s="28">
        <v>1</v>
      </c>
      <c r="D17217" s="29"/>
      <c r="E17217" s="29"/>
      <c r="F17217" s="29"/>
      <c r="G17217" s="29"/>
      <c r="H17217" s="29"/>
      <c r="I17217" s="29" t="s">
        <v>331</v>
      </c>
    </row>
    <row r="17218" spans="1:18" x14ac:dyDescent="0.35">
      <c r="A17218" t="s">
        <v>232</v>
      </c>
      <c r="B17218" t="s">
        <v>232</v>
      </c>
      <c r="C17218" s="26">
        <v>0.51</v>
      </c>
      <c r="D17218" s="26">
        <v>0.29759999999999998</v>
      </c>
      <c r="E17218" s="26">
        <v>0.15090000000000001</v>
      </c>
      <c r="F17218" s="26">
        <v>2.5100000000000001E-2</v>
      </c>
      <c r="G17218" s="26">
        <v>1.5800000000000002E-2</v>
      </c>
      <c r="H17218" s="26">
        <v>5.9999999999999995E-4</v>
      </c>
      <c r="I17218">
        <v>128</v>
      </c>
    </row>
    <row r="17220" spans="1:18" x14ac:dyDescent="0.35">
      <c r="A17220" s="1" t="s">
        <v>1766</v>
      </c>
    </row>
    <row r="17221" spans="1:18" x14ac:dyDescent="0.35">
      <c r="A17221" t="s">
        <v>219</v>
      </c>
      <c r="B17221" t="s">
        <v>1767</v>
      </c>
      <c r="C17221" t="s">
        <v>1768</v>
      </c>
      <c r="D17221" t="s">
        <v>1769</v>
      </c>
      <c r="E17221" t="s">
        <v>1770</v>
      </c>
      <c r="F17221" t="s">
        <v>1771</v>
      </c>
      <c r="G17221" t="s">
        <v>1772</v>
      </c>
      <c r="H17221" t="s">
        <v>1773</v>
      </c>
      <c r="I17221" t="s">
        <v>1774</v>
      </c>
      <c r="J17221" t="s">
        <v>1775</v>
      </c>
      <c r="K17221" t="s">
        <v>326</v>
      </c>
      <c r="L17221" t="s">
        <v>1776</v>
      </c>
      <c r="M17221" t="s">
        <v>1777</v>
      </c>
      <c r="N17221" t="s">
        <v>281</v>
      </c>
      <c r="O17221" t="s">
        <v>1778</v>
      </c>
      <c r="P17221" t="s">
        <v>286</v>
      </c>
      <c r="Q17221" t="s">
        <v>226</v>
      </c>
    </row>
    <row r="17222" spans="1:18" x14ac:dyDescent="0.35">
      <c r="A17222" t="s">
        <v>227</v>
      </c>
      <c r="B17222" s="26">
        <v>0.6875</v>
      </c>
      <c r="C17222" s="26">
        <v>0.1875</v>
      </c>
      <c r="D17222" s="26">
        <v>0.05</v>
      </c>
      <c r="E17222" s="26">
        <v>5.62E-2</v>
      </c>
      <c r="F17222" s="26">
        <v>6.25E-2</v>
      </c>
      <c r="G17222" s="26">
        <v>5.62E-2</v>
      </c>
      <c r="H17222" s="26">
        <v>2.5000000000000001E-2</v>
      </c>
      <c r="I17222" s="26">
        <v>3.7499999999999999E-2</v>
      </c>
      <c r="J17222" s="26">
        <v>1.8800000000000001E-2</v>
      </c>
      <c r="K17222" s="26">
        <v>1.2500000000000001E-2</v>
      </c>
      <c r="Q17222">
        <v>160</v>
      </c>
    </row>
    <row r="17223" spans="1:18" x14ac:dyDescent="0.35">
      <c r="A17223" t="s">
        <v>228</v>
      </c>
      <c r="B17223" s="26">
        <v>0.76629999999999998</v>
      </c>
      <c r="C17223" s="26">
        <v>0.12139999999999999</v>
      </c>
      <c r="D17223" s="26">
        <v>4.3099999999999999E-2</v>
      </c>
      <c r="E17223" s="26">
        <v>4.8099999999999997E-2</v>
      </c>
      <c r="F17223" s="26">
        <v>3.8699999999999998E-2</v>
      </c>
      <c r="G17223" s="26">
        <v>2.0299999999999999E-2</v>
      </c>
      <c r="H17223" s="26">
        <v>1.43E-2</v>
      </c>
      <c r="I17223" s="26">
        <v>1.3299999999999999E-2</v>
      </c>
      <c r="J17223" s="26">
        <v>1.84E-2</v>
      </c>
      <c r="K17223" s="26">
        <v>7.0000000000000001E-3</v>
      </c>
      <c r="L17223" s="26">
        <v>2.4500000000000001E-2</v>
      </c>
      <c r="M17223" s="26">
        <v>1.4999999999999999E-2</v>
      </c>
      <c r="N17223" s="26">
        <v>1.5E-3</v>
      </c>
      <c r="O17223" s="26">
        <v>5.1000000000000004E-3</v>
      </c>
      <c r="P17223" s="26">
        <v>1E-3</v>
      </c>
      <c r="Q17223">
        <v>1013</v>
      </c>
    </row>
    <row r="17224" spans="1:18" x14ac:dyDescent="0.35">
      <c r="A17224" t="s">
        <v>229</v>
      </c>
      <c r="B17224" s="26">
        <v>0.71889999999999998</v>
      </c>
      <c r="C17224" s="26">
        <v>0.11899999999999999</v>
      </c>
      <c r="D17224" s="26">
        <v>4.65E-2</v>
      </c>
      <c r="E17224" s="26">
        <v>5.3600000000000002E-2</v>
      </c>
      <c r="F17224" s="26">
        <v>5.4100000000000002E-2</v>
      </c>
      <c r="G17224" s="26">
        <v>3.5499999999999997E-2</v>
      </c>
      <c r="H17224" s="26">
        <v>1.9E-2</v>
      </c>
      <c r="I17224" s="26">
        <v>1.3299999999999999E-2</v>
      </c>
      <c r="J17224" s="26">
        <v>1.5800000000000002E-2</v>
      </c>
      <c r="K17224" s="26">
        <v>2.5899999999999999E-2</v>
      </c>
      <c r="L17224" s="26">
        <v>2.24E-2</v>
      </c>
      <c r="M17224" s="26">
        <v>1.0200000000000001E-2</v>
      </c>
      <c r="N17224" s="26">
        <v>6.1000000000000004E-3</v>
      </c>
      <c r="O17224" s="26">
        <v>2.9999999999999997E-4</v>
      </c>
      <c r="Q17224">
        <v>867</v>
      </c>
    </row>
    <row r="17225" spans="1:18" x14ac:dyDescent="0.35">
      <c r="A17225" t="s">
        <v>230</v>
      </c>
      <c r="B17225" s="26">
        <v>0.70309999999999995</v>
      </c>
      <c r="C17225" s="26">
        <v>0.17080000000000001</v>
      </c>
      <c r="D17225" s="26">
        <v>7.3099999999999998E-2</v>
      </c>
      <c r="E17225" s="26">
        <v>0.10050000000000001</v>
      </c>
      <c r="F17225" s="26">
        <v>4.8399999999999999E-2</v>
      </c>
      <c r="G17225" s="26">
        <v>4.9000000000000002E-2</v>
      </c>
      <c r="H17225" s="26">
        <v>3.8399999999999997E-2</v>
      </c>
      <c r="I17225" s="26">
        <v>6.4000000000000003E-3</v>
      </c>
      <c r="J17225" s="26">
        <v>5.7000000000000002E-3</v>
      </c>
      <c r="K17225" s="26">
        <v>8.3999999999999995E-3</v>
      </c>
      <c r="L17225" s="26">
        <v>2.0299999999999999E-2</v>
      </c>
      <c r="M17225" s="26">
        <v>1.3299999999999999E-2</v>
      </c>
      <c r="N17225" s="26">
        <v>1.5E-3</v>
      </c>
      <c r="O17225" s="26">
        <v>1.18E-2</v>
      </c>
      <c r="P17225" s="26">
        <v>2.9999999999999997E-4</v>
      </c>
      <c r="Q17225">
        <v>547</v>
      </c>
    </row>
    <row r="17226" spans="1:18" x14ac:dyDescent="0.35">
      <c r="A17226" t="s">
        <v>231</v>
      </c>
      <c r="B17226" s="26">
        <v>0.78400000000000003</v>
      </c>
      <c r="C17226" s="26">
        <v>6.7900000000000002E-2</v>
      </c>
      <c r="D17226" s="26">
        <v>7.4099999999999999E-2</v>
      </c>
      <c r="E17226" s="26">
        <v>4.9399999999999999E-2</v>
      </c>
      <c r="F17226" s="26">
        <v>3.6999999999999998E-2</v>
      </c>
      <c r="G17226" s="26">
        <v>1.23E-2</v>
      </c>
      <c r="H17226" s="26">
        <v>1.8499999999999999E-2</v>
      </c>
      <c r="I17226" s="26">
        <v>1.23E-2</v>
      </c>
      <c r="J17226" s="26">
        <v>1.23E-2</v>
      </c>
      <c r="K17226" s="26">
        <v>6.1999999999999998E-3</v>
      </c>
      <c r="M17226" s="26">
        <v>6.1999999999999998E-3</v>
      </c>
      <c r="N17226" s="26">
        <v>6.1999999999999998E-3</v>
      </c>
      <c r="Q17226">
        <v>162</v>
      </c>
    </row>
    <row r="17227" spans="1:18" x14ac:dyDescent="0.35">
      <c r="A17227" t="s">
        <v>232</v>
      </c>
      <c r="B17227" s="26">
        <v>0.73970000000000002</v>
      </c>
      <c r="C17227" s="26">
        <v>0.1208</v>
      </c>
      <c r="D17227" s="26">
        <v>5.6599999999999998E-2</v>
      </c>
      <c r="E17227" s="26">
        <v>5.6300000000000003E-2</v>
      </c>
      <c r="F17227" s="26">
        <v>4.7100000000000003E-2</v>
      </c>
      <c r="G17227" s="26">
        <v>3.0599999999999999E-2</v>
      </c>
      <c r="H17227" s="26">
        <v>2.07E-2</v>
      </c>
      <c r="I17227" s="26">
        <v>1.61E-2</v>
      </c>
      <c r="J17227" s="26">
        <v>1.4800000000000001E-2</v>
      </c>
      <c r="K17227" s="26">
        <v>1.3100000000000001E-2</v>
      </c>
      <c r="L17227" s="26">
        <v>1.2999999999999999E-2</v>
      </c>
      <c r="M17227" s="26">
        <v>8.6999999999999994E-3</v>
      </c>
      <c r="N17227" s="26">
        <v>3.8E-3</v>
      </c>
      <c r="O17227" s="26">
        <v>2.2000000000000001E-3</v>
      </c>
      <c r="P17227" s="26">
        <v>2.0000000000000001E-4</v>
      </c>
      <c r="Q17227">
        <v>2749</v>
      </c>
    </row>
    <row r="17229" spans="1:18" x14ac:dyDescent="0.35">
      <c r="A17229" s="1" t="s">
        <v>1779</v>
      </c>
    </row>
    <row r="17230" spans="1:18" x14ac:dyDescent="0.35">
      <c r="A17230" t="s">
        <v>219</v>
      </c>
      <c r="B17230" t="s">
        <v>305</v>
      </c>
      <c r="C17230" t="s">
        <v>1767</v>
      </c>
      <c r="D17230" t="s">
        <v>1768</v>
      </c>
      <c r="E17230" t="s">
        <v>1769</v>
      </c>
      <c r="F17230" t="s">
        <v>1770</v>
      </c>
      <c r="G17230" t="s">
        <v>1771</v>
      </c>
      <c r="H17230" t="s">
        <v>1772</v>
      </c>
      <c r="I17230" t="s">
        <v>1773</v>
      </c>
      <c r="J17230" t="s">
        <v>1774</v>
      </c>
      <c r="K17230" t="s">
        <v>1775</v>
      </c>
      <c r="L17230" t="s">
        <v>326</v>
      </c>
      <c r="M17230" t="s">
        <v>1776</v>
      </c>
      <c r="N17230" t="s">
        <v>1777</v>
      </c>
      <c r="O17230" t="s">
        <v>281</v>
      </c>
      <c r="P17230" t="s">
        <v>1778</v>
      </c>
      <c r="Q17230" t="s">
        <v>286</v>
      </c>
      <c r="R17230" t="s">
        <v>226</v>
      </c>
    </row>
    <row r="17231" spans="1:18" x14ac:dyDescent="0.35">
      <c r="A17231" t="s">
        <v>227</v>
      </c>
      <c r="B17231" t="s">
        <v>242</v>
      </c>
      <c r="C17231" s="26">
        <v>0.65669999999999995</v>
      </c>
      <c r="D17231" s="26">
        <v>0.19400000000000001</v>
      </c>
      <c r="E17231" s="26">
        <v>7.46E-2</v>
      </c>
      <c r="F17231" s="26">
        <v>4.48E-2</v>
      </c>
      <c r="G17231" s="26">
        <v>7.46E-2</v>
      </c>
      <c r="H17231" s="26">
        <v>5.9700000000000003E-2</v>
      </c>
      <c r="I17231" s="26">
        <v>5.9700000000000003E-2</v>
      </c>
      <c r="J17231" s="26">
        <v>5.9700000000000003E-2</v>
      </c>
      <c r="L17231" s="26">
        <v>1.49E-2</v>
      </c>
      <c r="R17231">
        <v>67</v>
      </c>
    </row>
    <row r="17232" spans="1:18" x14ac:dyDescent="0.35">
      <c r="A17232" t="s">
        <v>227</v>
      </c>
      <c r="B17232" t="s">
        <v>241</v>
      </c>
      <c r="C17232" s="26">
        <v>0.7097</v>
      </c>
      <c r="D17232" s="26">
        <v>0.18279999999999999</v>
      </c>
      <c r="E17232" s="26">
        <v>3.2300000000000002E-2</v>
      </c>
      <c r="F17232" s="26">
        <v>6.4500000000000002E-2</v>
      </c>
      <c r="G17232" s="26">
        <v>5.3800000000000001E-2</v>
      </c>
      <c r="H17232" s="26">
        <v>5.3800000000000001E-2</v>
      </c>
      <c r="J17232" s="26">
        <v>2.1499999999999998E-2</v>
      </c>
      <c r="K17232" s="26">
        <v>3.2300000000000002E-2</v>
      </c>
      <c r="L17232" s="26">
        <v>1.0800000000000001E-2</v>
      </c>
      <c r="R17232">
        <v>93</v>
      </c>
    </row>
    <row r="17233" spans="1:18" x14ac:dyDescent="0.35">
      <c r="A17233" t="s">
        <v>228</v>
      </c>
      <c r="B17233" t="s">
        <v>242</v>
      </c>
      <c r="C17233" s="26">
        <v>0.69879999999999998</v>
      </c>
      <c r="D17233" s="26">
        <v>0.161</v>
      </c>
      <c r="E17233" s="26">
        <v>6.0400000000000002E-2</v>
      </c>
      <c r="F17233" s="26">
        <v>6.6100000000000006E-2</v>
      </c>
      <c r="G17233" s="26">
        <v>4.9599999999999998E-2</v>
      </c>
      <c r="H17233" s="26">
        <v>1.8700000000000001E-2</v>
      </c>
      <c r="I17233" s="26">
        <v>3.7600000000000001E-2</v>
      </c>
      <c r="J17233" s="26">
        <v>2.0799999999999999E-2</v>
      </c>
      <c r="K17233" s="26">
        <v>1.2699999999999999E-2</v>
      </c>
      <c r="L17233" s="26">
        <v>4.0000000000000001E-3</v>
      </c>
      <c r="M17233" s="26">
        <v>3.0499999999999999E-2</v>
      </c>
      <c r="N17233" s="26">
        <v>2.9899999999999999E-2</v>
      </c>
      <c r="O17233" s="26">
        <v>3.3999999999999998E-3</v>
      </c>
      <c r="P17233" s="26">
        <v>1.1599999999999999E-2</v>
      </c>
      <c r="R17233">
        <v>394</v>
      </c>
    </row>
    <row r="17234" spans="1:18" x14ac:dyDescent="0.35">
      <c r="A17234" t="s">
        <v>228</v>
      </c>
      <c r="B17234" t="s">
        <v>241</v>
      </c>
      <c r="C17234" s="26">
        <v>0.80500000000000005</v>
      </c>
      <c r="D17234" s="26">
        <v>9.8699999999999996E-2</v>
      </c>
      <c r="E17234" s="26">
        <v>3.3300000000000003E-2</v>
      </c>
      <c r="F17234" s="26">
        <v>3.78E-2</v>
      </c>
      <c r="G17234" s="26">
        <v>3.2500000000000001E-2</v>
      </c>
      <c r="H17234" s="26">
        <v>2.12E-2</v>
      </c>
      <c r="I17234" s="26">
        <v>8.9999999999999998E-4</v>
      </c>
      <c r="J17234" s="26">
        <v>8.9999999999999993E-3</v>
      </c>
      <c r="K17234" s="26">
        <v>2.1600000000000001E-2</v>
      </c>
      <c r="L17234" s="26">
        <v>8.6999999999999994E-3</v>
      </c>
      <c r="M17234" s="26">
        <v>2.1000000000000001E-2</v>
      </c>
      <c r="N17234" s="26">
        <v>6.4000000000000003E-3</v>
      </c>
      <c r="O17234" s="26">
        <v>4.0000000000000002E-4</v>
      </c>
      <c r="P17234" s="26">
        <v>1.2999999999999999E-3</v>
      </c>
      <c r="Q17234" s="26">
        <v>1.5E-3</v>
      </c>
      <c r="R17234">
        <v>619</v>
      </c>
    </row>
    <row r="17235" spans="1:18" x14ac:dyDescent="0.35">
      <c r="A17235" t="s">
        <v>229</v>
      </c>
      <c r="B17235" t="s">
        <v>242</v>
      </c>
      <c r="C17235" s="26">
        <v>0.62509999999999999</v>
      </c>
      <c r="D17235" s="26">
        <v>0.1817</v>
      </c>
      <c r="E17235" s="26">
        <v>6.9699999999999998E-2</v>
      </c>
      <c r="F17235" s="26">
        <v>6.8400000000000002E-2</v>
      </c>
      <c r="G17235" s="26">
        <v>6.9400000000000003E-2</v>
      </c>
      <c r="H17235" s="26">
        <v>5.6899999999999999E-2</v>
      </c>
      <c r="I17235" s="26">
        <v>0.04</v>
      </c>
      <c r="J17235" s="26">
        <v>1.78E-2</v>
      </c>
      <c r="K17235" s="26">
        <v>1.5599999999999999E-2</v>
      </c>
      <c r="L17235" s="26">
        <v>4.9799999999999997E-2</v>
      </c>
      <c r="M17235" s="26">
        <v>0.02</v>
      </c>
      <c r="N17235" s="26">
        <v>1.6899999999999998E-2</v>
      </c>
      <c r="O17235" s="26">
        <v>6.7000000000000002E-3</v>
      </c>
      <c r="R17235">
        <v>281</v>
      </c>
    </row>
    <row r="17236" spans="1:18" x14ac:dyDescent="0.35">
      <c r="A17236" t="s">
        <v>229</v>
      </c>
      <c r="B17236" t="s">
        <v>241</v>
      </c>
      <c r="C17236" s="26">
        <v>0.77839999999999998</v>
      </c>
      <c r="D17236" s="26">
        <v>7.9200000000000007E-2</v>
      </c>
      <c r="E17236" s="26">
        <v>3.1899999999999998E-2</v>
      </c>
      <c r="F17236" s="26">
        <v>4.4299999999999999E-2</v>
      </c>
      <c r="G17236" s="26">
        <v>4.4400000000000002E-2</v>
      </c>
      <c r="H17236" s="26">
        <v>2.1999999999999999E-2</v>
      </c>
      <c r="I17236" s="26">
        <v>5.5999999999999999E-3</v>
      </c>
      <c r="J17236" s="26">
        <v>1.04E-2</v>
      </c>
      <c r="K17236" s="26">
        <v>1.5900000000000001E-2</v>
      </c>
      <c r="L17236" s="26">
        <v>1.09E-2</v>
      </c>
      <c r="M17236" s="26">
        <v>2.3900000000000001E-2</v>
      </c>
      <c r="N17236" s="26">
        <v>5.8999999999999999E-3</v>
      </c>
      <c r="O17236" s="26">
        <v>5.7000000000000002E-3</v>
      </c>
      <c r="P17236" s="26">
        <v>4.0000000000000002E-4</v>
      </c>
      <c r="R17236">
        <v>586</v>
      </c>
    </row>
    <row r="17237" spans="1:18" x14ac:dyDescent="0.35">
      <c r="A17237" t="s">
        <v>230</v>
      </c>
      <c r="B17237" t="s">
        <v>242</v>
      </c>
      <c r="C17237" s="26">
        <v>0.59619999999999995</v>
      </c>
      <c r="D17237" s="26">
        <v>0.21</v>
      </c>
      <c r="E17237" s="26">
        <v>0.16700000000000001</v>
      </c>
      <c r="F17237" s="26">
        <v>0.16159999999999999</v>
      </c>
      <c r="G17237" s="26">
        <v>6.3299999999999995E-2</v>
      </c>
      <c r="H17237" s="26">
        <v>8.8499999999999995E-2</v>
      </c>
      <c r="I17237" s="26">
        <v>8.0199999999999994E-2</v>
      </c>
      <c r="J17237" s="26">
        <v>1.9E-2</v>
      </c>
      <c r="L17237" s="26">
        <v>1.6999999999999999E-3</v>
      </c>
      <c r="M17237" s="26">
        <v>8.2000000000000007E-3</v>
      </c>
      <c r="N17237" s="26">
        <v>1.9E-2</v>
      </c>
      <c r="O17237" s="26">
        <v>8.0000000000000004E-4</v>
      </c>
      <c r="P17237" s="26">
        <v>3.2500000000000001E-2</v>
      </c>
      <c r="Q17237" s="26">
        <v>8.0000000000000004E-4</v>
      </c>
      <c r="R17237">
        <v>185</v>
      </c>
    </row>
    <row r="17238" spans="1:18" x14ac:dyDescent="0.35">
      <c r="A17238" t="s">
        <v>230</v>
      </c>
      <c r="B17238" t="s">
        <v>241</v>
      </c>
      <c r="C17238" s="26">
        <v>0.7571</v>
      </c>
      <c r="D17238" s="26">
        <v>0.151</v>
      </c>
      <c r="E17238" s="26">
        <v>2.58E-2</v>
      </c>
      <c r="F17238" s="26">
        <v>6.9699999999999998E-2</v>
      </c>
      <c r="G17238" s="26">
        <v>4.0800000000000003E-2</v>
      </c>
      <c r="H17238" s="26">
        <v>2.9100000000000001E-2</v>
      </c>
      <c r="I17238" s="26">
        <v>1.72E-2</v>
      </c>
      <c r="K17238" s="26">
        <v>8.6E-3</v>
      </c>
      <c r="L17238" s="26">
        <v>1.18E-2</v>
      </c>
      <c r="M17238" s="26">
        <v>2.64E-2</v>
      </c>
      <c r="N17238" s="26">
        <v>1.04E-2</v>
      </c>
      <c r="O17238" s="26">
        <v>1.8E-3</v>
      </c>
      <c r="P17238" s="26">
        <v>1.4E-3</v>
      </c>
      <c r="R17238">
        <v>362</v>
      </c>
    </row>
    <row r="17239" spans="1:18" x14ac:dyDescent="0.35">
      <c r="A17239" t="s">
        <v>231</v>
      </c>
      <c r="B17239" t="s">
        <v>242</v>
      </c>
      <c r="C17239" s="26">
        <v>0.74070000000000003</v>
      </c>
      <c r="D17239" s="26">
        <v>7.4099999999999999E-2</v>
      </c>
      <c r="E17239" s="26">
        <v>0.1111</v>
      </c>
      <c r="F17239" s="26">
        <v>3.6999999999999998E-2</v>
      </c>
      <c r="G17239" s="26">
        <v>3.6999999999999998E-2</v>
      </c>
      <c r="I17239" s="26">
        <v>3.6999999999999998E-2</v>
      </c>
      <c r="J17239" s="26">
        <v>1.8499999999999999E-2</v>
      </c>
      <c r="K17239" s="26">
        <v>1.8499999999999999E-2</v>
      </c>
      <c r="R17239">
        <v>54</v>
      </c>
    </row>
    <row r="17240" spans="1:18" x14ac:dyDescent="0.35">
      <c r="A17240" t="s">
        <v>231</v>
      </c>
      <c r="B17240" t="s">
        <v>241</v>
      </c>
      <c r="C17240" s="26">
        <v>0.80559999999999998</v>
      </c>
      <c r="D17240" s="26">
        <v>6.4799999999999996E-2</v>
      </c>
      <c r="E17240" s="26">
        <v>5.5599999999999997E-2</v>
      </c>
      <c r="F17240" s="26">
        <v>5.5599999999999997E-2</v>
      </c>
      <c r="G17240" s="26">
        <v>3.6999999999999998E-2</v>
      </c>
      <c r="H17240" s="26">
        <v>1.8499999999999999E-2</v>
      </c>
      <c r="I17240" s="26">
        <v>9.2999999999999992E-3</v>
      </c>
      <c r="J17240" s="26">
        <v>9.2999999999999992E-3</v>
      </c>
      <c r="K17240" s="26">
        <v>9.2999999999999992E-3</v>
      </c>
      <c r="L17240" s="26">
        <v>9.2999999999999992E-3</v>
      </c>
      <c r="N17240" s="26">
        <v>9.2999999999999992E-3</v>
      </c>
      <c r="O17240" s="26">
        <v>9.2999999999999992E-3</v>
      </c>
      <c r="R17240">
        <v>108</v>
      </c>
    </row>
    <row r="17241" spans="1:18" x14ac:dyDescent="0.35">
      <c r="A17241" t="s">
        <v>232</v>
      </c>
      <c r="B17241" t="s">
        <v>232</v>
      </c>
      <c r="C17241" s="26">
        <v>0.73970000000000002</v>
      </c>
      <c r="D17241" s="26">
        <v>0.1208</v>
      </c>
      <c r="E17241" s="26">
        <v>5.6599999999999998E-2</v>
      </c>
      <c r="F17241" s="26">
        <v>5.6300000000000003E-2</v>
      </c>
      <c r="G17241" s="26">
        <v>4.7100000000000003E-2</v>
      </c>
      <c r="H17241" s="26">
        <v>3.0599999999999999E-2</v>
      </c>
      <c r="I17241" s="26">
        <v>2.07E-2</v>
      </c>
      <c r="J17241" s="26">
        <v>1.61E-2</v>
      </c>
      <c r="K17241" s="26">
        <v>1.4800000000000001E-2</v>
      </c>
      <c r="L17241" s="26">
        <v>1.3100000000000001E-2</v>
      </c>
      <c r="M17241" s="26">
        <v>1.2999999999999999E-2</v>
      </c>
      <c r="N17241" s="26">
        <v>8.6999999999999994E-3</v>
      </c>
      <c r="O17241" s="26">
        <v>3.8E-3</v>
      </c>
      <c r="P17241" s="26">
        <v>2.2000000000000001E-3</v>
      </c>
      <c r="Q17241" s="26">
        <v>2.0000000000000001E-4</v>
      </c>
      <c r="R17241">
        <v>2749</v>
      </c>
    </row>
    <row r="17243" spans="1:18" x14ac:dyDescent="0.35">
      <c r="A17243" s="1" t="s">
        <v>1780</v>
      </c>
    </row>
    <row r="17244" spans="1:18" x14ac:dyDescent="0.35">
      <c r="A17244" t="s">
        <v>219</v>
      </c>
      <c r="B17244" t="s">
        <v>305</v>
      </c>
      <c r="C17244" t="s">
        <v>1767</v>
      </c>
      <c r="D17244" t="s">
        <v>1768</v>
      </c>
      <c r="E17244" t="s">
        <v>1769</v>
      </c>
      <c r="F17244" t="s">
        <v>1770</v>
      </c>
      <c r="G17244" t="s">
        <v>1771</v>
      </c>
      <c r="H17244" t="s">
        <v>1772</v>
      </c>
      <c r="I17244" t="s">
        <v>1773</v>
      </c>
      <c r="J17244" t="s">
        <v>1774</v>
      </c>
      <c r="K17244" t="s">
        <v>1775</v>
      </c>
      <c r="L17244" t="s">
        <v>326</v>
      </c>
      <c r="M17244" t="s">
        <v>1776</v>
      </c>
      <c r="N17244" t="s">
        <v>1777</v>
      </c>
      <c r="O17244" t="s">
        <v>281</v>
      </c>
      <c r="P17244" t="s">
        <v>1778</v>
      </c>
      <c r="Q17244" t="s">
        <v>286</v>
      </c>
      <c r="R17244" t="s">
        <v>226</v>
      </c>
    </row>
    <row r="17245" spans="1:18" x14ac:dyDescent="0.35">
      <c r="A17245" t="s">
        <v>227</v>
      </c>
      <c r="B17245" t="s">
        <v>239</v>
      </c>
      <c r="C17245" s="26">
        <v>0.72130000000000005</v>
      </c>
      <c r="D17245" s="26">
        <v>0.14749999999999999</v>
      </c>
      <c r="E17245" s="26">
        <v>3.2800000000000003E-2</v>
      </c>
      <c r="F17245" s="26">
        <v>6.5600000000000006E-2</v>
      </c>
      <c r="G17245" s="26">
        <v>3.2800000000000003E-2</v>
      </c>
      <c r="H17245" s="26">
        <v>6.5600000000000006E-2</v>
      </c>
      <c r="I17245" s="26">
        <v>1.6400000000000001E-2</v>
      </c>
      <c r="J17245" s="26">
        <v>3.2800000000000003E-2</v>
      </c>
      <c r="L17245" s="26">
        <v>1.6400000000000001E-2</v>
      </c>
      <c r="R17245">
        <v>61</v>
      </c>
    </row>
    <row r="17246" spans="1:18" x14ac:dyDescent="0.35">
      <c r="A17246" t="s">
        <v>227</v>
      </c>
      <c r="B17246" t="s">
        <v>238</v>
      </c>
      <c r="C17246" s="26">
        <v>0.66669999999999996</v>
      </c>
      <c r="D17246" s="26">
        <v>0.21210000000000001</v>
      </c>
      <c r="E17246" s="26">
        <v>6.0600000000000001E-2</v>
      </c>
      <c r="F17246" s="26">
        <v>5.0500000000000003E-2</v>
      </c>
      <c r="G17246" s="26">
        <v>8.0799999999999997E-2</v>
      </c>
      <c r="H17246" s="26">
        <v>5.0500000000000003E-2</v>
      </c>
      <c r="I17246" s="26">
        <v>3.0300000000000001E-2</v>
      </c>
      <c r="J17246" s="26">
        <v>4.0399999999999998E-2</v>
      </c>
      <c r="K17246" s="26">
        <v>3.0300000000000001E-2</v>
      </c>
      <c r="L17246" s="26">
        <v>1.01E-2</v>
      </c>
      <c r="R17246">
        <v>99</v>
      </c>
    </row>
    <row r="17247" spans="1:18" x14ac:dyDescent="0.35">
      <c r="A17247" t="s">
        <v>228</v>
      </c>
      <c r="B17247" t="s">
        <v>239</v>
      </c>
      <c r="C17247" s="26">
        <v>0.74909999999999999</v>
      </c>
      <c r="D17247" s="26">
        <v>0.1037</v>
      </c>
      <c r="E17247" s="26">
        <v>5.8500000000000003E-2</v>
      </c>
      <c r="F17247" s="26">
        <v>6.4799999999999996E-2</v>
      </c>
      <c r="G17247" s="26">
        <v>5.7799999999999997E-2</v>
      </c>
      <c r="H17247" s="26">
        <v>3.4000000000000002E-2</v>
      </c>
      <c r="I17247" s="26">
        <v>1.26E-2</v>
      </c>
      <c r="J17247" s="26">
        <v>4.4000000000000003E-3</v>
      </c>
      <c r="K17247" s="26">
        <v>2.5899999999999999E-2</v>
      </c>
      <c r="L17247" s="26">
        <v>8.5000000000000006E-3</v>
      </c>
      <c r="M17247" s="26">
        <v>2.35E-2</v>
      </c>
      <c r="N17247" s="26">
        <v>9.2999999999999992E-3</v>
      </c>
      <c r="O17247" s="26">
        <v>5.8999999999999999E-3</v>
      </c>
      <c r="P17247" s="26">
        <v>8.0999999999999996E-3</v>
      </c>
      <c r="R17247">
        <v>326</v>
      </c>
    </row>
    <row r="17248" spans="1:18" x14ac:dyDescent="0.35">
      <c r="A17248" t="s">
        <v>228</v>
      </c>
      <c r="B17248" t="s">
        <v>238</v>
      </c>
      <c r="C17248" s="26">
        <v>0.77080000000000004</v>
      </c>
      <c r="D17248" s="26">
        <v>0.12609999999999999</v>
      </c>
      <c r="E17248" s="26">
        <v>3.9100000000000003E-2</v>
      </c>
      <c r="F17248" s="26">
        <v>4.3799999999999999E-2</v>
      </c>
      <c r="G17248" s="26">
        <v>3.3700000000000001E-2</v>
      </c>
      <c r="H17248" s="26">
        <v>1.66E-2</v>
      </c>
      <c r="I17248" s="26">
        <v>1.47E-2</v>
      </c>
      <c r="J17248" s="26">
        <v>1.5699999999999999E-2</v>
      </c>
      <c r="K17248" s="26">
        <v>1.6400000000000001E-2</v>
      </c>
      <c r="L17248" s="26">
        <v>6.6E-3</v>
      </c>
      <c r="M17248" s="26">
        <v>2.47E-2</v>
      </c>
      <c r="N17248" s="26">
        <v>1.6500000000000001E-2</v>
      </c>
      <c r="O17248" s="26">
        <v>2.9999999999999997E-4</v>
      </c>
      <c r="P17248" s="26">
        <v>4.3E-3</v>
      </c>
      <c r="Q17248" s="26">
        <v>1.1999999999999999E-3</v>
      </c>
      <c r="R17248">
        <v>687</v>
      </c>
    </row>
    <row r="17249" spans="1:18" x14ac:dyDescent="0.35">
      <c r="A17249" t="s">
        <v>229</v>
      </c>
      <c r="B17249" t="s">
        <v>239</v>
      </c>
      <c r="C17249" s="26">
        <v>0.755</v>
      </c>
      <c r="D17249" s="26">
        <v>0.1079</v>
      </c>
      <c r="E17249" s="26">
        <v>7.2599999999999998E-2</v>
      </c>
      <c r="F17249" s="26">
        <v>5.3499999999999999E-2</v>
      </c>
      <c r="G17249" s="26">
        <v>3.09E-2</v>
      </c>
      <c r="H17249" s="26">
        <v>2.5000000000000001E-2</v>
      </c>
      <c r="I17249" s="26">
        <v>1.15E-2</v>
      </c>
      <c r="J17249" s="26">
        <v>2.1700000000000001E-2</v>
      </c>
      <c r="K17249" s="26">
        <v>2.1399999999999999E-2</v>
      </c>
      <c r="L17249" s="26">
        <v>2.5700000000000001E-2</v>
      </c>
      <c r="M17249" s="26">
        <v>1.6899999999999998E-2</v>
      </c>
      <c r="N17249" s="26">
        <v>4.0000000000000001E-3</v>
      </c>
      <c r="O17249" s="26">
        <v>1.32E-2</v>
      </c>
      <c r="P17249" s="26">
        <v>1.1000000000000001E-3</v>
      </c>
      <c r="R17249">
        <v>319</v>
      </c>
    </row>
    <row r="17250" spans="1:18" x14ac:dyDescent="0.35">
      <c r="A17250" t="s">
        <v>229</v>
      </c>
      <c r="B17250" t="s">
        <v>238</v>
      </c>
      <c r="C17250" s="26">
        <v>0.70660000000000001</v>
      </c>
      <c r="D17250" s="26">
        <v>0.12280000000000001</v>
      </c>
      <c r="E17250" s="26">
        <v>3.7600000000000001E-2</v>
      </c>
      <c r="F17250" s="26">
        <v>5.3699999999999998E-2</v>
      </c>
      <c r="G17250" s="26">
        <v>6.2100000000000002E-2</v>
      </c>
      <c r="H17250" s="26">
        <v>3.9100000000000003E-2</v>
      </c>
      <c r="I17250" s="26">
        <v>2.1499999999999998E-2</v>
      </c>
      <c r="J17250" s="26">
        <v>1.04E-2</v>
      </c>
      <c r="K17250" s="26">
        <v>1.3899999999999999E-2</v>
      </c>
      <c r="L17250" s="26">
        <v>2.5999999999999999E-2</v>
      </c>
      <c r="M17250" s="26">
        <v>2.4299999999999999E-2</v>
      </c>
      <c r="N17250" s="26">
        <v>1.23E-2</v>
      </c>
      <c r="O17250" s="26">
        <v>3.5999999999999999E-3</v>
      </c>
      <c r="R17250">
        <v>548</v>
      </c>
    </row>
    <row r="17251" spans="1:18" x14ac:dyDescent="0.35">
      <c r="A17251" t="s">
        <v>230</v>
      </c>
      <c r="B17251" t="s">
        <v>239</v>
      </c>
      <c r="C17251" s="26">
        <v>0.6835</v>
      </c>
      <c r="D17251" s="26">
        <v>0.21929999999999999</v>
      </c>
      <c r="E17251" s="26">
        <v>8.2000000000000003E-2</v>
      </c>
      <c r="F17251" s="26">
        <v>0.15090000000000001</v>
      </c>
      <c r="G17251" s="26">
        <v>6.4100000000000004E-2</v>
      </c>
      <c r="H17251" s="26">
        <v>3.4500000000000003E-2</v>
      </c>
      <c r="I17251" s="26">
        <v>3.04E-2</v>
      </c>
      <c r="J17251" s="26">
        <v>2.1399999999999999E-2</v>
      </c>
      <c r="K17251" s="26">
        <v>8.9999999999999998E-4</v>
      </c>
      <c r="L17251" s="26">
        <v>8.0000000000000002E-3</v>
      </c>
      <c r="M17251" s="26">
        <v>1.83E-2</v>
      </c>
      <c r="N17251" s="26">
        <v>3.8999999999999998E-3</v>
      </c>
      <c r="P17251" s="26">
        <v>3.0999999999999999E-3</v>
      </c>
      <c r="R17251">
        <v>207</v>
      </c>
    </row>
    <row r="17252" spans="1:18" x14ac:dyDescent="0.35">
      <c r="A17252" t="s">
        <v>230</v>
      </c>
      <c r="B17252" t="s">
        <v>238</v>
      </c>
      <c r="C17252" s="26">
        <v>0.71150000000000002</v>
      </c>
      <c r="D17252" s="26">
        <v>0.1502</v>
      </c>
      <c r="E17252" s="26">
        <v>6.9400000000000003E-2</v>
      </c>
      <c r="F17252" s="26">
        <v>7.9100000000000004E-2</v>
      </c>
      <c r="G17252" s="26">
        <v>4.1700000000000001E-2</v>
      </c>
      <c r="H17252" s="26">
        <v>5.5199999999999999E-2</v>
      </c>
      <c r="I17252" s="26">
        <v>4.1700000000000001E-2</v>
      </c>
      <c r="K17252" s="26">
        <v>7.7999999999999996E-3</v>
      </c>
      <c r="L17252" s="26">
        <v>8.6E-3</v>
      </c>
      <c r="M17252" s="26">
        <v>2.1100000000000001E-2</v>
      </c>
      <c r="N17252" s="26">
        <v>1.72E-2</v>
      </c>
      <c r="O17252" s="26">
        <v>2.0999999999999999E-3</v>
      </c>
      <c r="P17252" s="26">
        <v>1.55E-2</v>
      </c>
      <c r="Q17252" s="26">
        <v>4.0000000000000002E-4</v>
      </c>
      <c r="R17252">
        <v>340</v>
      </c>
    </row>
    <row r="17253" spans="1:18" x14ac:dyDescent="0.35">
      <c r="A17253" t="s">
        <v>231</v>
      </c>
      <c r="B17253" t="s">
        <v>239</v>
      </c>
      <c r="C17253" s="26">
        <v>0.78949999999999998</v>
      </c>
      <c r="D17253" s="26">
        <v>5.2600000000000001E-2</v>
      </c>
      <c r="E17253" s="26">
        <v>8.77E-2</v>
      </c>
      <c r="F17253" s="26">
        <v>8.77E-2</v>
      </c>
      <c r="G17253" s="26">
        <v>1.7500000000000002E-2</v>
      </c>
      <c r="R17253">
        <v>57</v>
      </c>
    </row>
    <row r="17254" spans="1:18" x14ac:dyDescent="0.35">
      <c r="A17254" t="s">
        <v>231</v>
      </c>
      <c r="B17254" t="s">
        <v>238</v>
      </c>
      <c r="C17254" s="26">
        <v>0.78100000000000003</v>
      </c>
      <c r="D17254" s="26">
        <v>7.6200000000000004E-2</v>
      </c>
      <c r="E17254" s="26">
        <v>6.6699999999999995E-2</v>
      </c>
      <c r="F17254" s="26">
        <v>2.86E-2</v>
      </c>
      <c r="G17254" s="26">
        <v>4.7600000000000003E-2</v>
      </c>
      <c r="H17254" s="26">
        <v>1.9E-2</v>
      </c>
      <c r="I17254" s="26">
        <v>2.86E-2</v>
      </c>
      <c r="J17254" s="26">
        <v>1.9E-2</v>
      </c>
      <c r="K17254" s="26">
        <v>1.9E-2</v>
      </c>
      <c r="L17254" s="26">
        <v>9.4999999999999998E-3</v>
      </c>
      <c r="N17254" s="26">
        <v>9.4999999999999998E-3</v>
      </c>
      <c r="O17254" s="26">
        <v>9.4999999999999998E-3</v>
      </c>
      <c r="R17254">
        <v>105</v>
      </c>
    </row>
    <row r="17255" spans="1:18" x14ac:dyDescent="0.35">
      <c r="A17255" t="s">
        <v>232</v>
      </c>
      <c r="B17255" t="s">
        <v>232</v>
      </c>
      <c r="C17255" s="26">
        <v>0.73970000000000002</v>
      </c>
      <c r="D17255" s="26">
        <v>0.1208</v>
      </c>
      <c r="E17255" s="26">
        <v>5.6599999999999998E-2</v>
      </c>
      <c r="F17255" s="26">
        <v>5.6300000000000003E-2</v>
      </c>
      <c r="G17255" s="26">
        <v>4.7100000000000003E-2</v>
      </c>
      <c r="H17255" s="26">
        <v>3.0599999999999999E-2</v>
      </c>
      <c r="I17255" s="26">
        <v>2.07E-2</v>
      </c>
      <c r="J17255" s="26">
        <v>1.61E-2</v>
      </c>
      <c r="K17255" s="26">
        <v>1.4800000000000001E-2</v>
      </c>
      <c r="L17255" s="26">
        <v>1.3100000000000001E-2</v>
      </c>
      <c r="M17255" s="26">
        <v>1.2999999999999999E-2</v>
      </c>
      <c r="N17255" s="26">
        <v>8.6999999999999994E-3</v>
      </c>
      <c r="O17255" s="26">
        <v>3.8E-3</v>
      </c>
      <c r="P17255" s="26">
        <v>2.2000000000000001E-3</v>
      </c>
      <c r="Q17255" s="26">
        <v>2.0000000000000001E-4</v>
      </c>
      <c r="R17255">
        <v>2749</v>
      </c>
    </row>
    <row r="17257" spans="1:18" x14ac:dyDescent="0.35">
      <c r="A17257" s="1" t="s">
        <v>1781</v>
      </c>
    </row>
    <row r="17258" spans="1:18" x14ac:dyDescent="0.35">
      <c r="A17258" t="s">
        <v>219</v>
      </c>
      <c r="B17258" t="s">
        <v>305</v>
      </c>
      <c r="C17258" t="s">
        <v>1767</v>
      </c>
      <c r="D17258" t="s">
        <v>1768</v>
      </c>
      <c r="E17258" t="s">
        <v>1769</v>
      </c>
      <c r="F17258" t="s">
        <v>1770</v>
      </c>
      <c r="G17258" t="s">
        <v>1771</v>
      </c>
      <c r="H17258" t="s">
        <v>1772</v>
      </c>
      <c r="I17258" t="s">
        <v>1773</v>
      </c>
      <c r="J17258" t="s">
        <v>1774</v>
      </c>
      <c r="K17258" t="s">
        <v>1775</v>
      </c>
      <c r="L17258" t="s">
        <v>326</v>
      </c>
      <c r="M17258" t="s">
        <v>1776</v>
      </c>
      <c r="N17258" t="s">
        <v>1777</v>
      </c>
      <c r="O17258" t="s">
        <v>281</v>
      </c>
      <c r="P17258" t="s">
        <v>1778</v>
      </c>
      <c r="Q17258" t="s">
        <v>286</v>
      </c>
      <c r="R17258" t="s">
        <v>226</v>
      </c>
    </row>
    <row r="17259" spans="1:18" x14ac:dyDescent="0.35">
      <c r="A17259" t="s">
        <v>227</v>
      </c>
      <c r="B17259" t="s">
        <v>244</v>
      </c>
      <c r="C17259" s="26">
        <v>0.6421</v>
      </c>
      <c r="D17259" s="26">
        <v>0.1789</v>
      </c>
      <c r="E17259" s="26">
        <v>6.3200000000000006E-2</v>
      </c>
      <c r="F17259" s="26">
        <v>6.3200000000000006E-2</v>
      </c>
      <c r="G17259" s="26">
        <v>8.4199999999999997E-2</v>
      </c>
      <c r="H17259" s="26">
        <v>8.4199999999999997E-2</v>
      </c>
      <c r="I17259" s="26">
        <v>4.2099999999999999E-2</v>
      </c>
      <c r="J17259" s="26">
        <v>4.2099999999999999E-2</v>
      </c>
      <c r="K17259" s="26">
        <v>1.0500000000000001E-2</v>
      </c>
      <c r="R17259">
        <v>95</v>
      </c>
    </row>
    <row r="17260" spans="1:18" x14ac:dyDescent="0.35">
      <c r="A17260" t="s">
        <v>227</v>
      </c>
      <c r="B17260" t="s">
        <v>245</v>
      </c>
      <c r="C17260" s="26">
        <v>0.77359999999999995</v>
      </c>
      <c r="D17260" s="26">
        <v>0.20749999999999999</v>
      </c>
      <c r="E17260" s="26">
        <v>3.7699999999999997E-2</v>
      </c>
      <c r="F17260" s="26">
        <v>3.7699999999999997E-2</v>
      </c>
      <c r="H17260" s="26">
        <v>1.89E-2</v>
      </c>
      <c r="J17260" s="26">
        <v>1.89E-2</v>
      </c>
      <c r="L17260" s="26">
        <v>1.89E-2</v>
      </c>
      <c r="R17260">
        <v>53</v>
      </c>
    </row>
    <row r="17261" spans="1:18" x14ac:dyDescent="0.35">
      <c r="A17261" s="27" t="s">
        <v>227</v>
      </c>
      <c r="B17261" s="27" t="s">
        <v>246</v>
      </c>
      <c r="C17261" s="28">
        <v>0.66669999999999996</v>
      </c>
      <c r="D17261" s="28">
        <v>0.16669999999999999</v>
      </c>
      <c r="E17261" s="29"/>
      <c r="F17261" s="28">
        <v>8.3299999999999999E-2</v>
      </c>
      <c r="G17261" s="28">
        <v>0.16669999999999999</v>
      </c>
      <c r="H17261" s="29"/>
      <c r="I17261" s="29"/>
      <c r="J17261" s="28">
        <v>8.3299999999999999E-2</v>
      </c>
      <c r="K17261" s="28">
        <v>0.16669999999999999</v>
      </c>
      <c r="L17261" s="28">
        <v>8.3299999999999999E-2</v>
      </c>
      <c r="M17261" s="29"/>
      <c r="N17261" s="29"/>
      <c r="O17261" s="29"/>
      <c r="P17261" s="29"/>
      <c r="Q17261" s="29"/>
      <c r="R17261" s="29" t="s">
        <v>342</v>
      </c>
    </row>
    <row r="17262" spans="1:18" x14ac:dyDescent="0.35">
      <c r="A17262" t="s">
        <v>228</v>
      </c>
      <c r="B17262" t="s">
        <v>244</v>
      </c>
      <c r="C17262" s="26">
        <v>0.76970000000000005</v>
      </c>
      <c r="D17262" s="26">
        <v>0.13039999999999999</v>
      </c>
      <c r="E17262" s="26">
        <v>4.2999999999999997E-2</v>
      </c>
      <c r="F17262" s="26">
        <v>4.6800000000000001E-2</v>
      </c>
      <c r="G17262" s="26">
        <v>2.1899999999999999E-2</v>
      </c>
      <c r="H17262" s="26">
        <v>2.3E-2</v>
      </c>
      <c r="I17262" s="26">
        <v>1.95E-2</v>
      </c>
      <c r="J17262" s="26">
        <v>9.2999999999999992E-3</v>
      </c>
      <c r="K17262" s="26">
        <v>1.7000000000000001E-2</v>
      </c>
      <c r="L17262" s="26">
        <v>8.2000000000000007E-3</v>
      </c>
      <c r="M17262" s="26">
        <v>2.5499999999999998E-2</v>
      </c>
      <c r="N17262" s="26">
        <v>1.1599999999999999E-2</v>
      </c>
      <c r="O17262" s="26">
        <v>4.0000000000000002E-4</v>
      </c>
      <c r="P17262" s="26">
        <v>7.7000000000000002E-3</v>
      </c>
      <c r="Q17262" s="26">
        <v>8.0000000000000004E-4</v>
      </c>
      <c r="R17262">
        <v>629</v>
      </c>
    </row>
    <row r="17263" spans="1:18" x14ac:dyDescent="0.35">
      <c r="A17263" t="s">
        <v>228</v>
      </c>
      <c r="B17263" t="s">
        <v>245</v>
      </c>
      <c r="C17263" s="26">
        <v>0.78700000000000003</v>
      </c>
      <c r="D17263" s="26">
        <v>9.9199999999999997E-2</v>
      </c>
      <c r="E17263" s="26">
        <v>3.2800000000000003E-2</v>
      </c>
      <c r="F17263" s="26">
        <v>5.1400000000000001E-2</v>
      </c>
      <c r="G17263" s="26">
        <v>2.7E-2</v>
      </c>
      <c r="H17263" s="26">
        <v>1.89E-2</v>
      </c>
      <c r="I17263" s="26">
        <v>8.9999999999999998E-4</v>
      </c>
      <c r="J17263" s="26">
        <v>1.4E-2</v>
      </c>
      <c r="L17263" s="26">
        <v>5.8999999999999999E-3</v>
      </c>
      <c r="M17263" s="26">
        <v>2.6700000000000002E-2</v>
      </c>
      <c r="N17263" s="26">
        <v>2.1000000000000001E-2</v>
      </c>
      <c r="O17263" s="26">
        <v>4.4999999999999997E-3</v>
      </c>
      <c r="Q17263" s="26">
        <v>1.5E-3</v>
      </c>
      <c r="R17263">
        <v>318</v>
      </c>
    </row>
    <row r="17264" spans="1:18" x14ac:dyDescent="0.35">
      <c r="A17264" t="s">
        <v>228</v>
      </c>
      <c r="B17264" t="s">
        <v>246</v>
      </c>
      <c r="C17264" s="26">
        <v>0.65190000000000003</v>
      </c>
      <c r="D17264" s="26">
        <v>0.124</v>
      </c>
      <c r="E17264" s="26">
        <v>8.4699999999999998E-2</v>
      </c>
      <c r="F17264" s="26">
        <v>4.8399999999999999E-2</v>
      </c>
      <c r="G17264" s="26">
        <v>0.24379999999999999</v>
      </c>
      <c r="I17264" s="26">
        <v>1.72E-2</v>
      </c>
      <c r="J17264" s="26">
        <v>4.8800000000000003E-2</v>
      </c>
      <c r="K17264" s="26">
        <v>0.1038</v>
      </c>
      <c r="M17264" s="26">
        <v>6.1000000000000004E-3</v>
      </c>
      <c r="N17264" s="26">
        <v>2.3199999999999998E-2</v>
      </c>
      <c r="R17264">
        <v>66</v>
      </c>
    </row>
    <row r="17265" spans="1:18" x14ac:dyDescent="0.35">
      <c r="A17265" t="s">
        <v>229</v>
      </c>
      <c r="B17265" t="s">
        <v>244</v>
      </c>
      <c r="C17265" s="26">
        <v>0.69879999999999998</v>
      </c>
      <c r="D17265" s="26">
        <v>0.13289999999999999</v>
      </c>
      <c r="E17265" s="26">
        <v>4.53E-2</v>
      </c>
      <c r="F17265" s="26">
        <v>4.9799999999999997E-2</v>
      </c>
      <c r="G17265" s="26">
        <v>5.5899999999999998E-2</v>
      </c>
      <c r="H17265" s="26">
        <v>2.63E-2</v>
      </c>
      <c r="I17265" s="26">
        <v>2.3E-2</v>
      </c>
      <c r="J17265" s="26">
        <v>9.4999999999999998E-3</v>
      </c>
      <c r="K17265" s="26">
        <v>1.8599999999999998E-2</v>
      </c>
      <c r="L17265" s="26">
        <v>3.6999999999999998E-2</v>
      </c>
      <c r="M17265" s="26">
        <v>1.6500000000000001E-2</v>
      </c>
      <c r="N17265" s="26">
        <v>6.4999999999999997E-3</v>
      </c>
      <c r="O17265" s="26">
        <v>4.7000000000000002E-3</v>
      </c>
      <c r="P17265" s="26">
        <v>2.9999999999999997E-4</v>
      </c>
      <c r="R17265">
        <v>540</v>
      </c>
    </row>
    <row r="17266" spans="1:18" x14ac:dyDescent="0.35">
      <c r="A17266" t="s">
        <v>229</v>
      </c>
      <c r="B17266" t="s">
        <v>245</v>
      </c>
      <c r="C17266" s="26">
        <v>0.77490000000000003</v>
      </c>
      <c r="D17266" s="26">
        <v>6.13E-2</v>
      </c>
      <c r="E17266" s="26">
        <v>5.7799999999999997E-2</v>
      </c>
      <c r="F17266" s="26">
        <v>5.5199999999999999E-2</v>
      </c>
      <c r="G17266" s="26">
        <v>2.47E-2</v>
      </c>
      <c r="H17266" s="26">
        <v>3.49E-2</v>
      </c>
      <c r="I17266" s="26">
        <v>1.2200000000000001E-2</v>
      </c>
      <c r="J17266" s="26">
        <v>1.35E-2</v>
      </c>
      <c r="L17266" s="26">
        <v>1.6999999999999999E-3</v>
      </c>
      <c r="M17266" s="26">
        <v>3.32E-2</v>
      </c>
      <c r="N17266" s="26">
        <v>2.23E-2</v>
      </c>
      <c r="O17266" s="26">
        <v>1.09E-2</v>
      </c>
      <c r="R17266">
        <v>283</v>
      </c>
    </row>
    <row r="17267" spans="1:18" x14ac:dyDescent="0.35">
      <c r="A17267" t="s">
        <v>229</v>
      </c>
      <c r="B17267" t="s">
        <v>246</v>
      </c>
      <c r="C17267" s="26">
        <v>0.71230000000000004</v>
      </c>
      <c r="D17267" s="26">
        <v>0.21049999999999999</v>
      </c>
      <c r="E17267" s="26">
        <v>9.4999999999999998E-3</v>
      </c>
      <c r="F17267" s="26">
        <v>9.4399999999999998E-2</v>
      </c>
      <c r="G17267" s="26">
        <v>0.16839999999999999</v>
      </c>
      <c r="H17267" s="26">
        <v>0.154</v>
      </c>
      <c r="J17267" s="26">
        <v>5.96E-2</v>
      </c>
      <c r="K17267" s="26">
        <v>5.3400000000000003E-2</v>
      </c>
      <c r="M17267" s="26">
        <v>4.7199999999999999E-2</v>
      </c>
      <c r="P17267" s="26">
        <v>1.8E-3</v>
      </c>
      <c r="R17267">
        <v>44</v>
      </c>
    </row>
    <row r="17268" spans="1:18" x14ac:dyDescent="0.35">
      <c r="A17268" t="s">
        <v>230</v>
      </c>
      <c r="B17268" t="s">
        <v>244</v>
      </c>
      <c r="C17268" s="26">
        <v>0.74219999999999997</v>
      </c>
      <c r="D17268" s="26">
        <v>0.15140000000000001</v>
      </c>
      <c r="E17268" s="26">
        <v>6.7500000000000004E-2</v>
      </c>
      <c r="F17268" s="26">
        <v>8.8900000000000007E-2</v>
      </c>
      <c r="G17268" s="26">
        <v>5.9200000000000003E-2</v>
      </c>
      <c r="H17268" s="26">
        <v>4.7899999999999998E-2</v>
      </c>
      <c r="I17268" s="26">
        <v>2.1700000000000001E-2</v>
      </c>
      <c r="J17268" s="26">
        <v>1.2999999999999999E-3</v>
      </c>
      <c r="K17268" s="26">
        <v>8.3000000000000001E-3</v>
      </c>
      <c r="L17268" s="26">
        <v>1.0699999999999999E-2</v>
      </c>
      <c r="M17268" s="26">
        <v>1.84E-2</v>
      </c>
      <c r="O17268" s="26">
        <v>4.0000000000000002E-4</v>
      </c>
      <c r="R17268">
        <v>361</v>
      </c>
    </row>
    <row r="17269" spans="1:18" x14ac:dyDescent="0.35">
      <c r="A17269" t="s">
        <v>230</v>
      </c>
      <c r="B17269" t="s">
        <v>245</v>
      </c>
      <c r="C17269" s="26">
        <v>0.63490000000000002</v>
      </c>
      <c r="D17269" s="26">
        <v>0.18340000000000001</v>
      </c>
      <c r="E17269" s="26">
        <v>9.3299999999999994E-2</v>
      </c>
      <c r="F17269" s="26">
        <v>8.5400000000000004E-2</v>
      </c>
      <c r="G17269" s="26">
        <v>6.8999999999999999E-3</v>
      </c>
      <c r="H17269" s="26">
        <v>3.9300000000000002E-2</v>
      </c>
      <c r="I17269" s="26">
        <v>4.3799999999999999E-2</v>
      </c>
      <c r="M17269" s="26">
        <v>2.8799999999999999E-2</v>
      </c>
      <c r="N17269" s="26">
        <v>4.7300000000000002E-2</v>
      </c>
      <c r="O17269" s="26">
        <v>4.4999999999999997E-3</v>
      </c>
      <c r="P17269" s="26">
        <v>4.5199999999999997E-2</v>
      </c>
      <c r="Q17269" s="26">
        <v>1.1000000000000001E-3</v>
      </c>
      <c r="R17269">
        <v>159</v>
      </c>
    </row>
    <row r="17270" spans="1:18" x14ac:dyDescent="0.35">
      <c r="A17270" s="27" t="s">
        <v>230</v>
      </c>
      <c r="B17270" s="27" t="s">
        <v>246</v>
      </c>
      <c r="C17270" s="28">
        <v>0.49159999999999998</v>
      </c>
      <c r="D17270" s="28">
        <v>0.40360000000000001</v>
      </c>
      <c r="E17270" s="28">
        <v>4.1799999999999997E-2</v>
      </c>
      <c r="F17270" s="28">
        <v>0.37609999999999999</v>
      </c>
      <c r="G17270" s="28">
        <v>0.12540000000000001</v>
      </c>
      <c r="H17270" s="28">
        <v>0.12540000000000001</v>
      </c>
      <c r="I17270" s="28">
        <v>0.27189999999999998</v>
      </c>
      <c r="J17270" s="28">
        <v>0.12540000000000001</v>
      </c>
      <c r="K17270" s="29"/>
      <c r="L17270" s="28">
        <v>2.12E-2</v>
      </c>
      <c r="M17270" s="29"/>
      <c r="N17270" s="28">
        <v>2.07E-2</v>
      </c>
      <c r="O17270" s="29"/>
      <c r="P17270" s="29"/>
      <c r="Q17270" s="29"/>
      <c r="R17270" s="29" t="s">
        <v>338</v>
      </c>
    </row>
    <row r="17271" spans="1:18" x14ac:dyDescent="0.35">
      <c r="A17271" t="s">
        <v>231</v>
      </c>
      <c r="B17271" t="s">
        <v>244</v>
      </c>
      <c r="C17271" s="26">
        <v>0.78949999999999998</v>
      </c>
      <c r="D17271" s="26">
        <v>7.3700000000000002E-2</v>
      </c>
      <c r="E17271" s="26">
        <v>7.3700000000000002E-2</v>
      </c>
      <c r="F17271" s="26">
        <v>5.2600000000000001E-2</v>
      </c>
      <c r="G17271" s="26">
        <v>4.2099999999999999E-2</v>
      </c>
      <c r="H17271" s="26">
        <v>1.0500000000000001E-2</v>
      </c>
      <c r="I17271" s="26">
        <v>2.1100000000000001E-2</v>
      </c>
      <c r="J17271" s="26">
        <v>2.1100000000000001E-2</v>
      </c>
      <c r="K17271" s="26">
        <v>1.0500000000000001E-2</v>
      </c>
      <c r="N17271" s="26">
        <v>1.0500000000000001E-2</v>
      </c>
      <c r="R17271">
        <v>95</v>
      </c>
    </row>
    <row r="17272" spans="1:18" x14ac:dyDescent="0.35">
      <c r="A17272" t="s">
        <v>231</v>
      </c>
      <c r="B17272" t="s">
        <v>245</v>
      </c>
      <c r="C17272" s="26">
        <v>0.79630000000000001</v>
      </c>
      <c r="D17272" s="26">
        <v>5.5599999999999997E-2</v>
      </c>
      <c r="E17272" s="26">
        <v>5.5599999999999997E-2</v>
      </c>
      <c r="F17272" s="26">
        <v>3.6999999999999998E-2</v>
      </c>
      <c r="G17272" s="26">
        <v>1.8499999999999999E-2</v>
      </c>
      <c r="H17272" s="26">
        <v>1.8499999999999999E-2</v>
      </c>
      <c r="I17272" s="26">
        <v>1.8499999999999999E-2</v>
      </c>
      <c r="K17272" s="26">
        <v>1.8499999999999999E-2</v>
      </c>
      <c r="L17272" s="26">
        <v>1.8499999999999999E-2</v>
      </c>
      <c r="O17272" s="26">
        <v>1.8499999999999999E-2</v>
      </c>
      <c r="R17272">
        <v>54</v>
      </c>
    </row>
    <row r="17273" spans="1:18" x14ac:dyDescent="0.35">
      <c r="A17273" s="27" t="s">
        <v>231</v>
      </c>
      <c r="B17273" s="27" t="s">
        <v>246</v>
      </c>
      <c r="C17273" s="28">
        <v>0.69230000000000003</v>
      </c>
      <c r="D17273" s="28">
        <v>7.6899999999999996E-2</v>
      </c>
      <c r="E17273" s="28">
        <v>0.15379999999999999</v>
      </c>
      <c r="F17273" s="28">
        <v>7.6899999999999996E-2</v>
      </c>
      <c r="G17273" s="28">
        <v>7.6899999999999996E-2</v>
      </c>
      <c r="H17273" s="29"/>
      <c r="I17273" s="29"/>
      <c r="J17273" s="29"/>
      <c r="K17273" s="29"/>
      <c r="L17273" s="29"/>
      <c r="M17273" s="29"/>
      <c r="N17273" s="29"/>
      <c r="O17273" s="29"/>
      <c r="P17273" s="29"/>
      <c r="Q17273" s="29"/>
      <c r="R17273" s="29" t="s">
        <v>341</v>
      </c>
    </row>
    <row r="17274" spans="1:18" x14ac:dyDescent="0.35">
      <c r="A17274" t="s">
        <v>232</v>
      </c>
      <c r="B17274" t="s">
        <v>232</v>
      </c>
      <c r="C17274" s="26">
        <v>0.73970000000000002</v>
      </c>
      <c r="D17274" s="26">
        <v>0.1208</v>
      </c>
      <c r="E17274" s="26">
        <v>5.6599999999999998E-2</v>
      </c>
      <c r="F17274" s="26">
        <v>5.6300000000000003E-2</v>
      </c>
      <c r="G17274" s="26">
        <v>4.7100000000000003E-2</v>
      </c>
      <c r="H17274" s="26">
        <v>3.0599999999999999E-2</v>
      </c>
      <c r="I17274" s="26">
        <v>2.07E-2</v>
      </c>
      <c r="J17274" s="26">
        <v>1.61E-2</v>
      </c>
      <c r="K17274" s="26">
        <v>1.4800000000000001E-2</v>
      </c>
      <c r="L17274" s="26">
        <v>1.3100000000000001E-2</v>
      </c>
      <c r="M17274" s="26">
        <v>1.2999999999999999E-2</v>
      </c>
      <c r="N17274" s="26">
        <v>8.6999999999999994E-3</v>
      </c>
      <c r="O17274" s="26">
        <v>3.8E-3</v>
      </c>
      <c r="P17274" s="26">
        <v>2.2000000000000001E-3</v>
      </c>
      <c r="Q17274" s="26">
        <v>2.0000000000000001E-4</v>
      </c>
      <c r="R17274">
        <v>2749</v>
      </c>
    </row>
    <row r="17276" spans="1:18" x14ac:dyDescent="0.35">
      <c r="A17276" s="1" t="s">
        <v>1782</v>
      </c>
    </row>
    <row r="17277" spans="1:18" x14ac:dyDescent="0.35">
      <c r="A17277" t="s">
        <v>219</v>
      </c>
      <c r="B17277" t="s">
        <v>305</v>
      </c>
      <c r="C17277" t="s">
        <v>1767</v>
      </c>
      <c r="D17277" t="s">
        <v>1768</v>
      </c>
      <c r="E17277" t="s">
        <v>1769</v>
      </c>
      <c r="F17277" t="s">
        <v>1770</v>
      </c>
      <c r="G17277" t="s">
        <v>1771</v>
      </c>
      <c r="H17277" t="s">
        <v>1772</v>
      </c>
      <c r="I17277" t="s">
        <v>1773</v>
      </c>
      <c r="J17277" t="s">
        <v>1774</v>
      </c>
      <c r="K17277" t="s">
        <v>1775</v>
      </c>
      <c r="L17277" t="s">
        <v>326</v>
      </c>
      <c r="M17277" t="s">
        <v>1776</v>
      </c>
      <c r="N17277" t="s">
        <v>1777</v>
      </c>
      <c r="O17277" t="s">
        <v>281</v>
      </c>
      <c r="P17277" t="s">
        <v>1778</v>
      </c>
      <c r="Q17277" t="s">
        <v>286</v>
      </c>
      <c r="R17277" t="s">
        <v>226</v>
      </c>
    </row>
    <row r="17278" spans="1:18" x14ac:dyDescent="0.35">
      <c r="A17278" t="s">
        <v>227</v>
      </c>
      <c r="B17278" t="s">
        <v>360</v>
      </c>
      <c r="C17278" s="26">
        <v>0.65790000000000004</v>
      </c>
      <c r="D17278" s="26">
        <v>0.1842</v>
      </c>
      <c r="E17278" s="26">
        <v>7.8899999999999998E-2</v>
      </c>
      <c r="F17278" s="26">
        <v>7.8899999999999998E-2</v>
      </c>
      <c r="G17278" s="26">
        <v>7.8899999999999998E-2</v>
      </c>
      <c r="I17278" s="26">
        <v>2.63E-2</v>
      </c>
      <c r="J17278" s="26">
        <v>2.63E-2</v>
      </c>
      <c r="K17278" s="26">
        <v>2.63E-2</v>
      </c>
      <c r="L17278" s="26">
        <v>5.2600000000000001E-2</v>
      </c>
      <c r="R17278">
        <v>38</v>
      </c>
    </row>
    <row r="17279" spans="1:18" x14ac:dyDescent="0.35">
      <c r="A17279" t="s">
        <v>227</v>
      </c>
      <c r="B17279" t="s">
        <v>361</v>
      </c>
      <c r="C17279" s="26">
        <v>0.78120000000000001</v>
      </c>
      <c r="D17279" s="26">
        <v>0.15620000000000001</v>
      </c>
      <c r="F17279" s="26">
        <v>9.3799999999999994E-2</v>
      </c>
      <c r="G17279" s="26">
        <v>3.1199999999999999E-2</v>
      </c>
      <c r="H17279" s="26">
        <v>3.1199999999999999E-2</v>
      </c>
      <c r="J17279" s="26">
        <v>3.1199999999999999E-2</v>
      </c>
      <c r="R17279">
        <v>32</v>
      </c>
    </row>
    <row r="17280" spans="1:18" x14ac:dyDescent="0.35">
      <c r="A17280" t="s">
        <v>227</v>
      </c>
      <c r="B17280" t="s">
        <v>362</v>
      </c>
      <c r="C17280" s="26">
        <v>0.70269999999999999</v>
      </c>
      <c r="D17280" s="26">
        <v>0.18920000000000001</v>
      </c>
      <c r="E17280" s="26">
        <v>5.4100000000000002E-2</v>
      </c>
      <c r="F17280" s="26">
        <v>5.4100000000000002E-2</v>
      </c>
      <c r="G17280" s="26">
        <v>5.4100000000000002E-2</v>
      </c>
      <c r="H17280" s="26">
        <v>0.1351</v>
      </c>
      <c r="I17280" s="26">
        <v>5.4100000000000002E-2</v>
      </c>
      <c r="J17280" s="26">
        <v>2.7E-2</v>
      </c>
      <c r="R17280">
        <v>37</v>
      </c>
    </row>
    <row r="17281" spans="1:18" x14ac:dyDescent="0.35">
      <c r="A17281" t="s">
        <v>227</v>
      </c>
      <c r="B17281" t="s">
        <v>363</v>
      </c>
      <c r="C17281" s="26">
        <v>0.62219999999999998</v>
      </c>
      <c r="D17281" s="26">
        <v>0.2</v>
      </c>
      <c r="E17281" s="26">
        <v>4.4400000000000002E-2</v>
      </c>
      <c r="F17281" s="26">
        <v>2.2200000000000001E-2</v>
      </c>
      <c r="G17281" s="26">
        <v>8.8900000000000007E-2</v>
      </c>
      <c r="H17281" s="26">
        <v>6.6699999999999995E-2</v>
      </c>
      <c r="I17281" s="26">
        <v>2.2200000000000001E-2</v>
      </c>
      <c r="J17281" s="26">
        <v>6.6699999999999995E-2</v>
      </c>
      <c r="K17281" s="26">
        <v>4.4400000000000002E-2</v>
      </c>
      <c r="R17281">
        <v>45</v>
      </c>
    </row>
    <row r="17282" spans="1:18" x14ac:dyDescent="0.35">
      <c r="A17282" t="s">
        <v>228</v>
      </c>
      <c r="B17282" t="s">
        <v>360</v>
      </c>
      <c r="C17282" s="26">
        <v>0.71930000000000005</v>
      </c>
      <c r="D17282" s="26">
        <v>9.1300000000000006E-2</v>
      </c>
      <c r="E17282" s="26">
        <v>5.6899999999999999E-2</v>
      </c>
      <c r="F17282" s="26">
        <v>7.4300000000000005E-2</v>
      </c>
      <c r="G17282" s="26">
        <v>8.0199999999999994E-2</v>
      </c>
      <c r="H17282" s="26">
        <v>1.9599999999999999E-2</v>
      </c>
      <c r="I17282" s="26">
        <v>8.3000000000000001E-3</v>
      </c>
      <c r="J17282" s="26">
        <v>4.0099999999999997E-2</v>
      </c>
      <c r="K17282" s="26">
        <v>4.2999999999999997E-2</v>
      </c>
      <c r="L17282" s="26">
        <v>5.7999999999999996E-3</v>
      </c>
      <c r="M17282" s="26">
        <v>4.0500000000000001E-2</v>
      </c>
      <c r="N17282" s="26">
        <v>3.0200000000000001E-2</v>
      </c>
      <c r="O17282" s="26">
        <v>6.1999999999999998E-3</v>
      </c>
      <c r="P17282" s="26">
        <v>8.6E-3</v>
      </c>
      <c r="R17282">
        <v>251</v>
      </c>
    </row>
    <row r="17283" spans="1:18" x14ac:dyDescent="0.35">
      <c r="A17283" t="s">
        <v>228</v>
      </c>
      <c r="B17283" t="s">
        <v>361</v>
      </c>
      <c r="C17283" s="26">
        <v>0.83150000000000002</v>
      </c>
      <c r="D17283" s="26">
        <v>9.5399999999999999E-2</v>
      </c>
      <c r="E17283" s="26">
        <v>2.5999999999999999E-2</v>
      </c>
      <c r="F17283" s="26">
        <v>2.86E-2</v>
      </c>
      <c r="G17283" s="26">
        <v>1.21E-2</v>
      </c>
      <c r="H17283" s="26">
        <v>1.84E-2</v>
      </c>
      <c r="I17283" s="26">
        <v>1.9900000000000001E-2</v>
      </c>
      <c r="M17283" s="26">
        <v>2.3E-2</v>
      </c>
      <c r="N17283" s="26">
        <v>8.5000000000000006E-3</v>
      </c>
      <c r="R17283">
        <v>191</v>
      </c>
    </row>
    <row r="17284" spans="1:18" x14ac:dyDescent="0.35">
      <c r="A17284" t="s">
        <v>228</v>
      </c>
      <c r="B17284" t="s">
        <v>363</v>
      </c>
      <c r="C17284" s="26">
        <v>0.7681</v>
      </c>
      <c r="D17284" s="26">
        <v>0.15809999999999999</v>
      </c>
      <c r="E17284" s="26">
        <v>3.1800000000000002E-2</v>
      </c>
      <c r="F17284" s="26">
        <v>3.8100000000000002E-2</v>
      </c>
      <c r="G17284" s="26">
        <v>4.8599999999999997E-2</v>
      </c>
      <c r="H17284" s="26">
        <v>8.6E-3</v>
      </c>
      <c r="I17284" s="26">
        <v>2.4E-2</v>
      </c>
      <c r="J17284" s="26">
        <v>4.8999999999999998E-3</v>
      </c>
      <c r="K17284" s="26">
        <v>0.02</v>
      </c>
      <c r="L17284" s="26">
        <v>1.5100000000000001E-2</v>
      </c>
      <c r="M17284" s="26">
        <v>2.0299999999999999E-2</v>
      </c>
      <c r="O17284" s="26">
        <v>1E-3</v>
      </c>
      <c r="R17284">
        <v>208</v>
      </c>
    </row>
    <row r="17285" spans="1:18" x14ac:dyDescent="0.35">
      <c r="A17285" t="s">
        <v>228</v>
      </c>
      <c r="B17285" t="s">
        <v>362</v>
      </c>
      <c r="C17285" s="26">
        <v>0.70789999999999997</v>
      </c>
      <c r="D17285" s="26">
        <v>0.17380000000000001</v>
      </c>
      <c r="E17285" s="26">
        <v>6.7199999999999996E-2</v>
      </c>
      <c r="F17285" s="26">
        <v>6.8500000000000005E-2</v>
      </c>
      <c r="G17285" s="26">
        <v>2.3699999999999999E-2</v>
      </c>
      <c r="H17285" s="26">
        <v>4.1399999999999999E-2</v>
      </c>
      <c r="I17285" s="26">
        <v>7.6E-3</v>
      </c>
      <c r="J17285" s="26">
        <v>1.29E-2</v>
      </c>
      <c r="K17285" s="26">
        <v>2.06E-2</v>
      </c>
      <c r="L17285" s="26">
        <v>9.5999999999999992E-3</v>
      </c>
      <c r="M17285" s="26">
        <v>3.5999999999999999E-3</v>
      </c>
      <c r="N17285" s="26">
        <v>2.69E-2</v>
      </c>
      <c r="P17285" s="26">
        <v>1.46E-2</v>
      </c>
      <c r="Q17285" s="26">
        <v>1.8E-3</v>
      </c>
      <c r="R17285">
        <v>234</v>
      </c>
    </row>
    <row r="17286" spans="1:18" x14ac:dyDescent="0.35">
      <c r="A17286" t="s">
        <v>229</v>
      </c>
      <c r="B17286" t="s">
        <v>363</v>
      </c>
      <c r="C17286" s="26">
        <v>0.70940000000000003</v>
      </c>
      <c r="D17286" s="26">
        <v>7.22E-2</v>
      </c>
      <c r="E17286" s="26">
        <v>4.53E-2</v>
      </c>
      <c r="F17286" s="26">
        <v>7.2999999999999995E-2</v>
      </c>
      <c r="G17286" s="26">
        <v>4.8500000000000001E-2</v>
      </c>
      <c r="H17286" s="26">
        <v>4.8399999999999999E-2</v>
      </c>
      <c r="I17286" s="26">
        <v>1.9E-2</v>
      </c>
      <c r="J17286" s="26">
        <v>1.43E-2</v>
      </c>
      <c r="K17286" s="26">
        <v>3.1399999999999997E-2</v>
      </c>
      <c r="L17286" s="26">
        <v>6.9800000000000001E-2</v>
      </c>
      <c r="M17286" s="26">
        <v>5.7000000000000002E-3</v>
      </c>
      <c r="N17286" s="26">
        <v>1.9E-3</v>
      </c>
      <c r="O17286" s="26">
        <v>1.9E-3</v>
      </c>
      <c r="R17286">
        <v>183</v>
      </c>
    </row>
    <row r="17287" spans="1:18" x14ac:dyDescent="0.35">
      <c r="A17287" t="s">
        <v>229</v>
      </c>
      <c r="B17287" t="s">
        <v>360</v>
      </c>
      <c r="C17287" s="26">
        <v>0.61550000000000005</v>
      </c>
      <c r="D17287" s="26">
        <v>0.2001</v>
      </c>
      <c r="E17287" s="26">
        <v>7.6100000000000001E-2</v>
      </c>
      <c r="F17287" s="26">
        <v>5.5599999999999997E-2</v>
      </c>
      <c r="G17287" s="26">
        <v>7.2700000000000001E-2</v>
      </c>
      <c r="H17287" s="26">
        <v>2.2200000000000001E-2</v>
      </c>
      <c r="I17287" s="26">
        <v>3.3300000000000003E-2</v>
      </c>
      <c r="J17287" s="26">
        <v>5.5999999999999999E-3</v>
      </c>
      <c r="K17287" s="26">
        <v>2.2800000000000001E-2</v>
      </c>
      <c r="L17287" s="26">
        <v>6.6E-3</v>
      </c>
      <c r="M17287" s="26">
        <v>2.2200000000000001E-2</v>
      </c>
      <c r="N17287" s="26">
        <v>1.66E-2</v>
      </c>
      <c r="O17287" s="26">
        <v>1.7899999999999999E-2</v>
      </c>
      <c r="P17287" s="26">
        <v>1.8E-3</v>
      </c>
      <c r="R17287">
        <v>160</v>
      </c>
    </row>
    <row r="17288" spans="1:18" x14ac:dyDescent="0.35">
      <c r="A17288" t="s">
        <v>229</v>
      </c>
      <c r="B17288" t="s">
        <v>361</v>
      </c>
      <c r="C17288" s="26">
        <v>0.71350000000000002</v>
      </c>
      <c r="D17288" s="26">
        <v>0.122</v>
      </c>
      <c r="E17288" s="26">
        <v>4.3999999999999997E-2</v>
      </c>
      <c r="F17288" s="26">
        <v>4.3299999999999998E-2</v>
      </c>
      <c r="G17288" s="26">
        <v>6.3299999999999995E-2</v>
      </c>
      <c r="H17288" s="26">
        <v>5.0700000000000002E-2</v>
      </c>
      <c r="I17288" s="26">
        <v>1.6500000000000001E-2</v>
      </c>
      <c r="J17288" s="26">
        <v>2.4299999999999999E-2</v>
      </c>
      <c r="L17288" s="26">
        <v>2.9000000000000001E-2</v>
      </c>
      <c r="M17288" s="26">
        <v>4.6800000000000001E-2</v>
      </c>
      <c r="N17288" s="26">
        <v>1.6500000000000001E-2</v>
      </c>
      <c r="O17288" s="26">
        <v>6.8999999999999999E-3</v>
      </c>
      <c r="R17288">
        <v>234</v>
      </c>
    </row>
    <row r="17289" spans="1:18" x14ac:dyDescent="0.35">
      <c r="A17289" t="s">
        <v>229</v>
      </c>
      <c r="B17289" t="s">
        <v>362</v>
      </c>
      <c r="C17289" s="26">
        <v>0.81810000000000005</v>
      </c>
      <c r="D17289" s="26">
        <v>0.104</v>
      </c>
      <c r="E17289" s="26">
        <v>5.04E-2</v>
      </c>
      <c r="F17289" s="26">
        <v>5.1299999999999998E-2</v>
      </c>
      <c r="G17289" s="26">
        <v>1.9800000000000002E-2</v>
      </c>
      <c r="H17289" s="26">
        <v>4.7000000000000002E-3</v>
      </c>
      <c r="I17289" s="26">
        <v>4.1000000000000003E-3</v>
      </c>
      <c r="J17289" s="26">
        <v>2E-3</v>
      </c>
      <c r="K17289" s="26">
        <v>2E-3</v>
      </c>
      <c r="L17289" s="26">
        <v>6.1999999999999998E-3</v>
      </c>
      <c r="M17289" s="26">
        <v>2.0999999999999999E-3</v>
      </c>
      <c r="R17289">
        <v>169</v>
      </c>
    </row>
    <row r="17290" spans="1:18" x14ac:dyDescent="0.35">
      <c r="A17290" t="s">
        <v>230</v>
      </c>
      <c r="B17290" t="s">
        <v>360</v>
      </c>
      <c r="C17290" s="26">
        <v>0.51959999999999995</v>
      </c>
      <c r="D17290" s="26">
        <v>0.252</v>
      </c>
      <c r="E17290" s="26">
        <v>0.2392</v>
      </c>
      <c r="F17290" s="26">
        <v>0.1701</v>
      </c>
      <c r="G17290" s="26">
        <v>1.78E-2</v>
      </c>
      <c r="H17290" s="26">
        <v>7.2400000000000006E-2</v>
      </c>
      <c r="I17290" s="26">
        <v>9.5699999999999993E-2</v>
      </c>
      <c r="J17290" s="26">
        <v>5.0000000000000001E-3</v>
      </c>
      <c r="K17290" s="26">
        <v>1.5E-3</v>
      </c>
      <c r="L17290" s="26">
        <v>1.14E-2</v>
      </c>
      <c r="M17290" s="26">
        <v>5.0000000000000001E-3</v>
      </c>
      <c r="N17290" s="26">
        <v>1.5E-3</v>
      </c>
      <c r="O17290" s="26">
        <v>1.5E-3</v>
      </c>
      <c r="P17290" s="26">
        <v>6.4500000000000002E-2</v>
      </c>
      <c r="R17290">
        <v>117</v>
      </c>
    </row>
    <row r="17291" spans="1:18" x14ac:dyDescent="0.35">
      <c r="A17291" t="s">
        <v>230</v>
      </c>
      <c r="B17291" t="s">
        <v>363</v>
      </c>
      <c r="C17291" s="26">
        <v>0.72709999999999997</v>
      </c>
      <c r="D17291" s="26">
        <v>0.16320000000000001</v>
      </c>
      <c r="E17291" s="26">
        <v>6.9800000000000001E-2</v>
      </c>
      <c r="F17291" s="26">
        <v>9.1899999999999996E-2</v>
      </c>
      <c r="G17291" s="26">
        <v>5.57E-2</v>
      </c>
      <c r="H17291" s="26">
        <v>3.5099999999999999E-2</v>
      </c>
      <c r="I17291" s="26">
        <v>2.4500000000000001E-2</v>
      </c>
      <c r="K17291" s="26">
        <v>2.3400000000000001E-2</v>
      </c>
      <c r="L17291" s="26">
        <v>1.1999999999999999E-3</v>
      </c>
      <c r="M17291" s="26">
        <v>5.45E-2</v>
      </c>
      <c r="N17291" s="26">
        <v>2.8500000000000001E-2</v>
      </c>
      <c r="O17291" s="26">
        <v>3.8E-3</v>
      </c>
      <c r="R17291">
        <v>123</v>
      </c>
    </row>
    <row r="17292" spans="1:18" x14ac:dyDescent="0.35">
      <c r="A17292" t="s">
        <v>230</v>
      </c>
      <c r="B17292" t="s">
        <v>361</v>
      </c>
      <c r="C17292" s="26">
        <v>0.73119999999999996</v>
      </c>
      <c r="D17292" s="26">
        <v>0.11559999999999999</v>
      </c>
      <c r="E17292" s="26">
        <v>2.86E-2</v>
      </c>
      <c r="F17292" s="26">
        <v>4.9799999999999997E-2</v>
      </c>
      <c r="G17292" s="26">
        <v>6.8000000000000005E-2</v>
      </c>
      <c r="H17292" s="26">
        <v>2.86E-2</v>
      </c>
      <c r="I17292" s="26">
        <v>1.1000000000000001E-3</v>
      </c>
      <c r="L17292" s="26">
        <v>2.2599999999999999E-2</v>
      </c>
      <c r="M17292" s="26">
        <v>1.1000000000000001E-3</v>
      </c>
      <c r="N17292" s="26">
        <v>2.1499999999999998E-2</v>
      </c>
      <c r="Q17292" s="26">
        <v>1.1000000000000001E-3</v>
      </c>
      <c r="R17292">
        <v>105</v>
      </c>
    </row>
    <row r="17293" spans="1:18" x14ac:dyDescent="0.35">
      <c r="A17293" t="s">
        <v>230</v>
      </c>
      <c r="B17293" t="s">
        <v>362</v>
      </c>
      <c r="C17293" s="26">
        <v>0.7581</v>
      </c>
      <c r="D17293" s="26">
        <v>0.1883</v>
      </c>
      <c r="E17293" s="26">
        <v>1.8800000000000001E-2</v>
      </c>
      <c r="F17293" s="26">
        <v>0.1052</v>
      </c>
      <c r="G17293" s="26">
        <v>5.1299999999999998E-2</v>
      </c>
      <c r="H17293" s="26">
        <v>5.3900000000000003E-2</v>
      </c>
      <c r="I17293" s="26">
        <v>5.7200000000000001E-2</v>
      </c>
      <c r="J17293" s="26">
        <v>2.1499999999999998E-2</v>
      </c>
      <c r="M17293" s="26">
        <v>2.52E-2</v>
      </c>
      <c r="N17293" s="26">
        <v>3.5000000000000001E-3</v>
      </c>
      <c r="R17293">
        <v>147</v>
      </c>
    </row>
    <row r="17294" spans="1:18" x14ac:dyDescent="0.35">
      <c r="A17294" s="27" t="s">
        <v>231</v>
      </c>
      <c r="B17294" s="27" t="s">
        <v>362</v>
      </c>
      <c r="C17294" s="28">
        <v>0.86209999999999998</v>
      </c>
      <c r="D17294" s="28">
        <v>0.10340000000000001</v>
      </c>
      <c r="E17294" s="28">
        <v>3.4500000000000003E-2</v>
      </c>
      <c r="F17294" s="28">
        <v>3.4500000000000003E-2</v>
      </c>
      <c r="G17294" s="29"/>
      <c r="H17294" s="29"/>
      <c r="I17294" s="29"/>
      <c r="J17294" s="29"/>
      <c r="K17294" s="29"/>
      <c r="L17294" s="29"/>
      <c r="M17294" s="29"/>
      <c r="N17294" s="29"/>
      <c r="O17294" s="29"/>
      <c r="P17294" s="29"/>
      <c r="Q17294" s="29"/>
      <c r="R17294" s="29" t="s">
        <v>329</v>
      </c>
    </row>
    <row r="17295" spans="1:18" x14ac:dyDescent="0.35">
      <c r="A17295" t="s">
        <v>231</v>
      </c>
      <c r="B17295" t="s">
        <v>361</v>
      </c>
      <c r="C17295" s="26">
        <v>0.85419999999999996</v>
      </c>
      <c r="D17295" s="26">
        <v>2.0799999999999999E-2</v>
      </c>
      <c r="E17295" s="26">
        <v>6.25E-2</v>
      </c>
      <c r="G17295" s="26">
        <v>4.1700000000000001E-2</v>
      </c>
      <c r="H17295" s="26">
        <v>2.0799999999999999E-2</v>
      </c>
      <c r="I17295" s="26">
        <v>2.0799999999999999E-2</v>
      </c>
      <c r="J17295" s="26">
        <v>4.1700000000000001E-2</v>
      </c>
      <c r="O17295" s="26">
        <v>2.0799999999999999E-2</v>
      </c>
      <c r="R17295">
        <v>48</v>
      </c>
    </row>
    <row r="17296" spans="1:18" x14ac:dyDescent="0.35">
      <c r="A17296" t="s">
        <v>231</v>
      </c>
      <c r="B17296" t="s">
        <v>360</v>
      </c>
      <c r="C17296" s="26">
        <v>0.72729999999999995</v>
      </c>
      <c r="D17296" s="26">
        <v>6.8199999999999997E-2</v>
      </c>
      <c r="E17296" s="26">
        <v>0.11360000000000001</v>
      </c>
      <c r="F17296" s="26">
        <v>6.8199999999999997E-2</v>
      </c>
      <c r="G17296" s="26">
        <v>6.8199999999999997E-2</v>
      </c>
      <c r="H17296" s="26">
        <v>2.2700000000000001E-2</v>
      </c>
      <c r="I17296" s="26">
        <v>4.5499999999999999E-2</v>
      </c>
      <c r="K17296" s="26">
        <v>2.2700000000000001E-2</v>
      </c>
      <c r="L17296" s="26">
        <v>2.2700000000000001E-2</v>
      </c>
      <c r="R17296">
        <v>44</v>
      </c>
    </row>
    <row r="17297" spans="1:18" x14ac:dyDescent="0.35">
      <c r="A17297" s="27" t="s">
        <v>231</v>
      </c>
      <c r="B17297" s="27" t="s">
        <v>363</v>
      </c>
      <c r="C17297" s="28">
        <v>0.66669999999999996</v>
      </c>
      <c r="D17297" s="28">
        <v>0.1111</v>
      </c>
      <c r="E17297" s="28">
        <v>7.4099999999999999E-2</v>
      </c>
      <c r="F17297" s="28">
        <v>7.4099999999999999E-2</v>
      </c>
      <c r="G17297" s="28">
        <v>3.6999999999999998E-2</v>
      </c>
      <c r="H17297" s="29"/>
      <c r="I17297" s="29"/>
      <c r="J17297" s="29"/>
      <c r="K17297" s="28">
        <v>3.6999999999999998E-2</v>
      </c>
      <c r="L17297" s="29"/>
      <c r="M17297" s="29"/>
      <c r="N17297" s="28">
        <v>3.6999999999999998E-2</v>
      </c>
      <c r="O17297" s="29"/>
      <c r="P17297" s="29"/>
      <c r="Q17297" s="29"/>
      <c r="R17297" s="29" t="s">
        <v>338</v>
      </c>
    </row>
    <row r="17298" spans="1:18" x14ac:dyDescent="0.35">
      <c r="A17298" t="s">
        <v>232</v>
      </c>
      <c r="B17298" t="s">
        <v>232</v>
      </c>
      <c r="C17298" s="26">
        <v>0.73970000000000002</v>
      </c>
      <c r="D17298" s="26">
        <v>0.1208</v>
      </c>
      <c r="E17298" s="26">
        <v>5.6599999999999998E-2</v>
      </c>
      <c r="F17298" s="26">
        <v>5.6300000000000003E-2</v>
      </c>
      <c r="G17298" s="26">
        <v>4.7100000000000003E-2</v>
      </c>
      <c r="H17298" s="26">
        <v>3.0599999999999999E-2</v>
      </c>
      <c r="I17298" s="26">
        <v>2.07E-2</v>
      </c>
      <c r="J17298" s="26">
        <v>1.61E-2</v>
      </c>
      <c r="K17298" s="26">
        <v>1.4800000000000001E-2</v>
      </c>
      <c r="L17298" s="26">
        <v>1.3100000000000001E-2</v>
      </c>
      <c r="M17298" s="26">
        <v>1.2999999999999999E-2</v>
      </c>
      <c r="N17298" s="26">
        <v>8.6999999999999994E-3</v>
      </c>
      <c r="O17298" s="26">
        <v>3.8E-3</v>
      </c>
      <c r="P17298" s="26">
        <v>2.2000000000000001E-3</v>
      </c>
      <c r="Q17298" s="26">
        <v>2.0000000000000001E-4</v>
      </c>
      <c r="R17298">
        <v>2422</v>
      </c>
    </row>
    <row r="17300" spans="1:18" x14ac:dyDescent="0.35">
      <c r="A17300" s="1" t="s">
        <v>1783</v>
      </c>
    </row>
    <row r="17301" spans="1:18" x14ac:dyDescent="0.35">
      <c r="A17301" t="s">
        <v>219</v>
      </c>
      <c r="B17301" t="s">
        <v>305</v>
      </c>
      <c r="C17301" t="s">
        <v>1767</v>
      </c>
      <c r="D17301" t="s">
        <v>1768</v>
      </c>
      <c r="E17301" t="s">
        <v>1769</v>
      </c>
      <c r="F17301" t="s">
        <v>1770</v>
      </c>
      <c r="G17301" t="s">
        <v>1771</v>
      </c>
      <c r="H17301" t="s">
        <v>1772</v>
      </c>
      <c r="I17301" t="s">
        <v>1773</v>
      </c>
      <c r="J17301" t="s">
        <v>1774</v>
      </c>
      <c r="K17301" t="s">
        <v>1775</v>
      </c>
      <c r="L17301" t="s">
        <v>326</v>
      </c>
      <c r="M17301" t="s">
        <v>1776</v>
      </c>
      <c r="N17301" t="s">
        <v>1777</v>
      </c>
      <c r="O17301" t="s">
        <v>281</v>
      </c>
      <c r="P17301" t="s">
        <v>1778</v>
      </c>
      <c r="Q17301" t="s">
        <v>286</v>
      </c>
      <c r="R17301" t="s">
        <v>226</v>
      </c>
    </row>
    <row r="17302" spans="1:18" x14ac:dyDescent="0.35">
      <c r="A17302" t="s">
        <v>227</v>
      </c>
      <c r="B17302" t="s">
        <v>267</v>
      </c>
      <c r="C17302" s="26">
        <v>0.69440000000000002</v>
      </c>
      <c r="D17302" s="26">
        <v>0.25</v>
      </c>
      <c r="E17302" s="26">
        <v>2.7799999999999998E-2</v>
      </c>
      <c r="G17302" s="26">
        <v>5.5599999999999997E-2</v>
      </c>
      <c r="H17302" s="26">
        <v>2.7799999999999998E-2</v>
      </c>
      <c r="I17302" s="26">
        <v>2.7799999999999998E-2</v>
      </c>
      <c r="J17302" s="26">
        <v>2.7799999999999998E-2</v>
      </c>
      <c r="L17302" s="26">
        <v>2.7799999999999998E-2</v>
      </c>
      <c r="R17302">
        <v>36</v>
      </c>
    </row>
    <row r="17303" spans="1:18" x14ac:dyDescent="0.35">
      <c r="A17303" t="s">
        <v>227</v>
      </c>
      <c r="B17303" t="s">
        <v>266</v>
      </c>
      <c r="C17303" s="26">
        <v>0.64410000000000001</v>
      </c>
      <c r="D17303" s="26">
        <v>0.18640000000000001</v>
      </c>
      <c r="E17303" s="26">
        <v>0.1186</v>
      </c>
      <c r="F17303" s="26">
        <v>6.7799999999999999E-2</v>
      </c>
      <c r="G17303" s="26">
        <v>3.39E-2</v>
      </c>
      <c r="H17303" s="26">
        <v>6.7799999999999999E-2</v>
      </c>
      <c r="I17303" s="26">
        <v>3.39E-2</v>
      </c>
      <c r="J17303" s="26">
        <v>5.0799999999999998E-2</v>
      </c>
      <c r="L17303" s="26">
        <v>1.6899999999999998E-2</v>
      </c>
      <c r="R17303">
        <v>59</v>
      </c>
    </row>
    <row r="17304" spans="1:18" x14ac:dyDescent="0.35">
      <c r="A17304" t="s">
        <v>227</v>
      </c>
      <c r="B17304" t="s">
        <v>265</v>
      </c>
      <c r="C17304" s="26">
        <v>0.72309999999999997</v>
      </c>
      <c r="D17304" s="26">
        <v>0.15379999999999999</v>
      </c>
      <c r="F17304" s="26">
        <v>7.6899999999999996E-2</v>
      </c>
      <c r="G17304" s="26">
        <v>9.2299999999999993E-2</v>
      </c>
      <c r="H17304" s="26">
        <v>6.1499999999999999E-2</v>
      </c>
      <c r="I17304" s="26">
        <v>1.54E-2</v>
      </c>
      <c r="J17304" s="26">
        <v>3.0800000000000001E-2</v>
      </c>
      <c r="K17304" s="26">
        <v>4.6199999999999998E-2</v>
      </c>
      <c r="R17304">
        <v>65</v>
      </c>
    </row>
    <row r="17305" spans="1:18" x14ac:dyDescent="0.35">
      <c r="A17305" t="s">
        <v>228</v>
      </c>
      <c r="B17305" t="s">
        <v>267</v>
      </c>
      <c r="C17305" s="26">
        <v>0.81730000000000003</v>
      </c>
      <c r="D17305" s="26">
        <v>8.9300000000000004E-2</v>
      </c>
      <c r="E17305" s="26">
        <v>4.2099999999999999E-2</v>
      </c>
      <c r="F17305" s="26">
        <v>1.8700000000000001E-2</v>
      </c>
      <c r="G17305" s="26">
        <v>1.9400000000000001E-2</v>
      </c>
      <c r="H17305" s="26">
        <v>2.6800000000000001E-2</v>
      </c>
      <c r="I17305" s="26">
        <v>6.6E-3</v>
      </c>
      <c r="J17305" s="26">
        <v>7.1999999999999998E-3</v>
      </c>
      <c r="K17305" s="26">
        <v>3.3999999999999998E-3</v>
      </c>
      <c r="L17305" s="26">
        <v>7.1999999999999998E-3</v>
      </c>
      <c r="M17305" s="26">
        <v>1.4999999999999999E-2</v>
      </c>
      <c r="N17305" s="26">
        <v>9.7000000000000003E-3</v>
      </c>
      <c r="Q17305" s="26">
        <v>3.3999999999999998E-3</v>
      </c>
      <c r="R17305">
        <v>194</v>
      </c>
    </row>
    <row r="17306" spans="1:18" x14ac:dyDescent="0.35">
      <c r="A17306" t="s">
        <v>228</v>
      </c>
      <c r="B17306" t="s">
        <v>265</v>
      </c>
      <c r="C17306" s="26">
        <v>0.77490000000000003</v>
      </c>
      <c r="D17306" s="26">
        <v>0.13819999999999999</v>
      </c>
      <c r="E17306" s="26">
        <v>2.9899999999999999E-2</v>
      </c>
      <c r="F17306" s="26">
        <v>5.21E-2</v>
      </c>
      <c r="G17306" s="26">
        <v>3.5700000000000003E-2</v>
      </c>
      <c r="H17306" s="26">
        <v>1.41E-2</v>
      </c>
      <c r="I17306" s="26">
        <v>1.78E-2</v>
      </c>
      <c r="J17306" s="26">
        <v>1.0699999999999999E-2</v>
      </c>
      <c r="K17306" s="26">
        <v>2.01E-2</v>
      </c>
      <c r="L17306" s="26">
        <v>5.9999999999999995E-4</v>
      </c>
      <c r="M17306" s="26">
        <v>1.84E-2</v>
      </c>
      <c r="N17306" s="26">
        <v>7.1000000000000004E-3</v>
      </c>
      <c r="P17306" s="26">
        <v>2E-3</v>
      </c>
      <c r="R17306">
        <v>380</v>
      </c>
    </row>
    <row r="17307" spans="1:18" x14ac:dyDescent="0.35">
      <c r="A17307" s="27" t="s">
        <v>228</v>
      </c>
      <c r="B17307" s="27" t="s">
        <v>236</v>
      </c>
      <c r="C17307" s="29"/>
      <c r="D17307" s="29"/>
      <c r="E17307" s="29"/>
      <c r="F17307" s="28">
        <v>1</v>
      </c>
      <c r="G17307" s="29"/>
      <c r="H17307" s="28">
        <v>1</v>
      </c>
      <c r="I17307" s="29"/>
      <c r="J17307" s="29"/>
      <c r="K17307" s="29"/>
      <c r="L17307" s="29"/>
      <c r="M17307" s="29"/>
      <c r="N17307" s="29"/>
      <c r="O17307" s="29"/>
      <c r="P17307" s="29"/>
      <c r="Q17307" s="29"/>
      <c r="R17307" s="29" t="s">
        <v>331</v>
      </c>
    </row>
    <row r="17308" spans="1:18" x14ac:dyDescent="0.35">
      <c r="A17308" t="s">
        <v>228</v>
      </c>
      <c r="B17308" t="s">
        <v>266</v>
      </c>
      <c r="C17308" s="26">
        <v>0.74319999999999997</v>
      </c>
      <c r="D17308" s="26">
        <v>0.1182</v>
      </c>
      <c r="E17308" s="26">
        <v>5.74E-2</v>
      </c>
      <c r="F17308" s="26">
        <v>4.82E-2</v>
      </c>
      <c r="G17308" s="26">
        <v>4.99E-2</v>
      </c>
      <c r="H17308" s="26">
        <v>1.5900000000000001E-2</v>
      </c>
      <c r="I17308" s="26">
        <v>1.3899999999999999E-2</v>
      </c>
      <c r="J17308" s="26">
        <v>1.8499999999999999E-2</v>
      </c>
      <c r="K17308" s="26">
        <v>2.2800000000000001E-2</v>
      </c>
      <c r="L17308" s="26">
        <v>1.35E-2</v>
      </c>
      <c r="M17308" s="26">
        <v>3.4700000000000002E-2</v>
      </c>
      <c r="N17308" s="26">
        <v>2.52E-2</v>
      </c>
      <c r="O17308" s="26">
        <v>3.5999999999999999E-3</v>
      </c>
      <c r="P17308" s="26">
        <v>1.03E-2</v>
      </c>
      <c r="Q17308" s="26">
        <v>1E-3</v>
      </c>
      <c r="R17308">
        <v>438</v>
      </c>
    </row>
    <row r="17309" spans="1:18" x14ac:dyDescent="0.35">
      <c r="A17309" t="s">
        <v>229</v>
      </c>
      <c r="B17309" t="s">
        <v>266</v>
      </c>
      <c r="C17309" s="26">
        <v>0.70469999999999999</v>
      </c>
      <c r="D17309" s="26">
        <v>0.13830000000000001</v>
      </c>
      <c r="E17309" s="26">
        <v>5.5199999999999999E-2</v>
      </c>
      <c r="F17309" s="26">
        <v>4.5499999999999999E-2</v>
      </c>
      <c r="G17309" s="26">
        <v>5.1999999999999998E-2</v>
      </c>
      <c r="H17309" s="26">
        <v>1.9900000000000001E-2</v>
      </c>
      <c r="I17309" s="26">
        <v>1.1299999999999999E-2</v>
      </c>
      <c r="J17309" s="26">
        <v>1.18E-2</v>
      </c>
      <c r="K17309" s="26">
        <v>9.5999999999999992E-3</v>
      </c>
      <c r="L17309" s="26">
        <v>2.1999999999999999E-2</v>
      </c>
      <c r="M17309" s="26">
        <v>2.8899999999999999E-2</v>
      </c>
      <c r="N17309" s="26">
        <v>1.8100000000000002E-2</v>
      </c>
      <c r="O17309" s="26">
        <v>9.4000000000000004E-3</v>
      </c>
      <c r="P17309" s="26">
        <v>5.0000000000000001E-4</v>
      </c>
      <c r="R17309">
        <v>348</v>
      </c>
    </row>
    <row r="17310" spans="1:18" x14ac:dyDescent="0.35">
      <c r="A17310" t="s">
        <v>229</v>
      </c>
      <c r="B17310" t="s">
        <v>267</v>
      </c>
      <c r="C17310" s="26">
        <v>0.74439999999999995</v>
      </c>
      <c r="D17310" s="26">
        <v>6.7400000000000002E-2</v>
      </c>
      <c r="E17310" s="26">
        <v>3.4000000000000002E-2</v>
      </c>
      <c r="F17310" s="26">
        <v>6.8099999999999994E-2</v>
      </c>
      <c r="G17310" s="26">
        <v>3.1300000000000001E-2</v>
      </c>
      <c r="H17310" s="26">
        <v>7.3099999999999998E-2</v>
      </c>
      <c r="I17310" s="26">
        <v>4.0899999999999999E-2</v>
      </c>
      <c r="J17310" s="26">
        <v>4.7999999999999996E-3</v>
      </c>
      <c r="K17310" s="26">
        <v>3.2000000000000002E-3</v>
      </c>
      <c r="L17310" s="26">
        <v>1.9199999999999998E-2</v>
      </c>
      <c r="M17310" s="26">
        <v>4.1799999999999997E-2</v>
      </c>
      <c r="N17310" s="26">
        <v>1.6E-2</v>
      </c>
      <c r="R17310">
        <v>193</v>
      </c>
    </row>
    <row r="17311" spans="1:18" x14ac:dyDescent="0.35">
      <c r="A17311" t="s">
        <v>229</v>
      </c>
      <c r="B17311" t="s">
        <v>265</v>
      </c>
      <c r="C17311" s="26">
        <v>0.71740000000000004</v>
      </c>
      <c r="D17311" s="26">
        <v>0.12920000000000001</v>
      </c>
      <c r="E17311" s="26">
        <v>4.6100000000000002E-2</v>
      </c>
      <c r="F17311" s="26">
        <v>5.2699999999999997E-2</v>
      </c>
      <c r="G17311" s="26">
        <v>6.6500000000000004E-2</v>
      </c>
      <c r="H17311" s="26">
        <v>2.92E-2</v>
      </c>
      <c r="I17311" s="26">
        <v>1.41E-2</v>
      </c>
      <c r="J17311" s="26">
        <v>1.83E-2</v>
      </c>
      <c r="K17311" s="26">
        <v>2.64E-2</v>
      </c>
      <c r="L17311" s="26">
        <v>3.2099999999999997E-2</v>
      </c>
      <c r="M17311" s="26">
        <v>8.3999999999999995E-3</v>
      </c>
      <c r="N17311" s="26">
        <v>1.5E-3</v>
      </c>
      <c r="O17311" s="26">
        <v>6.4999999999999997E-3</v>
      </c>
      <c r="P17311" s="26">
        <v>2.0000000000000001E-4</v>
      </c>
      <c r="R17311">
        <v>326</v>
      </c>
    </row>
    <row r="17312" spans="1:18" x14ac:dyDescent="0.35">
      <c r="A17312" t="s">
        <v>230</v>
      </c>
      <c r="B17312" t="s">
        <v>267</v>
      </c>
      <c r="C17312" s="26">
        <v>0.8488</v>
      </c>
      <c r="D17312" s="26">
        <v>9.8199999999999996E-2</v>
      </c>
      <c r="E17312" s="26">
        <v>4.3700000000000003E-2</v>
      </c>
      <c r="F17312" s="26">
        <v>7.5399999999999995E-2</v>
      </c>
      <c r="G17312" s="26">
        <v>1.66E-2</v>
      </c>
      <c r="H17312" s="26">
        <v>2.8799999999999999E-2</v>
      </c>
      <c r="I17312" s="26">
        <v>5.4000000000000003E-3</v>
      </c>
      <c r="L17312" s="26">
        <v>1.2999999999999999E-3</v>
      </c>
      <c r="M17312" s="26">
        <v>5.4000000000000003E-3</v>
      </c>
      <c r="N17312" s="26">
        <v>5.4000000000000003E-3</v>
      </c>
      <c r="R17312">
        <v>117</v>
      </c>
    </row>
    <row r="17313" spans="1:18" x14ac:dyDescent="0.35">
      <c r="A17313" t="s">
        <v>230</v>
      </c>
      <c r="B17313" t="s">
        <v>266</v>
      </c>
      <c r="C17313" s="26">
        <v>0.59730000000000005</v>
      </c>
      <c r="D17313" s="26">
        <v>0.22869999999999999</v>
      </c>
      <c r="E17313" s="26">
        <v>0.10489999999999999</v>
      </c>
      <c r="F17313" s="26">
        <v>0.1236</v>
      </c>
      <c r="G17313" s="26">
        <v>3.9899999999999998E-2</v>
      </c>
      <c r="H17313" s="26">
        <v>4.9200000000000001E-2</v>
      </c>
      <c r="I17313" s="26">
        <v>0.05</v>
      </c>
      <c r="L17313" s="26">
        <v>3.3E-3</v>
      </c>
      <c r="M17313" s="26">
        <v>4.7699999999999999E-2</v>
      </c>
      <c r="N17313" s="26">
        <v>3.09E-2</v>
      </c>
      <c r="O17313" s="26">
        <v>3.2000000000000002E-3</v>
      </c>
      <c r="P17313" s="26">
        <v>3.27E-2</v>
      </c>
      <c r="Q17313" s="26">
        <v>8.0000000000000004E-4</v>
      </c>
      <c r="R17313">
        <v>226</v>
      </c>
    </row>
    <row r="17314" spans="1:18" x14ac:dyDescent="0.35">
      <c r="A17314" t="s">
        <v>230</v>
      </c>
      <c r="B17314" t="s">
        <v>265</v>
      </c>
      <c r="C17314" s="26">
        <v>0.71779999999999999</v>
      </c>
      <c r="D17314" s="26">
        <v>0.15890000000000001</v>
      </c>
      <c r="E17314" s="26">
        <v>6.1199999999999997E-2</v>
      </c>
      <c r="F17314" s="26">
        <v>9.3700000000000006E-2</v>
      </c>
      <c r="G17314" s="26">
        <v>7.2599999999999998E-2</v>
      </c>
      <c r="H17314" s="26">
        <v>5.96E-2</v>
      </c>
      <c r="I17314" s="26">
        <v>4.5699999999999998E-2</v>
      </c>
      <c r="J17314" s="26">
        <v>1.5299999999999999E-2</v>
      </c>
      <c r="K17314" s="26">
        <v>1.38E-2</v>
      </c>
      <c r="L17314" s="26">
        <v>1.66E-2</v>
      </c>
      <c r="M17314" s="26">
        <v>4.4000000000000003E-3</v>
      </c>
      <c r="N17314" s="26">
        <v>2.2000000000000001E-3</v>
      </c>
      <c r="O17314" s="26">
        <v>6.9999999999999999E-4</v>
      </c>
      <c r="R17314">
        <v>204</v>
      </c>
    </row>
    <row r="17315" spans="1:18" x14ac:dyDescent="0.35">
      <c r="A17315" t="s">
        <v>231</v>
      </c>
      <c r="B17315" t="s">
        <v>267</v>
      </c>
      <c r="C17315" s="26">
        <v>0.75760000000000005</v>
      </c>
      <c r="D17315" s="26">
        <v>6.0600000000000001E-2</v>
      </c>
      <c r="E17315" s="26">
        <v>3.0300000000000001E-2</v>
      </c>
      <c r="F17315" s="26">
        <v>0.1212</v>
      </c>
      <c r="G17315" s="26">
        <v>6.0600000000000001E-2</v>
      </c>
      <c r="J17315" s="26">
        <v>3.0300000000000001E-2</v>
      </c>
      <c r="K17315" s="26">
        <v>6.0600000000000001E-2</v>
      </c>
      <c r="N17315" s="26">
        <v>3.0300000000000001E-2</v>
      </c>
      <c r="R17315">
        <v>33</v>
      </c>
    </row>
    <row r="17316" spans="1:18" x14ac:dyDescent="0.35">
      <c r="A17316" t="s">
        <v>231</v>
      </c>
      <c r="B17316" t="s">
        <v>266</v>
      </c>
      <c r="C17316" s="26">
        <v>0.80330000000000001</v>
      </c>
      <c r="D17316" s="26">
        <v>4.9200000000000001E-2</v>
      </c>
      <c r="E17316" s="26">
        <v>8.2000000000000003E-2</v>
      </c>
      <c r="F17316" s="26">
        <v>1.6400000000000001E-2</v>
      </c>
      <c r="G17316" s="26">
        <v>1.6400000000000001E-2</v>
      </c>
      <c r="H17316" s="26">
        <v>1.6400000000000001E-2</v>
      </c>
      <c r="I17316" s="26">
        <v>3.2800000000000003E-2</v>
      </c>
      <c r="L17316" s="26">
        <v>1.6400000000000001E-2</v>
      </c>
      <c r="O17316" s="26">
        <v>1.6400000000000001E-2</v>
      </c>
      <c r="R17316">
        <v>61</v>
      </c>
    </row>
    <row r="17317" spans="1:18" x14ac:dyDescent="0.35">
      <c r="A17317" t="s">
        <v>231</v>
      </c>
      <c r="B17317" t="s">
        <v>265</v>
      </c>
      <c r="C17317" s="26">
        <v>0.77939999999999998</v>
      </c>
      <c r="D17317" s="26">
        <v>8.8200000000000001E-2</v>
      </c>
      <c r="E17317" s="26">
        <v>8.8200000000000001E-2</v>
      </c>
      <c r="F17317" s="26">
        <v>4.41E-2</v>
      </c>
      <c r="G17317" s="26">
        <v>4.41E-2</v>
      </c>
      <c r="H17317" s="26">
        <v>1.47E-2</v>
      </c>
      <c r="I17317" s="26">
        <v>1.47E-2</v>
      </c>
      <c r="J17317" s="26">
        <v>1.47E-2</v>
      </c>
      <c r="R17317">
        <v>68</v>
      </c>
    </row>
    <row r="17318" spans="1:18" x14ac:dyDescent="0.35">
      <c r="A17318" t="s">
        <v>232</v>
      </c>
      <c r="B17318" t="s">
        <v>232</v>
      </c>
      <c r="C17318" s="26">
        <v>0.73970000000000002</v>
      </c>
      <c r="D17318" s="26">
        <v>0.1208</v>
      </c>
      <c r="E17318" s="26">
        <v>5.6599999999999998E-2</v>
      </c>
      <c r="F17318" s="26">
        <v>5.6300000000000003E-2</v>
      </c>
      <c r="G17318" s="26">
        <v>4.7100000000000003E-2</v>
      </c>
      <c r="H17318" s="26">
        <v>3.0599999999999999E-2</v>
      </c>
      <c r="I17318" s="26">
        <v>2.07E-2</v>
      </c>
      <c r="J17318" s="26">
        <v>1.61E-2</v>
      </c>
      <c r="K17318" s="26">
        <v>1.4800000000000001E-2</v>
      </c>
      <c r="L17318" s="26">
        <v>1.3100000000000001E-2</v>
      </c>
      <c r="M17318" s="26">
        <v>1.2999999999999999E-2</v>
      </c>
      <c r="N17318" s="26">
        <v>8.6999999999999994E-3</v>
      </c>
      <c r="O17318" s="26">
        <v>3.8E-3</v>
      </c>
      <c r="P17318" s="26">
        <v>2.2000000000000001E-3</v>
      </c>
      <c r="Q17318" s="26">
        <v>2.0000000000000001E-4</v>
      </c>
      <c r="R17318">
        <v>2749</v>
      </c>
    </row>
    <row r="17320" spans="1:18" x14ac:dyDescent="0.35">
      <c r="A17320" s="1" t="s">
        <v>1784</v>
      </c>
    </row>
    <row r="17321" spans="1:18" x14ac:dyDescent="0.35">
      <c r="A17321" t="s">
        <v>219</v>
      </c>
      <c r="B17321" t="s">
        <v>305</v>
      </c>
      <c r="C17321" t="s">
        <v>1767</v>
      </c>
      <c r="D17321" t="s">
        <v>1768</v>
      </c>
      <c r="E17321" t="s">
        <v>1769</v>
      </c>
      <c r="F17321" t="s">
        <v>1770</v>
      </c>
      <c r="G17321" t="s">
        <v>1771</v>
      </c>
      <c r="H17321" t="s">
        <v>1772</v>
      </c>
      <c r="I17321" t="s">
        <v>1773</v>
      </c>
      <c r="J17321" t="s">
        <v>1774</v>
      </c>
      <c r="K17321" t="s">
        <v>1775</v>
      </c>
      <c r="L17321" t="s">
        <v>326</v>
      </c>
      <c r="M17321" t="s">
        <v>1776</v>
      </c>
      <c r="N17321" t="s">
        <v>1777</v>
      </c>
      <c r="O17321" t="s">
        <v>281</v>
      </c>
      <c r="P17321" t="s">
        <v>1778</v>
      </c>
      <c r="Q17321" t="s">
        <v>286</v>
      </c>
      <c r="R17321" t="s">
        <v>226</v>
      </c>
    </row>
    <row r="17322" spans="1:18" x14ac:dyDescent="0.35">
      <c r="A17322" t="s">
        <v>227</v>
      </c>
      <c r="B17322" t="s">
        <v>252</v>
      </c>
      <c r="C17322" s="26">
        <v>0.77780000000000005</v>
      </c>
      <c r="D17322" s="26">
        <v>0.15559999999999999</v>
      </c>
      <c r="E17322" s="26">
        <v>4.4400000000000002E-2</v>
      </c>
      <c r="H17322" s="26">
        <v>4.4400000000000002E-2</v>
      </c>
      <c r="L17322" s="26">
        <v>2.2200000000000001E-2</v>
      </c>
      <c r="R17322">
        <v>45</v>
      </c>
    </row>
    <row r="17323" spans="1:18" x14ac:dyDescent="0.35">
      <c r="A17323" t="s">
        <v>227</v>
      </c>
      <c r="B17323" t="s">
        <v>253</v>
      </c>
      <c r="C17323" s="26">
        <v>0.58819999999999995</v>
      </c>
      <c r="D17323" s="26">
        <v>0.1176</v>
      </c>
      <c r="E17323" s="26">
        <v>0.1176</v>
      </c>
      <c r="F17323" s="26">
        <v>2.9399999999999999E-2</v>
      </c>
      <c r="G17323" s="26">
        <v>0.14710000000000001</v>
      </c>
      <c r="H17323" s="26">
        <v>8.8200000000000001E-2</v>
      </c>
      <c r="I17323" s="26">
        <v>5.8799999999999998E-2</v>
      </c>
      <c r="J17323" s="26">
        <v>5.8799999999999998E-2</v>
      </c>
      <c r="K17323" s="26">
        <v>2.9399999999999999E-2</v>
      </c>
      <c r="R17323">
        <v>34</v>
      </c>
    </row>
    <row r="17324" spans="1:18" x14ac:dyDescent="0.35">
      <c r="A17324" t="s">
        <v>227</v>
      </c>
      <c r="B17324" t="s">
        <v>251</v>
      </c>
      <c r="C17324" s="26">
        <v>0.67900000000000005</v>
      </c>
      <c r="D17324" s="26">
        <v>0.2346</v>
      </c>
      <c r="E17324" s="26">
        <v>2.47E-2</v>
      </c>
      <c r="F17324" s="26">
        <v>9.8799999999999999E-2</v>
      </c>
      <c r="G17324" s="26">
        <v>6.1699999999999998E-2</v>
      </c>
      <c r="H17324" s="26">
        <v>4.9399999999999999E-2</v>
      </c>
      <c r="I17324" s="26">
        <v>2.47E-2</v>
      </c>
      <c r="J17324" s="26">
        <v>4.9399999999999999E-2</v>
      </c>
      <c r="K17324" s="26">
        <v>2.47E-2</v>
      </c>
      <c r="L17324" s="26">
        <v>1.23E-2</v>
      </c>
      <c r="R17324">
        <v>81</v>
      </c>
    </row>
    <row r="17325" spans="1:18" x14ac:dyDescent="0.35">
      <c r="A17325" t="s">
        <v>228</v>
      </c>
      <c r="B17325" t="s">
        <v>252</v>
      </c>
      <c r="C17325" s="26">
        <v>0.75649999999999995</v>
      </c>
      <c r="D17325" s="26">
        <v>0.14649999999999999</v>
      </c>
      <c r="E17325" s="26">
        <v>4.3999999999999997E-2</v>
      </c>
      <c r="F17325" s="26">
        <v>6.0400000000000002E-2</v>
      </c>
      <c r="G17325" s="26">
        <v>1.8499999999999999E-2</v>
      </c>
      <c r="H17325" s="26">
        <v>2.3699999999999999E-2</v>
      </c>
      <c r="I17325" s="26">
        <v>3.3E-3</v>
      </c>
      <c r="J17325" s="26">
        <v>9.9000000000000008E-3</v>
      </c>
      <c r="L17325" s="26">
        <v>2.5999999999999999E-3</v>
      </c>
      <c r="M17325" s="26">
        <v>1.47E-2</v>
      </c>
      <c r="N17325" s="26">
        <v>2.3400000000000001E-2</v>
      </c>
      <c r="O17325" s="26">
        <v>4.5999999999999999E-3</v>
      </c>
      <c r="P17325" s="26">
        <v>1.06E-2</v>
      </c>
      <c r="Q17325" s="26">
        <v>1.2999999999999999E-3</v>
      </c>
      <c r="R17325">
        <v>338</v>
      </c>
    </row>
    <row r="17326" spans="1:18" x14ac:dyDescent="0.35">
      <c r="A17326" t="s">
        <v>228</v>
      </c>
      <c r="B17326" t="s">
        <v>253</v>
      </c>
      <c r="C17326" s="26">
        <v>0.6764</v>
      </c>
      <c r="D17326" s="26">
        <v>0.1191</v>
      </c>
      <c r="E17326" s="26">
        <v>6.4000000000000001E-2</v>
      </c>
      <c r="F17326" s="26">
        <v>5.3499999999999999E-2</v>
      </c>
      <c r="G17326" s="26">
        <v>5.8799999999999998E-2</v>
      </c>
      <c r="H17326" s="26">
        <v>2.4500000000000001E-2</v>
      </c>
      <c r="I17326" s="26">
        <v>3.4299999999999997E-2</v>
      </c>
      <c r="J17326" s="26">
        <v>2.8500000000000001E-2</v>
      </c>
      <c r="K17326" s="26">
        <v>2.87E-2</v>
      </c>
      <c r="L17326" s="26">
        <v>3.0000000000000001E-3</v>
      </c>
      <c r="M17326" s="26">
        <v>3.9300000000000002E-2</v>
      </c>
      <c r="N17326" s="26">
        <v>6.1999999999999998E-3</v>
      </c>
      <c r="P17326" s="26">
        <v>4.1999999999999997E-3</v>
      </c>
      <c r="R17326">
        <v>216</v>
      </c>
    </row>
    <row r="17327" spans="1:18" x14ac:dyDescent="0.35">
      <c r="A17327" t="s">
        <v>228</v>
      </c>
      <c r="B17327" t="s">
        <v>251</v>
      </c>
      <c r="C17327" s="26">
        <v>0.81100000000000005</v>
      </c>
      <c r="D17327" s="26">
        <v>0.1055</v>
      </c>
      <c r="E17327" s="26">
        <v>3.3700000000000001E-2</v>
      </c>
      <c r="F17327" s="26">
        <v>3.7600000000000001E-2</v>
      </c>
      <c r="G17327" s="26">
        <v>4.3799999999999999E-2</v>
      </c>
      <c r="H17327" s="26">
        <v>1.61E-2</v>
      </c>
      <c r="I17327" s="26">
        <v>1.3100000000000001E-2</v>
      </c>
      <c r="J17327" s="26">
        <v>9.1999999999999998E-3</v>
      </c>
      <c r="K17327" s="26">
        <v>2.64E-2</v>
      </c>
      <c r="L17327" s="26">
        <v>1.17E-2</v>
      </c>
      <c r="M17327" s="26">
        <v>2.47E-2</v>
      </c>
      <c r="N17327" s="26">
        <v>1.2999999999999999E-2</v>
      </c>
      <c r="P17327" s="26">
        <v>1.8E-3</v>
      </c>
      <c r="Q17327" s="26">
        <v>1.1999999999999999E-3</v>
      </c>
      <c r="R17327">
        <v>459</v>
      </c>
    </row>
    <row r="17328" spans="1:18" x14ac:dyDescent="0.35">
      <c r="A17328" t="s">
        <v>229</v>
      </c>
      <c r="B17328" t="s">
        <v>252</v>
      </c>
      <c r="C17328" s="26">
        <v>0.79349999999999998</v>
      </c>
      <c r="D17328" s="26">
        <v>0.1012</v>
      </c>
      <c r="E17328" s="26">
        <v>5.57E-2</v>
      </c>
      <c r="F17328" s="26">
        <v>6.6400000000000001E-2</v>
      </c>
      <c r="G17328" s="26">
        <v>4.0000000000000002E-4</v>
      </c>
      <c r="H17328" s="26">
        <v>4.2599999999999999E-2</v>
      </c>
      <c r="I17328" s="26">
        <v>1.66E-2</v>
      </c>
      <c r="J17328" s="26">
        <v>1.5E-3</v>
      </c>
      <c r="M17328" s="26">
        <v>1.5E-3</v>
      </c>
      <c r="N17328" s="26">
        <v>1.2800000000000001E-2</v>
      </c>
      <c r="O17328" s="26">
        <v>8.9999999999999998E-4</v>
      </c>
      <c r="R17328">
        <v>195</v>
      </c>
    </row>
    <row r="17329" spans="1:18" x14ac:dyDescent="0.35">
      <c r="A17329" t="s">
        <v>229</v>
      </c>
      <c r="B17329" t="s">
        <v>253</v>
      </c>
      <c r="C17329" s="26">
        <v>0.63539999999999996</v>
      </c>
      <c r="D17329" s="26">
        <v>0.18559999999999999</v>
      </c>
      <c r="E17329" s="26">
        <v>5.0099999999999999E-2</v>
      </c>
      <c r="F17329" s="26">
        <v>4.3400000000000001E-2</v>
      </c>
      <c r="G17329" s="26">
        <v>9.1899999999999996E-2</v>
      </c>
      <c r="H17329" s="26">
        <v>6.4600000000000005E-2</v>
      </c>
      <c r="I17329" s="26">
        <v>4.5499999999999999E-2</v>
      </c>
      <c r="J17329" s="26">
        <v>1.8200000000000001E-2</v>
      </c>
      <c r="K17329" s="26">
        <v>4.8300000000000003E-2</v>
      </c>
      <c r="L17329" s="26">
        <v>4.3700000000000003E-2</v>
      </c>
      <c r="M17329" s="26">
        <v>3.27E-2</v>
      </c>
      <c r="N17329" s="26">
        <v>1.6400000000000001E-2</v>
      </c>
      <c r="R17329">
        <v>142</v>
      </c>
    </row>
    <row r="17330" spans="1:18" x14ac:dyDescent="0.35">
      <c r="A17330" t="s">
        <v>229</v>
      </c>
      <c r="B17330" t="s">
        <v>251</v>
      </c>
      <c r="C17330" s="26">
        <v>0.71689999999999998</v>
      </c>
      <c r="D17330" s="26">
        <v>0.1042</v>
      </c>
      <c r="E17330" s="26">
        <v>4.1799999999999997E-2</v>
      </c>
      <c r="F17330" s="26">
        <v>5.1900000000000002E-2</v>
      </c>
      <c r="G17330" s="26">
        <v>6.2799999999999995E-2</v>
      </c>
      <c r="H17330" s="26">
        <v>2.3300000000000001E-2</v>
      </c>
      <c r="I17330" s="26">
        <v>1.12E-2</v>
      </c>
      <c r="J17330" s="26">
        <v>1.6299999999999999E-2</v>
      </c>
      <c r="K17330" s="26">
        <v>1.14E-2</v>
      </c>
      <c r="L17330" s="26">
        <v>3.0300000000000001E-2</v>
      </c>
      <c r="M17330" s="26">
        <v>2.7300000000000001E-2</v>
      </c>
      <c r="N17330" s="26">
        <v>7.1000000000000004E-3</v>
      </c>
      <c r="O17330" s="26">
        <v>1.01E-2</v>
      </c>
      <c r="P17330" s="26">
        <v>5.0000000000000001E-4</v>
      </c>
      <c r="R17330">
        <v>530</v>
      </c>
    </row>
    <row r="17331" spans="1:18" x14ac:dyDescent="0.35">
      <c r="A17331" t="s">
        <v>230</v>
      </c>
      <c r="B17331" t="s">
        <v>252</v>
      </c>
      <c r="C17331" s="26">
        <v>0.74</v>
      </c>
      <c r="D17331" s="26">
        <v>0.17330000000000001</v>
      </c>
      <c r="E17331" s="26">
        <v>7.5499999999999998E-2</v>
      </c>
      <c r="F17331" s="26">
        <v>5.7700000000000001E-2</v>
      </c>
      <c r="G17331" s="26">
        <v>1.1000000000000001E-3</v>
      </c>
      <c r="H17331" s="26">
        <v>3.5499999999999997E-2</v>
      </c>
      <c r="I17331" s="26">
        <v>4.8300000000000003E-2</v>
      </c>
      <c r="L17331" s="26">
        <v>3.5000000000000001E-3</v>
      </c>
      <c r="M17331" s="26">
        <v>3.5000000000000001E-3</v>
      </c>
      <c r="O17331" s="26">
        <v>1.1000000000000001E-3</v>
      </c>
      <c r="P17331" s="26">
        <v>4.2500000000000003E-2</v>
      </c>
      <c r="Q17331" s="26">
        <v>1.1000000000000001E-3</v>
      </c>
      <c r="R17331">
        <v>155</v>
      </c>
    </row>
    <row r="17332" spans="1:18" x14ac:dyDescent="0.35">
      <c r="A17332" t="s">
        <v>230</v>
      </c>
      <c r="B17332" t="s">
        <v>253</v>
      </c>
      <c r="C17332" s="26">
        <v>0.76659999999999995</v>
      </c>
      <c r="D17332" s="26">
        <v>0.16120000000000001</v>
      </c>
      <c r="E17332" s="26">
        <v>8.8999999999999996E-2</v>
      </c>
      <c r="F17332" s="26">
        <v>7.9000000000000001E-2</v>
      </c>
      <c r="G17332" s="26">
        <v>3.6299999999999999E-2</v>
      </c>
      <c r="H17332" s="26">
        <v>7.4200000000000002E-2</v>
      </c>
      <c r="I17332" s="26">
        <v>4.4299999999999999E-2</v>
      </c>
      <c r="K17332" s="26">
        <v>3.1300000000000001E-2</v>
      </c>
      <c r="L17332" s="26">
        <v>9.4999999999999998E-3</v>
      </c>
      <c r="M17332" s="26">
        <v>2.9700000000000001E-2</v>
      </c>
      <c r="R17332">
        <v>104</v>
      </c>
    </row>
    <row r="17333" spans="1:18" x14ac:dyDescent="0.35">
      <c r="A17333" t="s">
        <v>230</v>
      </c>
      <c r="B17333" t="s">
        <v>251</v>
      </c>
      <c r="C17333" s="26">
        <v>0.66549999999999998</v>
      </c>
      <c r="D17333" s="26">
        <v>0.17280000000000001</v>
      </c>
      <c r="E17333" s="26">
        <v>6.6900000000000001E-2</v>
      </c>
      <c r="F17333" s="26">
        <v>0.12709999999999999</v>
      </c>
      <c r="G17333" s="26">
        <v>7.3999999999999996E-2</v>
      </c>
      <c r="H17333" s="26">
        <v>4.6899999999999997E-2</v>
      </c>
      <c r="I17333" s="26">
        <v>3.1899999999999998E-2</v>
      </c>
      <c r="J17333" s="26">
        <v>1.14E-2</v>
      </c>
      <c r="L17333" s="26">
        <v>1.0200000000000001E-2</v>
      </c>
      <c r="M17333" s="26">
        <v>2.4899999999999999E-2</v>
      </c>
      <c r="N17333" s="26">
        <v>2.3699999999999999E-2</v>
      </c>
      <c r="O17333" s="26">
        <v>2.0999999999999999E-3</v>
      </c>
      <c r="P17333" s="26">
        <v>1.6000000000000001E-3</v>
      </c>
      <c r="R17333">
        <v>288</v>
      </c>
    </row>
    <row r="17334" spans="1:18" x14ac:dyDescent="0.35">
      <c r="A17334" t="s">
        <v>231</v>
      </c>
      <c r="B17334" t="s">
        <v>252</v>
      </c>
      <c r="C17334" s="26">
        <v>0.8367</v>
      </c>
      <c r="D17334" s="26">
        <v>4.0800000000000003E-2</v>
      </c>
      <c r="E17334" s="26">
        <v>4.0800000000000003E-2</v>
      </c>
      <c r="F17334" s="26">
        <v>6.1199999999999997E-2</v>
      </c>
      <c r="G17334" s="26">
        <v>2.0400000000000001E-2</v>
      </c>
      <c r="I17334" s="26">
        <v>2.0400000000000001E-2</v>
      </c>
      <c r="K17334" s="26">
        <v>2.0400000000000001E-2</v>
      </c>
      <c r="L17334" s="26">
        <v>2.0400000000000001E-2</v>
      </c>
      <c r="R17334">
        <v>49</v>
      </c>
    </row>
    <row r="17335" spans="1:18" x14ac:dyDescent="0.35">
      <c r="A17335" t="s">
        <v>231</v>
      </c>
      <c r="B17335" t="s">
        <v>253</v>
      </c>
      <c r="C17335" s="26">
        <v>0.73329999999999995</v>
      </c>
      <c r="D17335" s="26">
        <v>0.1</v>
      </c>
      <c r="E17335" s="26">
        <v>0.1333</v>
      </c>
      <c r="F17335" s="26">
        <v>3.3300000000000003E-2</v>
      </c>
      <c r="G17335" s="26">
        <v>3.3300000000000003E-2</v>
      </c>
      <c r="I17335" s="26">
        <v>3.3300000000000003E-2</v>
      </c>
      <c r="R17335">
        <v>30</v>
      </c>
    </row>
    <row r="17336" spans="1:18" x14ac:dyDescent="0.35">
      <c r="A17336" t="s">
        <v>231</v>
      </c>
      <c r="B17336" t="s">
        <v>251</v>
      </c>
      <c r="C17336" s="26">
        <v>0.77110000000000001</v>
      </c>
      <c r="D17336" s="26">
        <v>7.2300000000000003E-2</v>
      </c>
      <c r="E17336" s="26">
        <v>7.2300000000000003E-2</v>
      </c>
      <c r="F17336" s="26">
        <v>4.82E-2</v>
      </c>
      <c r="G17336" s="26">
        <v>4.82E-2</v>
      </c>
      <c r="H17336" s="26">
        <v>2.41E-2</v>
      </c>
      <c r="I17336" s="26">
        <v>1.2E-2</v>
      </c>
      <c r="J17336" s="26">
        <v>2.41E-2</v>
      </c>
      <c r="K17336" s="26">
        <v>1.2E-2</v>
      </c>
      <c r="N17336" s="26">
        <v>1.2E-2</v>
      </c>
      <c r="O17336" s="26">
        <v>1.2E-2</v>
      </c>
      <c r="R17336">
        <v>83</v>
      </c>
    </row>
    <row r="17337" spans="1:18" x14ac:dyDescent="0.35">
      <c r="A17337" t="s">
        <v>232</v>
      </c>
      <c r="B17337" t="s">
        <v>232</v>
      </c>
      <c r="C17337" s="26">
        <v>0.73970000000000002</v>
      </c>
      <c r="D17337" s="26">
        <v>0.1208</v>
      </c>
      <c r="E17337" s="26">
        <v>5.6599999999999998E-2</v>
      </c>
      <c r="F17337" s="26">
        <v>5.6300000000000003E-2</v>
      </c>
      <c r="G17337" s="26">
        <v>4.7100000000000003E-2</v>
      </c>
      <c r="H17337" s="26">
        <v>3.0599999999999999E-2</v>
      </c>
      <c r="I17337" s="26">
        <v>2.07E-2</v>
      </c>
      <c r="J17337" s="26">
        <v>1.61E-2</v>
      </c>
      <c r="K17337" s="26">
        <v>1.4800000000000001E-2</v>
      </c>
      <c r="L17337" s="26">
        <v>1.3100000000000001E-2</v>
      </c>
      <c r="M17337" s="26">
        <v>1.2999999999999999E-2</v>
      </c>
      <c r="N17337" s="26">
        <v>8.6999999999999994E-3</v>
      </c>
      <c r="O17337" s="26">
        <v>3.8E-3</v>
      </c>
      <c r="P17337" s="26">
        <v>2.2000000000000001E-3</v>
      </c>
      <c r="Q17337" s="26">
        <v>2.0000000000000001E-4</v>
      </c>
      <c r="R17337">
        <v>2749</v>
      </c>
    </row>
    <row r="17339" spans="1:18" x14ac:dyDescent="0.35">
      <c r="A17339" s="1" t="s">
        <v>1785</v>
      </c>
    </row>
    <row r="17340" spans="1:18" x14ac:dyDescent="0.35">
      <c r="A17340" t="s">
        <v>219</v>
      </c>
      <c r="B17340" t="s">
        <v>305</v>
      </c>
      <c r="C17340" t="s">
        <v>1767</v>
      </c>
      <c r="D17340" t="s">
        <v>1768</v>
      </c>
      <c r="E17340" t="s">
        <v>1769</v>
      </c>
      <c r="F17340" t="s">
        <v>1770</v>
      </c>
      <c r="G17340" t="s">
        <v>1771</v>
      </c>
      <c r="H17340" t="s">
        <v>1772</v>
      </c>
      <c r="I17340" t="s">
        <v>1773</v>
      </c>
      <c r="J17340" t="s">
        <v>1774</v>
      </c>
      <c r="K17340" t="s">
        <v>1775</v>
      </c>
      <c r="L17340" t="s">
        <v>326</v>
      </c>
      <c r="M17340" t="s">
        <v>1776</v>
      </c>
      <c r="N17340" t="s">
        <v>1777</v>
      </c>
      <c r="O17340" t="s">
        <v>281</v>
      </c>
      <c r="P17340" t="s">
        <v>1778</v>
      </c>
      <c r="Q17340" t="s">
        <v>286</v>
      </c>
      <c r="R17340" t="s">
        <v>226</v>
      </c>
    </row>
    <row r="17341" spans="1:18" x14ac:dyDescent="0.35">
      <c r="A17341" t="s">
        <v>227</v>
      </c>
      <c r="B17341" t="s">
        <v>249</v>
      </c>
      <c r="C17341" s="26">
        <v>0.59089999999999998</v>
      </c>
      <c r="D17341" s="26">
        <v>0.2273</v>
      </c>
      <c r="E17341" s="26">
        <v>4.5499999999999999E-2</v>
      </c>
      <c r="F17341" s="26">
        <v>6.8199999999999997E-2</v>
      </c>
      <c r="G17341" s="26">
        <v>0.15909999999999999</v>
      </c>
      <c r="H17341" s="26">
        <v>9.0899999999999995E-2</v>
      </c>
      <c r="I17341" s="26">
        <v>2.2700000000000001E-2</v>
      </c>
      <c r="J17341" s="26">
        <v>9.0899999999999995E-2</v>
      </c>
      <c r="K17341" s="26">
        <v>6.8199999999999997E-2</v>
      </c>
      <c r="L17341" s="26">
        <v>2.2700000000000001E-2</v>
      </c>
      <c r="R17341">
        <v>44</v>
      </c>
    </row>
    <row r="17342" spans="1:18" x14ac:dyDescent="0.35">
      <c r="A17342" t="s">
        <v>227</v>
      </c>
      <c r="B17342" t="s">
        <v>248</v>
      </c>
      <c r="C17342" s="26">
        <v>0.72409999999999997</v>
      </c>
      <c r="D17342" s="26">
        <v>0.1724</v>
      </c>
      <c r="E17342" s="26">
        <v>5.1700000000000003E-2</v>
      </c>
      <c r="F17342" s="26">
        <v>5.1700000000000003E-2</v>
      </c>
      <c r="G17342" s="26">
        <v>2.5899999999999999E-2</v>
      </c>
      <c r="H17342" s="26">
        <v>4.3099999999999999E-2</v>
      </c>
      <c r="I17342" s="26">
        <v>2.5899999999999999E-2</v>
      </c>
      <c r="J17342" s="26">
        <v>1.72E-2</v>
      </c>
      <c r="L17342" s="26">
        <v>8.6E-3</v>
      </c>
      <c r="R17342">
        <v>116</v>
      </c>
    </row>
    <row r="17343" spans="1:18" x14ac:dyDescent="0.35">
      <c r="A17343" t="s">
        <v>228</v>
      </c>
      <c r="B17343" t="s">
        <v>249</v>
      </c>
      <c r="C17343" s="26">
        <v>0.7571</v>
      </c>
      <c r="D17343" s="26">
        <v>0.1293</v>
      </c>
      <c r="E17343" s="26">
        <v>4.3900000000000002E-2</v>
      </c>
      <c r="F17343" s="26">
        <v>4.8099999999999997E-2</v>
      </c>
      <c r="G17343" s="26">
        <v>9.2399999999999996E-2</v>
      </c>
      <c r="H17343" s="26">
        <v>5.7000000000000002E-3</v>
      </c>
      <c r="I17343" s="26">
        <v>1.9099999999999999E-2</v>
      </c>
      <c r="J17343" s="26">
        <v>2.0400000000000001E-2</v>
      </c>
      <c r="K17343" s="26">
        <v>4.5600000000000002E-2</v>
      </c>
      <c r="L17343" s="26">
        <v>1.24E-2</v>
      </c>
      <c r="M17343" s="26">
        <v>2.9600000000000001E-2</v>
      </c>
      <c r="N17343" s="26">
        <v>1.7100000000000001E-2</v>
      </c>
      <c r="P17343" s="26">
        <v>2.8E-3</v>
      </c>
      <c r="R17343">
        <v>270</v>
      </c>
    </row>
    <row r="17344" spans="1:18" x14ac:dyDescent="0.35">
      <c r="A17344" t="s">
        <v>228</v>
      </c>
      <c r="B17344" t="s">
        <v>248</v>
      </c>
      <c r="C17344" s="26">
        <v>0.77029999999999998</v>
      </c>
      <c r="D17344" s="26">
        <v>0.11799999999999999</v>
      </c>
      <c r="E17344" s="26">
        <v>4.2799999999999998E-2</v>
      </c>
      <c r="F17344" s="26">
        <v>4.8099999999999997E-2</v>
      </c>
      <c r="G17344" s="26">
        <v>1.54E-2</v>
      </c>
      <c r="H17344" s="26">
        <v>2.6599999999999999E-2</v>
      </c>
      <c r="I17344" s="26">
        <v>1.2200000000000001E-2</v>
      </c>
      <c r="J17344" s="26">
        <v>1.0200000000000001E-2</v>
      </c>
      <c r="K17344" s="26">
        <v>6.4999999999999997E-3</v>
      </c>
      <c r="L17344" s="26">
        <v>4.7000000000000002E-3</v>
      </c>
      <c r="M17344" s="26">
        <v>2.2200000000000001E-2</v>
      </c>
      <c r="N17344" s="26">
        <v>1.41E-2</v>
      </c>
      <c r="O17344" s="26">
        <v>2.0999999999999999E-3</v>
      </c>
      <c r="P17344" s="26">
        <v>6.1000000000000004E-3</v>
      </c>
      <c r="Q17344" s="26">
        <v>1.4E-3</v>
      </c>
      <c r="R17344">
        <v>743</v>
      </c>
    </row>
    <row r="17345" spans="1:18" x14ac:dyDescent="0.35">
      <c r="A17345" t="s">
        <v>229</v>
      </c>
      <c r="B17345" t="s">
        <v>249</v>
      </c>
      <c r="C17345" s="26">
        <v>0.66220000000000001</v>
      </c>
      <c r="D17345" s="26">
        <v>0.151</v>
      </c>
      <c r="E17345" s="26">
        <v>4.8399999999999999E-2</v>
      </c>
      <c r="F17345" s="26">
        <v>4.3900000000000002E-2</v>
      </c>
      <c r="G17345" s="26">
        <v>0.1187</v>
      </c>
      <c r="H17345" s="26">
        <v>3.7100000000000001E-2</v>
      </c>
      <c r="I17345" s="26">
        <v>1.83E-2</v>
      </c>
      <c r="J17345" s="26">
        <v>2.0899999999999998E-2</v>
      </c>
      <c r="K17345" s="26">
        <v>3.7100000000000001E-2</v>
      </c>
      <c r="L17345" s="26">
        <v>3.9699999999999999E-2</v>
      </c>
      <c r="M17345" s="26">
        <v>1.15E-2</v>
      </c>
      <c r="N17345" s="26">
        <v>1.04E-2</v>
      </c>
      <c r="P17345" s="26">
        <v>8.0000000000000004E-4</v>
      </c>
      <c r="R17345">
        <v>254</v>
      </c>
    </row>
    <row r="17346" spans="1:18" x14ac:dyDescent="0.35">
      <c r="A17346" t="s">
        <v>229</v>
      </c>
      <c r="B17346" t="s">
        <v>248</v>
      </c>
      <c r="C17346" s="26">
        <v>0.74690000000000001</v>
      </c>
      <c r="D17346" s="26">
        <v>0.1032</v>
      </c>
      <c r="E17346" s="26">
        <v>4.5600000000000002E-2</v>
      </c>
      <c r="F17346" s="26">
        <v>5.8400000000000001E-2</v>
      </c>
      <c r="G17346" s="26">
        <v>2.23E-2</v>
      </c>
      <c r="H17346" s="26">
        <v>3.4799999999999998E-2</v>
      </c>
      <c r="I17346" s="26">
        <v>1.9300000000000001E-2</v>
      </c>
      <c r="J17346" s="26">
        <v>9.4999999999999998E-3</v>
      </c>
      <c r="K17346" s="26">
        <v>5.3E-3</v>
      </c>
      <c r="L17346" s="26">
        <v>1.9199999999999998E-2</v>
      </c>
      <c r="M17346" s="26">
        <v>2.7799999999999998E-2</v>
      </c>
      <c r="N17346" s="26">
        <v>0.01</v>
      </c>
      <c r="O17346" s="26">
        <v>8.9999999999999993E-3</v>
      </c>
      <c r="R17346">
        <v>613</v>
      </c>
    </row>
    <row r="17347" spans="1:18" x14ac:dyDescent="0.35">
      <c r="A17347" t="s">
        <v>230</v>
      </c>
      <c r="B17347" t="s">
        <v>249</v>
      </c>
      <c r="C17347" s="26">
        <v>0.64870000000000005</v>
      </c>
      <c r="D17347" s="26">
        <v>0.193</v>
      </c>
      <c r="E17347" s="26">
        <v>8.6099999999999996E-2</v>
      </c>
      <c r="F17347" s="26">
        <v>0.157</v>
      </c>
      <c r="G17347" s="26">
        <v>9.6799999999999997E-2</v>
      </c>
      <c r="H17347" s="26">
        <v>7.1599999999999997E-2</v>
      </c>
      <c r="I17347" s="26">
        <v>5.5300000000000002E-2</v>
      </c>
      <c r="J17347" s="26">
        <v>1.9099999999999999E-2</v>
      </c>
      <c r="K17347" s="26">
        <v>8.0000000000000004E-4</v>
      </c>
      <c r="L17347" s="26">
        <v>3.5999999999999999E-3</v>
      </c>
      <c r="M17347" s="26">
        <v>1.9099999999999999E-2</v>
      </c>
      <c r="N17347" s="26">
        <v>2.7000000000000001E-3</v>
      </c>
      <c r="O17347" s="26">
        <v>8.0000000000000004E-4</v>
      </c>
      <c r="R17347">
        <v>167</v>
      </c>
    </row>
    <row r="17348" spans="1:18" x14ac:dyDescent="0.35">
      <c r="A17348" t="s">
        <v>230</v>
      </c>
      <c r="B17348" t="s">
        <v>248</v>
      </c>
      <c r="C17348" s="26">
        <v>0.73050000000000004</v>
      </c>
      <c r="D17348" s="26">
        <v>0.15959999999999999</v>
      </c>
      <c r="E17348" s="26">
        <v>6.6600000000000006E-2</v>
      </c>
      <c r="F17348" s="26">
        <v>7.2099999999999997E-2</v>
      </c>
      <c r="G17348" s="26">
        <v>2.41E-2</v>
      </c>
      <c r="H17348" s="26">
        <v>3.7699999999999997E-2</v>
      </c>
      <c r="I17348" s="26">
        <v>2.98E-2</v>
      </c>
      <c r="K17348" s="26">
        <v>8.2000000000000007E-3</v>
      </c>
      <c r="L17348" s="26">
        <v>1.0800000000000001E-2</v>
      </c>
      <c r="M17348" s="26">
        <v>2.0899999999999998E-2</v>
      </c>
      <c r="N17348" s="26">
        <v>1.8599999999999998E-2</v>
      </c>
      <c r="O17348" s="26">
        <v>1.8E-3</v>
      </c>
      <c r="P17348" s="26">
        <v>1.78E-2</v>
      </c>
      <c r="Q17348" s="26">
        <v>4.0000000000000002E-4</v>
      </c>
      <c r="R17348">
        <v>380</v>
      </c>
    </row>
    <row r="17349" spans="1:18" x14ac:dyDescent="0.35">
      <c r="A17349" t="s">
        <v>231</v>
      </c>
      <c r="B17349" t="s">
        <v>249</v>
      </c>
      <c r="C17349" s="26">
        <v>0.6</v>
      </c>
      <c r="D17349" s="26">
        <v>0.1429</v>
      </c>
      <c r="E17349" s="26">
        <v>0.1714</v>
      </c>
      <c r="F17349" s="26">
        <v>8.5699999999999998E-2</v>
      </c>
      <c r="G17349" s="26">
        <v>0.1143</v>
      </c>
      <c r="H17349" s="26">
        <v>2.86E-2</v>
      </c>
      <c r="I17349" s="26">
        <v>5.7099999999999998E-2</v>
      </c>
      <c r="J17349" s="26">
        <v>5.7099999999999998E-2</v>
      </c>
      <c r="N17349" s="26">
        <v>2.86E-2</v>
      </c>
      <c r="R17349">
        <v>35</v>
      </c>
    </row>
    <row r="17350" spans="1:18" x14ac:dyDescent="0.35">
      <c r="A17350" t="s">
        <v>231</v>
      </c>
      <c r="B17350" t="s">
        <v>248</v>
      </c>
      <c r="C17350" s="26">
        <v>0.83460000000000001</v>
      </c>
      <c r="D17350" s="26">
        <v>4.7199999999999999E-2</v>
      </c>
      <c r="E17350" s="26">
        <v>4.7199999999999999E-2</v>
      </c>
      <c r="F17350" s="26">
        <v>3.9399999999999998E-2</v>
      </c>
      <c r="G17350" s="26">
        <v>1.5699999999999999E-2</v>
      </c>
      <c r="H17350" s="26">
        <v>7.9000000000000008E-3</v>
      </c>
      <c r="I17350" s="26">
        <v>7.9000000000000008E-3</v>
      </c>
      <c r="K17350" s="26">
        <v>1.5699999999999999E-2</v>
      </c>
      <c r="L17350" s="26">
        <v>7.9000000000000008E-3</v>
      </c>
      <c r="O17350" s="26">
        <v>7.9000000000000008E-3</v>
      </c>
      <c r="R17350">
        <v>127</v>
      </c>
    </row>
    <row r="17351" spans="1:18" x14ac:dyDescent="0.35">
      <c r="A17351" t="s">
        <v>232</v>
      </c>
      <c r="B17351" t="s">
        <v>232</v>
      </c>
      <c r="C17351" s="26">
        <v>0.73970000000000002</v>
      </c>
      <c r="D17351" s="26">
        <v>0.1208</v>
      </c>
      <c r="E17351" s="26">
        <v>5.6599999999999998E-2</v>
      </c>
      <c r="F17351" s="26">
        <v>5.6300000000000003E-2</v>
      </c>
      <c r="G17351" s="26">
        <v>4.7100000000000003E-2</v>
      </c>
      <c r="H17351" s="26">
        <v>3.0599999999999999E-2</v>
      </c>
      <c r="I17351" s="26">
        <v>2.07E-2</v>
      </c>
      <c r="J17351" s="26">
        <v>1.61E-2</v>
      </c>
      <c r="K17351" s="26">
        <v>1.4800000000000001E-2</v>
      </c>
      <c r="L17351" s="26">
        <v>1.3100000000000001E-2</v>
      </c>
      <c r="M17351" s="26">
        <v>1.2999999999999999E-2</v>
      </c>
      <c r="N17351" s="26">
        <v>8.6999999999999994E-3</v>
      </c>
      <c r="O17351" s="26">
        <v>3.8E-3</v>
      </c>
      <c r="P17351" s="26">
        <v>2.2000000000000001E-3</v>
      </c>
      <c r="Q17351" s="26">
        <v>2.0000000000000001E-4</v>
      </c>
      <c r="R17351">
        <v>2749</v>
      </c>
    </row>
    <row r="17353" spans="1:18" x14ac:dyDescent="0.35">
      <c r="A17353" s="1" t="s">
        <v>1786</v>
      </c>
    </row>
    <row r="17354" spans="1:18" x14ac:dyDescent="0.35">
      <c r="A17354" t="s">
        <v>219</v>
      </c>
      <c r="B17354" t="s">
        <v>305</v>
      </c>
      <c r="C17354" t="s">
        <v>1767</v>
      </c>
      <c r="D17354" t="s">
        <v>1768</v>
      </c>
      <c r="E17354" t="s">
        <v>1769</v>
      </c>
      <c r="F17354" t="s">
        <v>1770</v>
      </c>
      <c r="G17354" t="s">
        <v>1771</v>
      </c>
      <c r="H17354" t="s">
        <v>1772</v>
      </c>
      <c r="I17354" t="s">
        <v>1773</v>
      </c>
      <c r="J17354" t="s">
        <v>1774</v>
      </c>
      <c r="K17354" t="s">
        <v>1775</v>
      </c>
      <c r="L17354" t="s">
        <v>326</v>
      </c>
      <c r="M17354" t="s">
        <v>1776</v>
      </c>
      <c r="N17354" t="s">
        <v>1777</v>
      </c>
      <c r="O17354" t="s">
        <v>281</v>
      </c>
      <c r="P17354" t="s">
        <v>1778</v>
      </c>
      <c r="Q17354" t="s">
        <v>286</v>
      </c>
      <c r="R17354" t="s">
        <v>226</v>
      </c>
    </row>
    <row r="17355" spans="1:18" x14ac:dyDescent="0.35">
      <c r="A17355" s="27" t="s">
        <v>227</v>
      </c>
      <c r="B17355" s="27" t="s">
        <v>263</v>
      </c>
      <c r="C17355" s="29"/>
      <c r="D17355" s="28">
        <v>0.33329999999999999</v>
      </c>
      <c r="E17355" s="29"/>
      <c r="F17355" s="28">
        <v>0.66669999999999996</v>
      </c>
      <c r="G17355" s="28">
        <v>0.33329999999999999</v>
      </c>
      <c r="H17355" s="29"/>
      <c r="I17355" s="28">
        <v>0.33329999999999999</v>
      </c>
      <c r="J17355" s="29"/>
      <c r="K17355" s="29"/>
      <c r="L17355" s="29"/>
      <c r="M17355" s="29"/>
      <c r="N17355" s="29"/>
      <c r="O17355" s="29"/>
      <c r="P17355" s="29"/>
      <c r="Q17355" s="29"/>
      <c r="R17355" s="29" t="s">
        <v>315</v>
      </c>
    </row>
    <row r="17356" spans="1:18" x14ac:dyDescent="0.35">
      <c r="A17356" t="s">
        <v>227</v>
      </c>
      <c r="B17356" t="s">
        <v>261</v>
      </c>
      <c r="C17356" s="26">
        <v>0.53120000000000001</v>
      </c>
      <c r="D17356" s="26">
        <v>0.28120000000000001</v>
      </c>
      <c r="E17356" s="26">
        <v>9.3799999999999994E-2</v>
      </c>
      <c r="F17356" s="26">
        <v>6.25E-2</v>
      </c>
      <c r="G17356" s="26">
        <v>0.125</v>
      </c>
      <c r="H17356" s="26">
        <v>0.15620000000000001</v>
      </c>
      <c r="I17356" s="26">
        <v>3.1199999999999999E-2</v>
      </c>
      <c r="J17356" s="26">
        <v>3.1199999999999999E-2</v>
      </c>
      <c r="K17356" s="26">
        <v>3.1199999999999999E-2</v>
      </c>
      <c r="R17356">
        <v>32</v>
      </c>
    </row>
    <row r="17357" spans="1:18" x14ac:dyDescent="0.35">
      <c r="A17357" s="27" t="s">
        <v>227</v>
      </c>
      <c r="B17357" s="27" t="s">
        <v>262</v>
      </c>
      <c r="C17357" s="28">
        <v>0.33329999999999999</v>
      </c>
      <c r="D17357" s="28">
        <v>0.33329999999999999</v>
      </c>
      <c r="E17357" s="29"/>
      <c r="F17357" s="29"/>
      <c r="G17357" s="29"/>
      <c r="H17357" s="28">
        <v>0.33329999999999999</v>
      </c>
      <c r="I17357" s="29"/>
      <c r="J17357" s="28">
        <v>0.33329999999999999</v>
      </c>
      <c r="K17357" s="28">
        <v>0.33329999999999999</v>
      </c>
      <c r="L17357" s="29"/>
      <c r="M17357" s="29"/>
      <c r="N17357" s="29"/>
      <c r="O17357" s="29"/>
      <c r="P17357" s="29"/>
      <c r="Q17357" s="29"/>
      <c r="R17357" s="29" t="s">
        <v>315</v>
      </c>
    </row>
    <row r="17358" spans="1:18" x14ac:dyDescent="0.35">
      <c r="A17358" t="s">
        <v>227</v>
      </c>
      <c r="B17358" t="s">
        <v>260</v>
      </c>
      <c r="C17358" s="26">
        <v>0.75409999999999999</v>
      </c>
      <c r="D17358" s="26">
        <v>0.15570000000000001</v>
      </c>
      <c r="E17358" s="26">
        <v>4.1000000000000002E-2</v>
      </c>
      <c r="F17358" s="26">
        <v>4.1000000000000002E-2</v>
      </c>
      <c r="G17358" s="26">
        <v>4.1000000000000002E-2</v>
      </c>
      <c r="H17358" s="26">
        <v>2.46E-2</v>
      </c>
      <c r="I17358" s="26">
        <v>1.6400000000000001E-2</v>
      </c>
      <c r="J17358" s="26">
        <v>3.2800000000000003E-2</v>
      </c>
      <c r="K17358" s="26">
        <v>8.2000000000000007E-3</v>
      </c>
      <c r="L17358" s="26">
        <v>1.6400000000000001E-2</v>
      </c>
      <c r="R17358">
        <v>122</v>
      </c>
    </row>
    <row r="17359" spans="1:18" x14ac:dyDescent="0.35">
      <c r="A17359" t="s">
        <v>228</v>
      </c>
      <c r="B17359" t="s">
        <v>261</v>
      </c>
      <c r="C17359" s="26">
        <v>0.7419</v>
      </c>
      <c r="D17359" s="26">
        <v>0.14649999999999999</v>
      </c>
      <c r="E17359" s="26">
        <v>3.61E-2</v>
      </c>
      <c r="F17359" s="26">
        <v>2.1999999999999999E-2</v>
      </c>
      <c r="G17359" s="26">
        <v>6.8000000000000005E-2</v>
      </c>
      <c r="H17359" s="26">
        <v>9.7000000000000003E-3</v>
      </c>
      <c r="I17359" s="26">
        <v>5.1000000000000004E-3</v>
      </c>
      <c r="J17359" s="26">
        <v>5.0500000000000003E-2</v>
      </c>
      <c r="K17359" s="26">
        <v>4.53E-2</v>
      </c>
      <c r="L17359" s="26">
        <v>1.9E-3</v>
      </c>
      <c r="M17359" s="26">
        <v>6.6E-3</v>
      </c>
      <c r="N17359" s="26">
        <v>6.6E-3</v>
      </c>
      <c r="Q17359" s="26">
        <v>2.2000000000000001E-3</v>
      </c>
      <c r="R17359">
        <v>186</v>
      </c>
    </row>
    <row r="17360" spans="1:18" x14ac:dyDescent="0.35">
      <c r="A17360" s="27" t="s">
        <v>228</v>
      </c>
      <c r="B17360" s="27" t="s">
        <v>263</v>
      </c>
      <c r="C17360" s="28">
        <v>0.76390000000000002</v>
      </c>
      <c r="D17360" s="28">
        <v>0.12</v>
      </c>
      <c r="E17360" s="28">
        <v>4.2299999999999997E-2</v>
      </c>
      <c r="F17360" s="29"/>
      <c r="G17360" s="29"/>
      <c r="H17360" s="29"/>
      <c r="I17360" s="28">
        <v>4.4499999999999998E-2</v>
      </c>
      <c r="J17360" s="29"/>
      <c r="K17360" s="28">
        <v>2.93E-2</v>
      </c>
      <c r="L17360" s="29"/>
      <c r="M17360" s="29"/>
      <c r="N17360" s="29"/>
      <c r="O17360" s="28">
        <v>4.2299999999999997E-2</v>
      </c>
      <c r="P17360" s="29"/>
      <c r="Q17360" s="29"/>
      <c r="R17360" s="29" t="s">
        <v>312</v>
      </c>
    </row>
    <row r="17361" spans="1:18" x14ac:dyDescent="0.35">
      <c r="A17361" s="27" t="s">
        <v>228</v>
      </c>
      <c r="B17361" s="27" t="s">
        <v>236</v>
      </c>
      <c r="C17361" s="28">
        <v>0.6784</v>
      </c>
      <c r="D17361" s="29"/>
      <c r="E17361" s="29"/>
      <c r="F17361" s="28">
        <v>0.18790000000000001</v>
      </c>
      <c r="G17361" s="29"/>
      <c r="H17361" s="29"/>
      <c r="I17361" s="28">
        <v>0.13370000000000001</v>
      </c>
      <c r="J17361" s="29"/>
      <c r="K17361" s="29"/>
      <c r="L17361" s="29"/>
      <c r="M17361" s="28">
        <v>0.13370000000000001</v>
      </c>
      <c r="N17361" s="29"/>
      <c r="O17361" s="29"/>
      <c r="P17361" s="29"/>
      <c r="Q17361" s="29"/>
      <c r="R17361" s="29" t="s">
        <v>335</v>
      </c>
    </row>
    <row r="17362" spans="1:18" x14ac:dyDescent="0.35">
      <c r="A17362" t="s">
        <v>228</v>
      </c>
      <c r="B17362" t="s">
        <v>262</v>
      </c>
      <c r="C17362" s="26">
        <v>0.67549999999999999</v>
      </c>
      <c r="D17362" s="26">
        <v>0.11849999999999999</v>
      </c>
      <c r="E17362" s="26">
        <v>6.8400000000000002E-2</v>
      </c>
      <c r="F17362" s="26">
        <v>9.9299999999999999E-2</v>
      </c>
      <c r="G17362" s="26">
        <v>7.3899999999999993E-2</v>
      </c>
      <c r="H17362" s="26">
        <v>1.7399999999999999E-2</v>
      </c>
      <c r="I17362" s="26">
        <v>2.93E-2</v>
      </c>
      <c r="J17362" s="26">
        <v>1.44E-2</v>
      </c>
      <c r="K17362" s="26">
        <v>2.4500000000000001E-2</v>
      </c>
      <c r="L17362" s="26">
        <v>1.5E-3</v>
      </c>
      <c r="M17362" s="26">
        <v>4.99E-2</v>
      </c>
      <c r="N17362" s="26">
        <v>4.4900000000000002E-2</v>
      </c>
      <c r="P17362" s="26">
        <v>2.0400000000000001E-2</v>
      </c>
      <c r="R17362">
        <v>196</v>
      </c>
    </row>
    <row r="17363" spans="1:18" x14ac:dyDescent="0.35">
      <c r="A17363" t="s">
        <v>228</v>
      </c>
      <c r="B17363" t="s">
        <v>260</v>
      </c>
      <c r="C17363" s="26">
        <v>0.79930000000000001</v>
      </c>
      <c r="D17363" s="26">
        <v>0.11559999999999999</v>
      </c>
      <c r="E17363" s="26">
        <v>3.9E-2</v>
      </c>
      <c r="F17363" s="26">
        <v>4.2599999999999999E-2</v>
      </c>
      <c r="G17363" s="26">
        <v>2.1700000000000001E-2</v>
      </c>
      <c r="H17363" s="26">
        <v>2.52E-2</v>
      </c>
      <c r="I17363" s="26">
        <v>1.09E-2</v>
      </c>
      <c r="J17363" s="26">
        <v>1.9E-3</v>
      </c>
      <c r="K17363" s="26">
        <v>8.0999999999999996E-3</v>
      </c>
      <c r="L17363" s="26">
        <v>1.04E-2</v>
      </c>
      <c r="M17363" s="26">
        <v>2.29E-2</v>
      </c>
      <c r="N17363" s="26">
        <v>1.01E-2</v>
      </c>
      <c r="O17363" s="26">
        <v>1.1000000000000001E-3</v>
      </c>
      <c r="P17363" s="26">
        <v>2.8E-3</v>
      </c>
      <c r="Q17363" s="26">
        <v>8.9999999999999998E-4</v>
      </c>
      <c r="R17363">
        <v>600</v>
      </c>
    </row>
    <row r="17364" spans="1:18" x14ac:dyDescent="0.35">
      <c r="A17364" s="27" t="s">
        <v>229</v>
      </c>
      <c r="B17364" s="27" t="s">
        <v>263</v>
      </c>
      <c r="C17364" s="28">
        <v>0.5585</v>
      </c>
      <c r="D17364" s="28">
        <v>0.15570000000000001</v>
      </c>
      <c r="E17364" s="29"/>
      <c r="F17364" s="28">
        <v>0.15570000000000001</v>
      </c>
      <c r="G17364" s="28">
        <v>0.15570000000000001</v>
      </c>
      <c r="H17364" s="28">
        <v>0.15570000000000001</v>
      </c>
      <c r="I17364" s="29"/>
      <c r="J17364" s="29"/>
      <c r="K17364" s="29"/>
      <c r="L17364" s="29"/>
      <c r="M17364" s="29"/>
      <c r="N17364" s="29"/>
      <c r="O17364" s="28">
        <v>0.13009999999999999</v>
      </c>
      <c r="P17364" s="29"/>
      <c r="Q17364" s="29"/>
      <c r="R17364" s="29" t="s">
        <v>379</v>
      </c>
    </row>
    <row r="17365" spans="1:18" x14ac:dyDescent="0.35">
      <c r="A17365" t="s">
        <v>229</v>
      </c>
      <c r="B17365" t="s">
        <v>262</v>
      </c>
      <c r="C17365" s="26">
        <v>0.61460000000000004</v>
      </c>
      <c r="D17365" s="26">
        <v>0.12570000000000001</v>
      </c>
      <c r="E17365" s="26">
        <v>5.33E-2</v>
      </c>
      <c r="F17365" s="26">
        <v>5.4300000000000001E-2</v>
      </c>
      <c r="G17365" s="26">
        <v>6.5199999999999994E-2</v>
      </c>
      <c r="H17365" s="26">
        <v>3.3300000000000003E-2</v>
      </c>
      <c r="I17365" s="26">
        <v>1.52E-2</v>
      </c>
      <c r="J17365" s="26">
        <v>2.6599999999999999E-2</v>
      </c>
      <c r="K17365" s="26">
        <v>1.14E-2</v>
      </c>
      <c r="L17365" s="26">
        <v>6.2700000000000006E-2</v>
      </c>
      <c r="M17365" s="26">
        <v>3.3500000000000002E-2</v>
      </c>
      <c r="N17365" s="26">
        <v>1.26E-2</v>
      </c>
      <c r="O17365" s="26">
        <v>9.4999999999999998E-3</v>
      </c>
      <c r="P17365" s="26">
        <v>5.9999999999999995E-4</v>
      </c>
      <c r="R17365">
        <v>180</v>
      </c>
    </row>
    <row r="17366" spans="1:18" x14ac:dyDescent="0.35">
      <c r="A17366" t="s">
        <v>229</v>
      </c>
      <c r="B17366" t="s">
        <v>261</v>
      </c>
      <c r="C17366" s="26">
        <v>0.72309999999999997</v>
      </c>
      <c r="D17366" s="26">
        <v>0.19800000000000001</v>
      </c>
      <c r="E17366" s="26">
        <v>2.9399999999999999E-2</v>
      </c>
      <c r="F17366" s="26">
        <v>5.7700000000000001E-2</v>
      </c>
      <c r="G17366" s="26">
        <v>8.0799999999999997E-2</v>
      </c>
      <c r="H17366" s="26">
        <v>6.1100000000000002E-2</v>
      </c>
      <c r="I17366" s="26">
        <v>2.3E-3</v>
      </c>
      <c r="J17366" s="26">
        <v>2.3E-2</v>
      </c>
      <c r="K17366" s="26">
        <v>6.1100000000000002E-2</v>
      </c>
      <c r="L17366" s="26">
        <v>1.7299999999999999E-2</v>
      </c>
      <c r="M17366" s="26">
        <v>4.5999999999999999E-3</v>
      </c>
      <c r="N17366" s="26">
        <v>2.3E-3</v>
      </c>
      <c r="R17366">
        <v>90</v>
      </c>
    </row>
    <row r="17367" spans="1:18" x14ac:dyDescent="0.35">
      <c r="A17367" s="27" t="s">
        <v>229</v>
      </c>
      <c r="B17367" s="27" t="s">
        <v>236</v>
      </c>
      <c r="C17367" s="28">
        <v>1</v>
      </c>
      <c r="D17367" s="29"/>
      <c r="E17367" s="29"/>
      <c r="F17367" s="29"/>
      <c r="G17367" s="29"/>
      <c r="H17367" s="29"/>
      <c r="I17367" s="29"/>
      <c r="J17367" s="29"/>
      <c r="K17367" s="29"/>
      <c r="L17367" s="29"/>
      <c r="M17367" s="29"/>
      <c r="N17367" s="29"/>
      <c r="O17367" s="29"/>
      <c r="P17367" s="29"/>
      <c r="Q17367" s="29"/>
      <c r="R17367" s="29" t="s">
        <v>331</v>
      </c>
    </row>
    <row r="17368" spans="1:18" x14ac:dyDescent="0.35">
      <c r="A17368" t="s">
        <v>229</v>
      </c>
      <c r="B17368" t="s">
        <v>260</v>
      </c>
      <c r="C17368" s="26">
        <v>0.77439999999999998</v>
      </c>
      <c r="D17368" s="26">
        <v>9.3200000000000005E-2</v>
      </c>
      <c r="E17368" s="26">
        <v>4.9500000000000002E-2</v>
      </c>
      <c r="F17368" s="26">
        <v>4.8500000000000001E-2</v>
      </c>
      <c r="G17368" s="26">
        <v>3.7900000000000003E-2</v>
      </c>
      <c r="H17368" s="26">
        <v>2.5499999999999998E-2</v>
      </c>
      <c r="I17368" s="26">
        <v>2.5999999999999999E-2</v>
      </c>
      <c r="J17368" s="26">
        <v>4.5999999999999999E-3</v>
      </c>
      <c r="K17368" s="26">
        <v>6.4000000000000003E-3</v>
      </c>
      <c r="L17368" s="26">
        <v>1.1299999999999999E-2</v>
      </c>
      <c r="M17368" s="26">
        <v>2.2599999999999999E-2</v>
      </c>
      <c r="N17368" s="26">
        <v>1.14E-2</v>
      </c>
      <c r="O17368" s="26">
        <v>1.6000000000000001E-3</v>
      </c>
      <c r="P17368" s="26">
        <v>2.0000000000000001E-4</v>
      </c>
      <c r="R17368">
        <v>582</v>
      </c>
    </row>
    <row r="17369" spans="1:18" x14ac:dyDescent="0.35">
      <c r="A17369" s="27" t="s">
        <v>230</v>
      </c>
      <c r="B17369" s="27" t="s">
        <v>236</v>
      </c>
      <c r="C17369" s="28">
        <v>0.25009999999999999</v>
      </c>
      <c r="D17369" s="28">
        <v>0.74990000000000001</v>
      </c>
      <c r="E17369" s="28">
        <v>0.74990000000000001</v>
      </c>
      <c r="F17369" s="29"/>
      <c r="G17369" s="29"/>
      <c r="H17369" s="29"/>
      <c r="I17369" s="29"/>
      <c r="J17369" s="29"/>
      <c r="K17369" s="29"/>
      <c r="L17369" s="29"/>
      <c r="M17369" s="29"/>
      <c r="N17369" s="29"/>
      <c r="O17369" s="29"/>
      <c r="P17369" s="29"/>
      <c r="Q17369" s="29"/>
      <c r="R17369" s="29" t="s">
        <v>315</v>
      </c>
    </row>
    <row r="17370" spans="1:18" x14ac:dyDescent="0.35">
      <c r="A17370" t="s">
        <v>230</v>
      </c>
      <c r="B17370" t="s">
        <v>262</v>
      </c>
      <c r="C17370" s="26">
        <v>0.70989999999999998</v>
      </c>
      <c r="D17370" s="26">
        <v>0.15820000000000001</v>
      </c>
      <c r="E17370" s="26">
        <v>3.5799999999999998E-2</v>
      </c>
      <c r="F17370" s="26">
        <v>0.06</v>
      </c>
      <c r="G17370" s="26">
        <v>1.5800000000000002E-2</v>
      </c>
      <c r="H17370" s="26">
        <v>3.8100000000000002E-2</v>
      </c>
      <c r="I17370" s="26">
        <v>4.19E-2</v>
      </c>
      <c r="K17370" s="26">
        <v>1.8E-3</v>
      </c>
      <c r="L17370" s="26">
        <v>4.2500000000000003E-2</v>
      </c>
      <c r="M17370" s="26">
        <v>4.2500000000000003E-2</v>
      </c>
      <c r="N17370" s="26">
        <v>4.2500000000000003E-2</v>
      </c>
      <c r="R17370">
        <v>119</v>
      </c>
    </row>
    <row r="17371" spans="1:18" x14ac:dyDescent="0.35">
      <c r="A17371" t="s">
        <v>230</v>
      </c>
      <c r="B17371" t="s">
        <v>261</v>
      </c>
      <c r="C17371" s="26">
        <v>0.68630000000000002</v>
      </c>
      <c r="D17371" s="26">
        <v>0.20039999999999999</v>
      </c>
      <c r="E17371" s="26">
        <v>5.6800000000000003E-2</v>
      </c>
      <c r="F17371" s="26">
        <v>0.1298</v>
      </c>
      <c r="G17371" s="26">
        <v>1.5800000000000002E-2</v>
      </c>
      <c r="H17371" s="26">
        <v>8.2000000000000003E-2</v>
      </c>
      <c r="I17371" s="26">
        <v>0.123</v>
      </c>
      <c r="P17371" s="26">
        <v>6.8999999999999999E-3</v>
      </c>
      <c r="R17371">
        <v>54</v>
      </c>
    </row>
    <row r="17372" spans="1:18" x14ac:dyDescent="0.35">
      <c r="A17372" s="27" t="s">
        <v>230</v>
      </c>
      <c r="B17372" s="27" t="s">
        <v>263</v>
      </c>
      <c r="C17372" s="28">
        <v>0.4758</v>
      </c>
      <c r="D17372" s="28">
        <v>0.33029999999999998</v>
      </c>
      <c r="E17372" s="28">
        <v>3.3500000000000002E-2</v>
      </c>
      <c r="F17372" s="28">
        <v>0.36380000000000001</v>
      </c>
      <c r="G17372" s="28">
        <v>0.4405</v>
      </c>
      <c r="H17372" s="29"/>
      <c r="I17372" s="28">
        <v>1.6799999999999999E-2</v>
      </c>
      <c r="J17372" s="28">
        <v>0.33029999999999998</v>
      </c>
      <c r="K17372" s="29"/>
      <c r="L17372" s="28">
        <v>1.6799999999999999E-2</v>
      </c>
      <c r="M17372" s="29"/>
      <c r="N17372" s="29"/>
      <c r="O17372" s="28">
        <v>1.6799999999999999E-2</v>
      </c>
      <c r="P17372" s="29"/>
      <c r="Q17372" s="29"/>
      <c r="R17372" s="29" t="s">
        <v>312</v>
      </c>
    </row>
    <row r="17373" spans="1:18" x14ac:dyDescent="0.35">
      <c r="A17373" t="s">
        <v>230</v>
      </c>
      <c r="B17373" t="s">
        <v>260</v>
      </c>
      <c r="C17373" s="26">
        <v>0.71509999999999996</v>
      </c>
      <c r="D17373" s="26">
        <v>0.158</v>
      </c>
      <c r="E17373" s="26">
        <v>7.8200000000000006E-2</v>
      </c>
      <c r="F17373" s="26">
        <v>9.8400000000000001E-2</v>
      </c>
      <c r="G17373" s="26">
        <v>5.2900000000000003E-2</v>
      </c>
      <c r="H17373" s="26">
        <v>4.6699999999999998E-2</v>
      </c>
      <c r="I17373" s="26">
        <v>2.23E-2</v>
      </c>
      <c r="J17373" s="26">
        <v>1.2999999999999999E-3</v>
      </c>
      <c r="K17373" s="26">
        <v>7.9000000000000008E-3</v>
      </c>
      <c r="L17373" s="26">
        <v>2.5000000000000001E-3</v>
      </c>
      <c r="M17373" s="26">
        <v>2.01E-2</v>
      </c>
      <c r="N17373" s="26">
        <v>0.01</v>
      </c>
      <c r="O17373" s="26">
        <v>1.6999999999999999E-3</v>
      </c>
      <c r="P17373" s="26">
        <v>1.5699999999999999E-2</v>
      </c>
      <c r="Q17373" s="26">
        <v>4.0000000000000002E-4</v>
      </c>
      <c r="R17373">
        <v>346</v>
      </c>
    </row>
    <row r="17374" spans="1:18" x14ac:dyDescent="0.35">
      <c r="A17374" s="27" t="s">
        <v>231</v>
      </c>
      <c r="B17374" s="27" t="s">
        <v>263</v>
      </c>
      <c r="C17374" s="28">
        <v>0.5</v>
      </c>
      <c r="D17374" s="28">
        <v>0.5</v>
      </c>
      <c r="E17374" s="29"/>
      <c r="F17374" s="29"/>
      <c r="G17374" s="29"/>
      <c r="H17374" s="29"/>
      <c r="I17374" s="29"/>
      <c r="J17374" s="29"/>
      <c r="K17374" s="29"/>
      <c r="L17374" s="29"/>
      <c r="M17374" s="29"/>
      <c r="N17374" s="29"/>
      <c r="O17374" s="29"/>
      <c r="P17374" s="29"/>
      <c r="Q17374" s="29"/>
      <c r="R17374" s="29" t="s">
        <v>314</v>
      </c>
    </row>
    <row r="17375" spans="1:18" x14ac:dyDescent="0.35">
      <c r="A17375" t="s">
        <v>231</v>
      </c>
      <c r="B17375" t="s">
        <v>260</v>
      </c>
      <c r="C17375" s="26">
        <v>0.78049999999999997</v>
      </c>
      <c r="D17375" s="26">
        <v>4.8800000000000003E-2</v>
      </c>
      <c r="E17375" s="26">
        <v>8.9399999999999993E-2</v>
      </c>
      <c r="F17375" s="26">
        <v>5.6899999999999999E-2</v>
      </c>
      <c r="G17375" s="26">
        <v>3.2500000000000001E-2</v>
      </c>
      <c r="H17375" s="26">
        <v>1.6299999999999999E-2</v>
      </c>
      <c r="I17375" s="26">
        <v>2.4400000000000002E-2</v>
      </c>
      <c r="J17375" s="26">
        <v>1.6299999999999999E-2</v>
      </c>
      <c r="K17375" s="26">
        <v>8.0999999999999996E-3</v>
      </c>
      <c r="L17375" s="26">
        <v>8.0999999999999996E-3</v>
      </c>
      <c r="N17375" s="26">
        <v>8.0999999999999996E-3</v>
      </c>
      <c r="O17375" s="26">
        <v>8.0999999999999996E-3</v>
      </c>
      <c r="R17375">
        <v>123</v>
      </c>
    </row>
    <row r="17376" spans="1:18" x14ac:dyDescent="0.35">
      <c r="A17376" s="27" t="s">
        <v>231</v>
      </c>
      <c r="B17376" s="27" t="s">
        <v>261</v>
      </c>
      <c r="C17376" s="28">
        <v>0.76919999999999999</v>
      </c>
      <c r="D17376" s="28">
        <v>0.1154</v>
      </c>
      <c r="E17376" s="28">
        <v>3.85E-2</v>
      </c>
      <c r="F17376" s="28">
        <v>3.85E-2</v>
      </c>
      <c r="G17376" s="28">
        <v>7.6899999999999996E-2</v>
      </c>
      <c r="H17376" s="29"/>
      <c r="I17376" s="29"/>
      <c r="J17376" s="29"/>
      <c r="K17376" s="28">
        <v>3.85E-2</v>
      </c>
      <c r="L17376" s="29"/>
      <c r="M17376" s="29"/>
      <c r="N17376" s="29"/>
      <c r="O17376" s="29"/>
      <c r="P17376" s="29"/>
      <c r="Q17376" s="29"/>
      <c r="R17376" s="29" t="s">
        <v>357</v>
      </c>
    </row>
    <row r="17377" spans="1:18" x14ac:dyDescent="0.35">
      <c r="A17377" s="27" t="s">
        <v>231</v>
      </c>
      <c r="B17377" s="27" t="s">
        <v>262</v>
      </c>
      <c r="C17377" s="28">
        <v>0.90910000000000002</v>
      </c>
      <c r="D17377" s="28">
        <v>9.0899999999999995E-2</v>
      </c>
      <c r="E17377" s="29"/>
      <c r="F17377" s="29"/>
      <c r="G17377" s="29"/>
      <c r="H17377" s="29"/>
      <c r="I17377" s="29"/>
      <c r="J17377" s="29"/>
      <c r="K17377" s="29"/>
      <c r="L17377" s="29"/>
      <c r="M17377" s="29"/>
      <c r="N17377" s="29"/>
      <c r="O17377" s="29"/>
      <c r="P17377" s="29"/>
      <c r="Q17377" s="29"/>
      <c r="R17377" s="29" t="s">
        <v>352</v>
      </c>
    </row>
    <row r="17378" spans="1:18" x14ac:dyDescent="0.35">
      <c r="A17378" t="s">
        <v>232</v>
      </c>
      <c r="B17378" t="s">
        <v>232</v>
      </c>
      <c r="C17378" s="26">
        <v>0.73970000000000002</v>
      </c>
      <c r="D17378" s="26">
        <v>0.1208</v>
      </c>
      <c r="E17378" s="26">
        <v>5.6599999999999998E-2</v>
      </c>
      <c r="F17378" s="26">
        <v>5.6300000000000003E-2</v>
      </c>
      <c r="G17378" s="26">
        <v>4.7100000000000003E-2</v>
      </c>
      <c r="H17378" s="26">
        <v>3.0599999999999999E-2</v>
      </c>
      <c r="I17378" s="26">
        <v>2.07E-2</v>
      </c>
      <c r="J17378" s="26">
        <v>1.61E-2</v>
      </c>
      <c r="K17378" s="26">
        <v>1.4800000000000001E-2</v>
      </c>
      <c r="L17378" s="26">
        <v>1.3100000000000001E-2</v>
      </c>
      <c r="M17378" s="26">
        <v>1.2999999999999999E-2</v>
      </c>
      <c r="N17378" s="26">
        <v>8.6999999999999994E-3</v>
      </c>
      <c r="O17378" s="26">
        <v>3.8E-3</v>
      </c>
      <c r="P17378" s="26">
        <v>2.2000000000000001E-3</v>
      </c>
      <c r="Q17378" s="26">
        <v>2.0000000000000001E-4</v>
      </c>
      <c r="R17378">
        <v>2749</v>
      </c>
    </row>
    <row r="17380" spans="1:18" x14ac:dyDescent="0.35">
      <c r="A17380" s="1" t="s">
        <v>1787</v>
      </c>
    </row>
    <row r="17381" spans="1:18" x14ac:dyDescent="0.35">
      <c r="A17381" t="s">
        <v>219</v>
      </c>
      <c r="B17381" t="s">
        <v>305</v>
      </c>
      <c r="C17381" t="s">
        <v>1767</v>
      </c>
      <c r="D17381" t="s">
        <v>1768</v>
      </c>
      <c r="E17381" t="s">
        <v>1769</v>
      </c>
      <c r="F17381" t="s">
        <v>1770</v>
      </c>
      <c r="G17381" t="s">
        <v>1771</v>
      </c>
      <c r="H17381" t="s">
        <v>1772</v>
      </c>
      <c r="I17381" t="s">
        <v>1773</v>
      </c>
      <c r="J17381" t="s">
        <v>1774</v>
      </c>
      <c r="K17381" t="s">
        <v>1775</v>
      </c>
      <c r="L17381" t="s">
        <v>326</v>
      </c>
      <c r="M17381" t="s">
        <v>1776</v>
      </c>
      <c r="N17381" t="s">
        <v>1777</v>
      </c>
      <c r="O17381" t="s">
        <v>281</v>
      </c>
      <c r="P17381" t="s">
        <v>1778</v>
      </c>
      <c r="Q17381" t="s">
        <v>286</v>
      </c>
      <c r="R17381" t="s">
        <v>226</v>
      </c>
    </row>
    <row r="17382" spans="1:18" x14ac:dyDescent="0.35">
      <c r="A17382" t="s">
        <v>227</v>
      </c>
      <c r="B17382" t="s">
        <v>368</v>
      </c>
      <c r="C17382" s="26">
        <v>0.53120000000000001</v>
      </c>
      <c r="D17382" s="26">
        <v>0.28120000000000001</v>
      </c>
      <c r="E17382" s="26">
        <v>9.3799999999999994E-2</v>
      </c>
      <c r="F17382" s="26">
        <v>6.25E-2</v>
      </c>
      <c r="G17382" s="26">
        <v>0.125</v>
      </c>
      <c r="H17382" s="26">
        <v>0.15620000000000001</v>
      </c>
      <c r="I17382" s="26">
        <v>3.1199999999999999E-2</v>
      </c>
      <c r="J17382" s="26">
        <v>3.1199999999999999E-2</v>
      </c>
      <c r="K17382" s="26">
        <v>3.1199999999999999E-2</v>
      </c>
      <c r="R17382">
        <v>32</v>
      </c>
    </row>
    <row r="17383" spans="1:18" x14ac:dyDescent="0.35">
      <c r="A17383" t="s">
        <v>227</v>
      </c>
      <c r="B17383" t="s">
        <v>369</v>
      </c>
      <c r="C17383" s="26">
        <v>0.72660000000000002</v>
      </c>
      <c r="D17383" s="26">
        <v>0.1641</v>
      </c>
      <c r="E17383" s="26">
        <v>3.9100000000000003E-2</v>
      </c>
      <c r="F17383" s="26">
        <v>5.4699999999999999E-2</v>
      </c>
      <c r="G17383" s="26">
        <v>4.6899999999999997E-2</v>
      </c>
      <c r="H17383" s="26">
        <v>3.1199999999999999E-2</v>
      </c>
      <c r="I17383" s="26">
        <v>2.3400000000000001E-2</v>
      </c>
      <c r="J17383" s="26">
        <v>3.9100000000000003E-2</v>
      </c>
      <c r="K17383" s="26">
        <v>1.5599999999999999E-2</v>
      </c>
      <c r="L17383" s="26">
        <v>1.5599999999999999E-2</v>
      </c>
      <c r="R17383">
        <v>128</v>
      </c>
    </row>
    <row r="17384" spans="1:18" x14ac:dyDescent="0.35">
      <c r="A17384" t="s">
        <v>228</v>
      </c>
      <c r="B17384" t="s">
        <v>368</v>
      </c>
      <c r="C17384" s="26">
        <v>0.7419</v>
      </c>
      <c r="D17384" s="26">
        <v>0.14649999999999999</v>
      </c>
      <c r="E17384" s="26">
        <v>3.61E-2</v>
      </c>
      <c r="F17384" s="26">
        <v>2.1999999999999999E-2</v>
      </c>
      <c r="G17384" s="26">
        <v>6.8000000000000005E-2</v>
      </c>
      <c r="H17384" s="26">
        <v>9.7000000000000003E-3</v>
      </c>
      <c r="I17384" s="26">
        <v>5.1000000000000004E-3</v>
      </c>
      <c r="J17384" s="26">
        <v>5.0500000000000003E-2</v>
      </c>
      <c r="K17384" s="26">
        <v>4.53E-2</v>
      </c>
      <c r="L17384" s="26">
        <v>1.9E-3</v>
      </c>
      <c r="M17384" s="26">
        <v>6.6E-3</v>
      </c>
      <c r="N17384" s="26">
        <v>6.6E-3</v>
      </c>
      <c r="Q17384" s="26">
        <v>2.2000000000000001E-3</v>
      </c>
      <c r="R17384">
        <v>186</v>
      </c>
    </row>
    <row r="17385" spans="1:18" x14ac:dyDescent="0.35">
      <c r="A17385" t="s">
        <v>228</v>
      </c>
      <c r="B17385" t="s">
        <v>369</v>
      </c>
      <c r="C17385" s="26">
        <v>0.77210000000000001</v>
      </c>
      <c r="D17385" s="26">
        <v>0.1154</v>
      </c>
      <c r="E17385" s="26">
        <v>4.48E-2</v>
      </c>
      <c r="F17385" s="26">
        <v>5.4399999999999997E-2</v>
      </c>
      <c r="G17385" s="26">
        <v>3.1699999999999999E-2</v>
      </c>
      <c r="H17385" s="26">
        <v>2.2800000000000001E-2</v>
      </c>
      <c r="I17385" s="26">
        <v>1.6500000000000001E-2</v>
      </c>
      <c r="J17385" s="26">
        <v>4.4000000000000003E-3</v>
      </c>
      <c r="K17385" s="26">
        <v>1.1900000000000001E-2</v>
      </c>
      <c r="L17385" s="26">
        <v>8.2000000000000007E-3</v>
      </c>
      <c r="M17385" s="26">
        <v>2.87E-2</v>
      </c>
      <c r="N17385" s="26">
        <v>1.7000000000000001E-2</v>
      </c>
      <c r="O17385" s="26">
        <v>1.8E-3</v>
      </c>
      <c r="P17385" s="26">
        <v>6.3E-3</v>
      </c>
      <c r="Q17385" s="26">
        <v>6.9999999999999999E-4</v>
      </c>
      <c r="R17385">
        <v>827</v>
      </c>
    </row>
    <row r="17386" spans="1:18" x14ac:dyDescent="0.35">
      <c r="A17386" t="s">
        <v>229</v>
      </c>
      <c r="B17386" t="s">
        <v>368</v>
      </c>
      <c r="C17386" s="26">
        <v>0.72309999999999997</v>
      </c>
      <c r="D17386" s="26">
        <v>0.19800000000000001</v>
      </c>
      <c r="E17386" s="26">
        <v>2.9399999999999999E-2</v>
      </c>
      <c r="F17386" s="26">
        <v>5.7700000000000001E-2</v>
      </c>
      <c r="G17386" s="26">
        <v>8.0799999999999997E-2</v>
      </c>
      <c r="H17386" s="26">
        <v>6.1100000000000002E-2</v>
      </c>
      <c r="I17386" s="26">
        <v>2.3E-3</v>
      </c>
      <c r="J17386" s="26">
        <v>2.3E-2</v>
      </c>
      <c r="K17386" s="26">
        <v>6.1100000000000002E-2</v>
      </c>
      <c r="L17386" s="26">
        <v>1.7299999999999999E-2</v>
      </c>
      <c r="M17386" s="26">
        <v>4.5999999999999999E-3</v>
      </c>
      <c r="N17386" s="26">
        <v>2.3E-3</v>
      </c>
      <c r="R17386">
        <v>90</v>
      </c>
    </row>
    <row r="17387" spans="1:18" x14ac:dyDescent="0.35">
      <c r="A17387" t="s">
        <v>229</v>
      </c>
      <c r="B17387" t="s">
        <v>369</v>
      </c>
      <c r="C17387" s="26">
        <v>0.71819999999999995</v>
      </c>
      <c r="D17387" s="26">
        <v>0.1051</v>
      </c>
      <c r="E17387" s="26">
        <v>4.9500000000000002E-2</v>
      </c>
      <c r="F17387" s="26">
        <v>5.2900000000000003E-2</v>
      </c>
      <c r="G17387" s="26">
        <v>4.9399999999999999E-2</v>
      </c>
      <c r="H17387" s="26">
        <v>3.1E-2</v>
      </c>
      <c r="I17387" s="26">
        <v>2.1899999999999999E-2</v>
      </c>
      <c r="J17387" s="26">
        <v>1.1599999999999999E-2</v>
      </c>
      <c r="K17387" s="26">
        <v>7.7999999999999996E-3</v>
      </c>
      <c r="L17387" s="26">
        <v>2.75E-2</v>
      </c>
      <c r="M17387" s="26">
        <v>2.5499999999999998E-2</v>
      </c>
      <c r="N17387" s="26">
        <v>1.15E-2</v>
      </c>
      <c r="O17387" s="26">
        <v>7.1000000000000004E-3</v>
      </c>
      <c r="P17387" s="26">
        <v>2.9999999999999997E-4</v>
      </c>
      <c r="R17387">
        <v>777</v>
      </c>
    </row>
    <row r="17388" spans="1:18" x14ac:dyDescent="0.35">
      <c r="A17388" t="s">
        <v>230</v>
      </c>
      <c r="B17388" t="s">
        <v>368</v>
      </c>
      <c r="C17388" s="26">
        <v>0.68630000000000002</v>
      </c>
      <c r="D17388" s="26">
        <v>0.20039999999999999</v>
      </c>
      <c r="E17388" s="26">
        <v>5.6800000000000003E-2</v>
      </c>
      <c r="F17388" s="26">
        <v>0.1298</v>
      </c>
      <c r="G17388" s="26">
        <v>1.5800000000000002E-2</v>
      </c>
      <c r="H17388" s="26">
        <v>8.2000000000000003E-2</v>
      </c>
      <c r="I17388" s="26">
        <v>0.123</v>
      </c>
      <c r="P17388" s="26">
        <v>6.8999999999999999E-3</v>
      </c>
      <c r="R17388">
        <v>54</v>
      </c>
    </row>
    <row r="17389" spans="1:18" x14ac:dyDescent="0.35">
      <c r="A17389" t="s">
        <v>230</v>
      </c>
      <c r="B17389" t="s">
        <v>369</v>
      </c>
      <c r="C17389" s="26">
        <v>0.70569999999999999</v>
      </c>
      <c r="D17389" s="26">
        <v>0.16619999999999999</v>
      </c>
      <c r="E17389" s="26">
        <v>7.5700000000000003E-2</v>
      </c>
      <c r="F17389" s="26">
        <v>9.6000000000000002E-2</v>
      </c>
      <c r="G17389" s="26">
        <v>5.3400000000000003E-2</v>
      </c>
      <c r="H17389" s="26">
        <v>4.3999999999999997E-2</v>
      </c>
      <c r="I17389" s="26">
        <v>2.5399999999999999E-2</v>
      </c>
      <c r="J17389" s="26">
        <v>7.4000000000000003E-3</v>
      </c>
      <c r="K17389" s="26">
        <v>6.6E-3</v>
      </c>
      <c r="L17389" s="26">
        <v>9.7000000000000003E-3</v>
      </c>
      <c r="M17389" s="26">
        <v>2.3400000000000001E-2</v>
      </c>
      <c r="N17389" s="26">
        <v>1.5299999999999999E-2</v>
      </c>
      <c r="O17389" s="26">
        <v>1.6999999999999999E-3</v>
      </c>
      <c r="P17389" s="26">
        <v>1.26E-2</v>
      </c>
      <c r="Q17389" s="26">
        <v>2.9999999999999997E-4</v>
      </c>
      <c r="R17389">
        <v>493</v>
      </c>
    </row>
    <row r="17390" spans="1:18" x14ac:dyDescent="0.35">
      <c r="A17390" s="27" t="s">
        <v>231</v>
      </c>
      <c r="B17390" s="27" t="s">
        <v>368</v>
      </c>
      <c r="C17390" s="28">
        <v>0.76919999999999999</v>
      </c>
      <c r="D17390" s="28">
        <v>0.1154</v>
      </c>
      <c r="E17390" s="28">
        <v>3.85E-2</v>
      </c>
      <c r="F17390" s="28">
        <v>3.85E-2</v>
      </c>
      <c r="G17390" s="28">
        <v>7.6899999999999996E-2</v>
      </c>
      <c r="H17390" s="29"/>
      <c r="I17390" s="29"/>
      <c r="J17390" s="29"/>
      <c r="K17390" s="28">
        <v>3.85E-2</v>
      </c>
      <c r="L17390" s="29"/>
      <c r="M17390" s="29"/>
      <c r="N17390" s="29"/>
      <c r="O17390" s="29"/>
      <c r="P17390" s="29"/>
      <c r="Q17390" s="29"/>
      <c r="R17390" s="29" t="s">
        <v>357</v>
      </c>
    </row>
    <row r="17391" spans="1:18" x14ac:dyDescent="0.35">
      <c r="A17391" t="s">
        <v>231</v>
      </c>
      <c r="B17391" t="s">
        <v>369</v>
      </c>
      <c r="C17391" s="26">
        <v>0.78680000000000005</v>
      </c>
      <c r="D17391" s="26">
        <v>5.8799999999999998E-2</v>
      </c>
      <c r="E17391" s="26">
        <v>8.09E-2</v>
      </c>
      <c r="F17391" s="26">
        <v>5.1499999999999997E-2</v>
      </c>
      <c r="G17391" s="26">
        <v>2.9399999999999999E-2</v>
      </c>
      <c r="H17391" s="26">
        <v>1.47E-2</v>
      </c>
      <c r="I17391" s="26">
        <v>2.2100000000000002E-2</v>
      </c>
      <c r="J17391" s="26">
        <v>1.47E-2</v>
      </c>
      <c r="K17391" s="26">
        <v>7.4000000000000003E-3</v>
      </c>
      <c r="L17391" s="26">
        <v>7.4000000000000003E-3</v>
      </c>
      <c r="N17391" s="26">
        <v>7.4000000000000003E-3</v>
      </c>
      <c r="O17391" s="26">
        <v>7.4000000000000003E-3</v>
      </c>
      <c r="R17391">
        <v>136</v>
      </c>
    </row>
    <row r="17392" spans="1:18" x14ac:dyDescent="0.35">
      <c r="A17392" t="s">
        <v>232</v>
      </c>
      <c r="B17392" t="s">
        <v>232</v>
      </c>
      <c r="C17392" s="26">
        <v>0.73970000000000002</v>
      </c>
      <c r="D17392" s="26">
        <v>0.1208</v>
      </c>
      <c r="E17392" s="26">
        <v>5.6599999999999998E-2</v>
      </c>
      <c r="F17392" s="26">
        <v>5.6300000000000003E-2</v>
      </c>
      <c r="G17392" s="26">
        <v>4.7100000000000003E-2</v>
      </c>
      <c r="H17392" s="26">
        <v>3.0599999999999999E-2</v>
      </c>
      <c r="I17392" s="26">
        <v>2.07E-2</v>
      </c>
      <c r="J17392" s="26">
        <v>1.61E-2</v>
      </c>
      <c r="K17392" s="26">
        <v>1.4800000000000001E-2</v>
      </c>
      <c r="L17392" s="26">
        <v>1.3100000000000001E-2</v>
      </c>
      <c r="M17392" s="26">
        <v>1.2999999999999999E-2</v>
      </c>
      <c r="N17392" s="26">
        <v>8.6999999999999994E-3</v>
      </c>
      <c r="O17392" s="26">
        <v>3.8E-3</v>
      </c>
      <c r="P17392" s="26">
        <v>2.2000000000000001E-3</v>
      </c>
      <c r="Q17392" s="26">
        <v>2.0000000000000001E-4</v>
      </c>
      <c r="R17392">
        <v>2749</v>
      </c>
    </row>
    <row r="17394" spans="1:18" x14ac:dyDescent="0.35">
      <c r="A17394" s="1" t="s">
        <v>1788</v>
      </c>
    </row>
    <row r="17395" spans="1:18" x14ac:dyDescent="0.35">
      <c r="A17395" t="s">
        <v>219</v>
      </c>
      <c r="B17395" t="s">
        <v>305</v>
      </c>
      <c r="C17395" t="s">
        <v>1767</v>
      </c>
      <c r="D17395" t="s">
        <v>1768</v>
      </c>
      <c r="E17395" t="s">
        <v>1769</v>
      </c>
      <c r="F17395" t="s">
        <v>1770</v>
      </c>
      <c r="G17395" t="s">
        <v>1771</v>
      </c>
      <c r="H17395" t="s">
        <v>1772</v>
      </c>
      <c r="I17395" t="s">
        <v>1773</v>
      </c>
      <c r="J17395" t="s">
        <v>1774</v>
      </c>
      <c r="K17395" t="s">
        <v>1775</v>
      </c>
      <c r="L17395" t="s">
        <v>326</v>
      </c>
      <c r="M17395" t="s">
        <v>1776</v>
      </c>
      <c r="N17395" t="s">
        <v>1777</v>
      </c>
      <c r="O17395" t="s">
        <v>281</v>
      </c>
      <c r="P17395" t="s">
        <v>1778</v>
      </c>
      <c r="Q17395" t="s">
        <v>286</v>
      </c>
      <c r="R17395" t="s">
        <v>226</v>
      </c>
    </row>
    <row r="17396" spans="1:18" x14ac:dyDescent="0.35">
      <c r="A17396" t="s">
        <v>227</v>
      </c>
      <c r="B17396" t="s">
        <v>371</v>
      </c>
      <c r="C17396" s="26">
        <v>0.6875</v>
      </c>
      <c r="D17396" s="26">
        <v>0.1875</v>
      </c>
      <c r="E17396" s="26">
        <v>0.05</v>
      </c>
      <c r="F17396" s="26">
        <v>5.62E-2</v>
      </c>
      <c r="G17396" s="26">
        <v>6.25E-2</v>
      </c>
      <c r="H17396" s="26">
        <v>5.62E-2</v>
      </c>
      <c r="I17396" s="26">
        <v>2.5000000000000001E-2</v>
      </c>
      <c r="J17396" s="26">
        <v>3.7499999999999999E-2</v>
      </c>
      <c r="K17396" s="26">
        <v>1.8800000000000001E-2</v>
      </c>
      <c r="L17396" s="26">
        <v>1.2500000000000001E-2</v>
      </c>
      <c r="R17396">
        <v>160</v>
      </c>
    </row>
    <row r="17397" spans="1:18" x14ac:dyDescent="0.35">
      <c r="A17397" t="s">
        <v>228</v>
      </c>
      <c r="B17397" t="s">
        <v>371</v>
      </c>
      <c r="C17397" s="26">
        <v>0.77249999999999996</v>
      </c>
      <c r="D17397" s="26">
        <v>0.13780000000000001</v>
      </c>
      <c r="E17397" s="26">
        <v>2.6800000000000001E-2</v>
      </c>
      <c r="F17397" s="26">
        <v>5.0099999999999999E-2</v>
      </c>
      <c r="G17397" s="26">
        <v>3.6900000000000002E-2</v>
      </c>
      <c r="H17397" s="26">
        <v>2.8299999999999999E-2</v>
      </c>
      <c r="I17397" s="26">
        <v>1.44E-2</v>
      </c>
      <c r="J17397" s="26">
        <v>7.1999999999999998E-3</v>
      </c>
      <c r="K17397" s="26">
        <v>2.1000000000000001E-2</v>
      </c>
      <c r="L17397" s="26">
        <v>7.1999999999999998E-3</v>
      </c>
      <c r="M17397" s="26">
        <v>2.1000000000000001E-2</v>
      </c>
      <c r="N17397" s="26">
        <v>1.2999999999999999E-2</v>
      </c>
      <c r="P17397" s="26">
        <v>6.4999999999999997E-3</v>
      </c>
      <c r="R17397">
        <v>285</v>
      </c>
    </row>
    <row r="17398" spans="1:18" x14ac:dyDescent="0.35">
      <c r="A17398" t="s">
        <v>228</v>
      </c>
      <c r="B17398" t="s">
        <v>372</v>
      </c>
      <c r="C17398" s="26">
        <v>0.70620000000000005</v>
      </c>
      <c r="D17398" s="26">
        <v>0.1113</v>
      </c>
      <c r="E17398" s="26">
        <v>9.9199999999999997E-2</v>
      </c>
      <c r="F17398" s="26">
        <v>5.9299999999999999E-2</v>
      </c>
      <c r="G17398" s="26">
        <v>2.75E-2</v>
      </c>
      <c r="H17398" s="26">
        <v>3.6299999999999999E-2</v>
      </c>
      <c r="I17398" s="26">
        <v>2.6800000000000001E-2</v>
      </c>
      <c r="J17398" s="26">
        <v>9.4999999999999998E-3</v>
      </c>
      <c r="K17398" s="26">
        <v>1.1599999999999999E-2</v>
      </c>
      <c r="L17398" s="26">
        <v>7.9000000000000008E-3</v>
      </c>
      <c r="M17398" s="26">
        <v>4.8800000000000003E-2</v>
      </c>
      <c r="N17398" s="26">
        <v>2.58E-2</v>
      </c>
      <c r="O17398" s="26">
        <v>6.6E-3</v>
      </c>
      <c r="P17398" s="26">
        <v>0.01</v>
      </c>
      <c r="R17398">
        <v>211</v>
      </c>
    </row>
    <row r="17399" spans="1:18" x14ac:dyDescent="0.35">
      <c r="A17399" t="s">
        <v>228</v>
      </c>
      <c r="B17399" t="s">
        <v>373</v>
      </c>
      <c r="C17399" s="26">
        <v>0.77090000000000003</v>
      </c>
      <c r="D17399" s="26">
        <v>0.10199999999999999</v>
      </c>
      <c r="E17399" s="26">
        <v>5.2699999999999997E-2</v>
      </c>
      <c r="F17399" s="26">
        <v>4.3200000000000002E-2</v>
      </c>
      <c r="G17399" s="26">
        <v>4.36E-2</v>
      </c>
      <c r="H17399" s="26">
        <v>6.1999999999999998E-3</v>
      </c>
      <c r="I17399" s="26">
        <v>1.14E-2</v>
      </c>
      <c r="J17399" s="26">
        <v>2.2200000000000001E-2</v>
      </c>
      <c r="K17399" s="26">
        <v>1.6299999999999999E-2</v>
      </c>
      <c r="L17399" s="26">
        <v>6.6E-3</v>
      </c>
      <c r="M17399" s="26">
        <v>2.3800000000000002E-2</v>
      </c>
      <c r="N17399" s="26">
        <v>1.52E-2</v>
      </c>
      <c r="O17399" s="26">
        <v>2.3E-3</v>
      </c>
      <c r="P17399" s="26">
        <v>2.0999999999999999E-3</v>
      </c>
      <c r="Q17399" s="26">
        <v>2.5000000000000001E-3</v>
      </c>
      <c r="R17399">
        <v>517</v>
      </c>
    </row>
    <row r="17400" spans="1:18" x14ac:dyDescent="0.35">
      <c r="A17400" t="s">
        <v>229</v>
      </c>
      <c r="B17400" t="s">
        <v>371</v>
      </c>
      <c r="C17400" s="26">
        <v>0.7107</v>
      </c>
      <c r="D17400" s="26">
        <v>0.12470000000000001</v>
      </c>
      <c r="E17400" s="26">
        <v>4.4699999999999997E-2</v>
      </c>
      <c r="F17400" s="26">
        <v>5.6000000000000001E-2</v>
      </c>
      <c r="G17400" s="26">
        <v>5.79E-2</v>
      </c>
      <c r="H17400" s="26">
        <v>3.7100000000000001E-2</v>
      </c>
      <c r="I17400" s="26">
        <v>1.9800000000000002E-2</v>
      </c>
      <c r="J17400" s="26">
        <v>1.3299999999999999E-2</v>
      </c>
      <c r="K17400" s="26">
        <v>1.66E-2</v>
      </c>
      <c r="L17400" s="26">
        <v>2.6100000000000002E-2</v>
      </c>
      <c r="M17400" s="26">
        <v>2.3699999999999999E-2</v>
      </c>
      <c r="N17400" s="26">
        <v>9.9000000000000008E-3</v>
      </c>
      <c r="O17400" s="26">
        <v>5.5999999999999999E-3</v>
      </c>
      <c r="P17400" s="26">
        <v>2.0000000000000001E-4</v>
      </c>
      <c r="R17400">
        <v>568</v>
      </c>
    </row>
    <row r="17401" spans="1:18" x14ac:dyDescent="0.35">
      <c r="A17401" t="s">
        <v>229</v>
      </c>
      <c r="B17401" t="s">
        <v>372</v>
      </c>
      <c r="C17401" s="26">
        <v>0.79449999999999998</v>
      </c>
      <c r="D17401" s="26">
        <v>6.4500000000000002E-2</v>
      </c>
      <c r="E17401" s="26">
        <v>8.5099999999999995E-2</v>
      </c>
      <c r="F17401" s="26">
        <v>2.6599999999999999E-2</v>
      </c>
      <c r="G17401" s="26">
        <v>1.2699999999999999E-2</v>
      </c>
      <c r="H17401" s="26">
        <v>1.7600000000000001E-2</v>
      </c>
      <c r="I17401" s="26">
        <v>1.37E-2</v>
      </c>
      <c r="J17401" s="26">
        <v>1.37E-2</v>
      </c>
      <c r="K17401" s="26">
        <v>8.8000000000000005E-3</v>
      </c>
      <c r="L17401" s="26">
        <v>1.5599999999999999E-2</v>
      </c>
      <c r="M17401" s="26">
        <v>6.7999999999999996E-3</v>
      </c>
      <c r="N17401" s="26">
        <v>2.0500000000000001E-2</v>
      </c>
      <c r="O17401" s="26">
        <v>1.7600000000000001E-2</v>
      </c>
      <c r="P17401" s="26">
        <v>2E-3</v>
      </c>
      <c r="R17401">
        <v>214</v>
      </c>
    </row>
    <row r="17402" spans="1:18" x14ac:dyDescent="0.35">
      <c r="A17402" t="s">
        <v>229</v>
      </c>
      <c r="B17402" t="s">
        <v>373</v>
      </c>
      <c r="C17402" s="26">
        <v>0.86370000000000002</v>
      </c>
      <c r="D17402" s="26">
        <v>1.9599999999999999E-2</v>
      </c>
      <c r="E17402" s="26">
        <v>3.9100000000000003E-2</v>
      </c>
      <c r="F17402" s="26">
        <v>1.9599999999999999E-2</v>
      </c>
      <c r="H17402" s="26">
        <v>1.29E-2</v>
      </c>
      <c r="J17402" s="26">
        <v>1.29E-2</v>
      </c>
      <c r="L17402" s="26">
        <v>3.8800000000000001E-2</v>
      </c>
      <c r="M17402" s="26">
        <v>6.6E-3</v>
      </c>
      <c r="R17402">
        <v>85</v>
      </c>
    </row>
    <row r="17403" spans="1:18" x14ac:dyDescent="0.35">
      <c r="A17403" t="s">
        <v>230</v>
      </c>
      <c r="B17403" t="s">
        <v>371</v>
      </c>
      <c r="C17403" s="26">
        <v>0.69269999999999998</v>
      </c>
      <c r="D17403" s="26">
        <v>0.18590000000000001</v>
      </c>
      <c r="E17403" s="26">
        <v>7.7899999999999997E-2</v>
      </c>
      <c r="F17403" s="26">
        <v>0.11360000000000001</v>
      </c>
      <c r="G17403" s="26">
        <v>5.1200000000000002E-2</v>
      </c>
      <c r="H17403" s="26">
        <v>5.2299999999999999E-2</v>
      </c>
      <c r="I17403" s="26">
        <v>4.4499999999999998E-2</v>
      </c>
      <c r="J17403" s="26">
        <v>7.7999999999999996E-3</v>
      </c>
      <c r="K17403" s="26">
        <v>6.7000000000000002E-3</v>
      </c>
      <c r="L17403" s="26">
        <v>7.7999999999999996E-3</v>
      </c>
      <c r="M17403" s="26">
        <v>2.3400000000000001E-2</v>
      </c>
      <c r="N17403" s="26">
        <v>1.4500000000000001E-2</v>
      </c>
      <c r="P17403" s="26">
        <v>1.4500000000000001E-2</v>
      </c>
      <c r="R17403">
        <v>258</v>
      </c>
    </row>
    <row r="17404" spans="1:18" x14ac:dyDescent="0.35">
      <c r="A17404" t="s">
        <v>230</v>
      </c>
      <c r="B17404" t="s">
        <v>372</v>
      </c>
      <c r="C17404" s="26">
        <v>0.71689999999999998</v>
      </c>
      <c r="D17404" s="26">
        <v>9.9299999999999999E-2</v>
      </c>
      <c r="E17404" s="26">
        <v>4.0399999999999998E-2</v>
      </c>
      <c r="F17404" s="26">
        <v>7.1099999999999997E-2</v>
      </c>
      <c r="G17404" s="26">
        <v>3.5499999999999997E-2</v>
      </c>
      <c r="H17404" s="26">
        <v>3.0599999999999999E-2</v>
      </c>
      <c r="I17404" s="26">
        <v>2.9399999999999999E-2</v>
      </c>
      <c r="L17404" s="26">
        <v>3.5499999999999997E-2</v>
      </c>
      <c r="M17404" s="26">
        <v>4.8999999999999998E-3</v>
      </c>
      <c r="N17404" s="26">
        <v>9.7999999999999997E-3</v>
      </c>
      <c r="O17404" s="26">
        <v>9.7999999999999997E-3</v>
      </c>
      <c r="Q17404" s="26">
        <v>4.8999999999999998E-3</v>
      </c>
      <c r="R17404">
        <v>141</v>
      </c>
    </row>
    <row r="17405" spans="1:18" x14ac:dyDescent="0.35">
      <c r="A17405" t="s">
        <v>230</v>
      </c>
      <c r="B17405" t="s">
        <v>373</v>
      </c>
      <c r="C17405" s="26">
        <v>0.76490000000000002</v>
      </c>
      <c r="D17405" s="26">
        <v>0.1046</v>
      </c>
      <c r="E17405" s="26">
        <v>5.67E-2</v>
      </c>
      <c r="F17405" s="26">
        <v>2.86E-2</v>
      </c>
      <c r="G17405" s="26">
        <v>3.5799999999999998E-2</v>
      </c>
      <c r="H17405" s="26">
        <v>3.5799999999999998E-2</v>
      </c>
      <c r="I17405" s="26">
        <v>2.2000000000000001E-3</v>
      </c>
      <c r="K17405" s="26">
        <v>2.2000000000000001E-3</v>
      </c>
      <c r="M17405" s="26">
        <v>7.1999999999999998E-3</v>
      </c>
      <c r="N17405" s="26">
        <v>7.1999999999999998E-3</v>
      </c>
      <c r="O17405" s="26">
        <v>7.1999999999999998E-3</v>
      </c>
      <c r="R17405">
        <v>148</v>
      </c>
    </row>
    <row r="17406" spans="1:18" x14ac:dyDescent="0.35">
      <c r="A17406" t="s">
        <v>231</v>
      </c>
      <c r="B17406" t="s">
        <v>371</v>
      </c>
      <c r="C17406" s="26">
        <v>0.78400000000000003</v>
      </c>
      <c r="D17406" s="26">
        <v>6.7900000000000002E-2</v>
      </c>
      <c r="E17406" s="26">
        <v>7.4099999999999999E-2</v>
      </c>
      <c r="F17406" s="26">
        <v>4.9399999999999999E-2</v>
      </c>
      <c r="G17406" s="26">
        <v>3.6999999999999998E-2</v>
      </c>
      <c r="H17406" s="26">
        <v>1.23E-2</v>
      </c>
      <c r="I17406" s="26">
        <v>1.8499999999999999E-2</v>
      </c>
      <c r="J17406" s="26">
        <v>1.23E-2</v>
      </c>
      <c r="K17406" s="26">
        <v>1.23E-2</v>
      </c>
      <c r="L17406" s="26">
        <v>6.1999999999999998E-3</v>
      </c>
      <c r="N17406" s="26">
        <v>6.1999999999999998E-3</v>
      </c>
      <c r="O17406" s="26">
        <v>6.1999999999999998E-3</v>
      </c>
      <c r="R17406">
        <v>162</v>
      </c>
    </row>
    <row r="17407" spans="1:18" x14ac:dyDescent="0.35">
      <c r="A17407" t="s">
        <v>232</v>
      </c>
      <c r="B17407" t="s">
        <v>232</v>
      </c>
      <c r="C17407" s="26">
        <v>0.73970000000000002</v>
      </c>
      <c r="D17407" s="26">
        <v>0.1208</v>
      </c>
      <c r="E17407" s="26">
        <v>5.6599999999999998E-2</v>
      </c>
      <c r="F17407" s="26">
        <v>5.6300000000000003E-2</v>
      </c>
      <c r="G17407" s="26">
        <v>4.7100000000000003E-2</v>
      </c>
      <c r="H17407" s="26">
        <v>3.0599999999999999E-2</v>
      </c>
      <c r="I17407" s="26">
        <v>2.07E-2</v>
      </c>
      <c r="J17407" s="26">
        <v>1.61E-2</v>
      </c>
      <c r="K17407" s="26">
        <v>1.4800000000000001E-2</v>
      </c>
      <c r="L17407" s="26">
        <v>1.3100000000000001E-2</v>
      </c>
      <c r="M17407" s="26">
        <v>1.2999999999999999E-2</v>
      </c>
      <c r="N17407" s="26">
        <v>8.6999999999999994E-3</v>
      </c>
      <c r="O17407" s="26">
        <v>3.8E-3</v>
      </c>
      <c r="P17407" s="26">
        <v>2.2000000000000001E-3</v>
      </c>
      <c r="Q17407" s="26">
        <v>2.0000000000000001E-4</v>
      </c>
      <c r="R17407">
        <v>2749</v>
      </c>
    </row>
    <row r="17409" spans="1:18" x14ac:dyDescent="0.35">
      <c r="A17409" s="1" t="s">
        <v>1789</v>
      </c>
    </row>
    <row r="17410" spans="1:18" x14ac:dyDescent="0.35">
      <c r="A17410" t="s">
        <v>219</v>
      </c>
      <c r="B17410" t="s">
        <v>305</v>
      </c>
      <c r="C17410" t="s">
        <v>1767</v>
      </c>
      <c r="D17410" t="s">
        <v>1768</v>
      </c>
      <c r="E17410" t="s">
        <v>1769</v>
      </c>
      <c r="F17410" t="s">
        <v>1770</v>
      </c>
      <c r="G17410" t="s">
        <v>1771</v>
      </c>
      <c r="H17410" t="s">
        <v>1772</v>
      </c>
      <c r="I17410" t="s">
        <v>1773</v>
      </c>
      <c r="J17410" t="s">
        <v>1774</v>
      </c>
      <c r="K17410" t="s">
        <v>1775</v>
      </c>
      <c r="L17410" t="s">
        <v>326</v>
      </c>
      <c r="M17410" t="s">
        <v>1776</v>
      </c>
      <c r="N17410" t="s">
        <v>1777</v>
      </c>
      <c r="O17410" t="s">
        <v>281</v>
      </c>
      <c r="P17410" t="s">
        <v>1778</v>
      </c>
      <c r="Q17410" t="s">
        <v>286</v>
      </c>
      <c r="R17410" t="s">
        <v>226</v>
      </c>
    </row>
    <row r="17411" spans="1:18" x14ac:dyDescent="0.35">
      <c r="A17411" t="s">
        <v>227</v>
      </c>
      <c r="B17411" t="s">
        <v>255</v>
      </c>
      <c r="C17411" s="26">
        <v>0.72409999999999997</v>
      </c>
      <c r="D17411" s="26">
        <v>0.1724</v>
      </c>
      <c r="E17411" s="26">
        <v>5.1700000000000003E-2</v>
      </c>
      <c r="F17411" s="26">
        <v>5.1700000000000003E-2</v>
      </c>
      <c r="G17411" s="26">
        <v>2.5899999999999999E-2</v>
      </c>
      <c r="H17411" s="26">
        <v>4.3099999999999999E-2</v>
      </c>
      <c r="I17411" s="26">
        <v>2.5899999999999999E-2</v>
      </c>
      <c r="J17411" s="26">
        <v>1.72E-2</v>
      </c>
      <c r="L17411" s="26">
        <v>8.6E-3</v>
      </c>
      <c r="R17411">
        <v>116</v>
      </c>
    </row>
    <row r="17412" spans="1:18" x14ac:dyDescent="0.35">
      <c r="A17412" s="27" t="s">
        <v>227</v>
      </c>
      <c r="B17412" s="27" t="s">
        <v>257</v>
      </c>
      <c r="C17412" s="28">
        <v>0.33329999999999999</v>
      </c>
      <c r="D17412" s="28">
        <v>0.22220000000000001</v>
      </c>
      <c r="E17412" s="28">
        <v>0.22220000000000001</v>
      </c>
      <c r="F17412" s="28">
        <v>0.1111</v>
      </c>
      <c r="G17412" s="28">
        <v>0.1111</v>
      </c>
      <c r="H17412" s="28">
        <v>0.22220000000000001</v>
      </c>
      <c r="I17412" s="29"/>
      <c r="J17412" s="28">
        <v>0.1111</v>
      </c>
      <c r="K17412" s="29"/>
      <c r="L17412" s="28">
        <v>0.1111</v>
      </c>
      <c r="M17412" s="29"/>
      <c r="N17412" s="29"/>
      <c r="O17412" s="29"/>
      <c r="P17412" s="29"/>
      <c r="Q17412" s="29"/>
      <c r="R17412" s="29" t="s">
        <v>334</v>
      </c>
    </row>
    <row r="17413" spans="1:18" x14ac:dyDescent="0.35">
      <c r="A17413" t="s">
        <v>227</v>
      </c>
      <c r="B17413" t="s">
        <v>256</v>
      </c>
      <c r="C17413" s="26">
        <v>0.65710000000000002</v>
      </c>
      <c r="D17413" s="26">
        <v>0.2286</v>
      </c>
      <c r="F17413" s="26">
        <v>5.7099999999999998E-2</v>
      </c>
      <c r="G17413" s="26">
        <v>0.1714</v>
      </c>
      <c r="H17413" s="26">
        <v>5.7099999999999998E-2</v>
      </c>
      <c r="I17413" s="26">
        <v>2.86E-2</v>
      </c>
      <c r="J17413" s="26">
        <v>8.5699999999999998E-2</v>
      </c>
      <c r="K17413" s="26">
        <v>8.5699999999999998E-2</v>
      </c>
      <c r="R17413">
        <v>35</v>
      </c>
    </row>
    <row r="17414" spans="1:18" x14ac:dyDescent="0.35">
      <c r="A17414" t="s">
        <v>228</v>
      </c>
      <c r="B17414" t="s">
        <v>257</v>
      </c>
      <c r="C17414" s="26">
        <v>0.70279999999999998</v>
      </c>
      <c r="D17414" s="26">
        <v>0.1797</v>
      </c>
      <c r="E17414" s="26">
        <v>5.74E-2</v>
      </c>
      <c r="F17414" s="26">
        <v>4.7000000000000002E-3</v>
      </c>
      <c r="G17414" s="26">
        <v>0.1032</v>
      </c>
      <c r="I17414" s="26">
        <v>1.61E-2</v>
      </c>
      <c r="J17414" s="26">
        <v>3.0700000000000002E-2</v>
      </c>
      <c r="K17414" s="26">
        <v>8.7099999999999997E-2</v>
      </c>
      <c r="L17414" s="26">
        <v>7.1400000000000005E-2</v>
      </c>
      <c r="M17414" s="26">
        <v>6.2899999999999998E-2</v>
      </c>
      <c r="N17414" s="26">
        <v>2.2700000000000001E-2</v>
      </c>
      <c r="P17414" s="26">
        <v>1.61E-2</v>
      </c>
      <c r="R17414">
        <v>48</v>
      </c>
    </row>
    <row r="17415" spans="1:18" x14ac:dyDescent="0.35">
      <c r="A17415" s="27" t="s">
        <v>228</v>
      </c>
      <c r="B17415" s="27" t="s">
        <v>258</v>
      </c>
      <c r="C17415" s="28">
        <v>0.80389999999999995</v>
      </c>
      <c r="D17415" s="29"/>
      <c r="E17415" s="28">
        <v>0.1961</v>
      </c>
      <c r="F17415" s="29"/>
      <c r="G17415" s="29"/>
      <c r="H17415" s="28">
        <v>9.8100000000000007E-2</v>
      </c>
      <c r="I17415" s="29"/>
      <c r="J17415" s="29"/>
      <c r="K17415" s="29"/>
      <c r="L17415" s="29"/>
      <c r="M17415" s="29"/>
      <c r="N17415" s="29"/>
      <c r="O17415" s="29"/>
      <c r="P17415" s="29"/>
      <c r="Q17415" s="29"/>
      <c r="R17415" s="29" t="s">
        <v>337</v>
      </c>
    </row>
    <row r="17416" spans="1:18" x14ac:dyDescent="0.35">
      <c r="A17416" t="s">
        <v>228</v>
      </c>
      <c r="B17416" t="s">
        <v>256</v>
      </c>
      <c r="C17416" s="26">
        <v>0.76770000000000005</v>
      </c>
      <c r="D17416" s="26">
        <v>0.1215</v>
      </c>
      <c r="E17416" s="26">
        <v>3.7499999999999999E-2</v>
      </c>
      <c r="F17416" s="26">
        <v>5.8599999999999999E-2</v>
      </c>
      <c r="G17416" s="26">
        <v>9.2200000000000004E-2</v>
      </c>
      <c r="H17416" s="26">
        <v>4.7000000000000002E-3</v>
      </c>
      <c r="I17416" s="26">
        <v>2.0199999999999999E-2</v>
      </c>
      <c r="J17416" s="26">
        <v>1.8700000000000001E-2</v>
      </c>
      <c r="K17416" s="26">
        <v>3.7699999999999997E-2</v>
      </c>
      <c r="M17416" s="26">
        <v>2.3099999999999999E-2</v>
      </c>
      <c r="N17416" s="26">
        <v>1.6199999999999999E-2</v>
      </c>
      <c r="R17416">
        <v>218</v>
      </c>
    </row>
    <row r="17417" spans="1:18" x14ac:dyDescent="0.35">
      <c r="A17417" t="s">
        <v>228</v>
      </c>
      <c r="B17417" t="s">
        <v>255</v>
      </c>
      <c r="C17417" s="26">
        <v>0.77029999999999998</v>
      </c>
      <c r="D17417" s="26">
        <v>0.11799999999999999</v>
      </c>
      <c r="E17417" s="26">
        <v>4.2799999999999998E-2</v>
      </c>
      <c r="F17417" s="26">
        <v>4.8099999999999997E-2</v>
      </c>
      <c r="G17417" s="26">
        <v>1.54E-2</v>
      </c>
      <c r="H17417" s="26">
        <v>2.6599999999999999E-2</v>
      </c>
      <c r="I17417" s="26">
        <v>1.2200000000000001E-2</v>
      </c>
      <c r="J17417" s="26">
        <v>1.0200000000000001E-2</v>
      </c>
      <c r="K17417" s="26">
        <v>6.4999999999999997E-3</v>
      </c>
      <c r="L17417" s="26">
        <v>4.7000000000000002E-3</v>
      </c>
      <c r="M17417" s="26">
        <v>2.2200000000000001E-2</v>
      </c>
      <c r="N17417" s="26">
        <v>1.41E-2</v>
      </c>
      <c r="O17417" s="26">
        <v>2.0999999999999999E-3</v>
      </c>
      <c r="P17417" s="26">
        <v>6.1000000000000004E-3</v>
      </c>
      <c r="Q17417" s="26">
        <v>1.4E-3</v>
      </c>
      <c r="R17417">
        <v>743</v>
      </c>
    </row>
    <row r="17418" spans="1:18" x14ac:dyDescent="0.35">
      <c r="A17418" t="s">
        <v>229</v>
      </c>
      <c r="B17418" t="s">
        <v>256</v>
      </c>
      <c r="C17418" s="26">
        <v>0.70579999999999998</v>
      </c>
      <c r="D17418" s="26">
        <v>0.12470000000000001</v>
      </c>
      <c r="E17418" s="26">
        <v>3.4700000000000002E-2</v>
      </c>
      <c r="F17418" s="26">
        <v>4.2200000000000001E-2</v>
      </c>
      <c r="G17418" s="26">
        <v>0.1147</v>
      </c>
      <c r="H17418" s="26">
        <v>4.3499999999999997E-2</v>
      </c>
      <c r="I17418" s="26">
        <v>2.0799999999999999E-2</v>
      </c>
      <c r="J17418" s="26">
        <v>2.4E-2</v>
      </c>
      <c r="K17418" s="26">
        <v>4.4699999999999997E-2</v>
      </c>
      <c r="L17418" s="26">
        <v>3.3399999999999999E-2</v>
      </c>
      <c r="M17418" s="26">
        <v>1.1299999999999999E-2</v>
      </c>
      <c r="N17418" s="26">
        <v>1.1299999999999999E-2</v>
      </c>
      <c r="P17418" s="26">
        <v>4.0000000000000002E-4</v>
      </c>
      <c r="R17418">
        <v>202</v>
      </c>
    </row>
    <row r="17419" spans="1:18" x14ac:dyDescent="0.35">
      <c r="A17419" t="s">
        <v>229</v>
      </c>
      <c r="B17419" t="s">
        <v>255</v>
      </c>
      <c r="C17419" s="26">
        <v>0.74690000000000001</v>
      </c>
      <c r="D17419" s="26">
        <v>0.1032</v>
      </c>
      <c r="E17419" s="26">
        <v>4.5600000000000002E-2</v>
      </c>
      <c r="F17419" s="26">
        <v>5.8400000000000001E-2</v>
      </c>
      <c r="G17419" s="26">
        <v>2.23E-2</v>
      </c>
      <c r="H17419" s="26">
        <v>3.4799999999999998E-2</v>
      </c>
      <c r="I17419" s="26">
        <v>1.9300000000000001E-2</v>
      </c>
      <c r="J17419" s="26">
        <v>9.4999999999999998E-3</v>
      </c>
      <c r="K17419" s="26">
        <v>5.3E-3</v>
      </c>
      <c r="L17419" s="26">
        <v>1.9199999999999998E-2</v>
      </c>
      <c r="M17419" s="26">
        <v>2.7799999999999998E-2</v>
      </c>
      <c r="N17419" s="26">
        <v>0.01</v>
      </c>
      <c r="O17419" s="26">
        <v>8.9999999999999993E-3</v>
      </c>
      <c r="R17419">
        <v>613</v>
      </c>
    </row>
    <row r="17420" spans="1:18" x14ac:dyDescent="0.35">
      <c r="A17420" t="s">
        <v>229</v>
      </c>
      <c r="B17420" t="s">
        <v>257</v>
      </c>
      <c r="C17420" s="26">
        <v>0.45429999999999998</v>
      </c>
      <c r="D17420" s="26">
        <v>0.28039999999999998</v>
      </c>
      <c r="E17420" s="26">
        <v>0.11409999999999999</v>
      </c>
      <c r="F17420" s="26">
        <v>5.2400000000000002E-2</v>
      </c>
      <c r="G17420" s="26">
        <v>0.1389</v>
      </c>
      <c r="H17420" s="26">
        <v>6.1000000000000004E-3</v>
      </c>
      <c r="I17420" s="26">
        <v>6.1000000000000004E-3</v>
      </c>
      <c r="J17420" s="26">
        <v>6.1000000000000004E-3</v>
      </c>
      <c r="L17420" s="26">
        <v>6.4699999999999994E-2</v>
      </c>
      <c r="M17420" s="26">
        <v>1.23E-2</v>
      </c>
      <c r="N17420" s="26">
        <v>6.1000000000000004E-3</v>
      </c>
      <c r="P17420" s="26">
        <v>3.0999999999999999E-3</v>
      </c>
      <c r="R17420">
        <v>50</v>
      </c>
    </row>
    <row r="17421" spans="1:18" x14ac:dyDescent="0.35">
      <c r="A17421" s="27" t="s">
        <v>229</v>
      </c>
      <c r="B17421" s="27" t="s">
        <v>258</v>
      </c>
      <c r="C17421" s="29"/>
      <c r="D17421" s="29"/>
      <c r="E17421" s="28">
        <v>0.22409999999999999</v>
      </c>
      <c r="F17421" s="29"/>
      <c r="G17421" s="29"/>
      <c r="H17421" s="29"/>
      <c r="I17421" s="29"/>
      <c r="J17421" s="29"/>
      <c r="K17421" s="29"/>
      <c r="L17421" s="28">
        <v>0.77590000000000003</v>
      </c>
      <c r="M17421" s="29"/>
      <c r="N17421" s="29"/>
      <c r="O17421" s="29"/>
      <c r="P17421" s="29"/>
      <c r="Q17421" s="29"/>
      <c r="R17421" s="29" t="s">
        <v>314</v>
      </c>
    </row>
    <row r="17422" spans="1:18" x14ac:dyDescent="0.35">
      <c r="A17422" t="s">
        <v>230</v>
      </c>
      <c r="B17422" t="s">
        <v>256</v>
      </c>
      <c r="C17422" s="26">
        <v>0.66990000000000005</v>
      </c>
      <c r="D17422" s="26">
        <v>0.15859999999999999</v>
      </c>
      <c r="E17422" s="26">
        <v>9.01E-2</v>
      </c>
      <c r="F17422" s="26">
        <v>0.13750000000000001</v>
      </c>
      <c r="G17422" s="26">
        <v>9.5899999999999999E-2</v>
      </c>
      <c r="H17422" s="26">
        <v>7.22E-2</v>
      </c>
      <c r="I17422" s="26">
        <v>5.0900000000000001E-2</v>
      </c>
      <c r="J17422" s="26">
        <v>2.4899999999999999E-2</v>
      </c>
      <c r="K17422" s="26">
        <v>1.1000000000000001E-3</v>
      </c>
      <c r="L17422" s="26">
        <v>3.5999999999999999E-3</v>
      </c>
      <c r="M17422" s="26">
        <v>3.5999999999999999E-3</v>
      </c>
      <c r="N17422" s="26">
        <v>3.5000000000000001E-3</v>
      </c>
      <c r="O17422" s="26">
        <v>1.1000000000000001E-3</v>
      </c>
      <c r="R17422">
        <v>126</v>
      </c>
    </row>
    <row r="17423" spans="1:18" x14ac:dyDescent="0.35">
      <c r="A17423" t="s">
        <v>230</v>
      </c>
      <c r="B17423" t="s">
        <v>255</v>
      </c>
      <c r="C17423" s="26">
        <v>0.73050000000000004</v>
      </c>
      <c r="D17423" s="26">
        <v>0.15959999999999999</v>
      </c>
      <c r="E17423" s="26">
        <v>6.6600000000000006E-2</v>
      </c>
      <c r="F17423" s="26">
        <v>7.2099999999999997E-2</v>
      </c>
      <c r="G17423" s="26">
        <v>2.41E-2</v>
      </c>
      <c r="H17423" s="26">
        <v>3.7699999999999997E-2</v>
      </c>
      <c r="I17423" s="26">
        <v>2.98E-2</v>
      </c>
      <c r="K17423" s="26">
        <v>8.2000000000000007E-3</v>
      </c>
      <c r="L17423" s="26">
        <v>1.0800000000000001E-2</v>
      </c>
      <c r="M17423" s="26">
        <v>2.0899999999999998E-2</v>
      </c>
      <c r="N17423" s="26">
        <v>1.8599999999999998E-2</v>
      </c>
      <c r="O17423" s="26">
        <v>1.8E-3</v>
      </c>
      <c r="P17423" s="26">
        <v>1.78E-2</v>
      </c>
      <c r="Q17423" s="26">
        <v>4.0000000000000002E-4</v>
      </c>
      <c r="R17423">
        <v>380</v>
      </c>
    </row>
    <row r="17424" spans="1:18" x14ac:dyDescent="0.35">
      <c r="A17424" t="s">
        <v>230</v>
      </c>
      <c r="B17424" t="s">
        <v>257</v>
      </c>
      <c r="C17424" s="26">
        <v>0.54449999999999998</v>
      </c>
      <c r="D17424" s="26">
        <v>0.3337</v>
      </c>
      <c r="E17424" s="26">
        <v>0.08</v>
      </c>
      <c r="F17424" s="26">
        <v>0.2412</v>
      </c>
      <c r="G17424" s="26">
        <v>0.1089</v>
      </c>
      <c r="H17424" s="26">
        <v>7.6100000000000001E-2</v>
      </c>
      <c r="I17424" s="26">
        <v>7.6100000000000001E-2</v>
      </c>
      <c r="M17424" s="26">
        <v>7.6100000000000001E-2</v>
      </c>
      <c r="R17424">
        <v>38</v>
      </c>
    </row>
    <row r="17425" spans="1:18" x14ac:dyDescent="0.35">
      <c r="A17425" s="27" t="s">
        <v>230</v>
      </c>
      <c r="B17425" s="27" t="s">
        <v>258</v>
      </c>
      <c r="C17425" s="28">
        <v>0.95830000000000004</v>
      </c>
      <c r="D17425" s="29"/>
      <c r="E17425" s="29"/>
      <c r="F17425" s="29"/>
      <c r="G17425" s="29"/>
      <c r="H17425" s="29"/>
      <c r="I17425" s="29"/>
      <c r="J17425" s="29"/>
      <c r="K17425" s="29"/>
      <c r="L17425" s="28">
        <v>4.1700000000000001E-2</v>
      </c>
      <c r="M17425" s="29"/>
      <c r="N17425" s="29"/>
      <c r="O17425" s="29"/>
      <c r="P17425" s="29"/>
      <c r="Q17425" s="29"/>
      <c r="R17425" s="29" t="s">
        <v>315</v>
      </c>
    </row>
    <row r="17426" spans="1:18" x14ac:dyDescent="0.35">
      <c r="A17426" s="27" t="s">
        <v>231</v>
      </c>
      <c r="B17426" s="27" t="s">
        <v>257</v>
      </c>
      <c r="C17426" s="28">
        <v>1</v>
      </c>
      <c r="D17426" s="29"/>
      <c r="E17426" s="29"/>
      <c r="F17426" s="29"/>
      <c r="G17426" s="29"/>
      <c r="H17426" s="29"/>
      <c r="I17426" s="29"/>
      <c r="J17426" s="29"/>
      <c r="K17426" s="29"/>
      <c r="L17426" s="29"/>
      <c r="M17426" s="29"/>
      <c r="N17426" s="29"/>
      <c r="O17426" s="29"/>
      <c r="P17426" s="29"/>
      <c r="Q17426" s="29"/>
      <c r="R17426" s="29" t="s">
        <v>339</v>
      </c>
    </row>
    <row r="17427" spans="1:18" x14ac:dyDescent="0.35">
      <c r="A17427" t="s">
        <v>231</v>
      </c>
      <c r="B17427" t="s">
        <v>255</v>
      </c>
      <c r="C17427" s="26">
        <v>0.83460000000000001</v>
      </c>
      <c r="D17427" s="26">
        <v>4.7199999999999999E-2</v>
      </c>
      <c r="E17427" s="26">
        <v>4.7199999999999999E-2</v>
      </c>
      <c r="F17427" s="26">
        <v>3.9399999999999998E-2</v>
      </c>
      <c r="G17427" s="26">
        <v>1.5699999999999999E-2</v>
      </c>
      <c r="H17427" s="26">
        <v>7.9000000000000008E-3</v>
      </c>
      <c r="I17427" s="26">
        <v>7.9000000000000008E-3</v>
      </c>
      <c r="K17427" s="26">
        <v>1.5699999999999999E-2</v>
      </c>
      <c r="L17427" s="26">
        <v>7.9000000000000008E-3</v>
      </c>
      <c r="O17427" s="26">
        <v>7.9000000000000008E-3</v>
      </c>
      <c r="R17427">
        <v>127</v>
      </c>
    </row>
    <row r="17428" spans="1:18" x14ac:dyDescent="0.35">
      <c r="A17428" s="27" t="s">
        <v>231</v>
      </c>
      <c r="B17428" s="27" t="s">
        <v>256</v>
      </c>
      <c r="C17428" s="28">
        <v>0.5</v>
      </c>
      <c r="D17428" s="28">
        <v>0.17860000000000001</v>
      </c>
      <c r="E17428" s="28">
        <v>0.21429999999999999</v>
      </c>
      <c r="F17428" s="28">
        <v>0.1071</v>
      </c>
      <c r="G17428" s="28">
        <v>0.1429</v>
      </c>
      <c r="H17428" s="28">
        <v>3.5700000000000003E-2</v>
      </c>
      <c r="I17428" s="28">
        <v>7.1400000000000005E-2</v>
      </c>
      <c r="J17428" s="28">
        <v>7.1400000000000005E-2</v>
      </c>
      <c r="K17428" s="29"/>
      <c r="L17428" s="29"/>
      <c r="M17428" s="29"/>
      <c r="N17428" s="28">
        <v>3.5700000000000003E-2</v>
      </c>
      <c r="O17428" s="29"/>
      <c r="P17428" s="29"/>
      <c r="Q17428" s="29"/>
      <c r="R17428" s="29" t="s">
        <v>336</v>
      </c>
    </row>
    <row r="17429" spans="1:18" x14ac:dyDescent="0.35">
      <c r="A17429" t="s">
        <v>232</v>
      </c>
      <c r="B17429" t="s">
        <v>232</v>
      </c>
      <c r="C17429" s="26">
        <v>0.73970000000000002</v>
      </c>
      <c r="D17429" s="26">
        <v>0.1208</v>
      </c>
      <c r="E17429" s="26">
        <v>5.6599999999999998E-2</v>
      </c>
      <c r="F17429" s="26">
        <v>5.6300000000000003E-2</v>
      </c>
      <c r="G17429" s="26">
        <v>4.7100000000000003E-2</v>
      </c>
      <c r="H17429" s="26">
        <v>3.0599999999999999E-2</v>
      </c>
      <c r="I17429" s="26">
        <v>2.07E-2</v>
      </c>
      <c r="J17429" s="26">
        <v>1.61E-2</v>
      </c>
      <c r="K17429" s="26">
        <v>1.4800000000000001E-2</v>
      </c>
      <c r="L17429" s="26">
        <v>1.3100000000000001E-2</v>
      </c>
      <c r="M17429" s="26">
        <v>1.2999999999999999E-2</v>
      </c>
      <c r="N17429" s="26">
        <v>8.6999999999999994E-3</v>
      </c>
      <c r="O17429" s="26">
        <v>3.8E-3</v>
      </c>
      <c r="P17429" s="26">
        <v>2.2000000000000001E-3</v>
      </c>
      <c r="Q17429" s="26">
        <v>2.0000000000000001E-4</v>
      </c>
      <c r="R17429">
        <v>2749</v>
      </c>
    </row>
    <row r="17431" spans="1:18" x14ac:dyDescent="0.35">
      <c r="A17431" s="1" t="s">
        <v>1790</v>
      </c>
    </row>
    <row r="17432" spans="1:18" x14ac:dyDescent="0.35">
      <c r="A17432" t="s">
        <v>219</v>
      </c>
      <c r="B17432" t="s">
        <v>302</v>
      </c>
      <c r="C17432" t="s">
        <v>303</v>
      </c>
      <c r="D17432" t="s">
        <v>286</v>
      </c>
      <c r="E17432" t="s">
        <v>226</v>
      </c>
    </row>
    <row r="17433" spans="1:18" x14ac:dyDescent="0.35">
      <c r="A17433" t="s">
        <v>227</v>
      </c>
      <c r="B17433" s="26">
        <v>0.96889999999999998</v>
      </c>
      <c r="C17433" s="26">
        <v>3.1099999999999999E-2</v>
      </c>
      <c r="E17433">
        <v>161</v>
      </c>
    </row>
    <row r="17434" spans="1:18" x14ac:dyDescent="0.35">
      <c r="A17434" t="s">
        <v>228</v>
      </c>
      <c r="B17434" s="26">
        <v>0.80889999999999995</v>
      </c>
      <c r="C17434" s="26">
        <v>0.19059999999999999</v>
      </c>
      <c r="D17434" s="26">
        <v>5.0000000000000001E-4</v>
      </c>
      <c r="E17434">
        <v>1032</v>
      </c>
    </row>
    <row r="17435" spans="1:18" x14ac:dyDescent="0.35">
      <c r="A17435" t="s">
        <v>229</v>
      </c>
      <c r="B17435" s="26">
        <v>0.88619999999999999</v>
      </c>
      <c r="C17435" s="26">
        <v>0.1135</v>
      </c>
      <c r="D17435" s="26">
        <v>2.9999999999999997E-4</v>
      </c>
      <c r="E17435">
        <v>893</v>
      </c>
    </row>
    <row r="17436" spans="1:18" x14ac:dyDescent="0.35">
      <c r="A17436" t="s">
        <v>230</v>
      </c>
      <c r="B17436" s="26">
        <v>0.84860000000000002</v>
      </c>
      <c r="C17436" s="26">
        <v>0.15110000000000001</v>
      </c>
      <c r="D17436" s="26">
        <v>2.9999999999999997E-4</v>
      </c>
      <c r="E17436">
        <v>560</v>
      </c>
    </row>
    <row r="17437" spans="1:18" x14ac:dyDescent="0.35">
      <c r="A17437" t="s">
        <v>231</v>
      </c>
      <c r="B17437" s="26">
        <v>0.96950000000000003</v>
      </c>
      <c r="C17437" s="26">
        <v>3.0499999999999999E-2</v>
      </c>
      <c r="E17437">
        <v>164</v>
      </c>
    </row>
    <row r="17438" spans="1:18" x14ac:dyDescent="0.35">
      <c r="A17438" t="s">
        <v>232</v>
      </c>
      <c r="B17438" s="26">
        <v>0.90300000000000002</v>
      </c>
      <c r="C17438" s="26">
        <v>9.6799999999999997E-2</v>
      </c>
      <c r="D17438" s="26">
        <v>2.0000000000000001E-4</v>
      </c>
      <c r="E17438">
        <v>2810</v>
      </c>
    </row>
    <row r="17440" spans="1:18" x14ac:dyDescent="0.35">
      <c r="A17440" s="1" t="s">
        <v>1791</v>
      </c>
    </row>
    <row r="17441" spans="1:6" x14ac:dyDescent="0.35">
      <c r="A17441" t="s">
        <v>219</v>
      </c>
      <c r="B17441" t="s">
        <v>305</v>
      </c>
      <c r="C17441" t="s">
        <v>302</v>
      </c>
      <c r="D17441" t="s">
        <v>303</v>
      </c>
      <c r="E17441" t="s">
        <v>286</v>
      </c>
      <c r="F17441" t="s">
        <v>226</v>
      </c>
    </row>
    <row r="17442" spans="1:6" x14ac:dyDescent="0.35">
      <c r="A17442" t="s">
        <v>227</v>
      </c>
      <c r="B17442" t="s">
        <v>242</v>
      </c>
      <c r="C17442" s="26">
        <v>0.95589999999999997</v>
      </c>
      <c r="D17442" s="26">
        <v>4.41E-2</v>
      </c>
      <c r="F17442">
        <v>68</v>
      </c>
    </row>
    <row r="17443" spans="1:6" x14ac:dyDescent="0.35">
      <c r="A17443" t="s">
        <v>227</v>
      </c>
      <c r="B17443" t="s">
        <v>241</v>
      </c>
      <c r="C17443" s="26">
        <v>0.97850000000000004</v>
      </c>
      <c r="D17443" s="26">
        <v>2.1499999999999998E-2</v>
      </c>
      <c r="F17443">
        <v>93</v>
      </c>
    </row>
    <row r="17444" spans="1:6" x14ac:dyDescent="0.35">
      <c r="A17444" t="s">
        <v>228</v>
      </c>
      <c r="B17444" t="s">
        <v>242</v>
      </c>
      <c r="C17444" s="26">
        <v>0.77139999999999997</v>
      </c>
      <c r="D17444" s="26">
        <v>0.22800000000000001</v>
      </c>
      <c r="E17444" s="26">
        <v>6.9999999999999999E-4</v>
      </c>
      <c r="F17444">
        <v>401</v>
      </c>
    </row>
    <row r="17445" spans="1:6" x14ac:dyDescent="0.35">
      <c r="A17445" t="s">
        <v>228</v>
      </c>
      <c r="B17445" t="s">
        <v>241</v>
      </c>
      <c r="C17445" s="26">
        <v>0.83040000000000003</v>
      </c>
      <c r="D17445" s="26">
        <v>0.16919999999999999</v>
      </c>
      <c r="E17445" s="26">
        <v>4.0000000000000002E-4</v>
      </c>
      <c r="F17445">
        <v>631</v>
      </c>
    </row>
    <row r="17446" spans="1:6" x14ac:dyDescent="0.35">
      <c r="A17446" t="s">
        <v>229</v>
      </c>
      <c r="B17446" t="s">
        <v>242</v>
      </c>
      <c r="C17446" s="26">
        <v>0.90800000000000003</v>
      </c>
      <c r="D17446" s="26">
        <v>9.1999999999999998E-2</v>
      </c>
      <c r="F17446">
        <v>291</v>
      </c>
    </row>
    <row r="17447" spans="1:6" x14ac:dyDescent="0.35">
      <c r="A17447" t="s">
        <v>229</v>
      </c>
      <c r="B17447" t="s">
        <v>241</v>
      </c>
      <c r="C17447" s="26">
        <v>0.87239999999999995</v>
      </c>
      <c r="D17447" s="26">
        <v>0.12709999999999999</v>
      </c>
      <c r="E17447" s="26">
        <v>5.0000000000000001E-4</v>
      </c>
      <c r="F17447">
        <v>602</v>
      </c>
    </row>
    <row r="17448" spans="1:6" x14ac:dyDescent="0.35">
      <c r="A17448" t="s">
        <v>230</v>
      </c>
      <c r="B17448" t="s">
        <v>242</v>
      </c>
      <c r="C17448" s="26">
        <v>0.81389999999999996</v>
      </c>
      <c r="D17448" s="26">
        <v>0.18529999999999999</v>
      </c>
      <c r="E17448" s="26">
        <v>8.0000000000000004E-4</v>
      </c>
      <c r="F17448">
        <v>189</v>
      </c>
    </row>
    <row r="17449" spans="1:6" x14ac:dyDescent="0.35">
      <c r="A17449" t="s">
        <v>230</v>
      </c>
      <c r="B17449" t="s">
        <v>241</v>
      </c>
      <c r="C17449" s="26">
        <v>0.86629999999999996</v>
      </c>
      <c r="D17449" s="26">
        <v>0.13370000000000001</v>
      </c>
      <c r="F17449">
        <v>371</v>
      </c>
    </row>
    <row r="17450" spans="1:6" x14ac:dyDescent="0.35">
      <c r="A17450" t="s">
        <v>231</v>
      </c>
      <c r="B17450" t="s">
        <v>242</v>
      </c>
      <c r="C17450" s="26">
        <v>1</v>
      </c>
      <c r="F17450">
        <v>54</v>
      </c>
    </row>
    <row r="17451" spans="1:6" x14ac:dyDescent="0.35">
      <c r="A17451" t="s">
        <v>231</v>
      </c>
      <c r="B17451" t="s">
        <v>241</v>
      </c>
      <c r="C17451" s="26">
        <v>0.95450000000000002</v>
      </c>
      <c r="D17451" s="26">
        <v>4.5499999999999999E-2</v>
      </c>
      <c r="F17451">
        <v>110</v>
      </c>
    </row>
    <row r="17452" spans="1:6" x14ac:dyDescent="0.35">
      <c r="A17452" t="s">
        <v>232</v>
      </c>
      <c r="B17452" t="s">
        <v>232</v>
      </c>
      <c r="C17452" s="26">
        <v>0.90300000000000002</v>
      </c>
      <c r="D17452" s="26">
        <v>9.6799999999999997E-2</v>
      </c>
      <c r="E17452" s="26">
        <v>2.0000000000000001E-4</v>
      </c>
      <c r="F17452">
        <v>2810</v>
      </c>
    </row>
    <row r="17454" spans="1:6" x14ac:dyDescent="0.35">
      <c r="A17454" s="1" t="s">
        <v>1792</v>
      </c>
    </row>
    <row r="17455" spans="1:6" x14ac:dyDescent="0.35">
      <c r="A17455" t="s">
        <v>219</v>
      </c>
      <c r="B17455" t="s">
        <v>305</v>
      </c>
      <c r="C17455" t="s">
        <v>302</v>
      </c>
      <c r="D17455" t="s">
        <v>303</v>
      </c>
      <c r="E17455" t="s">
        <v>286</v>
      </c>
      <c r="F17455" t="s">
        <v>226</v>
      </c>
    </row>
    <row r="17456" spans="1:6" x14ac:dyDescent="0.35">
      <c r="A17456" t="s">
        <v>227</v>
      </c>
      <c r="B17456" t="s">
        <v>239</v>
      </c>
      <c r="C17456" s="26">
        <v>0.9839</v>
      </c>
      <c r="D17456" s="26">
        <v>1.61E-2</v>
      </c>
      <c r="F17456">
        <v>62</v>
      </c>
    </row>
    <row r="17457" spans="1:6" x14ac:dyDescent="0.35">
      <c r="A17457" t="s">
        <v>227</v>
      </c>
      <c r="B17457" t="s">
        <v>238</v>
      </c>
      <c r="C17457" s="26">
        <v>0.95960000000000001</v>
      </c>
      <c r="D17457" s="26">
        <v>4.0399999999999998E-2</v>
      </c>
      <c r="F17457">
        <v>99</v>
      </c>
    </row>
    <row r="17458" spans="1:6" x14ac:dyDescent="0.35">
      <c r="A17458" t="s">
        <v>228</v>
      </c>
      <c r="B17458" t="s">
        <v>239</v>
      </c>
      <c r="C17458" s="26">
        <v>0.80210000000000004</v>
      </c>
      <c r="D17458" s="26">
        <v>0.19789999999999999</v>
      </c>
      <c r="F17458">
        <v>330</v>
      </c>
    </row>
    <row r="17459" spans="1:6" x14ac:dyDescent="0.35">
      <c r="A17459" t="s">
        <v>228</v>
      </c>
      <c r="B17459" t="s">
        <v>238</v>
      </c>
      <c r="C17459" s="26">
        <v>0.81069999999999998</v>
      </c>
      <c r="D17459" s="26">
        <v>0.18870000000000001</v>
      </c>
      <c r="E17459" s="26">
        <v>5.9999999999999995E-4</v>
      </c>
      <c r="F17459">
        <v>702</v>
      </c>
    </row>
    <row r="17460" spans="1:6" x14ac:dyDescent="0.35">
      <c r="A17460" t="s">
        <v>229</v>
      </c>
      <c r="B17460" t="s">
        <v>239</v>
      </c>
      <c r="C17460" s="26">
        <v>0.85609999999999997</v>
      </c>
      <c r="D17460" s="26">
        <v>0.1426</v>
      </c>
      <c r="E17460" s="26">
        <v>1.2999999999999999E-3</v>
      </c>
      <c r="F17460">
        <v>332</v>
      </c>
    </row>
    <row r="17461" spans="1:6" x14ac:dyDescent="0.35">
      <c r="A17461" t="s">
        <v>229</v>
      </c>
      <c r="B17461" t="s">
        <v>238</v>
      </c>
      <c r="C17461" s="26">
        <v>0.89649999999999996</v>
      </c>
      <c r="D17461" s="26">
        <v>0.10349999999999999</v>
      </c>
      <c r="F17461">
        <v>561</v>
      </c>
    </row>
    <row r="17462" spans="1:6" x14ac:dyDescent="0.35">
      <c r="A17462" t="s">
        <v>230</v>
      </c>
      <c r="B17462" t="s">
        <v>239</v>
      </c>
      <c r="C17462" s="26">
        <v>0.86229999999999996</v>
      </c>
      <c r="D17462" s="26">
        <v>0.13769999999999999</v>
      </c>
      <c r="F17462">
        <v>211</v>
      </c>
    </row>
    <row r="17463" spans="1:6" x14ac:dyDescent="0.35">
      <c r="A17463" t="s">
        <v>230</v>
      </c>
      <c r="B17463" t="s">
        <v>238</v>
      </c>
      <c r="C17463" s="26">
        <v>0.8427</v>
      </c>
      <c r="D17463" s="26">
        <v>0.15690000000000001</v>
      </c>
      <c r="E17463" s="26">
        <v>4.0000000000000002E-4</v>
      </c>
      <c r="F17463">
        <v>349</v>
      </c>
    </row>
    <row r="17464" spans="1:6" x14ac:dyDescent="0.35">
      <c r="A17464" t="s">
        <v>231</v>
      </c>
      <c r="B17464" t="s">
        <v>239</v>
      </c>
      <c r="C17464" s="26">
        <v>0.98250000000000004</v>
      </c>
      <c r="D17464" s="26">
        <v>1.7500000000000002E-2</v>
      </c>
      <c r="F17464">
        <v>57</v>
      </c>
    </row>
    <row r="17465" spans="1:6" x14ac:dyDescent="0.35">
      <c r="A17465" t="s">
        <v>231</v>
      </c>
      <c r="B17465" t="s">
        <v>238</v>
      </c>
      <c r="C17465" s="26">
        <v>0.96260000000000001</v>
      </c>
      <c r="D17465" s="26">
        <v>3.7400000000000003E-2</v>
      </c>
      <c r="F17465">
        <v>107</v>
      </c>
    </row>
    <row r="17466" spans="1:6" x14ac:dyDescent="0.35">
      <c r="A17466" t="s">
        <v>232</v>
      </c>
      <c r="B17466" t="s">
        <v>232</v>
      </c>
      <c r="C17466" s="26">
        <v>0.90300000000000002</v>
      </c>
      <c r="D17466" s="26">
        <v>9.6799999999999997E-2</v>
      </c>
      <c r="E17466" s="26">
        <v>2.0000000000000001E-4</v>
      </c>
      <c r="F17466">
        <v>2810</v>
      </c>
    </row>
    <row r="17468" spans="1:6" x14ac:dyDescent="0.35">
      <c r="A17468" s="1" t="s">
        <v>1793</v>
      </c>
    </row>
    <row r="17469" spans="1:6" x14ac:dyDescent="0.35">
      <c r="A17469" t="s">
        <v>219</v>
      </c>
      <c r="B17469" t="s">
        <v>305</v>
      </c>
      <c r="C17469" t="s">
        <v>302</v>
      </c>
      <c r="D17469" t="s">
        <v>303</v>
      </c>
      <c r="E17469" t="s">
        <v>286</v>
      </c>
      <c r="F17469" t="s">
        <v>226</v>
      </c>
    </row>
    <row r="17470" spans="1:6" x14ac:dyDescent="0.35">
      <c r="A17470" t="s">
        <v>227</v>
      </c>
      <c r="B17470" t="s">
        <v>244</v>
      </c>
      <c r="C17470" s="26">
        <v>0.96879999999999999</v>
      </c>
      <c r="D17470" s="26">
        <v>3.1199999999999999E-2</v>
      </c>
      <c r="F17470">
        <v>96</v>
      </c>
    </row>
    <row r="17471" spans="1:6" x14ac:dyDescent="0.35">
      <c r="A17471" t="s">
        <v>227</v>
      </c>
      <c r="B17471" t="s">
        <v>245</v>
      </c>
      <c r="C17471" s="26">
        <v>0.96230000000000004</v>
      </c>
      <c r="D17471" s="26">
        <v>3.7699999999999997E-2</v>
      </c>
      <c r="F17471">
        <v>53</v>
      </c>
    </row>
    <row r="17472" spans="1:6" x14ac:dyDescent="0.35">
      <c r="A17472" s="27" t="s">
        <v>227</v>
      </c>
      <c r="B17472" s="27" t="s">
        <v>246</v>
      </c>
      <c r="C17472" s="28">
        <v>1</v>
      </c>
      <c r="D17472" s="29"/>
      <c r="E17472" s="29"/>
      <c r="F17472" s="29" t="s">
        <v>342</v>
      </c>
    </row>
    <row r="17473" spans="1:6" x14ac:dyDescent="0.35">
      <c r="A17473" t="s">
        <v>228</v>
      </c>
      <c r="B17473" t="s">
        <v>244</v>
      </c>
      <c r="C17473" s="26">
        <v>0.81100000000000005</v>
      </c>
      <c r="D17473" s="26">
        <v>0.1883</v>
      </c>
      <c r="E17473" s="26">
        <v>6.9999999999999999E-4</v>
      </c>
      <c r="F17473">
        <v>638</v>
      </c>
    </row>
    <row r="17474" spans="1:6" x14ac:dyDescent="0.35">
      <c r="A17474" t="s">
        <v>228</v>
      </c>
      <c r="B17474" t="s">
        <v>245</v>
      </c>
      <c r="C17474" s="26">
        <v>0.80940000000000001</v>
      </c>
      <c r="D17474" s="26">
        <v>0.19059999999999999</v>
      </c>
      <c r="F17474">
        <v>327</v>
      </c>
    </row>
    <row r="17475" spans="1:6" x14ac:dyDescent="0.35">
      <c r="A17475" t="s">
        <v>228</v>
      </c>
      <c r="B17475" t="s">
        <v>246</v>
      </c>
      <c r="C17475" s="26">
        <v>0.78800000000000003</v>
      </c>
      <c r="D17475" s="26">
        <v>0.21199999999999999</v>
      </c>
      <c r="F17475">
        <v>67</v>
      </c>
    </row>
    <row r="17476" spans="1:6" x14ac:dyDescent="0.35">
      <c r="A17476" t="s">
        <v>229</v>
      </c>
      <c r="B17476" t="s">
        <v>244</v>
      </c>
      <c r="C17476" s="26">
        <v>0.87250000000000005</v>
      </c>
      <c r="D17476" s="26">
        <v>0.127</v>
      </c>
      <c r="E17476" s="26">
        <v>5.0000000000000001E-4</v>
      </c>
      <c r="F17476">
        <v>555</v>
      </c>
    </row>
    <row r="17477" spans="1:6" x14ac:dyDescent="0.35">
      <c r="A17477" t="s">
        <v>229</v>
      </c>
      <c r="B17477" t="s">
        <v>245</v>
      </c>
      <c r="C17477" s="26">
        <v>0.90259999999999996</v>
      </c>
      <c r="D17477" s="26">
        <v>9.74E-2</v>
      </c>
      <c r="F17477">
        <v>293</v>
      </c>
    </row>
    <row r="17478" spans="1:6" x14ac:dyDescent="0.35">
      <c r="A17478" t="s">
        <v>229</v>
      </c>
      <c r="B17478" t="s">
        <v>246</v>
      </c>
      <c r="C17478" s="26">
        <v>0.98570000000000002</v>
      </c>
      <c r="D17478" s="26">
        <v>1.43E-2</v>
      </c>
      <c r="F17478">
        <v>45</v>
      </c>
    </row>
    <row r="17479" spans="1:6" x14ac:dyDescent="0.35">
      <c r="A17479" t="s">
        <v>230</v>
      </c>
      <c r="B17479" t="s">
        <v>244</v>
      </c>
      <c r="C17479" s="26">
        <v>0.87009999999999998</v>
      </c>
      <c r="D17479" s="26">
        <v>0.12989999999999999</v>
      </c>
      <c r="F17479">
        <v>370</v>
      </c>
    </row>
    <row r="17480" spans="1:6" x14ac:dyDescent="0.35">
      <c r="A17480" t="s">
        <v>230</v>
      </c>
      <c r="B17480" t="s">
        <v>245</v>
      </c>
      <c r="C17480" s="26">
        <v>0.78979999999999995</v>
      </c>
      <c r="D17480" s="26">
        <v>0.20910000000000001</v>
      </c>
      <c r="E17480" s="26">
        <v>1.1000000000000001E-3</v>
      </c>
      <c r="F17480">
        <v>161</v>
      </c>
    </row>
    <row r="17481" spans="1:6" x14ac:dyDescent="0.35">
      <c r="A17481" s="27" t="s">
        <v>230</v>
      </c>
      <c r="B17481" s="27" t="s">
        <v>246</v>
      </c>
      <c r="C17481" s="28">
        <v>0.85589999999999999</v>
      </c>
      <c r="D17481" s="28">
        <v>0.14410000000000001</v>
      </c>
      <c r="E17481" s="29"/>
      <c r="F17481" s="29" t="s">
        <v>329</v>
      </c>
    </row>
    <row r="17482" spans="1:6" x14ac:dyDescent="0.35">
      <c r="A17482" t="s">
        <v>231</v>
      </c>
      <c r="B17482" t="s">
        <v>244</v>
      </c>
      <c r="C17482" s="26">
        <v>0.96840000000000004</v>
      </c>
      <c r="D17482" s="26">
        <v>3.1600000000000003E-2</v>
      </c>
      <c r="F17482">
        <v>95</v>
      </c>
    </row>
    <row r="17483" spans="1:6" x14ac:dyDescent="0.35">
      <c r="A17483" t="s">
        <v>231</v>
      </c>
      <c r="B17483" t="s">
        <v>245</v>
      </c>
      <c r="C17483" s="26">
        <v>0.96430000000000005</v>
      </c>
      <c r="D17483" s="26">
        <v>3.5700000000000003E-2</v>
      </c>
      <c r="F17483">
        <v>56</v>
      </c>
    </row>
    <row r="17484" spans="1:6" x14ac:dyDescent="0.35">
      <c r="A17484" s="27" t="s">
        <v>231</v>
      </c>
      <c r="B17484" s="27" t="s">
        <v>246</v>
      </c>
      <c r="C17484" s="28">
        <v>1</v>
      </c>
      <c r="D17484" s="29"/>
      <c r="E17484" s="29"/>
      <c r="F17484" s="29" t="s">
        <v>341</v>
      </c>
    </row>
    <row r="17485" spans="1:6" x14ac:dyDescent="0.35">
      <c r="A17485" t="s">
        <v>232</v>
      </c>
      <c r="B17485" t="s">
        <v>232</v>
      </c>
      <c r="C17485" s="26">
        <v>0.90300000000000002</v>
      </c>
      <c r="D17485" s="26">
        <v>9.6799999999999997E-2</v>
      </c>
      <c r="E17485" s="26">
        <v>2.0000000000000001E-4</v>
      </c>
      <c r="F17485">
        <v>2810</v>
      </c>
    </row>
    <row r="17487" spans="1:6" x14ac:dyDescent="0.35">
      <c r="A17487" s="1" t="s">
        <v>1794</v>
      </c>
    </row>
    <row r="17488" spans="1:6" x14ac:dyDescent="0.35">
      <c r="A17488" t="s">
        <v>219</v>
      </c>
      <c r="B17488" t="s">
        <v>305</v>
      </c>
      <c r="C17488" t="s">
        <v>302</v>
      </c>
      <c r="D17488" t="s">
        <v>303</v>
      </c>
      <c r="E17488" t="s">
        <v>286</v>
      </c>
      <c r="F17488" t="s">
        <v>226</v>
      </c>
    </row>
    <row r="17489" spans="1:6" x14ac:dyDescent="0.35">
      <c r="A17489" t="s">
        <v>227</v>
      </c>
      <c r="B17489" t="s">
        <v>360</v>
      </c>
      <c r="C17489" s="26">
        <v>1</v>
      </c>
      <c r="F17489">
        <v>39</v>
      </c>
    </row>
    <row r="17490" spans="1:6" x14ac:dyDescent="0.35">
      <c r="A17490" t="s">
        <v>227</v>
      </c>
      <c r="B17490" t="s">
        <v>361</v>
      </c>
      <c r="C17490" s="26">
        <v>0.9375</v>
      </c>
      <c r="D17490" s="26">
        <v>6.25E-2</v>
      </c>
      <c r="F17490">
        <v>32</v>
      </c>
    </row>
    <row r="17491" spans="1:6" x14ac:dyDescent="0.35">
      <c r="A17491" t="s">
        <v>227</v>
      </c>
      <c r="B17491" t="s">
        <v>362</v>
      </c>
      <c r="C17491" s="26">
        <v>0.97299999999999998</v>
      </c>
      <c r="D17491" s="26">
        <v>2.7E-2</v>
      </c>
      <c r="F17491">
        <v>37</v>
      </c>
    </row>
    <row r="17492" spans="1:6" x14ac:dyDescent="0.35">
      <c r="A17492" t="s">
        <v>227</v>
      </c>
      <c r="B17492" t="s">
        <v>363</v>
      </c>
      <c r="C17492" s="26">
        <v>0.9556</v>
      </c>
      <c r="D17492" s="26">
        <v>4.4400000000000002E-2</v>
      </c>
      <c r="F17492">
        <v>45</v>
      </c>
    </row>
    <row r="17493" spans="1:6" x14ac:dyDescent="0.35">
      <c r="A17493" t="s">
        <v>228</v>
      </c>
      <c r="B17493" t="s">
        <v>360</v>
      </c>
      <c r="C17493" s="26">
        <v>0.77480000000000004</v>
      </c>
      <c r="D17493" s="26">
        <v>0.22270000000000001</v>
      </c>
      <c r="E17493" s="26">
        <v>2.5000000000000001E-3</v>
      </c>
      <c r="F17493">
        <v>257</v>
      </c>
    </row>
    <row r="17494" spans="1:6" x14ac:dyDescent="0.35">
      <c r="A17494" t="s">
        <v>228</v>
      </c>
      <c r="B17494" t="s">
        <v>361</v>
      </c>
      <c r="C17494" s="26">
        <v>0.82720000000000005</v>
      </c>
      <c r="D17494" s="26">
        <v>0.17280000000000001</v>
      </c>
      <c r="F17494">
        <v>194</v>
      </c>
    </row>
    <row r="17495" spans="1:6" x14ac:dyDescent="0.35">
      <c r="A17495" t="s">
        <v>228</v>
      </c>
      <c r="B17495" t="s">
        <v>363</v>
      </c>
      <c r="C17495" s="26">
        <v>0.81679999999999997</v>
      </c>
      <c r="D17495" s="26">
        <v>0.1832</v>
      </c>
      <c r="F17495">
        <v>212</v>
      </c>
    </row>
    <row r="17496" spans="1:6" x14ac:dyDescent="0.35">
      <c r="A17496" t="s">
        <v>228</v>
      </c>
      <c r="B17496" t="s">
        <v>362</v>
      </c>
      <c r="C17496" s="26">
        <v>0.84040000000000004</v>
      </c>
      <c r="D17496" s="26">
        <v>0.15959999999999999</v>
      </c>
      <c r="F17496">
        <v>236</v>
      </c>
    </row>
    <row r="17497" spans="1:6" x14ac:dyDescent="0.35">
      <c r="A17497" t="s">
        <v>229</v>
      </c>
      <c r="B17497" t="s">
        <v>363</v>
      </c>
      <c r="C17497" s="26">
        <v>0.87719999999999998</v>
      </c>
      <c r="D17497" s="26">
        <v>0.121</v>
      </c>
      <c r="E17497" s="26">
        <v>1.8E-3</v>
      </c>
      <c r="F17497">
        <v>190</v>
      </c>
    </row>
    <row r="17498" spans="1:6" x14ac:dyDescent="0.35">
      <c r="A17498" t="s">
        <v>229</v>
      </c>
      <c r="B17498" t="s">
        <v>360</v>
      </c>
      <c r="C17498" s="26">
        <v>0.86719999999999997</v>
      </c>
      <c r="D17498" s="26">
        <v>0.1328</v>
      </c>
      <c r="F17498">
        <v>164</v>
      </c>
    </row>
    <row r="17499" spans="1:6" x14ac:dyDescent="0.35">
      <c r="A17499" t="s">
        <v>229</v>
      </c>
      <c r="B17499" t="s">
        <v>361</v>
      </c>
      <c r="C17499" s="26">
        <v>0.85929999999999995</v>
      </c>
      <c r="D17499" s="26">
        <v>0.14069999999999999</v>
      </c>
      <c r="F17499">
        <v>243</v>
      </c>
    </row>
    <row r="17500" spans="1:6" x14ac:dyDescent="0.35">
      <c r="A17500" t="s">
        <v>229</v>
      </c>
      <c r="B17500" t="s">
        <v>362</v>
      </c>
      <c r="C17500" s="26">
        <v>0.9415</v>
      </c>
      <c r="D17500" s="26">
        <v>5.8500000000000003E-2</v>
      </c>
      <c r="F17500">
        <v>171</v>
      </c>
    </row>
    <row r="17501" spans="1:6" x14ac:dyDescent="0.35">
      <c r="A17501" t="s">
        <v>230</v>
      </c>
      <c r="B17501" t="s">
        <v>360</v>
      </c>
      <c r="C17501" s="26">
        <v>0.8256</v>
      </c>
      <c r="D17501" s="26">
        <v>0.17299999999999999</v>
      </c>
      <c r="E17501" s="26">
        <v>1.5E-3</v>
      </c>
      <c r="F17501">
        <v>120</v>
      </c>
    </row>
    <row r="17502" spans="1:6" x14ac:dyDescent="0.35">
      <c r="A17502" t="s">
        <v>230</v>
      </c>
      <c r="B17502" t="s">
        <v>363</v>
      </c>
      <c r="C17502" s="26">
        <v>0.83</v>
      </c>
      <c r="D17502" s="26">
        <v>0.17</v>
      </c>
      <c r="F17502">
        <v>127</v>
      </c>
    </row>
    <row r="17503" spans="1:6" x14ac:dyDescent="0.35">
      <c r="A17503" t="s">
        <v>230</v>
      </c>
      <c r="B17503" t="s">
        <v>361</v>
      </c>
      <c r="C17503" s="26">
        <v>0.87429999999999997</v>
      </c>
      <c r="D17503" s="26">
        <v>0.12570000000000001</v>
      </c>
      <c r="F17503">
        <v>109</v>
      </c>
    </row>
    <row r="17504" spans="1:6" x14ac:dyDescent="0.35">
      <c r="A17504" t="s">
        <v>230</v>
      </c>
      <c r="B17504" t="s">
        <v>362</v>
      </c>
      <c r="C17504" s="26">
        <v>0.84799999999999998</v>
      </c>
      <c r="D17504" s="26">
        <v>0.152</v>
      </c>
      <c r="F17504">
        <v>148</v>
      </c>
    </row>
    <row r="17505" spans="1:6" x14ac:dyDescent="0.35">
      <c r="A17505" s="27" t="s">
        <v>231</v>
      </c>
      <c r="B17505" s="27" t="s">
        <v>362</v>
      </c>
      <c r="C17505" s="28">
        <v>1</v>
      </c>
      <c r="D17505" s="29"/>
      <c r="E17505" s="29"/>
      <c r="F17505" s="29" t="s">
        <v>329</v>
      </c>
    </row>
    <row r="17506" spans="1:6" x14ac:dyDescent="0.35">
      <c r="A17506" t="s">
        <v>231</v>
      </c>
      <c r="B17506" t="s">
        <v>361</v>
      </c>
      <c r="C17506" s="26">
        <v>0.94</v>
      </c>
      <c r="D17506" s="26">
        <v>0.06</v>
      </c>
      <c r="F17506">
        <v>50</v>
      </c>
    </row>
    <row r="17507" spans="1:6" x14ac:dyDescent="0.35">
      <c r="A17507" t="s">
        <v>231</v>
      </c>
      <c r="B17507" t="s">
        <v>360</v>
      </c>
      <c r="C17507" s="26">
        <v>1</v>
      </c>
      <c r="F17507">
        <v>44</v>
      </c>
    </row>
    <row r="17508" spans="1:6" x14ac:dyDescent="0.35">
      <c r="A17508" s="27" t="s">
        <v>231</v>
      </c>
      <c r="B17508" s="27" t="s">
        <v>363</v>
      </c>
      <c r="C17508" s="28">
        <v>1</v>
      </c>
      <c r="D17508" s="29"/>
      <c r="E17508" s="29"/>
      <c r="F17508" s="29" t="s">
        <v>338</v>
      </c>
    </row>
    <row r="17509" spans="1:6" x14ac:dyDescent="0.35">
      <c r="A17509" t="s">
        <v>232</v>
      </c>
      <c r="B17509" t="s">
        <v>232</v>
      </c>
      <c r="C17509" s="26">
        <v>0.90300000000000002</v>
      </c>
      <c r="D17509" s="26">
        <v>9.6799999999999997E-2</v>
      </c>
      <c r="E17509" s="26">
        <v>2.0000000000000001E-4</v>
      </c>
      <c r="F17509">
        <v>2474</v>
      </c>
    </row>
    <row r="17511" spans="1:6" x14ac:dyDescent="0.35">
      <c r="A17511" s="1" t="s">
        <v>1795</v>
      </c>
    </row>
    <row r="17512" spans="1:6" x14ac:dyDescent="0.35">
      <c r="A17512" t="s">
        <v>219</v>
      </c>
      <c r="B17512" t="s">
        <v>305</v>
      </c>
      <c r="C17512" t="s">
        <v>302</v>
      </c>
      <c r="D17512" t="s">
        <v>303</v>
      </c>
      <c r="E17512" t="s">
        <v>286</v>
      </c>
      <c r="F17512" t="s">
        <v>226</v>
      </c>
    </row>
    <row r="17513" spans="1:6" x14ac:dyDescent="0.35">
      <c r="A17513" t="s">
        <v>227</v>
      </c>
      <c r="B17513" t="s">
        <v>267</v>
      </c>
      <c r="C17513" s="26">
        <v>0.97219999999999995</v>
      </c>
      <c r="D17513" s="26">
        <v>2.7799999999999998E-2</v>
      </c>
      <c r="F17513">
        <v>36</v>
      </c>
    </row>
    <row r="17514" spans="1:6" x14ac:dyDescent="0.35">
      <c r="A17514" t="s">
        <v>227</v>
      </c>
      <c r="B17514" t="s">
        <v>266</v>
      </c>
      <c r="C17514" s="26">
        <v>0.98309999999999997</v>
      </c>
      <c r="D17514" s="26">
        <v>1.6899999999999998E-2</v>
      </c>
      <c r="F17514">
        <v>59</v>
      </c>
    </row>
    <row r="17515" spans="1:6" x14ac:dyDescent="0.35">
      <c r="A17515" t="s">
        <v>227</v>
      </c>
      <c r="B17515" t="s">
        <v>265</v>
      </c>
      <c r="C17515" s="26">
        <v>0.95450000000000002</v>
      </c>
      <c r="D17515" s="26">
        <v>4.5499999999999999E-2</v>
      </c>
      <c r="F17515">
        <v>66</v>
      </c>
    </row>
    <row r="17516" spans="1:6" x14ac:dyDescent="0.35">
      <c r="A17516" t="s">
        <v>228</v>
      </c>
      <c r="B17516" t="s">
        <v>267</v>
      </c>
      <c r="C17516" s="26">
        <v>0.75109999999999999</v>
      </c>
      <c r="D17516" s="26">
        <v>0.24890000000000001</v>
      </c>
      <c r="F17516">
        <v>199</v>
      </c>
    </row>
    <row r="17517" spans="1:6" x14ac:dyDescent="0.35">
      <c r="A17517" t="s">
        <v>228</v>
      </c>
      <c r="B17517" t="s">
        <v>265</v>
      </c>
      <c r="C17517" s="26">
        <v>0.82709999999999995</v>
      </c>
      <c r="D17517" s="26">
        <v>0.1729</v>
      </c>
      <c r="F17517">
        <v>384</v>
      </c>
    </row>
    <row r="17518" spans="1:6" x14ac:dyDescent="0.35">
      <c r="A17518" s="27" t="s">
        <v>228</v>
      </c>
      <c r="B17518" s="27" t="s">
        <v>236</v>
      </c>
      <c r="C17518" s="28">
        <v>1</v>
      </c>
      <c r="D17518" s="29"/>
      <c r="E17518" s="29"/>
      <c r="F17518" s="29" t="s">
        <v>314</v>
      </c>
    </row>
    <row r="17519" spans="1:6" x14ac:dyDescent="0.35">
      <c r="A17519" t="s">
        <v>228</v>
      </c>
      <c r="B17519" t="s">
        <v>266</v>
      </c>
      <c r="C17519" s="26">
        <v>0.81140000000000001</v>
      </c>
      <c r="D17519" s="26">
        <v>0.18740000000000001</v>
      </c>
      <c r="E17519" s="26">
        <v>1.1999999999999999E-3</v>
      </c>
      <c r="F17519">
        <v>447</v>
      </c>
    </row>
    <row r="17520" spans="1:6" x14ac:dyDescent="0.35">
      <c r="A17520" t="s">
        <v>229</v>
      </c>
      <c r="B17520" t="s">
        <v>266</v>
      </c>
      <c r="C17520" s="26">
        <v>0.9042</v>
      </c>
      <c r="D17520" s="26">
        <v>9.5799999999999996E-2</v>
      </c>
      <c r="F17520">
        <v>358</v>
      </c>
    </row>
    <row r="17521" spans="1:6" x14ac:dyDescent="0.35">
      <c r="A17521" t="s">
        <v>229</v>
      </c>
      <c r="B17521" t="s">
        <v>267</v>
      </c>
      <c r="C17521" s="26">
        <v>0.92400000000000004</v>
      </c>
      <c r="D17521" s="26">
        <v>7.5999999999999998E-2</v>
      </c>
      <c r="F17521">
        <v>201</v>
      </c>
    </row>
    <row r="17522" spans="1:6" x14ac:dyDescent="0.35">
      <c r="A17522" t="s">
        <v>229</v>
      </c>
      <c r="B17522" t="s">
        <v>265</v>
      </c>
      <c r="C17522" s="26">
        <v>0.85450000000000004</v>
      </c>
      <c r="D17522" s="26">
        <v>0.14480000000000001</v>
      </c>
      <c r="E17522" s="26">
        <v>6.9999999999999999E-4</v>
      </c>
      <c r="F17522">
        <v>334</v>
      </c>
    </row>
    <row r="17523" spans="1:6" x14ac:dyDescent="0.35">
      <c r="A17523" t="s">
        <v>230</v>
      </c>
      <c r="B17523" t="s">
        <v>267</v>
      </c>
      <c r="C17523" s="26">
        <v>0.89639999999999997</v>
      </c>
      <c r="D17523" s="26">
        <v>0.1036</v>
      </c>
      <c r="F17523">
        <v>119</v>
      </c>
    </row>
    <row r="17524" spans="1:6" x14ac:dyDescent="0.35">
      <c r="A17524" t="s">
        <v>230</v>
      </c>
      <c r="B17524" t="s">
        <v>266</v>
      </c>
      <c r="C17524" s="26">
        <v>0.78549999999999998</v>
      </c>
      <c r="D17524" s="26">
        <v>0.21379999999999999</v>
      </c>
      <c r="E17524" s="26">
        <v>8.0000000000000004E-4</v>
      </c>
      <c r="F17524">
        <v>232</v>
      </c>
    </row>
    <row r="17525" spans="1:6" x14ac:dyDescent="0.35">
      <c r="A17525" t="s">
        <v>230</v>
      </c>
      <c r="B17525" t="s">
        <v>265</v>
      </c>
      <c r="C17525" s="26">
        <v>0.878</v>
      </c>
      <c r="D17525" s="26">
        <v>0.122</v>
      </c>
      <c r="F17525">
        <v>209</v>
      </c>
    </row>
    <row r="17526" spans="1:6" x14ac:dyDescent="0.35">
      <c r="A17526" t="s">
        <v>231</v>
      </c>
      <c r="B17526" t="s">
        <v>267</v>
      </c>
      <c r="C17526" s="26">
        <v>0.91180000000000005</v>
      </c>
      <c r="D17526" s="26">
        <v>8.8200000000000001E-2</v>
      </c>
      <c r="F17526">
        <v>34</v>
      </c>
    </row>
    <row r="17527" spans="1:6" x14ac:dyDescent="0.35">
      <c r="A17527" t="s">
        <v>231</v>
      </c>
      <c r="B17527" t="s">
        <v>266</v>
      </c>
      <c r="C17527" s="26">
        <v>0.9677</v>
      </c>
      <c r="D17527" s="26">
        <v>3.2300000000000002E-2</v>
      </c>
      <c r="F17527">
        <v>62</v>
      </c>
    </row>
    <row r="17528" spans="1:6" x14ac:dyDescent="0.35">
      <c r="A17528" t="s">
        <v>231</v>
      </c>
      <c r="B17528" t="s">
        <v>265</v>
      </c>
      <c r="C17528" s="26">
        <v>1</v>
      </c>
      <c r="F17528">
        <v>68</v>
      </c>
    </row>
    <row r="17529" spans="1:6" x14ac:dyDescent="0.35">
      <c r="A17529" t="s">
        <v>232</v>
      </c>
      <c r="B17529" t="s">
        <v>232</v>
      </c>
      <c r="C17529" s="26">
        <v>0.90300000000000002</v>
      </c>
      <c r="D17529" s="26">
        <v>9.6799999999999997E-2</v>
      </c>
      <c r="E17529" s="26">
        <v>2.0000000000000001E-4</v>
      </c>
      <c r="F17529">
        <v>2810</v>
      </c>
    </row>
    <row r="17531" spans="1:6" x14ac:dyDescent="0.35">
      <c r="A17531" s="1" t="s">
        <v>1796</v>
      </c>
    </row>
    <row r="17532" spans="1:6" x14ac:dyDescent="0.35">
      <c r="A17532" t="s">
        <v>219</v>
      </c>
      <c r="B17532" t="s">
        <v>305</v>
      </c>
      <c r="C17532" t="s">
        <v>302</v>
      </c>
      <c r="D17532" t="s">
        <v>303</v>
      </c>
      <c r="E17532" t="s">
        <v>286</v>
      </c>
      <c r="F17532" t="s">
        <v>226</v>
      </c>
    </row>
    <row r="17533" spans="1:6" x14ac:dyDescent="0.35">
      <c r="A17533" t="s">
        <v>227</v>
      </c>
      <c r="B17533" t="s">
        <v>252</v>
      </c>
      <c r="C17533" s="26">
        <v>0.9778</v>
      </c>
      <c r="D17533" s="26">
        <v>2.2200000000000001E-2</v>
      </c>
      <c r="F17533">
        <v>45</v>
      </c>
    </row>
    <row r="17534" spans="1:6" x14ac:dyDescent="0.35">
      <c r="A17534" t="s">
        <v>227</v>
      </c>
      <c r="B17534" t="s">
        <v>253</v>
      </c>
      <c r="C17534" s="26">
        <v>0.97060000000000002</v>
      </c>
      <c r="D17534" s="26">
        <v>2.9399999999999999E-2</v>
      </c>
      <c r="F17534">
        <v>34</v>
      </c>
    </row>
    <row r="17535" spans="1:6" x14ac:dyDescent="0.35">
      <c r="A17535" t="s">
        <v>227</v>
      </c>
      <c r="B17535" t="s">
        <v>251</v>
      </c>
      <c r="C17535" s="26">
        <v>0.96340000000000003</v>
      </c>
      <c r="D17535" s="26">
        <v>3.6600000000000001E-2</v>
      </c>
      <c r="F17535">
        <v>82</v>
      </c>
    </row>
    <row r="17536" spans="1:6" x14ac:dyDescent="0.35">
      <c r="A17536" t="s">
        <v>228</v>
      </c>
      <c r="B17536" t="s">
        <v>252</v>
      </c>
      <c r="C17536" s="26">
        <v>0.83209999999999995</v>
      </c>
      <c r="D17536" s="26">
        <v>0.1671</v>
      </c>
      <c r="E17536" s="26">
        <v>8.0000000000000004E-4</v>
      </c>
      <c r="F17536">
        <v>343</v>
      </c>
    </row>
    <row r="17537" spans="1:6" x14ac:dyDescent="0.35">
      <c r="A17537" t="s">
        <v>228</v>
      </c>
      <c r="B17537" t="s">
        <v>253</v>
      </c>
      <c r="C17537" s="26">
        <v>0.75600000000000001</v>
      </c>
      <c r="D17537" s="26">
        <v>0.24399999999999999</v>
      </c>
      <c r="F17537">
        <v>222</v>
      </c>
    </row>
    <row r="17538" spans="1:6" x14ac:dyDescent="0.35">
      <c r="A17538" t="s">
        <v>228</v>
      </c>
      <c r="B17538" t="s">
        <v>251</v>
      </c>
      <c r="C17538" s="26">
        <v>0.81620000000000004</v>
      </c>
      <c r="D17538" s="26">
        <v>0.18329999999999999</v>
      </c>
      <c r="E17538" s="26">
        <v>5.0000000000000001E-4</v>
      </c>
      <c r="F17538">
        <v>467</v>
      </c>
    </row>
    <row r="17539" spans="1:6" x14ac:dyDescent="0.35">
      <c r="A17539" t="s">
        <v>229</v>
      </c>
      <c r="B17539" t="s">
        <v>252</v>
      </c>
      <c r="C17539" s="26">
        <v>0.91510000000000002</v>
      </c>
      <c r="D17539" s="26">
        <v>8.4900000000000003E-2</v>
      </c>
      <c r="F17539">
        <v>199</v>
      </c>
    </row>
    <row r="17540" spans="1:6" x14ac:dyDescent="0.35">
      <c r="A17540" t="s">
        <v>229</v>
      </c>
      <c r="B17540" t="s">
        <v>253</v>
      </c>
      <c r="C17540" s="26">
        <v>0.85619999999999996</v>
      </c>
      <c r="D17540" s="26">
        <v>0.14380000000000001</v>
      </c>
      <c r="F17540">
        <v>145</v>
      </c>
    </row>
    <row r="17541" spans="1:6" x14ac:dyDescent="0.35">
      <c r="A17541" t="s">
        <v>229</v>
      </c>
      <c r="B17541" t="s">
        <v>251</v>
      </c>
      <c r="C17541" s="26">
        <v>0.88480000000000003</v>
      </c>
      <c r="D17541" s="26">
        <v>0.11459999999999999</v>
      </c>
      <c r="E17541" s="26">
        <v>5.9999999999999995E-4</v>
      </c>
      <c r="F17541">
        <v>549</v>
      </c>
    </row>
    <row r="17542" spans="1:6" x14ac:dyDescent="0.35">
      <c r="A17542" t="s">
        <v>230</v>
      </c>
      <c r="B17542" t="s">
        <v>252</v>
      </c>
      <c r="C17542" s="26">
        <v>0.74639999999999995</v>
      </c>
      <c r="D17542" s="26">
        <v>0.2525</v>
      </c>
      <c r="E17542" s="26">
        <v>1.1000000000000001E-3</v>
      </c>
      <c r="F17542">
        <v>159</v>
      </c>
    </row>
    <row r="17543" spans="1:6" x14ac:dyDescent="0.35">
      <c r="A17543" t="s">
        <v>230</v>
      </c>
      <c r="B17543" t="s">
        <v>253</v>
      </c>
      <c r="C17543" s="26">
        <v>0.83940000000000003</v>
      </c>
      <c r="D17543" s="26">
        <v>0.16059999999999999</v>
      </c>
      <c r="F17543">
        <v>110</v>
      </c>
    </row>
    <row r="17544" spans="1:6" x14ac:dyDescent="0.35">
      <c r="A17544" t="s">
        <v>230</v>
      </c>
      <c r="B17544" t="s">
        <v>251</v>
      </c>
      <c r="C17544" s="26">
        <v>0.89880000000000004</v>
      </c>
      <c r="D17544" s="26">
        <v>0.1012</v>
      </c>
      <c r="F17544">
        <v>291</v>
      </c>
    </row>
    <row r="17545" spans="1:6" x14ac:dyDescent="0.35">
      <c r="A17545" t="s">
        <v>231</v>
      </c>
      <c r="B17545" t="s">
        <v>252</v>
      </c>
      <c r="C17545" s="26">
        <v>0.97960000000000003</v>
      </c>
      <c r="D17545" s="26">
        <v>2.0400000000000001E-2</v>
      </c>
      <c r="F17545">
        <v>49</v>
      </c>
    </row>
    <row r="17546" spans="1:6" x14ac:dyDescent="0.35">
      <c r="A17546" t="s">
        <v>231</v>
      </c>
      <c r="B17546" t="s">
        <v>253</v>
      </c>
      <c r="C17546" s="26">
        <v>1</v>
      </c>
      <c r="F17546">
        <v>30</v>
      </c>
    </row>
    <row r="17547" spans="1:6" x14ac:dyDescent="0.35">
      <c r="A17547" t="s">
        <v>231</v>
      </c>
      <c r="B17547" t="s">
        <v>251</v>
      </c>
      <c r="C17547" s="26">
        <v>0.95289999999999997</v>
      </c>
      <c r="D17547" s="26">
        <v>4.7100000000000003E-2</v>
      </c>
      <c r="F17547">
        <v>85</v>
      </c>
    </row>
    <row r="17548" spans="1:6" x14ac:dyDescent="0.35">
      <c r="A17548" t="s">
        <v>232</v>
      </c>
      <c r="B17548" t="s">
        <v>232</v>
      </c>
      <c r="C17548" s="26">
        <v>0.90300000000000002</v>
      </c>
      <c r="D17548" s="26">
        <v>9.6799999999999997E-2</v>
      </c>
      <c r="E17548" s="26">
        <v>2.0000000000000001E-4</v>
      </c>
      <c r="F17548">
        <v>2810</v>
      </c>
    </row>
    <row r="17550" spans="1:6" x14ac:dyDescent="0.35">
      <c r="A17550" s="1" t="s">
        <v>1797</v>
      </c>
    </row>
    <row r="17551" spans="1:6" x14ac:dyDescent="0.35">
      <c r="A17551" t="s">
        <v>219</v>
      </c>
      <c r="B17551" t="s">
        <v>305</v>
      </c>
      <c r="C17551" t="s">
        <v>302</v>
      </c>
      <c r="D17551" t="s">
        <v>303</v>
      </c>
      <c r="E17551" t="s">
        <v>286</v>
      </c>
      <c r="F17551" t="s">
        <v>226</v>
      </c>
    </row>
    <row r="17552" spans="1:6" x14ac:dyDescent="0.35">
      <c r="A17552" t="s">
        <v>227</v>
      </c>
      <c r="B17552" t="s">
        <v>249</v>
      </c>
      <c r="C17552" s="26">
        <v>0.97729999999999995</v>
      </c>
      <c r="D17552" s="26">
        <v>2.2700000000000001E-2</v>
      </c>
      <c r="F17552">
        <v>44</v>
      </c>
    </row>
    <row r="17553" spans="1:6" x14ac:dyDescent="0.35">
      <c r="A17553" t="s">
        <v>227</v>
      </c>
      <c r="B17553" t="s">
        <v>248</v>
      </c>
      <c r="C17553" s="26">
        <v>0.96579999999999999</v>
      </c>
      <c r="D17553" s="26">
        <v>3.4200000000000001E-2</v>
      </c>
      <c r="F17553">
        <v>117</v>
      </c>
    </row>
    <row r="17554" spans="1:6" x14ac:dyDescent="0.35">
      <c r="A17554" t="s">
        <v>228</v>
      </c>
      <c r="B17554" t="s">
        <v>249</v>
      </c>
      <c r="C17554" s="26">
        <v>0.82599999999999996</v>
      </c>
      <c r="D17554" s="26">
        <v>0.17319999999999999</v>
      </c>
      <c r="E17554" s="26">
        <v>8.0000000000000004E-4</v>
      </c>
      <c r="F17554">
        <v>274</v>
      </c>
    </row>
    <row r="17555" spans="1:6" x14ac:dyDescent="0.35">
      <c r="A17555" t="s">
        <v>228</v>
      </c>
      <c r="B17555" t="s">
        <v>248</v>
      </c>
      <c r="C17555" s="26">
        <v>0.80169999999999997</v>
      </c>
      <c r="D17555" s="26">
        <v>0.19800000000000001</v>
      </c>
      <c r="E17555" s="26">
        <v>2.9999999999999997E-4</v>
      </c>
      <c r="F17555">
        <v>758</v>
      </c>
    </row>
    <row r="17556" spans="1:6" x14ac:dyDescent="0.35">
      <c r="A17556" t="s">
        <v>229</v>
      </c>
      <c r="B17556" t="s">
        <v>249</v>
      </c>
      <c r="C17556" s="26">
        <v>0.90210000000000001</v>
      </c>
      <c r="D17556" s="26">
        <v>9.7900000000000001E-2</v>
      </c>
      <c r="F17556">
        <v>259</v>
      </c>
    </row>
    <row r="17557" spans="1:6" x14ac:dyDescent="0.35">
      <c r="A17557" t="s">
        <v>229</v>
      </c>
      <c r="B17557" t="s">
        <v>248</v>
      </c>
      <c r="C17557" s="26">
        <v>0.87839999999999996</v>
      </c>
      <c r="D17557" s="26">
        <v>0.1211</v>
      </c>
      <c r="E17557" s="26">
        <v>5.0000000000000001E-4</v>
      </c>
      <c r="F17557">
        <v>634</v>
      </c>
    </row>
    <row r="17558" spans="1:6" x14ac:dyDescent="0.35">
      <c r="A17558" t="s">
        <v>230</v>
      </c>
      <c r="B17558" t="s">
        <v>249</v>
      </c>
      <c r="C17558" s="26">
        <v>0.89980000000000004</v>
      </c>
      <c r="D17558" s="26">
        <v>0.1002</v>
      </c>
      <c r="F17558">
        <v>171</v>
      </c>
    </row>
    <row r="17559" spans="1:6" x14ac:dyDescent="0.35">
      <c r="A17559" t="s">
        <v>230</v>
      </c>
      <c r="B17559" t="s">
        <v>248</v>
      </c>
      <c r="C17559" s="26">
        <v>0.8226</v>
      </c>
      <c r="D17559" s="26">
        <v>0.17699999999999999</v>
      </c>
      <c r="E17559" s="26">
        <v>4.0000000000000002E-4</v>
      </c>
      <c r="F17559">
        <v>389</v>
      </c>
    </row>
    <row r="17560" spans="1:6" x14ac:dyDescent="0.35">
      <c r="A17560" t="s">
        <v>231</v>
      </c>
      <c r="B17560" t="s">
        <v>249</v>
      </c>
      <c r="C17560" s="26">
        <v>0.94289999999999996</v>
      </c>
      <c r="D17560" s="26">
        <v>5.7099999999999998E-2</v>
      </c>
      <c r="F17560">
        <v>35</v>
      </c>
    </row>
    <row r="17561" spans="1:6" x14ac:dyDescent="0.35">
      <c r="A17561" t="s">
        <v>231</v>
      </c>
      <c r="B17561" t="s">
        <v>248</v>
      </c>
      <c r="C17561" s="26">
        <v>0.97670000000000001</v>
      </c>
      <c r="D17561" s="26">
        <v>2.3300000000000001E-2</v>
      </c>
      <c r="F17561">
        <v>129</v>
      </c>
    </row>
    <row r="17562" spans="1:6" x14ac:dyDescent="0.35">
      <c r="A17562" t="s">
        <v>232</v>
      </c>
      <c r="B17562" t="s">
        <v>232</v>
      </c>
      <c r="C17562" s="26">
        <v>0.90300000000000002</v>
      </c>
      <c r="D17562" s="26">
        <v>9.6799999999999997E-2</v>
      </c>
      <c r="E17562" s="26">
        <v>2.0000000000000001E-4</v>
      </c>
      <c r="F17562">
        <v>2810</v>
      </c>
    </row>
    <row r="17564" spans="1:6" x14ac:dyDescent="0.35">
      <c r="A17564" s="1" t="s">
        <v>1798</v>
      </c>
    </row>
    <row r="17565" spans="1:6" x14ac:dyDescent="0.35">
      <c r="A17565" t="s">
        <v>219</v>
      </c>
      <c r="B17565" t="s">
        <v>305</v>
      </c>
      <c r="C17565" t="s">
        <v>302</v>
      </c>
      <c r="D17565" t="s">
        <v>303</v>
      </c>
      <c r="E17565" t="s">
        <v>286</v>
      </c>
      <c r="F17565" t="s">
        <v>226</v>
      </c>
    </row>
    <row r="17566" spans="1:6" x14ac:dyDescent="0.35">
      <c r="A17566" s="27" t="s">
        <v>227</v>
      </c>
      <c r="B17566" s="27" t="s">
        <v>263</v>
      </c>
      <c r="C17566" s="28">
        <v>1</v>
      </c>
      <c r="D17566" s="29"/>
      <c r="E17566" s="29"/>
      <c r="F17566" s="29" t="s">
        <v>315</v>
      </c>
    </row>
    <row r="17567" spans="1:6" x14ac:dyDescent="0.35">
      <c r="A17567" t="s">
        <v>227</v>
      </c>
      <c r="B17567" t="s">
        <v>261</v>
      </c>
      <c r="C17567" s="26">
        <v>1</v>
      </c>
      <c r="F17567">
        <v>33</v>
      </c>
    </row>
    <row r="17568" spans="1:6" x14ac:dyDescent="0.35">
      <c r="A17568" s="27" t="s">
        <v>227</v>
      </c>
      <c r="B17568" s="27" t="s">
        <v>262</v>
      </c>
      <c r="C17568" s="28">
        <v>1</v>
      </c>
      <c r="D17568" s="29"/>
      <c r="E17568" s="29"/>
      <c r="F17568" s="29" t="s">
        <v>315</v>
      </c>
    </row>
    <row r="17569" spans="1:6" x14ac:dyDescent="0.35">
      <c r="A17569" t="s">
        <v>227</v>
      </c>
      <c r="B17569" t="s">
        <v>260</v>
      </c>
      <c r="C17569" s="26">
        <v>0.95899999999999996</v>
      </c>
      <c r="D17569" s="26">
        <v>4.1000000000000002E-2</v>
      </c>
      <c r="F17569">
        <v>122</v>
      </c>
    </row>
    <row r="17570" spans="1:6" x14ac:dyDescent="0.35">
      <c r="A17570" t="s">
        <v>228</v>
      </c>
      <c r="B17570" t="s">
        <v>261</v>
      </c>
      <c r="C17570" s="26">
        <v>0.8347</v>
      </c>
      <c r="D17570" s="26">
        <v>0.1653</v>
      </c>
      <c r="F17570">
        <v>192</v>
      </c>
    </row>
    <row r="17571" spans="1:6" x14ac:dyDescent="0.35">
      <c r="A17571" s="27" t="s">
        <v>228</v>
      </c>
      <c r="B17571" s="27" t="s">
        <v>263</v>
      </c>
      <c r="C17571" s="28">
        <v>0.57720000000000005</v>
      </c>
      <c r="D17571" s="28">
        <v>0.4098</v>
      </c>
      <c r="E17571" s="28">
        <v>1.2999999999999999E-2</v>
      </c>
      <c r="F17571" s="29" t="s">
        <v>312</v>
      </c>
    </row>
    <row r="17572" spans="1:6" x14ac:dyDescent="0.35">
      <c r="A17572" s="27" t="s">
        <v>228</v>
      </c>
      <c r="B17572" s="27" t="s">
        <v>236</v>
      </c>
      <c r="C17572" s="28">
        <v>0.82730000000000004</v>
      </c>
      <c r="D17572" s="28">
        <v>0.17269999999999999</v>
      </c>
      <c r="E17572" s="29"/>
      <c r="F17572" s="29" t="s">
        <v>335</v>
      </c>
    </row>
    <row r="17573" spans="1:6" x14ac:dyDescent="0.35">
      <c r="A17573" t="s">
        <v>228</v>
      </c>
      <c r="B17573" t="s">
        <v>262</v>
      </c>
      <c r="C17573" s="26">
        <v>0.66239999999999999</v>
      </c>
      <c r="D17573" s="26">
        <v>0.33760000000000001</v>
      </c>
      <c r="F17573">
        <v>200</v>
      </c>
    </row>
    <row r="17574" spans="1:6" x14ac:dyDescent="0.35">
      <c r="A17574" t="s">
        <v>228</v>
      </c>
      <c r="B17574" t="s">
        <v>260</v>
      </c>
      <c r="C17574" s="26">
        <v>0.84719999999999995</v>
      </c>
      <c r="D17574" s="26">
        <v>0.15240000000000001</v>
      </c>
      <c r="E17574" s="26">
        <v>4.0000000000000002E-4</v>
      </c>
      <c r="F17574">
        <v>609</v>
      </c>
    </row>
    <row r="17575" spans="1:6" x14ac:dyDescent="0.35">
      <c r="A17575" s="27" t="s">
        <v>229</v>
      </c>
      <c r="B17575" s="27" t="s">
        <v>263</v>
      </c>
      <c r="C17575" s="28">
        <v>0.84430000000000005</v>
      </c>
      <c r="D17575" s="28">
        <v>0.15570000000000001</v>
      </c>
      <c r="E17575" s="29"/>
      <c r="F17575" s="29" t="s">
        <v>379</v>
      </c>
    </row>
    <row r="17576" spans="1:6" x14ac:dyDescent="0.35">
      <c r="A17576" t="s">
        <v>229</v>
      </c>
      <c r="B17576" t="s">
        <v>262</v>
      </c>
      <c r="C17576" s="26">
        <v>0.81520000000000004</v>
      </c>
      <c r="D17576" s="26">
        <v>0.18479999999999999</v>
      </c>
      <c r="F17576">
        <v>186</v>
      </c>
    </row>
    <row r="17577" spans="1:6" x14ac:dyDescent="0.35">
      <c r="A17577" t="s">
        <v>229</v>
      </c>
      <c r="B17577" t="s">
        <v>261</v>
      </c>
      <c r="C17577" s="26">
        <v>0.89449999999999996</v>
      </c>
      <c r="D17577" s="26">
        <v>0.1055</v>
      </c>
      <c r="F17577">
        <v>96</v>
      </c>
    </row>
    <row r="17578" spans="1:6" x14ac:dyDescent="0.35">
      <c r="A17578" s="27" t="s">
        <v>229</v>
      </c>
      <c r="B17578" s="27" t="s">
        <v>236</v>
      </c>
      <c r="C17578" s="28">
        <v>1</v>
      </c>
      <c r="D17578" s="29"/>
      <c r="E17578" s="29"/>
      <c r="F17578" s="29" t="s">
        <v>331</v>
      </c>
    </row>
    <row r="17579" spans="1:6" x14ac:dyDescent="0.35">
      <c r="A17579" t="s">
        <v>229</v>
      </c>
      <c r="B17579" t="s">
        <v>260</v>
      </c>
      <c r="C17579" s="26">
        <v>0.92090000000000005</v>
      </c>
      <c r="D17579" s="26">
        <v>7.85E-2</v>
      </c>
      <c r="E17579" s="26">
        <v>5.9999999999999995E-4</v>
      </c>
      <c r="F17579">
        <v>596</v>
      </c>
    </row>
    <row r="17580" spans="1:6" x14ac:dyDescent="0.35">
      <c r="A17580" s="27" t="s">
        <v>230</v>
      </c>
      <c r="B17580" s="27" t="s">
        <v>236</v>
      </c>
      <c r="C17580" s="28">
        <v>0.7591</v>
      </c>
      <c r="D17580" s="28">
        <v>0.2409</v>
      </c>
      <c r="E17580" s="29"/>
      <c r="F17580" s="29" t="s">
        <v>337</v>
      </c>
    </row>
    <row r="17581" spans="1:6" x14ac:dyDescent="0.35">
      <c r="A17581" t="s">
        <v>230</v>
      </c>
      <c r="B17581" t="s">
        <v>262</v>
      </c>
      <c r="C17581" s="26">
        <v>0.63870000000000005</v>
      </c>
      <c r="D17581" s="26">
        <v>0.36130000000000001</v>
      </c>
      <c r="F17581">
        <v>122</v>
      </c>
    </row>
    <row r="17582" spans="1:6" x14ac:dyDescent="0.35">
      <c r="A17582" t="s">
        <v>230</v>
      </c>
      <c r="B17582" t="s">
        <v>261</v>
      </c>
      <c r="C17582" s="26">
        <v>0.9133</v>
      </c>
      <c r="D17582" s="26">
        <v>8.6699999999999999E-2</v>
      </c>
      <c r="F17582">
        <v>57</v>
      </c>
    </row>
    <row r="17583" spans="1:6" x14ac:dyDescent="0.35">
      <c r="A17583" s="27" t="s">
        <v>230</v>
      </c>
      <c r="B17583" s="27" t="s">
        <v>263</v>
      </c>
      <c r="C17583" s="28">
        <v>0.69010000000000005</v>
      </c>
      <c r="D17583" s="28">
        <v>0.29310000000000003</v>
      </c>
      <c r="E17583" s="28">
        <v>1.6799999999999999E-2</v>
      </c>
      <c r="F17583" s="29" t="s">
        <v>312</v>
      </c>
    </row>
    <row r="17584" spans="1:6" x14ac:dyDescent="0.35">
      <c r="A17584" t="s">
        <v>230</v>
      </c>
      <c r="B17584" t="s">
        <v>260</v>
      </c>
      <c r="C17584" s="26">
        <v>0.88629999999999998</v>
      </c>
      <c r="D17584" s="26">
        <v>0.1137</v>
      </c>
      <c r="F17584">
        <v>352</v>
      </c>
    </row>
    <row r="17585" spans="1:6" x14ac:dyDescent="0.35">
      <c r="A17585" s="27" t="s">
        <v>231</v>
      </c>
      <c r="B17585" s="27" t="s">
        <v>263</v>
      </c>
      <c r="C17585" s="28">
        <v>1</v>
      </c>
      <c r="D17585" s="29"/>
      <c r="E17585" s="29"/>
      <c r="F17585" s="29" t="s">
        <v>314</v>
      </c>
    </row>
    <row r="17586" spans="1:6" x14ac:dyDescent="0.35">
      <c r="A17586" t="s">
        <v>231</v>
      </c>
      <c r="B17586" t="s">
        <v>260</v>
      </c>
      <c r="C17586" s="26">
        <v>0.9758</v>
      </c>
      <c r="D17586" s="26">
        <v>2.4199999999999999E-2</v>
      </c>
      <c r="F17586">
        <v>124</v>
      </c>
    </row>
    <row r="17587" spans="1:6" x14ac:dyDescent="0.35">
      <c r="A17587" s="27" t="s">
        <v>231</v>
      </c>
      <c r="B17587" s="27" t="s">
        <v>261</v>
      </c>
      <c r="C17587" s="28">
        <v>0.92589999999999995</v>
      </c>
      <c r="D17587" s="28">
        <v>7.4099999999999999E-2</v>
      </c>
      <c r="E17587" s="29"/>
      <c r="F17587" s="29" t="s">
        <v>338</v>
      </c>
    </row>
    <row r="17588" spans="1:6" x14ac:dyDescent="0.35">
      <c r="A17588" s="27" t="s">
        <v>231</v>
      </c>
      <c r="B17588" s="27" t="s">
        <v>262</v>
      </c>
      <c r="C17588" s="28">
        <v>1</v>
      </c>
      <c r="D17588" s="29"/>
      <c r="E17588" s="29"/>
      <c r="F17588" s="29" t="s">
        <v>352</v>
      </c>
    </row>
    <row r="17589" spans="1:6" x14ac:dyDescent="0.35">
      <c r="A17589" t="s">
        <v>232</v>
      </c>
      <c r="B17589" t="s">
        <v>232</v>
      </c>
      <c r="C17589" s="26">
        <v>0.90300000000000002</v>
      </c>
      <c r="D17589" s="26">
        <v>9.6799999999999997E-2</v>
      </c>
      <c r="E17589" s="26">
        <v>2.0000000000000001E-4</v>
      </c>
      <c r="F17589">
        <v>2810</v>
      </c>
    </row>
    <row r="17591" spans="1:6" x14ac:dyDescent="0.35">
      <c r="A17591" s="1" t="s">
        <v>1799</v>
      </c>
    </row>
    <row r="17592" spans="1:6" x14ac:dyDescent="0.35">
      <c r="A17592" t="s">
        <v>219</v>
      </c>
      <c r="B17592" t="s">
        <v>305</v>
      </c>
      <c r="C17592" t="s">
        <v>302</v>
      </c>
      <c r="D17592" t="s">
        <v>303</v>
      </c>
      <c r="E17592" t="s">
        <v>286</v>
      </c>
      <c r="F17592" t="s">
        <v>226</v>
      </c>
    </row>
    <row r="17593" spans="1:6" x14ac:dyDescent="0.35">
      <c r="A17593" t="s">
        <v>227</v>
      </c>
      <c r="B17593" t="s">
        <v>368</v>
      </c>
      <c r="C17593" s="26">
        <v>1</v>
      </c>
      <c r="F17593">
        <v>33</v>
      </c>
    </row>
    <row r="17594" spans="1:6" x14ac:dyDescent="0.35">
      <c r="A17594" t="s">
        <v>227</v>
      </c>
      <c r="B17594" t="s">
        <v>369</v>
      </c>
      <c r="C17594" s="26">
        <v>0.96089999999999998</v>
      </c>
      <c r="D17594" s="26">
        <v>3.9100000000000003E-2</v>
      </c>
      <c r="F17594">
        <v>128</v>
      </c>
    </row>
    <row r="17595" spans="1:6" x14ac:dyDescent="0.35">
      <c r="A17595" t="s">
        <v>228</v>
      </c>
      <c r="B17595" t="s">
        <v>368</v>
      </c>
      <c r="C17595" s="26">
        <v>0.8347</v>
      </c>
      <c r="D17595" s="26">
        <v>0.1653</v>
      </c>
      <c r="F17595">
        <v>192</v>
      </c>
    </row>
    <row r="17596" spans="1:6" x14ac:dyDescent="0.35">
      <c r="A17596" t="s">
        <v>228</v>
      </c>
      <c r="B17596" t="s">
        <v>369</v>
      </c>
      <c r="C17596" s="26">
        <v>0.80269999999999997</v>
      </c>
      <c r="D17596" s="26">
        <v>0.19670000000000001</v>
      </c>
      <c r="E17596" s="26">
        <v>5.9999999999999995E-4</v>
      </c>
      <c r="F17596">
        <v>840</v>
      </c>
    </row>
    <row r="17597" spans="1:6" x14ac:dyDescent="0.35">
      <c r="A17597" t="s">
        <v>229</v>
      </c>
      <c r="B17597" t="s">
        <v>368</v>
      </c>
      <c r="C17597" s="26">
        <v>0.89449999999999996</v>
      </c>
      <c r="D17597" s="26">
        <v>0.1055</v>
      </c>
      <c r="F17597">
        <v>96</v>
      </c>
    </row>
    <row r="17598" spans="1:6" x14ac:dyDescent="0.35">
      <c r="A17598" t="s">
        <v>229</v>
      </c>
      <c r="B17598" t="s">
        <v>369</v>
      </c>
      <c r="C17598" s="26">
        <v>0.88480000000000003</v>
      </c>
      <c r="D17598" s="26">
        <v>0.1149</v>
      </c>
      <c r="E17598" s="26">
        <v>4.0000000000000002E-4</v>
      </c>
      <c r="F17598">
        <v>797</v>
      </c>
    </row>
    <row r="17599" spans="1:6" x14ac:dyDescent="0.35">
      <c r="A17599" t="s">
        <v>230</v>
      </c>
      <c r="B17599" t="s">
        <v>368</v>
      </c>
      <c r="C17599" s="26">
        <v>0.9133</v>
      </c>
      <c r="D17599" s="26">
        <v>8.6699999999999999E-2</v>
      </c>
      <c r="F17599">
        <v>57</v>
      </c>
    </row>
    <row r="17600" spans="1:6" x14ac:dyDescent="0.35">
      <c r="A17600" t="s">
        <v>230</v>
      </c>
      <c r="B17600" t="s">
        <v>369</v>
      </c>
      <c r="C17600" s="26">
        <v>0.8387</v>
      </c>
      <c r="D17600" s="26">
        <v>0.161</v>
      </c>
      <c r="E17600" s="26">
        <v>2.9999999999999997E-4</v>
      </c>
      <c r="F17600">
        <v>503</v>
      </c>
    </row>
    <row r="17601" spans="1:6" x14ac:dyDescent="0.35">
      <c r="A17601" s="27" t="s">
        <v>231</v>
      </c>
      <c r="B17601" s="27" t="s">
        <v>368</v>
      </c>
      <c r="C17601" s="28">
        <v>0.92589999999999995</v>
      </c>
      <c r="D17601" s="28">
        <v>7.4099999999999999E-2</v>
      </c>
      <c r="E17601" s="29"/>
      <c r="F17601" s="29" t="s">
        <v>338</v>
      </c>
    </row>
    <row r="17602" spans="1:6" x14ac:dyDescent="0.35">
      <c r="A17602" t="s">
        <v>231</v>
      </c>
      <c r="B17602" t="s">
        <v>369</v>
      </c>
      <c r="C17602" s="26">
        <v>0.97809999999999997</v>
      </c>
      <c r="D17602" s="26">
        <v>2.1899999999999999E-2</v>
      </c>
      <c r="F17602">
        <v>137</v>
      </c>
    </row>
    <row r="17603" spans="1:6" x14ac:dyDescent="0.35">
      <c r="A17603" t="s">
        <v>232</v>
      </c>
      <c r="B17603" t="s">
        <v>232</v>
      </c>
      <c r="C17603" s="26">
        <v>0.90300000000000002</v>
      </c>
      <c r="D17603" s="26">
        <v>9.6799999999999997E-2</v>
      </c>
      <c r="E17603" s="26">
        <v>2.0000000000000001E-4</v>
      </c>
      <c r="F17603">
        <v>2810</v>
      </c>
    </row>
    <row r="17605" spans="1:6" x14ac:dyDescent="0.35">
      <c r="A17605" s="1" t="s">
        <v>1800</v>
      </c>
    </row>
    <row r="17606" spans="1:6" x14ac:dyDescent="0.35">
      <c r="A17606" t="s">
        <v>219</v>
      </c>
      <c r="B17606" t="s">
        <v>305</v>
      </c>
      <c r="C17606" t="s">
        <v>302</v>
      </c>
      <c r="D17606" t="s">
        <v>303</v>
      </c>
      <c r="E17606" t="s">
        <v>286</v>
      </c>
      <c r="F17606" t="s">
        <v>226</v>
      </c>
    </row>
    <row r="17607" spans="1:6" x14ac:dyDescent="0.35">
      <c r="A17607" t="s">
        <v>227</v>
      </c>
      <c r="B17607" t="s">
        <v>371</v>
      </c>
      <c r="C17607" s="26">
        <v>0.96889999999999998</v>
      </c>
      <c r="D17607" s="26">
        <v>3.1099999999999999E-2</v>
      </c>
      <c r="F17607">
        <v>161</v>
      </c>
    </row>
    <row r="17608" spans="1:6" x14ac:dyDescent="0.35">
      <c r="A17608" t="s">
        <v>228</v>
      </c>
      <c r="B17608" t="s">
        <v>371</v>
      </c>
      <c r="C17608" s="26">
        <v>0.91449999999999998</v>
      </c>
      <c r="D17608" s="26">
        <v>8.5500000000000007E-2</v>
      </c>
      <c r="F17608">
        <v>291</v>
      </c>
    </row>
    <row r="17609" spans="1:6" x14ac:dyDescent="0.35">
      <c r="A17609" t="s">
        <v>228</v>
      </c>
      <c r="B17609" t="s">
        <v>372</v>
      </c>
      <c r="C17609" s="26">
        <v>0.54190000000000005</v>
      </c>
      <c r="D17609" s="26">
        <v>0.45810000000000001</v>
      </c>
      <c r="F17609">
        <v>218</v>
      </c>
    </row>
    <row r="17610" spans="1:6" x14ac:dyDescent="0.35">
      <c r="A17610" t="s">
        <v>228</v>
      </c>
      <c r="B17610" t="s">
        <v>373</v>
      </c>
      <c r="C17610" s="26">
        <v>0.72650000000000003</v>
      </c>
      <c r="D17610" s="26">
        <v>0.2722</v>
      </c>
      <c r="E17610" s="26">
        <v>1.1999999999999999E-3</v>
      </c>
      <c r="F17610">
        <v>523</v>
      </c>
    </row>
    <row r="17611" spans="1:6" x14ac:dyDescent="0.35">
      <c r="A17611" t="s">
        <v>229</v>
      </c>
      <c r="B17611" t="s">
        <v>371</v>
      </c>
      <c r="C17611" s="26">
        <v>0.89670000000000005</v>
      </c>
      <c r="D17611" s="26">
        <v>0.1033</v>
      </c>
      <c r="F17611">
        <v>583</v>
      </c>
    </row>
    <row r="17612" spans="1:6" x14ac:dyDescent="0.35">
      <c r="A17612" t="s">
        <v>229</v>
      </c>
      <c r="B17612" t="s">
        <v>372</v>
      </c>
      <c r="C17612" s="26">
        <v>0.75649999999999995</v>
      </c>
      <c r="D17612" s="26">
        <v>0.2369</v>
      </c>
      <c r="E17612" s="26">
        <v>6.6E-3</v>
      </c>
      <c r="F17612">
        <v>220</v>
      </c>
    </row>
    <row r="17613" spans="1:6" x14ac:dyDescent="0.35">
      <c r="A17613" t="s">
        <v>229</v>
      </c>
      <c r="B17613" t="s">
        <v>373</v>
      </c>
      <c r="C17613" s="26">
        <v>0.76549999999999996</v>
      </c>
      <c r="D17613" s="26">
        <v>0.23449999999999999</v>
      </c>
      <c r="F17613">
        <v>90</v>
      </c>
    </row>
    <row r="17614" spans="1:6" x14ac:dyDescent="0.35">
      <c r="A17614" t="s">
        <v>230</v>
      </c>
      <c r="B17614" t="s">
        <v>371</v>
      </c>
      <c r="C17614" s="26">
        <v>0.91059999999999997</v>
      </c>
      <c r="D17614" s="26">
        <v>8.9399999999999993E-2</v>
      </c>
      <c r="F17614">
        <v>262</v>
      </c>
    </row>
    <row r="17615" spans="1:6" x14ac:dyDescent="0.35">
      <c r="A17615" t="s">
        <v>230</v>
      </c>
      <c r="B17615" t="s">
        <v>372</v>
      </c>
      <c r="C17615" s="26">
        <v>0.45800000000000002</v>
      </c>
      <c r="D17615" s="26">
        <v>0.5373</v>
      </c>
      <c r="E17615" s="26">
        <v>4.7000000000000002E-3</v>
      </c>
      <c r="F17615">
        <v>146</v>
      </c>
    </row>
    <row r="17616" spans="1:6" x14ac:dyDescent="0.35">
      <c r="A17616" t="s">
        <v>230</v>
      </c>
      <c r="B17616" t="s">
        <v>373</v>
      </c>
      <c r="C17616" s="26">
        <v>0.62860000000000005</v>
      </c>
      <c r="D17616" s="26">
        <v>0.37140000000000001</v>
      </c>
      <c r="F17616">
        <v>152</v>
      </c>
    </row>
    <row r="17617" spans="1:6" x14ac:dyDescent="0.35">
      <c r="A17617" t="s">
        <v>231</v>
      </c>
      <c r="B17617" t="s">
        <v>371</v>
      </c>
      <c r="C17617" s="26">
        <v>0.96950000000000003</v>
      </c>
      <c r="D17617" s="26">
        <v>3.0499999999999999E-2</v>
      </c>
      <c r="F17617">
        <v>164</v>
      </c>
    </row>
    <row r="17618" spans="1:6" x14ac:dyDescent="0.35">
      <c r="A17618" t="s">
        <v>232</v>
      </c>
      <c r="B17618" t="s">
        <v>232</v>
      </c>
      <c r="C17618" s="26">
        <v>0.90300000000000002</v>
      </c>
      <c r="D17618" s="26">
        <v>9.6799999999999997E-2</v>
      </c>
      <c r="E17618" s="26">
        <v>2.0000000000000001E-4</v>
      </c>
      <c r="F17618">
        <v>2810</v>
      </c>
    </row>
    <row r="17620" spans="1:6" x14ac:dyDescent="0.35">
      <c r="A17620" s="1" t="s">
        <v>1801</v>
      </c>
    </row>
    <row r="17621" spans="1:6" x14ac:dyDescent="0.35">
      <c r="A17621" t="s">
        <v>219</v>
      </c>
      <c r="B17621" t="s">
        <v>305</v>
      </c>
      <c r="C17621" t="s">
        <v>302</v>
      </c>
      <c r="D17621" t="s">
        <v>303</v>
      </c>
      <c r="E17621" t="s">
        <v>286</v>
      </c>
      <c r="F17621" t="s">
        <v>226</v>
      </c>
    </row>
    <row r="17622" spans="1:6" x14ac:dyDescent="0.35">
      <c r="A17622" t="s">
        <v>227</v>
      </c>
      <c r="B17622" t="s">
        <v>255</v>
      </c>
      <c r="C17622" s="26">
        <v>0.96579999999999999</v>
      </c>
      <c r="D17622" s="26">
        <v>3.4200000000000001E-2</v>
      </c>
      <c r="F17622">
        <v>117</v>
      </c>
    </row>
    <row r="17623" spans="1:6" x14ac:dyDescent="0.35">
      <c r="A17623" s="27" t="s">
        <v>227</v>
      </c>
      <c r="B17623" s="27" t="s">
        <v>257</v>
      </c>
      <c r="C17623" s="28">
        <v>1</v>
      </c>
      <c r="D17623" s="29"/>
      <c r="E17623" s="29"/>
      <c r="F17623" s="29" t="s">
        <v>334</v>
      </c>
    </row>
    <row r="17624" spans="1:6" x14ac:dyDescent="0.35">
      <c r="A17624" t="s">
        <v>227</v>
      </c>
      <c r="B17624" t="s">
        <v>256</v>
      </c>
      <c r="C17624" s="26">
        <v>0.97140000000000004</v>
      </c>
      <c r="D17624" s="26">
        <v>2.86E-2</v>
      </c>
      <c r="F17624">
        <v>35</v>
      </c>
    </row>
    <row r="17625" spans="1:6" x14ac:dyDescent="0.35">
      <c r="A17625" t="s">
        <v>228</v>
      </c>
      <c r="B17625" t="s">
        <v>257</v>
      </c>
      <c r="C17625" s="26">
        <v>0.9194</v>
      </c>
      <c r="D17625" s="26">
        <v>7.5999999999999998E-2</v>
      </c>
      <c r="E17625" s="26">
        <v>4.7000000000000002E-3</v>
      </c>
      <c r="F17625">
        <v>49</v>
      </c>
    </row>
    <row r="17626" spans="1:6" x14ac:dyDescent="0.35">
      <c r="A17626" s="27" t="s">
        <v>228</v>
      </c>
      <c r="B17626" s="27" t="s">
        <v>258</v>
      </c>
      <c r="C17626" s="28">
        <v>0.80389999999999995</v>
      </c>
      <c r="D17626" s="28">
        <v>0.1961</v>
      </c>
      <c r="E17626" s="29"/>
      <c r="F17626" s="29" t="s">
        <v>337</v>
      </c>
    </row>
    <row r="17627" spans="1:6" x14ac:dyDescent="0.35">
      <c r="A17627" t="s">
        <v>228</v>
      </c>
      <c r="B17627" t="s">
        <v>256</v>
      </c>
      <c r="C17627" s="26">
        <v>0.80630000000000002</v>
      </c>
      <c r="D17627" s="26">
        <v>0.19370000000000001</v>
      </c>
      <c r="F17627">
        <v>221</v>
      </c>
    </row>
    <row r="17628" spans="1:6" x14ac:dyDescent="0.35">
      <c r="A17628" t="s">
        <v>228</v>
      </c>
      <c r="B17628" t="s">
        <v>255</v>
      </c>
      <c r="C17628" s="26">
        <v>0.80169999999999997</v>
      </c>
      <c r="D17628" s="26">
        <v>0.19800000000000001</v>
      </c>
      <c r="E17628" s="26">
        <v>2.9999999999999997E-4</v>
      </c>
      <c r="F17628">
        <v>758</v>
      </c>
    </row>
    <row r="17629" spans="1:6" x14ac:dyDescent="0.35">
      <c r="A17629" t="s">
        <v>229</v>
      </c>
      <c r="B17629" t="s">
        <v>256</v>
      </c>
      <c r="C17629" s="26">
        <v>0.89770000000000005</v>
      </c>
      <c r="D17629" s="26">
        <v>0.1023</v>
      </c>
      <c r="F17629">
        <v>207</v>
      </c>
    </row>
    <row r="17630" spans="1:6" x14ac:dyDescent="0.35">
      <c r="A17630" t="s">
        <v>229</v>
      </c>
      <c r="B17630" t="s">
        <v>255</v>
      </c>
      <c r="C17630" s="26">
        <v>0.87839999999999996</v>
      </c>
      <c r="D17630" s="26">
        <v>0.1211</v>
      </c>
      <c r="E17630" s="26">
        <v>5.0000000000000001E-4</v>
      </c>
      <c r="F17630">
        <v>634</v>
      </c>
    </row>
    <row r="17631" spans="1:6" x14ac:dyDescent="0.35">
      <c r="A17631" t="s">
        <v>229</v>
      </c>
      <c r="B17631" t="s">
        <v>257</v>
      </c>
      <c r="C17631" s="26">
        <v>0.92920000000000003</v>
      </c>
      <c r="D17631" s="26">
        <v>7.0800000000000002E-2</v>
      </c>
      <c r="F17631">
        <v>50</v>
      </c>
    </row>
    <row r="17632" spans="1:6" x14ac:dyDescent="0.35">
      <c r="A17632" s="27" t="s">
        <v>229</v>
      </c>
      <c r="B17632" s="27" t="s">
        <v>258</v>
      </c>
      <c r="C17632" s="28">
        <v>0.22409999999999999</v>
      </c>
      <c r="D17632" s="28">
        <v>0.77590000000000003</v>
      </c>
      <c r="E17632" s="29"/>
      <c r="F17632" s="29" t="s">
        <v>314</v>
      </c>
    </row>
    <row r="17633" spans="1:6" x14ac:dyDescent="0.35">
      <c r="A17633" t="s">
        <v>230</v>
      </c>
      <c r="B17633" t="s">
        <v>256</v>
      </c>
      <c r="C17633" s="26">
        <v>0.88900000000000001</v>
      </c>
      <c r="D17633" s="26">
        <v>0.111</v>
      </c>
      <c r="F17633">
        <v>130</v>
      </c>
    </row>
    <row r="17634" spans="1:6" x14ac:dyDescent="0.35">
      <c r="A17634" t="s">
        <v>230</v>
      </c>
      <c r="B17634" t="s">
        <v>255</v>
      </c>
      <c r="C17634" s="26">
        <v>0.8226</v>
      </c>
      <c r="D17634" s="26">
        <v>0.17699999999999999</v>
      </c>
      <c r="E17634" s="26">
        <v>4.0000000000000002E-4</v>
      </c>
      <c r="F17634">
        <v>389</v>
      </c>
    </row>
    <row r="17635" spans="1:6" x14ac:dyDescent="0.35">
      <c r="A17635" t="s">
        <v>230</v>
      </c>
      <c r="B17635" t="s">
        <v>257</v>
      </c>
      <c r="C17635" s="26">
        <v>0.94630000000000003</v>
      </c>
      <c r="D17635" s="26">
        <v>5.3699999999999998E-2</v>
      </c>
      <c r="F17635">
        <v>38</v>
      </c>
    </row>
    <row r="17636" spans="1:6" x14ac:dyDescent="0.35">
      <c r="A17636" s="27" t="s">
        <v>230</v>
      </c>
      <c r="B17636" s="27" t="s">
        <v>258</v>
      </c>
      <c r="C17636" s="28">
        <v>0.82269999999999999</v>
      </c>
      <c r="D17636" s="28">
        <v>0.17730000000000001</v>
      </c>
      <c r="E17636" s="29"/>
      <c r="F17636" s="29" t="s">
        <v>315</v>
      </c>
    </row>
    <row r="17637" spans="1:6" x14ac:dyDescent="0.35">
      <c r="A17637" s="27" t="s">
        <v>231</v>
      </c>
      <c r="B17637" s="27" t="s">
        <v>257</v>
      </c>
      <c r="C17637" s="28">
        <v>1</v>
      </c>
      <c r="D17637" s="29"/>
      <c r="E17637" s="29"/>
      <c r="F17637" s="29" t="s">
        <v>339</v>
      </c>
    </row>
    <row r="17638" spans="1:6" x14ac:dyDescent="0.35">
      <c r="A17638" t="s">
        <v>231</v>
      </c>
      <c r="B17638" t="s">
        <v>255</v>
      </c>
      <c r="C17638" s="26">
        <v>0.97670000000000001</v>
      </c>
      <c r="D17638" s="26">
        <v>2.3300000000000001E-2</v>
      </c>
      <c r="F17638">
        <v>129</v>
      </c>
    </row>
    <row r="17639" spans="1:6" x14ac:dyDescent="0.35">
      <c r="A17639" s="27" t="s">
        <v>231</v>
      </c>
      <c r="B17639" s="27" t="s">
        <v>256</v>
      </c>
      <c r="C17639" s="28">
        <v>0.92859999999999998</v>
      </c>
      <c r="D17639" s="28">
        <v>7.1400000000000005E-2</v>
      </c>
      <c r="E17639" s="29"/>
      <c r="F17639" s="29" t="s">
        <v>336</v>
      </c>
    </row>
    <row r="17640" spans="1:6" x14ac:dyDescent="0.35">
      <c r="A17640" t="s">
        <v>232</v>
      </c>
      <c r="B17640" t="s">
        <v>232</v>
      </c>
      <c r="C17640" s="26">
        <v>0.90300000000000002</v>
      </c>
      <c r="D17640" s="26">
        <v>9.6799999999999997E-2</v>
      </c>
      <c r="E17640" s="26">
        <v>2.0000000000000001E-4</v>
      </c>
      <c r="F17640">
        <v>2810</v>
      </c>
    </row>
    <row r="17642" spans="1:6" x14ac:dyDescent="0.35">
      <c r="A17642" s="1" t="s">
        <v>1802</v>
      </c>
    </row>
    <row r="17643" spans="1:6" x14ac:dyDescent="0.35">
      <c r="A17643" t="s">
        <v>219</v>
      </c>
      <c r="B17643" t="s">
        <v>303</v>
      </c>
      <c r="C17643" t="s">
        <v>302</v>
      </c>
      <c r="D17643" t="s">
        <v>286</v>
      </c>
      <c r="E17643" t="s">
        <v>226</v>
      </c>
    </row>
    <row r="17644" spans="1:6" x14ac:dyDescent="0.35">
      <c r="A17644" s="27" t="s">
        <v>227</v>
      </c>
      <c r="B17644" s="28">
        <v>1</v>
      </c>
      <c r="C17644" s="29"/>
      <c r="D17644" s="29"/>
      <c r="E17644" s="29" t="s">
        <v>332</v>
      </c>
    </row>
    <row r="17645" spans="1:6" x14ac:dyDescent="0.35">
      <c r="A17645" t="s">
        <v>228</v>
      </c>
      <c r="B17645" s="26">
        <v>0.66769999999999996</v>
      </c>
      <c r="C17645" s="26">
        <v>0.32950000000000002</v>
      </c>
      <c r="D17645" s="26">
        <v>2.8999999999999998E-3</v>
      </c>
      <c r="E17645">
        <v>292</v>
      </c>
    </row>
    <row r="17646" spans="1:6" x14ac:dyDescent="0.35">
      <c r="A17646" t="s">
        <v>229</v>
      </c>
      <c r="B17646" s="26">
        <v>0.74490000000000001</v>
      </c>
      <c r="C17646" s="26">
        <v>0.25509999999999999</v>
      </c>
      <c r="E17646">
        <v>133</v>
      </c>
    </row>
    <row r="17647" spans="1:6" x14ac:dyDescent="0.35">
      <c r="A17647" t="s">
        <v>230</v>
      </c>
      <c r="B17647" s="26">
        <v>0.62319999999999998</v>
      </c>
      <c r="C17647" s="26">
        <v>0.375</v>
      </c>
      <c r="D17647" s="26">
        <v>1.8E-3</v>
      </c>
      <c r="E17647">
        <v>174</v>
      </c>
    </row>
    <row r="17648" spans="1:6" x14ac:dyDescent="0.35">
      <c r="A17648" s="27" t="s">
        <v>231</v>
      </c>
      <c r="B17648" s="28">
        <v>0.6</v>
      </c>
      <c r="C17648" s="28">
        <v>0.4</v>
      </c>
      <c r="D17648" s="29"/>
      <c r="E17648" s="29" t="s">
        <v>332</v>
      </c>
    </row>
    <row r="17649" spans="1:6" x14ac:dyDescent="0.35">
      <c r="A17649" t="s">
        <v>232</v>
      </c>
      <c r="B17649" s="26">
        <v>0.69699999999999995</v>
      </c>
      <c r="C17649" s="26">
        <v>0.30159999999999998</v>
      </c>
      <c r="D17649" s="26">
        <v>1.4E-3</v>
      </c>
      <c r="E17649">
        <v>609</v>
      </c>
    </row>
    <row r="17651" spans="1:6" x14ac:dyDescent="0.35">
      <c r="A17651" s="1" t="s">
        <v>1803</v>
      </c>
    </row>
    <row r="17652" spans="1:6" x14ac:dyDescent="0.35">
      <c r="A17652" t="s">
        <v>219</v>
      </c>
      <c r="B17652" t="s">
        <v>305</v>
      </c>
      <c r="C17652" t="s">
        <v>303</v>
      </c>
      <c r="D17652" t="s">
        <v>302</v>
      </c>
      <c r="E17652" t="s">
        <v>286</v>
      </c>
      <c r="F17652" t="s">
        <v>226</v>
      </c>
    </row>
    <row r="17653" spans="1:6" x14ac:dyDescent="0.35">
      <c r="A17653" s="27" t="s">
        <v>227</v>
      </c>
      <c r="B17653" s="27" t="s">
        <v>242</v>
      </c>
      <c r="C17653" s="28">
        <v>1</v>
      </c>
      <c r="D17653" s="29"/>
      <c r="E17653" s="29"/>
      <c r="F17653" s="29" t="s">
        <v>315</v>
      </c>
    </row>
    <row r="17654" spans="1:6" x14ac:dyDescent="0.35">
      <c r="A17654" s="27" t="s">
        <v>227</v>
      </c>
      <c r="B17654" s="27" t="s">
        <v>241</v>
      </c>
      <c r="C17654" s="28">
        <v>1</v>
      </c>
      <c r="D17654" s="29"/>
      <c r="E17654" s="29"/>
      <c r="F17654" s="29" t="s">
        <v>314</v>
      </c>
    </row>
    <row r="17655" spans="1:6" x14ac:dyDescent="0.35">
      <c r="A17655" t="s">
        <v>228</v>
      </c>
      <c r="B17655" t="s">
        <v>242</v>
      </c>
      <c r="C17655" s="26">
        <v>0.58899999999999997</v>
      </c>
      <c r="D17655" s="26">
        <v>0.41099999999999998</v>
      </c>
      <c r="F17655">
        <v>129</v>
      </c>
    </row>
    <row r="17656" spans="1:6" x14ac:dyDescent="0.35">
      <c r="A17656" t="s">
        <v>228</v>
      </c>
      <c r="B17656" t="s">
        <v>241</v>
      </c>
      <c r="C17656" s="26">
        <v>0.72809999999999997</v>
      </c>
      <c r="D17656" s="26">
        <v>0.26679999999999998</v>
      </c>
      <c r="E17656" s="26">
        <v>5.1000000000000004E-3</v>
      </c>
      <c r="F17656">
        <v>163</v>
      </c>
    </row>
    <row r="17657" spans="1:6" x14ac:dyDescent="0.35">
      <c r="A17657" t="s">
        <v>229</v>
      </c>
      <c r="B17657" t="s">
        <v>242</v>
      </c>
      <c r="C17657" s="26">
        <v>0.73099999999999998</v>
      </c>
      <c r="D17657" s="26">
        <v>0.26900000000000002</v>
      </c>
      <c r="F17657">
        <v>45</v>
      </c>
    </row>
    <row r="17658" spans="1:6" x14ac:dyDescent="0.35">
      <c r="A17658" t="s">
        <v>229</v>
      </c>
      <c r="B17658" t="s">
        <v>241</v>
      </c>
      <c r="C17658" s="26">
        <v>0.75119999999999998</v>
      </c>
      <c r="D17658" s="26">
        <v>0.24879999999999999</v>
      </c>
      <c r="F17658">
        <v>88</v>
      </c>
    </row>
    <row r="17659" spans="1:6" x14ac:dyDescent="0.35">
      <c r="A17659" t="s">
        <v>230</v>
      </c>
      <c r="B17659" t="s">
        <v>242</v>
      </c>
      <c r="C17659" s="26">
        <v>0.67100000000000004</v>
      </c>
      <c r="D17659" s="26">
        <v>0.32900000000000001</v>
      </c>
      <c r="F17659">
        <v>73</v>
      </c>
    </row>
    <row r="17660" spans="1:6" x14ac:dyDescent="0.35">
      <c r="A17660" t="s">
        <v>230</v>
      </c>
      <c r="B17660" t="s">
        <v>241</v>
      </c>
      <c r="C17660" s="26">
        <v>0.58930000000000005</v>
      </c>
      <c r="D17660" s="26">
        <v>0.40760000000000002</v>
      </c>
      <c r="E17660" s="26">
        <v>3.0999999999999999E-3</v>
      </c>
      <c r="F17660">
        <v>101</v>
      </c>
    </row>
    <row r="17661" spans="1:6" x14ac:dyDescent="0.35">
      <c r="A17661" s="27" t="s">
        <v>231</v>
      </c>
      <c r="B17661" s="27" t="s">
        <v>241</v>
      </c>
      <c r="C17661" s="28">
        <v>0.6</v>
      </c>
      <c r="D17661" s="28">
        <v>0.4</v>
      </c>
      <c r="E17661" s="29"/>
      <c r="F17661" s="29" t="s">
        <v>332</v>
      </c>
    </row>
    <row r="17662" spans="1:6" x14ac:dyDescent="0.35">
      <c r="A17662" t="s">
        <v>232</v>
      </c>
      <c r="B17662" t="s">
        <v>232</v>
      </c>
      <c r="C17662" s="26">
        <v>0.69699999999999995</v>
      </c>
      <c r="D17662" s="26">
        <v>0.30159999999999998</v>
      </c>
      <c r="E17662" s="26">
        <v>1.4E-3</v>
      </c>
      <c r="F17662">
        <v>609</v>
      </c>
    </row>
    <row r="17664" spans="1:6" x14ac:dyDescent="0.35">
      <c r="A17664" s="1" t="s">
        <v>1804</v>
      </c>
    </row>
    <row r="17665" spans="1:6" x14ac:dyDescent="0.35">
      <c r="A17665" t="s">
        <v>219</v>
      </c>
      <c r="B17665" t="s">
        <v>305</v>
      </c>
      <c r="C17665" t="s">
        <v>303</v>
      </c>
      <c r="D17665" t="s">
        <v>302</v>
      </c>
      <c r="E17665" t="s">
        <v>286</v>
      </c>
      <c r="F17665" t="s">
        <v>226</v>
      </c>
    </row>
    <row r="17666" spans="1:6" x14ac:dyDescent="0.35">
      <c r="A17666" s="27" t="s">
        <v>227</v>
      </c>
      <c r="B17666" s="27" t="s">
        <v>239</v>
      </c>
      <c r="C17666" s="28">
        <v>1</v>
      </c>
      <c r="D17666" s="29"/>
      <c r="E17666" s="29"/>
      <c r="F17666" s="29" t="s">
        <v>331</v>
      </c>
    </row>
    <row r="17667" spans="1:6" x14ac:dyDescent="0.35">
      <c r="A17667" s="27" t="s">
        <v>227</v>
      </c>
      <c r="B17667" s="27" t="s">
        <v>238</v>
      </c>
      <c r="C17667" s="28">
        <v>1</v>
      </c>
      <c r="D17667" s="29"/>
      <c r="E17667" s="29"/>
      <c r="F17667" s="29" t="s">
        <v>337</v>
      </c>
    </row>
    <row r="17668" spans="1:6" x14ac:dyDescent="0.35">
      <c r="A17668" t="s">
        <v>228</v>
      </c>
      <c r="B17668" t="s">
        <v>239</v>
      </c>
      <c r="C17668" s="26">
        <v>0.63219999999999998</v>
      </c>
      <c r="D17668" s="26">
        <v>0.36780000000000002</v>
      </c>
      <c r="F17668">
        <v>91</v>
      </c>
    </row>
    <row r="17669" spans="1:6" x14ac:dyDescent="0.35">
      <c r="A17669" t="s">
        <v>228</v>
      </c>
      <c r="B17669" t="s">
        <v>238</v>
      </c>
      <c r="C17669" s="26">
        <v>0.67730000000000001</v>
      </c>
      <c r="D17669" s="26">
        <v>0.31900000000000001</v>
      </c>
      <c r="E17669" s="26">
        <v>3.7000000000000002E-3</v>
      </c>
      <c r="F17669">
        <v>201</v>
      </c>
    </row>
    <row r="17670" spans="1:6" x14ac:dyDescent="0.35">
      <c r="A17670" t="s">
        <v>229</v>
      </c>
      <c r="B17670" t="s">
        <v>239</v>
      </c>
      <c r="C17670" s="26">
        <v>0.75639999999999996</v>
      </c>
      <c r="D17670" s="26">
        <v>0.24360000000000001</v>
      </c>
      <c r="F17670">
        <v>42</v>
      </c>
    </row>
    <row r="17671" spans="1:6" x14ac:dyDescent="0.35">
      <c r="A17671" t="s">
        <v>229</v>
      </c>
      <c r="B17671" t="s">
        <v>238</v>
      </c>
      <c r="C17671" s="26">
        <v>0.73939999999999995</v>
      </c>
      <c r="D17671" s="26">
        <v>0.2606</v>
      </c>
      <c r="F17671">
        <v>91</v>
      </c>
    </row>
    <row r="17672" spans="1:6" x14ac:dyDescent="0.35">
      <c r="A17672" t="s">
        <v>230</v>
      </c>
      <c r="B17672" t="s">
        <v>239</v>
      </c>
      <c r="C17672" s="26">
        <v>0.65980000000000005</v>
      </c>
      <c r="D17672" s="26">
        <v>0.3402</v>
      </c>
      <c r="F17672">
        <v>70</v>
      </c>
    </row>
    <row r="17673" spans="1:6" x14ac:dyDescent="0.35">
      <c r="A17673" t="s">
        <v>230</v>
      </c>
      <c r="B17673" t="s">
        <v>238</v>
      </c>
      <c r="C17673" s="26">
        <v>0.60929999999999995</v>
      </c>
      <c r="D17673" s="26">
        <v>0.38819999999999999</v>
      </c>
      <c r="E17673" s="26">
        <v>2.5000000000000001E-3</v>
      </c>
      <c r="F17673">
        <v>104</v>
      </c>
    </row>
    <row r="17674" spans="1:6" x14ac:dyDescent="0.35">
      <c r="A17674" s="27" t="s">
        <v>231</v>
      </c>
      <c r="B17674" s="27" t="s">
        <v>239</v>
      </c>
      <c r="C17674" s="29"/>
      <c r="D17674" s="28">
        <v>1</v>
      </c>
      <c r="E17674" s="29"/>
      <c r="F17674" s="29" t="s">
        <v>331</v>
      </c>
    </row>
    <row r="17675" spans="1:6" x14ac:dyDescent="0.35">
      <c r="A17675" s="27" t="s">
        <v>231</v>
      </c>
      <c r="B17675" s="27" t="s">
        <v>238</v>
      </c>
      <c r="C17675" s="28">
        <v>0.75</v>
      </c>
      <c r="D17675" s="28">
        <v>0.25</v>
      </c>
      <c r="E17675" s="29"/>
      <c r="F17675" s="29" t="s">
        <v>337</v>
      </c>
    </row>
    <row r="17676" spans="1:6" x14ac:dyDescent="0.35">
      <c r="A17676" t="s">
        <v>232</v>
      </c>
      <c r="B17676" t="s">
        <v>232</v>
      </c>
      <c r="C17676" s="26">
        <v>0.69699999999999995</v>
      </c>
      <c r="D17676" s="26">
        <v>0.30159999999999998</v>
      </c>
      <c r="E17676" s="26">
        <v>1.4E-3</v>
      </c>
      <c r="F17676">
        <v>609</v>
      </c>
    </row>
    <row r="17678" spans="1:6" x14ac:dyDescent="0.35">
      <c r="A17678" s="1" t="s">
        <v>1805</v>
      </c>
    </row>
    <row r="17679" spans="1:6" x14ac:dyDescent="0.35">
      <c r="A17679" t="s">
        <v>219</v>
      </c>
      <c r="B17679" t="s">
        <v>305</v>
      </c>
      <c r="C17679" t="s">
        <v>303</v>
      </c>
      <c r="D17679" t="s">
        <v>302</v>
      </c>
      <c r="E17679" t="s">
        <v>286</v>
      </c>
      <c r="F17679" t="s">
        <v>226</v>
      </c>
    </row>
    <row r="17680" spans="1:6" x14ac:dyDescent="0.35">
      <c r="A17680" s="27" t="s">
        <v>227</v>
      </c>
      <c r="B17680" s="27" t="s">
        <v>244</v>
      </c>
      <c r="C17680" s="28">
        <v>1</v>
      </c>
      <c r="D17680" s="29"/>
      <c r="E17680" s="29"/>
      <c r="F17680" s="29" t="s">
        <v>315</v>
      </c>
    </row>
    <row r="17681" spans="1:6" x14ac:dyDescent="0.35">
      <c r="A17681" s="27" t="s">
        <v>227</v>
      </c>
      <c r="B17681" s="27" t="s">
        <v>245</v>
      </c>
      <c r="C17681" s="28">
        <v>1</v>
      </c>
      <c r="D17681" s="29"/>
      <c r="E17681" s="29"/>
      <c r="F17681" s="29" t="s">
        <v>314</v>
      </c>
    </row>
    <row r="17682" spans="1:6" x14ac:dyDescent="0.35">
      <c r="A17682" t="s">
        <v>228</v>
      </c>
      <c r="B17682" t="s">
        <v>244</v>
      </c>
      <c r="C17682" s="26">
        <v>0.62260000000000004</v>
      </c>
      <c r="D17682" s="26">
        <v>0.37290000000000001</v>
      </c>
      <c r="E17682" s="26">
        <v>4.4999999999999997E-3</v>
      </c>
      <c r="F17682">
        <v>182</v>
      </c>
    </row>
    <row r="17683" spans="1:6" x14ac:dyDescent="0.35">
      <c r="A17683" t="s">
        <v>228</v>
      </c>
      <c r="B17683" t="s">
        <v>245</v>
      </c>
      <c r="C17683" s="26">
        <v>0.75829999999999997</v>
      </c>
      <c r="D17683" s="26">
        <v>0.2417</v>
      </c>
      <c r="F17683">
        <v>92</v>
      </c>
    </row>
    <row r="17684" spans="1:6" x14ac:dyDescent="0.35">
      <c r="A17684" s="27" t="s">
        <v>228</v>
      </c>
      <c r="B17684" s="27" t="s">
        <v>246</v>
      </c>
      <c r="C17684" s="28">
        <v>0.71850000000000003</v>
      </c>
      <c r="D17684" s="28">
        <v>0.28149999999999997</v>
      </c>
      <c r="E17684" s="29"/>
      <c r="F17684" s="29" t="s">
        <v>353</v>
      </c>
    </row>
    <row r="17685" spans="1:6" x14ac:dyDescent="0.35">
      <c r="A17685" t="s">
        <v>229</v>
      </c>
      <c r="B17685" t="s">
        <v>244</v>
      </c>
      <c r="C17685" s="26">
        <v>0.74060000000000004</v>
      </c>
      <c r="D17685" s="26">
        <v>0.25940000000000002</v>
      </c>
      <c r="F17685">
        <v>85</v>
      </c>
    </row>
    <row r="17686" spans="1:6" x14ac:dyDescent="0.35">
      <c r="A17686" t="s">
        <v>229</v>
      </c>
      <c r="B17686" t="s">
        <v>245</v>
      </c>
      <c r="C17686" s="26">
        <v>0.77900000000000003</v>
      </c>
      <c r="D17686" s="26">
        <v>0.221</v>
      </c>
      <c r="F17686">
        <v>46</v>
      </c>
    </row>
    <row r="17687" spans="1:6" x14ac:dyDescent="0.35">
      <c r="A17687" s="27" t="s">
        <v>229</v>
      </c>
      <c r="B17687" s="27" t="s">
        <v>246</v>
      </c>
      <c r="C17687" s="28">
        <v>0.12470000000000001</v>
      </c>
      <c r="D17687" s="28">
        <v>0.87529999999999997</v>
      </c>
      <c r="E17687" s="29"/>
      <c r="F17687" s="29" t="s">
        <v>314</v>
      </c>
    </row>
    <row r="17688" spans="1:6" x14ac:dyDescent="0.35">
      <c r="A17688" t="s">
        <v>230</v>
      </c>
      <c r="B17688" t="s">
        <v>244</v>
      </c>
      <c r="C17688" s="26">
        <v>0.61380000000000001</v>
      </c>
      <c r="D17688" s="26">
        <v>0.38319999999999999</v>
      </c>
      <c r="E17688" s="26">
        <v>3.0000000000000001E-3</v>
      </c>
      <c r="F17688">
        <v>106</v>
      </c>
    </row>
    <row r="17689" spans="1:6" x14ac:dyDescent="0.35">
      <c r="A17689" t="s">
        <v>230</v>
      </c>
      <c r="B17689" t="s">
        <v>245</v>
      </c>
      <c r="C17689" s="26">
        <v>0.62319999999999998</v>
      </c>
      <c r="D17689" s="26">
        <v>0.37680000000000002</v>
      </c>
      <c r="F17689">
        <v>56</v>
      </c>
    </row>
    <row r="17690" spans="1:6" x14ac:dyDescent="0.35">
      <c r="A17690" s="27" t="s">
        <v>230</v>
      </c>
      <c r="B17690" s="27" t="s">
        <v>246</v>
      </c>
      <c r="C17690" s="28">
        <v>0.74360000000000004</v>
      </c>
      <c r="D17690" s="28">
        <v>0.25640000000000002</v>
      </c>
      <c r="E17690" s="29"/>
      <c r="F17690" s="29" t="s">
        <v>342</v>
      </c>
    </row>
    <row r="17691" spans="1:6" x14ac:dyDescent="0.35">
      <c r="A17691" s="27" t="s">
        <v>231</v>
      </c>
      <c r="B17691" s="27" t="s">
        <v>244</v>
      </c>
      <c r="C17691" s="28">
        <v>0.66669999999999996</v>
      </c>
      <c r="D17691" s="28">
        <v>0.33329999999999999</v>
      </c>
      <c r="E17691" s="29"/>
      <c r="F17691" s="29" t="s">
        <v>315</v>
      </c>
    </row>
    <row r="17692" spans="1:6" x14ac:dyDescent="0.35">
      <c r="A17692" s="27" t="s">
        <v>231</v>
      </c>
      <c r="B17692" s="27" t="s">
        <v>245</v>
      </c>
      <c r="C17692" s="28">
        <v>0.5</v>
      </c>
      <c r="D17692" s="28">
        <v>0.5</v>
      </c>
      <c r="E17692" s="29"/>
      <c r="F17692" s="29" t="s">
        <v>314</v>
      </c>
    </row>
    <row r="17693" spans="1:6" x14ac:dyDescent="0.35">
      <c r="A17693" t="s">
        <v>232</v>
      </c>
      <c r="B17693" t="s">
        <v>232</v>
      </c>
      <c r="C17693" s="26">
        <v>0.69699999999999995</v>
      </c>
      <c r="D17693" s="26">
        <v>0.30159999999999998</v>
      </c>
      <c r="E17693" s="26">
        <v>1.4E-3</v>
      </c>
      <c r="F17693">
        <v>609</v>
      </c>
    </row>
    <row r="17695" spans="1:6" x14ac:dyDescent="0.35">
      <c r="A17695" s="1" t="s">
        <v>1806</v>
      </c>
    </row>
    <row r="17696" spans="1:6" x14ac:dyDescent="0.35">
      <c r="A17696" t="s">
        <v>219</v>
      </c>
      <c r="B17696" t="s">
        <v>305</v>
      </c>
      <c r="C17696" t="s">
        <v>303</v>
      </c>
      <c r="D17696" t="s">
        <v>302</v>
      </c>
      <c r="E17696" t="s">
        <v>286</v>
      </c>
      <c r="F17696" t="s">
        <v>226</v>
      </c>
    </row>
    <row r="17697" spans="1:6" x14ac:dyDescent="0.35">
      <c r="A17697" s="27" t="s">
        <v>227</v>
      </c>
      <c r="B17697" s="27" t="s">
        <v>362</v>
      </c>
      <c r="C17697" s="28">
        <v>1</v>
      </c>
      <c r="D17697" s="29"/>
      <c r="E17697" s="29"/>
      <c r="F17697" s="29" t="s">
        <v>331</v>
      </c>
    </row>
    <row r="17698" spans="1:6" x14ac:dyDescent="0.35">
      <c r="A17698" s="27" t="s">
        <v>227</v>
      </c>
      <c r="B17698" s="27" t="s">
        <v>361</v>
      </c>
      <c r="C17698" s="28">
        <v>1</v>
      </c>
      <c r="D17698" s="29"/>
      <c r="E17698" s="29"/>
      <c r="F17698" s="29" t="s">
        <v>314</v>
      </c>
    </row>
    <row r="17699" spans="1:6" x14ac:dyDescent="0.35">
      <c r="A17699" s="27" t="s">
        <v>227</v>
      </c>
      <c r="B17699" s="27" t="s">
        <v>363</v>
      </c>
      <c r="C17699" s="28">
        <v>1</v>
      </c>
      <c r="D17699" s="29"/>
      <c r="E17699" s="29"/>
      <c r="F17699" s="29" t="s">
        <v>314</v>
      </c>
    </row>
    <row r="17700" spans="1:6" x14ac:dyDescent="0.35">
      <c r="A17700" t="s">
        <v>228</v>
      </c>
      <c r="B17700" t="s">
        <v>360</v>
      </c>
      <c r="C17700" s="26">
        <v>0.60360000000000003</v>
      </c>
      <c r="D17700" s="26">
        <v>0.39639999999999997</v>
      </c>
      <c r="F17700">
        <v>85</v>
      </c>
    </row>
    <row r="17701" spans="1:6" x14ac:dyDescent="0.35">
      <c r="A17701" t="s">
        <v>228</v>
      </c>
      <c r="B17701" t="s">
        <v>362</v>
      </c>
      <c r="C17701" s="26">
        <v>0.57850000000000001</v>
      </c>
      <c r="D17701" s="26">
        <v>0.42149999999999999</v>
      </c>
      <c r="F17701">
        <v>61</v>
      </c>
    </row>
    <row r="17702" spans="1:6" x14ac:dyDescent="0.35">
      <c r="A17702" t="s">
        <v>228</v>
      </c>
      <c r="B17702" t="s">
        <v>361</v>
      </c>
      <c r="C17702" s="26">
        <v>0.76229999999999998</v>
      </c>
      <c r="D17702" s="26">
        <v>0.22450000000000001</v>
      </c>
      <c r="E17702" s="26">
        <v>1.3100000000000001E-2</v>
      </c>
      <c r="F17702">
        <v>50</v>
      </c>
    </row>
    <row r="17703" spans="1:6" x14ac:dyDescent="0.35">
      <c r="A17703" t="s">
        <v>228</v>
      </c>
      <c r="B17703" t="s">
        <v>363</v>
      </c>
      <c r="C17703" s="26">
        <v>0.7329</v>
      </c>
      <c r="D17703" s="26">
        <v>0.2671</v>
      </c>
      <c r="F17703">
        <v>49</v>
      </c>
    </row>
    <row r="17704" spans="1:6" x14ac:dyDescent="0.35">
      <c r="A17704" t="s">
        <v>229</v>
      </c>
      <c r="B17704" t="s">
        <v>363</v>
      </c>
      <c r="C17704" s="26">
        <v>0.68220000000000003</v>
      </c>
      <c r="D17704" s="26">
        <v>0.31780000000000003</v>
      </c>
      <c r="F17704">
        <v>30</v>
      </c>
    </row>
    <row r="17705" spans="1:6" x14ac:dyDescent="0.35">
      <c r="A17705" s="27" t="s">
        <v>229</v>
      </c>
      <c r="B17705" s="27" t="s">
        <v>362</v>
      </c>
      <c r="C17705" s="28">
        <v>0.66490000000000005</v>
      </c>
      <c r="D17705" s="28">
        <v>0.33510000000000001</v>
      </c>
      <c r="E17705" s="29"/>
      <c r="F17705" s="29" t="s">
        <v>328</v>
      </c>
    </row>
    <row r="17706" spans="1:6" x14ac:dyDescent="0.35">
      <c r="A17706" s="27" t="s">
        <v>229</v>
      </c>
      <c r="B17706" s="27" t="s">
        <v>360</v>
      </c>
      <c r="C17706" s="28">
        <v>0.78039999999999998</v>
      </c>
      <c r="D17706" s="28">
        <v>0.21959999999999999</v>
      </c>
      <c r="E17706" s="29"/>
      <c r="F17706" s="29" t="s">
        <v>312</v>
      </c>
    </row>
    <row r="17707" spans="1:6" x14ac:dyDescent="0.35">
      <c r="A17707" t="s">
        <v>229</v>
      </c>
      <c r="B17707" t="s">
        <v>361</v>
      </c>
      <c r="C17707" s="26">
        <v>0.76819999999999999</v>
      </c>
      <c r="D17707" s="26">
        <v>0.23180000000000001</v>
      </c>
      <c r="F17707">
        <v>40</v>
      </c>
    </row>
    <row r="17708" spans="1:6" x14ac:dyDescent="0.35">
      <c r="A17708" t="s">
        <v>230</v>
      </c>
      <c r="B17708" t="s">
        <v>362</v>
      </c>
      <c r="C17708" s="26">
        <v>0.76690000000000003</v>
      </c>
      <c r="D17708" s="26">
        <v>0.22600000000000001</v>
      </c>
      <c r="E17708" s="26">
        <v>7.1999999999999998E-3</v>
      </c>
      <c r="F17708">
        <v>50</v>
      </c>
    </row>
    <row r="17709" spans="1:6" x14ac:dyDescent="0.35">
      <c r="A17709" s="27" t="s">
        <v>230</v>
      </c>
      <c r="B17709" s="27" t="s">
        <v>361</v>
      </c>
      <c r="C17709" s="28">
        <v>0.67689999999999995</v>
      </c>
      <c r="D17709" s="28">
        <v>0.3231</v>
      </c>
      <c r="E17709" s="29"/>
      <c r="F17709" s="29" t="s">
        <v>329</v>
      </c>
    </row>
    <row r="17710" spans="1:6" x14ac:dyDescent="0.35">
      <c r="A17710" t="s">
        <v>230</v>
      </c>
      <c r="B17710" t="s">
        <v>360</v>
      </c>
      <c r="C17710" s="26">
        <v>0.59019999999999995</v>
      </c>
      <c r="D17710" s="26">
        <v>0.4098</v>
      </c>
      <c r="F17710">
        <v>50</v>
      </c>
    </row>
    <row r="17711" spans="1:6" x14ac:dyDescent="0.35">
      <c r="A17711" t="s">
        <v>230</v>
      </c>
      <c r="B17711" t="s">
        <v>363</v>
      </c>
      <c r="C17711" s="26">
        <v>0.46379999999999999</v>
      </c>
      <c r="D17711" s="26">
        <v>0.53620000000000001</v>
      </c>
      <c r="F17711">
        <v>32</v>
      </c>
    </row>
    <row r="17712" spans="1:6" x14ac:dyDescent="0.35">
      <c r="A17712" s="27" t="s">
        <v>231</v>
      </c>
      <c r="B17712" s="27" t="s">
        <v>361</v>
      </c>
      <c r="C17712" s="28">
        <v>0.66669999999999996</v>
      </c>
      <c r="D17712" s="28">
        <v>0.33329999999999999</v>
      </c>
      <c r="E17712" s="29"/>
      <c r="F17712" s="29" t="s">
        <v>315</v>
      </c>
    </row>
    <row r="17713" spans="1:6" x14ac:dyDescent="0.35">
      <c r="A17713" t="s">
        <v>232</v>
      </c>
      <c r="B17713" t="s">
        <v>232</v>
      </c>
      <c r="C17713" s="26">
        <v>0.69699999999999995</v>
      </c>
      <c r="D17713" s="26">
        <v>0.30159999999999998</v>
      </c>
      <c r="E17713" s="26">
        <v>1.4E-3</v>
      </c>
      <c r="F17713">
        <v>532</v>
      </c>
    </row>
    <row r="17715" spans="1:6" x14ac:dyDescent="0.35">
      <c r="A17715" s="1" t="s">
        <v>1807</v>
      </c>
    </row>
    <row r="17716" spans="1:6" x14ac:dyDescent="0.35">
      <c r="A17716" t="s">
        <v>219</v>
      </c>
      <c r="B17716" t="s">
        <v>305</v>
      </c>
      <c r="C17716" t="s">
        <v>303</v>
      </c>
      <c r="D17716" t="s">
        <v>302</v>
      </c>
      <c r="E17716" t="s">
        <v>286</v>
      </c>
      <c r="F17716" t="s">
        <v>226</v>
      </c>
    </row>
    <row r="17717" spans="1:6" x14ac:dyDescent="0.35">
      <c r="A17717" s="27" t="s">
        <v>227</v>
      </c>
      <c r="B17717" s="27" t="s">
        <v>267</v>
      </c>
      <c r="C17717" s="28">
        <v>1</v>
      </c>
      <c r="D17717" s="29"/>
      <c r="E17717" s="29"/>
      <c r="F17717" s="29" t="s">
        <v>331</v>
      </c>
    </row>
    <row r="17718" spans="1:6" x14ac:dyDescent="0.35">
      <c r="A17718" s="27" t="s">
        <v>227</v>
      </c>
      <c r="B17718" s="27" t="s">
        <v>266</v>
      </c>
      <c r="C17718" s="28">
        <v>1</v>
      </c>
      <c r="D17718" s="29"/>
      <c r="E17718" s="29"/>
      <c r="F17718" s="29" t="s">
        <v>331</v>
      </c>
    </row>
    <row r="17719" spans="1:6" x14ac:dyDescent="0.35">
      <c r="A17719" s="27" t="s">
        <v>227</v>
      </c>
      <c r="B17719" s="27" t="s">
        <v>265</v>
      </c>
      <c r="C17719" s="28">
        <v>1</v>
      </c>
      <c r="D17719" s="29"/>
      <c r="E17719" s="29"/>
      <c r="F17719" s="29" t="s">
        <v>315</v>
      </c>
    </row>
    <row r="17720" spans="1:6" x14ac:dyDescent="0.35">
      <c r="A17720" t="s">
        <v>228</v>
      </c>
      <c r="B17720" t="s">
        <v>267</v>
      </c>
      <c r="C17720" s="26">
        <v>0.58509999999999995</v>
      </c>
      <c r="D17720" s="26">
        <v>0.41489999999999999</v>
      </c>
      <c r="F17720">
        <v>62</v>
      </c>
    </row>
    <row r="17721" spans="1:6" x14ac:dyDescent="0.35">
      <c r="A17721" t="s">
        <v>228</v>
      </c>
      <c r="B17721" t="s">
        <v>266</v>
      </c>
      <c r="C17721" s="26">
        <v>0.67959999999999998</v>
      </c>
      <c r="D17721" s="26">
        <v>0.31330000000000002</v>
      </c>
      <c r="E17721" s="26">
        <v>7.1000000000000004E-3</v>
      </c>
      <c r="F17721">
        <v>127</v>
      </c>
    </row>
    <row r="17722" spans="1:6" x14ac:dyDescent="0.35">
      <c r="A17722" t="s">
        <v>228</v>
      </c>
      <c r="B17722" t="s">
        <v>265</v>
      </c>
      <c r="C17722" s="26">
        <v>0.70340000000000003</v>
      </c>
      <c r="D17722" s="26">
        <v>0.29659999999999997</v>
      </c>
      <c r="F17722">
        <v>103</v>
      </c>
    </row>
    <row r="17723" spans="1:6" x14ac:dyDescent="0.35">
      <c r="A17723" s="27" t="s">
        <v>229</v>
      </c>
      <c r="B17723" s="27" t="s">
        <v>267</v>
      </c>
      <c r="C17723" s="28">
        <v>0.94140000000000001</v>
      </c>
      <c r="D17723" s="28">
        <v>5.8599999999999999E-2</v>
      </c>
      <c r="E17723" s="29"/>
      <c r="F17723" s="29" t="s">
        <v>336</v>
      </c>
    </row>
    <row r="17724" spans="1:6" x14ac:dyDescent="0.35">
      <c r="A17724" t="s">
        <v>229</v>
      </c>
      <c r="B17724" t="s">
        <v>266</v>
      </c>
      <c r="C17724" s="26">
        <v>0.63249999999999995</v>
      </c>
      <c r="D17724" s="26">
        <v>0.36749999999999999</v>
      </c>
      <c r="F17724">
        <v>55</v>
      </c>
    </row>
    <row r="17725" spans="1:6" x14ac:dyDescent="0.35">
      <c r="A17725" t="s">
        <v>229</v>
      </c>
      <c r="B17725" t="s">
        <v>265</v>
      </c>
      <c r="C17725" s="26">
        <v>0.74780000000000002</v>
      </c>
      <c r="D17725" s="26">
        <v>0.25219999999999998</v>
      </c>
      <c r="F17725">
        <v>50</v>
      </c>
    </row>
    <row r="17726" spans="1:6" x14ac:dyDescent="0.35">
      <c r="A17726" t="s">
        <v>230</v>
      </c>
      <c r="B17726" t="s">
        <v>267</v>
      </c>
      <c r="C17726" s="26">
        <v>0.73660000000000003</v>
      </c>
      <c r="D17726" s="26">
        <v>0.26340000000000002</v>
      </c>
      <c r="F17726">
        <v>33</v>
      </c>
    </row>
    <row r="17727" spans="1:6" x14ac:dyDescent="0.35">
      <c r="A17727" t="s">
        <v>230</v>
      </c>
      <c r="B17727" t="s">
        <v>266</v>
      </c>
      <c r="C17727" s="26">
        <v>0.61080000000000001</v>
      </c>
      <c r="D17727" s="26">
        <v>0.38569999999999999</v>
      </c>
      <c r="E17727" s="26">
        <v>3.5000000000000001E-3</v>
      </c>
      <c r="F17727">
        <v>75</v>
      </c>
    </row>
    <row r="17728" spans="1:6" x14ac:dyDescent="0.35">
      <c r="A17728" t="s">
        <v>230</v>
      </c>
      <c r="B17728" t="s">
        <v>265</v>
      </c>
      <c r="C17728" s="26">
        <v>0.59130000000000005</v>
      </c>
      <c r="D17728" s="26">
        <v>0.40870000000000001</v>
      </c>
      <c r="F17728">
        <v>66</v>
      </c>
    </row>
    <row r="17729" spans="1:6" x14ac:dyDescent="0.35">
      <c r="A17729" s="27" t="s">
        <v>231</v>
      </c>
      <c r="B17729" s="27" t="s">
        <v>267</v>
      </c>
      <c r="C17729" s="28">
        <v>0.33329999999999999</v>
      </c>
      <c r="D17729" s="28">
        <v>0.66669999999999996</v>
      </c>
      <c r="E17729" s="29"/>
      <c r="F17729" s="29" t="s">
        <v>315</v>
      </c>
    </row>
    <row r="17730" spans="1:6" x14ac:dyDescent="0.35">
      <c r="A17730" s="27" t="s">
        <v>231</v>
      </c>
      <c r="B17730" s="27" t="s">
        <v>266</v>
      </c>
      <c r="C17730" s="28">
        <v>1</v>
      </c>
      <c r="D17730" s="29"/>
      <c r="E17730" s="29"/>
      <c r="F17730" s="29" t="s">
        <v>314</v>
      </c>
    </row>
    <row r="17731" spans="1:6" x14ac:dyDescent="0.35">
      <c r="A17731" t="s">
        <v>232</v>
      </c>
      <c r="B17731" t="s">
        <v>232</v>
      </c>
      <c r="C17731" s="26">
        <v>0.69699999999999995</v>
      </c>
      <c r="D17731" s="26">
        <v>0.30159999999999998</v>
      </c>
      <c r="E17731" s="26">
        <v>1.4E-3</v>
      </c>
      <c r="F17731">
        <v>609</v>
      </c>
    </row>
    <row r="17733" spans="1:6" x14ac:dyDescent="0.35">
      <c r="A17733" s="1" t="s">
        <v>1808</v>
      </c>
    </row>
    <row r="17734" spans="1:6" x14ac:dyDescent="0.35">
      <c r="A17734" t="s">
        <v>219</v>
      </c>
      <c r="B17734" t="s">
        <v>305</v>
      </c>
      <c r="C17734" t="s">
        <v>303</v>
      </c>
      <c r="D17734" t="s">
        <v>302</v>
      </c>
      <c r="E17734" t="s">
        <v>286</v>
      </c>
      <c r="F17734" t="s">
        <v>226</v>
      </c>
    </row>
    <row r="17735" spans="1:6" x14ac:dyDescent="0.35">
      <c r="A17735" s="27" t="s">
        <v>227</v>
      </c>
      <c r="B17735" s="27" t="s">
        <v>252</v>
      </c>
      <c r="C17735" s="28">
        <v>1</v>
      </c>
      <c r="D17735" s="29"/>
      <c r="E17735" s="29"/>
      <c r="F17735" s="29" t="s">
        <v>331</v>
      </c>
    </row>
    <row r="17736" spans="1:6" x14ac:dyDescent="0.35">
      <c r="A17736" s="27" t="s">
        <v>227</v>
      </c>
      <c r="B17736" s="27" t="s">
        <v>253</v>
      </c>
      <c r="C17736" s="28">
        <v>1</v>
      </c>
      <c r="D17736" s="29"/>
      <c r="E17736" s="29"/>
      <c r="F17736" s="29" t="s">
        <v>331</v>
      </c>
    </row>
    <row r="17737" spans="1:6" x14ac:dyDescent="0.35">
      <c r="A17737" s="27" t="s">
        <v>227</v>
      </c>
      <c r="B17737" s="27" t="s">
        <v>251</v>
      </c>
      <c r="C17737" s="28">
        <v>1</v>
      </c>
      <c r="D17737" s="29"/>
      <c r="E17737" s="29"/>
      <c r="F17737" s="29" t="s">
        <v>315</v>
      </c>
    </row>
    <row r="17738" spans="1:6" x14ac:dyDescent="0.35">
      <c r="A17738" t="s">
        <v>228</v>
      </c>
      <c r="B17738" t="s">
        <v>252</v>
      </c>
      <c r="C17738" s="26">
        <v>0.56579999999999997</v>
      </c>
      <c r="D17738" s="26">
        <v>0.43419999999999997</v>
      </c>
      <c r="F17738">
        <v>92</v>
      </c>
    </row>
    <row r="17739" spans="1:6" x14ac:dyDescent="0.35">
      <c r="A17739" t="s">
        <v>228</v>
      </c>
      <c r="B17739" t="s">
        <v>253</v>
      </c>
      <c r="C17739" s="26">
        <v>0.68200000000000005</v>
      </c>
      <c r="D17739" s="26">
        <v>0.318</v>
      </c>
      <c r="F17739">
        <v>79</v>
      </c>
    </row>
    <row r="17740" spans="1:6" x14ac:dyDescent="0.35">
      <c r="A17740" t="s">
        <v>228</v>
      </c>
      <c r="B17740" t="s">
        <v>251</v>
      </c>
      <c r="C17740" s="26">
        <v>0.72189999999999999</v>
      </c>
      <c r="D17740" s="26">
        <v>0.27179999999999999</v>
      </c>
      <c r="E17740" s="26">
        <v>6.3E-3</v>
      </c>
      <c r="F17740">
        <v>121</v>
      </c>
    </row>
    <row r="17741" spans="1:6" x14ac:dyDescent="0.35">
      <c r="A17741" s="27" t="s">
        <v>229</v>
      </c>
      <c r="B17741" s="27" t="s">
        <v>252</v>
      </c>
      <c r="C17741" s="28">
        <v>0.66639999999999999</v>
      </c>
      <c r="D17741" s="28">
        <v>0.33360000000000001</v>
      </c>
      <c r="E17741" s="29"/>
      <c r="F17741" s="29" t="s">
        <v>329</v>
      </c>
    </row>
    <row r="17742" spans="1:6" x14ac:dyDescent="0.35">
      <c r="A17742" s="27" t="s">
        <v>229</v>
      </c>
      <c r="B17742" s="27" t="s">
        <v>253</v>
      </c>
      <c r="C17742" s="28">
        <v>0.86529999999999996</v>
      </c>
      <c r="D17742" s="28">
        <v>0.13469999999999999</v>
      </c>
      <c r="E17742" s="29"/>
      <c r="F17742" s="29" t="s">
        <v>328</v>
      </c>
    </row>
    <row r="17743" spans="1:6" x14ac:dyDescent="0.35">
      <c r="A17743" t="s">
        <v>229</v>
      </c>
      <c r="B17743" t="s">
        <v>251</v>
      </c>
      <c r="C17743" s="26">
        <v>0.71830000000000005</v>
      </c>
      <c r="D17743" s="26">
        <v>0.28170000000000001</v>
      </c>
      <c r="F17743">
        <v>81</v>
      </c>
    </row>
    <row r="17744" spans="1:6" x14ac:dyDescent="0.35">
      <c r="A17744" t="s">
        <v>230</v>
      </c>
      <c r="B17744" t="s">
        <v>252</v>
      </c>
      <c r="C17744" s="26">
        <v>0.67859999999999998</v>
      </c>
      <c r="D17744" s="26">
        <v>0.32140000000000002</v>
      </c>
      <c r="F17744">
        <v>64</v>
      </c>
    </row>
    <row r="17745" spans="1:6" x14ac:dyDescent="0.35">
      <c r="A17745" t="s">
        <v>230</v>
      </c>
      <c r="B17745" t="s">
        <v>253</v>
      </c>
      <c r="C17745" s="26">
        <v>0.56179999999999997</v>
      </c>
      <c r="D17745" s="26">
        <v>0.43819999999999998</v>
      </c>
      <c r="F17745">
        <v>42</v>
      </c>
    </row>
    <row r="17746" spans="1:6" x14ac:dyDescent="0.35">
      <c r="A17746" t="s">
        <v>230</v>
      </c>
      <c r="B17746" t="s">
        <v>251</v>
      </c>
      <c r="C17746" s="26">
        <v>0.5927</v>
      </c>
      <c r="D17746" s="26">
        <v>0.40250000000000002</v>
      </c>
      <c r="E17746" s="26">
        <v>4.8999999999999998E-3</v>
      </c>
      <c r="F17746">
        <v>68</v>
      </c>
    </row>
    <row r="17747" spans="1:6" x14ac:dyDescent="0.35">
      <c r="A17747" s="27" t="s">
        <v>231</v>
      </c>
      <c r="B17747" s="27" t="s">
        <v>252</v>
      </c>
      <c r="C17747" s="29"/>
      <c r="D17747" s="28">
        <v>1</v>
      </c>
      <c r="E17747" s="29"/>
      <c r="F17747" s="29" t="s">
        <v>331</v>
      </c>
    </row>
    <row r="17748" spans="1:6" x14ac:dyDescent="0.35">
      <c r="A17748" s="27" t="s">
        <v>231</v>
      </c>
      <c r="B17748" s="27" t="s">
        <v>251</v>
      </c>
      <c r="C17748" s="28">
        <v>0.75</v>
      </c>
      <c r="D17748" s="28">
        <v>0.25</v>
      </c>
      <c r="E17748" s="29"/>
      <c r="F17748" s="29" t="s">
        <v>337</v>
      </c>
    </row>
    <row r="17749" spans="1:6" x14ac:dyDescent="0.35">
      <c r="A17749" t="s">
        <v>232</v>
      </c>
      <c r="B17749" t="s">
        <v>232</v>
      </c>
      <c r="C17749" s="26">
        <v>0.69699999999999995</v>
      </c>
      <c r="D17749" s="26">
        <v>0.30159999999999998</v>
      </c>
      <c r="E17749" s="26">
        <v>1.4E-3</v>
      </c>
      <c r="F17749">
        <v>609</v>
      </c>
    </row>
    <row r="17751" spans="1:6" x14ac:dyDescent="0.35">
      <c r="A17751" s="1" t="s">
        <v>1809</v>
      </c>
    </row>
    <row r="17752" spans="1:6" x14ac:dyDescent="0.35">
      <c r="A17752" t="s">
        <v>219</v>
      </c>
      <c r="B17752" t="s">
        <v>305</v>
      </c>
      <c r="C17752" t="s">
        <v>303</v>
      </c>
      <c r="D17752" t="s">
        <v>302</v>
      </c>
      <c r="E17752" t="s">
        <v>286</v>
      </c>
      <c r="F17752" t="s">
        <v>226</v>
      </c>
    </row>
    <row r="17753" spans="1:6" x14ac:dyDescent="0.35">
      <c r="A17753" s="27" t="s">
        <v>227</v>
      </c>
      <c r="B17753" s="27" t="s">
        <v>249</v>
      </c>
      <c r="C17753" s="28">
        <v>1</v>
      </c>
      <c r="D17753" s="29"/>
      <c r="E17753" s="29"/>
      <c r="F17753" s="29" t="s">
        <v>331</v>
      </c>
    </row>
    <row r="17754" spans="1:6" x14ac:dyDescent="0.35">
      <c r="A17754" s="27" t="s">
        <v>227</v>
      </c>
      <c r="B17754" s="27" t="s">
        <v>248</v>
      </c>
      <c r="C17754" s="28">
        <v>1</v>
      </c>
      <c r="D17754" s="29"/>
      <c r="E17754" s="29"/>
      <c r="F17754" s="29" t="s">
        <v>337</v>
      </c>
    </row>
    <row r="17755" spans="1:6" x14ac:dyDescent="0.35">
      <c r="A17755" t="s">
        <v>228</v>
      </c>
      <c r="B17755" t="s">
        <v>249</v>
      </c>
      <c r="C17755" s="26">
        <v>0.78320000000000001</v>
      </c>
      <c r="D17755" s="26">
        <v>0.21679999999999999</v>
      </c>
      <c r="F17755">
        <v>63</v>
      </c>
    </row>
    <row r="17756" spans="1:6" x14ac:dyDescent="0.35">
      <c r="A17756" t="s">
        <v>228</v>
      </c>
      <c r="B17756" t="s">
        <v>248</v>
      </c>
      <c r="C17756" s="26">
        <v>0.62450000000000006</v>
      </c>
      <c r="D17756" s="26">
        <v>0.37159999999999999</v>
      </c>
      <c r="E17756" s="26">
        <v>3.8999999999999998E-3</v>
      </c>
      <c r="F17756">
        <v>229</v>
      </c>
    </row>
    <row r="17757" spans="1:6" x14ac:dyDescent="0.35">
      <c r="A17757" t="s">
        <v>229</v>
      </c>
      <c r="B17757" t="s">
        <v>249</v>
      </c>
      <c r="C17757" s="26">
        <v>0.6532</v>
      </c>
      <c r="D17757" s="26">
        <v>0.3468</v>
      </c>
      <c r="F17757">
        <v>33</v>
      </c>
    </row>
    <row r="17758" spans="1:6" x14ac:dyDescent="0.35">
      <c r="A17758" t="s">
        <v>229</v>
      </c>
      <c r="B17758" t="s">
        <v>248</v>
      </c>
      <c r="C17758" s="26">
        <v>0.78129999999999999</v>
      </c>
      <c r="D17758" s="26">
        <v>0.21870000000000001</v>
      </c>
      <c r="F17758">
        <v>100</v>
      </c>
    </row>
    <row r="17759" spans="1:6" x14ac:dyDescent="0.35">
      <c r="A17759" t="s">
        <v>230</v>
      </c>
      <c r="B17759" t="s">
        <v>249</v>
      </c>
      <c r="C17759" s="26">
        <v>0.62609999999999999</v>
      </c>
      <c r="D17759" s="26">
        <v>0.37390000000000001</v>
      </c>
      <c r="F17759">
        <v>46</v>
      </c>
    </row>
    <row r="17760" spans="1:6" x14ac:dyDescent="0.35">
      <c r="A17760" t="s">
        <v>230</v>
      </c>
      <c r="B17760" t="s">
        <v>248</v>
      </c>
      <c r="C17760" s="26">
        <v>0.62229999999999996</v>
      </c>
      <c r="D17760" s="26">
        <v>0.37530000000000002</v>
      </c>
      <c r="E17760" s="26">
        <v>2.3E-3</v>
      </c>
      <c r="F17760">
        <v>128</v>
      </c>
    </row>
    <row r="17761" spans="1:6" x14ac:dyDescent="0.35">
      <c r="A17761" s="27" t="s">
        <v>231</v>
      </c>
      <c r="B17761" s="27" t="s">
        <v>249</v>
      </c>
      <c r="C17761" s="28">
        <v>1</v>
      </c>
      <c r="D17761" s="29"/>
      <c r="E17761" s="29"/>
      <c r="F17761" s="29" t="s">
        <v>314</v>
      </c>
    </row>
    <row r="17762" spans="1:6" x14ac:dyDescent="0.35">
      <c r="A17762" s="27" t="s">
        <v>231</v>
      </c>
      <c r="B17762" s="27" t="s">
        <v>248</v>
      </c>
      <c r="C17762" s="28">
        <v>0.33329999999999999</v>
      </c>
      <c r="D17762" s="28">
        <v>0.66669999999999996</v>
      </c>
      <c r="E17762" s="29"/>
      <c r="F17762" s="29" t="s">
        <v>315</v>
      </c>
    </row>
    <row r="17763" spans="1:6" x14ac:dyDescent="0.35">
      <c r="A17763" t="s">
        <v>232</v>
      </c>
      <c r="B17763" t="s">
        <v>232</v>
      </c>
      <c r="C17763" s="26">
        <v>0.69699999999999995</v>
      </c>
      <c r="D17763" s="26">
        <v>0.30159999999999998</v>
      </c>
      <c r="E17763" s="26">
        <v>1.4E-3</v>
      </c>
      <c r="F17763">
        <v>609</v>
      </c>
    </row>
    <row r="17765" spans="1:6" x14ac:dyDescent="0.35">
      <c r="A17765" s="1" t="s">
        <v>1810</v>
      </c>
    </row>
    <row r="17766" spans="1:6" x14ac:dyDescent="0.35">
      <c r="A17766" t="s">
        <v>219</v>
      </c>
      <c r="B17766" t="s">
        <v>305</v>
      </c>
      <c r="C17766" t="s">
        <v>303</v>
      </c>
      <c r="D17766" t="s">
        <v>302</v>
      </c>
      <c r="E17766" t="s">
        <v>286</v>
      </c>
      <c r="F17766" t="s">
        <v>226</v>
      </c>
    </row>
    <row r="17767" spans="1:6" x14ac:dyDescent="0.35">
      <c r="A17767" s="27" t="s">
        <v>227</v>
      </c>
      <c r="B17767" s="27" t="s">
        <v>260</v>
      </c>
      <c r="C17767" s="28">
        <v>1</v>
      </c>
      <c r="D17767" s="29"/>
      <c r="E17767" s="29"/>
      <c r="F17767" s="29" t="s">
        <v>332</v>
      </c>
    </row>
    <row r="17768" spans="1:6" x14ac:dyDescent="0.35">
      <c r="A17768" s="27" t="s">
        <v>228</v>
      </c>
      <c r="B17768" s="27" t="s">
        <v>263</v>
      </c>
      <c r="C17768" s="28">
        <v>0.75660000000000005</v>
      </c>
      <c r="D17768" s="28">
        <v>0.24340000000000001</v>
      </c>
      <c r="E17768" s="29"/>
      <c r="F17768" s="29" t="s">
        <v>352</v>
      </c>
    </row>
    <row r="17769" spans="1:6" x14ac:dyDescent="0.35">
      <c r="A17769" s="27" t="s">
        <v>228</v>
      </c>
      <c r="B17769" s="27" t="s">
        <v>236</v>
      </c>
      <c r="C17769" s="28">
        <v>0.22570000000000001</v>
      </c>
      <c r="D17769" s="28">
        <v>0.77429999999999999</v>
      </c>
      <c r="E17769" s="29"/>
      <c r="F17769" s="29" t="s">
        <v>314</v>
      </c>
    </row>
    <row r="17770" spans="1:6" x14ac:dyDescent="0.35">
      <c r="A17770" t="s">
        <v>228</v>
      </c>
      <c r="B17770" t="s">
        <v>260</v>
      </c>
      <c r="C17770" s="26">
        <v>0.67300000000000004</v>
      </c>
      <c r="D17770" s="26">
        <v>0.32700000000000001</v>
      </c>
      <c r="F17770">
        <v>152</v>
      </c>
    </row>
    <row r="17771" spans="1:6" x14ac:dyDescent="0.35">
      <c r="A17771" t="s">
        <v>228</v>
      </c>
      <c r="B17771" t="s">
        <v>261</v>
      </c>
      <c r="C17771" s="26">
        <v>0.59240000000000004</v>
      </c>
      <c r="D17771" s="26">
        <v>0.40760000000000002</v>
      </c>
      <c r="F17771">
        <v>42</v>
      </c>
    </row>
    <row r="17772" spans="1:6" x14ac:dyDescent="0.35">
      <c r="A17772" t="s">
        <v>228</v>
      </c>
      <c r="B17772" t="s">
        <v>262</v>
      </c>
      <c r="C17772" s="26">
        <v>0.69830000000000003</v>
      </c>
      <c r="D17772" s="26">
        <v>0.29189999999999999</v>
      </c>
      <c r="E17772" s="26">
        <v>9.7999999999999997E-3</v>
      </c>
      <c r="F17772">
        <v>85</v>
      </c>
    </row>
    <row r="17773" spans="1:6" x14ac:dyDescent="0.35">
      <c r="A17773" t="s">
        <v>229</v>
      </c>
      <c r="B17773" t="s">
        <v>262</v>
      </c>
      <c r="C17773" s="26">
        <v>0.83960000000000001</v>
      </c>
      <c r="D17773" s="26">
        <v>0.16039999999999999</v>
      </c>
      <c r="F17773">
        <v>52</v>
      </c>
    </row>
    <row r="17774" spans="1:6" x14ac:dyDescent="0.35">
      <c r="A17774" t="s">
        <v>229</v>
      </c>
      <c r="B17774" t="s">
        <v>260</v>
      </c>
      <c r="C17774" s="26">
        <v>0.71550000000000002</v>
      </c>
      <c r="D17774" s="26">
        <v>0.28449999999999998</v>
      </c>
      <c r="F17774">
        <v>64</v>
      </c>
    </row>
    <row r="17775" spans="1:6" x14ac:dyDescent="0.35">
      <c r="A17775" s="27" t="s">
        <v>229</v>
      </c>
      <c r="B17775" s="27" t="s">
        <v>263</v>
      </c>
      <c r="C17775" s="28">
        <v>0.4451</v>
      </c>
      <c r="D17775" s="28">
        <v>0.55489999999999995</v>
      </c>
      <c r="E17775" s="29"/>
      <c r="F17775" s="29" t="s">
        <v>332</v>
      </c>
    </row>
    <row r="17776" spans="1:6" x14ac:dyDescent="0.35">
      <c r="A17776" s="27" t="s">
        <v>229</v>
      </c>
      <c r="B17776" s="27" t="s">
        <v>261</v>
      </c>
      <c r="C17776" s="28">
        <v>0.57569999999999999</v>
      </c>
      <c r="D17776" s="28">
        <v>0.42430000000000001</v>
      </c>
      <c r="E17776" s="29"/>
      <c r="F17776" s="29" t="s">
        <v>342</v>
      </c>
    </row>
    <row r="17777" spans="1:6" x14ac:dyDescent="0.35">
      <c r="A17777" t="s">
        <v>230</v>
      </c>
      <c r="B17777" t="s">
        <v>260</v>
      </c>
      <c r="C17777" s="26">
        <v>0.61880000000000002</v>
      </c>
      <c r="D17777" s="26">
        <v>0.38119999999999998</v>
      </c>
      <c r="F17777">
        <v>88</v>
      </c>
    </row>
    <row r="17778" spans="1:6" x14ac:dyDescent="0.35">
      <c r="A17778" s="27" t="s">
        <v>230</v>
      </c>
      <c r="B17778" s="27" t="s">
        <v>261</v>
      </c>
      <c r="C17778" s="28">
        <v>0.7994</v>
      </c>
      <c r="D17778" s="28">
        <v>0.2006</v>
      </c>
      <c r="E17778" s="29"/>
      <c r="F17778" s="29" t="s">
        <v>307</v>
      </c>
    </row>
    <row r="17779" spans="1:6" x14ac:dyDescent="0.35">
      <c r="A17779" s="27" t="s">
        <v>230</v>
      </c>
      <c r="B17779" s="27" t="s">
        <v>236</v>
      </c>
      <c r="C17779" s="28">
        <v>0.49409999999999998</v>
      </c>
      <c r="D17779" s="28">
        <v>0.50590000000000002</v>
      </c>
      <c r="E17779" s="29"/>
      <c r="F17779" s="29" t="s">
        <v>314</v>
      </c>
    </row>
    <row r="17780" spans="1:6" x14ac:dyDescent="0.35">
      <c r="A17780" s="27" t="s">
        <v>230</v>
      </c>
      <c r="B17780" s="27" t="s">
        <v>263</v>
      </c>
      <c r="C17780" s="28">
        <v>0.47139999999999999</v>
      </c>
      <c r="D17780" s="28">
        <v>0.52859999999999996</v>
      </c>
      <c r="E17780" s="29"/>
      <c r="F17780" s="29" t="s">
        <v>341</v>
      </c>
    </row>
    <row r="17781" spans="1:6" x14ac:dyDescent="0.35">
      <c r="A17781" t="s">
        <v>230</v>
      </c>
      <c r="B17781" t="s">
        <v>262</v>
      </c>
      <c r="C17781" s="26">
        <v>0.60960000000000003</v>
      </c>
      <c r="D17781" s="26">
        <v>0.38529999999999998</v>
      </c>
      <c r="E17781" s="26">
        <v>5.0000000000000001E-3</v>
      </c>
      <c r="F17781">
        <v>61</v>
      </c>
    </row>
    <row r="17782" spans="1:6" x14ac:dyDescent="0.35">
      <c r="A17782" s="27" t="s">
        <v>231</v>
      </c>
      <c r="B17782" s="27" t="s">
        <v>261</v>
      </c>
      <c r="C17782" s="29"/>
      <c r="D17782" s="28">
        <v>1</v>
      </c>
      <c r="E17782" s="29"/>
      <c r="F17782" s="29" t="s">
        <v>314</v>
      </c>
    </row>
    <row r="17783" spans="1:6" x14ac:dyDescent="0.35">
      <c r="A17783" s="27" t="s">
        <v>231</v>
      </c>
      <c r="B17783" s="27" t="s">
        <v>260</v>
      </c>
      <c r="C17783" s="28">
        <v>1</v>
      </c>
      <c r="D17783" s="29"/>
      <c r="E17783" s="29"/>
      <c r="F17783" s="29" t="s">
        <v>315</v>
      </c>
    </row>
    <row r="17784" spans="1:6" x14ac:dyDescent="0.35">
      <c r="A17784" t="s">
        <v>232</v>
      </c>
      <c r="B17784" t="s">
        <v>232</v>
      </c>
      <c r="C17784" s="26">
        <v>0.69699999999999995</v>
      </c>
      <c r="D17784" s="26">
        <v>0.30159999999999998</v>
      </c>
      <c r="E17784" s="26">
        <v>1.4E-3</v>
      </c>
      <c r="F17784">
        <v>609</v>
      </c>
    </row>
    <row r="17786" spans="1:6" x14ac:dyDescent="0.35">
      <c r="A17786" s="1" t="s">
        <v>1811</v>
      </c>
    </row>
    <row r="17787" spans="1:6" x14ac:dyDescent="0.35">
      <c r="A17787" t="s">
        <v>219</v>
      </c>
      <c r="B17787" t="s">
        <v>305</v>
      </c>
      <c r="C17787" t="s">
        <v>303</v>
      </c>
      <c r="D17787" t="s">
        <v>302</v>
      </c>
      <c r="E17787" t="s">
        <v>286</v>
      </c>
      <c r="F17787" t="s">
        <v>226</v>
      </c>
    </row>
    <row r="17788" spans="1:6" x14ac:dyDescent="0.35">
      <c r="A17788" s="27" t="s">
        <v>227</v>
      </c>
      <c r="B17788" s="27" t="s">
        <v>369</v>
      </c>
      <c r="C17788" s="28">
        <v>1</v>
      </c>
      <c r="D17788" s="29"/>
      <c r="E17788" s="29"/>
      <c r="F17788" s="29" t="s">
        <v>332</v>
      </c>
    </row>
    <row r="17789" spans="1:6" x14ac:dyDescent="0.35">
      <c r="A17789" t="s">
        <v>228</v>
      </c>
      <c r="B17789" t="s">
        <v>368</v>
      </c>
      <c r="C17789" s="26">
        <v>0.59240000000000004</v>
      </c>
      <c r="D17789" s="26">
        <v>0.40760000000000002</v>
      </c>
      <c r="F17789">
        <v>42</v>
      </c>
    </row>
    <row r="17790" spans="1:6" x14ac:dyDescent="0.35">
      <c r="A17790" t="s">
        <v>228</v>
      </c>
      <c r="B17790" t="s">
        <v>369</v>
      </c>
      <c r="C17790" s="26">
        <v>0.68300000000000005</v>
      </c>
      <c r="D17790" s="26">
        <v>0.31359999999999999</v>
      </c>
      <c r="E17790" s="26">
        <v>3.5000000000000001E-3</v>
      </c>
      <c r="F17790">
        <v>250</v>
      </c>
    </row>
    <row r="17791" spans="1:6" x14ac:dyDescent="0.35">
      <c r="A17791" s="27" t="s">
        <v>229</v>
      </c>
      <c r="B17791" s="27" t="s">
        <v>368</v>
      </c>
      <c r="C17791" s="28">
        <v>0.57569999999999999</v>
      </c>
      <c r="D17791" s="28">
        <v>0.42430000000000001</v>
      </c>
      <c r="E17791" s="29"/>
      <c r="F17791" s="29" t="s">
        <v>342</v>
      </c>
    </row>
    <row r="17792" spans="1:6" x14ac:dyDescent="0.35">
      <c r="A17792" t="s">
        <v>229</v>
      </c>
      <c r="B17792" t="s">
        <v>369</v>
      </c>
      <c r="C17792" s="26">
        <v>0.77210000000000001</v>
      </c>
      <c r="D17792" s="26">
        <v>0.22789999999999999</v>
      </c>
      <c r="F17792">
        <v>121</v>
      </c>
    </row>
    <row r="17793" spans="1:6" x14ac:dyDescent="0.35">
      <c r="A17793" s="27" t="s">
        <v>230</v>
      </c>
      <c r="B17793" s="27" t="s">
        <v>368</v>
      </c>
      <c r="C17793" s="28">
        <v>0.7994</v>
      </c>
      <c r="D17793" s="28">
        <v>0.2006</v>
      </c>
      <c r="E17793" s="29"/>
      <c r="F17793" s="29" t="s">
        <v>307</v>
      </c>
    </row>
    <row r="17794" spans="1:6" x14ac:dyDescent="0.35">
      <c r="A17794" t="s">
        <v>230</v>
      </c>
      <c r="B17794" t="s">
        <v>369</v>
      </c>
      <c r="C17794" s="26">
        <v>0.60860000000000003</v>
      </c>
      <c r="D17794" s="26">
        <v>0.38950000000000001</v>
      </c>
      <c r="E17794" s="26">
        <v>2E-3</v>
      </c>
      <c r="F17794">
        <v>164</v>
      </c>
    </row>
    <row r="17795" spans="1:6" x14ac:dyDescent="0.35">
      <c r="A17795" s="27" t="s">
        <v>231</v>
      </c>
      <c r="B17795" s="27" t="s">
        <v>368</v>
      </c>
      <c r="C17795" s="29"/>
      <c r="D17795" s="28">
        <v>1</v>
      </c>
      <c r="E17795" s="29"/>
      <c r="F17795" s="29" t="s">
        <v>314</v>
      </c>
    </row>
    <row r="17796" spans="1:6" x14ac:dyDescent="0.35">
      <c r="A17796" s="27" t="s">
        <v>231</v>
      </c>
      <c r="B17796" s="27" t="s">
        <v>369</v>
      </c>
      <c r="C17796" s="28">
        <v>1</v>
      </c>
      <c r="D17796" s="29"/>
      <c r="E17796" s="29"/>
      <c r="F17796" s="29" t="s">
        <v>315</v>
      </c>
    </row>
    <row r="17797" spans="1:6" x14ac:dyDescent="0.35">
      <c r="A17797" t="s">
        <v>232</v>
      </c>
      <c r="B17797" t="s">
        <v>232</v>
      </c>
      <c r="C17797" s="26">
        <v>0.69699999999999995</v>
      </c>
      <c r="D17797" s="26">
        <v>0.30159999999999998</v>
      </c>
      <c r="E17797" s="26">
        <v>1.4E-3</v>
      </c>
      <c r="F17797">
        <v>609</v>
      </c>
    </row>
    <row r="17799" spans="1:6" x14ac:dyDescent="0.35">
      <c r="A17799" s="1" t="s">
        <v>1812</v>
      </c>
    </row>
    <row r="17800" spans="1:6" x14ac:dyDescent="0.35">
      <c r="A17800" t="s">
        <v>219</v>
      </c>
      <c r="B17800" t="s">
        <v>305</v>
      </c>
      <c r="C17800" t="s">
        <v>303</v>
      </c>
      <c r="D17800" t="s">
        <v>302</v>
      </c>
      <c r="E17800" t="s">
        <v>286</v>
      </c>
      <c r="F17800" t="s">
        <v>226</v>
      </c>
    </row>
    <row r="17801" spans="1:6" x14ac:dyDescent="0.35">
      <c r="A17801" s="27" t="s">
        <v>227</v>
      </c>
      <c r="B17801" s="27" t="s">
        <v>371</v>
      </c>
      <c r="C17801" s="28">
        <v>1</v>
      </c>
      <c r="D17801" s="29"/>
      <c r="E17801" s="29"/>
      <c r="F17801" s="29" t="s">
        <v>332</v>
      </c>
    </row>
    <row r="17802" spans="1:6" x14ac:dyDescent="0.35">
      <c r="A17802" t="s">
        <v>228</v>
      </c>
      <c r="B17802" t="s">
        <v>371</v>
      </c>
      <c r="C17802" s="26">
        <v>0.76939999999999997</v>
      </c>
      <c r="D17802" s="26">
        <v>0.2306</v>
      </c>
      <c r="F17802">
        <v>41</v>
      </c>
    </row>
    <row r="17803" spans="1:6" x14ac:dyDescent="0.35">
      <c r="A17803" t="s">
        <v>228</v>
      </c>
      <c r="B17803" t="s">
        <v>372</v>
      </c>
      <c r="C17803" s="26">
        <v>0.50119999999999998</v>
      </c>
      <c r="D17803" s="26">
        <v>0.48480000000000001</v>
      </c>
      <c r="E17803" s="26">
        <v>1.4E-2</v>
      </c>
      <c r="F17803">
        <v>102</v>
      </c>
    </row>
    <row r="17804" spans="1:6" x14ac:dyDescent="0.35">
      <c r="A17804" t="s">
        <v>228</v>
      </c>
      <c r="B17804" t="s">
        <v>373</v>
      </c>
      <c r="C17804" s="26">
        <v>0.68600000000000005</v>
      </c>
      <c r="D17804" s="26">
        <v>0.314</v>
      </c>
      <c r="F17804">
        <v>149</v>
      </c>
    </row>
    <row r="17805" spans="1:6" x14ac:dyDescent="0.35">
      <c r="A17805" t="s">
        <v>229</v>
      </c>
      <c r="B17805" t="s">
        <v>371</v>
      </c>
      <c r="C17805" s="26">
        <v>0.7631</v>
      </c>
      <c r="D17805" s="26">
        <v>0.2369</v>
      </c>
      <c r="F17805">
        <v>63</v>
      </c>
    </row>
    <row r="17806" spans="1:6" x14ac:dyDescent="0.35">
      <c r="A17806" t="s">
        <v>229</v>
      </c>
      <c r="B17806" t="s">
        <v>372</v>
      </c>
      <c r="C17806" s="26">
        <v>0.61609999999999998</v>
      </c>
      <c r="D17806" s="26">
        <v>0.38390000000000002</v>
      </c>
      <c r="F17806">
        <v>50</v>
      </c>
    </row>
    <row r="17807" spans="1:6" x14ac:dyDescent="0.35">
      <c r="A17807" s="27" t="s">
        <v>229</v>
      </c>
      <c r="B17807" s="27" t="s">
        <v>373</v>
      </c>
      <c r="C17807" s="28">
        <v>0.71020000000000005</v>
      </c>
      <c r="D17807" s="28">
        <v>0.2898</v>
      </c>
      <c r="E17807" s="29"/>
      <c r="F17807" s="29" t="s">
        <v>350</v>
      </c>
    </row>
    <row r="17808" spans="1:6" x14ac:dyDescent="0.35">
      <c r="A17808" t="s">
        <v>230</v>
      </c>
      <c r="B17808" t="s">
        <v>371</v>
      </c>
      <c r="C17808" s="26">
        <v>0.64229999999999998</v>
      </c>
      <c r="D17808" s="26">
        <v>0.35770000000000002</v>
      </c>
      <c r="F17808">
        <v>31</v>
      </c>
    </row>
    <row r="17809" spans="1:6" x14ac:dyDescent="0.35">
      <c r="A17809" t="s">
        <v>230</v>
      </c>
      <c r="B17809" t="s">
        <v>372</v>
      </c>
      <c r="C17809" s="26">
        <v>0.54179999999999995</v>
      </c>
      <c r="D17809" s="26">
        <v>0.44940000000000002</v>
      </c>
      <c r="E17809" s="26">
        <v>8.8000000000000005E-3</v>
      </c>
      <c r="F17809">
        <v>82</v>
      </c>
    </row>
    <row r="17810" spans="1:6" x14ac:dyDescent="0.35">
      <c r="A17810" t="s">
        <v>230</v>
      </c>
      <c r="B17810" t="s">
        <v>373</v>
      </c>
      <c r="C17810" s="26">
        <v>0.64700000000000002</v>
      </c>
      <c r="D17810" s="26">
        <v>0.35299999999999998</v>
      </c>
      <c r="F17810">
        <v>61</v>
      </c>
    </row>
    <row r="17811" spans="1:6" x14ac:dyDescent="0.35">
      <c r="A17811" s="27" t="s">
        <v>231</v>
      </c>
      <c r="B17811" s="27" t="s">
        <v>371</v>
      </c>
      <c r="C17811" s="28">
        <v>0.6</v>
      </c>
      <c r="D17811" s="28">
        <v>0.4</v>
      </c>
      <c r="E17811" s="29"/>
      <c r="F17811" s="29" t="s">
        <v>332</v>
      </c>
    </row>
    <row r="17812" spans="1:6" x14ac:dyDescent="0.35">
      <c r="A17812" t="s">
        <v>232</v>
      </c>
      <c r="B17812" t="s">
        <v>232</v>
      </c>
      <c r="C17812" s="26">
        <v>0.69699999999999995</v>
      </c>
      <c r="D17812" s="26">
        <v>0.30159999999999998</v>
      </c>
      <c r="E17812" s="26">
        <v>1.4E-3</v>
      </c>
      <c r="F17812">
        <v>609</v>
      </c>
    </row>
    <row r="17814" spans="1:6" x14ac:dyDescent="0.35">
      <c r="A17814" s="1" t="s">
        <v>1813</v>
      </c>
    </row>
    <row r="17815" spans="1:6" x14ac:dyDescent="0.35">
      <c r="A17815" t="s">
        <v>219</v>
      </c>
      <c r="B17815" t="s">
        <v>305</v>
      </c>
      <c r="C17815" t="s">
        <v>303</v>
      </c>
      <c r="D17815" t="s">
        <v>302</v>
      </c>
      <c r="E17815" t="s">
        <v>286</v>
      </c>
      <c r="F17815" t="s">
        <v>226</v>
      </c>
    </row>
    <row r="17816" spans="1:6" x14ac:dyDescent="0.35">
      <c r="A17816" s="27" t="s">
        <v>227</v>
      </c>
      <c r="B17816" s="27" t="s">
        <v>255</v>
      </c>
      <c r="C17816" s="28">
        <v>1</v>
      </c>
      <c r="D17816" s="29"/>
      <c r="E17816" s="29"/>
      <c r="F17816" s="29" t="s">
        <v>337</v>
      </c>
    </row>
    <row r="17817" spans="1:6" x14ac:dyDescent="0.35">
      <c r="A17817" s="27" t="s">
        <v>227</v>
      </c>
      <c r="B17817" s="27" t="s">
        <v>256</v>
      </c>
      <c r="C17817" s="28">
        <v>1</v>
      </c>
      <c r="D17817" s="29"/>
      <c r="E17817" s="29"/>
      <c r="F17817" s="29" t="s">
        <v>331</v>
      </c>
    </row>
    <row r="17818" spans="1:6" x14ac:dyDescent="0.35">
      <c r="A17818" t="s">
        <v>228</v>
      </c>
      <c r="B17818" t="s">
        <v>255</v>
      </c>
      <c r="C17818" s="26">
        <v>0.62450000000000006</v>
      </c>
      <c r="D17818" s="26">
        <v>0.37159999999999999</v>
      </c>
      <c r="E17818" s="26">
        <v>3.8999999999999998E-3</v>
      </c>
      <c r="F17818">
        <v>229</v>
      </c>
    </row>
    <row r="17819" spans="1:6" x14ac:dyDescent="0.35">
      <c r="A17819" s="27" t="s">
        <v>228</v>
      </c>
      <c r="B17819" s="27" t="s">
        <v>258</v>
      </c>
      <c r="C17819" s="28">
        <v>0.5</v>
      </c>
      <c r="D17819" s="28">
        <v>0.5</v>
      </c>
      <c r="E17819" s="29"/>
      <c r="F17819" s="29" t="s">
        <v>314</v>
      </c>
    </row>
    <row r="17820" spans="1:6" x14ac:dyDescent="0.35">
      <c r="A17820" t="s">
        <v>228</v>
      </c>
      <c r="B17820" t="s">
        <v>256</v>
      </c>
      <c r="C17820" s="26">
        <v>0.81430000000000002</v>
      </c>
      <c r="D17820" s="26">
        <v>0.1857</v>
      </c>
      <c r="F17820">
        <v>56</v>
      </c>
    </row>
    <row r="17821" spans="1:6" x14ac:dyDescent="0.35">
      <c r="A17821" s="27" t="s">
        <v>228</v>
      </c>
      <c r="B17821" s="27" t="s">
        <v>257</v>
      </c>
      <c r="C17821" s="28">
        <v>0.49480000000000002</v>
      </c>
      <c r="D17821" s="28">
        <v>0.50519999999999998</v>
      </c>
      <c r="E17821" s="29"/>
      <c r="F17821" s="29" t="s">
        <v>332</v>
      </c>
    </row>
    <row r="17822" spans="1:6" x14ac:dyDescent="0.35">
      <c r="A17822" t="s">
        <v>229</v>
      </c>
      <c r="B17822" t="s">
        <v>255</v>
      </c>
      <c r="C17822" s="26">
        <v>0.78129999999999999</v>
      </c>
      <c r="D17822" s="26">
        <v>0.21870000000000001</v>
      </c>
      <c r="F17822">
        <v>100</v>
      </c>
    </row>
    <row r="17823" spans="1:6" x14ac:dyDescent="0.35">
      <c r="A17823" s="27" t="s">
        <v>229</v>
      </c>
      <c r="B17823" s="27" t="s">
        <v>256</v>
      </c>
      <c r="C17823" s="28">
        <v>0.70289999999999997</v>
      </c>
      <c r="D17823" s="28">
        <v>0.29709999999999998</v>
      </c>
      <c r="E17823" s="29"/>
      <c r="F17823" s="29" t="s">
        <v>336</v>
      </c>
    </row>
    <row r="17824" spans="1:6" x14ac:dyDescent="0.35">
      <c r="A17824" s="27" t="s">
        <v>229</v>
      </c>
      <c r="B17824" s="27" t="s">
        <v>257</v>
      </c>
      <c r="C17824" s="28">
        <v>0.26</v>
      </c>
      <c r="D17824" s="28">
        <v>0.74</v>
      </c>
      <c r="E17824" s="29"/>
      <c r="F17824" s="29" t="s">
        <v>337</v>
      </c>
    </row>
    <row r="17825" spans="1:10" x14ac:dyDescent="0.35">
      <c r="A17825" s="27" t="s">
        <v>229</v>
      </c>
      <c r="B17825" s="27" t="s">
        <v>258</v>
      </c>
      <c r="C17825" s="28">
        <v>1</v>
      </c>
      <c r="D17825" s="29"/>
      <c r="E17825" s="29"/>
      <c r="F17825" s="29" t="s">
        <v>331</v>
      </c>
    </row>
    <row r="17826" spans="1:10" x14ac:dyDescent="0.35">
      <c r="A17826" t="s">
        <v>230</v>
      </c>
      <c r="B17826" t="s">
        <v>256</v>
      </c>
      <c r="C17826" s="26">
        <v>0.59030000000000005</v>
      </c>
      <c r="D17826" s="26">
        <v>0.40970000000000001</v>
      </c>
      <c r="F17826">
        <v>37</v>
      </c>
    </row>
    <row r="17827" spans="1:10" x14ac:dyDescent="0.35">
      <c r="A17827" t="s">
        <v>230</v>
      </c>
      <c r="B17827" t="s">
        <v>255</v>
      </c>
      <c r="C17827" s="26">
        <v>0.62229999999999996</v>
      </c>
      <c r="D17827" s="26">
        <v>0.37530000000000002</v>
      </c>
      <c r="E17827" s="26">
        <v>2.3E-3</v>
      </c>
      <c r="F17827">
        <v>128</v>
      </c>
    </row>
    <row r="17828" spans="1:10" x14ac:dyDescent="0.35">
      <c r="A17828" s="27" t="s">
        <v>230</v>
      </c>
      <c r="B17828" s="27" t="s">
        <v>258</v>
      </c>
      <c r="C17828" s="28">
        <v>0.76470000000000005</v>
      </c>
      <c r="D17828" s="28">
        <v>0.23530000000000001</v>
      </c>
      <c r="E17828" s="29"/>
      <c r="F17828" s="29" t="s">
        <v>314</v>
      </c>
    </row>
    <row r="17829" spans="1:10" x14ac:dyDescent="0.35">
      <c r="A17829" s="27" t="s">
        <v>230</v>
      </c>
      <c r="B17829" s="27" t="s">
        <v>257</v>
      </c>
      <c r="C17829" s="28">
        <v>0.85619999999999996</v>
      </c>
      <c r="D17829" s="28">
        <v>0.14380000000000001</v>
      </c>
      <c r="E17829" s="29"/>
      <c r="F17829" s="29" t="s">
        <v>339</v>
      </c>
    </row>
    <row r="17830" spans="1:10" x14ac:dyDescent="0.35">
      <c r="A17830" s="27" t="s">
        <v>231</v>
      </c>
      <c r="B17830" s="27" t="s">
        <v>255</v>
      </c>
      <c r="C17830" s="28">
        <v>0.33329999999999999</v>
      </c>
      <c r="D17830" s="28">
        <v>0.66669999999999996</v>
      </c>
      <c r="E17830" s="29"/>
      <c r="F17830" s="29" t="s">
        <v>315</v>
      </c>
    </row>
    <row r="17831" spans="1:10" x14ac:dyDescent="0.35">
      <c r="A17831" s="27" t="s">
        <v>231</v>
      </c>
      <c r="B17831" s="27" t="s">
        <v>256</v>
      </c>
      <c r="C17831" s="28">
        <v>1</v>
      </c>
      <c r="D17831" s="29"/>
      <c r="E17831" s="29"/>
      <c r="F17831" s="29" t="s">
        <v>314</v>
      </c>
    </row>
    <row r="17832" spans="1:10" x14ac:dyDescent="0.35">
      <c r="A17832" t="s">
        <v>232</v>
      </c>
      <c r="B17832" t="s">
        <v>232</v>
      </c>
      <c r="C17832" s="26">
        <v>0.69699999999999995</v>
      </c>
      <c r="D17832" s="26">
        <v>0.30159999999999998</v>
      </c>
      <c r="E17832" s="26">
        <v>1.4E-3</v>
      </c>
      <c r="F17832">
        <v>609</v>
      </c>
    </row>
    <row r="17834" spans="1:10" x14ac:dyDescent="0.35">
      <c r="A17834" s="1" t="s">
        <v>1814</v>
      </c>
    </row>
    <row r="17835" spans="1:10" x14ac:dyDescent="0.35">
      <c r="A17835" t="s">
        <v>219</v>
      </c>
      <c r="B17835" t="s">
        <v>1815</v>
      </c>
      <c r="C17835" t="s">
        <v>1816</v>
      </c>
      <c r="D17835" t="s">
        <v>281</v>
      </c>
      <c r="E17835" t="s">
        <v>1817</v>
      </c>
      <c r="F17835" t="s">
        <v>1818</v>
      </c>
      <c r="G17835" t="s">
        <v>1819</v>
      </c>
      <c r="H17835" t="s">
        <v>1820</v>
      </c>
      <c r="I17835" t="s">
        <v>1821</v>
      </c>
      <c r="J17835" t="s">
        <v>226</v>
      </c>
    </row>
    <row r="17836" spans="1:10" x14ac:dyDescent="0.35">
      <c r="A17836" t="s">
        <v>228</v>
      </c>
      <c r="B17836" s="26">
        <v>0.44259999999999999</v>
      </c>
      <c r="C17836" s="26">
        <v>0.33360000000000001</v>
      </c>
      <c r="D17836" s="26">
        <v>8.9899999999999994E-2</v>
      </c>
      <c r="E17836" s="26">
        <v>0.1371</v>
      </c>
      <c r="F17836" s="26">
        <v>0.1206</v>
      </c>
      <c r="G17836" s="26">
        <v>0.13769999999999999</v>
      </c>
      <c r="H17836" s="26">
        <v>4.3900000000000002E-2</v>
      </c>
      <c r="I17836" s="26">
        <v>5.28E-2</v>
      </c>
      <c r="J17836">
        <v>113</v>
      </c>
    </row>
    <row r="17837" spans="1:10" x14ac:dyDescent="0.35">
      <c r="A17837" t="s">
        <v>229</v>
      </c>
      <c r="B17837" s="26">
        <v>0.50790000000000002</v>
      </c>
      <c r="C17837" s="26">
        <v>0.1033</v>
      </c>
      <c r="D17837" s="26">
        <v>0.1157</v>
      </c>
      <c r="E17837" s="26">
        <v>0.189</v>
      </c>
      <c r="F17837" s="26">
        <v>0.14799999999999999</v>
      </c>
      <c r="G17837" s="26">
        <v>0.15029999999999999</v>
      </c>
      <c r="H17837" s="26">
        <v>3.7900000000000003E-2</v>
      </c>
      <c r="I17837" s="26">
        <v>5.8999999999999999E-3</v>
      </c>
      <c r="J17837">
        <v>36</v>
      </c>
    </row>
    <row r="17838" spans="1:10" x14ac:dyDescent="0.35">
      <c r="A17838" t="s">
        <v>230</v>
      </c>
      <c r="B17838" s="26">
        <v>0.53069999999999995</v>
      </c>
      <c r="C17838" s="26">
        <v>0.37730000000000002</v>
      </c>
      <c r="D17838" s="26">
        <v>5.4600000000000003E-2</v>
      </c>
      <c r="E17838" s="26">
        <v>6.3399999999999998E-2</v>
      </c>
      <c r="F17838" s="26">
        <v>0.1351</v>
      </c>
      <c r="G17838" s="26">
        <v>0.04</v>
      </c>
      <c r="H17838" s="26">
        <v>7.6200000000000004E-2</v>
      </c>
      <c r="I17838" s="26">
        <v>4.6899999999999997E-2</v>
      </c>
      <c r="J17838">
        <v>71</v>
      </c>
    </row>
    <row r="17839" spans="1:10" x14ac:dyDescent="0.35">
      <c r="A17839" s="27" t="s">
        <v>231</v>
      </c>
      <c r="B17839" s="28">
        <v>0.5</v>
      </c>
      <c r="C17839" s="29"/>
      <c r="D17839" s="28">
        <v>0.5</v>
      </c>
      <c r="E17839" s="29"/>
      <c r="F17839" s="29"/>
      <c r="G17839" s="29"/>
      <c r="H17839" s="29"/>
      <c r="I17839" s="29"/>
      <c r="J17839" s="29" t="s">
        <v>314</v>
      </c>
    </row>
    <row r="17840" spans="1:10" x14ac:dyDescent="0.35">
      <c r="A17840" t="s">
        <v>232</v>
      </c>
      <c r="B17840" s="26">
        <v>0.48330000000000001</v>
      </c>
      <c r="C17840" s="26">
        <v>0.23419999999999999</v>
      </c>
      <c r="D17840" s="26">
        <v>0.14030000000000001</v>
      </c>
      <c r="E17840" s="26">
        <v>0.1235</v>
      </c>
      <c r="F17840" s="26">
        <v>0.1167</v>
      </c>
      <c r="G17840" s="26">
        <v>0.1085</v>
      </c>
      <c r="H17840" s="26">
        <v>4.24E-2</v>
      </c>
      <c r="I17840" s="26">
        <v>3.1800000000000002E-2</v>
      </c>
      <c r="J17840">
        <v>222</v>
      </c>
    </row>
    <row r="17842" spans="1:11" x14ac:dyDescent="0.35">
      <c r="A17842" s="1" t="s">
        <v>1822</v>
      </c>
    </row>
    <row r="17843" spans="1:11" x14ac:dyDescent="0.35">
      <c r="A17843" t="s">
        <v>219</v>
      </c>
      <c r="B17843" t="s">
        <v>305</v>
      </c>
      <c r="C17843" t="s">
        <v>1815</v>
      </c>
      <c r="D17843" t="s">
        <v>1816</v>
      </c>
      <c r="E17843" t="s">
        <v>281</v>
      </c>
      <c r="F17843" t="s">
        <v>1817</v>
      </c>
      <c r="G17843" t="s">
        <v>1818</v>
      </c>
      <c r="H17843" t="s">
        <v>1819</v>
      </c>
      <c r="I17843" t="s">
        <v>1820</v>
      </c>
      <c r="J17843" t="s">
        <v>1821</v>
      </c>
      <c r="K17843" t="s">
        <v>226</v>
      </c>
    </row>
    <row r="17844" spans="1:11" x14ac:dyDescent="0.35">
      <c r="A17844" t="s">
        <v>228</v>
      </c>
      <c r="B17844" t="s">
        <v>242</v>
      </c>
      <c r="C17844" s="26">
        <v>0.4803</v>
      </c>
      <c r="D17844" s="26">
        <v>0.1915</v>
      </c>
      <c r="E17844" s="26">
        <v>0.1613</v>
      </c>
      <c r="F17844" s="26">
        <v>9.8400000000000001E-2</v>
      </c>
      <c r="G17844" s="26">
        <v>0.13439999999999999</v>
      </c>
      <c r="H17844" s="26">
        <v>0.18079999999999999</v>
      </c>
      <c r="I17844" s="26">
        <v>2.4400000000000002E-2</v>
      </c>
      <c r="J17844" s="26">
        <v>4.58E-2</v>
      </c>
      <c r="K17844">
        <v>61</v>
      </c>
    </row>
    <row r="17845" spans="1:11" x14ac:dyDescent="0.35">
      <c r="A17845" t="s">
        <v>228</v>
      </c>
      <c r="B17845" t="s">
        <v>241</v>
      </c>
      <c r="C17845" s="26">
        <v>0.39500000000000002</v>
      </c>
      <c r="D17845" s="26">
        <v>0.51249999999999996</v>
      </c>
      <c r="F17845" s="26">
        <v>0.18579999999999999</v>
      </c>
      <c r="G17845" s="26">
        <v>0.1032</v>
      </c>
      <c r="H17845" s="26">
        <v>8.3400000000000002E-2</v>
      </c>
      <c r="I17845" s="26">
        <v>6.83E-2</v>
      </c>
      <c r="J17845" s="26">
        <v>6.1499999999999999E-2</v>
      </c>
      <c r="K17845">
        <v>52</v>
      </c>
    </row>
    <row r="17846" spans="1:11" x14ac:dyDescent="0.35">
      <c r="A17846" s="27" t="s">
        <v>229</v>
      </c>
      <c r="B17846" s="27" t="s">
        <v>242</v>
      </c>
      <c r="C17846" s="28">
        <v>0.44290000000000002</v>
      </c>
      <c r="D17846" s="28">
        <v>0.13730000000000001</v>
      </c>
      <c r="E17846" s="29"/>
      <c r="F17846" s="28">
        <v>0.30570000000000003</v>
      </c>
      <c r="G17846" s="28">
        <v>4.4200000000000003E-2</v>
      </c>
      <c r="H17846" s="28">
        <v>0.41670000000000001</v>
      </c>
      <c r="I17846" s="28">
        <v>3.4299999999999997E-2</v>
      </c>
      <c r="J17846" s="28">
        <v>1.7600000000000001E-2</v>
      </c>
      <c r="K17846" s="29" t="s">
        <v>348</v>
      </c>
    </row>
    <row r="17847" spans="1:11" x14ac:dyDescent="0.35">
      <c r="A17847" s="27" t="s">
        <v>229</v>
      </c>
      <c r="B17847" s="27" t="s">
        <v>241</v>
      </c>
      <c r="C17847" s="28">
        <v>0.54039999999999999</v>
      </c>
      <c r="D17847" s="28">
        <v>8.6300000000000002E-2</v>
      </c>
      <c r="E17847" s="28">
        <v>0.17349999999999999</v>
      </c>
      <c r="F17847" s="28">
        <v>0.13070000000000001</v>
      </c>
      <c r="G17847" s="28">
        <v>0.19980000000000001</v>
      </c>
      <c r="H17847" s="28">
        <v>1.72E-2</v>
      </c>
      <c r="I17847" s="28">
        <v>3.9800000000000002E-2</v>
      </c>
      <c r="J17847" s="29"/>
      <c r="K17847" s="29" t="s">
        <v>350</v>
      </c>
    </row>
    <row r="17848" spans="1:11" x14ac:dyDescent="0.35">
      <c r="A17848" t="s">
        <v>230</v>
      </c>
      <c r="B17848" t="s">
        <v>242</v>
      </c>
      <c r="C17848" s="26">
        <v>0.60950000000000004</v>
      </c>
      <c r="D17848" s="26">
        <v>0.1754</v>
      </c>
      <c r="E17848" s="26">
        <v>4.2999999999999997E-2</v>
      </c>
      <c r="F17848" s="26">
        <v>0.10920000000000001</v>
      </c>
      <c r="G17848" s="26">
        <v>0.18529999999999999</v>
      </c>
      <c r="H17848" s="26">
        <v>5.6300000000000003E-2</v>
      </c>
      <c r="I17848" s="26">
        <v>0.1268</v>
      </c>
      <c r="J17848" s="26">
        <v>5.6300000000000003E-2</v>
      </c>
      <c r="K17848">
        <v>32</v>
      </c>
    </row>
    <row r="17849" spans="1:11" x14ac:dyDescent="0.35">
      <c r="A17849" t="s">
        <v>230</v>
      </c>
      <c r="B17849" t="s">
        <v>241</v>
      </c>
      <c r="C17849" s="26">
        <v>0.47449999999999998</v>
      </c>
      <c r="D17849" s="26">
        <v>0.52149999999999996</v>
      </c>
      <c r="E17849" s="26">
        <v>6.2899999999999998E-2</v>
      </c>
      <c r="F17849" s="26">
        <v>3.0700000000000002E-2</v>
      </c>
      <c r="G17849" s="26">
        <v>9.9199999999999997E-2</v>
      </c>
      <c r="H17849" s="26">
        <v>2.8299999999999999E-2</v>
      </c>
      <c r="I17849" s="26">
        <v>4.0099999999999997E-2</v>
      </c>
      <c r="J17849" s="26">
        <v>4.0099999999999997E-2</v>
      </c>
      <c r="K17849">
        <v>39</v>
      </c>
    </row>
    <row r="17850" spans="1:11" x14ac:dyDescent="0.35">
      <c r="A17850" s="27" t="s">
        <v>231</v>
      </c>
      <c r="B17850" s="27" t="s">
        <v>241</v>
      </c>
      <c r="C17850" s="28">
        <v>0.5</v>
      </c>
      <c r="D17850" s="29"/>
      <c r="E17850" s="28">
        <v>0.5</v>
      </c>
      <c r="F17850" s="29"/>
      <c r="G17850" s="29"/>
      <c r="H17850" s="29"/>
      <c r="I17850" s="29"/>
      <c r="J17850" s="29"/>
      <c r="K17850" s="29" t="s">
        <v>314</v>
      </c>
    </row>
    <row r="17851" spans="1:11" x14ac:dyDescent="0.35">
      <c r="A17851" t="s">
        <v>232</v>
      </c>
      <c r="B17851" t="s">
        <v>232</v>
      </c>
      <c r="C17851" s="26">
        <v>0.48330000000000001</v>
      </c>
      <c r="D17851" s="26">
        <v>0.23419999999999999</v>
      </c>
      <c r="E17851" s="26">
        <v>0.14030000000000001</v>
      </c>
      <c r="F17851" s="26">
        <v>0.1235</v>
      </c>
      <c r="G17851" s="26">
        <v>0.1167</v>
      </c>
      <c r="H17851" s="26">
        <v>0.1085</v>
      </c>
      <c r="I17851" s="26">
        <v>4.24E-2</v>
      </c>
      <c r="J17851" s="26">
        <v>3.1800000000000002E-2</v>
      </c>
      <c r="K17851">
        <v>222</v>
      </c>
    </row>
    <row r="17853" spans="1:11" x14ac:dyDescent="0.35">
      <c r="A17853" s="1" t="s">
        <v>1823</v>
      </c>
    </row>
    <row r="17854" spans="1:11" x14ac:dyDescent="0.35">
      <c r="A17854" t="s">
        <v>219</v>
      </c>
      <c r="B17854" t="s">
        <v>305</v>
      </c>
      <c r="C17854" t="s">
        <v>1815</v>
      </c>
      <c r="D17854" t="s">
        <v>1816</v>
      </c>
      <c r="E17854" t="s">
        <v>281</v>
      </c>
      <c r="F17854" t="s">
        <v>1817</v>
      </c>
      <c r="G17854" t="s">
        <v>1818</v>
      </c>
      <c r="H17854" t="s">
        <v>1819</v>
      </c>
      <c r="I17854" t="s">
        <v>1820</v>
      </c>
      <c r="J17854" t="s">
        <v>1821</v>
      </c>
      <c r="K17854" t="s">
        <v>226</v>
      </c>
    </row>
    <row r="17855" spans="1:11" x14ac:dyDescent="0.35">
      <c r="A17855" t="s">
        <v>228</v>
      </c>
      <c r="B17855" t="s">
        <v>239</v>
      </c>
      <c r="C17855" s="26">
        <v>0.4395</v>
      </c>
      <c r="D17855" s="26">
        <v>0.42149999999999999</v>
      </c>
      <c r="E17855" s="26">
        <v>7.2900000000000006E-2</v>
      </c>
      <c r="F17855" s="26">
        <v>0.129</v>
      </c>
      <c r="G17855" s="26">
        <v>0.1079</v>
      </c>
      <c r="H17855" s="26">
        <v>5.5300000000000002E-2</v>
      </c>
      <c r="I17855" s="26">
        <v>0.1381</v>
      </c>
      <c r="J17855" s="26">
        <v>1.61E-2</v>
      </c>
      <c r="K17855">
        <v>35</v>
      </c>
    </row>
    <row r="17856" spans="1:11" x14ac:dyDescent="0.35">
      <c r="A17856" t="s">
        <v>228</v>
      </c>
      <c r="B17856" t="s">
        <v>238</v>
      </c>
      <c r="C17856" s="26">
        <v>0.44359999999999999</v>
      </c>
      <c r="D17856" s="26">
        <v>0.30480000000000002</v>
      </c>
      <c r="E17856" s="26">
        <v>9.5500000000000002E-2</v>
      </c>
      <c r="F17856" s="26">
        <v>0.13980000000000001</v>
      </c>
      <c r="G17856" s="26">
        <v>0.12470000000000001</v>
      </c>
      <c r="H17856" s="26">
        <v>0.1646</v>
      </c>
      <c r="I17856" s="26">
        <v>1.3100000000000001E-2</v>
      </c>
      <c r="J17856" s="26">
        <v>6.4699999999999994E-2</v>
      </c>
      <c r="K17856">
        <v>78</v>
      </c>
    </row>
    <row r="17857" spans="1:11" x14ac:dyDescent="0.35">
      <c r="A17857" s="27" t="s">
        <v>229</v>
      </c>
      <c r="B17857" s="27" t="s">
        <v>239</v>
      </c>
      <c r="C17857" s="28">
        <v>0.6603</v>
      </c>
      <c r="D17857" s="29"/>
      <c r="E17857" s="29"/>
      <c r="F17857" s="28">
        <v>0.56679999999999997</v>
      </c>
      <c r="G17857" s="28">
        <v>0.28339999999999999</v>
      </c>
      <c r="H17857" s="28">
        <v>3.7199999999999997E-2</v>
      </c>
      <c r="I17857" s="29"/>
      <c r="J17857" s="28">
        <v>1.9099999999999999E-2</v>
      </c>
      <c r="K17857" s="29" t="s">
        <v>333</v>
      </c>
    </row>
    <row r="17858" spans="1:11" x14ac:dyDescent="0.35">
      <c r="A17858" s="27" t="s">
        <v>229</v>
      </c>
      <c r="B17858" s="27" t="s">
        <v>238</v>
      </c>
      <c r="C17858" s="28">
        <v>0.44019999999999998</v>
      </c>
      <c r="D17858" s="28">
        <v>0.14910000000000001</v>
      </c>
      <c r="E17858" s="28">
        <v>0.16700000000000001</v>
      </c>
      <c r="F17858" s="28">
        <v>2.1299999999999999E-2</v>
      </c>
      <c r="G17858" s="28">
        <v>8.7800000000000003E-2</v>
      </c>
      <c r="H17858" s="28">
        <v>0.20050000000000001</v>
      </c>
      <c r="I17858" s="28">
        <v>5.4800000000000001E-2</v>
      </c>
      <c r="J17858" s="29"/>
      <c r="K17858" s="29" t="s">
        <v>336</v>
      </c>
    </row>
    <row r="17859" spans="1:11" x14ac:dyDescent="0.35">
      <c r="A17859" s="27" t="s">
        <v>230</v>
      </c>
      <c r="B17859" s="27" t="s">
        <v>239</v>
      </c>
      <c r="C17859" s="28">
        <v>0.45950000000000002</v>
      </c>
      <c r="D17859" s="28">
        <v>0.16059999999999999</v>
      </c>
      <c r="E17859" s="28">
        <v>0.21929999999999999</v>
      </c>
      <c r="F17859" s="28">
        <v>6.6400000000000001E-2</v>
      </c>
      <c r="G17859" s="28">
        <v>0.26019999999999999</v>
      </c>
      <c r="H17859" s="28">
        <v>2.2100000000000002E-2</v>
      </c>
      <c r="I17859" s="28">
        <v>4.4299999999999999E-2</v>
      </c>
      <c r="J17859" s="28">
        <v>0.1163</v>
      </c>
      <c r="K17859" s="29" t="s">
        <v>338</v>
      </c>
    </row>
    <row r="17860" spans="1:11" x14ac:dyDescent="0.35">
      <c r="A17860" t="s">
        <v>230</v>
      </c>
      <c r="B17860" t="s">
        <v>238</v>
      </c>
      <c r="C17860" s="26">
        <v>0.55430000000000001</v>
      </c>
      <c r="D17860" s="26">
        <v>0.44919999999999999</v>
      </c>
      <c r="F17860" s="26">
        <v>6.2399999999999997E-2</v>
      </c>
      <c r="G17860" s="26">
        <v>9.3600000000000003E-2</v>
      </c>
      <c r="H17860" s="26">
        <v>4.5900000000000003E-2</v>
      </c>
      <c r="I17860" s="26">
        <v>8.6800000000000002E-2</v>
      </c>
      <c r="J17860" s="26">
        <v>2.3900000000000001E-2</v>
      </c>
      <c r="K17860">
        <v>44</v>
      </c>
    </row>
    <row r="17861" spans="1:11" x14ac:dyDescent="0.35">
      <c r="A17861" s="27" t="s">
        <v>231</v>
      </c>
      <c r="B17861" s="27" t="s">
        <v>239</v>
      </c>
      <c r="C17861" s="29"/>
      <c r="D17861" s="29"/>
      <c r="E17861" s="28">
        <v>1</v>
      </c>
      <c r="F17861" s="29"/>
      <c r="G17861" s="29"/>
      <c r="H17861" s="29"/>
      <c r="I17861" s="29"/>
      <c r="J17861" s="29"/>
      <c r="K17861" s="29" t="s">
        <v>331</v>
      </c>
    </row>
    <row r="17862" spans="1:11" x14ac:dyDescent="0.35">
      <c r="A17862" s="27" t="s">
        <v>231</v>
      </c>
      <c r="B17862" s="27" t="s">
        <v>238</v>
      </c>
      <c r="C17862" s="28">
        <v>1</v>
      </c>
      <c r="D17862" s="29"/>
      <c r="E17862" s="29"/>
      <c r="F17862" s="29"/>
      <c r="G17862" s="29"/>
      <c r="H17862" s="29"/>
      <c r="I17862" s="29"/>
      <c r="J17862" s="29"/>
      <c r="K17862" s="29" t="s">
        <v>331</v>
      </c>
    </row>
    <row r="17863" spans="1:11" x14ac:dyDescent="0.35">
      <c r="A17863" t="s">
        <v>232</v>
      </c>
      <c r="B17863" t="s">
        <v>232</v>
      </c>
      <c r="C17863" s="26">
        <v>0.48330000000000001</v>
      </c>
      <c r="D17863" s="26">
        <v>0.23419999999999999</v>
      </c>
      <c r="E17863" s="26">
        <v>0.14030000000000001</v>
      </c>
      <c r="F17863" s="26">
        <v>0.1235</v>
      </c>
      <c r="G17863" s="26">
        <v>0.1167</v>
      </c>
      <c r="H17863" s="26">
        <v>0.1085</v>
      </c>
      <c r="I17863" s="26">
        <v>4.24E-2</v>
      </c>
      <c r="J17863" s="26">
        <v>3.1800000000000002E-2</v>
      </c>
      <c r="K17863">
        <v>222</v>
      </c>
    </row>
    <row r="17865" spans="1:11" x14ac:dyDescent="0.35">
      <c r="A17865" s="1" t="s">
        <v>1824</v>
      </c>
    </row>
    <row r="17866" spans="1:11" x14ac:dyDescent="0.35">
      <c r="A17866" t="s">
        <v>219</v>
      </c>
      <c r="B17866" t="s">
        <v>305</v>
      </c>
      <c r="C17866" t="s">
        <v>1815</v>
      </c>
      <c r="D17866" t="s">
        <v>1816</v>
      </c>
      <c r="E17866" t="s">
        <v>281</v>
      </c>
      <c r="F17866" t="s">
        <v>1817</v>
      </c>
      <c r="G17866" t="s">
        <v>1818</v>
      </c>
      <c r="H17866" t="s">
        <v>1819</v>
      </c>
      <c r="I17866" t="s">
        <v>1820</v>
      </c>
      <c r="J17866" t="s">
        <v>1821</v>
      </c>
      <c r="K17866" t="s">
        <v>226</v>
      </c>
    </row>
    <row r="17867" spans="1:11" x14ac:dyDescent="0.35">
      <c r="A17867" t="s">
        <v>228</v>
      </c>
      <c r="B17867" t="s">
        <v>244</v>
      </c>
      <c r="C17867" s="26">
        <v>0.40200000000000002</v>
      </c>
      <c r="D17867" s="26">
        <v>0.32450000000000001</v>
      </c>
      <c r="E17867" s="26">
        <v>0.10639999999999999</v>
      </c>
      <c r="F17867" s="26">
        <v>0.14119999999999999</v>
      </c>
      <c r="G17867" s="26">
        <v>0.1075</v>
      </c>
      <c r="H17867" s="26">
        <v>0.1794</v>
      </c>
      <c r="I17867" s="26">
        <v>4.58E-2</v>
      </c>
      <c r="J17867" s="26">
        <v>4.3099999999999999E-2</v>
      </c>
      <c r="K17867">
        <v>74</v>
      </c>
    </row>
    <row r="17868" spans="1:11" x14ac:dyDescent="0.35">
      <c r="A17868" t="s">
        <v>228</v>
      </c>
      <c r="B17868" t="s">
        <v>245</v>
      </c>
      <c r="C17868" s="26">
        <v>0.46600000000000003</v>
      </c>
      <c r="D17868" s="26">
        <v>0.38</v>
      </c>
      <c r="E17868" s="26">
        <v>1.89E-2</v>
      </c>
      <c r="F17868" s="26">
        <v>5.6800000000000003E-2</v>
      </c>
      <c r="G17868" s="26">
        <v>0.1129</v>
      </c>
      <c r="H17868" s="26">
        <v>3.78E-2</v>
      </c>
      <c r="I17868" s="26">
        <v>5.1200000000000002E-2</v>
      </c>
      <c r="J17868" s="26">
        <v>0.1028</v>
      </c>
      <c r="K17868">
        <v>32</v>
      </c>
    </row>
    <row r="17869" spans="1:11" x14ac:dyDescent="0.35">
      <c r="A17869" s="27" t="s">
        <v>228</v>
      </c>
      <c r="B17869" s="27" t="s">
        <v>246</v>
      </c>
      <c r="C17869" s="28">
        <v>0.80669999999999997</v>
      </c>
      <c r="D17869" s="28">
        <v>0.2858</v>
      </c>
      <c r="E17869" s="28">
        <v>0.13400000000000001</v>
      </c>
      <c r="F17869" s="28">
        <v>0.34510000000000002</v>
      </c>
      <c r="G17869" s="28">
        <v>0.2858</v>
      </c>
      <c r="H17869" s="29"/>
      <c r="I17869" s="29"/>
      <c r="J17869" s="29"/>
      <c r="K17869" s="29" t="s">
        <v>339</v>
      </c>
    </row>
    <row r="17870" spans="1:11" x14ac:dyDescent="0.35">
      <c r="A17870" s="27" t="s">
        <v>229</v>
      </c>
      <c r="B17870" s="27" t="s">
        <v>244</v>
      </c>
      <c r="C17870" s="28">
        <v>0.54959999999999998</v>
      </c>
      <c r="D17870" s="28">
        <v>0.1017</v>
      </c>
      <c r="E17870" s="28">
        <v>0.13189999999999999</v>
      </c>
      <c r="F17870" s="28">
        <v>0.12889999999999999</v>
      </c>
      <c r="G17870" s="28">
        <v>0.12470000000000001</v>
      </c>
      <c r="H17870" s="28">
        <v>0.19020000000000001</v>
      </c>
      <c r="I17870" s="28">
        <v>4.3799999999999999E-2</v>
      </c>
      <c r="J17870" s="28">
        <v>7.4000000000000003E-3</v>
      </c>
      <c r="K17870" s="29" t="s">
        <v>328</v>
      </c>
    </row>
    <row r="17871" spans="1:11" x14ac:dyDescent="0.35">
      <c r="A17871" s="27" t="s">
        <v>229</v>
      </c>
      <c r="B17871" s="27" t="s">
        <v>245</v>
      </c>
      <c r="C17871" s="28">
        <v>0.2702</v>
      </c>
      <c r="D17871" s="28">
        <v>0.1226</v>
      </c>
      <c r="E17871" s="28">
        <v>6.13E-2</v>
      </c>
      <c r="F17871" s="28">
        <v>0.46689999999999998</v>
      </c>
      <c r="G17871" s="28">
        <v>0.14030000000000001</v>
      </c>
      <c r="H17871" s="29"/>
      <c r="I17871" s="28">
        <v>1.77E-2</v>
      </c>
      <c r="J17871" s="29"/>
      <c r="K17871" s="29" t="s">
        <v>342</v>
      </c>
    </row>
    <row r="17872" spans="1:11" x14ac:dyDescent="0.35">
      <c r="A17872" s="27" t="s">
        <v>229</v>
      </c>
      <c r="B17872" s="27" t="s">
        <v>246</v>
      </c>
      <c r="C17872" s="28">
        <v>1</v>
      </c>
      <c r="D17872" s="29"/>
      <c r="E17872" s="29"/>
      <c r="F17872" s="29"/>
      <c r="G17872" s="28">
        <v>1</v>
      </c>
      <c r="H17872" s="29"/>
      <c r="I17872" s="29"/>
      <c r="J17872" s="29"/>
      <c r="K17872" s="29" t="s">
        <v>331</v>
      </c>
    </row>
    <row r="17873" spans="1:11" x14ac:dyDescent="0.35">
      <c r="A17873" t="s">
        <v>230</v>
      </c>
      <c r="B17873" t="s">
        <v>244</v>
      </c>
      <c r="C17873" s="26">
        <v>0.58330000000000004</v>
      </c>
      <c r="D17873" s="26">
        <v>0.46329999999999999</v>
      </c>
      <c r="F17873" s="26">
        <v>2.4400000000000002E-2</v>
      </c>
      <c r="G17873" s="26">
        <v>0.13020000000000001</v>
      </c>
      <c r="H17873" s="26">
        <v>4.2700000000000002E-2</v>
      </c>
      <c r="I17873" s="26">
        <v>1.6299999999999999E-2</v>
      </c>
      <c r="J17873" s="26">
        <v>6.0999999999999999E-2</v>
      </c>
      <c r="K17873">
        <v>42</v>
      </c>
    </row>
    <row r="17874" spans="1:11" x14ac:dyDescent="0.35">
      <c r="A17874" s="27" t="s">
        <v>230</v>
      </c>
      <c r="B17874" s="27" t="s">
        <v>245</v>
      </c>
      <c r="C17874" s="28">
        <v>0.41089999999999999</v>
      </c>
      <c r="D17874" s="28">
        <v>0.22159999999999999</v>
      </c>
      <c r="E17874" s="28">
        <v>0.12670000000000001</v>
      </c>
      <c r="F17874" s="28">
        <v>0.1638</v>
      </c>
      <c r="G17874" s="28">
        <v>0.1638</v>
      </c>
      <c r="H17874" s="28">
        <v>3.85E-2</v>
      </c>
      <c r="I17874" s="28">
        <v>0.22789999999999999</v>
      </c>
      <c r="J17874" s="28">
        <v>1.9300000000000001E-2</v>
      </c>
      <c r="K17874" s="29" t="s">
        <v>338</v>
      </c>
    </row>
    <row r="17875" spans="1:11" x14ac:dyDescent="0.35">
      <c r="A17875" s="27" t="s">
        <v>230</v>
      </c>
      <c r="B17875" s="27" t="s">
        <v>246</v>
      </c>
      <c r="C17875" s="28">
        <v>0.49409999999999998</v>
      </c>
      <c r="D17875" s="29"/>
      <c r="E17875" s="28">
        <v>0.50590000000000002</v>
      </c>
      <c r="F17875" s="29"/>
      <c r="G17875" s="29"/>
      <c r="H17875" s="29"/>
      <c r="I17875" s="29"/>
      <c r="J17875" s="29"/>
      <c r="K17875" s="29" t="s">
        <v>314</v>
      </c>
    </row>
    <row r="17876" spans="1:11" x14ac:dyDescent="0.35">
      <c r="A17876" s="27" t="s">
        <v>231</v>
      </c>
      <c r="B17876" s="27" t="s">
        <v>244</v>
      </c>
      <c r="C17876" s="29"/>
      <c r="D17876" s="29"/>
      <c r="E17876" s="28">
        <v>1</v>
      </c>
      <c r="F17876" s="29"/>
      <c r="G17876" s="29"/>
      <c r="H17876" s="29"/>
      <c r="I17876" s="29"/>
      <c r="J17876" s="29"/>
      <c r="K17876" s="29" t="s">
        <v>331</v>
      </c>
    </row>
    <row r="17877" spans="1:11" x14ac:dyDescent="0.35">
      <c r="A17877" s="27" t="s">
        <v>231</v>
      </c>
      <c r="B17877" s="27" t="s">
        <v>245</v>
      </c>
      <c r="C17877" s="28">
        <v>1</v>
      </c>
      <c r="D17877" s="29"/>
      <c r="E17877" s="29"/>
      <c r="F17877" s="29"/>
      <c r="G17877" s="29"/>
      <c r="H17877" s="29"/>
      <c r="I17877" s="29"/>
      <c r="J17877" s="29"/>
      <c r="K17877" s="29" t="s">
        <v>331</v>
      </c>
    </row>
    <row r="17878" spans="1:11" x14ac:dyDescent="0.35">
      <c r="A17878" t="s">
        <v>232</v>
      </c>
      <c r="B17878" t="s">
        <v>232</v>
      </c>
      <c r="C17878" s="26">
        <v>0.48330000000000001</v>
      </c>
      <c r="D17878" s="26">
        <v>0.23419999999999999</v>
      </c>
      <c r="E17878" s="26">
        <v>0.14030000000000001</v>
      </c>
      <c r="F17878" s="26">
        <v>0.1235</v>
      </c>
      <c r="G17878" s="26">
        <v>0.1167</v>
      </c>
      <c r="H17878" s="26">
        <v>0.1085</v>
      </c>
      <c r="I17878" s="26">
        <v>4.24E-2</v>
      </c>
      <c r="J17878" s="26">
        <v>3.1800000000000002E-2</v>
      </c>
      <c r="K17878">
        <v>222</v>
      </c>
    </row>
    <row r="17880" spans="1:11" x14ac:dyDescent="0.35">
      <c r="A17880" s="1" t="s">
        <v>1825</v>
      </c>
    </row>
    <row r="17881" spans="1:11" x14ac:dyDescent="0.35">
      <c r="A17881" t="s">
        <v>219</v>
      </c>
      <c r="B17881" t="s">
        <v>305</v>
      </c>
      <c r="C17881" t="s">
        <v>1815</v>
      </c>
      <c r="D17881" t="s">
        <v>1816</v>
      </c>
      <c r="E17881" t="s">
        <v>281</v>
      </c>
      <c r="F17881" t="s">
        <v>1817</v>
      </c>
      <c r="G17881" t="s">
        <v>1818</v>
      </c>
      <c r="H17881" t="s">
        <v>1819</v>
      </c>
      <c r="I17881" t="s">
        <v>1820</v>
      </c>
      <c r="J17881" t="s">
        <v>1821</v>
      </c>
      <c r="K17881" t="s">
        <v>226</v>
      </c>
    </row>
    <row r="17882" spans="1:11" x14ac:dyDescent="0.35">
      <c r="A17882" t="s">
        <v>228</v>
      </c>
      <c r="B17882" t="s">
        <v>360</v>
      </c>
      <c r="C17882" s="26">
        <v>0.4078</v>
      </c>
      <c r="D17882" s="26">
        <v>0.44729999999999998</v>
      </c>
      <c r="E17882" s="26">
        <v>4.6800000000000001E-2</v>
      </c>
      <c r="F17882" s="26">
        <v>0.22850000000000001</v>
      </c>
      <c r="G17882" s="26">
        <v>0.14480000000000001</v>
      </c>
      <c r="H17882" s="26">
        <v>0.14729999999999999</v>
      </c>
      <c r="I17882" s="26">
        <v>6.3700000000000007E-2</v>
      </c>
      <c r="J17882" s="26">
        <v>1.44E-2</v>
      </c>
      <c r="K17882">
        <v>40</v>
      </c>
    </row>
    <row r="17883" spans="1:11" x14ac:dyDescent="0.35">
      <c r="A17883" s="27" t="s">
        <v>228</v>
      </c>
      <c r="B17883" s="27" t="s">
        <v>361</v>
      </c>
      <c r="C17883" s="28">
        <v>0.42330000000000001</v>
      </c>
      <c r="D17883" s="28">
        <v>0.41320000000000001</v>
      </c>
      <c r="E17883" s="29"/>
      <c r="F17883" s="29"/>
      <c r="G17883" s="28">
        <v>0.21390000000000001</v>
      </c>
      <c r="H17883" s="29"/>
      <c r="I17883" s="28">
        <v>4.4200000000000003E-2</v>
      </c>
      <c r="J17883" s="28">
        <v>0.17780000000000001</v>
      </c>
      <c r="K17883" s="29" t="s">
        <v>341</v>
      </c>
    </row>
    <row r="17884" spans="1:11" x14ac:dyDescent="0.35">
      <c r="A17884" s="27" t="s">
        <v>228</v>
      </c>
      <c r="B17884" s="27" t="s">
        <v>362</v>
      </c>
      <c r="C17884" s="28">
        <v>0.46639999999999998</v>
      </c>
      <c r="D17884" s="28">
        <v>0.2525</v>
      </c>
      <c r="E17884" s="28">
        <v>0.2122</v>
      </c>
      <c r="F17884" s="28">
        <v>0.18310000000000001</v>
      </c>
      <c r="G17884" s="28">
        <v>0.12509999999999999</v>
      </c>
      <c r="H17884" s="28">
        <v>0.1507</v>
      </c>
      <c r="I17884" s="28">
        <v>7.6100000000000001E-2</v>
      </c>
      <c r="J17884" s="29"/>
      <c r="K17884" s="29" t="s">
        <v>312</v>
      </c>
    </row>
    <row r="17885" spans="1:11" x14ac:dyDescent="0.35">
      <c r="A17885" s="27" t="s">
        <v>228</v>
      </c>
      <c r="B17885" s="27" t="s">
        <v>363</v>
      </c>
      <c r="C17885" s="28">
        <v>0.37669999999999998</v>
      </c>
      <c r="D17885" s="28">
        <v>0.1023</v>
      </c>
      <c r="E17885" s="28">
        <v>7.9200000000000007E-2</v>
      </c>
      <c r="F17885" s="28">
        <v>0.13439999999999999</v>
      </c>
      <c r="G17885" s="28">
        <v>3.9399999999999998E-2</v>
      </c>
      <c r="H17885" s="28">
        <v>0.33950000000000002</v>
      </c>
      <c r="I17885" s="29"/>
      <c r="J17885" s="28">
        <v>7.9200000000000007E-2</v>
      </c>
      <c r="K17885" s="29" t="s">
        <v>341</v>
      </c>
    </row>
    <row r="17886" spans="1:11" x14ac:dyDescent="0.35">
      <c r="A17886" s="27" t="s">
        <v>229</v>
      </c>
      <c r="B17886" s="27" t="s">
        <v>360</v>
      </c>
      <c r="C17886" s="28">
        <v>0.33439999999999998</v>
      </c>
      <c r="D17886" s="29"/>
      <c r="E17886" s="29"/>
      <c r="F17886" s="29"/>
      <c r="G17886" s="29"/>
      <c r="H17886" s="28">
        <v>0.66559999999999997</v>
      </c>
      <c r="I17886" s="28">
        <v>2.1100000000000001E-2</v>
      </c>
      <c r="J17886" s="29"/>
      <c r="K17886" s="29" t="s">
        <v>339</v>
      </c>
    </row>
    <row r="17887" spans="1:11" x14ac:dyDescent="0.35">
      <c r="A17887" s="27" t="s">
        <v>229</v>
      </c>
      <c r="B17887" s="27" t="s">
        <v>361</v>
      </c>
      <c r="C17887" s="28">
        <v>0.71140000000000003</v>
      </c>
      <c r="D17887" s="29"/>
      <c r="E17887" s="28">
        <v>0.26740000000000003</v>
      </c>
      <c r="F17887" s="28">
        <v>0.2014</v>
      </c>
      <c r="G17887" s="28">
        <v>0.26269999999999999</v>
      </c>
      <c r="H17887" s="29"/>
      <c r="I17887" s="29"/>
      <c r="J17887" s="28">
        <v>1.3599999999999999E-2</v>
      </c>
      <c r="K17887" s="29" t="s">
        <v>334</v>
      </c>
    </row>
    <row r="17888" spans="1:11" x14ac:dyDescent="0.35">
      <c r="A17888" s="27" t="s">
        <v>229</v>
      </c>
      <c r="B17888" s="27" t="s">
        <v>362</v>
      </c>
      <c r="C17888" s="28">
        <v>0.1338</v>
      </c>
      <c r="D17888" s="28">
        <v>0.41520000000000001</v>
      </c>
      <c r="E17888" s="29"/>
      <c r="F17888" s="28">
        <v>0.1338</v>
      </c>
      <c r="G17888" s="28">
        <v>0.1038</v>
      </c>
      <c r="H17888" s="28">
        <v>0.21049999999999999</v>
      </c>
      <c r="I17888" s="28">
        <v>0.21049999999999999</v>
      </c>
      <c r="J17888" s="29"/>
      <c r="K17888" s="29" t="s">
        <v>334</v>
      </c>
    </row>
    <row r="17889" spans="1:11" x14ac:dyDescent="0.35">
      <c r="A17889" s="27" t="s">
        <v>229</v>
      </c>
      <c r="B17889" s="27" t="s">
        <v>363</v>
      </c>
      <c r="C17889" s="28">
        <v>0.48780000000000001</v>
      </c>
      <c r="D17889" s="28">
        <v>0.1447</v>
      </c>
      <c r="E17889" s="29"/>
      <c r="F17889" s="28">
        <v>0.3674</v>
      </c>
      <c r="G17889" s="28">
        <v>9.6500000000000002E-2</v>
      </c>
      <c r="H17889" s="29"/>
      <c r="I17889" s="28">
        <v>4.82E-2</v>
      </c>
      <c r="J17889" s="29"/>
      <c r="K17889" s="29" t="s">
        <v>335</v>
      </c>
    </row>
    <row r="17890" spans="1:11" x14ac:dyDescent="0.35">
      <c r="A17890" s="27" t="s">
        <v>230</v>
      </c>
      <c r="B17890" s="27" t="s">
        <v>360</v>
      </c>
      <c r="C17890" s="28">
        <v>0.39879999999999999</v>
      </c>
      <c r="D17890" s="28">
        <v>0.22020000000000001</v>
      </c>
      <c r="E17890" s="28">
        <v>7.7399999999999997E-2</v>
      </c>
      <c r="F17890" s="28">
        <v>0.1012</v>
      </c>
      <c r="G17890" s="28">
        <v>0.25590000000000002</v>
      </c>
      <c r="H17890" s="28">
        <v>0.125</v>
      </c>
      <c r="I17890" s="28">
        <v>4.7600000000000003E-2</v>
      </c>
      <c r="J17890" s="29"/>
      <c r="K17890" s="29" t="s">
        <v>310</v>
      </c>
    </row>
    <row r="17891" spans="1:11" x14ac:dyDescent="0.35">
      <c r="A17891" s="27" t="s">
        <v>230</v>
      </c>
      <c r="B17891" s="27" t="s">
        <v>361</v>
      </c>
      <c r="C17891" s="28">
        <v>0.17230000000000001</v>
      </c>
      <c r="D17891" s="28">
        <v>0.63549999999999995</v>
      </c>
      <c r="E17891" s="29"/>
      <c r="F17891" s="28">
        <v>2.6499999999999999E-2</v>
      </c>
      <c r="G17891" s="28">
        <v>0.17230000000000001</v>
      </c>
      <c r="H17891" s="28">
        <v>2.6499999999999999E-2</v>
      </c>
      <c r="I17891" s="28">
        <v>8.6099999999999996E-2</v>
      </c>
      <c r="J17891" s="28">
        <v>0.13919999999999999</v>
      </c>
      <c r="K17891" s="29" t="s">
        <v>307</v>
      </c>
    </row>
    <row r="17892" spans="1:11" x14ac:dyDescent="0.35">
      <c r="A17892" s="27" t="s">
        <v>230</v>
      </c>
      <c r="B17892" s="27" t="s">
        <v>362</v>
      </c>
      <c r="C17892" s="28">
        <v>0.53039999999999998</v>
      </c>
      <c r="D17892" s="28">
        <v>0.26129999999999998</v>
      </c>
      <c r="E17892" s="28">
        <v>0.10539999999999999</v>
      </c>
      <c r="F17892" s="28">
        <v>6.3299999999999995E-2</v>
      </c>
      <c r="G17892" s="28">
        <v>6.3299999999999995E-2</v>
      </c>
      <c r="H17892" s="28">
        <v>3.1699999999999999E-2</v>
      </c>
      <c r="I17892" s="28">
        <v>0.1346</v>
      </c>
      <c r="J17892" s="29"/>
      <c r="K17892" s="29" t="s">
        <v>353</v>
      </c>
    </row>
    <row r="17893" spans="1:11" x14ac:dyDescent="0.35">
      <c r="A17893" s="27" t="s">
        <v>230</v>
      </c>
      <c r="B17893" s="27" t="s">
        <v>363</v>
      </c>
      <c r="C17893" s="28">
        <v>0.87560000000000004</v>
      </c>
      <c r="D17893" s="28">
        <v>0.44569999999999999</v>
      </c>
      <c r="E17893" s="29"/>
      <c r="F17893" s="28">
        <v>7.2900000000000006E-2</v>
      </c>
      <c r="G17893" s="28">
        <v>7.2900000000000006E-2</v>
      </c>
      <c r="H17893" s="29"/>
      <c r="I17893" s="28">
        <v>7.4300000000000005E-2</v>
      </c>
      <c r="J17893" s="29"/>
      <c r="K17893" s="29" t="s">
        <v>379</v>
      </c>
    </row>
    <row r="17894" spans="1:11" x14ac:dyDescent="0.35">
      <c r="A17894" s="27" t="s">
        <v>231</v>
      </c>
      <c r="B17894" s="27" t="s">
        <v>361</v>
      </c>
      <c r="C17894" s="28">
        <v>1</v>
      </c>
      <c r="D17894" s="29"/>
      <c r="E17894" s="29"/>
      <c r="F17894" s="29"/>
      <c r="G17894" s="29"/>
      <c r="H17894" s="29"/>
      <c r="I17894" s="29"/>
      <c r="J17894" s="29"/>
      <c r="K17894" s="29" t="s">
        <v>331</v>
      </c>
    </row>
    <row r="17895" spans="1:11" x14ac:dyDescent="0.35">
      <c r="A17895" t="s">
        <v>232</v>
      </c>
      <c r="B17895" t="s">
        <v>232</v>
      </c>
      <c r="C17895" s="26">
        <v>0.48330000000000001</v>
      </c>
      <c r="D17895" s="26">
        <v>0.23419999999999999</v>
      </c>
      <c r="E17895" s="26">
        <v>0.14030000000000001</v>
      </c>
      <c r="F17895" s="26">
        <v>0.1235</v>
      </c>
      <c r="G17895" s="26">
        <v>0.1167</v>
      </c>
      <c r="H17895" s="26">
        <v>0.1085</v>
      </c>
      <c r="I17895" s="26">
        <v>4.24E-2</v>
      </c>
      <c r="J17895" s="26">
        <v>3.1800000000000002E-2</v>
      </c>
      <c r="K17895">
        <v>189</v>
      </c>
    </row>
    <row r="17897" spans="1:11" x14ac:dyDescent="0.35">
      <c r="A17897" s="1" t="s">
        <v>1826</v>
      </c>
    </row>
    <row r="17898" spans="1:11" x14ac:dyDescent="0.35">
      <c r="A17898" t="s">
        <v>219</v>
      </c>
      <c r="B17898" t="s">
        <v>305</v>
      </c>
      <c r="C17898" t="s">
        <v>1815</v>
      </c>
      <c r="D17898" t="s">
        <v>1816</v>
      </c>
      <c r="E17898" t="s">
        <v>281</v>
      </c>
      <c r="F17898" t="s">
        <v>1817</v>
      </c>
      <c r="G17898" t="s">
        <v>1818</v>
      </c>
      <c r="H17898" t="s">
        <v>1819</v>
      </c>
      <c r="I17898" t="s">
        <v>1820</v>
      </c>
      <c r="J17898" t="s">
        <v>1821</v>
      </c>
      <c r="K17898" t="s">
        <v>226</v>
      </c>
    </row>
    <row r="17899" spans="1:11" x14ac:dyDescent="0.35">
      <c r="A17899" s="27" t="s">
        <v>228</v>
      </c>
      <c r="B17899" s="27" t="s">
        <v>267</v>
      </c>
      <c r="C17899" s="28">
        <v>0.21609999999999999</v>
      </c>
      <c r="D17899" s="28">
        <v>0.29409999999999997</v>
      </c>
      <c r="E17899" s="28">
        <v>0.2984</v>
      </c>
      <c r="F17899" s="28">
        <v>1.54E-2</v>
      </c>
      <c r="G17899" s="28">
        <v>0.14369999999999999</v>
      </c>
      <c r="H17899" s="28">
        <v>7.4200000000000002E-2</v>
      </c>
      <c r="I17899" s="28">
        <v>4.9000000000000002E-2</v>
      </c>
      <c r="J17899" s="28">
        <v>5.28E-2</v>
      </c>
      <c r="K17899" s="29" t="s">
        <v>310</v>
      </c>
    </row>
    <row r="17900" spans="1:11" x14ac:dyDescent="0.35">
      <c r="A17900" t="s">
        <v>228</v>
      </c>
      <c r="B17900" t="s">
        <v>266</v>
      </c>
      <c r="C17900" s="26">
        <v>0.56510000000000005</v>
      </c>
      <c r="D17900" s="26">
        <v>0.28399999999999997</v>
      </c>
      <c r="E17900" s="26">
        <v>3.2800000000000003E-2</v>
      </c>
      <c r="F17900" s="26">
        <v>6.3E-2</v>
      </c>
      <c r="G17900" s="26">
        <v>9.5899999999999999E-2</v>
      </c>
      <c r="H17900" s="26">
        <v>0.27560000000000001</v>
      </c>
      <c r="I17900" s="26">
        <v>4.4600000000000001E-2</v>
      </c>
      <c r="J17900" s="26">
        <v>2.01E-2</v>
      </c>
      <c r="K17900">
        <v>53</v>
      </c>
    </row>
    <row r="17901" spans="1:11" x14ac:dyDescent="0.35">
      <c r="A17901" t="s">
        <v>228</v>
      </c>
      <c r="B17901" t="s">
        <v>265</v>
      </c>
      <c r="C17901" s="26">
        <v>0.47160000000000002</v>
      </c>
      <c r="D17901" s="26">
        <v>0.41909999999999997</v>
      </c>
      <c r="F17901" s="26">
        <v>0.31159999999999999</v>
      </c>
      <c r="G17901" s="26">
        <v>0.13150000000000001</v>
      </c>
      <c r="H17901" s="26">
        <v>2.8299999999999999E-2</v>
      </c>
      <c r="I17901" s="26">
        <v>3.9199999999999999E-2</v>
      </c>
      <c r="J17901" s="26">
        <v>8.9800000000000005E-2</v>
      </c>
      <c r="K17901">
        <v>36</v>
      </c>
    </row>
    <row r="17902" spans="1:11" x14ac:dyDescent="0.35">
      <c r="A17902" s="27" t="s">
        <v>229</v>
      </c>
      <c r="B17902" s="27" t="s">
        <v>267</v>
      </c>
      <c r="C17902" s="28">
        <v>0.33329999999999999</v>
      </c>
      <c r="D17902" s="28">
        <v>0.66669999999999996</v>
      </c>
      <c r="E17902" s="29"/>
      <c r="F17902" s="29"/>
      <c r="G17902" s="28">
        <v>0.66669999999999996</v>
      </c>
      <c r="H17902" s="29"/>
      <c r="I17902" s="29"/>
      <c r="J17902" s="29"/>
      <c r="K17902" s="29" t="s">
        <v>315</v>
      </c>
    </row>
    <row r="17903" spans="1:11" x14ac:dyDescent="0.35">
      <c r="A17903" s="27" t="s">
        <v>229</v>
      </c>
      <c r="B17903" s="27" t="s">
        <v>266</v>
      </c>
      <c r="C17903" s="28">
        <v>0.62639999999999996</v>
      </c>
      <c r="D17903" s="28">
        <v>0.1158</v>
      </c>
      <c r="E17903" s="28">
        <v>2.8899999999999999E-2</v>
      </c>
      <c r="F17903" s="28">
        <v>0.441</v>
      </c>
      <c r="G17903" s="28">
        <v>3.73E-2</v>
      </c>
      <c r="H17903" s="28">
        <v>2.8899999999999999E-2</v>
      </c>
      <c r="I17903" s="28">
        <v>3.73E-2</v>
      </c>
      <c r="J17903" s="29"/>
      <c r="K17903" s="29" t="s">
        <v>343</v>
      </c>
    </row>
    <row r="17904" spans="1:11" x14ac:dyDescent="0.35">
      <c r="A17904" s="27" t="s">
        <v>229</v>
      </c>
      <c r="B17904" s="27" t="s">
        <v>265</v>
      </c>
      <c r="C17904" s="28">
        <v>0.43630000000000002</v>
      </c>
      <c r="D17904" s="28">
        <v>6.0699999999999997E-2</v>
      </c>
      <c r="E17904" s="28">
        <v>0.1827</v>
      </c>
      <c r="F17904" s="28">
        <v>2.58E-2</v>
      </c>
      <c r="G17904" s="28">
        <v>0.19339999999999999</v>
      </c>
      <c r="H17904" s="28">
        <v>0.24349999999999999</v>
      </c>
      <c r="I17904" s="28">
        <v>4.07E-2</v>
      </c>
      <c r="J17904" s="28">
        <v>1.03E-2</v>
      </c>
      <c r="K17904" s="29" t="s">
        <v>348</v>
      </c>
    </row>
    <row r="17905" spans="1:11" x14ac:dyDescent="0.35">
      <c r="A17905" s="27" t="s">
        <v>230</v>
      </c>
      <c r="B17905" s="27" t="s">
        <v>267</v>
      </c>
      <c r="C17905" s="28">
        <v>0.71589999999999998</v>
      </c>
      <c r="D17905" s="28">
        <v>0.28410000000000002</v>
      </c>
      <c r="E17905" s="29"/>
      <c r="F17905" s="29"/>
      <c r="G17905" s="28">
        <v>0.48859999999999998</v>
      </c>
      <c r="H17905" s="28">
        <v>4.5499999999999999E-2</v>
      </c>
      <c r="I17905" s="28">
        <v>0.1477</v>
      </c>
      <c r="J17905" s="29"/>
      <c r="K17905" s="29" t="s">
        <v>341</v>
      </c>
    </row>
    <row r="17906" spans="1:11" x14ac:dyDescent="0.35">
      <c r="A17906" t="s">
        <v>230</v>
      </c>
      <c r="B17906" t="s">
        <v>266</v>
      </c>
      <c r="C17906" s="26">
        <v>0.51149999999999995</v>
      </c>
      <c r="D17906" s="26">
        <v>0.18</v>
      </c>
      <c r="E17906" s="26">
        <v>7.6399999999999996E-2</v>
      </c>
      <c r="F17906" s="26">
        <v>0.13350000000000001</v>
      </c>
      <c r="G17906" s="26">
        <v>0.13639999999999999</v>
      </c>
      <c r="H17906" s="26">
        <v>3.4799999999999998E-2</v>
      </c>
      <c r="I17906" s="26">
        <v>0.11119999999999999</v>
      </c>
      <c r="J17906" s="26">
        <v>4.9299999999999997E-2</v>
      </c>
      <c r="K17906">
        <v>38</v>
      </c>
    </row>
    <row r="17907" spans="1:11" x14ac:dyDescent="0.35">
      <c r="A17907" s="27" t="s">
        <v>230</v>
      </c>
      <c r="B17907" s="27" t="s">
        <v>265</v>
      </c>
      <c r="C17907" s="28">
        <v>0.49780000000000002</v>
      </c>
      <c r="D17907" s="28">
        <v>0.63729999999999998</v>
      </c>
      <c r="E17907" s="28">
        <v>4.5400000000000003E-2</v>
      </c>
      <c r="F17907" s="29"/>
      <c r="G17907" s="28">
        <v>2.7300000000000001E-2</v>
      </c>
      <c r="H17907" s="28">
        <v>4.4400000000000002E-2</v>
      </c>
      <c r="I17907" s="28">
        <v>1.3599999999999999E-2</v>
      </c>
      <c r="J17907" s="28">
        <v>5.8000000000000003E-2</v>
      </c>
      <c r="K17907" s="29" t="s">
        <v>350</v>
      </c>
    </row>
    <row r="17908" spans="1:11" x14ac:dyDescent="0.35">
      <c r="A17908" s="27" t="s">
        <v>231</v>
      </c>
      <c r="B17908" s="27" t="s">
        <v>267</v>
      </c>
      <c r="C17908" s="28">
        <v>0.5</v>
      </c>
      <c r="D17908" s="29"/>
      <c r="E17908" s="28">
        <v>0.5</v>
      </c>
      <c r="F17908" s="29"/>
      <c r="G17908" s="29"/>
      <c r="H17908" s="29"/>
      <c r="I17908" s="29"/>
      <c r="J17908" s="29"/>
      <c r="K17908" s="29" t="s">
        <v>314</v>
      </c>
    </row>
    <row r="17909" spans="1:11" x14ac:dyDescent="0.35">
      <c r="A17909" t="s">
        <v>232</v>
      </c>
      <c r="B17909" t="s">
        <v>232</v>
      </c>
      <c r="C17909" s="26">
        <v>0.48330000000000001</v>
      </c>
      <c r="D17909" s="26">
        <v>0.23419999999999999</v>
      </c>
      <c r="E17909" s="26">
        <v>0.14030000000000001</v>
      </c>
      <c r="F17909" s="26">
        <v>0.1235</v>
      </c>
      <c r="G17909" s="26">
        <v>0.1167</v>
      </c>
      <c r="H17909" s="26">
        <v>0.1085</v>
      </c>
      <c r="I17909" s="26">
        <v>4.24E-2</v>
      </c>
      <c r="J17909" s="26">
        <v>3.1800000000000002E-2</v>
      </c>
      <c r="K17909">
        <v>222</v>
      </c>
    </row>
    <row r="17911" spans="1:11" x14ac:dyDescent="0.35">
      <c r="A17911" s="1" t="s">
        <v>1827</v>
      </c>
    </row>
    <row r="17912" spans="1:11" x14ac:dyDescent="0.35">
      <c r="A17912" t="s">
        <v>219</v>
      </c>
      <c r="B17912" t="s">
        <v>305</v>
      </c>
      <c r="C17912" t="s">
        <v>1815</v>
      </c>
      <c r="D17912" t="s">
        <v>1816</v>
      </c>
      <c r="E17912" t="s">
        <v>281</v>
      </c>
      <c r="F17912" t="s">
        <v>1817</v>
      </c>
      <c r="G17912" t="s">
        <v>1818</v>
      </c>
      <c r="H17912" t="s">
        <v>1819</v>
      </c>
      <c r="I17912" t="s">
        <v>1820</v>
      </c>
      <c r="J17912" t="s">
        <v>1821</v>
      </c>
      <c r="K17912" t="s">
        <v>226</v>
      </c>
    </row>
    <row r="17913" spans="1:11" x14ac:dyDescent="0.35">
      <c r="A17913" t="s">
        <v>228</v>
      </c>
      <c r="B17913" t="s">
        <v>252</v>
      </c>
      <c r="C17913" s="26">
        <v>0.36420000000000002</v>
      </c>
      <c r="D17913" s="26">
        <v>0.20480000000000001</v>
      </c>
      <c r="E17913" s="26">
        <v>0.16170000000000001</v>
      </c>
      <c r="F17913" s="26">
        <v>0.12720000000000001</v>
      </c>
      <c r="G17913" s="26">
        <v>0.1048</v>
      </c>
      <c r="H17913" s="26">
        <v>0.20469999999999999</v>
      </c>
      <c r="I17913" s="26">
        <v>7.5499999999999998E-2</v>
      </c>
      <c r="J17913" s="26">
        <v>1.0999999999999999E-2</v>
      </c>
      <c r="K17913">
        <v>36</v>
      </c>
    </row>
    <row r="17914" spans="1:11" x14ac:dyDescent="0.35">
      <c r="A17914" t="s">
        <v>228</v>
      </c>
      <c r="B17914" t="s">
        <v>253</v>
      </c>
      <c r="C17914" s="26">
        <v>0.64370000000000005</v>
      </c>
      <c r="D17914" s="26">
        <v>0.44059999999999999</v>
      </c>
      <c r="E17914" s="26">
        <v>3.4500000000000003E-2</v>
      </c>
      <c r="F17914" s="26">
        <v>0.24660000000000001</v>
      </c>
      <c r="G17914" s="26">
        <v>0.12330000000000001</v>
      </c>
      <c r="H17914" s="26">
        <v>1.5299999999999999E-2</v>
      </c>
      <c r="J17914" s="26">
        <v>5.2400000000000002E-2</v>
      </c>
      <c r="K17914">
        <v>35</v>
      </c>
    </row>
    <row r="17915" spans="1:11" x14ac:dyDescent="0.35">
      <c r="A17915" t="s">
        <v>228</v>
      </c>
      <c r="B17915" t="s">
        <v>251</v>
      </c>
      <c r="C17915" s="26">
        <v>0.37909999999999999</v>
      </c>
      <c r="D17915" s="26">
        <v>0.38279999999999997</v>
      </c>
      <c r="E17915" s="26">
        <v>5.96E-2</v>
      </c>
      <c r="F17915" s="26">
        <v>7.1400000000000005E-2</v>
      </c>
      <c r="G17915" s="26">
        <v>0.1338</v>
      </c>
      <c r="H17915" s="26">
        <v>0.15790000000000001</v>
      </c>
      <c r="I17915" s="26">
        <v>4.3900000000000002E-2</v>
      </c>
      <c r="J17915" s="26">
        <v>9.2799999999999994E-2</v>
      </c>
      <c r="K17915">
        <v>42</v>
      </c>
    </row>
    <row r="17916" spans="1:11" x14ac:dyDescent="0.35">
      <c r="A17916" s="27" t="s">
        <v>229</v>
      </c>
      <c r="B17916" s="27" t="s">
        <v>252</v>
      </c>
      <c r="C17916" s="28">
        <v>0.62080000000000002</v>
      </c>
      <c r="D17916" s="28">
        <v>0.20730000000000001</v>
      </c>
      <c r="E17916" s="29"/>
      <c r="F17916" s="28">
        <v>6.6799999999999998E-2</v>
      </c>
      <c r="G17916" s="28">
        <v>0.1036</v>
      </c>
      <c r="H17916" s="29"/>
      <c r="I17916" s="28">
        <v>0.1201</v>
      </c>
      <c r="J17916" s="29"/>
      <c r="K17916" s="29" t="s">
        <v>341</v>
      </c>
    </row>
    <row r="17917" spans="1:11" x14ac:dyDescent="0.35">
      <c r="A17917" s="27" t="s">
        <v>229</v>
      </c>
      <c r="B17917" s="27" t="s">
        <v>253</v>
      </c>
      <c r="C17917" s="28">
        <v>0.86409999999999998</v>
      </c>
      <c r="D17917" s="28">
        <v>0.1797</v>
      </c>
      <c r="E17917" s="29"/>
      <c r="F17917" s="28">
        <v>0.68440000000000001</v>
      </c>
      <c r="G17917" s="29"/>
      <c r="H17917" s="28">
        <v>8.9800000000000005E-2</v>
      </c>
      <c r="I17917" s="28">
        <v>8.9800000000000005E-2</v>
      </c>
      <c r="J17917" s="28">
        <v>4.6100000000000002E-2</v>
      </c>
      <c r="K17917" s="29" t="s">
        <v>332</v>
      </c>
    </row>
    <row r="17918" spans="1:11" x14ac:dyDescent="0.35">
      <c r="A17918" s="27" t="s">
        <v>229</v>
      </c>
      <c r="B17918" s="27" t="s">
        <v>251</v>
      </c>
      <c r="C17918" s="28">
        <v>0.40010000000000001</v>
      </c>
      <c r="D17918" s="28">
        <v>5.3100000000000001E-2</v>
      </c>
      <c r="E17918" s="28">
        <v>0.1774</v>
      </c>
      <c r="F17918" s="28">
        <v>0.13370000000000001</v>
      </c>
      <c r="G17918" s="28">
        <v>0.19189999999999999</v>
      </c>
      <c r="H17918" s="28">
        <v>0.21299999999999999</v>
      </c>
      <c r="I17918" s="29"/>
      <c r="J17918" s="29"/>
      <c r="K17918" s="29" t="s">
        <v>353</v>
      </c>
    </row>
    <row r="17919" spans="1:11" x14ac:dyDescent="0.35">
      <c r="A17919" s="27" t="s">
        <v>230</v>
      </c>
      <c r="B17919" s="27" t="s">
        <v>252</v>
      </c>
      <c r="C17919" s="28">
        <v>0.40799999999999997</v>
      </c>
      <c r="D17919" s="28">
        <v>0.31609999999999999</v>
      </c>
      <c r="E17919" s="28">
        <v>6.5199999999999994E-2</v>
      </c>
      <c r="F17919" s="28">
        <v>8.5300000000000001E-2</v>
      </c>
      <c r="G17919" s="28">
        <v>0.15049999999999999</v>
      </c>
      <c r="H17919" s="28">
        <v>2.01E-2</v>
      </c>
      <c r="I17919" s="28">
        <v>0.1721</v>
      </c>
      <c r="J17919" s="28">
        <v>2.01E-2</v>
      </c>
      <c r="K17919" s="29" t="s">
        <v>312</v>
      </c>
    </row>
    <row r="17920" spans="1:11" x14ac:dyDescent="0.35">
      <c r="A17920" s="27" t="s">
        <v>230</v>
      </c>
      <c r="B17920" s="27" t="s">
        <v>253</v>
      </c>
      <c r="C17920" s="28">
        <v>0.81010000000000004</v>
      </c>
      <c r="D17920" s="28">
        <v>0.2104</v>
      </c>
      <c r="E17920" s="29"/>
      <c r="F17920" s="28">
        <v>4.1099999999999998E-2</v>
      </c>
      <c r="G17920" s="28">
        <v>0.1283</v>
      </c>
      <c r="H17920" s="28">
        <v>2.0500000000000001E-2</v>
      </c>
      <c r="I17920" s="28">
        <v>2.0500000000000001E-2</v>
      </c>
      <c r="J17920" s="28">
        <v>6.6699999999999995E-2</v>
      </c>
      <c r="K17920" s="29" t="s">
        <v>351</v>
      </c>
    </row>
    <row r="17921" spans="1:11" x14ac:dyDescent="0.35">
      <c r="A17921" s="27" t="s">
        <v>230</v>
      </c>
      <c r="B17921" s="27" t="s">
        <v>251</v>
      </c>
      <c r="C17921" s="28">
        <v>0.44019999999999998</v>
      </c>
      <c r="D17921" s="28">
        <v>0.51229999999999998</v>
      </c>
      <c r="E17921" s="28">
        <v>8.0299999999999996E-2</v>
      </c>
      <c r="F17921" s="28">
        <v>6.3399999999999998E-2</v>
      </c>
      <c r="G17921" s="28">
        <v>0.12970000000000001</v>
      </c>
      <c r="H17921" s="28">
        <v>6.3399999999999998E-2</v>
      </c>
      <c r="I17921" s="28">
        <v>5.1299999999999998E-2</v>
      </c>
      <c r="J17921" s="28">
        <v>5.1299999999999998E-2</v>
      </c>
      <c r="K17921" s="29" t="s">
        <v>312</v>
      </c>
    </row>
    <row r="17922" spans="1:11" x14ac:dyDescent="0.35">
      <c r="A17922" s="27" t="s">
        <v>231</v>
      </c>
      <c r="B17922" s="27" t="s">
        <v>252</v>
      </c>
      <c r="C17922" s="29"/>
      <c r="D17922" s="29"/>
      <c r="E17922" s="28">
        <v>1</v>
      </c>
      <c r="F17922" s="29"/>
      <c r="G17922" s="29"/>
      <c r="H17922" s="29"/>
      <c r="I17922" s="29"/>
      <c r="J17922" s="29"/>
      <c r="K17922" s="29" t="s">
        <v>331</v>
      </c>
    </row>
    <row r="17923" spans="1:11" x14ac:dyDescent="0.35">
      <c r="A17923" s="27" t="s">
        <v>231</v>
      </c>
      <c r="B17923" s="27" t="s">
        <v>251</v>
      </c>
      <c r="C17923" s="28">
        <v>1</v>
      </c>
      <c r="D17923" s="29"/>
      <c r="E17923" s="29"/>
      <c r="F17923" s="29"/>
      <c r="G17923" s="29"/>
      <c r="H17923" s="29"/>
      <c r="I17923" s="29"/>
      <c r="J17923" s="29"/>
      <c r="K17923" s="29" t="s">
        <v>331</v>
      </c>
    </row>
    <row r="17924" spans="1:11" x14ac:dyDescent="0.35">
      <c r="A17924" t="s">
        <v>232</v>
      </c>
      <c r="B17924" t="s">
        <v>232</v>
      </c>
      <c r="C17924" s="26">
        <v>0.48330000000000001</v>
      </c>
      <c r="D17924" s="26">
        <v>0.23419999999999999</v>
      </c>
      <c r="E17924" s="26">
        <v>0.14030000000000001</v>
      </c>
      <c r="F17924" s="26">
        <v>0.1235</v>
      </c>
      <c r="G17924" s="26">
        <v>0.1167</v>
      </c>
      <c r="H17924" s="26">
        <v>0.1085</v>
      </c>
      <c r="I17924" s="26">
        <v>4.24E-2</v>
      </c>
      <c r="J17924" s="26">
        <v>3.1800000000000002E-2</v>
      </c>
      <c r="K17924">
        <v>222</v>
      </c>
    </row>
    <row r="17926" spans="1:11" x14ac:dyDescent="0.35">
      <c r="A17926" s="1" t="s">
        <v>1828</v>
      </c>
    </row>
    <row r="17927" spans="1:11" x14ac:dyDescent="0.35">
      <c r="A17927" t="s">
        <v>219</v>
      </c>
      <c r="B17927" t="s">
        <v>305</v>
      </c>
      <c r="C17927" t="s">
        <v>1815</v>
      </c>
      <c r="D17927" t="s">
        <v>1816</v>
      </c>
      <c r="E17927" t="s">
        <v>281</v>
      </c>
      <c r="F17927" t="s">
        <v>1817</v>
      </c>
      <c r="G17927" t="s">
        <v>1818</v>
      </c>
      <c r="H17927" t="s">
        <v>1819</v>
      </c>
      <c r="I17927" t="s">
        <v>1820</v>
      </c>
      <c r="J17927" t="s">
        <v>1821</v>
      </c>
      <c r="K17927" t="s">
        <v>226</v>
      </c>
    </row>
    <row r="17928" spans="1:11" x14ac:dyDescent="0.35">
      <c r="A17928" s="27" t="s">
        <v>228</v>
      </c>
      <c r="B17928" s="27" t="s">
        <v>249</v>
      </c>
      <c r="C17928" s="28">
        <v>0.63439999999999996</v>
      </c>
      <c r="D17928" s="28">
        <v>0.42280000000000001</v>
      </c>
      <c r="E17928" s="28">
        <v>4.8800000000000003E-2</v>
      </c>
      <c r="F17928" s="28">
        <v>0.25130000000000002</v>
      </c>
      <c r="G17928" s="28">
        <v>0.33090000000000003</v>
      </c>
      <c r="H17928" s="28">
        <v>0.17810000000000001</v>
      </c>
      <c r="I17928" s="29"/>
      <c r="J17928" s="29"/>
      <c r="K17928" s="29" t="s">
        <v>349</v>
      </c>
    </row>
    <row r="17929" spans="1:11" x14ac:dyDescent="0.35">
      <c r="A17929" t="s">
        <v>228</v>
      </c>
      <c r="B17929" t="s">
        <v>248</v>
      </c>
      <c r="C17929" s="26">
        <v>0.39929999999999999</v>
      </c>
      <c r="D17929" s="26">
        <v>0.3135</v>
      </c>
      <c r="E17929" s="26">
        <v>9.9199999999999997E-2</v>
      </c>
      <c r="F17929" s="26">
        <v>0.1114</v>
      </c>
      <c r="G17929" s="26">
        <v>7.3200000000000001E-2</v>
      </c>
      <c r="H17929" s="26">
        <v>0.12859999999999999</v>
      </c>
      <c r="I17929" s="26">
        <v>5.3699999999999998E-2</v>
      </c>
      <c r="J17929" s="26">
        <v>6.4699999999999994E-2</v>
      </c>
      <c r="K17929">
        <v>94</v>
      </c>
    </row>
    <row r="17930" spans="1:11" x14ac:dyDescent="0.35">
      <c r="A17930" s="27" t="s">
        <v>229</v>
      </c>
      <c r="B17930" s="27" t="s">
        <v>249</v>
      </c>
      <c r="C17930" s="28">
        <v>0.31380000000000002</v>
      </c>
      <c r="D17930" s="28">
        <v>5.9799999999999999E-2</v>
      </c>
      <c r="E17930" s="28">
        <v>0.26860000000000001</v>
      </c>
      <c r="F17930" s="29"/>
      <c r="G17930" s="28">
        <v>5.9799999999999999E-2</v>
      </c>
      <c r="H17930" s="28">
        <v>0.3579</v>
      </c>
      <c r="I17930" s="29"/>
      <c r="J17930" s="29"/>
      <c r="K17930" s="29" t="s">
        <v>333</v>
      </c>
    </row>
    <row r="17931" spans="1:11" x14ac:dyDescent="0.35">
      <c r="A17931" s="27" t="s">
        <v>229</v>
      </c>
      <c r="B17931" s="27" t="s">
        <v>248</v>
      </c>
      <c r="C17931" s="28">
        <v>0.63100000000000001</v>
      </c>
      <c r="D17931" s="28">
        <v>0.13089999999999999</v>
      </c>
      <c r="E17931" s="28">
        <v>1.8700000000000001E-2</v>
      </c>
      <c r="F17931" s="28">
        <v>0.30890000000000001</v>
      </c>
      <c r="G17931" s="28">
        <v>0.2039</v>
      </c>
      <c r="H17931" s="28">
        <v>1.8700000000000001E-2</v>
      </c>
      <c r="I17931" s="28">
        <v>6.2E-2</v>
      </c>
      <c r="J17931" s="28">
        <v>9.5999999999999992E-3</v>
      </c>
      <c r="K17931" s="29" t="s">
        <v>336</v>
      </c>
    </row>
    <row r="17932" spans="1:11" x14ac:dyDescent="0.35">
      <c r="A17932" s="27" t="s">
        <v>230</v>
      </c>
      <c r="B17932" s="27" t="s">
        <v>249</v>
      </c>
      <c r="C17932" s="28">
        <v>0.6744</v>
      </c>
      <c r="D17932" s="28">
        <v>6.4799999999999996E-2</v>
      </c>
      <c r="E17932" s="28">
        <v>7.1900000000000006E-2</v>
      </c>
      <c r="F17932" s="29"/>
      <c r="G17932" s="28">
        <v>7.0199999999999999E-2</v>
      </c>
      <c r="H17932" s="28">
        <v>9.1800000000000007E-2</v>
      </c>
      <c r="I17932" s="29"/>
      <c r="J17932" s="28">
        <v>7.0199999999999999E-2</v>
      </c>
      <c r="K17932" s="29" t="s">
        <v>379</v>
      </c>
    </row>
    <row r="17933" spans="1:11" x14ac:dyDescent="0.35">
      <c r="A17933" t="s">
        <v>230</v>
      </c>
      <c r="B17933" t="s">
        <v>248</v>
      </c>
      <c r="C17933" s="26">
        <v>0.48149999999999998</v>
      </c>
      <c r="D17933" s="26">
        <v>0.4844</v>
      </c>
      <c r="E17933" s="26">
        <v>4.87E-2</v>
      </c>
      <c r="F17933" s="26">
        <v>8.5099999999999995E-2</v>
      </c>
      <c r="G17933" s="26">
        <v>0.1573</v>
      </c>
      <c r="H17933" s="26">
        <v>2.2200000000000001E-2</v>
      </c>
      <c r="I17933" s="26">
        <v>0.1023</v>
      </c>
      <c r="J17933" s="26">
        <v>3.8899999999999997E-2</v>
      </c>
      <c r="K17933">
        <v>57</v>
      </c>
    </row>
    <row r="17934" spans="1:11" x14ac:dyDescent="0.35">
      <c r="A17934" s="27" t="s">
        <v>231</v>
      </c>
      <c r="B17934" s="27" t="s">
        <v>248</v>
      </c>
      <c r="C17934" s="28">
        <v>0.5</v>
      </c>
      <c r="D17934" s="29"/>
      <c r="E17934" s="28">
        <v>0.5</v>
      </c>
      <c r="F17934" s="29"/>
      <c r="G17934" s="29"/>
      <c r="H17934" s="29"/>
      <c r="I17934" s="29"/>
      <c r="J17934" s="29"/>
      <c r="K17934" s="29" t="s">
        <v>314</v>
      </c>
    </row>
    <row r="17935" spans="1:11" x14ac:dyDescent="0.35">
      <c r="A17935" t="s">
        <v>232</v>
      </c>
      <c r="B17935" t="s">
        <v>232</v>
      </c>
      <c r="C17935" s="26">
        <v>0.48330000000000001</v>
      </c>
      <c r="D17935" s="26">
        <v>0.23419999999999999</v>
      </c>
      <c r="E17935" s="26">
        <v>0.14030000000000001</v>
      </c>
      <c r="F17935" s="26">
        <v>0.1235</v>
      </c>
      <c r="G17935" s="26">
        <v>0.1167</v>
      </c>
      <c r="H17935" s="26">
        <v>0.1085</v>
      </c>
      <c r="I17935" s="26">
        <v>4.24E-2</v>
      </c>
      <c r="J17935" s="26">
        <v>3.1800000000000002E-2</v>
      </c>
      <c r="K17935">
        <v>222</v>
      </c>
    </row>
    <row r="17937" spans="1:11" x14ac:dyDescent="0.35">
      <c r="A17937" s="1" t="s">
        <v>1829</v>
      </c>
    </row>
    <row r="17938" spans="1:11" x14ac:dyDescent="0.35">
      <c r="A17938" t="s">
        <v>219</v>
      </c>
      <c r="B17938" t="s">
        <v>305</v>
      </c>
      <c r="C17938" t="s">
        <v>1815</v>
      </c>
      <c r="D17938" t="s">
        <v>1816</v>
      </c>
      <c r="E17938" t="s">
        <v>281</v>
      </c>
      <c r="F17938" t="s">
        <v>1817</v>
      </c>
      <c r="G17938" t="s">
        <v>1818</v>
      </c>
      <c r="H17938" t="s">
        <v>1819</v>
      </c>
      <c r="I17938" t="s">
        <v>1820</v>
      </c>
      <c r="J17938" t="s">
        <v>1821</v>
      </c>
      <c r="K17938" t="s">
        <v>226</v>
      </c>
    </row>
    <row r="17939" spans="1:11" x14ac:dyDescent="0.35">
      <c r="A17939" s="27" t="s">
        <v>228</v>
      </c>
      <c r="B17939" s="27" t="s">
        <v>263</v>
      </c>
      <c r="C17939" s="28">
        <v>0.13</v>
      </c>
      <c r="D17939" s="28">
        <v>0.87</v>
      </c>
      <c r="E17939" s="29"/>
      <c r="F17939" s="29"/>
      <c r="G17939" s="28">
        <v>0.29380000000000001</v>
      </c>
      <c r="H17939" s="29"/>
      <c r="I17939" s="29"/>
      <c r="J17939" s="29"/>
      <c r="K17939" s="29" t="s">
        <v>337</v>
      </c>
    </row>
    <row r="17940" spans="1:11" x14ac:dyDescent="0.35">
      <c r="A17940" s="27" t="s">
        <v>228</v>
      </c>
      <c r="B17940" s="27" t="s">
        <v>261</v>
      </c>
      <c r="C17940" s="28">
        <v>0.36049999999999999</v>
      </c>
      <c r="D17940" s="28">
        <v>0.25609999999999999</v>
      </c>
      <c r="E17940" s="28">
        <v>4.1799999999999997E-2</v>
      </c>
      <c r="F17940" s="28">
        <v>0.14929999999999999</v>
      </c>
      <c r="G17940" s="28">
        <v>6.0199999999999997E-2</v>
      </c>
      <c r="H17940" s="28">
        <v>0.47</v>
      </c>
      <c r="I17940" s="28">
        <v>6.3399999999999998E-2</v>
      </c>
      <c r="J17940" s="29"/>
      <c r="K17940" s="29" t="s">
        <v>349</v>
      </c>
    </row>
    <row r="17941" spans="1:11" x14ac:dyDescent="0.35">
      <c r="A17941" t="s">
        <v>228</v>
      </c>
      <c r="B17941" t="s">
        <v>260</v>
      </c>
      <c r="C17941" s="26">
        <v>0.4425</v>
      </c>
      <c r="D17941" s="26">
        <v>0.30030000000000001</v>
      </c>
      <c r="E17941" s="26">
        <v>0.1643</v>
      </c>
      <c r="F17941" s="26">
        <v>0.1033</v>
      </c>
      <c r="G17941" s="26">
        <v>0.104</v>
      </c>
      <c r="I17941" s="26">
        <v>5.33E-2</v>
      </c>
      <c r="J17941" s="26">
        <v>9.0999999999999998E-2</v>
      </c>
      <c r="K17941">
        <v>56</v>
      </c>
    </row>
    <row r="17942" spans="1:11" x14ac:dyDescent="0.35">
      <c r="A17942" s="27" t="s">
        <v>228</v>
      </c>
      <c r="B17942" s="27" t="s">
        <v>236</v>
      </c>
      <c r="C17942" s="29"/>
      <c r="D17942" s="28">
        <v>1</v>
      </c>
      <c r="E17942" s="29"/>
      <c r="F17942" s="29"/>
      <c r="G17942" s="29"/>
      <c r="H17942" s="28">
        <v>1</v>
      </c>
      <c r="I17942" s="29"/>
      <c r="J17942" s="29"/>
      <c r="K17942" s="29" t="s">
        <v>331</v>
      </c>
    </row>
    <row r="17943" spans="1:11" x14ac:dyDescent="0.35">
      <c r="A17943" t="s">
        <v>228</v>
      </c>
      <c r="B17943" t="s">
        <v>262</v>
      </c>
      <c r="C17943" s="26">
        <v>0.57620000000000005</v>
      </c>
      <c r="D17943" s="26">
        <v>0.36409999999999998</v>
      </c>
      <c r="F17943" s="26">
        <v>0.218</v>
      </c>
      <c r="G17943" s="26">
        <v>0.19109999999999999</v>
      </c>
      <c r="H17943" s="26">
        <v>9.2999999999999999E-2</v>
      </c>
      <c r="I17943" s="26">
        <v>1.6E-2</v>
      </c>
      <c r="J17943" s="26">
        <v>3.2000000000000001E-2</v>
      </c>
      <c r="K17943">
        <v>33</v>
      </c>
    </row>
    <row r="17944" spans="1:11" x14ac:dyDescent="0.35">
      <c r="A17944" s="27" t="s">
        <v>229</v>
      </c>
      <c r="B17944" s="27" t="s">
        <v>263</v>
      </c>
      <c r="C17944" s="29"/>
      <c r="D17944" s="28">
        <v>0.59889999999999999</v>
      </c>
      <c r="E17944" s="29"/>
      <c r="F17944" s="29"/>
      <c r="G17944" s="29"/>
      <c r="H17944" s="28">
        <v>0.40110000000000001</v>
      </c>
      <c r="I17944" s="29"/>
      <c r="J17944" s="29"/>
      <c r="K17944" s="29" t="s">
        <v>315</v>
      </c>
    </row>
    <row r="17945" spans="1:11" x14ac:dyDescent="0.35">
      <c r="A17945" s="27" t="s">
        <v>229</v>
      </c>
      <c r="B17945" s="27" t="s">
        <v>261</v>
      </c>
      <c r="C17945" s="28">
        <v>4.9399999999999999E-2</v>
      </c>
      <c r="D17945" s="29"/>
      <c r="E17945" s="28">
        <v>0.4506</v>
      </c>
      <c r="F17945" s="29"/>
      <c r="G17945" s="29"/>
      <c r="H17945" s="28">
        <v>0.5</v>
      </c>
      <c r="I17945" s="29"/>
      <c r="J17945" s="29"/>
      <c r="K17945" s="29" t="s">
        <v>337</v>
      </c>
    </row>
    <row r="17946" spans="1:11" x14ac:dyDescent="0.35">
      <c r="A17946" s="27" t="s">
        <v>229</v>
      </c>
      <c r="B17946" s="27" t="s">
        <v>260</v>
      </c>
      <c r="C17946" s="28">
        <v>0.61609999999999998</v>
      </c>
      <c r="D17946" s="28">
        <v>7.9899999999999999E-2</v>
      </c>
      <c r="E17946" s="28">
        <v>2.6599999999999999E-2</v>
      </c>
      <c r="F17946" s="28">
        <v>0.23710000000000001</v>
      </c>
      <c r="G17946" s="28">
        <v>0.25609999999999999</v>
      </c>
      <c r="H17946" s="28">
        <v>2.6599999999999999E-2</v>
      </c>
      <c r="I17946" s="28">
        <v>7.7000000000000002E-3</v>
      </c>
      <c r="J17946" s="28">
        <v>1.37E-2</v>
      </c>
      <c r="K17946" s="29" t="s">
        <v>349</v>
      </c>
    </row>
    <row r="17947" spans="1:11" x14ac:dyDescent="0.35">
      <c r="A17947" s="27" t="s">
        <v>229</v>
      </c>
      <c r="B17947" s="27" t="s">
        <v>262</v>
      </c>
      <c r="C17947" s="28">
        <v>0.82440000000000002</v>
      </c>
      <c r="D17947" s="28">
        <v>0.1221</v>
      </c>
      <c r="E17947" s="29"/>
      <c r="F17947" s="28">
        <v>0.30990000000000001</v>
      </c>
      <c r="G17947" s="28">
        <v>0.13500000000000001</v>
      </c>
      <c r="H17947" s="29"/>
      <c r="I17947" s="28">
        <v>0.1232</v>
      </c>
      <c r="J17947" s="29"/>
      <c r="K17947" s="29" t="s">
        <v>307</v>
      </c>
    </row>
    <row r="17948" spans="1:11" x14ac:dyDescent="0.35">
      <c r="A17948" s="27" t="s">
        <v>230</v>
      </c>
      <c r="B17948" s="27" t="s">
        <v>263</v>
      </c>
      <c r="C17948" s="28">
        <v>0.5675</v>
      </c>
      <c r="D17948" s="28">
        <v>0.2162</v>
      </c>
      <c r="E17948" s="29"/>
      <c r="F17948" s="29"/>
      <c r="G17948" s="29"/>
      <c r="H17948" s="28">
        <v>0.2162</v>
      </c>
      <c r="I17948" s="29"/>
      <c r="J17948" s="29"/>
      <c r="K17948" s="29" t="s">
        <v>339</v>
      </c>
    </row>
    <row r="17949" spans="1:11" x14ac:dyDescent="0.35">
      <c r="A17949" s="27" t="s">
        <v>230</v>
      </c>
      <c r="B17949" s="27" t="s">
        <v>261</v>
      </c>
      <c r="C17949" s="28">
        <v>0.5</v>
      </c>
      <c r="D17949" s="29"/>
      <c r="E17949" s="29"/>
      <c r="F17949" s="29"/>
      <c r="G17949" s="29"/>
      <c r="H17949" s="28">
        <v>0.38229999999999997</v>
      </c>
      <c r="I17949" s="28">
        <v>0.1177</v>
      </c>
      <c r="J17949" s="29"/>
      <c r="K17949" s="29" t="s">
        <v>337</v>
      </c>
    </row>
    <row r="17950" spans="1:11" x14ac:dyDescent="0.35">
      <c r="A17950" t="s">
        <v>230</v>
      </c>
      <c r="B17950" t="s">
        <v>260</v>
      </c>
      <c r="C17950" s="26">
        <v>0.70520000000000005</v>
      </c>
      <c r="D17950" s="26">
        <v>0.42270000000000002</v>
      </c>
      <c r="E17950" s="26">
        <v>3.1399999999999997E-2</v>
      </c>
      <c r="F17950" s="26">
        <v>7.0099999999999996E-2</v>
      </c>
      <c r="G17950" s="26">
        <v>0.18609999999999999</v>
      </c>
      <c r="I17950" s="26">
        <v>8.2199999999999995E-2</v>
      </c>
      <c r="J17950" s="26">
        <v>9.7000000000000003E-3</v>
      </c>
      <c r="K17950">
        <v>39</v>
      </c>
    </row>
    <row r="17951" spans="1:11" x14ac:dyDescent="0.35">
      <c r="A17951" s="27" t="s">
        <v>230</v>
      </c>
      <c r="B17951" s="27" t="s">
        <v>236</v>
      </c>
      <c r="C17951" s="29"/>
      <c r="D17951" s="29"/>
      <c r="E17951" s="28">
        <v>1</v>
      </c>
      <c r="F17951" s="29"/>
      <c r="G17951" s="29"/>
      <c r="H17951" s="29"/>
      <c r="I17951" s="29"/>
      <c r="J17951" s="29"/>
      <c r="K17951" s="29" t="s">
        <v>331</v>
      </c>
    </row>
    <row r="17952" spans="1:11" x14ac:dyDescent="0.35">
      <c r="A17952" s="27" t="s">
        <v>230</v>
      </c>
      <c r="B17952" s="27" t="s">
        <v>262</v>
      </c>
      <c r="C17952" s="28">
        <v>0.24310000000000001</v>
      </c>
      <c r="D17952" s="28">
        <v>0.39950000000000002</v>
      </c>
      <c r="E17952" s="28">
        <v>5.8500000000000003E-2</v>
      </c>
      <c r="F17952" s="28">
        <v>7.4700000000000003E-2</v>
      </c>
      <c r="G17952" s="28">
        <v>9.2299999999999993E-2</v>
      </c>
      <c r="H17952" s="28">
        <v>3.5200000000000002E-2</v>
      </c>
      <c r="I17952" s="28">
        <v>7.6100000000000001E-2</v>
      </c>
      <c r="J17952" s="28">
        <v>0.13189999999999999</v>
      </c>
      <c r="K17952" s="29" t="s">
        <v>350</v>
      </c>
    </row>
    <row r="17953" spans="1:11" x14ac:dyDescent="0.35">
      <c r="A17953" s="27" t="s">
        <v>231</v>
      </c>
      <c r="B17953" s="27" t="s">
        <v>261</v>
      </c>
      <c r="C17953" s="28">
        <v>0.5</v>
      </c>
      <c r="D17953" s="29"/>
      <c r="E17953" s="28">
        <v>0.5</v>
      </c>
      <c r="F17953" s="29"/>
      <c r="G17953" s="29"/>
      <c r="H17953" s="29"/>
      <c r="I17953" s="29"/>
      <c r="J17953" s="29"/>
      <c r="K17953" s="29" t="s">
        <v>314</v>
      </c>
    </row>
    <row r="17954" spans="1:11" x14ac:dyDescent="0.35">
      <c r="A17954" t="s">
        <v>232</v>
      </c>
      <c r="B17954" t="s">
        <v>232</v>
      </c>
      <c r="C17954" s="26">
        <v>0.48330000000000001</v>
      </c>
      <c r="D17954" s="26">
        <v>0.23419999999999999</v>
      </c>
      <c r="E17954" s="26">
        <v>0.14030000000000001</v>
      </c>
      <c r="F17954" s="26">
        <v>0.1235</v>
      </c>
      <c r="G17954" s="26">
        <v>0.1167</v>
      </c>
      <c r="H17954" s="26">
        <v>0.1085</v>
      </c>
      <c r="I17954" s="26">
        <v>4.24E-2</v>
      </c>
      <c r="J17954" s="26">
        <v>3.1800000000000002E-2</v>
      </c>
      <c r="K17954">
        <v>222</v>
      </c>
    </row>
    <row r="17956" spans="1:11" x14ac:dyDescent="0.35">
      <c r="A17956" s="1" t="s">
        <v>1830</v>
      </c>
    </row>
    <row r="17957" spans="1:11" x14ac:dyDescent="0.35">
      <c r="A17957" t="s">
        <v>219</v>
      </c>
      <c r="B17957" t="s">
        <v>305</v>
      </c>
      <c r="C17957" t="s">
        <v>1815</v>
      </c>
      <c r="D17957" t="s">
        <v>1816</v>
      </c>
      <c r="E17957" t="s">
        <v>281</v>
      </c>
      <c r="F17957" t="s">
        <v>1817</v>
      </c>
      <c r="G17957" t="s">
        <v>1818</v>
      </c>
      <c r="H17957" t="s">
        <v>1819</v>
      </c>
      <c r="I17957" t="s">
        <v>1820</v>
      </c>
      <c r="J17957" t="s">
        <v>1821</v>
      </c>
      <c r="K17957" t="s">
        <v>226</v>
      </c>
    </row>
    <row r="17958" spans="1:11" x14ac:dyDescent="0.35">
      <c r="A17958" s="27" t="s">
        <v>228</v>
      </c>
      <c r="B17958" s="27" t="s">
        <v>368</v>
      </c>
      <c r="C17958" s="28">
        <v>0.36049999999999999</v>
      </c>
      <c r="D17958" s="28">
        <v>0.25609999999999999</v>
      </c>
      <c r="E17958" s="28">
        <v>4.1799999999999997E-2</v>
      </c>
      <c r="F17958" s="28">
        <v>0.14929999999999999</v>
      </c>
      <c r="G17958" s="28">
        <v>6.0199999999999997E-2</v>
      </c>
      <c r="H17958" s="28">
        <v>0.47</v>
      </c>
      <c r="I17958" s="28">
        <v>6.3399999999999998E-2</v>
      </c>
      <c r="J17958" s="29"/>
      <c r="K17958" s="29" t="s">
        <v>349</v>
      </c>
    </row>
    <row r="17959" spans="1:11" x14ac:dyDescent="0.35">
      <c r="A17959" t="s">
        <v>228</v>
      </c>
      <c r="B17959" t="s">
        <v>369</v>
      </c>
      <c r="C17959" s="26">
        <v>0.46500000000000002</v>
      </c>
      <c r="D17959" s="26">
        <v>0.3548</v>
      </c>
      <c r="E17959" s="26">
        <v>0.1031</v>
      </c>
      <c r="F17959" s="26">
        <v>0.1338</v>
      </c>
      <c r="G17959" s="26">
        <v>0.1371</v>
      </c>
      <c r="H17959" s="26">
        <v>4.6800000000000001E-2</v>
      </c>
      <c r="I17959" s="26">
        <v>3.85E-2</v>
      </c>
      <c r="J17959" s="26">
        <v>6.7199999999999996E-2</v>
      </c>
      <c r="K17959">
        <v>94</v>
      </c>
    </row>
    <row r="17960" spans="1:11" x14ac:dyDescent="0.35">
      <c r="A17960" s="27" t="s">
        <v>229</v>
      </c>
      <c r="B17960" s="27" t="s">
        <v>368</v>
      </c>
      <c r="C17960" s="28">
        <v>4.9399999999999999E-2</v>
      </c>
      <c r="D17960" s="29"/>
      <c r="E17960" s="28">
        <v>0.4506</v>
      </c>
      <c r="F17960" s="29"/>
      <c r="G17960" s="29"/>
      <c r="H17960" s="28">
        <v>0.5</v>
      </c>
      <c r="I17960" s="29"/>
      <c r="J17960" s="29"/>
      <c r="K17960" s="29" t="s">
        <v>337</v>
      </c>
    </row>
    <row r="17961" spans="1:11" x14ac:dyDescent="0.35">
      <c r="A17961" t="s">
        <v>229</v>
      </c>
      <c r="B17961" t="s">
        <v>369</v>
      </c>
      <c r="C17961" s="26">
        <v>0.64590000000000003</v>
      </c>
      <c r="D17961" s="26">
        <v>0.13439999999999999</v>
      </c>
      <c r="E17961" s="26">
        <v>1.49E-2</v>
      </c>
      <c r="F17961" s="26">
        <v>0.24590000000000001</v>
      </c>
      <c r="G17961" s="26">
        <v>0.1925</v>
      </c>
      <c r="H17961" s="26">
        <v>4.5100000000000001E-2</v>
      </c>
      <c r="I17961" s="26">
        <v>4.9399999999999999E-2</v>
      </c>
      <c r="J17961" s="26">
        <v>7.6E-3</v>
      </c>
      <c r="K17961">
        <v>32</v>
      </c>
    </row>
    <row r="17962" spans="1:11" x14ac:dyDescent="0.35">
      <c r="A17962" s="27" t="s">
        <v>230</v>
      </c>
      <c r="B17962" s="27" t="s">
        <v>368</v>
      </c>
      <c r="C17962" s="28">
        <v>0.5</v>
      </c>
      <c r="D17962" s="29"/>
      <c r="E17962" s="29"/>
      <c r="F17962" s="29"/>
      <c r="G17962" s="29"/>
      <c r="H17962" s="28">
        <v>0.38229999999999997</v>
      </c>
      <c r="I17962" s="28">
        <v>0.1177</v>
      </c>
      <c r="J17962" s="29"/>
      <c r="K17962" s="29" t="s">
        <v>337</v>
      </c>
    </row>
    <row r="17963" spans="1:11" x14ac:dyDescent="0.35">
      <c r="A17963" t="s">
        <v>230</v>
      </c>
      <c r="B17963" t="s">
        <v>369</v>
      </c>
      <c r="C17963" s="26">
        <v>0.53220000000000001</v>
      </c>
      <c r="D17963" s="26">
        <v>0.39589999999999997</v>
      </c>
      <c r="E17963" s="26">
        <v>5.7299999999999997E-2</v>
      </c>
      <c r="F17963" s="26">
        <v>6.6500000000000004E-2</v>
      </c>
      <c r="G17963" s="26">
        <v>0.14169999999999999</v>
      </c>
      <c r="H17963" s="26">
        <v>2.3099999999999999E-2</v>
      </c>
      <c r="I17963" s="26">
        <v>7.4200000000000002E-2</v>
      </c>
      <c r="J17963" s="26">
        <v>4.9200000000000001E-2</v>
      </c>
      <c r="K17963">
        <v>67</v>
      </c>
    </row>
    <row r="17964" spans="1:11" x14ac:dyDescent="0.35">
      <c r="A17964" s="27" t="s">
        <v>231</v>
      </c>
      <c r="B17964" s="27" t="s">
        <v>368</v>
      </c>
      <c r="C17964" s="28">
        <v>0.5</v>
      </c>
      <c r="D17964" s="29"/>
      <c r="E17964" s="28">
        <v>0.5</v>
      </c>
      <c r="F17964" s="29"/>
      <c r="G17964" s="29"/>
      <c r="H17964" s="29"/>
      <c r="I17964" s="29"/>
      <c r="J17964" s="29"/>
      <c r="K17964" s="29" t="s">
        <v>314</v>
      </c>
    </row>
    <row r="17965" spans="1:11" x14ac:dyDescent="0.35">
      <c r="A17965" t="s">
        <v>232</v>
      </c>
      <c r="B17965" t="s">
        <v>232</v>
      </c>
      <c r="C17965" s="26">
        <v>0.48330000000000001</v>
      </c>
      <c r="D17965" s="26">
        <v>0.23419999999999999</v>
      </c>
      <c r="E17965" s="26">
        <v>0.14030000000000001</v>
      </c>
      <c r="F17965" s="26">
        <v>0.1235</v>
      </c>
      <c r="G17965" s="26">
        <v>0.1167</v>
      </c>
      <c r="H17965" s="26">
        <v>0.1085</v>
      </c>
      <c r="I17965" s="26">
        <v>4.24E-2</v>
      </c>
      <c r="J17965" s="26">
        <v>3.1800000000000002E-2</v>
      </c>
      <c r="K17965">
        <v>222</v>
      </c>
    </row>
    <row r="17967" spans="1:11" x14ac:dyDescent="0.35">
      <c r="A17967" s="1" t="s">
        <v>1831</v>
      </c>
    </row>
    <row r="17968" spans="1:11" x14ac:dyDescent="0.35">
      <c r="A17968" t="s">
        <v>219</v>
      </c>
      <c r="B17968" t="s">
        <v>305</v>
      </c>
      <c r="C17968" t="s">
        <v>1815</v>
      </c>
      <c r="D17968" t="s">
        <v>1816</v>
      </c>
      <c r="E17968" t="s">
        <v>281</v>
      </c>
      <c r="F17968" t="s">
        <v>1817</v>
      </c>
      <c r="G17968" t="s">
        <v>1818</v>
      </c>
      <c r="H17968" t="s">
        <v>1819</v>
      </c>
      <c r="I17968" t="s">
        <v>1820</v>
      </c>
      <c r="J17968" t="s">
        <v>1821</v>
      </c>
      <c r="K17968" t="s">
        <v>226</v>
      </c>
    </row>
    <row r="17969" spans="1:11" x14ac:dyDescent="0.35">
      <c r="A17969" s="27" t="s">
        <v>228</v>
      </c>
      <c r="B17969" s="27" t="s">
        <v>371</v>
      </c>
      <c r="C17969" s="28">
        <v>0.17460000000000001</v>
      </c>
      <c r="D17969" s="28">
        <v>3.49E-2</v>
      </c>
      <c r="E17969" s="28">
        <v>0.32279999999999998</v>
      </c>
      <c r="F17969" s="28">
        <v>3.49E-2</v>
      </c>
      <c r="G17969" s="29"/>
      <c r="H17969" s="28">
        <v>0.35770000000000002</v>
      </c>
      <c r="I17969" s="28">
        <v>7.51E-2</v>
      </c>
      <c r="J17969" s="29"/>
      <c r="K17969" s="29" t="s">
        <v>342</v>
      </c>
    </row>
    <row r="17970" spans="1:11" x14ac:dyDescent="0.35">
      <c r="A17970" t="s">
        <v>228</v>
      </c>
      <c r="B17970" t="s">
        <v>372</v>
      </c>
      <c r="C17970" s="26">
        <v>0.57379999999999998</v>
      </c>
      <c r="D17970" s="26">
        <v>0.433</v>
      </c>
      <c r="E17970" s="26">
        <v>2.8899999999999999E-2</v>
      </c>
      <c r="F17970" s="26">
        <v>5.4600000000000003E-2</v>
      </c>
      <c r="G17970" s="26">
        <v>0.1053</v>
      </c>
      <c r="H17970" s="26">
        <v>4.3900000000000002E-2</v>
      </c>
      <c r="I17970" s="26">
        <v>8.7900000000000006E-2</v>
      </c>
      <c r="J17970" s="26">
        <v>6.9599999999999995E-2</v>
      </c>
      <c r="K17970">
        <v>48</v>
      </c>
    </row>
    <row r="17971" spans="1:11" x14ac:dyDescent="0.35">
      <c r="A17971" t="s">
        <v>228</v>
      </c>
      <c r="B17971" t="s">
        <v>373</v>
      </c>
      <c r="C17971" s="26">
        <v>0.4511</v>
      </c>
      <c r="D17971" s="26">
        <v>0.371</v>
      </c>
      <c r="E17971" s="26">
        <v>5.0900000000000001E-2</v>
      </c>
      <c r="F17971" s="26">
        <v>0.21920000000000001</v>
      </c>
      <c r="G17971" s="26">
        <v>0.1686</v>
      </c>
      <c r="H17971" s="26">
        <v>0.12230000000000001</v>
      </c>
      <c r="I17971" s="26">
        <v>7.6E-3</v>
      </c>
      <c r="J17971" s="26">
        <v>5.9799999999999999E-2</v>
      </c>
      <c r="K17971">
        <v>53</v>
      </c>
    </row>
    <row r="17972" spans="1:11" x14ac:dyDescent="0.35">
      <c r="A17972" s="27" t="s">
        <v>229</v>
      </c>
      <c r="B17972" s="27" t="s">
        <v>371</v>
      </c>
      <c r="C17972" s="28">
        <v>0.52610000000000001</v>
      </c>
      <c r="D17972" s="28">
        <v>2.9600000000000001E-2</v>
      </c>
      <c r="E17972" s="28">
        <v>0.1331</v>
      </c>
      <c r="F17972" s="28">
        <v>0.2225</v>
      </c>
      <c r="G17972" s="28">
        <v>0.1409</v>
      </c>
      <c r="H17972" s="28">
        <v>0.16270000000000001</v>
      </c>
      <c r="I17972" s="28">
        <v>2.9600000000000001E-2</v>
      </c>
      <c r="J17972" s="28">
        <v>7.4999999999999997E-3</v>
      </c>
      <c r="K17972" s="29" t="s">
        <v>341</v>
      </c>
    </row>
    <row r="17973" spans="1:11" x14ac:dyDescent="0.35">
      <c r="A17973" s="27" t="s">
        <v>229</v>
      </c>
      <c r="B17973" s="27" t="s">
        <v>372</v>
      </c>
      <c r="C17973" s="28">
        <v>0.43640000000000001</v>
      </c>
      <c r="D17973" s="28">
        <v>0.22309999999999999</v>
      </c>
      <c r="E17973" s="28">
        <v>7.4399999999999994E-2</v>
      </c>
      <c r="F17973" s="28">
        <v>9.5899999999999999E-2</v>
      </c>
      <c r="G17973" s="28">
        <v>0.17019999999999999</v>
      </c>
      <c r="H17973" s="28">
        <v>0.14879999999999999</v>
      </c>
      <c r="I17973" s="28">
        <v>9.5899999999999999E-2</v>
      </c>
      <c r="J17973" s="29"/>
      <c r="K17973" s="29" t="s">
        <v>343</v>
      </c>
    </row>
    <row r="17974" spans="1:11" x14ac:dyDescent="0.35">
      <c r="A17974" s="27" t="s">
        <v>229</v>
      </c>
      <c r="B17974" s="27" t="s">
        <v>373</v>
      </c>
      <c r="C17974" s="28">
        <v>0.45579999999999998</v>
      </c>
      <c r="D17974" s="28">
        <v>0.72560000000000002</v>
      </c>
      <c r="E17974" s="29"/>
      <c r="F17974" s="29"/>
      <c r="G17974" s="28">
        <v>0.18140000000000001</v>
      </c>
      <c r="H17974" s="29"/>
      <c r="I17974" s="29"/>
      <c r="J17974" s="29"/>
      <c r="K17974" s="29" t="s">
        <v>335</v>
      </c>
    </row>
    <row r="17975" spans="1:11" x14ac:dyDescent="0.35">
      <c r="A17975" s="27" t="s">
        <v>230</v>
      </c>
      <c r="B17975" s="27" t="s">
        <v>371</v>
      </c>
      <c r="C17975" s="28">
        <v>0.63570000000000004</v>
      </c>
      <c r="D17975" s="28">
        <v>0.54479999999999995</v>
      </c>
      <c r="E17975" s="28">
        <v>9.1899999999999996E-2</v>
      </c>
      <c r="F17975" s="29"/>
      <c r="G17975" s="28">
        <v>4.4900000000000002E-2</v>
      </c>
      <c r="H17975" s="29"/>
      <c r="I17975" s="28">
        <v>4.5999999999999999E-2</v>
      </c>
      <c r="J17975" s="29"/>
      <c r="K17975" s="29" t="s">
        <v>339</v>
      </c>
    </row>
    <row r="17976" spans="1:11" x14ac:dyDescent="0.35">
      <c r="A17976" t="s">
        <v>230</v>
      </c>
      <c r="B17976" t="s">
        <v>372</v>
      </c>
      <c r="C17976" s="26">
        <v>0.31409999999999999</v>
      </c>
      <c r="D17976" s="26">
        <v>0.38219999999999998</v>
      </c>
      <c r="E17976" s="26">
        <v>6.8099999999999994E-2</v>
      </c>
      <c r="F17976" s="26">
        <v>0.1047</v>
      </c>
      <c r="G17976" s="26">
        <v>0.1047</v>
      </c>
      <c r="H17976" s="26">
        <v>8.3799999999999999E-2</v>
      </c>
      <c r="I17976" s="26">
        <v>8.3799999999999999E-2</v>
      </c>
      <c r="J17976" s="26">
        <v>0.1099</v>
      </c>
      <c r="K17976">
        <v>41</v>
      </c>
    </row>
    <row r="17977" spans="1:11" x14ac:dyDescent="0.35">
      <c r="A17977" s="27" t="s">
        <v>230</v>
      </c>
      <c r="B17977" s="27" t="s">
        <v>373</v>
      </c>
      <c r="C17977" s="28">
        <v>0.57550000000000001</v>
      </c>
      <c r="D17977" s="28">
        <v>0.17549999999999999</v>
      </c>
      <c r="E17977" s="29"/>
      <c r="F17977" s="28">
        <v>0.1061</v>
      </c>
      <c r="G17977" s="28">
        <v>0.26529999999999998</v>
      </c>
      <c r="H17977" s="28">
        <v>5.3100000000000001E-2</v>
      </c>
      <c r="I17977" s="28">
        <v>0.1061</v>
      </c>
      <c r="J17977" s="28">
        <v>5.3100000000000001E-2</v>
      </c>
      <c r="K17977" s="29" t="s">
        <v>328</v>
      </c>
    </row>
    <row r="17978" spans="1:11" x14ac:dyDescent="0.35">
      <c r="A17978" s="27" t="s">
        <v>231</v>
      </c>
      <c r="B17978" s="27" t="s">
        <v>371</v>
      </c>
      <c r="C17978" s="28">
        <v>0.5</v>
      </c>
      <c r="D17978" s="29"/>
      <c r="E17978" s="28">
        <v>0.5</v>
      </c>
      <c r="F17978" s="29"/>
      <c r="G17978" s="29"/>
      <c r="H17978" s="29"/>
      <c r="I17978" s="29"/>
      <c r="J17978" s="29"/>
      <c r="K17978" s="29" t="s">
        <v>314</v>
      </c>
    </row>
    <row r="17979" spans="1:11" x14ac:dyDescent="0.35">
      <c r="A17979" t="s">
        <v>232</v>
      </c>
      <c r="B17979" t="s">
        <v>232</v>
      </c>
      <c r="C17979" s="26">
        <v>0.48330000000000001</v>
      </c>
      <c r="D17979" s="26">
        <v>0.23419999999999999</v>
      </c>
      <c r="E17979" s="26">
        <v>0.14030000000000001</v>
      </c>
      <c r="F17979" s="26">
        <v>0.1235</v>
      </c>
      <c r="G17979" s="26">
        <v>0.1167</v>
      </c>
      <c r="H17979" s="26">
        <v>0.1085</v>
      </c>
      <c r="I17979" s="26">
        <v>4.24E-2</v>
      </c>
      <c r="J17979" s="26">
        <v>3.1800000000000002E-2</v>
      </c>
      <c r="K17979">
        <v>222</v>
      </c>
    </row>
    <row r="17981" spans="1:11" x14ac:dyDescent="0.35">
      <c r="A17981" s="1" t="s">
        <v>1832</v>
      </c>
    </row>
    <row r="17982" spans="1:11" x14ac:dyDescent="0.35">
      <c r="A17982" t="s">
        <v>219</v>
      </c>
      <c r="B17982" t="s">
        <v>305</v>
      </c>
      <c r="C17982" t="s">
        <v>1815</v>
      </c>
      <c r="D17982" t="s">
        <v>1816</v>
      </c>
      <c r="E17982" t="s">
        <v>281</v>
      </c>
      <c r="F17982" t="s">
        <v>1817</v>
      </c>
      <c r="G17982" t="s">
        <v>1818</v>
      </c>
      <c r="H17982" t="s">
        <v>1819</v>
      </c>
      <c r="I17982" t="s">
        <v>1820</v>
      </c>
      <c r="J17982" t="s">
        <v>1821</v>
      </c>
      <c r="K17982" t="s">
        <v>226</v>
      </c>
    </row>
    <row r="17983" spans="1:11" x14ac:dyDescent="0.35">
      <c r="A17983" t="s">
        <v>228</v>
      </c>
      <c r="B17983" t="s">
        <v>255</v>
      </c>
      <c r="C17983" s="26">
        <v>0.39929999999999999</v>
      </c>
      <c r="D17983" s="26">
        <v>0.3135</v>
      </c>
      <c r="E17983" s="26">
        <v>9.9199999999999997E-2</v>
      </c>
      <c r="F17983" s="26">
        <v>0.1114</v>
      </c>
      <c r="G17983" s="26">
        <v>7.3200000000000001E-2</v>
      </c>
      <c r="H17983" s="26">
        <v>0.12859999999999999</v>
      </c>
      <c r="I17983" s="26">
        <v>5.3699999999999998E-2</v>
      </c>
      <c r="J17983" s="26">
        <v>6.4699999999999994E-2</v>
      </c>
      <c r="K17983">
        <v>94</v>
      </c>
    </row>
    <row r="17984" spans="1:11" x14ac:dyDescent="0.35">
      <c r="A17984" s="27" t="s">
        <v>228</v>
      </c>
      <c r="B17984" s="27" t="s">
        <v>256</v>
      </c>
      <c r="C17984" s="28">
        <v>0.75739999999999996</v>
      </c>
      <c r="D17984" s="28">
        <v>0.4511</v>
      </c>
      <c r="E17984" s="28">
        <v>6.3100000000000003E-2</v>
      </c>
      <c r="F17984" s="28">
        <v>0.32500000000000001</v>
      </c>
      <c r="G17984" s="28">
        <v>0.42799999999999999</v>
      </c>
      <c r="H17984" s="29"/>
      <c r="I17984" s="29"/>
      <c r="J17984" s="29"/>
      <c r="K17984" s="29" t="s">
        <v>348</v>
      </c>
    </row>
    <row r="17985" spans="1:11" x14ac:dyDescent="0.35">
      <c r="A17985" s="27" t="s">
        <v>228</v>
      </c>
      <c r="B17985" s="27" t="s">
        <v>257</v>
      </c>
      <c r="C17985" s="29"/>
      <c r="D17985" s="28">
        <v>0.41570000000000001</v>
      </c>
      <c r="E17985" s="29"/>
      <c r="F17985" s="29"/>
      <c r="G17985" s="29"/>
      <c r="H17985" s="28">
        <v>1</v>
      </c>
      <c r="I17985" s="29"/>
      <c r="J17985" s="29"/>
      <c r="K17985" s="29" t="s">
        <v>314</v>
      </c>
    </row>
    <row r="17986" spans="1:11" x14ac:dyDescent="0.35">
      <c r="A17986" s="27" t="s">
        <v>228</v>
      </c>
      <c r="B17986" s="27" t="s">
        <v>258</v>
      </c>
      <c r="C17986" s="28">
        <v>1</v>
      </c>
      <c r="D17986" s="29"/>
      <c r="E17986" s="29"/>
      <c r="F17986" s="29"/>
      <c r="G17986" s="29"/>
      <c r="H17986" s="29"/>
      <c r="I17986" s="29"/>
      <c r="J17986" s="29"/>
      <c r="K17986" s="29" t="s">
        <v>331</v>
      </c>
    </row>
    <row r="17987" spans="1:11" x14ac:dyDescent="0.35">
      <c r="A17987" s="27" t="s">
        <v>229</v>
      </c>
      <c r="B17987" s="27" t="s">
        <v>255</v>
      </c>
      <c r="C17987" s="28">
        <v>0.63100000000000001</v>
      </c>
      <c r="D17987" s="28">
        <v>0.13089999999999999</v>
      </c>
      <c r="E17987" s="28">
        <v>1.8700000000000001E-2</v>
      </c>
      <c r="F17987" s="28">
        <v>0.30890000000000001</v>
      </c>
      <c r="G17987" s="28">
        <v>0.2039</v>
      </c>
      <c r="H17987" s="28">
        <v>1.8700000000000001E-2</v>
      </c>
      <c r="I17987" s="28">
        <v>6.2E-2</v>
      </c>
      <c r="J17987" s="28">
        <v>9.5999999999999992E-3</v>
      </c>
      <c r="K17987" s="29" t="s">
        <v>336</v>
      </c>
    </row>
    <row r="17988" spans="1:11" x14ac:dyDescent="0.35">
      <c r="A17988" s="27" t="s">
        <v>229</v>
      </c>
      <c r="B17988" s="27" t="s">
        <v>256</v>
      </c>
      <c r="C17988" s="28">
        <v>0.1196</v>
      </c>
      <c r="D17988" s="28">
        <v>8.0100000000000005E-2</v>
      </c>
      <c r="E17988" s="28">
        <v>0.36</v>
      </c>
      <c r="F17988" s="29"/>
      <c r="G17988" s="28">
        <v>8.0100000000000005E-2</v>
      </c>
      <c r="H17988" s="28">
        <v>0.44019999999999998</v>
      </c>
      <c r="I17988" s="29"/>
      <c r="J17988" s="29"/>
      <c r="K17988" s="29" t="s">
        <v>335</v>
      </c>
    </row>
    <row r="17989" spans="1:11" x14ac:dyDescent="0.35">
      <c r="A17989" s="27" t="s">
        <v>229</v>
      </c>
      <c r="B17989" s="27" t="s">
        <v>257</v>
      </c>
      <c r="C17989" s="28">
        <v>0.88390000000000002</v>
      </c>
      <c r="D17989" s="29"/>
      <c r="E17989" s="29"/>
      <c r="F17989" s="29"/>
      <c r="G17989" s="29"/>
      <c r="H17989" s="28">
        <v>0.11609999999999999</v>
      </c>
      <c r="I17989" s="29"/>
      <c r="J17989" s="29"/>
      <c r="K17989" s="29" t="s">
        <v>314</v>
      </c>
    </row>
    <row r="17990" spans="1:11" x14ac:dyDescent="0.35">
      <c r="A17990" t="s">
        <v>230</v>
      </c>
      <c r="B17990" t="s">
        <v>255</v>
      </c>
      <c r="C17990" s="26">
        <v>0.48149999999999998</v>
      </c>
      <c r="D17990" s="26">
        <v>0.4844</v>
      </c>
      <c r="E17990" s="26">
        <v>4.87E-2</v>
      </c>
      <c r="F17990" s="26">
        <v>8.5099999999999995E-2</v>
      </c>
      <c r="G17990" s="26">
        <v>0.1573</v>
      </c>
      <c r="H17990" s="26">
        <v>2.2200000000000001E-2</v>
      </c>
      <c r="I17990" s="26">
        <v>0.1023</v>
      </c>
      <c r="J17990" s="26">
        <v>3.8899999999999997E-2</v>
      </c>
      <c r="K17990">
        <v>57</v>
      </c>
    </row>
    <row r="17991" spans="1:11" x14ac:dyDescent="0.35">
      <c r="A17991" s="27" t="s">
        <v>230</v>
      </c>
      <c r="B17991" s="27" t="s">
        <v>256</v>
      </c>
      <c r="C17991" s="28">
        <v>0.67490000000000006</v>
      </c>
      <c r="D17991" s="28">
        <v>4.6199999999999998E-2</v>
      </c>
      <c r="E17991" s="28">
        <v>7.6799999999999993E-2</v>
      </c>
      <c r="F17991" s="29"/>
      <c r="G17991" s="28">
        <v>7.51E-2</v>
      </c>
      <c r="H17991" s="28">
        <v>7.51E-2</v>
      </c>
      <c r="I17991" s="29"/>
      <c r="J17991" s="28">
        <v>7.51E-2</v>
      </c>
      <c r="K17991" s="29" t="s">
        <v>352</v>
      </c>
    </row>
    <row r="17992" spans="1:11" x14ac:dyDescent="0.35">
      <c r="A17992" s="27" t="s">
        <v>230</v>
      </c>
      <c r="B17992" s="27" t="s">
        <v>257</v>
      </c>
      <c r="C17992" s="28">
        <v>0.5</v>
      </c>
      <c r="D17992" s="28">
        <v>0.5</v>
      </c>
      <c r="E17992" s="29"/>
      <c r="F17992" s="29"/>
      <c r="G17992" s="29"/>
      <c r="H17992" s="28">
        <v>0.5</v>
      </c>
      <c r="I17992" s="29"/>
      <c r="J17992" s="29"/>
      <c r="K17992" s="29" t="s">
        <v>314</v>
      </c>
    </row>
    <row r="17993" spans="1:11" x14ac:dyDescent="0.35">
      <c r="A17993" s="27" t="s">
        <v>230</v>
      </c>
      <c r="B17993" s="27" t="s">
        <v>258</v>
      </c>
      <c r="C17993" s="28">
        <v>1</v>
      </c>
      <c r="D17993" s="29"/>
      <c r="E17993" s="29"/>
      <c r="F17993" s="29"/>
      <c r="G17993" s="29"/>
      <c r="H17993" s="29"/>
      <c r="I17993" s="29"/>
      <c r="J17993" s="29"/>
      <c r="K17993" s="29" t="s">
        <v>331</v>
      </c>
    </row>
    <row r="17994" spans="1:11" x14ac:dyDescent="0.35">
      <c r="A17994" s="27" t="s">
        <v>231</v>
      </c>
      <c r="B17994" s="27" t="s">
        <v>255</v>
      </c>
      <c r="C17994" s="28">
        <v>0.5</v>
      </c>
      <c r="D17994" s="29"/>
      <c r="E17994" s="28">
        <v>0.5</v>
      </c>
      <c r="F17994" s="29"/>
      <c r="G17994" s="29"/>
      <c r="H17994" s="29"/>
      <c r="I17994" s="29"/>
      <c r="J17994" s="29"/>
      <c r="K17994" s="29" t="s">
        <v>314</v>
      </c>
    </row>
    <row r="17995" spans="1:11" x14ac:dyDescent="0.35">
      <c r="A17995" t="s">
        <v>232</v>
      </c>
      <c r="B17995" t="s">
        <v>232</v>
      </c>
      <c r="C17995" s="26">
        <v>0.48330000000000001</v>
      </c>
      <c r="D17995" s="26">
        <v>0.23419999999999999</v>
      </c>
      <c r="E17995" s="26">
        <v>0.14030000000000001</v>
      </c>
      <c r="F17995" s="26">
        <v>0.1235</v>
      </c>
      <c r="G17995" s="26">
        <v>0.1167</v>
      </c>
      <c r="H17995" s="26">
        <v>0.1085</v>
      </c>
      <c r="I17995" s="26">
        <v>4.24E-2</v>
      </c>
      <c r="J17995" s="26">
        <v>3.1800000000000002E-2</v>
      </c>
      <c r="K17995">
        <v>222</v>
      </c>
    </row>
    <row r="17997" spans="1:11" x14ac:dyDescent="0.35">
      <c r="A17997" s="1" t="s">
        <v>1833</v>
      </c>
    </row>
    <row r="17998" spans="1:11" x14ac:dyDescent="0.35">
      <c r="A17998" t="s">
        <v>219</v>
      </c>
      <c r="B17998" t="s">
        <v>1834</v>
      </c>
      <c r="C17998" t="s">
        <v>1835</v>
      </c>
      <c r="D17998" t="s">
        <v>1836</v>
      </c>
      <c r="E17998" t="s">
        <v>1837</v>
      </c>
      <c r="F17998" t="s">
        <v>1838</v>
      </c>
      <c r="G17998" t="s">
        <v>281</v>
      </c>
      <c r="H17998" t="s">
        <v>226</v>
      </c>
    </row>
    <row r="17999" spans="1:11" x14ac:dyDescent="0.35">
      <c r="A17999" s="27" t="s">
        <v>227</v>
      </c>
      <c r="B17999" s="28">
        <v>0.6</v>
      </c>
      <c r="C17999" s="28">
        <v>0.2</v>
      </c>
      <c r="D17999" s="28">
        <v>0.2</v>
      </c>
      <c r="E17999" s="29"/>
      <c r="F17999" s="29"/>
      <c r="G17999" s="29"/>
      <c r="H17999" s="29" t="s">
        <v>332</v>
      </c>
    </row>
    <row r="18000" spans="1:11" x14ac:dyDescent="0.35">
      <c r="A18000" t="s">
        <v>228</v>
      </c>
      <c r="B18000" s="26">
        <v>0.55859999999999999</v>
      </c>
      <c r="C18000" s="26">
        <v>0.25459999999999999</v>
      </c>
      <c r="D18000" s="26">
        <v>0.1167</v>
      </c>
      <c r="E18000" s="26">
        <v>5.91E-2</v>
      </c>
      <c r="F18000" s="26">
        <v>1.09E-2</v>
      </c>
      <c r="H18000">
        <v>292</v>
      </c>
    </row>
    <row r="18001" spans="1:9" x14ac:dyDescent="0.35">
      <c r="A18001" t="s">
        <v>229</v>
      </c>
      <c r="B18001" s="26">
        <v>0.60229999999999995</v>
      </c>
      <c r="C18001" s="26">
        <v>0.23269999999999999</v>
      </c>
      <c r="D18001" s="26">
        <v>3.4500000000000003E-2</v>
      </c>
      <c r="E18001" s="26">
        <v>7.7399999999999997E-2</v>
      </c>
      <c r="G18001" s="26">
        <v>5.2999999999999999E-2</v>
      </c>
      <c r="H18001">
        <v>133</v>
      </c>
    </row>
    <row r="18002" spans="1:9" x14ac:dyDescent="0.35">
      <c r="A18002" t="s">
        <v>230</v>
      </c>
      <c r="B18002" s="26">
        <v>0.50929999999999997</v>
      </c>
      <c r="C18002" s="26">
        <v>0.29089999999999999</v>
      </c>
      <c r="D18002" s="26">
        <v>0.14349999999999999</v>
      </c>
      <c r="E18002" s="26">
        <v>5.6399999999999999E-2</v>
      </c>
      <c r="H18002">
        <v>174</v>
      </c>
    </row>
    <row r="18003" spans="1:9" x14ac:dyDescent="0.35">
      <c r="A18003" s="27" t="s">
        <v>231</v>
      </c>
      <c r="B18003" s="28">
        <v>0.2</v>
      </c>
      <c r="C18003" s="28">
        <v>0.6</v>
      </c>
      <c r="D18003" s="29"/>
      <c r="E18003" s="29"/>
      <c r="F18003" s="28">
        <v>0.2</v>
      </c>
      <c r="G18003" s="29"/>
      <c r="H18003" s="29" t="s">
        <v>332</v>
      </c>
    </row>
    <row r="18004" spans="1:9" x14ac:dyDescent="0.35">
      <c r="A18004" t="s">
        <v>232</v>
      </c>
      <c r="B18004" s="26">
        <v>0.53680000000000005</v>
      </c>
      <c r="C18004" s="26">
        <v>0.28000000000000003</v>
      </c>
      <c r="D18004" s="26">
        <v>8.7300000000000003E-2</v>
      </c>
      <c r="E18004" s="26">
        <v>5.6800000000000003E-2</v>
      </c>
      <c r="F18004" s="26">
        <v>2.1499999999999998E-2</v>
      </c>
      <c r="G18004" s="26">
        <v>1.77E-2</v>
      </c>
      <c r="H18004">
        <v>609</v>
      </c>
    </row>
    <row r="18006" spans="1:9" x14ac:dyDescent="0.35">
      <c r="A18006" s="1" t="s">
        <v>1839</v>
      </c>
    </row>
    <row r="18007" spans="1:9" x14ac:dyDescent="0.35">
      <c r="A18007" t="s">
        <v>219</v>
      </c>
      <c r="B18007" t="s">
        <v>305</v>
      </c>
      <c r="C18007" t="s">
        <v>1834</v>
      </c>
      <c r="D18007" t="s">
        <v>1835</v>
      </c>
      <c r="E18007" t="s">
        <v>1836</v>
      </c>
      <c r="F18007" t="s">
        <v>1837</v>
      </c>
      <c r="G18007" t="s">
        <v>1838</v>
      </c>
      <c r="H18007" t="s">
        <v>281</v>
      </c>
      <c r="I18007" t="s">
        <v>226</v>
      </c>
    </row>
    <row r="18008" spans="1:9" x14ac:dyDescent="0.35">
      <c r="A18008" s="27" t="s">
        <v>227</v>
      </c>
      <c r="B18008" s="27" t="s">
        <v>242</v>
      </c>
      <c r="C18008" s="28">
        <v>0.66669999999999996</v>
      </c>
      <c r="D18008" s="28">
        <v>0.33329999999999999</v>
      </c>
      <c r="E18008" s="29"/>
      <c r="F18008" s="29"/>
      <c r="G18008" s="29"/>
      <c r="H18008" s="29"/>
      <c r="I18008" s="29" t="s">
        <v>315</v>
      </c>
    </row>
    <row r="18009" spans="1:9" x14ac:dyDescent="0.35">
      <c r="A18009" s="27" t="s">
        <v>227</v>
      </c>
      <c r="B18009" s="27" t="s">
        <v>241</v>
      </c>
      <c r="C18009" s="28">
        <v>0.5</v>
      </c>
      <c r="D18009" s="29"/>
      <c r="E18009" s="28">
        <v>0.5</v>
      </c>
      <c r="F18009" s="29"/>
      <c r="G18009" s="29"/>
      <c r="H18009" s="29"/>
      <c r="I18009" s="29" t="s">
        <v>314</v>
      </c>
    </row>
    <row r="18010" spans="1:9" x14ac:dyDescent="0.35">
      <c r="A18010" t="s">
        <v>228</v>
      </c>
      <c r="B18010" t="s">
        <v>242</v>
      </c>
      <c r="C18010" s="26">
        <v>0.57540000000000002</v>
      </c>
      <c r="D18010" s="26">
        <v>0.24590000000000001</v>
      </c>
      <c r="E18010" s="26">
        <v>9.3799999999999994E-2</v>
      </c>
      <c r="F18010" s="26">
        <v>8.4900000000000003E-2</v>
      </c>
      <c r="I18010">
        <v>129</v>
      </c>
    </row>
    <row r="18011" spans="1:9" x14ac:dyDescent="0.35">
      <c r="A18011" t="s">
        <v>228</v>
      </c>
      <c r="B18011" t="s">
        <v>241</v>
      </c>
      <c r="C18011" s="26">
        <v>0.54569999999999996</v>
      </c>
      <c r="D18011" s="26">
        <v>0.26129999999999998</v>
      </c>
      <c r="E18011" s="26">
        <v>0.13439999999999999</v>
      </c>
      <c r="F18011" s="26">
        <v>3.9300000000000002E-2</v>
      </c>
      <c r="G18011" s="26">
        <v>1.9300000000000001E-2</v>
      </c>
      <c r="I18011">
        <v>163</v>
      </c>
    </row>
    <row r="18012" spans="1:9" x14ac:dyDescent="0.35">
      <c r="A18012" t="s">
        <v>229</v>
      </c>
      <c r="B18012" t="s">
        <v>242</v>
      </c>
      <c r="C18012" s="26">
        <v>0.51770000000000005</v>
      </c>
      <c r="D18012" s="26">
        <v>0.33279999999999998</v>
      </c>
      <c r="E18012" s="26">
        <v>2.8500000000000001E-2</v>
      </c>
      <c r="F18012" s="26">
        <v>3.6900000000000002E-2</v>
      </c>
      <c r="H18012" s="26">
        <v>8.4099999999999994E-2</v>
      </c>
      <c r="I18012">
        <v>45</v>
      </c>
    </row>
    <row r="18013" spans="1:9" x14ac:dyDescent="0.35">
      <c r="A18013" t="s">
        <v>229</v>
      </c>
      <c r="B18013" t="s">
        <v>241</v>
      </c>
      <c r="C18013" s="26">
        <v>0.64129999999999998</v>
      </c>
      <c r="D18013" s="26">
        <v>0.1867</v>
      </c>
      <c r="E18013" s="26">
        <v>3.73E-2</v>
      </c>
      <c r="F18013" s="26">
        <v>9.6000000000000002E-2</v>
      </c>
      <c r="H18013" s="26">
        <v>3.8699999999999998E-2</v>
      </c>
      <c r="I18013">
        <v>88</v>
      </c>
    </row>
    <row r="18014" spans="1:9" x14ac:dyDescent="0.35">
      <c r="A18014" t="s">
        <v>230</v>
      </c>
      <c r="B18014" t="s">
        <v>242</v>
      </c>
      <c r="C18014" s="26">
        <v>0.50619999999999998</v>
      </c>
      <c r="D18014" s="26">
        <v>0.2248</v>
      </c>
      <c r="E18014" s="26">
        <v>0.1744</v>
      </c>
      <c r="F18014" s="26">
        <v>9.4600000000000004E-2</v>
      </c>
      <c r="I18014">
        <v>73</v>
      </c>
    </row>
    <row r="18015" spans="1:9" x14ac:dyDescent="0.35">
      <c r="A18015" t="s">
        <v>230</v>
      </c>
      <c r="B18015" t="s">
        <v>241</v>
      </c>
      <c r="C18015" s="26">
        <v>0.51149999999999995</v>
      </c>
      <c r="D18015" s="26">
        <v>0.3377</v>
      </c>
      <c r="E18015" s="26">
        <v>0.1215</v>
      </c>
      <c r="F18015" s="26">
        <v>2.93E-2</v>
      </c>
      <c r="I18015">
        <v>101</v>
      </c>
    </row>
    <row r="18016" spans="1:9" x14ac:dyDescent="0.35">
      <c r="A18016" s="27" t="s">
        <v>231</v>
      </c>
      <c r="B18016" s="27" t="s">
        <v>241</v>
      </c>
      <c r="C18016" s="28">
        <v>0.2</v>
      </c>
      <c r="D18016" s="28">
        <v>0.6</v>
      </c>
      <c r="E18016" s="29"/>
      <c r="F18016" s="29"/>
      <c r="G18016" s="28">
        <v>0.2</v>
      </c>
      <c r="H18016" s="29"/>
      <c r="I18016" s="29" t="s">
        <v>332</v>
      </c>
    </row>
    <row r="18017" spans="1:9" x14ac:dyDescent="0.35">
      <c r="A18017" t="s">
        <v>232</v>
      </c>
      <c r="B18017" t="s">
        <v>232</v>
      </c>
      <c r="C18017" s="26">
        <v>0.53680000000000005</v>
      </c>
      <c r="D18017" s="26">
        <v>0.28000000000000003</v>
      </c>
      <c r="E18017" s="26">
        <v>8.7300000000000003E-2</v>
      </c>
      <c r="F18017" s="26">
        <v>5.6800000000000003E-2</v>
      </c>
      <c r="G18017" s="26">
        <v>2.1499999999999998E-2</v>
      </c>
      <c r="H18017" s="26">
        <v>1.77E-2</v>
      </c>
      <c r="I18017">
        <v>609</v>
      </c>
    </row>
    <row r="18019" spans="1:9" x14ac:dyDescent="0.35">
      <c r="A18019" s="1" t="s">
        <v>1840</v>
      </c>
    </row>
    <row r="18020" spans="1:9" x14ac:dyDescent="0.35">
      <c r="A18020" t="s">
        <v>219</v>
      </c>
      <c r="B18020" t="s">
        <v>305</v>
      </c>
      <c r="C18020" t="s">
        <v>1834</v>
      </c>
      <c r="D18020" t="s">
        <v>1835</v>
      </c>
      <c r="E18020" t="s">
        <v>1836</v>
      </c>
      <c r="F18020" t="s">
        <v>1837</v>
      </c>
      <c r="G18020" t="s">
        <v>1838</v>
      </c>
      <c r="H18020" t="s">
        <v>281</v>
      </c>
      <c r="I18020" t="s">
        <v>226</v>
      </c>
    </row>
    <row r="18021" spans="1:9" x14ac:dyDescent="0.35">
      <c r="A18021" s="27" t="s">
        <v>227</v>
      </c>
      <c r="B18021" s="27" t="s">
        <v>239</v>
      </c>
      <c r="C18021" s="28">
        <v>1</v>
      </c>
      <c r="D18021" s="29"/>
      <c r="E18021" s="29"/>
      <c r="F18021" s="29"/>
      <c r="G18021" s="29"/>
      <c r="H18021" s="29"/>
      <c r="I18021" s="29" t="s">
        <v>331</v>
      </c>
    </row>
    <row r="18022" spans="1:9" x14ac:dyDescent="0.35">
      <c r="A18022" s="27" t="s">
        <v>227</v>
      </c>
      <c r="B18022" s="27" t="s">
        <v>238</v>
      </c>
      <c r="C18022" s="28">
        <v>0.5</v>
      </c>
      <c r="D18022" s="28">
        <v>0.25</v>
      </c>
      <c r="E18022" s="28">
        <v>0.25</v>
      </c>
      <c r="F18022" s="29"/>
      <c r="G18022" s="29"/>
      <c r="H18022" s="29"/>
      <c r="I18022" s="29" t="s">
        <v>337</v>
      </c>
    </row>
    <row r="18023" spans="1:9" x14ac:dyDescent="0.35">
      <c r="A18023" t="s">
        <v>228</v>
      </c>
      <c r="B18023" t="s">
        <v>239</v>
      </c>
      <c r="C18023" s="26">
        <v>0.42009999999999997</v>
      </c>
      <c r="D18023" s="26">
        <v>0.28050000000000003</v>
      </c>
      <c r="E18023" s="26">
        <v>0.17829999999999999</v>
      </c>
      <c r="F18023" s="26">
        <v>0.1211</v>
      </c>
      <c r="I18023">
        <v>91</v>
      </c>
    </row>
    <row r="18024" spans="1:9" x14ac:dyDescent="0.35">
      <c r="A18024" t="s">
        <v>228</v>
      </c>
      <c r="B18024" t="s">
        <v>238</v>
      </c>
      <c r="C18024" s="26">
        <v>0.59650000000000003</v>
      </c>
      <c r="D18024" s="26">
        <v>0.2475</v>
      </c>
      <c r="E18024" s="26">
        <v>9.9900000000000003E-2</v>
      </c>
      <c r="F18024" s="26">
        <v>4.2200000000000001E-2</v>
      </c>
      <c r="G18024" s="26">
        <v>1.3899999999999999E-2</v>
      </c>
      <c r="I18024">
        <v>201</v>
      </c>
    </row>
    <row r="18025" spans="1:9" x14ac:dyDescent="0.35">
      <c r="A18025" t="s">
        <v>229</v>
      </c>
      <c r="B18025" t="s">
        <v>239</v>
      </c>
      <c r="C18025" s="26">
        <v>0.44240000000000002</v>
      </c>
      <c r="D18025" s="26">
        <v>0.40579999999999999</v>
      </c>
      <c r="E18025" s="26">
        <v>7.3700000000000002E-2</v>
      </c>
      <c r="F18025" s="26">
        <v>7.8100000000000003E-2</v>
      </c>
      <c r="I18025">
        <v>42</v>
      </c>
    </row>
    <row r="18026" spans="1:9" x14ac:dyDescent="0.35">
      <c r="A18026" t="s">
        <v>229</v>
      </c>
      <c r="B18026" t="s">
        <v>238</v>
      </c>
      <c r="C18026" s="26">
        <v>0.67789999999999995</v>
      </c>
      <c r="D18026" s="26">
        <v>0.15090000000000001</v>
      </c>
      <c r="E18026" s="26">
        <v>1.6E-2</v>
      </c>
      <c r="F18026" s="26">
        <v>7.7100000000000002E-2</v>
      </c>
      <c r="H18026" s="26">
        <v>7.8100000000000003E-2</v>
      </c>
      <c r="I18026">
        <v>91</v>
      </c>
    </row>
    <row r="18027" spans="1:9" x14ac:dyDescent="0.35">
      <c r="A18027" t="s">
        <v>230</v>
      </c>
      <c r="B18027" t="s">
        <v>239</v>
      </c>
      <c r="C18027" s="26">
        <v>0.43259999999999998</v>
      </c>
      <c r="D18027" s="26">
        <v>0.25850000000000001</v>
      </c>
      <c r="E18027" s="26">
        <v>0.27439999999999998</v>
      </c>
      <c r="F18027" s="26">
        <v>3.4500000000000003E-2</v>
      </c>
      <c r="I18027">
        <v>70</v>
      </c>
    </row>
    <row r="18028" spans="1:9" x14ac:dyDescent="0.35">
      <c r="A18028" t="s">
        <v>230</v>
      </c>
      <c r="B18028" t="s">
        <v>238</v>
      </c>
      <c r="C18028" s="26">
        <v>0.5383</v>
      </c>
      <c r="D18028" s="26">
        <v>0.30309999999999998</v>
      </c>
      <c r="E18028" s="26">
        <v>9.3899999999999997E-2</v>
      </c>
      <c r="F18028" s="26">
        <v>6.4600000000000005E-2</v>
      </c>
      <c r="I18028">
        <v>104</v>
      </c>
    </row>
    <row r="18029" spans="1:9" x14ac:dyDescent="0.35">
      <c r="A18029" s="27" t="s">
        <v>231</v>
      </c>
      <c r="B18029" s="27" t="s">
        <v>239</v>
      </c>
      <c r="C18029" s="29"/>
      <c r="D18029" s="29"/>
      <c r="E18029" s="29"/>
      <c r="F18029" s="29"/>
      <c r="G18029" s="28">
        <v>1</v>
      </c>
      <c r="H18029" s="29"/>
      <c r="I18029" s="29" t="s">
        <v>331</v>
      </c>
    </row>
    <row r="18030" spans="1:9" x14ac:dyDescent="0.35">
      <c r="A18030" s="27" t="s">
        <v>231</v>
      </c>
      <c r="B18030" s="27" t="s">
        <v>238</v>
      </c>
      <c r="C18030" s="28">
        <v>0.25</v>
      </c>
      <c r="D18030" s="28">
        <v>0.75</v>
      </c>
      <c r="E18030" s="29"/>
      <c r="F18030" s="29"/>
      <c r="G18030" s="29"/>
      <c r="H18030" s="29"/>
      <c r="I18030" s="29" t="s">
        <v>337</v>
      </c>
    </row>
    <row r="18031" spans="1:9" x14ac:dyDescent="0.35">
      <c r="A18031" t="s">
        <v>232</v>
      </c>
      <c r="B18031" t="s">
        <v>232</v>
      </c>
      <c r="C18031" s="26">
        <v>0.53680000000000005</v>
      </c>
      <c r="D18031" s="26">
        <v>0.28000000000000003</v>
      </c>
      <c r="E18031" s="26">
        <v>8.7300000000000003E-2</v>
      </c>
      <c r="F18031" s="26">
        <v>5.6800000000000003E-2</v>
      </c>
      <c r="G18031" s="26">
        <v>2.1499999999999998E-2</v>
      </c>
      <c r="H18031" s="26">
        <v>1.77E-2</v>
      </c>
      <c r="I18031">
        <v>609</v>
      </c>
    </row>
    <row r="18033" spans="1:9" x14ac:dyDescent="0.35">
      <c r="A18033" s="1" t="s">
        <v>1841</v>
      </c>
    </row>
    <row r="18034" spans="1:9" x14ac:dyDescent="0.35">
      <c r="A18034" t="s">
        <v>219</v>
      </c>
      <c r="B18034" t="s">
        <v>305</v>
      </c>
      <c r="C18034" t="s">
        <v>1834</v>
      </c>
      <c r="D18034" t="s">
        <v>1835</v>
      </c>
      <c r="E18034" t="s">
        <v>1836</v>
      </c>
      <c r="F18034" t="s">
        <v>1837</v>
      </c>
      <c r="G18034" t="s">
        <v>1838</v>
      </c>
      <c r="H18034" t="s">
        <v>281</v>
      </c>
      <c r="I18034" t="s">
        <v>226</v>
      </c>
    </row>
    <row r="18035" spans="1:9" x14ac:dyDescent="0.35">
      <c r="A18035" s="27" t="s">
        <v>227</v>
      </c>
      <c r="B18035" s="27" t="s">
        <v>244</v>
      </c>
      <c r="C18035" s="28">
        <v>0.33329999999999999</v>
      </c>
      <c r="D18035" s="28">
        <v>0.33329999999999999</v>
      </c>
      <c r="E18035" s="28">
        <v>0.33329999999999999</v>
      </c>
      <c r="F18035" s="29"/>
      <c r="G18035" s="29"/>
      <c r="H18035" s="29"/>
      <c r="I18035" s="29" t="s">
        <v>315</v>
      </c>
    </row>
    <row r="18036" spans="1:9" x14ac:dyDescent="0.35">
      <c r="A18036" s="27" t="s">
        <v>227</v>
      </c>
      <c r="B18036" s="27" t="s">
        <v>245</v>
      </c>
      <c r="C18036" s="28">
        <v>1</v>
      </c>
      <c r="D18036" s="29"/>
      <c r="E18036" s="29"/>
      <c r="F18036" s="29"/>
      <c r="G18036" s="29"/>
      <c r="H18036" s="29"/>
      <c r="I18036" s="29" t="s">
        <v>314</v>
      </c>
    </row>
    <row r="18037" spans="1:9" x14ac:dyDescent="0.35">
      <c r="A18037" t="s">
        <v>228</v>
      </c>
      <c r="B18037" t="s">
        <v>244</v>
      </c>
      <c r="C18037" s="26">
        <v>0.53280000000000005</v>
      </c>
      <c r="D18037" s="26">
        <v>0.28789999999999999</v>
      </c>
      <c r="E18037" s="26">
        <v>0.1046</v>
      </c>
      <c r="F18037" s="26">
        <v>6.7900000000000002E-2</v>
      </c>
      <c r="G18037" s="26">
        <v>6.7999999999999996E-3</v>
      </c>
      <c r="I18037">
        <v>182</v>
      </c>
    </row>
    <row r="18038" spans="1:9" x14ac:dyDescent="0.35">
      <c r="A18038" t="s">
        <v>228</v>
      </c>
      <c r="B18038" t="s">
        <v>245</v>
      </c>
      <c r="C18038" s="26">
        <v>0.57420000000000004</v>
      </c>
      <c r="D18038" s="26">
        <v>0.20599999999999999</v>
      </c>
      <c r="E18038" s="26">
        <v>0.1482</v>
      </c>
      <c r="F18038" s="26">
        <v>4.8099999999999997E-2</v>
      </c>
      <c r="G18038" s="26">
        <v>2.35E-2</v>
      </c>
      <c r="I18038">
        <v>92</v>
      </c>
    </row>
    <row r="18039" spans="1:9" x14ac:dyDescent="0.35">
      <c r="A18039" s="27" t="s">
        <v>228</v>
      </c>
      <c r="B18039" s="27" t="s">
        <v>246</v>
      </c>
      <c r="C18039" s="28">
        <v>0.72070000000000001</v>
      </c>
      <c r="D18039" s="28">
        <v>0.14940000000000001</v>
      </c>
      <c r="E18039" s="28">
        <v>0.1052</v>
      </c>
      <c r="F18039" s="28">
        <v>2.47E-2</v>
      </c>
      <c r="G18039" s="29"/>
      <c r="H18039" s="29"/>
      <c r="I18039" s="29" t="s">
        <v>353</v>
      </c>
    </row>
    <row r="18040" spans="1:9" x14ac:dyDescent="0.35">
      <c r="A18040" t="s">
        <v>229</v>
      </c>
      <c r="B18040" t="s">
        <v>244</v>
      </c>
      <c r="C18040" s="26">
        <v>0.57709999999999995</v>
      </c>
      <c r="D18040" s="26">
        <v>0.2382</v>
      </c>
      <c r="E18040" s="26">
        <v>4.02E-2</v>
      </c>
      <c r="F18040" s="26">
        <v>7.6100000000000001E-2</v>
      </c>
      <c r="H18040" s="26">
        <v>6.8400000000000002E-2</v>
      </c>
      <c r="I18040">
        <v>85</v>
      </c>
    </row>
    <row r="18041" spans="1:9" x14ac:dyDescent="0.35">
      <c r="A18041" t="s">
        <v>229</v>
      </c>
      <c r="B18041" t="s">
        <v>245</v>
      </c>
      <c r="C18041" s="26">
        <v>0.71040000000000003</v>
      </c>
      <c r="D18041" s="26">
        <v>0.21679999999999999</v>
      </c>
      <c r="E18041" s="26">
        <v>1.54E-2</v>
      </c>
      <c r="F18041" s="26">
        <v>5.7500000000000002E-2</v>
      </c>
      <c r="I18041">
        <v>46</v>
      </c>
    </row>
    <row r="18042" spans="1:9" x14ac:dyDescent="0.35">
      <c r="A18042" s="27" t="s">
        <v>229</v>
      </c>
      <c r="B18042" s="27" t="s">
        <v>246</v>
      </c>
      <c r="C18042" s="29"/>
      <c r="D18042" s="28">
        <v>0.12470000000000001</v>
      </c>
      <c r="E18042" s="29"/>
      <c r="F18042" s="28">
        <v>0.87529999999999997</v>
      </c>
      <c r="G18042" s="29"/>
      <c r="H18042" s="29"/>
      <c r="I18042" s="29" t="s">
        <v>314</v>
      </c>
    </row>
    <row r="18043" spans="1:9" x14ac:dyDescent="0.35">
      <c r="A18043" t="s">
        <v>230</v>
      </c>
      <c r="B18043" t="s">
        <v>244</v>
      </c>
      <c r="C18043" s="26">
        <v>0.49680000000000002</v>
      </c>
      <c r="D18043" s="26">
        <v>0.26779999999999998</v>
      </c>
      <c r="E18043" s="26">
        <v>0.15659999999999999</v>
      </c>
      <c r="F18043" s="26">
        <v>7.8899999999999998E-2</v>
      </c>
      <c r="I18043">
        <v>106</v>
      </c>
    </row>
    <row r="18044" spans="1:9" x14ac:dyDescent="0.35">
      <c r="A18044" t="s">
        <v>230</v>
      </c>
      <c r="B18044" t="s">
        <v>245</v>
      </c>
      <c r="C18044" s="26">
        <v>0.53120000000000001</v>
      </c>
      <c r="D18044" s="26">
        <v>0.34989999999999999</v>
      </c>
      <c r="E18044" s="26">
        <v>9.2499999999999999E-2</v>
      </c>
      <c r="F18044" s="26">
        <v>2.64E-2</v>
      </c>
      <c r="I18044">
        <v>56</v>
      </c>
    </row>
    <row r="18045" spans="1:9" x14ac:dyDescent="0.35">
      <c r="A18045" s="27" t="s">
        <v>230</v>
      </c>
      <c r="B18045" s="27" t="s">
        <v>246</v>
      </c>
      <c r="C18045" s="28">
        <v>0.5</v>
      </c>
      <c r="D18045" s="28">
        <v>0.12970000000000001</v>
      </c>
      <c r="E18045" s="28">
        <v>0.37030000000000002</v>
      </c>
      <c r="F18045" s="29"/>
      <c r="G18045" s="29"/>
      <c r="H18045" s="29"/>
      <c r="I18045" s="29" t="s">
        <v>342</v>
      </c>
    </row>
    <row r="18046" spans="1:9" x14ac:dyDescent="0.35">
      <c r="A18046" s="27" t="s">
        <v>231</v>
      </c>
      <c r="B18046" s="27" t="s">
        <v>244</v>
      </c>
      <c r="C18046" s="29"/>
      <c r="D18046" s="28">
        <v>0.66669999999999996</v>
      </c>
      <c r="E18046" s="29"/>
      <c r="F18046" s="29"/>
      <c r="G18046" s="28">
        <v>0.33329999999999999</v>
      </c>
      <c r="H18046" s="29"/>
      <c r="I18046" s="29" t="s">
        <v>315</v>
      </c>
    </row>
    <row r="18047" spans="1:9" x14ac:dyDescent="0.35">
      <c r="A18047" s="27" t="s">
        <v>231</v>
      </c>
      <c r="B18047" s="27" t="s">
        <v>245</v>
      </c>
      <c r="C18047" s="28">
        <v>0.5</v>
      </c>
      <c r="D18047" s="28">
        <v>0.5</v>
      </c>
      <c r="E18047" s="29"/>
      <c r="F18047" s="29"/>
      <c r="G18047" s="29"/>
      <c r="H18047" s="29"/>
      <c r="I18047" s="29" t="s">
        <v>314</v>
      </c>
    </row>
    <row r="18048" spans="1:9" x14ac:dyDescent="0.35">
      <c r="A18048" t="s">
        <v>232</v>
      </c>
      <c r="B18048" t="s">
        <v>232</v>
      </c>
      <c r="C18048" s="26">
        <v>0.53680000000000005</v>
      </c>
      <c r="D18048" s="26">
        <v>0.28000000000000003</v>
      </c>
      <c r="E18048" s="26">
        <v>8.7300000000000003E-2</v>
      </c>
      <c r="F18048" s="26">
        <v>5.6800000000000003E-2</v>
      </c>
      <c r="G18048" s="26">
        <v>2.1499999999999998E-2</v>
      </c>
      <c r="H18048" s="26">
        <v>1.77E-2</v>
      </c>
      <c r="I18048">
        <v>609</v>
      </c>
    </row>
    <row r="18050" spans="1:9" x14ac:dyDescent="0.35">
      <c r="A18050" s="1" t="s">
        <v>1842</v>
      </c>
    </row>
    <row r="18051" spans="1:9" x14ac:dyDescent="0.35">
      <c r="A18051" t="s">
        <v>219</v>
      </c>
      <c r="B18051" t="s">
        <v>305</v>
      </c>
      <c r="C18051" t="s">
        <v>1834</v>
      </c>
      <c r="D18051" t="s">
        <v>1835</v>
      </c>
      <c r="E18051" t="s">
        <v>1836</v>
      </c>
      <c r="F18051" t="s">
        <v>1837</v>
      </c>
      <c r="G18051" t="s">
        <v>1838</v>
      </c>
      <c r="H18051" t="s">
        <v>281</v>
      </c>
      <c r="I18051" t="s">
        <v>226</v>
      </c>
    </row>
    <row r="18052" spans="1:9" x14ac:dyDescent="0.35">
      <c r="A18052" s="27" t="s">
        <v>227</v>
      </c>
      <c r="B18052" s="27" t="s">
        <v>362</v>
      </c>
      <c r="C18052" s="29"/>
      <c r="D18052" s="28">
        <v>1</v>
      </c>
      <c r="E18052" s="29"/>
      <c r="F18052" s="29"/>
      <c r="G18052" s="29"/>
      <c r="H18052" s="29"/>
      <c r="I18052" s="29" t="s">
        <v>331</v>
      </c>
    </row>
    <row r="18053" spans="1:9" x14ac:dyDescent="0.35">
      <c r="A18053" s="27" t="s">
        <v>227</v>
      </c>
      <c r="B18053" s="27" t="s">
        <v>361</v>
      </c>
      <c r="C18053" s="28">
        <v>0.5</v>
      </c>
      <c r="D18053" s="29"/>
      <c r="E18053" s="28">
        <v>0.5</v>
      </c>
      <c r="F18053" s="29"/>
      <c r="G18053" s="29"/>
      <c r="H18053" s="29"/>
      <c r="I18053" s="29" t="s">
        <v>314</v>
      </c>
    </row>
    <row r="18054" spans="1:9" x14ac:dyDescent="0.35">
      <c r="A18054" s="27" t="s">
        <v>227</v>
      </c>
      <c r="B18054" s="27" t="s">
        <v>363</v>
      </c>
      <c r="C18054" s="28">
        <v>1</v>
      </c>
      <c r="D18054" s="29"/>
      <c r="E18054" s="29"/>
      <c r="F18054" s="29"/>
      <c r="G18054" s="29"/>
      <c r="H18054" s="29"/>
      <c r="I18054" s="29" t="s">
        <v>314</v>
      </c>
    </row>
    <row r="18055" spans="1:9" x14ac:dyDescent="0.35">
      <c r="A18055" t="s">
        <v>228</v>
      </c>
      <c r="B18055" t="s">
        <v>360</v>
      </c>
      <c r="C18055" s="26">
        <v>0.57609999999999995</v>
      </c>
      <c r="D18055" s="26">
        <v>0.22439999999999999</v>
      </c>
      <c r="E18055" s="26">
        <v>0.1071</v>
      </c>
      <c r="F18055" s="26">
        <v>9.2399999999999996E-2</v>
      </c>
      <c r="I18055">
        <v>85</v>
      </c>
    </row>
    <row r="18056" spans="1:9" x14ac:dyDescent="0.35">
      <c r="A18056" t="s">
        <v>228</v>
      </c>
      <c r="B18056" t="s">
        <v>362</v>
      </c>
      <c r="C18056" s="26">
        <v>0.59989999999999999</v>
      </c>
      <c r="D18056" s="26">
        <v>0.27900000000000003</v>
      </c>
      <c r="E18056" s="26">
        <v>6.2399999999999997E-2</v>
      </c>
      <c r="F18056" s="26">
        <v>5.8799999999999998E-2</v>
      </c>
      <c r="I18056">
        <v>61</v>
      </c>
    </row>
    <row r="18057" spans="1:9" x14ac:dyDescent="0.35">
      <c r="A18057" t="s">
        <v>228</v>
      </c>
      <c r="B18057" t="s">
        <v>361</v>
      </c>
      <c r="C18057" s="26">
        <v>0.49330000000000002</v>
      </c>
      <c r="D18057" s="26">
        <v>0.29580000000000001</v>
      </c>
      <c r="E18057" s="26">
        <v>0.1239</v>
      </c>
      <c r="F18057" s="26">
        <v>4.7E-2</v>
      </c>
      <c r="G18057" s="26">
        <v>3.9899999999999998E-2</v>
      </c>
      <c r="I18057">
        <v>50</v>
      </c>
    </row>
    <row r="18058" spans="1:9" x14ac:dyDescent="0.35">
      <c r="A18058" t="s">
        <v>228</v>
      </c>
      <c r="B18058" t="s">
        <v>363</v>
      </c>
      <c r="C18058" s="26">
        <v>0.52969999999999995</v>
      </c>
      <c r="D18058" s="26">
        <v>0.2742</v>
      </c>
      <c r="E18058" s="26">
        <v>0.16450000000000001</v>
      </c>
      <c r="F18058" s="26">
        <v>3.1600000000000003E-2</v>
      </c>
      <c r="I18058">
        <v>49</v>
      </c>
    </row>
    <row r="18059" spans="1:9" x14ac:dyDescent="0.35">
      <c r="A18059" t="s">
        <v>229</v>
      </c>
      <c r="B18059" t="s">
        <v>363</v>
      </c>
      <c r="C18059" s="26">
        <v>0.8508</v>
      </c>
      <c r="D18059" s="26">
        <v>0.11459999999999999</v>
      </c>
      <c r="E18059" s="26">
        <v>4.4000000000000003E-3</v>
      </c>
      <c r="F18059" s="26">
        <v>3.0200000000000001E-2</v>
      </c>
      <c r="I18059">
        <v>30</v>
      </c>
    </row>
    <row r="18060" spans="1:9" x14ac:dyDescent="0.35">
      <c r="A18060" s="27" t="s">
        <v>229</v>
      </c>
      <c r="B18060" s="27" t="s">
        <v>362</v>
      </c>
      <c r="C18060" s="28">
        <v>0.67149999999999999</v>
      </c>
      <c r="D18060" s="28">
        <v>0.20399999999999999</v>
      </c>
      <c r="E18060" s="28">
        <v>5.4899999999999997E-2</v>
      </c>
      <c r="F18060" s="28">
        <v>6.9599999999999995E-2</v>
      </c>
      <c r="G18060" s="29"/>
      <c r="H18060" s="29"/>
      <c r="I18060" s="29" t="s">
        <v>328</v>
      </c>
    </row>
    <row r="18061" spans="1:9" x14ac:dyDescent="0.35">
      <c r="A18061" s="27" t="s">
        <v>229</v>
      </c>
      <c r="B18061" s="27" t="s">
        <v>360</v>
      </c>
      <c r="C18061" s="28">
        <v>0.4829</v>
      </c>
      <c r="D18061" s="28">
        <v>0.17960000000000001</v>
      </c>
      <c r="E18061" s="28">
        <v>0.14280000000000001</v>
      </c>
      <c r="F18061" s="28">
        <v>4.8599999999999997E-2</v>
      </c>
      <c r="G18061" s="29"/>
      <c r="H18061" s="28">
        <v>0.1462</v>
      </c>
      <c r="I18061" s="29" t="s">
        <v>312</v>
      </c>
    </row>
    <row r="18062" spans="1:9" x14ac:dyDescent="0.35">
      <c r="A18062" t="s">
        <v>229</v>
      </c>
      <c r="B18062" t="s">
        <v>361</v>
      </c>
      <c r="C18062" s="26">
        <v>0.55759999999999998</v>
      </c>
      <c r="D18062" s="26">
        <v>0.25990000000000002</v>
      </c>
      <c r="E18062" s="26">
        <v>6.7000000000000002E-3</v>
      </c>
      <c r="F18062" s="26">
        <v>0.12</v>
      </c>
      <c r="H18062" s="26">
        <v>5.5800000000000002E-2</v>
      </c>
      <c r="I18062">
        <v>40</v>
      </c>
    </row>
    <row r="18063" spans="1:9" x14ac:dyDescent="0.35">
      <c r="A18063" t="s">
        <v>230</v>
      </c>
      <c r="B18063" t="s">
        <v>362</v>
      </c>
      <c r="C18063" s="26">
        <v>0.6139</v>
      </c>
      <c r="D18063" s="26">
        <v>0.23350000000000001</v>
      </c>
      <c r="E18063" s="26">
        <v>0.13830000000000001</v>
      </c>
      <c r="F18063" s="26">
        <v>1.43E-2</v>
      </c>
      <c r="I18063">
        <v>50</v>
      </c>
    </row>
    <row r="18064" spans="1:9" x14ac:dyDescent="0.35">
      <c r="A18064" s="27" t="s">
        <v>230</v>
      </c>
      <c r="B18064" s="27" t="s">
        <v>361</v>
      </c>
      <c r="C18064" s="28">
        <v>0.58409999999999995</v>
      </c>
      <c r="D18064" s="28">
        <v>0.2782</v>
      </c>
      <c r="E18064" s="28">
        <v>0.1013</v>
      </c>
      <c r="F18064" s="28">
        <v>3.6400000000000002E-2</v>
      </c>
      <c r="G18064" s="29"/>
      <c r="H18064" s="29"/>
      <c r="I18064" s="29" t="s">
        <v>329</v>
      </c>
    </row>
    <row r="18065" spans="1:9" x14ac:dyDescent="0.35">
      <c r="A18065" t="s">
        <v>230</v>
      </c>
      <c r="B18065" t="s">
        <v>360</v>
      </c>
      <c r="C18065" s="26">
        <v>0.42380000000000001</v>
      </c>
      <c r="D18065" s="26">
        <v>0.21299999999999999</v>
      </c>
      <c r="E18065" s="26">
        <v>0.18840000000000001</v>
      </c>
      <c r="F18065" s="26">
        <v>0.17480000000000001</v>
      </c>
      <c r="I18065">
        <v>50</v>
      </c>
    </row>
    <row r="18066" spans="1:9" x14ac:dyDescent="0.35">
      <c r="A18066" t="s">
        <v>230</v>
      </c>
      <c r="B18066" t="s">
        <v>363</v>
      </c>
      <c r="C18066" s="26">
        <v>0.4168</v>
      </c>
      <c r="D18066" s="26">
        <v>0.40460000000000002</v>
      </c>
      <c r="E18066" s="26">
        <v>0.15620000000000001</v>
      </c>
      <c r="F18066" s="26">
        <v>2.23E-2</v>
      </c>
      <c r="I18066">
        <v>32</v>
      </c>
    </row>
    <row r="18067" spans="1:9" x14ac:dyDescent="0.35">
      <c r="A18067" s="27" t="s">
        <v>231</v>
      </c>
      <c r="B18067" s="27" t="s">
        <v>361</v>
      </c>
      <c r="C18067" s="28">
        <v>0.33329999999999999</v>
      </c>
      <c r="D18067" s="28">
        <v>0.66669999999999996</v>
      </c>
      <c r="E18067" s="29"/>
      <c r="F18067" s="29"/>
      <c r="G18067" s="29"/>
      <c r="H18067" s="29"/>
      <c r="I18067" s="29" t="s">
        <v>315</v>
      </c>
    </row>
    <row r="18068" spans="1:9" x14ac:dyDescent="0.35">
      <c r="A18068" t="s">
        <v>232</v>
      </c>
      <c r="B18068" t="s">
        <v>232</v>
      </c>
      <c r="C18068" s="26">
        <v>0.53680000000000005</v>
      </c>
      <c r="D18068" s="26">
        <v>0.28000000000000003</v>
      </c>
      <c r="E18068" s="26">
        <v>8.7300000000000003E-2</v>
      </c>
      <c r="F18068" s="26">
        <v>5.6800000000000003E-2</v>
      </c>
      <c r="G18068" s="26">
        <v>2.1499999999999998E-2</v>
      </c>
      <c r="H18068" s="26">
        <v>1.77E-2</v>
      </c>
      <c r="I18068">
        <v>532</v>
      </c>
    </row>
    <row r="18070" spans="1:9" x14ac:dyDescent="0.35">
      <c r="A18070" s="1" t="s">
        <v>1843</v>
      </c>
    </row>
    <row r="18071" spans="1:9" x14ac:dyDescent="0.35">
      <c r="A18071" t="s">
        <v>219</v>
      </c>
      <c r="B18071" t="s">
        <v>305</v>
      </c>
      <c r="C18071" t="s">
        <v>1834</v>
      </c>
      <c r="D18071" t="s">
        <v>1835</v>
      </c>
      <c r="E18071" t="s">
        <v>1836</v>
      </c>
      <c r="F18071" t="s">
        <v>1837</v>
      </c>
      <c r="G18071" t="s">
        <v>1838</v>
      </c>
      <c r="H18071" t="s">
        <v>281</v>
      </c>
      <c r="I18071" t="s">
        <v>226</v>
      </c>
    </row>
    <row r="18072" spans="1:9" x14ac:dyDescent="0.35">
      <c r="A18072" s="27" t="s">
        <v>227</v>
      </c>
      <c r="B18072" s="27" t="s">
        <v>267</v>
      </c>
      <c r="C18072" s="28">
        <v>1</v>
      </c>
      <c r="D18072" s="29"/>
      <c r="E18072" s="29"/>
      <c r="F18072" s="29"/>
      <c r="G18072" s="29"/>
      <c r="H18072" s="29"/>
      <c r="I18072" s="29" t="s">
        <v>331</v>
      </c>
    </row>
    <row r="18073" spans="1:9" x14ac:dyDescent="0.35">
      <c r="A18073" s="27" t="s">
        <v>227</v>
      </c>
      <c r="B18073" s="27" t="s">
        <v>266</v>
      </c>
      <c r="C18073" s="28">
        <v>1</v>
      </c>
      <c r="D18073" s="29"/>
      <c r="E18073" s="29"/>
      <c r="F18073" s="29"/>
      <c r="G18073" s="29"/>
      <c r="H18073" s="29"/>
      <c r="I18073" s="29" t="s">
        <v>331</v>
      </c>
    </row>
    <row r="18074" spans="1:9" x14ac:dyDescent="0.35">
      <c r="A18074" s="27" t="s">
        <v>227</v>
      </c>
      <c r="B18074" s="27" t="s">
        <v>265</v>
      </c>
      <c r="C18074" s="28">
        <v>0.33329999999999999</v>
      </c>
      <c r="D18074" s="28">
        <v>0.33329999999999999</v>
      </c>
      <c r="E18074" s="28">
        <v>0.33329999999999999</v>
      </c>
      <c r="F18074" s="29"/>
      <c r="G18074" s="29"/>
      <c r="H18074" s="29"/>
      <c r="I18074" s="29" t="s">
        <v>315</v>
      </c>
    </row>
    <row r="18075" spans="1:9" x14ac:dyDescent="0.35">
      <c r="A18075" t="s">
        <v>228</v>
      </c>
      <c r="B18075" t="s">
        <v>267</v>
      </c>
      <c r="C18075" s="26">
        <v>0.63139999999999996</v>
      </c>
      <c r="D18075" s="26">
        <v>0.1754</v>
      </c>
      <c r="E18075" s="26">
        <v>8.0799999999999997E-2</v>
      </c>
      <c r="F18075" s="26">
        <v>9.2600000000000002E-2</v>
      </c>
      <c r="G18075" s="26">
        <v>1.9699999999999999E-2</v>
      </c>
      <c r="I18075">
        <v>62</v>
      </c>
    </row>
    <row r="18076" spans="1:9" x14ac:dyDescent="0.35">
      <c r="A18076" t="s">
        <v>228</v>
      </c>
      <c r="B18076" t="s">
        <v>266</v>
      </c>
      <c r="C18076" s="26">
        <v>0.55300000000000005</v>
      </c>
      <c r="D18076" s="26">
        <v>0.28370000000000001</v>
      </c>
      <c r="E18076" s="26">
        <v>0.10349999999999999</v>
      </c>
      <c r="F18076" s="26">
        <v>5.4399999999999997E-2</v>
      </c>
      <c r="G18076" s="26">
        <v>5.4000000000000003E-3</v>
      </c>
      <c r="I18076">
        <v>127</v>
      </c>
    </row>
    <row r="18077" spans="1:9" x14ac:dyDescent="0.35">
      <c r="A18077" t="s">
        <v>228</v>
      </c>
      <c r="B18077" t="s">
        <v>265</v>
      </c>
      <c r="C18077" s="26">
        <v>0.52180000000000004</v>
      </c>
      <c r="D18077" s="26">
        <v>0.27</v>
      </c>
      <c r="E18077" s="26">
        <v>0.15210000000000001</v>
      </c>
      <c r="F18077" s="26">
        <v>4.4499999999999998E-2</v>
      </c>
      <c r="G18077" s="26">
        <v>1.1599999999999999E-2</v>
      </c>
      <c r="I18077">
        <v>103</v>
      </c>
    </row>
    <row r="18078" spans="1:9" x14ac:dyDescent="0.35">
      <c r="A18078" s="27" t="s">
        <v>229</v>
      </c>
      <c r="B18078" s="27" t="s">
        <v>267</v>
      </c>
      <c r="C18078" s="28">
        <v>0.6623</v>
      </c>
      <c r="D18078" s="28">
        <v>0.3125</v>
      </c>
      <c r="E18078" s="29"/>
      <c r="F18078" s="28">
        <v>2.52E-2</v>
      </c>
      <c r="G18078" s="29"/>
      <c r="H18078" s="29"/>
      <c r="I18078" s="29" t="s">
        <v>336</v>
      </c>
    </row>
    <row r="18079" spans="1:9" x14ac:dyDescent="0.35">
      <c r="A18079" t="s">
        <v>229</v>
      </c>
      <c r="B18079" t="s">
        <v>266</v>
      </c>
      <c r="C18079" s="26">
        <v>0.56720000000000004</v>
      </c>
      <c r="D18079" s="26">
        <v>0.27360000000000001</v>
      </c>
      <c r="E18079" s="26">
        <v>2.58E-2</v>
      </c>
      <c r="F18079" s="26">
        <v>0.13339999999999999</v>
      </c>
      <c r="I18079">
        <v>55</v>
      </c>
    </row>
    <row r="18080" spans="1:9" x14ac:dyDescent="0.35">
      <c r="A18080" t="s">
        <v>229</v>
      </c>
      <c r="B18080" t="s">
        <v>265</v>
      </c>
      <c r="C18080" s="26">
        <v>0.60360000000000003</v>
      </c>
      <c r="D18080" s="26">
        <v>0.1925</v>
      </c>
      <c r="E18080" s="26">
        <v>4.7600000000000003E-2</v>
      </c>
      <c r="F18080" s="26">
        <v>6.4100000000000004E-2</v>
      </c>
      <c r="H18080" s="26">
        <v>9.2100000000000001E-2</v>
      </c>
      <c r="I18080">
        <v>50</v>
      </c>
    </row>
    <row r="18081" spans="1:9" x14ac:dyDescent="0.35">
      <c r="A18081" t="s">
        <v>230</v>
      </c>
      <c r="B18081" t="s">
        <v>267</v>
      </c>
      <c r="C18081" s="26">
        <v>0.63</v>
      </c>
      <c r="D18081" s="26">
        <v>0.21729999999999999</v>
      </c>
      <c r="E18081" s="26">
        <v>0.1018</v>
      </c>
      <c r="F18081" s="26">
        <v>5.0900000000000001E-2</v>
      </c>
      <c r="I18081">
        <v>33</v>
      </c>
    </row>
    <row r="18082" spans="1:9" x14ac:dyDescent="0.35">
      <c r="A18082" t="s">
        <v>230</v>
      </c>
      <c r="B18082" t="s">
        <v>266</v>
      </c>
      <c r="C18082" s="26">
        <v>0.47649999999999998</v>
      </c>
      <c r="D18082" s="26">
        <v>0.2782</v>
      </c>
      <c r="E18082" s="26">
        <v>0.157</v>
      </c>
      <c r="F18082" s="26">
        <v>8.8200000000000001E-2</v>
      </c>
      <c r="I18082">
        <v>75</v>
      </c>
    </row>
    <row r="18083" spans="1:9" x14ac:dyDescent="0.35">
      <c r="A18083" t="s">
        <v>230</v>
      </c>
      <c r="B18083" t="s">
        <v>265</v>
      </c>
      <c r="C18083" s="26">
        <v>0.505</v>
      </c>
      <c r="D18083" s="26">
        <v>0.34279999999999999</v>
      </c>
      <c r="E18083" s="26">
        <v>0.14149999999999999</v>
      </c>
      <c r="F18083" s="26">
        <v>1.0699999999999999E-2</v>
      </c>
      <c r="I18083">
        <v>66</v>
      </c>
    </row>
    <row r="18084" spans="1:9" x14ac:dyDescent="0.35">
      <c r="A18084" s="27" t="s">
        <v>231</v>
      </c>
      <c r="B18084" s="27" t="s">
        <v>267</v>
      </c>
      <c r="C18084" s="29"/>
      <c r="D18084" s="28">
        <v>0.66669999999999996</v>
      </c>
      <c r="E18084" s="29"/>
      <c r="F18084" s="29"/>
      <c r="G18084" s="28">
        <v>0.33329999999999999</v>
      </c>
      <c r="H18084" s="29"/>
      <c r="I18084" s="29" t="s">
        <v>315</v>
      </c>
    </row>
    <row r="18085" spans="1:9" x14ac:dyDescent="0.35">
      <c r="A18085" s="27" t="s">
        <v>231</v>
      </c>
      <c r="B18085" s="27" t="s">
        <v>266</v>
      </c>
      <c r="C18085" s="28">
        <v>0.5</v>
      </c>
      <c r="D18085" s="28">
        <v>0.5</v>
      </c>
      <c r="E18085" s="29"/>
      <c r="F18085" s="29"/>
      <c r="G18085" s="29"/>
      <c r="H18085" s="29"/>
      <c r="I18085" s="29" t="s">
        <v>314</v>
      </c>
    </row>
    <row r="18086" spans="1:9" x14ac:dyDescent="0.35">
      <c r="A18086" t="s">
        <v>232</v>
      </c>
      <c r="B18086" t="s">
        <v>232</v>
      </c>
      <c r="C18086" s="26">
        <v>0.53680000000000005</v>
      </c>
      <c r="D18086" s="26">
        <v>0.28000000000000003</v>
      </c>
      <c r="E18086" s="26">
        <v>8.7300000000000003E-2</v>
      </c>
      <c r="F18086" s="26">
        <v>5.6800000000000003E-2</v>
      </c>
      <c r="G18086" s="26">
        <v>2.1499999999999998E-2</v>
      </c>
      <c r="H18086" s="26">
        <v>1.77E-2</v>
      </c>
      <c r="I18086">
        <v>609</v>
      </c>
    </row>
    <row r="18088" spans="1:9" x14ac:dyDescent="0.35">
      <c r="A18088" s="1" t="s">
        <v>1844</v>
      </c>
    </row>
    <row r="18089" spans="1:9" x14ac:dyDescent="0.35">
      <c r="A18089" t="s">
        <v>219</v>
      </c>
      <c r="B18089" t="s">
        <v>305</v>
      </c>
      <c r="C18089" t="s">
        <v>1834</v>
      </c>
      <c r="D18089" t="s">
        <v>1835</v>
      </c>
      <c r="E18089" t="s">
        <v>1836</v>
      </c>
      <c r="F18089" t="s">
        <v>1837</v>
      </c>
      <c r="G18089" t="s">
        <v>1838</v>
      </c>
      <c r="H18089" t="s">
        <v>281</v>
      </c>
      <c r="I18089" t="s">
        <v>226</v>
      </c>
    </row>
    <row r="18090" spans="1:9" x14ac:dyDescent="0.35">
      <c r="A18090" s="27" t="s">
        <v>227</v>
      </c>
      <c r="B18090" s="27" t="s">
        <v>252</v>
      </c>
      <c r="C18090" s="29"/>
      <c r="D18090" s="28">
        <v>1</v>
      </c>
      <c r="E18090" s="29"/>
      <c r="F18090" s="29"/>
      <c r="G18090" s="29"/>
      <c r="H18090" s="29"/>
      <c r="I18090" s="29" t="s">
        <v>331</v>
      </c>
    </row>
    <row r="18091" spans="1:9" x14ac:dyDescent="0.35">
      <c r="A18091" s="27" t="s">
        <v>227</v>
      </c>
      <c r="B18091" s="27" t="s">
        <v>253</v>
      </c>
      <c r="C18091" s="28">
        <v>1</v>
      </c>
      <c r="D18091" s="29"/>
      <c r="E18091" s="29"/>
      <c r="F18091" s="29"/>
      <c r="G18091" s="29"/>
      <c r="H18091" s="29"/>
      <c r="I18091" s="29" t="s">
        <v>331</v>
      </c>
    </row>
    <row r="18092" spans="1:9" x14ac:dyDescent="0.35">
      <c r="A18092" s="27" t="s">
        <v>227</v>
      </c>
      <c r="B18092" s="27" t="s">
        <v>251</v>
      </c>
      <c r="C18092" s="28">
        <v>0.66669999999999996</v>
      </c>
      <c r="D18092" s="29"/>
      <c r="E18092" s="28">
        <v>0.33329999999999999</v>
      </c>
      <c r="F18092" s="29"/>
      <c r="G18092" s="29"/>
      <c r="H18092" s="29"/>
      <c r="I18092" s="29" t="s">
        <v>315</v>
      </c>
    </row>
    <row r="18093" spans="1:9" x14ac:dyDescent="0.35">
      <c r="A18093" t="s">
        <v>228</v>
      </c>
      <c r="B18093" t="s">
        <v>252</v>
      </c>
      <c r="C18093" s="26">
        <v>0.59050000000000002</v>
      </c>
      <c r="D18093" s="26">
        <v>0.21879999999999999</v>
      </c>
      <c r="E18093" s="26">
        <v>0.1169</v>
      </c>
      <c r="F18093" s="26">
        <v>6.6000000000000003E-2</v>
      </c>
      <c r="G18093" s="26">
        <v>7.7000000000000002E-3</v>
      </c>
      <c r="I18093">
        <v>92</v>
      </c>
    </row>
    <row r="18094" spans="1:9" x14ac:dyDescent="0.35">
      <c r="A18094" t="s">
        <v>228</v>
      </c>
      <c r="B18094" t="s">
        <v>253</v>
      </c>
      <c r="C18094" s="26">
        <v>0.68069999999999997</v>
      </c>
      <c r="D18094" s="26">
        <v>0.18129999999999999</v>
      </c>
      <c r="E18094" s="26">
        <v>9.0800000000000006E-2</v>
      </c>
      <c r="F18094" s="26">
        <v>4.7100000000000003E-2</v>
      </c>
      <c r="I18094">
        <v>79</v>
      </c>
    </row>
    <row r="18095" spans="1:9" x14ac:dyDescent="0.35">
      <c r="A18095" t="s">
        <v>228</v>
      </c>
      <c r="B18095" t="s">
        <v>251</v>
      </c>
      <c r="C18095" s="26">
        <v>0.46910000000000002</v>
      </c>
      <c r="D18095" s="26">
        <v>0.31850000000000001</v>
      </c>
      <c r="E18095" s="26">
        <v>0.13150000000000001</v>
      </c>
      <c r="F18095" s="26">
        <v>6.1800000000000001E-2</v>
      </c>
      <c r="G18095" s="26">
        <v>1.9099999999999999E-2</v>
      </c>
      <c r="I18095">
        <v>121</v>
      </c>
    </row>
    <row r="18096" spans="1:9" x14ac:dyDescent="0.35">
      <c r="A18096" s="27" t="s">
        <v>229</v>
      </c>
      <c r="B18096" s="27" t="s">
        <v>252</v>
      </c>
      <c r="C18096" s="28">
        <v>0.65769999999999995</v>
      </c>
      <c r="D18096" s="28">
        <v>9.64E-2</v>
      </c>
      <c r="E18096" s="28">
        <v>2.7300000000000001E-2</v>
      </c>
      <c r="F18096" s="28">
        <v>0.21859999999999999</v>
      </c>
      <c r="G18096" s="29"/>
      <c r="H18096" s="29"/>
      <c r="I18096" s="29" t="s">
        <v>329</v>
      </c>
    </row>
    <row r="18097" spans="1:9" x14ac:dyDescent="0.35">
      <c r="A18097" s="27" t="s">
        <v>229</v>
      </c>
      <c r="B18097" s="27" t="s">
        <v>253</v>
      </c>
      <c r="C18097" s="28">
        <v>0.62829999999999997</v>
      </c>
      <c r="D18097" s="28">
        <v>0.2487</v>
      </c>
      <c r="E18097" s="28">
        <v>9.8400000000000001E-2</v>
      </c>
      <c r="F18097" s="28">
        <v>2.4500000000000001E-2</v>
      </c>
      <c r="G18097" s="29"/>
      <c r="H18097" s="29"/>
      <c r="I18097" s="29" t="s">
        <v>328</v>
      </c>
    </row>
    <row r="18098" spans="1:9" x14ac:dyDescent="0.35">
      <c r="A18098" t="s">
        <v>229</v>
      </c>
      <c r="B18098" t="s">
        <v>251</v>
      </c>
      <c r="C18098" s="26">
        <v>0.57599999999999996</v>
      </c>
      <c r="D18098" s="26">
        <v>0.26500000000000001</v>
      </c>
      <c r="E18098" s="26">
        <v>1.06E-2</v>
      </c>
      <c r="F18098" s="26">
        <v>5.8700000000000002E-2</v>
      </c>
      <c r="H18098" s="26">
        <v>8.9599999999999999E-2</v>
      </c>
      <c r="I18098">
        <v>81</v>
      </c>
    </row>
    <row r="18099" spans="1:9" x14ac:dyDescent="0.35">
      <c r="A18099" t="s">
        <v>230</v>
      </c>
      <c r="B18099" t="s">
        <v>252</v>
      </c>
      <c r="C18099" s="26">
        <v>0.51910000000000001</v>
      </c>
      <c r="D18099" s="26">
        <v>0.30759999999999998</v>
      </c>
      <c r="E18099" s="26">
        <v>6.7900000000000002E-2</v>
      </c>
      <c r="F18099" s="26">
        <v>0.10539999999999999</v>
      </c>
      <c r="I18099">
        <v>64</v>
      </c>
    </row>
    <row r="18100" spans="1:9" x14ac:dyDescent="0.35">
      <c r="A18100" t="s">
        <v>230</v>
      </c>
      <c r="B18100" t="s">
        <v>253</v>
      </c>
      <c r="C18100" s="26">
        <v>0.56999999999999995</v>
      </c>
      <c r="D18100" s="26">
        <v>0.13109999999999999</v>
      </c>
      <c r="E18100" s="26">
        <v>0.24260000000000001</v>
      </c>
      <c r="F18100" s="26">
        <v>5.62E-2</v>
      </c>
      <c r="I18100">
        <v>42</v>
      </c>
    </row>
    <row r="18101" spans="1:9" x14ac:dyDescent="0.35">
      <c r="A18101" t="s">
        <v>230</v>
      </c>
      <c r="B18101" t="s">
        <v>251</v>
      </c>
      <c r="C18101" s="26">
        <v>0.46529999999999999</v>
      </c>
      <c r="D18101" s="26">
        <v>0.3579</v>
      </c>
      <c r="E18101" s="26">
        <v>0.17680000000000001</v>
      </c>
      <c r="I18101">
        <v>68</v>
      </c>
    </row>
    <row r="18102" spans="1:9" x14ac:dyDescent="0.35">
      <c r="A18102" s="27" t="s">
        <v>231</v>
      </c>
      <c r="B18102" s="27" t="s">
        <v>252</v>
      </c>
      <c r="C18102" s="29"/>
      <c r="D18102" s="29"/>
      <c r="E18102" s="29"/>
      <c r="F18102" s="29"/>
      <c r="G18102" s="28">
        <v>1</v>
      </c>
      <c r="H18102" s="29"/>
      <c r="I18102" s="29" t="s">
        <v>331</v>
      </c>
    </row>
    <row r="18103" spans="1:9" x14ac:dyDescent="0.35">
      <c r="A18103" s="27" t="s">
        <v>231</v>
      </c>
      <c r="B18103" s="27" t="s">
        <v>251</v>
      </c>
      <c r="C18103" s="28">
        <v>0.25</v>
      </c>
      <c r="D18103" s="28">
        <v>0.75</v>
      </c>
      <c r="E18103" s="29"/>
      <c r="F18103" s="29"/>
      <c r="G18103" s="29"/>
      <c r="H18103" s="29"/>
      <c r="I18103" s="29" t="s">
        <v>337</v>
      </c>
    </row>
    <row r="18104" spans="1:9" x14ac:dyDescent="0.35">
      <c r="A18104" t="s">
        <v>232</v>
      </c>
      <c r="B18104" t="s">
        <v>232</v>
      </c>
      <c r="C18104" s="26">
        <v>0.53680000000000005</v>
      </c>
      <c r="D18104" s="26">
        <v>0.28000000000000003</v>
      </c>
      <c r="E18104" s="26">
        <v>8.7300000000000003E-2</v>
      </c>
      <c r="F18104" s="26">
        <v>5.6800000000000003E-2</v>
      </c>
      <c r="G18104" s="26">
        <v>2.1499999999999998E-2</v>
      </c>
      <c r="H18104" s="26">
        <v>1.77E-2</v>
      </c>
      <c r="I18104">
        <v>609</v>
      </c>
    </row>
    <row r="18106" spans="1:9" x14ac:dyDescent="0.35">
      <c r="A18106" s="1" t="s">
        <v>1845</v>
      </c>
    </row>
    <row r="18107" spans="1:9" x14ac:dyDescent="0.35">
      <c r="A18107" t="s">
        <v>219</v>
      </c>
      <c r="B18107" t="s">
        <v>305</v>
      </c>
      <c r="C18107" t="s">
        <v>1834</v>
      </c>
      <c r="D18107" t="s">
        <v>1835</v>
      </c>
      <c r="E18107" t="s">
        <v>1836</v>
      </c>
      <c r="F18107" t="s">
        <v>1837</v>
      </c>
      <c r="G18107" t="s">
        <v>1838</v>
      </c>
      <c r="H18107" t="s">
        <v>281</v>
      </c>
      <c r="I18107" t="s">
        <v>226</v>
      </c>
    </row>
    <row r="18108" spans="1:9" x14ac:dyDescent="0.35">
      <c r="A18108" s="27" t="s">
        <v>227</v>
      </c>
      <c r="B18108" s="27" t="s">
        <v>249</v>
      </c>
      <c r="C18108" s="29"/>
      <c r="D18108" s="29"/>
      <c r="E18108" s="28">
        <v>1</v>
      </c>
      <c r="F18108" s="29"/>
      <c r="G18108" s="29"/>
      <c r="H18108" s="29"/>
      <c r="I18108" s="29" t="s">
        <v>331</v>
      </c>
    </row>
    <row r="18109" spans="1:9" x14ac:dyDescent="0.35">
      <c r="A18109" s="27" t="s">
        <v>227</v>
      </c>
      <c r="B18109" s="27" t="s">
        <v>248</v>
      </c>
      <c r="C18109" s="28">
        <v>0.75</v>
      </c>
      <c r="D18109" s="28">
        <v>0.25</v>
      </c>
      <c r="E18109" s="29"/>
      <c r="F18109" s="29"/>
      <c r="G18109" s="29"/>
      <c r="H18109" s="29"/>
      <c r="I18109" s="29" t="s">
        <v>337</v>
      </c>
    </row>
    <row r="18110" spans="1:9" x14ac:dyDescent="0.35">
      <c r="A18110" t="s">
        <v>228</v>
      </c>
      <c r="B18110" t="s">
        <v>249</v>
      </c>
      <c r="C18110" s="26">
        <v>0.55410000000000004</v>
      </c>
      <c r="D18110" s="26">
        <v>0.2868</v>
      </c>
      <c r="E18110" s="26">
        <v>0.1111</v>
      </c>
      <c r="F18110" s="26">
        <v>4.8000000000000001E-2</v>
      </c>
      <c r="I18110">
        <v>63</v>
      </c>
    </row>
    <row r="18111" spans="1:9" x14ac:dyDescent="0.35">
      <c r="A18111" t="s">
        <v>228</v>
      </c>
      <c r="B18111" t="s">
        <v>248</v>
      </c>
      <c r="C18111" s="26">
        <v>0.56030000000000002</v>
      </c>
      <c r="D18111" s="26">
        <v>0.24260000000000001</v>
      </c>
      <c r="E18111" s="26">
        <v>0.11890000000000001</v>
      </c>
      <c r="F18111" s="26">
        <v>6.3299999999999995E-2</v>
      </c>
      <c r="G18111" s="26">
        <v>1.4999999999999999E-2</v>
      </c>
      <c r="I18111">
        <v>229</v>
      </c>
    </row>
    <row r="18112" spans="1:9" x14ac:dyDescent="0.35">
      <c r="A18112" t="s">
        <v>229</v>
      </c>
      <c r="B18112" t="s">
        <v>249</v>
      </c>
      <c r="C18112" s="26">
        <v>0.36990000000000001</v>
      </c>
      <c r="D18112" s="26">
        <v>0.31140000000000001</v>
      </c>
      <c r="E18112" s="26">
        <v>1.32E-2</v>
      </c>
      <c r="F18112" s="26">
        <v>0.1193</v>
      </c>
      <c r="H18112" s="26">
        <v>0.18629999999999999</v>
      </c>
      <c r="I18112">
        <v>33</v>
      </c>
    </row>
    <row r="18113" spans="1:9" x14ac:dyDescent="0.35">
      <c r="A18113" t="s">
        <v>229</v>
      </c>
      <c r="B18113" t="s">
        <v>248</v>
      </c>
      <c r="C18113" s="26">
        <v>0.69479999999999997</v>
      </c>
      <c r="D18113" s="26">
        <v>0.20150000000000001</v>
      </c>
      <c r="E18113" s="26">
        <v>4.2999999999999997E-2</v>
      </c>
      <c r="F18113" s="26">
        <v>6.0699999999999997E-2</v>
      </c>
      <c r="I18113">
        <v>100</v>
      </c>
    </row>
    <row r="18114" spans="1:9" x14ac:dyDescent="0.35">
      <c r="A18114" t="s">
        <v>230</v>
      </c>
      <c r="B18114" t="s">
        <v>249</v>
      </c>
      <c r="C18114" s="26">
        <v>0.4345</v>
      </c>
      <c r="D18114" s="26">
        <v>0.19159999999999999</v>
      </c>
      <c r="E18114" s="26">
        <v>0.36580000000000001</v>
      </c>
      <c r="F18114" s="26">
        <v>8.0999999999999996E-3</v>
      </c>
      <c r="I18114">
        <v>46</v>
      </c>
    </row>
    <row r="18115" spans="1:9" x14ac:dyDescent="0.35">
      <c r="A18115" t="s">
        <v>230</v>
      </c>
      <c r="B18115" t="s">
        <v>248</v>
      </c>
      <c r="C18115" s="26">
        <v>0.53080000000000005</v>
      </c>
      <c r="D18115" s="26">
        <v>0.31950000000000001</v>
      </c>
      <c r="E18115" s="26">
        <v>7.9399999999999998E-2</v>
      </c>
      <c r="F18115" s="26">
        <v>7.0300000000000001E-2</v>
      </c>
      <c r="I18115">
        <v>128</v>
      </c>
    </row>
    <row r="18116" spans="1:9" x14ac:dyDescent="0.35">
      <c r="A18116" s="27" t="s">
        <v>231</v>
      </c>
      <c r="B18116" s="27" t="s">
        <v>249</v>
      </c>
      <c r="C18116" s="29"/>
      <c r="D18116" s="28">
        <v>1</v>
      </c>
      <c r="E18116" s="29"/>
      <c r="F18116" s="29"/>
      <c r="G18116" s="29"/>
      <c r="H18116" s="29"/>
      <c r="I18116" s="29" t="s">
        <v>314</v>
      </c>
    </row>
    <row r="18117" spans="1:9" x14ac:dyDescent="0.35">
      <c r="A18117" s="27" t="s">
        <v>231</v>
      </c>
      <c r="B18117" s="27" t="s">
        <v>248</v>
      </c>
      <c r="C18117" s="28">
        <v>0.33329999999999999</v>
      </c>
      <c r="D18117" s="28">
        <v>0.33329999999999999</v>
      </c>
      <c r="E18117" s="29"/>
      <c r="F18117" s="29"/>
      <c r="G18117" s="28">
        <v>0.33329999999999999</v>
      </c>
      <c r="H18117" s="29"/>
      <c r="I18117" s="29" t="s">
        <v>315</v>
      </c>
    </row>
    <row r="18118" spans="1:9" x14ac:dyDescent="0.35">
      <c r="A18118" t="s">
        <v>232</v>
      </c>
      <c r="B18118" t="s">
        <v>232</v>
      </c>
      <c r="C18118" s="26">
        <v>0.53680000000000005</v>
      </c>
      <c r="D18118" s="26">
        <v>0.28000000000000003</v>
      </c>
      <c r="E18118" s="26">
        <v>8.7300000000000003E-2</v>
      </c>
      <c r="F18118" s="26">
        <v>5.6800000000000003E-2</v>
      </c>
      <c r="G18118" s="26">
        <v>2.1499999999999998E-2</v>
      </c>
      <c r="H18118" s="26">
        <v>1.77E-2</v>
      </c>
      <c r="I18118">
        <v>609</v>
      </c>
    </row>
    <row r="18120" spans="1:9" x14ac:dyDescent="0.35">
      <c r="A18120" s="1" t="s">
        <v>1846</v>
      </c>
    </row>
    <row r="18121" spans="1:9" x14ac:dyDescent="0.35">
      <c r="A18121" t="s">
        <v>219</v>
      </c>
      <c r="B18121" t="s">
        <v>305</v>
      </c>
      <c r="C18121" t="s">
        <v>1834</v>
      </c>
      <c r="D18121" t="s">
        <v>1835</v>
      </c>
      <c r="E18121" t="s">
        <v>1836</v>
      </c>
      <c r="F18121" t="s">
        <v>1837</v>
      </c>
      <c r="G18121" t="s">
        <v>1838</v>
      </c>
      <c r="H18121" t="s">
        <v>281</v>
      </c>
      <c r="I18121" t="s">
        <v>226</v>
      </c>
    </row>
    <row r="18122" spans="1:9" x14ac:dyDescent="0.35">
      <c r="A18122" s="27" t="s">
        <v>227</v>
      </c>
      <c r="B18122" s="27" t="s">
        <v>260</v>
      </c>
      <c r="C18122" s="28">
        <v>0.6</v>
      </c>
      <c r="D18122" s="28">
        <v>0.2</v>
      </c>
      <c r="E18122" s="28">
        <v>0.2</v>
      </c>
      <c r="F18122" s="29"/>
      <c r="G18122" s="29"/>
      <c r="H18122" s="29"/>
      <c r="I18122" s="29" t="s">
        <v>332</v>
      </c>
    </row>
    <row r="18123" spans="1:9" x14ac:dyDescent="0.35">
      <c r="A18123" s="27" t="s">
        <v>228</v>
      </c>
      <c r="B18123" s="27" t="s">
        <v>263</v>
      </c>
      <c r="C18123" s="28">
        <v>0.39090000000000003</v>
      </c>
      <c r="D18123" s="28">
        <v>0.24890000000000001</v>
      </c>
      <c r="E18123" s="28">
        <v>0.1086</v>
      </c>
      <c r="F18123" s="28">
        <v>0.1431</v>
      </c>
      <c r="G18123" s="28">
        <v>0.1086</v>
      </c>
      <c r="H18123" s="29"/>
      <c r="I18123" s="29" t="s">
        <v>352</v>
      </c>
    </row>
    <row r="18124" spans="1:9" x14ac:dyDescent="0.35">
      <c r="A18124" s="27" t="s">
        <v>228</v>
      </c>
      <c r="B18124" s="27" t="s">
        <v>236</v>
      </c>
      <c r="C18124" s="29"/>
      <c r="D18124" s="28">
        <v>1</v>
      </c>
      <c r="E18124" s="29"/>
      <c r="F18124" s="29"/>
      <c r="G18124" s="29"/>
      <c r="H18124" s="29"/>
      <c r="I18124" s="29" t="s">
        <v>314</v>
      </c>
    </row>
    <row r="18125" spans="1:9" x14ac:dyDescent="0.35">
      <c r="A18125" t="s">
        <v>228</v>
      </c>
      <c r="B18125" t="s">
        <v>260</v>
      </c>
      <c r="C18125" s="26">
        <v>0.5504</v>
      </c>
      <c r="D18125" s="26">
        <v>0.28129999999999999</v>
      </c>
      <c r="E18125" s="26">
        <v>9.8400000000000001E-2</v>
      </c>
      <c r="F18125" s="26">
        <v>5.6599999999999998E-2</v>
      </c>
      <c r="G18125" s="26">
        <v>1.3299999999999999E-2</v>
      </c>
      <c r="I18125">
        <v>152</v>
      </c>
    </row>
    <row r="18126" spans="1:9" x14ac:dyDescent="0.35">
      <c r="A18126" t="s">
        <v>228</v>
      </c>
      <c r="B18126" t="s">
        <v>261</v>
      </c>
      <c r="C18126" s="26">
        <v>0.50949999999999995</v>
      </c>
      <c r="D18126" s="26">
        <v>0.36109999999999998</v>
      </c>
      <c r="E18126" s="26">
        <v>6.9099999999999995E-2</v>
      </c>
      <c r="F18126" s="26">
        <v>6.0299999999999999E-2</v>
      </c>
      <c r="I18126">
        <v>42</v>
      </c>
    </row>
    <row r="18127" spans="1:9" x14ac:dyDescent="0.35">
      <c r="A18127" t="s">
        <v>228</v>
      </c>
      <c r="B18127" t="s">
        <v>262</v>
      </c>
      <c r="C18127" s="26">
        <v>0.63429999999999997</v>
      </c>
      <c r="D18127" s="26">
        <v>0.13519999999999999</v>
      </c>
      <c r="E18127" s="26">
        <v>0.17810000000000001</v>
      </c>
      <c r="F18127" s="26">
        <v>5.2299999999999999E-2</v>
      </c>
      <c r="I18127">
        <v>85</v>
      </c>
    </row>
    <row r="18128" spans="1:9" x14ac:dyDescent="0.35">
      <c r="A18128" t="s">
        <v>229</v>
      </c>
      <c r="B18128" t="s">
        <v>262</v>
      </c>
      <c r="C18128" s="26">
        <v>0.44330000000000003</v>
      </c>
      <c r="D18128" s="26">
        <v>0.37119999999999997</v>
      </c>
      <c r="E18128" s="26">
        <v>5.9299999999999999E-2</v>
      </c>
      <c r="F18128" s="26">
        <v>0.12609999999999999</v>
      </c>
      <c r="I18128">
        <v>52</v>
      </c>
    </row>
    <row r="18129" spans="1:9" x14ac:dyDescent="0.35">
      <c r="A18129" t="s">
        <v>229</v>
      </c>
      <c r="B18129" t="s">
        <v>260</v>
      </c>
      <c r="C18129" s="26">
        <v>0.81389999999999996</v>
      </c>
      <c r="D18129" s="26">
        <v>0.1429</v>
      </c>
      <c r="E18129" s="26">
        <v>2.0199999999999999E-2</v>
      </c>
      <c r="F18129" s="26">
        <v>2.29E-2</v>
      </c>
      <c r="I18129">
        <v>64</v>
      </c>
    </row>
    <row r="18130" spans="1:9" x14ac:dyDescent="0.35">
      <c r="A18130" s="27" t="s">
        <v>229</v>
      </c>
      <c r="B18130" s="27" t="s">
        <v>263</v>
      </c>
      <c r="C18130" s="28">
        <v>0.4451</v>
      </c>
      <c r="D18130" s="28">
        <v>0.22259999999999999</v>
      </c>
      <c r="E18130" s="29"/>
      <c r="F18130" s="28">
        <v>0.33229999999999998</v>
      </c>
      <c r="G18130" s="29"/>
      <c r="H18130" s="29"/>
      <c r="I18130" s="29" t="s">
        <v>332</v>
      </c>
    </row>
    <row r="18131" spans="1:9" x14ac:dyDescent="0.35">
      <c r="A18131" s="27" t="s">
        <v>229</v>
      </c>
      <c r="B18131" s="27" t="s">
        <v>261</v>
      </c>
      <c r="C18131" s="28">
        <v>0.5635</v>
      </c>
      <c r="D18131" s="28">
        <v>3.3099999999999997E-2</v>
      </c>
      <c r="E18131" s="29"/>
      <c r="F18131" s="28">
        <v>2.1000000000000001E-2</v>
      </c>
      <c r="G18131" s="29"/>
      <c r="H18131" s="28">
        <v>0.38240000000000002</v>
      </c>
      <c r="I18131" s="29" t="s">
        <v>342</v>
      </c>
    </row>
    <row r="18132" spans="1:9" x14ac:dyDescent="0.35">
      <c r="A18132" t="s">
        <v>230</v>
      </c>
      <c r="B18132" t="s">
        <v>260</v>
      </c>
      <c r="C18132" s="26">
        <v>0.54100000000000004</v>
      </c>
      <c r="D18132" s="26">
        <v>0.2424</v>
      </c>
      <c r="E18132" s="26">
        <v>0.13789999999999999</v>
      </c>
      <c r="F18132" s="26">
        <v>7.8700000000000006E-2</v>
      </c>
      <c r="I18132">
        <v>88</v>
      </c>
    </row>
    <row r="18133" spans="1:9" x14ac:dyDescent="0.35">
      <c r="A18133" s="27" t="s">
        <v>230</v>
      </c>
      <c r="B18133" s="27" t="s">
        <v>261</v>
      </c>
      <c r="C18133" s="28">
        <v>0.2555</v>
      </c>
      <c r="D18133" s="28">
        <v>0.64419999999999999</v>
      </c>
      <c r="E18133" s="28">
        <v>0.1003</v>
      </c>
      <c r="F18133" s="29"/>
      <c r="G18133" s="29"/>
      <c r="H18133" s="29"/>
      <c r="I18133" s="29" t="s">
        <v>307</v>
      </c>
    </row>
    <row r="18134" spans="1:9" x14ac:dyDescent="0.35">
      <c r="A18134" s="27" t="s">
        <v>230</v>
      </c>
      <c r="B18134" s="27" t="s">
        <v>236</v>
      </c>
      <c r="C18134" s="29"/>
      <c r="D18134" s="28">
        <v>0.49409999999999998</v>
      </c>
      <c r="E18134" s="28">
        <v>0.50590000000000002</v>
      </c>
      <c r="F18134" s="29"/>
      <c r="G18134" s="29"/>
      <c r="H18134" s="29"/>
      <c r="I18134" s="29" t="s">
        <v>314</v>
      </c>
    </row>
    <row r="18135" spans="1:9" x14ac:dyDescent="0.35">
      <c r="A18135" s="27" t="s">
        <v>230</v>
      </c>
      <c r="B18135" s="27" t="s">
        <v>263</v>
      </c>
      <c r="C18135" s="28">
        <v>0.52859999999999996</v>
      </c>
      <c r="D18135" s="28">
        <v>0.1714</v>
      </c>
      <c r="E18135" s="28">
        <v>0.24279999999999999</v>
      </c>
      <c r="F18135" s="28">
        <v>5.7099999999999998E-2</v>
      </c>
      <c r="G18135" s="29"/>
      <c r="H18135" s="29"/>
      <c r="I18135" s="29" t="s">
        <v>341</v>
      </c>
    </row>
    <row r="18136" spans="1:9" x14ac:dyDescent="0.35">
      <c r="A18136" t="s">
        <v>230</v>
      </c>
      <c r="B18136" t="s">
        <v>262</v>
      </c>
      <c r="C18136" s="26">
        <v>0.53249999999999997</v>
      </c>
      <c r="D18136" s="26">
        <v>0.2898</v>
      </c>
      <c r="E18136" s="26">
        <v>0.14000000000000001</v>
      </c>
      <c r="F18136" s="26">
        <v>3.7699999999999997E-2</v>
      </c>
      <c r="I18136">
        <v>61</v>
      </c>
    </row>
    <row r="18137" spans="1:9" x14ac:dyDescent="0.35">
      <c r="A18137" s="27" t="s">
        <v>231</v>
      </c>
      <c r="B18137" s="27" t="s">
        <v>261</v>
      </c>
      <c r="C18137" s="29"/>
      <c r="D18137" s="28">
        <v>0.5</v>
      </c>
      <c r="E18137" s="29"/>
      <c r="F18137" s="29"/>
      <c r="G18137" s="28">
        <v>0.5</v>
      </c>
      <c r="H18137" s="29"/>
      <c r="I18137" s="29" t="s">
        <v>314</v>
      </c>
    </row>
    <row r="18138" spans="1:9" x14ac:dyDescent="0.35">
      <c r="A18138" s="27" t="s">
        <v>231</v>
      </c>
      <c r="B18138" s="27" t="s">
        <v>260</v>
      </c>
      <c r="C18138" s="28">
        <v>0.33329999999999999</v>
      </c>
      <c r="D18138" s="28">
        <v>0.66669999999999996</v>
      </c>
      <c r="E18138" s="29"/>
      <c r="F18138" s="29"/>
      <c r="G18138" s="29"/>
      <c r="H18138" s="29"/>
      <c r="I18138" s="29" t="s">
        <v>315</v>
      </c>
    </row>
    <row r="18139" spans="1:9" x14ac:dyDescent="0.35">
      <c r="A18139" t="s">
        <v>232</v>
      </c>
      <c r="B18139" t="s">
        <v>232</v>
      </c>
      <c r="C18139" s="26">
        <v>0.53680000000000005</v>
      </c>
      <c r="D18139" s="26">
        <v>0.28000000000000003</v>
      </c>
      <c r="E18139" s="26">
        <v>8.7300000000000003E-2</v>
      </c>
      <c r="F18139" s="26">
        <v>5.6800000000000003E-2</v>
      </c>
      <c r="G18139" s="26">
        <v>2.1499999999999998E-2</v>
      </c>
      <c r="H18139" s="26">
        <v>1.77E-2</v>
      </c>
      <c r="I18139">
        <v>609</v>
      </c>
    </row>
    <row r="18141" spans="1:9" x14ac:dyDescent="0.35">
      <c r="A18141" s="1" t="s">
        <v>1847</v>
      </c>
    </row>
    <row r="18142" spans="1:9" x14ac:dyDescent="0.35">
      <c r="A18142" t="s">
        <v>219</v>
      </c>
      <c r="B18142" t="s">
        <v>305</v>
      </c>
      <c r="C18142" t="s">
        <v>1834</v>
      </c>
      <c r="D18142" t="s">
        <v>1835</v>
      </c>
      <c r="E18142" t="s">
        <v>1836</v>
      </c>
      <c r="F18142" t="s">
        <v>1837</v>
      </c>
      <c r="G18142" t="s">
        <v>1838</v>
      </c>
      <c r="H18142" t="s">
        <v>281</v>
      </c>
      <c r="I18142" t="s">
        <v>226</v>
      </c>
    </row>
    <row r="18143" spans="1:9" x14ac:dyDescent="0.35">
      <c r="A18143" s="27" t="s">
        <v>227</v>
      </c>
      <c r="B18143" s="27" t="s">
        <v>369</v>
      </c>
      <c r="C18143" s="28">
        <v>0.6</v>
      </c>
      <c r="D18143" s="28">
        <v>0.2</v>
      </c>
      <c r="E18143" s="28">
        <v>0.2</v>
      </c>
      <c r="F18143" s="29"/>
      <c r="G18143" s="29"/>
      <c r="H18143" s="29"/>
      <c r="I18143" s="29" t="s">
        <v>332</v>
      </c>
    </row>
    <row r="18144" spans="1:9" x14ac:dyDescent="0.35">
      <c r="A18144" t="s">
        <v>228</v>
      </c>
      <c r="B18144" t="s">
        <v>368</v>
      </c>
      <c r="C18144" s="26">
        <v>0.50949999999999995</v>
      </c>
      <c r="D18144" s="26">
        <v>0.36109999999999998</v>
      </c>
      <c r="E18144" s="26">
        <v>6.9099999999999995E-2</v>
      </c>
      <c r="F18144" s="26">
        <v>6.0299999999999999E-2</v>
      </c>
      <c r="I18144">
        <v>42</v>
      </c>
    </row>
    <row r="18145" spans="1:9" x14ac:dyDescent="0.35">
      <c r="A18145" t="s">
        <v>228</v>
      </c>
      <c r="B18145" t="s">
        <v>369</v>
      </c>
      <c r="C18145" s="26">
        <v>0.56859999999999999</v>
      </c>
      <c r="D18145" s="26">
        <v>0.2329</v>
      </c>
      <c r="E18145" s="26">
        <v>0.12640000000000001</v>
      </c>
      <c r="F18145" s="26">
        <v>5.8900000000000001E-2</v>
      </c>
      <c r="G18145" s="26">
        <v>1.3100000000000001E-2</v>
      </c>
      <c r="I18145">
        <v>250</v>
      </c>
    </row>
    <row r="18146" spans="1:9" x14ac:dyDescent="0.35">
      <c r="A18146" s="27" t="s">
        <v>229</v>
      </c>
      <c r="B18146" s="27" t="s">
        <v>368</v>
      </c>
      <c r="C18146" s="28">
        <v>0.5635</v>
      </c>
      <c r="D18146" s="28">
        <v>3.3099999999999997E-2</v>
      </c>
      <c r="E18146" s="29"/>
      <c r="F18146" s="28">
        <v>2.1000000000000001E-2</v>
      </c>
      <c r="G18146" s="29"/>
      <c r="H18146" s="28">
        <v>0.38240000000000002</v>
      </c>
      <c r="I18146" s="29" t="s">
        <v>342</v>
      </c>
    </row>
    <row r="18147" spans="1:9" x14ac:dyDescent="0.35">
      <c r="A18147" t="s">
        <v>229</v>
      </c>
      <c r="B18147" t="s">
        <v>369</v>
      </c>
      <c r="C18147" s="26">
        <v>0.60860000000000003</v>
      </c>
      <c r="D18147" s="26">
        <v>0.26490000000000002</v>
      </c>
      <c r="E18147" s="26">
        <v>4.0099999999999997E-2</v>
      </c>
      <c r="F18147" s="26">
        <v>8.6499999999999994E-2</v>
      </c>
      <c r="I18147">
        <v>121</v>
      </c>
    </row>
    <row r="18148" spans="1:9" x14ac:dyDescent="0.35">
      <c r="A18148" s="27" t="s">
        <v>230</v>
      </c>
      <c r="B18148" s="27" t="s">
        <v>368</v>
      </c>
      <c r="C18148" s="28">
        <v>0.2555</v>
      </c>
      <c r="D18148" s="28">
        <v>0.64419999999999999</v>
      </c>
      <c r="E18148" s="28">
        <v>0.1003</v>
      </c>
      <c r="F18148" s="29"/>
      <c r="G18148" s="29"/>
      <c r="H18148" s="29"/>
      <c r="I18148" s="29" t="s">
        <v>307</v>
      </c>
    </row>
    <row r="18149" spans="1:9" x14ac:dyDescent="0.35">
      <c r="A18149" t="s">
        <v>230</v>
      </c>
      <c r="B18149" t="s">
        <v>369</v>
      </c>
      <c r="C18149" s="26">
        <v>0.53029999999999999</v>
      </c>
      <c r="D18149" s="26">
        <v>0.2616</v>
      </c>
      <c r="E18149" s="26">
        <v>0.14699999999999999</v>
      </c>
      <c r="F18149" s="26">
        <v>6.0999999999999999E-2</v>
      </c>
      <c r="I18149">
        <v>164</v>
      </c>
    </row>
    <row r="18150" spans="1:9" x14ac:dyDescent="0.35">
      <c r="A18150" s="27" t="s">
        <v>231</v>
      </c>
      <c r="B18150" s="27" t="s">
        <v>368</v>
      </c>
      <c r="C18150" s="29"/>
      <c r="D18150" s="28">
        <v>0.5</v>
      </c>
      <c r="E18150" s="29"/>
      <c r="F18150" s="29"/>
      <c r="G18150" s="28">
        <v>0.5</v>
      </c>
      <c r="H18150" s="29"/>
      <c r="I18150" s="29" t="s">
        <v>314</v>
      </c>
    </row>
    <row r="18151" spans="1:9" x14ac:dyDescent="0.35">
      <c r="A18151" s="27" t="s">
        <v>231</v>
      </c>
      <c r="B18151" s="27" t="s">
        <v>369</v>
      </c>
      <c r="C18151" s="28">
        <v>0.33329999999999999</v>
      </c>
      <c r="D18151" s="28">
        <v>0.66669999999999996</v>
      </c>
      <c r="E18151" s="29"/>
      <c r="F18151" s="29"/>
      <c r="G18151" s="29"/>
      <c r="H18151" s="29"/>
      <c r="I18151" s="29" t="s">
        <v>315</v>
      </c>
    </row>
    <row r="18152" spans="1:9" x14ac:dyDescent="0.35">
      <c r="A18152" t="s">
        <v>232</v>
      </c>
      <c r="B18152" t="s">
        <v>232</v>
      </c>
      <c r="C18152" s="26">
        <v>0.53680000000000005</v>
      </c>
      <c r="D18152" s="26">
        <v>0.28000000000000003</v>
      </c>
      <c r="E18152" s="26">
        <v>8.7300000000000003E-2</v>
      </c>
      <c r="F18152" s="26">
        <v>5.6800000000000003E-2</v>
      </c>
      <c r="G18152" s="26">
        <v>2.1499999999999998E-2</v>
      </c>
      <c r="H18152" s="26">
        <v>1.77E-2</v>
      </c>
      <c r="I18152">
        <v>609</v>
      </c>
    </row>
    <row r="18154" spans="1:9" x14ac:dyDescent="0.35">
      <c r="A18154" s="1" t="s">
        <v>1848</v>
      </c>
    </row>
    <row r="18155" spans="1:9" x14ac:dyDescent="0.35">
      <c r="A18155" t="s">
        <v>219</v>
      </c>
      <c r="B18155" t="s">
        <v>305</v>
      </c>
      <c r="C18155" t="s">
        <v>1834</v>
      </c>
      <c r="D18155" t="s">
        <v>1835</v>
      </c>
      <c r="E18155" t="s">
        <v>1836</v>
      </c>
      <c r="F18155" t="s">
        <v>1837</v>
      </c>
      <c r="G18155" t="s">
        <v>1838</v>
      </c>
      <c r="H18155" t="s">
        <v>281</v>
      </c>
      <c r="I18155" t="s">
        <v>226</v>
      </c>
    </row>
    <row r="18156" spans="1:9" x14ac:dyDescent="0.35">
      <c r="A18156" s="27" t="s">
        <v>227</v>
      </c>
      <c r="B18156" s="27" t="s">
        <v>371</v>
      </c>
      <c r="C18156" s="28">
        <v>0.6</v>
      </c>
      <c r="D18156" s="28">
        <v>0.2</v>
      </c>
      <c r="E18156" s="28">
        <v>0.2</v>
      </c>
      <c r="F18156" s="29"/>
      <c r="G18156" s="29"/>
      <c r="H18156" s="29"/>
      <c r="I18156" s="29" t="s">
        <v>332</v>
      </c>
    </row>
    <row r="18157" spans="1:9" x14ac:dyDescent="0.35">
      <c r="A18157" t="s">
        <v>228</v>
      </c>
      <c r="B18157" t="s">
        <v>371</v>
      </c>
      <c r="C18157" s="26">
        <v>0.56179999999999997</v>
      </c>
      <c r="D18157" s="26">
        <v>0.28210000000000002</v>
      </c>
      <c r="E18157" s="26">
        <v>0.1308</v>
      </c>
      <c r="F18157" s="26">
        <v>2.5399999999999999E-2</v>
      </c>
      <c r="I18157">
        <v>41</v>
      </c>
    </row>
    <row r="18158" spans="1:9" x14ac:dyDescent="0.35">
      <c r="A18158" t="s">
        <v>228</v>
      </c>
      <c r="B18158" t="s">
        <v>372</v>
      </c>
      <c r="C18158" s="26">
        <v>0.47499999999999998</v>
      </c>
      <c r="D18158" s="26">
        <v>0.29870000000000002</v>
      </c>
      <c r="E18158" s="26">
        <v>0.1061</v>
      </c>
      <c r="F18158" s="26">
        <v>8.8300000000000003E-2</v>
      </c>
      <c r="G18158" s="26">
        <v>3.1899999999999998E-2</v>
      </c>
      <c r="I18158">
        <v>102</v>
      </c>
    </row>
    <row r="18159" spans="1:9" x14ac:dyDescent="0.35">
      <c r="A18159" t="s">
        <v>228</v>
      </c>
      <c r="B18159" t="s">
        <v>373</v>
      </c>
      <c r="C18159" s="26">
        <v>0.58789999999999998</v>
      </c>
      <c r="D18159" s="26">
        <v>0.22700000000000001</v>
      </c>
      <c r="E18159" s="26">
        <v>0.1148</v>
      </c>
      <c r="F18159" s="26">
        <v>6.2600000000000003E-2</v>
      </c>
      <c r="G18159" s="26">
        <v>7.7999999999999996E-3</v>
      </c>
      <c r="I18159">
        <v>149</v>
      </c>
    </row>
    <row r="18160" spans="1:9" x14ac:dyDescent="0.35">
      <c r="A18160" t="s">
        <v>229</v>
      </c>
      <c r="B18160" t="s">
        <v>371</v>
      </c>
      <c r="C18160" s="26">
        <v>0.625</v>
      </c>
      <c r="D18160" s="26">
        <v>0.21010000000000001</v>
      </c>
      <c r="E18160" s="26">
        <v>2.81E-2</v>
      </c>
      <c r="F18160" s="26">
        <v>7.3800000000000004E-2</v>
      </c>
      <c r="H18160" s="26">
        <v>6.3100000000000003E-2</v>
      </c>
      <c r="I18160">
        <v>63</v>
      </c>
    </row>
    <row r="18161" spans="1:9" x14ac:dyDescent="0.35">
      <c r="A18161" t="s">
        <v>229</v>
      </c>
      <c r="B18161" t="s">
        <v>372</v>
      </c>
      <c r="C18161" s="26">
        <v>0.51549999999999996</v>
      </c>
      <c r="D18161" s="26">
        <v>0.34410000000000002</v>
      </c>
      <c r="E18161" s="26">
        <v>0.1043</v>
      </c>
      <c r="F18161" s="26">
        <v>3.5999999999999997E-2</v>
      </c>
      <c r="I18161">
        <v>50</v>
      </c>
    </row>
    <row r="18162" spans="1:9" x14ac:dyDescent="0.35">
      <c r="A18162" s="27" t="s">
        <v>229</v>
      </c>
      <c r="B18162" s="27" t="s">
        <v>373</v>
      </c>
      <c r="C18162" s="28">
        <v>0.42180000000000001</v>
      </c>
      <c r="D18162" s="28">
        <v>0.3679</v>
      </c>
      <c r="E18162" s="29"/>
      <c r="F18162" s="28">
        <v>0.2102</v>
      </c>
      <c r="G18162" s="29"/>
      <c r="H18162" s="29"/>
      <c r="I18162" s="29" t="s">
        <v>350</v>
      </c>
    </row>
    <row r="18163" spans="1:9" x14ac:dyDescent="0.35">
      <c r="A18163" t="s">
        <v>230</v>
      </c>
      <c r="B18163" t="s">
        <v>371</v>
      </c>
      <c r="C18163" s="26">
        <v>0.42</v>
      </c>
      <c r="D18163" s="26">
        <v>0.3826</v>
      </c>
      <c r="E18163" s="26">
        <v>0.1235</v>
      </c>
      <c r="F18163" s="26">
        <v>7.3899999999999993E-2</v>
      </c>
      <c r="I18163">
        <v>31</v>
      </c>
    </row>
    <row r="18164" spans="1:9" x14ac:dyDescent="0.35">
      <c r="A18164" t="s">
        <v>230</v>
      </c>
      <c r="B18164" t="s">
        <v>372</v>
      </c>
      <c r="C18164" s="26">
        <v>0.54410000000000003</v>
      </c>
      <c r="D18164" s="26">
        <v>0.19819999999999999</v>
      </c>
      <c r="E18164" s="26">
        <v>0.1938</v>
      </c>
      <c r="F18164" s="26">
        <v>6.3899999999999998E-2</v>
      </c>
      <c r="I18164">
        <v>82</v>
      </c>
    </row>
    <row r="18165" spans="1:9" x14ac:dyDescent="0.35">
      <c r="A18165" t="s">
        <v>230</v>
      </c>
      <c r="B18165" t="s">
        <v>373</v>
      </c>
      <c r="C18165" s="26">
        <v>0.62390000000000001</v>
      </c>
      <c r="D18165" s="26">
        <v>0.2104</v>
      </c>
      <c r="E18165" s="26">
        <v>0.14119999999999999</v>
      </c>
      <c r="F18165" s="26">
        <v>2.4500000000000001E-2</v>
      </c>
      <c r="I18165">
        <v>61</v>
      </c>
    </row>
    <row r="18166" spans="1:9" x14ac:dyDescent="0.35">
      <c r="A18166" s="27" t="s">
        <v>231</v>
      </c>
      <c r="B18166" s="27" t="s">
        <v>371</v>
      </c>
      <c r="C18166" s="28">
        <v>0.2</v>
      </c>
      <c r="D18166" s="28">
        <v>0.6</v>
      </c>
      <c r="E18166" s="29"/>
      <c r="F18166" s="29"/>
      <c r="G18166" s="28">
        <v>0.2</v>
      </c>
      <c r="H18166" s="29"/>
      <c r="I18166" s="29" t="s">
        <v>332</v>
      </c>
    </row>
    <row r="18167" spans="1:9" x14ac:dyDescent="0.35">
      <c r="A18167" t="s">
        <v>232</v>
      </c>
      <c r="B18167" t="s">
        <v>232</v>
      </c>
      <c r="C18167" s="26">
        <v>0.53680000000000005</v>
      </c>
      <c r="D18167" s="26">
        <v>0.28000000000000003</v>
      </c>
      <c r="E18167" s="26">
        <v>8.7300000000000003E-2</v>
      </c>
      <c r="F18167" s="26">
        <v>5.6800000000000003E-2</v>
      </c>
      <c r="G18167" s="26">
        <v>2.1499999999999998E-2</v>
      </c>
      <c r="H18167" s="26">
        <v>1.77E-2</v>
      </c>
      <c r="I18167">
        <v>609</v>
      </c>
    </row>
    <row r="18169" spans="1:9" x14ac:dyDescent="0.35">
      <c r="A18169" s="1" t="s">
        <v>1849</v>
      </c>
    </row>
    <row r="18170" spans="1:9" x14ac:dyDescent="0.35">
      <c r="A18170" t="s">
        <v>219</v>
      </c>
      <c r="B18170" t="s">
        <v>305</v>
      </c>
      <c r="C18170" t="s">
        <v>1834</v>
      </c>
      <c r="D18170" t="s">
        <v>1835</v>
      </c>
      <c r="E18170" t="s">
        <v>1836</v>
      </c>
      <c r="F18170" t="s">
        <v>1837</v>
      </c>
      <c r="G18170" t="s">
        <v>1838</v>
      </c>
      <c r="H18170" t="s">
        <v>281</v>
      </c>
      <c r="I18170" t="s">
        <v>226</v>
      </c>
    </row>
    <row r="18171" spans="1:9" x14ac:dyDescent="0.35">
      <c r="A18171" s="27" t="s">
        <v>227</v>
      </c>
      <c r="B18171" s="27" t="s">
        <v>255</v>
      </c>
      <c r="C18171" s="28">
        <v>0.75</v>
      </c>
      <c r="D18171" s="28">
        <v>0.25</v>
      </c>
      <c r="E18171" s="29"/>
      <c r="F18171" s="29"/>
      <c r="G18171" s="29"/>
      <c r="H18171" s="29"/>
      <c r="I18171" s="29" t="s">
        <v>337</v>
      </c>
    </row>
    <row r="18172" spans="1:9" x14ac:dyDescent="0.35">
      <c r="A18172" s="27" t="s">
        <v>227</v>
      </c>
      <c r="B18172" s="27" t="s">
        <v>256</v>
      </c>
      <c r="C18172" s="29"/>
      <c r="D18172" s="29"/>
      <c r="E18172" s="28">
        <v>1</v>
      </c>
      <c r="F18172" s="29"/>
      <c r="G18172" s="29"/>
      <c r="H18172" s="29"/>
      <c r="I18172" s="29" t="s">
        <v>331</v>
      </c>
    </row>
    <row r="18173" spans="1:9" x14ac:dyDescent="0.35">
      <c r="A18173" t="s">
        <v>228</v>
      </c>
      <c r="B18173" t="s">
        <v>255</v>
      </c>
      <c r="C18173" s="26">
        <v>0.56030000000000002</v>
      </c>
      <c r="D18173" s="26">
        <v>0.24260000000000001</v>
      </c>
      <c r="E18173" s="26">
        <v>0.11890000000000001</v>
      </c>
      <c r="F18173" s="26">
        <v>6.3299999999999995E-2</v>
      </c>
      <c r="G18173" s="26">
        <v>1.4999999999999999E-2</v>
      </c>
      <c r="I18173">
        <v>229</v>
      </c>
    </row>
    <row r="18174" spans="1:9" x14ac:dyDescent="0.35">
      <c r="A18174" s="27" t="s">
        <v>228</v>
      </c>
      <c r="B18174" s="27" t="s">
        <v>258</v>
      </c>
      <c r="C18174" s="28">
        <v>0.5</v>
      </c>
      <c r="D18174" s="28">
        <v>0.5</v>
      </c>
      <c r="E18174" s="29"/>
      <c r="F18174" s="29"/>
      <c r="G18174" s="29"/>
      <c r="H18174" s="29"/>
      <c r="I18174" s="29" t="s">
        <v>314</v>
      </c>
    </row>
    <row r="18175" spans="1:9" x14ac:dyDescent="0.35">
      <c r="A18175" t="s">
        <v>228</v>
      </c>
      <c r="B18175" t="s">
        <v>256</v>
      </c>
      <c r="C18175" s="26">
        <v>0.59709999999999996</v>
      </c>
      <c r="D18175" s="26">
        <v>0.25159999999999999</v>
      </c>
      <c r="E18175" s="26">
        <v>0.1231</v>
      </c>
      <c r="F18175" s="26">
        <v>2.8199999999999999E-2</v>
      </c>
      <c r="I18175">
        <v>56</v>
      </c>
    </row>
    <row r="18176" spans="1:9" x14ac:dyDescent="0.35">
      <c r="A18176" s="27" t="s">
        <v>228</v>
      </c>
      <c r="B18176" s="27" t="s">
        <v>257</v>
      </c>
      <c r="C18176" s="28">
        <v>6.1199999999999997E-2</v>
      </c>
      <c r="D18176" s="28">
        <v>0.64359999999999995</v>
      </c>
      <c r="E18176" s="29"/>
      <c r="F18176" s="28">
        <v>0.29520000000000002</v>
      </c>
      <c r="G18176" s="29"/>
      <c r="H18176" s="29"/>
      <c r="I18176" s="29" t="s">
        <v>332</v>
      </c>
    </row>
    <row r="18177" spans="1:9" x14ac:dyDescent="0.35">
      <c r="A18177" t="s">
        <v>229</v>
      </c>
      <c r="B18177" t="s">
        <v>255</v>
      </c>
      <c r="C18177" s="26">
        <v>0.69479999999999997</v>
      </c>
      <c r="D18177" s="26">
        <v>0.20150000000000001</v>
      </c>
      <c r="E18177" s="26">
        <v>4.2999999999999997E-2</v>
      </c>
      <c r="F18177" s="26">
        <v>6.0699999999999997E-2</v>
      </c>
      <c r="I18177">
        <v>100</v>
      </c>
    </row>
    <row r="18178" spans="1:9" x14ac:dyDescent="0.35">
      <c r="A18178" s="27" t="s">
        <v>229</v>
      </c>
      <c r="B18178" s="27" t="s">
        <v>256</v>
      </c>
      <c r="C18178" s="28">
        <v>0.3775</v>
      </c>
      <c r="D18178" s="28">
        <v>0.34589999999999999</v>
      </c>
      <c r="E18178" s="28">
        <v>1.5100000000000001E-2</v>
      </c>
      <c r="F18178" s="28">
        <v>4.7600000000000003E-2</v>
      </c>
      <c r="G18178" s="29"/>
      <c r="H18178" s="28">
        <v>0.21390000000000001</v>
      </c>
      <c r="I18178" s="29" t="s">
        <v>336</v>
      </c>
    </row>
    <row r="18179" spans="1:9" x14ac:dyDescent="0.35">
      <c r="A18179" s="27" t="s">
        <v>229</v>
      </c>
      <c r="B18179" s="27" t="s">
        <v>257</v>
      </c>
      <c r="C18179" s="28">
        <v>0.26</v>
      </c>
      <c r="D18179" s="28">
        <v>8.5900000000000004E-2</v>
      </c>
      <c r="E18179" s="29"/>
      <c r="F18179" s="28">
        <v>0.65410000000000001</v>
      </c>
      <c r="G18179" s="29"/>
      <c r="H18179" s="29"/>
      <c r="I18179" s="29" t="s">
        <v>337</v>
      </c>
    </row>
    <row r="18180" spans="1:9" x14ac:dyDescent="0.35">
      <c r="A18180" s="27" t="s">
        <v>229</v>
      </c>
      <c r="B18180" s="27" t="s">
        <v>258</v>
      </c>
      <c r="C18180" s="28">
        <v>1</v>
      </c>
      <c r="D18180" s="29"/>
      <c r="E18180" s="29"/>
      <c r="F18180" s="29"/>
      <c r="G18180" s="29"/>
      <c r="H18180" s="29"/>
      <c r="I18180" s="29" t="s">
        <v>331</v>
      </c>
    </row>
    <row r="18181" spans="1:9" x14ac:dyDescent="0.35">
      <c r="A18181" t="s">
        <v>230</v>
      </c>
      <c r="B18181" t="s">
        <v>256</v>
      </c>
      <c r="C18181" s="26">
        <v>0.42799999999999999</v>
      </c>
      <c r="D18181" s="26">
        <v>0.1749</v>
      </c>
      <c r="E18181" s="26">
        <v>0.38769999999999999</v>
      </c>
      <c r="F18181" s="26">
        <v>9.4999999999999998E-3</v>
      </c>
      <c r="I18181">
        <v>37</v>
      </c>
    </row>
    <row r="18182" spans="1:9" x14ac:dyDescent="0.35">
      <c r="A18182" t="s">
        <v>230</v>
      </c>
      <c r="B18182" t="s">
        <v>255</v>
      </c>
      <c r="C18182" s="26">
        <v>0.53080000000000005</v>
      </c>
      <c r="D18182" s="26">
        <v>0.31950000000000001</v>
      </c>
      <c r="E18182" s="26">
        <v>7.9399999999999998E-2</v>
      </c>
      <c r="F18182" s="26">
        <v>7.0300000000000001E-2</v>
      </c>
      <c r="I18182">
        <v>128</v>
      </c>
    </row>
    <row r="18183" spans="1:9" x14ac:dyDescent="0.35">
      <c r="A18183" s="27" t="s">
        <v>230</v>
      </c>
      <c r="B18183" s="27" t="s">
        <v>258</v>
      </c>
      <c r="C18183" s="28">
        <v>0.76470000000000005</v>
      </c>
      <c r="D18183" s="28">
        <v>0.23530000000000001</v>
      </c>
      <c r="E18183" s="29"/>
      <c r="F18183" s="29"/>
      <c r="G18183" s="29"/>
      <c r="H18183" s="29"/>
      <c r="I18183" s="29" t="s">
        <v>314</v>
      </c>
    </row>
    <row r="18184" spans="1:9" x14ac:dyDescent="0.35">
      <c r="A18184" s="27" t="s">
        <v>230</v>
      </c>
      <c r="B18184" s="27" t="s">
        <v>257</v>
      </c>
      <c r="C18184" s="28">
        <v>0.3831</v>
      </c>
      <c r="D18184" s="28">
        <v>0.30559999999999998</v>
      </c>
      <c r="E18184" s="28">
        <v>0.31119999999999998</v>
      </c>
      <c r="F18184" s="29"/>
      <c r="G18184" s="29"/>
      <c r="H18184" s="29"/>
      <c r="I18184" s="29" t="s">
        <v>339</v>
      </c>
    </row>
    <row r="18185" spans="1:9" x14ac:dyDescent="0.35">
      <c r="A18185" s="27" t="s">
        <v>231</v>
      </c>
      <c r="B18185" s="27" t="s">
        <v>255</v>
      </c>
      <c r="C18185" s="28">
        <v>0.33329999999999999</v>
      </c>
      <c r="D18185" s="28">
        <v>0.33329999999999999</v>
      </c>
      <c r="E18185" s="29"/>
      <c r="F18185" s="29"/>
      <c r="G18185" s="28">
        <v>0.33329999999999999</v>
      </c>
      <c r="H18185" s="29"/>
      <c r="I18185" s="29" t="s">
        <v>315</v>
      </c>
    </row>
    <row r="18186" spans="1:9" x14ac:dyDescent="0.35">
      <c r="A18186" s="27" t="s">
        <v>231</v>
      </c>
      <c r="B18186" s="27" t="s">
        <v>256</v>
      </c>
      <c r="C18186" s="29"/>
      <c r="D18186" s="28">
        <v>1</v>
      </c>
      <c r="E18186" s="29"/>
      <c r="F18186" s="29"/>
      <c r="G18186" s="29"/>
      <c r="H18186" s="29"/>
      <c r="I18186" s="29" t="s">
        <v>314</v>
      </c>
    </row>
    <row r="18187" spans="1:9" x14ac:dyDescent="0.35">
      <c r="A18187" t="s">
        <v>232</v>
      </c>
      <c r="B18187" t="s">
        <v>232</v>
      </c>
      <c r="C18187" s="26">
        <v>0.53680000000000005</v>
      </c>
      <c r="D18187" s="26">
        <v>0.28000000000000003</v>
      </c>
      <c r="E18187" s="26">
        <v>8.7300000000000003E-2</v>
      </c>
      <c r="F18187" s="26">
        <v>5.6800000000000003E-2</v>
      </c>
      <c r="G18187" s="26">
        <v>2.1499999999999998E-2</v>
      </c>
      <c r="H18187" s="26">
        <v>1.77E-2</v>
      </c>
      <c r="I18187">
        <v>609</v>
      </c>
    </row>
    <row r="18189" spans="1:9" x14ac:dyDescent="0.35">
      <c r="A18189" s="1" t="s">
        <v>1850</v>
      </c>
    </row>
    <row r="18190" spans="1:9" x14ac:dyDescent="0.35">
      <c r="A18190" t="s">
        <v>219</v>
      </c>
      <c r="B18190" t="s">
        <v>303</v>
      </c>
      <c r="C18190" t="s">
        <v>1851</v>
      </c>
      <c r="D18190" t="s">
        <v>1852</v>
      </c>
      <c r="E18190" t="s">
        <v>226</v>
      </c>
    </row>
    <row r="18191" spans="1:9" x14ac:dyDescent="0.35">
      <c r="A18191" t="s">
        <v>227</v>
      </c>
      <c r="B18191" s="26">
        <v>0.99380000000000002</v>
      </c>
      <c r="C18191" s="26">
        <v>6.1999999999999998E-3</v>
      </c>
      <c r="E18191">
        <v>161</v>
      </c>
    </row>
    <row r="18192" spans="1:9" x14ac:dyDescent="0.35">
      <c r="A18192" t="s">
        <v>228</v>
      </c>
      <c r="B18192" s="26">
        <v>0.96560000000000001</v>
      </c>
      <c r="C18192" s="26">
        <v>3.1099999999999999E-2</v>
      </c>
      <c r="D18192" s="26">
        <v>3.3E-3</v>
      </c>
      <c r="E18192">
        <v>1032</v>
      </c>
    </row>
    <row r="18193" spans="1:6" x14ac:dyDescent="0.35">
      <c r="A18193" t="s">
        <v>229</v>
      </c>
      <c r="B18193" s="26">
        <v>0.97599999999999998</v>
      </c>
      <c r="C18193" s="26">
        <v>2.4E-2</v>
      </c>
      <c r="E18193">
        <v>893</v>
      </c>
    </row>
    <row r="18194" spans="1:6" x14ac:dyDescent="0.35">
      <c r="A18194" t="s">
        <v>230</v>
      </c>
      <c r="B18194" s="26">
        <v>0.97370000000000001</v>
      </c>
      <c r="C18194" s="26">
        <v>2.63E-2</v>
      </c>
      <c r="E18194">
        <v>560</v>
      </c>
    </row>
    <row r="18195" spans="1:6" x14ac:dyDescent="0.35">
      <c r="A18195" t="s">
        <v>231</v>
      </c>
      <c r="B18195" s="26">
        <v>0.98170000000000002</v>
      </c>
      <c r="C18195" s="26">
        <v>1.83E-2</v>
      </c>
      <c r="E18195">
        <v>164</v>
      </c>
    </row>
    <row r="18196" spans="1:6" x14ac:dyDescent="0.35">
      <c r="A18196" t="s">
        <v>232</v>
      </c>
      <c r="B18196" s="26">
        <v>0.97799999999999998</v>
      </c>
      <c r="C18196" s="26">
        <v>2.1299999999999999E-2</v>
      </c>
      <c r="D18196" s="26">
        <v>5.9999999999999995E-4</v>
      </c>
      <c r="E18196">
        <v>2810</v>
      </c>
    </row>
    <row r="18198" spans="1:6" x14ac:dyDescent="0.35">
      <c r="A18198" s="1" t="s">
        <v>1853</v>
      </c>
    </row>
    <row r="18199" spans="1:6" x14ac:dyDescent="0.35">
      <c r="A18199" t="s">
        <v>219</v>
      </c>
      <c r="B18199" t="s">
        <v>305</v>
      </c>
      <c r="C18199" t="s">
        <v>303</v>
      </c>
      <c r="D18199" t="s">
        <v>1851</v>
      </c>
      <c r="E18199" t="s">
        <v>1852</v>
      </c>
      <c r="F18199" t="s">
        <v>226</v>
      </c>
    </row>
    <row r="18200" spans="1:6" x14ac:dyDescent="0.35">
      <c r="A18200" t="s">
        <v>227</v>
      </c>
      <c r="B18200" t="s">
        <v>242</v>
      </c>
      <c r="C18200" s="26">
        <v>0.98529999999999995</v>
      </c>
      <c r="D18200" s="26">
        <v>1.47E-2</v>
      </c>
      <c r="F18200">
        <v>68</v>
      </c>
    </row>
    <row r="18201" spans="1:6" x14ac:dyDescent="0.35">
      <c r="A18201" t="s">
        <v>227</v>
      </c>
      <c r="B18201" t="s">
        <v>241</v>
      </c>
      <c r="C18201" s="26">
        <v>1</v>
      </c>
      <c r="F18201">
        <v>93</v>
      </c>
    </row>
    <row r="18202" spans="1:6" x14ac:dyDescent="0.35">
      <c r="A18202" t="s">
        <v>228</v>
      </c>
      <c r="B18202" t="s">
        <v>242</v>
      </c>
      <c r="C18202" s="26">
        <v>0.95569999999999999</v>
      </c>
      <c r="D18202" s="26">
        <v>4.4299999999999999E-2</v>
      </c>
      <c r="F18202">
        <v>401</v>
      </c>
    </row>
    <row r="18203" spans="1:6" x14ac:dyDescent="0.35">
      <c r="A18203" t="s">
        <v>228</v>
      </c>
      <c r="B18203" t="s">
        <v>241</v>
      </c>
      <c r="C18203" s="26">
        <v>0.97119999999999995</v>
      </c>
      <c r="D18203" s="26">
        <v>2.35E-2</v>
      </c>
      <c r="E18203" s="26">
        <v>5.1999999999999998E-3</v>
      </c>
      <c r="F18203">
        <v>631</v>
      </c>
    </row>
    <row r="18204" spans="1:6" x14ac:dyDescent="0.35">
      <c r="A18204" t="s">
        <v>229</v>
      </c>
      <c r="B18204" t="s">
        <v>242</v>
      </c>
      <c r="C18204" s="26">
        <v>0.9617</v>
      </c>
      <c r="D18204" s="26">
        <v>3.8300000000000001E-2</v>
      </c>
      <c r="F18204">
        <v>291</v>
      </c>
    </row>
    <row r="18205" spans="1:6" x14ac:dyDescent="0.35">
      <c r="A18205" t="s">
        <v>229</v>
      </c>
      <c r="B18205" t="s">
        <v>241</v>
      </c>
      <c r="C18205" s="26">
        <v>0.98499999999999999</v>
      </c>
      <c r="D18205" s="26">
        <v>1.4999999999999999E-2</v>
      </c>
      <c r="F18205">
        <v>602</v>
      </c>
    </row>
    <row r="18206" spans="1:6" x14ac:dyDescent="0.35">
      <c r="A18206" t="s">
        <v>230</v>
      </c>
      <c r="B18206" t="s">
        <v>242</v>
      </c>
      <c r="C18206" s="26">
        <v>0.95760000000000001</v>
      </c>
      <c r="D18206" s="26">
        <v>4.24E-2</v>
      </c>
      <c r="F18206">
        <v>189</v>
      </c>
    </row>
    <row r="18207" spans="1:6" x14ac:dyDescent="0.35">
      <c r="A18207" t="s">
        <v>230</v>
      </c>
      <c r="B18207" t="s">
        <v>241</v>
      </c>
      <c r="C18207" s="26">
        <v>0.98199999999999998</v>
      </c>
      <c r="D18207" s="26">
        <v>1.7999999999999999E-2</v>
      </c>
      <c r="F18207">
        <v>371</v>
      </c>
    </row>
    <row r="18208" spans="1:6" x14ac:dyDescent="0.35">
      <c r="A18208" t="s">
        <v>231</v>
      </c>
      <c r="B18208" t="s">
        <v>242</v>
      </c>
      <c r="C18208" s="26">
        <v>0.96299999999999997</v>
      </c>
      <c r="D18208" s="26">
        <v>3.6999999999999998E-2</v>
      </c>
      <c r="F18208">
        <v>54</v>
      </c>
    </row>
    <row r="18209" spans="1:6" x14ac:dyDescent="0.35">
      <c r="A18209" t="s">
        <v>231</v>
      </c>
      <c r="B18209" t="s">
        <v>241</v>
      </c>
      <c r="C18209" s="26">
        <v>0.9909</v>
      </c>
      <c r="D18209" s="26">
        <v>9.1000000000000004E-3</v>
      </c>
      <c r="F18209">
        <v>110</v>
      </c>
    </row>
    <row r="18210" spans="1:6" x14ac:dyDescent="0.35">
      <c r="A18210" t="s">
        <v>232</v>
      </c>
      <c r="B18210" t="s">
        <v>232</v>
      </c>
      <c r="C18210" s="26">
        <v>0.97799999999999998</v>
      </c>
      <c r="D18210" s="26">
        <v>2.1299999999999999E-2</v>
      </c>
      <c r="E18210" s="26">
        <v>5.9999999999999995E-4</v>
      </c>
      <c r="F18210">
        <v>2810</v>
      </c>
    </row>
    <row r="18212" spans="1:6" x14ac:dyDescent="0.35">
      <c r="A18212" s="1" t="s">
        <v>1854</v>
      </c>
    </row>
    <row r="18213" spans="1:6" x14ac:dyDescent="0.35">
      <c r="A18213" t="s">
        <v>219</v>
      </c>
      <c r="B18213" t="s">
        <v>305</v>
      </c>
      <c r="C18213" t="s">
        <v>303</v>
      </c>
      <c r="D18213" t="s">
        <v>1851</v>
      </c>
      <c r="E18213" t="s">
        <v>1852</v>
      </c>
      <c r="F18213" t="s">
        <v>226</v>
      </c>
    </row>
    <row r="18214" spans="1:6" x14ac:dyDescent="0.35">
      <c r="A18214" t="s">
        <v>227</v>
      </c>
      <c r="B18214" t="s">
        <v>239</v>
      </c>
      <c r="C18214" s="26">
        <v>0.9839</v>
      </c>
      <c r="D18214" s="26">
        <v>1.61E-2</v>
      </c>
      <c r="F18214">
        <v>62</v>
      </c>
    </row>
    <row r="18215" spans="1:6" x14ac:dyDescent="0.35">
      <c r="A18215" t="s">
        <v>227</v>
      </c>
      <c r="B18215" t="s">
        <v>238</v>
      </c>
      <c r="C18215" s="26">
        <v>1</v>
      </c>
      <c r="F18215">
        <v>99</v>
      </c>
    </row>
    <row r="18216" spans="1:6" x14ac:dyDescent="0.35">
      <c r="A18216" t="s">
        <v>228</v>
      </c>
      <c r="B18216" t="s">
        <v>239</v>
      </c>
      <c r="C18216" s="26">
        <v>0.91490000000000005</v>
      </c>
      <c r="D18216" s="26">
        <v>6.9099999999999995E-2</v>
      </c>
      <c r="E18216" s="26">
        <v>1.61E-2</v>
      </c>
      <c r="F18216">
        <v>330</v>
      </c>
    </row>
    <row r="18217" spans="1:6" x14ac:dyDescent="0.35">
      <c r="A18217" t="s">
        <v>228</v>
      </c>
      <c r="B18217" t="s">
        <v>238</v>
      </c>
      <c r="C18217" s="26">
        <v>0.9788</v>
      </c>
      <c r="D18217" s="26">
        <v>2.12E-2</v>
      </c>
      <c r="F18217">
        <v>702</v>
      </c>
    </row>
    <row r="18218" spans="1:6" x14ac:dyDescent="0.35">
      <c r="A18218" t="s">
        <v>229</v>
      </c>
      <c r="B18218" t="s">
        <v>239</v>
      </c>
      <c r="C18218" s="26">
        <v>0.96809999999999996</v>
      </c>
      <c r="D18218" s="26">
        <v>3.1899999999999998E-2</v>
      </c>
      <c r="F18218">
        <v>332</v>
      </c>
    </row>
    <row r="18219" spans="1:6" x14ac:dyDescent="0.35">
      <c r="A18219" t="s">
        <v>229</v>
      </c>
      <c r="B18219" t="s">
        <v>238</v>
      </c>
      <c r="C18219" s="26">
        <v>0.97870000000000001</v>
      </c>
      <c r="D18219" s="26">
        <v>2.1299999999999999E-2</v>
      </c>
      <c r="F18219">
        <v>561</v>
      </c>
    </row>
    <row r="18220" spans="1:6" x14ac:dyDescent="0.35">
      <c r="A18220" t="s">
        <v>230</v>
      </c>
      <c r="B18220" t="s">
        <v>239</v>
      </c>
      <c r="C18220" s="26">
        <v>0.997</v>
      </c>
      <c r="D18220" s="26">
        <v>3.0000000000000001E-3</v>
      </c>
      <c r="F18220">
        <v>211</v>
      </c>
    </row>
    <row r="18221" spans="1:6" x14ac:dyDescent="0.35">
      <c r="A18221" t="s">
        <v>230</v>
      </c>
      <c r="B18221" t="s">
        <v>238</v>
      </c>
      <c r="C18221" s="26">
        <v>0.9637</v>
      </c>
      <c r="D18221" s="26">
        <v>3.6299999999999999E-2</v>
      </c>
      <c r="F18221">
        <v>349</v>
      </c>
    </row>
    <row r="18222" spans="1:6" x14ac:dyDescent="0.35">
      <c r="A18222" t="s">
        <v>231</v>
      </c>
      <c r="B18222" t="s">
        <v>239</v>
      </c>
      <c r="C18222" s="26">
        <v>0.98250000000000004</v>
      </c>
      <c r="D18222" s="26">
        <v>1.7500000000000002E-2</v>
      </c>
      <c r="F18222">
        <v>57</v>
      </c>
    </row>
    <row r="18223" spans="1:6" x14ac:dyDescent="0.35">
      <c r="A18223" t="s">
        <v>231</v>
      </c>
      <c r="B18223" t="s">
        <v>238</v>
      </c>
      <c r="C18223" s="26">
        <v>0.98129999999999995</v>
      </c>
      <c r="D18223" s="26">
        <v>1.8700000000000001E-2</v>
      </c>
      <c r="F18223">
        <v>107</v>
      </c>
    </row>
    <row r="18224" spans="1:6" x14ac:dyDescent="0.35">
      <c r="A18224" t="s">
        <v>232</v>
      </c>
      <c r="B18224" t="s">
        <v>232</v>
      </c>
      <c r="C18224" s="26">
        <v>0.97799999999999998</v>
      </c>
      <c r="D18224" s="26">
        <v>2.1299999999999999E-2</v>
      </c>
      <c r="E18224" s="26">
        <v>5.9999999999999995E-4</v>
      </c>
      <c r="F18224">
        <v>2810</v>
      </c>
    </row>
    <row r="18226" spans="1:6" x14ac:dyDescent="0.35">
      <c r="A18226" s="1" t="s">
        <v>1855</v>
      </c>
    </row>
    <row r="18227" spans="1:6" x14ac:dyDescent="0.35">
      <c r="A18227" t="s">
        <v>219</v>
      </c>
      <c r="B18227" t="s">
        <v>305</v>
      </c>
      <c r="C18227" t="s">
        <v>303</v>
      </c>
      <c r="D18227" t="s">
        <v>1851</v>
      </c>
      <c r="E18227" t="s">
        <v>1852</v>
      </c>
      <c r="F18227" t="s">
        <v>226</v>
      </c>
    </row>
    <row r="18228" spans="1:6" x14ac:dyDescent="0.35">
      <c r="A18228" t="s">
        <v>227</v>
      </c>
      <c r="B18228" t="s">
        <v>244</v>
      </c>
      <c r="C18228" s="26">
        <v>1</v>
      </c>
      <c r="F18228">
        <v>96</v>
      </c>
    </row>
    <row r="18229" spans="1:6" x14ac:dyDescent="0.35">
      <c r="A18229" t="s">
        <v>227</v>
      </c>
      <c r="B18229" t="s">
        <v>245</v>
      </c>
      <c r="C18229" s="26">
        <v>1</v>
      </c>
      <c r="F18229">
        <v>53</v>
      </c>
    </row>
    <row r="18230" spans="1:6" x14ac:dyDescent="0.35">
      <c r="A18230" s="27" t="s">
        <v>227</v>
      </c>
      <c r="B18230" s="27" t="s">
        <v>246</v>
      </c>
      <c r="C18230" s="28">
        <v>0.91669999999999996</v>
      </c>
      <c r="D18230" s="28">
        <v>8.3299999999999999E-2</v>
      </c>
      <c r="E18230" s="29"/>
      <c r="F18230" s="29" t="s">
        <v>342</v>
      </c>
    </row>
    <row r="18231" spans="1:6" x14ac:dyDescent="0.35">
      <c r="A18231" t="s">
        <v>228</v>
      </c>
      <c r="B18231" t="s">
        <v>244</v>
      </c>
      <c r="C18231" s="26">
        <v>0.97529999999999994</v>
      </c>
      <c r="D18231" s="26">
        <v>2.47E-2</v>
      </c>
      <c r="F18231">
        <v>638</v>
      </c>
    </row>
    <row r="18232" spans="1:6" x14ac:dyDescent="0.35">
      <c r="A18232" t="s">
        <v>228</v>
      </c>
      <c r="B18232" t="s">
        <v>245</v>
      </c>
      <c r="C18232" s="26">
        <v>0.96660000000000001</v>
      </c>
      <c r="D18232" s="26">
        <v>3.3399999999999999E-2</v>
      </c>
      <c r="F18232">
        <v>327</v>
      </c>
    </row>
    <row r="18233" spans="1:6" x14ac:dyDescent="0.35">
      <c r="A18233" t="s">
        <v>228</v>
      </c>
      <c r="B18233" t="s">
        <v>246</v>
      </c>
      <c r="C18233" s="26">
        <v>0.86839999999999995</v>
      </c>
      <c r="D18233" s="26">
        <v>8.3099999999999993E-2</v>
      </c>
      <c r="E18233" s="26">
        <v>4.8500000000000001E-2</v>
      </c>
      <c r="F18233">
        <v>67</v>
      </c>
    </row>
    <row r="18234" spans="1:6" x14ac:dyDescent="0.35">
      <c r="A18234" t="s">
        <v>229</v>
      </c>
      <c r="B18234" t="s">
        <v>244</v>
      </c>
      <c r="C18234" s="26">
        <v>0.97799999999999998</v>
      </c>
      <c r="D18234" s="26">
        <v>2.1999999999999999E-2</v>
      </c>
      <c r="F18234">
        <v>555</v>
      </c>
    </row>
    <row r="18235" spans="1:6" x14ac:dyDescent="0.35">
      <c r="A18235" t="s">
        <v>229</v>
      </c>
      <c r="B18235" t="s">
        <v>245</v>
      </c>
      <c r="C18235" s="26">
        <v>0.97629999999999995</v>
      </c>
      <c r="D18235" s="26">
        <v>2.3699999999999999E-2</v>
      </c>
      <c r="F18235">
        <v>293</v>
      </c>
    </row>
    <row r="18236" spans="1:6" x14ac:dyDescent="0.35">
      <c r="A18236" t="s">
        <v>229</v>
      </c>
      <c r="B18236" t="s">
        <v>246</v>
      </c>
      <c r="C18236" s="26">
        <v>0.94789999999999996</v>
      </c>
      <c r="D18236" s="26">
        <v>5.21E-2</v>
      </c>
      <c r="F18236">
        <v>45</v>
      </c>
    </row>
    <row r="18237" spans="1:6" x14ac:dyDescent="0.35">
      <c r="A18237" t="s">
        <v>230</v>
      </c>
      <c r="B18237" t="s">
        <v>244</v>
      </c>
      <c r="C18237" s="26">
        <v>0.97399999999999998</v>
      </c>
      <c r="D18237" s="26">
        <v>2.5999999999999999E-2</v>
      </c>
      <c r="F18237">
        <v>370</v>
      </c>
    </row>
    <row r="18238" spans="1:6" x14ac:dyDescent="0.35">
      <c r="A18238" t="s">
        <v>230</v>
      </c>
      <c r="B18238" t="s">
        <v>245</v>
      </c>
      <c r="C18238" s="26">
        <v>0.97130000000000005</v>
      </c>
      <c r="D18238" s="26">
        <v>2.87E-2</v>
      </c>
      <c r="F18238">
        <v>161</v>
      </c>
    </row>
    <row r="18239" spans="1:6" x14ac:dyDescent="0.35">
      <c r="A18239" s="27" t="s">
        <v>230</v>
      </c>
      <c r="B18239" s="27" t="s">
        <v>246</v>
      </c>
      <c r="C18239" s="28">
        <v>0.98170000000000002</v>
      </c>
      <c r="D18239" s="28">
        <v>1.83E-2</v>
      </c>
      <c r="E18239" s="29"/>
      <c r="F18239" s="29" t="s">
        <v>329</v>
      </c>
    </row>
    <row r="18240" spans="1:6" x14ac:dyDescent="0.35">
      <c r="A18240" t="s">
        <v>231</v>
      </c>
      <c r="B18240" t="s">
        <v>244</v>
      </c>
      <c r="C18240" s="26">
        <v>0.96840000000000004</v>
      </c>
      <c r="D18240" s="26">
        <v>3.1600000000000003E-2</v>
      </c>
      <c r="F18240">
        <v>95</v>
      </c>
    </row>
    <row r="18241" spans="1:6" x14ac:dyDescent="0.35">
      <c r="A18241" t="s">
        <v>231</v>
      </c>
      <c r="B18241" t="s">
        <v>245</v>
      </c>
      <c r="C18241" s="26">
        <v>1</v>
      </c>
      <c r="F18241">
        <v>56</v>
      </c>
    </row>
    <row r="18242" spans="1:6" x14ac:dyDescent="0.35">
      <c r="A18242" s="27" t="s">
        <v>231</v>
      </c>
      <c r="B18242" s="27" t="s">
        <v>246</v>
      </c>
      <c r="C18242" s="28">
        <v>1</v>
      </c>
      <c r="D18242" s="29"/>
      <c r="E18242" s="29"/>
      <c r="F18242" s="29" t="s">
        <v>341</v>
      </c>
    </row>
    <row r="18243" spans="1:6" x14ac:dyDescent="0.35">
      <c r="A18243" t="s">
        <v>232</v>
      </c>
      <c r="B18243" t="s">
        <v>232</v>
      </c>
      <c r="C18243" s="26">
        <v>0.97799999999999998</v>
      </c>
      <c r="D18243" s="26">
        <v>2.1299999999999999E-2</v>
      </c>
      <c r="E18243" s="26">
        <v>5.9999999999999995E-4</v>
      </c>
      <c r="F18243">
        <v>2810</v>
      </c>
    </row>
    <row r="18245" spans="1:6" x14ac:dyDescent="0.35">
      <c r="A18245" s="1" t="s">
        <v>1856</v>
      </c>
    </row>
    <row r="18246" spans="1:6" x14ac:dyDescent="0.35">
      <c r="A18246" t="s">
        <v>219</v>
      </c>
      <c r="B18246" t="s">
        <v>305</v>
      </c>
      <c r="C18246" t="s">
        <v>303</v>
      </c>
      <c r="D18246" t="s">
        <v>1851</v>
      </c>
      <c r="E18246" t="s">
        <v>1852</v>
      </c>
      <c r="F18246" t="s">
        <v>226</v>
      </c>
    </row>
    <row r="18247" spans="1:6" x14ac:dyDescent="0.35">
      <c r="A18247" t="s">
        <v>227</v>
      </c>
      <c r="B18247" t="s">
        <v>360</v>
      </c>
      <c r="C18247" s="26">
        <v>0.97440000000000004</v>
      </c>
      <c r="D18247" s="26">
        <v>2.5600000000000001E-2</v>
      </c>
      <c r="F18247">
        <v>39</v>
      </c>
    </row>
    <row r="18248" spans="1:6" x14ac:dyDescent="0.35">
      <c r="A18248" t="s">
        <v>227</v>
      </c>
      <c r="B18248" t="s">
        <v>361</v>
      </c>
      <c r="C18248" s="26">
        <v>1</v>
      </c>
      <c r="F18248">
        <v>32</v>
      </c>
    </row>
    <row r="18249" spans="1:6" x14ac:dyDescent="0.35">
      <c r="A18249" t="s">
        <v>227</v>
      </c>
      <c r="B18249" t="s">
        <v>362</v>
      </c>
      <c r="C18249" s="26">
        <v>1</v>
      </c>
      <c r="F18249">
        <v>37</v>
      </c>
    </row>
    <row r="18250" spans="1:6" x14ac:dyDescent="0.35">
      <c r="A18250" t="s">
        <v>227</v>
      </c>
      <c r="B18250" t="s">
        <v>363</v>
      </c>
      <c r="C18250" s="26">
        <v>1</v>
      </c>
      <c r="F18250">
        <v>45</v>
      </c>
    </row>
    <row r="18251" spans="1:6" x14ac:dyDescent="0.35">
      <c r="A18251" t="s">
        <v>228</v>
      </c>
      <c r="B18251" t="s">
        <v>360</v>
      </c>
      <c r="C18251" s="26">
        <v>0.90659999999999996</v>
      </c>
      <c r="D18251" s="26">
        <v>7.6600000000000001E-2</v>
      </c>
      <c r="E18251" s="26">
        <v>1.6799999999999999E-2</v>
      </c>
      <c r="F18251">
        <v>257</v>
      </c>
    </row>
    <row r="18252" spans="1:6" x14ac:dyDescent="0.35">
      <c r="A18252" t="s">
        <v>228</v>
      </c>
      <c r="B18252" t="s">
        <v>361</v>
      </c>
      <c r="C18252" s="26">
        <v>0.98619999999999997</v>
      </c>
      <c r="D18252" s="26">
        <v>1.38E-2</v>
      </c>
      <c r="F18252">
        <v>194</v>
      </c>
    </row>
    <row r="18253" spans="1:6" x14ac:dyDescent="0.35">
      <c r="A18253" t="s">
        <v>228</v>
      </c>
      <c r="B18253" t="s">
        <v>363</v>
      </c>
      <c r="C18253" s="26">
        <v>0.97140000000000004</v>
      </c>
      <c r="D18253" s="26">
        <v>2.86E-2</v>
      </c>
      <c r="F18253">
        <v>212</v>
      </c>
    </row>
    <row r="18254" spans="1:6" x14ac:dyDescent="0.35">
      <c r="A18254" t="s">
        <v>228</v>
      </c>
      <c r="B18254" t="s">
        <v>362</v>
      </c>
      <c r="C18254" s="26">
        <v>0.9869</v>
      </c>
      <c r="D18254" s="26">
        <v>1.3100000000000001E-2</v>
      </c>
      <c r="F18254">
        <v>236</v>
      </c>
    </row>
    <row r="18255" spans="1:6" x14ac:dyDescent="0.35">
      <c r="A18255" t="s">
        <v>229</v>
      </c>
      <c r="B18255" t="s">
        <v>363</v>
      </c>
      <c r="C18255" s="26">
        <v>0.98329999999999995</v>
      </c>
      <c r="D18255" s="26">
        <v>1.67E-2</v>
      </c>
      <c r="F18255">
        <v>190</v>
      </c>
    </row>
    <row r="18256" spans="1:6" x14ac:dyDescent="0.35">
      <c r="A18256" t="s">
        <v>229</v>
      </c>
      <c r="B18256" t="s">
        <v>360</v>
      </c>
      <c r="C18256" s="26">
        <v>0.94310000000000005</v>
      </c>
      <c r="D18256" s="26">
        <v>5.6899999999999999E-2</v>
      </c>
      <c r="F18256">
        <v>164</v>
      </c>
    </row>
    <row r="18257" spans="1:6" x14ac:dyDescent="0.35">
      <c r="A18257" t="s">
        <v>229</v>
      </c>
      <c r="B18257" t="s">
        <v>361</v>
      </c>
      <c r="C18257" s="26">
        <v>0.99150000000000005</v>
      </c>
      <c r="D18257" s="26">
        <v>8.5000000000000006E-3</v>
      </c>
      <c r="F18257">
        <v>243</v>
      </c>
    </row>
    <row r="18258" spans="1:6" x14ac:dyDescent="0.35">
      <c r="A18258" t="s">
        <v>229</v>
      </c>
      <c r="B18258" t="s">
        <v>362</v>
      </c>
      <c r="C18258" s="26">
        <v>0.96330000000000005</v>
      </c>
      <c r="D18258" s="26">
        <v>3.6700000000000003E-2</v>
      </c>
      <c r="F18258">
        <v>171</v>
      </c>
    </row>
    <row r="18259" spans="1:6" x14ac:dyDescent="0.35">
      <c r="A18259" t="s">
        <v>230</v>
      </c>
      <c r="B18259" t="s">
        <v>360</v>
      </c>
      <c r="C18259" s="26">
        <v>0.96650000000000003</v>
      </c>
      <c r="D18259" s="26">
        <v>3.3500000000000002E-2</v>
      </c>
      <c r="F18259">
        <v>120</v>
      </c>
    </row>
    <row r="18260" spans="1:6" x14ac:dyDescent="0.35">
      <c r="A18260" t="s">
        <v>230</v>
      </c>
      <c r="B18260" t="s">
        <v>363</v>
      </c>
      <c r="C18260" s="26">
        <v>0.94610000000000005</v>
      </c>
      <c r="D18260" s="26">
        <v>5.3900000000000003E-2</v>
      </c>
      <c r="F18260">
        <v>127</v>
      </c>
    </row>
    <row r="18261" spans="1:6" x14ac:dyDescent="0.35">
      <c r="A18261" t="s">
        <v>230</v>
      </c>
      <c r="B18261" t="s">
        <v>361</v>
      </c>
      <c r="C18261" s="26">
        <v>0.99650000000000005</v>
      </c>
      <c r="D18261" s="26">
        <v>3.5000000000000001E-3</v>
      </c>
      <c r="F18261">
        <v>109</v>
      </c>
    </row>
    <row r="18262" spans="1:6" x14ac:dyDescent="0.35">
      <c r="A18262" t="s">
        <v>230</v>
      </c>
      <c r="B18262" t="s">
        <v>362</v>
      </c>
      <c r="C18262" s="26">
        <v>0.99529999999999996</v>
      </c>
      <c r="D18262" s="26">
        <v>4.7000000000000002E-3</v>
      </c>
      <c r="F18262">
        <v>148</v>
      </c>
    </row>
    <row r="18263" spans="1:6" x14ac:dyDescent="0.35">
      <c r="A18263" s="27" t="s">
        <v>231</v>
      </c>
      <c r="B18263" s="27" t="s">
        <v>362</v>
      </c>
      <c r="C18263" s="28">
        <v>0.96550000000000002</v>
      </c>
      <c r="D18263" s="28">
        <v>3.4500000000000003E-2</v>
      </c>
      <c r="E18263" s="29"/>
      <c r="F18263" s="29" t="s">
        <v>329</v>
      </c>
    </row>
    <row r="18264" spans="1:6" x14ac:dyDescent="0.35">
      <c r="A18264" t="s">
        <v>231</v>
      </c>
      <c r="B18264" t="s">
        <v>361</v>
      </c>
      <c r="C18264" s="26">
        <v>0.98</v>
      </c>
      <c r="D18264" s="26">
        <v>0.02</v>
      </c>
      <c r="F18264">
        <v>50</v>
      </c>
    </row>
    <row r="18265" spans="1:6" x14ac:dyDescent="0.35">
      <c r="A18265" t="s">
        <v>231</v>
      </c>
      <c r="B18265" t="s">
        <v>360</v>
      </c>
      <c r="C18265" s="26">
        <v>0.97729999999999995</v>
      </c>
      <c r="D18265" s="26">
        <v>2.2700000000000001E-2</v>
      </c>
      <c r="F18265">
        <v>44</v>
      </c>
    </row>
    <row r="18266" spans="1:6" x14ac:dyDescent="0.35">
      <c r="A18266" s="27" t="s">
        <v>231</v>
      </c>
      <c r="B18266" s="27" t="s">
        <v>363</v>
      </c>
      <c r="C18266" s="28">
        <v>1</v>
      </c>
      <c r="D18266" s="29"/>
      <c r="E18266" s="29"/>
      <c r="F18266" s="29" t="s">
        <v>338</v>
      </c>
    </row>
    <row r="18267" spans="1:6" x14ac:dyDescent="0.35">
      <c r="A18267" t="s">
        <v>232</v>
      </c>
      <c r="B18267" t="s">
        <v>232</v>
      </c>
      <c r="C18267" s="26">
        <v>0.97799999999999998</v>
      </c>
      <c r="D18267" s="26">
        <v>2.1299999999999999E-2</v>
      </c>
      <c r="E18267" s="26">
        <v>5.9999999999999995E-4</v>
      </c>
      <c r="F18267">
        <v>2474</v>
      </c>
    </row>
    <row r="18269" spans="1:6" x14ac:dyDescent="0.35">
      <c r="A18269" s="1" t="s">
        <v>1857</v>
      </c>
    </row>
    <row r="18270" spans="1:6" x14ac:dyDescent="0.35">
      <c r="A18270" t="s">
        <v>219</v>
      </c>
      <c r="B18270" t="s">
        <v>305</v>
      </c>
      <c r="C18270" t="s">
        <v>303</v>
      </c>
      <c r="D18270" t="s">
        <v>1851</v>
      </c>
      <c r="E18270" t="s">
        <v>1852</v>
      </c>
      <c r="F18270" t="s">
        <v>226</v>
      </c>
    </row>
    <row r="18271" spans="1:6" x14ac:dyDescent="0.35">
      <c r="A18271" t="s">
        <v>227</v>
      </c>
      <c r="B18271" t="s">
        <v>267</v>
      </c>
      <c r="C18271" s="26">
        <v>1</v>
      </c>
      <c r="F18271">
        <v>36</v>
      </c>
    </row>
    <row r="18272" spans="1:6" x14ac:dyDescent="0.35">
      <c r="A18272" t="s">
        <v>227</v>
      </c>
      <c r="B18272" t="s">
        <v>266</v>
      </c>
      <c r="C18272" s="26">
        <v>1</v>
      </c>
      <c r="F18272">
        <v>59</v>
      </c>
    </row>
    <row r="18273" spans="1:6" x14ac:dyDescent="0.35">
      <c r="A18273" t="s">
        <v>227</v>
      </c>
      <c r="B18273" t="s">
        <v>265</v>
      </c>
      <c r="C18273" s="26">
        <v>0.98480000000000001</v>
      </c>
      <c r="D18273" s="26">
        <v>1.52E-2</v>
      </c>
      <c r="F18273">
        <v>66</v>
      </c>
    </row>
    <row r="18274" spans="1:6" x14ac:dyDescent="0.35">
      <c r="A18274" t="s">
        <v>228</v>
      </c>
      <c r="B18274" t="s">
        <v>267</v>
      </c>
      <c r="C18274" s="26">
        <v>0.97889999999999999</v>
      </c>
      <c r="D18274" s="26">
        <v>2.1100000000000001E-2</v>
      </c>
      <c r="F18274">
        <v>199</v>
      </c>
    </row>
    <row r="18275" spans="1:6" x14ac:dyDescent="0.35">
      <c r="A18275" t="s">
        <v>228</v>
      </c>
      <c r="B18275" t="s">
        <v>265</v>
      </c>
      <c r="C18275" s="26">
        <v>0.98150000000000004</v>
      </c>
      <c r="D18275" s="26">
        <v>1.8499999999999999E-2</v>
      </c>
      <c r="F18275">
        <v>384</v>
      </c>
    </row>
    <row r="18276" spans="1:6" x14ac:dyDescent="0.35">
      <c r="A18276" s="27" t="s">
        <v>228</v>
      </c>
      <c r="B18276" s="27" t="s">
        <v>236</v>
      </c>
      <c r="C18276" s="28">
        <v>1</v>
      </c>
      <c r="D18276" s="29"/>
      <c r="E18276" s="29"/>
      <c r="F18276" s="29" t="s">
        <v>314</v>
      </c>
    </row>
    <row r="18277" spans="1:6" x14ac:dyDescent="0.35">
      <c r="A18277" t="s">
        <v>228</v>
      </c>
      <c r="B18277" t="s">
        <v>266</v>
      </c>
      <c r="C18277" s="26">
        <v>0.94350000000000001</v>
      </c>
      <c r="D18277" s="26">
        <v>4.8399999999999999E-2</v>
      </c>
      <c r="E18277" s="26">
        <v>8.0999999999999996E-3</v>
      </c>
      <c r="F18277">
        <v>447</v>
      </c>
    </row>
    <row r="18278" spans="1:6" x14ac:dyDescent="0.35">
      <c r="A18278" t="s">
        <v>229</v>
      </c>
      <c r="B18278" t="s">
        <v>266</v>
      </c>
      <c r="C18278" s="26">
        <v>0.96489999999999998</v>
      </c>
      <c r="D18278" s="26">
        <v>3.5099999999999999E-2</v>
      </c>
      <c r="F18278">
        <v>358</v>
      </c>
    </row>
    <row r="18279" spans="1:6" x14ac:dyDescent="0.35">
      <c r="A18279" t="s">
        <v>229</v>
      </c>
      <c r="B18279" t="s">
        <v>267</v>
      </c>
      <c r="C18279" s="26">
        <v>0.99619999999999997</v>
      </c>
      <c r="D18279" s="26">
        <v>3.8E-3</v>
      </c>
      <c r="F18279">
        <v>201</v>
      </c>
    </row>
    <row r="18280" spans="1:6" x14ac:dyDescent="0.35">
      <c r="A18280" t="s">
        <v>229</v>
      </c>
      <c r="B18280" t="s">
        <v>265</v>
      </c>
      <c r="C18280" s="26">
        <v>0.97399999999999998</v>
      </c>
      <c r="D18280" s="26">
        <v>2.5999999999999999E-2</v>
      </c>
      <c r="F18280">
        <v>334</v>
      </c>
    </row>
    <row r="18281" spans="1:6" x14ac:dyDescent="0.35">
      <c r="A18281" t="s">
        <v>230</v>
      </c>
      <c r="B18281" t="s">
        <v>267</v>
      </c>
      <c r="C18281" s="26">
        <v>0.96740000000000004</v>
      </c>
      <c r="D18281" s="26">
        <v>3.2599999999999997E-2</v>
      </c>
      <c r="F18281">
        <v>119</v>
      </c>
    </row>
    <row r="18282" spans="1:6" x14ac:dyDescent="0.35">
      <c r="A18282" t="s">
        <v>230</v>
      </c>
      <c r="B18282" t="s">
        <v>266</v>
      </c>
      <c r="C18282" s="26">
        <v>0.96440000000000003</v>
      </c>
      <c r="D18282" s="26">
        <v>3.56E-2</v>
      </c>
      <c r="F18282">
        <v>232</v>
      </c>
    </row>
    <row r="18283" spans="1:6" x14ac:dyDescent="0.35">
      <c r="A18283" t="s">
        <v>230</v>
      </c>
      <c r="B18283" t="s">
        <v>265</v>
      </c>
      <c r="C18283" s="26">
        <v>0.98499999999999999</v>
      </c>
      <c r="D18283" s="26">
        <v>1.4999999999999999E-2</v>
      </c>
      <c r="F18283">
        <v>209</v>
      </c>
    </row>
    <row r="18284" spans="1:6" x14ac:dyDescent="0.35">
      <c r="A18284" t="s">
        <v>231</v>
      </c>
      <c r="B18284" t="s">
        <v>267</v>
      </c>
      <c r="C18284" s="26">
        <v>0.97060000000000002</v>
      </c>
      <c r="D18284" s="26">
        <v>2.9399999999999999E-2</v>
      </c>
      <c r="F18284">
        <v>34</v>
      </c>
    </row>
    <row r="18285" spans="1:6" x14ac:dyDescent="0.35">
      <c r="A18285" t="s">
        <v>231</v>
      </c>
      <c r="B18285" t="s">
        <v>266</v>
      </c>
      <c r="C18285" s="26">
        <v>1</v>
      </c>
      <c r="F18285">
        <v>62</v>
      </c>
    </row>
    <row r="18286" spans="1:6" x14ac:dyDescent="0.35">
      <c r="A18286" t="s">
        <v>231</v>
      </c>
      <c r="B18286" t="s">
        <v>265</v>
      </c>
      <c r="C18286" s="26">
        <v>0.97060000000000002</v>
      </c>
      <c r="D18286" s="26">
        <v>2.9399999999999999E-2</v>
      </c>
      <c r="F18286">
        <v>68</v>
      </c>
    </row>
    <row r="18287" spans="1:6" x14ac:dyDescent="0.35">
      <c r="A18287" t="s">
        <v>232</v>
      </c>
      <c r="B18287" t="s">
        <v>232</v>
      </c>
      <c r="C18287" s="26">
        <v>0.97799999999999998</v>
      </c>
      <c r="D18287" s="26">
        <v>2.1299999999999999E-2</v>
      </c>
      <c r="E18287" s="26">
        <v>5.9999999999999995E-4</v>
      </c>
      <c r="F18287">
        <v>2810</v>
      </c>
    </row>
    <row r="18289" spans="1:6" x14ac:dyDescent="0.35">
      <c r="A18289" s="1" t="s">
        <v>1858</v>
      </c>
    </row>
    <row r="18290" spans="1:6" x14ac:dyDescent="0.35">
      <c r="A18290" t="s">
        <v>219</v>
      </c>
      <c r="B18290" t="s">
        <v>305</v>
      </c>
      <c r="C18290" t="s">
        <v>303</v>
      </c>
      <c r="D18290" t="s">
        <v>1851</v>
      </c>
      <c r="E18290" t="s">
        <v>1852</v>
      </c>
      <c r="F18290" t="s">
        <v>226</v>
      </c>
    </row>
    <row r="18291" spans="1:6" x14ac:dyDescent="0.35">
      <c r="A18291" t="s">
        <v>227</v>
      </c>
      <c r="B18291" t="s">
        <v>252</v>
      </c>
      <c r="C18291" s="26">
        <v>1</v>
      </c>
      <c r="F18291">
        <v>45</v>
      </c>
    </row>
    <row r="18292" spans="1:6" x14ac:dyDescent="0.35">
      <c r="A18292" t="s">
        <v>227</v>
      </c>
      <c r="B18292" t="s">
        <v>253</v>
      </c>
      <c r="C18292" s="26">
        <v>1</v>
      </c>
      <c r="F18292">
        <v>34</v>
      </c>
    </row>
    <row r="18293" spans="1:6" x14ac:dyDescent="0.35">
      <c r="A18293" t="s">
        <v>227</v>
      </c>
      <c r="B18293" t="s">
        <v>251</v>
      </c>
      <c r="C18293" s="26">
        <v>0.98780000000000001</v>
      </c>
      <c r="D18293" s="26">
        <v>1.2200000000000001E-2</v>
      </c>
      <c r="F18293">
        <v>82</v>
      </c>
    </row>
    <row r="18294" spans="1:6" x14ac:dyDescent="0.35">
      <c r="A18294" t="s">
        <v>228</v>
      </c>
      <c r="B18294" t="s">
        <v>252</v>
      </c>
      <c r="C18294" s="26">
        <v>0.97089999999999999</v>
      </c>
      <c r="D18294" s="26">
        <v>2.9100000000000001E-2</v>
      </c>
      <c r="F18294">
        <v>343</v>
      </c>
    </row>
    <row r="18295" spans="1:6" x14ac:dyDescent="0.35">
      <c r="A18295" t="s">
        <v>228</v>
      </c>
      <c r="B18295" t="s">
        <v>253</v>
      </c>
      <c r="C18295" s="26">
        <v>0.9405</v>
      </c>
      <c r="D18295" s="26">
        <v>5.9499999999999997E-2</v>
      </c>
      <c r="F18295">
        <v>222</v>
      </c>
    </row>
    <row r="18296" spans="1:6" x14ac:dyDescent="0.35">
      <c r="A18296" t="s">
        <v>228</v>
      </c>
      <c r="B18296" t="s">
        <v>251</v>
      </c>
      <c r="C18296" s="26">
        <v>0.9728</v>
      </c>
      <c r="D18296" s="26">
        <v>2.0199999999999999E-2</v>
      </c>
      <c r="E18296" s="26">
        <v>7.0000000000000001E-3</v>
      </c>
      <c r="F18296">
        <v>467</v>
      </c>
    </row>
    <row r="18297" spans="1:6" x14ac:dyDescent="0.35">
      <c r="A18297" t="s">
        <v>229</v>
      </c>
      <c r="B18297" t="s">
        <v>252</v>
      </c>
      <c r="C18297" s="26">
        <v>0.9718</v>
      </c>
      <c r="D18297" s="26">
        <v>2.8199999999999999E-2</v>
      </c>
      <c r="F18297">
        <v>199</v>
      </c>
    </row>
    <row r="18298" spans="1:6" x14ac:dyDescent="0.35">
      <c r="A18298" t="s">
        <v>229</v>
      </c>
      <c r="B18298" t="s">
        <v>253</v>
      </c>
      <c r="C18298" s="26">
        <v>0.93730000000000002</v>
      </c>
      <c r="D18298" s="26">
        <v>6.2700000000000006E-2</v>
      </c>
      <c r="F18298">
        <v>145</v>
      </c>
    </row>
    <row r="18299" spans="1:6" x14ac:dyDescent="0.35">
      <c r="A18299" t="s">
        <v>229</v>
      </c>
      <c r="B18299" t="s">
        <v>251</v>
      </c>
      <c r="C18299" s="26">
        <v>0.99009999999999998</v>
      </c>
      <c r="D18299" s="26">
        <v>9.9000000000000008E-3</v>
      </c>
      <c r="F18299">
        <v>549</v>
      </c>
    </row>
    <row r="18300" spans="1:6" x14ac:dyDescent="0.35">
      <c r="A18300" t="s">
        <v>230</v>
      </c>
      <c r="B18300" t="s">
        <v>252</v>
      </c>
      <c r="C18300" s="26">
        <v>0.97789999999999999</v>
      </c>
      <c r="D18300" s="26">
        <v>2.2100000000000002E-2</v>
      </c>
      <c r="F18300">
        <v>159</v>
      </c>
    </row>
    <row r="18301" spans="1:6" x14ac:dyDescent="0.35">
      <c r="A18301" t="s">
        <v>230</v>
      </c>
      <c r="B18301" t="s">
        <v>253</v>
      </c>
      <c r="C18301" s="26">
        <v>0.99050000000000005</v>
      </c>
      <c r="D18301" s="26">
        <v>9.4999999999999998E-3</v>
      </c>
      <c r="F18301">
        <v>110</v>
      </c>
    </row>
    <row r="18302" spans="1:6" x14ac:dyDescent="0.35">
      <c r="A18302" t="s">
        <v>230</v>
      </c>
      <c r="B18302" t="s">
        <v>251</v>
      </c>
      <c r="C18302" s="26">
        <v>0.96609999999999996</v>
      </c>
      <c r="D18302" s="26">
        <v>3.39E-2</v>
      </c>
      <c r="F18302">
        <v>291</v>
      </c>
    </row>
    <row r="18303" spans="1:6" x14ac:dyDescent="0.35">
      <c r="A18303" t="s">
        <v>231</v>
      </c>
      <c r="B18303" t="s">
        <v>252</v>
      </c>
      <c r="C18303" s="26">
        <v>1</v>
      </c>
      <c r="F18303">
        <v>49</v>
      </c>
    </row>
    <row r="18304" spans="1:6" x14ac:dyDescent="0.35">
      <c r="A18304" t="s">
        <v>231</v>
      </c>
      <c r="B18304" t="s">
        <v>253</v>
      </c>
      <c r="C18304" s="26">
        <v>1</v>
      </c>
      <c r="F18304">
        <v>30</v>
      </c>
    </row>
    <row r="18305" spans="1:6" x14ac:dyDescent="0.35">
      <c r="A18305" t="s">
        <v>231</v>
      </c>
      <c r="B18305" t="s">
        <v>251</v>
      </c>
      <c r="C18305" s="26">
        <v>0.9647</v>
      </c>
      <c r="D18305" s="26">
        <v>3.5299999999999998E-2</v>
      </c>
      <c r="F18305">
        <v>85</v>
      </c>
    </row>
    <row r="18306" spans="1:6" x14ac:dyDescent="0.35">
      <c r="A18306" t="s">
        <v>232</v>
      </c>
      <c r="B18306" t="s">
        <v>232</v>
      </c>
      <c r="C18306" s="26">
        <v>0.97799999999999998</v>
      </c>
      <c r="D18306" s="26">
        <v>2.1299999999999999E-2</v>
      </c>
      <c r="E18306" s="26">
        <v>5.9999999999999995E-4</v>
      </c>
      <c r="F18306">
        <v>2810</v>
      </c>
    </row>
    <row r="18308" spans="1:6" x14ac:dyDescent="0.35">
      <c r="A18308" s="1" t="s">
        <v>1859</v>
      </c>
    </row>
    <row r="18309" spans="1:6" x14ac:dyDescent="0.35">
      <c r="A18309" t="s">
        <v>219</v>
      </c>
      <c r="B18309" t="s">
        <v>305</v>
      </c>
      <c r="C18309" t="s">
        <v>303</v>
      </c>
      <c r="D18309" t="s">
        <v>1851</v>
      </c>
      <c r="E18309" t="s">
        <v>1852</v>
      </c>
      <c r="F18309" t="s">
        <v>226</v>
      </c>
    </row>
    <row r="18310" spans="1:6" x14ac:dyDescent="0.35">
      <c r="A18310" t="s">
        <v>227</v>
      </c>
      <c r="B18310" t="s">
        <v>249</v>
      </c>
      <c r="C18310" s="26">
        <v>0.97729999999999995</v>
      </c>
      <c r="D18310" s="26">
        <v>2.2700000000000001E-2</v>
      </c>
      <c r="F18310">
        <v>44</v>
      </c>
    </row>
    <row r="18311" spans="1:6" x14ac:dyDescent="0.35">
      <c r="A18311" t="s">
        <v>227</v>
      </c>
      <c r="B18311" t="s">
        <v>248</v>
      </c>
      <c r="C18311" s="26">
        <v>1</v>
      </c>
      <c r="F18311">
        <v>117</v>
      </c>
    </row>
    <row r="18312" spans="1:6" x14ac:dyDescent="0.35">
      <c r="A18312" t="s">
        <v>228</v>
      </c>
      <c r="B18312" t="s">
        <v>249</v>
      </c>
      <c r="C18312" s="26">
        <v>0.96</v>
      </c>
      <c r="D18312" s="26">
        <v>2.8899999999999999E-2</v>
      </c>
      <c r="E18312" s="26">
        <v>1.11E-2</v>
      </c>
      <c r="F18312">
        <v>274</v>
      </c>
    </row>
    <row r="18313" spans="1:6" x14ac:dyDescent="0.35">
      <c r="A18313" t="s">
        <v>228</v>
      </c>
      <c r="B18313" t="s">
        <v>248</v>
      </c>
      <c r="C18313" s="26">
        <v>0.96799999999999997</v>
      </c>
      <c r="D18313" s="26">
        <v>3.2000000000000001E-2</v>
      </c>
      <c r="F18313">
        <v>758</v>
      </c>
    </row>
    <row r="18314" spans="1:6" x14ac:dyDescent="0.35">
      <c r="A18314" t="s">
        <v>229</v>
      </c>
      <c r="B18314" t="s">
        <v>249</v>
      </c>
      <c r="C18314" s="26">
        <v>0.99050000000000005</v>
      </c>
      <c r="D18314" s="26">
        <v>9.4999999999999998E-3</v>
      </c>
      <c r="F18314">
        <v>259</v>
      </c>
    </row>
    <row r="18315" spans="1:6" x14ac:dyDescent="0.35">
      <c r="A18315" t="s">
        <v>229</v>
      </c>
      <c r="B18315" t="s">
        <v>248</v>
      </c>
      <c r="C18315" s="26">
        <v>0.96879999999999999</v>
      </c>
      <c r="D18315" s="26">
        <v>3.1199999999999999E-2</v>
      </c>
      <c r="F18315">
        <v>634</v>
      </c>
    </row>
    <row r="18316" spans="1:6" x14ac:dyDescent="0.35">
      <c r="A18316" t="s">
        <v>230</v>
      </c>
      <c r="B18316" t="s">
        <v>249</v>
      </c>
      <c r="C18316" s="26">
        <v>0.97870000000000001</v>
      </c>
      <c r="D18316" s="26">
        <v>2.1299999999999999E-2</v>
      </c>
      <c r="F18316">
        <v>171</v>
      </c>
    </row>
    <row r="18317" spans="1:6" x14ac:dyDescent="0.35">
      <c r="A18317" t="s">
        <v>230</v>
      </c>
      <c r="B18317" t="s">
        <v>248</v>
      </c>
      <c r="C18317" s="26">
        <v>0.97119999999999995</v>
      </c>
      <c r="D18317" s="26">
        <v>2.8799999999999999E-2</v>
      </c>
      <c r="F18317">
        <v>389</v>
      </c>
    </row>
    <row r="18318" spans="1:6" x14ac:dyDescent="0.35">
      <c r="A18318" t="s">
        <v>231</v>
      </c>
      <c r="B18318" t="s">
        <v>249</v>
      </c>
      <c r="C18318" s="26">
        <v>0.97140000000000004</v>
      </c>
      <c r="D18318" s="26">
        <v>2.86E-2</v>
      </c>
      <c r="F18318">
        <v>35</v>
      </c>
    </row>
    <row r="18319" spans="1:6" x14ac:dyDescent="0.35">
      <c r="A18319" t="s">
        <v>231</v>
      </c>
      <c r="B18319" t="s">
        <v>248</v>
      </c>
      <c r="C18319" s="26">
        <v>0.98450000000000004</v>
      </c>
      <c r="D18319" s="26">
        <v>1.55E-2</v>
      </c>
      <c r="F18319">
        <v>129</v>
      </c>
    </row>
    <row r="18320" spans="1:6" x14ac:dyDescent="0.35">
      <c r="A18320" t="s">
        <v>232</v>
      </c>
      <c r="B18320" t="s">
        <v>232</v>
      </c>
      <c r="C18320" s="26">
        <v>0.97799999999999998</v>
      </c>
      <c r="D18320" s="26">
        <v>2.1299999999999999E-2</v>
      </c>
      <c r="E18320" s="26">
        <v>5.9999999999999995E-4</v>
      </c>
      <c r="F18320">
        <v>2810</v>
      </c>
    </row>
    <row r="18322" spans="1:6" x14ac:dyDescent="0.35">
      <c r="A18322" s="1" t="s">
        <v>1860</v>
      </c>
    </row>
    <row r="18323" spans="1:6" x14ac:dyDescent="0.35">
      <c r="A18323" t="s">
        <v>219</v>
      </c>
      <c r="B18323" t="s">
        <v>305</v>
      </c>
      <c r="C18323" t="s">
        <v>303</v>
      </c>
      <c r="D18323" t="s">
        <v>1851</v>
      </c>
      <c r="E18323" t="s">
        <v>1852</v>
      </c>
      <c r="F18323" t="s">
        <v>226</v>
      </c>
    </row>
    <row r="18324" spans="1:6" x14ac:dyDescent="0.35">
      <c r="A18324" s="27" t="s">
        <v>227</v>
      </c>
      <c r="B18324" s="27" t="s">
        <v>263</v>
      </c>
      <c r="C18324" s="28">
        <v>1</v>
      </c>
      <c r="D18324" s="29"/>
      <c r="E18324" s="29"/>
      <c r="F18324" s="29" t="s">
        <v>315</v>
      </c>
    </row>
    <row r="18325" spans="1:6" x14ac:dyDescent="0.35">
      <c r="A18325" t="s">
        <v>227</v>
      </c>
      <c r="B18325" t="s">
        <v>261</v>
      </c>
      <c r="C18325" s="26">
        <v>1</v>
      </c>
      <c r="F18325">
        <v>33</v>
      </c>
    </row>
    <row r="18326" spans="1:6" x14ac:dyDescent="0.35">
      <c r="A18326" s="27" t="s">
        <v>227</v>
      </c>
      <c r="B18326" s="27" t="s">
        <v>262</v>
      </c>
      <c r="C18326" s="28">
        <v>1</v>
      </c>
      <c r="D18326" s="29"/>
      <c r="E18326" s="29"/>
      <c r="F18326" s="29" t="s">
        <v>315</v>
      </c>
    </row>
    <row r="18327" spans="1:6" x14ac:dyDescent="0.35">
      <c r="A18327" t="s">
        <v>227</v>
      </c>
      <c r="B18327" t="s">
        <v>260</v>
      </c>
      <c r="C18327" s="26">
        <v>0.99180000000000001</v>
      </c>
      <c r="D18327" s="26">
        <v>8.2000000000000007E-3</v>
      </c>
      <c r="F18327">
        <v>122</v>
      </c>
    </row>
    <row r="18328" spans="1:6" x14ac:dyDescent="0.35">
      <c r="A18328" t="s">
        <v>228</v>
      </c>
      <c r="B18328" t="s">
        <v>261</v>
      </c>
      <c r="C18328" s="26">
        <v>0.92969999999999997</v>
      </c>
      <c r="D18328" s="26">
        <v>5.33E-2</v>
      </c>
      <c r="E18328" s="26">
        <v>1.7100000000000001E-2</v>
      </c>
      <c r="F18328">
        <v>192</v>
      </c>
    </row>
    <row r="18329" spans="1:6" x14ac:dyDescent="0.35">
      <c r="A18329" s="27" t="s">
        <v>228</v>
      </c>
      <c r="B18329" s="27" t="s">
        <v>263</v>
      </c>
      <c r="C18329" s="28">
        <v>1</v>
      </c>
      <c r="D18329" s="29"/>
      <c r="E18329" s="29"/>
      <c r="F18329" s="29" t="s">
        <v>312</v>
      </c>
    </row>
    <row r="18330" spans="1:6" x14ac:dyDescent="0.35">
      <c r="A18330" s="27" t="s">
        <v>228</v>
      </c>
      <c r="B18330" s="27" t="s">
        <v>236</v>
      </c>
      <c r="C18330" s="28">
        <v>1</v>
      </c>
      <c r="D18330" s="29"/>
      <c r="E18330" s="29"/>
      <c r="F18330" s="29" t="s">
        <v>335</v>
      </c>
    </row>
    <row r="18331" spans="1:6" x14ac:dyDescent="0.35">
      <c r="A18331" t="s">
        <v>228</v>
      </c>
      <c r="B18331" t="s">
        <v>262</v>
      </c>
      <c r="C18331" s="26">
        <v>0.98419999999999996</v>
      </c>
      <c r="D18331" s="26">
        <v>1.5800000000000002E-2</v>
      </c>
      <c r="F18331">
        <v>200</v>
      </c>
    </row>
    <row r="18332" spans="1:6" x14ac:dyDescent="0.35">
      <c r="A18332" t="s">
        <v>228</v>
      </c>
      <c r="B18332" t="s">
        <v>260</v>
      </c>
      <c r="C18332" s="26">
        <v>0.97050000000000003</v>
      </c>
      <c r="D18332" s="26">
        <v>2.9499999999999998E-2</v>
      </c>
      <c r="F18332">
        <v>609</v>
      </c>
    </row>
    <row r="18333" spans="1:6" x14ac:dyDescent="0.35">
      <c r="A18333" s="27" t="s">
        <v>229</v>
      </c>
      <c r="B18333" s="27" t="s">
        <v>263</v>
      </c>
      <c r="C18333" s="28">
        <v>1</v>
      </c>
      <c r="D18333" s="29"/>
      <c r="E18333" s="29"/>
      <c r="F18333" s="29" t="s">
        <v>379</v>
      </c>
    </row>
    <row r="18334" spans="1:6" x14ac:dyDescent="0.35">
      <c r="A18334" t="s">
        <v>229</v>
      </c>
      <c r="B18334" t="s">
        <v>262</v>
      </c>
      <c r="C18334" s="26">
        <v>0.9879</v>
      </c>
      <c r="D18334" s="26">
        <v>1.21E-2</v>
      </c>
      <c r="F18334">
        <v>186</v>
      </c>
    </row>
    <row r="18335" spans="1:6" x14ac:dyDescent="0.35">
      <c r="A18335" t="s">
        <v>229</v>
      </c>
      <c r="B18335" t="s">
        <v>261</v>
      </c>
      <c r="C18335" s="26">
        <v>0.94830000000000003</v>
      </c>
      <c r="D18335" s="26">
        <v>5.1700000000000003E-2</v>
      </c>
      <c r="F18335">
        <v>96</v>
      </c>
    </row>
    <row r="18336" spans="1:6" x14ac:dyDescent="0.35">
      <c r="A18336" s="27" t="s">
        <v>229</v>
      </c>
      <c r="B18336" s="27" t="s">
        <v>236</v>
      </c>
      <c r="C18336" s="28">
        <v>1</v>
      </c>
      <c r="D18336" s="29"/>
      <c r="E18336" s="29"/>
      <c r="F18336" s="29" t="s">
        <v>331</v>
      </c>
    </row>
    <row r="18337" spans="1:6" x14ac:dyDescent="0.35">
      <c r="A18337" t="s">
        <v>229</v>
      </c>
      <c r="B18337" t="s">
        <v>260</v>
      </c>
      <c r="C18337" s="26">
        <v>0.97660000000000002</v>
      </c>
      <c r="D18337" s="26">
        <v>2.3400000000000001E-2</v>
      </c>
      <c r="F18337">
        <v>596</v>
      </c>
    </row>
    <row r="18338" spans="1:6" x14ac:dyDescent="0.35">
      <c r="A18338" s="27" t="s">
        <v>230</v>
      </c>
      <c r="B18338" s="27" t="s">
        <v>236</v>
      </c>
      <c r="C18338" s="28">
        <v>1</v>
      </c>
      <c r="D18338" s="29"/>
      <c r="E18338" s="29"/>
      <c r="F18338" s="29" t="s">
        <v>337</v>
      </c>
    </row>
    <row r="18339" spans="1:6" x14ac:dyDescent="0.35">
      <c r="A18339" t="s">
        <v>230</v>
      </c>
      <c r="B18339" t="s">
        <v>262</v>
      </c>
      <c r="C18339" s="26">
        <v>0.98609999999999998</v>
      </c>
      <c r="D18339" s="26">
        <v>1.3899999999999999E-2</v>
      </c>
      <c r="F18339">
        <v>122</v>
      </c>
    </row>
    <row r="18340" spans="1:6" x14ac:dyDescent="0.35">
      <c r="A18340" t="s">
        <v>230</v>
      </c>
      <c r="B18340" t="s">
        <v>261</v>
      </c>
      <c r="C18340" s="26">
        <v>0.98650000000000004</v>
      </c>
      <c r="D18340" s="26">
        <v>1.35E-2</v>
      </c>
      <c r="F18340">
        <v>57</v>
      </c>
    </row>
    <row r="18341" spans="1:6" x14ac:dyDescent="0.35">
      <c r="A18341" s="27" t="s">
        <v>230</v>
      </c>
      <c r="B18341" s="27" t="s">
        <v>263</v>
      </c>
      <c r="C18341" s="28">
        <v>1</v>
      </c>
      <c r="D18341" s="29"/>
      <c r="E18341" s="29"/>
      <c r="F18341" s="29" t="s">
        <v>312</v>
      </c>
    </row>
    <row r="18342" spans="1:6" x14ac:dyDescent="0.35">
      <c r="A18342" t="s">
        <v>230</v>
      </c>
      <c r="B18342" t="s">
        <v>260</v>
      </c>
      <c r="C18342" s="26">
        <v>0.9677</v>
      </c>
      <c r="D18342" s="26">
        <v>3.2300000000000002E-2</v>
      </c>
      <c r="F18342">
        <v>352</v>
      </c>
    </row>
    <row r="18343" spans="1:6" x14ac:dyDescent="0.35">
      <c r="A18343" s="27" t="s">
        <v>231</v>
      </c>
      <c r="B18343" s="27" t="s">
        <v>263</v>
      </c>
      <c r="C18343" s="28">
        <v>1</v>
      </c>
      <c r="D18343" s="29"/>
      <c r="E18343" s="29"/>
      <c r="F18343" s="29" t="s">
        <v>314</v>
      </c>
    </row>
    <row r="18344" spans="1:6" x14ac:dyDescent="0.35">
      <c r="A18344" t="s">
        <v>231</v>
      </c>
      <c r="B18344" t="s">
        <v>260</v>
      </c>
      <c r="C18344" s="26">
        <v>0.9758</v>
      </c>
      <c r="D18344" s="26">
        <v>2.4199999999999999E-2</v>
      </c>
      <c r="F18344">
        <v>124</v>
      </c>
    </row>
    <row r="18345" spans="1:6" x14ac:dyDescent="0.35">
      <c r="A18345" s="27" t="s">
        <v>231</v>
      </c>
      <c r="B18345" s="27" t="s">
        <v>261</v>
      </c>
      <c r="C18345" s="28">
        <v>1</v>
      </c>
      <c r="D18345" s="29"/>
      <c r="E18345" s="29"/>
      <c r="F18345" s="29" t="s">
        <v>338</v>
      </c>
    </row>
    <row r="18346" spans="1:6" x14ac:dyDescent="0.35">
      <c r="A18346" s="27" t="s">
        <v>231</v>
      </c>
      <c r="B18346" s="27" t="s">
        <v>262</v>
      </c>
      <c r="C18346" s="28">
        <v>1</v>
      </c>
      <c r="D18346" s="29"/>
      <c r="E18346" s="29"/>
      <c r="F18346" s="29" t="s">
        <v>352</v>
      </c>
    </row>
    <row r="18347" spans="1:6" x14ac:dyDescent="0.35">
      <c r="A18347" t="s">
        <v>232</v>
      </c>
      <c r="B18347" t="s">
        <v>232</v>
      </c>
      <c r="C18347" s="26">
        <v>0.97799999999999998</v>
      </c>
      <c r="D18347" s="26">
        <v>2.1299999999999999E-2</v>
      </c>
      <c r="E18347" s="26">
        <v>5.9999999999999995E-4</v>
      </c>
      <c r="F18347">
        <v>2810</v>
      </c>
    </row>
    <row r="18349" spans="1:6" x14ac:dyDescent="0.35">
      <c r="A18349" s="1" t="s">
        <v>1861</v>
      </c>
    </row>
    <row r="18350" spans="1:6" x14ac:dyDescent="0.35">
      <c r="A18350" t="s">
        <v>219</v>
      </c>
      <c r="B18350" t="s">
        <v>305</v>
      </c>
      <c r="C18350" t="s">
        <v>303</v>
      </c>
      <c r="D18350" t="s">
        <v>1851</v>
      </c>
      <c r="E18350" t="s">
        <v>1852</v>
      </c>
      <c r="F18350" t="s">
        <v>226</v>
      </c>
    </row>
    <row r="18351" spans="1:6" x14ac:dyDescent="0.35">
      <c r="A18351" t="s">
        <v>227</v>
      </c>
      <c r="B18351" t="s">
        <v>368</v>
      </c>
      <c r="C18351" s="26">
        <v>1</v>
      </c>
      <c r="F18351">
        <v>33</v>
      </c>
    </row>
    <row r="18352" spans="1:6" x14ac:dyDescent="0.35">
      <c r="A18352" t="s">
        <v>227</v>
      </c>
      <c r="B18352" t="s">
        <v>369</v>
      </c>
      <c r="C18352" s="26">
        <v>0.99219999999999997</v>
      </c>
      <c r="D18352" s="26">
        <v>7.7999999999999996E-3</v>
      </c>
      <c r="F18352">
        <v>128</v>
      </c>
    </row>
    <row r="18353" spans="1:6" x14ac:dyDescent="0.35">
      <c r="A18353" t="s">
        <v>228</v>
      </c>
      <c r="B18353" t="s">
        <v>368</v>
      </c>
      <c r="C18353" s="26">
        <v>0.92969999999999997</v>
      </c>
      <c r="D18353" s="26">
        <v>5.33E-2</v>
      </c>
      <c r="E18353" s="26">
        <v>1.7100000000000001E-2</v>
      </c>
      <c r="F18353">
        <v>192</v>
      </c>
    </row>
    <row r="18354" spans="1:6" x14ac:dyDescent="0.35">
      <c r="A18354" t="s">
        <v>228</v>
      </c>
      <c r="B18354" t="s">
        <v>369</v>
      </c>
      <c r="C18354" s="26">
        <v>0.97430000000000005</v>
      </c>
      <c r="D18354" s="26">
        <v>2.5700000000000001E-2</v>
      </c>
      <c r="F18354">
        <v>840</v>
      </c>
    </row>
    <row r="18355" spans="1:6" x14ac:dyDescent="0.35">
      <c r="A18355" t="s">
        <v>229</v>
      </c>
      <c r="B18355" t="s">
        <v>368</v>
      </c>
      <c r="C18355" s="26">
        <v>0.94830000000000003</v>
      </c>
      <c r="D18355" s="26">
        <v>5.1700000000000003E-2</v>
      </c>
      <c r="F18355">
        <v>96</v>
      </c>
    </row>
    <row r="18356" spans="1:6" x14ac:dyDescent="0.35">
      <c r="A18356" t="s">
        <v>229</v>
      </c>
      <c r="B18356" t="s">
        <v>369</v>
      </c>
      <c r="C18356" s="26">
        <v>0.98080000000000001</v>
      </c>
      <c r="D18356" s="26">
        <v>1.9199999999999998E-2</v>
      </c>
      <c r="F18356">
        <v>797</v>
      </c>
    </row>
    <row r="18357" spans="1:6" x14ac:dyDescent="0.35">
      <c r="A18357" t="s">
        <v>230</v>
      </c>
      <c r="B18357" t="s">
        <v>368</v>
      </c>
      <c r="C18357" s="26">
        <v>0.98650000000000004</v>
      </c>
      <c r="D18357" s="26">
        <v>1.35E-2</v>
      </c>
      <c r="F18357">
        <v>57</v>
      </c>
    </row>
    <row r="18358" spans="1:6" x14ac:dyDescent="0.35">
      <c r="A18358" t="s">
        <v>230</v>
      </c>
      <c r="B18358" t="s">
        <v>369</v>
      </c>
      <c r="C18358" s="26">
        <v>0.97170000000000001</v>
      </c>
      <c r="D18358" s="26">
        <v>2.8299999999999999E-2</v>
      </c>
      <c r="F18358">
        <v>503</v>
      </c>
    </row>
    <row r="18359" spans="1:6" x14ac:dyDescent="0.35">
      <c r="A18359" s="27" t="s">
        <v>231</v>
      </c>
      <c r="B18359" s="27" t="s">
        <v>368</v>
      </c>
      <c r="C18359" s="28">
        <v>1</v>
      </c>
      <c r="D18359" s="29"/>
      <c r="E18359" s="29"/>
      <c r="F18359" s="29" t="s">
        <v>338</v>
      </c>
    </row>
    <row r="18360" spans="1:6" x14ac:dyDescent="0.35">
      <c r="A18360" t="s">
        <v>231</v>
      </c>
      <c r="B18360" t="s">
        <v>369</v>
      </c>
      <c r="C18360" s="26">
        <v>0.97809999999999997</v>
      </c>
      <c r="D18360" s="26">
        <v>2.1899999999999999E-2</v>
      </c>
      <c r="F18360">
        <v>137</v>
      </c>
    </row>
    <row r="18361" spans="1:6" x14ac:dyDescent="0.35">
      <c r="A18361" t="s">
        <v>232</v>
      </c>
      <c r="B18361" t="s">
        <v>232</v>
      </c>
      <c r="C18361" s="26">
        <v>0.97799999999999998</v>
      </c>
      <c r="D18361" s="26">
        <v>2.1299999999999999E-2</v>
      </c>
      <c r="E18361" s="26">
        <v>5.9999999999999995E-4</v>
      </c>
      <c r="F18361">
        <v>2810</v>
      </c>
    </row>
    <row r="18363" spans="1:6" x14ac:dyDescent="0.35">
      <c r="A18363" s="1" t="s">
        <v>1862</v>
      </c>
    </row>
    <row r="18364" spans="1:6" x14ac:dyDescent="0.35">
      <c r="A18364" t="s">
        <v>219</v>
      </c>
      <c r="B18364" t="s">
        <v>305</v>
      </c>
      <c r="C18364" t="s">
        <v>303</v>
      </c>
      <c r="D18364" t="s">
        <v>1851</v>
      </c>
      <c r="E18364" t="s">
        <v>1852</v>
      </c>
      <c r="F18364" t="s">
        <v>226</v>
      </c>
    </row>
    <row r="18365" spans="1:6" x14ac:dyDescent="0.35">
      <c r="A18365" t="s">
        <v>227</v>
      </c>
      <c r="B18365" t="s">
        <v>371</v>
      </c>
      <c r="C18365" s="26">
        <v>0.99380000000000002</v>
      </c>
      <c r="D18365" s="26">
        <v>6.1999999999999998E-3</v>
      </c>
      <c r="F18365">
        <v>161</v>
      </c>
    </row>
    <row r="18366" spans="1:6" x14ac:dyDescent="0.35">
      <c r="A18366" t="s">
        <v>228</v>
      </c>
      <c r="B18366" t="s">
        <v>371</v>
      </c>
      <c r="C18366" s="26">
        <v>0.95860000000000001</v>
      </c>
      <c r="D18366" s="26">
        <v>3.5000000000000003E-2</v>
      </c>
      <c r="E18366" s="26">
        <v>6.4000000000000003E-3</v>
      </c>
      <c r="F18366">
        <v>291</v>
      </c>
    </row>
    <row r="18367" spans="1:6" x14ac:dyDescent="0.35">
      <c r="A18367" t="s">
        <v>228</v>
      </c>
      <c r="B18367" t="s">
        <v>372</v>
      </c>
      <c r="C18367" s="26">
        <v>0.96160000000000001</v>
      </c>
      <c r="D18367" s="26">
        <v>3.8399999999999997E-2</v>
      </c>
      <c r="F18367">
        <v>218</v>
      </c>
    </row>
    <row r="18368" spans="1:6" x14ac:dyDescent="0.35">
      <c r="A18368" t="s">
        <v>228</v>
      </c>
      <c r="B18368" t="s">
        <v>373</v>
      </c>
      <c r="C18368" s="26">
        <v>0.97570000000000001</v>
      </c>
      <c r="D18368" s="26">
        <v>2.4299999999999999E-2</v>
      </c>
      <c r="F18368">
        <v>523</v>
      </c>
    </row>
    <row r="18369" spans="1:6" x14ac:dyDescent="0.35">
      <c r="A18369" t="s">
        <v>229</v>
      </c>
      <c r="B18369" t="s">
        <v>371</v>
      </c>
      <c r="C18369" s="26">
        <v>0.97529999999999994</v>
      </c>
      <c r="D18369" s="26">
        <v>2.47E-2</v>
      </c>
      <c r="F18369">
        <v>583</v>
      </c>
    </row>
    <row r="18370" spans="1:6" x14ac:dyDescent="0.35">
      <c r="A18370" t="s">
        <v>229</v>
      </c>
      <c r="B18370" t="s">
        <v>372</v>
      </c>
      <c r="C18370" s="26">
        <v>0.98960000000000004</v>
      </c>
      <c r="D18370" s="26">
        <v>1.04E-2</v>
      </c>
      <c r="F18370">
        <v>220</v>
      </c>
    </row>
    <row r="18371" spans="1:6" x14ac:dyDescent="0.35">
      <c r="A18371" t="s">
        <v>229</v>
      </c>
      <c r="B18371" t="s">
        <v>373</v>
      </c>
      <c r="C18371" s="26">
        <v>0.9718</v>
      </c>
      <c r="D18371" s="26">
        <v>2.8199999999999999E-2</v>
      </c>
      <c r="F18371">
        <v>90</v>
      </c>
    </row>
    <row r="18372" spans="1:6" x14ac:dyDescent="0.35">
      <c r="A18372" t="s">
        <v>230</v>
      </c>
      <c r="B18372" t="s">
        <v>371</v>
      </c>
      <c r="C18372" s="26">
        <v>0.97019999999999995</v>
      </c>
      <c r="D18372" s="26">
        <v>2.98E-2</v>
      </c>
      <c r="F18372">
        <v>262</v>
      </c>
    </row>
    <row r="18373" spans="1:6" x14ac:dyDescent="0.35">
      <c r="A18373" t="s">
        <v>230</v>
      </c>
      <c r="B18373" t="s">
        <v>372</v>
      </c>
      <c r="C18373" s="26">
        <v>0.99529999999999996</v>
      </c>
      <c r="D18373" s="26">
        <v>4.7000000000000002E-3</v>
      </c>
      <c r="F18373">
        <v>146</v>
      </c>
    </row>
    <row r="18374" spans="1:6" x14ac:dyDescent="0.35">
      <c r="A18374" t="s">
        <v>230</v>
      </c>
      <c r="B18374" t="s">
        <v>373</v>
      </c>
      <c r="C18374" s="26">
        <v>0.98609999999999998</v>
      </c>
      <c r="D18374" s="26">
        <v>1.3899999999999999E-2</v>
      </c>
      <c r="F18374">
        <v>152</v>
      </c>
    </row>
    <row r="18375" spans="1:6" x14ac:dyDescent="0.35">
      <c r="A18375" t="s">
        <v>231</v>
      </c>
      <c r="B18375" t="s">
        <v>371</v>
      </c>
      <c r="C18375" s="26">
        <v>0.98170000000000002</v>
      </c>
      <c r="D18375" s="26">
        <v>1.83E-2</v>
      </c>
      <c r="F18375">
        <v>164</v>
      </c>
    </row>
    <row r="18376" spans="1:6" x14ac:dyDescent="0.35">
      <c r="A18376" t="s">
        <v>232</v>
      </c>
      <c r="B18376" t="s">
        <v>232</v>
      </c>
      <c r="C18376" s="26">
        <v>0.97799999999999998</v>
      </c>
      <c r="D18376" s="26">
        <v>2.1299999999999999E-2</v>
      </c>
      <c r="E18376" s="26">
        <v>5.9999999999999995E-4</v>
      </c>
      <c r="F18376">
        <v>2810</v>
      </c>
    </row>
    <row r="18378" spans="1:6" x14ac:dyDescent="0.35">
      <c r="A18378" s="1" t="s">
        <v>1863</v>
      </c>
    </row>
    <row r="18379" spans="1:6" x14ac:dyDescent="0.35">
      <c r="A18379" t="s">
        <v>219</v>
      </c>
      <c r="B18379" t="s">
        <v>305</v>
      </c>
      <c r="C18379" t="s">
        <v>303</v>
      </c>
      <c r="D18379" t="s">
        <v>1851</v>
      </c>
      <c r="E18379" t="s">
        <v>1852</v>
      </c>
      <c r="F18379" t="s">
        <v>226</v>
      </c>
    </row>
    <row r="18380" spans="1:6" x14ac:dyDescent="0.35">
      <c r="A18380" t="s">
        <v>227</v>
      </c>
      <c r="B18380" t="s">
        <v>255</v>
      </c>
      <c r="C18380" s="26">
        <v>1</v>
      </c>
      <c r="F18380">
        <v>117</v>
      </c>
    </row>
    <row r="18381" spans="1:6" x14ac:dyDescent="0.35">
      <c r="A18381" s="27" t="s">
        <v>227</v>
      </c>
      <c r="B18381" s="27" t="s">
        <v>257</v>
      </c>
      <c r="C18381" s="28">
        <v>1</v>
      </c>
      <c r="D18381" s="29"/>
      <c r="E18381" s="29"/>
      <c r="F18381" s="29" t="s">
        <v>334</v>
      </c>
    </row>
    <row r="18382" spans="1:6" x14ac:dyDescent="0.35">
      <c r="A18382" t="s">
        <v>227</v>
      </c>
      <c r="B18382" t="s">
        <v>256</v>
      </c>
      <c r="C18382" s="26">
        <v>0.97140000000000004</v>
      </c>
      <c r="D18382" s="26">
        <v>2.86E-2</v>
      </c>
      <c r="F18382">
        <v>35</v>
      </c>
    </row>
    <row r="18383" spans="1:6" x14ac:dyDescent="0.35">
      <c r="A18383" t="s">
        <v>228</v>
      </c>
      <c r="B18383" t="s">
        <v>257</v>
      </c>
      <c r="C18383" s="26">
        <v>0.91379999999999995</v>
      </c>
      <c r="D18383" s="26">
        <v>2.24E-2</v>
      </c>
      <c r="E18383" s="26">
        <v>6.3799999999999996E-2</v>
      </c>
      <c r="F18383">
        <v>49</v>
      </c>
    </row>
    <row r="18384" spans="1:6" x14ac:dyDescent="0.35">
      <c r="A18384" s="27" t="s">
        <v>228</v>
      </c>
      <c r="B18384" s="27" t="s">
        <v>258</v>
      </c>
      <c r="C18384" s="28">
        <v>1</v>
      </c>
      <c r="D18384" s="29"/>
      <c r="E18384" s="29"/>
      <c r="F18384" s="29" t="s">
        <v>337</v>
      </c>
    </row>
    <row r="18385" spans="1:6" x14ac:dyDescent="0.35">
      <c r="A18385" t="s">
        <v>228</v>
      </c>
      <c r="B18385" t="s">
        <v>256</v>
      </c>
      <c r="C18385" s="26">
        <v>0.96899999999999997</v>
      </c>
      <c r="D18385" s="26">
        <v>3.1E-2</v>
      </c>
      <c r="F18385">
        <v>221</v>
      </c>
    </row>
    <row r="18386" spans="1:6" x14ac:dyDescent="0.35">
      <c r="A18386" t="s">
        <v>228</v>
      </c>
      <c r="B18386" t="s">
        <v>255</v>
      </c>
      <c r="C18386" s="26">
        <v>0.96799999999999997</v>
      </c>
      <c r="D18386" s="26">
        <v>3.2000000000000001E-2</v>
      </c>
      <c r="F18386">
        <v>758</v>
      </c>
    </row>
    <row r="18387" spans="1:6" x14ac:dyDescent="0.35">
      <c r="A18387" t="s">
        <v>229</v>
      </c>
      <c r="B18387" t="s">
        <v>256</v>
      </c>
      <c r="C18387" s="26">
        <v>0.98860000000000003</v>
      </c>
      <c r="D18387" s="26">
        <v>1.14E-2</v>
      </c>
      <c r="F18387">
        <v>207</v>
      </c>
    </row>
    <row r="18388" spans="1:6" x14ac:dyDescent="0.35">
      <c r="A18388" t="s">
        <v>229</v>
      </c>
      <c r="B18388" t="s">
        <v>255</v>
      </c>
      <c r="C18388" s="26">
        <v>0.96879999999999999</v>
      </c>
      <c r="D18388" s="26">
        <v>3.1199999999999999E-2</v>
      </c>
      <c r="F18388">
        <v>634</v>
      </c>
    </row>
    <row r="18389" spans="1:6" x14ac:dyDescent="0.35">
      <c r="A18389" t="s">
        <v>229</v>
      </c>
      <c r="B18389" t="s">
        <v>257</v>
      </c>
      <c r="C18389" s="26">
        <v>1</v>
      </c>
      <c r="F18389">
        <v>50</v>
      </c>
    </row>
    <row r="18390" spans="1:6" x14ac:dyDescent="0.35">
      <c r="A18390" s="27" t="s">
        <v>229</v>
      </c>
      <c r="B18390" s="27" t="s">
        <v>258</v>
      </c>
      <c r="C18390" s="28">
        <v>1</v>
      </c>
      <c r="D18390" s="29"/>
      <c r="E18390" s="29"/>
      <c r="F18390" s="29" t="s">
        <v>314</v>
      </c>
    </row>
    <row r="18391" spans="1:6" x14ac:dyDescent="0.35">
      <c r="A18391" t="s">
        <v>230</v>
      </c>
      <c r="B18391" t="s">
        <v>256</v>
      </c>
      <c r="C18391" s="26">
        <v>0.97240000000000004</v>
      </c>
      <c r="D18391" s="26">
        <v>2.76E-2</v>
      </c>
      <c r="F18391">
        <v>130</v>
      </c>
    </row>
    <row r="18392" spans="1:6" x14ac:dyDescent="0.35">
      <c r="A18392" t="s">
        <v>230</v>
      </c>
      <c r="B18392" t="s">
        <v>255</v>
      </c>
      <c r="C18392" s="26">
        <v>0.97119999999999995</v>
      </c>
      <c r="D18392" s="26">
        <v>2.8799999999999999E-2</v>
      </c>
      <c r="F18392">
        <v>389</v>
      </c>
    </row>
    <row r="18393" spans="1:6" x14ac:dyDescent="0.35">
      <c r="A18393" t="s">
        <v>230</v>
      </c>
      <c r="B18393" t="s">
        <v>257</v>
      </c>
      <c r="C18393" s="26">
        <v>1</v>
      </c>
      <c r="F18393">
        <v>38</v>
      </c>
    </row>
    <row r="18394" spans="1:6" x14ac:dyDescent="0.35">
      <c r="A18394" s="27" t="s">
        <v>230</v>
      </c>
      <c r="B18394" s="27" t="s">
        <v>258</v>
      </c>
      <c r="C18394" s="28">
        <v>1</v>
      </c>
      <c r="D18394" s="29"/>
      <c r="E18394" s="29"/>
      <c r="F18394" s="29" t="s">
        <v>315</v>
      </c>
    </row>
    <row r="18395" spans="1:6" x14ac:dyDescent="0.35">
      <c r="A18395" s="27" t="s">
        <v>231</v>
      </c>
      <c r="B18395" s="27" t="s">
        <v>257</v>
      </c>
      <c r="C18395" s="28">
        <v>1</v>
      </c>
      <c r="D18395" s="29"/>
      <c r="E18395" s="29"/>
      <c r="F18395" s="29" t="s">
        <v>339</v>
      </c>
    </row>
    <row r="18396" spans="1:6" x14ac:dyDescent="0.35">
      <c r="A18396" t="s">
        <v>231</v>
      </c>
      <c r="B18396" t="s">
        <v>255</v>
      </c>
      <c r="C18396" s="26">
        <v>0.98450000000000004</v>
      </c>
      <c r="D18396" s="26">
        <v>1.55E-2</v>
      </c>
      <c r="F18396">
        <v>129</v>
      </c>
    </row>
    <row r="18397" spans="1:6" x14ac:dyDescent="0.35">
      <c r="A18397" s="27" t="s">
        <v>231</v>
      </c>
      <c r="B18397" s="27" t="s">
        <v>256</v>
      </c>
      <c r="C18397" s="28">
        <v>0.96430000000000005</v>
      </c>
      <c r="D18397" s="28">
        <v>3.5700000000000003E-2</v>
      </c>
      <c r="E18397" s="29"/>
      <c r="F18397" s="29" t="s">
        <v>336</v>
      </c>
    </row>
    <row r="18398" spans="1:6" x14ac:dyDescent="0.35">
      <c r="A18398" t="s">
        <v>232</v>
      </c>
      <c r="B18398" t="s">
        <v>232</v>
      </c>
      <c r="C18398" s="26">
        <v>0.97799999999999998</v>
      </c>
      <c r="D18398" s="26">
        <v>2.1299999999999999E-2</v>
      </c>
      <c r="E18398" s="26">
        <v>5.9999999999999995E-4</v>
      </c>
      <c r="F18398">
        <v>2810</v>
      </c>
    </row>
    <row r="18400" spans="1:6" x14ac:dyDescent="0.35">
      <c r="A18400" s="1" t="s">
        <v>1864</v>
      </c>
    </row>
    <row r="18401" spans="1:5" x14ac:dyDescent="0.35">
      <c r="A18401" t="s">
        <v>219</v>
      </c>
      <c r="B18401" t="s">
        <v>303</v>
      </c>
      <c r="C18401" t="s">
        <v>302</v>
      </c>
      <c r="D18401" t="s">
        <v>226</v>
      </c>
    </row>
    <row r="18402" spans="1:5" x14ac:dyDescent="0.35">
      <c r="A18402" t="s">
        <v>227</v>
      </c>
      <c r="B18402" s="26">
        <v>1</v>
      </c>
      <c r="D18402">
        <v>161</v>
      </c>
    </row>
    <row r="18403" spans="1:5" x14ac:dyDescent="0.35">
      <c r="A18403" t="s">
        <v>228</v>
      </c>
      <c r="B18403" s="26">
        <v>0.97019999999999995</v>
      </c>
      <c r="C18403" s="26">
        <v>2.98E-2</v>
      </c>
      <c r="D18403">
        <v>1032</v>
      </c>
    </row>
    <row r="18404" spans="1:5" x14ac:dyDescent="0.35">
      <c r="A18404" t="s">
        <v>229</v>
      </c>
      <c r="B18404" s="26">
        <v>0.97650000000000003</v>
      </c>
      <c r="C18404" s="26">
        <v>2.35E-2</v>
      </c>
      <c r="D18404">
        <v>893</v>
      </c>
    </row>
    <row r="18405" spans="1:5" x14ac:dyDescent="0.35">
      <c r="A18405" t="s">
        <v>230</v>
      </c>
      <c r="B18405" s="26">
        <v>0.99519999999999997</v>
      </c>
      <c r="C18405" s="26">
        <v>4.7999999999999996E-3</v>
      </c>
      <c r="D18405">
        <v>560</v>
      </c>
    </row>
    <row r="18406" spans="1:5" x14ac:dyDescent="0.35">
      <c r="A18406" t="s">
        <v>231</v>
      </c>
      <c r="B18406" s="26">
        <v>0.98780000000000001</v>
      </c>
      <c r="C18406" s="26">
        <v>1.2200000000000001E-2</v>
      </c>
      <c r="D18406">
        <v>164</v>
      </c>
    </row>
    <row r="18407" spans="1:5" x14ac:dyDescent="0.35">
      <c r="A18407" t="s">
        <v>232</v>
      </c>
      <c r="B18407" s="26">
        <v>0.98370000000000002</v>
      </c>
      <c r="C18407" s="26">
        <v>1.6299999999999999E-2</v>
      </c>
      <c r="D18407">
        <v>2810</v>
      </c>
    </row>
    <row r="18409" spans="1:5" x14ac:dyDescent="0.35">
      <c r="A18409" s="1" t="s">
        <v>1865</v>
      </c>
    </row>
    <row r="18410" spans="1:5" x14ac:dyDescent="0.35">
      <c r="A18410" t="s">
        <v>219</v>
      </c>
      <c r="B18410" t="s">
        <v>305</v>
      </c>
      <c r="C18410" t="s">
        <v>303</v>
      </c>
      <c r="D18410" t="s">
        <v>302</v>
      </c>
      <c r="E18410" t="s">
        <v>226</v>
      </c>
    </row>
    <row r="18411" spans="1:5" x14ac:dyDescent="0.35">
      <c r="A18411" t="s">
        <v>227</v>
      </c>
      <c r="B18411" t="s">
        <v>242</v>
      </c>
      <c r="C18411" s="26">
        <v>1</v>
      </c>
      <c r="E18411">
        <v>68</v>
      </c>
    </row>
    <row r="18412" spans="1:5" x14ac:dyDescent="0.35">
      <c r="A18412" t="s">
        <v>227</v>
      </c>
      <c r="B18412" t="s">
        <v>241</v>
      </c>
      <c r="C18412" s="26">
        <v>1</v>
      </c>
      <c r="E18412">
        <v>93</v>
      </c>
    </row>
    <row r="18413" spans="1:5" x14ac:dyDescent="0.35">
      <c r="A18413" t="s">
        <v>228</v>
      </c>
      <c r="B18413" t="s">
        <v>242</v>
      </c>
      <c r="C18413" s="26">
        <v>0.94020000000000004</v>
      </c>
      <c r="D18413" s="26">
        <v>5.9799999999999999E-2</v>
      </c>
      <c r="E18413">
        <v>401</v>
      </c>
    </row>
    <row r="18414" spans="1:5" x14ac:dyDescent="0.35">
      <c r="A18414" t="s">
        <v>228</v>
      </c>
      <c r="B18414" t="s">
        <v>241</v>
      </c>
      <c r="C18414" s="26">
        <v>0.98729999999999996</v>
      </c>
      <c r="D18414" s="26">
        <v>1.2699999999999999E-2</v>
      </c>
      <c r="E18414">
        <v>631</v>
      </c>
    </row>
    <row r="18415" spans="1:5" x14ac:dyDescent="0.35">
      <c r="A18415" t="s">
        <v>229</v>
      </c>
      <c r="B18415" t="s">
        <v>242</v>
      </c>
      <c r="C18415" s="26">
        <v>0.96260000000000001</v>
      </c>
      <c r="D18415" s="26">
        <v>3.7400000000000003E-2</v>
      </c>
      <c r="E18415">
        <v>291</v>
      </c>
    </row>
    <row r="18416" spans="1:5" x14ac:dyDescent="0.35">
      <c r="A18416" t="s">
        <v>229</v>
      </c>
      <c r="B18416" t="s">
        <v>241</v>
      </c>
      <c r="C18416" s="26">
        <v>0.98529999999999995</v>
      </c>
      <c r="D18416" s="26">
        <v>1.47E-2</v>
      </c>
      <c r="E18416">
        <v>602</v>
      </c>
    </row>
    <row r="18417" spans="1:5" x14ac:dyDescent="0.35">
      <c r="A18417" t="s">
        <v>230</v>
      </c>
      <c r="B18417" t="s">
        <v>242</v>
      </c>
      <c r="C18417" s="26">
        <v>0.99390000000000001</v>
      </c>
      <c r="D18417" s="26">
        <v>6.1000000000000004E-3</v>
      </c>
      <c r="E18417">
        <v>189</v>
      </c>
    </row>
    <row r="18418" spans="1:5" x14ac:dyDescent="0.35">
      <c r="A18418" t="s">
        <v>230</v>
      </c>
      <c r="B18418" t="s">
        <v>241</v>
      </c>
      <c r="C18418" s="26">
        <v>0.99590000000000001</v>
      </c>
      <c r="D18418" s="26">
        <v>4.1000000000000003E-3</v>
      </c>
      <c r="E18418">
        <v>371</v>
      </c>
    </row>
    <row r="18419" spans="1:5" x14ac:dyDescent="0.35">
      <c r="A18419" t="s">
        <v>231</v>
      </c>
      <c r="B18419" t="s">
        <v>242</v>
      </c>
      <c r="C18419" s="26">
        <v>1</v>
      </c>
      <c r="E18419">
        <v>54</v>
      </c>
    </row>
    <row r="18420" spans="1:5" x14ac:dyDescent="0.35">
      <c r="A18420" t="s">
        <v>231</v>
      </c>
      <c r="B18420" t="s">
        <v>241</v>
      </c>
      <c r="C18420" s="26">
        <v>0.98180000000000001</v>
      </c>
      <c r="D18420" s="26">
        <v>1.8200000000000001E-2</v>
      </c>
      <c r="E18420">
        <v>110</v>
      </c>
    </row>
    <row r="18421" spans="1:5" x14ac:dyDescent="0.35">
      <c r="A18421" t="s">
        <v>232</v>
      </c>
      <c r="B18421" t="s">
        <v>232</v>
      </c>
      <c r="C18421" s="26">
        <v>0.98370000000000002</v>
      </c>
      <c r="D18421" s="26">
        <v>1.6299999999999999E-2</v>
      </c>
      <c r="E18421">
        <v>2810</v>
      </c>
    </row>
    <row r="18423" spans="1:5" x14ac:dyDescent="0.35">
      <c r="A18423" s="1" t="s">
        <v>1866</v>
      </c>
    </row>
    <row r="18424" spans="1:5" x14ac:dyDescent="0.35">
      <c r="A18424" t="s">
        <v>219</v>
      </c>
      <c r="B18424" t="s">
        <v>305</v>
      </c>
      <c r="C18424" t="s">
        <v>303</v>
      </c>
      <c r="D18424" t="s">
        <v>302</v>
      </c>
      <c r="E18424" t="s">
        <v>226</v>
      </c>
    </row>
    <row r="18425" spans="1:5" x14ac:dyDescent="0.35">
      <c r="A18425" t="s">
        <v>227</v>
      </c>
      <c r="B18425" t="s">
        <v>239</v>
      </c>
      <c r="C18425" s="26">
        <v>1</v>
      </c>
      <c r="E18425">
        <v>62</v>
      </c>
    </row>
    <row r="18426" spans="1:5" x14ac:dyDescent="0.35">
      <c r="A18426" t="s">
        <v>227</v>
      </c>
      <c r="B18426" t="s">
        <v>238</v>
      </c>
      <c r="C18426" s="26">
        <v>1</v>
      </c>
      <c r="E18426">
        <v>99</v>
      </c>
    </row>
    <row r="18427" spans="1:5" x14ac:dyDescent="0.35">
      <c r="A18427" t="s">
        <v>228</v>
      </c>
      <c r="B18427" t="s">
        <v>239</v>
      </c>
      <c r="C18427" s="26">
        <v>0.93830000000000002</v>
      </c>
      <c r="D18427" s="26">
        <v>6.1699999999999998E-2</v>
      </c>
      <c r="E18427">
        <v>330</v>
      </c>
    </row>
    <row r="18428" spans="1:5" x14ac:dyDescent="0.35">
      <c r="A18428" t="s">
        <v>228</v>
      </c>
      <c r="B18428" t="s">
        <v>238</v>
      </c>
      <c r="C18428" s="26">
        <v>0.97850000000000004</v>
      </c>
      <c r="D18428" s="26">
        <v>2.1499999999999998E-2</v>
      </c>
      <c r="E18428">
        <v>702</v>
      </c>
    </row>
    <row r="18429" spans="1:5" x14ac:dyDescent="0.35">
      <c r="A18429" t="s">
        <v>229</v>
      </c>
      <c r="B18429" t="s">
        <v>239</v>
      </c>
      <c r="C18429" s="26">
        <v>0.97799999999999998</v>
      </c>
      <c r="D18429" s="26">
        <v>2.1999999999999999E-2</v>
      </c>
      <c r="E18429">
        <v>332</v>
      </c>
    </row>
    <row r="18430" spans="1:5" x14ac:dyDescent="0.35">
      <c r="A18430" t="s">
        <v>229</v>
      </c>
      <c r="B18430" t="s">
        <v>238</v>
      </c>
      <c r="C18430" s="26">
        <v>0.97599999999999998</v>
      </c>
      <c r="D18430" s="26">
        <v>2.4E-2</v>
      </c>
      <c r="E18430">
        <v>561</v>
      </c>
    </row>
    <row r="18431" spans="1:5" x14ac:dyDescent="0.35">
      <c r="A18431" t="s">
        <v>230</v>
      </c>
      <c r="B18431" t="s">
        <v>239</v>
      </c>
      <c r="C18431" s="26">
        <v>0.99309999999999998</v>
      </c>
      <c r="D18431" s="26">
        <v>6.8999999999999999E-3</v>
      </c>
      <c r="E18431">
        <v>211</v>
      </c>
    </row>
    <row r="18432" spans="1:5" x14ac:dyDescent="0.35">
      <c r="A18432" t="s">
        <v>230</v>
      </c>
      <c r="B18432" t="s">
        <v>238</v>
      </c>
      <c r="C18432" s="26">
        <v>0.99609999999999999</v>
      </c>
      <c r="D18432" s="26">
        <v>3.8999999999999998E-3</v>
      </c>
      <c r="E18432">
        <v>349</v>
      </c>
    </row>
    <row r="18433" spans="1:5" x14ac:dyDescent="0.35">
      <c r="A18433" t="s">
        <v>231</v>
      </c>
      <c r="B18433" t="s">
        <v>239</v>
      </c>
      <c r="C18433" s="26">
        <v>0.98250000000000004</v>
      </c>
      <c r="D18433" s="26">
        <v>1.7500000000000002E-2</v>
      </c>
      <c r="E18433">
        <v>57</v>
      </c>
    </row>
    <row r="18434" spans="1:5" x14ac:dyDescent="0.35">
      <c r="A18434" t="s">
        <v>231</v>
      </c>
      <c r="B18434" t="s">
        <v>238</v>
      </c>
      <c r="C18434" s="26">
        <v>0.99070000000000003</v>
      </c>
      <c r="D18434" s="26">
        <v>9.2999999999999992E-3</v>
      </c>
      <c r="E18434">
        <v>107</v>
      </c>
    </row>
    <row r="18435" spans="1:5" x14ac:dyDescent="0.35">
      <c r="A18435" t="s">
        <v>232</v>
      </c>
      <c r="B18435" t="s">
        <v>232</v>
      </c>
      <c r="C18435" s="26">
        <v>0.98370000000000002</v>
      </c>
      <c r="D18435" s="26">
        <v>1.6299999999999999E-2</v>
      </c>
      <c r="E18435">
        <v>2810</v>
      </c>
    </row>
    <row r="18437" spans="1:5" x14ac:dyDescent="0.35">
      <c r="A18437" s="1" t="s">
        <v>1867</v>
      </c>
    </row>
    <row r="18438" spans="1:5" x14ac:dyDescent="0.35">
      <c r="A18438" t="s">
        <v>219</v>
      </c>
      <c r="B18438" t="s">
        <v>305</v>
      </c>
      <c r="C18438" t="s">
        <v>303</v>
      </c>
      <c r="D18438" t="s">
        <v>302</v>
      </c>
      <c r="E18438" t="s">
        <v>226</v>
      </c>
    </row>
    <row r="18439" spans="1:5" x14ac:dyDescent="0.35">
      <c r="A18439" t="s">
        <v>227</v>
      </c>
      <c r="B18439" t="s">
        <v>244</v>
      </c>
      <c r="C18439" s="26">
        <v>1</v>
      </c>
      <c r="E18439">
        <v>96</v>
      </c>
    </row>
    <row r="18440" spans="1:5" x14ac:dyDescent="0.35">
      <c r="A18440" t="s">
        <v>227</v>
      </c>
      <c r="B18440" t="s">
        <v>245</v>
      </c>
      <c r="C18440" s="26">
        <v>1</v>
      </c>
      <c r="E18440">
        <v>53</v>
      </c>
    </row>
    <row r="18441" spans="1:5" x14ac:dyDescent="0.35">
      <c r="A18441" s="27" t="s">
        <v>227</v>
      </c>
      <c r="B18441" s="27" t="s">
        <v>246</v>
      </c>
      <c r="C18441" s="28">
        <v>1</v>
      </c>
      <c r="D18441" s="29"/>
      <c r="E18441" s="29" t="s">
        <v>342</v>
      </c>
    </row>
    <row r="18442" spans="1:5" x14ac:dyDescent="0.35">
      <c r="A18442" t="s">
        <v>228</v>
      </c>
      <c r="B18442" t="s">
        <v>244</v>
      </c>
      <c r="C18442" s="26">
        <v>0.97550000000000003</v>
      </c>
      <c r="D18442" s="26">
        <v>2.4500000000000001E-2</v>
      </c>
      <c r="E18442">
        <v>638</v>
      </c>
    </row>
    <row r="18443" spans="1:5" x14ac:dyDescent="0.35">
      <c r="A18443" t="s">
        <v>228</v>
      </c>
      <c r="B18443" t="s">
        <v>245</v>
      </c>
      <c r="C18443" s="26">
        <v>0.97989999999999999</v>
      </c>
      <c r="D18443" s="26">
        <v>2.01E-2</v>
      </c>
      <c r="E18443">
        <v>327</v>
      </c>
    </row>
    <row r="18444" spans="1:5" x14ac:dyDescent="0.35">
      <c r="A18444" t="s">
        <v>228</v>
      </c>
      <c r="B18444" t="s">
        <v>246</v>
      </c>
      <c r="C18444" s="26">
        <v>0.87939999999999996</v>
      </c>
      <c r="D18444" s="26">
        <v>0.1206</v>
      </c>
      <c r="E18444">
        <v>67</v>
      </c>
    </row>
    <row r="18445" spans="1:5" x14ac:dyDescent="0.35">
      <c r="A18445" t="s">
        <v>229</v>
      </c>
      <c r="B18445" t="s">
        <v>244</v>
      </c>
      <c r="C18445" s="26">
        <v>0.97470000000000001</v>
      </c>
      <c r="D18445" s="26">
        <v>2.53E-2</v>
      </c>
      <c r="E18445">
        <v>555</v>
      </c>
    </row>
    <row r="18446" spans="1:5" x14ac:dyDescent="0.35">
      <c r="A18446" t="s">
        <v>229</v>
      </c>
      <c r="B18446" t="s">
        <v>245</v>
      </c>
      <c r="C18446" s="26">
        <v>0.97699999999999998</v>
      </c>
      <c r="D18446" s="26">
        <v>2.3E-2</v>
      </c>
      <c r="E18446">
        <v>293</v>
      </c>
    </row>
    <row r="18447" spans="1:5" x14ac:dyDescent="0.35">
      <c r="A18447" t="s">
        <v>229</v>
      </c>
      <c r="B18447" t="s">
        <v>246</v>
      </c>
      <c r="C18447" s="26">
        <v>0.99680000000000002</v>
      </c>
      <c r="D18447" s="26">
        <v>3.2000000000000002E-3</v>
      </c>
      <c r="E18447">
        <v>45</v>
      </c>
    </row>
    <row r="18448" spans="1:5" x14ac:dyDescent="0.35">
      <c r="A18448" t="s">
        <v>230</v>
      </c>
      <c r="B18448" t="s">
        <v>244</v>
      </c>
      <c r="C18448" s="26">
        <v>0.99609999999999999</v>
      </c>
      <c r="D18448" s="26">
        <v>3.8999999999999998E-3</v>
      </c>
      <c r="E18448">
        <v>370</v>
      </c>
    </row>
    <row r="18449" spans="1:5" x14ac:dyDescent="0.35">
      <c r="A18449" t="s">
        <v>230</v>
      </c>
      <c r="B18449" t="s">
        <v>245</v>
      </c>
      <c r="C18449" s="26">
        <v>0.99890000000000001</v>
      </c>
      <c r="D18449" s="26">
        <v>1.1000000000000001E-3</v>
      </c>
      <c r="E18449">
        <v>161</v>
      </c>
    </row>
    <row r="18450" spans="1:5" x14ac:dyDescent="0.35">
      <c r="A18450" s="27" t="s">
        <v>230</v>
      </c>
      <c r="B18450" s="27" t="s">
        <v>246</v>
      </c>
      <c r="C18450" s="28">
        <v>0.96309999999999996</v>
      </c>
      <c r="D18450" s="28">
        <v>3.6900000000000002E-2</v>
      </c>
      <c r="E18450" s="29" t="s">
        <v>329</v>
      </c>
    </row>
    <row r="18451" spans="1:5" x14ac:dyDescent="0.35">
      <c r="A18451" t="s">
        <v>231</v>
      </c>
      <c r="B18451" t="s">
        <v>244</v>
      </c>
      <c r="C18451" s="26">
        <v>1</v>
      </c>
      <c r="E18451">
        <v>95</v>
      </c>
    </row>
    <row r="18452" spans="1:5" x14ac:dyDescent="0.35">
      <c r="A18452" t="s">
        <v>231</v>
      </c>
      <c r="B18452" t="s">
        <v>245</v>
      </c>
      <c r="C18452" s="26">
        <v>0.98209999999999997</v>
      </c>
      <c r="D18452" s="26">
        <v>1.7899999999999999E-2</v>
      </c>
      <c r="E18452">
        <v>56</v>
      </c>
    </row>
    <row r="18453" spans="1:5" x14ac:dyDescent="0.35">
      <c r="A18453" s="27" t="s">
        <v>231</v>
      </c>
      <c r="B18453" s="27" t="s">
        <v>246</v>
      </c>
      <c r="C18453" s="28">
        <v>0.92310000000000003</v>
      </c>
      <c r="D18453" s="28">
        <v>7.6899999999999996E-2</v>
      </c>
      <c r="E18453" s="29" t="s">
        <v>341</v>
      </c>
    </row>
    <row r="18454" spans="1:5" x14ac:dyDescent="0.35">
      <c r="A18454" t="s">
        <v>232</v>
      </c>
      <c r="B18454" t="s">
        <v>232</v>
      </c>
      <c r="C18454" s="26">
        <v>0.98370000000000002</v>
      </c>
      <c r="D18454" s="26">
        <v>1.6299999999999999E-2</v>
      </c>
      <c r="E18454">
        <v>2810</v>
      </c>
    </row>
    <row r="18456" spans="1:5" x14ac:dyDescent="0.35">
      <c r="A18456" s="1" t="s">
        <v>1868</v>
      </c>
    </row>
    <row r="18457" spans="1:5" x14ac:dyDescent="0.35">
      <c r="A18457" t="s">
        <v>219</v>
      </c>
      <c r="B18457" t="s">
        <v>305</v>
      </c>
      <c r="C18457" t="s">
        <v>303</v>
      </c>
      <c r="D18457" t="s">
        <v>302</v>
      </c>
      <c r="E18457" t="s">
        <v>226</v>
      </c>
    </row>
    <row r="18458" spans="1:5" x14ac:dyDescent="0.35">
      <c r="A18458" t="s">
        <v>227</v>
      </c>
      <c r="B18458" t="s">
        <v>360</v>
      </c>
      <c r="C18458" s="26">
        <v>1</v>
      </c>
      <c r="E18458">
        <v>39</v>
      </c>
    </row>
    <row r="18459" spans="1:5" x14ac:dyDescent="0.35">
      <c r="A18459" t="s">
        <v>227</v>
      </c>
      <c r="B18459" t="s">
        <v>361</v>
      </c>
      <c r="C18459" s="26">
        <v>1</v>
      </c>
      <c r="E18459">
        <v>32</v>
      </c>
    </row>
    <row r="18460" spans="1:5" x14ac:dyDescent="0.35">
      <c r="A18460" t="s">
        <v>227</v>
      </c>
      <c r="B18460" t="s">
        <v>362</v>
      </c>
      <c r="C18460" s="26">
        <v>1</v>
      </c>
      <c r="E18460">
        <v>37</v>
      </c>
    </row>
    <row r="18461" spans="1:5" x14ac:dyDescent="0.35">
      <c r="A18461" t="s">
        <v>227</v>
      </c>
      <c r="B18461" t="s">
        <v>363</v>
      </c>
      <c r="C18461" s="26">
        <v>1</v>
      </c>
      <c r="E18461">
        <v>45</v>
      </c>
    </row>
    <row r="18462" spans="1:5" x14ac:dyDescent="0.35">
      <c r="A18462" t="s">
        <v>228</v>
      </c>
      <c r="B18462" t="s">
        <v>360</v>
      </c>
      <c r="C18462" s="26">
        <v>0.92449999999999999</v>
      </c>
      <c r="D18462" s="26">
        <v>7.5499999999999998E-2</v>
      </c>
      <c r="E18462">
        <v>257</v>
      </c>
    </row>
    <row r="18463" spans="1:5" x14ac:dyDescent="0.35">
      <c r="A18463" t="s">
        <v>228</v>
      </c>
      <c r="B18463" t="s">
        <v>361</v>
      </c>
      <c r="C18463" s="26">
        <v>0.99480000000000002</v>
      </c>
      <c r="D18463" s="26">
        <v>5.1999999999999998E-3</v>
      </c>
      <c r="E18463">
        <v>194</v>
      </c>
    </row>
    <row r="18464" spans="1:5" x14ac:dyDescent="0.35">
      <c r="A18464" t="s">
        <v>228</v>
      </c>
      <c r="B18464" t="s">
        <v>363</v>
      </c>
      <c r="C18464" s="26">
        <v>0.98119999999999996</v>
      </c>
      <c r="D18464" s="26">
        <v>1.8800000000000001E-2</v>
      </c>
      <c r="E18464">
        <v>212</v>
      </c>
    </row>
    <row r="18465" spans="1:5" x14ac:dyDescent="0.35">
      <c r="A18465" t="s">
        <v>228</v>
      </c>
      <c r="B18465" t="s">
        <v>362</v>
      </c>
      <c r="C18465" s="26">
        <v>0.96740000000000004</v>
      </c>
      <c r="D18465" s="26">
        <v>3.2599999999999997E-2</v>
      </c>
      <c r="E18465">
        <v>236</v>
      </c>
    </row>
    <row r="18466" spans="1:5" x14ac:dyDescent="0.35">
      <c r="A18466" t="s">
        <v>229</v>
      </c>
      <c r="B18466" t="s">
        <v>363</v>
      </c>
      <c r="C18466" s="26">
        <v>0.98329999999999995</v>
      </c>
      <c r="D18466" s="26">
        <v>1.67E-2</v>
      </c>
      <c r="E18466">
        <v>190</v>
      </c>
    </row>
    <row r="18467" spans="1:5" x14ac:dyDescent="0.35">
      <c r="A18467" t="s">
        <v>229</v>
      </c>
      <c r="B18467" t="s">
        <v>360</v>
      </c>
      <c r="C18467" s="26">
        <v>0.98160000000000003</v>
      </c>
      <c r="D18467" s="26">
        <v>1.84E-2</v>
      </c>
      <c r="E18467">
        <v>164</v>
      </c>
    </row>
    <row r="18468" spans="1:5" x14ac:dyDescent="0.35">
      <c r="A18468" t="s">
        <v>229</v>
      </c>
      <c r="B18468" t="s">
        <v>361</v>
      </c>
      <c r="C18468" s="26">
        <v>0.9849</v>
      </c>
      <c r="D18468" s="26">
        <v>1.5100000000000001E-2</v>
      </c>
      <c r="E18468">
        <v>243</v>
      </c>
    </row>
    <row r="18469" spans="1:5" x14ac:dyDescent="0.35">
      <c r="A18469" t="s">
        <v>229</v>
      </c>
      <c r="B18469" t="s">
        <v>362</v>
      </c>
      <c r="C18469" s="26">
        <v>0.96389999999999998</v>
      </c>
      <c r="D18469" s="26">
        <v>3.61E-2</v>
      </c>
      <c r="E18469">
        <v>171</v>
      </c>
    </row>
    <row r="18470" spans="1:5" x14ac:dyDescent="0.35">
      <c r="A18470" t="s">
        <v>230</v>
      </c>
      <c r="B18470" t="s">
        <v>360</v>
      </c>
      <c r="C18470" s="26">
        <v>0.9889</v>
      </c>
      <c r="D18470" s="26">
        <v>1.11E-2</v>
      </c>
      <c r="E18470">
        <v>120</v>
      </c>
    </row>
    <row r="18471" spans="1:5" x14ac:dyDescent="0.35">
      <c r="A18471" t="s">
        <v>230</v>
      </c>
      <c r="B18471" t="s">
        <v>363</v>
      </c>
      <c r="C18471" s="26">
        <v>0.99609999999999999</v>
      </c>
      <c r="D18471" s="26">
        <v>3.8999999999999998E-3</v>
      </c>
      <c r="E18471">
        <v>127</v>
      </c>
    </row>
    <row r="18472" spans="1:5" x14ac:dyDescent="0.35">
      <c r="A18472" t="s">
        <v>230</v>
      </c>
      <c r="B18472" t="s">
        <v>361</v>
      </c>
      <c r="C18472" s="26">
        <v>1</v>
      </c>
      <c r="E18472">
        <v>109</v>
      </c>
    </row>
    <row r="18473" spans="1:5" x14ac:dyDescent="0.35">
      <c r="A18473" t="s">
        <v>230</v>
      </c>
      <c r="B18473" t="s">
        <v>362</v>
      </c>
      <c r="C18473" s="26">
        <v>0.99280000000000002</v>
      </c>
      <c r="D18473" s="26">
        <v>7.1999999999999998E-3</v>
      </c>
      <c r="E18473">
        <v>148</v>
      </c>
    </row>
    <row r="18474" spans="1:5" x14ac:dyDescent="0.35">
      <c r="A18474" s="27" t="s">
        <v>231</v>
      </c>
      <c r="B18474" s="27" t="s">
        <v>362</v>
      </c>
      <c r="C18474" s="28">
        <v>1</v>
      </c>
      <c r="D18474" s="29"/>
      <c r="E18474" s="29" t="s">
        <v>329</v>
      </c>
    </row>
    <row r="18475" spans="1:5" x14ac:dyDescent="0.35">
      <c r="A18475" t="s">
        <v>231</v>
      </c>
      <c r="B18475" t="s">
        <v>361</v>
      </c>
      <c r="C18475" s="26">
        <v>1</v>
      </c>
      <c r="E18475">
        <v>50</v>
      </c>
    </row>
    <row r="18476" spans="1:5" x14ac:dyDescent="0.35">
      <c r="A18476" t="s">
        <v>231</v>
      </c>
      <c r="B18476" t="s">
        <v>360</v>
      </c>
      <c r="C18476" s="26">
        <v>1</v>
      </c>
      <c r="E18476">
        <v>44</v>
      </c>
    </row>
    <row r="18477" spans="1:5" x14ac:dyDescent="0.35">
      <c r="A18477" s="27" t="s">
        <v>231</v>
      </c>
      <c r="B18477" s="27" t="s">
        <v>363</v>
      </c>
      <c r="C18477" s="28">
        <v>0.92589999999999995</v>
      </c>
      <c r="D18477" s="28">
        <v>7.4099999999999999E-2</v>
      </c>
      <c r="E18477" s="29" t="s">
        <v>338</v>
      </c>
    </row>
    <row r="18478" spans="1:5" x14ac:dyDescent="0.35">
      <c r="A18478" t="s">
        <v>232</v>
      </c>
      <c r="B18478" t="s">
        <v>232</v>
      </c>
      <c r="C18478" s="26">
        <v>0.98370000000000002</v>
      </c>
      <c r="D18478" s="26">
        <v>1.6299999999999999E-2</v>
      </c>
      <c r="E18478">
        <v>2474</v>
      </c>
    </row>
    <row r="18480" spans="1:5" x14ac:dyDescent="0.35">
      <c r="A18480" s="1" t="s">
        <v>1869</v>
      </c>
    </row>
    <row r="18481" spans="1:5" x14ac:dyDescent="0.35">
      <c r="A18481" t="s">
        <v>219</v>
      </c>
      <c r="B18481" t="s">
        <v>305</v>
      </c>
      <c r="C18481" t="s">
        <v>303</v>
      </c>
      <c r="D18481" t="s">
        <v>302</v>
      </c>
      <c r="E18481" t="s">
        <v>226</v>
      </c>
    </row>
    <row r="18482" spans="1:5" x14ac:dyDescent="0.35">
      <c r="A18482" t="s">
        <v>227</v>
      </c>
      <c r="B18482" t="s">
        <v>267</v>
      </c>
      <c r="C18482" s="26">
        <v>1</v>
      </c>
      <c r="E18482">
        <v>36</v>
      </c>
    </row>
    <row r="18483" spans="1:5" x14ac:dyDescent="0.35">
      <c r="A18483" t="s">
        <v>227</v>
      </c>
      <c r="B18483" t="s">
        <v>266</v>
      </c>
      <c r="C18483" s="26">
        <v>1</v>
      </c>
      <c r="E18483">
        <v>59</v>
      </c>
    </row>
    <row r="18484" spans="1:5" x14ac:dyDescent="0.35">
      <c r="A18484" t="s">
        <v>227</v>
      </c>
      <c r="B18484" t="s">
        <v>265</v>
      </c>
      <c r="C18484" s="26">
        <v>1</v>
      </c>
      <c r="E18484">
        <v>66</v>
      </c>
    </row>
    <row r="18485" spans="1:5" x14ac:dyDescent="0.35">
      <c r="A18485" t="s">
        <v>228</v>
      </c>
      <c r="B18485" t="s">
        <v>267</v>
      </c>
      <c r="C18485" s="26">
        <v>0.97570000000000001</v>
      </c>
      <c r="D18485" s="26">
        <v>2.4299999999999999E-2</v>
      </c>
      <c r="E18485">
        <v>199</v>
      </c>
    </row>
    <row r="18486" spans="1:5" x14ac:dyDescent="0.35">
      <c r="A18486" t="s">
        <v>228</v>
      </c>
      <c r="B18486" t="s">
        <v>265</v>
      </c>
      <c r="C18486" s="26">
        <v>0.97770000000000001</v>
      </c>
      <c r="D18486" s="26">
        <v>2.23E-2</v>
      </c>
      <c r="E18486">
        <v>384</v>
      </c>
    </row>
    <row r="18487" spans="1:5" x14ac:dyDescent="0.35">
      <c r="A18487" s="27" t="s">
        <v>228</v>
      </c>
      <c r="B18487" s="27" t="s">
        <v>236</v>
      </c>
      <c r="C18487" s="28">
        <v>1</v>
      </c>
      <c r="D18487" s="29"/>
      <c r="E18487" s="29" t="s">
        <v>314</v>
      </c>
    </row>
    <row r="18488" spans="1:5" x14ac:dyDescent="0.35">
      <c r="A18488" t="s">
        <v>228</v>
      </c>
      <c r="B18488" t="s">
        <v>266</v>
      </c>
      <c r="C18488" s="26">
        <v>0.95979999999999999</v>
      </c>
      <c r="D18488" s="26">
        <v>4.02E-2</v>
      </c>
      <c r="E18488">
        <v>447</v>
      </c>
    </row>
    <row r="18489" spans="1:5" x14ac:dyDescent="0.35">
      <c r="A18489" t="s">
        <v>229</v>
      </c>
      <c r="B18489" t="s">
        <v>266</v>
      </c>
      <c r="C18489" s="26">
        <v>0.96519999999999995</v>
      </c>
      <c r="D18489" s="26">
        <v>3.4799999999999998E-2</v>
      </c>
      <c r="E18489">
        <v>358</v>
      </c>
    </row>
    <row r="18490" spans="1:5" x14ac:dyDescent="0.35">
      <c r="A18490" t="s">
        <v>229</v>
      </c>
      <c r="B18490" t="s">
        <v>267</v>
      </c>
      <c r="C18490" s="26">
        <v>1</v>
      </c>
      <c r="E18490">
        <v>201</v>
      </c>
    </row>
    <row r="18491" spans="1:5" x14ac:dyDescent="0.35">
      <c r="A18491" t="s">
        <v>229</v>
      </c>
      <c r="B18491" t="s">
        <v>265</v>
      </c>
      <c r="C18491" s="26">
        <v>0.97309999999999997</v>
      </c>
      <c r="D18491" s="26">
        <v>2.69E-2</v>
      </c>
      <c r="E18491">
        <v>334</v>
      </c>
    </row>
    <row r="18492" spans="1:5" x14ac:dyDescent="0.35">
      <c r="A18492" t="s">
        <v>230</v>
      </c>
      <c r="B18492" t="s">
        <v>267</v>
      </c>
      <c r="C18492" s="26">
        <v>1</v>
      </c>
      <c r="E18492">
        <v>119</v>
      </c>
    </row>
    <row r="18493" spans="1:5" x14ac:dyDescent="0.35">
      <c r="A18493" t="s">
        <v>230</v>
      </c>
      <c r="B18493" t="s">
        <v>266</v>
      </c>
      <c r="C18493" s="26">
        <v>0.99170000000000003</v>
      </c>
      <c r="D18493" s="26">
        <v>8.3000000000000001E-3</v>
      </c>
      <c r="E18493">
        <v>232</v>
      </c>
    </row>
    <row r="18494" spans="1:5" x14ac:dyDescent="0.35">
      <c r="A18494" t="s">
        <v>230</v>
      </c>
      <c r="B18494" t="s">
        <v>265</v>
      </c>
      <c r="C18494" s="26">
        <v>0.99570000000000003</v>
      </c>
      <c r="D18494" s="26">
        <v>4.3E-3</v>
      </c>
      <c r="E18494">
        <v>209</v>
      </c>
    </row>
    <row r="18495" spans="1:5" x14ac:dyDescent="0.35">
      <c r="A18495" t="s">
        <v>231</v>
      </c>
      <c r="B18495" t="s">
        <v>267</v>
      </c>
      <c r="C18495" s="26">
        <v>0.97060000000000002</v>
      </c>
      <c r="D18495" s="26">
        <v>2.9399999999999999E-2</v>
      </c>
      <c r="E18495">
        <v>34</v>
      </c>
    </row>
    <row r="18496" spans="1:5" x14ac:dyDescent="0.35">
      <c r="A18496" t="s">
        <v>231</v>
      </c>
      <c r="B18496" t="s">
        <v>266</v>
      </c>
      <c r="C18496" s="26">
        <v>0.9839</v>
      </c>
      <c r="D18496" s="26">
        <v>1.61E-2</v>
      </c>
      <c r="E18496">
        <v>62</v>
      </c>
    </row>
    <row r="18497" spans="1:5" x14ac:dyDescent="0.35">
      <c r="A18497" t="s">
        <v>231</v>
      </c>
      <c r="B18497" t="s">
        <v>265</v>
      </c>
      <c r="C18497" s="26">
        <v>1</v>
      </c>
      <c r="E18497">
        <v>68</v>
      </c>
    </row>
    <row r="18498" spans="1:5" x14ac:dyDescent="0.35">
      <c r="A18498" t="s">
        <v>232</v>
      </c>
      <c r="B18498" t="s">
        <v>232</v>
      </c>
      <c r="C18498" s="26">
        <v>0.98370000000000002</v>
      </c>
      <c r="D18498" s="26">
        <v>1.6299999999999999E-2</v>
      </c>
      <c r="E18498">
        <v>2810</v>
      </c>
    </row>
    <row r="18500" spans="1:5" x14ac:dyDescent="0.35">
      <c r="A18500" s="1" t="s">
        <v>1870</v>
      </c>
    </row>
    <row r="18501" spans="1:5" x14ac:dyDescent="0.35">
      <c r="A18501" t="s">
        <v>219</v>
      </c>
      <c r="B18501" t="s">
        <v>305</v>
      </c>
      <c r="C18501" t="s">
        <v>303</v>
      </c>
      <c r="D18501" t="s">
        <v>302</v>
      </c>
      <c r="E18501" t="s">
        <v>226</v>
      </c>
    </row>
    <row r="18502" spans="1:5" x14ac:dyDescent="0.35">
      <c r="A18502" t="s">
        <v>227</v>
      </c>
      <c r="B18502" t="s">
        <v>252</v>
      </c>
      <c r="C18502" s="26">
        <v>1</v>
      </c>
      <c r="E18502">
        <v>45</v>
      </c>
    </row>
    <row r="18503" spans="1:5" x14ac:dyDescent="0.35">
      <c r="A18503" t="s">
        <v>227</v>
      </c>
      <c r="B18503" t="s">
        <v>253</v>
      </c>
      <c r="C18503" s="26">
        <v>1</v>
      </c>
      <c r="E18503">
        <v>34</v>
      </c>
    </row>
    <row r="18504" spans="1:5" x14ac:dyDescent="0.35">
      <c r="A18504" t="s">
        <v>227</v>
      </c>
      <c r="B18504" t="s">
        <v>251</v>
      </c>
      <c r="C18504" s="26">
        <v>1</v>
      </c>
      <c r="E18504">
        <v>82</v>
      </c>
    </row>
    <row r="18505" spans="1:5" x14ac:dyDescent="0.35">
      <c r="A18505" t="s">
        <v>228</v>
      </c>
      <c r="B18505" t="s">
        <v>252</v>
      </c>
      <c r="C18505" s="26">
        <v>0.98109999999999997</v>
      </c>
      <c r="D18505" s="26">
        <v>1.89E-2</v>
      </c>
      <c r="E18505">
        <v>343</v>
      </c>
    </row>
    <row r="18506" spans="1:5" x14ac:dyDescent="0.35">
      <c r="A18506" t="s">
        <v>228</v>
      </c>
      <c r="B18506" t="s">
        <v>253</v>
      </c>
      <c r="C18506" s="26">
        <v>0.92559999999999998</v>
      </c>
      <c r="D18506" s="26">
        <v>7.4399999999999994E-2</v>
      </c>
      <c r="E18506">
        <v>222</v>
      </c>
    </row>
    <row r="18507" spans="1:5" x14ac:dyDescent="0.35">
      <c r="A18507" t="s">
        <v>228</v>
      </c>
      <c r="B18507" t="s">
        <v>251</v>
      </c>
      <c r="C18507" s="26">
        <v>0.98199999999999998</v>
      </c>
      <c r="D18507" s="26">
        <v>1.7999999999999999E-2</v>
      </c>
      <c r="E18507">
        <v>467</v>
      </c>
    </row>
    <row r="18508" spans="1:5" x14ac:dyDescent="0.35">
      <c r="A18508" t="s">
        <v>229</v>
      </c>
      <c r="B18508" t="s">
        <v>252</v>
      </c>
      <c r="C18508" s="26">
        <v>0.97250000000000003</v>
      </c>
      <c r="D18508" s="26">
        <v>2.75E-2</v>
      </c>
      <c r="E18508">
        <v>199</v>
      </c>
    </row>
    <row r="18509" spans="1:5" x14ac:dyDescent="0.35">
      <c r="A18509" t="s">
        <v>229</v>
      </c>
      <c r="B18509" t="s">
        <v>253</v>
      </c>
      <c r="C18509" s="26">
        <v>0.97</v>
      </c>
      <c r="D18509" s="26">
        <v>0.03</v>
      </c>
      <c r="E18509">
        <v>145</v>
      </c>
    </row>
    <row r="18510" spans="1:5" x14ac:dyDescent="0.35">
      <c r="A18510" t="s">
        <v>229</v>
      </c>
      <c r="B18510" t="s">
        <v>251</v>
      </c>
      <c r="C18510" s="26">
        <v>0.98009999999999997</v>
      </c>
      <c r="D18510" s="26">
        <v>1.9900000000000001E-2</v>
      </c>
      <c r="E18510">
        <v>549</v>
      </c>
    </row>
    <row r="18511" spans="1:5" x14ac:dyDescent="0.35">
      <c r="A18511" t="s">
        <v>230</v>
      </c>
      <c r="B18511" t="s">
        <v>252</v>
      </c>
      <c r="C18511" s="26">
        <v>1</v>
      </c>
      <c r="E18511">
        <v>159</v>
      </c>
    </row>
    <row r="18512" spans="1:5" x14ac:dyDescent="0.35">
      <c r="A18512" t="s">
        <v>230</v>
      </c>
      <c r="B18512" t="s">
        <v>253</v>
      </c>
      <c r="C18512" s="26">
        <v>0.98570000000000002</v>
      </c>
      <c r="D18512" s="26">
        <v>1.43E-2</v>
      </c>
      <c r="E18512">
        <v>110</v>
      </c>
    </row>
    <row r="18513" spans="1:5" x14ac:dyDescent="0.35">
      <c r="A18513" t="s">
        <v>230</v>
      </c>
      <c r="B18513" t="s">
        <v>251</v>
      </c>
      <c r="C18513" s="26">
        <v>0.99619999999999997</v>
      </c>
      <c r="D18513" s="26">
        <v>3.8E-3</v>
      </c>
      <c r="E18513">
        <v>291</v>
      </c>
    </row>
    <row r="18514" spans="1:5" x14ac:dyDescent="0.35">
      <c r="A18514" t="s">
        <v>231</v>
      </c>
      <c r="B18514" t="s">
        <v>252</v>
      </c>
      <c r="C18514" s="26">
        <v>0.97960000000000003</v>
      </c>
      <c r="D18514" s="26">
        <v>2.0400000000000001E-2</v>
      </c>
      <c r="E18514">
        <v>49</v>
      </c>
    </row>
    <row r="18515" spans="1:5" x14ac:dyDescent="0.35">
      <c r="A18515" t="s">
        <v>231</v>
      </c>
      <c r="B18515" t="s">
        <v>253</v>
      </c>
      <c r="C18515" s="26">
        <v>1</v>
      </c>
      <c r="E18515">
        <v>30</v>
      </c>
    </row>
    <row r="18516" spans="1:5" x14ac:dyDescent="0.35">
      <c r="A18516" t="s">
        <v>231</v>
      </c>
      <c r="B18516" t="s">
        <v>251</v>
      </c>
      <c r="C18516" s="26">
        <v>0.98819999999999997</v>
      </c>
      <c r="D18516" s="26">
        <v>1.18E-2</v>
      </c>
      <c r="E18516">
        <v>85</v>
      </c>
    </row>
    <row r="18517" spans="1:5" x14ac:dyDescent="0.35">
      <c r="A18517" t="s">
        <v>232</v>
      </c>
      <c r="B18517" t="s">
        <v>232</v>
      </c>
      <c r="C18517" s="26">
        <v>0.98370000000000002</v>
      </c>
      <c r="D18517" s="26">
        <v>1.6299999999999999E-2</v>
      </c>
      <c r="E18517">
        <v>2810</v>
      </c>
    </row>
    <row r="18519" spans="1:5" x14ac:dyDescent="0.35">
      <c r="A18519" s="1" t="s">
        <v>1871</v>
      </c>
    </row>
    <row r="18520" spans="1:5" x14ac:dyDescent="0.35">
      <c r="A18520" t="s">
        <v>219</v>
      </c>
      <c r="B18520" t="s">
        <v>305</v>
      </c>
      <c r="C18520" t="s">
        <v>303</v>
      </c>
      <c r="D18520" t="s">
        <v>302</v>
      </c>
      <c r="E18520" t="s">
        <v>226</v>
      </c>
    </row>
    <row r="18521" spans="1:5" x14ac:dyDescent="0.35">
      <c r="A18521" t="s">
        <v>227</v>
      </c>
      <c r="B18521" t="s">
        <v>249</v>
      </c>
      <c r="C18521" s="26">
        <v>1</v>
      </c>
      <c r="E18521">
        <v>44</v>
      </c>
    </row>
    <row r="18522" spans="1:5" x14ac:dyDescent="0.35">
      <c r="A18522" t="s">
        <v>227</v>
      </c>
      <c r="B18522" t="s">
        <v>248</v>
      </c>
      <c r="C18522" s="26">
        <v>1</v>
      </c>
      <c r="E18522">
        <v>117</v>
      </c>
    </row>
    <row r="18523" spans="1:5" x14ac:dyDescent="0.35">
      <c r="A18523" t="s">
        <v>228</v>
      </c>
      <c r="B18523" t="s">
        <v>249</v>
      </c>
      <c r="C18523" s="26">
        <v>0.94479999999999997</v>
      </c>
      <c r="D18523" s="26">
        <v>5.5199999999999999E-2</v>
      </c>
      <c r="E18523">
        <v>274</v>
      </c>
    </row>
    <row r="18524" spans="1:5" x14ac:dyDescent="0.35">
      <c r="A18524" t="s">
        <v>228</v>
      </c>
      <c r="B18524" t="s">
        <v>248</v>
      </c>
      <c r="C18524" s="26">
        <v>0.98099999999999998</v>
      </c>
      <c r="D18524" s="26">
        <v>1.9E-2</v>
      </c>
      <c r="E18524">
        <v>758</v>
      </c>
    </row>
    <row r="18525" spans="1:5" x14ac:dyDescent="0.35">
      <c r="A18525" t="s">
        <v>229</v>
      </c>
      <c r="B18525" t="s">
        <v>249</v>
      </c>
      <c r="C18525" s="26">
        <v>0.9728</v>
      </c>
      <c r="D18525" s="26">
        <v>2.7199999999999998E-2</v>
      </c>
      <c r="E18525">
        <v>259</v>
      </c>
    </row>
    <row r="18526" spans="1:5" x14ac:dyDescent="0.35">
      <c r="A18526" t="s">
        <v>229</v>
      </c>
      <c r="B18526" t="s">
        <v>248</v>
      </c>
      <c r="C18526" s="26">
        <v>0.97829999999999995</v>
      </c>
      <c r="D18526" s="26">
        <v>2.1700000000000001E-2</v>
      </c>
      <c r="E18526">
        <v>634</v>
      </c>
    </row>
    <row r="18527" spans="1:5" x14ac:dyDescent="0.35">
      <c r="A18527" t="s">
        <v>230</v>
      </c>
      <c r="B18527" t="s">
        <v>249</v>
      </c>
      <c r="C18527" s="26">
        <v>0.98929999999999996</v>
      </c>
      <c r="D18527" s="26">
        <v>1.0699999999999999E-2</v>
      </c>
      <c r="E18527">
        <v>171</v>
      </c>
    </row>
    <row r="18528" spans="1:5" x14ac:dyDescent="0.35">
      <c r="A18528" t="s">
        <v>230</v>
      </c>
      <c r="B18528" t="s">
        <v>248</v>
      </c>
      <c r="C18528" s="26">
        <v>0.99819999999999998</v>
      </c>
      <c r="D18528" s="26">
        <v>1.8E-3</v>
      </c>
      <c r="E18528">
        <v>389</v>
      </c>
    </row>
    <row r="18529" spans="1:5" x14ac:dyDescent="0.35">
      <c r="A18529" t="s">
        <v>231</v>
      </c>
      <c r="B18529" t="s">
        <v>249</v>
      </c>
      <c r="C18529" s="26">
        <v>0.97140000000000004</v>
      </c>
      <c r="D18529" s="26">
        <v>2.86E-2</v>
      </c>
      <c r="E18529">
        <v>35</v>
      </c>
    </row>
    <row r="18530" spans="1:5" x14ac:dyDescent="0.35">
      <c r="A18530" t="s">
        <v>231</v>
      </c>
      <c r="B18530" t="s">
        <v>248</v>
      </c>
      <c r="C18530" s="26">
        <v>0.99219999999999997</v>
      </c>
      <c r="D18530" s="26">
        <v>7.7999999999999996E-3</v>
      </c>
      <c r="E18530">
        <v>129</v>
      </c>
    </row>
    <row r="18531" spans="1:5" x14ac:dyDescent="0.35">
      <c r="A18531" t="s">
        <v>232</v>
      </c>
      <c r="B18531" t="s">
        <v>232</v>
      </c>
      <c r="C18531" s="26">
        <v>0.98370000000000002</v>
      </c>
      <c r="D18531" s="26">
        <v>1.6299999999999999E-2</v>
      </c>
      <c r="E18531">
        <v>2810</v>
      </c>
    </row>
    <row r="18533" spans="1:5" x14ac:dyDescent="0.35">
      <c r="A18533" s="1" t="s">
        <v>1872</v>
      </c>
    </row>
    <row r="18534" spans="1:5" x14ac:dyDescent="0.35">
      <c r="A18534" t="s">
        <v>219</v>
      </c>
      <c r="B18534" t="s">
        <v>305</v>
      </c>
      <c r="C18534" t="s">
        <v>303</v>
      </c>
      <c r="D18534" t="s">
        <v>302</v>
      </c>
      <c r="E18534" t="s">
        <v>226</v>
      </c>
    </row>
    <row r="18535" spans="1:5" x14ac:dyDescent="0.35">
      <c r="A18535" s="27" t="s">
        <v>227</v>
      </c>
      <c r="B18535" s="27" t="s">
        <v>263</v>
      </c>
      <c r="C18535" s="28">
        <v>1</v>
      </c>
      <c r="D18535" s="29"/>
      <c r="E18535" s="29" t="s">
        <v>315</v>
      </c>
    </row>
    <row r="18536" spans="1:5" x14ac:dyDescent="0.35">
      <c r="A18536" t="s">
        <v>227</v>
      </c>
      <c r="B18536" t="s">
        <v>261</v>
      </c>
      <c r="C18536" s="26">
        <v>1</v>
      </c>
      <c r="E18536">
        <v>33</v>
      </c>
    </row>
    <row r="18537" spans="1:5" x14ac:dyDescent="0.35">
      <c r="A18537" s="27" t="s">
        <v>227</v>
      </c>
      <c r="B18537" s="27" t="s">
        <v>262</v>
      </c>
      <c r="C18537" s="28">
        <v>1</v>
      </c>
      <c r="D18537" s="29"/>
      <c r="E18537" s="29" t="s">
        <v>315</v>
      </c>
    </row>
    <row r="18538" spans="1:5" x14ac:dyDescent="0.35">
      <c r="A18538" t="s">
        <v>227</v>
      </c>
      <c r="B18538" t="s">
        <v>260</v>
      </c>
      <c r="C18538" s="26">
        <v>1</v>
      </c>
      <c r="E18538">
        <v>122</v>
      </c>
    </row>
    <row r="18539" spans="1:5" x14ac:dyDescent="0.35">
      <c r="A18539" t="s">
        <v>228</v>
      </c>
      <c r="B18539" t="s">
        <v>261</v>
      </c>
      <c r="C18539" s="26">
        <v>0.93559999999999999</v>
      </c>
      <c r="D18539" s="26">
        <v>6.4399999999999999E-2</v>
      </c>
      <c r="E18539">
        <v>192</v>
      </c>
    </row>
    <row r="18540" spans="1:5" x14ac:dyDescent="0.35">
      <c r="A18540" s="27" t="s">
        <v>228</v>
      </c>
      <c r="B18540" s="27" t="s">
        <v>263</v>
      </c>
      <c r="C18540" s="28">
        <v>0.92620000000000002</v>
      </c>
      <c r="D18540" s="28">
        <v>7.3800000000000004E-2</v>
      </c>
      <c r="E18540" s="29" t="s">
        <v>312</v>
      </c>
    </row>
    <row r="18541" spans="1:5" x14ac:dyDescent="0.35">
      <c r="A18541" s="27" t="s">
        <v>228</v>
      </c>
      <c r="B18541" s="27" t="s">
        <v>236</v>
      </c>
      <c r="C18541" s="28">
        <v>1</v>
      </c>
      <c r="D18541" s="29"/>
      <c r="E18541" s="29" t="s">
        <v>335</v>
      </c>
    </row>
    <row r="18542" spans="1:5" x14ac:dyDescent="0.35">
      <c r="A18542" t="s">
        <v>228</v>
      </c>
      <c r="B18542" t="s">
        <v>262</v>
      </c>
      <c r="C18542" s="26">
        <v>0.99</v>
      </c>
      <c r="D18542" s="26">
        <v>0.01</v>
      </c>
      <c r="E18542">
        <v>200</v>
      </c>
    </row>
    <row r="18543" spans="1:5" x14ac:dyDescent="0.35">
      <c r="A18543" t="s">
        <v>228</v>
      </c>
      <c r="B18543" t="s">
        <v>260</v>
      </c>
      <c r="C18543" s="26">
        <v>0.9768</v>
      </c>
      <c r="D18543" s="26">
        <v>2.3199999999999998E-2</v>
      </c>
      <c r="E18543">
        <v>609</v>
      </c>
    </row>
    <row r="18544" spans="1:5" x14ac:dyDescent="0.35">
      <c r="A18544" s="27" t="s">
        <v>229</v>
      </c>
      <c r="B18544" s="27" t="s">
        <v>263</v>
      </c>
      <c r="C18544" s="28">
        <v>1</v>
      </c>
      <c r="D18544" s="29"/>
      <c r="E18544" s="29" t="s">
        <v>379</v>
      </c>
    </row>
    <row r="18545" spans="1:5" x14ac:dyDescent="0.35">
      <c r="A18545" t="s">
        <v>229</v>
      </c>
      <c r="B18545" t="s">
        <v>262</v>
      </c>
      <c r="C18545" s="26">
        <v>0.9879</v>
      </c>
      <c r="D18545" s="26">
        <v>1.21E-2</v>
      </c>
      <c r="E18545">
        <v>186</v>
      </c>
    </row>
    <row r="18546" spans="1:5" x14ac:dyDescent="0.35">
      <c r="A18546" t="s">
        <v>229</v>
      </c>
      <c r="B18546" t="s">
        <v>261</v>
      </c>
      <c r="C18546" s="26">
        <v>0.90569999999999995</v>
      </c>
      <c r="D18546" s="26">
        <v>9.4299999999999995E-2</v>
      </c>
      <c r="E18546">
        <v>96</v>
      </c>
    </row>
    <row r="18547" spans="1:5" x14ac:dyDescent="0.35">
      <c r="A18547" s="27" t="s">
        <v>229</v>
      </c>
      <c r="B18547" s="27" t="s">
        <v>236</v>
      </c>
      <c r="C18547" s="28">
        <v>1</v>
      </c>
      <c r="D18547" s="29"/>
      <c r="E18547" s="29" t="s">
        <v>331</v>
      </c>
    </row>
    <row r="18548" spans="1:5" x14ac:dyDescent="0.35">
      <c r="A18548" t="s">
        <v>229</v>
      </c>
      <c r="B18548" t="s">
        <v>260</v>
      </c>
      <c r="C18548" s="26">
        <v>0.98899999999999999</v>
      </c>
      <c r="D18548" s="26">
        <v>1.0999999999999999E-2</v>
      </c>
      <c r="E18548">
        <v>596</v>
      </c>
    </row>
    <row r="18549" spans="1:5" x14ac:dyDescent="0.35">
      <c r="A18549" s="27" t="s">
        <v>230</v>
      </c>
      <c r="B18549" s="27" t="s">
        <v>236</v>
      </c>
      <c r="C18549" s="28">
        <v>1</v>
      </c>
      <c r="D18549" s="29"/>
      <c r="E18549" s="29" t="s">
        <v>337</v>
      </c>
    </row>
    <row r="18550" spans="1:5" x14ac:dyDescent="0.35">
      <c r="A18550" t="s">
        <v>230</v>
      </c>
      <c r="B18550" t="s">
        <v>262</v>
      </c>
      <c r="C18550" s="26">
        <v>0.98609999999999998</v>
      </c>
      <c r="D18550" s="26">
        <v>1.3899999999999999E-2</v>
      </c>
      <c r="E18550">
        <v>122</v>
      </c>
    </row>
    <row r="18551" spans="1:5" x14ac:dyDescent="0.35">
      <c r="A18551" t="s">
        <v>230</v>
      </c>
      <c r="B18551" t="s">
        <v>261</v>
      </c>
      <c r="C18551" s="26">
        <v>0.98650000000000004</v>
      </c>
      <c r="D18551" s="26">
        <v>1.35E-2</v>
      </c>
      <c r="E18551">
        <v>57</v>
      </c>
    </row>
    <row r="18552" spans="1:5" x14ac:dyDescent="0.35">
      <c r="A18552" s="27" t="s">
        <v>230</v>
      </c>
      <c r="B18552" s="27" t="s">
        <v>263</v>
      </c>
      <c r="C18552" s="28">
        <v>1</v>
      </c>
      <c r="D18552" s="29"/>
      <c r="E18552" s="29" t="s">
        <v>312</v>
      </c>
    </row>
    <row r="18553" spans="1:5" x14ac:dyDescent="0.35">
      <c r="A18553" t="s">
        <v>230</v>
      </c>
      <c r="B18553" t="s">
        <v>260</v>
      </c>
      <c r="C18553" s="26">
        <v>0.99870000000000003</v>
      </c>
      <c r="D18553" s="26">
        <v>1.2999999999999999E-3</v>
      </c>
      <c r="E18553">
        <v>352</v>
      </c>
    </row>
    <row r="18554" spans="1:5" x14ac:dyDescent="0.35">
      <c r="A18554" s="27" t="s">
        <v>231</v>
      </c>
      <c r="B18554" s="27" t="s">
        <v>263</v>
      </c>
      <c r="C18554" s="28">
        <v>1</v>
      </c>
      <c r="D18554" s="29"/>
      <c r="E18554" s="29" t="s">
        <v>314</v>
      </c>
    </row>
    <row r="18555" spans="1:5" x14ac:dyDescent="0.35">
      <c r="A18555" t="s">
        <v>231</v>
      </c>
      <c r="B18555" t="s">
        <v>260</v>
      </c>
      <c r="C18555" s="26">
        <v>0.9839</v>
      </c>
      <c r="D18555" s="26">
        <v>1.61E-2</v>
      </c>
      <c r="E18555">
        <v>124</v>
      </c>
    </row>
    <row r="18556" spans="1:5" x14ac:dyDescent="0.35">
      <c r="A18556" s="27" t="s">
        <v>231</v>
      </c>
      <c r="B18556" s="27" t="s">
        <v>261</v>
      </c>
      <c r="C18556" s="28">
        <v>1</v>
      </c>
      <c r="D18556" s="29"/>
      <c r="E18556" s="29" t="s">
        <v>338</v>
      </c>
    </row>
    <row r="18557" spans="1:5" x14ac:dyDescent="0.35">
      <c r="A18557" s="27" t="s">
        <v>231</v>
      </c>
      <c r="B18557" s="27" t="s">
        <v>262</v>
      </c>
      <c r="C18557" s="28">
        <v>1</v>
      </c>
      <c r="D18557" s="29"/>
      <c r="E18557" s="29" t="s">
        <v>352</v>
      </c>
    </row>
    <row r="18558" spans="1:5" x14ac:dyDescent="0.35">
      <c r="A18558" t="s">
        <v>232</v>
      </c>
      <c r="B18558" t="s">
        <v>232</v>
      </c>
      <c r="C18558" s="26">
        <v>0.98370000000000002</v>
      </c>
      <c r="D18558" s="26">
        <v>1.6299999999999999E-2</v>
      </c>
      <c r="E18558">
        <v>2810</v>
      </c>
    </row>
    <row r="18560" spans="1:5" x14ac:dyDescent="0.35">
      <c r="A18560" s="1" t="s">
        <v>1873</v>
      </c>
    </row>
    <row r="18561" spans="1:5" x14ac:dyDescent="0.35">
      <c r="A18561" t="s">
        <v>219</v>
      </c>
      <c r="B18561" t="s">
        <v>305</v>
      </c>
      <c r="C18561" t="s">
        <v>303</v>
      </c>
      <c r="D18561" t="s">
        <v>302</v>
      </c>
      <c r="E18561" t="s">
        <v>226</v>
      </c>
    </row>
    <row r="18562" spans="1:5" x14ac:dyDescent="0.35">
      <c r="A18562" t="s">
        <v>227</v>
      </c>
      <c r="B18562" t="s">
        <v>368</v>
      </c>
      <c r="C18562" s="26">
        <v>1</v>
      </c>
      <c r="E18562">
        <v>33</v>
      </c>
    </row>
    <row r="18563" spans="1:5" x14ac:dyDescent="0.35">
      <c r="A18563" t="s">
        <v>227</v>
      </c>
      <c r="B18563" t="s">
        <v>369</v>
      </c>
      <c r="C18563" s="26">
        <v>1</v>
      </c>
      <c r="E18563">
        <v>128</v>
      </c>
    </row>
    <row r="18564" spans="1:5" x14ac:dyDescent="0.35">
      <c r="A18564" t="s">
        <v>228</v>
      </c>
      <c r="B18564" t="s">
        <v>368</v>
      </c>
      <c r="C18564" s="26">
        <v>0.93559999999999999</v>
      </c>
      <c r="D18564" s="26">
        <v>6.4399999999999999E-2</v>
      </c>
      <c r="E18564">
        <v>192</v>
      </c>
    </row>
    <row r="18565" spans="1:5" x14ac:dyDescent="0.35">
      <c r="A18565" t="s">
        <v>228</v>
      </c>
      <c r="B18565" t="s">
        <v>369</v>
      </c>
      <c r="C18565" s="26">
        <v>0.97850000000000004</v>
      </c>
      <c r="D18565" s="26">
        <v>2.1499999999999998E-2</v>
      </c>
      <c r="E18565">
        <v>840</v>
      </c>
    </row>
    <row r="18566" spans="1:5" x14ac:dyDescent="0.35">
      <c r="A18566" t="s">
        <v>229</v>
      </c>
      <c r="B18566" t="s">
        <v>368</v>
      </c>
      <c r="C18566" s="26">
        <v>0.90569999999999995</v>
      </c>
      <c r="D18566" s="26">
        <v>9.4299999999999995E-2</v>
      </c>
      <c r="E18566">
        <v>96</v>
      </c>
    </row>
    <row r="18567" spans="1:5" x14ac:dyDescent="0.35">
      <c r="A18567" t="s">
        <v>229</v>
      </c>
      <c r="B18567" t="s">
        <v>369</v>
      </c>
      <c r="C18567" s="26">
        <v>0.9889</v>
      </c>
      <c r="D18567" s="26">
        <v>1.11E-2</v>
      </c>
      <c r="E18567">
        <v>797</v>
      </c>
    </row>
    <row r="18568" spans="1:5" x14ac:dyDescent="0.35">
      <c r="A18568" t="s">
        <v>230</v>
      </c>
      <c r="B18568" t="s">
        <v>368</v>
      </c>
      <c r="C18568" s="26">
        <v>0.98650000000000004</v>
      </c>
      <c r="D18568" s="26">
        <v>1.35E-2</v>
      </c>
      <c r="E18568">
        <v>57</v>
      </c>
    </row>
    <row r="18569" spans="1:5" x14ac:dyDescent="0.35">
      <c r="A18569" t="s">
        <v>230</v>
      </c>
      <c r="B18569" t="s">
        <v>369</v>
      </c>
      <c r="C18569" s="26">
        <v>0.99650000000000005</v>
      </c>
      <c r="D18569" s="26">
        <v>3.5000000000000001E-3</v>
      </c>
      <c r="E18569">
        <v>503</v>
      </c>
    </row>
    <row r="18570" spans="1:5" x14ac:dyDescent="0.35">
      <c r="A18570" s="27" t="s">
        <v>231</v>
      </c>
      <c r="B18570" s="27" t="s">
        <v>368</v>
      </c>
      <c r="C18570" s="28">
        <v>1</v>
      </c>
      <c r="D18570" s="29"/>
      <c r="E18570" s="29" t="s">
        <v>338</v>
      </c>
    </row>
    <row r="18571" spans="1:5" x14ac:dyDescent="0.35">
      <c r="A18571" t="s">
        <v>231</v>
      </c>
      <c r="B18571" t="s">
        <v>369</v>
      </c>
      <c r="C18571" s="26">
        <v>0.98540000000000005</v>
      </c>
      <c r="D18571" s="26">
        <v>1.46E-2</v>
      </c>
      <c r="E18571">
        <v>137</v>
      </c>
    </row>
    <row r="18572" spans="1:5" x14ac:dyDescent="0.35">
      <c r="A18572" t="s">
        <v>232</v>
      </c>
      <c r="B18572" t="s">
        <v>232</v>
      </c>
      <c r="C18572" s="26">
        <v>0.98370000000000002</v>
      </c>
      <c r="D18572" s="26">
        <v>1.6299999999999999E-2</v>
      </c>
      <c r="E18572">
        <v>2810</v>
      </c>
    </row>
    <row r="18574" spans="1:5" x14ac:dyDescent="0.35">
      <c r="A18574" s="1" t="s">
        <v>1874</v>
      </c>
    </row>
    <row r="18575" spans="1:5" x14ac:dyDescent="0.35">
      <c r="A18575" t="s">
        <v>219</v>
      </c>
      <c r="B18575" t="s">
        <v>305</v>
      </c>
      <c r="C18575" t="s">
        <v>303</v>
      </c>
      <c r="D18575" t="s">
        <v>302</v>
      </c>
      <c r="E18575" t="s">
        <v>226</v>
      </c>
    </row>
    <row r="18576" spans="1:5" x14ac:dyDescent="0.35">
      <c r="A18576" t="s">
        <v>227</v>
      </c>
      <c r="B18576" t="s">
        <v>371</v>
      </c>
      <c r="C18576" s="26">
        <v>1</v>
      </c>
      <c r="E18576">
        <v>161</v>
      </c>
    </row>
    <row r="18577" spans="1:5" x14ac:dyDescent="0.35">
      <c r="A18577" t="s">
        <v>228</v>
      </c>
      <c r="B18577" t="s">
        <v>371</v>
      </c>
      <c r="C18577" s="26">
        <v>0.96419999999999995</v>
      </c>
      <c r="D18577" s="26">
        <v>3.5799999999999998E-2</v>
      </c>
      <c r="E18577">
        <v>291</v>
      </c>
    </row>
    <row r="18578" spans="1:5" x14ac:dyDescent="0.35">
      <c r="A18578" t="s">
        <v>228</v>
      </c>
      <c r="B18578" t="s">
        <v>372</v>
      </c>
      <c r="C18578" s="26">
        <v>0.96479999999999999</v>
      </c>
      <c r="D18578" s="26">
        <v>3.5200000000000002E-2</v>
      </c>
      <c r="E18578">
        <v>218</v>
      </c>
    </row>
    <row r="18579" spans="1:5" x14ac:dyDescent="0.35">
      <c r="A18579" t="s">
        <v>228</v>
      </c>
      <c r="B18579" t="s">
        <v>373</v>
      </c>
      <c r="C18579" s="26">
        <v>0.97929999999999995</v>
      </c>
      <c r="D18579" s="26">
        <v>2.07E-2</v>
      </c>
      <c r="E18579">
        <v>523</v>
      </c>
    </row>
    <row r="18580" spans="1:5" x14ac:dyDescent="0.35">
      <c r="A18580" t="s">
        <v>229</v>
      </c>
      <c r="B18580" t="s">
        <v>371</v>
      </c>
      <c r="C18580" s="26">
        <v>0.97570000000000001</v>
      </c>
      <c r="D18580" s="26">
        <v>2.4299999999999999E-2</v>
      </c>
      <c r="E18580">
        <v>583</v>
      </c>
    </row>
    <row r="18581" spans="1:5" x14ac:dyDescent="0.35">
      <c r="A18581" t="s">
        <v>229</v>
      </c>
      <c r="B18581" t="s">
        <v>372</v>
      </c>
      <c r="C18581" s="26">
        <v>0.99339999999999995</v>
      </c>
      <c r="D18581" s="26">
        <v>6.6E-3</v>
      </c>
      <c r="E18581">
        <v>220</v>
      </c>
    </row>
    <row r="18582" spans="1:5" x14ac:dyDescent="0.35">
      <c r="A18582" t="s">
        <v>229</v>
      </c>
      <c r="B18582" t="s">
        <v>373</v>
      </c>
      <c r="C18582" s="26">
        <v>0.9718</v>
      </c>
      <c r="D18582" s="26">
        <v>2.8199999999999999E-2</v>
      </c>
      <c r="E18582">
        <v>90</v>
      </c>
    </row>
    <row r="18583" spans="1:5" x14ac:dyDescent="0.35">
      <c r="A18583" t="s">
        <v>230</v>
      </c>
      <c r="B18583" t="s">
        <v>371</v>
      </c>
      <c r="C18583" s="26">
        <v>0.99550000000000005</v>
      </c>
      <c r="D18583" s="26">
        <v>4.4999999999999997E-3</v>
      </c>
      <c r="E18583">
        <v>262</v>
      </c>
    </row>
    <row r="18584" spans="1:5" x14ac:dyDescent="0.35">
      <c r="A18584" t="s">
        <v>230</v>
      </c>
      <c r="B18584" t="s">
        <v>372</v>
      </c>
      <c r="C18584" s="26">
        <v>0.99529999999999996</v>
      </c>
      <c r="D18584" s="26">
        <v>4.7000000000000002E-3</v>
      </c>
      <c r="E18584">
        <v>146</v>
      </c>
    </row>
    <row r="18585" spans="1:5" x14ac:dyDescent="0.35">
      <c r="A18585" t="s">
        <v>230</v>
      </c>
      <c r="B18585" t="s">
        <v>373</v>
      </c>
      <c r="C18585" s="26">
        <v>0.99299999999999999</v>
      </c>
      <c r="D18585" s="26">
        <v>7.0000000000000001E-3</v>
      </c>
      <c r="E18585">
        <v>152</v>
      </c>
    </row>
    <row r="18586" spans="1:5" x14ac:dyDescent="0.35">
      <c r="A18586" t="s">
        <v>231</v>
      </c>
      <c r="B18586" t="s">
        <v>371</v>
      </c>
      <c r="C18586" s="26">
        <v>0.98780000000000001</v>
      </c>
      <c r="D18586" s="26">
        <v>1.2200000000000001E-2</v>
      </c>
      <c r="E18586">
        <v>164</v>
      </c>
    </row>
    <row r="18587" spans="1:5" x14ac:dyDescent="0.35">
      <c r="A18587" t="s">
        <v>232</v>
      </c>
      <c r="B18587" t="s">
        <v>232</v>
      </c>
      <c r="C18587" s="26">
        <v>0.98370000000000002</v>
      </c>
      <c r="D18587" s="26">
        <v>1.6299999999999999E-2</v>
      </c>
      <c r="E18587">
        <v>2810</v>
      </c>
    </row>
    <row r="18589" spans="1:5" x14ac:dyDescent="0.35">
      <c r="A18589" s="1" t="s">
        <v>1875</v>
      </c>
    </row>
    <row r="18590" spans="1:5" x14ac:dyDescent="0.35">
      <c r="A18590" t="s">
        <v>219</v>
      </c>
      <c r="B18590" t="s">
        <v>305</v>
      </c>
      <c r="C18590" t="s">
        <v>303</v>
      </c>
      <c r="D18590" t="s">
        <v>302</v>
      </c>
      <c r="E18590" t="s">
        <v>226</v>
      </c>
    </row>
    <row r="18591" spans="1:5" x14ac:dyDescent="0.35">
      <c r="A18591" t="s">
        <v>227</v>
      </c>
      <c r="B18591" t="s">
        <v>255</v>
      </c>
      <c r="C18591" s="26">
        <v>1</v>
      </c>
      <c r="E18591">
        <v>117</v>
      </c>
    </row>
    <row r="18592" spans="1:5" x14ac:dyDescent="0.35">
      <c r="A18592" s="27" t="s">
        <v>227</v>
      </c>
      <c r="B18592" s="27" t="s">
        <v>257</v>
      </c>
      <c r="C18592" s="28">
        <v>1</v>
      </c>
      <c r="D18592" s="29"/>
      <c r="E18592" s="29" t="s">
        <v>334</v>
      </c>
    </row>
    <row r="18593" spans="1:5" x14ac:dyDescent="0.35">
      <c r="A18593" t="s">
        <v>227</v>
      </c>
      <c r="B18593" t="s">
        <v>256</v>
      </c>
      <c r="C18593" s="26">
        <v>1</v>
      </c>
      <c r="E18593">
        <v>35</v>
      </c>
    </row>
    <row r="18594" spans="1:5" x14ac:dyDescent="0.35">
      <c r="A18594" t="s">
        <v>228</v>
      </c>
      <c r="B18594" t="s">
        <v>257</v>
      </c>
      <c r="C18594" s="26">
        <v>0.96709999999999996</v>
      </c>
      <c r="D18594" s="26">
        <v>3.2899999999999999E-2</v>
      </c>
      <c r="E18594">
        <v>49</v>
      </c>
    </row>
    <row r="18595" spans="1:5" x14ac:dyDescent="0.35">
      <c r="A18595" s="27" t="s">
        <v>228</v>
      </c>
      <c r="B18595" s="27" t="s">
        <v>258</v>
      </c>
      <c r="C18595" s="28">
        <v>1</v>
      </c>
      <c r="D18595" s="29"/>
      <c r="E18595" s="29" t="s">
        <v>337</v>
      </c>
    </row>
    <row r="18596" spans="1:5" x14ac:dyDescent="0.35">
      <c r="A18596" t="s">
        <v>228</v>
      </c>
      <c r="B18596" t="s">
        <v>256</v>
      </c>
      <c r="C18596" s="26">
        <v>0.93869999999999998</v>
      </c>
      <c r="D18596" s="26">
        <v>6.13E-2</v>
      </c>
      <c r="E18596">
        <v>221</v>
      </c>
    </row>
    <row r="18597" spans="1:5" x14ac:dyDescent="0.35">
      <c r="A18597" t="s">
        <v>228</v>
      </c>
      <c r="B18597" t="s">
        <v>255</v>
      </c>
      <c r="C18597" s="26">
        <v>0.98099999999999998</v>
      </c>
      <c r="D18597" s="26">
        <v>1.9E-2</v>
      </c>
      <c r="E18597">
        <v>758</v>
      </c>
    </row>
    <row r="18598" spans="1:5" x14ac:dyDescent="0.35">
      <c r="A18598" t="s">
        <v>229</v>
      </c>
      <c r="B18598" t="s">
        <v>256</v>
      </c>
      <c r="C18598" s="26">
        <v>0.96799999999999997</v>
      </c>
      <c r="D18598" s="26">
        <v>3.2000000000000001E-2</v>
      </c>
      <c r="E18598">
        <v>207</v>
      </c>
    </row>
    <row r="18599" spans="1:5" x14ac:dyDescent="0.35">
      <c r="A18599" t="s">
        <v>229</v>
      </c>
      <c r="B18599" t="s">
        <v>255</v>
      </c>
      <c r="C18599" s="26">
        <v>0.97829999999999995</v>
      </c>
      <c r="D18599" s="26">
        <v>2.1700000000000001E-2</v>
      </c>
      <c r="E18599">
        <v>634</v>
      </c>
    </row>
    <row r="18600" spans="1:5" x14ac:dyDescent="0.35">
      <c r="A18600" t="s">
        <v>229</v>
      </c>
      <c r="B18600" t="s">
        <v>257</v>
      </c>
      <c r="C18600" s="26">
        <v>0.99690000000000001</v>
      </c>
      <c r="D18600" s="26">
        <v>3.0999999999999999E-3</v>
      </c>
      <c r="E18600">
        <v>50</v>
      </c>
    </row>
    <row r="18601" spans="1:5" x14ac:dyDescent="0.35">
      <c r="A18601" s="27" t="s">
        <v>229</v>
      </c>
      <c r="B18601" s="27" t="s">
        <v>258</v>
      </c>
      <c r="C18601" s="28">
        <v>1</v>
      </c>
      <c r="D18601" s="29"/>
      <c r="E18601" s="29" t="s">
        <v>314</v>
      </c>
    </row>
    <row r="18602" spans="1:5" x14ac:dyDescent="0.35">
      <c r="A18602" t="s">
        <v>230</v>
      </c>
      <c r="B18602" t="s">
        <v>256</v>
      </c>
      <c r="C18602" s="26">
        <v>0.98609999999999998</v>
      </c>
      <c r="D18602" s="26">
        <v>1.3899999999999999E-2</v>
      </c>
      <c r="E18602">
        <v>130</v>
      </c>
    </row>
    <row r="18603" spans="1:5" x14ac:dyDescent="0.35">
      <c r="A18603" t="s">
        <v>230</v>
      </c>
      <c r="B18603" t="s">
        <v>255</v>
      </c>
      <c r="C18603" s="26">
        <v>0.99819999999999998</v>
      </c>
      <c r="D18603" s="26">
        <v>1.8E-3</v>
      </c>
      <c r="E18603">
        <v>389</v>
      </c>
    </row>
    <row r="18604" spans="1:5" x14ac:dyDescent="0.35">
      <c r="A18604" t="s">
        <v>230</v>
      </c>
      <c r="B18604" t="s">
        <v>257</v>
      </c>
      <c r="C18604" s="26">
        <v>1</v>
      </c>
      <c r="E18604">
        <v>38</v>
      </c>
    </row>
    <row r="18605" spans="1:5" x14ac:dyDescent="0.35">
      <c r="A18605" s="27" t="s">
        <v>230</v>
      </c>
      <c r="B18605" s="27" t="s">
        <v>258</v>
      </c>
      <c r="C18605" s="28">
        <v>1</v>
      </c>
      <c r="D18605" s="29"/>
      <c r="E18605" s="29" t="s">
        <v>315</v>
      </c>
    </row>
    <row r="18606" spans="1:5" x14ac:dyDescent="0.35">
      <c r="A18606" s="27" t="s">
        <v>231</v>
      </c>
      <c r="B18606" s="27" t="s">
        <v>257</v>
      </c>
      <c r="C18606" s="28">
        <v>1</v>
      </c>
      <c r="D18606" s="29"/>
      <c r="E18606" s="29" t="s">
        <v>339</v>
      </c>
    </row>
    <row r="18607" spans="1:5" x14ac:dyDescent="0.35">
      <c r="A18607" t="s">
        <v>231</v>
      </c>
      <c r="B18607" t="s">
        <v>255</v>
      </c>
      <c r="C18607" s="26">
        <v>0.99219999999999997</v>
      </c>
      <c r="D18607" s="26">
        <v>7.7999999999999996E-3</v>
      </c>
      <c r="E18607">
        <v>129</v>
      </c>
    </row>
    <row r="18608" spans="1:5" x14ac:dyDescent="0.35">
      <c r="A18608" s="27" t="s">
        <v>231</v>
      </c>
      <c r="B18608" s="27" t="s">
        <v>256</v>
      </c>
      <c r="C18608" s="28">
        <v>0.96430000000000005</v>
      </c>
      <c r="D18608" s="28">
        <v>3.5700000000000003E-2</v>
      </c>
      <c r="E18608" s="29" t="s">
        <v>336</v>
      </c>
    </row>
    <row r="18609" spans="1:6" x14ac:dyDescent="0.35">
      <c r="A18609" t="s">
        <v>232</v>
      </c>
      <c r="B18609" t="s">
        <v>232</v>
      </c>
      <c r="C18609" s="26">
        <v>0.98370000000000002</v>
      </c>
      <c r="D18609" s="26">
        <v>1.6299999999999999E-2</v>
      </c>
      <c r="E18609">
        <v>2810</v>
      </c>
    </row>
    <row r="18611" spans="1:6" x14ac:dyDescent="0.35">
      <c r="A18611" s="1" t="s">
        <v>1876</v>
      </c>
    </row>
    <row r="18612" spans="1:6" x14ac:dyDescent="0.35">
      <c r="A18612" t="s">
        <v>219</v>
      </c>
      <c r="B18612" t="s">
        <v>303</v>
      </c>
      <c r="C18612" t="s">
        <v>302</v>
      </c>
      <c r="D18612" t="s">
        <v>286</v>
      </c>
      <c r="E18612" t="s">
        <v>226</v>
      </c>
    </row>
    <row r="18613" spans="1:6" x14ac:dyDescent="0.35">
      <c r="A18613" t="s">
        <v>227</v>
      </c>
      <c r="B18613" s="26">
        <v>0.99380000000000002</v>
      </c>
      <c r="C18613" s="26">
        <v>6.1999999999999998E-3</v>
      </c>
      <c r="E18613">
        <v>161</v>
      </c>
    </row>
    <row r="18614" spans="1:6" x14ac:dyDescent="0.35">
      <c r="A18614" t="s">
        <v>228</v>
      </c>
      <c r="B18614" s="26">
        <v>0.98409999999999997</v>
      </c>
      <c r="C18614" s="26">
        <v>1.5900000000000001E-2</v>
      </c>
      <c r="E18614">
        <v>1032</v>
      </c>
    </row>
    <row r="18615" spans="1:6" x14ac:dyDescent="0.35">
      <c r="A18615" t="s">
        <v>229</v>
      </c>
      <c r="B18615" s="26">
        <v>0.99360000000000004</v>
      </c>
      <c r="C18615" s="26">
        <v>6.4000000000000003E-3</v>
      </c>
      <c r="E18615">
        <v>893</v>
      </c>
    </row>
    <row r="18616" spans="1:6" x14ac:dyDescent="0.35">
      <c r="A18616" t="s">
        <v>230</v>
      </c>
      <c r="B18616" s="26">
        <v>0.99770000000000003</v>
      </c>
      <c r="C18616" s="26">
        <v>2E-3</v>
      </c>
      <c r="D18616" s="26">
        <v>2.9999999999999997E-4</v>
      </c>
      <c r="E18616">
        <v>560</v>
      </c>
    </row>
    <row r="18617" spans="1:6" x14ac:dyDescent="0.35">
      <c r="A18617" t="s">
        <v>231</v>
      </c>
      <c r="B18617" s="26">
        <v>0.98780000000000001</v>
      </c>
      <c r="C18617" s="26">
        <v>1.2200000000000001E-2</v>
      </c>
      <c r="E18617">
        <v>164</v>
      </c>
    </row>
    <row r="18618" spans="1:6" x14ac:dyDescent="0.35">
      <c r="A18618" t="s">
        <v>232</v>
      </c>
      <c r="B18618" s="26">
        <v>0.99060000000000004</v>
      </c>
      <c r="C18618" s="26">
        <v>9.4000000000000004E-3</v>
      </c>
      <c r="D18618" s="26">
        <v>0</v>
      </c>
      <c r="E18618">
        <v>2810</v>
      </c>
    </row>
    <row r="18620" spans="1:6" x14ac:dyDescent="0.35">
      <c r="A18620" s="1" t="s">
        <v>1877</v>
      </c>
    </row>
    <row r="18621" spans="1:6" x14ac:dyDescent="0.35">
      <c r="A18621" t="s">
        <v>219</v>
      </c>
      <c r="B18621" t="s">
        <v>305</v>
      </c>
      <c r="C18621" t="s">
        <v>303</v>
      </c>
      <c r="D18621" t="s">
        <v>302</v>
      </c>
      <c r="E18621" t="s">
        <v>286</v>
      </c>
      <c r="F18621" t="s">
        <v>226</v>
      </c>
    </row>
    <row r="18622" spans="1:6" x14ac:dyDescent="0.35">
      <c r="A18622" t="s">
        <v>227</v>
      </c>
      <c r="B18622" t="s">
        <v>242</v>
      </c>
      <c r="C18622" s="26">
        <v>0.98529999999999995</v>
      </c>
      <c r="D18622" s="26">
        <v>1.47E-2</v>
      </c>
      <c r="F18622">
        <v>68</v>
      </c>
    </row>
    <row r="18623" spans="1:6" x14ac:dyDescent="0.35">
      <c r="A18623" t="s">
        <v>227</v>
      </c>
      <c r="B18623" t="s">
        <v>241</v>
      </c>
      <c r="C18623" s="26">
        <v>1</v>
      </c>
      <c r="F18623">
        <v>93</v>
      </c>
    </row>
    <row r="18624" spans="1:6" x14ac:dyDescent="0.35">
      <c r="A18624" t="s">
        <v>228</v>
      </c>
      <c r="B18624" t="s">
        <v>242</v>
      </c>
      <c r="C18624" s="26">
        <v>0.97389999999999999</v>
      </c>
      <c r="D18624" s="26">
        <v>2.6100000000000002E-2</v>
      </c>
      <c r="F18624">
        <v>401</v>
      </c>
    </row>
    <row r="18625" spans="1:6" x14ac:dyDescent="0.35">
      <c r="A18625" t="s">
        <v>228</v>
      </c>
      <c r="B18625" t="s">
        <v>241</v>
      </c>
      <c r="C18625" s="26">
        <v>0.9899</v>
      </c>
      <c r="D18625" s="26">
        <v>1.01E-2</v>
      </c>
      <c r="F18625">
        <v>631</v>
      </c>
    </row>
    <row r="18626" spans="1:6" x14ac:dyDescent="0.35">
      <c r="A18626" t="s">
        <v>229</v>
      </c>
      <c r="B18626" t="s">
        <v>242</v>
      </c>
      <c r="C18626" s="26">
        <v>1</v>
      </c>
      <c r="F18626">
        <v>291</v>
      </c>
    </row>
    <row r="18627" spans="1:6" x14ac:dyDescent="0.35">
      <c r="A18627" t="s">
        <v>229</v>
      </c>
      <c r="B18627" t="s">
        <v>241</v>
      </c>
      <c r="C18627" s="26">
        <v>0.98960000000000004</v>
      </c>
      <c r="D18627" s="26">
        <v>1.04E-2</v>
      </c>
      <c r="F18627">
        <v>602</v>
      </c>
    </row>
    <row r="18628" spans="1:6" x14ac:dyDescent="0.35">
      <c r="A18628" t="s">
        <v>230</v>
      </c>
      <c r="B18628" t="s">
        <v>242</v>
      </c>
      <c r="C18628" s="26">
        <v>0.99409999999999998</v>
      </c>
      <c r="D18628" s="26">
        <v>5.1000000000000004E-3</v>
      </c>
      <c r="E18628" s="26">
        <v>8.0000000000000004E-4</v>
      </c>
      <c r="F18628">
        <v>189</v>
      </c>
    </row>
    <row r="18629" spans="1:6" x14ac:dyDescent="0.35">
      <c r="A18629" t="s">
        <v>230</v>
      </c>
      <c r="B18629" t="s">
        <v>241</v>
      </c>
      <c r="C18629" s="26">
        <v>0.99960000000000004</v>
      </c>
      <c r="D18629" s="26">
        <v>4.0000000000000002E-4</v>
      </c>
      <c r="F18629">
        <v>371</v>
      </c>
    </row>
    <row r="18630" spans="1:6" x14ac:dyDescent="0.35">
      <c r="A18630" t="s">
        <v>231</v>
      </c>
      <c r="B18630" t="s">
        <v>242</v>
      </c>
      <c r="C18630" s="26">
        <v>1</v>
      </c>
      <c r="F18630">
        <v>54</v>
      </c>
    </row>
    <row r="18631" spans="1:6" x14ac:dyDescent="0.35">
      <c r="A18631" t="s">
        <v>231</v>
      </c>
      <c r="B18631" t="s">
        <v>241</v>
      </c>
      <c r="C18631" s="26">
        <v>0.98180000000000001</v>
      </c>
      <c r="D18631" s="26">
        <v>1.8200000000000001E-2</v>
      </c>
      <c r="F18631">
        <v>110</v>
      </c>
    </row>
    <row r="18632" spans="1:6" x14ac:dyDescent="0.35">
      <c r="A18632" t="s">
        <v>232</v>
      </c>
      <c r="B18632" t="s">
        <v>232</v>
      </c>
      <c r="C18632" s="26">
        <v>0.99060000000000004</v>
      </c>
      <c r="D18632" s="26">
        <v>9.4000000000000004E-3</v>
      </c>
      <c r="E18632" s="26">
        <v>0</v>
      </c>
      <c r="F18632">
        <v>2810</v>
      </c>
    </row>
    <row r="18634" spans="1:6" x14ac:dyDescent="0.35">
      <c r="A18634" s="1" t="s">
        <v>1878</v>
      </c>
    </row>
    <row r="18635" spans="1:6" x14ac:dyDescent="0.35">
      <c r="A18635" t="s">
        <v>219</v>
      </c>
      <c r="B18635" t="s">
        <v>305</v>
      </c>
      <c r="C18635" t="s">
        <v>303</v>
      </c>
      <c r="D18635" t="s">
        <v>302</v>
      </c>
      <c r="E18635" t="s">
        <v>286</v>
      </c>
      <c r="F18635" t="s">
        <v>226</v>
      </c>
    </row>
    <row r="18636" spans="1:6" x14ac:dyDescent="0.35">
      <c r="A18636" t="s">
        <v>227</v>
      </c>
      <c r="B18636" t="s">
        <v>239</v>
      </c>
      <c r="C18636" s="26">
        <v>1</v>
      </c>
      <c r="F18636">
        <v>62</v>
      </c>
    </row>
    <row r="18637" spans="1:6" x14ac:dyDescent="0.35">
      <c r="A18637" t="s">
        <v>227</v>
      </c>
      <c r="B18637" t="s">
        <v>238</v>
      </c>
      <c r="C18637" s="26">
        <v>0.9899</v>
      </c>
      <c r="D18637" s="26">
        <v>1.01E-2</v>
      </c>
      <c r="F18637">
        <v>99</v>
      </c>
    </row>
    <row r="18638" spans="1:6" x14ac:dyDescent="0.35">
      <c r="A18638" t="s">
        <v>228</v>
      </c>
      <c r="B18638" t="s">
        <v>239</v>
      </c>
      <c r="C18638" s="26">
        <v>0.95309999999999995</v>
      </c>
      <c r="D18638" s="26">
        <v>4.6899999999999997E-2</v>
      </c>
      <c r="F18638">
        <v>330</v>
      </c>
    </row>
    <row r="18639" spans="1:6" x14ac:dyDescent="0.35">
      <c r="A18639" t="s">
        <v>228</v>
      </c>
      <c r="B18639" t="s">
        <v>238</v>
      </c>
      <c r="C18639" s="26">
        <v>0.99219999999999997</v>
      </c>
      <c r="D18639" s="26">
        <v>7.7999999999999996E-3</v>
      </c>
      <c r="F18639">
        <v>702</v>
      </c>
    </row>
    <row r="18640" spans="1:6" x14ac:dyDescent="0.35">
      <c r="A18640" t="s">
        <v>229</v>
      </c>
      <c r="B18640" t="s">
        <v>239</v>
      </c>
      <c r="C18640" s="26">
        <v>0.98619999999999997</v>
      </c>
      <c r="D18640" s="26">
        <v>1.38E-2</v>
      </c>
      <c r="F18640">
        <v>332</v>
      </c>
    </row>
    <row r="18641" spans="1:6" x14ac:dyDescent="0.35">
      <c r="A18641" t="s">
        <v>229</v>
      </c>
      <c r="B18641" t="s">
        <v>238</v>
      </c>
      <c r="C18641" s="26">
        <v>0.99619999999999997</v>
      </c>
      <c r="D18641" s="26">
        <v>3.8E-3</v>
      </c>
      <c r="F18641">
        <v>561</v>
      </c>
    </row>
    <row r="18642" spans="1:6" x14ac:dyDescent="0.35">
      <c r="A18642" t="s">
        <v>230</v>
      </c>
      <c r="B18642" t="s">
        <v>239</v>
      </c>
      <c r="C18642" s="26">
        <v>0.99429999999999996</v>
      </c>
      <c r="D18642" s="26">
        <v>4.7999999999999996E-3</v>
      </c>
      <c r="E18642" s="26">
        <v>8.9999999999999998E-4</v>
      </c>
      <c r="F18642">
        <v>211</v>
      </c>
    </row>
    <row r="18643" spans="1:6" x14ac:dyDescent="0.35">
      <c r="A18643" t="s">
        <v>230</v>
      </c>
      <c r="B18643" t="s">
        <v>238</v>
      </c>
      <c r="C18643" s="26">
        <v>0.99919999999999998</v>
      </c>
      <c r="D18643" s="26">
        <v>8.0000000000000004E-4</v>
      </c>
      <c r="F18643">
        <v>349</v>
      </c>
    </row>
    <row r="18644" spans="1:6" x14ac:dyDescent="0.35">
      <c r="A18644" t="s">
        <v>231</v>
      </c>
      <c r="B18644" t="s">
        <v>239</v>
      </c>
      <c r="C18644" s="26">
        <v>0.96489999999999998</v>
      </c>
      <c r="D18644" s="26">
        <v>3.5099999999999999E-2</v>
      </c>
      <c r="F18644">
        <v>57</v>
      </c>
    </row>
    <row r="18645" spans="1:6" x14ac:dyDescent="0.35">
      <c r="A18645" t="s">
        <v>231</v>
      </c>
      <c r="B18645" t="s">
        <v>238</v>
      </c>
      <c r="C18645" s="26">
        <v>1</v>
      </c>
      <c r="F18645">
        <v>107</v>
      </c>
    </row>
    <row r="18646" spans="1:6" x14ac:dyDescent="0.35">
      <c r="A18646" t="s">
        <v>232</v>
      </c>
      <c r="B18646" t="s">
        <v>232</v>
      </c>
      <c r="C18646" s="26">
        <v>0.99060000000000004</v>
      </c>
      <c r="D18646" s="26">
        <v>9.4000000000000004E-3</v>
      </c>
      <c r="E18646" s="26">
        <v>0</v>
      </c>
      <c r="F18646">
        <v>2810</v>
      </c>
    </row>
    <row r="18648" spans="1:6" x14ac:dyDescent="0.35">
      <c r="A18648" s="1" t="s">
        <v>1879</v>
      </c>
    </row>
    <row r="18649" spans="1:6" x14ac:dyDescent="0.35">
      <c r="A18649" t="s">
        <v>219</v>
      </c>
      <c r="B18649" t="s">
        <v>305</v>
      </c>
      <c r="C18649" t="s">
        <v>303</v>
      </c>
      <c r="D18649" t="s">
        <v>302</v>
      </c>
      <c r="E18649" t="s">
        <v>286</v>
      </c>
      <c r="F18649" t="s">
        <v>226</v>
      </c>
    </row>
    <row r="18650" spans="1:6" x14ac:dyDescent="0.35">
      <c r="A18650" t="s">
        <v>227</v>
      </c>
      <c r="B18650" t="s">
        <v>244</v>
      </c>
      <c r="C18650" s="26">
        <v>0.98960000000000004</v>
      </c>
      <c r="D18650" s="26">
        <v>1.04E-2</v>
      </c>
      <c r="F18650">
        <v>96</v>
      </c>
    </row>
    <row r="18651" spans="1:6" x14ac:dyDescent="0.35">
      <c r="A18651" t="s">
        <v>227</v>
      </c>
      <c r="B18651" t="s">
        <v>245</v>
      </c>
      <c r="C18651" s="26">
        <v>1</v>
      </c>
      <c r="F18651">
        <v>53</v>
      </c>
    </row>
    <row r="18652" spans="1:6" x14ac:dyDescent="0.35">
      <c r="A18652" s="27" t="s">
        <v>227</v>
      </c>
      <c r="B18652" s="27" t="s">
        <v>246</v>
      </c>
      <c r="C18652" s="28">
        <v>1</v>
      </c>
      <c r="D18652" s="29"/>
      <c r="E18652" s="29"/>
      <c r="F18652" s="29" t="s">
        <v>342</v>
      </c>
    </row>
    <row r="18653" spans="1:6" x14ac:dyDescent="0.35">
      <c r="A18653" t="s">
        <v>228</v>
      </c>
      <c r="B18653" t="s">
        <v>244</v>
      </c>
      <c r="C18653" s="26">
        <v>0.99029999999999996</v>
      </c>
      <c r="D18653" s="26">
        <v>9.7000000000000003E-3</v>
      </c>
      <c r="F18653">
        <v>638</v>
      </c>
    </row>
    <row r="18654" spans="1:6" x14ac:dyDescent="0.35">
      <c r="A18654" t="s">
        <v>228</v>
      </c>
      <c r="B18654" t="s">
        <v>245</v>
      </c>
      <c r="C18654" s="26">
        <v>0.96719999999999995</v>
      </c>
      <c r="D18654" s="26">
        <v>3.2800000000000003E-2</v>
      </c>
      <c r="F18654">
        <v>327</v>
      </c>
    </row>
    <row r="18655" spans="1:6" x14ac:dyDescent="0.35">
      <c r="A18655" t="s">
        <v>228</v>
      </c>
      <c r="B18655" t="s">
        <v>246</v>
      </c>
      <c r="C18655" s="26">
        <v>0.99399999999999999</v>
      </c>
      <c r="D18655" s="26">
        <v>6.0000000000000001E-3</v>
      </c>
      <c r="F18655">
        <v>67</v>
      </c>
    </row>
    <row r="18656" spans="1:6" x14ac:dyDescent="0.35">
      <c r="A18656" t="s">
        <v>229</v>
      </c>
      <c r="B18656" t="s">
        <v>244</v>
      </c>
      <c r="C18656" s="26">
        <v>0.995</v>
      </c>
      <c r="D18656" s="26">
        <v>5.0000000000000001E-3</v>
      </c>
      <c r="F18656">
        <v>555</v>
      </c>
    </row>
    <row r="18657" spans="1:6" x14ac:dyDescent="0.35">
      <c r="A18657" t="s">
        <v>229</v>
      </c>
      <c r="B18657" t="s">
        <v>245</v>
      </c>
      <c r="C18657" s="26">
        <v>0.98839999999999995</v>
      </c>
      <c r="D18657" s="26">
        <v>1.1599999999999999E-2</v>
      </c>
      <c r="F18657">
        <v>293</v>
      </c>
    </row>
    <row r="18658" spans="1:6" x14ac:dyDescent="0.35">
      <c r="A18658" t="s">
        <v>229</v>
      </c>
      <c r="B18658" t="s">
        <v>246</v>
      </c>
      <c r="C18658" s="26">
        <v>1</v>
      </c>
      <c r="F18658">
        <v>45</v>
      </c>
    </row>
    <row r="18659" spans="1:6" x14ac:dyDescent="0.35">
      <c r="A18659" t="s">
        <v>230</v>
      </c>
      <c r="B18659" t="s">
        <v>244</v>
      </c>
      <c r="C18659" s="26">
        <v>0.99829999999999997</v>
      </c>
      <c r="D18659" s="26">
        <v>1.6999999999999999E-3</v>
      </c>
      <c r="F18659">
        <v>370</v>
      </c>
    </row>
    <row r="18660" spans="1:6" x14ac:dyDescent="0.35">
      <c r="A18660" t="s">
        <v>230</v>
      </c>
      <c r="B18660" t="s">
        <v>245</v>
      </c>
      <c r="C18660" s="26">
        <v>0.99580000000000002</v>
      </c>
      <c r="D18660" s="26">
        <v>3.2000000000000002E-3</v>
      </c>
      <c r="E18660" s="26">
        <v>1.1000000000000001E-3</v>
      </c>
      <c r="F18660">
        <v>161</v>
      </c>
    </row>
    <row r="18661" spans="1:6" x14ac:dyDescent="0.35">
      <c r="A18661" s="27" t="s">
        <v>230</v>
      </c>
      <c r="B18661" s="27" t="s">
        <v>246</v>
      </c>
      <c r="C18661" s="28">
        <v>1</v>
      </c>
      <c r="D18661" s="29"/>
      <c r="E18661" s="29"/>
      <c r="F18661" s="29" t="s">
        <v>329</v>
      </c>
    </row>
    <row r="18662" spans="1:6" x14ac:dyDescent="0.35">
      <c r="A18662" t="s">
        <v>231</v>
      </c>
      <c r="B18662" t="s">
        <v>244</v>
      </c>
      <c r="C18662" s="26">
        <v>0.98950000000000005</v>
      </c>
      <c r="D18662" s="26">
        <v>1.0500000000000001E-2</v>
      </c>
      <c r="F18662">
        <v>95</v>
      </c>
    </row>
    <row r="18663" spans="1:6" x14ac:dyDescent="0.35">
      <c r="A18663" t="s">
        <v>231</v>
      </c>
      <c r="B18663" t="s">
        <v>245</v>
      </c>
      <c r="C18663" s="26">
        <v>1</v>
      </c>
      <c r="F18663">
        <v>56</v>
      </c>
    </row>
    <row r="18664" spans="1:6" x14ac:dyDescent="0.35">
      <c r="A18664" s="27" t="s">
        <v>231</v>
      </c>
      <c r="B18664" s="27" t="s">
        <v>246</v>
      </c>
      <c r="C18664" s="28">
        <v>0.92310000000000003</v>
      </c>
      <c r="D18664" s="28">
        <v>7.6899999999999996E-2</v>
      </c>
      <c r="E18664" s="29"/>
      <c r="F18664" s="29" t="s">
        <v>341</v>
      </c>
    </row>
    <row r="18665" spans="1:6" x14ac:dyDescent="0.35">
      <c r="A18665" t="s">
        <v>232</v>
      </c>
      <c r="B18665" t="s">
        <v>232</v>
      </c>
      <c r="C18665" s="26">
        <v>0.99060000000000004</v>
      </c>
      <c r="D18665" s="26">
        <v>9.4000000000000004E-3</v>
      </c>
      <c r="E18665" s="26">
        <v>0</v>
      </c>
      <c r="F18665">
        <v>2810</v>
      </c>
    </row>
    <row r="18667" spans="1:6" x14ac:dyDescent="0.35">
      <c r="A18667" s="1" t="s">
        <v>1880</v>
      </c>
    </row>
    <row r="18668" spans="1:6" x14ac:dyDescent="0.35">
      <c r="A18668" t="s">
        <v>219</v>
      </c>
      <c r="B18668" t="s">
        <v>305</v>
      </c>
      <c r="C18668" t="s">
        <v>303</v>
      </c>
      <c r="D18668" t="s">
        <v>302</v>
      </c>
      <c r="E18668" t="s">
        <v>286</v>
      </c>
      <c r="F18668" t="s">
        <v>226</v>
      </c>
    </row>
    <row r="18669" spans="1:6" x14ac:dyDescent="0.35">
      <c r="A18669" t="s">
        <v>227</v>
      </c>
      <c r="B18669" t="s">
        <v>360</v>
      </c>
      <c r="C18669" s="26">
        <v>1</v>
      </c>
      <c r="F18669">
        <v>39</v>
      </c>
    </row>
    <row r="18670" spans="1:6" x14ac:dyDescent="0.35">
      <c r="A18670" t="s">
        <v>227</v>
      </c>
      <c r="B18670" t="s">
        <v>361</v>
      </c>
      <c r="C18670" s="26">
        <v>1</v>
      </c>
      <c r="F18670">
        <v>32</v>
      </c>
    </row>
    <row r="18671" spans="1:6" x14ac:dyDescent="0.35">
      <c r="A18671" t="s">
        <v>227</v>
      </c>
      <c r="B18671" t="s">
        <v>362</v>
      </c>
      <c r="C18671" s="26">
        <v>1</v>
      </c>
      <c r="F18671">
        <v>37</v>
      </c>
    </row>
    <row r="18672" spans="1:6" x14ac:dyDescent="0.35">
      <c r="A18672" t="s">
        <v>227</v>
      </c>
      <c r="B18672" t="s">
        <v>363</v>
      </c>
      <c r="C18672" s="26">
        <v>0.9778</v>
      </c>
      <c r="D18672" s="26">
        <v>2.2200000000000001E-2</v>
      </c>
      <c r="F18672">
        <v>45</v>
      </c>
    </row>
    <row r="18673" spans="1:6" x14ac:dyDescent="0.35">
      <c r="A18673" t="s">
        <v>228</v>
      </c>
      <c r="B18673" t="s">
        <v>360</v>
      </c>
      <c r="C18673" s="26">
        <v>0.95289999999999997</v>
      </c>
      <c r="D18673" s="26">
        <v>4.7100000000000003E-2</v>
      </c>
      <c r="F18673">
        <v>257</v>
      </c>
    </row>
    <row r="18674" spans="1:6" x14ac:dyDescent="0.35">
      <c r="A18674" t="s">
        <v>228</v>
      </c>
      <c r="B18674" t="s">
        <v>361</v>
      </c>
      <c r="C18674" s="26">
        <v>0.99770000000000003</v>
      </c>
      <c r="D18674" s="26">
        <v>2.3E-3</v>
      </c>
      <c r="F18674">
        <v>194</v>
      </c>
    </row>
    <row r="18675" spans="1:6" x14ac:dyDescent="0.35">
      <c r="A18675" t="s">
        <v>228</v>
      </c>
      <c r="B18675" t="s">
        <v>363</v>
      </c>
      <c r="C18675" s="26">
        <v>0.98509999999999998</v>
      </c>
      <c r="D18675" s="26">
        <v>1.49E-2</v>
      </c>
      <c r="F18675">
        <v>212</v>
      </c>
    </row>
    <row r="18676" spans="1:6" x14ac:dyDescent="0.35">
      <c r="A18676" t="s">
        <v>228</v>
      </c>
      <c r="B18676" t="s">
        <v>362</v>
      </c>
      <c r="C18676" s="26">
        <v>0.99280000000000002</v>
      </c>
      <c r="D18676" s="26">
        <v>7.1999999999999998E-3</v>
      </c>
      <c r="F18676">
        <v>236</v>
      </c>
    </row>
    <row r="18677" spans="1:6" x14ac:dyDescent="0.35">
      <c r="A18677" t="s">
        <v>229</v>
      </c>
      <c r="B18677" t="s">
        <v>363</v>
      </c>
      <c r="C18677" s="26">
        <v>1</v>
      </c>
      <c r="F18677">
        <v>190</v>
      </c>
    </row>
    <row r="18678" spans="1:6" x14ac:dyDescent="0.35">
      <c r="A18678" t="s">
        <v>229</v>
      </c>
      <c r="B18678" t="s">
        <v>360</v>
      </c>
      <c r="C18678" s="26">
        <v>0.99829999999999997</v>
      </c>
      <c r="D18678" s="26">
        <v>1.6999999999999999E-3</v>
      </c>
      <c r="F18678">
        <v>164</v>
      </c>
    </row>
    <row r="18679" spans="1:6" x14ac:dyDescent="0.35">
      <c r="A18679" t="s">
        <v>229</v>
      </c>
      <c r="B18679" t="s">
        <v>361</v>
      </c>
      <c r="C18679" s="26">
        <v>0.98580000000000001</v>
      </c>
      <c r="D18679" s="26">
        <v>1.4200000000000001E-2</v>
      </c>
      <c r="F18679">
        <v>243</v>
      </c>
    </row>
    <row r="18680" spans="1:6" x14ac:dyDescent="0.35">
      <c r="A18680" t="s">
        <v>229</v>
      </c>
      <c r="B18680" t="s">
        <v>362</v>
      </c>
      <c r="C18680" s="26">
        <v>0.998</v>
      </c>
      <c r="D18680" s="26">
        <v>2E-3</v>
      </c>
      <c r="F18680">
        <v>171</v>
      </c>
    </row>
    <row r="18681" spans="1:6" x14ac:dyDescent="0.35">
      <c r="A18681" t="s">
        <v>230</v>
      </c>
      <c r="B18681" t="s">
        <v>360</v>
      </c>
      <c r="C18681" s="26">
        <v>0.98929999999999996</v>
      </c>
      <c r="D18681" s="26">
        <v>9.1999999999999998E-3</v>
      </c>
      <c r="E18681" s="26">
        <v>1.5E-3</v>
      </c>
      <c r="F18681">
        <v>120</v>
      </c>
    </row>
    <row r="18682" spans="1:6" x14ac:dyDescent="0.35">
      <c r="A18682" t="s">
        <v>230</v>
      </c>
      <c r="B18682" t="s">
        <v>363</v>
      </c>
      <c r="C18682" s="26">
        <v>1</v>
      </c>
      <c r="F18682">
        <v>127</v>
      </c>
    </row>
    <row r="18683" spans="1:6" x14ac:dyDescent="0.35">
      <c r="A18683" t="s">
        <v>230</v>
      </c>
      <c r="B18683" t="s">
        <v>361</v>
      </c>
      <c r="C18683" s="26">
        <v>1</v>
      </c>
      <c r="F18683">
        <v>109</v>
      </c>
    </row>
    <row r="18684" spans="1:6" x14ac:dyDescent="0.35">
      <c r="A18684" t="s">
        <v>230</v>
      </c>
      <c r="B18684" t="s">
        <v>362</v>
      </c>
      <c r="C18684" s="26">
        <v>0.99890000000000001</v>
      </c>
      <c r="D18684" s="26">
        <v>1.1000000000000001E-3</v>
      </c>
      <c r="F18684">
        <v>148</v>
      </c>
    </row>
    <row r="18685" spans="1:6" x14ac:dyDescent="0.35">
      <c r="A18685" s="27" t="s">
        <v>231</v>
      </c>
      <c r="B18685" s="27" t="s">
        <v>362</v>
      </c>
      <c r="C18685" s="28">
        <v>1</v>
      </c>
      <c r="D18685" s="29"/>
      <c r="E18685" s="29"/>
      <c r="F18685" s="29" t="s">
        <v>329</v>
      </c>
    </row>
    <row r="18686" spans="1:6" x14ac:dyDescent="0.35">
      <c r="A18686" t="s">
        <v>231</v>
      </c>
      <c r="B18686" t="s">
        <v>361</v>
      </c>
      <c r="C18686" s="26">
        <v>0.98</v>
      </c>
      <c r="D18686" s="26">
        <v>0.02</v>
      </c>
      <c r="F18686">
        <v>50</v>
      </c>
    </row>
    <row r="18687" spans="1:6" x14ac:dyDescent="0.35">
      <c r="A18687" t="s">
        <v>231</v>
      </c>
      <c r="B18687" t="s">
        <v>360</v>
      </c>
      <c r="C18687" s="26">
        <v>1</v>
      </c>
      <c r="F18687">
        <v>44</v>
      </c>
    </row>
    <row r="18688" spans="1:6" x14ac:dyDescent="0.35">
      <c r="A18688" s="27" t="s">
        <v>231</v>
      </c>
      <c r="B18688" s="27" t="s">
        <v>363</v>
      </c>
      <c r="C18688" s="28">
        <v>0.96299999999999997</v>
      </c>
      <c r="D18688" s="28">
        <v>3.6999999999999998E-2</v>
      </c>
      <c r="E18688" s="29"/>
      <c r="F18688" s="29" t="s">
        <v>338</v>
      </c>
    </row>
    <row r="18689" spans="1:6" x14ac:dyDescent="0.35">
      <c r="A18689" t="s">
        <v>232</v>
      </c>
      <c r="B18689" t="s">
        <v>232</v>
      </c>
      <c r="C18689" s="26">
        <v>0.99060000000000004</v>
      </c>
      <c r="D18689" s="26">
        <v>9.4000000000000004E-3</v>
      </c>
      <c r="E18689" s="26">
        <v>0</v>
      </c>
      <c r="F18689">
        <v>2474</v>
      </c>
    </row>
    <row r="18691" spans="1:6" x14ac:dyDescent="0.35">
      <c r="A18691" s="1" t="s">
        <v>1881</v>
      </c>
    </row>
    <row r="18692" spans="1:6" x14ac:dyDescent="0.35">
      <c r="A18692" t="s">
        <v>219</v>
      </c>
      <c r="B18692" t="s">
        <v>305</v>
      </c>
      <c r="C18692" t="s">
        <v>303</v>
      </c>
      <c r="D18692" t="s">
        <v>302</v>
      </c>
      <c r="E18692" t="s">
        <v>286</v>
      </c>
      <c r="F18692" t="s">
        <v>226</v>
      </c>
    </row>
    <row r="18693" spans="1:6" x14ac:dyDescent="0.35">
      <c r="A18693" t="s">
        <v>227</v>
      </c>
      <c r="B18693" t="s">
        <v>267</v>
      </c>
      <c r="C18693" s="26">
        <v>1</v>
      </c>
      <c r="F18693">
        <v>36</v>
      </c>
    </row>
    <row r="18694" spans="1:6" x14ac:dyDescent="0.35">
      <c r="A18694" t="s">
        <v>227</v>
      </c>
      <c r="B18694" t="s">
        <v>266</v>
      </c>
      <c r="C18694" s="26">
        <v>0.98309999999999997</v>
      </c>
      <c r="D18694" s="26">
        <v>1.6899999999999998E-2</v>
      </c>
      <c r="F18694">
        <v>59</v>
      </c>
    </row>
    <row r="18695" spans="1:6" x14ac:dyDescent="0.35">
      <c r="A18695" t="s">
        <v>227</v>
      </c>
      <c r="B18695" t="s">
        <v>265</v>
      </c>
      <c r="C18695" s="26">
        <v>1</v>
      </c>
      <c r="F18695">
        <v>66</v>
      </c>
    </row>
    <row r="18696" spans="1:6" x14ac:dyDescent="0.35">
      <c r="A18696" t="s">
        <v>228</v>
      </c>
      <c r="B18696" t="s">
        <v>267</v>
      </c>
      <c r="C18696" s="26">
        <v>0.97889999999999999</v>
      </c>
      <c r="D18696" s="26">
        <v>2.1100000000000001E-2</v>
      </c>
      <c r="F18696">
        <v>199</v>
      </c>
    </row>
    <row r="18697" spans="1:6" x14ac:dyDescent="0.35">
      <c r="A18697" t="s">
        <v>228</v>
      </c>
      <c r="B18697" t="s">
        <v>265</v>
      </c>
      <c r="C18697" s="26">
        <v>0.99750000000000005</v>
      </c>
      <c r="D18697" s="26">
        <v>2.5000000000000001E-3</v>
      </c>
      <c r="F18697">
        <v>384</v>
      </c>
    </row>
    <row r="18698" spans="1:6" x14ac:dyDescent="0.35">
      <c r="A18698" s="27" t="s">
        <v>228</v>
      </c>
      <c r="B18698" s="27" t="s">
        <v>236</v>
      </c>
      <c r="C18698" s="28">
        <v>1</v>
      </c>
      <c r="D18698" s="29"/>
      <c r="E18698" s="29"/>
      <c r="F18698" s="29" t="s">
        <v>314</v>
      </c>
    </row>
    <row r="18699" spans="1:6" x14ac:dyDescent="0.35">
      <c r="A18699" t="s">
        <v>228</v>
      </c>
      <c r="B18699" t="s">
        <v>266</v>
      </c>
      <c r="C18699" s="26">
        <v>0.97240000000000004</v>
      </c>
      <c r="D18699" s="26">
        <v>2.76E-2</v>
      </c>
      <c r="F18699">
        <v>447</v>
      </c>
    </row>
    <row r="18700" spans="1:6" x14ac:dyDescent="0.35">
      <c r="A18700" t="s">
        <v>229</v>
      </c>
      <c r="B18700" t="s">
        <v>266</v>
      </c>
      <c r="C18700" s="26">
        <v>0.98180000000000001</v>
      </c>
      <c r="D18700" s="26">
        <v>1.8200000000000001E-2</v>
      </c>
      <c r="F18700">
        <v>358</v>
      </c>
    </row>
    <row r="18701" spans="1:6" x14ac:dyDescent="0.35">
      <c r="A18701" t="s">
        <v>229</v>
      </c>
      <c r="B18701" t="s">
        <v>267</v>
      </c>
      <c r="C18701" s="26">
        <v>1</v>
      </c>
      <c r="F18701">
        <v>201</v>
      </c>
    </row>
    <row r="18702" spans="1:6" x14ac:dyDescent="0.35">
      <c r="A18702" t="s">
        <v>229</v>
      </c>
      <c r="B18702" t="s">
        <v>265</v>
      </c>
      <c r="C18702" s="26">
        <v>0.99909999999999999</v>
      </c>
      <c r="D18702" s="26">
        <v>8.9999999999999998E-4</v>
      </c>
      <c r="F18702">
        <v>334</v>
      </c>
    </row>
    <row r="18703" spans="1:6" x14ac:dyDescent="0.35">
      <c r="A18703" t="s">
        <v>230</v>
      </c>
      <c r="B18703" t="s">
        <v>267</v>
      </c>
      <c r="C18703" s="26">
        <v>0.99880000000000002</v>
      </c>
      <c r="D18703" s="26">
        <v>1.1999999999999999E-3</v>
      </c>
      <c r="F18703">
        <v>119</v>
      </c>
    </row>
    <row r="18704" spans="1:6" x14ac:dyDescent="0.35">
      <c r="A18704" t="s">
        <v>230</v>
      </c>
      <c r="B18704" t="s">
        <v>266</v>
      </c>
      <c r="C18704" s="26">
        <v>0.997</v>
      </c>
      <c r="D18704" s="26">
        <v>2.3E-3</v>
      </c>
      <c r="E18704" s="26">
        <v>8.0000000000000004E-4</v>
      </c>
      <c r="F18704">
        <v>232</v>
      </c>
    </row>
    <row r="18705" spans="1:6" x14ac:dyDescent="0.35">
      <c r="A18705" t="s">
        <v>230</v>
      </c>
      <c r="B18705" t="s">
        <v>265</v>
      </c>
      <c r="C18705" s="26">
        <v>0.99780000000000002</v>
      </c>
      <c r="D18705" s="26">
        <v>2.2000000000000001E-3</v>
      </c>
      <c r="F18705">
        <v>209</v>
      </c>
    </row>
    <row r="18706" spans="1:6" x14ac:dyDescent="0.35">
      <c r="A18706" t="s">
        <v>231</v>
      </c>
      <c r="B18706" t="s">
        <v>267</v>
      </c>
      <c r="C18706" s="26">
        <v>1</v>
      </c>
      <c r="F18706">
        <v>34</v>
      </c>
    </row>
    <row r="18707" spans="1:6" x14ac:dyDescent="0.35">
      <c r="A18707" t="s">
        <v>231</v>
      </c>
      <c r="B18707" t="s">
        <v>266</v>
      </c>
      <c r="C18707" s="26">
        <v>1</v>
      </c>
      <c r="F18707">
        <v>62</v>
      </c>
    </row>
    <row r="18708" spans="1:6" x14ac:dyDescent="0.35">
      <c r="A18708" t="s">
        <v>231</v>
      </c>
      <c r="B18708" t="s">
        <v>265</v>
      </c>
      <c r="C18708" s="26">
        <v>0.97060000000000002</v>
      </c>
      <c r="D18708" s="26">
        <v>2.9399999999999999E-2</v>
      </c>
      <c r="F18708">
        <v>68</v>
      </c>
    </row>
    <row r="18709" spans="1:6" x14ac:dyDescent="0.35">
      <c r="A18709" t="s">
        <v>232</v>
      </c>
      <c r="B18709" t="s">
        <v>232</v>
      </c>
      <c r="C18709" s="26">
        <v>0.99060000000000004</v>
      </c>
      <c r="D18709" s="26">
        <v>9.4000000000000004E-3</v>
      </c>
      <c r="E18709" s="26">
        <v>0</v>
      </c>
      <c r="F18709">
        <v>2810</v>
      </c>
    </row>
    <row r="18711" spans="1:6" x14ac:dyDescent="0.35">
      <c r="A18711" s="1" t="s">
        <v>1882</v>
      </c>
    </row>
    <row r="18712" spans="1:6" x14ac:dyDescent="0.35">
      <c r="A18712" t="s">
        <v>219</v>
      </c>
      <c r="B18712" t="s">
        <v>305</v>
      </c>
      <c r="C18712" t="s">
        <v>303</v>
      </c>
      <c r="D18712" t="s">
        <v>302</v>
      </c>
      <c r="E18712" t="s">
        <v>286</v>
      </c>
      <c r="F18712" t="s">
        <v>226</v>
      </c>
    </row>
    <row r="18713" spans="1:6" x14ac:dyDescent="0.35">
      <c r="A18713" t="s">
        <v>227</v>
      </c>
      <c r="B18713" t="s">
        <v>252</v>
      </c>
      <c r="C18713" s="26">
        <v>1</v>
      </c>
      <c r="F18713">
        <v>45</v>
      </c>
    </row>
    <row r="18714" spans="1:6" x14ac:dyDescent="0.35">
      <c r="A18714" t="s">
        <v>227</v>
      </c>
      <c r="B18714" t="s">
        <v>253</v>
      </c>
      <c r="C18714" s="26">
        <v>0.97060000000000002</v>
      </c>
      <c r="D18714" s="26">
        <v>2.9399999999999999E-2</v>
      </c>
      <c r="F18714">
        <v>34</v>
      </c>
    </row>
    <row r="18715" spans="1:6" x14ac:dyDescent="0.35">
      <c r="A18715" t="s">
        <v>227</v>
      </c>
      <c r="B18715" t="s">
        <v>251</v>
      </c>
      <c r="C18715" s="26">
        <v>1</v>
      </c>
      <c r="F18715">
        <v>82</v>
      </c>
    </row>
    <row r="18716" spans="1:6" x14ac:dyDescent="0.35">
      <c r="A18716" t="s">
        <v>228</v>
      </c>
      <c r="B18716" t="s">
        <v>252</v>
      </c>
      <c r="C18716" s="26">
        <v>0.96960000000000002</v>
      </c>
      <c r="D18716" s="26">
        <v>3.04E-2</v>
      </c>
      <c r="F18716">
        <v>343</v>
      </c>
    </row>
    <row r="18717" spans="1:6" x14ac:dyDescent="0.35">
      <c r="A18717" t="s">
        <v>228</v>
      </c>
      <c r="B18717" t="s">
        <v>253</v>
      </c>
      <c r="C18717" s="26">
        <v>0.99560000000000004</v>
      </c>
      <c r="D18717" s="26">
        <v>4.4000000000000003E-3</v>
      </c>
      <c r="F18717">
        <v>222</v>
      </c>
    </row>
    <row r="18718" spans="1:6" x14ac:dyDescent="0.35">
      <c r="A18718" t="s">
        <v>228</v>
      </c>
      <c r="B18718" t="s">
        <v>251</v>
      </c>
      <c r="C18718" s="26">
        <v>0.9889</v>
      </c>
      <c r="D18718" s="26">
        <v>1.11E-2</v>
      </c>
      <c r="F18718">
        <v>467</v>
      </c>
    </row>
    <row r="18719" spans="1:6" x14ac:dyDescent="0.35">
      <c r="A18719" t="s">
        <v>229</v>
      </c>
      <c r="B18719" t="s">
        <v>252</v>
      </c>
      <c r="C18719" s="26">
        <v>0.99809999999999999</v>
      </c>
      <c r="D18719" s="26">
        <v>1.9E-3</v>
      </c>
      <c r="F18719">
        <v>199</v>
      </c>
    </row>
    <row r="18720" spans="1:6" x14ac:dyDescent="0.35">
      <c r="A18720" t="s">
        <v>229</v>
      </c>
      <c r="B18720" t="s">
        <v>253</v>
      </c>
      <c r="C18720" s="26">
        <v>1</v>
      </c>
      <c r="F18720">
        <v>145</v>
      </c>
    </row>
    <row r="18721" spans="1:6" x14ac:dyDescent="0.35">
      <c r="A18721" t="s">
        <v>229</v>
      </c>
      <c r="B18721" t="s">
        <v>251</v>
      </c>
      <c r="C18721" s="26">
        <v>0.98980000000000001</v>
      </c>
      <c r="D18721" s="26">
        <v>1.0200000000000001E-2</v>
      </c>
      <c r="F18721">
        <v>549</v>
      </c>
    </row>
    <row r="18722" spans="1:6" x14ac:dyDescent="0.35">
      <c r="A18722" t="s">
        <v>230</v>
      </c>
      <c r="B18722" t="s">
        <v>252</v>
      </c>
      <c r="C18722" s="26">
        <v>0.99680000000000002</v>
      </c>
      <c r="D18722" s="26">
        <v>2.0999999999999999E-3</v>
      </c>
      <c r="E18722" s="26">
        <v>1.1000000000000001E-3</v>
      </c>
      <c r="F18722">
        <v>159</v>
      </c>
    </row>
    <row r="18723" spans="1:6" x14ac:dyDescent="0.35">
      <c r="A18723" t="s">
        <v>230</v>
      </c>
      <c r="B18723" t="s">
        <v>253</v>
      </c>
      <c r="C18723" s="26">
        <v>1</v>
      </c>
      <c r="F18723">
        <v>110</v>
      </c>
    </row>
    <row r="18724" spans="1:6" x14ac:dyDescent="0.35">
      <c r="A18724" t="s">
        <v>230</v>
      </c>
      <c r="B18724" t="s">
        <v>251</v>
      </c>
      <c r="C18724" s="26">
        <v>0.99739999999999995</v>
      </c>
      <c r="D18724" s="26">
        <v>2.5999999999999999E-3</v>
      </c>
      <c r="F18724">
        <v>291</v>
      </c>
    </row>
    <row r="18725" spans="1:6" x14ac:dyDescent="0.35">
      <c r="A18725" t="s">
        <v>231</v>
      </c>
      <c r="B18725" t="s">
        <v>252</v>
      </c>
      <c r="C18725" s="26">
        <v>1</v>
      </c>
      <c r="F18725">
        <v>49</v>
      </c>
    </row>
    <row r="18726" spans="1:6" x14ac:dyDescent="0.35">
      <c r="A18726" t="s">
        <v>231</v>
      </c>
      <c r="B18726" t="s">
        <v>253</v>
      </c>
      <c r="C18726" s="26">
        <v>0.9667</v>
      </c>
      <c r="D18726" s="26">
        <v>3.3300000000000003E-2</v>
      </c>
      <c r="F18726">
        <v>30</v>
      </c>
    </row>
    <row r="18727" spans="1:6" x14ac:dyDescent="0.35">
      <c r="A18727" t="s">
        <v>231</v>
      </c>
      <c r="B18727" t="s">
        <v>251</v>
      </c>
      <c r="C18727" s="26">
        <v>0.98819999999999997</v>
      </c>
      <c r="D18727" s="26">
        <v>1.18E-2</v>
      </c>
      <c r="F18727">
        <v>85</v>
      </c>
    </row>
    <row r="18728" spans="1:6" x14ac:dyDescent="0.35">
      <c r="A18728" t="s">
        <v>232</v>
      </c>
      <c r="B18728" t="s">
        <v>232</v>
      </c>
      <c r="C18728" s="26">
        <v>0.99060000000000004</v>
      </c>
      <c r="D18728" s="26">
        <v>9.4000000000000004E-3</v>
      </c>
      <c r="E18728" s="26">
        <v>0</v>
      </c>
      <c r="F18728">
        <v>2810</v>
      </c>
    </row>
    <row r="18730" spans="1:6" x14ac:dyDescent="0.35">
      <c r="A18730" s="1" t="s">
        <v>1883</v>
      </c>
    </row>
    <row r="18731" spans="1:6" x14ac:dyDescent="0.35">
      <c r="A18731" t="s">
        <v>219</v>
      </c>
      <c r="B18731" t="s">
        <v>305</v>
      </c>
      <c r="C18731" t="s">
        <v>303</v>
      </c>
      <c r="D18731" t="s">
        <v>302</v>
      </c>
      <c r="E18731" t="s">
        <v>286</v>
      </c>
      <c r="F18731" t="s">
        <v>226</v>
      </c>
    </row>
    <row r="18732" spans="1:6" x14ac:dyDescent="0.35">
      <c r="A18732" t="s">
        <v>227</v>
      </c>
      <c r="B18732" t="s">
        <v>249</v>
      </c>
      <c r="C18732" s="26">
        <v>1</v>
      </c>
      <c r="F18732">
        <v>44</v>
      </c>
    </row>
    <row r="18733" spans="1:6" x14ac:dyDescent="0.35">
      <c r="A18733" t="s">
        <v>227</v>
      </c>
      <c r="B18733" t="s">
        <v>248</v>
      </c>
      <c r="C18733" s="26">
        <v>0.99150000000000005</v>
      </c>
      <c r="D18733" s="26">
        <v>8.5000000000000006E-3</v>
      </c>
      <c r="F18733">
        <v>117</v>
      </c>
    </row>
    <row r="18734" spans="1:6" x14ac:dyDescent="0.35">
      <c r="A18734" t="s">
        <v>228</v>
      </c>
      <c r="B18734" t="s">
        <v>249</v>
      </c>
      <c r="C18734" s="26">
        <v>0.99319999999999997</v>
      </c>
      <c r="D18734" s="26">
        <v>6.7999999999999996E-3</v>
      </c>
      <c r="F18734">
        <v>274</v>
      </c>
    </row>
    <row r="18735" spans="1:6" x14ac:dyDescent="0.35">
      <c r="A18735" t="s">
        <v>228</v>
      </c>
      <c r="B18735" t="s">
        <v>248</v>
      </c>
      <c r="C18735" s="26">
        <v>0.98019999999999996</v>
      </c>
      <c r="D18735" s="26">
        <v>1.9800000000000002E-2</v>
      </c>
      <c r="F18735">
        <v>758</v>
      </c>
    </row>
    <row r="18736" spans="1:6" x14ac:dyDescent="0.35">
      <c r="A18736" t="s">
        <v>229</v>
      </c>
      <c r="B18736" t="s">
        <v>249</v>
      </c>
      <c r="C18736" s="26">
        <v>0.99919999999999998</v>
      </c>
      <c r="D18736" s="26">
        <v>8.0000000000000004E-4</v>
      </c>
      <c r="F18736">
        <v>259</v>
      </c>
    </row>
    <row r="18737" spans="1:6" x14ac:dyDescent="0.35">
      <c r="A18737" t="s">
        <v>229</v>
      </c>
      <c r="B18737" t="s">
        <v>248</v>
      </c>
      <c r="C18737" s="26">
        <v>0.9909</v>
      </c>
      <c r="D18737" s="26">
        <v>9.1000000000000004E-3</v>
      </c>
      <c r="F18737">
        <v>634</v>
      </c>
    </row>
    <row r="18738" spans="1:6" x14ac:dyDescent="0.35">
      <c r="A18738" t="s">
        <v>230</v>
      </c>
      <c r="B18738" t="s">
        <v>249</v>
      </c>
      <c r="C18738" s="26">
        <v>0.99650000000000005</v>
      </c>
      <c r="D18738" s="26">
        <v>3.5000000000000001E-3</v>
      </c>
      <c r="F18738">
        <v>171</v>
      </c>
    </row>
    <row r="18739" spans="1:6" x14ac:dyDescent="0.35">
      <c r="A18739" t="s">
        <v>230</v>
      </c>
      <c r="B18739" t="s">
        <v>248</v>
      </c>
      <c r="C18739" s="26">
        <v>0.99839999999999995</v>
      </c>
      <c r="D18739" s="26">
        <v>1.1999999999999999E-3</v>
      </c>
      <c r="E18739" s="26">
        <v>4.0000000000000002E-4</v>
      </c>
      <c r="F18739">
        <v>389</v>
      </c>
    </row>
    <row r="18740" spans="1:6" x14ac:dyDescent="0.35">
      <c r="A18740" t="s">
        <v>231</v>
      </c>
      <c r="B18740" t="s">
        <v>249</v>
      </c>
      <c r="C18740" s="26">
        <v>0.97140000000000004</v>
      </c>
      <c r="D18740" s="26">
        <v>2.86E-2</v>
      </c>
      <c r="F18740">
        <v>35</v>
      </c>
    </row>
    <row r="18741" spans="1:6" x14ac:dyDescent="0.35">
      <c r="A18741" t="s">
        <v>231</v>
      </c>
      <c r="B18741" t="s">
        <v>248</v>
      </c>
      <c r="C18741" s="26">
        <v>0.99219999999999997</v>
      </c>
      <c r="D18741" s="26">
        <v>7.7999999999999996E-3</v>
      </c>
      <c r="F18741">
        <v>129</v>
      </c>
    </row>
    <row r="18742" spans="1:6" x14ac:dyDescent="0.35">
      <c r="A18742" t="s">
        <v>232</v>
      </c>
      <c r="B18742" t="s">
        <v>232</v>
      </c>
      <c r="C18742" s="26">
        <v>0.99060000000000004</v>
      </c>
      <c r="D18742" s="26">
        <v>9.4000000000000004E-3</v>
      </c>
      <c r="E18742" s="26">
        <v>0</v>
      </c>
      <c r="F18742">
        <v>2810</v>
      </c>
    </row>
    <row r="18744" spans="1:6" x14ac:dyDescent="0.35">
      <c r="A18744" s="1" t="s">
        <v>1884</v>
      </c>
    </row>
    <row r="18745" spans="1:6" x14ac:dyDescent="0.35">
      <c r="A18745" t="s">
        <v>219</v>
      </c>
      <c r="B18745" t="s">
        <v>305</v>
      </c>
      <c r="C18745" t="s">
        <v>303</v>
      </c>
      <c r="D18745" t="s">
        <v>302</v>
      </c>
      <c r="E18745" t="s">
        <v>286</v>
      </c>
      <c r="F18745" t="s">
        <v>226</v>
      </c>
    </row>
    <row r="18746" spans="1:6" x14ac:dyDescent="0.35">
      <c r="A18746" s="27" t="s">
        <v>227</v>
      </c>
      <c r="B18746" s="27" t="s">
        <v>263</v>
      </c>
      <c r="C18746" s="28">
        <v>0.66669999999999996</v>
      </c>
      <c r="D18746" s="28">
        <v>0.33329999999999999</v>
      </c>
      <c r="E18746" s="29"/>
      <c r="F18746" s="29" t="s">
        <v>315</v>
      </c>
    </row>
    <row r="18747" spans="1:6" x14ac:dyDescent="0.35">
      <c r="A18747" t="s">
        <v>227</v>
      </c>
      <c r="B18747" t="s">
        <v>261</v>
      </c>
      <c r="C18747" s="26">
        <v>1</v>
      </c>
      <c r="F18747">
        <v>33</v>
      </c>
    </row>
    <row r="18748" spans="1:6" x14ac:dyDescent="0.35">
      <c r="A18748" s="27" t="s">
        <v>227</v>
      </c>
      <c r="B18748" s="27" t="s">
        <v>262</v>
      </c>
      <c r="C18748" s="28">
        <v>1</v>
      </c>
      <c r="D18748" s="29"/>
      <c r="E18748" s="29"/>
      <c r="F18748" s="29" t="s">
        <v>315</v>
      </c>
    </row>
    <row r="18749" spans="1:6" x14ac:dyDescent="0.35">
      <c r="A18749" t="s">
        <v>227</v>
      </c>
      <c r="B18749" t="s">
        <v>260</v>
      </c>
      <c r="C18749" s="26">
        <v>1</v>
      </c>
      <c r="F18749">
        <v>122</v>
      </c>
    </row>
    <row r="18750" spans="1:6" x14ac:dyDescent="0.35">
      <c r="A18750" t="s">
        <v>228</v>
      </c>
      <c r="B18750" t="s">
        <v>261</v>
      </c>
      <c r="C18750" s="26">
        <v>0.96619999999999995</v>
      </c>
      <c r="D18750" s="26">
        <v>3.3799999999999997E-2</v>
      </c>
      <c r="F18750">
        <v>192</v>
      </c>
    </row>
    <row r="18751" spans="1:6" x14ac:dyDescent="0.35">
      <c r="A18751" s="27" t="s">
        <v>228</v>
      </c>
      <c r="B18751" s="27" t="s">
        <v>263</v>
      </c>
      <c r="C18751" s="28">
        <v>1</v>
      </c>
      <c r="D18751" s="29"/>
      <c r="E18751" s="29"/>
      <c r="F18751" s="29" t="s">
        <v>312</v>
      </c>
    </row>
    <row r="18752" spans="1:6" x14ac:dyDescent="0.35">
      <c r="A18752" s="27" t="s">
        <v>228</v>
      </c>
      <c r="B18752" s="27" t="s">
        <v>236</v>
      </c>
      <c r="C18752" s="28">
        <v>1</v>
      </c>
      <c r="D18752" s="29"/>
      <c r="E18752" s="29"/>
      <c r="F18752" s="29" t="s">
        <v>335</v>
      </c>
    </row>
    <row r="18753" spans="1:6" x14ac:dyDescent="0.35">
      <c r="A18753" t="s">
        <v>228</v>
      </c>
      <c r="B18753" t="s">
        <v>262</v>
      </c>
      <c r="C18753" s="26">
        <v>0.99519999999999997</v>
      </c>
      <c r="D18753" s="26">
        <v>4.7999999999999996E-3</v>
      </c>
      <c r="F18753">
        <v>200</v>
      </c>
    </row>
    <row r="18754" spans="1:6" x14ac:dyDescent="0.35">
      <c r="A18754" t="s">
        <v>228</v>
      </c>
      <c r="B18754" t="s">
        <v>260</v>
      </c>
      <c r="C18754" s="26">
        <v>0.98609999999999998</v>
      </c>
      <c r="D18754" s="26">
        <v>1.3899999999999999E-2</v>
      </c>
      <c r="F18754">
        <v>609</v>
      </c>
    </row>
    <row r="18755" spans="1:6" x14ac:dyDescent="0.35">
      <c r="A18755" s="27" t="s">
        <v>229</v>
      </c>
      <c r="B18755" s="27" t="s">
        <v>263</v>
      </c>
      <c r="C18755" s="28">
        <v>1</v>
      </c>
      <c r="D18755" s="29"/>
      <c r="E18755" s="29"/>
      <c r="F18755" s="29" t="s">
        <v>379</v>
      </c>
    </row>
    <row r="18756" spans="1:6" x14ac:dyDescent="0.35">
      <c r="A18756" t="s">
        <v>229</v>
      </c>
      <c r="B18756" t="s">
        <v>262</v>
      </c>
      <c r="C18756" s="26">
        <v>0.99760000000000004</v>
      </c>
      <c r="D18756" s="26">
        <v>2.3999999999999998E-3</v>
      </c>
      <c r="F18756">
        <v>186</v>
      </c>
    </row>
    <row r="18757" spans="1:6" x14ac:dyDescent="0.35">
      <c r="A18757" t="s">
        <v>229</v>
      </c>
      <c r="B18757" t="s">
        <v>261</v>
      </c>
      <c r="C18757" s="26">
        <v>0.98309999999999997</v>
      </c>
      <c r="D18757" s="26">
        <v>1.6899999999999998E-2</v>
      </c>
      <c r="F18757">
        <v>96</v>
      </c>
    </row>
    <row r="18758" spans="1:6" x14ac:dyDescent="0.35">
      <c r="A18758" s="27" t="s">
        <v>229</v>
      </c>
      <c r="B18758" s="27" t="s">
        <v>236</v>
      </c>
      <c r="C18758" s="28">
        <v>1</v>
      </c>
      <c r="D18758" s="29"/>
      <c r="E18758" s="29"/>
      <c r="F18758" s="29" t="s">
        <v>331</v>
      </c>
    </row>
    <row r="18759" spans="1:6" x14ac:dyDescent="0.35">
      <c r="A18759" t="s">
        <v>229</v>
      </c>
      <c r="B18759" t="s">
        <v>260</v>
      </c>
      <c r="C18759" s="26">
        <v>0.99419999999999997</v>
      </c>
      <c r="D18759" s="26">
        <v>5.7999999999999996E-3</v>
      </c>
      <c r="F18759">
        <v>596</v>
      </c>
    </row>
    <row r="18760" spans="1:6" x14ac:dyDescent="0.35">
      <c r="A18760" s="27" t="s">
        <v>230</v>
      </c>
      <c r="B18760" s="27" t="s">
        <v>236</v>
      </c>
      <c r="C18760" s="28">
        <v>1</v>
      </c>
      <c r="D18760" s="29"/>
      <c r="E18760" s="29"/>
      <c r="F18760" s="29" t="s">
        <v>337</v>
      </c>
    </row>
    <row r="18761" spans="1:6" x14ac:dyDescent="0.35">
      <c r="A18761" t="s">
        <v>230</v>
      </c>
      <c r="B18761" t="s">
        <v>262</v>
      </c>
      <c r="C18761" s="26">
        <v>0.99819999999999998</v>
      </c>
      <c r="D18761" s="26">
        <v>1.8E-3</v>
      </c>
      <c r="F18761">
        <v>122</v>
      </c>
    </row>
    <row r="18762" spans="1:6" x14ac:dyDescent="0.35">
      <c r="A18762" t="s">
        <v>230</v>
      </c>
      <c r="B18762" t="s">
        <v>261</v>
      </c>
      <c r="C18762" s="26">
        <v>1</v>
      </c>
      <c r="F18762">
        <v>57</v>
      </c>
    </row>
    <row r="18763" spans="1:6" x14ac:dyDescent="0.35">
      <c r="A18763" s="27" t="s">
        <v>230</v>
      </c>
      <c r="B18763" s="27" t="s">
        <v>263</v>
      </c>
      <c r="C18763" s="28">
        <v>0.96650000000000003</v>
      </c>
      <c r="D18763" s="28">
        <v>1.6799999999999999E-2</v>
      </c>
      <c r="E18763" s="28">
        <v>1.6799999999999999E-2</v>
      </c>
      <c r="F18763" s="29" t="s">
        <v>312</v>
      </c>
    </row>
    <row r="18764" spans="1:6" x14ac:dyDescent="0.35">
      <c r="A18764" t="s">
        <v>230</v>
      </c>
      <c r="B18764" t="s">
        <v>260</v>
      </c>
      <c r="C18764" s="26">
        <v>0.99790000000000001</v>
      </c>
      <c r="D18764" s="26">
        <v>2.0999999999999999E-3</v>
      </c>
      <c r="F18764">
        <v>352</v>
      </c>
    </row>
    <row r="18765" spans="1:6" x14ac:dyDescent="0.35">
      <c r="A18765" s="27" t="s">
        <v>231</v>
      </c>
      <c r="B18765" s="27" t="s">
        <v>263</v>
      </c>
      <c r="C18765" s="28">
        <v>1</v>
      </c>
      <c r="D18765" s="29"/>
      <c r="E18765" s="29"/>
      <c r="F18765" s="29" t="s">
        <v>314</v>
      </c>
    </row>
    <row r="18766" spans="1:6" x14ac:dyDescent="0.35">
      <c r="A18766" t="s">
        <v>231</v>
      </c>
      <c r="B18766" t="s">
        <v>260</v>
      </c>
      <c r="C18766" s="26">
        <v>0.9919</v>
      </c>
      <c r="D18766" s="26">
        <v>8.0999999999999996E-3</v>
      </c>
      <c r="F18766">
        <v>124</v>
      </c>
    </row>
    <row r="18767" spans="1:6" x14ac:dyDescent="0.35">
      <c r="A18767" s="27" t="s">
        <v>231</v>
      </c>
      <c r="B18767" s="27" t="s">
        <v>261</v>
      </c>
      <c r="C18767" s="28">
        <v>0.96299999999999997</v>
      </c>
      <c r="D18767" s="28">
        <v>3.6999999999999998E-2</v>
      </c>
      <c r="E18767" s="29"/>
      <c r="F18767" s="29" t="s">
        <v>338</v>
      </c>
    </row>
    <row r="18768" spans="1:6" x14ac:dyDescent="0.35">
      <c r="A18768" s="27" t="s">
        <v>231</v>
      </c>
      <c r="B18768" s="27" t="s">
        <v>262</v>
      </c>
      <c r="C18768" s="28">
        <v>1</v>
      </c>
      <c r="D18768" s="29"/>
      <c r="E18768" s="29"/>
      <c r="F18768" s="29" t="s">
        <v>352</v>
      </c>
    </row>
    <row r="18769" spans="1:6" x14ac:dyDescent="0.35">
      <c r="A18769" t="s">
        <v>232</v>
      </c>
      <c r="B18769" t="s">
        <v>232</v>
      </c>
      <c r="C18769" s="26">
        <v>0.99060000000000004</v>
      </c>
      <c r="D18769" s="26">
        <v>9.4000000000000004E-3</v>
      </c>
      <c r="E18769" s="26">
        <v>0</v>
      </c>
      <c r="F18769">
        <v>2810</v>
      </c>
    </row>
    <row r="18771" spans="1:6" x14ac:dyDescent="0.35">
      <c r="A18771" s="1" t="s">
        <v>1885</v>
      </c>
    </row>
    <row r="18772" spans="1:6" x14ac:dyDescent="0.35">
      <c r="A18772" t="s">
        <v>219</v>
      </c>
      <c r="B18772" t="s">
        <v>305</v>
      </c>
      <c r="C18772" t="s">
        <v>303</v>
      </c>
      <c r="D18772" t="s">
        <v>302</v>
      </c>
      <c r="E18772" t="s">
        <v>286</v>
      </c>
      <c r="F18772" t="s">
        <v>226</v>
      </c>
    </row>
    <row r="18773" spans="1:6" x14ac:dyDescent="0.35">
      <c r="A18773" t="s">
        <v>227</v>
      </c>
      <c r="B18773" t="s">
        <v>368</v>
      </c>
      <c r="C18773" s="26">
        <v>1</v>
      </c>
      <c r="F18773">
        <v>33</v>
      </c>
    </row>
    <row r="18774" spans="1:6" x14ac:dyDescent="0.35">
      <c r="A18774" t="s">
        <v>227</v>
      </c>
      <c r="B18774" t="s">
        <v>369</v>
      </c>
      <c r="C18774" s="26">
        <v>0.99219999999999997</v>
      </c>
      <c r="D18774" s="26">
        <v>7.7999999999999996E-3</v>
      </c>
      <c r="F18774">
        <v>128</v>
      </c>
    </row>
    <row r="18775" spans="1:6" x14ac:dyDescent="0.35">
      <c r="A18775" t="s">
        <v>228</v>
      </c>
      <c r="B18775" t="s">
        <v>368</v>
      </c>
      <c r="C18775" s="26">
        <v>0.96619999999999995</v>
      </c>
      <c r="D18775" s="26">
        <v>3.3799999999999997E-2</v>
      </c>
      <c r="F18775">
        <v>192</v>
      </c>
    </row>
    <row r="18776" spans="1:6" x14ac:dyDescent="0.35">
      <c r="A18776" t="s">
        <v>228</v>
      </c>
      <c r="B18776" t="s">
        <v>369</v>
      </c>
      <c r="C18776" s="26">
        <v>0.98839999999999995</v>
      </c>
      <c r="D18776" s="26">
        <v>1.1599999999999999E-2</v>
      </c>
      <c r="F18776">
        <v>840</v>
      </c>
    </row>
    <row r="18777" spans="1:6" x14ac:dyDescent="0.35">
      <c r="A18777" t="s">
        <v>229</v>
      </c>
      <c r="B18777" t="s">
        <v>368</v>
      </c>
      <c r="C18777" s="26">
        <v>0.98309999999999997</v>
      </c>
      <c r="D18777" s="26">
        <v>1.6899999999999998E-2</v>
      </c>
      <c r="F18777">
        <v>96</v>
      </c>
    </row>
    <row r="18778" spans="1:6" x14ac:dyDescent="0.35">
      <c r="A18778" t="s">
        <v>229</v>
      </c>
      <c r="B18778" t="s">
        <v>369</v>
      </c>
      <c r="C18778" s="26">
        <v>0.99550000000000005</v>
      </c>
      <c r="D18778" s="26">
        <v>4.4999999999999997E-3</v>
      </c>
      <c r="F18778">
        <v>797</v>
      </c>
    </row>
    <row r="18779" spans="1:6" x14ac:dyDescent="0.35">
      <c r="A18779" t="s">
        <v>230</v>
      </c>
      <c r="B18779" t="s">
        <v>368</v>
      </c>
      <c r="C18779" s="26">
        <v>1</v>
      </c>
      <c r="F18779">
        <v>57</v>
      </c>
    </row>
    <row r="18780" spans="1:6" x14ac:dyDescent="0.35">
      <c r="A18780" t="s">
        <v>230</v>
      </c>
      <c r="B18780" t="s">
        <v>369</v>
      </c>
      <c r="C18780" s="26">
        <v>0.99739999999999995</v>
      </c>
      <c r="D18780" s="26">
        <v>2.3E-3</v>
      </c>
      <c r="E18780" s="26">
        <v>2.9999999999999997E-4</v>
      </c>
      <c r="F18780">
        <v>503</v>
      </c>
    </row>
    <row r="18781" spans="1:6" x14ac:dyDescent="0.35">
      <c r="A18781" s="27" t="s">
        <v>231</v>
      </c>
      <c r="B18781" s="27" t="s">
        <v>368</v>
      </c>
      <c r="C18781" s="28">
        <v>0.96299999999999997</v>
      </c>
      <c r="D18781" s="28">
        <v>3.6999999999999998E-2</v>
      </c>
      <c r="E18781" s="29"/>
      <c r="F18781" s="29" t="s">
        <v>338</v>
      </c>
    </row>
    <row r="18782" spans="1:6" x14ac:dyDescent="0.35">
      <c r="A18782" t="s">
        <v>231</v>
      </c>
      <c r="B18782" t="s">
        <v>369</v>
      </c>
      <c r="C18782" s="26">
        <v>0.99270000000000003</v>
      </c>
      <c r="D18782" s="26">
        <v>7.3000000000000001E-3</v>
      </c>
      <c r="F18782">
        <v>137</v>
      </c>
    </row>
    <row r="18783" spans="1:6" x14ac:dyDescent="0.35">
      <c r="A18783" t="s">
        <v>232</v>
      </c>
      <c r="B18783" t="s">
        <v>232</v>
      </c>
      <c r="C18783" s="26">
        <v>0.99060000000000004</v>
      </c>
      <c r="D18783" s="26">
        <v>9.4000000000000004E-3</v>
      </c>
      <c r="E18783" s="26">
        <v>0</v>
      </c>
      <c r="F18783">
        <v>2810</v>
      </c>
    </row>
    <row r="18785" spans="1:6" x14ac:dyDescent="0.35">
      <c r="A18785" s="1" t="s">
        <v>1886</v>
      </c>
    </row>
    <row r="18786" spans="1:6" x14ac:dyDescent="0.35">
      <c r="A18786" t="s">
        <v>219</v>
      </c>
      <c r="B18786" t="s">
        <v>305</v>
      </c>
      <c r="C18786" t="s">
        <v>303</v>
      </c>
      <c r="D18786" t="s">
        <v>302</v>
      </c>
      <c r="E18786" t="s">
        <v>286</v>
      </c>
      <c r="F18786" t="s">
        <v>226</v>
      </c>
    </row>
    <row r="18787" spans="1:6" x14ac:dyDescent="0.35">
      <c r="A18787" t="s">
        <v>227</v>
      </c>
      <c r="B18787" t="s">
        <v>371</v>
      </c>
      <c r="C18787" s="26">
        <v>0.99380000000000002</v>
      </c>
      <c r="D18787" s="26">
        <v>6.1999999999999998E-3</v>
      </c>
      <c r="F18787">
        <v>161</v>
      </c>
    </row>
    <row r="18788" spans="1:6" x14ac:dyDescent="0.35">
      <c r="A18788" t="s">
        <v>228</v>
      </c>
      <c r="B18788" t="s">
        <v>371</v>
      </c>
      <c r="C18788" s="26">
        <v>0.97940000000000005</v>
      </c>
      <c r="D18788" s="26">
        <v>2.06E-2</v>
      </c>
      <c r="F18788">
        <v>291</v>
      </c>
    </row>
    <row r="18789" spans="1:6" x14ac:dyDescent="0.35">
      <c r="A18789" t="s">
        <v>228</v>
      </c>
      <c r="B18789" t="s">
        <v>372</v>
      </c>
      <c r="C18789" s="26">
        <v>0.97489999999999999</v>
      </c>
      <c r="D18789" s="26">
        <v>2.5100000000000001E-2</v>
      </c>
      <c r="F18789">
        <v>218</v>
      </c>
    </row>
    <row r="18790" spans="1:6" x14ac:dyDescent="0.35">
      <c r="A18790" t="s">
        <v>228</v>
      </c>
      <c r="B18790" t="s">
        <v>373</v>
      </c>
      <c r="C18790" s="26">
        <v>0.99229999999999996</v>
      </c>
      <c r="D18790" s="26">
        <v>7.7000000000000002E-3</v>
      </c>
      <c r="F18790">
        <v>523</v>
      </c>
    </row>
    <row r="18791" spans="1:6" x14ac:dyDescent="0.35">
      <c r="A18791" t="s">
        <v>229</v>
      </c>
      <c r="B18791" t="s">
        <v>371</v>
      </c>
      <c r="C18791" s="26">
        <v>0.99439999999999995</v>
      </c>
      <c r="D18791" s="26">
        <v>5.5999999999999999E-3</v>
      </c>
      <c r="F18791">
        <v>583</v>
      </c>
    </row>
    <row r="18792" spans="1:6" x14ac:dyDescent="0.35">
      <c r="A18792" t="s">
        <v>229</v>
      </c>
      <c r="B18792" t="s">
        <v>372</v>
      </c>
      <c r="C18792" s="26">
        <v>0.99150000000000005</v>
      </c>
      <c r="D18792" s="26">
        <v>8.5000000000000006E-3</v>
      </c>
      <c r="F18792">
        <v>220</v>
      </c>
    </row>
    <row r="18793" spans="1:6" x14ac:dyDescent="0.35">
      <c r="A18793" t="s">
        <v>229</v>
      </c>
      <c r="B18793" t="s">
        <v>373</v>
      </c>
      <c r="C18793" s="26">
        <v>0.9718</v>
      </c>
      <c r="D18793" s="26">
        <v>2.8199999999999999E-2</v>
      </c>
      <c r="F18793">
        <v>90</v>
      </c>
    </row>
    <row r="18794" spans="1:6" x14ac:dyDescent="0.35">
      <c r="A18794" t="s">
        <v>230</v>
      </c>
      <c r="B18794" t="s">
        <v>371</v>
      </c>
      <c r="C18794" s="26">
        <v>0.99890000000000001</v>
      </c>
      <c r="D18794" s="26">
        <v>1.1000000000000001E-3</v>
      </c>
      <c r="F18794">
        <v>262</v>
      </c>
    </row>
    <row r="18795" spans="1:6" x14ac:dyDescent="0.35">
      <c r="A18795" t="s">
        <v>230</v>
      </c>
      <c r="B18795" t="s">
        <v>372</v>
      </c>
      <c r="C18795" s="26">
        <v>0.97629999999999995</v>
      </c>
      <c r="D18795" s="26">
        <v>1.89E-2</v>
      </c>
      <c r="E18795" s="26">
        <v>4.7000000000000002E-3</v>
      </c>
      <c r="F18795">
        <v>146</v>
      </c>
    </row>
    <row r="18796" spans="1:6" x14ac:dyDescent="0.35">
      <c r="A18796" t="s">
        <v>230</v>
      </c>
      <c r="B18796" t="s">
        <v>373</v>
      </c>
      <c r="C18796" s="26">
        <v>1</v>
      </c>
      <c r="F18796">
        <v>152</v>
      </c>
    </row>
    <row r="18797" spans="1:6" x14ac:dyDescent="0.35">
      <c r="A18797" t="s">
        <v>231</v>
      </c>
      <c r="B18797" t="s">
        <v>371</v>
      </c>
      <c r="C18797" s="26">
        <v>0.98780000000000001</v>
      </c>
      <c r="D18797" s="26">
        <v>1.2200000000000001E-2</v>
      </c>
      <c r="F18797">
        <v>164</v>
      </c>
    </row>
    <row r="18798" spans="1:6" x14ac:dyDescent="0.35">
      <c r="A18798" t="s">
        <v>232</v>
      </c>
      <c r="B18798" t="s">
        <v>232</v>
      </c>
      <c r="C18798" s="26">
        <v>0.99060000000000004</v>
      </c>
      <c r="D18798" s="26">
        <v>9.4000000000000004E-3</v>
      </c>
      <c r="E18798" s="26">
        <v>0</v>
      </c>
      <c r="F18798">
        <v>2810</v>
      </c>
    </row>
    <row r="18800" spans="1:6" x14ac:dyDescent="0.35">
      <c r="A18800" s="1" t="s">
        <v>1887</v>
      </c>
    </row>
    <row r="18801" spans="1:6" x14ac:dyDescent="0.35">
      <c r="A18801" t="s">
        <v>219</v>
      </c>
      <c r="B18801" t="s">
        <v>305</v>
      </c>
      <c r="C18801" t="s">
        <v>303</v>
      </c>
      <c r="D18801" t="s">
        <v>302</v>
      </c>
      <c r="E18801" t="s">
        <v>286</v>
      </c>
      <c r="F18801" t="s">
        <v>226</v>
      </c>
    </row>
    <row r="18802" spans="1:6" x14ac:dyDescent="0.35">
      <c r="A18802" t="s">
        <v>227</v>
      </c>
      <c r="B18802" t="s">
        <v>255</v>
      </c>
      <c r="C18802" s="26">
        <v>0.99150000000000005</v>
      </c>
      <c r="D18802" s="26">
        <v>8.5000000000000006E-3</v>
      </c>
      <c r="F18802">
        <v>117</v>
      </c>
    </row>
    <row r="18803" spans="1:6" x14ac:dyDescent="0.35">
      <c r="A18803" s="27" t="s">
        <v>227</v>
      </c>
      <c r="B18803" s="27" t="s">
        <v>257</v>
      </c>
      <c r="C18803" s="28">
        <v>1</v>
      </c>
      <c r="D18803" s="29"/>
      <c r="E18803" s="29"/>
      <c r="F18803" s="29" t="s">
        <v>334</v>
      </c>
    </row>
    <row r="18804" spans="1:6" x14ac:dyDescent="0.35">
      <c r="A18804" t="s">
        <v>227</v>
      </c>
      <c r="B18804" t="s">
        <v>256</v>
      </c>
      <c r="C18804" s="26">
        <v>1</v>
      </c>
      <c r="F18804">
        <v>35</v>
      </c>
    </row>
    <row r="18805" spans="1:6" x14ac:dyDescent="0.35">
      <c r="A18805" t="s">
        <v>228</v>
      </c>
      <c r="B18805" t="s">
        <v>257</v>
      </c>
      <c r="C18805" s="26">
        <v>0.99209999999999998</v>
      </c>
      <c r="D18805" s="26">
        <v>7.9000000000000008E-3</v>
      </c>
      <c r="F18805">
        <v>49</v>
      </c>
    </row>
    <row r="18806" spans="1:6" x14ac:dyDescent="0.35">
      <c r="A18806" s="27" t="s">
        <v>228</v>
      </c>
      <c r="B18806" s="27" t="s">
        <v>258</v>
      </c>
      <c r="C18806" s="28">
        <v>1</v>
      </c>
      <c r="D18806" s="29"/>
      <c r="E18806" s="29"/>
      <c r="F18806" s="29" t="s">
        <v>337</v>
      </c>
    </row>
    <row r="18807" spans="1:6" x14ac:dyDescent="0.35">
      <c r="A18807" t="s">
        <v>228</v>
      </c>
      <c r="B18807" t="s">
        <v>256</v>
      </c>
      <c r="C18807" s="26">
        <v>0.99329999999999996</v>
      </c>
      <c r="D18807" s="26">
        <v>6.7000000000000002E-3</v>
      </c>
      <c r="F18807">
        <v>221</v>
      </c>
    </row>
    <row r="18808" spans="1:6" x14ac:dyDescent="0.35">
      <c r="A18808" t="s">
        <v>228</v>
      </c>
      <c r="B18808" t="s">
        <v>255</v>
      </c>
      <c r="C18808" s="26">
        <v>0.98019999999999996</v>
      </c>
      <c r="D18808" s="26">
        <v>1.9800000000000002E-2</v>
      </c>
      <c r="F18808">
        <v>758</v>
      </c>
    </row>
    <row r="18809" spans="1:6" x14ac:dyDescent="0.35">
      <c r="A18809" t="s">
        <v>229</v>
      </c>
      <c r="B18809" t="s">
        <v>256</v>
      </c>
      <c r="C18809" s="26">
        <v>0.99970000000000003</v>
      </c>
      <c r="D18809" s="26">
        <v>2.9999999999999997E-4</v>
      </c>
      <c r="F18809">
        <v>207</v>
      </c>
    </row>
    <row r="18810" spans="1:6" x14ac:dyDescent="0.35">
      <c r="A18810" t="s">
        <v>229</v>
      </c>
      <c r="B18810" t="s">
        <v>255</v>
      </c>
      <c r="C18810" s="26">
        <v>0.9909</v>
      </c>
      <c r="D18810" s="26">
        <v>9.1000000000000004E-3</v>
      </c>
      <c r="F18810">
        <v>634</v>
      </c>
    </row>
    <row r="18811" spans="1:6" x14ac:dyDescent="0.35">
      <c r="A18811" t="s">
        <v>229</v>
      </c>
      <c r="B18811" t="s">
        <v>257</v>
      </c>
      <c r="C18811" s="26">
        <v>0.99690000000000001</v>
      </c>
      <c r="D18811" s="26">
        <v>3.0999999999999999E-3</v>
      </c>
      <c r="F18811">
        <v>50</v>
      </c>
    </row>
    <row r="18812" spans="1:6" x14ac:dyDescent="0.35">
      <c r="A18812" s="27" t="s">
        <v>229</v>
      </c>
      <c r="B18812" s="27" t="s">
        <v>258</v>
      </c>
      <c r="C18812" s="28">
        <v>1</v>
      </c>
      <c r="D18812" s="29"/>
      <c r="E18812" s="29"/>
      <c r="F18812" s="29" t="s">
        <v>314</v>
      </c>
    </row>
    <row r="18813" spans="1:6" x14ac:dyDescent="0.35">
      <c r="A18813" t="s">
        <v>230</v>
      </c>
      <c r="B18813" t="s">
        <v>256</v>
      </c>
      <c r="C18813" s="26">
        <v>0.99650000000000005</v>
      </c>
      <c r="D18813" s="26">
        <v>3.5000000000000001E-3</v>
      </c>
      <c r="F18813">
        <v>130</v>
      </c>
    </row>
    <row r="18814" spans="1:6" x14ac:dyDescent="0.35">
      <c r="A18814" t="s">
        <v>230</v>
      </c>
      <c r="B18814" t="s">
        <v>255</v>
      </c>
      <c r="C18814" s="26">
        <v>0.99839999999999995</v>
      </c>
      <c r="D18814" s="26">
        <v>1.1999999999999999E-3</v>
      </c>
      <c r="E18814" s="26">
        <v>4.0000000000000002E-4</v>
      </c>
      <c r="F18814">
        <v>389</v>
      </c>
    </row>
    <row r="18815" spans="1:6" x14ac:dyDescent="0.35">
      <c r="A18815" t="s">
        <v>230</v>
      </c>
      <c r="B18815" t="s">
        <v>257</v>
      </c>
      <c r="C18815" s="26">
        <v>1</v>
      </c>
      <c r="F18815">
        <v>38</v>
      </c>
    </row>
    <row r="18816" spans="1:6" x14ac:dyDescent="0.35">
      <c r="A18816" s="27" t="s">
        <v>230</v>
      </c>
      <c r="B18816" s="27" t="s">
        <v>258</v>
      </c>
      <c r="C18816" s="28">
        <v>0.95830000000000004</v>
      </c>
      <c r="D18816" s="28">
        <v>4.1700000000000001E-2</v>
      </c>
      <c r="E18816" s="29"/>
      <c r="F18816" s="29" t="s">
        <v>315</v>
      </c>
    </row>
    <row r="18817" spans="1:11" x14ac:dyDescent="0.35">
      <c r="A18817" s="27" t="s">
        <v>231</v>
      </c>
      <c r="B18817" s="27" t="s">
        <v>257</v>
      </c>
      <c r="C18817" s="28">
        <v>1</v>
      </c>
      <c r="D18817" s="29"/>
      <c r="E18817" s="29"/>
      <c r="F18817" s="29" t="s">
        <v>339</v>
      </c>
    </row>
    <row r="18818" spans="1:11" x14ac:dyDescent="0.35">
      <c r="A18818" t="s">
        <v>231</v>
      </c>
      <c r="B18818" t="s">
        <v>255</v>
      </c>
      <c r="C18818" s="26">
        <v>0.99219999999999997</v>
      </c>
      <c r="D18818" s="26">
        <v>7.7999999999999996E-3</v>
      </c>
      <c r="F18818">
        <v>129</v>
      </c>
    </row>
    <row r="18819" spans="1:11" x14ac:dyDescent="0.35">
      <c r="A18819" s="27" t="s">
        <v>231</v>
      </c>
      <c r="B18819" s="27" t="s">
        <v>256</v>
      </c>
      <c r="C18819" s="28">
        <v>0.96430000000000005</v>
      </c>
      <c r="D18819" s="28">
        <v>3.5700000000000003E-2</v>
      </c>
      <c r="E18819" s="29"/>
      <c r="F18819" s="29" t="s">
        <v>336</v>
      </c>
    </row>
    <row r="18820" spans="1:11" x14ac:dyDescent="0.35">
      <c r="A18820" t="s">
        <v>232</v>
      </c>
      <c r="B18820" t="s">
        <v>232</v>
      </c>
      <c r="C18820" s="26">
        <v>0.99060000000000004</v>
      </c>
      <c r="D18820" s="26">
        <v>9.4000000000000004E-3</v>
      </c>
      <c r="E18820" s="26">
        <v>0</v>
      </c>
      <c r="F18820">
        <v>2810</v>
      </c>
    </row>
    <row r="18822" spans="1:11" x14ac:dyDescent="0.35">
      <c r="A18822" s="1" t="s">
        <v>1888</v>
      </c>
    </row>
    <row r="18823" spans="1:11" x14ac:dyDescent="0.35">
      <c r="A18823" t="s">
        <v>219</v>
      </c>
      <c r="B18823" t="s">
        <v>1889</v>
      </c>
      <c r="C18823" t="s">
        <v>1890</v>
      </c>
      <c r="D18823" t="s">
        <v>1891</v>
      </c>
      <c r="E18823" t="s">
        <v>1892</v>
      </c>
      <c r="F18823" t="s">
        <v>281</v>
      </c>
      <c r="G18823" t="s">
        <v>1893</v>
      </c>
      <c r="H18823" t="s">
        <v>1894</v>
      </c>
      <c r="I18823" t="s">
        <v>286</v>
      </c>
      <c r="J18823" t="s">
        <v>226</v>
      </c>
    </row>
    <row r="18824" spans="1:11" x14ac:dyDescent="0.35">
      <c r="A18824" t="s">
        <v>227</v>
      </c>
      <c r="B18824" s="26">
        <v>0.39750000000000002</v>
      </c>
      <c r="C18824" s="26">
        <v>0.34160000000000001</v>
      </c>
      <c r="D18824" s="26">
        <v>0.2112</v>
      </c>
      <c r="E18824" s="26">
        <v>3.73E-2</v>
      </c>
      <c r="F18824" s="26">
        <v>1.24E-2</v>
      </c>
      <c r="J18824">
        <v>161</v>
      </c>
    </row>
    <row r="18825" spans="1:11" x14ac:dyDescent="0.35">
      <c r="A18825" t="s">
        <v>228</v>
      </c>
      <c r="B18825" s="26">
        <v>0.59960000000000002</v>
      </c>
      <c r="C18825" s="26">
        <v>0.2016</v>
      </c>
      <c r="D18825" s="26">
        <v>0.1105</v>
      </c>
      <c r="E18825" s="26">
        <v>5.6300000000000003E-2</v>
      </c>
      <c r="F18825" s="26">
        <v>1.06E-2</v>
      </c>
      <c r="G18825" s="26">
        <v>9.1999999999999998E-3</v>
      </c>
      <c r="H18825" s="26">
        <v>1.1900000000000001E-2</v>
      </c>
      <c r="I18825" s="26">
        <v>4.0000000000000002E-4</v>
      </c>
      <c r="J18825">
        <v>1033</v>
      </c>
    </row>
    <row r="18826" spans="1:11" x14ac:dyDescent="0.35">
      <c r="A18826" t="s">
        <v>229</v>
      </c>
      <c r="B18826" s="26">
        <v>0.5827</v>
      </c>
      <c r="C18826" s="26">
        <v>0.23180000000000001</v>
      </c>
      <c r="D18826" s="26">
        <v>0.125</v>
      </c>
      <c r="E18826" s="26">
        <v>3.9600000000000003E-2</v>
      </c>
      <c r="F18826" s="26">
        <v>1.6899999999999998E-2</v>
      </c>
      <c r="G18826" s="26">
        <v>2.8E-3</v>
      </c>
      <c r="H18826" s="26">
        <v>8.0000000000000004E-4</v>
      </c>
      <c r="I18826" s="26">
        <v>2.9999999999999997E-4</v>
      </c>
      <c r="J18826">
        <v>894</v>
      </c>
    </row>
    <row r="18827" spans="1:11" x14ac:dyDescent="0.35">
      <c r="A18827" t="s">
        <v>230</v>
      </c>
      <c r="B18827" s="26">
        <v>0.46489999999999998</v>
      </c>
      <c r="C18827" s="26">
        <v>0.22600000000000001</v>
      </c>
      <c r="D18827" s="26">
        <v>0.2059</v>
      </c>
      <c r="E18827" s="26">
        <v>5.0900000000000001E-2</v>
      </c>
      <c r="F18827" s="26">
        <v>6.6E-3</v>
      </c>
      <c r="G18827" s="26">
        <v>3.9100000000000003E-2</v>
      </c>
      <c r="H18827" s="26">
        <v>6.7999999999999996E-3</v>
      </c>
      <c r="J18827">
        <v>560</v>
      </c>
    </row>
    <row r="18828" spans="1:11" x14ac:dyDescent="0.35">
      <c r="A18828" t="s">
        <v>231</v>
      </c>
      <c r="B18828" s="26">
        <v>0.29880000000000001</v>
      </c>
      <c r="C18828" s="26">
        <v>0.39019999999999999</v>
      </c>
      <c r="D18828" s="26">
        <v>0.23780000000000001</v>
      </c>
      <c r="E18828" s="26">
        <v>6.0999999999999999E-2</v>
      </c>
      <c r="F18828" s="26">
        <v>6.1000000000000004E-3</v>
      </c>
      <c r="H18828" s="26">
        <v>6.1000000000000004E-3</v>
      </c>
      <c r="J18828">
        <v>164</v>
      </c>
    </row>
    <row r="18829" spans="1:11" x14ac:dyDescent="0.35">
      <c r="A18829" t="s">
        <v>232</v>
      </c>
      <c r="B18829" s="26">
        <v>0.46879999999999999</v>
      </c>
      <c r="C18829" s="26">
        <v>0.28549999999999998</v>
      </c>
      <c r="D18829" s="26">
        <v>0.1739</v>
      </c>
      <c r="E18829" s="26">
        <v>4.9399999999999999E-2</v>
      </c>
      <c r="F18829" s="26">
        <v>1.11E-2</v>
      </c>
      <c r="G18829" s="26">
        <v>6.3E-3</v>
      </c>
      <c r="H18829" s="26">
        <v>4.8999999999999998E-3</v>
      </c>
      <c r="I18829" s="26">
        <v>2.0000000000000001E-4</v>
      </c>
      <c r="J18829">
        <v>2812</v>
      </c>
    </row>
    <row r="18831" spans="1:11" x14ac:dyDescent="0.35">
      <c r="A18831" s="1" t="s">
        <v>1895</v>
      </c>
    </row>
    <row r="18832" spans="1:11" x14ac:dyDescent="0.35">
      <c r="A18832" t="s">
        <v>219</v>
      </c>
      <c r="B18832" t="s">
        <v>305</v>
      </c>
      <c r="C18832" t="s">
        <v>1889</v>
      </c>
      <c r="D18832" t="s">
        <v>1890</v>
      </c>
      <c r="E18832" t="s">
        <v>1891</v>
      </c>
      <c r="F18832" t="s">
        <v>1892</v>
      </c>
      <c r="G18832" t="s">
        <v>281</v>
      </c>
      <c r="H18832" t="s">
        <v>1893</v>
      </c>
      <c r="I18832" t="s">
        <v>1894</v>
      </c>
      <c r="J18832" t="s">
        <v>286</v>
      </c>
      <c r="K18832" t="s">
        <v>226</v>
      </c>
    </row>
    <row r="18833" spans="1:11" x14ac:dyDescent="0.35">
      <c r="A18833" t="s">
        <v>227</v>
      </c>
      <c r="B18833" t="s">
        <v>242</v>
      </c>
      <c r="C18833" s="26">
        <v>0.36759999999999998</v>
      </c>
      <c r="D18833" s="26">
        <v>0.39710000000000001</v>
      </c>
      <c r="E18833" s="26">
        <v>0.23530000000000001</v>
      </c>
      <c r="K18833">
        <v>68</v>
      </c>
    </row>
    <row r="18834" spans="1:11" x14ac:dyDescent="0.35">
      <c r="A18834" t="s">
        <v>227</v>
      </c>
      <c r="B18834" t="s">
        <v>241</v>
      </c>
      <c r="C18834" s="26">
        <v>0.4194</v>
      </c>
      <c r="D18834" s="26">
        <v>0.30109999999999998</v>
      </c>
      <c r="E18834" s="26">
        <v>0.19350000000000001</v>
      </c>
      <c r="F18834" s="26">
        <v>6.4500000000000002E-2</v>
      </c>
      <c r="G18834" s="26">
        <v>2.1499999999999998E-2</v>
      </c>
      <c r="K18834">
        <v>93</v>
      </c>
    </row>
    <row r="18835" spans="1:11" x14ac:dyDescent="0.35">
      <c r="A18835" t="s">
        <v>228</v>
      </c>
      <c r="B18835" t="s">
        <v>242</v>
      </c>
      <c r="C18835" s="26">
        <v>0.54900000000000004</v>
      </c>
      <c r="D18835" s="26">
        <v>0.2006</v>
      </c>
      <c r="E18835" s="26">
        <v>0.124</v>
      </c>
      <c r="F18835" s="26">
        <v>7.8700000000000006E-2</v>
      </c>
      <c r="G18835" s="26">
        <v>4.4000000000000003E-3</v>
      </c>
      <c r="H18835" s="26">
        <v>1.2800000000000001E-2</v>
      </c>
      <c r="I18835" s="26">
        <v>3.0499999999999999E-2</v>
      </c>
      <c r="K18835">
        <v>402</v>
      </c>
    </row>
    <row r="18836" spans="1:11" x14ac:dyDescent="0.35">
      <c r="A18836" t="s">
        <v>228</v>
      </c>
      <c r="B18836" t="s">
        <v>241</v>
      </c>
      <c r="C18836" s="26">
        <v>0.62849999999999995</v>
      </c>
      <c r="D18836" s="26">
        <v>0.20219999999999999</v>
      </c>
      <c r="E18836" s="26">
        <v>0.1027</v>
      </c>
      <c r="F18836" s="26">
        <v>4.36E-2</v>
      </c>
      <c r="G18836" s="26">
        <v>1.41E-2</v>
      </c>
      <c r="H18836" s="26">
        <v>7.1000000000000004E-3</v>
      </c>
      <c r="I18836" s="26">
        <v>1.1999999999999999E-3</v>
      </c>
      <c r="J18836" s="26">
        <v>5.9999999999999995E-4</v>
      </c>
      <c r="K18836">
        <v>631</v>
      </c>
    </row>
    <row r="18837" spans="1:11" x14ac:dyDescent="0.35">
      <c r="A18837" t="s">
        <v>229</v>
      </c>
      <c r="B18837" t="s">
        <v>242</v>
      </c>
      <c r="C18837" s="26">
        <v>0.5786</v>
      </c>
      <c r="D18837" s="26">
        <v>0.21329999999999999</v>
      </c>
      <c r="E18837" s="26">
        <v>0.16520000000000001</v>
      </c>
      <c r="F18837" s="26">
        <v>3.44E-2</v>
      </c>
      <c r="G18837" s="26">
        <v>8.5000000000000006E-3</v>
      </c>
      <c r="K18837">
        <v>292</v>
      </c>
    </row>
    <row r="18838" spans="1:11" x14ac:dyDescent="0.35">
      <c r="A18838" t="s">
        <v>229</v>
      </c>
      <c r="B18838" t="s">
        <v>241</v>
      </c>
      <c r="C18838" s="26">
        <v>0.58530000000000004</v>
      </c>
      <c r="D18838" s="26">
        <v>0.24360000000000001</v>
      </c>
      <c r="E18838" s="26">
        <v>9.9299999999999999E-2</v>
      </c>
      <c r="F18838" s="26">
        <v>4.2799999999999998E-2</v>
      </c>
      <c r="G18838" s="26">
        <v>2.23E-2</v>
      </c>
      <c r="H18838" s="26">
        <v>4.7000000000000002E-3</v>
      </c>
      <c r="I18838" s="26">
        <v>1.4E-3</v>
      </c>
      <c r="J18838" s="26">
        <v>5.0000000000000001E-4</v>
      </c>
      <c r="K18838">
        <v>602</v>
      </c>
    </row>
    <row r="18839" spans="1:11" x14ac:dyDescent="0.35">
      <c r="A18839" t="s">
        <v>230</v>
      </c>
      <c r="B18839" t="s">
        <v>242</v>
      </c>
      <c r="C18839" s="26">
        <v>0.45590000000000003</v>
      </c>
      <c r="D18839" s="26">
        <v>0.2026</v>
      </c>
      <c r="E18839" s="26">
        <v>0.2288</v>
      </c>
      <c r="F18839" s="26">
        <v>1.9199999999999998E-2</v>
      </c>
      <c r="G18839" s="26">
        <v>1.67E-2</v>
      </c>
      <c r="H18839" s="26">
        <v>7.3300000000000004E-2</v>
      </c>
      <c r="I18839" s="26">
        <v>3.3999999999999998E-3</v>
      </c>
      <c r="K18839">
        <v>189</v>
      </c>
    </row>
    <row r="18840" spans="1:11" x14ac:dyDescent="0.35">
      <c r="A18840" t="s">
        <v>230</v>
      </c>
      <c r="B18840" t="s">
        <v>241</v>
      </c>
      <c r="C18840" s="26">
        <v>0.46939999999999998</v>
      </c>
      <c r="D18840" s="26">
        <v>0.2379</v>
      </c>
      <c r="E18840" s="26">
        <v>0.19409999999999999</v>
      </c>
      <c r="F18840" s="26">
        <v>6.7100000000000007E-2</v>
      </c>
      <c r="G18840" s="26">
        <v>1.4E-3</v>
      </c>
      <c r="H18840" s="26">
        <v>2.1600000000000001E-2</v>
      </c>
      <c r="I18840" s="26">
        <v>8.5000000000000006E-3</v>
      </c>
      <c r="K18840">
        <v>371</v>
      </c>
    </row>
    <row r="18841" spans="1:11" x14ac:dyDescent="0.35">
      <c r="A18841" t="s">
        <v>231</v>
      </c>
      <c r="B18841" t="s">
        <v>242</v>
      </c>
      <c r="C18841" s="26">
        <v>0.2407</v>
      </c>
      <c r="D18841" s="26">
        <v>0.48149999999999998</v>
      </c>
      <c r="E18841" s="26">
        <v>0.2407</v>
      </c>
      <c r="F18841" s="26">
        <v>3.6999999999999998E-2</v>
      </c>
      <c r="K18841">
        <v>54</v>
      </c>
    </row>
    <row r="18842" spans="1:11" x14ac:dyDescent="0.35">
      <c r="A18842" t="s">
        <v>231</v>
      </c>
      <c r="B18842" t="s">
        <v>241</v>
      </c>
      <c r="C18842" s="26">
        <v>0.32729999999999998</v>
      </c>
      <c r="D18842" s="26">
        <v>0.34549999999999997</v>
      </c>
      <c r="E18842" s="26">
        <v>0.2364</v>
      </c>
      <c r="F18842" s="26">
        <v>7.2700000000000001E-2</v>
      </c>
      <c r="G18842" s="26">
        <v>9.1000000000000004E-3</v>
      </c>
      <c r="I18842" s="26">
        <v>9.1000000000000004E-3</v>
      </c>
      <c r="K18842">
        <v>110</v>
      </c>
    </row>
    <row r="18843" spans="1:11" x14ac:dyDescent="0.35">
      <c r="A18843" t="s">
        <v>232</v>
      </c>
      <c r="B18843" t="s">
        <v>232</v>
      </c>
      <c r="C18843" s="26">
        <v>0.46879999999999999</v>
      </c>
      <c r="D18843" s="26">
        <v>0.28549999999999998</v>
      </c>
      <c r="E18843" s="26">
        <v>0.1739</v>
      </c>
      <c r="F18843" s="26">
        <v>4.9399999999999999E-2</v>
      </c>
      <c r="G18843" s="26">
        <v>1.11E-2</v>
      </c>
      <c r="H18843" s="26">
        <v>6.3E-3</v>
      </c>
      <c r="I18843" s="26">
        <v>4.8999999999999998E-3</v>
      </c>
      <c r="J18843" s="26">
        <v>2.0000000000000001E-4</v>
      </c>
      <c r="K18843">
        <v>2812</v>
      </c>
    </row>
    <row r="18845" spans="1:11" x14ac:dyDescent="0.35">
      <c r="A18845" s="1" t="s">
        <v>1896</v>
      </c>
    </row>
    <row r="18846" spans="1:11" x14ac:dyDescent="0.35">
      <c r="A18846" t="s">
        <v>219</v>
      </c>
      <c r="B18846" t="s">
        <v>305</v>
      </c>
      <c r="C18846" t="s">
        <v>1889</v>
      </c>
      <c r="D18846" t="s">
        <v>1890</v>
      </c>
      <c r="E18846" t="s">
        <v>1891</v>
      </c>
      <c r="F18846" t="s">
        <v>1892</v>
      </c>
      <c r="G18846" t="s">
        <v>281</v>
      </c>
      <c r="H18846" t="s">
        <v>1893</v>
      </c>
      <c r="I18846" t="s">
        <v>1894</v>
      </c>
      <c r="J18846" t="s">
        <v>286</v>
      </c>
      <c r="K18846" t="s">
        <v>226</v>
      </c>
    </row>
    <row r="18847" spans="1:11" x14ac:dyDescent="0.35">
      <c r="A18847" t="s">
        <v>227</v>
      </c>
      <c r="B18847" t="s">
        <v>239</v>
      </c>
      <c r="C18847" s="26">
        <v>0.19350000000000001</v>
      </c>
      <c r="D18847" s="26">
        <v>0.3226</v>
      </c>
      <c r="E18847" s="26">
        <v>0.4194</v>
      </c>
      <c r="F18847" s="26">
        <v>6.4500000000000002E-2</v>
      </c>
      <c r="K18847">
        <v>62</v>
      </c>
    </row>
    <row r="18848" spans="1:11" x14ac:dyDescent="0.35">
      <c r="A18848" t="s">
        <v>227</v>
      </c>
      <c r="B18848" t="s">
        <v>238</v>
      </c>
      <c r="C18848" s="26">
        <v>0.52529999999999999</v>
      </c>
      <c r="D18848" s="26">
        <v>0.35349999999999998</v>
      </c>
      <c r="E18848" s="26">
        <v>8.0799999999999997E-2</v>
      </c>
      <c r="F18848" s="26">
        <v>2.0199999999999999E-2</v>
      </c>
      <c r="G18848" s="26">
        <v>2.0199999999999999E-2</v>
      </c>
      <c r="K18848">
        <v>99</v>
      </c>
    </row>
    <row r="18849" spans="1:11" x14ac:dyDescent="0.35">
      <c r="A18849" t="s">
        <v>228</v>
      </c>
      <c r="B18849" t="s">
        <v>239</v>
      </c>
      <c r="C18849" s="26">
        <v>0.32900000000000001</v>
      </c>
      <c r="D18849" s="26">
        <v>0.2495</v>
      </c>
      <c r="E18849" s="26">
        <v>0.30020000000000002</v>
      </c>
      <c r="F18849" s="26">
        <v>5.74E-2</v>
      </c>
      <c r="G18849" s="26">
        <v>1.8100000000000002E-2</v>
      </c>
      <c r="H18849" s="26">
        <v>7.1999999999999998E-3</v>
      </c>
      <c r="I18849" s="26">
        <v>3.6799999999999999E-2</v>
      </c>
      <c r="J18849" s="26">
        <v>1.6999999999999999E-3</v>
      </c>
      <c r="K18849">
        <v>330</v>
      </c>
    </row>
    <row r="18850" spans="1:11" x14ac:dyDescent="0.35">
      <c r="A18850" t="s">
        <v>228</v>
      </c>
      <c r="B18850" t="s">
        <v>238</v>
      </c>
      <c r="C18850" s="26">
        <v>0.67</v>
      </c>
      <c r="D18850" s="26">
        <v>0.18920000000000001</v>
      </c>
      <c r="E18850" s="26">
        <v>6.1100000000000002E-2</v>
      </c>
      <c r="F18850" s="26">
        <v>5.6099999999999997E-2</v>
      </c>
      <c r="G18850" s="26">
        <v>8.6E-3</v>
      </c>
      <c r="H18850" s="26">
        <v>9.7000000000000003E-3</v>
      </c>
      <c r="I18850" s="26">
        <v>5.4000000000000003E-3</v>
      </c>
      <c r="K18850">
        <v>703</v>
      </c>
    </row>
    <row r="18851" spans="1:11" x14ac:dyDescent="0.35">
      <c r="A18851" t="s">
        <v>229</v>
      </c>
      <c r="B18851" t="s">
        <v>239</v>
      </c>
      <c r="C18851" s="26">
        <v>0.253</v>
      </c>
      <c r="D18851" s="26">
        <v>0.31119999999999998</v>
      </c>
      <c r="E18851" s="26">
        <v>0.33279999999999998</v>
      </c>
      <c r="F18851" s="26">
        <v>7.8299999999999995E-2</v>
      </c>
      <c r="G18851" s="26">
        <v>1.0200000000000001E-2</v>
      </c>
      <c r="H18851" s="26">
        <v>1.12E-2</v>
      </c>
      <c r="I18851" s="26">
        <v>3.3E-3</v>
      </c>
      <c r="K18851">
        <v>331</v>
      </c>
    </row>
    <row r="18852" spans="1:11" x14ac:dyDescent="0.35">
      <c r="A18852" t="s">
        <v>229</v>
      </c>
      <c r="B18852" t="s">
        <v>238</v>
      </c>
      <c r="C18852" s="26">
        <v>0.69510000000000005</v>
      </c>
      <c r="D18852" s="26">
        <v>0.20469999999999999</v>
      </c>
      <c r="E18852" s="26">
        <v>5.4199999999999998E-2</v>
      </c>
      <c r="F18852" s="26">
        <v>2.64E-2</v>
      </c>
      <c r="G18852" s="26">
        <v>1.9199999999999998E-2</v>
      </c>
      <c r="J18852" s="26">
        <v>4.0000000000000002E-4</v>
      </c>
      <c r="K18852">
        <v>563</v>
      </c>
    </row>
    <row r="18853" spans="1:11" x14ac:dyDescent="0.35">
      <c r="A18853" t="s">
        <v>230</v>
      </c>
      <c r="B18853" t="s">
        <v>239</v>
      </c>
      <c r="C18853" s="26">
        <v>0.17630000000000001</v>
      </c>
      <c r="D18853" s="26">
        <v>0.29820000000000002</v>
      </c>
      <c r="E18853" s="26">
        <v>0.40289999999999998</v>
      </c>
      <c r="F18853" s="26">
        <v>2.5700000000000001E-2</v>
      </c>
      <c r="H18853" s="26">
        <v>9.3899999999999997E-2</v>
      </c>
      <c r="I18853" s="26">
        <v>2.8999999999999998E-3</v>
      </c>
      <c r="K18853">
        <v>211</v>
      </c>
    </row>
    <row r="18854" spans="1:11" x14ac:dyDescent="0.35">
      <c r="A18854" t="s">
        <v>230</v>
      </c>
      <c r="B18854" t="s">
        <v>238</v>
      </c>
      <c r="C18854" s="26">
        <v>0.58919999999999995</v>
      </c>
      <c r="D18854" s="26">
        <v>0.1948</v>
      </c>
      <c r="E18854" s="26">
        <v>0.12089999999999999</v>
      </c>
      <c r="F18854" s="26">
        <v>6.1800000000000001E-2</v>
      </c>
      <c r="G18854" s="26">
        <v>9.4000000000000004E-3</v>
      </c>
      <c r="H18854" s="26">
        <v>1.54E-2</v>
      </c>
      <c r="I18854" s="26">
        <v>8.5000000000000006E-3</v>
      </c>
      <c r="K18854">
        <v>349</v>
      </c>
    </row>
    <row r="18855" spans="1:11" x14ac:dyDescent="0.35">
      <c r="A18855" t="s">
        <v>231</v>
      </c>
      <c r="B18855" t="s">
        <v>239</v>
      </c>
      <c r="C18855" s="26">
        <v>8.77E-2</v>
      </c>
      <c r="D18855" s="26">
        <v>0.29820000000000002</v>
      </c>
      <c r="E18855" s="26">
        <v>0.57889999999999997</v>
      </c>
      <c r="F18855" s="26">
        <v>1.7500000000000002E-2</v>
      </c>
      <c r="I18855" s="26">
        <v>1.7500000000000002E-2</v>
      </c>
      <c r="K18855">
        <v>57</v>
      </c>
    </row>
    <row r="18856" spans="1:11" x14ac:dyDescent="0.35">
      <c r="A18856" t="s">
        <v>231</v>
      </c>
      <c r="B18856" t="s">
        <v>238</v>
      </c>
      <c r="C18856" s="26">
        <v>0.41120000000000001</v>
      </c>
      <c r="D18856" s="26">
        <v>0.43930000000000002</v>
      </c>
      <c r="E18856" s="26">
        <v>5.6099999999999997E-2</v>
      </c>
      <c r="F18856" s="26">
        <v>8.4099999999999994E-2</v>
      </c>
      <c r="G18856" s="26">
        <v>9.2999999999999992E-3</v>
      </c>
      <c r="K18856">
        <v>107</v>
      </c>
    </row>
    <row r="18857" spans="1:11" x14ac:dyDescent="0.35">
      <c r="A18857" t="s">
        <v>232</v>
      </c>
      <c r="B18857" t="s">
        <v>232</v>
      </c>
      <c r="C18857" s="26">
        <v>0.46879999999999999</v>
      </c>
      <c r="D18857" s="26">
        <v>0.28549999999999998</v>
      </c>
      <c r="E18857" s="26">
        <v>0.1739</v>
      </c>
      <c r="F18857" s="26">
        <v>4.9399999999999999E-2</v>
      </c>
      <c r="G18857" s="26">
        <v>1.11E-2</v>
      </c>
      <c r="H18857" s="26">
        <v>6.3E-3</v>
      </c>
      <c r="I18857" s="26">
        <v>4.8999999999999998E-3</v>
      </c>
      <c r="J18857" s="26">
        <v>2.0000000000000001E-4</v>
      </c>
      <c r="K18857">
        <v>2812</v>
      </c>
    </row>
    <row r="18859" spans="1:11" x14ac:dyDescent="0.35">
      <c r="A18859" s="1" t="s">
        <v>1897</v>
      </c>
    </row>
    <row r="18860" spans="1:11" x14ac:dyDescent="0.35">
      <c r="A18860" t="s">
        <v>219</v>
      </c>
      <c r="B18860" t="s">
        <v>305</v>
      </c>
      <c r="C18860" t="s">
        <v>1889</v>
      </c>
      <c r="D18860" t="s">
        <v>1890</v>
      </c>
      <c r="E18860" t="s">
        <v>1891</v>
      </c>
      <c r="F18860" t="s">
        <v>1892</v>
      </c>
      <c r="G18860" t="s">
        <v>281</v>
      </c>
      <c r="H18860" t="s">
        <v>1893</v>
      </c>
      <c r="I18860" t="s">
        <v>1894</v>
      </c>
      <c r="J18860" t="s">
        <v>286</v>
      </c>
      <c r="K18860" t="s">
        <v>226</v>
      </c>
    </row>
    <row r="18861" spans="1:11" x14ac:dyDescent="0.35">
      <c r="A18861" t="s">
        <v>227</v>
      </c>
      <c r="B18861" t="s">
        <v>244</v>
      </c>
      <c r="C18861" s="26">
        <v>0.36459999999999998</v>
      </c>
      <c r="D18861" s="26">
        <v>0.32290000000000002</v>
      </c>
      <c r="E18861" s="26">
        <v>0.23960000000000001</v>
      </c>
      <c r="F18861" s="26">
        <v>5.21E-2</v>
      </c>
      <c r="G18861" s="26">
        <v>2.0799999999999999E-2</v>
      </c>
      <c r="K18861">
        <v>96</v>
      </c>
    </row>
    <row r="18862" spans="1:11" x14ac:dyDescent="0.35">
      <c r="A18862" t="s">
        <v>227</v>
      </c>
      <c r="B18862" t="s">
        <v>245</v>
      </c>
      <c r="C18862" s="26">
        <v>0.45279999999999998</v>
      </c>
      <c r="D18862" s="26">
        <v>0.41510000000000002</v>
      </c>
      <c r="E18862" s="26">
        <v>0.1321</v>
      </c>
      <c r="K18862">
        <v>53</v>
      </c>
    </row>
    <row r="18863" spans="1:11" x14ac:dyDescent="0.35">
      <c r="A18863" s="27" t="s">
        <v>227</v>
      </c>
      <c r="B18863" s="27" t="s">
        <v>246</v>
      </c>
      <c r="C18863" s="28">
        <v>0.41670000000000001</v>
      </c>
      <c r="D18863" s="28">
        <v>0.16669999999999999</v>
      </c>
      <c r="E18863" s="28">
        <v>0.33329999999999999</v>
      </c>
      <c r="F18863" s="28">
        <v>8.3299999999999999E-2</v>
      </c>
      <c r="G18863" s="29"/>
      <c r="H18863" s="29"/>
      <c r="I18863" s="29"/>
      <c r="J18863" s="29"/>
      <c r="K18863" s="29" t="s">
        <v>342</v>
      </c>
    </row>
    <row r="18864" spans="1:11" x14ac:dyDescent="0.35">
      <c r="A18864" t="s">
        <v>228</v>
      </c>
      <c r="B18864" t="s">
        <v>244</v>
      </c>
      <c r="C18864" s="26">
        <v>0.56940000000000002</v>
      </c>
      <c r="D18864" s="26">
        <v>0.24060000000000001</v>
      </c>
      <c r="E18864" s="26">
        <v>0.104</v>
      </c>
      <c r="F18864" s="26">
        <v>5.6399999999999999E-2</v>
      </c>
      <c r="G18864" s="26">
        <v>9.2999999999999992E-3</v>
      </c>
      <c r="H18864" s="26">
        <v>1.37E-2</v>
      </c>
      <c r="I18864" s="26">
        <v>6.1000000000000004E-3</v>
      </c>
      <c r="J18864" s="26">
        <v>5.0000000000000001E-4</v>
      </c>
      <c r="K18864">
        <v>638</v>
      </c>
    </row>
    <row r="18865" spans="1:11" x14ac:dyDescent="0.35">
      <c r="A18865" t="s">
        <v>228</v>
      </c>
      <c r="B18865" t="s">
        <v>245</v>
      </c>
      <c r="C18865" s="26">
        <v>0.67069999999999996</v>
      </c>
      <c r="D18865" s="26">
        <v>0.1198</v>
      </c>
      <c r="E18865" s="26">
        <v>0.10589999999999999</v>
      </c>
      <c r="F18865" s="26">
        <v>5.8099999999999999E-2</v>
      </c>
      <c r="G18865" s="26">
        <v>1.61E-2</v>
      </c>
      <c r="H18865" s="26">
        <v>8.9999999999999998E-4</v>
      </c>
      <c r="I18865" s="26">
        <v>2.8400000000000002E-2</v>
      </c>
      <c r="K18865">
        <v>328</v>
      </c>
    </row>
    <row r="18866" spans="1:11" x14ac:dyDescent="0.35">
      <c r="A18866" t="s">
        <v>228</v>
      </c>
      <c r="B18866" t="s">
        <v>246</v>
      </c>
      <c r="C18866" s="26">
        <v>0.59860000000000002</v>
      </c>
      <c r="D18866" s="26">
        <v>0.16239999999999999</v>
      </c>
      <c r="E18866" s="26">
        <v>0.1905</v>
      </c>
      <c r="F18866" s="26">
        <v>4.8500000000000001E-2</v>
      </c>
      <c r="K18866">
        <v>67</v>
      </c>
    </row>
    <row r="18867" spans="1:11" x14ac:dyDescent="0.35">
      <c r="A18867" t="s">
        <v>229</v>
      </c>
      <c r="B18867" t="s">
        <v>244</v>
      </c>
      <c r="C18867" s="26">
        <v>0.6069</v>
      </c>
      <c r="D18867" s="26">
        <v>0.22140000000000001</v>
      </c>
      <c r="E18867" s="26">
        <v>0.1129</v>
      </c>
      <c r="F18867" s="26">
        <v>4.1700000000000001E-2</v>
      </c>
      <c r="G18867" s="26">
        <v>1.1599999999999999E-2</v>
      </c>
      <c r="H18867" s="26">
        <v>4.1000000000000003E-3</v>
      </c>
      <c r="I18867" s="26">
        <v>1E-3</v>
      </c>
      <c r="J18867" s="26">
        <v>5.0000000000000001E-4</v>
      </c>
      <c r="K18867">
        <v>557</v>
      </c>
    </row>
    <row r="18868" spans="1:11" x14ac:dyDescent="0.35">
      <c r="A18868" t="s">
        <v>229</v>
      </c>
      <c r="B18868" t="s">
        <v>245</v>
      </c>
      <c r="C18868" s="26">
        <v>0.54549999999999998</v>
      </c>
      <c r="D18868" s="26">
        <v>0.25919999999999999</v>
      </c>
      <c r="E18868" s="26">
        <v>0.13950000000000001</v>
      </c>
      <c r="F18868" s="26">
        <v>2.0199999999999999E-2</v>
      </c>
      <c r="G18868" s="26">
        <v>3.49E-2</v>
      </c>
      <c r="I18868" s="26">
        <v>6.9999999999999999E-4</v>
      </c>
      <c r="K18868">
        <v>292</v>
      </c>
    </row>
    <row r="18869" spans="1:11" x14ac:dyDescent="0.35">
      <c r="A18869" t="s">
        <v>229</v>
      </c>
      <c r="B18869" t="s">
        <v>246</v>
      </c>
      <c r="C18869" s="26">
        <v>0.44359999999999999</v>
      </c>
      <c r="D18869" s="26">
        <v>0.23699999999999999</v>
      </c>
      <c r="E18869" s="26">
        <v>0.21410000000000001</v>
      </c>
      <c r="F18869" s="26">
        <v>0.10349999999999999</v>
      </c>
      <c r="G18869" s="26">
        <v>1.8E-3</v>
      </c>
      <c r="K18869">
        <v>45</v>
      </c>
    </row>
    <row r="18870" spans="1:11" x14ac:dyDescent="0.35">
      <c r="A18870" t="s">
        <v>230</v>
      </c>
      <c r="B18870" t="s">
        <v>244</v>
      </c>
      <c r="C18870" s="26">
        <v>0.49780000000000002</v>
      </c>
      <c r="D18870" s="26">
        <v>0.20899999999999999</v>
      </c>
      <c r="E18870" s="26">
        <v>0.18210000000000001</v>
      </c>
      <c r="F18870" s="26">
        <v>4.0399999999999998E-2</v>
      </c>
      <c r="G18870" s="26">
        <v>9.4999999999999998E-3</v>
      </c>
      <c r="H18870" s="26">
        <v>5.2600000000000001E-2</v>
      </c>
      <c r="I18870" s="26">
        <v>8.6E-3</v>
      </c>
      <c r="K18870">
        <v>370</v>
      </c>
    </row>
    <row r="18871" spans="1:11" x14ac:dyDescent="0.35">
      <c r="A18871" t="s">
        <v>230</v>
      </c>
      <c r="B18871" t="s">
        <v>245</v>
      </c>
      <c r="C18871" s="26">
        <v>0.43530000000000002</v>
      </c>
      <c r="D18871" s="26">
        <v>0.25719999999999998</v>
      </c>
      <c r="E18871" s="26">
        <v>0.21240000000000001</v>
      </c>
      <c r="F18871" s="26">
        <v>8.1500000000000003E-2</v>
      </c>
      <c r="H18871" s="26">
        <v>1.01E-2</v>
      </c>
      <c r="I18871" s="26">
        <v>3.3999999999999998E-3</v>
      </c>
      <c r="K18871">
        <v>161</v>
      </c>
    </row>
    <row r="18872" spans="1:11" x14ac:dyDescent="0.35">
      <c r="A18872" s="27" t="s">
        <v>230</v>
      </c>
      <c r="B18872" s="27" t="s">
        <v>246</v>
      </c>
      <c r="C18872" s="28">
        <v>0.15329999999999999</v>
      </c>
      <c r="D18872" s="28">
        <v>0.30109999999999998</v>
      </c>
      <c r="E18872" s="28">
        <v>0.5091</v>
      </c>
      <c r="F18872" s="28">
        <v>3.6499999999999998E-2</v>
      </c>
      <c r="G18872" s="29"/>
      <c r="H18872" s="29"/>
      <c r="I18872" s="29"/>
      <c r="J18872" s="29"/>
      <c r="K18872" s="29" t="s">
        <v>329</v>
      </c>
    </row>
    <row r="18873" spans="1:11" x14ac:dyDescent="0.35">
      <c r="A18873" t="s">
        <v>231</v>
      </c>
      <c r="B18873" t="s">
        <v>244</v>
      </c>
      <c r="C18873" s="26">
        <v>0.30530000000000002</v>
      </c>
      <c r="D18873" s="26">
        <v>0.4</v>
      </c>
      <c r="E18873" s="26">
        <v>0.2316</v>
      </c>
      <c r="F18873" s="26">
        <v>5.2600000000000001E-2</v>
      </c>
      <c r="G18873" s="26">
        <v>1.0500000000000001E-2</v>
      </c>
      <c r="K18873">
        <v>95</v>
      </c>
    </row>
    <row r="18874" spans="1:11" x14ac:dyDescent="0.35">
      <c r="A18874" t="s">
        <v>231</v>
      </c>
      <c r="B18874" t="s">
        <v>245</v>
      </c>
      <c r="C18874" s="26">
        <v>0.32140000000000002</v>
      </c>
      <c r="D18874" s="26">
        <v>0.375</v>
      </c>
      <c r="E18874" s="26">
        <v>0.21429999999999999</v>
      </c>
      <c r="F18874" s="26">
        <v>8.9300000000000004E-2</v>
      </c>
      <c r="K18874">
        <v>56</v>
      </c>
    </row>
    <row r="18875" spans="1:11" x14ac:dyDescent="0.35">
      <c r="A18875" s="27" t="s">
        <v>231</v>
      </c>
      <c r="B18875" s="27" t="s">
        <v>246</v>
      </c>
      <c r="C18875" s="28">
        <v>0.15379999999999999</v>
      </c>
      <c r="D18875" s="28">
        <v>0.3846</v>
      </c>
      <c r="E18875" s="28">
        <v>0.3846</v>
      </c>
      <c r="F18875" s="29"/>
      <c r="G18875" s="29"/>
      <c r="H18875" s="29"/>
      <c r="I18875" s="28">
        <v>7.6899999999999996E-2</v>
      </c>
      <c r="J18875" s="29"/>
      <c r="K18875" s="29" t="s">
        <v>341</v>
      </c>
    </row>
    <row r="18876" spans="1:11" x14ac:dyDescent="0.35">
      <c r="A18876" t="s">
        <v>232</v>
      </c>
      <c r="B18876" t="s">
        <v>232</v>
      </c>
      <c r="C18876" s="26">
        <v>0.46879999999999999</v>
      </c>
      <c r="D18876" s="26">
        <v>0.28549999999999998</v>
      </c>
      <c r="E18876" s="26">
        <v>0.1739</v>
      </c>
      <c r="F18876" s="26">
        <v>4.9399999999999999E-2</v>
      </c>
      <c r="G18876" s="26">
        <v>1.11E-2</v>
      </c>
      <c r="H18876" s="26">
        <v>6.3E-3</v>
      </c>
      <c r="I18876" s="26">
        <v>4.8999999999999998E-3</v>
      </c>
      <c r="J18876" s="26">
        <v>2.0000000000000001E-4</v>
      </c>
      <c r="K18876">
        <v>2812</v>
      </c>
    </row>
    <row r="18878" spans="1:11" x14ac:dyDescent="0.35">
      <c r="A18878" s="1" t="s">
        <v>1898</v>
      </c>
    </row>
    <row r="18879" spans="1:11" x14ac:dyDescent="0.35">
      <c r="A18879" t="s">
        <v>219</v>
      </c>
      <c r="B18879" t="s">
        <v>305</v>
      </c>
      <c r="C18879" t="s">
        <v>1889</v>
      </c>
      <c r="D18879" t="s">
        <v>1890</v>
      </c>
      <c r="E18879" t="s">
        <v>1891</v>
      </c>
      <c r="F18879" t="s">
        <v>1892</v>
      </c>
      <c r="G18879" t="s">
        <v>281</v>
      </c>
      <c r="H18879" t="s">
        <v>1893</v>
      </c>
      <c r="I18879" t="s">
        <v>1894</v>
      </c>
      <c r="J18879" t="s">
        <v>286</v>
      </c>
      <c r="K18879" t="s">
        <v>226</v>
      </c>
    </row>
    <row r="18880" spans="1:11" x14ac:dyDescent="0.35">
      <c r="A18880" t="s">
        <v>227</v>
      </c>
      <c r="B18880" t="s">
        <v>360</v>
      </c>
      <c r="C18880" s="26">
        <v>0.25640000000000002</v>
      </c>
      <c r="D18880" s="26">
        <v>0.30769999999999997</v>
      </c>
      <c r="E18880" s="26">
        <v>0.43590000000000001</v>
      </c>
      <c r="K18880">
        <v>39</v>
      </c>
    </row>
    <row r="18881" spans="1:11" x14ac:dyDescent="0.35">
      <c r="A18881" t="s">
        <v>227</v>
      </c>
      <c r="B18881" t="s">
        <v>361</v>
      </c>
      <c r="C18881" s="26">
        <v>0.375</v>
      </c>
      <c r="D18881" s="26">
        <v>0.4375</v>
      </c>
      <c r="E18881" s="26">
        <v>6.25E-2</v>
      </c>
      <c r="F18881" s="26">
        <v>9.3799999999999994E-2</v>
      </c>
      <c r="G18881" s="26">
        <v>3.1199999999999999E-2</v>
      </c>
      <c r="K18881">
        <v>32</v>
      </c>
    </row>
    <row r="18882" spans="1:11" x14ac:dyDescent="0.35">
      <c r="A18882" t="s">
        <v>227</v>
      </c>
      <c r="B18882" t="s">
        <v>362</v>
      </c>
      <c r="C18882" s="26">
        <v>0.45950000000000002</v>
      </c>
      <c r="D18882" s="26">
        <v>0.2432</v>
      </c>
      <c r="E18882" s="26">
        <v>0.27029999999999998</v>
      </c>
      <c r="G18882" s="26">
        <v>2.7E-2</v>
      </c>
      <c r="K18882">
        <v>37</v>
      </c>
    </row>
    <row r="18883" spans="1:11" x14ac:dyDescent="0.35">
      <c r="A18883" t="s">
        <v>227</v>
      </c>
      <c r="B18883" t="s">
        <v>363</v>
      </c>
      <c r="C18883" s="26">
        <v>0.4889</v>
      </c>
      <c r="D18883" s="26">
        <v>0.33329999999999999</v>
      </c>
      <c r="E18883" s="26">
        <v>0.1111</v>
      </c>
      <c r="F18883" s="26">
        <v>6.6699999999999995E-2</v>
      </c>
      <c r="K18883">
        <v>45</v>
      </c>
    </row>
    <row r="18884" spans="1:11" x14ac:dyDescent="0.35">
      <c r="A18884" t="s">
        <v>228</v>
      </c>
      <c r="B18884" t="s">
        <v>360</v>
      </c>
      <c r="C18884" s="26">
        <v>0.45590000000000003</v>
      </c>
      <c r="D18884" s="26">
        <v>0.2167</v>
      </c>
      <c r="E18884" s="26">
        <v>0.20430000000000001</v>
      </c>
      <c r="F18884" s="26">
        <v>6.1199999999999997E-2</v>
      </c>
      <c r="G18884" s="26">
        <v>5.8999999999999999E-3</v>
      </c>
      <c r="H18884" s="26">
        <v>1.6799999999999999E-2</v>
      </c>
      <c r="I18884" s="26">
        <v>3.73E-2</v>
      </c>
      <c r="J18884" s="26">
        <v>1.8E-3</v>
      </c>
      <c r="K18884">
        <v>258</v>
      </c>
    </row>
    <row r="18885" spans="1:11" x14ac:dyDescent="0.35">
      <c r="A18885" t="s">
        <v>228</v>
      </c>
      <c r="B18885" t="s">
        <v>361</v>
      </c>
      <c r="C18885" s="26">
        <v>0.74</v>
      </c>
      <c r="D18885" s="26">
        <v>0.1792</v>
      </c>
      <c r="E18885" s="26">
        <v>2.7699999999999999E-2</v>
      </c>
      <c r="F18885" s="26">
        <v>4.6800000000000001E-2</v>
      </c>
      <c r="G18885" s="26">
        <v>1.6999999999999999E-3</v>
      </c>
      <c r="H18885" s="26">
        <v>2.3E-3</v>
      </c>
      <c r="I18885" s="26">
        <v>2.3E-3</v>
      </c>
      <c r="K18885">
        <v>194</v>
      </c>
    </row>
    <row r="18886" spans="1:11" x14ac:dyDescent="0.35">
      <c r="A18886" t="s">
        <v>228</v>
      </c>
      <c r="B18886" t="s">
        <v>363</v>
      </c>
      <c r="C18886" s="26">
        <v>0.53549999999999998</v>
      </c>
      <c r="D18886" s="26">
        <v>0.2412</v>
      </c>
      <c r="E18886" s="26">
        <v>0.1333</v>
      </c>
      <c r="F18886" s="26">
        <v>5.8500000000000003E-2</v>
      </c>
      <c r="G18886" s="26">
        <v>1.3899999999999999E-2</v>
      </c>
      <c r="H18886" s="26">
        <v>3.8E-3</v>
      </c>
      <c r="I18886" s="26">
        <v>1.3899999999999999E-2</v>
      </c>
      <c r="K18886">
        <v>212</v>
      </c>
    </row>
    <row r="18887" spans="1:11" x14ac:dyDescent="0.35">
      <c r="A18887" t="s">
        <v>228</v>
      </c>
      <c r="B18887" t="s">
        <v>362</v>
      </c>
      <c r="C18887" s="26">
        <v>0.65990000000000004</v>
      </c>
      <c r="D18887" s="26">
        <v>0.16500000000000001</v>
      </c>
      <c r="E18887" s="26">
        <v>9.5399999999999999E-2</v>
      </c>
      <c r="F18887" s="26">
        <v>4.48E-2</v>
      </c>
      <c r="G18887" s="26">
        <v>1.43E-2</v>
      </c>
      <c r="H18887" s="26">
        <v>1.89E-2</v>
      </c>
      <c r="I18887" s="26">
        <v>1.8E-3</v>
      </c>
      <c r="K18887">
        <v>236</v>
      </c>
    </row>
    <row r="18888" spans="1:11" x14ac:dyDescent="0.35">
      <c r="A18888" t="s">
        <v>229</v>
      </c>
      <c r="B18888" t="s">
        <v>363</v>
      </c>
      <c r="C18888" s="26">
        <v>0.57069999999999999</v>
      </c>
      <c r="D18888" s="26">
        <v>0.32390000000000002</v>
      </c>
      <c r="E18888" s="26">
        <v>8.3000000000000004E-2</v>
      </c>
      <c r="F18888" s="26">
        <v>2.1499999999999998E-2</v>
      </c>
      <c r="I18888" s="26">
        <v>8.9999999999999998E-4</v>
      </c>
      <c r="K18888">
        <v>191</v>
      </c>
    </row>
    <row r="18889" spans="1:11" x14ac:dyDescent="0.35">
      <c r="A18889" t="s">
        <v>229</v>
      </c>
      <c r="B18889" t="s">
        <v>360</v>
      </c>
      <c r="C18889" s="26">
        <v>0.44829999999999998</v>
      </c>
      <c r="D18889" s="26">
        <v>0.2273</v>
      </c>
      <c r="E18889" s="26">
        <v>0.27079999999999999</v>
      </c>
      <c r="F18889" s="26">
        <v>1.6199999999999999E-2</v>
      </c>
      <c r="G18889" s="26">
        <v>1.6799999999999999E-2</v>
      </c>
      <c r="H18889" s="26">
        <v>1.6199999999999999E-2</v>
      </c>
      <c r="I18889" s="26">
        <v>4.3E-3</v>
      </c>
      <c r="K18889">
        <v>164</v>
      </c>
    </row>
    <row r="18890" spans="1:11" x14ac:dyDescent="0.35">
      <c r="A18890" t="s">
        <v>229</v>
      </c>
      <c r="B18890" t="s">
        <v>361</v>
      </c>
      <c r="C18890" s="26">
        <v>0.65469999999999995</v>
      </c>
      <c r="D18890" s="26">
        <v>0.19819999999999999</v>
      </c>
      <c r="E18890" s="26">
        <v>0.08</v>
      </c>
      <c r="F18890" s="26">
        <v>4.48E-2</v>
      </c>
      <c r="G18890" s="26">
        <v>2.23E-2</v>
      </c>
      <c r="K18890">
        <v>243</v>
      </c>
    </row>
    <row r="18891" spans="1:11" x14ac:dyDescent="0.35">
      <c r="A18891" t="s">
        <v>229</v>
      </c>
      <c r="B18891" t="s">
        <v>362</v>
      </c>
      <c r="C18891" s="26">
        <v>0.51239999999999997</v>
      </c>
      <c r="D18891" s="26">
        <v>0.22750000000000001</v>
      </c>
      <c r="E18891" s="26">
        <v>0.17949999999999999</v>
      </c>
      <c r="F18891" s="26">
        <v>7.6499999999999999E-2</v>
      </c>
      <c r="G18891" s="26">
        <v>2E-3</v>
      </c>
      <c r="H18891" s="26">
        <v>2E-3</v>
      </c>
      <c r="K18891">
        <v>170</v>
      </c>
    </row>
    <row r="18892" spans="1:11" x14ac:dyDescent="0.35">
      <c r="A18892" t="s">
        <v>230</v>
      </c>
      <c r="B18892" t="s">
        <v>360</v>
      </c>
      <c r="C18892" s="26">
        <v>0.27100000000000002</v>
      </c>
      <c r="D18892" s="26">
        <v>0.25750000000000001</v>
      </c>
      <c r="E18892" s="26">
        <v>0.39389999999999997</v>
      </c>
      <c r="F18892" s="26">
        <v>6.0400000000000002E-2</v>
      </c>
      <c r="H18892" s="26">
        <v>1.2500000000000001E-2</v>
      </c>
      <c r="I18892" s="26">
        <v>4.7000000000000002E-3</v>
      </c>
      <c r="K18892">
        <v>120</v>
      </c>
    </row>
    <row r="18893" spans="1:11" x14ac:dyDescent="0.35">
      <c r="A18893" t="s">
        <v>230</v>
      </c>
      <c r="B18893" t="s">
        <v>363</v>
      </c>
      <c r="C18893" s="26">
        <v>0.55530000000000002</v>
      </c>
      <c r="D18893" s="26">
        <v>0.20430000000000001</v>
      </c>
      <c r="E18893" s="26">
        <v>0.1704</v>
      </c>
      <c r="F18893" s="26">
        <v>3.3099999999999997E-2</v>
      </c>
      <c r="G18893" s="26">
        <v>1.1999999999999999E-3</v>
      </c>
      <c r="H18893" s="26">
        <v>3.5799999999999998E-2</v>
      </c>
      <c r="K18893">
        <v>127</v>
      </c>
    </row>
    <row r="18894" spans="1:11" x14ac:dyDescent="0.35">
      <c r="A18894" t="s">
        <v>230</v>
      </c>
      <c r="B18894" t="s">
        <v>361</v>
      </c>
      <c r="C18894" s="26">
        <v>0.63039999999999996</v>
      </c>
      <c r="D18894" s="26">
        <v>0.2215</v>
      </c>
      <c r="E18894" s="26">
        <v>0.1106</v>
      </c>
      <c r="F18894" s="26">
        <v>3.2800000000000003E-2</v>
      </c>
      <c r="H18894" s="26">
        <v>3.5999999999999999E-3</v>
      </c>
      <c r="I18894" s="26">
        <v>1.1000000000000001E-3</v>
      </c>
      <c r="K18894">
        <v>109</v>
      </c>
    </row>
    <row r="18895" spans="1:11" x14ac:dyDescent="0.35">
      <c r="A18895" t="s">
        <v>230</v>
      </c>
      <c r="B18895" t="s">
        <v>362</v>
      </c>
      <c r="C18895" s="26">
        <v>0.38519999999999999</v>
      </c>
      <c r="D18895" s="26">
        <v>0.19270000000000001</v>
      </c>
      <c r="E18895" s="26">
        <v>0.2233</v>
      </c>
      <c r="F18895" s="26">
        <v>4.7500000000000001E-2</v>
      </c>
      <c r="G18895" s="26">
        <v>2.1499999999999998E-2</v>
      </c>
      <c r="H18895" s="26">
        <v>0.1084</v>
      </c>
      <c r="I18895" s="26">
        <v>2.1499999999999998E-2</v>
      </c>
      <c r="K18895">
        <v>148</v>
      </c>
    </row>
    <row r="18896" spans="1:11" x14ac:dyDescent="0.35">
      <c r="A18896" s="27" t="s">
        <v>231</v>
      </c>
      <c r="B18896" s="27" t="s">
        <v>362</v>
      </c>
      <c r="C18896" s="28">
        <v>0.2069</v>
      </c>
      <c r="D18896" s="28">
        <v>0.27589999999999998</v>
      </c>
      <c r="E18896" s="28">
        <v>0.37930000000000003</v>
      </c>
      <c r="F18896" s="28">
        <v>0.13789999999999999</v>
      </c>
      <c r="G18896" s="29"/>
      <c r="H18896" s="29"/>
      <c r="I18896" s="29"/>
      <c r="J18896" s="29"/>
      <c r="K18896" s="29" t="s">
        <v>329</v>
      </c>
    </row>
    <row r="18897" spans="1:11" x14ac:dyDescent="0.35">
      <c r="A18897" t="s">
        <v>231</v>
      </c>
      <c r="B18897" t="s">
        <v>361</v>
      </c>
      <c r="C18897" s="26">
        <v>0.3</v>
      </c>
      <c r="D18897" s="26">
        <v>0.54</v>
      </c>
      <c r="E18897" s="26">
        <v>0.1</v>
      </c>
      <c r="F18897" s="26">
        <v>0.04</v>
      </c>
      <c r="I18897" s="26">
        <v>0.02</v>
      </c>
      <c r="K18897">
        <v>50</v>
      </c>
    </row>
    <row r="18898" spans="1:11" x14ac:dyDescent="0.35">
      <c r="A18898" t="s">
        <v>231</v>
      </c>
      <c r="B18898" t="s">
        <v>360</v>
      </c>
      <c r="C18898" s="26">
        <v>0.2727</v>
      </c>
      <c r="D18898" s="26">
        <v>0.31819999999999998</v>
      </c>
      <c r="E18898" s="26">
        <v>0.36359999999999998</v>
      </c>
      <c r="F18898" s="26">
        <v>2.2700000000000001E-2</v>
      </c>
      <c r="G18898" s="26">
        <v>2.2700000000000001E-2</v>
      </c>
      <c r="K18898">
        <v>44</v>
      </c>
    </row>
    <row r="18899" spans="1:11" x14ac:dyDescent="0.35">
      <c r="A18899" s="27" t="s">
        <v>231</v>
      </c>
      <c r="B18899" s="27" t="s">
        <v>363</v>
      </c>
      <c r="C18899" s="28">
        <v>0.37040000000000001</v>
      </c>
      <c r="D18899" s="28">
        <v>0.40739999999999998</v>
      </c>
      <c r="E18899" s="28">
        <v>0.14810000000000001</v>
      </c>
      <c r="F18899" s="28">
        <v>7.4099999999999999E-2</v>
      </c>
      <c r="G18899" s="29"/>
      <c r="H18899" s="29"/>
      <c r="I18899" s="29"/>
      <c r="J18899" s="29"/>
      <c r="K18899" s="29" t="s">
        <v>338</v>
      </c>
    </row>
    <row r="18900" spans="1:11" x14ac:dyDescent="0.35">
      <c r="A18900" t="s">
        <v>232</v>
      </c>
      <c r="B18900" t="s">
        <v>232</v>
      </c>
      <c r="C18900" s="26">
        <v>0.46879999999999999</v>
      </c>
      <c r="D18900" s="26">
        <v>0.28549999999999998</v>
      </c>
      <c r="E18900" s="26">
        <v>0.1739</v>
      </c>
      <c r="F18900" s="26">
        <v>4.9399999999999999E-2</v>
      </c>
      <c r="G18900" s="26">
        <v>1.11E-2</v>
      </c>
      <c r="H18900" s="26">
        <v>6.3E-3</v>
      </c>
      <c r="I18900" s="26">
        <v>4.8999999999999998E-3</v>
      </c>
      <c r="J18900" s="26">
        <v>2.0000000000000001E-4</v>
      </c>
      <c r="K18900">
        <v>2475</v>
      </c>
    </row>
    <row r="18902" spans="1:11" x14ac:dyDescent="0.35">
      <c r="A18902" s="1" t="s">
        <v>1899</v>
      </c>
    </row>
    <row r="18903" spans="1:11" x14ac:dyDescent="0.35">
      <c r="A18903" t="s">
        <v>219</v>
      </c>
      <c r="B18903" t="s">
        <v>305</v>
      </c>
      <c r="C18903" t="s">
        <v>1889</v>
      </c>
      <c r="D18903" t="s">
        <v>1890</v>
      </c>
      <c r="E18903" t="s">
        <v>1891</v>
      </c>
      <c r="F18903" t="s">
        <v>1892</v>
      </c>
      <c r="G18903" t="s">
        <v>281</v>
      </c>
      <c r="H18903" t="s">
        <v>1893</v>
      </c>
      <c r="I18903" t="s">
        <v>1894</v>
      </c>
      <c r="J18903" t="s">
        <v>286</v>
      </c>
      <c r="K18903" t="s">
        <v>226</v>
      </c>
    </row>
    <row r="18904" spans="1:11" x14ac:dyDescent="0.35">
      <c r="A18904" t="s">
        <v>227</v>
      </c>
      <c r="B18904" t="s">
        <v>267</v>
      </c>
      <c r="C18904" s="26">
        <v>0.41670000000000001</v>
      </c>
      <c r="D18904" s="26">
        <v>0.33329999999999999</v>
      </c>
      <c r="E18904" s="26">
        <v>0.22220000000000001</v>
      </c>
      <c r="F18904" s="26">
        <v>2.7799999999999998E-2</v>
      </c>
      <c r="K18904">
        <v>36</v>
      </c>
    </row>
    <row r="18905" spans="1:11" x14ac:dyDescent="0.35">
      <c r="A18905" t="s">
        <v>227</v>
      </c>
      <c r="B18905" t="s">
        <v>266</v>
      </c>
      <c r="C18905" s="26">
        <v>0.42370000000000002</v>
      </c>
      <c r="D18905" s="26">
        <v>0.40679999999999999</v>
      </c>
      <c r="E18905" s="26">
        <v>0.1356</v>
      </c>
      <c r="F18905" s="26">
        <v>1.6899999999999998E-2</v>
      </c>
      <c r="G18905" s="26">
        <v>1.6899999999999998E-2</v>
      </c>
      <c r="K18905">
        <v>59</v>
      </c>
    </row>
    <row r="18906" spans="1:11" x14ac:dyDescent="0.35">
      <c r="A18906" t="s">
        <v>227</v>
      </c>
      <c r="B18906" t="s">
        <v>265</v>
      </c>
      <c r="C18906" s="26">
        <v>0.36359999999999998</v>
      </c>
      <c r="D18906" s="26">
        <v>0.28789999999999999</v>
      </c>
      <c r="E18906" s="26">
        <v>0.2727</v>
      </c>
      <c r="F18906" s="26">
        <v>6.0600000000000001E-2</v>
      </c>
      <c r="G18906" s="26">
        <v>1.52E-2</v>
      </c>
      <c r="K18906">
        <v>66</v>
      </c>
    </row>
    <row r="18907" spans="1:11" x14ac:dyDescent="0.35">
      <c r="A18907" t="s">
        <v>228</v>
      </c>
      <c r="B18907" t="s">
        <v>267</v>
      </c>
      <c r="C18907" s="26">
        <v>0.63109999999999999</v>
      </c>
      <c r="D18907" s="26">
        <v>0.19719999999999999</v>
      </c>
      <c r="E18907" s="26">
        <v>0.1085</v>
      </c>
      <c r="F18907" s="26">
        <v>3.2800000000000003E-2</v>
      </c>
      <c r="G18907" s="26">
        <v>6.8999999999999999E-3</v>
      </c>
      <c r="H18907" s="26">
        <v>2.35E-2</v>
      </c>
      <c r="K18907">
        <v>199</v>
      </c>
    </row>
    <row r="18908" spans="1:11" x14ac:dyDescent="0.35">
      <c r="A18908" t="s">
        <v>228</v>
      </c>
      <c r="B18908" t="s">
        <v>265</v>
      </c>
      <c r="C18908" s="26">
        <v>0.52259999999999995</v>
      </c>
      <c r="D18908" s="26">
        <v>0.26910000000000001</v>
      </c>
      <c r="E18908" s="26">
        <v>0.1208</v>
      </c>
      <c r="F18908" s="26">
        <v>6.9900000000000004E-2</v>
      </c>
      <c r="G18908" s="26">
        <v>1.47E-2</v>
      </c>
      <c r="H18908" s="26">
        <v>1.9E-3</v>
      </c>
      <c r="I18908" s="26">
        <v>1E-3</v>
      </c>
      <c r="K18908">
        <v>384</v>
      </c>
    </row>
    <row r="18909" spans="1:11" x14ac:dyDescent="0.35">
      <c r="A18909" s="27" t="s">
        <v>228</v>
      </c>
      <c r="B18909" s="27" t="s">
        <v>236</v>
      </c>
      <c r="C18909" s="28">
        <v>1</v>
      </c>
      <c r="D18909" s="29"/>
      <c r="E18909" s="29"/>
      <c r="F18909" s="29"/>
      <c r="G18909" s="29"/>
      <c r="H18909" s="29"/>
      <c r="I18909" s="29"/>
      <c r="J18909" s="29"/>
      <c r="K18909" s="29" t="s">
        <v>314</v>
      </c>
    </row>
    <row r="18910" spans="1:11" x14ac:dyDescent="0.35">
      <c r="A18910" t="s">
        <v>228</v>
      </c>
      <c r="B18910" t="s">
        <v>266</v>
      </c>
      <c r="C18910" s="26">
        <v>0.65769999999999995</v>
      </c>
      <c r="D18910" s="26">
        <v>0.13869999999999999</v>
      </c>
      <c r="E18910" s="26">
        <v>0.1026</v>
      </c>
      <c r="F18910" s="26">
        <v>5.33E-2</v>
      </c>
      <c r="G18910" s="26">
        <v>8.0999999999999996E-3</v>
      </c>
      <c r="H18910" s="26">
        <v>1.0699999999999999E-2</v>
      </c>
      <c r="I18910" s="26">
        <v>2.8000000000000001E-2</v>
      </c>
      <c r="J18910" s="26">
        <v>8.9999999999999998E-4</v>
      </c>
      <c r="K18910">
        <v>448</v>
      </c>
    </row>
    <row r="18911" spans="1:11" x14ac:dyDescent="0.35">
      <c r="A18911" t="s">
        <v>229</v>
      </c>
      <c r="B18911" t="s">
        <v>266</v>
      </c>
      <c r="C18911" s="26">
        <v>0.52</v>
      </c>
      <c r="D18911" s="26">
        <v>0.28710000000000002</v>
      </c>
      <c r="E18911" s="26">
        <v>0.12239999999999999</v>
      </c>
      <c r="F18911" s="26">
        <v>4.4499999999999998E-2</v>
      </c>
      <c r="G18911" s="26">
        <v>2.5399999999999999E-2</v>
      </c>
      <c r="I18911" s="26">
        <v>5.0000000000000001E-4</v>
      </c>
      <c r="K18911">
        <v>358</v>
      </c>
    </row>
    <row r="18912" spans="1:11" x14ac:dyDescent="0.35">
      <c r="A18912" t="s">
        <v>229</v>
      </c>
      <c r="B18912" t="s">
        <v>267</v>
      </c>
      <c r="C18912" s="26">
        <v>0.57279999999999998</v>
      </c>
      <c r="D18912" s="26">
        <v>0.24249999999999999</v>
      </c>
      <c r="E18912" s="26">
        <v>0.14000000000000001</v>
      </c>
      <c r="F18912" s="26">
        <v>2.8199999999999999E-2</v>
      </c>
      <c r="G18912" s="26">
        <v>1.35E-2</v>
      </c>
      <c r="I18912" s="26">
        <v>3.0000000000000001E-3</v>
      </c>
      <c r="K18912">
        <v>201</v>
      </c>
    </row>
    <row r="18913" spans="1:11" x14ac:dyDescent="0.35">
      <c r="A18913" t="s">
        <v>229</v>
      </c>
      <c r="B18913" t="s">
        <v>265</v>
      </c>
      <c r="C18913" s="26">
        <v>0.63319999999999999</v>
      </c>
      <c r="D18913" s="26">
        <v>0.1862</v>
      </c>
      <c r="E18913" s="26">
        <v>0.1196</v>
      </c>
      <c r="F18913" s="26">
        <v>4.1500000000000002E-2</v>
      </c>
      <c r="G18913" s="26">
        <v>1.24E-2</v>
      </c>
      <c r="H18913" s="26">
        <v>6.3E-3</v>
      </c>
      <c r="J18913" s="26">
        <v>6.9999999999999999E-4</v>
      </c>
      <c r="K18913">
        <v>335</v>
      </c>
    </row>
    <row r="18914" spans="1:11" x14ac:dyDescent="0.35">
      <c r="A18914" t="s">
        <v>230</v>
      </c>
      <c r="B18914" t="s">
        <v>267</v>
      </c>
      <c r="C18914" s="26">
        <v>0.41560000000000002</v>
      </c>
      <c r="D18914" s="26">
        <v>0.26860000000000001</v>
      </c>
      <c r="E18914" s="26">
        <v>0.13969999999999999</v>
      </c>
      <c r="F18914" s="26">
        <v>9.3799999999999994E-2</v>
      </c>
      <c r="G18914" s="26">
        <v>2.5700000000000001E-2</v>
      </c>
      <c r="H18914" s="26">
        <v>3.1E-2</v>
      </c>
      <c r="I18914" s="26">
        <v>2.5700000000000001E-2</v>
      </c>
      <c r="K18914">
        <v>119</v>
      </c>
    </row>
    <row r="18915" spans="1:11" x14ac:dyDescent="0.35">
      <c r="A18915" t="s">
        <v>230</v>
      </c>
      <c r="B18915" t="s">
        <v>266</v>
      </c>
      <c r="C18915" s="26">
        <v>0.49070000000000003</v>
      </c>
      <c r="D18915" s="26">
        <v>0.22839999999999999</v>
      </c>
      <c r="E18915" s="26">
        <v>0.19689999999999999</v>
      </c>
      <c r="F18915" s="26">
        <v>4.19E-2</v>
      </c>
      <c r="H18915" s="26">
        <v>3.8800000000000001E-2</v>
      </c>
      <c r="I18915" s="26">
        <v>3.2000000000000002E-3</v>
      </c>
      <c r="K18915">
        <v>232</v>
      </c>
    </row>
    <row r="18916" spans="1:11" x14ac:dyDescent="0.35">
      <c r="A18916" t="s">
        <v>230</v>
      </c>
      <c r="B18916" t="s">
        <v>265</v>
      </c>
      <c r="C18916" s="26">
        <v>0.46850000000000003</v>
      </c>
      <c r="D18916" s="26">
        <v>0.2014</v>
      </c>
      <c r="E18916" s="26">
        <v>0.24829999999999999</v>
      </c>
      <c r="F18916" s="26">
        <v>3.61E-2</v>
      </c>
      <c r="G18916" s="26">
        <v>2.2000000000000001E-3</v>
      </c>
      <c r="H18916" s="26">
        <v>4.3499999999999997E-2</v>
      </c>
      <c r="K18916">
        <v>209</v>
      </c>
    </row>
    <row r="18917" spans="1:11" x14ac:dyDescent="0.35">
      <c r="A18917" t="s">
        <v>231</v>
      </c>
      <c r="B18917" t="s">
        <v>267</v>
      </c>
      <c r="C18917" s="26">
        <v>0.23530000000000001</v>
      </c>
      <c r="D18917" s="26">
        <v>0.5</v>
      </c>
      <c r="E18917" s="26">
        <v>0.2059</v>
      </c>
      <c r="F18917" s="26">
        <v>5.8799999999999998E-2</v>
      </c>
      <c r="K18917">
        <v>34</v>
      </c>
    </row>
    <row r="18918" spans="1:11" x14ac:dyDescent="0.35">
      <c r="A18918" t="s">
        <v>231</v>
      </c>
      <c r="B18918" t="s">
        <v>266</v>
      </c>
      <c r="C18918" s="26">
        <v>0.3387</v>
      </c>
      <c r="D18918" s="26">
        <v>0.3387</v>
      </c>
      <c r="E18918" s="26">
        <v>0.2258</v>
      </c>
      <c r="F18918" s="26">
        <v>8.0600000000000005E-2</v>
      </c>
      <c r="G18918" s="26">
        <v>1.61E-2</v>
      </c>
      <c r="K18918">
        <v>62</v>
      </c>
    </row>
    <row r="18919" spans="1:11" x14ac:dyDescent="0.35">
      <c r="A18919" t="s">
        <v>231</v>
      </c>
      <c r="B18919" t="s">
        <v>265</v>
      </c>
      <c r="C18919" s="26">
        <v>0.29409999999999997</v>
      </c>
      <c r="D18919" s="26">
        <v>0.38240000000000002</v>
      </c>
      <c r="E18919" s="26">
        <v>0.26469999999999999</v>
      </c>
      <c r="F18919" s="26">
        <v>4.41E-2</v>
      </c>
      <c r="I18919" s="26">
        <v>1.47E-2</v>
      </c>
      <c r="K18919">
        <v>68</v>
      </c>
    </row>
    <row r="18920" spans="1:11" x14ac:dyDescent="0.35">
      <c r="A18920" t="s">
        <v>232</v>
      </c>
      <c r="B18920" t="s">
        <v>232</v>
      </c>
      <c r="C18920" s="26">
        <v>0.46879999999999999</v>
      </c>
      <c r="D18920" s="26">
        <v>0.28549999999999998</v>
      </c>
      <c r="E18920" s="26">
        <v>0.1739</v>
      </c>
      <c r="F18920" s="26">
        <v>4.9399999999999999E-2</v>
      </c>
      <c r="G18920" s="26">
        <v>1.11E-2</v>
      </c>
      <c r="H18920" s="26">
        <v>6.3E-3</v>
      </c>
      <c r="I18920" s="26">
        <v>4.8999999999999998E-3</v>
      </c>
      <c r="J18920" s="26">
        <v>2.0000000000000001E-4</v>
      </c>
      <c r="K18920">
        <v>2812</v>
      </c>
    </row>
    <row r="18922" spans="1:11" x14ac:dyDescent="0.35">
      <c r="A18922" s="1" t="s">
        <v>1900</v>
      </c>
    </row>
    <row r="18923" spans="1:11" x14ac:dyDescent="0.35">
      <c r="A18923" t="s">
        <v>219</v>
      </c>
      <c r="B18923" t="s">
        <v>305</v>
      </c>
      <c r="C18923" t="s">
        <v>1889</v>
      </c>
      <c r="D18923" t="s">
        <v>1890</v>
      </c>
      <c r="E18923" t="s">
        <v>1891</v>
      </c>
      <c r="F18923" t="s">
        <v>1892</v>
      </c>
      <c r="G18923" t="s">
        <v>281</v>
      </c>
      <c r="H18923" t="s">
        <v>1893</v>
      </c>
      <c r="I18923" t="s">
        <v>1894</v>
      </c>
      <c r="J18923" t="s">
        <v>286</v>
      </c>
      <c r="K18923" t="s">
        <v>226</v>
      </c>
    </row>
    <row r="18924" spans="1:11" x14ac:dyDescent="0.35">
      <c r="A18924" t="s">
        <v>227</v>
      </c>
      <c r="B18924" t="s">
        <v>252</v>
      </c>
      <c r="C18924" s="26">
        <v>0.4</v>
      </c>
      <c r="D18924" s="26">
        <v>0.4667</v>
      </c>
      <c r="E18924" s="26">
        <v>0.1111</v>
      </c>
      <c r="G18924" s="26">
        <v>2.2200000000000001E-2</v>
      </c>
      <c r="K18924">
        <v>45</v>
      </c>
    </row>
    <row r="18925" spans="1:11" x14ac:dyDescent="0.35">
      <c r="A18925" t="s">
        <v>227</v>
      </c>
      <c r="B18925" t="s">
        <v>253</v>
      </c>
      <c r="C18925" s="26">
        <v>0.32350000000000001</v>
      </c>
      <c r="D18925" s="26">
        <v>0.29409999999999997</v>
      </c>
      <c r="E18925" s="26">
        <v>0.35289999999999999</v>
      </c>
      <c r="F18925" s="26">
        <v>2.9399999999999999E-2</v>
      </c>
      <c r="K18925">
        <v>34</v>
      </c>
    </row>
    <row r="18926" spans="1:11" x14ac:dyDescent="0.35">
      <c r="A18926" t="s">
        <v>227</v>
      </c>
      <c r="B18926" t="s">
        <v>251</v>
      </c>
      <c r="C18926" s="26">
        <v>0.42680000000000001</v>
      </c>
      <c r="D18926" s="26">
        <v>0.29270000000000002</v>
      </c>
      <c r="E18926" s="26">
        <v>0.20730000000000001</v>
      </c>
      <c r="F18926" s="26">
        <v>6.0999999999999999E-2</v>
      </c>
      <c r="G18926" s="26">
        <v>1.2200000000000001E-2</v>
      </c>
      <c r="K18926">
        <v>82</v>
      </c>
    </row>
    <row r="18927" spans="1:11" x14ac:dyDescent="0.35">
      <c r="A18927" t="s">
        <v>228</v>
      </c>
      <c r="B18927" t="s">
        <v>252</v>
      </c>
      <c r="C18927" s="26">
        <v>0.55979999999999996</v>
      </c>
      <c r="D18927" s="26">
        <v>0.19700000000000001</v>
      </c>
      <c r="E18927" s="26">
        <v>0.12039999999999999</v>
      </c>
      <c r="F18927" s="26">
        <v>6.4100000000000004E-2</v>
      </c>
      <c r="G18927" s="26">
        <v>1.17E-2</v>
      </c>
      <c r="H18927" s="26">
        <v>1.1900000000000001E-2</v>
      </c>
      <c r="I18927" s="26">
        <v>3.5099999999999999E-2</v>
      </c>
      <c r="K18927">
        <v>344</v>
      </c>
    </row>
    <row r="18928" spans="1:11" x14ac:dyDescent="0.35">
      <c r="A18928" t="s">
        <v>228</v>
      </c>
      <c r="B18928" t="s">
        <v>253</v>
      </c>
      <c r="C18928" s="26">
        <v>0.59109999999999996</v>
      </c>
      <c r="D18928" s="26">
        <v>0.2147</v>
      </c>
      <c r="E18928" s="26">
        <v>0.109</v>
      </c>
      <c r="F18928" s="26">
        <v>4.6600000000000003E-2</v>
      </c>
      <c r="G18928" s="26">
        <v>1.14E-2</v>
      </c>
      <c r="H18928" s="26">
        <v>2.35E-2</v>
      </c>
      <c r="I18928" s="26">
        <v>2E-3</v>
      </c>
      <c r="J18928" s="26">
        <v>1.8E-3</v>
      </c>
      <c r="K18928">
        <v>222</v>
      </c>
    </row>
    <row r="18929" spans="1:11" x14ac:dyDescent="0.35">
      <c r="A18929" t="s">
        <v>228</v>
      </c>
      <c r="B18929" t="s">
        <v>251</v>
      </c>
      <c r="C18929" s="26">
        <v>0.63009999999999999</v>
      </c>
      <c r="D18929" s="26">
        <v>0.1991</v>
      </c>
      <c r="E18929" s="26">
        <v>0.10440000000000001</v>
      </c>
      <c r="F18929" s="26">
        <v>5.5300000000000002E-2</v>
      </c>
      <c r="G18929" s="26">
        <v>9.4000000000000004E-3</v>
      </c>
      <c r="H18929" s="26">
        <v>1.1999999999999999E-3</v>
      </c>
      <c r="I18929" s="26">
        <v>5.0000000000000001E-4</v>
      </c>
      <c r="K18929">
        <v>467</v>
      </c>
    </row>
    <row r="18930" spans="1:11" x14ac:dyDescent="0.35">
      <c r="A18930" t="s">
        <v>229</v>
      </c>
      <c r="B18930" t="s">
        <v>252</v>
      </c>
      <c r="C18930" s="26">
        <v>0.55089999999999995</v>
      </c>
      <c r="D18930" s="26">
        <v>0.24079999999999999</v>
      </c>
      <c r="E18930" s="26">
        <v>0.16739999999999999</v>
      </c>
      <c r="F18930" s="26">
        <v>1.4800000000000001E-2</v>
      </c>
      <c r="G18930" s="26">
        <v>1.26E-2</v>
      </c>
      <c r="H18930" s="26">
        <v>1.26E-2</v>
      </c>
      <c r="I18930" s="26">
        <v>8.0000000000000004E-4</v>
      </c>
      <c r="K18930">
        <v>199</v>
      </c>
    </row>
    <row r="18931" spans="1:11" x14ac:dyDescent="0.35">
      <c r="A18931" t="s">
        <v>229</v>
      </c>
      <c r="B18931" t="s">
        <v>253</v>
      </c>
      <c r="C18931" s="26">
        <v>0.58040000000000003</v>
      </c>
      <c r="D18931" s="26">
        <v>0.1918</v>
      </c>
      <c r="E18931" s="26">
        <v>0.17080000000000001</v>
      </c>
      <c r="F18931" s="26">
        <v>5.6500000000000002E-2</v>
      </c>
      <c r="G18931" s="26">
        <v>5.0000000000000001E-4</v>
      </c>
      <c r="K18931">
        <v>145</v>
      </c>
    </row>
    <row r="18932" spans="1:11" x14ac:dyDescent="0.35">
      <c r="A18932" t="s">
        <v>229</v>
      </c>
      <c r="B18932" t="s">
        <v>251</v>
      </c>
      <c r="C18932" s="26">
        <v>0.59550000000000003</v>
      </c>
      <c r="D18932" s="26">
        <v>0.24129999999999999</v>
      </c>
      <c r="E18932" s="26">
        <v>9.4100000000000003E-2</v>
      </c>
      <c r="F18932" s="26">
        <v>4.3499999999999997E-2</v>
      </c>
      <c r="G18932" s="26">
        <v>2.3900000000000001E-2</v>
      </c>
      <c r="I18932" s="26">
        <v>1.1000000000000001E-3</v>
      </c>
      <c r="J18932" s="26">
        <v>5.9999999999999995E-4</v>
      </c>
      <c r="K18932">
        <v>550</v>
      </c>
    </row>
    <row r="18933" spans="1:11" x14ac:dyDescent="0.35">
      <c r="A18933" t="s">
        <v>230</v>
      </c>
      <c r="B18933" t="s">
        <v>252</v>
      </c>
      <c r="C18933" s="26">
        <v>0.38900000000000001</v>
      </c>
      <c r="D18933" s="26">
        <v>0.2311</v>
      </c>
      <c r="E18933" s="26">
        <v>0.2225</v>
      </c>
      <c r="F18933" s="26">
        <v>5.7099999999999998E-2</v>
      </c>
      <c r="H18933" s="26">
        <v>7.8200000000000006E-2</v>
      </c>
      <c r="I18933" s="26">
        <v>2.2100000000000002E-2</v>
      </c>
      <c r="K18933">
        <v>159</v>
      </c>
    </row>
    <row r="18934" spans="1:11" x14ac:dyDescent="0.35">
      <c r="A18934" t="s">
        <v>230</v>
      </c>
      <c r="B18934" t="s">
        <v>253</v>
      </c>
      <c r="C18934" s="26">
        <v>0.4289</v>
      </c>
      <c r="D18934" s="26">
        <v>0.28710000000000002</v>
      </c>
      <c r="E18934" s="26">
        <v>0.1862</v>
      </c>
      <c r="F18934" s="26">
        <v>3.32E-2</v>
      </c>
      <c r="G18934" s="26">
        <v>1.4E-3</v>
      </c>
      <c r="H18934" s="26">
        <v>6.1800000000000001E-2</v>
      </c>
      <c r="I18934" s="26">
        <v>1.4E-3</v>
      </c>
      <c r="K18934">
        <v>110</v>
      </c>
    </row>
    <row r="18935" spans="1:11" x14ac:dyDescent="0.35">
      <c r="A18935" t="s">
        <v>230</v>
      </c>
      <c r="B18935" t="s">
        <v>251</v>
      </c>
      <c r="C18935" s="26">
        <v>0.5121</v>
      </c>
      <c r="D18935" s="26">
        <v>0.20280000000000001</v>
      </c>
      <c r="E18935" s="26">
        <v>0.2049</v>
      </c>
      <c r="F18935" s="26">
        <v>5.3999999999999999E-2</v>
      </c>
      <c r="G18935" s="26">
        <v>1.1299999999999999E-2</v>
      </c>
      <c r="H18935" s="26">
        <v>1.3299999999999999E-2</v>
      </c>
      <c r="I18935" s="26">
        <v>1.6000000000000001E-3</v>
      </c>
      <c r="K18935">
        <v>291</v>
      </c>
    </row>
    <row r="18936" spans="1:11" x14ac:dyDescent="0.35">
      <c r="A18936" t="s">
        <v>231</v>
      </c>
      <c r="B18936" t="s">
        <v>252</v>
      </c>
      <c r="C18936" s="26">
        <v>0.24490000000000001</v>
      </c>
      <c r="D18936" s="26">
        <v>0.42859999999999998</v>
      </c>
      <c r="E18936" s="26">
        <v>0.24490000000000001</v>
      </c>
      <c r="F18936" s="26">
        <v>6.1199999999999997E-2</v>
      </c>
      <c r="G18936" s="26">
        <v>2.0400000000000001E-2</v>
      </c>
      <c r="K18936">
        <v>49</v>
      </c>
    </row>
    <row r="18937" spans="1:11" x14ac:dyDescent="0.35">
      <c r="A18937" t="s">
        <v>231</v>
      </c>
      <c r="B18937" t="s">
        <v>253</v>
      </c>
      <c r="C18937" s="26">
        <v>0.26669999999999999</v>
      </c>
      <c r="D18937" s="26">
        <v>0.36670000000000003</v>
      </c>
      <c r="E18937" s="26">
        <v>0.26669999999999999</v>
      </c>
      <c r="F18937" s="26">
        <v>6.6699999999999995E-2</v>
      </c>
      <c r="I18937" s="26">
        <v>3.3300000000000003E-2</v>
      </c>
      <c r="K18937">
        <v>30</v>
      </c>
    </row>
    <row r="18938" spans="1:11" x14ac:dyDescent="0.35">
      <c r="A18938" t="s">
        <v>231</v>
      </c>
      <c r="B18938" t="s">
        <v>251</v>
      </c>
      <c r="C18938" s="26">
        <v>0.3412</v>
      </c>
      <c r="D18938" s="26">
        <v>0.3765</v>
      </c>
      <c r="E18938" s="26">
        <v>0.2235</v>
      </c>
      <c r="F18938" s="26">
        <v>5.8799999999999998E-2</v>
      </c>
      <c r="K18938">
        <v>85</v>
      </c>
    </row>
    <row r="18939" spans="1:11" x14ac:dyDescent="0.35">
      <c r="A18939" t="s">
        <v>232</v>
      </c>
      <c r="B18939" t="s">
        <v>232</v>
      </c>
      <c r="C18939" s="26">
        <v>0.46879999999999999</v>
      </c>
      <c r="D18939" s="26">
        <v>0.28549999999999998</v>
      </c>
      <c r="E18939" s="26">
        <v>0.1739</v>
      </c>
      <c r="F18939" s="26">
        <v>4.9399999999999999E-2</v>
      </c>
      <c r="G18939" s="26">
        <v>1.11E-2</v>
      </c>
      <c r="H18939" s="26">
        <v>6.3E-3</v>
      </c>
      <c r="I18939" s="26">
        <v>4.8999999999999998E-3</v>
      </c>
      <c r="J18939" s="26">
        <v>2.0000000000000001E-4</v>
      </c>
      <c r="K18939">
        <v>2812</v>
      </c>
    </row>
    <row r="18941" spans="1:11" x14ac:dyDescent="0.35">
      <c r="A18941" s="1" t="s">
        <v>1901</v>
      </c>
    </row>
    <row r="18942" spans="1:11" x14ac:dyDescent="0.35">
      <c r="A18942" t="s">
        <v>219</v>
      </c>
      <c r="B18942" t="s">
        <v>305</v>
      </c>
      <c r="C18942" t="s">
        <v>1889</v>
      </c>
      <c r="D18942" t="s">
        <v>1890</v>
      </c>
      <c r="E18942" t="s">
        <v>1891</v>
      </c>
      <c r="F18942" t="s">
        <v>1892</v>
      </c>
      <c r="G18942" t="s">
        <v>281</v>
      </c>
      <c r="H18942" t="s">
        <v>1893</v>
      </c>
      <c r="I18942" t="s">
        <v>1894</v>
      </c>
      <c r="J18942" t="s">
        <v>286</v>
      </c>
      <c r="K18942" t="s">
        <v>226</v>
      </c>
    </row>
    <row r="18943" spans="1:11" x14ac:dyDescent="0.35">
      <c r="A18943" t="s">
        <v>227</v>
      </c>
      <c r="B18943" t="s">
        <v>249</v>
      </c>
      <c r="C18943" s="26">
        <v>0.36359999999999998</v>
      </c>
      <c r="D18943" s="26">
        <v>0.2727</v>
      </c>
      <c r="E18943" s="26">
        <v>0.2727</v>
      </c>
      <c r="F18943" s="26">
        <v>9.0899999999999995E-2</v>
      </c>
      <c r="K18943">
        <v>44</v>
      </c>
    </row>
    <row r="18944" spans="1:11" x14ac:dyDescent="0.35">
      <c r="A18944" t="s">
        <v>227</v>
      </c>
      <c r="B18944" t="s">
        <v>248</v>
      </c>
      <c r="C18944" s="26">
        <v>0.4103</v>
      </c>
      <c r="D18944" s="26">
        <v>0.36749999999999999</v>
      </c>
      <c r="E18944" s="26">
        <v>0.188</v>
      </c>
      <c r="F18944" s="26">
        <v>1.7100000000000001E-2</v>
      </c>
      <c r="G18944" s="26">
        <v>1.7100000000000001E-2</v>
      </c>
      <c r="K18944">
        <v>117</v>
      </c>
    </row>
    <row r="18945" spans="1:11" x14ac:dyDescent="0.35">
      <c r="A18945" t="s">
        <v>228</v>
      </c>
      <c r="B18945" t="s">
        <v>249</v>
      </c>
      <c r="C18945" s="26">
        <v>0.61240000000000006</v>
      </c>
      <c r="D18945" s="26">
        <v>0.1802</v>
      </c>
      <c r="E18945" s="26">
        <v>0.13980000000000001</v>
      </c>
      <c r="F18945" s="26">
        <v>4.8300000000000003E-2</v>
      </c>
      <c r="G18945" s="26">
        <v>3.8999999999999998E-3</v>
      </c>
      <c r="H18945" s="26">
        <v>1.43E-2</v>
      </c>
      <c r="J18945" s="26">
        <v>1.1999999999999999E-3</v>
      </c>
      <c r="K18945">
        <v>274</v>
      </c>
    </row>
    <row r="18946" spans="1:11" x14ac:dyDescent="0.35">
      <c r="A18946" t="s">
        <v>228</v>
      </c>
      <c r="B18946" t="s">
        <v>248</v>
      </c>
      <c r="C18946" s="26">
        <v>0.59419999999999995</v>
      </c>
      <c r="D18946" s="26">
        <v>0.21079999999999999</v>
      </c>
      <c r="E18946" s="26">
        <v>9.8000000000000004E-2</v>
      </c>
      <c r="F18946" s="26">
        <v>5.9799999999999999E-2</v>
      </c>
      <c r="G18946" s="26">
        <v>1.34E-2</v>
      </c>
      <c r="H18946" s="26">
        <v>7.0000000000000001E-3</v>
      </c>
      <c r="I18946" s="26">
        <v>1.7000000000000001E-2</v>
      </c>
      <c r="K18946">
        <v>759</v>
      </c>
    </row>
    <row r="18947" spans="1:11" x14ac:dyDescent="0.35">
      <c r="A18947" t="s">
        <v>229</v>
      </c>
      <c r="B18947" t="s">
        <v>249</v>
      </c>
      <c r="C18947" s="26">
        <v>0.61429999999999996</v>
      </c>
      <c r="D18947" s="26">
        <v>0.2319</v>
      </c>
      <c r="E18947" s="26">
        <v>8.5999999999999993E-2</v>
      </c>
      <c r="F18947" s="26">
        <v>4.3099999999999999E-2</v>
      </c>
      <c r="G18947" s="26">
        <v>2.47E-2</v>
      </c>
      <c r="K18947">
        <v>259</v>
      </c>
    </row>
    <row r="18948" spans="1:11" x14ac:dyDescent="0.35">
      <c r="A18948" t="s">
        <v>229</v>
      </c>
      <c r="B18948" t="s">
        <v>248</v>
      </c>
      <c r="C18948" s="26">
        <v>0.56720000000000004</v>
      </c>
      <c r="D18948" s="26">
        <v>0.23180000000000001</v>
      </c>
      <c r="E18948" s="26">
        <v>0.14410000000000001</v>
      </c>
      <c r="F18948" s="26">
        <v>3.78E-2</v>
      </c>
      <c r="G18948" s="26">
        <v>1.32E-2</v>
      </c>
      <c r="H18948" s="26">
        <v>4.1999999999999997E-3</v>
      </c>
      <c r="I18948" s="26">
        <v>1.1999999999999999E-3</v>
      </c>
      <c r="J18948" s="26">
        <v>5.0000000000000001E-4</v>
      </c>
      <c r="K18948">
        <v>635</v>
      </c>
    </row>
    <row r="18949" spans="1:11" x14ac:dyDescent="0.35">
      <c r="A18949" t="s">
        <v>230</v>
      </c>
      <c r="B18949" t="s">
        <v>249</v>
      </c>
      <c r="C18949" s="26">
        <v>0.43609999999999999</v>
      </c>
      <c r="D18949" s="26">
        <v>0.20799999999999999</v>
      </c>
      <c r="E18949" s="26">
        <v>0.2863</v>
      </c>
      <c r="F18949" s="26">
        <v>3.4200000000000001E-2</v>
      </c>
      <c r="G18949" s="26">
        <v>2.7000000000000001E-3</v>
      </c>
      <c r="H18949" s="26">
        <v>3.27E-2</v>
      </c>
      <c r="K18949">
        <v>171</v>
      </c>
    </row>
    <row r="18950" spans="1:11" x14ac:dyDescent="0.35">
      <c r="A18950" t="s">
        <v>230</v>
      </c>
      <c r="B18950" t="s">
        <v>248</v>
      </c>
      <c r="C18950" s="26">
        <v>0.47949999999999998</v>
      </c>
      <c r="D18950" s="26">
        <v>0.2351</v>
      </c>
      <c r="E18950" s="26">
        <v>0.16500000000000001</v>
      </c>
      <c r="F18950" s="26">
        <v>5.9400000000000001E-2</v>
      </c>
      <c r="G18950" s="26">
        <v>8.5000000000000006E-3</v>
      </c>
      <c r="H18950" s="26">
        <v>4.2299999999999997E-2</v>
      </c>
      <c r="I18950" s="26">
        <v>1.03E-2</v>
      </c>
      <c r="K18950">
        <v>389</v>
      </c>
    </row>
    <row r="18951" spans="1:11" x14ac:dyDescent="0.35">
      <c r="A18951" t="s">
        <v>231</v>
      </c>
      <c r="B18951" t="s">
        <v>249</v>
      </c>
      <c r="C18951" s="26">
        <v>0.31430000000000002</v>
      </c>
      <c r="D18951" s="26">
        <v>0.34289999999999998</v>
      </c>
      <c r="E18951" s="26">
        <v>0.28570000000000001</v>
      </c>
      <c r="G18951" s="26">
        <v>2.86E-2</v>
      </c>
      <c r="I18951" s="26">
        <v>2.86E-2</v>
      </c>
      <c r="K18951">
        <v>35</v>
      </c>
    </row>
    <row r="18952" spans="1:11" x14ac:dyDescent="0.35">
      <c r="A18952" t="s">
        <v>231</v>
      </c>
      <c r="B18952" t="s">
        <v>248</v>
      </c>
      <c r="C18952" s="26">
        <v>0.29459999999999997</v>
      </c>
      <c r="D18952" s="26">
        <v>0.40310000000000001</v>
      </c>
      <c r="E18952" s="26">
        <v>0.2248</v>
      </c>
      <c r="F18952" s="26">
        <v>7.7499999999999999E-2</v>
      </c>
      <c r="K18952">
        <v>129</v>
      </c>
    </row>
    <row r="18953" spans="1:11" x14ac:dyDescent="0.35">
      <c r="A18953" t="s">
        <v>232</v>
      </c>
      <c r="B18953" t="s">
        <v>232</v>
      </c>
      <c r="C18953" s="26">
        <v>0.46879999999999999</v>
      </c>
      <c r="D18953" s="26">
        <v>0.28549999999999998</v>
      </c>
      <c r="E18953" s="26">
        <v>0.1739</v>
      </c>
      <c r="F18953" s="26">
        <v>4.9399999999999999E-2</v>
      </c>
      <c r="G18953" s="26">
        <v>1.11E-2</v>
      </c>
      <c r="H18953" s="26">
        <v>6.3E-3</v>
      </c>
      <c r="I18953" s="26">
        <v>4.8999999999999998E-3</v>
      </c>
      <c r="J18953" s="26">
        <v>2.0000000000000001E-4</v>
      </c>
      <c r="K18953">
        <v>2812</v>
      </c>
    </row>
    <row r="18955" spans="1:11" x14ac:dyDescent="0.35">
      <c r="A18955" s="1" t="s">
        <v>1902</v>
      </c>
    </row>
    <row r="18956" spans="1:11" x14ac:dyDescent="0.35">
      <c r="A18956" t="s">
        <v>219</v>
      </c>
      <c r="B18956" t="s">
        <v>305</v>
      </c>
      <c r="C18956" t="s">
        <v>1889</v>
      </c>
      <c r="D18956" t="s">
        <v>1890</v>
      </c>
      <c r="E18956" t="s">
        <v>1891</v>
      </c>
      <c r="F18956" t="s">
        <v>1892</v>
      </c>
      <c r="G18956" t="s">
        <v>281</v>
      </c>
      <c r="H18956" t="s">
        <v>1893</v>
      </c>
      <c r="I18956" t="s">
        <v>1894</v>
      </c>
      <c r="J18956" t="s">
        <v>286</v>
      </c>
      <c r="K18956" t="s">
        <v>226</v>
      </c>
    </row>
    <row r="18957" spans="1:11" x14ac:dyDescent="0.35">
      <c r="A18957" s="27" t="s">
        <v>227</v>
      </c>
      <c r="B18957" s="27" t="s">
        <v>263</v>
      </c>
      <c r="C18957" s="28">
        <v>0.66669999999999996</v>
      </c>
      <c r="D18957" s="29"/>
      <c r="E18957" s="29"/>
      <c r="F18957" s="28">
        <v>0.33329999999999999</v>
      </c>
      <c r="G18957" s="29"/>
      <c r="H18957" s="29"/>
      <c r="I18957" s="29"/>
      <c r="J18957" s="29"/>
      <c r="K18957" s="29" t="s">
        <v>315</v>
      </c>
    </row>
    <row r="18958" spans="1:11" x14ac:dyDescent="0.35">
      <c r="A18958" t="s">
        <v>227</v>
      </c>
      <c r="B18958" t="s">
        <v>261</v>
      </c>
      <c r="C18958" s="26">
        <v>0.42420000000000002</v>
      </c>
      <c r="D18958" s="26">
        <v>0.36359999999999998</v>
      </c>
      <c r="E18958" s="26">
        <v>0.1515</v>
      </c>
      <c r="G18958" s="26">
        <v>6.0600000000000001E-2</v>
      </c>
      <c r="K18958">
        <v>33</v>
      </c>
    </row>
    <row r="18959" spans="1:11" x14ac:dyDescent="0.35">
      <c r="A18959" s="27" t="s">
        <v>227</v>
      </c>
      <c r="B18959" s="27" t="s">
        <v>262</v>
      </c>
      <c r="C18959" s="28">
        <v>0.66669999999999996</v>
      </c>
      <c r="D18959" s="29"/>
      <c r="E18959" s="29"/>
      <c r="F18959" s="28">
        <v>0.33329999999999999</v>
      </c>
      <c r="G18959" s="29"/>
      <c r="H18959" s="29"/>
      <c r="I18959" s="29"/>
      <c r="J18959" s="29"/>
      <c r="K18959" s="29" t="s">
        <v>315</v>
      </c>
    </row>
    <row r="18960" spans="1:11" x14ac:dyDescent="0.35">
      <c r="A18960" t="s">
        <v>227</v>
      </c>
      <c r="B18960" t="s">
        <v>260</v>
      </c>
      <c r="C18960" s="26">
        <v>0.377</v>
      </c>
      <c r="D18960" s="26">
        <v>0.35249999999999998</v>
      </c>
      <c r="E18960" s="26">
        <v>0.23769999999999999</v>
      </c>
      <c r="F18960" s="26">
        <v>3.2800000000000003E-2</v>
      </c>
      <c r="K18960">
        <v>122</v>
      </c>
    </row>
    <row r="18961" spans="1:11" x14ac:dyDescent="0.35">
      <c r="A18961" t="s">
        <v>228</v>
      </c>
      <c r="B18961" t="s">
        <v>261</v>
      </c>
      <c r="C18961" s="26">
        <v>0.54990000000000006</v>
      </c>
      <c r="D18961" s="26">
        <v>0.23250000000000001</v>
      </c>
      <c r="E18961" s="26">
        <v>0.10829999999999999</v>
      </c>
      <c r="F18961" s="26">
        <v>6.88E-2</v>
      </c>
      <c r="G18961" s="26">
        <v>2.0999999999999999E-3</v>
      </c>
      <c r="H18961" s="26">
        <v>1.83E-2</v>
      </c>
      <c r="I18961" s="26">
        <v>1.83E-2</v>
      </c>
      <c r="J18961" s="26">
        <v>1.8E-3</v>
      </c>
      <c r="K18961">
        <v>192</v>
      </c>
    </row>
    <row r="18962" spans="1:11" x14ac:dyDescent="0.35">
      <c r="A18962" s="27" t="s">
        <v>228</v>
      </c>
      <c r="B18962" s="27" t="s">
        <v>263</v>
      </c>
      <c r="C18962" s="28">
        <v>0.63070000000000004</v>
      </c>
      <c r="D18962" s="28">
        <v>0.14929999999999999</v>
      </c>
      <c r="E18962" s="28">
        <v>0.20699999999999999</v>
      </c>
      <c r="F18962" s="29"/>
      <c r="G18962" s="29"/>
      <c r="H18962" s="29"/>
      <c r="I18962" s="28">
        <v>1.2999999999999999E-2</v>
      </c>
      <c r="J18962" s="29"/>
      <c r="K18962" s="29" t="s">
        <v>312</v>
      </c>
    </row>
    <row r="18963" spans="1:11" x14ac:dyDescent="0.35">
      <c r="A18963" s="27" t="s">
        <v>228</v>
      </c>
      <c r="B18963" s="27" t="s">
        <v>236</v>
      </c>
      <c r="C18963" s="28">
        <v>0.92210000000000003</v>
      </c>
      <c r="D18963" s="28">
        <v>7.7899999999999997E-2</v>
      </c>
      <c r="E18963" s="29"/>
      <c r="F18963" s="29"/>
      <c r="G18963" s="29"/>
      <c r="H18963" s="29"/>
      <c r="I18963" s="29"/>
      <c r="J18963" s="29"/>
      <c r="K18963" s="29" t="s">
        <v>335</v>
      </c>
    </row>
    <row r="18964" spans="1:11" x14ac:dyDescent="0.35">
      <c r="A18964" t="s">
        <v>228</v>
      </c>
      <c r="B18964" t="s">
        <v>262</v>
      </c>
      <c r="C18964" s="26">
        <v>0.67700000000000005</v>
      </c>
      <c r="D18964" s="26">
        <v>0.18809999999999999</v>
      </c>
      <c r="E18964" s="26">
        <v>5.9700000000000003E-2</v>
      </c>
      <c r="F18964" s="26">
        <v>6.5000000000000002E-2</v>
      </c>
      <c r="H18964" s="26">
        <v>5.4000000000000003E-3</v>
      </c>
      <c r="I18964" s="26">
        <v>4.7999999999999996E-3</v>
      </c>
      <c r="K18964">
        <v>201</v>
      </c>
    </row>
    <row r="18965" spans="1:11" x14ac:dyDescent="0.35">
      <c r="A18965" t="s">
        <v>228</v>
      </c>
      <c r="B18965" t="s">
        <v>260</v>
      </c>
      <c r="C18965" s="26">
        <v>0.59019999999999995</v>
      </c>
      <c r="D18965" s="26">
        <v>0.1983</v>
      </c>
      <c r="E18965" s="26">
        <v>0.1231</v>
      </c>
      <c r="F18965" s="26">
        <v>5.2299999999999999E-2</v>
      </c>
      <c r="G18965" s="26">
        <v>1.6500000000000001E-2</v>
      </c>
      <c r="H18965" s="26">
        <v>7.7000000000000002E-3</v>
      </c>
      <c r="I18965" s="26">
        <v>1.1900000000000001E-2</v>
      </c>
      <c r="K18965">
        <v>609</v>
      </c>
    </row>
    <row r="18966" spans="1:11" x14ac:dyDescent="0.35">
      <c r="A18966" s="27" t="s">
        <v>229</v>
      </c>
      <c r="B18966" s="27" t="s">
        <v>263</v>
      </c>
      <c r="C18966" s="28">
        <v>0.39779999999999999</v>
      </c>
      <c r="D18966" s="28">
        <v>0.46710000000000002</v>
      </c>
      <c r="E18966" s="28">
        <v>0.1351</v>
      </c>
      <c r="F18966" s="29"/>
      <c r="G18966" s="29"/>
      <c r="H18966" s="29"/>
      <c r="I18966" s="29"/>
      <c r="J18966" s="29"/>
      <c r="K18966" s="29" t="s">
        <v>379</v>
      </c>
    </row>
    <row r="18967" spans="1:11" x14ac:dyDescent="0.35">
      <c r="A18967" t="s">
        <v>229</v>
      </c>
      <c r="B18967" t="s">
        <v>262</v>
      </c>
      <c r="C18967" s="26">
        <v>0.71050000000000002</v>
      </c>
      <c r="D18967" s="26">
        <v>0.17760000000000001</v>
      </c>
      <c r="E18967" s="26">
        <v>5.2200000000000003E-2</v>
      </c>
      <c r="F18967" s="26">
        <v>5.8500000000000003E-2</v>
      </c>
      <c r="J18967" s="26">
        <v>1.1999999999999999E-3</v>
      </c>
      <c r="K18967">
        <v>188</v>
      </c>
    </row>
    <row r="18968" spans="1:11" x14ac:dyDescent="0.35">
      <c r="A18968" t="s">
        <v>229</v>
      </c>
      <c r="B18968" t="s">
        <v>261</v>
      </c>
      <c r="C18968" s="26">
        <v>0.4869</v>
      </c>
      <c r="D18968" s="26">
        <v>0.2752</v>
      </c>
      <c r="E18968" s="26">
        <v>0.1696</v>
      </c>
      <c r="F18968" s="26">
        <v>6.3899999999999998E-2</v>
      </c>
      <c r="G18968" s="26">
        <v>2.2000000000000001E-3</v>
      </c>
      <c r="H18968" s="26">
        <v>2.2000000000000001E-3</v>
      </c>
      <c r="K18968">
        <v>96</v>
      </c>
    </row>
    <row r="18969" spans="1:11" x14ac:dyDescent="0.35">
      <c r="A18969" s="27" t="s">
        <v>229</v>
      </c>
      <c r="B18969" s="27" t="s">
        <v>236</v>
      </c>
      <c r="C18969" s="29"/>
      <c r="D18969" s="28">
        <v>1</v>
      </c>
      <c r="E18969" s="29"/>
      <c r="F18969" s="29"/>
      <c r="G18969" s="29"/>
      <c r="H18969" s="29"/>
      <c r="I18969" s="29"/>
      <c r="J18969" s="29"/>
      <c r="K18969" s="29" t="s">
        <v>331</v>
      </c>
    </row>
    <row r="18970" spans="1:11" x14ac:dyDescent="0.35">
      <c r="A18970" t="s">
        <v>229</v>
      </c>
      <c r="B18970" t="s">
        <v>260</v>
      </c>
      <c r="C18970" s="26">
        <v>0.5504</v>
      </c>
      <c r="D18970" s="26">
        <v>0.23910000000000001</v>
      </c>
      <c r="E18970" s="26">
        <v>0.14960000000000001</v>
      </c>
      <c r="F18970" s="26">
        <v>2.4799999999999999E-2</v>
      </c>
      <c r="G18970" s="26">
        <v>3.0099999999999998E-2</v>
      </c>
      <c r="H18970" s="26">
        <v>4.4999999999999997E-3</v>
      </c>
      <c r="I18970" s="26">
        <v>1.5E-3</v>
      </c>
      <c r="K18970">
        <v>595</v>
      </c>
    </row>
    <row r="18971" spans="1:11" x14ac:dyDescent="0.35">
      <c r="A18971" s="27" t="s">
        <v>230</v>
      </c>
      <c r="B18971" s="27" t="s">
        <v>236</v>
      </c>
      <c r="C18971" s="29"/>
      <c r="D18971" s="28">
        <v>0.2409</v>
      </c>
      <c r="E18971" s="28">
        <v>0.7591</v>
      </c>
      <c r="F18971" s="29"/>
      <c r="G18971" s="29"/>
      <c r="H18971" s="29"/>
      <c r="I18971" s="29"/>
      <c r="J18971" s="29"/>
      <c r="K18971" s="29" t="s">
        <v>337</v>
      </c>
    </row>
    <row r="18972" spans="1:11" x14ac:dyDescent="0.35">
      <c r="A18972" t="s">
        <v>230</v>
      </c>
      <c r="B18972" t="s">
        <v>262</v>
      </c>
      <c r="C18972" s="26">
        <v>0.44790000000000002</v>
      </c>
      <c r="D18972" s="26">
        <v>0.23300000000000001</v>
      </c>
      <c r="E18972" s="26">
        <v>0.21990000000000001</v>
      </c>
      <c r="F18972" s="26">
        <v>9.7299999999999998E-2</v>
      </c>
      <c r="H18972" s="26">
        <v>1.8E-3</v>
      </c>
      <c r="K18972">
        <v>122</v>
      </c>
    </row>
    <row r="18973" spans="1:11" x14ac:dyDescent="0.35">
      <c r="A18973" t="s">
        <v>230</v>
      </c>
      <c r="B18973" t="s">
        <v>261</v>
      </c>
      <c r="C18973" s="26">
        <v>0.6603</v>
      </c>
      <c r="D18973" s="26">
        <v>0.19950000000000001</v>
      </c>
      <c r="E18973" s="26">
        <v>4.19E-2</v>
      </c>
      <c r="F18973" s="26">
        <v>4.9099999999999998E-2</v>
      </c>
      <c r="G18973" s="26">
        <v>8.8999999999999999E-3</v>
      </c>
      <c r="I18973" s="26">
        <v>4.0399999999999998E-2</v>
      </c>
      <c r="K18973">
        <v>57</v>
      </c>
    </row>
    <row r="18974" spans="1:11" x14ac:dyDescent="0.35">
      <c r="A18974" s="27" t="s">
        <v>230</v>
      </c>
      <c r="B18974" s="27" t="s">
        <v>263</v>
      </c>
      <c r="C18974" s="28">
        <v>0.38229999999999997</v>
      </c>
      <c r="D18974" s="28">
        <v>0.14369999999999999</v>
      </c>
      <c r="E18974" s="28">
        <v>0.40279999999999999</v>
      </c>
      <c r="F18974" s="28">
        <v>5.4399999999999997E-2</v>
      </c>
      <c r="G18974" s="29"/>
      <c r="H18974" s="29"/>
      <c r="I18974" s="28">
        <v>1.6799999999999999E-2</v>
      </c>
      <c r="J18974" s="29"/>
      <c r="K18974" s="29" t="s">
        <v>312</v>
      </c>
    </row>
    <row r="18975" spans="1:11" x14ac:dyDescent="0.35">
      <c r="A18975" t="s">
        <v>230</v>
      </c>
      <c r="B18975" t="s">
        <v>260</v>
      </c>
      <c r="C18975" s="26">
        <v>0.43790000000000001</v>
      </c>
      <c r="D18975" s="26">
        <v>0.23130000000000001</v>
      </c>
      <c r="E18975" s="26">
        <v>0.2238</v>
      </c>
      <c r="F18975" s="26">
        <v>4.1700000000000001E-2</v>
      </c>
      <c r="G18975" s="26">
        <v>7.7999999999999996E-3</v>
      </c>
      <c r="H18975" s="26">
        <v>5.6000000000000001E-2</v>
      </c>
      <c r="I18975" s="26">
        <v>1.6999999999999999E-3</v>
      </c>
      <c r="K18975">
        <v>352</v>
      </c>
    </row>
    <row r="18976" spans="1:11" x14ac:dyDescent="0.35">
      <c r="A18976" s="27" t="s">
        <v>231</v>
      </c>
      <c r="B18976" s="27" t="s">
        <v>263</v>
      </c>
      <c r="C18976" s="29"/>
      <c r="D18976" s="28">
        <v>1</v>
      </c>
      <c r="E18976" s="29"/>
      <c r="F18976" s="29"/>
      <c r="G18976" s="29"/>
      <c r="H18976" s="29"/>
      <c r="I18976" s="29"/>
      <c r="J18976" s="29"/>
      <c r="K18976" s="29" t="s">
        <v>314</v>
      </c>
    </row>
    <row r="18977" spans="1:11" x14ac:dyDescent="0.35">
      <c r="A18977" t="s">
        <v>231</v>
      </c>
      <c r="B18977" t="s">
        <v>260</v>
      </c>
      <c r="C18977" s="26">
        <v>0.2581</v>
      </c>
      <c r="D18977" s="26">
        <v>0.4274</v>
      </c>
      <c r="E18977" s="26">
        <v>0.2581</v>
      </c>
      <c r="F18977" s="26">
        <v>5.6500000000000002E-2</v>
      </c>
      <c r="K18977">
        <v>124</v>
      </c>
    </row>
    <row r="18978" spans="1:11" x14ac:dyDescent="0.35">
      <c r="A18978" s="27" t="s">
        <v>231</v>
      </c>
      <c r="B18978" s="27" t="s">
        <v>261</v>
      </c>
      <c r="C18978" s="28">
        <v>0.48149999999999998</v>
      </c>
      <c r="D18978" s="28">
        <v>0.1852</v>
      </c>
      <c r="E18978" s="28">
        <v>0.1852</v>
      </c>
      <c r="F18978" s="28">
        <v>7.4099999999999999E-2</v>
      </c>
      <c r="G18978" s="28">
        <v>3.6999999999999998E-2</v>
      </c>
      <c r="H18978" s="29"/>
      <c r="I18978" s="28">
        <v>3.6999999999999998E-2</v>
      </c>
      <c r="J18978" s="29"/>
      <c r="K18978" s="29" t="s">
        <v>338</v>
      </c>
    </row>
    <row r="18979" spans="1:11" x14ac:dyDescent="0.35">
      <c r="A18979" s="27" t="s">
        <v>231</v>
      </c>
      <c r="B18979" s="27" t="s">
        <v>262</v>
      </c>
      <c r="C18979" s="28">
        <v>0.36359999999999998</v>
      </c>
      <c r="D18979" s="28">
        <v>0.36359999999999998</v>
      </c>
      <c r="E18979" s="28">
        <v>0.18179999999999999</v>
      </c>
      <c r="F18979" s="28">
        <v>9.0899999999999995E-2</v>
      </c>
      <c r="G18979" s="29"/>
      <c r="H18979" s="29"/>
      <c r="I18979" s="29"/>
      <c r="J18979" s="29"/>
      <c r="K18979" s="29" t="s">
        <v>352</v>
      </c>
    </row>
    <row r="18980" spans="1:11" x14ac:dyDescent="0.35">
      <c r="A18980" t="s">
        <v>232</v>
      </c>
      <c r="B18980" t="s">
        <v>232</v>
      </c>
      <c r="C18980" s="26">
        <v>0.46879999999999999</v>
      </c>
      <c r="D18980" s="26">
        <v>0.28549999999999998</v>
      </c>
      <c r="E18980" s="26">
        <v>0.1739</v>
      </c>
      <c r="F18980" s="26">
        <v>4.9399999999999999E-2</v>
      </c>
      <c r="G18980" s="26">
        <v>1.11E-2</v>
      </c>
      <c r="H18980" s="26">
        <v>6.3E-3</v>
      </c>
      <c r="I18980" s="26">
        <v>4.8999999999999998E-3</v>
      </c>
      <c r="J18980" s="26">
        <v>2.0000000000000001E-4</v>
      </c>
      <c r="K18980">
        <v>2812</v>
      </c>
    </row>
    <row r="18982" spans="1:11" x14ac:dyDescent="0.35">
      <c r="A18982" s="1" t="s">
        <v>1903</v>
      </c>
    </row>
    <row r="18983" spans="1:11" x14ac:dyDescent="0.35">
      <c r="A18983" t="s">
        <v>219</v>
      </c>
      <c r="B18983" t="s">
        <v>305</v>
      </c>
      <c r="C18983" t="s">
        <v>1889</v>
      </c>
      <c r="D18983" t="s">
        <v>1890</v>
      </c>
      <c r="E18983" t="s">
        <v>1891</v>
      </c>
      <c r="F18983" t="s">
        <v>1892</v>
      </c>
      <c r="G18983" t="s">
        <v>281</v>
      </c>
      <c r="H18983" t="s">
        <v>1893</v>
      </c>
      <c r="I18983" t="s">
        <v>1894</v>
      </c>
      <c r="J18983" t="s">
        <v>286</v>
      </c>
      <c r="K18983" t="s">
        <v>226</v>
      </c>
    </row>
    <row r="18984" spans="1:11" x14ac:dyDescent="0.35">
      <c r="A18984" t="s">
        <v>227</v>
      </c>
      <c r="B18984" t="s">
        <v>368</v>
      </c>
      <c r="C18984" s="26">
        <v>0.42420000000000002</v>
      </c>
      <c r="D18984" s="26">
        <v>0.36359999999999998</v>
      </c>
      <c r="E18984" s="26">
        <v>0.1515</v>
      </c>
      <c r="G18984" s="26">
        <v>6.0600000000000001E-2</v>
      </c>
      <c r="K18984">
        <v>33</v>
      </c>
    </row>
    <row r="18985" spans="1:11" x14ac:dyDescent="0.35">
      <c r="A18985" t="s">
        <v>227</v>
      </c>
      <c r="B18985" t="s">
        <v>369</v>
      </c>
      <c r="C18985" s="26">
        <v>0.3906</v>
      </c>
      <c r="D18985" s="26">
        <v>0.33589999999999998</v>
      </c>
      <c r="E18985" s="26">
        <v>0.2266</v>
      </c>
      <c r="F18985" s="26">
        <v>4.6899999999999997E-2</v>
      </c>
      <c r="K18985">
        <v>128</v>
      </c>
    </row>
    <row r="18986" spans="1:11" x14ac:dyDescent="0.35">
      <c r="A18986" t="s">
        <v>228</v>
      </c>
      <c r="B18986" t="s">
        <v>368</v>
      </c>
      <c r="C18986" s="26">
        <v>0.54990000000000006</v>
      </c>
      <c r="D18986" s="26">
        <v>0.23250000000000001</v>
      </c>
      <c r="E18986" s="26">
        <v>0.10829999999999999</v>
      </c>
      <c r="F18986" s="26">
        <v>6.88E-2</v>
      </c>
      <c r="G18986" s="26">
        <v>2.0999999999999999E-3</v>
      </c>
      <c r="H18986" s="26">
        <v>1.83E-2</v>
      </c>
      <c r="I18986" s="26">
        <v>1.83E-2</v>
      </c>
      <c r="J18986" s="26">
        <v>1.8E-3</v>
      </c>
      <c r="K18986">
        <v>192</v>
      </c>
    </row>
    <row r="18987" spans="1:11" x14ac:dyDescent="0.35">
      <c r="A18987" t="s">
        <v>228</v>
      </c>
      <c r="B18987" t="s">
        <v>369</v>
      </c>
      <c r="C18987" s="26">
        <v>0.61160000000000003</v>
      </c>
      <c r="D18987" s="26">
        <v>0.19420000000000001</v>
      </c>
      <c r="E18987" s="26">
        <v>0.111</v>
      </c>
      <c r="F18987" s="26">
        <v>5.33E-2</v>
      </c>
      <c r="G18987" s="26">
        <v>1.26E-2</v>
      </c>
      <c r="H18987" s="26">
        <v>7.0000000000000001E-3</v>
      </c>
      <c r="I18987" s="26">
        <v>1.03E-2</v>
      </c>
      <c r="K18987">
        <v>841</v>
      </c>
    </row>
    <row r="18988" spans="1:11" x14ac:dyDescent="0.35">
      <c r="A18988" t="s">
        <v>229</v>
      </c>
      <c r="B18988" t="s">
        <v>368</v>
      </c>
      <c r="C18988" s="26">
        <v>0.4869</v>
      </c>
      <c r="D18988" s="26">
        <v>0.2752</v>
      </c>
      <c r="E18988" s="26">
        <v>0.1696</v>
      </c>
      <c r="F18988" s="26">
        <v>6.3899999999999998E-2</v>
      </c>
      <c r="G18988" s="26">
        <v>2.2000000000000001E-3</v>
      </c>
      <c r="H18988" s="26">
        <v>2.2000000000000001E-3</v>
      </c>
      <c r="K18988">
        <v>96</v>
      </c>
    </row>
    <row r="18989" spans="1:11" x14ac:dyDescent="0.35">
      <c r="A18989" t="s">
        <v>229</v>
      </c>
      <c r="B18989" t="s">
        <v>369</v>
      </c>
      <c r="C18989" s="26">
        <v>0.59940000000000004</v>
      </c>
      <c r="D18989" s="26">
        <v>0.22420000000000001</v>
      </c>
      <c r="E18989" s="26">
        <v>0.1173</v>
      </c>
      <c r="F18989" s="26">
        <v>3.5299999999999998E-2</v>
      </c>
      <c r="G18989" s="26">
        <v>1.95E-2</v>
      </c>
      <c r="H18989" s="26">
        <v>2.8999999999999998E-3</v>
      </c>
      <c r="I18989" s="26">
        <v>1E-3</v>
      </c>
      <c r="J18989" s="26">
        <v>4.0000000000000002E-4</v>
      </c>
      <c r="K18989">
        <v>798</v>
      </c>
    </row>
    <row r="18990" spans="1:11" x14ac:dyDescent="0.35">
      <c r="A18990" t="s">
        <v>230</v>
      </c>
      <c r="B18990" t="s">
        <v>368</v>
      </c>
      <c r="C18990" s="26">
        <v>0.6603</v>
      </c>
      <c r="D18990" s="26">
        <v>0.19950000000000001</v>
      </c>
      <c r="E18990" s="26">
        <v>4.19E-2</v>
      </c>
      <c r="F18990" s="26">
        <v>4.9099999999999998E-2</v>
      </c>
      <c r="G18990" s="26">
        <v>8.8999999999999999E-3</v>
      </c>
      <c r="I18990" s="26">
        <v>4.0399999999999998E-2</v>
      </c>
      <c r="K18990">
        <v>57</v>
      </c>
    </row>
    <row r="18991" spans="1:11" x14ac:dyDescent="0.35">
      <c r="A18991" t="s">
        <v>230</v>
      </c>
      <c r="B18991" t="s">
        <v>369</v>
      </c>
      <c r="C18991" s="26">
        <v>0.43480000000000002</v>
      </c>
      <c r="D18991" s="26">
        <v>0.23</v>
      </c>
      <c r="E18991" s="26">
        <v>0.2311</v>
      </c>
      <c r="F18991" s="26">
        <v>5.1200000000000002E-2</v>
      </c>
      <c r="G18991" s="26">
        <v>6.1999999999999998E-3</v>
      </c>
      <c r="H18991" s="26">
        <v>4.5100000000000001E-2</v>
      </c>
      <c r="I18991" s="26">
        <v>1.6999999999999999E-3</v>
      </c>
      <c r="K18991">
        <v>503</v>
      </c>
    </row>
    <row r="18992" spans="1:11" x14ac:dyDescent="0.35">
      <c r="A18992" s="27" t="s">
        <v>231</v>
      </c>
      <c r="B18992" s="27" t="s">
        <v>368</v>
      </c>
      <c r="C18992" s="28">
        <v>0.48149999999999998</v>
      </c>
      <c r="D18992" s="28">
        <v>0.1852</v>
      </c>
      <c r="E18992" s="28">
        <v>0.1852</v>
      </c>
      <c r="F18992" s="28">
        <v>7.4099999999999999E-2</v>
      </c>
      <c r="G18992" s="28">
        <v>3.6999999999999998E-2</v>
      </c>
      <c r="H18992" s="29"/>
      <c r="I18992" s="28">
        <v>3.6999999999999998E-2</v>
      </c>
      <c r="J18992" s="29"/>
      <c r="K18992" s="29" t="s">
        <v>338</v>
      </c>
    </row>
    <row r="18993" spans="1:11" x14ac:dyDescent="0.35">
      <c r="A18993" t="s">
        <v>231</v>
      </c>
      <c r="B18993" t="s">
        <v>369</v>
      </c>
      <c r="C18993" s="26">
        <v>0.26279999999999998</v>
      </c>
      <c r="D18993" s="26">
        <v>0.43070000000000003</v>
      </c>
      <c r="E18993" s="26">
        <v>0.2482</v>
      </c>
      <c r="F18993" s="26">
        <v>5.8400000000000001E-2</v>
      </c>
      <c r="K18993">
        <v>137</v>
      </c>
    </row>
    <row r="18994" spans="1:11" x14ac:dyDescent="0.35">
      <c r="A18994" t="s">
        <v>232</v>
      </c>
      <c r="B18994" t="s">
        <v>232</v>
      </c>
      <c r="C18994" s="26">
        <v>0.46879999999999999</v>
      </c>
      <c r="D18994" s="26">
        <v>0.28549999999999998</v>
      </c>
      <c r="E18994" s="26">
        <v>0.1739</v>
      </c>
      <c r="F18994" s="26">
        <v>4.9399999999999999E-2</v>
      </c>
      <c r="G18994" s="26">
        <v>1.11E-2</v>
      </c>
      <c r="H18994" s="26">
        <v>6.3E-3</v>
      </c>
      <c r="I18994" s="26">
        <v>4.8999999999999998E-3</v>
      </c>
      <c r="J18994" s="26">
        <v>2.0000000000000001E-4</v>
      </c>
      <c r="K18994">
        <v>2812</v>
      </c>
    </row>
    <row r="18996" spans="1:11" x14ac:dyDescent="0.35">
      <c r="A18996" s="1" t="s">
        <v>1904</v>
      </c>
    </row>
    <row r="18997" spans="1:11" x14ac:dyDescent="0.35">
      <c r="A18997" t="s">
        <v>219</v>
      </c>
      <c r="B18997" t="s">
        <v>305</v>
      </c>
      <c r="C18997" t="s">
        <v>1889</v>
      </c>
      <c r="D18997" t="s">
        <v>1890</v>
      </c>
      <c r="E18997" t="s">
        <v>1891</v>
      </c>
      <c r="F18997" t="s">
        <v>1892</v>
      </c>
      <c r="G18997" t="s">
        <v>281</v>
      </c>
      <c r="H18997" t="s">
        <v>1893</v>
      </c>
      <c r="I18997" t="s">
        <v>1894</v>
      </c>
      <c r="J18997" t="s">
        <v>286</v>
      </c>
      <c r="K18997" t="s">
        <v>226</v>
      </c>
    </row>
    <row r="18998" spans="1:11" x14ac:dyDescent="0.35">
      <c r="A18998" t="s">
        <v>227</v>
      </c>
      <c r="B18998" t="s">
        <v>371</v>
      </c>
      <c r="C18998" s="26">
        <v>0.39750000000000002</v>
      </c>
      <c r="D18998" s="26">
        <v>0.34160000000000001</v>
      </c>
      <c r="E18998" s="26">
        <v>0.2112</v>
      </c>
      <c r="F18998" s="26">
        <v>3.73E-2</v>
      </c>
      <c r="G18998" s="26">
        <v>1.24E-2</v>
      </c>
      <c r="K18998">
        <v>161</v>
      </c>
    </row>
    <row r="18999" spans="1:11" x14ac:dyDescent="0.35">
      <c r="A18999" t="s">
        <v>228</v>
      </c>
      <c r="B18999" t="s">
        <v>371</v>
      </c>
      <c r="C18999" s="26">
        <v>0.59560000000000002</v>
      </c>
      <c r="D18999" s="26">
        <v>0.2014</v>
      </c>
      <c r="E18999" s="26">
        <v>9.1999999999999998E-2</v>
      </c>
      <c r="F18999" s="26">
        <v>6.5799999999999997E-2</v>
      </c>
      <c r="G18999" s="26">
        <v>1.2699999999999999E-2</v>
      </c>
      <c r="H18999" s="26">
        <v>1.2699999999999999E-2</v>
      </c>
      <c r="I18999" s="26">
        <v>1.9099999999999999E-2</v>
      </c>
      <c r="J18999" s="26">
        <v>6.9999999999999999E-4</v>
      </c>
      <c r="K18999">
        <v>292</v>
      </c>
    </row>
    <row r="19000" spans="1:11" x14ac:dyDescent="0.35">
      <c r="A19000" t="s">
        <v>228</v>
      </c>
      <c r="B19000" t="s">
        <v>372</v>
      </c>
      <c r="C19000" s="26">
        <v>0.3327</v>
      </c>
      <c r="D19000" s="26">
        <v>0.26200000000000001</v>
      </c>
      <c r="E19000" s="26">
        <v>0.28189999999999998</v>
      </c>
      <c r="F19000" s="26">
        <v>8.6199999999999999E-2</v>
      </c>
      <c r="H19000" s="26">
        <v>2.3900000000000001E-2</v>
      </c>
      <c r="I19000" s="26">
        <v>1.34E-2</v>
      </c>
      <c r="K19000">
        <v>218</v>
      </c>
    </row>
    <row r="19001" spans="1:11" x14ac:dyDescent="0.35">
      <c r="A19001" t="s">
        <v>228</v>
      </c>
      <c r="B19001" t="s">
        <v>373</v>
      </c>
      <c r="C19001" s="26">
        <v>0.66279999999999994</v>
      </c>
      <c r="D19001" s="26">
        <v>0.1888</v>
      </c>
      <c r="E19001" s="26">
        <v>9.7699999999999995E-2</v>
      </c>
      <c r="F19001" s="26">
        <v>3.7400000000000003E-2</v>
      </c>
      <c r="G19001" s="26">
        <v>0.01</v>
      </c>
      <c r="H19001" s="26">
        <v>1.1999999999999999E-3</v>
      </c>
      <c r="I19001" s="26">
        <v>2E-3</v>
      </c>
      <c r="K19001">
        <v>523</v>
      </c>
    </row>
    <row r="19002" spans="1:11" x14ac:dyDescent="0.35">
      <c r="A19002" t="s">
        <v>229</v>
      </c>
      <c r="B19002" t="s">
        <v>371</v>
      </c>
      <c r="C19002" s="26">
        <v>0.60129999999999995</v>
      </c>
      <c r="D19002" s="26">
        <v>0.22600000000000001</v>
      </c>
      <c r="E19002" s="26">
        <v>0.11070000000000001</v>
      </c>
      <c r="F19002" s="26">
        <v>4.0500000000000001E-2</v>
      </c>
      <c r="G19002" s="26">
        <v>1.7899999999999999E-2</v>
      </c>
      <c r="H19002" s="26">
        <v>2.7000000000000001E-3</v>
      </c>
      <c r="I19002" s="26">
        <v>8.9999999999999998E-4</v>
      </c>
      <c r="K19002">
        <v>584</v>
      </c>
    </row>
    <row r="19003" spans="1:11" x14ac:dyDescent="0.35">
      <c r="A19003" t="s">
        <v>229</v>
      </c>
      <c r="B19003" t="s">
        <v>372</v>
      </c>
      <c r="C19003" s="26">
        <v>0.44479999999999997</v>
      </c>
      <c r="D19003" s="26">
        <v>0.24590000000000001</v>
      </c>
      <c r="E19003" s="26">
        <v>0.26600000000000001</v>
      </c>
      <c r="F19003" s="26">
        <v>2.35E-2</v>
      </c>
      <c r="G19003" s="26">
        <v>6.6E-3</v>
      </c>
      <c r="H19003" s="26">
        <v>6.6E-3</v>
      </c>
      <c r="J19003" s="26">
        <v>6.6E-3</v>
      </c>
      <c r="K19003">
        <v>221</v>
      </c>
    </row>
    <row r="19004" spans="1:11" x14ac:dyDescent="0.35">
      <c r="A19004" t="s">
        <v>229</v>
      </c>
      <c r="B19004" t="s">
        <v>373</v>
      </c>
      <c r="C19004" s="26">
        <v>0.19109999999999999</v>
      </c>
      <c r="D19004" s="26">
        <v>0.40970000000000001</v>
      </c>
      <c r="E19004" s="26">
        <v>0.35809999999999997</v>
      </c>
      <c r="F19004" s="26">
        <v>3.7400000000000003E-2</v>
      </c>
      <c r="G19004" s="26">
        <v>3.5999999999999999E-3</v>
      </c>
      <c r="K19004">
        <v>89</v>
      </c>
    </row>
    <row r="19005" spans="1:11" x14ac:dyDescent="0.35">
      <c r="A19005" t="s">
        <v>230</v>
      </c>
      <c r="B19005" t="s">
        <v>371</v>
      </c>
      <c r="C19005" s="26">
        <v>0.45379999999999998</v>
      </c>
      <c r="D19005" s="26">
        <v>0.21970000000000001</v>
      </c>
      <c r="E19005" s="26">
        <v>0.2175</v>
      </c>
      <c r="F19005" s="26">
        <v>4.9599999999999998E-2</v>
      </c>
      <c r="G19005" s="26">
        <v>7.7000000000000002E-3</v>
      </c>
      <c r="H19005" s="26">
        <v>4.41E-2</v>
      </c>
      <c r="I19005" s="26">
        <v>7.7000000000000002E-3</v>
      </c>
      <c r="K19005">
        <v>262</v>
      </c>
    </row>
    <row r="19006" spans="1:11" x14ac:dyDescent="0.35">
      <c r="A19006" t="s">
        <v>230</v>
      </c>
      <c r="B19006" t="s">
        <v>372</v>
      </c>
      <c r="C19006" s="26">
        <v>0.36809999999999998</v>
      </c>
      <c r="D19006" s="26">
        <v>0.2828</v>
      </c>
      <c r="E19006" s="26">
        <v>0.26740000000000003</v>
      </c>
      <c r="F19006" s="26">
        <v>4.3799999999999999E-2</v>
      </c>
      <c r="G19006" s="26">
        <v>4.7000000000000002E-3</v>
      </c>
      <c r="H19006" s="26">
        <v>2.3699999999999999E-2</v>
      </c>
      <c r="I19006" s="26">
        <v>9.4999999999999998E-3</v>
      </c>
      <c r="K19006">
        <v>146</v>
      </c>
    </row>
    <row r="19007" spans="1:11" x14ac:dyDescent="0.35">
      <c r="A19007" t="s">
        <v>230</v>
      </c>
      <c r="B19007" t="s">
        <v>373</v>
      </c>
      <c r="C19007" s="26">
        <v>0.57920000000000005</v>
      </c>
      <c r="D19007" s="26">
        <v>0.24049999999999999</v>
      </c>
      <c r="E19007" s="26">
        <v>0.1038</v>
      </c>
      <c r="F19007" s="26">
        <v>6.2600000000000003E-2</v>
      </c>
      <c r="H19007" s="26">
        <v>1.3899999999999999E-2</v>
      </c>
      <c r="K19007">
        <v>152</v>
      </c>
    </row>
    <row r="19008" spans="1:11" x14ac:dyDescent="0.35">
      <c r="A19008" t="s">
        <v>231</v>
      </c>
      <c r="B19008" t="s">
        <v>371</v>
      </c>
      <c r="C19008" s="26">
        <v>0.29880000000000001</v>
      </c>
      <c r="D19008" s="26">
        <v>0.39019999999999999</v>
      </c>
      <c r="E19008" s="26">
        <v>0.23780000000000001</v>
      </c>
      <c r="F19008" s="26">
        <v>6.0999999999999999E-2</v>
      </c>
      <c r="G19008" s="26">
        <v>6.1000000000000004E-3</v>
      </c>
      <c r="I19008" s="26">
        <v>6.1000000000000004E-3</v>
      </c>
      <c r="K19008">
        <v>164</v>
      </c>
    </row>
    <row r="19009" spans="1:11" x14ac:dyDescent="0.35">
      <c r="A19009" t="s">
        <v>232</v>
      </c>
      <c r="B19009" t="s">
        <v>232</v>
      </c>
      <c r="C19009" s="26">
        <v>0.46879999999999999</v>
      </c>
      <c r="D19009" s="26">
        <v>0.28549999999999998</v>
      </c>
      <c r="E19009" s="26">
        <v>0.1739</v>
      </c>
      <c r="F19009" s="26">
        <v>4.9399999999999999E-2</v>
      </c>
      <c r="G19009" s="26">
        <v>1.11E-2</v>
      </c>
      <c r="H19009" s="26">
        <v>6.3E-3</v>
      </c>
      <c r="I19009" s="26">
        <v>4.8999999999999998E-3</v>
      </c>
      <c r="J19009" s="26">
        <v>2.0000000000000001E-4</v>
      </c>
      <c r="K19009">
        <v>2812</v>
      </c>
    </row>
    <row r="19011" spans="1:11" x14ac:dyDescent="0.35">
      <c r="A19011" s="1" t="s">
        <v>1905</v>
      </c>
    </row>
    <row r="19012" spans="1:11" x14ac:dyDescent="0.35">
      <c r="A19012" t="s">
        <v>219</v>
      </c>
      <c r="B19012" t="s">
        <v>305</v>
      </c>
      <c r="C19012" t="s">
        <v>1889</v>
      </c>
      <c r="D19012" t="s">
        <v>1890</v>
      </c>
      <c r="E19012" t="s">
        <v>1891</v>
      </c>
      <c r="F19012" t="s">
        <v>1892</v>
      </c>
      <c r="G19012" t="s">
        <v>281</v>
      </c>
      <c r="H19012" t="s">
        <v>1893</v>
      </c>
      <c r="I19012" t="s">
        <v>1894</v>
      </c>
      <c r="J19012" t="s">
        <v>286</v>
      </c>
      <c r="K19012" t="s">
        <v>226</v>
      </c>
    </row>
    <row r="19013" spans="1:11" x14ac:dyDescent="0.35">
      <c r="A19013" t="s">
        <v>227</v>
      </c>
      <c r="B19013" t="s">
        <v>255</v>
      </c>
      <c r="C19013" s="26">
        <v>0.4103</v>
      </c>
      <c r="D19013" s="26">
        <v>0.36749999999999999</v>
      </c>
      <c r="E19013" s="26">
        <v>0.188</v>
      </c>
      <c r="F19013" s="26">
        <v>1.7100000000000001E-2</v>
      </c>
      <c r="G19013" s="26">
        <v>1.7100000000000001E-2</v>
      </c>
      <c r="K19013">
        <v>117</v>
      </c>
    </row>
    <row r="19014" spans="1:11" x14ac:dyDescent="0.35">
      <c r="A19014" s="27" t="s">
        <v>227</v>
      </c>
      <c r="B19014" s="27" t="s">
        <v>257</v>
      </c>
      <c r="C19014" s="28">
        <v>0.33329999999999999</v>
      </c>
      <c r="D19014" s="28">
        <v>0.44440000000000002</v>
      </c>
      <c r="E19014" s="28">
        <v>0.22220000000000001</v>
      </c>
      <c r="F19014" s="29"/>
      <c r="G19014" s="29"/>
      <c r="H19014" s="29"/>
      <c r="I19014" s="29"/>
      <c r="J19014" s="29"/>
      <c r="K19014" s="29" t="s">
        <v>334</v>
      </c>
    </row>
    <row r="19015" spans="1:11" x14ac:dyDescent="0.35">
      <c r="A19015" t="s">
        <v>227</v>
      </c>
      <c r="B19015" t="s">
        <v>256</v>
      </c>
      <c r="C19015" s="26">
        <v>0.37140000000000001</v>
      </c>
      <c r="D19015" s="26">
        <v>0.2286</v>
      </c>
      <c r="E19015" s="26">
        <v>0.28570000000000001</v>
      </c>
      <c r="F19015" s="26">
        <v>0.1143</v>
      </c>
      <c r="K19015">
        <v>35</v>
      </c>
    </row>
    <row r="19016" spans="1:11" x14ac:dyDescent="0.35">
      <c r="A19016" t="s">
        <v>228</v>
      </c>
      <c r="B19016" t="s">
        <v>257</v>
      </c>
      <c r="C19016" s="26">
        <v>0.65480000000000005</v>
      </c>
      <c r="D19016" s="26">
        <v>0.16889999999999999</v>
      </c>
      <c r="E19016" s="26">
        <v>0.1206</v>
      </c>
      <c r="F19016" s="26">
        <v>5.57E-2</v>
      </c>
      <c r="K19016">
        <v>49</v>
      </c>
    </row>
    <row r="19017" spans="1:11" x14ac:dyDescent="0.35">
      <c r="A19017" s="27" t="s">
        <v>228</v>
      </c>
      <c r="B19017" s="27" t="s">
        <v>258</v>
      </c>
      <c r="C19017" s="28">
        <v>0.90190000000000003</v>
      </c>
      <c r="D19017" s="28">
        <v>9.8100000000000007E-2</v>
      </c>
      <c r="E19017" s="29"/>
      <c r="F19017" s="29"/>
      <c r="G19017" s="29"/>
      <c r="H19017" s="29"/>
      <c r="I19017" s="29"/>
      <c r="J19017" s="29"/>
      <c r="K19017" s="29" t="s">
        <v>337</v>
      </c>
    </row>
    <row r="19018" spans="1:11" x14ac:dyDescent="0.35">
      <c r="A19018" t="s">
        <v>228</v>
      </c>
      <c r="B19018" t="s">
        <v>256</v>
      </c>
      <c r="C19018" s="26">
        <v>0.59650000000000003</v>
      </c>
      <c r="D19018" s="26">
        <v>0.1845</v>
      </c>
      <c r="E19018" s="26">
        <v>0.14710000000000001</v>
      </c>
      <c r="F19018" s="26">
        <v>4.7800000000000002E-2</v>
      </c>
      <c r="G19018" s="26">
        <v>4.7999999999999996E-3</v>
      </c>
      <c r="H19018" s="26">
        <v>1.77E-2</v>
      </c>
      <c r="J19018" s="26">
        <v>1.5E-3</v>
      </c>
      <c r="K19018">
        <v>221</v>
      </c>
    </row>
    <row r="19019" spans="1:11" x14ac:dyDescent="0.35">
      <c r="A19019" t="s">
        <v>228</v>
      </c>
      <c r="B19019" t="s">
        <v>255</v>
      </c>
      <c r="C19019" s="26">
        <v>0.59419999999999995</v>
      </c>
      <c r="D19019" s="26">
        <v>0.21079999999999999</v>
      </c>
      <c r="E19019" s="26">
        <v>9.8000000000000004E-2</v>
      </c>
      <c r="F19019" s="26">
        <v>5.9799999999999999E-2</v>
      </c>
      <c r="G19019" s="26">
        <v>1.34E-2</v>
      </c>
      <c r="H19019" s="26">
        <v>7.0000000000000001E-3</v>
      </c>
      <c r="I19019" s="26">
        <v>1.7000000000000001E-2</v>
      </c>
      <c r="K19019">
        <v>759</v>
      </c>
    </row>
    <row r="19020" spans="1:11" x14ac:dyDescent="0.35">
      <c r="A19020" t="s">
        <v>229</v>
      </c>
      <c r="B19020" t="s">
        <v>256</v>
      </c>
      <c r="C19020" s="26">
        <v>0.61819999999999997</v>
      </c>
      <c r="D19020" s="26">
        <v>0.22500000000000001</v>
      </c>
      <c r="E19020" s="26">
        <v>8.4699999999999998E-2</v>
      </c>
      <c r="F19020" s="26">
        <v>5.1700000000000003E-2</v>
      </c>
      <c r="G19020" s="26">
        <v>2.0400000000000001E-2</v>
      </c>
      <c r="K19020">
        <v>207</v>
      </c>
    </row>
    <row r="19021" spans="1:11" x14ac:dyDescent="0.35">
      <c r="A19021" t="s">
        <v>229</v>
      </c>
      <c r="B19021" t="s">
        <v>255</v>
      </c>
      <c r="C19021" s="26">
        <v>0.56720000000000004</v>
      </c>
      <c r="D19021" s="26">
        <v>0.23180000000000001</v>
      </c>
      <c r="E19021" s="26">
        <v>0.14410000000000001</v>
      </c>
      <c r="F19021" s="26">
        <v>3.78E-2</v>
      </c>
      <c r="G19021" s="26">
        <v>1.32E-2</v>
      </c>
      <c r="H19021" s="26">
        <v>4.1999999999999997E-3</v>
      </c>
      <c r="I19021" s="26">
        <v>1.1999999999999999E-3</v>
      </c>
      <c r="J19021" s="26">
        <v>5.0000000000000001E-4</v>
      </c>
      <c r="K19021">
        <v>635</v>
      </c>
    </row>
    <row r="19022" spans="1:11" x14ac:dyDescent="0.35">
      <c r="A19022" t="s">
        <v>229</v>
      </c>
      <c r="B19022" t="s">
        <v>257</v>
      </c>
      <c r="C19022" s="26">
        <v>0.59909999999999997</v>
      </c>
      <c r="D19022" s="26">
        <v>0.26879999999999998</v>
      </c>
      <c r="E19022" s="26">
        <v>8.5800000000000001E-2</v>
      </c>
      <c r="G19022" s="26">
        <v>4.6300000000000001E-2</v>
      </c>
      <c r="K19022">
        <v>50</v>
      </c>
    </row>
    <row r="19023" spans="1:11" x14ac:dyDescent="0.35">
      <c r="A19023" s="27" t="s">
        <v>229</v>
      </c>
      <c r="B19023" s="27" t="s">
        <v>258</v>
      </c>
      <c r="C19023" s="29"/>
      <c r="D19023" s="29"/>
      <c r="E19023" s="28">
        <v>1</v>
      </c>
      <c r="F19023" s="29"/>
      <c r="G19023" s="29"/>
      <c r="H19023" s="29"/>
      <c r="I19023" s="29"/>
      <c r="J19023" s="29"/>
      <c r="K19023" s="29" t="s">
        <v>314</v>
      </c>
    </row>
    <row r="19024" spans="1:11" x14ac:dyDescent="0.35">
      <c r="A19024" t="s">
        <v>230</v>
      </c>
      <c r="B19024" t="s">
        <v>256</v>
      </c>
      <c r="C19024" s="26">
        <v>0.42109999999999997</v>
      </c>
      <c r="D19024" s="26">
        <v>0.20219999999999999</v>
      </c>
      <c r="E19024" s="26">
        <v>0.30819999999999997</v>
      </c>
      <c r="F19024" s="26">
        <v>4.3299999999999998E-2</v>
      </c>
      <c r="G19024" s="26">
        <v>3.5000000000000001E-3</v>
      </c>
      <c r="H19024" s="26">
        <v>2.18E-2</v>
      </c>
      <c r="K19024">
        <v>130</v>
      </c>
    </row>
    <row r="19025" spans="1:11" x14ac:dyDescent="0.35">
      <c r="A19025" t="s">
        <v>230</v>
      </c>
      <c r="B19025" t="s">
        <v>255</v>
      </c>
      <c r="C19025" s="26">
        <v>0.47949999999999998</v>
      </c>
      <c r="D19025" s="26">
        <v>0.2351</v>
      </c>
      <c r="E19025" s="26">
        <v>0.16500000000000001</v>
      </c>
      <c r="F19025" s="26">
        <v>5.9400000000000001E-2</v>
      </c>
      <c r="G19025" s="26">
        <v>8.5000000000000006E-3</v>
      </c>
      <c r="H19025" s="26">
        <v>4.2299999999999997E-2</v>
      </c>
      <c r="I19025" s="26">
        <v>1.03E-2</v>
      </c>
      <c r="K19025">
        <v>389</v>
      </c>
    </row>
    <row r="19026" spans="1:11" x14ac:dyDescent="0.35">
      <c r="A19026" t="s">
        <v>230</v>
      </c>
      <c r="B19026" t="s">
        <v>257</v>
      </c>
      <c r="C19026" s="26">
        <v>0.51910000000000001</v>
      </c>
      <c r="D19026" s="26">
        <v>0.24479999999999999</v>
      </c>
      <c r="E19026" s="26">
        <v>0.15609999999999999</v>
      </c>
      <c r="F19026" s="26">
        <v>3.8999999999999998E-3</v>
      </c>
      <c r="H19026" s="26">
        <v>7.6100000000000001E-2</v>
      </c>
      <c r="K19026">
        <v>38</v>
      </c>
    </row>
    <row r="19027" spans="1:11" x14ac:dyDescent="0.35">
      <c r="A19027" s="27" t="s">
        <v>230</v>
      </c>
      <c r="B19027" s="27" t="s">
        <v>258</v>
      </c>
      <c r="C19027" s="28">
        <v>0.1356</v>
      </c>
      <c r="D19027" s="28">
        <v>4.1700000000000001E-2</v>
      </c>
      <c r="E19027" s="28">
        <v>0.82269999999999999</v>
      </c>
      <c r="F19027" s="29"/>
      <c r="G19027" s="29"/>
      <c r="H19027" s="29"/>
      <c r="I19027" s="29"/>
      <c r="J19027" s="29"/>
      <c r="K19027" s="29" t="s">
        <v>315</v>
      </c>
    </row>
    <row r="19028" spans="1:11" x14ac:dyDescent="0.35">
      <c r="A19028" s="27" t="s">
        <v>231</v>
      </c>
      <c r="B19028" s="27" t="s">
        <v>257</v>
      </c>
      <c r="C19028" s="28">
        <v>0.28570000000000001</v>
      </c>
      <c r="D19028" s="28">
        <v>0.42859999999999998</v>
      </c>
      <c r="E19028" s="28">
        <v>0.1429</v>
      </c>
      <c r="F19028" s="29"/>
      <c r="G19028" s="28">
        <v>0.1429</v>
      </c>
      <c r="H19028" s="29"/>
      <c r="I19028" s="29"/>
      <c r="J19028" s="29"/>
      <c r="K19028" s="29" t="s">
        <v>339</v>
      </c>
    </row>
    <row r="19029" spans="1:11" x14ac:dyDescent="0.35">
      <c r="A19029" t="s">
        <v>231</v>
      </c>
      <c r="B19029" t="s">
        <v>255</v>
      </c>
      <c r="C19029" s="26">
        <v>0.29459999999999997</v>
      </c>
      <c r="D19029" s="26">
        <v>0.40310000000000001</v>
      </c>
      <c r="E19029" s="26">
        <v>0.2248</v>
      </c>
      <c r="F19029" s="26">
        <v>7.7499999999999999E-2</v>
      </c>
      <c r="K19029">
        <v>129</v>
      </c>
    </row>
    <row r="19030" spans="1:11" x14ac:dyDescent="0.35">
      <c r="A19030" s="27" t="s">
        <v>231</v>
      </c>
      <c r="B19030" s="27" t="s">
        <v>256</v>
      </c>
      <c r="C19030" s="28">
        <v>0.32140000000000002</v>
      </c>
      <c r="D19030" s="28">
        <v>0.32140000000000002</v>
      </c>
      <c r="E19030" s="28">
        <v>0.32140000000000002</v>
      </c>
      <c r="F19030" s="29"/>
      <c r="G19030" s="29"/>
      <c r="H19030" s="29"/>
      <c r="I19030" s="28">
        <v>3.5700000000000003E-2</v>
      </c>
      <c r="J19030" s="29"/>
      <c r="K19030" s="29" t="s">
        <v>336</v>
      </c>
    </row>
    <row r="19031" spans="1:11" x14ac:dyDescent="0.35">
      <c r="A19031" t="s">
        <v>232</v>
      </c>
      <c r="B19031" t="s">
        <v>232</v>
      </c>
      <c r="C19031" s="26">
        <v>0.46879999999999999</v>
      </c>
      <c r="D19031" s="26">
        <v>0.28549999999999998</v>
      </c>
      <c r="E19031" s="26">
        <v>0.1739</v>
      </c>
      <c r="F19031" s="26">
        <v>4.9399999999999999E-2</v>
      </c>
      <c r="G19031" s="26">
        <v>1.11E-2</v>
      </c>
      <c r="H19031" s="26">
        <v>6.3E-3</v>
      </c>
      <c r="I19031" s="26">
        <v>4.8999999999999998E-3</v>
      </c>
      <c r="J19031" s="26">
        <v>2.0000000000000001E-4</v>
      </c>
      <c r="K19031">
        <v>2812</v>
      </c>
    </row>
    <row r="19033" spans="1:11" x14ac:dyDescent="0.35">
      <c r="A19033" s="1" t="s">
        <v>1906</v>
      </c>
    </row>
    <row r="19034" spans="1:11" x14ac:dyDescent="0.35">
      <c r="A19034" t="s">
        <v>219</v>
      </c>
      <c r="B19034" t="s">
        <v>1907</v>
      </c>
      <c r="C19034" t="s">
        <v>1908</v>
      </c>
      <c r="D19034" t="s">
        <v>1909</v>
      </c>
      <c r="E19034" t="s">
        <v>1910</v>
      </c>
      <c r="F19034" t="s">
        <v>1911</v>
      </c>
      <c r="G19034" t="s">
        <v>1912</v>
      </c>
      <c r="H19034" t="s">
        <v>1913</v>
      </c>
      <c r="I19034" t="s">
        <v>1914</v>
      </c>
      <c r="J19034" t="s">
        <v>226</v>
      </c>
    </row>
    <row r="19035" spans="1:11" x14ac:dyDescent="0.35">
      <c r="A19035" t="s">
        <v>227</v>
      </c>
      <c r="B19035" s="26">
        <v>1</v>
      </c>
      <c r="J19035">
        <v>161</v>
      </c>
    </row>
    <row r="19036" spans="1:11" x14ac:dyDescent="0.35">
      <c r="A19036" t="s">
        <v>228</v>
      </c>
      <c r="B19036" s="26">
        <v>0.99160000000000004</v>
      </c>
      <c r="C19036" s="26">
        <v>4.4000000000000003E-3</v>
      </c>
      <c r="D19036" s="26">
        <v>3.3E-3</v>
      </c>
      <c r="H19036" s="26">
        <v>6.9999999999999999E-4</v>
      </c>
      <c r="J19036">
        <v>1033</v>
      </c>
    </row>
    <row r="19037" spans="1:11" x14ac:dyDescent="0.35">
      <c r="A19037" t="s">
        <v>229</v>
      </c>
      <c r="B19037" s="26">
        <v>0.99850000000000005</v>
      </c>
      <c r="E19037" s="26">
        <v>6.9999999999999999E-4</v>
      </c>
      <c r="F19037" s="26">
        <v>5.0000000000000001E-4</v>
      </c>
      <c r="G19037" s="26">
        <v>2.9999999999999997E-4</v>
      </c>
      <c r="J19037">
        <v>895</v>
      </c>
    </row>
    <row r="19038" spans="1:11" x14ac:dyDescent="0.35">
      <c r="A19038" t="s">
        <v>230</v>
      </c>
      <c r="B19038" s="26">
        <v>0.99829999999999997</v>
      </c>
      <c r="D19038" s="26">
        <v>8.9999999999999998E-4</v>
      </c>
      <c r="F19038" s="26">
        <v>2.9999999999999997E-4</v>
      </c>
      <c r="G19038" s="26">
        <v>2.9999999999999997E-4</v>
      </c>
      <c r="I19038" s="26">
        <v>2.9999999999999997E-4</v>
      </c>
      <c r="J19038">
        <v>560</v>
      </c>
    </row>
    <row r="19039" spans="1:11" x14ac:dyDescent="0.35">
      <c r="A19039" t="s">
        <v>231</v>
      </c>
      <c r="B19039" s="26">
        <v>1</v>
      </c>
      <c r="J19039">
        <v>164</v>
      </c>
    </row>
    <row r="19040" spans="1:11" x14ac:dyDescent="0.35">
      <c r="A19040" t="s">
        <v>232</v>
      </c>
      <c r="B19040" s="26">
        <v>0.99780000000000002</v>
      </c>
      <c r="C19040" s="26">
        <v>8.9999999999999998E-4</v>
      </c>
      <c r="D19040" s="26">
        <v>6.9999999999999999E-4</v>
      </c>
      <c r="E19040" s="26">
        <v>2.0000000000000001E-4</v>
      </c>
      <c r="F19040" s="26">
        <v>2.0000000000000001E-4</v>
      </c>
      <c r="G19040" s="26">
        <v>1E-4</v>
      </c>
      <c r="H19040" s="26">
        <v>1E-4</v>
      </c>
      <c r="I19040" s="26">
        <v>0</v>
      </c>
      <c r="J19040">
        <v>2813</v>
      </c>
    </row>
    <row r="19042" spans="1:11" x14ac:dyDescent="0.35">
      <c r="A19042" s="1" t="s">
        <v>1915</v>
      </c>
    </row>
    <row r="19043" spans="1:11" x14ac:dyDescent="0.35">
      <c r="A19043" t="s">
        <v>219</v>
      </c>
      <c r="B19043" t="s">
        <v>305</v>
      </c>
      <c r="C19043" t="s">
        <v>1907</v>
      </c>
      <c r="D19043" t="s">
        <v>1908</v>
      </c>
      <c r="E19043" t="s">
        <v>1909</v>
      </c>
      <c r="F19043" t="s">
        <v>1910</v>
      </c>
      <c r="G19043" t="s">
        <v>1911</v>
      </c>
      <c r="H19043" t="s">
        <v>1912</v>
      </c>
      <c r="I19043" t="s">
        <v>1913</v>
      </c>
      <c r="J19043" t="s">
        <v>1914</v>
      </c>
      <c r="K19043" t="s">
        <v>226</v>
      </c>
    </row>
    <row r="19044" spans="1:11" x14ac:dyDescent="0.35">
      <c r="A19044" t="s">
        <v>227</v>
      </c>
      <c r="B19044" t="s">
        <v>242</v>
      </c>
      <c r="C19044" s="26">
        <v>1</v>
      </c>
      <c r="K19044">
        <v>68</v>
      </c>
    </row>
    <row r="19045" spans="1:11" x14ac:dyDescent="0.35">
      <c r="A19045" t="s">
        <v>227</v>
      </c>
      <c r="B19045" t="s">
        <v>241</v>
      </c>
      <c r="C19045" s="26">
        <v>1</v>
      </c>
      <c r="K19045">
        <v>93</v>
      </c>
    </row>
    <row r="19046" spans="1:11" x14ac:dyDescent="0.35">
      <c r="A19046" t="s">
        <v>228</v>
      </c>
      <c r="B19046" t="s">
        <v>242</v>
      </c>
      <c r="C19046" s="26">
        <v>0.98040000000000005</v>
      </c>
      <c r="D19046" s="26">
        <v>9.1000000000000004E-3</v>
      </c>
      <c r="E19046" s="26">
        <v>9.1000000000000004E-3</v>
      </c>
      <c r="I19046" s="26">
        <v>1.2999999999999999E-3</v>
      </c>
      <c r="K19046">
        <v>402</v>
      </c>
    </row>
    <row r="19047" spans="1:11" x14ac:dyDescent="0.35">
      <c r="A19047" t="s">
        <v>228</v>
      </c>
      <c r="B19047" t="s">
        <v>241</v>
      </c>
      <c r="C19047" s="26">
        <v>0.99790000000000001</v>
      </c>
      <c r="D19047" s="26">
        <v>1.6999999999999999E-3</v>
      </c>
      <c r="I19047" s="26">
        <v>4.0000000000000002E-4</v>
      </c>
      <c r="K19047">
        <v>631</v>
      </c>
    </row>
    <row r="19048" spans="1:11" x14ac:dyDescent="0.35">
      <c r="A19048" t="s">
        <v>229</v>
      </c>
      <c r="B19048" t="s">
        <v>242</v>
      </c>
      <c r="C19048" s="26">
        <v>0.99829999999999997</v>
      </c>
      <c r="F19048" s="26">
        <v>1.6999999999999999E-3</v>
      </c>
      <c r="K19048">
        <v>292</v>
      </c>
    </row>
    <row r="19049" spans="1:11" x14ac:dyDescent="0.35">
      <c r="A19049" t="s">
        <v>229</v>
      </c>
      <c r="B19049" t="s">
        <v>241</v>
      </c>
      <c r="C19049" s="26">
        <v>0.99860000000000004</v>
      </c>
      <c r="G19049" s="26">
        <v>8.0000000000000004E-4</v>
      </c>
      <c r="H19049" s="26">
        <v>5.0000000000000001E-4</v>
      </c>
      <c r="K19049">
        <v>603</v>
      </c>
    </row>
    <row r="19050" spans="1:11" x14ac:dyDescent="0.35">
      <c r="A19050" t="s">
        <v>230</v>
      </c>
      <c r="B19050" t="s">
        <v>242</v>
      </c>
      <c r="C19050" s="26">
        <v>0.99919999999999998</v>
      </c>
      <c r="G19050" s="26">
        <v>8.0000000000000004E-4</v>
      </c>
      <c r="K19050">
        <v>189</v>
      </c>
    </row>
    <row r="19051" spans="1:11" x14ac:dyDescent="0.35">
      <c r="A19051" t="s">
        <v>230</v>
      </c>
      <c r="B19051" t="s">
        <v>241</v>
      </c>
      <c r="C19051" s="26">
        <v>0.99780000000000002</v>
      </c>
      <c r="E19051" s="26">
        <v>1.4E-3</v>
      </c>
      <c r="H19051" s="26">
        <v>4.0000000000000002E-4</v>
      </c>
      <c r="J19051" s="26">
        <v>4.0000000000000002E-4</v>
      </c>
      <c r="K19051">
        <v>371</v>
      </c>
    </row>
    <row r="19052" spans="1:11" x14ac:dyDescent="0.35">
      <c r="A19052" t="s">
        <v>231</v>
      </c>
      <c r="B19052" t="s">
        <v>242</v>
      </c>
      <c r="C19052" s="26">
        <v>1</v>
      </c>
      <c r="K19052">
        <v>54</v>
      </c>
    </row>
    <row r="19053" spans="1:11" x14ac:dyDescent="0.35">
      <c r="A19053" t="s">
        <v>231</v>
      </c>
      <c r="B19053" t="s">
        <v>241</v>
      </c>
      <c r="C19053" s="26">
        <v>1</v>
      </c>
      <c r="K19053">
        <v>110</v>
      </c>
    </row>
    <row r="19054" spans="1:11" x14ac:dyDescent="0.35">
      <c r="A19054" t="s">
        <v>232</v>
      </c>
      <c r="B19054" t="s">
        <v>232</v>
      </c>
      <c r="C19054" s="26">
        <v>0.99780000000000002</v>
      </c>
      <c r="D19054" s="26">
        <v>8.9999999999999998E-4</v>
      </c>
      <c r="E19054" s="26">
        <v>6.9999999999999999E-4</v>
      </c>
      <c r="F19054" s="26">
        <v>2.0000000000000001E-4</v>
      </c>
      <c r="G19054" s="26">
        <v>2.0000000000000001E-4</v>
      </c>
      <c r="H19054" s="26">
        <v>1E-4</v>
      </c>
      <c r="I19054" s="26">
        <v>1E-4</v>
      </c>
      <c r="J19054" s="26">
        <v>0</v>
      </c>
      <c r="K19054">
        <v>2813</v>
      </c>
    </row>
    <row r="19056" spans="1:11" x14ac:dyDescent="0.35">
      <c r="A19056" s="1" t="s">
        <v>1916</v>
      </c>
    </row>
    <row r="19057" spans="1:11" x14ac:dyDescent="0.35">
      <c r="A19057" t="s">
        <v>219</v>
      </c>
      <c r="B19057" t="s">
        <v>305</v>
      </c>
      <c r="C19057" t="s">
        <v>1907</v>
      </c>
      <c r="D19057" t="s">
        <v>1908</v>
      </c>
      <c r="E19057" t="s">
        <v>1909</v>
      </c>
      <c r="F19057" t="s">
        <v>1910</v>
      </c>
      <c r="G19057" t="s">
        <v>1911</v>
      </c>
      <c r="H19057" t="s">
        <v>1912</v>
      </c>
      <c r="I19057" t="s">
        <v>1913</v>
      </c>
      <c r="J19057" t="s">
        <v>1914</v>
      </c>
      <c r="K19057" t="s">
        <v>226</v>
      </c>
    </row>
    <row r="19058" spans="1:11" x14ac:dyDescent="0.35">
      <c r="A19058" t="s">
        <v>227</v>
      </c>
      <c r="B19058" t="s">
        <v>239</v>
      </c>
      <c r="C19058" s="26">
        <v>1</v>
      </c>
      <c r="K19058">
        <v>62</v>
      </c>
    </row>
    <row r="19059" spans="1:11" x14ac:dyDescent="0.35">
      <c r="A19059" t="s">
        <v>227</v>
      </c>
      <c r="B19059" t="s">
        <v>238</v>
      </c>
      <c r="C19059" s="26">
        <v>1</v>
      </c>
      <c r="K19059">
        <v>99</v>
      </c>
    </row>
    <row r="19060" spans="1:11" x14ac:dyDescent="0.35">
      <c r="A19060" t="s">
        <v>228</v>
      </c>
      <c r="B19060" t="s">
        <v>239</v>
      </c>
      <c r="C19060" s="26">
        <v>0.97870000000000001</v>
      </c>
      <c r="D19060" s="26">
        <v>2.01E-2</v>
      </c>
      <c r="I19060" s="26">
        <v>1.1999999999999999E-3</v>
      </c>
      <c r="K19060">
        <v>330</v>
      </c>
    </row>
    <row r="19061" spans="1:11" x14ac:dyDescent="0.35">
      <c r="A19061" t="s">
        <v>228</v>
      </c>
      <c r="B19061" t="s">
        <v>238</v>
      </c>
      <c r="C19061" s="26">
        <v>0.99490000000000001</v>
      </c>
      <c r="D19061" s="26">
        <v>2.9999999999999997E-4</v>
      </c>
      <c r="E19061" s="26">
        <v>4.1999999999999997E-3</v>
      </c>
      <c r="I19061" s="26">
        <v>5.9999999999999995E-4</v>
      </c>
      <c r="K19061">
        <v>703</v>
      </c>
    </row>
    <row r="19062" spans="1:11" x14ac:dyDescent="0.35">
      <c r="A19062" t="s">
        <v>229</v>
      </c>
      <c r="B19062" t="s">
        <v>239</v>
      </c>
      <c r="C19062" s="26">
        <v>0.998</v>
      </c>
      <c r="G19062" s="26">
        <v>2E-3</v>
      </c>
      <c r="K19062">
        <v>332</v>
      </c>
    </row>
    <row r="19063" spans="1:11" x14ac:dyDescent="0.35">
      <c r="A19063" t="s">
        <v>229</v>
      </c>
      <c r="B19063" t="s">
        <v>238</v>
      </c>
      <c r="C19063" s="26">
        <v>0.99870000000000003</v>
      </c>
      <c r="F19063" s="26">
        <v>8.9999999999999998E-4</v>
      </c>
      <c r="H19063" s="26">
        <v>4.0000000000000002E-4</v>
      </c>
      <c r="K19063">
        <v>563</v>
      </c>
    </row>
    <row r="19064" spans="1:11" x14ac:dyDescent="0.35">
      <c r="A19064" t="s">
        <v>230</v>
      </c>
      <c r="B19064" t="s">
        <v>239</v>
      </c>
      <c r="C19064" s="26">
        <v>1</v>
      </c>
      <c r="K19064">
        <v>211</v>
      </c>
    </row>
    <row r="19065" spans="1:11" x14ac:dyDescent="0.35">
      <c r="A19065" t="s">
        <v>230</v>
      </c>
      <c r="B19065" t="s">
        <v>238</v>
      </c>
      <c r="C19065" s="26">
        <v>0.99750000000000005</v>
      </c>
      <c r="E19065" s="26">
        <v>1.2999999999999999E-3</v>
      </c>
      <c r="G19065" s="26">
        <v>4.0000000000000002E-4</v>
      </c>
      <c r="H19065" s="26">
        <v>4.0000000000000002E-4</v>
      </c>
      <c r="J19065" s="26">
        <v>4.0000000000000002E-4</v>
      </c>
      <c r="K19065">
        <v>349</v>
      </c>
    </row>
    <row r="19066" spans="1:11" x14ac:dyDescent="0.35">
      <c r="A19066" t="s">
        <v>231</v>
      </c>
      <c r="B19066" t="s">
        <v>239</v>
      </c>
      <c r="C19066" s="26">
        <v>1</v>
      </c>
      <c r="K19066">
        <v>57</v>
      </c>
    </row>
    <row r="19067" spans="1:11" x14ac:dyDescent="0.35">
      <c r="A19067" t="s">
        <v>231</v>
      </c>
      <c r="B19067" t="s">
        <v>238</v>
      </c>
      <c r="C19067" s="26">
        <v>1</v>
      </c>
      <c r="K19067">
        <v>107</v>
      </c>
    </row>
    <row r="19068" spans="1:11" x14ac:dyDescent="0.35">
      <c r="A19068" t="s">
        <v>232</v>
      </c>
      <c r="B19068" t="s">
        <v>232</v>
      </c>
      <c r="C19068" s="26">
        <v>0.99780000000000002</v>
      </c>
      <c r="D19068" s="26">
        <v>8.9999999999999998E-4</v>
      </c>
      <c r="E19068" s="26">
        <v>6.9999999999999999E-4</v>
      </c>
      <c r="F19068" s="26">
        <v>2.0000000000000001E-4</v>
      </c>
      <c r="G19068" s="26">
        <v>2.0000000000000001E-4</v>
      </c>
      <c r="H19068" s="26">
        <v>1E-4</v>
      </c>
      <c r="I19068" s="26">
        <v>1E-4</v>
      </c>
      <c r="J19068" s="26">
        <v>0</v>
      </c>
      <c r="K19068">
        <v>2813</v>
      </c>
    </row>
    <row r="19070" spans="1:11" x14ac:dyDescent="0.35">
      <c r="A19070" s="1" t="s">
        <v>1917</v>
      </c>
    </row>
    <row r="19071" spans="1:11" x14ac:dyDescent="0.35">
      <c r="A19071" t="s">
        <v>219</v>
      </c>
      <c r="B19071" t="s">
        <v>305</v>
      </c>
      <c r="C19071" t="s">
        <v>1907</v>
      </c>
      <c r="D19071" t="s">
        <v>1908</v>
      </c>
      <c r="E19071" t="s">
        <v>1909</v>
      </c>
      <c r="F19071" t="s">
        <v>1910</v>
      </c>
      <c r="G19071" t="s">
        <v>1911</v>
      </c>
      <c r="H19071" t="s">
        <v>1912</v>
      </c>
      <c r="I19071" t="s">
        <v>1913</v>
      </c>
      <c r="J19071" t="s">
        <v>1914</v>
      </c>
      <c r="K19071" t="s">
        <v>226</v>
      </c>
    </row>
    <row r="19072" spans="1:11" x14ac:dyDescent="0.35">
      <c r="A19072" t="s">
        <v>227</v>
      </c>
      <c r="B19072" t="s">
        <v>244</v>
      </c>
      <c r="C19072" s="26">
        <v>1</v>
      </c>
      <c r="K19072">
        <v>96</v>
      </c>
    </row>
    <row r="19073" spans="1:11" x14ac:dyDescent="0.35">
      <c r="A19073" t="s">
        <v>227</v>
      </c>
      <c r="B19073" t="s">
        <v>245</v>
      </c>
      <c r="C19073" s="26">
        <v>1</v>
      </c>
      <c r="K19073">
        <v>53</v>
      </c>
    </row>
    <row r="19074" spans="1:11" x14ac:dyDescent="0.35">
      <c r="A19074" s="27" t="s">
        <v>227</v>
      </c>
      <c r="B19074" s="27" t="s">
        <v>246</v>
      </c>
      <c r="C19074" s="28">
        <v>1</v>
      </c>
      <c r="D19074" s="29"/>
      <c r="E19074" s="29"/>
      <c r="F19074" s="29"/>
      <c r="G19074" s="29"/>
      <c r="H19074" s="29"/>
      <c r="I19074" s="29"/>
      <c r="J19074" s="29"/>
      <c r="K19074" s="29" t="s">
        <v>342</v>
      </c>
    </row>
    <row r="19075" spans="1:11" x14ac:dyDescent="0.35">
      <c r="A19075" t="s">
        <v>228</v>
      </c>
      <c r="B19075" t="s">
        <v>244</v>
      </c>
      <c r="C19075" s="26">
        <v>0.99839999999999995</v>
      </c>
      <c r="D19075" s="26">
        <v>1.2999999999999999E-3</v>
      </c>
      <c r="I19075" s="26">
        <v>4.0000000000000002E-4</v>
      </c>
      <c r="K19075">
        <v>638</v>
      </c>
    </row>
    <row r="19076" spans="1:11" x14ac:dyDescent="0.35">
      <c r="A19076" t="s">
        <v>228</v>
      </c>
      <c r="B19076" t="s">
        <v>245</v>
      </c>
      <c r="C19076" s="26">
        <v>0.97350000000000003</v>
      </c>
      <c r="D19076" s="26">
        <v>1.2800000000000001E-2</v>
      </c>
      <c r="E19076" s="26">
        <v>1.1900000000000001E-2</v>
      </c>
      <c r="I19076" s="26">
        <v>1.6999999999999999E-3</v>
      </c>
      <c r="K19076">
        <v>328</v>
      </c>
    </row>
    <row r="19077" spans="1:11" x14ac:dyDescent="0.35">
      <c r="A19077" t="s">
        <v>228</v>
      </c>
      <c r="B19077" t="s">
        <v>246</v>
      </c>
      <c r="C19077" s="26">
        <v>1</v>
      </c>
      <c r="K19077">
        <v>67</v>
      </c>
    </row>
    <row r="19078" spans="1:11" x14ac:dyDescent="0.35">
      <c r="A19078" t="s">
        <v>229</v>
      </c>
      <c r="B19078" t="s">
        <v>244</v>
      </c>
      <c r="C19078" s="26">
        <v>0.99780000000000002</v>
      </c>
      <c r="F19078" s="26">
        <v>1E-3</v>
      </c>
      <c r="G19078" s="26">
        <v>6.9999999999999999E-4</v>
      </c>
      <c r="H19078" s="26">
        <v>5.0000000000000001E-4</v>
      </c>
      <c r="K19078">
        <v>557</v>
      </c>
    </row>
    <row r="19079" spans="1:11" x14ac:dyDescent="0.35">
      <c r="A19079" t="s">
        <v>229</v>
      </c>
      <c r="B19079" t="s">
        <v>245</v>
      </c>
      <c r="C19079" s="26">
        <v>1</v>
      </c>
      <c r="K19079">
        <v>293</v>
      </c>
    </row>
    <row r="19080" spans="1:11" x14ac:dyDescent="0.35">
      <c r="A19080" t="s">
        <v>229</v>
      </c>
      <c r="B19080" t="s">
        <v>246</v>
      </c>
      <c r="C19080" s="26">
        <v>1</v>
      </c>
      <c r="K19080">
        <v>45</v>
      </c>
    </row>
    <row r="19081" spans="1:11" x14ac:dyDescent="0.35">
      <c r="A19081" t="s">
        <v>230</v>
      </c>
      <c r="B19081" t="s">
        <v>244</v>
      </c>
      <c r="C19081" s="26">
        <v>0.99790000000000001</v>
      </c>
      <c r="E19081" s="26">
        <v>1.2999999999999999E-3</v>
      </c>
      <c r="G19081" s="26">
        <v>4.0000000000000002E-4</v>
      </c>
      <c r="H19081" s="26">
        <v>4.0000000000000002E-4</v>
      </c>
      <c r="K19081">
        <v>370</v>
      </c>
    </row>
    <row r="19082" spans="1:11" x14ac:dyDescent="0.35">
      <c r="A19082" t="s">
        <v>230</v>
      </c>
      <c r="B19082" t="s">
        <v>245</v>
      </c>
      <c r="C19082" s="26">
        <v>0.99890000000000001</v>
      </c>
      <c r="J19082" s="26">
        <v>1.1000000000000001E-3</v>
      </c>
      <c r="K19082">
        <v>161</v>
      </c>
    </row>
    <row r="19083" spans="1:11" x14ac:dyDescent="0.35">
      <c r="A19083" s="27" t="s">
        <v>230</v>
      </c>
      <c r="B19083" s="27" t="s">
        <v>246</v>
      </c>
      <c r="C19083" s="28">
        <v>1</v>
      </c>
      <c r="D19083" s="29"/>
      <c r="E19083" s="29"/>
      <c r="F19083" s="29"/>
      <c r="G19083" s="29"/>
      <c r="H19083" s="29"/>
      <c r="I19083" s="29"/>
      <c r="J19083" s="29"/>
      <c r="K19083" s="29" t="s">
        <v>329</v>
      </c>
    </row>
    <row r="19084" spans="1:11" x14ac:dyDescent="0.35">
      <c r="A19084" t="s">
        <v>231</v>
      </c>
      <c r="B19084" t="s">
        <v>244</v>
      </c>
      <c r="C19084" s="26">
        <v>1</v>
      </c>
      <c r="K19084">
        <v>95</v>
      </c>
    </row>
    <row r="19085" spans="1:11" x14ac:dyDescent="0.35">
      <c r="A19085" t="s">
        <v>231</v>
      </c>
      <c r="B19085" t="s">
        <v>245</v>
      </c>
      <c r="C19085" s="26">
        <v>1</v>
      </c>
      <c r="K19085">
        <v>56</v>
      </c>
    </row>
    <row r="19086" spans="1:11" x14ac:dyDescent="0.35">
      <c r="A19086" s="27" t="s">
        <v>231</v>
      </c>
      <c r="B19086" s="27" t="s">
        <v>246</v>
      </c>
      <c r="C19086" s="28">
        <v>1</v>
      </c>
      <c r="D19086" s="29"/>
      <c r="E19086" s="29"/>
      <c r="F19086" s="29"/>
      <c r="G19086" s="29"/>
      <c r="H19086" s="29"/>
      <c r="I19086" s="29"/>
      <c r="J19086" s="29"/>
      <c r="K19086" s="29" t="s">
        <v>341</v>
      </c>
    </row>
    <row r="19087" spans="1:11" x14ac:dyDescent="0.35">
      <c r="A19087" t="s">
        <v>232</v>
      </c>
      <c r="B19087" t="s">
        <v>232</v>
      </c>
      <c r="C19087" s="26">
        <v>0.99780000000000002</v>
      </c>
      <c r="D19087" s="26">
        <v>8.9999999999999998E-4</v>
      </c>
      <c r="E19087" s="26">
        <v>6.9999999999999999E-4</v>
      </c>
      <c r="F19087" s="26">
        <v>2.0000000000000001E-4</v>
      </c>
      <c r="G19087" s="26">
        <v>2.0000000000000001E-4</v>
      </c>
      <c r="H19087" s="26">
        <v>1E-4</v>
      </c>
      <c r="I19087" s="26">
        <v>1E-4</v>
      </c>
      <c r="J19087" s="26">
        <v>0</v>
      </c>
      <c r="K19087">
        <v>2813</v>
      </c>
    </row>
    <row r="19089" spans="1:11" x14ac:dyDescent="0.35">
      <c r="A19089" s="1" t="s">
        <v>1918</v>
      </c>
    </row>
    <row r="19090" spans="1:11" x14ac:dyDescent="0.35">
      <c r="A19090" t="s">
        <v>219</v>
      </c>
      <c r="B19090" t="s">
        <v>305</v>
      </c>
      <c r="C19090" t="s">
        <v>1907</v>
      </c>
      <c r="D19090" t="s">
        <v>1908</v>
      </c>
      <c r="E19090" t="s">
        <v>1909</v>
      </c>
      <c r="F19090" t="s">
        <v>1910</v>
      </c>
      <c r="G19090" t="s">
        <v>1911</v>
      </c>
      <c r="H19090" t="s">
        <v>1912</v>
      </c>
      <c r="I19090" t="s">
        <v>1913</v>
      </c>
      <c r="J19090" t="s">
        <v>1914</v>
      </c>
      <c r="K19090" t="s">
        <v>226</v>
      </c>
    </row>
    <row r="19091" spans="1:11" x14ac:dyDescent="0.35">
      <c r="A19091" t="s">
        <v>227</v>
      </c>
      <c r="B19091" t="s">
        <v>360</v>
      </c>
      <c r="C19091" s="26">
        <v>1</v>
      </c>
      <c r="K19091">
        <v>39</v>
      </c>
    </row>
    <row r="19092" spans="1:11" x14ac:dyDescent="0.35">
      <c r="A19092" t="s">
        <v>227</v>
      </c>
      <c r="B19092" t="s">
        <v>361</v>
      </c>
      <c r="C19092" s="26">
        <v>1</v>
      </c>
      <c r="K19092">
        <v>32</v>
      </c>
    </row>
    <row r="19093" spans="1:11" x14ac:dyDescent="0.35">
      <c r="A19093" t="s">
        <v>227</v>
      </c>
      <c r="B19093" t="s">
        <v>362</v>
      </c>
      <c r="C19093" s="26">
        <v>1</v>
      </c>
      <c r="K19093">
        <v>37</v>
      </c>
    </row>
    <row r="19094" spans="1:11" x14ac:dyDescent="0.35">
      <c r="A19094" t="s">
        <v>227</v>
      </c>
      <c r="B19094" t="s">
        <v>363</v>
      </c>
      <c r="C19094" s="26">
        <v>1</v>
      </c>
      <c r="K19094">
        <v>45</v>
      </c>
    </row>
    <row r="19095" spans="1:11" x14ac:dyDescent="0.35">
      <c r="A19095" t="s">
        <v>228</v>
      </c>
      <c r="B19095" t="s">
        <v>360</v>
      </c>
      <c r="C19095" s="26">
        <v>0.95850000000000002</v>
      </c>
      <c r="D19095" s="26">
        <v>2.2200000000000001E-2</v>
      </c>
      <c r="E19095" s="26">
        <v>1.6799999999999999E-2</v>
      </c>
      <c r="I19095" s="26">
        <v>2.5000000000000001E-3</v>
      </c>
      <c r="K19095">
        <v>258</v>
      </c>
    </row>
    <row r="19096" spans="1:11" x14ac:dyDescent="0.35">
      <c r="A19096" t="s">
        <v>228</v>
      </c>
      <c r="B19096" t="s">
        <v>361</v>
      </c>
      <c r="C19096" s="26">
        <v>1</v>
      </c>
      <c r="K19096">
        <v>194</v>
      </c>
    </row>
    <row r="19097" spans="1:11" x14ac:dyDescent="0.35">
      <c r="A19097" t="s">
        <v>228</v>
      </c>
      <c r="B19097" t="s">
        <v>363</v>
      </c>
      <c r="C19097" s="26">
        <v>1</v>
      </c>
      <c r="K19097">
        <v>212</v>
      </c>
    </row>
    <row r="19098" spans="1:11" x14ac:dyDescent="0.35">
      <c r="A19098" t="s">
        <v>228</v>
      </c>
      <c r="B19098" t="s">
        <v>362</v>
      </c>
      <c r="C19098" s="26">
        <v>0.999</v>
      </c>
      <c r="I19098" s="26">
        <v>1E-3</v>
      </c>
      <c r="K19098">
        <v>236</v>
      </c>
    </row>
    <row r="19099" spans="1:11" x14ac:dyDescent="0.35">
      <c r="A19099" t="s">
        <v>229</v>
      </c>
      <c r="B19099" t="s">
        <v>363</v>
      </c>
      <c r="C19099" s="26">
        <v>1</v>
      </c>
      <c r="K19099">
        <v>191</v>
      </c>
    </row>
    <row r="19100" spans="1:11" x14ac:dyDescent="0.35">
      <c r="A19100" t="s">
        <v>229</v>
      </c>
      <c r="B19100" t="s">
        <v>360</v>
      </c>
      <c r="C19100" s="26">
        <v>1</v>
      </c>
      <c r="K19100">
        <v>164</v>
      </c>
    </row>
    <row r="19101" spans="1:11" x14ac:dyDescent="0.35">
      <c r="A19101" t="s">
        <v>229</v>
      </c>
      <c r="B19101" t="s">
        <v>361</v>
      </c>
      <c r="C19101" s="26">
        <v>1</v>
      </c>
      <c r="K19101">
        <v>243</v>
      </c>
    </row>
    <row r="19102" spans="1:11" x14ac:dyDescent="0.35">
      <c r="A19102" t="s">
        <v>229</v>
      </c>
      <c r="B19102" t="s">
        <v>362</v>
      </c>
      <c r="C19102" s="26">
        <v>1</v>
      </c>
      <c r="K19102">
        <v>171</v>
      </c>
    </row>
    <row r="19103" spans="1:11" x14ac:dyDescent="0.35">
      <c r="A19103" t="s">
        <v>230</v>
      </c>
      <c r="B19103" t="s">
        <v>360</v>
      </c>
      <c r="C19103" s="26">
        <v>0.99850000000000005</v>
      </c>
      <c r="G19103" s="26">
        <v>1.5E-3</v>
      </c>
      <c r="K19103">
        <v>120</v>
      </c>
    </row>
    <row r="19104" spans="1:11" x14ac:dyDescent="0.35">
      <c r="A19104" t="s">
        <v>230</v>
      </c>
      <c r="B19104" t="s">
        <v>363</v>
      </c>
      <c r="C19104" s="26">
        <v>1</v>
      </c>
      <c r="K19104">
        <v>127</v>
      </c>
    </row>
    <row r="19105" spans="1:11" x14ac:dyDescent="0.35">
      <c r="A19105" t="s">
        <v>230</v>
      </c>
      <c r="B19105" t="s">
        <v>361</v>
      </c>
      <c r="C19105" s="26">
        <v>1</v>
      </c>
      <c r="K19105">
        <v>109</v>
      </c>
    </row>
    <row r="19106" spans="1:11" x14ac:dyDescent="0.35">
      <c r="A19106" t="s">
        <v>230</v>
      </c>
      <c r="B19106" t="s">
        <v>362</v>
      </c>
      <c r="C19106" s="26">
        <v>0.99890000000000001</v>
      </c>
      <c r="J19106" s="26">
        <v>1.1000000000000001E-3</v>
      </c>
      <c r="K19106">
        <v>148</v>
      </c>
    </row>
    <row r="19107" spans="1:11" x14ac:dyDescent="0.35">
      <c r="A19107" s="27" t="s">
        <v>231</v>
      </c>
      <c r="B19107" s="27" t="s">
        <v>362</v>
      </c>
      <c r="C19107" s="28">
        <v>1</v>
      </c>
      <c r="D19107" s="29"/>
      <c r="E19107" s="29"/>
      <c r="F19107" s="29"/>
      <c r="G19107" s="29"/>
      <c r="H19107" s="29"/>
      <c r="I19107" s="29"/>
      <c r="J19107" s="29"/>
      <c r="K19107" s="29" t="s">
        <v>329</v>
      </c>
    </row>
    <row r="19108" spans="1:11" x14ac:dyDescent="0.35">
      <c r="A19108" t="s">
        <v>231</v>
      </c>
      <c r="B19108" t="s">
        <v>361</v>
      </c>
      <c r="C19108" s="26">
        <v>1</v>
      </c>
      <c r="K19108">
        <v>50</v>
      </c>
    </row>
    <row r="19109" spans="1:11" x14ac:dyDescent="0.35">
      <c r="A19109" t="s">
        <v>231</v>
      </c>
      <c r="B19109" t="s">
        <v>360</v>
      </c>
      <c r="C19109" s="26">
        <v>1</v>
      </c>
      <c r="K19109">
        <v>44</v>
      </c>
    </row>
    <row r="19110" spans="1:11" x14ac:dyDescent="0.35">
      <c r="A19110" s="27" t="s">
        <v>231</v>
      </c>
      <c r="B19110" s="27" t="s">
        <v>363</v>
      </c>
      <c r="C19110" s="28">
        <v>1</v>
      </c>
      <c r="D19110" s="29"/>
      <c r="E19110" s="29"/>
      <c r="F19110" s="29"/>
      <c r="G19110" s="29"/>
      <c r="H19110" s="29"/>
      <c r="I19110" s="29"/>
      <c r="J19110" s="29"/>
      <c r="K19110" s="29" t="s">
        <v>338</v>
      </c>
    </row>
    <row r="19111" spans="1:11" x14ac:dyDescent="0.35">
      <c r="A19111" t="s">
        <v>232</v>
      </c>
      <c r="B19111" t="s">
        <v>232</v>
      </c>
      <c r="C19111" s="26">
        <v>0.99780000000000002</v>
      </c>
      <c r="D19111" s="26">
        <v>8.9999999999999998E-4</v>
      </c>
      <c r="E19111" s="26">
        <v>6.9999999999999999E-4</v>
      </c>
      <c r="F19111" s="26">
        <v>2.0000000000000001E-4</v>
      </c>
      <c r="G19111" s="26">
        <v>2.0000000000000001E-4</v>
      </c>
      <c r="H19111" s="26">
        <v>1E-4</v>
      </c>
      <c r="I19111" s="26">
        <v>1E-4</v>
      </c>
      <c r="J19111" s="26">
        <v>0</v>
      </c>
      <c r="K19111">
        <v>2476</v>
      </c>
    </row>
    <row r="19113" spans="1:11" x14ac:dyDescent="0.35">
      <c r="A19113" s="1" t="s">
        <v>1919</v>
      </c>
    </row>
    <row r="19114" spans="1:11" x14ac:dyDescent="0.35">
      <c r="A19114" t="s">
        <v>219</v>
      </c>
      <c r="B19114" t="s">
        <v>305</v>
      </c>
      <c r="C19114" t="s">
        <v>1907</v>
      </c>
      <c r="D19114" t="s">
        <v>1908</v>
      </c>
      <c r="E19114" t="s">
        <v>1909</v>
      </c>
      <c r="F19114" t="s">
        <v>1910</v>
      </c>
      <c r="G19114" t="s">
        <v>1911</v>
      </c>
      <c r="H19114" t="s">
        <v>1912</v>
      </c>
      <c r="I19114" t="s">
        <v>1913</v>
      </c>
      <c r="J19114" t="s">
        <v>1914</v>
      </c>
      <c r="K19114" t="s">
        <v>226</v>
      </c>
    </row>
    <row r="19115" spans="1:11" x14ac:dyDescent="0.35">
      <c r="A19115" t="s">
        <v>227</v>
      </c>
      <c r="B19115" t="s">
        <v>267</v>
      </c>
      <c r="C19115" s="26">
        <v>1</v>
      </c>
      <c r="K19115">
        <v>36</v>
      </c>
    </row>
    <row r="19116" spans="1:11" x14ac:dyDescent="0.35">
      <c r="A19116" t="s">
        <v>227</v>
      </c>
      <c r="B19116" t="s">
        <v>266</v>
      </c>
      <c r="C19116" s="26">
        <v>1</v>
      </c>
      <c r="K19116">
        <v>59</v>
      </c>
    </row>
    <row r="19117" spans="1:11" x14ac:dyDescent="0.35">
      <c r="A19117" t="s">
        <v>227</v>
      </c>
      <c r="B19117" t="s">
        <v>265</v>
      </c>
      <c r="C19117" s="26">
        <v>1</v>
      </c>
      <c r="K19117">
        <v>66</v>
      </c>
    </row>
    <row r="19118" spans="1:11" x14ac:dyDescent="0.35">
      <c r="A19118" t="s">
        <v>228</v>
      </c>
      <c r="B19118" t="s">
        <v>267</v>
      </c>
      <c r="C19118" s="26">
        <v>1</v>
      </c>
      <c r="K19118">
        <v>199</v>
      </c>
    </row>
    <row r="19119" spans="1:11" x14ac:dyDescent="0.35">
      <c r="A19119" t="s">
        <v>228</v>
      </c>
      <c r="B19119" t="s">
        <v>265</v>
      </c>
      <c r="C19119" s="26">
        <v>0.99739999999999995</v>
      </c>
      <c r="D19119" s="26">
        <v>2E-3</v>
      </c>
      <c r="I19119" s="26">
        <v>5.9999999999999995E-4</v>
      </c>
      <c r="K19119">
        <v>384</v>
      </c>
    </row>
    <row r="19120" spans="1:11" x14ac:dyDescent="0.35">
      <c r="A19120" s="27" t="s">
        <v>228</v>
      </c>
      <c r="B19120" s="27" t="s">
        <v>236</v>
      </c>
      <c r="C19120" s="28">
        <v>1</v>
      </c>
      <c r="D19120" s="29"/>
      <c r="E19120" s="29"/>
      <c r="F19120" s="29"/>
      <c r="G19120" s="29"/>
      <c r="H19120" s="29"/>
      <c r="I19120" s="29"/>
      <c r="J19120" s="29"/>
      <c r="K19120" s="29" t="s">
        <v>314</v>
      </c>
    </row>
    <row r="19121" spans="1:11" x14ac:dyDescent="0.35">
      <c r="A19121" t="s">
        <v>228</v>
      </c>
      <c r="B19121" t="s">
        <v>266</v>
      </c>
      <c r="C19121" s="26">
        <v>0.98199999999999998</v>
      </c>
      <c r="D19121" s="26">
        <v>8.6999999999999994E-3</v>
      </c>
      <c r="E19121" s="26">
        <v>8.0999999999999996E-3</v>
      </c>
      <c r="I19121" s="26">
        <v>1.1999999999999999E-3</v>
      </c>
      <c r="K19121">
        <v>448</v>
      </c>
    </row>
    <row r="19122" spans="1:11" x14ac:dyDescent="0.35">
      <c r="A19122" t="s">
        <v>229</v>
      </c>
      <c r="B19122" t="s">
        <v>266</v>
      </c>
      <c r="C19122" s="26">
        <v>1</v>
      </c>
      <c r="K19122">
        <v>359</v>
      </c>
    </row>
    <row r="19123" spans="1:11" x14ac:dyDescent="0.35">
      <c r="A19123" t="s">
        <v>229</v>
      </c>
      <c r="B19123" t="s">
        <v>267</v>
      </c>
      <c r="C19123" s="26">
        <v>0.99619999999999997</v>
      </c>
      <c r="F19123" s="26">
        <v>3.0000000000000001E-3</v>
      </c>
      <c r="G19123" s="26">
        <v>8.0000000000000004E-4</v>
      </c>
      <c r="K19123">
        <v>201</v>
      </c>
    </row>
    <row r="19124" spans="1:11" x14ac:dyDescent="0.35">
      <c r="A19124" t="s">
        <v>229</v>
      </c>
      <c r="B19124" t="s">
        <v>265</v>
      </c>
      <c r="C19124" s="26">
        <v>0.99850000000000005</v>
      </c>
      <c r="G19124" s="26">
        <v>6.9999999999999999E-4</v>
      </c>
      <c r="H19124" s="26">
        <v>6.9999999999999999E-4</v>
      </c>
      <c r="K19124">
        <v>335</v>
      </c>
    </row>
    <row r="19125" spans="1:11" x14ac:dyDescent="0.35">
      <c r="A19125" t="s">
        <v>230</v>
      </c>
      <c r="B19125" t="s">
        <v>267</v>
      </c>
      <c r="C19125" s="26">
        <v>1</v>
      </c>
      <c r="K19125">
        <v>119</v>
      </c>
    </row>
    <row r="19126" spans="1:11" x14ac:dyDescent="0.35">
      <c r="A19126" t="s">
        <v>230</v>
      </c>
      <c r="B19126" t="s">
        <v>266</v>
      </c>
      <c r="C19126" s="26">
        <v>0.99919999999999998</v>
      </c>
      <c r="J19126" s="26">
        <v>8.0000000000000004E-4</v>
      </c>
      <c r="K19126">
        <v>232</v>
      </c>
    </row>
    <row r="19127" spans="1:11" x14ac:dyDescent="0.35">
      <c r="A19127" t="s">
        <v>230</v>
      </c>
      <c r="B19127" t="s">
        <v>265</v>
      </c>
      <c r="C19127" s="26">
        <v>0.99650000000000005</v>
      </c>
      <c r="E19127" s="26">
        <v>2.2000000000000001E-3</v>
      </c>
      <c r="G19127" s="26">
        <v>6.9999999999999999E-4</v>
      </c>
      <c r="H19127" s="26">
        <v>6.9999999999999999E-4</v>
      </c>
      <c r="K19127">
        <v>209</v>
      </c>
    </row>
    <row r="19128" spans="1:11" x14ac:dyDescent="0.35">
      <c r="A19128" t="s">
        <v>231</v>
      </c>
      <c r="B19128" t="s">
        <v>267</v>
      </c>
      <c r="C19128" s="26">
        <v>1</v>
      </c>
      <c r="K19128">
        <v>34</v>
      </c>
    </row>
    <row r="19129" spans="1:11" x14ac:dyDescent="0.35">
      <c r="A19129" t="s">
        <v>231</v>
      </c>
      <c r="B19129" t="s">
        <v>266</v>
      </c>
      <c r="C19129" s="26">
        <v>1</v>
      </c>
      <c r="K19129">
        <v>62</v>
      </c>
    </row>
    <row r="19130" spans="1:11" x14ac:dyDescent="0.35">
      <c r="A19130" t="s">
        <v>231</v>
      </c>
      <c r="B19130" t="s">
        <v>265</v>
      </c>
      <c r="C19130" s="26">
        <v>1</v>
      </c>
      <c r="K19130">
        <v>68</v>
      </c>
    </row>
    <row r="19131" spans="1:11" x14ac:dyDescent="0.35">
      <c r="A19131" t="s">
        <v>232</v>
      </c>
      <c r="B19131" t="s">
        <v>232</v>
      </c>
      <c r="C19131" s="26">
        <v>0.99780000000000002</v>
      </c>
      <c r="D19131" s="26">
        <v>8.9999999999999998E-4</v>
      </c>
      <c r="E19131" s="26">
        <v>6.9999999999999999E-4</v>
      </c>
      <c r="F19131" s="26">
        <v>2.0000000000000001E-4</v>
      </c>
      <c r="G19131" s="26">
        <v>2.0000000000000001E-4</v>
      </c>
      <c r="H19131" s="26">
        <v>1E-4</v>
      </c>
      <c r="I19131" s="26">
        <v>1E-4</v>
      </c>
      <c r="J19131" s="26">
        <v>0</v>
      </c>
      <c r="K19131">
        <v>2813</v>
      </c>
    </row>
    <row r="19133" spans="1:11" x14ac:dyDescent="0.35">
      <c r="A19133" s="1" t="s">
        <v>1920</v>
      </c>
    </row>
    <row r="19134" spans="1:11" x14ac:dyDescent="0.35">
      <c r="A19134" t="s">
        <v>219</v>
      </c>
      <c r="B19134" t="s">
        <v>305</v>
      </c>
      <c r="C19134" t="s">
        <v>1907</v>
      </c>
      <c r="D19134" t="s">
        <v>1908</v>
      </c>
      <c r="E19134" t="s">
        <v>1909</v>
      </c>
      <c r="F19134" t="s">
        <v>1910</v>
      </c>
      <c r="G19134" t="s">
        <v>1911</v>
      </c>
      <c r="H19134" t="s">
        <v>1912</v>
      </c>
      <c r="I19134" t="s">
        <v>1913</v>
      </c>
      <c r="J19134" t="s">
        <v>1914</v>
      </c>
      <c r="K19134" t="s">
        <v>226</v>
      </c>
    </row>
    <row r="19135" spans="1:11" x14ac:dyDescent="0.35">
      <c r="A19135" t="s">
        <v>227</v>
      </c>
      <c r="B19135" t="s">
        <v>252</v>
      </c>
      <c r="C19135" s="26">
        <v>1</v>
      </c>
      <c r="K19135">
        <v>45</v>
      </c>
    </row>
    <row r="19136" spans="1:11" x14ac:dyDescent="0.35">
      <c r="A19136" t="s">
        <v>227</v>
      </c>
      <c r="B19136" t="s">
        <v>253</v>
      </c>
      <c r="C19136" s="26">
        <v>1</v>
      </c>
      <c r="K19136">
        <v>34</v>
      </c>
    </row>
    <row r="19137" spans="1:11" x14ac:dyDescent="0.35">
      <c r="A19137" t="s">
        <v>227</v>
      </c>
      <c r="B19137" t="s">
        <v>251</v>
      </c>
      <c r="C19137" s="26">
        <v>1</v>
      </c>
      <c r="K19137">
        <v>82</v>
      </c>
    </row>
    <row r="19138" spans="1:11" x14ac:dyDescent="0.35">
      <c r="A19138" t="s">
        <v>228</v>
      </c>
      <c r="B19138" t="s">
        <v>252</v>
      </c>
      <c r="C19138" s="26">
        <v>0.97440000000000004</v>
      </c>
      <c r="D19138" s="26">
        <v>1.37E-2</v>
      </c>
      <c r="E19138" s="26">
        <v>1.04E-2</v>
      </c>
      <c r="I19138" s="26">
        <v>1.5E-3</v>
      </c>
      <c r="K19138">
        <v>344</v>
      </c>
    </row>
    <row r="19139" spans="1:11" x14ac:dyDescent="0.35">
      <c r="A19139" t="s">
        <v>228</v>
      </c>
      <c r="B19139" t="s">
        <v>253</v>
      </c>
      <c r="C19139" s="26">
        <v>1</v>
      </c>
      <c r="K19139">
        <v>222</v>
      </c>
    </row>
    <row r="19140" spans="1:11" x14ac:dyDescent="0.35">
      <c r="A19140" t="s">
        <v>228</v>
      </c>
      <c r="B19140" t="s">
        <v>251</v>
      </c>
      <c r="C19140" s="26">
        <v>0.99950000000000006</v>
      </c>
      <c r="I19140" s="26">
        <v>5.0000000000000001E-4</v>
      </c>
      <c r="K19140">
        <v>467</v>
      </c>
    </row>
    <row r="19141" spans="1:11" x14ac:dyDescent="0.35">
      <c r="A19141" t="s">
        <v>229</v>
      </c>
      <c r="B19141" t="s">
        <v>252</v>
      </c>
      <c r="C19141" s="26">
        <v>1</v>
      </c>
      <c r="K19141">
        <v>199</v>
      </c>
    </row>
    <row r="19142" spans="1:11" x14ac:dyDescent="0.35">
      <c r="A19142" t="s">
        <v>229</v>
      </c>
      <c r="B19142" t="s">
        <v>253</v>
      </c>
      <c r="C19142" s="26">
        <v>1</v>
      </c>
      <c r="K19142">
        <v>145</v>
      </c>
    </row>
    <row r="19143" spans="1:11" x14ac:dyDescent="0.35">
      <c r="A19143" t="s">
        <v>229</v>
      </c>
      <c r="B19143" t="s">
        <v>251</v>
      </c>
      <c r="C19143" s="26">
        <v>0.99750000000000005</v>
      </c>
      <c r="F19143" s="26">
        <v>1.1000000000000001E-3</v>
      </c>
      <c r="G19143" s="26">
        <v>8.0000000000000004E-4</v>
      </c>
      <c r="H19143" s="26">
        <v>5.9999999999999995E-4</v>
      </c>
      <c r="K19143">
        <v>551</v>
      </c>
    </row>
    <row r="19144" spans="1:11" x14ac:dyDescent="0.35">
      <c r="A19144" t="s">
        <v>230</v>
      </c>
      <c r="B19144" t="s">
        <v>252</v>
      </c>
      <c r="C19144" s="26">
        <v>0.99890000000000001</v>
      </c>
      <c r="J19144" s="26">
        <v>1.1000000000000001E-3</v>
      </c>
      <c r="K19144">
        <v>159</v>
      </c>
    </row>
    <row r="19145" spans="1:11" x14ac:dyDescent="0.35">
      <c r="A19145" t="s">
        <v>230</v>
      </c>
      <c r="B19145" t="s">
        <v>253</v>
      </c>
      <c r="C19145" s="26">
        <v>0.99860000000000004</v>
      </c>
      <c r="G19145" s="26">
        <v>1.4E-3</v>
      </c>
      <c r="K19145">
        <v>110</v>
      </c>
    </row>
    <row r="19146" spans="1:11" x14ac:dyDescent="0.35">
      <c r="A19146" t="s">
        <v>230</v>
      </c>
      <c r="B19146" t="s">
        <v>251</v>
      </c>
      <c r="C19146" s="26">
        <v>0.99790000000000001</v>
      </c>
      <c r="E19146" s="26">
        <v>1.6000000000000001E-3</v>
      </c>
      <c r="H19146" s="26">
        <v>5.0000000000000001E-4</v>
      </c>
      <c r="K19146">
        <v>291</v>
      </c>
    </row>
    <row r="19147" spans="1:11" x14ac:dyDescent="0.35">
      <c r="A19147" t="s">
        <v>231</v>
      </c>
      <c r="B19147" t="s">
        <v>252</v>
      </c>
      <c r="C19147" s="26">
        <v>1</v>
      </c>
      <c r="K19147">
        <v>49</v>
      </c>
    </row>
    <row r="19148" spans="1:11" x14ac:dyDescent="0.35">
      <c r="A19148" t="s">
        <v>231</v>
      </c>
      <c r="B19148" t="s">
        <v>253</v>
      </c>
      <c r="C19148" s="26">
        <v>1</v>
      </c>
      <c r="K19148">
        <v>30</v>
      </c>
    </row>
    <row r="19149" spans="1:11" x14ac:dyDescent="0.35">
      <c r="A19149" t="s">
        <v>231</v>
      </c>
      <c r="B19149" t="s">
        <v>251</v>
      </c>
      <c r="C19149" s="26">
        <v>1</v>
      </c>
      <c r="K19149">
        <v>85</v>
      </c>
    </row>
    <row r="19150" spans="1:11" x14ac:dyDescent="0.35">
      <c r="A19150" t="s">
        <v>232</v>
      </c>
      <c r="B19150" t="s">
        <v>232</v>
      </c>
      <c r="C19150" s="26">
        <v>0.99780000000000002</v>
      </c>
      <c r="D19150" s="26">
        <v>8.9999999999999998E-4</v>
      </c>
      <c r="E19150" s="26">
        <v>6.9999999999999999E-4</v>
      </c>
      <c r="F19150" s="26">
        <v>2.0000000000000001E-4</v>
      </c>
      <c r="G19150" s="26">
        <v>2.0000000000000001E-4</v>
      </c>
      <c r="H19150" s="26">
        <v>1E-4</v>
      </c>
      <c r="I19150" s="26">
        <v>1E-4</v>
      </c>
      <c r="J19150" s="26">
        <v>0</v>
      </c>
      <c r="K19150">
        <v>2813</v>
      </c>
    </row>
    <row r="19152" spans="1:11" x14ac:dyDescent="0.35">
      <c r="A19152" s="1" t="s">
        <v>1921</v>
      </c>
    </row>
    <row r="19153" spans="1:11" x14ac:dyDescent="0.35">
      <c r="A19153" t="s">
        <v>219</v>
      </c>
      <c r="B19153" t="s">
        <v>305</v>
      </c>
      <c r="C19153" t="s">
        <v>1907</v>
      </c>
      <c r="D19153" t="s">
        <v>1908</v>
      </c>
      <c r="E19153" t="s">
        <v>1909</v>
      </c>
      <c r="F19153" t="s">
        <v>1910</v>
      </c>
      <c r="G19153" t="s">
        <v>1911</v>
      </c>
      <c r="H19153" t="s">
        <v>1912</v>
      </c>
      <c r="I19153" t="s">
        <v>1913</v>
      </c>
      <c r="J19153" t="s">
        <v>1914</v>
      </c>
      <c r="K19153" t="s">
        <v>226</v>
      </c>
    </row>
    <row r="19154" spans="1:11" x14ac:dyDescent="0.35">
      <c r="A19154" t="s">
        <v>227</v>
      </c>
      <c r="B19154" t="s">
        <v>249</v>
      </c>
      <c r="C19154" s="26">
        <v>1</v>
      </c>
      <c r="K19154">
        <v>44</v>
      </c>
    </row>
    <row r="19155" spans="1:11" x14ac:dyDescent="0.35">
      <c r="A19155" t="s">
        <v>227</v>
      </c>
      <c r="B19155" t="s">
        <v>248</v>
      </c>
      <c r="C19155" s="26">
        <v>1</v>
      </c>
      <c r="K19155">
        <v>117</v>
      </c>
    </row>
    <row r="19156" spans="1:11" x14ac:dyDescent="0.35">
      <c r="A19156" t="s">
        <v>228</v>
      </c>
      <c r="B19156" t="s">
        <v>249</v>
      </c>
      <c r="C19156" s="26">
        <v>1</v>
      </c>
      <c r="K19156">
        <v>274</v>
      </c>
    </row>
    <row r="19157" spans="1:11" x14ac:dyDescent="0.35">
      <c r="A19157" t="s">
        <v>228</v>
      </c>
      <c r="B19157" t="s">
        <v>248</v>
      </c>
      <c r="C19157" s="26">
        <v>0.98799999999999999</v>
      </c>
      <c r="D19157" s="26">
        <v>6.3E-3</v>
      </c>
      <c r="E19157" s="26">
        <v>4.7000000000000002E-3</v>
      </c>
      <c r="I19157" s="26">
        <v>1E-3</v>
      </c>
      <c r="K19157">
        <v>759</v>
      </c>
    </row>
    <row r="19158" spans="1:11" x14ac:dyDescent="0.35">
      <c r="A19158" t="s">
        <v>229</v>
      </c>
      <c r="B19158" t="s">
        <v>249</v>
      </c>
      <c r="C19158" s="26">
        <v>1</v>
      </c>
      <c r="K19158">
        <v>259</v>
      </c>
    </row>
    <row r="19159" spans="1:11" x14ac:dyDescent="0.35">
      <c r="A19159" t="s">
        <v>229</v>
      </c>
      <c r="B19159" t="s">
        <v>248</v>
      </c>
      <c r="C19159" s="26">
        <v>0.99780000000000002</v>
      </c>
      <c r="F19159" s="26">
        <v>1E-3</v>
      </c>
      <c r="G19159" s="26">
        <v>6.9999999999999999E-4</v>
      </c>
      <c r="H19159" s="26">
        <v>5.0000000000000001E-4</v>
      </c>
      <c r="K19159">
        <v>636</v>
      </c>
    </row>
    <row r="19160" spans="1:11" x14ac:dyDescent="0.35">
      <c r="A19160" t="s">
        <v>230</v>
      </c>
      <c r="B19160" t="s">
        <v>249</v>
      </c>
      <c r="C19160" s="26">
        <v>0.99650000000000005</v>
      </c>
      <c r="E19160" s="26">
        <v>2.7000000000000001E-3</v>
      </c>
      <c r="H19160" s="26">
        <v>8.0000000000000004E-4</v>
      </c>
      <c r="K19160">
        <v>171</v>
      </c>
    </row>
    <row r="19161" spans="1:11" x14ac:dyDescent="0.35">
      <c r="A19161" t="s">
        <v>230</v>
      </c>
      <c r="B19161" t="s">
        <v>248</v>
      </c>
      <c r="C19161" s="26">
        <v>0.99919999999999998</v>
      </c>
      <c r="G19161" s="26">
        <v>4.0000000000000002E-4</v>
      </c>
      <c r="J19161" s="26">
        <v>4.0000000000000002E-4</v>
      </c>
      <c r="K19161">
        <v>389</v>
      </c>
    </row>
    <row r="19162" spans="1:11" x14ac:dyDescent="0.35">
      <c r="A19162" t="s">
        <v>231</v>
      </c>
      <c r="B19162" t="s">
        <v>249</v>
      </c>
      <c r="C19162" s="26">
        <v>1</v>
      </c>
      <c r="K19162">
        <v>35</v>
      </c>
    </row>
    <row r="19163" spans="1:11" x14ac:dyDescent="0.35">
      <c r="A19163" t="s">
        <v>231</v>
      </c>
      <c r="B19163" t="s">
        <v>248</v>
      </c>
      <c r="C19163" s="26">
        <v>1</v>
      </c>
      <c r="K19163">
        <v>129</v>
      </c>
    </row>
    <row r="19164" spans="1:11" x14ac:dyDescent="0.35">
      <c r="A19164" t="s">
        <v>232</v>
      </c>
      <c r="B19164" t="s">
        <v>232</v>
      </c>
      <c r="C19164" s="26">
        <v>0.99780000000000002</v>
      </c>
      <c r="D19164" s="26">
        <v>8.9999999999999998E-4</v>
      </c>
      <c r="E19164" s="26">
        <v>6.9999999999999999E-4</v>
      </c>
      <c r="F19164" s="26">
        <v>2.0000000000000001E-4</v>
      </c>
      <c r="G19164" s="26">
        <v>2.0000000000000001E-4</v>
      </c>
      <c r="H19164" s="26">
        <v>1E-4</v>
      </c>
      <c r="I19164" s="26">
        <v>1E-4</v>
      </c>
      <c r="J19164" s="26">
        <v>0</v>
      </c>
      <c r="K19164">
        <v>2813</v>
      </c>
    </row>
    <row r="19166" spans="1:11" x14ac:dyDescent="0.35">
      <c r="A19166" s="1" t="s">
        <v>1922</v>
      </c>
    </row>
    <row r="19167" spans="1:11" x14ac:dyDescent="0.35">
      <c r="A19167" t="s">
        <v>219</v>
      </c>
      <c r="B19167" t="s">
        <v>305</v>
      </c>
      <c r="C19167" t="s">
        <v>1907</v>
      </c>
      <c r="D19167" t="s">
        <v>1908</v>
      </c>
      <c r="E19167" t="s">
        <v>1909</v>
      </c>
      <c r="F19167" t="s">
        <v>1910</v>
      </c>
      <c r="G19167" t="s">
        <v>1911</v>
      </c>
      <c r="H19167" t="s">
        <v>1912</v>
      </c>
      <c r="I19167" t="s">
        <v>1913</v>
      </c>
      <c r="J19167" t="s">
        <v>1914</v>
      </c>
      <c r="K19167" t="s">
        <v>226</v>
      </c>
    </row>
    <row r="19168" spans="1:11" x14ac:dyDescent="0.35">
      <c r="A19168" s="27" t="s">
        <v>227</v>
      </c>
      <c r="B19168" s="27" t="s">
        <v>263</v>
      </c>
      <c r="C19168" s="28">
        <v>1</v>
      </c>
      <c r="D19168" s="29"/>
      <c r="E19168" s="29"/>
      <c r="F19168" s="29"/>
      <c r="G19168" s="29"/>
      <c r="H19168" s="29"/>
      <c r="I19168" s="29"/>
      <c r="J19168" s="29"/>
      <c r="K19168" s="29" t="s">
        <v>315</v>
      </c>
    </row>
    <row r="19169" spans="1:11" x14ac:dyDescent="0.35">
      <c r="A19169" t="s">
        <v>227</v>
      </c>
      <c r="B19169" t="s">
        <v>261</v>
      </c>
      <c r="C19169" s="26">
        <v>1</v>
      </c>
      <c r="K19169">
        <v>33</v>
      </c>
    </row>
    <row r="19170" spans="1:11" x14ac:dyDescent="0.35">
      <c r="A19170" s="27" t="s">
        <v>227</v>
      </c>
      <c r="B19170" s="27" t="s">
        <v>262</v>
      </c>
      <c r="C19170" s="28">
        <v>1</v>
      </c>
      <c r="D19170" s="29"/>
      <c r="E19170" s="29"/>
      <c r="F19170" s="29"/>
      <c r="G19170" s="29"/>
      <c r="H19170" s="29"/>
      <c r="I19170" s="29"/>
      <c r="J19170" s="29"/>
      <c r="K19170" s="29" t="s">
        <v>315</v>
      </c>
    </row>
    <row r="19171" spans="1:11" x14ac:dyDescent="0.35">
      <c r="A19171" t="s">
        <v>227</v>
      </c>
      <c r="B19171" t="s">
        <v>260</v>
      </c>
      <c r="C19171" s="26">
        <v>1</v>
      </c>
      <c r="K19171">
        <v>122</v>
      </c>
    </row>
    <row r="19172" spans="1:11" x14ac:dyDescent="0.35">
      <c r="A19172" t="s">
        <v>228</v>
      </c>
      <c r="B19172" t="s">
        <v>261</v>
      </c>
      <c r="C19172" s="26">
        <v>0.99880000000000002</v>
      </c>
      <c r="I19172" s="26">
        <v>1.1999999999999999E-3</v>
      </c>
      <c r="K19172">
        <v>192</v>
      </c>
    </row>
    <row r="19173" spans="1:11" x14ac:dyDescent="0.35">
      <c r="A19173" s="27" t="s">
        <v>228</v>
      </c>
      <c r="B19173" s="27" t="s">
        <v>263</v>
      </c>
      <c r="C19173" s="28">
        <v>1</v>
      </c>
      <c r="D19173" s="29"/>
      <c r="E19173" s="29"/>
      <c r="F19173" s="29"/>
      <c r="G19173" s="29"/>
      <c r="H19173" s="29"/>
      <c r="I19173" s="29"/>
      <c r="J19173" s="29"/>
      <c r="K19173" s="29" t="s">
        <v>312</v>
      </c>
    </row>
    <row r="19174" spans="1:11" x14ac:dyDescent="0.35">
      <c r="A19174" s="27" t="s">
        <v>228</v>
      </c>
      <c r="B19174" s="27" t="s">
        <v>236</v>
      </c>
      <c r="C19174" s="28">
        <v>1</v>
      </c>
      <c r="D19174" s="29"/>
      <c r="E19174" s="29"/>
      <c r="F19174" s="29"/>
      <c r="G19174" s="29"/>
      <c r="H19174" s="29"/>
      <c r="I19174" s="29"/>
      <c r="J19174" s="29"/>
      <c r="K19174" s="29" t="s">
        <v>335</v>
      </c>
    </row>
    <row r="19175" spans="1:11" x14ac:dyDescent="0.35">
      <c r="A19175" t="s">
        <v>228</v>
      </c>
      <c r="B19175" t="s">
        <v>262</v>
      </c>
      <c r="C19175" s="26">
        <v>0.99709999999999999</v>
      </c>
      <c r="I19175" s="26">
        <v>2.8999999999999998E-3</v>
      </c>
      <c r="K19175">
        <v>201</v>
      </c>
    </row>
    <row r="19176" spans="1:11" x14ac:dyDescent="0.35">
      <c r="A19176" t="s">
        <v>228</v>
      </c>
      <c r="B19176" t="s">
        <v>260</v>
      </c>
      <c r="C19176" s="26">
        <v>0.98740000000000006</v>
      </c>
      <c r="D19176" s="26">
        <v>7.1999999999999998E-3</v>
      </c>
      <c r="E19176" s="26">
        <v>5.4000000000000003E-3</v>
      </c>
      <c r="K19176">
        <v>609</v>
      </c>
    </row>
    <row r="19177" spans="1:11" x14ac:dyDescent="0.35">
      <c r="A19177" s="27" t="s">
        <v>229</v>
      </c>
      <c r="B19177" s="27" t="s">
        <v>263</v>
      </c>
      <c r="C19177" s="28">
        <v>1</v>
      </c>
      <c r="D19177" s="29"/>
      <c r="E19177" s="29"/>
      <c r="F19177" s="29"/>
      <c r="G19177" s="29"/>
      <c r="H19177" s="29"/>
      <c r="I19177" s="29"/>
      <c r="J19177" s="29"/>
      <c r="K19177" s="29" t="s">
        <v>379</v>
      </c>
    </row>
    <row r="19178" spans="1:11" x14ac:dyDescent="0.35">
      <c r="A19178" t="s">
        <v>229</v>
      </c>
      <c r="B19178" t="s">
        <v>262</v>
      </c>
      <c r="C19178" s="26">
        <v>0.99529999999999996</v>
      </c>
      <c r="F19178" s="26">
        <v>2.3999999999999998E-3</v>
      </c>
      <c r="G19178" s="26">
        <v>1.1999999999999999E-3</v>
      </c>
      <c r="H19178" s="26">
        <v>1.1999999999999999E-3</v>
      </c>
      <c r="K19178">
        <v>188</v>
      </c>
    </row>
    <row r="19179" spans="1:11" x14ac:dyDescent="0.35">
      <c r="A19179" t="s">
        <v>229</v>
      </c>
      <c r="B19179" t="s">
        <v>261</v>
      </c>
      <c r="C19179" s="26">
        <v>1</v>
      </c>
      <c r="K19179">
        <v>96</v>
      </c>
    </row>
    <row r="19180" spans="1:11" x14ac:dyDescent="0.35">
      <c r="A19180" s="27" t="s">
        <v>229</v>
      </c>
      <c r="B19180" s="27" t="s">
        <v>236</v>
      </c>
      <c r="C19180" s="28">
        <v>1</v>
      </c>
      <c r="D19180" s="29"/>
      <c r="E19180" s="29"/>
      <c r="F19180" s="29"/>
      <c r="G19180" s="29"/>
      <c r="H19180" s="29"/>
      <c r="I19180" s="29"/>
      <c r="J19180" s="29"/>
      <c r="K19180" s="29" t="s">
        <v>331</v>
      </c>
    </row>
    <row r="19181" spans="1:11" x14ac:dyDescent="0.35">
      <c r="A19181" t="s">
        <v>229</v>
      </c>
      <c r="B19181" t="s">
        <v>260</v>
      </c>
      <c r="C19181" s="26">
        <v>0.99970000000000003</v>
      </c>
      <c r="G19181" s="26">
        <v>2.9999999999999997E-4</v>
      </c>
      <c r="K19181">
        <v>596</v>
      </c>
    </row>
    <row r="19182" spans="1:11" x14ac:dyDescent="0.35">
      <c r="A19182" s="27" t="s">
        <v>230</v>
      </c>
      <c r="B19182" s="27" t="s">
        <v>236</v>
      </c>
      <c r="C19182" s="28">
        <v>1</v>
      </c>
      <c r="D19182" s="29"/>
      <c r="E19182" s="29"/>
      <c r="F19182" s="29"/>
      <c r="G19182" s="29"/>
      <c r="H19182" s="29"/>
      <c r="I19182" s="29"/>
      <c r="J19182" s="29"/>
      <c r="K19182" s="29" t="s">
        <v>337</v>
      </c>
    </row>
    <row r="19183" spans="1:11" x14ac:dyDescent="0.35">
      <c r="A19183" t="s">
        <v>230</v>
      </c>
      <c r="B19183" t="s">
        <v>262</v>
      </c>
      <c r="C19183" s="26">
        <v>0.99819999999999998</v>
      </c>
      <c r="J19183" s="26">
        <v>1.8E-3</v>
      </c>
      <c r="K19183">
        <v>122</v>
      </c>
    </row>
    <row r="19184" spans="1:11" x14ac:dyDescent="0.35">
      <c r="A19184" t="s">
        <v>230</v>
      </c>
      <c r="B19184" t="s">
        <v>261</v>
      </c>
      <c r="C19184" s="26">
        <v>1</v>
      </c>
      <c r="K19184">
        <v>57</v>
      </c>
    </row>
    <row r="19185" spans="1:11" x14ac:dyDescent="0.35">
      <c r="A19185" s="27" t="s">
        <v>230</v>
      </c>
      <c r="B19185" s="27" t="s">
        <v>263</v>
      </c>
      <c r="C19185" s="28">
        <v>1</v>
      </c>
      <c r="D19185" s="29"/>
      <c r="E19185" s="29"/>
      <c r="F19185" s="29"/>
      <c r="G19185" s="29"/>
      <c r="H19185" s="29"/>
      <c r="I19185" s="29"/>
      <c r="J19185" s="29"/>
      <c r="K19185" s="29" t="s">
        <v>312</v>
      </c>
    </row>
    <row r="19186" spans="1:11" x14ac:dyDescent="0.35">
      <c r="A19186" t="s">
        <v>230</v>
      </c>
      <c r="B19186" t="s">
        <v>260</v>
      </c>
      <c r="C19186" s="26">
        <v>0.99790000000000001</v>
      </c>
      <c r="E19186" s="26">
        <v>1.2999999999999999E-3</v>
      </c>
      <c r="G19186" s="26">
        <v>4.0000000000000002E-4</v>
      </c>
      <c r="H19186" s="26">
        <v>4.0000000000000002E-4</v>
      </c>
      <c r="K19186">
        <v>352</v>
      </c>
    </row>
    <row r="19187" spans="1:11" x14ac:dyDescent="0.35">
      <c r="A19187" s="27" t="s">
        <v>231</v>
      </c>
      <c r="B19187" s="27" t="s">
        <v>263</v>
      </c>
      <c r="C19187" s="28">
        <v>1</v>
      </c>
      <c r="D19187" s="29"/>
      <c r="E19187" s="29"/>
      <c r="F19187" s="29"/>
      <c r="G19187" s="29"/>
      <c r="H19187" s="29"/>
      <c r="I19187" s="29"/>
      <c r="J19187" s="29"/>
      <c r="K19187" s="29" t="s">
        <v>314</v>
      </c>
    </row>
    <row r="19188" spans="1:11" x14ac:dyDescent="0.35">
      <c r="A19188" t="s">
        <v>231</v>
      </c>
      <c r="B19188" t="s">
        <v>260</v>
      </c>
      <c r="C19188" s="26">
        <v>1</v>
      </c>
      <c r="K19188">
        <v>124</v>
      </c>
    </row>
    <row r="19189" spans="1:11" x14ac:dyDescent="0.35">
      <c r="A19189" s="27" t="s">
        <v>231</v>
      </c>
      <c r="B19189" s="27" t="s">
        <v>261</v>
      </c>
      <c r="C19189" s="28">
        <v>1</v>
      </c>
      <c r="D19189" s="29"/>
      <c r="E19189" s="29"/>
      <c r="F19189" s="29"/>
      <c r="G19189" s="29"/>
      <c r="H19189" s="29"/>
      <c r="I19189" s="29"/>
      <c r="J19189" s="29"/>
      <c r="K19189" s="29" t="s">
        <v>338</v>
      </c>
    </row>
    <row r="19190" spans="1:11" x14ac:dyDescent="0.35">
      <c r="A19190" s="27" t="s">
        <v>231</v>
      </c>
      <c r="B19190" s="27" t="s">
        <v>262</v>
      </c>
      <c r="C19190" s="28">
        <v>1</v>
      </c>
      <c r="D19190" s="29"/>
      <c r="E19190" s="29"/>
      <c r="F19190" s="29"/>
      <c r="G19190" s="29"/>
      <c r="H19190" s="29"/>
      <c r="I19190" s="29"/>
      <c r="J19190" s="29"/>
      <c r="K19190" s="29" t="s">
        <v>352</v>
      </c>
    </row>
    <row r="19191" spans="1:11" x14ac:dyDescent="0.35">
      <c r="A19191" t="s">
        <v>232</v>
      </c>
      <c r="B19191" t="s">
        <v>232</v>
      </c>
      <c r="C19191" s="26">
        <v>0.99780000000000002</v>
      </c>
      <c r="D19191" s="26">
        <v>8.9999999999999998E-4</v>
      </c>
      <c r="E19191" s="26">
        <v>6.9999999999999999E-4</v>
      </c>
      <c r="F19191" s="26">
        <v>2.0000000000000001E-4</v>
      </c>
      <c r="G19191" s="26">
        <v>2.0000000000000001E-4</v>
      </c>
      <c r="H19191" s="26">
        <v>1E-4</v>
      </c>
      <c r="I19191" s="26">
        <v>1E-4</v>
      </c>
      <c r="J19191" s="26">
        <v>0</v>
      </c>
      <c r="K19191">
        <v>2813</v>
      </c>
    </row>
    <row r="19193" spans="1:11" x14ac:dyDescent="0.35">
      <c r="A19193" s="1" t="s">
        <v>1923</v>
      </c>
    </row>
    <row r="19194" spans="1:11" x14ac:dyDescent="0.35">
      <c r="A19194" t="s">
        <v>219</v>
      </c>
      <c r="B19194" t="s">
        <v>305</v>
      </c>
      <c r="C19194" t="s">
        <v>1907</v>
      </c>
      <c r="D19194" t="s">
        <v>1908</v>
      </c>
      <c r="E19194" t="s">
        <v>1909</v>
      </c>
      <c r="F19194" t="s">
        <v>1910</v>
      </c>
      <c r="G19194" t="s">
        <v>1911</v>
      </c>
      <c r="H19194" t="s">
        <v>1912</v>
      </c>
      <c r="I19194" t="s">
        <v>1913</v>
      </c>
      <c r="J19194" t="s">
        <v>1914</v>
      </c>
      <c r="K19194" t="s">
        <v>226</v>
      </c>
    </row>
    <row r="19195" spans="1:11" x14ac:dyDescent="0.35">
      <c r="A19195" t="s">
        <v>227</v>
      </c>
      <c r="B19195" t="s">
        <v>368</v>
      </c>
      <c r="C19195" s="26">
        <v>1</v>
      </c>
      <c r="K19195">
        <v>33</v>
      </c>
    </row>
    <row r="19196" spans="1:11" x14ac:dyDescent="0.35">
      <c r="A19196" t="s">
        <v>227</v>
      </c>
      <c r="B19196" t="s">
        <v>369</v>
      </c>
      <c r="C19196" s="26">
        <v>1</v>
      </c>
      <c r="K19196">
        <v>128</v>
      </c>
    </row>
    <row r="19197" spans="1:11" x14ac:dyDescent="0.35">
      <c r="A19197" t="s">
        <v>228</v>
      </c>
      <c r="B19197" t="s">
        <v>368</v>
      </c>
      <c r="C19197" s="26">
        <v>0.99880000000000002</v>
      </c>
      <c r="I19197" s="26">
        <v>1.1999999999999999E-3</v>
      </c>
      <c r="K19197">
        <v>192</v>
      </c>
    </row>
    <row r="19198" spans="1:11" x14ac:dyDescent="0.35">
      <c r="A19198" t="s">
        <v>228</v>
      </c>
      <c r="B19198" t="s">
        <v>369</v>
      </c>
      <c r="C19198" s="26">
        <v>0.98980000000000001</v>
      </c>
      <c r="D19198" s="26">
        <v>5.4999999999999997E-3</v>
      </c>
      <c r="E19198" s="26">
        <v>4.1000000000000003E-3</v>
      </c>
      <c r="I19198" s="26">
        <v>5.9999999999999995E-4</v>
      </c>
      <c r="K19198">
        <v>841</v>
      </c>
    </row>
    <row r="19199" spans="1:11" x14ac:dyDescent="0.35">
      <c r="A19199" t="s">
        <v>229</v>
      </c>
      <c r="B19199" t="s">
        <v>368</v>
      </c>
      <c r="C19199" s="26">
        <v>1</v>
      </c>
      <c r="K19199">
        <v>96</v>
      </c>
    </row>
    <row r="19200" spans="1:11" x14ac:dyDescent="0.35">
      <c r="A19200" t="s">
        <v>229</v>
      </c>
      <c r="B19200" t="s">
        <v>369</v>
      </c>
      <c r="C19200" s="26">
        <v>0.99819999999999998</v>
      </c>
      <c r="F19200" s="26">
        <v>8.0000000000000004E-4</v>
      </c>
      <c r="G19200" s="26">
        <v>5.9999999999999995E-4</v>
      </c>
      <c r="H19200" s="26">
        <v>4.0000000000000002E-4</v>
      </c>
      <c r="K19200">
        <v>799</v>
      </c>
    </row>
    <row r="19201" spans="1:11" x14ac:dyDescent="0.35">
      <c r="A19201" t="s">
        <v>230</v>
      </c>
      <c r="B19201" t="s">
        <v>368</v>
      </c>
      <c r="C19201" s="26">
        <v>1</v>
      </c>
      <c r="K19201">
        <v>57</v>
      </c>
    </row>
    <row r="19202" spans="1:11" x14ac:dyDescent="0.35">
      <c r="A19202" t="s">
        <v>230</v>
      </c>
      <c r="B19202" t="s">
        <v>369</v>
      </c>
      <c r="C19202" s="26">
        <v>0.998</v>
      </c>
      <c r="E19202" s="26">
        <v>1E-3</v>
      </c>
      <c r="G19202" s="26">
        <v>2.9999999999999997E-4</v>
      </c>
      <c r="H19202" s="26">
        <v>2.9999999999999997E-4</v>
      </c>
      <c r="J19202" s="26">
        <v>2.9999999999999997E-4</v>
      </c>
      <c r="K19202">
        <v>503</v>
      </c>
    </row>
    <row r="19203" spans="1:11" x14ac:dyDescent="0.35">
      <c r="A19203" s="27" t="s">
        <v>231</v>
      </c>
      <c r="B19203" s="27" t="s">
        <v>368</v>
      </c>
      <c r="C19203" s="28">
        <v>1</v>
      </c>
      <c r="D19203" s="29"/>
      <c r="E19203" s="29"/>
      <c r="F19203" s="29"/>
      <c r="G19203" s="29"/>
      <c r="H19203" s="29"/>
      <c r="I19203" s="29"/>
      <c r="J19203" s="29"/>
      <c r="K19203" s="29" t="s">
        <v>338</v>
      </c>
    </row>
    <row r="19204" spans="1:11" x14ac:dyDescent="0.35">
      <c r="A19204" t="s">
        <v>231</v>
      </c>
      <c r="B19204" t="s">
        <v>369</v>
      </c>
      <c r="C19204" s="26">
        <v>1</v>
      </c>
      <c r="K19204">
        <v>137</v>
      </c>
    </row>
    <row r="19205" spans="1:11" x14ac:dyDescent="0.35">
      <c r="A19205" t="s">
        <v>232</v>
      </c>
      <c r="B19205" t="s">
        <v>232</v>
      </c>
      <c r="C19205" s="26">
        <v>0.99780000000000002</v>
      </c>
      <c r="D19205" s="26">
        <v>8.9999999999999998E-4</v>
      </c>
      <c r="E19205" s="26">
        <v>6.9999999999999999E-4</v>
      </c>
      <c r="F19205" s="26">
        <v>2.0000000000000001E-4</v>
      </c>
      <c r="G19205" s="26">
        <v>2.0000000000000001E-4</v>
      </c>
      <c r="H19205" s="26">
        <v>1E-4</v>
      </c>
      <c r="I19205" s="26">
        <v>1E-4</v>
      </c>
      <c r="J19205" s="26">
        <v>0</v>
      </c>
      <c r="K19205">
        <v>2813</v>
      </c>
    </row>
    <row r="19207" spans="1:11" x14ac:dyDescent="0.35">
      <c r="A19207" s="1" t="s">
        <v>1924</v>
      </c>
    </row>
    <row r="19208" spans="1:11" x14ac:dyDescent="0.35">
      <c r="A19208" t="s">
        <v>219</v>
      </c>
      <c r="B19208" t="s">
        <v>305</v>
      </c>
      <c r="C19208" t="s">
        <v>1907</v>
      </c>
      <c r="D19208" t="s">
        <v>1908</v>
      </c>
      <c r="E19208" t="s">
        <v>1909</v>
      </c>
      <c r="F19208" t="s">
        <v>1910</v>
      </c>
      <c r="G19208" t="s">
        <v>1911</v>
      </c>
      <c r="H19208" t="s">
        <v>1912</v>
      </c>
      <c r="I19208" t="s">
        <v>1913</v>
      </c>
      <c r="J19208" t="s">
        <v>1914</v>
      </c>
      <c r="K19208" t="s">
        <v>226</v>
      </c>
    </row>
    <row r="19209" spans="1:11" x14ac:dyDescent="0.35">
      <c r="A19209" t="s">
        <v>227</v>
      </c>
      <c r="B19209" t="s">
        <v>371</v>
      </c>
      <c r="C19209" s="26">
        <v>1</v>
      </c>
      <c r="K19209">
        <v>161</v>
      </c>
    </row>
    <row r="19210" spans="1:11" x14ac:dyDescent="0.35">
      <c r="A19210" t="s">
        <v>228</v>
      </c>
      <c r="B19210" t="s">
        <v>371</v>
      </c>
      <c r="C19210" s="26">
        <v>0.98729999999999996</v>
      </c>
      <c r="D19210" s="26">
        <v>6.4000000000000003E-3</v>
      </c>
      <c r="E19210" s="26">
        <v>6.4000000000000003E-3</v>
      </c>
      <c r="K19210">
        <v>292</v>
      </c>
    </row>
    <row r="19211" spans="1:11" x14ac:dyDescent="0.35">
      <c r="A19211" t="s">
        <v>228</v>
      </c>
      <c r="B19211" t="s">
        <v>372</v>
      </c>
      <c r="C19211" s="26">
        <v>0.98170000000000002</v>
      </c>
      <c r="D19211" s="26">
        <v>1.26E-2</v>
      </c>
      <c r="I19211" s="26">
        <v>5.7000000000000002E-3</v>
      </c>
      <c r="K19211">
        <v>218</v>
      </c>
    </row>
    <row r="19212" spans="1:11" x14ac:dyDescent="0.35">
      <c r="A19212" t="s">
        <v>228</v>
      </c>
      <c r="B19212" t="s">
        <v>373</v>
      </c>
      <c r="C19212" s="26">
        <v>0.99939999999999996</v>
      </c>
      <c r="I19212" s="26">
        <v>5.9999999999999995E-4</v>
      </c>
      <c r="K19212">
        <v>523</v>
      </c>
    </row>
    <row r="19213" spans="1:11" x14ac:dyDescent="0.35">
      <c r="A19213" t="s">
        <v>229</v>
      </c>
      <c r="B19213" t="s">
        <v>371</v>
      </c>
      <c r="C19213" s="26">
        <v>0.99909999999999999</v>
      </c>
      <c r="F19213" s="26">
        <v>6.9999999999999999E-4</v>
      </c>
      <c r="G19213" s="26">
        <v>2.0000000000000001E-4</v>
      </c>
      <c r="K19213">
        <v>584</v>
      </c>
    </row>
    <row r="19214" spans="1:11" x14ac:dyDescent="0.35">
      <c r="A19214" t="s">
        <v>229</v>
      </c>
      <c r="B19214" t="s">
        <v>372</v>
      </c>
      <c r="C19214" s="26">
        <v>0.98680000000000001</v>
      </c>
      <c r="G19214" s="26">
        <v>6.6E-3</v>
      </c>
      <c r="H19214" s="26">
        <v>6.6E-3</v>
      </c>
      <c r="K19214">
        <v>221</v>
      </c>
    </row>
    <row r="19215" spans="1:11" x14ac:dyDescent="0.35">
      <c r="A19215" t="s">
        <v>229</v>
      </c>
      <c r="B19215" t="s">
        <v>373</v>
      </c>
      <c r="C19215" s="26">
        <v>1</v>
      </c>
      <c r="K19215">
        <v>90</v>
      </c>
    </row>
    <row r="19216" spans="1:11" x14ac:dyDescent="0.35">
      <c r="A19216" t="s">
        <v>230</v>
      </c>
      <c r="B19216" t="s">
        <v>371</v>
      </c>
      <c r="C19216" s="26">
        <v>0.99890000000000001</v>
      </c>
      <c r="E19216" s="26">
        <v>1.1000000000000001E-3</v>
      </c>
      <c r="K19216">
        <v>262</v>
      </c>
    </row>
    <row r="19217" spans="1:11" x14ac:dyDescent="0.35">
      <c r="A19217" t="s">
        <v>230</v>
      </c>
      <c r="B19217" t="s">
        <v>372</v>
      </c>
      <c r="C19217" s="26">
        <v>0.98580000000000001</v>
      </c>
      <c r="G19217" s="26">
        <v>4.7000000000000002E-3</v>
      </c>
      <c r="H19217" s="26">
        <v>4.7000000000000002E-3</v>
      </c>
      <c r="J19217" s="26">
        <v>4.7000000000000002E-3</v>
      </c>
      <c r="K19217">
        <v>146</v>
      </c>
    </row>
    <row r="19218" spans="1:11" x14ac:dyDescent="0.35">
      <c r="A19218" t="s">
        <v>230</v>
      </c>
      <c r="B19218" t="s">
        <v>373</v>
      </c>
      <c r="C19218" s="26">
        <v>1</v>
      </c>
      <c r="K19218">
        <v>152</v>
      </c>
    </row>
    <row r="19219" spans="1:11" x14ac:dyDescent="0.35">
      <c r="A19219" t="s">
        <v>231</v>
      </c>
      <c r="B19219" t="s">
        <v>371</v>
      </c>
      <c r="C19219" s="26">
        <v>1</v>
      </c>
      <c r="K19219">
        <v>164</v>
      </c>
    </row>
    <row r="19220" spans="1:11" x14ac:dyDescent="0.35">
      <c r="A19220" t="s">
        <v>232</v>
      </c>
      <c r="B19220" t="s">
        <v>232</v>
      </c>
      <c r="C19220" s="26">
        <v>0.99780000000000002</v>
      </c>
      <c r="D19220" s="26">
        <v>8.9999999999999998E-4</v>
      </c>
      <c r="E19220" s="26">
        <v>6.9999999999999999E-4</v>
      </c>
      <c r="F19220" s="26">
        <v>2.0000000000000001E-4</v>
      </c>
      <c r="G19220" s="26">
        <v>2.0000000000000001E-4</v>
      </c>
      <c r="H19220" s="26">
        <v>1E-4</v>
      </c>
      <c r="I19220" s="26">
        <v>1E-4</v>
      </c>
      <c r="J19220" s="26">
        <v>0</v>
      </c>
      <c r="K19220">
        <v>2813</v>
      </c>
    </row>
    <row r="19222" spans="1:11" x14ac:dyDescent="0.35">
      <c r="A19222" s="1" t="s">
        <v>1925</v>
      </c>
    </row>
    <row r="19223" spans="1:11" x14ac:dyDescent="0.35">
      <c r="A19223" t="s">
        <v>219</v>
      </c>
      <c r="B19223" t="s">
        <v>305</v>
      </c>
      <c r="C19223" t="s">
        <v>1907</v>
      </c>
      <c r="D19223" t="s">
        <v>1908</v>
      </c>
      <c r="E19223" t="s">
        <v>1909</v>
      </c>
      <c r="F19223" t="s">
        <v>1910</v>
      </c>
      <c r="G19223" t="s">
        <v>1911</v>
      </c>
      <c r="H19223" t="s">
        <v>1912</v>
      </c>
      <c r="I19223" t="s">
        <v>1913</v>
      </c>
      <c r="J19223" t="s">
        <v>1914</v>
      </c>
      <c r="K19223" t="s">
        <v>226</v>
      </c>
    </row>
    <row r="19224" spans="1:11" x14ac:dyDescent="0.35">
      <c r="A19224" t="s">
        <v>227</v>
      </c>
      <c r="B19224" t="s">
        <v>255</v>
      </c>
      <c r="C19224" s="26">
        <v>1</v>
      </c>
      <c r="K19224">
        <v>117</v>
      </c>
    </row>
    <row r="19225" spans="1:11" x14ac:dyDescent="0.35">
      <c r="A19225" s="27" t="s">
        <v>227</v>
      </c>
      <c r="B19225" s="27" t="s">
        <v>257</v>
      </c>
      <c r="C19225" s="28">
        <v>1</v>
      </c>
      <c r="D19225" s="29"/>
      <c r="E19225" s="29"/>
      <c r="F19225" s="29"/>
      <c r="G19225" s="29"/>
      <c r="H19225" s="29"/>
      <c r="I19225" s="29"/>
      <c r="J19225" s="29"/>
      <c r="K19225" s="29" t="s">
        <v>334</v>
      </c>
    </row>
    <row r="19226" spans="1:11" x14ac:dyDescent="0.35">
      <c r="A19226" t="s">
        <v>227</v>
      </c>
      <c r="B19226" t="s">
        <v>256</v>
      </c>
      <c r="C19226" s="26">
        <v>1</v>
      </c>
      <c r="K19226">
        <v>35</v>
      </c>
    </row>
    <row r="19227" spans="1:11" x14ac:dyDescent="0.35">
      <c r="A19227" t="s">
        <v>228</v>
      </c>
      <c r="B19227" t="s">
        <v>257</v>
      </c>
      <c r="C19227" s="26">
        <v>1</v>
      </c>
      <c r="K19227">
        <v>49</v>
      </c>
    </row>
    <row r="19228" spans="1:11" x14ac:dyDescent="0.35">
      <c r="A19228" s="27" t="s">
        <v>228</v>
      </c>
      <c r="B19228" s="27" t="s">
        <v>258</v>
      </c>
      <c r="C19228" s="28">
        <v>1</v>
      </c>
      <c r="D19228" s="29"/>
      <c r="E19228" s="29"/>
      <c r="F19228" s="29"/>
      <c r="G19228" s="29"/>
      <c r="H19228" s="29"/>
      <c r="I19228" s="29"/>
      <c r="J19228" s="29"/>
      <c r="K19228" s="29" t="s">
        <v>337</v>
      </c>
    </row>
    <row r="19229" spans="1:11" x14ac:dyDescent="0.35">
      <c r="A19229" t="s">
        <v>228</v>
      </c>
      <c r="B19229" t="s">
        <v>256</v>
      </c>
      <c r="C19229" s="26">
        <v>1</v>
      </c>
      <c r="K19229">
        <v>221</v>
      </c>
    </row>
    <row r="19230" spans="1:11" x14ac:dyDescent="0.35">
      <c r="A19230" t="s">
        <v>228</v>
      </c>
      <c r="B19230" t="s">
        <v>255</v>
      </c>
      <c r="C19230" s="26">
        <v>0.98799999999999999</v>
      </c>
      <c r="D19230" s="26">
        <v>6.3E-3</v>
      </c>
      <c r="E19230" s="26">
        <v>4.7000000000000002E-3</v>
      </c>
      <c r="I19230" s="26">
        <v>1E-3</v>
      </c>
      <c r="K19230">
        <v>759</v>
      </c>
    </row>
    <row r="19231" spans="1:11" x14ac:dyDescent="0.35">
      <c r="A19231" t="s">
        <v>229</v>
      </c>
      <c r="B19231" t="s">
        <v>256</v>
      </c>
      <c r="C19231" s="26">
        <v>1</v>
      </c>
      <c r="K19231">
        <v>207</v>
      </c>
    </row>
    <row r="19232" spans="1:11" x14ac:dyDescent="0.35">
      <c r="A19232" t="s">
        <v>229</v>
      </c>
      <c r="B19232" t="s">
        <v>255</v>
      </c>
      <c r="C19232" s="26">
        <v>0.99780000000000002</v>
      </c>
      <c r="F19232" s="26">
        <v>1E-3</v>
      </c>
      <c r="G19232" s="26">
        <v>6.9999999999999999E-4</v>
      </c>
      <c r="H19232" s="26">
        <v>5.0000000000000001E-4</v>
      </c>
      <c r="K19232">
        <v>636</v>
      </c>
    </row>
    <row r="19233" spans="1:11" x14ac:dyDescent="0.35">
      <c r="A19233" t="s">
        <v>229</v>
      </c>
      <c r="B19233" t="s">
        <v>257</v>
      </c>
      <c r="C19233" s="26">
        <v>1</v>
      </c>
      <c r="K19233">
        <v>50</v>
      </c>
    </row>
    <row r="19234" spans="1:11" x14ac:dyDescent="0.35">
      <c r="A19234" s="27" t="s">
        <v>229</v>
      </c>
      <c r="B19234" s="27" t="s">
        <v>258</v>
      </c>
      <c r="C19234" s="28">
        <v>1</v>
      </c>
      <c r="D19234" s="29"/>
      <c r="E19234" s="29"/>
      <c r="F19234" s="29"/>
      <c r="G19234" s="29"/>
      <c r="H19234" s="29"/>
      <c r="I19234" s="29"/>
      <c r="J19234" s="29"/>
      <c r="K19234" s="29" t="s">
        <v>314</v>
      </c>
    </row>
    <row r="19235" spans="1:11" x14ac:dyDescent="0.35">
      <c r="A19235" t="s">
        <v>230</v>
      </c>
      <c r="B19235" t="s">
        <v>256</v>
      </c>
      <c r="C19235" s="26">
        <v>0.99550000000000005</v>
      </c>
      <c r="E19235" s="26">
        <v>3.5000000000000001E-3</v>
      </c>
      <c r="H19235" s="26">
        <v>1.1000000000000001E-3</v>
      </c>
      <c r="K19235">
        <v>130</v>
      </c>
    </row>
    <row r="19236" spans="1:11" x14ac:dyDescent="0.35">
      <c r="A19236" t="s">
        <v>230</v>
      </c>
      <c r="B19236" t="s">
        <v>255</v>
      </c>
      <c r="C19236" s="26">
        <v>0.99919999999999998</v>
      </c>
      <c r="G19236" s="26">
        <v>4.0000000000000002E-4</v>
      </c>
      <c r="J19236" s="26">
        <v>4.0000000000000002E-4</v>
      </c>
      <c r="K19236">
        <v>389</v>
      </c>
    </row>
    <row r="19237" spans="1:11" x14ac:dyDescent="0.35">
      <c r="A19237" t="s">
        <v>230</v>
      </c>
      <c r="B19237" t="s">
        <v>257</v>
      </c>
      <c r="C19237" s="26">
        <v>1</v>
      </c>
      <c r="K19237">
        <v>38</v>
      </c>
    </row>
    <row r="19238" spans="1:11" x14ac:dyDescent="0.35">
      <c r="A19238" s="27" t="s">
        <v>230</v>
      </c>
      <c r="B19238" s="27" t="s">
        <v>258</v>
      </c>
      <c r="C19238" s="28">
        <v>1</v>
      </c>
      <c r="D19238" s="29"/>
      <c r="E19238" s="29"/>
      <c r="F19238" s="29"/>
      <c r="G19238" s="29"/>
      <c r="H19238" s="29"/>
      <c r="I19238" s="29"/>
      <c r="J19238" s="29"/>
      <c r="K19238" s="29" t="s">
        <v>315</v>
      </c>
    </row>
    <row r="19239" spans="1:11" x14ac:dyDescent="0.35">
      <c r="A19239" s="27" t="s">
        <v>231</v>
      </c>
      <c r="B19239" s="27" t="s">
        <v>257</v>
      </c>
      <c r="C19239" s="28">
        <v>1</v>
      </c>
      <c r="D19239" s="29"/>
      <c r="E19239" s="29"/>
      <c r="F19239" s="29"/>
      <c r="G19239" s="29"/>
      <c r="H19239" s="29"/>
      <c r="I19239" s="29"/>
      <c r="J19239" s="29"/>
      <c r="K19239" s="29" t="s">
        <v>339</v>
      </c>
    </row>
    <row r="19240" spans="1:11" x14ac:dyDescent="0.35">
      <c r="A19240" t="s">
        <v>231</v>
      </c>
      <c r="B19240" t="s">
        <v>255</v>
      </c>
      <c r="C19240" s="26">
        <v>1</v>
      </c>
      <c r="K19240">
        <v>129</v>
      </c>
    </row>
    <row r="19241" spans="1:11" x14ac:dyDescent="0.35">
      <c r="A19241" s="27" t="s">
        <v>231</v>
      </c>
      <c r="B19241" s="27" t="s">
        <v>256</v>
      </c>
      <c r="C19241" s="28">
        <v>1</v>
      </c>
      <c r="D19241" s="29"/>
      <c r="E19241" s="29"/>
      <c r="F19241" s="29"/>
      <c r="G19241" s="29"/>
      <c r="H19241" s="29"/>
      <c r="I19241" s="29"/>
      <c r="J19241" s="29"/>
      <c r="K19241" s="29" t="s">
        <v>336</v>
      </c>
    </row>
    <row r="19242" spans="1:11" x14ac:dyDescent="0.35">
      <c r="A19242" t="s">
        <v>232</v>
      </c>
      <c r="B19242" t="s">
        <v>232</v>
      </c>
      <c r="C19242" s="26">
        <v>0.99780000000000002</v>
      </c>
      <c r="D19242" s="26">
        <v>8.9999999999999998E-4</v>
      </c>
      <c r="E19242" s="26">
        <v>6.9999999999999999E-4</v>
      </c>
      <c r="F19242" s="26">
        <v>2.0000000000000001E-4</v>
      </c>
      <c r="G19242" s="26">
        <v>2.0000000000000001E-4</v>
      </c>
      <c r="H19242" s="26">
        <v>1E-4</v>
      </c>
      <c r="I19242" s="26">
        <v>1E-4</v>
      </c>
      <c r="J19242" s="26">
        <v>0</v>
      </c>
      <c r="K19242">
        <v>2813</v>
      </c>
    </row>
    <row r="19244" spans="1:11" x14ac:dyDescent="0.35">
      <c r="A19244" s="1" t="s">
        <v>1926</v>
      </c>
    </row>
    <row r="19245" spans="1:11" x14ac:dyDescent="0.35">
      <c r="A19245" t="s">
        <v>219</v>
      </c>
      <c r="B19245" t="s">
        <v>1927</v>
      </c>
      <c r="C19245" t="s">
        <v>1928</v>
      </c>
      <c r="D19245" t="s">
        <v>1929</v>
      </c>
      <c r="E19245" t="s">
        <v>281</v>
      </c>
      <c r="F19245" t="s">
        <v>286</v>
      </c>
      <c r="G19245" t="s">
        <v>226</v>
      </c>
    </row>
    <row r="19246" spans="1:11" x14ac:dyDescent="0.35">
      <c r="A19246" t="s">
        <v>227</v>
      </c>
      <c r="B19246" s="26">
        <v>0.7329</v>
      </c>
      <c r="C19246" s="26">
        <v>0.2298</v>
      </c>
      <c r="D19246" s="26">
        <v>3.1099999999999999E-2</v>
      </c>
      <c r="E19246" s="26">
        <v>6.1999999999999998E-3</v>
      </c>
      <c r="G19246">
        <v>161</v>
      </c>
    </row>
    <row r="19247" spans="1:11" x14ac:dyDescent="0.35">
      <c r="A19247" t="s">
        <v>228</v>
      </c>
      <c r="B19247" s="26">
        <v>0.65900000000000003</v>
      </c>
      <c r="C19247" s="26">
        <v>0.31430000000000002</v>
      </c>
      <c r="D19247" s="26">
        <v>2.63E-2</v>
      </c>
      <c r="F19247" s="26">
        <v>4.0000000000000002E-4</v>
      </c>
      <c r="G19247">
        <v>1030</v>
      </c>
    </row>
    <row r="19248" spans="1:11" x14ac:dyDescent="0.35">
      <c r="A19248" t="s">
        <v>229</v>
      </c>
      <c r="B19248" s="26">
        <v>0.625</v>
      </c>
      <c r="C19248" s="26">
        <v>0.34329999999999999</v>
      </c>
      <c r="D19248" s="26">
        <v>3.0499999999999999E-2</v>
      </c>
      <c r="E19248" s="26">
        <v>4.0000000000000002E-4</v>
      </c>
      <c r="F19248" s="26">
        <v>6.9999999999999999E-4</v>
      </c>
      <c r="G19248">
        <v>889</v>
      </c>
    </row>
    <row r="19249" spans="1:8" x14ac:dyDescent="0.35">
      <c r="A19249" t="s">
        <v>230</v>
      </c>
      <c r="B19249" s="26">
        <v>0.64119999999999999</v>
      </c>
      <c r="C19249" s="26">
        <v>0.32379999999999998</v>
      </c>
      <c r="D19249" s="26">
        <v>3.1800000000000002E-2</v>
      </c>
      <c r="E19249" s="26">
        <v>3.0000000000000001E-3</v>
      </c>
      <c r="F19249" s="26">
        <v>2.9999999999999997E-4</v>
      </c>
      <c r="G19249">
        <v>559</v>
      </c>
    </row>
    <row r="19250" spans="1:8" x14ac:dyDescent="0.35">
      <c r="A19250" t="s">
        <v>231</v>
      </c>
      <c r="B19250" s="26">
        <v>0.70120000000000005</v>
      </c>
      <c r="C19250" s="26">
        <v>0.26829999999999998</v>
      </c>
      <c r="D19250" s="26">
        <v>1.83E-2</v>
      </c>
      <c r="E19250" s="26">
        <v>1.2200000000000001E-2</v>
      </c>
      <c r="G19250">
        <v>164</v>
      </c>
    </row>
    <row r="19251" spans="1:8" x14ac:dyDescent="0.35">
      <c r="A19251" t="s">
        <v>232</v>
      </c>
      <c r="B19251" s="26">
        <v>0.67049999999999998</v>
      </c>
      <c r="C19251" s="26">
        <v>0.2979</v>
      </c>
      <c r="D19251" s="26">
        <v>2.6499999999999999E-2</v>
      </c>
      <c r="E19251" s="26">
        <v>4.7000000000000002E-3</v>
      </c>
      <c r="F19251" s="26">
        <v>2.9999999999999997E-4</v>
      </c>
      <c r="G19251">
        <v>2803</v>
      </c>
    </row>
    <row r="19253" spans="1:8" x14ac:dyDescent="0.35">
      <c r="A19253" s="1" t="s">
        <v>1930</v>
      </c>
    </row>
    <row r="19254" spans="1:8" x14ac:dyDescent="0.35">
      <c r="A19254" t="s">
        <v>219</v>
      </c>
      <c r="B19254" t="s">
        <v>305</v>
      </c>
      <c r="C19254" t="s">
        <v>1927</v>
      </c>
      <c r="D19254" t="s">
        <v>1928</v>
      </c>
      <c r="E19254" t="s">
        <v>1929</v>
      </c>
      <c r="F19254" t="s">
        <v>281</v>
      </c>
      <c r="G19254" t="s">
        <v>286</v>
      </c>
      <c r="H19254" t="s">
        <v>226</v>
      </c>
    </row>
    <row r="19255" spans="1:8" x14ac:dyDescent="0.35">
      <c r="A19255" t="s">
        <v>227</v>
      </c>
      <c r="B19255" t="s">
        <v>242</v>
      </c>
      <c r="C19255" s="26">
        <v>0.70589999999999997</v>
      </c>
      <c r="D19255" s="26">
        <v>0.26469999999999999</v>
      </c>
      <c r="E19255" s="26">
        <v>1.47E-2</v>
      </c>
      <c r="F19255" s="26">
        <v>1.47E-2</v>
      </c>
      <c r="H19255">
        <v>68</v>
      </c>
    </row>
    <row r="19256" spans="1:8" x14ac:dyDescent="0.35">
      <c r="A19256" t="s">
        <v>227</v>
      </c>
      <c r="B19256" t="s">
        <v>241</v>
      </c>
      <c r="C19256" s="26">
        <v>0.75270000000000004</v>
      </c>
      <c r="D19256" s="26">
        <v>0.20430000000000001</v>
      </c>
      <c r="E19256" s="26">
        <v>4.2999999999999997E-2</v>
      </c>
      <c r="H19256">
        <v>93</v>
      </c>
    </row>
    <row r="19257" spans="1:8" x14ac:dyDescent="0.35">
      <c r="A19257" t="s">
        <v>228</v>
      </c>
      <c r="B19257" t="s">
        <v>242</v>
      </c>
      <c r="C19257" s="26">
        <v>0.6</v>
      </c>
      <c r="D19257" s="26">
        <v>0.35520000000000002</v>
      </c>
      <c r="E19257" s="26">
        <v>4.4900000000000002E-2</v>
      </c>
      <c r="H19257">
        <v>399</v>
      </c>
    </row>
    <row r="19258" spans="1:8" x14ac:dyDescent="0.35">
      <c r="A19258" t="s">
        <v>228</v>
      </c>
      <c r="B19258" t="s">
        <v>241</v>
      </c>
      <c r="C19258" s="26">
        <v>0.69259999999999999</v>
      </c>
      <c r="D19258" s="26">
        <v>0.29110000000000003</v>
      </c>
      <c r="E19258" s="26">
        <v>1.5699999999999999E-2</v>
      </c>
      <c r="G19258" s="26">
        <v>5.9999999999999995E-4</v>
      </c>
      <c r="H19258">
        <v>631</v>
      </c>
    </row>
    <row r="19259" spans="1:8" x14ac:dyDescent="0.35">
      <c r="A19259" t="s">
        <v>229</v>
      </c>
      <c r="B19259" t="s">
        <v>242</v>
      </c>
      <c r="C19259" s="26">
        <v>0.55900000000000005</v>
      </c>
      <c r="D19259" s="26">
        <v>0.39460000000000001</v>
      </c>
      <c r="E19259" s="26">
        <v>4.6199999999999998E-2</v>
      </c>
      <c r="F19259" s="26">
        <v>2.0000000000000001E-4</v>
      </c>
      <c r="H19259">
        <v>289</v>
      </c>
    </row>
    <row r="19260" spans="1:8" x14ac:dyDescent="0.35">
      <c r="A19260" t="s">
        <v>229</v>
      </c>
      <c r="B19260" t="s">
        <v>241</v>
      </c>
      <c r="C19260" s="26">
        <v>0.66739999999999999</v>
      </c>
      <c r="D19260" s="26">
        <v>0.3105</v>
      </c>
      <c r="E19260" s="26">
        <v>2.0500000000000001E-2</v>
      </c>
      <c r="F19260" s="26">
        <v>5.0000000000000001E-4</v>
      </c>
      <c r="G19260" s="26">
        <v>1.1000000000000001E-3</v>
      </c>
      <c r="H19260">
        <v>600</v>
      </c>
    </row>
    <row r="19261" spans="1:8" x14ac:dyDescent="0.35">
      <c r="A19261" t="s">
        <v>230</v>
      </c>
      <c r="B19261" t="s">
        <v>242</v>
      </c>
      <c r="C19261" s="26">
        <v>0.5756</v>
      </c>
      <c r="D19261" s="26">
        <v>0.34439999999999998</v>
      </c>
      <c r="E19261" s="26">
        <v>7.7299999999999994E-2</v>
      </c>
      <c r="F19261" s="26">
        <v>2.7000000000000001E-3</v>
      </c>
      <c r="H19261">
        <v>189</v>
      </c>
    </row>
    <row r="19262" spans="1:8" x14ac:dyDescent="0.35">
      <c r="A19262" t="s">
        <v>230</v>
      </c>
      <c r="B19262" t="s">
        <v>241</v>
      </c>
      <c r="C19262" s="26">
        <v>0.67479999999999996</v>
      </c>
      <c r="D19262" s="26">
        <v>0.31319999999999998</v>
      </c>
      <c r="E19262" s="26">
        <v>8.5000000000000006E-3</v>
      </c>
      <c r="F19262" s="26">
        <v>3.0999999999999999E-3</v>
      </c>
      <c r="G19262" s="26">
        <v>4.0000000000000002E-4</v>
      </c>
      <c r="H19262">
        <v>370</v>
      </c>
    </row>
    <row r="19263" spans="1:8" x14ac:dyDescent="0.35">
      <c r="A19263" t="s">
        <v>231</v>
      </c>
      <c r="B19263" t="s">
        <v>242</v>
      </c>
      <c r="C19263" s="26">
        <v>0.72219999999999995</v>
      </c>
      <c r="D19263" s="26">
        <v>0.2407</v>
      </c>
      <c r="E19263" s="26">
        <v>1.8499999999999999E-2</v>
      </c>
      <c r="F19263" s="26">
        <v>1.8499999999999999E-2</v>
      </c>
      <c r="H19263">
        <v>54</v>
      </c>
    </row>
    <row r="19264" spans="1:8" x14ac:dyDescent="0.35">
      <c r="A19264" t="s">
        <v>231</v>
      </c>
      <c r="B19264" t="s">
        <v>241</v>
      </c>
      <c r="C19264" s="26">
        <v>0.69089999999999996</v>
      </c>
      <c r="D19264" s="26">
        <v>0.28179999999999999</v>
      </c>
      <c r="E19264" s="26">
        <v>1.8200000000000001E-2</v>
      </c>
      <c r="F19264" s="26">
        <v>9.1000000000000004E-3</v>
      </c>
      <c r="H19264">
        <v>110</v>
      </c>
    </row>
    <row r="19265" spans="1:8" x14ac:dyDescent="0.35">
      <c r="A19265" t="s">
        <v>232</v>
      </c>
      <c r="B19265" t="s">
        <v>232</v>
      </c>
      <c r="C19265" s="26">
        <v>0.67049999999999998</v>
      </c>
      <c r="D19265" s="26">
        <v>0.2979</v>
      </c>
      <c r="E19265" s="26">
        <v>2.6499999999999999E-2</v>
      </c>
      <c r="F19265" s="26">
        <v>4.7000000000000002E-3</v>
      </c>
      <c r="G19265" s="26">
        <v>2.9999999999999997E-4</v>
      </c>
      <c r="H19265">
        <v>2803</v>
      </c>
    </row>
    <row r="19267" spans="1:8" x14ac:dyDescent="0.35">
      <c r="A19267" s="1" t="s">
        <v>1931</v>
      </c>
    </row>
    <row r="19268" spans="1:8" x14ac:dyDescent="0.35">
      <c r="A19268" t="s">
        <v>219</v>
      </c>
      <c r="B19268" t="s">
        <v>305</v>
      </c>
      <c r="C19268" t="s">
        <v>1927</v>
      </c>
      <c r="D19268" t="s">
        <v>1928</v>
      </c>
      <c r="E19268" t="s">
        <v>1929</v>
      </c>
      <c r="F19268" t="s">
        <v>281</v>
      </c>
      <c r="G19268" t="s">
        <v>286</v>
      </c>
      <c r="H19268" t="s">
        <v>226</v>
      </c>
    </row>
    <row r="19269" spans="1:8" x14ac:dyDescent="0.35">
      <c r="A19269" t="s">
        <v>227</v>
      </c>
      <c r="B19269" t="s">
        <v>239</v>
      </c>
      <c r="C19269" s="26">
        <v>0.8226</v>
      </c>
      <c r="D19269" s="26">
        <v>0.129</v>
      </c>
      <c r="E19269" s="26">
        <v>3.2300000000000002E-2</v>
      </c>
      <c r="F19269" s="26">
        <v>1.61E-2</v>
      </c>
      <c r="H19269">
        <v>62</v>
      </c>
    </row>
    <row r="19270" spans="1:8" x14ac:dyDescent="0.35">
      <c r="A19270" t="s">
        <v>227</v>
      </c>
      <c r="B19270" t="s">
        <v>238</v>
      </c>
      <c r="C19270" s="26">
        <v>0.67679999999999996</v>
      </c>
      <c r="D19270" s="26">
        <v>0.29289999999999999</v>
      </c>
      <c r="E19270" s="26">
        <v>3.0300000000000001E-2</v>
      </c>
      <c r="H19270">
        <v>99</v>
      </c>
    </row>
    <row r="19271" spans="1:8" x14ac:dyDescent="0.35">
      <c r="A19271" t="s">
        <v>228</v>
      </c>
      <c r="B19271" t="s">
        <v>239</v>
      </c>
      <c r="C19271" s="26">
        <v>0.54279999999999995</v>
      </c>
      <c r="D19271" s="26">
        <v>0.39989999999999998</v>
      </c>
      <c r="E19271" s="26">
        <v>5.7200000000000001E-2</v>
      </c>
      <c r="H19271">
        <v>329</v>
      </c>
    </row>
    <row r="19272" spans="1:8" x14ac:dyDescent="0.35">
      <c r="A19272" t="s">
        <v>228</v>
      </c>
      <c r="B19272" t="s">
        <v>238</v>
      </c>
      <c r="C19272" s="26">
        <v>0.68920000000000003</v>
      </c>
      <c r="D19272" s="26">
        <v>0.29210000000000003</v>
      </c>
      <c r="E19272" s="26">
        <v>1.8200000000000001E-2</v>
      </c>
      <c r="G19272" s="26">
        <v>5.0000000000000001E-4</v>
      </c>
      <c r="H19272">
        <v>701</v>
      </c>
    </row>
    <row r="19273" spans="1:8" x14ac:dyDescent="0.35">
      <c r="A19273" t="s">
        <v>229</v>
      </c>
      <c r="B19273" t="s">
        <v>239</v>
      </c>
      <c r="C19273" s="26">
        <v>0.47089999999999999</v>
      </c>
      <c r="D19273" s="26">
        <v>0.46389999999999998</v>
      </c>
      <c r="E19273" s="26">
        <v>6.0900000000000003E-2</v>
      </c>
      <c r="F19273" s="26">
        <v>1.6999999999999999E-3</v>
      </c>
      <c r="G19273" s="26">
        <v>2.5999999999999999E-3</v>
      </c>
      <c r="H19273">
        <v>332</v>
      </c>
    </row>
    <row r="19274" spans="1:8" x14ac:dyDescent="0.35">
      <c r="A19274" t="s">
        <v>229</v>
      </c>
      <c r="B19274" t="s">
        <v>238</v>
      </c>
      <c r="C19274" s="26">
        <v>0.6784</v>
      </c>
      <c r="D19274" s="26">
        <v>0.30159999999999998</v>
      </c>
      <c r="E19274" s="26">
        <v>0.02</v>
      </c>
      <c r="H19274">
        <v>557</v>
      </c>
    </row>
    <row r="19275" spans="1:8" x14ac:dyDescent="0.35">
      <c r="A19275" t="s">
        <v>230</v>
      </c>
      <c r="B19275" t="s">
        <v>239</v>
      </c>
      <c r="C19275" s="26">
        <v>0.53010000000000002</v>
      </c>
      <c r="D19275" s="26">
        <v>0.46210000000000001</v>
      </c>
      <c r="E19275" s="26">
        <v>7.7999999999999996E-3</v>
      </c>
      <c r="H19275">
        <v>211</v>
      </c>
    </row>
    <row r="19276" spans="1:8" x14ac:dyDescent="0.35">
      <c r="A19276" t="s">
        <v>230</v>
      </c>
      <c r="B19276" t="s">
        <v>238</v>
      </c>
      <c r="C19276" s="26">
        <v>0.68920000000000003</v>
      </c>
      <c r="D19276" s="26">
        <v>0.2641</v>
      </c>
      <c r="E19276" s="26">
        <v>4.2099999999999999E-2</v>
      </c>
      <c r="F19276" s="26">
        <v>4.3E-3</v>
      </c>
      <c r="G19276" s="26">
        <v>4.0000000000000002E-4</v>
      </c>
      <c r="H19276">
        <v>348</v>
      </c>
    </row>
    <row r="19277" spans="1:8" x14ac:dyDescent="0.35">
      <c r="A19277" t="s">
        <v>231</v>
      </c>
      <c r="B19277" t="s">
        <v>239</v>
      </c>
      <c r="C19277" s="26">
        <v>0.63160000000000005</v>
      </c>
      <c r="D19277" s="26">
        <v>0.35089999999999999</v>
      </c>
      <c r="E19277" s="26">
        <v>1.7500000000000002E-2</v>
      </c>
      <c r="H19277">
        <v>57</v>
      </c>
    </row>
    <row r="19278" spans="1:8" x14ac:dyDescent="0.35">
      <c r="A19278" t="s">
        <v>231</v>
      </c>
      <c r="B19278" t="s">
        <v>238</v>
      </c>
      <c r="C19278" s="26">
        <v>0.73829999999999996</v>
      </c>
      <c r="D19278" s="26">
        <v>0.2243</v>
      </c>
      <c r="E19278" s="26">
        <v>1.8700000000000001E-2</v>
      </c>
      <c r="F19278" s="26">
        <v>1.8700000000000001E-2</v>
      </c>
      <c r="H19278">
        <v>107</v>
      </c>
    </row>
    <row r="19279" spans="1:8" x14ac:dyDescent="0.35">
      <c r="A19279" t="s">
        <v>232</v>
      </c>
      <c r="B19279" t="s">
        <v>232</v>
      </c>
      <c r="C19279" s="26">
        <v>0.67049999999999998</v>
      </c>
      <c r="D19279" s="26">
        <v>0.2979</v>
      </c>
      <c r="E19279" s="26">
        <v>2.6499999999999999E-2</v>
      </c>
      <c r="F19279" s="26">
        <v>4.7000000000000002E-3</v>
      </c>
      <c r="G19279" s="26">
        <v>2.9999999999999997E-4</v>
      </c>
      <c r="H19279">
        <v>2803</v>
      </c>
    </row>
    <row r="19281" spans="1:8" x14ac:dyDescent="0.35">
      <c r="A19281" s="1" t="s">
        <v>1932</v>
      </c>
    </row>
    <row r="19282" spans="1:8" x14ac:dyDescent="0.35">
      <c r="A19282" t="s">
        <v>219</v>
      </c>
      <c r="B19282" t="s">
        <v>305</v>
      </c>
      <c r="C19282" t="s">
        <v>1927</v>
      </c>
      <c r="D19282" t="s">
        <v>1928</v>
      </c>
      <c r="E19282" t="s">
        <v>1929</v>
      </c>
      <c r="F19282" t="s">
        <v>281</v>
      </c>
      <c r="G19282" t="s">
        <v>286</v>
      </c>
      <c r="H19282" t="s">
        <v>226</v>
      </c>
    </row>
    <row r="19283" spans="1:8" x14ac:dyDescent="0.35">
      <c r="A19283" t="s">
        <v>227</v>
      </c>
      <c r="B19283" t="s">
        <v>244</v>
      </c>
      <c r="C19283" s="26">
        <v>0.69789999999999996</v>
      </c>
      <c r="D19283" s="26">
        <v>0.28120000000000001</v>
      </c>
      <c r="E19283" s="26">
        <v>2.0799999999999999E-2</v>
      </c>
      <c r="H19283">
        <v>96</v>
      </c>
    </row>
    <row r="19284" spans="1:8" x14ac:dyDescent="0.35">
      <c r="A19284" t="s">
        <v>227</v>
      </c>
      <c r="B19284" t="s">
        <v>245</v>
      </c>
      <c r="C19284" s="26">
        <v>0.81130000000000002</v>
      </c>
      <c r="D19284" s="26">
        <v>0.15090000000000001</v>
      </c>
      <c r="E19284" s="26">
        <v>3.7699999999999997E-2</v>
      </c>
      <c r="H19284">
        <v>53</v>
      </c>
    </row>
    <row r="19285" spans="1:8" x14ac:dyDescent="0.35">
      <c r="A19285" s="27" t="s">
        <v>227</v>
      </c>
      <c r="B19285" s="27" t="s">
        <v>246</v>
      </c>
      <c r="C19285" s="28">
        <v>0.66669999999999996</v>
      </c>
      <c r="D19285" s="28">
        <v>0.16669999999999999</v>
      </c>
      <c r="E19285" s="28">
        <v>8.3299999999999999E-2</v>
      </c>
      <c r="F19285" s="28">
        <v>8.3299999999999999E-2</v>
      </c>
      <c r="G19285" s="29"/>
      <c r="H19285" s="29" t="s">
        <v>342</v>
      </c>
    </row>
    <row r="19286" spans="1:8" x14ac:dyDescent="0.35">
      <c r="A19286" t="s">
        <v>228</v>
      </c>
      <c r="B19286" t="s">
        <v>244</v>
      </c>
      <c r="C19286" s="26">
        <v>0.66990000000000005</v>
      </c>
      <c r="D19286" s="26">
        <v>0.3054</v>
      </c>
      <c r="E19286" s="26">
        <v>2.41E-2</v>
      </c>
      <c r="G19286" s="26">
        <v>5.9999999999999995E-4</v>
      </c>
      <c r="H19286">
        <v>637</v>
      </c>
    </row>
    <row r="19287" spans="1:8" x14ac:dyDescent="0.35">
      <c r="A19287" t="s">
        <v>228</v>
      </c>
      <c r="B19287" t="s">
        <v>245</v>
      </c>
      <c r="C19287" s="26">
        <v>0.68059999999999998</v>
      </c>
      <c r="D19287" s="26">
        <v>0.2848</v>
      </c>
      <c r="E19287" s="26">
        <v>3.4599999999999999E-2</v>
      </c>
      <c r="H19287">
        <v>326</v>
      </c>
    </row>
    <row r="19288" spans="1:8" x14ac:dyDescent="0.35">
      <c r="A19288" t="s">
        <v>228</v>
      </c>
      <c r="B19288" t="s">
        <v>246</v>
      </c>
      <c r="C19288" s="26">
        <v>0.46729999999999999</v>
      </c>
      <c r="D19288" s="26">
        <v>0.51949999999999996</v>
      </c>
      <c r="E19288" s="26">
        <v>1.32E-2</v>
      </c>
      <c r="H19288">
        <v>67</v>
      </c>
    </row>
    <row r="19289" spans="1:8" x14ac:dyDescent="0.35">
      <c r="A19289" t="s">
        <v>229</v>
      </c>
      <c r="B19289" t="s">
        <v>244</v>
      </c>
      <c r="C19289" s="26">
        <v>0.62219999999999998</v>
      </c>
      <c r="D19289" s="26">
        <v>0.34660000000000002</v>
      </c>
      <c r="E19289" s="26">
        <v>3.0099999999999998E-2</v>
      </c>
      <c r="F19289" s="26">
        <v>1E-4</v>
      </c>
      <c r="G19289" s="26">
        <v>1E-3</v>
      </c>
      <c r="H19289">
        <v>553</v>
      </c>
    </row>
    <row r="19290" spans="1:8" x14ac:dyDescent="0.35">
      <c r="A19290" t="s">
        <v>229</v>
      </c>
      <c r="B19290" t="s">
        <v>245</v>
      </c>
      <c r="C19290" s="26">
        <v>0.67149999999999999</v>
      </c>
      <c r="D19290" s="26">
        <v>0.31180000000000002</v>
      </c>
      <c r="E19290" s="26">
        <v>1.54E-2</v>
      </c>
      <c r="F19290" s="26">
        <v>1.2999999999999999E-3</v>
      </c>
      <c r="H19290">
        <v>291</v>
      </c>
    </row>
    <row r="19291" spans="1:8" x14ac:dyDescent="0.35">
      <c r="A19291" t="s">
        <v>229</v>
      </c>
      <c r="B19291" t="s">
        <v>246</v>
      </c>
      <c r="C19291" s="26">
        <v>0.44579999999999997</v>
      </c>
      <c r="D19291" s="26">
        <v>0.44769999999999999</v>
      </c>
      <c r="E19291" s="26">
        <v>0.1066</v>
      </c>
      <c r="H19291">
        <v>45</v>
      </c>
    </row>
    <row r="19292" spans="1:8" x14ac:dyDescent="0.35">
      <c r="A19292" t="s">
        <v>230</v>
      </c>
      <c r="B19292" t="s">
        <v>244</v>
      </c>
      <c r="C19292" s="26">
        <v>0.68700000000000006</v>
      </c>
      <c r="D19292" s="26">
        <v>0.27650000000000002</v>
      </c>
      <c r="E19292" s="26">
        <v>3.1800000000000002E-2</v>
      </c>
      <c r="F19292" s="26">
        <v>4.3E-3</v>
      </c>
      <c r="G19292" s="26">
        <v>4.0000000000000002E-4</v>
      </c>
      <c r="H19292">
        <v>369</v>
      </c>
    </row>
    <row r="19293" spans="1:8" x14ac:dyDescent="0.35">
      <c r="A19293" t="s">
        <v>230</v>
      </c>
      <c r="B19293" t="s">
        <v>245</v>
      </c>
      <c r="C19293" s="26">
        <v>0.5726</v>
      </c>
      <c r="D19293" s="26">
        <v>0.39100000000000001</v>
      </c>
      <c r="E19293" s="26">
        <v>3.6400000000000002E-2</v>
      </c>
      <c r="H19293">
        <v>161</v>
      </c>
    </row>
    <row r="19294" spans="1:8" x14ac:dyDescent="0.35">
      <c r="A19294" s="27" t="s">
        <v>230</v>
      </c>
      <c r="B19294" s="27" t="s">
        <v>246</v>
      </c>
      <c r="C19294" s="28">
        <v>0.35670000000000002</v>
      </c>
      <c r="D19294" s="28">
        <v>0.63770000000000004</v>
      </c>
      <c r="E19294" s="28">
        <v>5.5999999999999999E-3</v>
      </c>
      <c r="F19294" s="29"/>
      <c r="G19294" s="29"/>
      <c r="H19294" s="29" t="s">
        <v>329</v>
      </c>
    </row>
    <row r="19295" spans="1:8" x14ac:dyDescent="0.35">
      <c r="A19295" t="s">
        <v>231</v>
      </c>
      <c r="B19295" t="s">
        <v>244</v>
      </c>
      <c r="C19295" s="26">
        <v>0.66320000000000001</v>
      </c>
      <c r="D19295" s="26">
        <v>0.29470000000000002</v>
      </c>
      <c r="E19295" s="26">
        <v>2.1100000000000001E-2</v>
      </c>
      <c r="F19295" s="26">
        <v>2.1100000000000001E-2</v>
      </c>
      <c r="H19295">
        <v>95</v>
      </c>
    </row>
    <row r="19296" spans="1:8" x14ac:dyDescent="0.35">
      <c r="A19296" t="s">
        <v>231</v>
      </c>
      <c r="B19296" t="s">
        <v>245</v>
      </c>
      <c r="C19296" s="26">
        <v>0.76790000000000003</v>
      </c>
      <c r="D19296" s="26">
        <v>0.21429999999999999</v>
      </c>
      <c r="E19296" s="26">
        <v>1.7899999999999999E-2</v>
      </c>
      <c r="H19296">
        <v>56</v>
      </c>
    </row>
    <row r="19297" spans="1:8" x14ac:dyDescent="0.35">
      <c r="A19297" s="27" t="s">
        <v>231</v>
      </c>
      <c r="B19297" s="27" t="s">
        <v>246</v>
      </c>
      <c r="C19297" s="28">
        <v>0.69230000000000003</v>
      </c>
      <c r="D19297" s="28">
        <v>0.30769999999999997</v>
      </c>
      <c r="E19297" s="29"/>
      <c r="F19297" s="29"/>
      <c r="G19297" s="29"/>
      <c r="H19297" s="29" t="s">
        <v>341</v>
      </c>
    </row>
    <row r="19298" spans="1:8" x14ac:dyDescent="0.35">
      <c r="A19298" t="s">
        <v>232</v>
      </c>
      <c r="B19298" t="s">
        <v>232</v>
      </c>
      <c r="C19298" s="26">
        <v>0.67049999999999998</v>
      </c>
      <c r="D19298" s="26">
        <v>0.2979</v>
      </c>
      <c r="E19298" s="26">
        <v>2.6499999999999999E-2</v>
      </c>
      <c r="F19298" s="26">
        <v>4.7000000000000002E-3</v>
      </c>
      <c r="G19298" s="26">
        <v>2.9999999999999997E-4</v>
      </c>
      <c r="H19298">
        <v>2803</v>
      </c>
    </row>
    <row r="19300" spans="1:8" x14ac:dyDescent="0.35">
      <c r="A19300" s="1" t="s">
        <v>1933</v>
      </c>
    </row>
    <row r="19301" spans="1:8" x14ac:dyDescent="0.35">
      <c r="A19301" t="s">
        <v>219</v>
      </c>
      <c r="B19301" t="s">
        <v>305</v>
      </c>
      <c r="C19301" t="s">
        <v>1927</v>
      </c>
      <c r="D19301" t="s">
        <v>1928</v>
      </c>
      <c r="E19301" t="s">
        <v>1929</v>
      </c>
      <c r="F19301" t="s">
        <v>281</v>
      </c>
      <c r="G19301" t="s">
        <v>286</v>
      </c>
      <c r="H19301" t="s">
        <v>226</v>
      </c>
    </row>
    <row r="19302" spans="1:8" x14ac:dyDescent="0.35">
      <c r="A19302" t="s">
        <v>227</v>
      </c>
      <c r="B19302" t="s">
        <v>360</v>
      </c>
      <c r="C19302" s="26">
        <v>0.69230000000000003</v>
      </c>
      <c r="D19302" s="26">
        <v>0.2051</v>
      </c>
      <c r="E19302" s="26">
        <v>7.6899999999999996E-2</v>
      </c>
      <c r="F19302" s="26">
        <v>2.5600000000000001E-2</v>
      </c>
      <c r="H19302">
        <v>39</v>
      </c>
    </row>
    <row r="19303" spans="1:8" x14ac:dyDescent="0.35">
      <c r="A19303" t="s">
        <v>227</v>
      </c>
      <c r="B19303" t="s">
        <v>361</v>
      </c>
      <c r="C19303" s="26">
        <v>0.78120000000000001</v>
      </c>
      <c r="D19303" s="26">
        <v>0.21879999999999999</v>
      </c>
      <c r="H19303">
        <v>32</v>
      </c>
    </row>
    <row r="19304" spans="1:8" x14ac:dyDescent="0.35">
      <c r="A19304" t="s">
        <v>227</v>
      </c>
      <c r="B19304" t="s">
        <v>362</v>
      </c>
      <c r="C19304" s="26">
        <v>0.78380000000000005</v>
      </c>
      <c r="D19304" s="26">
        <v>0.16220000000000001</v>
      </c>
      <c r="E19304" s="26">
        <v>5.4100000000000002E-2</v>
      </c>
      <c r="H19304">
        <v>37</v>
      </c>
    </row>
    <row r="19305" spans="1:8" x14ac:dyDescent="0.35">
      <c r="A19305" t="s">
        <v>227</v>
      </c>
      <c r="B19305" t="s">
        <v>363</v>
      </c>
      <c r="C19305" s="26">
        <v>0.75560000000000005</v>
      </c>
      <c r="D19305" s="26">
        <v>0.24440000000000001</v>
      </c>
      <c r="H19305">
        <v>45</v>
      </c>
    </row>
    <row r="19306" spans="1:8" x14ac:dyDescent="0.35">
      <c r="A19306" t="s">
        <v>228</v>
      </c>
      <c r="B19306" t="s">
        <v>360</v>
      </c>
      <c r="C19306" s="26">
        <v>0.56630000000000003</v>
      </c>
      <c r="D19306" s="26">
        <v>0.36799999999999999</v>
      </c>
      <c r="E19306" s="26">
        <v>6.5699999999999995E-2</v>
      </c>
      <c r="H19306">
        <v>256</v>
      </c>
    </row>
    <row r="19307" spans="1:8" x14ac:dyDescent="0.35">
      <c r="A19307" t="s">
        <v>228</v>
      </c>
      <c r="B19307" t="s">
        <v>361</v>
      </c>
      <c r="C19307" s="26">
        <v>0.79959999999999998</v>
      </c>
      <c r="D19307" s="26">
        <v>0.19939999999999999</v>
      </c>
      <c r="E19307" s="26">
        <v>1E-3</v>
      </c>
      <c r="H19307">
        <v>194</v>
      </c>
    </row>
    <row r="19308" spans="1:8" x14ac:dyDescent="0.35">
      <c r="A19308" t="s">
        <v>228</v>
      </c>
      <c r="B19308" t="s">
        <v>363</v>
      </c>
      <c r="C19308" s="26">
        <v>0.64439999999999997</v>
      </c>
      <c r="D19308" s="26">
        <v>0.34720000000000001</v>
      </c>
      <c r="E19308" s="26">
        <v>8.3999999999999995E-3</v>
      </c>
      <c r="H19308">
        <v>212</v>
      </c>
    </row>
    <row r="19309" spans="1:8" x14ac:dyDescent="0.35">
      <c r="A19309" t="s">
        <v>228</v>
      </c>
      <c r="B19309" t="s">
        <v>362</v>
      </c>
      <c r="C19309" s="26">
        <v>0.64190000000000003</v>
      </c>
      <c r="D19309" s="26">
        <v>0.3286</v>
      </c>
      <c r="E19309" s="26">
        <v>2.9499999999999998E-2</v>
      </c>
      <c r="H19309">
        <v>235</v>
      </c>
    </row>
    <row r="19310" spans="1:8" x14ac:dyDescent="0.35">
      <c r="A19310" t="s">
        <v>229</v>
      </c>
      <c r="B19310" t="s">
        <v>363</v>
      </c>
      <c r="C19310" s="26">
        <v>0.7631</v>
      </c>
      <c r="D19310" s="26">
        <v>0.2097</v>
      </c>
      <c r="E19310" s="26">
        <v>2.7199999999999998E-2</v>
      </c>
      <c r="H19310">
        <v>189</v>
      </c>
    </row>
    <row r="19311" spans="1:8" x14ac:dyDescent="0.35">
      <c r="A19311" t="s">
        <v>229</v>
      </c>
      <c r="B19311" t="s">
        <v>360</v>
      </c>
      <c r="C19311" s="26">
        <v>0.49419999999999997</v>
      </c>
      <c r="D19311" s="26">
        <v>0.44290000000000002</v>
      </c>
      <c r="E19311" s="26">
        <v>5.8599999999999999E-2</v>
      </c>
      <c r="G19311" s="26">
        <v>4.3E-3</v>
      </c>
      <c r="H19311">
        <v>162</v>
      </c>
    </row>
    <row r="19312" spans="1:8" x14ac:dyDescent="0.35">
      <c r="A19312" t="s">
        <v>229</v>
      </c>
      <c r="B19312" t="s">
        <v>361</v>
      </c>
      <c r="C19312" s="26">
        <v>0.60189999999999999</v>
      </c>
      <c r="D19312" s="26">
        <v>0.38190000000000002</v>
      </c>
      <c r="E19312" s="26">
        <v>1.6199999999999999E-2</v>
      </c>
      <c r="H19312">
        <v>243</v>
      </c>
    </row>
    <row r="19313" spans="1:8" x14ac:dyDescent="0.35">
      <c r="A19313" t="s">
        <v>229</v>
      </c>
      <c r="B19313" t="s">
        <v>362</v>
      </c>
      <c r="C19313" s="26">
        <v>0.6159</v>
      </c>
      <c r="D19313" s="26">
        <v>0.3412</v>
      </c>
      <c r="E19313" s="26">
        <v>4.2799999999999998E-2</v>
      </c>
      <c r="H19313">
        <v>171</v>
      </c>
    </row>
    <row r="19314" spans="1:8" x14ac:dyDescent="0.35">
      <c r="A19314" t="s">
        <v>230</v>
      </c>
      <c r="B19314" t="s">
        <v>360</v>
      </c>
      <c r="C19314" s="26">
        <v>0.47249999999999998</v>
      </c>
      <c r="D19314" s="26">
        <v>0.46410000000000001</v>
      </c>
      <c r="E19314" s="26">
        <v>6.3399999999999998E-2</v>
      </c>
      <c r="H19314">
        <v>120</v>
      </c>
    </row>
    <row r="19315" spans="1:8" x14ac:dyDescent="0.35">
      <c r="A19315" t="s">
        <v>230</v>
      </c>
      <c r="B19315" t="s">
        <v>363</v>
      </c>
      <c r="C19315" s="26">
        <v>0.61809999999999998</v>
      </c>
      <c r="D19315" s="26">
        <v>0.33989999999999998</v>
      </c>
      <c r="E19315" s="26">
        <v>4.2000000000000003E-2</v>
      </c>
      <c r="H19315">
        <v>127</v>
      </c>
    </row>
    <row r="19316" spans="1:8" x14ac:dyDescent="0.35">
      <c r="A19316" t="s">
        <v>230</v>
      </c>
      <c r="B19316" t="s">
        <v>361</v>
      </c>
      <c r="C19316" s="26">
        <v>0.72940000000000005</v>
      </c>
      <c r="D19316" s="26">
        <v>0.23780000000000001</v>
      </c>
      <c r="E19316" s="26">
        <v>2.93E-2</v>
      </c>
      <c r="F19316" s="26">
        <v>3.5000000000000001E-3</v>
      </c>
      <c r="H19316">
        <v>109</v>
      </c>
    </row>
    <row r="19317" spans="1:8" x14ac:dyDescent="0.35">
      <c r="A19317" t="s">
        <v>230</v>
      </c>
      <c r="B19317" t="s">
        <v>362</v>
      </c>
      <c r="C19317" s="26">
        <v>0.70279999999999998</v>
      </c>
      <c r="D19317" s="26">
        <v>0.28660000000000002</v>
      </c>
      <c r="E19317" s="26">
        <v>5.7999999999999996E-3</v>
      </c>
      <c r="F19317" s="26">
        <v>4.7000000000000002E-3</v>
      </c>
      <c r="H19317">
        <v>147</v>
      </c>
    </row>
    <row r="19318" spans="1:8" x14ac:dyDescent="0.35">
      <c r="A19318" s="27" t="s">
        <v>231</v>
      </c>
      <c r="B19318" s="27" t="s">
        <v>362</v>
      </c>
      <c r="C19318" s="28">
        <v>0.72409999999999997</v>
      </c>
      <c r="D19318" s="28">
        <v>0.2414</v>
      </c>
      <c r="E19318" s="28">
        <v>3.4500000000000003E-2</v>
      </c>
      <c r="F19318" s="29"/>
      <c r="G19318" s="29"/>
      <c r="H19318" s="29" t="s">
        <v>329</v>
      </c>
    </row>
    <row r="19319" spans="1:8" x14ac:dyDescent="0.35">
      <c r="A19319" t="s">
        <v>231</v>
      </c>
      <c r="B19319" t="s">
        <v>361</v>
      </c>
      <c r="C19319" s="26">
        <v>0.66</v>
      </c>
      <c r="D19319" s="26">
        <v>0.26</v>
      </c>
      <c r="E19319" s="26">
        <v>0.04</v>
      </c>
      <c r="F19319" s="26">
        <v>0.04</v>
      </c>
      <c r="H19319">
        <v>50</v>
      </c>
    </row>
    <row r="19320" spans="1:8" x14ac:dyDescent="0.35">
      <c r="A19320" t="s">
        <v>231</v>
      </c>
      <c r="B19320" t="s">
        <v>360</v>
      </c>
      <c r="C19320" s="26">
        <v>0.63639999999999997</v>
      </c>
      <c r="D19320" s="26">
        <v>0.36359999999999998</v>
      </c>
      <c r="H19320">
        <v>44</v>
      </c>
    </row>
    <row r="19321" spans="1:8" x14ac:dyDescent="0.35">
      <c r="A19321" s="27" t="s">
        <v>231</v>
      </c>
      <c r="B19321" s="27" t="s">
        <v>363</v>
      </c>
      <c r="C19321" s="28">
        <v>0.77780000000000005</v>
      </c>
      <c r="D19321" s="28">
        <v>0.22220000000000001</v>
      </c>
      <c r="E19321" s="29"/>
      <c r="F19321" s="29"/>
      <c r="G19321" s="29"/>
      <c r="H19321" s="29" t="s">
        <v>338</v>
      </c>
    </row>
    <row r="19322" spans="1:8" x14ac:dyDescent="0.35">
      <c r="A19322" t="s">
        <v>232</v>
      </c>
      <c r="B19322" t="s">
        <v>232</v>
      </c>
      <c r="C19322" s="26">
        <v>0.67049999999999998</v>
      </c>
      <c r="D19322" s="26">
        <v>0.2979</v>
      </c>
      <c r="E19322" s="26">
        <v>2.6499999999999999E-2</v>
      </c>
      <c r="F19322" s="26">
        <v>4.7000000000000002E-3</v>
      </c>
      <c r="G19322" s="26">
        <v>2.9999999999999997E-4</v>
      </c>
      <c r="H19322">
        <v>2468</v>
      </c>
    </row>
    <row r="19324" spans="1:8" x14ac:dyDescent="0.35">
      <c r="A19324" s="1" t="s">
        <v>1934</v>
      </c>
    </row>
    <row r="19325" spans="1:8" x14ac:dyDescent="0.35">
      <c r="A19325" t="s">
        <v>219</v>
      </c>
      <c r="B19325" t="s">
        <v>305</v>
      </c>
      <c r="C19325" t="s">
        <v>1927</v>
      </c>
      <c r="D19325" t="s">
        <v>1928</v>
      </c>
      <c r="E19325" t="s">
        <v>1929</v>
      </c>
      <c r="F19325" t="s">
        <v>281</v>
      </c>
      <c r="G19325" t="s">
        <v>286</v>
      </c>
      <c r="H19325" t="s">
        <v>226</v>
      </c>
    </row>
    <row r="19326" spans="1:8" x14ac:dyDescent="0.35">
      <c r="A19326" t="s">
        <v>227</v>
      </c>
      <c r="B19326" t="s">
        <v>267</v>
      </c>
      <c r="C19326" s="26">
        <v>0.72219999999999995</v>
      </c>
      <c r="D19326" s="26">
        <v>0.19439999999999999</v>
      </c>
      <c r="E19326" s="26">
        <v>8.3299999999999999E-2</v>
      </c>
      <c r="H19326">
        <v>36</v>
      </c>
    </row>
    <row r="19327" spans="1:8" x14ac:dyDescent="0.35">
      <c r="A19327" t="s">
        <v>227</v>
      </c>
      <c r="B19327" t="s">
        <v>266</v>
      </c>
      <c r="C19327" s="26">
        <v>0.77969999999999995</v>
      </c>
      <c r="D19327" s="26">
        <v>0.2203</v>
      </c>
      <c r="H19327">
        <v>59</v>
      </c>
    </row>
    <row r="19328" spans="1:8" x14ac:dyDescent="0.35">
      <c r="A19328" t="s">
        <v>227</v>
      </c>
      <c r="B19328" t="s">
        <v>265</v>
      </c>
      <c r="C19328" s="26">
        <v>0.69699999999999995</v>
      </c>
      <c r="D19328" s="26">
        <v>0.2576</v>
      </c>
      <c r="E19328" s="26">
        <v>3.0300000000000001E-2</v>
      </c>
      <c r="F19328" s="26">
        <v>1.52E-2</v>
      </c>
      <c r="H19328">
        <v>66</v>
      </c>
    </row>
    <row r="19329" spans="1:8" x14ac:dyDescent="0.35">
      <c r="A19329" t="s">
        <v>228</v>
      </c>
      <c r="B19329" t="s">
        <v>267</v>
      </c>
      <c r="C19329" s="26">
        <v>0.60699999999999998</v>
      </c>
      <c r="D19329" s="26">
        <v>0.38579999999999998</v>
      </c>
      <c r="E19329" s="26">
        <v>7.1000000000000004E-3</v>
      </c>
      <c r="H19329">
        <v>198</v>
      </c>
    </row>
    <row r="19330" spans="1:8" x14ac:dyDescent="0.35">
      <c r="A19330" t="s">
        <v>228</v>
      </c>
      <c r="B19330" t="s">
        <v>265</v>
      </c>
      <c r="C19330" s="26">
        <v>0.68569999999999998</v>
      </c>
      <c r="D19330" s="26">
        <v>0.29389999999999999</v>
      </c>
      <c r="E19330" s="26">
        <v>1.95E-2</v>
      </c>
      <c r="G19330" s="26">
        <v>1E-3</v>
      </c>
      <c r="H19330">
        <v>384</v>
      </c>
    </row>
    <row r="19331" spans="1:8" x14ac:dyDescent="0.35">
      <c r="A19331" s="27" t="s">
        <v>228</v>
      </c>
      <c r="B19331" s="27" t="s">
        <v>236</v>
      </c>
      <c r="C19331" s="28">
        <v>0.5</v>
      </c>
      <c r="D19331" s="29"/>
      <c r="E19331" s="28">
        <v>0.5</v>
      </c>
      <c r="F19331" s="29"/>
      <c r="G19331" s="29"/>
      <c r="H19331" s="29" t="s">
        <v>314</v>
      </c>
    </row>
    <row r="19332" spans="1:8" x14ac:dyDescent="0.35">
      <c r="A19332" t="s">
        <v>228</v>
      </c>
      <c r="B19332" t="s">
        <v>266</v>
      </c>
      <c r="C19332" s="26">
        <v>0.65600000000000003</v>
      </c>
      <c r="D19332" s="26">
        <v>0.31059999999999999</v>
      </c>
      <c r="E19332" s="26">
        <v>3.3399999999999999E-2</v>
      </c>
      <c r="H19332">
        <v>446</v>
      </c>
    </row>
    <row r="19333" spans="1:8" x14ac:dyDescent="0.35">
      <c r="A19333" t="s">
        <v>229</v>
      </c>
      <c r="B19333" t="s">
        <v>266</v>
      </c>
      <c r="C19333" s="26">
        <v>0.68559999999999999</v>
      </c>
      <c r="D19333" s="26">
        <v>0.2782</v>
      </c>
      <c r="E19333" s="26">
        <v>3.5200000000000002E-2</v>
      </c>
      <c r="F19333" s="26">
        <v>1E-3</v>
      </c>
      <c r="H19333">
        <v>356</v>
      </c>
    </row>
    <row r="19334" spans="1:8" x14ac:dyDescent="0.35">
      <c r="A19334" t="s">
        <v>229</v>
      </c>
      <c r="B19334" t="s">
        <v>267</v>
      </c>
      <c r="C19334" s="26">
        <v>0.63280000000000003</v>
      </c>
      <c r="D19334" s="26">
        <v>0.3589</v>
      </c>
      <c r="E19334" s="26">
        <v>8.2000000000000007E-3</v>
      </c>
      <c r="H19334">
        <v>199</v>
      </c>
    </row>
    <row r="19335" spans="1:8" x14ac:dyDescent="0.35">
      <c r="A19335" t="s">
        <v>229</v>
      </c>
      <c r="B19335" t="s">
        <v>265</v>
      </c>
      <c r="C19335" s="26">
        <v>0.57820000000000005</v>
      </c>
      <c r="D19335" s="26">
        <v>0.38190000000000002</v>
      </c>
      <c r="E19335" s="26">
        <v>3.8199999999999998E-2</v>
      </c>
      <c r="F19335" s="26">
        <v>2.0000000000000001E-4</v>
      </c>
      <c r="G19335" s="26">
        <v>1.5E-3</v>
      </c>
      <c r="H19335">
        <v>334</v>
      </c>
    </row>
    <row r="19336" spans="1:8" x14ac:dyDescent="0.35">
      <c r="A19336" t="s">
        <v>230</v>
      </c>
      <c r="B19336" t="s">
        <v>267</v>
      </c>
      <c r="C19336" s="26">
        <v>0.71160000000000001</v>
      </c>
      <c r="D19336" s="26">
        <v>0.26419999999999999</v>
      </c>
      <c r="E19336" s="26">
        <v>1.6E-2</v>
      </c>
      <c r="F19336" s="26">
        <v>8.2000000000000007E-3</v>
      </c>
      <c r="H19336">
        <v>119</v>
      </c>
    </row>
    <row r="19337" spans="1:8" x14ac:dyDescent="0.35">
      <c r="A19337" t="s">
        <v>230</v>
      </c>
      <c r="B19337" t="s">
        <v>266</v>
      </c>
      <c r="C19337" s="26">
        <v>0.56369999999999998</v>
      </c>
      <c r="D19337" s="26">
        <v>0.37940000000000002</v>
      </c>
      <c r="E19337" s="26">
        <v>5.6099999999999997E-2</v>
      </c>
      <c r="F19337" s="26">
        <v>8.0000000000000004E-4</v>
      </c>
      <c r="H19337">
        <v>231</v>
      </c>
    </row>
    <row r="19338" spans="1:8" x14ac:dyDescent="0.35">
      <c r="A19338" t="s">
        <v>230</v>
      </c>
      <c r="B19338" t="s">
        <v>265</v>
      </c>
      <c r="C19338" s="26">
        <v>0.67090000000000005</v>
      </c>
      <c r="D19338" s="26">
        <v>0.30719999999999997</v>
      </c>
      <c r="E19338" s="26">
        <v>1.9E-2</v>
      </c>
      <c r="F19338" s="26">
        <v>2.2000000000000001E-3</v>
      </c>
      <c r="G19338" s="26">
        <v>6.9999999999999999E-4</v>
      </c>
      <c r="H19338">
        <v>209</v>
      </c>
    </row>
    <row r="19339" spans="1:8" x14ac:dyDescent="0.35">
      <c r="A19339" t="s">
        <v>231</v>
      </c>
      <c r="B19339" t="s">
        <v>267</v>
      </c>
      <c r="C19339" s="26">
        <v>0.61760000000000004</v>
      </c>
      <c r="D19339" s="26">
        <v>0.32350000000000001</v>
      </c>
      <c r="E19339" s="26">
        <v>2.9399999999999999E-2</v>
      </c>
      <c r="F19339" s="26">
        <v>2.9399999999999999E-2</v>
      </c>
      <c r="H19339">
        <v>34</v>
      </c>
    </row>
    <row r="19340" spans="1:8" x14ac:dyDescent="0.35">
      <c r="A19340" t="s">
        <v>231</v>
      </c>
      <c r="B19340" t="s">
        <v>266</v>
      </c>
      <c r="C19340" s="26">
        <v>0.7903</v>
      </c>
      <c r="D19340" s="26">
        <v>0.2097</v>
      </c>
      <c r="H19340">
        <v>62</v>
      </c>
    </row>
    <row r="19341" spans="1:8" x14ac:dyDescent="0.35">
      <c r="A19341" t="s">
        <v>231</v>
      </c>
      <c r="B19341" t="s">
        <v>265</v>
      </c>
      <c r="C19341" s="26">
        <v>0.66180000000000005</v>
      </c>
      <c r="D19341" s="26">
        <v>0.29409999999999997</v>
      </c>
      <c r="E19341" s="26">
        <v>2.9399999999999999E-2</v>
      </c>
      <c r="F19341" s="26">
        <v>1.47E-2</v>
      </c>
      <c r="H19341">
        <v>68</v>
      </c>
    </row>
    <row r="19342" spans="1:8" x14ac:dyDescent="0.35">
      <c r="A19342" t="s">
        <v>232</v>
      </c>
      <c r="B19342" t="s">
        <v>232</v>
      </c>
      <c r="C19342" s="26">
        <v>0.67049999999999998</v>
      </c>
      <c r="D19342" s="26">
        <v>0.2979</v>
      </c>
      <c r="E19342" s="26">
        <v>2.6499999999999999E-2</v>
      </c>
      <c r="F19342" s="26">
        <v>4.7000000000000002E-3</v>
      </c>
      <c r="G19342" s="26">
        <v>2.9999999999999997E-4</v>
      </c>
      <c r="H19342">
        <v>2803</v>
      </c>
    </row>
    <row r="19344" spans="1:8" x14ac:dyDescent="0.35">
      <c r="A19344" s="1" t="s">
        <v>1935</v>
      </c>
    </row>
    <row r="19345" spans="1:8" x14ac:dyDescent="0.35">
      <c r="A19345" t="s">
        <v>219</v>
      </c>
      <c r="B19345" t="s">
        <v>305</v>
      </c>
      <c r="C19345" t="s">
        <v>1927</v>
      </c>
      <c r="D19345" t="s">
        <v>1928</v>
      </c>
      <c r="E19345" t="s">
        <v>1929</v>
      </c>
      <c r="F19345" t="s">
        <v>281</v>
      </c>
      <c r="G19345" t="s">
        <v>286</v>
      </c>
      <c r="H19345" t="s">
        <v>226</v>
      </c>
    </row>
    <row r="19346" spans="1:8" x14ac:dyDescent="0.35">
      <c r="A19346" t="s">
        <v>227</v>
      </c>
      <c r="B19346" t="s">
        <v>252</v>
      </c>
      <c r="C19346" s="26">
        <v>0.82220000000000004</v>
      </c>
      <c r="D19346" s="26">
        <v>0.15559999999999999</v>
      </c>
      <c r="E19346" s="26">
        <v>2.2200000000000001E-2</v>
      </c>
      <c r="H19346">
        <v>45</v>
      </c>
    </row>
    <row r="19347" spans="1:8" x14ac:dyDescent="0.35">
      <c r="A19347" t="s">
        <v>227</v>
      </c>
      <c r="B19347" t="s">
        <v>253</v>
      </c>
      <c r="C19347" s="26">
        <v>0.64710000000000001</v>
      </c>
      <c r="D19347" s="26">
        <v>0.29409999999999997</v>
      </c>
      <c r="E19347" s="26">
        <v>5.8799999999999998E-2</v>
      </c>
      <c r="H19347">
        <v>34</v>
      </c>
    </row>
    <row r="19348" spans="1:8" x14ac:dyDescent="0.35">
      <c r="A19348" t="s">
        <v>227</v>
      </c>
      <c r="B19348" t="s">
        <v>251</v>
      </c>
      <c r="C19348" s="26">
        <v>0.71950000000000003</v>
      </c>
      <c r="D19348" s="26">
        <v>0.24390000000000001</v>
      </c>
      <c r="E19348" s="26">
        <v>2.4400000000000002E-2</v>
      </c>
      <c r="F19348" s="26">
        <v>1.2200000000000001E-2</v>
      </c>
      <c r="H19348">
        <v>82</v>
      </c>
    </row>
    <row r="19349" spans="1:8" x14ac:dyDescent="0.35">
      <c r="A19349" t="s">
        <v>228</v>
      </c>
      <c r="B19349" t="s">
        <v>252</v>
      </c>
      <c r="C19349" s="26">
        <v>0.67559999999999998</v>
      </c>
      <c r="D19349" s="26">
        <v>0.28689999999999999</v>
      </c>
      <c r="E19349" s="26">
        <v>3.61E-2</v>
      </c>
      <c r="G19349" s="26">
        <v>1.2999999999999999E-3</v>
      </c>
      <c r="H19349">
        <v>341</v>
      </c>
    </row>
    <row r="19350" spans="1:8" x14ac:dyDescent="0.35">
      <c r="A19350" t="s">
        <v>228</v>
      </c>
      <c r="B19350" t="s">
        <v>253</v>
      </c>
      <c r="C19350" s="26">
        <v>0.54569999999999996</v>
      </c>
      <c r="D19350" s="26">
        <v>0.41220000000000001</v>
      </c>
      <c r="E19350" s="26">
        <v>4.2099999999999999E-2</v>
      </c>
      <c r="H19350">
        <v>222</v>
      </c>
    </row>
    <row r="19351" spans="1:8" x14ac:dyDescent="0.35">
      <c r="A19351" t="s">
        <v>228</v>
      </c>
      <c r="B19351" t="s">
        <v>251</v>
      </c>
      <c r="C19351" s="26">
        <v>0.6966</v>
      </c>
      <c r="D19351" s="26">
        <v>0.29060000000000002</v>
      </c>
      <c r="E19351" s="26">
        <v>1.29E-2</v>
      </c>
      <c r="H19351">
        <v>467</v>
      </c>
    </row>
    <row r="19352" spans="1:8" x14ac:dyDescent="0.35">
      <c r="A19352" t="s">
        <v>229</v>
      </c>
      <c r="B19352" t="s">
        <v>252</v>
      </c>
      <c r="C19352" s="26">
        <v>0.67559999999999998</v>
      </c>
      <c r="D19352" s="26">
        <v>0.30559999999999998</v>
      </c>
      <c r="E19352" s="26">
        <v>1.8800000000000001E-2</v>
      </c>
      <c r="H19352">
        <v>197</v>
      </c>
    </row>
    <row r="19353" spans="1:8" x14ac:dyDescent="0.35">
      <c r="A19353" t="s">
        <v>229</v>
      </c>
      <c r="B19353" t="s">
        <v>253</v>
      </c>
      <c r="C19353" s="26">
        <v>0.5171</v>
      </c>
      <c r="D19353" s="26">
        <v>0.4299</v>
      </c>
      <c r="E19353" s="26">
        <v>4.9500000000000002E-2</v>
      </c>
      <c r="G19353" s="26">
        <v>3.5000000000000001E-3</v>
      </c>
      <c r="H19353">
        <v>144</v>
      </c>
    </row>
    <row r="19354" spans="1:8" x14ac:dyDescent="0.35">
      <c r="A19354" t="s">
        <v>229</v>
      </c>
      <c r="B19354" t="s">
        <v>251</v>
      </c>
      <c r="C19354" s="26">
        <v>0.64100000000000001</v>
      </c>
      <c r="D19354" s="26">
        <v>0.32950000000000002</v>
      </c>
      <c r="E19354" s="26">
        <v>2.8799999999999999E-2</v>
      </c>
      <c r="F19354" s="26">
        <v>6.9999999999999999E-4</v>
      </c>
      <c r="H19354">
        <v>548</v>
      </c>
    </row>
    <row r="19355" spans="1:8" x14ac:dyDescent="0.35">
      <c r="A19355" t="s">
        <v>230</v>
      </c>
      <c r="B19355" t="s">
        <v>252</v>
      </c>
      <c r="C19355" s="26">
        <v>0.65110000000000001</v>
      </c>
      <c r="D19355" s="26">
        <v>0.32140000000000002</v>
      </c>
      <c r="E19355" s="26">
        <v>2.7400000000000001E-2</v>
      </c>
      <c r="H19355">
        <v>159</v>
      </c>
    </row>
    <row r="19356" spans="1:8" x14ac:dyDescent="0.35">
      <c r="A19356" t="s">
        <v>230</v>
      </c>
      <c r="B19356" t="s">
        <v>253</v>
      </c>
      <c r="C19356" s="26">
        <v>0.56810000000000005</v>
      </c>
      <c r="D19356" s="26">
        <v>0.36399999999999999</v>
      </c>
      <c r="E19356" s="26">
        <v>6.7900000000000002E-2</v>
      </c>
      <c r="H19356">
        <v>109</v>
      </c>
    </row>
    <row r="19357" spans="1:8" x14ac:dyDescent="0.35">
      <c r="A19357" t="s">
        <v>230</v>
      </c>
      <c r="B19357" t="s">
        <v>251</v>
      </c>
      <c r="C19357" s="26">
        <v>0.66139999999999999</v>
      </c>
      <c r="D19357" s="26">
        <v>0.31130000000000002</v>
      </c>
      <c r="E19357" s="26">
        <v>2.1499999999999998E-2</v>
      </c>
      <c r="F19357" s="26">
        <v>5.4000000000000003E-3</v>
      </c>
      <c r="G19357" s="26">
        <v>5.0000000000000001E-4</v>
      </c>
      <c r="H19357">
        <v>291</v>
      </c>
    </row>
    <row r="19358" spans="1:8" x14ac:dyDescent="0.35">
      <c r="A19358" t="s">
        <v>231</v>
      </c>
      <c r="B19358" t="s">
        <v>252</v>
      </c>
      <c r="C19358" s="26">
        <v>0.81630000000000003</v>
      </c>
      <c r="D19358" s="26">
        <v>0.1429</v>
      </c>
      <c r="E19358" s="26">
        <v>4.0800000000000003E-2</v>
      </c>
      <c r="H19358">
        <v>49</v>
      </c>
    </row>
    <row r="19359" spans="1:8" x14ac:dyDescent="0.35">
      <c r="A19359" t="s">
        <v>231</v>
      </c>
      <c r="B19359" t="s">
        <v>253</v>
      </c>
      <c r="C19359" s="26">
        <v>0.63329999999999997</v>
      </c>
      <c r="D19359" s="26">
        <v>0.36670000000000003</v>
      </c>
      <c r="H19359">
        <v>30</v>
      </c>
    </row>
    <row r="19360" spans="1:8" x14ac:dyDescent="0.35">
      <c r="A19360" t="s">
        <v>231</v>
      </c>
      <c r="B19360" t="s">
        <v>251</v>
      </c>
      <c r="C19360" s="26">
        <v>0.65880000000000005</v>
      </c>
      <c r="D19360" s="26">
        <v>0.30590000000000001</v>
      </c>
      <c r="E19360" s="26">
        <v>1.18E-2</v>
      </c>
      <c r="F19360" s="26">
        <v>2.35E-2</v>
      </c>
      <c r="H19360">
        <v>85</v>
      </c>
    </row>
    <row r="19361" spans="1:8" x14ac:dyDescent="0.35">
      <c r="A19361" t="s">
        <v>232</v>
      </c>
      <c r="B19361" t="s">
        <v>232</v>
      </c>
      <c r="C19361" s="26">
        <v>0.67049999999999998</v>
      </c>
      <c r="D19361" s="26">
        <v>0.2979</v>
      </c>
      <c r="E19361" s="26">
        <v>2.6499999999999999E-2</v>
      </c>
      <c r="F19361" s="26">
        <v>4.7000000000000002E-3</v>
      </c>
      <c r="G19361" s="26">
        <v>2.9999999999999997E-4</v>
      </c>
      <c r="H19361">
        <v>2803</v>
      </c>
    </row>
    <row r="19363" spans="1:8" x14ac:dyDescent="0.35">
      <c r="A19363" s="1" t="s">
        <v>1936</v>
      </c>
    </row>
    <row r="19364" spans="1:8" x14ac:dyDescent="0.35">
      <c r="A19364" t="s">
        <v>219</v>
      </c>
      <c r="B19364" t="s">
        <v>305</v>
      </c>
      <c r="C19364" t="s">
        <v>1927</v>
      </c>
      <c r="D19364" t="s">
        <v>1928</v>
      </c>
      <c r="E19364" t="s">
        <v>1929</v>
      </c>
      <c r="F19364" t="s">
        <v>281</v>
      </c>
      <c r="G19364" t="s">
        <v>286</v>
      </c>
      <c r="H19364" t="s">
        <v>226</v>
      </c>
    </row>
    <row r="19365" spans="1:8" x14ac:dyDescent="0.35">
      <c r="A19365" t="s">
        <v>227</v>
      </c>
      <c r="B19365" t="s">
        <v>249</v>
      </c>
      <c r="C19365" s="26">
        <v>0.63639999999999997</v>
      </c>
      <c r="D19365" s="26">
        <v>0.2727</v>
      </c>
      <c r="E19365" s="26">
        <v>6.8199999999999997E-2</v>
      </c>
      <c r="F19365" s="26">
        <v>2.2700000000000001E-2</v>
      </c>
      <c r="H19365">
        <v>44</v>
      </c>
    </row>
    <row r="19366" spans="1:8" x14ac:dyDescent="0.35">
      <c r="A19366" t="s">
        <v>227</v>
      </c>
      <c r="B19366" t="s">
        <v>248</v>
      </c>
      <c r="C19366" s="26">
        <v>0.76919999999999999</v>
      </c>
      <c r="D19366" s="26">
        <v>0.2137</v>
      </c>
      <c r="E19366" s="26">
        <v>1.7100000000000001E-2</v>
      </c>
      <c r="H19366">
        <v>117</v>
      </c>
    </row>
    <row r="19367" spans="1:8" x14ac:dyDescent="0.35">
      <c r="A19367" t="s">
        <v>228</v>
      </c>
      <c r="B19367" t="s">
        <v>249</v>
      </c>
      <c r="C19367" s="26">
        <v>0.64600000000000002</v>
      </c>
      <c r="D19367" s="26">
        <v>0.34060000000000001</v>
      </c>
      <c r="E19367" s="26">
        <v>1.34E-2</v>
      </c>
      <c r="H19367">
        <v>274</v>
      </c>
    </row>
    <row r="19368" spans="1:8" x14ac:dyDescent="0.35">
      <c r="A19368" t="s">
        <v>228</v>
      </c>
      <c r="B19368" t="s">
        <v>248</v>
      </c>
      <c r="C19368" s="26">
        <v>0.66449999999999998</v>
      </c>
      <c r="D19368" s="26">
        <v>0.30309999999999998</v>
      </c>
      <c r="E19368" s="26">
        <v>3.1800000000000002E-2</v>
      </c>
      <c r="G19368" s="26">
        <v>5.9999999999999995E-4</v>
      </c>
      <c r="H19368">
        <v>756</v>
      </c>
    </row>
    <row r="19369" spans="1:8" x14ac:dyDescent="0.35">
      <c r="A19369" t="s">
        <v>229</v>
      </c>
      <c r="B19369" t="s">
        <v>249</v>
      </c>
      <c r="C19369" s="26">
        <v>0.59299999999999997</v>
      </c>
      <c r="D19369" s="26">
        <v>0.36109999999999998</v>
      </c>
      <c r="E19369" s="26">
        <v>4.5900000000000003E-2</v>
      </c>
      <c r="H19369">
        <v>258</v>
      </c>
    </row>
    <row r="19370" spans="1:8" x14ac:dyDescent="0.35">
      <c r="A19370" t="s">
        <v>229</v>
      </c>
      <c r="B19370" t="s">
        <v>248</v>
      </c>
      <c r="C19370" s="26">
        <v>0.64100000000000001</v>
      </c>
      <c r="D19370" s="26">
        <v>0.33450000000000002</v>
      </c>
      <c r="E19370" s="26">
        <v>2.29E-2</v>
      </c>
      <c r="F19370" s="26">
        <v>5.9999999999999995E-4</v>
      </c>
      <c r="G19370" s="26">
        <v>1E-3</v>
      </c>
      <c r="H19370">
        <v>631</v>
      </c>
    </row>
    <row r="19371" spans="1:8" x14ac:dyDescent="0.35">
      <c r="A19371" t="s">
        <v>230</v>
      </c>
      <c r="B19371" t="s">
        <v>249</v>
      </c>
      <c r="C19371" s="26">
        <v>0.60319999999999996</v>
      </c>
      <c r="D19371" s="26">
        <v>0.36570000000000003</v>
      </c>
      <c r="E19371" s="26">
        <v>2.4899999999999999E-2</v>
      </c>
      <c r="F19371" s="26">
        <v>5.4000000000000003E-3</v>
      </c>
      <c r="G19371" s="26">
        <v>8.0000000000000004E-4</v>
      </c>
      <c r="H19371">
        <v>170</v>
      </c>
    </row>
    <row r="19372" spans="1:8" x14ac:dyDescent="0.35">
      <c r="A19372" t="s">
        <v>230</v>
      </c>
      <c r="B19372" t="s">
        <v>248</v>
      </c>
      <c r="C19372" s="26">
        <v>0.66049999999999998</v>
      </c>
      <c r="D19372" s="26">
        <v>0.30249999999999999</v>
      </c>
      <c r="E19372" s="26">
        <v>3.5299999999999998E-2</v>
      </c>
      <c r="F19372" s="26">
        <v>1.6999999999999999E-3</v>
      </c>
      <c r="H19372">
        <v>389</v>
      </c>
    </row>
    <row r="19373" spans="1:8" x14ac:dyDescent="0.35">
      <c r="A19373" t="s">
        <v>231</v>
      </c>
      <c r="B19373" t="s">
        <v>249</v>
      </c>
      <c r="C19373" s="26">
        <v>0.6</v>
      </c>
      <c r="D19373" s="26">
        <v>0.4</v>
      </c>
      <c r="H19373">
        <v>35</v>
      </c>
    </row>
    <row r="19374" spans="1:8" x14ac:dyDescent="0.35">
      <c r="A19374" t="s">
        <v>231</v>
      </c>
      <c r="B19374" t="s">
        <v>248</v>
      </c>
      <c r="C19374" s="26">
        <v>0.72870000000000001</v>
      </c>
      <c r="D19374" s="26">
        <v>0.2326</v>
      </c>
      <c r="E19374" s="26">
        <v>2.3300000000000001E-2</v>
      </c>
      <c r="F19374" s="26">
        <v>1.55E-2</v>
      </c>
      <c r="H19374">
        <v>129</v>
      </c>
    </row>
    <row r="19375" spans="1:8" x14ac:dyDescent="0.35">
      <c r="A19375" t="s">
        <v>232</v>
      </c>
      <c r="B19375" t="s">
        <v>232</v>
      </c>
      <c r="C19375" s="26">
        <v>0.67049999999999998</v>
      </c>
      <c r="D19375" s="26">
        <v>0.2979</v>
      </c>
      <c r="E19375" s="26">
        <v>2.6499999999999999E-2</v>
      </c>
      <c r="F19375" s="26">
        <v>4.7000000000000002E-3</v>
      </c>
      <c r="G19375" s="26">
        <v>2.9999999999999997E-4</v>
      </c>
      <c r="H19375">
        <v>2803</v>
      </c>
    </row>
    <row r="19377" spans="1:8" x14ac:dyDescent="0.35">
      <c r="A19377" s="1" t="s">
        <v>1937</v>
      </c>
    </row>
    <row r="19378" spans="1:8" x14ac:dyDescent="0.35">
      <c r="A19378" t="s">
        <v>219</v>
      </c>
      <c r="B19378" t="s">
        <v>305</v>
      </c>
      <c r="C19378" t="s">
        <v>1927</v>
      </c>
      <c r="D19378" t="s">
        <v>1928</v>
      </c>
      <c r="E19378" t="s">
        <v>1929</v>
      </c>
      <c r="F19378" t="s">
        <v>281</v>
      </c>
      <c r="G19378" t="s">
        <v>286</v>
      </c>
      <c r="H19378" t="s">
        <v>226</v>
      </c>
    </row>
    <row r="19379" spans="1:8" x14ac:dyDescent="0.35">
      <c r="A19379" s="27" t="s">
        <v>227</v>
      </c>
      <c r="B19379" s="27" t="s">
        <v>263</v>
      </c>
      <c r="C19379" s="28">
        <v>0.33329999999999999</v>
      </c>
      <c r="D19379" s="28">
        <v>0.66669999999999996</v>
      </c>
      <c r="E19379" s="29"/>
      <c r="F19379" s="29"/>
      <c r="G19379" s="29"/>
      <c r="H19379" s="29" t="s">
        <v>315</v>
      </c>
    </row>
    <row r="19380" spans="1:8" x14ac:dyDescent="0.35">
      <c r="A19380" t="s">
        <v>227</v>
      </c>
      <c r="B19380" t="s">
        <v>261</v>
      </c>
      <c r="C19380" s="26">
        <v>0.78790000000000004</v>
      </c>
      <c r="D19380" s="26">
        <v>0.21210000000000001</v>
      </c>
      <c r="H19380">
        <v>33</v>
      </c>
    </row>
    <row r="19381" spans="1:8" x14ac:dyDescent="0.35">
      <c r="A19381" s="27" t="s">
        <v>227</v>
      </c>
      <c r="B19381" s="27" t="s">
        <v>262</v>
      </c>
      <c r="C19381" s="28">
        <v>0.66669999999999996</v>
      </c>
      <c r="D19381" s="28">
        <v>0.33329999999999999</v>
      </c>
      <c r="E19381" s="29"/>
      <c r="F19381" s="29"/>
      <c r="G19381" s="29"/>
      <c r="H19381" s="29" t="s">
        <v>315</v>
      </c>
    </row>
    <row r="19382" spans="1:8" x14ac:dyDescent="0.35">
      <c r="A19382" t="s">
        <v>227</v>
      </c>
      <c r="B19382" t="s">
        <v>260</v>
      </c>
      <c r="C19382" s="26">
        <v>0.72950000000000004</v>
      </c>
      <c r="D19382" s="26">
        <v>0.2213</v>
      </c>
      <c r="E19382" s="26">
        <v>4.1000000000000002E-2</v>
      </c>
      <c r="F19382" s="26">
        <v>8.2000000000000007E-3</v>
      </c>
      <c r="H19382">
        <v>122</v>
      </c>
    </row>
    <row r="19383" spans="1:8" x14ac:dyDescent="0.35">
      <c r="A19383" t="s">
        <v>228</v>
      </c>
      <c r="B19383" t="s">
        <v>261</v>
      </c>
      <c r="C19383" s="26">
        <v>0.68889999999999996</v>
      </c>
      <c r="D19383" s="26">
        <v>0.28949999999999998</v>
      </c>
      <c r="E19383" s="26">
        <v>2.1600000000000001E-2</v>
      </c>
      <c r="H19383">
        <v>192</v>
      </c>
    </row>
    <row r="19384" spans="1:8" x14ac:dyDescent="0.35">
      <c r="A19384" s="27" t="s">
        <v>228</v>
      </c>
      <c r="B19384" s="27" t="s">
        <v>263</v>
      </c>
      <c r="C19384" s="28">
        <v>0.626</v>
      </c>
      <c r="D19384" s="28">
        <v>0.374</v>
      </c>
      <c r="E19384" s="29"/>
      <c r="F19384" s="29"/>
      <c r="G19384" s="29"/>
      <c r="H19384" s="29" t="s">
        <v>310</v>
      </c>
    </row>
    <row r="19385" spans="1:8" x14ac:dyDescent="0.35">
      <c r="A19385" s="27" t="s">
        <v>228</v>
      </c>
      <c r="B19385" s="27" t="s">
        <v>236</v>
      </c>
      <c r="C19385" s="29"/>
      <c r="D19385" s="28">
        <v>0.92210000000000003</v>
      </c>
      <c r="E19385" s="28">
        <v>7.7899999999999997E-2</v>
      </c>
      <c r="F19385" s="29"/>
      <c r="G19385" s="29"/>
      <c r="H19385" s="29" t="s">
        <v>335</v>
      </c>
    </row>
    <row r="19386" spans="1:8" x14ac:dyDescent="0.35">
      <c r="A19386" t="s">
        <v>228</v>
      </c>
      <c r="B19386" t="s">
        <v>262</v>
      </c>
      <c r="C19386" s="26">
        <v>0.60070000000000001</v>
      </c>
      <c r="D19386" s="26">
        <v>0.38450000000000001</v>
      </c>
      <c r="E19386" s="26">
        <v>1.23E-2</v>
      </c>
      <c r="G19386" s="26">
        <v>2.5000000000000001E-3</v>
      </c>
      <c r="H19386">
        <v>200</v>
      </c>
    </row>
    <row r="19387" spans="1:8" x14ac:dyDescent="0.35">
      <c r="A19387" t="s">
        <v>228</v>
      </c>
      <c r="B19387" t="s">
        <v>260</v>
      </c>
      <c r="C19387" s="26">
        <v>0.67290000000000005</v>
      </c>
      <c r="D19387" s="26">
        <v>0.29530000000000001</v>
      </c>
      <c r="E19387" s="26">
        <v>3.1800000000000002E-2</v>
      </c>
      <c r="H19387">
        <v>608</v>
      </c>
    </row>
    <row r="19388" spans="1:8" x14ac:dyDescent="0.35">
      <c r="A19388" s="27" t="s">
        <v>229</v>
      </c>
      <c r="B19388" s="27" t="s">
        <v>263</v>
      </c>
      <c r="C19388" s="28">
        <v>0.38569999999999999</v>
      </c>
      <c r="D19388" s="28">
        <v>0.48420000000000002</v>
      </c>
      <c r="E19388" s="28">
        <v>0.13009999999999999</v>
      </c>
      <c r="F19388" s="29"/>
      <c r="G19388" s="29"/>
      <c r="H19388" s="29" t="s">
        <v>379</v>
      </c>
    </row>
    <row r="19389" spans="1:8" x14ac:dyDescent="0.35">
      <c r="A19389" t="s">
        <v>229</v>
      </c>
      <c r="B19389" t="s">
        <v>262</v>
      </c>
      <c r="C19389" s="26">
        <v>0.60189999999999999</v>
      </c>
      <c r="D19389" s="26">
        <v>0.37459999999999999</v>
      </c>
      <c r="E19389" s="26">
        <v>2.35E-2</v>
      </c>
      <c r="H19389">
        <v>186</v>
      </c>
    </row>
    <row r="19390" spans="1:8" x14ac:dyDescent="0.35">
      <c r="A19390" t="s">
        <v>229</v>
      </c>
      <c r="B19390" t="s">
        <v>261</v>
      </c>
      <c r="C19390" s="26">
        <v>0.68510000000000004</v>
      </c>
      <c r="D19390" s="26">
        <v>0.27489999999999998</v>
      </c>
      <c r="E19390" s="26">
        <v>4.0099999999999997E-2</v>
      </c>
      <c r="H19390">
        <v>95</v>
      </c>
    </row>
    <row r="19391" spans="1:8" x14ac:dyDescent="0.35">
      <c r="A19391" s="27" t="s">
        <v>229</v>
      </c>
      <c r="B19391" s="27" t="s">
        <v>236</v>
      </c>
      <c r="C19391" s="29"/>
      <c r="D19391" s="28">
        <v>1</v>
      </c>
      <c r="E19391" s="29"/>
      <c r="F19391" s="29"/>
      <c r="G19391" s="29"/>
      <c r="H19391" s="29" t="s">
        <v>331</v>
      </c>
    </row>
    <row r="19392" spans="1:8" x14ac:dyDescent="0.35">
      <c r="A19392" t="s">
        <v>229</v>
      </c>
      <c r="B19392" t="s">
        <v>260</v>
      </c>
      <c r="C19392" s="26">
        <v>0.62929999999999997</v>
      </c>
      <c r="D19392" s="26">
        <v>0.34060000000000001</v>
      </c>
      <c r="E19392" s="26">
        <v>2.81E-2</v>
      </c>
      <c r="F19392" s="26">
        <v>8.0000000000000004E-4</v>
      </c>
      <c r="G19392" s="26">
        <v>1.1999999999999999E-3</v>
      </c>
      <c r="H19392">
        <v>593</v>
      </c>
    </row>
    <row r="19393" spans="1:8" x14ac:dyDescent="0.35">
      <c r="A19393" s="27" t="s">
        <v>230</v>
      </c>
      <c r="B19393" s="27" t="s">
        <v>236</v>
      </c>
      <c r="C19393" s="29"/>
      <c r="D19393" s="28">
        <v>0.87809999999999999</v>
      </c>
      <c r="E19393" s="28">
        <v>0.12189999999999999</v>
      </c>
      <c r="F19393" s="29"/>
      <c r="G19393" s="29"/>
      <c r="H19393" s="29" t="s">
        <v>337</v>
      </c>
    </row>
    <row r="19394" spans="1:8" x14ac:dyDescent="0.35">
      <c r="A19394" t="s">
        <v>230</v>
      </c>
      <c r="B19394" t="s">
        <v>262</v>
      </c>
      <c r="C19394" s="26">
        <v>0.62460000000000004</v>
      </c>
      <c r="D19394" s="26">
        <v>0.34200000000000003</v>
      </c>
      <c r="E19394" s="26">
        <v>2.5700000000000001E-2</v>
      </c>
      <c r="F19394" s="26">
        <v>7.7000000000000002E-3</v>
      </c>
      <c r="H19394">
        <v>122</v>
      </c>
    </row>
    <row r="19395" spans="1:8" x14ac:dyDescent="0.35">
      <c r="A19395" t="s">
        <v>230</v>
      </c>
      <c r="B19395" t="s">
        <v>261</v>
      </c>
      <c r="C19395" s="26">
        <v>0.7782</v>
      </c>
      <c r="D19395" s="26">
        <v>0.2019</v>
      </c>
      <c r="E19395" s="26">
        <v>6.1999999999999998E-3</v>
      </c>
      <c r="F19395" s="26">
        <v>1.37E-2</v>
      </c>
      <c r="H19395">
        <v>56</v>
      </c>
    </row>
    <row r="19396" spans="1:8" x14ac:dyDescent="0.35">
      <c r="A19396" s="27" t="s">
        <v>230</v>
      </c>
      <c r="B19396" s="27" t="s">
        <v>263</v>
      </c>
      <c r="C19396" s="28">
        <v>0.1981</v>
      </c>
      <c r="D19396" s="28">
        <v>0.78520000000000001</v>
      </c>
      <c r="E19396" s="28">
        <v>1.6799999999999999E-2</v>
      </c>
      <c r="F19396" s="29"/>
      <c r="G19396" s="29"/>
      <c r="H19396" s="29" t="s">
        <v>312</v>
      </c>
    </row>
    <row r="19397" spans="1:8" x14ac:dyDescent="0.35">
      <c r="A19397" t="s">
        <v>230</v>
      </c>
      <c r="B19397" t="s">
        <v>260</v>
      </c>
      <c r="C19397" s="26">
        <v>0.63590000000000002</v>
      </c>
      <c r="D19397" s="26">
        <v>0.32629999999999998</v>
      </c>
      <c r="E19397" s="26">
        <v>3.73E-2</v>
      </c>
      <c r="G19397" s="26">
        <v>4.0000000000000002E-4</v>
      </c>
      <c r="H19397">
        <v>352</v>
      </c>
    </row>
    <row r="19398" spans="1:8" x14ac:dyDescent="0.35">
      <c r="A19398" s="27" t="s">
        <v>231</v>
      </c>
      <c r="B19398" s="27" t="s">
        <v>263</v>
      </c>
      <c r="C19398" s="28">
        <v>1</v>
      </c>
      <c r="D19398" s="29"/>
      <c r="E19398" s="29"/>
      <c r="F19398" s="29"/>
      <c r="G19398" s="29"/>
      <c r="H19398" s="29" t="s">
        <v>314</v>
      </c>
    </row>
    <row r="19399" spans="1:8" x14ac:dyDescent="0.35">
      <c r="A19399" t="s">
        <v>231</v>
      </c>
      <c r="B19399" t="s">
        <v>260</v>
      </c>
      <c r="C19399" s="26">
        <v>0.6613</v>
      </c>
      <c r="D19399" s="26">
        <v>0.30649999999999999</v>
      </c>
      <c r="E19399" s="26">
        <v>1.61E-2</v>
      </c>
      <c r="F19399" s="26">
        <v>1.61E-2</v>
      </c>
      <c r="H19399">
        <v>124</v>
      </c>
    </row>
    <row r="19400" spans="1:8" x14ac:dyDescent="0.35">
      <c r="A19400" s="27" t="s">
        <v>231</v>
      </c>
      <c r="B19400" s="27" t="s">
        <v>261</v>
      </c>
      <c r="C19400" s="28">
        <v>0.85189999999999999</v>
      </c>
      <c r="D19400" s="28">
        <v>0.1111</v>
      </c>
      <c r="E19400" s="28">
        <v>3.6999999999999998E-2</v>
      </c>
      <c r="F19400" s="29"/>
      <c r="G19400" s="29"/>
      <c r="H19400" s="29" t="s">
        <v>338</v>
      </c>
    </row>
    <row r="19401" spans="1:8" x14ac:dyDescent="0.35">
      <c r="A19401" s="27" t="s">
        <v>231</v>
      </c>
      <c r="B19401" s="27" t="s">
        <v>262</v>
      </c>
      <c r="C19401" s="28">
        <v>0.72729999999999995</v>
      </c>
      <c r="D19401" s="28">
        <v>0.2727</v>
      </c>
      <c r="E19401" s="29"/>
      <c r="F19401" s="29"/>
      <c r="G19401" s="29"/>
      <c r="H19401" s="29" t="s">
        <v>352</v>
      </c>
    </row>
    <row r="19402" spans="1:8" x14ac:dyDescent="0.35">
      <c r="A19402" t="s">
        <v>232</v>
      </c>
      <c r="B19402" t="s">
        <v>232</v>
      </c>
      <c r="C19402" s="26">
        <v>0.67049999999999998</v>
      </c>
      <c r="D19402" s="26">
        <v>0.2979</v>
      </c>
      <c r="E19402" s="26">
        <v>2.6499999999999999E-2</v>
      </c>
      <c r="F19402" s="26">
        <v>4.7000000000000002E-3</v>
      </c>
      <c r="G19402" s="26">
        <v>2.9999999999999997E-4</v>
      </c>
      <c r="H19402">
        <v>2803</v>
      </c>
    </row>
    <row r="19404" spans="1:8" x14ac:dyDescent="0.35">
      <c r="A19404" s="1" t="s">
        <v>1938</v>
      </c>
    </row>
    <row r="19405" spans="1:8" x14ac:dyDescent="0.35">
      <c r="A19405" t="s">
        <v>219</v>
      </c>
      <c r="B19405" t="s">
        <v>305</v>
      </c>
      <c r="C19405" t="s">
        <v>1927</v>
      </c>
      <c r="D19405" t="s">
        <v>1928</v>
      </c>
      <c r="E19405" t="s">
        <v>1929</v>
      </c>
      <c r="F19405" t="s">
        <v>281</v>
      </c>
      <c r="G19405" t="s">
        <v>286</v>
      </c>
      <c r="H19405" t="s">
        <v>226</v>
      </c>
    </row>
    <row r="19406" spans="1:8" x14ac:dyDescent="0.35">
      <c r="A19406" t="s">
        <v>227</v>
      </c>
      <c r="B19406" t="s">
        <v>368</v>
      </c>
      <c r="C19406" s="26">
        <v>0.78790000000000004</v>
      </c>
      <c r="D19406" s="26">
        <v>0.21210000000000001</v>
      </c>
      <c r="H19406">
        <v>33</v>
      </c>
    </row>
    <row r="19407" spans="1:8" x14ac:dyDescent="0.35">
      <c r="A19407" t="s">
        <v>227</v>
      </c>
      <c r="B19407" t="s">
        <v>369</v>
      </c>
      <c r="C19407" s="26">
        <v>0.71879999999999999</v>
      </c>
      <c r="D19407" s="26">
        <v>0.2344</v>
      </c>
      <c r="E19407" s="26">
        <v>3.9100000000000003E-2</v>
      </c>
      <c r="F19407" s="26">
        <v>7.7999999999999996E-3</v>
      </c>
      <c r="H19407">
        <v>128</v>
      </c>
    </row>
    <row r="19408" spans="1:8" x14ac:dyDescent="0.35">
      <c r="A19408" t="s">
        <v>228</v>
      </c>
      <c r="B19408" t="s">
        <v>368</v>
      </c>
      <c r="C19408" s="26">
        <v>0.68889999999999996</v>
      </c>
      <c r="D19408" s="26">
        <v>0.28949999999999998</v>
      </c>
      <c r="E19408" s="26">
        <v>2.1600000000000001E-2</v>
      </c>
      <c r="H19408">
        <v>192</v>
      </c>
    </row>
    <row r="19409" spans="1:8" x14ac:dyDescent="0.35">
      <c r="A19409" t="s">
        <v>228</v>
      </c>
      <c r="B19409" t="s">
        <v>369</v>
      </c>
      <c r="C19409" s="26">
        <v>0.65169999999999995</v>
      </c>
      <c r="D19409" s="26">
        <v>0.32029999999999997</v>
      </c>
      <c r="E19409" s="26">
        <v>2.7400000000000001E-2</v>
      </c>
      <c r="G19409" s="26">
        <v>5.0000000000000001E-4</v>
      </c>
      <c r="H19409">
        <v>838</v>
      </c>
    </row>
    <row r="19410" spans="1:8" x14ac:dyDescent="0.35">
      <c r="A19410" t="s">
        <v>229</v>
      </c>
      <c r="B19410" t="s">
        <v>368</v>
      </c>
      <c r="C19410" s="26">
        <v>0.68510000000000004</v>
      </c>
      <c r="D19410" s="26">
        <v>0.27489999999999998</v>
      </c>
      <c r="E19410" s="26">
        <v>4.0099999999999997E-2</v>
      </c>
      <c r="H19410">
        <v>95</v>
      </c>
    </row>
    <row r="19411" spans="1:8" x14ac:dyDescent="0.35">
      <c r="A19411" t="s">
        <v>229</v>
      </c>
      <c r="B19411" t="s">
        <v>369</v>
      </c>
      <c r="C19411" s="26">
        <v>0.61470000000000002</v>
      </c>
      <c r="D19411" s="26">
        <v>0.35510000000000003</v>
      </c>
      <c r="E19411" s="26">
        <v>2.8899999999999999E-2</v>
      </c>
      <c r="F19411" s="26">
        <v>5.0000000000000001E-4</v>
      </c>
      <c r="G19411" s="26">
        <v>8.0000000000000004E-4</v>
      </c>
      <c r="H19411">
        <v>794</v>
      </c>
    </row>
    <row r="19412" spans="1:8" x14ac:dyDescent="0.35">
      <c r="A19412" t="s">
        <v>230</v>
      </c>
      <c r="B19412" t="s">
        <v>368</v>
      </c>
      <c r="C19412" s="26">
        <v>0.7782</v>
      </c>
      <c r="D19412" s="26">
        <v>0.2019</v>
      </c>
      <c r="E19412" s="26">
        <v>6.1999999999999998E-3</v>
      </c>
      <c r="F19412" s="26">
        <v>1.37E-2</v>
      </c>
      <c r="H19412">
        <v>56</v>
      </c>
    </row>
    <row r="19413" spans="1:8" x14ac:dyDescent="0.35">
      <c r="A19413" t="s">
        <v>230</v>
      </c>
      <c r="B19413" t="s">
        <v>369</v>
      </c>
      <c r="C19413" s="26">
        <v>0.62029999999999996</v>
      </c>
      <c r="D19413" s="26">
        <v>0.34239999999999998</v>
      </c>
      <c r="E19413" s="26">
        <v>3.5700000000000003E-2</v>
      </c>
      <c r="F19413" s="26">
        <v>1.2999999999999999E-3</v>
      </c>
      <c r="G19413" s="26">
        <v>2.9999999999999997E-4</v>
      </c>
      <c r="H19413">
        <v>503</v>
      </c>
    </row>
    <row r="19414" spans="1:8" x14ac:dyDescent="0.35">
      <c r="A19414" s="27" t="s">
        <v>231</v>
      </c>
      <c r="B19414" s="27" t="s">
        <v>368</v>
      </c>
      <c r="C19414" s="28">
        <v>0.85189999999999999</v>
      </c>
      <c r="D19414" s="28">
        <v>0.1111</v>
      </c>
      <c r="E19414" s="28">
        <v>3.6999999999999998E-2</v>
      </c>
      <c r="F19414" s="29"/>
      <c r="G19414" s="29"/>
      <c r="H19414" s="29" t="s">
        <v>338</v>
      </c>
    </row>
    <row r="19415" spans="1:8" x14ac:dyDescent="0.35">
      <c r="A19415" t="s">
        <v>231</v>
      </c>
      <c r="B19415" t="s">
        <v>369</v>
      </c>
      <c r="C19415" s="26">
        <v>0.67149999999999999</v>
      </c>
      <c r="D19415" s="26">
        <v>0.29930000000000001</v>
      </c>
      <c r="E19415" s="26">
        <v>1.46E-2</v>
      </c>
      <c r="F19415" s="26">
        <v>1.46E-2</v>
      </c>
      <c r="H19415">
        <v>137</v>
      </c>
    </row>
    <row r="19416" spans="1:8" x14ac:dyDescent="0.35">
      <c r="A19416" t="s">
        <v>232</v>
      </c>
      <c r="B19416" t="s">
        <v>232</v>
      </c>
      <c r="C19416" s="26">
        <v>0.67049999999999998</v>
      </c>
      <c r="D19416" s="26">
        <v>0.2979</v>
      </c>
      <c r="E19416" s="26">
        <v>2.6499999999999999E-2</v>
      </c>
      <c r="F19416" s="26">
        <v>4.7000000000000002E-3</v>
      </c>
      <c r="G19416" s="26">
        <v>2.9999999999999997E-4</v>
      </c>
      <c r="H19416">
        <v>2803</v>
      </c>
    </row>
    <row r="19418" spans="1:8" x14ac:dyDescent="0.35">
      <c r="A19418" s="1" t="s">
        <v>1939</v>
      </c>
    </row>
    <row r="19419" spans="1:8" x14ac:dyDescent="0.35">
      <c r="A19419" t="s">
        <v>219</v>
      </c>
      <c r="B19419" t="s">
        <v>305</v>
      </c>
      <c r="C19419" t="s">
        <v>1927</v>
      </c>
      <c r="D19419" t="s">
        <v>1928</v>
      </c>
      <c r="E19419" t="s">
        <v>1929</v>
      </c>
      <c r="F19419" t="s">
        <v>281</v>
      </c>
      <c r="G19419" t="s">
        <v>286</v>
      </c>
      <c r="H19419" t="s">
        <v>226</v>
      </c>
    </row>
    <row r="19420" spans="1:8" x14ac:dyDescent="0.35">
      <c r="A19420" t="s">
        <v>227</v>
      </c>
      <c r="B19420" t="s">
        <v>371</v>
      </c>
      <c r="C19420" s="26">
        <v>0.7329</v>
      </c>
      <c r="D19420" s="26">
        <v>0.2298</v>
      </c>
      <c r="E19420" s="26">
        <v>3.1099999999999999E-2</v>
      </c>
      <c r="F19420" s="26">
        <v>6.1999999999999998E-3</v>
      </c>
      <c r="H19420">
        <v>161</v>
      </c>
    </row>
    <row r="19421" spans="1:8" x14ac:dyDescent="0.35">
      <c r="A19421" t="s">
        <v>228</v>
      </c>
      <c r="B19421" t="s">
        <v>371</v>
      </c>
      <c r="C19421" s="26">
        <v>0.74329999999999996</v>
      </c>
      <c r="D19421" s="26">
        <v>0.23480000000000001</v>
      </c>
      <c r="E19421" s="26">
        <v>2.1899999999999999E-2</v>
      </c>
      <c r="H19421">
        <v>290</v>
      </c>
    </row>
    <row r="19422" spans="1:8" x14ac:dyDescent="0.35">
      <c r="A19422" t="s">
        <v>228</v>
      </c>
      <c r="B19422" t="s">
        <v>372</v>
      </c>
      <c r="C19422" s="26">
        <v>0.37080000000000002</v>
      </c>
      <c r="D19422" s="26">
        <v>0.55779999999999996</v>
      </c>
      <c r="E19422" s="26">
        <v>6.6500000000000004E-2</v>
      </c>
      <c r="G19422" s="26">
        <v>4.8999999999999998E-3</v>
      </c>
      <c r="H19422">
        <v>217</v>
      </c>
    </row>
    <row r="19423" spans="1:8" x14ac:dyDescent="0.35">
      <c r="A19423" t="s">
        <v>228</v>
      </c>
      <c r="B19423" t="s">
        <v>373</v>
      </c>
      <c r="C19423" s="26">
        <v>0.60909999999999997</v>
      </c>
      <c r="D19423" s="26">
        <v>0.36749999999999999</v>
      </c>
      <c r="E19423" s="26">
        <v>2.35E-2</v>
      </c>
      <c r="H19423">
        <v>523</v>
      </c>
    </row>
    <row r="19424" spans="1:8" x14ac:dyDescent="0.35">
      <c r="A19424" t="s">
        <v>229</v>
      </c>
      <c r="B19424" t="s">
        <v>371</v>
      </c>
      <c r="C19424" s="26">
        <v>0.64090000000000003</v>
      </c>
      <c r="D19424" s="26">
        <v>0.33019999999999999</v>
      </c>
      <c r="E19424" s="26">
        <v>2.81E-2</v>
      </c>
      <c r="G19424" s="26">
        <v>6.9999999999999999E-4</v>
      </c>
      <c r="H19424">
        <v>579</v>
      </c>
    </row>
    <row r="19425" spans="1:8" x14ac:dyDescent="0.35">
      <c r="A19425" t="s">
        <v>229</v>
      </c>
      <c r="B19425" t="s">
        <v>372</v>
      </c>
      <c r="C19425" s="26">
        <v>0.3795</v>
      </c>
      <c r="D19425" s="26">
        <v>0.55049999999999999</v>
      </c>
      <c r="E19425" s="26">
        <v>6.1499999999999999E-2</v>
      </c>
      <c r="F19425" s="26">
        <v>8.5000000000000006E-3</v>
      </c>
      <c r="H19425">
        <v>220</v>
      </c>
    </row>
    <row r="19426" spans="1:8" x14ac:dyDescent="0.35">
      <c r="A19426" t="s">
        <v>229</v>
      </c>
      <c r="B19426" t="s">
        <v>373</v>
      </c>
      <c r="C19426" s="26">
        <v>0.53890000000000005</v>
      </c>
      <c r="D19426" s="26">
        <v>0.40550000000000003</v>
      </c>
      <c r="E19426" s="26">
        <v>5.5599999999999997E-2</v>
      </c>
      <c r="H19426">
        <v>90</v>
      </c>
    </row>
    <row r="19427" spans="1:8" x14ac:dyDescent="0.35">
      <c r="A19427" t="s">
        <v>230</v>
      </c>
      <c r="B19427" t="s">
        <v>371</v>
      </c>
      <c r="C19427" s="26">
        <v>0.65980000000000005</v>
      </c>
      <c r="D19427" s="26">
        <v>0.30590000000000001</v>
      </c>
      <c r="E19427" s="26">
        <v>3.2000000000000001E-2</v>
      </c>
      <c r="F19427" s="26">
        <v>2.2000000000000001E-3</v>
      </c>
      <c r="H19427">
        <v>261</v>
      </c>
    </row>
    <row r="19428" spans="1:8" x14ac:dyDescent="0.35">
      <c r="A19428" t="s">
        <v>230</v>
      </c>
      <c r="B19428" t="s">
        <v>372</v>
      </c>
      <c r="C19428" s="26">
        <v>0.34789999999999999</v>
      </c>
      <c r="D19428" s="26">
        <v>0.59060000000000001</v>
      </c>
      <c r="E19428" s="26">
        <v>5.21E-2</v>
      </c>
      <c r="F19428" s="26">
        <v>4.7000000000000002E-3</v>
      </c>
      <c r="G19428" s="26">
        <v>4.7000000000000002E-3</v>
      </c>
      <c r="H19428">
        <v>146</v>
      </c>
    </row>
    <row r="19429" spans="1:8" x14ac:dyDescent="0.35">
      <c r="A19429" t="s">
        <v>230</v>
      </c>
      <c r="B19429" t="s">
        <v>373</v>
      </c>
      <c r="C19429" s="26">
        <v>0.65480000000000005</v>
      </c>
      <c r="D19429" s="26">
        <v>0.31730000000000003</v>
      </c>
      <c r="E19429" s="26">
        <v>2.0899999999999998E-2</v>
      </c>
      <c r="F19429" s="26">
        <v>7.0000000000000001E-3</v>
      </c>
      <c r="H19429">
        <v>152</v>
      </c>
    </row>
    <row r="19430" spans="1:8" x14ac:dyDescent="0.35">
      <c r="A19430" t="s">
        <v>231</v>
      </c>
      <c r="B19430" t="s">
        <v>371</v>
      </c>
      <c r="C19430" s="26">
        <v>0.70120000000000005</v>
      </c>
      <c r="D19430" s="26">
        <v>0.26829999999999998</v>
      </c>
      <c r="E19430" s="26">
        <v>1.83E-2</v>
      </c>
      <c r="F19430" s="26">
        <v>1.2200000000000001E-2</v>
      </c>
      <c r="H19430">
        <v>164</v>
      </c>
    </row>
    <row r="19431" spans="1:8" x14ac:dyDescent="0.35">
      <c r="A19431" t="s">
        <v>232</v>
      </c>
      <c r="B19431" t="s">
        <v>232</v>
      </c>
      <c r="C19431" s="26">
        <v>0.67049999999999998</v>
      </c>
      <c r="D19431" s="26">
        <v>0.2979</v>
      </c>
      <c r="E19431" s="26">
        <v>2.6499999999999999E-2</v>
      </c>
      <c r="F19431" s="26">
        <v>4.7000000000000002E-3</v>
      </c>
      <c r="G19431" s="26">
        <v>2.9999999999999997E-4</v>
      </c>
      <c r="H19431">
        <v>2803</v>
      </c>
    </row>
    <row r="19433" spans="1:8" x14ac:dyDescent="0.35">
      <c r="A19433" s="1" t="s">
        <v>1940</v>
      </c>
    </row>
    <row r="19434" spans="1:8" x14ac:dyDescent="0.35">
      <c r="A19434" t="s">
        <v>219</v>
      </c>
      <c r="B19434" t="s">
        <v>305</v>
      </c>
      <c r="C19434" t="s">
        <v>1927</v>
      </c>
      <c r="D19434" t="s">
        <v>1928</v>
      </c>
      <c r="E19434" t="s">
        <v>1929</v>
      </c>
      <c r="F19434" t="s">
        <v>281</v>
      </c>
      <c r="G19434" t="s">
        <v>286</v>
      </c>
      <c r="H19434" t="s">
        <v>226</v>
      </c>
    </row>
    <row r="19435" spans="1:8" x14ac:dyDescent="0.35">
      <c r="A19435" t="s">
        <v>227</v>
      </c>
      <c r="B19435" t="s">
        <v>255</v>
      </c>
      <c r="C19435" s="26">
        <v>0.76919999999999999</v>
      </c>
      <c r="D19435" s="26">
        <v>0.2137</v>
      </c>
      <c r="E19435" s="26">
        <v>1.7100000000000001E-2</v>
      </c>
      <c r="H19435">
        <v>117</v>
      </c>
    </row>
    <row r="19436" spans="1:8" x14ac:dyDescent="0.35">
      <c r="A19436" s="27" t="s">
        <v>227</v>
      </c>
      <c r="B19436" s="27" t="s">
        <v>257</v>
      </c>
      <c r="C19436" s="28">
        <v>0.66669999999999996</v>
      </c>
      <c r="D19436" s="28">
        <v>0.33329999999999999</v>
      </c>
      <c r="E19436" s="29"/>
      <c r="F19436" s="29"/>
      <c r="G19436" s="29"/>
      <c r="H19436" s="29" t="s">
        <v>334</v>
      </c>
    </row>
    <row r="19437" spans="1:8" x14ac:dyDescent="0.35">
      <c r="A19437" t="s">
        <v>227</v>
      </c>
      <c r="B19437" t="s">
        <v>256</v>
      </c>
      <c r="C19437" s="26">
        <v>0.62860000000000005</v>
      </c>
      <c r="D19437" s="26">
        <v>0.2571</v>
      </c>
      <c r="E19437" s="26">
        <v>8.5699999999999998E-2</v>
      </c>
      <c r="F19437" s="26">
        <v>2.86E-2</v>
      </c>
      <c r="H19437">
        <v>35</v>
      </c>
    </row>
    <row r="19438" spans="1:8" x14ac:dyDescent="0.35">
      <c r="A19438" t="s">
        <v>228</v>
      </c>
      <c r="B19438" t="s">
        <v>257</v>
      </c>
      <c r="C19438" s="26">
        <v>0.58779999999999999</v>
      </c>
      <c r="D19438" s="26">
        <v>0.40760000000000002</v>
      </c>
      <c r="E19438" s="26">
        <v>4.7000000000000002E-3</v>
      </c>
      <c r="H19438">
        <v>49</v>
      </c>
    </row>
    <row r="19439" spans="1:8" x14ac:dyDescent="0.35">
      <c r="A19439" s="27" t="s">
        <v>228</v>
      </c>
      <c r="B19439" s="27" t="s">
        <v>258</v>
      </c>
      <c r="C19439" s="28">
        <v>0.69269999999999998</v>
      </c>
      <c r="D19439" s="28">
        <v>0.30730000000000002</v>
      </c>
      <c r="E19439" s="29"/>
      <c r="F19439" s="29"/>
      <c r="G19439" s="29"/>
      <c r="H19439" s="29" t="s">
        <v>337</v>
      </c>
    </row>
    <row r="19440" spans="1:8" x14ac:dyDescent="0.35">
      <c r="A19440" t="s">
        <v>228</v>
      </c>
      <c r="B19440" t="s">
        <v>256</v>
      </c>
      <c r="C19440" s="26">
        <v>0.65749999999999997</v>
      </c>
      <c r="D19440" s="26">
        <v>0.32700000000000001</v>
      </c>
      <c r="E19440" s="26">
        <v>1.5599999999999999E-2</v>
      </c>
      <c r="H19440">
        <v>221</v>
      </c>
    </row>
    <row r="19441" spans="1:10" x14ac:dyDescent="0.35">
      <c r="A19441" t="s">
        <v>228</v>
      </c>
      <c r="B19441" t="s">
        <v>255</v>
      </c>
      <c r="C19441" s="26">
        <v>0.66449999999999998</v>
      </c>
      <c r="D19441" s="26">
        <v>0.30309999999999998</v>
      </c>
      <c r="E19441" s="26">
        <v>3.1800000000000002E-2</v>
      </c>
      <c r="G19441" s="26">
        <v>5.9999999999999995E-4</v>
      </c>
      <c r="H19441">
        <v>756</v>
      </c>
    </row>
    <row r="19442" spans="1:10" x14ac:dyDescent="0.35">
      <c r="A19442" t="s">
        <v>229</v>
      </c>
      <c r="B19442" t="s">
        <v>256</v>
      </c>
      <c r="C19442" s="26">
        <v>0.57110000000000005</v>
      </c>
      <c r="D19442" s="26">
        <v>0.38479999999999998</v>
      </c>
      <c r="E19442" s="26">
        <v>4.4200000000000003E-2</v>
      </c>
      <c r="H19442">
        <v>206</v>
      </c>
    </row>
    <row r="19443" spans="1:10" x14ac:dyDescent="0.35">
      <c r="A19443" t="s">
        <v>229</v>
      </c>
      <c r="B19443" t="s">
        <v>255</v>
      </c>
      <c r="C19443" s="26">
        <v>0.64100000000000001</v>
      </c>
      <c r="D19443" s="26">
        <v>0.33450000000000002</v>
      </c>
      <c r="E19443" s="26">
        <v>2.29E-2</v>
      </c>
      <c r="F19443" s="26">
        <v>5.9999999999999995E-4</v>
      </c>
      <c r="G19443" s="26">
        <v>1E-3</v>
      </c>
      <c r="H19443">
        <v>631</v>
      </c>
    </row>
    <row r="19444" spans="1:10" x14ac:dyDescent="0.35">
      <c r="A19444" t="s">
        <v>229</v>
      </c>
      <c r="B19444" t="s">
        <v>257</v>
      </c>
      <c r="C19444" s="26">
        <v>0.70660000000000001</v>
      </c>
      <c r="D19444" s="26">
        <v>0.23799999999999999</v>
      </c>
      <c r="E19444" s="26">
        <v>5.5399999999999998E-2</v>
      </c>
      <c r="H19444">
        <v>50</v>
      </c>
    </row>
    <row r="19445" spans="1:10" x14ac:dyDescent="0.35">
      <c r="A19445" s="27" t="s">
        <v>229</v>
      </c>
      <c r="B19445" s="27" t="s">
        <v>258</v>
      </c>
      <c r="C19445" s="28">
        <v>0.22409999999999999</v>
      </c>
      <c r="D19445" s="28">
        <v>0.77590000000000003</v>
      </c>
      <c r="E19445" s="29"/>
      <c r="F19445" s="29"/>
      <c r="G19445" s="29"/>
      <c r="H19445" s="29" t="s">
        <v>314</v>
      </c>
    </row>
    <row r="19446" spans="1:10" x14ac:dyDescent="0.35">
      <c r="A19446" t="s">
        <v>230</v>
      </c>
      <c r="B19446" t="s">
        <v>256</v>
      </c>
      <c r="C19446" s="26">
        <v>0.59279999999999999</v>
      </c>
      <c r="D19446" s="26">
        <v>0.36680000000000001</v>
      </c>
      <c r="E19446" s="26">
        <v>3.2300000000000002E-2</v>
      </c>
      <c r="F19446" s="26">
        <v>7.0000000000000001E-3</v>
      </c>
      <c r="G19446" s="26">
        <v>1.1000000000000001E-3</v>
      </c>
      <c r="H19446">
        <v>129</v>
      </c>
    </row>
    <row r="19447" spans="1:10" x14ac:dyDescent="0.35">
      <c r="A19447" t="s">
        <v>230</v>
      </c>
      <c r="B19447" t="s">
        <v>255</v>
      </c>
      <c r="C19447" s="26">
        <v>0.66049999999999998</v>
      </c>
      <c r="D19447" s="26">
        <v>0.30249999999999999</v>
      </c>
      <c r="E19447" s="26">
        <v>3.5299999999999998E-2</v>
      </c>
      <c r="F19447" s="26">
        <v>1.6999999999999999E-3</v>
      </c>
      <c r="H19447">
        <v>389</v>
      </c>
    </row>
    <row r="19448" spans="1:10" x14ac:dyDescent="0.35">
      <c r="A19448" t="s">
        <v>230</v>
      </c>
      <c r="B19448" t="s">
        <v>257</v>
      </c>
      <c r="C19448" s="26">
        <v>0.60840000000000005</v>
      </c>
      <c r="D19448" s="26">
        <v>0.3916</v>
      </c>
      <c r="H19448">
        <v>38</v>
      </c>
    </row>
    <row r="19449" spans="1:10" x14ac:dyDescent="0.35">
      <c r="A19449" s="27" t="s">
        <v>230</v>
      </c>
      <c r="B19449" s="27" t="s">
        <v>258</v>
      </c>
      <c r="C19449" s="28">
        <v>0.95830000000000004</v>
      </c>
      <c r="D19449" s="28">
        <v>4.1700000000000001E-2</v>
      </c>
      <c r="E19449" s="29"/>
      <c r="F19449" s="29"/>
      <c r="G19449" s="29"/>
      <c r="H19449" s="29" t="s">
        <v>315</v>
      </c>
    </row>
    <row r="19450" spans="1:10" x14ac:dyDescent="0.35">
      <c r="A19450" s="27" t="s">
        <v>231</v>
      </c>
      <c r="B19450" s="27" t="s">
        <v>257</v>
      </c>
      <c r="C19450" s="28">
        <v>1</v>
      </c>
      <c r="D19450" s="29"/>
      <c r="E19450" s="29"/>
      <c r="F19450" s="29"/>
      <c r="G19450" s="29"/>
      <c r="H19450" s="29" t="s">
        <v>339</v>
      </c>
    </row>
    <row r="19451" spans="1:10" x14ac:dyDescent="0.35">
      <c r="A19451" t="s">
        <v>231</v>
      </c>
      <c r="B19451" t="s">
        <v>255</v>
      </c>
      <c r="C19451" s="26">
        <v>0.72870000000000001</v>
      </c>
      <c r="D19451" s="26">
        <v>0.2326</v>
      </c>
      <c r="E19451" s="26">
        <v>2.3300000000000001E-2</v>
      </c>
      <c r="F19451" s="26">
        <v>1.55E-2</v>
      </c>
      <c r="H19451">
        <v>129</v>
      </c>
    </row>
    <row r="19452" spans="1:10" x14ac:dyDescent="0.35">
      <c r="A19452" s="27" t="s">
        <v>231</v>
      </c>
      <c r="B19452" s="27" t="s">
        <v>256</v>
      </c>
      <c r="C19452" s="28">
        <v>0.5</v>
      </c>
      <c r="D19452" s="28">
        <v>0.5</v>
      </c>
      <c r="E19452" s="29"/>
      <c r="F19452" s="29"/>
      <c r="G19452" s="29"/>
      <c r="H19452" s="29" t="s">
        <v>336</v>
      </c>
    </row>
    <row r="19453" spans="1:10" x14ac:dyDescent="0.35">
      <c r="A19453" t="s">
        <v>232</v>
      </c>
      <c r="B19453" t="s">
        <v>232</v>
      </c>
      <c r="C19453" s="26">
        <v>0.67049999999999998</v>
      </c>
      <c r="D19453" s="26">
        <v>0.2979</v>
      </c>
      <c r="E19453" s="26">
        <v>2.6499999999999999E-2</v>
      </c>
      <c r="F19453" s="26">
        <v>4.7000000000000002E-3</v>
      </c>
      <c r="G19453" s="26">
        <v>2.9999999999999997E-4</v>
      </c>
      <c r="H19453">
        <v>2803</v>
      </c>
    </row>
    <row r="19455" spans="1:10" x14ac:dyDescent="0.35">
      <c r="A19455" s="1" t="s">
        <v>1941</v>
      </c>
    </row>
    <row r="19456" spans="1:10" x14ac:dyDescent="0.35">
      <c r="A19456" t="s">
        <v>219</v>
      </c>
      <c r="B19456" t="s">
        <v>1942</v>
      </c>
      <c r="C19456" t="s">
        <v>1943</v>
      </c>
      <c r="D19456" t="s">
        <v>1944</v>
      </c>
      <c r="E19456" t="s">
        <v>1945</v>
      </c>
      <c r="F19456" t="s">
        <v>1946</v>
      </c>
      <c r="G19456" t="s">
        <v>1947</v>
      </c>
      <c r="H19456" t="s">
        <v>281</v>
      </c>
      <c r="I19456" t="s">
        <v>286</v>
      </c>
      <c r="J19456" t="s">
        <v>226</v>
      </c>
    </row>
    <row r="19457" spans="1:11" x14ac:dyDescent="0.35">
      <c r="A19457" t="s">
        <v>227</v>
      </c>
      <c r="B19457" s="26">
        <v>0.7702</v>
      </c>
      <c r="C19457" s="26">
        <v>0.1242</v>
      </c>
      <c r="D19457" s="26">
        <v>4.3499999999999997E-2</v>
      </c>
      <c r="E19457" s="26">
        <v>2.4799999999999999E-2</v>
      </c>
      <c r="F19457" s="26">
        <v>2.4799999999999999E-2</v>
      </c>
      <c r="G19457" s="26">
        <v>2.4799999999999999E-2</v>
      </c>
      <c r="J19457">
        <v>161</v>
      </c>
    </row>
    <row r="19458" spans="1:11" x14ac:dyDescent="0.35">
      <c r="A19458" t="s">
        <v>228</v>
      </c>
      <c r="B19458" s="26">
        <v>0.78269999999999995</v>
      </c>
      <c r="C19458" s="26">
        <v>0.12039999999999999</v>
      </c>
      <c r="D19458" s="26">
        <v>4.65E-2</v>
      </c>
      <c r="E19458" s="26">
        <v>7.3499999999999996E-2</v>
      </c>
      <c r="F19458" s="26">
        <v>3.9899999999999998E-2</v>
      </c>
      <c r="G19458" s="26">
        <v>2.4E-2</v>
      </c>
      <c r="H19458" s="26">
        <v>1.6000000000000001E-3</v>
      </c>
      <c r="I19458" s="26">
        <v>4.0000000000000002E-4</v>
      </c>
      <c r="J19458">
        <v>1028</v>
      </c>
    </row>
    <row r="19459" spans="1:11" x14ac:dyDescent="0.35">
      <c r="A19459" t="s">
        <v>229</v>
      </c>
      <c r="B19459" s="26">
        <v>0.72599999999999998</v>
      </c>
      <c r="C19459" s="26">
        <v>0.1133</v>
      </c>
      <c r="D19459" s="26">
        <v>0.16020000000000001</v>
      </c>
      <c r="E19459" s="26">
        <v>5.1700000000000003E-2</v>
      </c>
      <c r="F19459" s="26">
        <v>3.0099999999999998E-2</v>
      </c>
      <c r="G19459" s="26">
        <v>1.8100000000000002E-2</v>
      </c>
      <c r="H19459" s="26">
        <v>1E-4</v>
      </c>
      <c r="I19459" s="26">
        <v>6.9999999999999999E-4</v>
      </c>
      <c r="J19459">
        <v>892</v>
      </c>
    </row>
    <row r="19460" spans="1:11" x14ac:dyDescent="0.35">
      <c r="A19460" t="s">
        <v>230</v>
      </c>
      <c r="B19460" s="26">
        <v>0.69889999999999997</v>
      </c>
      <c r="C19460" s="26">
        <v>0.20699999999999999</v>
      </c>
      <c r="D19460" s="26">
        <v>4.7899999999999998E-2</v>
      </c>
      <c r="E19460" s="26">
        <v>7.2599999999999998E-2</v>
      </c>
      <c r="F19460" s="26">
        <v>5.2900000000000003E-2</v>
      </c>
      <c r="G19460" s="26">
        <v>1.6400000000000001E-2</v>
      </c>
      <c r="H19460" s="26">
        <v>5.0000000000000001E-4</v>
      </c>
      <c r="J19460">
        <v>559</v>
      </c>
    </row>
    <row r="19461" spans="1:11" x14ac:dyDescent="0.35">
      <c r="A19461" t="s">
        <v>231</v>
      </c>
      <c r="B19461" s="26">
        <v>0.87729999999999997</v>
      </c>
      <c r="C19461" s="26">
        <v>5.5199999999999999E-2</v>
      </c>
      <c r="D19461" s="26">
        <v>2.4500000000000001E-2</v>
      </c>
      <c r="E19461" s="26">
        <v>4.9099999999999998E-2</v>
      </c>
      <c r="F19461" s="26">
        <v>6.1000000000000004E-3</v>
      </c>
      <c r="H19461" s="26">
        <v>6.1000000000000004E-3</v>
      </c>
      <c r="J19461">
        <v>163</v>
      </c>
    </row>
    <row r="19462" spans="1:11" x14ac:dyDescent="0.35">
      <c r="A19462" t="s">
        <v>232</v>
      </c>
      <c r="B19462" s="26">
        <v>0.78259999999999996</v>
      </c>
      <c r="C19462" s="26">
        <v>0.1094</v>
      </c>
      <c r="D19462" s="26">
        <v>7.2499999999999995E-2</v>
      </c>
      <c r="E19462" s="26">
        <v>5.3100000000000001E-2</v>
      </c>
      <c r="F19462" s="26">
        <v>2.6800000000000001E-2</v>
      </c>
      <c r="G19462" s="26">
        <v>1.5100000000000001E-2</v>
      </c>
      <c r="H19462" s="26">
        <v>2.0999999999999999E-3</v>
      </c>
      <c r="I19462" s="26">
        <v>2.9999999999999997E-4</v>
      </c>
      <c r="J19462">
        <v>2803</v>
      </c>
    </row>
    <row r="19464" spans="1:11" x14ac:dyDescent="0.35">
      <c r="A19464" s="1" t="s">
        <v>1948</v>
      </c>
    </row>
    <row r="19465" spans="1:11" x14ac:dyDescent="0.35">
      <c r="A19465" t="s">
        <v>219</v>
      </c>
      <c r="B19465" t="s">
        <v>305</v>
      </c>
      <c r="C19465" t="s">
        <v>1942</v>
      </c>
      <c r="D19465" t="s">
        <v>1943</v>
      </c>
      <c r="E19465" t="s">
        <v>1944</v>
      </c>
      <c r="F19465" t="s">
        <v>1945</v>
      </c>
      <c r="G19465" t="s">
        <v>1946</v>
      </c>
      <c r="H19465" t="s">
        <v>1947</v>
      </c>
      <c r="I19465" t="s">
        <v>281</v>
      </c>
      <c r="J19465" t="s">
        <v>286</v>
      </c>
      <c r="K19465" t="s">
        <v>226</v>
      </c>
    </row>
    <row r="19466" spans="1:11" x14ac:dyDescent="0.35">
      <c r="A19466" t="s">
        <v>227</v>
      </c>
      <c r="B19466" t="s">
        <v>242</v>
      </c>
      <c r="C19466" s="26">
        <v>0.76470000000000005</v>
      </c>
      <c r="D19466" s="26">
        <v>0.14710000000000001</v>
      </c>
      <c r="E19466" s="26">
        <v>2.9399999999999999E-2</v>
      </c>
      <c r="F19466" s="26">
        <v>2.9399999999999999E-2</v>
      </c>
      <c r="G19466" s="26">
        <v>4.41E-2</v>
      </c>
      <c r="H19466" s="26">
        <v>1.47E-2</v>
      </c>
      <c r="K19466">
        <v>68</v>
      </c>
    </row>
    <row r="19467" spans="1:11" x14ac:dyDescent="0.35">
      <c r="A19467" t="s">
        <v>227</v>
      </c>
      <c r="B19467" t="s">
        <v>241</v>
      </c>
      <c r="C19467" s="26">
        <v>0.7742</v>
      </c>
      <c r="D19467" s="26">
        <v>0.1075</v>
      </c>
      <c r="E19467" s="26">
        <v>5.3800000000000001E-2</v>
      </c>
      <c r="F19467" s="26">
        <v>2.1499999999999998E-2</v>
      </c>
      <c r="G19467" s="26">
        <v>1.0800000000000001E-2</v>
      </c>
      <c r="H19467" s="26">
        <v>3.2300000000000002E-2</v>
      </c>
      <c r="K19467">
        <v>93</v>
      </c>
    </row>
    <row r="19468" spans="1:11" x14ac:dyDescent="0.35">
      <c r="A19468" t="s">
        <v>228</v>
      </c>
      <c r="B19468" t="s">
        <v>242</v>
      </c>
      <c r="C19468" s="26">
        <v>0.77580000000000005</v>
      </c>
      <c r="D19468" s="26">
        <v>0.1275</v>
      </c>
      <c r="E19468" s="26">
        <v>5.1299999999999998E-2</v>
      </c>
      <c r="F19468" s="26">
        <v>6.1199999999999997E-2</v>
      </c>
      <c r="G19468" s="26">
        <v>5.7099999999999998E-2</v>
      </c>
      <c r="H19468" s="26">
        <v>2.3400000000000001E-2</v>
      </c>
      <c r="I19468" s="26">
        <v>3.3E-3</v>
      </c>
      <c r="K19468">
        <v>398</v>
      </c>
    </row>
    <row r="19469" spans="1:11" x14ac:dyDescent="0.35">
      <c r="A19469" t="s">
        <v>228</v>
      </c>
      <c r="B19469" t="s">
        <v>241</v>
      </c>
      <c r="C19469" s="26">
        <v>0.78659999999999997</v>
      </c>
      <c r="D19469" s="26">
        <v>0.1164</v>
      </c>
      <c r="E19469" s="26">
        <v>4.3900000000000002E-2</v>
      </c>
      <c r="F19469" s="26">
        <v>8.0500000000000002E-2</v>
      </c>
      <c r="G19469" s="26">
        <v>3.0099999999999998E-2</v>
      </c>
      <c r="H19469" s="26">
        <v>2.4299999999999999E-2</v>
      </c>
      <c r="I19469" s="26">
        <v>5.9999999999999995E-4</v>
      </c>
      <c r="J19469" s="26">
        <v>5.9999999999999995E-4</v>
      </c>
      <c r="K19469">
        <v>630</v>
      </c>
    </row>
    <row r="19470" spans="1:11" x14ac:dyDescent="0.35">
      <c r="A19470" t="s">
        <v>229</v>
      </c>
      <c r="B19470" t="s">
        <v>242</v>
      </c>
      <c r="C19470" s="26">
        <v>0.74870000000000003</v>
      </c>
      <c r="D19470" s="26">
        <v>9.98E-2</v>
      </c>
      <c r="E19470" s="26">
        <v>0.1246</v>
      </c>
      <c r="F19470" s="26">
        <v>8.3000000000000004E-2</v>
      </c>
      <c r="G19470" s="26">
        <v>3.2300000000000002E-2</v>
      </c>
      <c r="H19470" s="26">
        <v>2.06E-2</v>
      </c>
      <c r="K19470">
        <v>290</v>
      </c>
    </row>
    <row r="19471" spans="1:11" x14ac:dyDescent="0.35">
      <c r="A19471" t="s">
        <v>229</v>
      </c>
      <c r="B19471" t="s">
        <v>241</v>
      </c>
      <c r="C19471" s="26">
        <v>0.7117</v>
      </c>
      <c r="D19471" s="26">
        <v>0.12180000000000001</v>
      </c>
      <c r="E19471" s="26">
        <v>0.1827</v>
      </c>
      <c r="F19471" s="26">
        <v>3.2000000000000001E-2</v>
      </c>
      <c r="G19471" s="26">
        <v>2.8799999999999999E-2</v>
      </c>
      <c r="H19471" s="26">
        <v>1.66E-2</v>
      </c>
      <c r="I19471" s="26">
        <v>2.0000000000000001E-4</v>
      </c>
      <c r="J19471" s="26">
        <v>1.1000000000000001E-3</v>
      </c>
      <c r="K19471">
        <v>602</v>
      </c>
    </row>
    <row r="19472" spans="1:11" x14ac:dyDescent="0.35">
      <c r="A19472" t="s">
        <v>230</v>
      </c>
      <c r="B19472" t="s">
        <v>242</v>
      </c>
      <c r="C19472" s="26">
        <v>0.66679999999999995</v>
      </c>
      <c r="D19472" s="26">
        <v>0.2056</v>
      </c>
      <c r="E19472" s="26">
        <v>6.1899999999999997E-2</v>
      </c>
      <c r="F19472" s="26">
        <v>0.1026</v>
      </c>
      <c r="G19472" s="26">
        <v>0.1066</v>
      </c>
      <c r="H19472" s="26">
        <v>4.1399999999999999E-2</v>
      </c>
      <c r="K19472">
        <v>189</v>
      </c>
    </row>
    <row r="19473" spans="1:11" x14ac:dyDescent="0.35">
      <c r="A19473" t="s">
        <v>230</v>
      </c>
      <c r="B19473" t="s">
        <v>241</v>
      </c>
      <c r="C19473" s="26">
        <v>0.71550000000000002</v>
      </c>
      <c r="D19473" s="26">
        <v>0.2077</v>
      </c>
      <c r="E19473" s="26">
        <v>4.07E-2</v>
      </c>
      <c r="F19473" s="26">
        <v>5.7200000000000001E-2</v>
      </c>
      <c r="G19473" s="26">
        <v>2.53E-2</v>
      </c>
      <c r="H19473" s="26">
        <v>3.5000000000000001E-3</v>
      </c>
      <c r="I19473" s="26">
        <v>8.0000000000000004E-4</v>
      </c>
      <c r="K19473">
        <v>370</v>
      </c>
    </row>
    <row r="19474" spans="1:11" x14ac:dyDescent="0.35">
      <c r="A19474" t="s">
        <v>231</v>
      </c>
      <c r="B19474" t="s">
        <v>242</v>
      </c>
      <c r="C19474" s="26">
        <v>0.84909999999999997</v>
      </c>
      <c r="D19474" s="26">
        <v>7.5499999999999998E-2</v>
      </c>
      <c r="E19474" s="26">
        <v>1.89E-2</v>
      </c>
      <c r="F19474" s="26">
        <v>5.6599999999999998E-2</v>
      </c>
      <c r="G19474" s="26">
        <v>1.89E-2</v>
      </c>
      <c r="K19474">
        <v>53</v>
      </c>
    </row>
    <row r="19475" spans="1:11" x14ac:dyDescent="0.35">
      <c r="A19475" t="s">
        <v>231</v>
      </c>
      <c r="B19475" t="s">
        <v>241</v>
      </c>
      <c r="C19475" s="26">
        <v>0.89090000000000003</v>
      </c>
      <c r="D19475" s="26">
        <v>4.5499999999999999E-2</v>
      </c>
      <c r="E19475" s="26">
        <v>2.7300000000000001E-2</v>
      </c>
      <c r="F19475" s="26">
        <v>4.5499999999999999E-2</v>
      </c>
      <c r="I19475" s="26">
        <v>9.1000000000000004E-3</v>
      </c>
      <c r="K19475">
        <v>110</v>
      </c>
    </row>
    <row r="19476" spans="1:11" x14ac:dyDescent="0.35">
      <c r="A19476" t="s">
        <v>232</v>
      </c>
      <c r="B19476" t="s">
        <v>232</v>
      </c>
      <c r="C19476" s="26">
        <v>0.78259999999999996</v>
      </c>
      <c r="D19476" s="26">
        <v>0.1094</v>
      </c>
      <c r="E19476" s="26">
        <v>7.2499999999999995E-2</v>
      </c>
      <c r="F19476" s="26">
        <v>5.3100000000000001E-2</v>
      </c>
      <c r="G19476" s="26">
        <v>2.6800000000000001E-2</v>
      </c>
      <c r="H19476" s="26">
        <v>1.5100000000000001E-2</v>
      </c>
      <c r="I19476" s="26">
        <v>2.0999999999999999E-3</v>
      </c>
      <c r="J19476" s="26">
        <v>2.9999999999999997E-4</v>
      </c>
      <c r="K19476">
        <v>2803</v>
      </c>
    </row>
    <row r="19478" spans="1:11" x14ac:dyDescent="0.35">
      <c r="A19478" s="1" t="s">
        <v>1949</v>
      </c>
    </row>
    <row r="19479" spans="1:11" x14ac:dyDescent="0.35">
      <c r="A19479" t="s">
        <v>219</v>
      </c>
      <c r="B19479" t="s">
        <v>305</v>
      </c>
      <c r="C19479" t="s">
        <v>1942</v>
      </c>
      <c r="D19479" t="s">
        <v>1943</v>
      </c>
      <c r="E19479" t="s">
        <v>1944</v>
      </c>
      <c r="F19479" t="s">
        <v>1945</v>
      </c>
      <c r="G19479" t="s">
        <v>1946</v>
      </c>
      <c r="H19479" t="s">
        <v>1947</v>
      </c>
      <c r="I19479" t="s">
        <v>281</v>
      </c>
      <c r="J19479" t="s">
        <v>286</v>
      </c>
      <c r="K19479" t="s">
        <v>226</v>
      </c>
    </row>
    <row r="19480" spans="1:11" x14ac:dyDescent="0.35">
      <c r="A19480" t="s">
        <v>227</v>
      </c>
      <c r="B19480" t="s">
        <v>239</v>
      </c>
      <c r="C19480" s="26">
        <v>0.7742</v>
      </c>
      <c r="D19480" s="26">
        <v>0.129</v>
      </c>
      <c r="F19480" s="26">
        <v>3.2300000000000002E-2</v>
      </c>
      <c r="G19480" s="26">
        <v>3.2300000000000002E-2</v>
      </c>
      <c r="H19480" s="26">
        <v>4.8399999999999999E-2</v>
      </c>
      <c r="K19480">
        <v>62</v>
      </c>
    </row>
    <row r="19481" spans="1:11" x14ac:dyDescent="0.35">
      <c r="A19481" t="s">
        <v>227</v>
      </c>
      <c r="B19481" t="s">
        <v>238</v>
      </c>
      <c r="C19481" s="26">
        <v>0.76770000000000005</v>
      </c>
      <c r="D19481" s="26">
        <v>0.1212</v>
      </c>
      <c r="E19481" s="26">
        <v>7.0699999999999999E-2</v>
      </c>
      <c r="F19481" s="26">
        <v>2.0199999999999999E-2</v>
      </c>
      <c r="G19481" s="26">
        <v>2.0199999999999999E-2</v>
      </c>
      <c r="H19481" s="26">
        <v>1.01E-2</v>
      </c>
      <c r="K19481">
        <v>99</v>
      </c>
    </row>
    <row r="19482" spans="1:11" x14ac:dyDescent="0.35">
      <c r="A19482" t="s">
        <v>228</v>
      </c>
      <c r="B19482" t="s">
        <v>239</v>
      </c>
      <c r="C19482" s="26">
        <v>0.76900000000000002</v>
      </c>
      <c r="D19482" s="26">
        <v>0.15140000000000001</v>
      </c>
      <c r="E19482" s="26">
        <v>3.4799999999999998E-2</v>
      </c>
      <c r="F19482" s="26">
        <v>7.85E-2</v>
      </c>
      <c r="G19482" s="26">
        <v>4.8599999999999997E-2</v>
      </c>
      <c r="H19482" s="26">
        <v>2.93E-2</v>
      </c>
      <c r="I19482" s="26">
        <v>2E-3</v>
      </c>
      <c r="K19482">
        <v>328</v>
      </c>
    </row>
    <row r="19483" spans="1:11" x14ac:dyDescent="0.35">
      <c r="A19483" t="s">
        <v>228</v>
      </c>
      <c r="B19483" t="s">
        <v>238</v>
      </c>
      <c r="C19483" s="26">
        <v>0.7863</v>
      </c>
      <c r="D19483" s="26">
        <v>0.1123</v>
      </c>
      <c r="E19483" s="26">
        <v>4.9599999999999998E-2</v>
      </c>
      <c r="F19483" s="26">
        <v>7.22E-2</v>
      </c>
      <c r="G19483" s="26">
        <v>3.7600000000000001E-2</v>
      </c>
      <c r="H19483" s="26">
        <v>2.2599999999999999E-2</v>
      </c>
      <c r="I19483" s="26">
        <v>1.5E-3</v>
      </c>
      <c r="J19483" s="26">
        <v>5.0000000000000001E-4</v>
      </c>
      <c r="K19483">
        <v>700</v>
      </c>
    </row>
    <row r="19484" spans="1:11" x14ac:dyDescent="0.35">
      <c r="A19484" t="s">
        <v>229</v>
      </c>
      <c r="B19484" t="s">
        <v>239</v>
      </c>
      <c r="C19484" s="26">
        <v>0.83830000000000005</v>
      </c>
      <c r="D19484" s="26">
        <v>7.6600000000000001E-2</v>
      </c>
      <c r="E19484" s="26">
        <v>2.3E-3</v>
      </c>
      <c r="F19484" s="26">
        <v>7.7799999999999994E-2</v>
      </c>
      <c r="G19484" s="26">
        <v>1.0999999999999999E-2</v>
      </c>
      <c r="H19484" s="26">
        <v>1.15E-2</v>
      </c>
      <c r="I19484" s="26">
        <v>4.0000000000000002E-4</v>
      </c>
      <c r="J19484" s="26">
        <v>2.5999999999999999E-3</v>
      </c>
      <c r="K19484">
        <v>332</v>
      </c>
    </row>
    <row r="19485" spans="1:11" x14ac:dyDescent="0.35">
      <c r="A19485" t="s">
        <v>229</v>
      </c>
      <c r="B19485" t="s">
        <v>238</v>
      </c>
      <c r="C19485" s="26">
        <v>0.68740000000000001</v>
      </c>
      <c r="D19485" s="26">
        <v>0.12590000000000001</v>
      </c>
      <c r="E19485" s="26">
        <v>0.2145</v>
      </c>
      <c r="F19485" s="26">
        <v>4.2799999999999998E-2</v>
      </c>
      <c r="G19485" s="26">
        <v>3.6700000000000003E-2</v>
      </c>
      <c r="H19485" s="26">
        <v>2.0400000000000001E-2</v>
      </c>
      <c r="K19485">
        <v>560</v>
      </c>
    </row>
    <row r="19486" spans="1:11" x14ac:dyDescent="0.35">
      <c r="A19486" t="s">
        <v>230</v>
      </c>
      <c r="B19486" t="s">
        <v>239</v>
      </c>
      <c r="C19486" s="26">
        <v>0.74419999999999997</v>
      </c>
      <c r="D19486" s="26">
        <v>0.15909999999999999</v>
      </c>
      <c r="E19486" s="26">
        <v>2.6800000000000001E-2</v>
      </c>
      <c r="F19486" s="26">
        <v>9.2899999999999996E-2</v>
      </c>
      <c r="G19486" s="26">
        <v>5.2499999999999998E-2</v>
      </c>
      <c r="H19486" s="26">
        <v>1.47E-2</v>
      </c>
      <c r="K19486">
        <v>211</v>
      </c>
    </row>
    <row r="19487" spans="1:11" x14ac:dyDescent="0.35">
      <c r="A19487" t="s">
        <v>230</v>
      </c>
      <c r="B19487" t="s">
        <v>238</v>
      </c>
      <c r="C19487" s="26">
        <v>0.67930000000000001</v>
      </c>
      <c r="D19487" s="26">
        <v>0.2278</v>
      </c>
      <c r="E19487" s="26">
        <v>5.7000000000000002E-2</v>
      </c>
      <c r="F19487" s="26">
        <v>6.3799999999999996E-2</v>
      </c>
      <c r="G19487" s="26">
        <v>5.3100000000000001E-2</v>
      </c>
      <c r="H19487" s="26">
        <v>1.7100000000000001E-2</v>
      </c>
      <c r="I19487" s="26">
        <v>8.0000000000000004E-4</v>
      </c>
      <c r="K19487">
        <v>348</v>
      </c>
    </row>
    <row r="19488" spans="1:11" x14ac:dyDescent="0.35">
      <c r="A19488" t="s">
        <v>231</v>
      </c>
      <c r="B19488" t="s">
        <v>239</v>
      </c>
      <c r="C19488" s="26">
        <v>0.94740000000000002</v>
      </c>
      <c r="D19488" s="26">
        <v>1.7500000000000002E-2</v>
      </c>
      <c r="F19488" s="26">
        <v>5.2600000000000001E-2</v>
      </c>
      <c r="K19488">
        <v>57</v>
      </c>
    </row>
    <row r="19489" spans="1:11" x14ac:dyDescent="0.35">
      <c r="A19489" t="s">
        <v>231</v>
      </c>
      <c r="B19489" t="s">
        <v>238</v>
      </c>
      <c r="C19489" s="26">
        <v>0.83960000000000001</v>
      </c>
      <c r="D19489" s="26">
        <v>7.5499999999999998E-2</v>
      </c>
      <c r="E19489" s="26">
        <v>3.7699999999999997E-2</v>
      </c>
      <c r="F19489" s="26">
        <v>4.7199999999999999E-2</v>
      </c>
      <c r="G19489" s="26">
        <v>9.4000000000000004E-3</v>
      </c>
      <c r="I19489" s="26">
        <v>9.4000000000000004E-3</v>
      </c>
      <c r="K19489">
        <v>106</v>
      </c>
    </row>
    <row r="19490" spans="1:11" x14ac:dyDescent="0.35">
      <c r="A19490" t="s">
        <v>232</v>
      </c>
      <c r="B19490" t="s">
        <v>232</v>
      </c>
      <c r="C19490" s="26">
        <v>0.78259999999999996</v>
      </c>
      <c r="D19490" s="26">
        <v>0.1094</v>
      </c>
      <c r="E19490" s="26">
        <v>7.2499999999999995E-2</v>
      </c>
      <c r="F19490" s="26">
        <v>5.3100000000000001E-2</v>
      </c>
      <c r="G19490" s="26">
        <v>2.6800000000000001E-2</v>
      </c>
      <c r="H19490" s="26">
        <v>1.5100000000000001E-2</v>
      </c>
      <c r="I19490" s="26">
        <v>2.0999999999999999E-3</v>
      </c>
      <c r="J19490" s="26">
        <v>2.9999999999999997E-4</v>
      </c>
      <c r="K19490">
        <v>2803</v>
      </c>
    </row>
    <row r="19492" spans="1:11" x14ac:dyDescent="0.35">
      <c r="A19492" s="1" t="s">
        <v>1950</v>
      </c>
    </row>
    <row r="19493" spans="1:11" x14ac:dyDescent="0.35">
      <c r="A19493" t="s">
        <v>219</v>
      </c>
      <c r="B19493" t="s">
        <v>305</v>
      </c>
      <c r="C19493" t="s">
        <v>1942</v>
      </c>
      <c r="D19493" t="s">
        <v>1943</v>
      </c>
      <c r="E19493" t="s">
        <v>1944</v>
      </c>
      <c r="F19493" t="s">
        <v>1945</v>
      </c>
      <c r="G19493" t="s">
        <v>1946</v>
      </c>
      <c r="H19493" t="s">
        <v>1947</v>
      </c>
      <c r="I19493" t="s">
        <v>281</v>
      </c>
      <c r="J19493" t="s">
        <v>286</v>
      </c>
      <c r="K19493" t="s">
        <v>226</v>
      </c>
    </row>
    <row r="19494" spans="1:11" x14ac:dyDescent="0.35">
      <c r="A19494" t="s">
        <v>227</v>
      </c>
      <c r="B19494" t="s">
        <v>244</v>
      </c>
      <c r="C19494" s="26">
        <v>0.73960000000000004</v>
      </c>
      <c r="D19494" s="26">
        <v>0.14580000000000001</v>
      </c>
      <c r="E19494" s="26">
        <v>6.25E-2</v>
      </c>
      <c r="F19494" s="26">
        <v>3.1199999999999999E-2</v>
      </c>
      <c r="G19494" s="26">
        <v>2.0799999999999999E-2</v>
      </c>
      <c r="H19494" s="26">
        <v>2.0799999999999999E-2</v>
      </c>
      <c r="K19494">
        <v>96</v>
      </c>
    </row>
    <row r="19495" spans="1:11" x14ac:dyDescent="0.35">
      <c r="A19495" t="s">
        <v>227</v>
      </c>
      <c r="B19495" t="s">
        <v>245</v>
      </c>
      <c r="C19495" s="26">
        <v>0.84909999999999997</v>
      </c>
      <c r="D19495" s="26">
        <v>7.5499999999999998E-2</v>
      </c>
      <c r="E19495" s="26">
        <v>1.89E-2</v>
      </c>
      <c r="G19495" s="26">
        <v>1.89E-2</v>
      </c>
      <c r="H19495" s="26">
        <v>3.7699999999999997E-2</v>
      </c>
      <c r="K19495">
        <v>53</v>
      </c>
    </row>
    <row r="19496" spans="1:11" x14ac:dyDescent="0.35">
      <c r="A19496" s="27" t="s">
        <v>227</v>
      </c>
      <c r="B19496" s="27" t="s">
        <v>246</v>
      </c>
      <c r="C19496" s="28">
        <v>0.66669999999999996</v>
      </c>
      <c r="D19496" s="28">
        <v>0.16669999999999999</v>
      </c>
      <c r="E19496" s="29"/>
      <c r="F19496" s="28">
        <v>8.3299999999999999E-2</v>
      </c>
      <c r="G19496" s="28">
        <v>8.3299999999999999E-2</v>
      </c>
      <c r="H19496" s="29"/>
      <c r="I19496" s="29"/>
      <c r="J19496" s="29"/>
      <c r="K19496" s="29" t="s">
        <v>342</v>
      </c>
    </row>
    <row r="19497" spans="1:11" x14ac:dyDescent="0.35">
      <c r="A19497" t="s">
        <v>228</v>
      </c>
      <c r="B19497" t="s">
        <v>244</v>
      </c>
      <c r="C19497" s="26">
        <v>0.79320000000000002</v>
      </c>
      <c r="D19497" s="26">
        <v>0.11799999999999999</v>
      </c>
      <c r="E19497" s="26">
        <v>4.48E-2</v>
      </c>
      <c r="F19497" s="26">
        <v>6.0600000000000001E-2</v>
      </c>
      <c r="G19497" s="26">
        <v>3.0300000000000001E-2</v>
      </c>
      <c r="H19497" s="26">
        <v>2.9399999999999999E-2</v>
      </c>
      <c r="I19497" s="26">
        <v>2.3999999999999998E-3</v>
      </c>
      <c r="J19497" s="26">
        <v>5.9999999999999995E-4</v>
      </c>
      <c r="K19497">
        <v>635</v>
      </c>
    </row>
    <row r="19498" spans="1:11" x14ac:dyDescent="0.35">
      <c r="A19498" t="s">
        <v>228</v>
      </c>
      <c r="B19498" t="s">
        <v>245</v>
      </c>
      <c r="C19498" s="26">
        <v>0.77769999999999995</v>
      </c>
      <c r="D19498" s="26">
        <v>9.9500000000000005E-2</v>
      </c>
      <c r="E19498" s="26">
        <v>4.8300000000000003E-2</v>
      </c>
      <c r="F19498" s="26">
        <v>9.74E-2</v>
      </c>
      <c r="G19498" s="26">
        <v>4.9000000000000002E-2</v>
      </c>
      <c r="H19498" s="26">
        <v>1.7100000000000001E-2</v>
      </c>
      <c r="K19498">
        <v>326</v>
      </c>
    </row>
    <row r="19499" spans="1:11" x14ac:dyDescent="0.35">
      <c r="A19499" t="s">
        <v>228</v>
      </c>
      <c r="B19499" t="s">
        <v>246</v>
      </c>
      <c r="C19499" s="26">
        <v>0.70250000000000001</v>
      </c>
      <c r="D19499" s="26">
        <v>0.2271</v>
      </c>
      <c r="E19499" s="26">
        <v>5.6099999999999997E-2</v>
      </c>
      <c r="F19499" s="26">
        <v>0.1004</v>
      </c>
      <c r="G19499" s="26">
        <v>9.4899999999999998E-2</v>
      </c>
      <c r="K19499">
        <v>67</v>
      </c>
    </row>
    <row r="19500" spans="1:11" x14ac:dyDescent="0.35">
      <c r="A19500" t="s">
        <v>229</v>
      </c>
      <c r="B19500" t="s">
        <v>244</v>
      </c>
      <c r="C19500" s="26">
        <v>0.72009999999999996</v>
      </c>
      <c r="D19500" s="26">
        <v>0.1038</v>
      </c>
      <c r="E19500" s="26">
        <v>0.17080000000000001</v>
      </c>
      <c r="F19500" s="26">
        <v>4.4299999999999999E-2</v>
      </c>
      <c r="G19500" s="26">
        <v>3.1199999999999999E-2</v>
      </c>
      <c r="H19500" s="26">
        <v>1.9E-2</v>
      </c>
      <c r="J19500" s="26">
        <v>1E-3</v>
      </c>
      <c r="K19500">
        <v>554</v>
      </c>
    </row>
    <row r="19501" spans="1:11" x14ac:dyDescent="0.35">
      <c r="A19501" t="s">
        <v>229</v>
      </c>
      <c r="B19501" t="s">
        <v>245</v>
      </c>
      <c r="C19501" s="26">
        <v>0.76729999999999998</v>
      </c>
      <c r="D19501" s="26">
        <v>0.1167</v>
      </c>
      <c r="E19501" s="26">
        <v>0.13020000000000001</v>
      </c>
      <c r="F19501" s="26">
        <v>4.8899999999999999E-2</v>
      </c>
      <c r="G19501" s="26">
        <v>3.0599999999999999E-2</v>
      </c>
      <c r="H19501" s="26">
        <v>6.0000000000000001E-3</v>
      </c>
      <c r="K19501">
        <v>293</v>
      </c>
    </row>
    <row r="19502" spans="1:11" x14ac:dyDescent="0.35">
      <c r="A19502" t="s">
        <v>229</v>
      </c>
      <c r="B19502" t="s">
        <v>246</v>
      </c>
      <c r="C19502" s="26">
        <v>0.60589999999999999</v>
      </c>
      <c r="D19502" s="26">
        <v>0.21940000000000001</v>
      </c>
      <c r="E19502" s="26">
        <v>0.16600000000000001</v>
      </c>
      <c r="F19502" s="26">
        <v>0.16170000000000001</v>
      </c>
      <c r="G19502" s="26">
        <v>1.43E-2</v>
      </c>
      <c r="H19502" s="26">
        <v>6.4500000000000002E-2</v>
      </c>
      <c r="I19502" s="26">
        <v>1.8E-3</v>
      </c>
      <c r="K19502">
        <v>45</v>
      </c>
    </row>
    <row r="19503" spans="1:11" x14ac:dyDescent="0.35">
      <c r="A19503" t="s">
        <v>230</v>
      </c>
      <c r="B19503" t="s">
        <v>244</v>
      </c>
      <c r="C19503" s="26">
        <v>0.70799999999999996</v>
      </c>
      <c r="D19503" s="26">
        <v>0.20399999999999999</v>
      </c>
      <c r="E19503" s="26">
        <v>4.0800000000000003E-2</v>
      </c>
      <c r="F19503" s="26">
        <v>6.8900000000000003E-2</v>
      </c>
      <c r="G19503" s="26">
        <v>3.8600000000000002E-2</v>
      </c>
      <c r="H19503" s="26">
        <v>5.4999999999999997E-3</v>
      </c>
      <c r="I19503" s="26">
        <v>8.0000000000000004E-4</v>
      </c>
      <c r="K19503">
        <v>370</v>
      </c>
    </row>
    <row r="19504" spans="1:11" x14ac:dyDescent="0.35">
      <c r="A19504" t="s">
        <v>230</v>
      </c>
      <c r="B19504" t="s">
        <v>245</v>
      </c>
      <c r="C19504" s="26">
        <v>0.66</v>
      </c>
      <c r="D19504" s="26">
        <v>0.2218</v>
      </c>
      <c r="E19504" s="26">
        <v>7.6200000000000004E-2</v>
      </c>
      <c r="F19504" s="26">
        <v>6.5199999999999994E-2</v>
      </c>
      <c r="G19504" s="26">
        <v>0.10199999999999999</v>
      </c>
      <c r="H19504" s="26">
        <v>4.9099999999999998E-2</v>
      </c>
      <c r="K19504">
        <v>160</v>
      </c>
    </row>
    <row r="19505" spans="1:11" x14ac:dyDescent="0.35">
      <c r="A19505" s="27" t="s">
        <v>230</v>
      </c>
      <c r="B19505" s="27" t="s">
        <v>246</v>
      </c>
      <c r="C19505" s="28">
        <v>0.7742</v>
      </c>
      <c r="D19505" s="28">
        <v>0.17199999999999999</v>
      </c>
      <c r="E19505" s="29"/>
      <c r="F19505" s="28">
        <v>0.1646</v>
      </c>
      <c r="G19505" s="29"/>
      <c r="H19505" s="29"/>
      <c r="I19505" s="29"/>
      <c r="J19505" s="29"/>
      <c r="K19505" s="29" t="s">
        <v>329</v>
      </c>
    </row>
    <row r="19506" spans="1:11" x14ac:dyDescent="0.35">
      <c r="A19506" t="s">
        <v>231</v>
      </c>
      <c r="B19506" t="s">
        <v>244</v>
      </c>
      <c r="C19506" s="26">
        <v>0.88300000000000001</v>
      </c>
      <c r="D19506" s="26">
        <v>4.2599999999999999E-2</v>
      </c>
      <c r="E19506" s="26">
        <v>3.1899999999999998E-2</v>
      </c>
      <c r="F19506" s="26">
        <v>4.2599999999999999E-2</v>
      </c>
      <c r="G19506" s="26">
        <v>1.06E-2</v>
      </c>
      <c r="I19506" s="26">
        <v>1.06E-2</v>
      </c>
      <c r="K19506">
        <v>94</v>
      </c>
    </row>
    <row r="19507" spans="1:11" x14ac:dyDescent="0.35">
      <c r="A19507" t="s">
        <v>231</v>
      </c>
      <c r="B19507" t="s">
        <v>245</v>
      </c>
      <c r="C19507" s="26">
        <v>0.83930000000000005</v>
      </c>
      <c r="D19507" s="26">
        <v>8.9300000000000004E-2</v>
      </c>
      <c r="E19507" s="26">
        <v>1.7899999999999999E-2</v>
      </c>
      <c r="F19507" s="26">
        <v>7.1400000000000005E-2</v>
      </c>
      <c r="K19507">
        <v>56</v>
      </c>
    </row>
    <row r="19508" spans="1:11" x14ac:dyDescent="0.35">
      <c r="A19508" s="27" t="s">
        <v>231</v>
      </c>
      <c r="B19508" s="27" t="s">
        <v>246</v>
      </c>
      <c r="C19508" s="28">
        <v>1</v>
      </c>
      <c r="D19508" s="29"/>
      <c r="E19508" s="29"/>
      <c r="F19508" s="29"/>
      <c r="G19508" s="29"/>
      <c r="H19508" s="29"/>
      <c r="I19508" s="29"/>
      <c r="J19508" s="29"/>
      <c r="K19508" s="29" t="s">
        <v>341</v>
      </c>
    </row>
    <row r="19509" spans="1:11" x14ac:dyDescent="0.35">
      <c r="A19509" t="s">
        <v>232</v>
      </c>
      <c r="B19509" t="s">
        <v>232</v>
      </c>
      <c r="C19509" s="26">
        <v>0.78259999999999996</v>
      </c>
      <c r="D19509" s="26">
        <v>0.1094</v>
      </c>
      <c r="E19509" s="26">
        <v>7.2499999999999995E-2</v>
      </c>
      <c r="F19509" s="26">
        <v>5.3100000000000001E-2</v>
      </c>
      <c r="G19509" s="26">
        <v>2.6800000000000001E-2</v>
      </c>
      <c r="H19509" s="26">
        <v>1.5100000000000001E-2</v>
      </c>
      <c r="I19509" s="26">
        <v>2.0999999999999999E-3</v>
      </c>
      <c r="J19509" s="26">
        <v>2.9999999999999997E-4</v>
      </c>
      <c r="K19509">
        <v>2803</v>
      </c>
    </row>
    <row r="19511" spans="1:11" x14ac:dyDescent="0.35">
      <c r="A19511" s="1" t="s">
        <v>1951</v>
      </c>
    </row>
    <row r="19512" spans="1:11" x14ac:dyDescent="0.35">
      <c r="A19512" t="s">
        <v>219</v>
      </c>
      <c r="B19512" t="s">
        <v>305</v>
      </c>
      <c r="C19512" t="s">
        <v>1942</v>
      </c>
      <c r="D19512" t="s">
        <v>1943</v>
      </c>
      <c r="E19512" t="s">
        <v>1944</v>
      </c>
      <c r="F19512" t="s">
        <v>1945</v>
      </c>
      <c r="G19512" t="s">
        <v>1946</v>
      </c>
      <c r="H19512" t="s">
        <v>1947</v>
      </c>
      <c r="I19512" t="s">
        <v>281</v>
      </c>
      <c r="J19512" t="s">
        <v>286</v>
      </c>
      <c r="K19512" t="s">
        <v>226</v>
      </c>
    </row>
    <row r="19513" spans="1:11" x14ac:dyDescent="0.35">
      <c r="A19513" t="s">
        <v>227</v>
      </c>
      <c r="B19513" t="s">
        <v>360</v>
      </c>
      <c r="C19513" s="26">
        <v>0.74360000000000004</v>
      </c>
      <c r="D19513" s="26">
        <v>0.2051</v>
      </c>
      <c r="F19513" s="26">
        <v>2.5600000000000001E-2</v>
      </c>
      <c r="H19513" s="26">
        <v>5.1299999999999998E-2</v>
      </c>
      <c r="K19513">
        <v>39</v>
      </c>
    </row>
    <row r="19514" spans="1:11" x14ac:dyDescent="0.35">
      <c r="A19514" t="s">
        <v>227</v>
      </c>
      <c r="B19514" t="s">
        <v>361</v>
      </c>
      <c r="C19514" s="26">
        <v>0.8125</v>
      </c>
      <c r="D19514" s="26">
        <v>6.25E-2</v>
      </c>
      <c r="E19514" s="26">
        <v>6.25E-2</v>
      </c>
      <c r="G19514" s="26">
        <v>3.1199999999999999E-2</v>
      </c>
      <c r="H19514" s="26">
        <v>3.1199999999999999E-2</v>
      </c>
      <c r="K19514">
        <v>32</v>
      </c>
    </row>
    <row r="19515" spans="1:11" x14ac:dyDescent="0.35">
      <c r="A19515" t="s">
        <v>227</v>
      </c>
      <c r="B19515" t="s">
        <v>362</v>
      </c>
      <c r="C19515" s="26">
        <v>0.83779999999999999</v>
      </c>
      <c r="D19515" s="26">
        <v>8.1100000000000005E-2</v>
      </c>
      <c r="E19515" s="26">
        <v>2.7E-2</v>
      </c>
      <c r="F19515" s="26">
        <v>5.4100000000000002E-2</v>
      </c>
      <c r="G19515" s="26">
        <v>2.7E-2</v>
      </c>
      <c r="K19515">
        <v>37</v>
      </c>
    </row>
    <row r="19516" spans="1:11" x14ac:dyDescent="0.35">
      <c r="A19516" t="s">
        <v>227</v>
      </c>
      <c r="B19516" t="s">
        <v>363</v>
      </c>
      <c r="C19516" s="26">
        <v>0.71109999999999995</v>
      </c>
      <c r="D19516" s="26">
        <v>0.1333</v>
      </c>
      <c r="E19516" s="26">
        <v>8.8900000000000007E-2</v>
      </c>
      <c r="F19516" s="26">
        <v>2.2200000000000001E-2</v>
      </c>
      <c r="G19516" s="26">
        <v>4.4400000000000002E-2</v>
      </c>
      <c r="K19516">
        <v>45</v>
      </c>
    </row>
    <row r="19517" spans="1:11" x14ac:dyDescent="0.35">
      <c r="A19517" t="s">
        <v>228</v>
      </c>
      <c r="B19517" t="s">
        <v>360</v>
      </c>
      <c r="C19517" s="26">
        <v>0.73219999999999996</v>
      </c>
      <c r="D19517" s="26">
        <v>0.18540000000000001</v>
      </c>
      <c r="E19517" s="26">
        <v>5.62E-2</v>
      </c>
      <c r="F19517" s="26">
        <v>8.7999999999999995E-2</v>
      </c>
      <c r="G19517" s="26">
        <v>6.8599999999999994E-2</v>
      </c>
      <c r="H19517" s="26">
        <v>3.2000000000000001E-2</v>
      </c>
      <c r="K19517">
        <v>255</v>
      </c>
    </row>
    <row r="19518" spans="1:11" x14ac:dyDescent="0.35">
      <c r="A19518" t="s">
        <v>228</v>
      </c>
      <c r="B19518" t="s">
        <v>361</v>
      </c>
      <c r="C19518" s="26">
        <v>0.7591</v>
      </c>
      <c r="D19518" s="26">
        <v>0.13950000000000001</v>
      </c>
      <c r="E19518" s="26">
        <v>4.2599999999999999E-2</v>
      </c>
      <c r="F19518" s="26">
        <v>8.14E-2</v>
      </c>
      <c r="G19518" s="26">
        <v>3.9600000000000003E-2</v>
      </c>
      <c r="H19518" s="26">
        <v>4.4999999999999997E-3</v>
      </c>
      <c r="K19518">
        <v>194</v>
      </c>
    </row>
    <row r="19519" spans="1:11" x14ac:dyDescent="0.35">
      <c r="A19519" t="s">
        <v>228</v>
      </c>
      <c r="B19519" t="s">
        <v>363</v>
      </c>
      <c r="C19519" s="26">
        <v>0.82199999999999995</v>
      </c>
      <c r="D19519" s="26">
        <v>7.7499999999999999E-2</v>
      </c>
      <c r="E19519" s="26">
        <v>4.7300000000000002E-2</v>
      </c>
      <c r="F19519" s="26">
        <v>8.3099999999999993E-2</v>
      </c>
      <c r="G19519" s="26">
        <v>1.14E-2</v>
      </c>
      <c r="H19519" s="26">
        <v>3.85E-2</v>
      </c>
      <c r="I19519" s="26">
        <v>1.6999999999999999E-3</v>
      </c>
      <c r="K19519">
        <v>212</v>
      </c>
    </row>
    <row r="19520" spans="1:11" x14ac:dyDescent="0.35">
      <c r="A19520" t="s">
        <v>228</v>
      </c>
      <c r="B19520" t="s">
        <v>362</v>
      </c>
      <c r="C19520" s="26">
        <v>0.82799999999999996</v>
      </c>
      <c r="D19520" s="26">
        <v>9.64E-2</v>
      </c>
      <c r="E19520" s="26">
        <v>3.3300000000000003E-2</v>
      </c>
      <c r="F19520" s="26">
        <v>5.2999999999999999E-2</v>
      </c>
      <c r="G19520" s="26">
        <v>2.8500000000000001E-2</v>
      </c>
      <c r="H19520" s="26">
        <v>2.1499999999999998E-2</v>
      </c>
      <c r="K19520">
        <v>234</v>
      </c>
    </row>
    <row r="19521" spans="1:11" x14ac:dyDescent="0.35">
      <c r="A19521" t="s">
        <v>229</v>
      </c>
      <c r="B19521" t="s">
        <v>363</v>
      </c>
      <c r="C19521" s="26">
        <v>0.68759999999999999</v>
      </c>
      <c r="D19521" s="26">
        <v>0.151</v>
      </c>
      <c r="E19521" s="26">
        <v>0.1648</v>
      </c>
      <c r="F19521" s="26">
        <v>7.2300000000000003E-2</v>
      </c>
      <c r="G19521" s="26">
        <v>2.2499999999999999E-2</v>
      </c>
      <c r="H19521" s="26">
        <v>3.7000000000000002E-3</v>
      </c>
      <c r="K19521">
        <v>189</v>
      </c>
    </row>
    <row r="19522" spans="1:11" x14ac:dyDescent="0.35">
      <c r="A19522" t="s">
        <v>229</v>
      </c>
      <c r="B19522" t="s">
        <v>360</v>
      </c>
      <c r="C19522" s="26">
        <v>0.75639999999999996</v>
      </c>
      <c r="D19522" s="26">
        <v>9.1700000000000004E-2</v>
      </c>
      <c r="E19522" s="26">
        <v>9.8100000000000007E-2</v>
      </c>
      <c r="F19522" s="26">
        <v>7.8899999999999998E-2</v>
      </c>
      <c r="G19522" s="26">
        <v>2.81E-2</v>
      </c>
      <c r="H19522" s="26">
        <v>5.4999999999999997E-3</v>
      </c>
      <c r="I19522" s="26">
        <v>5.9999999999999995E-4</v>
      </c>
      <c r="J19522" s="26">
        <v>4.3E-3</v>
      </c>
      <c r="K19522">
        <v>164</v>
      </c>
    </row>
    <row r="19523" spans="1:11" x14ac:dyDescent="0.35">
      <c r="A19523" t="s">
        <v>229</v>
      </c>
      <c r="B19523" t="s">
        <v>361</v>
      </c>
      <c r="C19523" s="26">
        <v>0.69820000000000004</v>
      </c>
      <c r="D19523" s="26">
        <v>0.127</v>
      </c>
      <c r="E19523" s="26">
        <v>0.20910000000000001</v>
      </c>
      <c r="F19523" s="26">
        <v>3.3099999999999997E-2</v>
      </c>
      <c r="G19523" s="26">
        <v>4.0899999999999999E-2</v>
      </c>
      <c r="H19523" s="26">
        <v>1.6799999999999999E-2</v>
      </c>
      <c r="K19523">
        <v>243</v>
      </c>
    </row>
    <row r="19524" spans="1:11" x14ac:dyDescent="0.35">
      <c r="A19524" t="s">
        <v>229</v>
      </c>
      <c r="B19524" t="s">
        <v>362</v>
      </c>
      <c r="C19524" s="26">
        <v>0.84719999999999995</v>
      </c>
      <c r="D19524" s="26">
        <v>7.9899999999999999E-2</v>
      </c>
      <c r="E19524" s="26">
        <v>2.87E-2</v>
      </c>
      <c r="F19524" s="26">
        <v>4.7199999999999999E-2</v>
      </c>
      <c r="G19524" s="26">
        <v>6.7000000000000002E-3</v>
      </c>
      <c r="H19524" s="26">
        <v>1.7000000000000001E-2</v>
      </c>
      <c r="K19524">
        <v>171</v>
      </c>
    </row>
    <row r="19525" spans="1:11" x14ac:dyDescent="0.35">
      <c r="A19525" t="s">
        <v>230</v>
      </c>
      <c r="B19525" t="s">
        <v>360</v>
      </c>
      <c r="C19525" s="26">
        <v>0.68120000000000003</v>
      </c>
      <c r="D19525" s="26">
        <v>0.20930000000000001</v>
      </c>
      <c r="E19525" s="26">
        <v>3.32E-2</v>
      </c>
      <c r="F19525" s="26">
        <v>8.7099999999999997E-2</v>
      </c>
      <c r="G19525" s="26">
        <v>3.6400000000000002E-2</v>
      </c>
      <c r="H19525" s="26">
        <v>7.7999999999999996E-3</v>
      </c>
      <c r="K19525">
        <v>120</v>
      </c>
    </row>
    <row r="19526" spans="1:11" x14ac:dyDescent="0.35">
      <c r="A19526" t="s">
        <v>230</v>
      </c>
      <c r="B19526" t="s">
        <v>363</v>
      </c>
      <c r="C19526" s="26">
        <v>0.65820000000000001</v>
      </c>
      <c r="D19526" s="26">
        <v>0.2324</v>
      </c>
      <c r="E19526" s="26">
        <v>4.0500000000000001E-2</v>
      </c>
      <c r="F19526" s="26">
        <v>9.6500000000000002E-2</v>
      </c>
      <c r="G19526" s="26">
        <v>1.9199999999999998E-2</v>
      </c>
      <c r="H19526" s="26">
        <v>5.1000000000000004E-3</v>
      </c>
      <c r="K19526">
        <v>126</v>
      </c>
    </row>
    <row r="19527" spans="1:11" x14ac:dyDescent="0.35">
      <c r="A19527" t="s">
        <v>230</v>
      </c>
      <c r="B19527" t="s">
        <v>361</v>
      </c>
      <c r="C19527" s="26">
        <v>0.73350000000000004</v>
      </c>
      <c r="D19527" s="26">
        <v>0.21029999999999999</v>
      </c>
      <c r="E19527" s="26">
        <v>8.2500000000000004E-2</v>
      </c>
      <c r="F19527" s="26">
        <v>3.7199999999999997E-2</v>
      </c>
      <c r="G19527" s="26">
        <v>5.7599999999999998E-2</v>
      </c>
      <c r="H19527" s="26">
        <v>2.23E-2</v>
      </c>
      <c r="K19527">
        <v>109</v>
      </c>
    </row>
    <row r="19528" spans="1:11" x14ac:dyDescent="0.35">
      <c r="A19528" t="s">
        <v>230</v>
      </c>
      <c r="B19528" t="s">
        <v>362</v>
      </c>
      <c r="C19528" s="26">
        <v>0.67930000000000001</v>
      </c>
      <c r="D19528" s="26">
        <v>0.20569999999999999</v>
      </c>
      <c r="E19528" s="26">
        <v>3.0800000000000001E-2</v>
      </c>
      <c r="F19528" s="26">
        <v>7.4099999999999999E-2</v>
      </c>
      <c r="G19528" s="26">
        <v>9.6299999999999997E-2</v>
      </c>
      <c r="H19528" s="26">
        <v>3.2000000000000001E-2</v>
      </c>
      <c r="I19528" s="26">
        <v>1.1000000000000001E-3</v>
      </c>
      <c r="K19528">
        <v>148</v>
      </c>
    </row>
    <row r="19529" spans="1:11" x14ac:dyDescent="0.35">
      <c r="A19529" s="27" t="s">
        <v>231</v>
      </c>
      <c r="B19529" s="27" t="s">
        <v>362</v>
      </c>
      <c r="C19529" s="28">
        <v>0.96550000000000002</v>
      </c>
      <c r="D19529" s="28">
        <v>3.4500000000000003E-2</v>
      </c>
      <c r="E19529" s="29"/>
      <c r="F19529" s="29"/>
      <c r="G19529" s="29"/>
      <c r="H19529" s="29"/>
      <c r="I19529" s="29"/>
      <c r="J19529" s="29"/>
      <c r="K19529" s="29" t="s">
        <v>329</v>
      </c>
    </row>
    <row r="19530" spans="1:11" x14ac:dyDescent="0.35">
      <c r="A19530" t="s">
        <v>231</v>
      </c>
      <c r="B19530" t="s">
        <v>361</v>
      </c>
      <c r="C19530" s="26">
        <v>0.77549999999999997</v>
      </c>
      <c r="D19530" s="26">
        <v>8.1600000000000006E-2</v>
      </c>
      <c r="E19530" s="26">
        <v>6.1199999999999997E-2</v>
      </c>
      <c r="F19530" s="26">
        <v>8.1600000000000006E-2</v>
      </c>
      <c r="G19530" s="26">
        <v>2.0400000000000001E-2</v>
      </c>
      <c r="K19530">
        <v>49</v>
      </c>
    </row>
    <row r="19531" spans="1:11" x14ac:dyDescent="0.35">
      <c r="A19531" t="s">
        <v>231</v>
      </c>
      <c r="B19531" t="s">
        <v>360</v>
      </c>
      <c r="C19531" s="26">
        <v>0.93179999999999996</v>
      </c>
      <c r="D19531" s="26">
        <v>2.2700000000000001E-2</v>
      </c>
      <c r="E19531" s="26">
        <v>2.2700000000000001E-2</v>
      </c>
      <c r="F19531" s="26">
        <v>2.2700000000000001E-2</v>
      </c>
      <c r="I19531" s="26">
        <v>2.2700000000000001E-2</v>
      </c>
      <c r="K19531">
        <v>44</v>
      </c>
    </row>
    <row r="19532" spans="1:11" x14ac:dyDescent="0.35">
      <c r="A19532" s="27" t="s">
        <v>231</v>
      </c>
      <c r="B19532" s="27" t="s">
        <v>363</v>
      </c>
      <c r="C19532" s="28">
        <v>0.88890000000000002</v>
      </c>
      <c r="D19532" s="28">
        <v>7.4099999999999999E-2</v>
      </c>
      <c r="E19532" s="29"/>
      <c r="F19532" s="28">
        <v>7.4099999999999999E-2</v>
      </c>
      <c r="G19532" s="29"/>
      <c r="H19532" s="29"/>
      <c r="I19532" s="29"/>
      <c r="J19532" s="29"/>
      <c r="K19532" s="29" t="s">
        <v>338</v>
      </c>
    </row>
    <row r="19533" spans="1:11" x14ac:dyDescent="0.35">
      <c r="A19533" t="s">
        <v>232</v>
      </c>
      <c r="B19533" t="s">
        <v>232</v>
      </c>
      <c r="C19533" s="26">
        <v>0.78259999999999996</v>
      </c>
      <c r="D19533" s="26">
        <v>0.1094</v>
      </c>
      <c r="E19533" s="26">
        <v>7.2499999999999995E-2</v>
      </c>
      <c r="F19533" s="26">
        <v>5.3100000000000001E-2</v>
      </c>
      <c r="G19533" s="26">
        <v>2.6800000000000001E-2</v>
      </c>
      <c r="H19533" s="26">
        <v>1.5100000000000001E-2</v>
      </c>
      <c r="I19533" s="26">
        <v>2.0999999999999999E-3</v>
      </c>
      <c r="J19533" s="26">
        <v>2.9999999999999997E-4</v>
      </c>
      <c r="K19533">
        <v>2467</v>
      </c>
    </row>
    <row r="19535" spans="1:11" x14ac:dyDescent="0.35">
      <c r="A19535" s="1" t="s">
        <v>1952</v>
      </c>
    </row>
    <row r="19536" spans="1:11" x14ac:dyDescent="0.35">
      <c r="A19536" t="s">
        <v>219</v>
      </c>
      <c r="B19536" t="s">
        <v>305</v>
      </c>
      <c r="C19536" t="s">
        <v>1942</v>
      </c>
      <c r="D19536" t="s">
        <v>1943</v>
      </c>
      <c r="E19536" t="s">
        <v>1944</v>
      </c>
      <c r="F19536" t="s">
        <v>1945</v>
      </c>
      <c r="G19536" t="s">
        <v>1946</v>
      </c>
      <c r="H19536" t="s">
        <v>1947</v>
      </c>
      <c r="I19536" t="s">
        <v>281</v>
      </c>
      <c r="J19536" t="s">
        <v>286</v>
      </c>
      <c r="K19536" t="s">
        <v>226</v>
      </c>
    </row>
    <row r="19537" spans="1:11" x14ac:dyDescent="0.35">
      <c r="A19537" t="s">
        <v>227</v>
      </c>
      <c r="B19537" t="s">
        <v>267</v>
      </c>
      <c r="C19537" s="26">
        <v>0.75</v>
      </c>
      <c r="D19537" s="26">
        <v>0.1111</v>
      </c>
      <c r="E19537" s="26">
        <v>0.1111</v>
      </c>
      <c r="F19537" s="26">
        <v>2.7799999999999998E-2</v>
      </c>
      <c r="H19537" s="26">
        <v>2.7799999999999998E-2</v>
      </c>
      <c r="K19537">
        <v>36</v>
      </c>
    </row>
    <row r="19538" spans="1:11" x14ac:dyDescent="0.35">
      <c r="A19538" t="s">
        <v>227</v>
      </c>
      <c r="B19538" t="s">
        <v>266</v>
      </c>
      <c r="C19538" s="26">
        <v>0.79659999999999997</v>
      </c>
      <c r="D19538" s="26">
        <v>0.1186</v>
      </c>
      <c r="E19538" s="26">
        <v>3.39E-2</v>
      </c>
      <c r="G19538" s="26">
        <v>1.6899999999999998E-2</v>
      </c>
      <c r="H19538" s="26">
        <v>3.39E-2</v>
      </c>
      <c r="K19538">
        <v>59</v>
      </c>
    </row>
    <row r="19539" spans="1:11" x14ac:dyDescent="0.35">
      <c r="A19539" t="s">
        <v>227</v>
      </c>
      <c r="B19539" t="s">
        <v>265</v>
      </c>
      <c r="C19539" s="26">
        <v>0.75760000000000005</v>
      </c>
      <c r="D19539" s="26">
        <v>0.13639999999999999</v>
      </c>
      <c r="E19539" s="26">
        <v>1.52E-2</v>
      </c>
      <c r="F19539" s="26">
        <v>4.5499999999999999E-2</v>
      </c>
      <c r="G19539" s="26">
        <v>4.5499999999999999E-2</v>
      </c>
      <c r="H19539" s="26">
        <v>1.52E-2</v>
      </c>
      <c r="K19539">
        <v>66</v>
      </c>
    </row>
    <row r="19540" spans="1:11" x14ac:dyDescent="0.35">
      <c r="A19540" t="s">
        <v>228</v>
      </c>
      <c r="B19540" t="s">
        <v>267</v>
      </c>
      <c r="C19540" s="26">
        <v>0.78339999999999999</v>
      </c>
      <c r="D19540" s="26">
        <v>0.1014</v>
      </c>
      <c r="E19540" s="26">
        <v>6.6500000000000004E-2</v>
      </c>
      <c r="F19540" s="26">
        <v>9.69E-2</v>
      </c>
      <c r="G19540" s="26">
        <v>2.76E-2</v>
      </c>
      <c r="H19540" s="26">
        <v>1.7999999999999999E-2</v>
      </c>
      <c r="K19540">
        <v>199</v>
      </c>
    </row>
    <row r="19541" spans="1:11" x14ac:dyDescent="0.35">
      <c r="A19541" t="s">
        <v>228</v>
      </c>
      <c r="B19541" t="s">
        <v>265</v>
      </c>
      <c r="C19541" s="26">
        <v>0.79410000000000003</v>
      </c>
      <c r="D19541" s="26">
        <v>0.1179</v>
      </c>
      <c r="E19541" s="26">
        <v>5.3999999999999999E-2</v>
      </c>
      <c r="F19541" s="26">
        <v>5.1900000000000002E-2</v>
      </c>
      <c r="G19541" s="26">
        <v>3.0499999999999999E-2</v>
      </c>
      <c r="H19541" s="26">
        <v>3.3500000000000002E-2</v>
      </c>
      <c r="I19541" s="26">
        <v>3.8E-3</v>
      </c>
      <c r="J19541" s="26">
        <v>1E-3</v>
      </c>
      <c r="K19541">
        <v>382</v>
      </c>
    </row>
    <row r="19542" spans="1:11" x14ac:dyDescent="0.35">
      <c r="A19542" s="27" t="s">
        <v>228</v>
      </c>
      <c r="B19542" s="27" t="s">
        <v>236</v>
      </c>
      <c r="C19542" s="28">
        <v>0.5</v>
      </c>
      <c r="D19542" s="29"/>
      <c r="E19542" s="29"/>
      <c r="F19542" s="28">
        <v>0.5</v>
      </c>
      <c r="G19542" s="29"/>
      <c r="H19542" s="29"/>
      <c r="I19542" s="29"/>
      <c r="J19542" s="29"/>
      <c r="K19542" s="29" t="s">
        <v>314</v>
      </c>
    </row>
    <row r="19543" spans="1:11" x14ac:dyDescent="0.35">
      <c r="A19543" t="s">
        <v>228</v>
      </c>
      <c r="B19543" t="s">
        <v>266</v>
      </c>
      <c r="C19543" s="26">
        <v>0.77539999999999998</v>
      </c>
      <c r="D19543" s="26">
        <v>0.13289999999999999</v>
      </c>
      <c r="E19543" s="26">
        <v>3.1399999999999997E-2</v>
      </c>
      <c r="F19543" s="26">
        <v>7.8899999999999998E-2</v>
      </c>
      <c r="G19543" s="26">
        <v>5.5100000000000003E-2</v>
      </c>
      <c r="H19543" s="26">
        <v>1.72E-2</v>
      </c>
      <c r="K19543">
        <v>445</v>
      </c>
    </row>
    <row r="19544" spans="1:11" x14ac:dyDescent="0.35">
      <c r="A19544" t="s">
        <v>229</v>
      </c>
      <c r="B19544" t="s">
        <v>266</v>
      </c>
      <c r="C19544" s="26">
        <v>0.77900000000000003</v>
      </c>
      <c r="D19544" s="26">
        <v>0.1167</v>
      </c>
      <c r="E19544" s="26">
        <v>9.6100000000000005E-2</v>
      </c>
      <c r="F19544" s="26">
        <v>4.8000000000000001E-2</v>
      </c>
      <c r="G19544" s="26">
        <v>2.9499999999999998E-2</v>
      </c>
      <c r="H19544" s="26">
        <v>2.07E-2</v>
      </c>
      <c r="K19544">
        <v>357</v>
      </c>
    </row>
    <row r="19545" spans="1:11" x14ac:dyDescent="0.35">
      <c r="A19545" t="s">
        <v>229</v>
      </c>
      <c r="B19545" t="s">
        <v>267</v>
      </c>
      <c r="C19545" s="26">
        <v>0.67579999999999996</v>
      </c>
      <c r="D19545" s="26">
        <v>0.1183</v>
      </c>
      <c r="E19545" s="26">
        <v>0.22220000000000001</v>
      </c>
      <c r="F19545" s="26">
        <v>6.7100000000000007E-2</v>
      </c>
      <c r="G19545" s="26">
        <v>4.24E-2</v>
      </c>
      <c r="H19545" s="26">
        <v>3.8999999999999998E-3</v>
      </c>
      <c r="K19545">
        <v>201</v>
      </c>
    </row>
    <row r="19546" spans="1:11" x14ac:dyDescent="0.35">
      <c r="A19546" t="s">
        <v>229</v>
      </c>
      <c r="B19546" t="s">
        <v>265</v>
      </c>
      <c r="C19546" s="26">
        <v>0.71279999999999999</v>
      </c>
      <c r="D19546" s="26">
        <v>0.1084</v>
      </c>
      <c r="E19546" s="26">
        <v>0.17560000000000001</v>
      </c>
      <c r="F19546" s="26">
        <v>4.6899999999999997E-2</v>
      </c>
      <c r="G19546" s="26">
        <v>2.4500000000000001E-2</v>
      </c>
      <c r="H19546" s="26">
        <v>2.3300000000000001E-2</v>
      </c>
      <c r="I19546" s="26">
        <v>2.0000000000000001E-4</v>
      </c>
      <c r="J19546" s="26">
        <v>1.5E-3</v>
      </c>
      <c r="K19546">
        <v>334</v>
      </c>
    </row>
    <row r="19547" spans="1:11" x14ac:dyDescent="0.35">
      <c r="A19547" t="s">
        <v>230</v>
      </c>
      <c r="B19547" t="s">
        <v>267</v>
      </c>
      <c r="C19547" s="26">
        <v>0.75449999999999995</v>
      </c>
      <c r="D19547" s="26">
        <v>0.13880000000000001</v>
      </c>
      <c r="E19547" s="26">
        <v>3.3799999999999997E-2</v>
      </c>
      <c r="F19547" s="26">
        <v>9.74E-2</v>
      </c>
      <c r="G19547" s="26">
        <v>3.6400000000000002E-2</v>
      </c>
      <c r="H19547" s="26">
        <v>1.1999999999999999E-3</v>
      </c>
      <c r="I19547" s="26">
        <v>1.1999999999999999E-3</v>
      </c>
      <c r="K19547">
        <v>119</v>
      </c>
    </row>
    <row r="19548" spans="1:11" x14ac:dyDescent="0.35">
      <c r="A19548" t="s">
        <v>230</v>
      </c>
      <c r="B19548" t="s">
        <v>266</v>
      </c>
      <c r="C19548" s="26">
        <v>0.63449999999999995</v>
      </c>
      <c r="D19548" s="26">
        <v>0.25790000000000002</v>
      </c>
      <c r="E19548" s="26">
        <v>6.8699999999999997E-2</v>
      </c>
      <c r="F19548" s="26">
        <v>8.0500000000000002E-2</v>
      </c>
      <c r="G19548" s="26">
        <v>5.67E-2</v>
      </c>
      <c r="H19548" s="26">
        <v>3.7600000000000001E-2</v>
      </c>
      <c r="I19548" s="26">
        <v>8.0000000000000004E-4</v>
      </c>
      <c r="K19548">
        <v>231</v>
      </c>
    </row>
    <row r="19549" spans="1:11" x14ac:dyDescent="0.35">
      <c r="A19549" t="s">
        <v>230</v>
      </c>
      <c r="B19549" t="s">
        <v>265</v>
      </c>
      <c r="C19549" s="26">
        <v>0.72450000000000003</v>
      </c>
      <c r="D19549" s="26">
        <v>0.19950000000000001</v>
      </c>
      <c r="E19549" s="26">
        <v>3.7600000000000001E-2</v>
      </c>
      <c r="F19549" s="26">
        <v>5.2900000000000003E-2</v>
      </c>
      <c r="G19549" s="26">
        <v>5.8400000000000001E-2</v>
      </c>
      <c r="H19549" s="26">
        <v>6.3E-3</v>
      </c>
      <c r="K19549">
        <v>209</v>
      </c>
    </row>
    <row r="19550" spans="1:11" x14ac:dyDescent="0.35">
      <c r="A19550" t="s">
        <v>231</v>
      </c>
      <c r="B19550" t="s">
        <v>267</v>
      </c>
      <c r="C19550" s="26">
        <v>0.85289999999999999</v>
      </c>
      <c r="D19550" s="26">
        <v>5.8799999999999998E-2</v>
      </c>
      <c r="E19550" s="26">
        <v>2.9399999999999999E-2</v>
      </c>
      <c r="F19550" s="26">
        <v>8.8200000000000001E-2</v>
      </c>
      <c r="K19550">
        <v>34</v>
      </c>
    </row>
    <row r="19551" spans="1:11" x14ac:dyDescent="0.35">
      <c r="A19551" t="s">
        <v>231</v>
      </c>
      <c r="B19551" t="s">
        <v>266</v>
      </c>
      <c r="C19551" s="26">
        <v>0.8871</v>
      </c>
      <c r="D19551" s="26">
        <v>6.4500000000000002E-2</v>
      </c>
      <c r="E19551" s="26">
        <v>1.61E-2</v>
      </c>
      <c r="F19551" s="26">
        <v>3.2300000000000002E-2</v>
      </c>
      <c r="K19551">
        <v>62</v>
      </c>
    </row>
    <row r="19552" spans="1:11" x14ac:dyDescent="0.35">
      <c r="A19552" t="s">
        <v>231</v>
      </c>
      <c r="B19552" t="s">
        <v>265</v>
      </c>
      <c r="C19552" s="26">
        <v>0.88060000000000005</v>
      </c>
      <c r="D19552" s="26">
        <v>4.48E-2</v>
      </c>
      <c r="E19552" s="26">
        <v>2.9899999999999999E-2</v>
      </c>
      <c r="F19552" s="26">
        <v>4.48E-2</v>
      </c>
      <c r="G19552" s="26">
        <v>1.49E-2</v>
      </c>
      <c r="I19552" s="26">
        <v>1.49E-2</v>
      </c>
      <c r="K19552">
        <v>67</v>
      </c>
    </row>
    <row r="19553" spans="1:11" x14ac:dyDescent="0.35">
      <c r="A19553" t="s">
        <v>232</v>
      </c>
      <c r="B19553" t="s">
        <v>232</v>
      </c>
      <c r="C19553" s="26">
        <v>0.78259999999999996</v>
      </c>
      <c r="D19553" s="26">
        <v>0.1094</v>
      </c>
      <c r="E19553" s="26">
        <v>7.2499999999999995E-2</v>
      </c>
      <c r="F19553" s="26">
        <v>5.3100000000000001E-2</v>
      </c>
      <c r="G19553" s="26">
        <v>2.6800000000000001E-2</v>
      </c>
      <c r="H19553" s="26">
        <v>1.5100000000000001E-2</v>
      </c>
      <c r="I19553" s="26">
        <v>2.0999999999999999E-3</v>
      </c>
      <c r="J19553" s="26">
        <v>2.9999999999999997E-4</v>
      </c>
      <c r="K19553">
        <v>2803</v>
      </c>
    </row>
    <row r="19555" spans="1:11" x14ac:dyDescent="0.35">
      <c r="A19555" s="1" t="s">
        <v>1953</v>
      </c>
    </row>
    <row r="19556" spans="1:11" x14ac:dyDescent="0.35">
      <c r="A19556" t="s">
        <v>219</v>
      </c>
      <c r="B19556" t="s">
        <v>305</v>
      </c>
      <c r="C19556" t="s">
        <v>1942</v>
      </c>
      <c r="D19556" t="s">
        <v>1943</v>
      </c>
      <c r="E19556" t="s">
        <v>1944</v>
      </c>
      <c r="F19556" t="s">
        <v>1945</v>
      </c>
      <c r="G19556" t="s">
        <v>1946</v>
      </c>
      <c r="H19556" t="s">
        <v>1947</v>
      </c>
      <c r="I19556" t="s">
        <v>281</v>
      </c>
      <c r="J19556" t="s">
        <v>286</v>
      </c>
      <c r="K19556" t="s">
        <v>226</v>
      </c>
    </row>
    <row r="19557" spans="1:11" x14ac:dyDescent="0.35">
      <c r="A19557" t="s">
        <v>227</v>
      </c>
      <c r="B19557" t="s">
        <v>252</v>
      </c>
      <c r="C19557" s="26">
        <v>0.82220000000000004</v>
      </c>
      <c r="D19557" s="26">
        <v>8.8900000000000007E-2</v>
      </c>
      <c r="E19557" s="26">
        <v>2.2200000000000001E-2</v>
      </c>
      <c r="G19557" s="26">
        <v>2.2200000000000001E-2</v>
      </c>
      <c r="H19557" s="26">
        <v>4.4400000000000002E-2</v>
      </c>
      <c r="K19557">
        <v>45</v>
      </c>
    </row>
    <row r="19558" spans="1:11" x14ac:dyDescent="0.35">
      <c r="A19558" t="s">
        <v>227</v>
      </c>
      <c r="B19558" t="s">
        <v>253</v>
      </c>
      <c r="C19558" s="26">
        <v>0.70589999999999997</v>
      </c>
      <c r="D19558" s="26">
        <v>0.17649999999999999</v>
      </c>
      <c r="E19558" s="26">
        <v>8.8200000000000001E-2</v>
      </c>
      <c r="G19558" s="26">
        <v>2.9399999999999999E-2</v>
      </c>
      <c r="H19558" s="26">
        <v>2.9399999999999999E-2</v>
      </c>
      <c r="K19558">
        <v>34</v>
      </c>
    </row>
    <row r="19559" spans="1:11" x14ac:dyDescent="0.35">
      <c r="A19559" t="s">
        <v>227</v>
      </c>
      <c r="B19559" t="s">
        <v>251</v>
      </c>
      <c r="C19559" s="26">
        <v>0.76829999999999998</v>
      </c>
      <c r="D19559" s="26">
        <v>0.122</v>
      </c>
      <c r="E19559" s="26">
        <v>3.6600000000000001E-2</v>
      </c>
      <c r="F19559" s="26">
        <v>4.8800000000000003E-2</v>
      </c>
      <c r="G19559" s="26">
        <v>2.4400000000000002E-2</v>
      </c>
      <c r="H19559" s="26">
        <v>1.2200000000000001E-2</v>
      </c>
      <c r="K19559">
        <v>82</v>
      </c>
    </row>
    <row r="19560" spans="1:11" x14ac:dyDescent="0.35">
      <c r="A19560" t="s">
        <v>228</v>
      </c>
      <c r="B19560" t="s">
        <v>252</v>
      </c>
      <c r="C19560" s="26">
        <v>0.84179999999999999</v>
      </c>
      <c r="D19560" s="26">
        <v>7.1599999999999997E-2</v>
      </c>
      <c r="E19560" s="26">
        <v>4.48E-2</v>
      </c>
      <c r="F19560" s="26">
        <v>7.6499999999999999E-2</v>
      </c>
      <c r="G19560" s="26">
        <v>2.18E-2</v>
      </c>
      <c r="H19560" s="26">
        <v>1.21E-2</v>
      </c>
      <c r="J19560" s="26">
        <v>1.2999999999999999E-3</v>
      </c>
      <c r="K19560">
        <v>341</v>
      </c>
    </row>
    <row r="19561" spans="1:11" x14ac:dyDescent="0.35">
      <c r="A19561" t="s">
        <v>228</v>
      </c>
      <c r="B19561" t="s">
        <v>253</v>
      </c>
      <c r="C19561" s="26">
        <v>0.71199999999999997</v>
      </c>
      <c r="D19561" s="26">
        <v>0.16220000000000001</v>
      </c>
      <c r="E19561" s="26">
        <v>5.8599999999999999E-2</v>
      </c>
      <c r="F19561" s="26">
        <v>5.9499999999999997E-2</v>
      </c>
      <c r="G19561" s="26">
        <v>6.5600000000000006E-2</v>
      </c>
      <c r="H19561" s="26">
        <v>3.1699999999999999E-2</v>
      </c>
      <c r="I19561" s="26">
        <v>5.7000000000000002E-3</v>
      </c>
      <c r="K19561">
        <v>221</v>
      </c>
    </row>
    <row r="19562" spans="1:11" x14ac:dyDescent="0.35">
      <c r="A19562" t="s">
        <v>228</v>
      </c>
      <c r="B19562" t="s">
        <v>251</v>
      </c>
      <c r="C19562" s="26">
        <v>0.77370000000000005</v>
      </c>
      <c r="D19562" s="26">
        <v>0.13489999999999999</v>
      </c>
      <c r="E19562" s="26">
        <v>4.2500000000000003E-2</v>
      </c>
      <c r="F19562" s="26">
        <v>7.7600000000000002E-2</v>
      </c>
      <c r="G19562" s="26">
        <v>4.0899999999999999E-2</v>
      </c>
      <c r="H19562" s="26">
        <v>2.86E-2</v>
      </c>
      <c r="I19562" s="26">
        <v>8.9999999999999998E-4</v>
      </c>
      <c r="K19562">
        <v>466</v>
      </c>
    </row>
    <row r="19563" spans="1:11" x14ac:dyDescent="0.35">
      <c r="A19563" t="s">
        <v>229</v>
      </c>
      <c r="B19563" t="s">
        <v>252</v>
      </c>
      <c r="C19563" s="26">
        <v>0.8115</v>
      </c>
      <c r="D19563" s="26">
        <v>7.3599999999999999E-2</v>
      </c>
      <c r="E19563" s="26">
        <v>9.01E-2</v>
      </c>
      <c r="F19563" s="26">
        <v>3.2599999999999997E-2</v>
      </c>
      <c r="G19563" s="26">
        <v>2.06E-2</v>
      </c>
      <c r="H19563" s="26">
        <v>9.4000000000000004E-3</v>
      </c>
      <c r="K19563">
        <v>198</v>
      </c>
    </row>
    <row r="19564" spans="1:11" x14ac:dyDescent="0.35">
      <c r="A19564" t="s">
        <v>229</v>
      </c>
      <c r="B19564" t="s">
        <v>253</v>
      </c>
      <c r="C19564" s="26">
        <v>0.69950000000000001</v>
      </c>
      <c r="D19564" s="26">
        <v>8.2500000000000004E-2</v>
      </c>
      <c r="E19564" s="26">
        <v>0.20449999999999999</v>
      </c>
      <c r="F19564" s="26">
        <v>6.1400000000000003E-2</v>
      </c>
      <c r="G19564" s="26">
        <v>3.7999999999999999E-2</v>
      </c>
      <c r="H19564" s="26">
        <v>5.7999999999999996E-3</v>
      </c>
      <c r="I19564" s="26">
        <v>5.0000000000000001E-4</v>
      </c>
      <c r="J19564" s="26">
        <v>3.5000000000000001E-3</v>
      </c>
      <c r="K19564">
        <v>145</v>
      </c>
    </row>
    <row r="19565" spans="1:11" x14ac:dyDescent="0.35">
      <c r="A19565" t="s">
        <v>229</v>
      </c>
      <c r="B19565" t="s">
        <v>251</v>
      </c>
      <c r="C19565" s="26">
        <v>0.70220000000000005</v>
      </c>
      <c r="D19565" s="26">
        <v>0.13830000000000001</v>
      </c>
      <c r="E19565" s="26">
        <v>0.17249999999999999</v>
      </c>
      <c r="F19565" s="26">
        <v>5.5899999999999998E-2</v>
      </c>
      <c r="G19565" s="26">
        <v>3.1199999999999999E-2</v>
      </c>
      <c r="H19565" s="26">
        <v>2.5399999999999999E-2</v>
      </c>
      <c r="K19565">
        <v>549</v>
      </c>
    </row>
    <row r="19566" spans="1:11" x14ac:dyDescent="0.35">
      <c r="A19566" t="s">
        <v>230</v>
      </c>
      <c r="B19566" t="s">
        <v>252</v>
      </c>
      <c r="C19566" s="26">
        <v>0.65239999999999998</v>
      </c>
      <c r="D19566" s="26">
        <v>0.2142</v>
      </c>
      <c r="E19566" s="26">
        <v>5.9499999999999997E-2</v>
      </c>
      <c r="F19566" s="26">
        <v>6.0499999999999998E-2</v>
      </c>
      <c r="G19566" s="26">
        <v>0.1013</v>
      </c>
      <c r="H19566" s="26">
        <v>2.9399999999999999E-2</v>
      </c>
      <c r="I19566" s="26">
        <v>1.1000000000000001E-3</v>
      </c>
      <c r="K19566">
        <v>158</v>
      </c>
    </row>
    <row r="19567" spans="1:11" x14ac:dyDescent="0.35">
      <c r="A19567" t="s">
        <v>230</v>
      </c>
      <c r="B19567" t="s">
        <v>253</v>
      </c>
      <c r="C19567" s="26">
        <v>0.77659999999999996</v>
      </c>
      <c r="D19567" s="26">
        <v>0.18360000000000001</v>
      </c>
      <c r="E19567" s="26">
        <v>1.7100000000000001E-2</v>
      </c>
      <c r="F19567" s="26">
        <v>2.6800000000000001E-2</v>
      </c>
      <c r="G19567" s="26">
        <v>3.27E-2</v>
      </c>
      <c r="H19567" s="26">
        <v>7.7000000000000002E-3</v>
      </c>
      <c r="K19567">
        <v>110</v>
      </c>
    </row>
    <row r="19568" spans="1:11" x14ac:dyDescent="0.35">
      <c r="A19568" t="s">
        <v>230</v>
      </c>
      <c r="B19568" t="s">
        <v>251</v>
      </c>
      <c r="C19568" s="26">
        <v>0.69350000000000001</v>
      </c>
      <c r="D19568" s="26">
        <v>0.21179999999999999</v>
      </c>
      <c r="E19568" s="26">
        <v>5.3100000000000001E-2</v>
      </c>
      <c r="F19568" s="26">
        <v>9.3700000000000006E-2</v>
      </c>
      <c r="G19568" s="26">
        <v>3.7900000000000003E-2</v>
      </c>
      <c r="H19568" s="26">
        <v>1.35E-2</v>
      </c>
      <c r="I19568" s="26">
        <v>5.0000000000000001E-4</v>
      </c>
      <c r="K19568">
        <v>291</v>
      </c>
    </row>
    <row r="19569" spans="1:11" x14ac:dyDescent="0.35">
      <c r="A19569" t="s">
        <v>231</v>
      </c>
      <c r="B19569" t="s">
        <v>252</v>
      </c>
      <c r="C19569" s="26">
        <v>0.89800000000000002</v>
      </c>
      <c r="D19569" s="26">
        <v>6.1199999999999997E-2</v>
      </c>
      <c r="E19569" s="26">
        <v>4.0800000000000003E-2</v>
      </c>
      <c r="K19569">
        <v>49</v>
      </c>
    </row>
    <row r="19570" spans="1:11" x14ac:dyDescent="0.35">
      <c r="A19570" s="27" t="s">
        <v>231</v>
      </c>
      <c r="B19570" s="27" t="s">
        <v>253</v>
      </c>
      <c r="C19570" s="28">
        <v>0.89659999999999995</v>
      </c>
      <c r="D19570" s="28">
        <v>6.9000000000000006E-2</v>
      </c>
      <c r="E19570" s="29"/>
      <c r="F19570" s="28">
        <v>6.9000000000000006E-2</v>
      </c>
      <c r="G19570" s="29"/>
      <c r="H19570" s="29"/>
      <c r="I19570" s="29"/>
      <c r="J19570" s="29"/>
      <c r="K19570" s="29" t="s">
        <v>329</v>
      </c>
    </row>
    <row r="19571" spans="1:11" x14ac:dyDescent="0.35">
      <c r="A19571" t="s">
        <v>231</v>
      </c>
      <c r="B19571" t="s">
        <v>251</v>
      </c>
      <c r="C19571" s="26">
        <v>0.85880000000000001</v>
      </c>
      <c r="D19571" s="26">
        <v>4.7100000000000003E-2</v>
      </c>
      <c r="E19571" s="26">
        <v>2.35E-2</v>
      </c>
      <c r="F19571" s="26">
        <v>7.0599999999999996E-2</v>
      </c>
      <c r="G19571" s="26">
        <v>1.18E-2</v>
      </c>
      <c r="I19571" s="26">
        <v>1.18E-2</v>
      </c>
      <c r="K19571">
        <v>85</v>
      </c>
    </row>
    <row r="19572" spans="1:11" x14ac:dyDescent="0.35">
      <c r="A19572" t="s">
        <v>232</v>
      </c>
      <c r="B19572" t="s">
        <v>232</v>
      </c>
      <c r="C19572" s="26">
        <v>0.78259999999999996</v>
      </c>
      <c r="D19572" s="26">
        <v>0.1094</v>
      </c>
      <c r="E19572" s="26">
        <v>7.2499999999999995E-2</v>
      </c>
      <c r="F19572" s="26">
        <v>5.3100000000000001E-2</v>
      </c>
      <c r="G19572" s="26">
        <v>2.6800000000000001E-2</v>
      </c>
      <c r="H19572" s="26">
        <v>1.5100000000000001E-2</v>
      </c>
      <c r="I19572" s="26">
        <v>2.0999999999999999E-3</v>
      </c>
      <c r="J19572" s="26">
        <v>2.9999999999999997E-4</v>
      </c>
      <c r="K19572">
        <v>2803</v>
      </c>
    </row>
    <row r="19574" spans="1:11" x14ac:dyDescent="0.35">
      <c r="A19574" s="1" t="s">
        <v>1954</v>
      </c>
    </row>
    <row r="19575" spans="1:11" x14ac:dyDescent="0.35">
      <c r="A19575" t="s">
        <v>219</v>
      </c>
      <c r="B19575" t="s">
        <v>305</v>
      </c>
      <c r="C19575" t="s">
        <v>1942</v>
      </c>
      <c r="D19575" t="s">
        <v>1943</v>
      </c>
      <c r="E19575" t="s">
        <v>1944</v>
      </c>
      <c r="F19575" t="s">
        <v>1945</v>
      </c>
      <c r="G19575" t="s">
        <v>1946</v>
      </c>
      <c r="H19575" t="s">
        <v>1947</v>
      </c>
      <c r="I19575" t="s">
        <v>281</v>
      </c>
      <c r="J19575" t="s">
        <v>286</v>
      </c>
      <c r="K19575" t="s">
        <v>226</v>
      </c>
    </row>
    <row r="19576" spans="1:11" x14ac:dyDescent="0.35">
      <c r="A19576" t="s">
        <v>227</v>
      </c>
      <c r="B19576" t="s">
        <v>249</v>
      </c>
      <c r="C19576" s="26">
        <v>0.65910000000000002</v>
      </c>
      <c r="D19576" s="26">
        <v>0.20449999999999999</v>
      </c>
      <c r="E19576" s="26">
        <v>4.5499999999999999E-2</v>
      </c>
      <c r="F19576" s="26">
        <v>9.0899999999999995E-2</v>
      </c>
      <c r="G19576" s="26">
        <v>2.2700000000000001E-2</v>
      </c>
      <c r="K19576">
        <v>44</v>
      </c>
    </row>
    <row r="19577" spans="1:11" x14ac:dyDescent="0.35">
      <c r="A19577" t="s">
        <v>227</v>
      </c>
      <c r="B19577" t="s">
        <v>248</v>
      </c>
      <c r="C19577" s="26">
        <v>0.81200000000000006</v>
      </c>
      <c r="D19577" s="26">
        <v>9.4E-2</v>
      </c>
      <c r="E19577" s="26">
        <v>4.2700000000000002E-2</v>
      </c>
      <c r="G19577" s="26">
        <v>2.5600000000000001E-2</v>
      </c>
      <c r="H19577" s="26">
        <v>3.4200000000000001E-2</v>
      </c>
      <c r="K19577">
        <v>117</v>
      </c>
    </row>
    <row r="19578" spans="1:11" x14ac:dyDescent="0.35">
      <c r="A19578" t="s">
        <v>228</v>
      </c>
      <c r="B19578" t="s">
        <v>249</v>
      </c>
      <c r="C19578" s="26">
        <v>0.74199999999999999</v>
      </c>
      <c r="D19578" s="26">
        <v>0.16889999999999999</v>
      </c>
      <c r="E19578" s="26">
        <v>4.19E-2</v>
      </c>
      <c r="F19578" s="26">
        <v>9.1600000000000001E-2</v>
      </c>
      <c r="G19578" s="26">
        <v>4.8000000000000001E-2</v>
      </c>
      <c r="H19578" s="26">
        <v>3.5200000000000002E-2</v>
      </c>
      <c r="K19578">
        <v>273</v>
      </c>
    </row>
    <row r="19579" spans="1:11" x14ac:dyDescent="0.35">
      <c r="A19579" t="s">
        <v>228</v>
      </c>
      <c r="B19579" t="s">
        <v>248</v>
      </c>
      <c r="C19579" s="26">
        <v>0.80010000000000003</v>
      </c>
      <c r="D19579" s="26">
        <v>9.9599999999999994E-2</v>
      </c>
      <c r="E19579" s="26">
        <v>4.8500000000000001E-2</v>
      </c>
      <c r="F19579" s="26">
        <v>6.5799999999999997E-2</v>
      </c>
      <c r="G19579" s="26">
        <v>3.6400000000000002E-2</v>
      </c>
      <c r="H19579" s="26">
        <v>1.9199999999999998E-2</v>
      </c>
      <c r="I19579" s="26">
        <v>2.3E-3</v>
      </c>
      <c r="J19579" s="26">
        <v>5.9999999999999995E-4</v>
      </c>
      <c r="K19579">
        <v>755</v>
      </c>
    </row>
    <row r="19580" spans="1:11" x14ac:dyDescent="0.35">
      <c r="A19580" t="s">
        <v>229</v>
      </c>
      <c r="B19580" t="s">
        <v>249</v>
      </c>
      <c r="C19580" s="26">
        <v>0.69930000000000003</v>
      </c>
      <c r="D19580" s="26">
        <v>0.18920000000000001</v>
      </c>
      <c r="E19580" s="26">
        <v>0.16009999999999999</v>
      </c>
      <c r="F19580" s="26">
        <v>4.9599999999999998E-2</v>
      </c>
      <c r="G19580" s="26">
        <v>3.15E-2</v>
      </c>
      <c r="H19580" s="26">
        <v>3.2500000000000001E-2</v>
      </c>
      <c r="I19580" s="26">
        <v>2.9999999999999997E-4</v>
      </c>
      <c r="K19580">
        <v>259</v>
      </c>
    </row>
    <row r="19581" spans="1:11" x14ac:dyDescent="0.35">
      <c r="A19581" t="s">
        <v>229</v>
      </c>
      <c r="B19581" t="s">
        <v>248</v>
      </c>
      <c r="C19581" s="26">
        <v>0.73919999999999997</v>
      </c>
      <c r="D19581" s="26">
        <v>7.5800000000000006E-2</v>
      </c>
      <c r="E19581" s="26">
        <v>0.16020000000000001</v>
      </c>
      <c r="F19581" s="26">
        <v>5.28E-2</v>
      </c>
      <c r="G19581" s="26">
        <v>2.9399999999999999E-2</v>
      </c>
      <c r="H19581" s="26">
        <v>1.0999999999999999E-2</v>
      </c>
      <c r="J19581" s="26">
        <v>1E-3</v>
      </c>
      <c r="K19581">
        <v>633</v>
      </c>
    </row>
    <row r="19582" spans="1:11" x14ac:dyDescent="0.35">
      <c r="A19582" t="s">
        <v>230</v>
      </c>
      <c r="B19582" t="s">
        <v>249</v>
      </c>
      <c r="C19582" s="26">
        <v>0.71299999999999997</v>
      </c>
      <c r="D19582" s="26">
        <v>0.1767</v>
      </c>
      <c r="E19582" s="26">
        <v>2.9000000000000001E-2</v>
      </c>
      <c r="F19582" s="26">
        <v>8.9099999999999999E-2</v>
      </c>
      <c r="G19582" s="26">
        <v>1.9400000000000001E-2</v>
      </c>
      <c r="H19582" s="26">
        <v>5.4000000000000003E-3</v>
      </c>
      <c r="K19582">
        <v>171</v>
      </c>
    </row>
    <row r="19583" spans="1:11" x14ac:dyDescent="0.35">
      <c r="A19583" t="s">
        <v>230</v>
      </c>
      <c r="B19583" t="s">
        <v>248</v>
      </c>
      <c r="C19583" s="26">
        <v>0.69169999999999998</v>
      </c>
      <c r="D19583" s="26">
        <v>0.22259999999999999</v>
      </c>
      <c r="E19583" s="26">
        <v>5.7500000000000002E-2</v>
      </c>
      <c r="F19583" s="26">
        <v>6.4199999999999993E-2</v>
      </c>
      <c r="G19583" s="26">
        <v>7.0099999999999996E-2</v>
      </c>
      <c r="H19583" s="26">
        <v>2.1999999999999999E-2</v>
      </c>
      <c r="I19583" s="26">
        <v>8.0000000000000004E-4</v>
      </c>
      <c r="K19583">
        <v>388</v>
      </c>
    </row>
    <row r="19584" spans="1:11" x14ac:dyDescent="0.35">
      <c r="A19584" t="s">
        <v>231</v>
      </c>
      <c r="B19584" t="s">
        <v>249</v>
      </c>
      <c r="C19584" s="26">
        <v>0.85709999999999997</v>
      </c>
      <c r="D19584" s="26">
        <v>2.86E-2</v>
      </c>
      <c r="E19584" s="26">
        <v>5.7099999999999998E-2</v>
      </c>
      <c r="F19584" s="26">
        <v>5.7099999999999998E-2</v>
      </c>
      <c r="I19584" s="26">
        <v>2.86E-2</v>
      </c>
      <c r="K19584">
        <v>35</v>
      </c>
    </row>
    <row r="19585" spans="1:11" x14ac:dyDescent="0.35">
      <c r="A19585" t="s">
        <v>231</v>
      </c>
      <c r="B19585" t="s">
        <v>248</v>
      </c>
      <c r="C19585" s="26">
        <v>0.88280000000000003</v>
      </c>
      <c r="D19585" s="26">
        <v>6.25E-2</v>
      </c>
      <c r="E19585" s="26">
        <v>1.5599999999999999E-2</v>
      </c>
      <c r="F19585" s="26">
        <v>4.6899999999999997E-2</v>
      </c>
      <c r="G19585" s="26">
        <v>7.7999999999999996E-3</v>
      </c>
      <c r="K19585">
        <v>128</v>
      </c>
    </row>
    <row r="19586" spans="1:11" x14ac:dyDescent="0.35">
      <c r="A19586" t="s">
        <v>232</v>
      </c>
      <c r="B19586" t="s">
        <v>232</v>
      </c>
      <c r="C19586" s="26">
        <v>0.78259999999999996</v>
      </c>
      <c r="D19586" s="26">
        <v>0.1094</v>
      </c>
      <c r="E19586" s="26">
        <v>7.2499999999999995E-2</v>
      </c>
      <c r="F19586" s="26">
        <v>5.3100000000000001E-2</v>
      </c>
      <c r="G19586" s="26">
        <v>2.6800000000000001E-2</v>
      </c>
      <c r="H19586" s="26">
        <v>1.5100000000000001E-2</v>
      </c>
      <c r="I19586" s="26">
        <v>2.0999999999999999E-3</v>
      </c>
      <c r="J19586" s="26">
        <v>2.9999999999999997E-4</v>
      </c>
      <c r="K19586">
        <v>2803</v>
      </c>
    </row>
    <row r="19588" spans="1:11" x14ac:dyDescent="0.35">
      <c r="A19588" s="1" t="s">
        <v>1955</v>
      </c>
    </row>
    <row r="19589" spans="1:11" x14ac:dyDescent="0.35">
      <c r="A19589" t="s">
        <v>219</v>
      </c>
      <c r="B19589" t="s">
        <v>305</v>
      </c>
      <c r="C19589" t="s">
        <v>1942</v>
      </c>
      <c r="D19589" t="s">
        <v>1943</v>
      </c>
      <c r="E19589" t="s">
        <v>1944</v>
      </c>
      <c r="F19589" t="s">
        <v>1945</v>
      </c>
      <c r="G19589" t="s">
        <v>1946</v>
      </c>
      <c r="H19589" t="s">
        <v>1947</v>
      </c>
      <c r="I19589" t="s">
        <v>281</v>
      </c>
      <c r="J19589" t="s">
        <v>286</v>
      </c>
      <c r="K19589" t="s">
        <v>226</v>
      </c>
    </row>
    <row r="19590" spans="1:11" x14ac:dyDescent="0.35">
      <c r="A19590" s="27" t="s">
        <v>227</v>
      </c>
      <c r="B19590" s="27" t="s">
        <v>263</v>
      </c>
      <c r="C19590" s="28">
        <v>1</v>
      </c>
      <c r="D19590" s="29"/>
      <c r="E19590" s="29"/>
      <c r="F19590" s="29"/>
      <c r="G19590" s="29"/>
      <c r="H19590" s="29"/>
      <c r="I19590" s="29"/>
      <c r="J19590" s="29"/>
      <c r="K19590" s="29" t="s">
        <v>315</v>
      </c>
    </row>
    <row r="19591" spans="1:11" x14ac:dyDescent="0.35">
      <c r="A19591" t="s">
        <v>227</v>
      </c>
      <c r="B19591" t="s">
        <v>261</v>
      </c>
      <c r="C19591" s="26">
        <v>0.72729999999999995</v>
      </c>
      <c r="D19591" s="26">
        <v>0.18179999999999999</v>
      </c>
      <c r="E19591" s="26">
        <v>3.0300000000000001E-2</v>
      </c>
      <c r="G19591" s="26">
        <v>3.0300000000000001E-2</v>
      </c>
      <c r="H19591" s="26">
        <v>3.0300000000000001E-2</v>
      </c>
      <c r="K19591">
        <v>33</v>
      </c>
    </row>
    <row r="19592" spans="1:11" x14ac:dyDescent="0.35">
      <c r="A19592" s="27" t="s">
        <v>227</v>
      </c>
      <c r="B19592" s="27" t="s">
        <v>262</v>
      </c>
      <c r="C19592" s="28">
        <v>1</v>
      </c>
      <c r="D19592" s="29"/>
      <c r="E19592" s="29"/>
      <c r="F19592" s="29"/>
      <c r="G19592" s="29"/>
      <c r="H19592" s="29"/>
      <c r="I19592" s="29"/>
      <c r="J19592" s="29"/>
      <c r="K19592" s="29" t="s">
        <v>315</v>
      </c>
    </row>
    <row r="19593" spans="1:11" x14ac:dyDescent="0.35">
      <c r="A19593" t="s">
        <v>227</v>
      </c>
      <c r="B19593" t="s">
        <v>260</v>
      </c>
      <c r="C19593" s="26">
        <v>0.77049999999999996</v>
      </c>
      <c r="D19593" s="26">
        <v>0.1148</v>
      </c>
      <c r="E19593" s="26">
        <v>4.9200000000000001E-2</v>
      </c>
      <c r="F19593" s="26">
        <v>3.2800000000000003E-2</v>
      </c>
      <c r="G19593" s="26">
        <v>2.46E-2</v>
      </c>
      <c r="H19593" s="26">
        <v>2.46E-2</v>
      </c>
      <c r="K19593">
        <v>122</v>
      </c>
    </row>
    <row r="19594" spans="1:11" x14ac:dyDescent="0.35">
      <c r="A19594" t="s">
        <v>228</v>
      </c>
      <c r="B19594" t="s">
        <v>261</v>
      </c>
      <c r="C19594" s="26">
        <v>0.80720000000000003</v>
      </c>
      <c r="D19594" s="26">
        <v>0.1208</v>
      </c>
      <c r="E19594" s="26">
        <v>5.8400000000000001E-2</v>
      </c>
      <c r="F19594" s="26">
        <v>6.9800000000000001E-2</v>
      </c>
      <c r="G19594" s="26">
        <v>5.2600000000000001E-2</v>
      </c>
      <c r="H19594" s="26">
        <v>5.8999999999999999E-3</v>
      </c>
      <c r="K19594">
        <v>189</v>
      </c>
    </row>
    <row r="19595" spans="1:11" x14ac:dyDescent="0.35">
      <c r="A19595" s="27" t="s">
        <v>228</v>
      </c>
      <c r="B19595" s="27" t="s">
        <v>263</v>
      </c>
      <c r="C19595" s="28">
        <v>0.754</v>
      </c>
      <c r="D19595" s="28">
        <v>0.16420000000000001</v>
      </c>
      <c r="E19595" s="28">
        <v>2.5899999999999999E-2</v>
      </c>
      <c r="F19595" s="28">
        <v>2.5899999999999999E-2</v>
      </c>
      <c r="G19595" s="28">
        <v>9.4700000000000006E-2</v>
      </c>
      <c r="H19595" s="28">
        <v>2.5899999999999999E-2</v>
      </c>
      <c r="I19595" s="29"/>
      <c r="J19595" s="29"/>
      <c r="K19595" s="29" t="s">
        <v>312</v>
      </c>
    </row>
    <row r="19596" spans="1:11" x14ac:dyDescent="0.35">
      <c r="A19596" s="27" t="s">
        <v>228</v>
      </c>
      <c r="B19596" s="27" t="s">
        <v>236</v>
      </c>
      <c r="C19596" s="28">
        <v>0.78839999999999999</v>
      </c>
      <c r="D19596" s="28">
        <v>0.17269999999999999</v>
      </c>
      <c r="E19596" s="29"/>
      <c r="F19596" s="29"/>
      <c r="G19596" s="28">
        <v>0.17269999999999999</v>
      </c>
      <c r="H19596" s="29"/>
      <c r="I19596" s="29"/>
      <c r="J19596" s="29"/>
      <c r="K19596" s="29" t="s">
        <v>335</v>
      </c>
    </row>
    <row r="19597" spans="1:11" x14ac:dyDescent="0.35">
      <c r="A19597" t="s">
        <v>228</v>
      </c>
      <c r="B19597" t="s">
        <v>262</v>
      </c>
      <c r="C19597" s="26">
        <v>0.72960000000000003</v>
      </c>
      <c r="D19597" s="26">
        <v>0.1676</v>
      </c>
      <c r="E19597" s="26">
        <v>6.3899999999999998E-2</v>
      </c>
      <c r="F19597" s="26">
        <v>8.2500000000000004E-2</v>
      </c>
      <c r="G19597" s="26">
        <v>7.3499999999999996E-2</v>
      </c>
      <c r="H19597" s="26">
        <v>4.1599999999999998E-2</v>
      </c>
      <c r="J19597" s="26">
        <v>2.5000000000000001E-3</v>
      </c>
      <c r="K19597">
        <v>200</v>
      </c>
    </row>
    <row r="19598" spans="1:11" x14ac:dyDescent="0.35">
      <c r="A19598" t="s">
        <v>228</v>
      </c>
      <c r="B19598" t="s">
        <v>260</v>
      </c>
      <c r="C19598" s="26">
        <v>0.79010000000000002</v>
      </c>
      <c r="D19598" s="26">
        <v>0.1056</v>
      </c>
      <c r="E19598" s="26">
        <v>3.9199999999999999E-2</v>
      </c>
      <c r="F19598" s="26">
        <v>7.4499999999999997E-2</v>
      </c>
      <c r="G19598" s="26">
        <v>2.3699999999999999E-2</v>
      </c>
      <c r="H19598" s="26">
        <v>2.5100000000000001E-2</v>
      </c>
      <c r="I19598" s="26">
        <v>2.5999999999999999E-3</v>
      </c>
      <c r="K19598">
        <v>608</v>
      </c>
    </row>
    <row r="19599" spans="1:11" x14ac:dyDescent="0.35">
      <c r="A19599" s="27" t="s">
        <v>229</v>
      </c>
      <c r="B19599" s="27" t="s">
        <v>263</v>
      </c>
      <c r="C19599" s="28">
        <v>0.82720000000000005</v>
      </c>
      <c r="D19599" s="28">
        <v>1.7100000000000001E-2</v>
      </c>
      <c r="E19599" s="28">
        <v>0.15570000000000001</v>
      </c>
      <c r="F19599" s="29"/>
      <c r="G19599" s="29"/>
      <c r="H19599" s="28">
        <v>1.7100000000000001E-2</v>
      </c>
      <c r="I19599" s="29"/>
      <c r="J19599" s="29"/>
      <c r="K19599" s="29" t="s">
        <v>379</v>
      </c>
    </row>
    <row r="19600" spans="1:11" x14ac:dyDescent="0.35">
      <c r="A19600" t="s">
        <v>229</v>
      </c>
      <c r="B19600" t="s">
        <v>262</v>
      </c>
      <c r="C19600" s="26">
        <v>0.61399999999999999</v>
      </c>
      <c r="D19600" s="26">
        <v>0.1701</v>
      </c>
      <c r="E19600" s="26">
        <v>0.24199999999999999</v>
      </c>
      <c r="F19600" s="26">
        <v>8.7800000000000003E-2</v>
      </c>
      <c r="G19600" s="26">
        <v>1.9599999999999999E-2</v>
      </c>
      <c r="H19600" s="26">
        <v>3.7699999999999997E-2</v>
      </c>
      <c r="K19600">
        <v>186</v>
      </c>
    </row>
    <row r="19601" spans="1:11" x14ac:dyDescent="0.35">
      <c r="A19601" t="s">
        <v>229</v>
      </c>
      <c r="B19601" t="s">
        <v>261</v>
      </c>
      <c r="C19601" s="26">
        <v>0.73829999999999996</v>
      </c>
      <c r="D19601" s="26">
        <v>0.10489999999999999</v>
      </c>
      <c r="E19601" s="26">
        <v>0.1527</v>
      </c>
      <c r="F19601" s="26">
        <v>4.3999999999999997E-2</v>
      </c>
      <c r="G19601" s="26">
        <v>0.10150000000000001</v>
      </c>
      <c r="H19601" s="26">
        <v>2.7300000000000001E-2</v>
      </c>
      <c r="K19601">
        <v>95</v>
      </c>
    </row>
    <row r="19602" spans="1:11" x14ac:dyDescent="0.35">
      <c r="A19602" s="27" t="s">
        <v>229</v>
      </c>
      <c r="B19602" s="27" t="s">
        <v>236</v>
      </c>
      <c r="C19602" s="29"/>
      <c r="D19602" s="29"/>
      <c r="E19602" s="29"/>
      <c r="F19602" s="28">
        <v>1</v>
      </c>
      <c r="G19602" s="29"/>
      <c r="H19602" s="29"/>
      <c r="I19602" s="29"/>
      <c r="J19602" s="29"/>
      <c r="K19602" s="29" t="s">
        <v>331</v>
      </c>
    </row>
    <row r="19603" spans="1:11" x14ac:dyDescent="0.35">
      <c r="A19603" t="s">
        <v>229</v>
      </c>
      <c r="B19603" t="s">
        <v>260</v>
      </c>
      <c r="C19603" s="26">
        <v>0.77539999999999998</v>
      </c>
      <c r="D19603" s="26">
        <v>9.0499999999999997E-2</v>
      </c>
      <c r="E19603" s="26">
        <v>0.1215</v>
      </c>
      <c r="F19603" s="26">
        <v>3.73E-2</v>
      </c>
      <c r="G19603" s="26">
        <v>1.7600000000000001E-2</v>
      </c>
      <c r="H19603" s="26">
        <v>5.8999999999999999E-3</v>
      </c>
      <c r="I19603" s="26">
        <v>2.0000000000000001E-4</v>
      </c>
      <c r="J19603" s="26">
        <v>1.1999999999999999E-3</v>
      </c>
      <c r="K19603">
        <v>596</v>
      </c>
    </row>
    <row r="19604" spans="1:11" x14ac:dyDescent="0.35">
      <c r="A19604" s="27" t="s">
        <v>230</v>
      </c>
      <c r="B19604" s="27" t="s">
        <v>236</v>
      </c>
      <c r="C19604" s="28">
        <v>0.88100000000000001</v>
      </c>
      <c r="D19604" s="29"/>
      <c r="E19604" s="29"/>
      <c r="F19604" s="28">
        <v>0.11899999999999999</v>
      </c>
      <c r="G19604" s="29"/>
      <c r="H19604" s="29"/>
      <c r="I19604" s="29"/>
      <c r="J19604" s="29"/>
      <c r="K19604" s="29" t="s">
        <v>337</v>
      </c>
    </row>
    <row r="19605" spans="1:11" x14ac:dyDescent="0.35">
      <c r="A19605" t="s">
        <v>230</v>
      </c>
      <c r="B19605" t="s">
        <v>262</v>
      </c>
      <c r="C19605" s="26">
        <v>0.65529999999999999</v>
      </c>
      <c r="D19605" s="26">
        <v>0.27200000000000002</v>
      </c>
      <c r="E19605" s="26">
        <v>3.9100000000000003E-2</v>
      </c>
      <c r="F19605" s="26">
        <v>9.1200000000000003E-2</v>
      </c>
      <c r="G19605" s="26">
        <v>3.6900000000000002E-2</v>
      </c>
      <c r="H19605" s="26">
        <v>0.01</v>
      </c>
      <c r="I19605" s="26">
        <v>1.9E-3</v>
      </c>
      <c r="K19605">
        <v>121</v>
      </c>
    </row>
    <row r="19606" spans="1:11" x14ac:dyDescent="0.35">
      <c r="A19606" t="s">
        <v>230</v>
      </c>
      <c r="B19606" t="s">
        <v>261</v>
      </c>
      <c r="C19606" s="26">
        <v>0.68979999999999997</v>
      </c>
      <c r="D19606" s="26">
        <v>0.22339999999999999</v>
      </c>
      <c r="F19606" s="26">
        <v>4.65E-2</v>
      </c>
      <c r="G19606" s="26">
        <v>8.48E-2</v>
      </c>
      <c r="H19606" s="26">
        <v>4.0399999999999998E-2</v>
      </c>
      <c r="K19606">
        <v>57</v>
      </c>
    </row>
    <row r="19607" spans="1:11" x14ac:dyDescent="0.35">
      <c r="A19607" s="27" t="s">
        <v>230</v>
      </c>
      <c r="B19607" s="27" t="s">
        <v>263</v>
      </c>
      <c r="C19607" s="28">
        <v>0.2651</v>
      </c>
      <c r="D19607" s="28">
        <v>0.60929999999999995</v>
      </c>
      <c r="E19607" s="28">
        <v>1.6799999999999999E-2</v>
      </c>
      <c r="F19607" s="28">
        <v>0.45179999999999998</v>
      </c>
      <c r="G19607" s="28">
        <v>7.1199999999999999E-2</v>
      </c>
      <c r="H19607" s="28">
        <v>5.0299999999999997E-2</v>
      </c>
      <c r="I19607" s="29"/>
      <c r="J19607" s="29"/>
      <c r="K19607" s="29" t="s">
        <v>312</v>
      </c>
    </row>
    <row r="19608" spans="1:11" x14ac:dyDescent="0.35">
      <c r="A19608" t="s">
        <v>230</v>
      </c>
      <c r="B19608" t="s">
        <v>260</v>
      </c>
      <c r="C19608" s="26">
        <v>0.71809999999999996</v>
      </c>
      <c r="D19608" s="26">
        <v>0.18310000000000001</v>
      </c>
      <c r="E19608" s="26">
        <v>6.0199999999999997E-2</v>
      </c>
      <c r="F19608" s="26">
        <v>6.4299999999999996E-2</v>
      </c>
      <c r="G19608" s="26">
        <v>5.0299999999999997E-2</v>
      </c>
      <c r="H19608" s="26">
        <v>1.2500000000000001E-2</v>
      </c>
      <c r="I19608" s="26">
        <v>4.0000000000000002E-4</v>
      </c>
      <c r="K19608">
        <v>352</v>
      </c>
    </row>
    <row r="19609" spans="1:11" x14ac:dyDescent="0.35">
      <c r="A19609" s="27" t="s">
        <v>231</v>
      </c>
      <c r="B19609" s="27" t="s">
        <v>263</v>
      </c>
      <c r="C19609" s="28">
        <v>1</v>
      </c>
      <c r="D19609" s="29"/>
      <c r="E19609" s="29"/>
      <c r="F19609" s="29"/>
      <c r="G19609" s="29"/>
      <c r="H19609" s="29"/>
      <c r="I19609" s="29"/>
      <c r="J19609" s="29"/>
      <c r="K19609" s="29" t="s">
        <v>314</v>
      </c>
    </row>
    <row r="19610" spans="1:11" x14ac:dyDescent="0.35">
      <c r="A19610" t="s">
        <v>231</v>
      </c>
      <c r="B19610" t="s">
        <v>260</v>
      </c>
      <c r="C19610" s="26">
        <v>0.86180000000000001</v>
      </c>
      <c r="D19610" s="26">
        <v>6.5000000000000002E-2</v>
      </c>
      <c r="E19610" s="26">
        <v>3.2500000000000001E-2</v>
      </c>
      <c r="F19610" s="26">
        <v>4.8800000000000003E-2</v>
      </c>
      <c r="G19610" s="26">
        <v>8.0999999999999996E-3</v>
      </c>
      <c r="I19610" s="26">
        <v>8.0999999999999996E-3</v>
      </c>
      <c r="K19610">
        <v>123</v>
      </c>
    </row>
    <row r="19611" spans="1:11" x14ac:dyDescent="0.35">
      <c r="A19611" s="27" t="s">
        <v>231</v>
      </c>
      <c r="B19611" s="27" t="s">
        <v>261</v>
      </c>
      <c r="C19611" s="28">
        <v>0.92589999999999995</v>
      </c>
      <c r="D19611" s="28">
        <v>3.6999999999999998E-2</v>
      </c>
      <c r="E19611" s="29"/>
      <c r="F19611" s="28">
        <v>3.6999999999999998E-2</v>
      </c>
      <c r="G19611" s="29"/>
      <c r="H19611" s="29"/>
      <c r="I19611" s="29"/>
      <c r="J19611" s="29"/>
      <c r="K19611" s="29" t="s">
        <v>338</v>
      </c>
    </row>
    <row r="19612" spans="1:11" x14ac:dyDescent="0.35">
      <c r="A19612" s="27" t="s">
        <v>231</v>
      </c>
      <c r="B19612" s="27" t="s">
        <v>262</v>
      </c>
      <c r="C19612" s="28">
        <v>0.90910000000000002</v>
      </c>
      <c r="D19612" s="29"/>
      <c r="E19612" s="29"/>
      <c r="F19612" s="28">
        <v>9.0899999999999995E-2</v>
      </c>
      <c r="G19612" s="29"/>
      <c r="H19612" s="29"/>
      <c r="I19612" s="29"/>
      <c r="J19612" s="29"/>
      <c r="K19612" s="29" t="s">
        <v>352</v>
      </c>
    </row>
    <row r="19613" spans="1:11" x14ac:dyDescent="0.35">
      <c r="A19613" t="s">
        <v>232</v>
      </c>
      <c r="B19613" t="s">
        <v>232</v>
      </c>
      <c r="C19613" s="26">
        <v>0.78259999999999996</v>
      </c>
      <c r="D19613" s="26">
        <v>0.1094</v>
      </c>
      <c r="E19613" s="26">
        <v>7.2499999999999995E-2</v>
      </c>
      <c r="F19613" s="26">
        <v>5.3100000000000001E-2</v>
      </c>
      <c r="G19613" s="26">
        <v>2.6800000000000001E-2</v>
      </c>
      <c r="H19613" s="26">
        <v>1.5100000000000001E-2</v>
      </c>
      <c r="I19613" s="26">
        <v>2.0999999999999999E-3</v>
      </c>
      <c r="J19613" s="26">
        <v>2.9999999999999997E-4</v>
      </c>
      <c r="K19613">
        <v>2803</v>
      </c>
    </row>
    <row r="19615" spans="1:11" x14ac:dyDescent="0.35">
      <c r="A19615" s="1" t="s">
        <v>1956</v>
      </c>
    </row>
    <row r="19616" spans="1:11" x14ac:dyDescent="0.35">
      <c r="A19616" t="s">
        <v>219</v>
      </c>
      <c r="B19616" t="s">
        <v>305</v>
      </c>
      <c r="C19616" t="s">
        <v>1942</v>
      </c>
      <c r="D19616" t="s">
        <v>1943</v>
      </c>
      <c r="E19616" t="s">
        <v>1944</v>
      </c>
      <c r="F19616" t="s">
        <v>1945</v>
      </c>
      <c r="G19616" t="s">
        <v>1946</v>
      </c>
      <c r="H19616" t="s">
        <v>1947</v>
      </c>
      <c r="I19616" t="s">
        <v>281</v>
      </c>
      <c r="J19616" t="s">
        <v>286</v>
      </c>
      <c r="K19616" t="s">
        <v>226</v>
      </c>
    </row>
    <row r="19617" spans="1:11" x14ac:dyDescent="0.35">
      <c r="A19617" t="s">
        <v>227</v>
      </c>
      <c r="B19617" t="s">
        <v>368</v>
      </c>
      <c r="C19617" s="26">
        <v>0.72729999999999995</v>
      </c>
      <c r="D19617" s="26">
        <v>0.18179999999999999</v>
      </c>
      <c r="E19617" s="26">
        <v>3.0300000000000001E-2</v>
      </c>
      <c r="G19617" s="26">
        <v>3.0300000000000001E-2</v>
      </c>
      <c r="H19617" s="26">
        <v>3.0300000000000001E-2</v>
      </c>
      <c r="K19617">
        <v>33</v>
      </c>
    </row>
    <row r="19618" spans="1:11" x14ac:dyDescent="0.35">
      <c r="A19618" t="s">
        <v>227</v>
      </c>
      <c r="B19618" t="s">
        <v>369</v>
      </c>
      <c r="C19618" s="26">
        <v>0.78120000000000001</v>
      </c>
      <c r="D19618" s="26">
        <v>0.1094</v>
      </c>
      <c r="E19618" s="26">
        <v>4.6899999999999997E-2</v>
      </c>
      <c r="F19618" s="26">
        <v>3.1199999999999999E-2</v>
      </c>
      <c r="G19618" s="26">
        <v>2.3400000000000001E-2</v>
      </c>
      <c r="H19618" s="26">
        <v>2.3400000000000001E-2</v>
      </c>
      <c r="K19618">
        <v>128</v>
      </c>
    </row>
    <row r="19619" spans="1:11" x14ac:dyDescent="0.35">
      <c r="A19619" t="s">
        <v>228</v>
      </c>
      <c r="B19619" t="s">
        <v>368</v>
      </c>
      <c r="C19619" s="26">
        <v>0.80720000000000003</v>
      </c>
      <c r="D19619" s="26">
        <v>0.1208</v>
      </c>
      <c r="E19619" s="26">
        <v>5.8400000000000001E-2</v>
      </c>
      <c r="F19619" s="26">
        <v>6.9800000000000001E-2</v>
      </c>
      <c r="G19619" s="26">
        <v>5.2600000000000001E-2</v>
      </c>
      <c r="H19619" s="26">
        <v>5.8999999999999999E-3</v>
      </c>
      <c r="K19619">
        <v>189</v>
      </c>
    </row>
    <row r="19620" spans="1:11" x14ac:dyDescent="0.35">
      <c r="A19620" t="s">
        <v>228</v>
      </c>
      <c r="B19620" t="s">
        <v>369</v>
      </c>
      <c r="C19620" s="26">
        <v>0.77680000000000005</v>
      </c>
      <c r="D19620" s="26">
        <v>0.1203</v>
      </c>
      <c r="E19620" s="26">
        <v>4.3700000000000003E-2</v>
      </c>
      <c r="F19620" s="26">
        <v>7.4399999999999994E-2</v>
      </c>
      <c r="G19620" s="26">
        <v>3.6799999999999999E-2</v>
      </c>
      <c r="H19620" s="26">
        <v>2.8400000000000002E-2</v>
      </c>
      <c r="I19620" s="26">
        <v>2E-3</v>
      </c>
      <c r="J19620" s="26">
        <v>5.0000000000000001E-4</v>
      </c>
      <c r="K19620">
        <v>839</v>
      </c>
    </row>
    <row r="19621" spans="1:11" x14ac:dyDescent="0.35">
      <c r="A19621" t="s">
        <v>229</v>
      </c>
      <c r="B19621" t="s">
        <v>368</v>
      </c>
      <c r="C19621" s="26">
        <v>0.73829999999999996</v>
      </c>
      <c r="D19621" s="26">
        <v>0.10489999999999999</v>
      </c>
      <c r="E19621" s="26">
        <v>0.1527</v>
      </c>
      <c r="F19621" s="26">
        <v>4.3999999999999997E-2</v>
      </c>
      <c r="G19621" s="26">
        <v>0.10150000000000001</v>
      </c>
      <c r="H19621" s="26">
        <v>2.7300000000000001E-2</v>
      </c>
      <c r="K19621">
        <v>95</v>
      </c>
    </row>
    <row r="19622" spans="1:11" x14ac:dyDescent="0.35">
      <c r="A19622" t="s">
        <v>229</v>
      </c>
      <c r="B19622" t="s">
        <v>369</v>
      </c>
      <c r="C19622" s="26">
        <v>0.72389999999999999</v>
      </c>
      <c r="D19622" s="26">
        <v>0.1147</v>
      </c>
      <c r="E19622" s="26">
        <v>0.1615</v>
      </c>
      <c r="F19622" s="26">
        <v>5.3100000000000001E-2</v>
      </c>
      <c r="G19622" s="26">
        <v>1.78E-2</v>
      </c>
      <c r="H19622" s="26">
        <v>1.6500000000000001E-2</v>
      </c>
      <c r="I19622" s="26">
        <v>1E-4</v>
      </c>
      <c r="J19622" s="26">
        <v>8.0000000000000004E-4</v>
      </c>
      <c r="K19622">
        <v>797</v>
      </c>
    </row>
    <row r="19623" spans="1:11" x14ac:dyDescent="0.35">
      <c r="A19623" t="s">
        <v>230</v>
      </c>
      <c r="B19623" t="s">
        <v>368</v>
      </c>
      <c r="C19623" s="26">
        <v>0.68979999999999997</v>
      </c>
      <c r="D19623" s="26">
        <v>0.22339999999999999</v>
      </c>
      <c r="F19623" s="26">
        <v>4.65E-2</v>
      </c>
      <c r="G19623" s="26">
        <v>8.48E-2</v>
      </c>
      <c r="H19623" s="26">
        <v>4.0399999999999998E-2</v>
      </c>
      <c r="K19623">
        <v>57</v>
      </c>
    </row>
    <row r="19624" spans="1:11" x14ac:dyDescent="0.35">
      <c r="A19624" t="s">
        <v>230</v>
      </c>
      <c r="B19624" t="s">
        <v>369</v>
      </c>
      <c r="C19624" s="26">
        <v>0.70030000000000003</v>
      </c>
      <c r="D19624" s="26">
        <v>0.20449999999999999</v>
      </c>
      <c r="E19624" s="26">
        <v>5.5300000000000002E-2</v>
      </c>
      <c r="F19624" s="26">
        <v>7.6700000000000004E-2</v>
      </c>
      <c r="G19624" s="26">
        <v>4.8000000000000001E-2</v>
      </c>
      <c r="H19624" s="26">
        <v>1.2699999999999999E-2</v>
      </c>
      <c r="I19624" s="26">
        <v>5.9999999999999995E-4</v>
      </c>
      <c r="K19624">
        <v>502</v>
      </c>
    </row>
    <row r="19625" spans="1:11" x14ac:dyDescent="0.35">
      <c r="A19625" s="27" t="s">
        <v>231</v>
      </c>
      <c r="B19625" s="27" t="s">
        <v>368</v>
      </c>
      <c r="C19625" s="28">
        <v>0.92589999999999995</v>
      </c>
      <c r="D19625" s="28">
        <v>3.6999999999999998E-2</v>
      </c>
      <c r="E19625" s="29"/>
      <c r="F19625" s="28">
        <v>3.6999999999999998E-2</v>
      </c>
      <c r="G19625" s="29"/>
      <c r="H19625" s="29"/>
      <c r="I19625" s="29"/>
      <c r="J19625" s="29"/>
      <c r="K19625" s="29" t="s">
        <v>338</v>
      </c>
    </row>
    <row r="19626" spans="1:11" x14ac:dyDescent="0.35">
      <c r="A19626" t="s">
        <v>231</v>
      </c>
      <c r="B19626" t="s">
        <v>369</v>
      </c>
      <c r="C19626" s="26">
        <v>0.86760000000000004</v>
      </c>
      <c r="D19626" s="26">
        <v>5.8799999999999998E-2</v>
      </c>
      <c r="E19626" s="26">
        <v>2.9399999999999999E-2</v>
      </c>
      <c r="F19626" s="26">
        <v>5.1499999999999997E-2</v>
      </c>
      <c r="G19626" s="26">
        <v>7.4000000000000003E-3</v>
      </c>
      <c r="I19626" s="26">
        <v>7.4000000000000003E-3</v>
      </c>
      <c r="K19626">
        <v>136</v>
      </c>
    </row>
    <row r="19627" spans="1:11" x14ac:dyDescent="0.35">
      <c r="A19627" t="s">
        <v>232</v>
      </c>
      <c r="B19627" t="s">
        <v>232</v>
      </c>
      <c r="C19627" s="26">
        <v>0.78259999999999996</v>
      </c>
      <c r="D19627" s="26">
        <v>0.1094</v>
      </c>
      <c r="E19627" s="26">
        <v>7.2499999999999995E-2</v>
      </c>
      <c r="F19627" s="26">
        <v>5.3100000000000001E-2</v>
      </c>
      <c r="G19627" s="26">
        <v>2.6800000000000001E-2</v>
      </c>
      <c r="H19627" s="26">
        <v>1.5100000000000001E-2</v>
      </c>
      <c r="I19627" s="26">
        <v>2.0999999999999999E-3</v>
      </c>
      <c r="J19627" s="26">
        <v>2.9999999999999997E-4</v>
      </c>
      <c r="K19627">
        <v>2803</v>
      </c>
    </row>
    <row r="19629" spans="1:11" x14ac:dyDescent="0.35">
      <c r="A19629" s="1" t="s">
        <v>1957</v>
      </c>
    </row>
    <row r="19630" spans="1:11" x14ac:dyDescent="0.35">
      <c r="A19630" t="s">
        <v>219</v>
      </c>
      <c r="B19630" t="s">
        <v>305</v>
      </c>
      <c r="C19630" t="s">
        <v>1942</v>
      </c>
      <c r="D19630" t="s">
        <v>1943</v>
      </c>
      <c r="E19630" t="s">
        <v>1944</v>
      </c>
      <c r="F19630" t="s">
        <v>1945</v>
      </c>
      <c r="G19630" t="s">
        <v>1946</v>
      </c>
      <c r="H19630" t="s">
        <v>1947</v>
      </c>
      <c r="I19630" t="s">
        <v>281</v>
      </c>
      <c r="J19630" t="s">
        <v>286</v>
      </c>
      <c r="K19630" t="s">
        <v>226</v>
      </c>
    </row>
    <row r="19631" spans="1:11" x14ac:dyDescent="0.35">
      <c r="A19631" t="s">
        <v>227</v>
      </c>
      <c r="B19631" t="s">
        <v>371</v>
      </c>
      <c r="C19631" s="26">
        <v>0.7702</v>
      </c>
      <c r="D19631" s="26">
        <v>0.1242</v>
      </c>
      <c r="E19631" s="26">
        <v>4.3499999999999997E-2</v>
      </c>
      <c r="F19631" s="26">
        <v>2.4799999999999999E-2</v>
      </c>
      <c r="G19631" s="26">
        <v>2.4799999999999999E-2</v>
      </c>
      <c r="H19631" s="26">
        <v>2.4799999999999999E-2</v>
      </c>
      <c r="K19631">
        <v>161</v>
      </c>
    </row>
    <row r="19632" spans="1:11" x14ac:dyDescent="0.35">
      <c r="A19632" t="s">
        <v>228</v>
      </c>
      <c r="B19632" t="s">
        <v>371</v>
      </c>
      <c r="C19632" s="26">
        <v>0.8468</v>
      </c>
      <c r="D19632" s="26">
        <v>8.7999999999999995E-2</v>
      </c>
      <c r="E19632" s="26">
        <v>4.7999999999999996E-3</v>
      </c>
      <c r="F19632" s="26">
        <v>4.4400000000000002E-2</v>
      </c>
      <c r="G19632" s="26">
        <v>0.03</v>
      </c>
      <c r="H19632" s="26">
        <v>0.02</v>
      </c>
      <c r="K19632">
        <v>290</v>
      </c>
    </row>
    <row r="19633" spans="1:11" x14ac:dyDescent="0.35">
      <c r="A19633" t="s">
        <v>228</v>
      </c>
      <c r="B19633" t="s">
        <v>372</v>
      </c>
      <c r="C19633" s="26">
        <v>0.54710000000000003</v>
      </c>
      <c r="D19633" s="26">
        <v>0.2671</v>
      </c>
      <c r="E19633" s="26">
        <v>8.9200000000000002E-2</v>
      </c>
      <c r="F19633" s="26">
        <v>0.17030000000000001</v>
      </c>
      <c r="G19633" s="26">
        <v>0.1105</v>
      </c>
      <c r="H19633" s="26">
        <v>7.3800000000000004E-2</v>
      </c>
      <c r="I19633" s="26">
        <v>4.8999999999999998E-3</v>
      </c>
      <c r="J19633" s="26">
        <v>4.8999999999999998E-3</v>
      </c>
      <c r="K19633">
        <v>217</v>
      </c>
    </row>
    <row r="19634" spans="1:11" x14ac:dyDescent="0.35">
      <c r="A19634" t="s">
        <v>228</v>
      </c>
      <c r="B19634" t="s">
        <v>373</v>
      </c>
      <c r="C19634" s="26">
        <v>0.74890000000000001</v>
      </c>
      <c r="D19634" s="26">
        <v>0.13150000000000001</v>
      </c>
      <c r="E19634" s="26">
        <v>9.2499999999999999E-2</v>
      </c>
      <c r="F19634" s="26">
        <v>9.11E-2</v>
      </c>
      <c r="G19634" s="26">
        <v>3.7600000000000001E-2</v>
      </c>
      <c r="H19634" s="26">
        <v>1.8499999999999999E-2</v>
      </c>
      <c r="I19634" s="26">
        <v>3.0000000000000001E-3</v>
      </c>
      <c r="K19634">
        <v>521</v>
      </c>
    </row>
    <row r="19635" spans="1:11" x14ac:dyDescent="0.35">
      <c r="A19635" t="s">
        <v>229</v>
      </c>
      <c r="B19635" t="s">
        <v>371</v>
      </c>
      <c r="C19635" s="26">
        <v>0.73060000000000003</v>
      </c>
      <c r="D19635" s="26">
        <v>0.10979999999999999</v>
      </c>
      <c r="E19635" s="26">
        <v>0.1666</v>
      </c>
      <c r="F19635" s="26">
        <v>4.7E-2</v>
      </c>
      <c r="G19635" s="26">
        <v>2.7400000000000001E-2</v>
      </c>
      <c r="H19635" s="26">
        <v>1.6299999999999999E-2</v>
      </c>
      <c r="J19635" s="26">
        <v>6.9999999999999999E-4</v>
      </c>
      <c r="K19635">
        <v>582</v>
      </c>
    </row>
    <row r="19636" spans="1:11" x14ac:dyDescent="0.35">
      <c r="A19636" t="s">
        <v>229</v>
      </c>
      <c r="B19636" t="s">
        <v>372</v>
      </c>
      <c r="C19636" s="26">
        <v>0.63329999999999997</v>
      </c>
      <c r="D19636" s="26">
        <v>0.19409999999999999</v>
      </c>
      <c r="E19636" s="26">
        <v>0.1145</v>
      </c>
      <c r="F19636" s="26">
        <v>0.129</v>
      </c>
      <c r="G19636" s="26">
        <v>5.7799999999999997E-2</v>
      </c>
      <c r="H19636" s="26">
        <v>2.75E-2</v>
      </c>
      <c r="K19636">
        <v>220</v>
      </c>
    </row>
    <row r="19637" spans="1:11" x14ac:dyDescent="0.35">
      <c r="A19637" t="s">
        <v>229</v>
      </c>
      <c r="B19637" t="s">
        <v>373</v>
      </c>
      <c r="C19637" s="26">
        <v>0.74250000000000005</v>
      </c>
      <c r="D19637" s="26">
        <v>8.3799999999999999E-2</v>
      </c>
      <c r="E19637" s="26">
        <v>2.47E-2</v>
      </c>
      <c r="F19637" s="26">
        <v>7.1499999999999994E-2</v>
      </c>
      <c r="G19637" s="26">
        <v>7.1499999999999994E-2</v>
      </c>
      <c r="H19637" s="26">
        <v>6.1600000000000002E-2</v>
      </c>
      <c r="I19637" s="26">
        <v>3.5999999999999999E-3</v>
      </c>
      <c r="K19637">
        <v>90</v>
      </c>
    </row>
    <row r="19638" spans="1:11" x14ac:dyDescent="0.35">
      <c r="A19638" t="s">
        <v>230</v>
      </c>
      <c r="B19638" t="s">
        <v>371</v>
      </c>
      <c r="C19638" s="26">
        <v>0.72019999999999995</v>
      </c>
      <c r="D19638" s="26">
        <v>0.18870000000000001</v>
      </c>
      <c r="E19638" s="26">
        <v>4.6600000000000003E-2</v>
      </c>
      <c r="F19638" s="26">
        <v>6.7699999999999996E-2</v>
      </c>
      <c r="G19638" s="26">
        <v>5.0999999999999997E-2</v>
      </c>
      <c r="H19638" s="26">
        <v>1.67E-2</v>
      </c>
      <c r="K19638">
        <v>261</v>
      </c>
    </row>
    <row r="19639" spans="1:11" x14ac:dyDescent="0.35">
      <c r="A19639" t="s">
        <v>230</v>
      </c>
      <c r="B19639" t="s">
        <v>372</v>
      </c>
      <c r="C19639" s="26">
        <v>0.55269999999999997</v>
      </c>
      <c r="D19639" s="26">
        <v>0.2722</v>
      </c>
      <c r="E19639" s="26">
        <v>4.8500000000000001E-2</v>
      </c>
      <c r="F19639" s="26">
        <v>0.19409999999999999</v>
      </c>
      <c r="G19639" s="26">
        <v>5.8000000000000003E-2</v>
      </c>
      <c r="H19639" s="26">
        <v>4.8500000000000001E-2</v>
      </c>
      <c r="I19639" s="26">
        <v>9.4999999999999998E-3</v>
      </c>
      <c r="K19639">
        <v>146</v>
      </c>
    </row>
    <row r="19640" spans="1:11" x14ac:dyDescent="0.35">
      <c r="A19640" t="s">
        <v>230</v>
      </c>
      <c r="B19640" t="s">
        <v>373</v>
      </c>
      <c r="C19640" s="26">
        <v>0.62970000000000004</v>
      </c>
      <c r="D19640" s="26">
        <v>0.29380000000000001</v>
      </c>
      <c r="E19640" s="26">
        <v>5.57E-2</v>
      </c>
      <c r="F19640" s="26">
        <v>4.87E-2</v>
      </c>
      <c r="G19640" s="26">
        <v>6.2600000000000003E-2</v>
      </c>
      <c r="K19640">
        <v>152</v>
      </c>
    </row>
    <row r="19641" spans="1:11" x14ac:dyDescent="0.35">
      <c r="A19641" t="s">
        <v>231</v>
      </c>
      <c r="B19641" t="s">
        <v>371</v>
      </c>
      <c r="C19641" s="26">
        <v>0.87729999999999997</v>
      </c>
      <c r="D19641" s="26">
        <v>5.5199999999999999E-2</v>
      </c>
      <c r="E19641" s="26">
        <v>2.4500000000000001E-2</v>
      </c>
      <c r="F19641" s="26">
        <v>4.9099999999999998E-2</v>
      </c>
      <c r="G19641" s="26">
        <v>6.1000000000000004E-3</v>
      </c>
      <c r="I19641" s="26">
        <v>6.1000000000000004E-3</v>
      </c>
      <c r="K19641">
        <v>163</v>
      </c>
    </row>
    <row r="19642" spans="1:11" x14ac:dyDescent="0.35">
      <c r="A19642" t="s">
        <v>232</v>
      </c>
      <c r="B19642" t="s">
        <v>232</v>
      </c>
      <c r="C19642" s="26">
        <v>0.78259999999999996</v>
      </c>
      <c r="D19642" s="26">
        <v>0.1094</v>
      </c>
      <c r="E19642" s="26">
        <v>7.2499999999999995E-2</v>
      </c>
      <c r="F19642" s="26">
        <v>5.3100000000000001E-2</v>
      </c>
      <c r="G19642" s="26">
        <v>2.6800000000000001E-2</v>
      </c>
      <c r="H19642" s="26">
        <v>1.5100000000000001E-2</v>
      </c>
      <c r="I19642" s="26">
        <v>2.0999999999999999E-3</v>
      </c>
      <c r="J19642" s="26">
        <v>2.9999999999999997E-4</v>
      </c>
      <c r="K19642">
        <v>2803</v>
      </c>
    </row>
    <row r="19644" spans="1:11" x14ac:dyDescent="0.35">
      <c r="A19644" s="1" t="s">
        <v>1958</v>
      </c>
    </row>
    <row r="19645" spans="1:11" x14ac:dyDescent="0.35">
      <c r="A19645" t="s">
        <v>219</v>
      </c>
      <c r="B19645" t="s">
        <v>305</v>
      </c>
      <c r="C19645" t="s">
        <v>1942</v>
      </c>
      <c r="D19645" t="s">
        <v>1943</v>
      </c>
      <c r="E19645" t="s">
        <v>1944</v>
      </c>
      <c r="F19645" t="s">
        <v>1945</v>
      </c>
      <c r="G19645" t="s">
        <v>1946</v>
      </c>
      <c r="H19645" t="s">
        <v>1947</v>
      </c>
      <c r="I19645" t="s">
        <v>281</v>
      </c>
      <c r="J19645" t="s">
        <v>286</v>
      </c>
      <c r="K19645" t="s">
        <v>226</v>
      </c>
    </row>
    <row r="19646" spans="1:11" x14ac:dyDescent="0.35">
      <c r="A19646" t="s">
        <v>227</v>
      </c>
      <c r="B19646" t="s">
        <v>255</v>
      </c>
      <c r="C19646" s="26">
        <v>0.81200000000000006</v>
      </c>
      <c r="D19646" s="26">
        <v>9.4E-2</v>
      </c>
      <c r="E19646" s="26">
        <v>4.2700000000000002E-2</v>
      </c>
      <c r="G19646" s="26">
        <v>2.5600000000000001E-2</v>
      </c>
      <c r="H19646" s="26">
        <v>3.4200000000000001E-2</v>
      </c>
      <c r="K19646">
        <v>117</v>
      </c>
    </row>
    <row r="19647" spans="1:11" x14ac:dyDescent="0.35">
      <c r="A19647" s="27" t="s">
        <v>227</v>
      </c>
      <c r="B19647" s="27" t="s">
        <v>257</v>
      </c>
      <c r="C19647" s="28">
        <v>0.55559999999999998</v>
      </c>
      <c r="D19647" s="28">
        <v>0.33329999999999999</v>
      </c>
      <c r="E19647" s="28">
        <v>0.1111</v>
      </c>
      <c r="F19647" s="29"/>
      <c r="G19647" s="29"/>
      <c r="H19647" s="29"/>
      <c r="I19647" s="29"/>
      <c r="J19647" s="29"/>
      <c r="K19647" s="29" t="s">
        <v>334</v>
      </c>
    </row>
    <row r="19648" spans="1:11" x14ac:dyDescent="0.35">
      <c r="A19648" t="s">
        <v>227</v>
      </c>
      <c r="B19648" t="s">
        <v>256</v>
      </c>
      <c r="C19648" s="26">
        <v>0.68569999999999998</v>
      </c>
      <c r="D19648" s="26">
        <v>0.1714</v>
      </c>
      <c r="E19648" s="26">
        <v>2.86E-2</v>
      </c>
      <c r="F19648" s="26">
        <v>0.1143</v>
      </c>
      <c r="G19648" s="26">
        <v>2.86E-2</v>
      </c>
      <c r="K19648">
        <v>35</v>
      </c>
    </row>
    <row r="19649" spans="1:11" x14ac:dyDescent="0.35">
      <c r="A19649" t="s">
        <v>228</v>
      </c>
      <c r="B19649" t="s">
        <v>257</v>
      </c>
      <c r="C19649" s="26">
        <v>0.74199999999999999</v>
      </c>
      <c r="D19649" s="26">
        <v>0.1426</v>
      </c>
      <c r="E19649" s="26">
        <v>2.0500000000000001E-2</v>
      </c>
      <c r="F19649" s="26">
        <v>0.17780000000000001</v>
      </c>
      <c r="G19649" s="26">
        <v>3.1800000000000002E-2</v>
      </c>
      <c r="H19649" s="26">
        <v>2.3099999999999999E-2</v>
      </c>
      <c r="K19649">
        <v>49</v>
      </c>
    </row>
    <row r="19650" spans="1:11" x14ac:dyDescent="0.35">
      <c r="A19650" s="27" t="s">
        <v>228</v>
      </c>
      <c r="B19650" s="27" t="s">
        <v>258</v>
      </c>
      <c r="C19650" s="28">
        <v>0.79079999999999995</v>
      </c>
      <c r="D19650" s="29"/>
      <c r="E19650" s="29"/>
      <c r="F19650" s="28">
        <v>0.2092</v>
      </c>
      <c r="G19650" s="29"/>
      <c r="H19650" s="29"/>
      <c r="I19650" s="29"/>
      <c r="J19650" s="29"/>
      <c r="K19650" s="29" t="s">
        <v>337</v>
      </c>
    </row>
    <row r="19651" spans="1:11" x14ac:dyDescent="0.35">
      <c r="A19651" t="s">
        <v>228</v>
      </c>
      <c r="B19651" t="s">
        <v>256</v>
      </c>
      <c r="C19651" s="26">
        <v>0.7409</v>
      </c>
      <c r="D19651" s="26">
        <v>0.17849999999999999</v>
      </c>
      <c r="E19651" s="26">
        <v>4.7500000000000001E-2</v>
      </c>
      <c r="F19651" s="26">
        <v>7.0300000000000001E-2</v>
      </c>
      <c r="G19651" s="26">
        <v>5.2600000000000001E-2</v>
      </c>
      <c r="H19651" s="26">
        <v>3.8699999999999998E-2</v>
      </c>
      <c r="K19651">
        <v>220</v>
      </c>
    </row>
    <row r="19652" spans="1:11" x14ac:dyDescent="0.35">
      <c r="A19652" t="s">
        <v>228</v>
      </c>
      <c r="B19652" t="s">
        <v>255</v>
      </c>
      <c r="C19652" s="26">
        <v>0.80010000000000003</v>
      </c>
      <c r="D19652" s="26">
        <v>9.9599999999999994E-2</v>
      </c>
      <c r="E19652" s="26">
        <v>4.8500000000000001E-2</v>
      </c>
      <c r="F19652" s="26">
        <v>6.5799999999999997E-2</v>
      </c>
      <c r="G19652" s="26">
        <v>3.6400000000000002E-2</v>
      </c>
      <c r="H19652" s="26">
        <v>1.9199999999999998E-2</v>
      </c>
      <c r="I19652" s="26">
        <v>2.3E-3</v>
      </c>
      <c r="J19652" s="26">
        <v>5.9999999999999995E-4</v>
      </c>
      <c r="K19652">
        <v>755</v>
      </c>
    </row>
    <row r="19653" spans="1:11" x14ac:dyDescent="0.35">
      <c r="A19653" t="s">
        <v>229</v>
      </c>
      <c r="B19653" t="s">
        <v>256</v>
      </c>
      <c r="C19653" s="26">
        <v>0.70189999999999997</v>
      </c>
      <c r="D19653" s="26">
        <v>0.19059999999999999</v>
      </c>
      <c r="E19653" s="26">
        <v>0.15790000000000001</v>
      </c>
      <c r="F19653" s="26">
        <v>4.9000000000000002E-2</v>
      </c>
      <c r="G19653" s="26">
        <v>3.7499999999999999E-2</v>
      </c>
      <c r="H19653" s="26">
        <v>2.47E-2</v>
      </c>
      <c r="I19653" s="26">
        <v>2.9999999999999997E-4</v>
      </c>
      <c r="K19653">
        <v>207</v>
      </c>
    </row>
    <row r="19654" spans="1:11" x14ac:dyDescent="0.35">
      <c r="A19654" t="s">
        <v>229</v>
      </c>
      <c r="B19654" t="s">
        <v>255</v>
      </c>
      <c r="C19654" s="26">
        <v>0.73919999999999997</v>
      </c>
      <c r="D19654" s="26">
        <v>7.5800000000000006E-2</v>
      </c>
      <c r="E19654" s="26">
        <v>0.16020000000000001</v>
      </c>
      <c r="F19654" s="26">
        <v>5.28E-2</v>
      </c>
      <c r="G19654" s="26">
        <v>2.9399999999999999E-2</v>
      </c>
      <c r="H19654" s="26">
        <v>1.0999999999999999E-2</v>
      </c>
      <c r="J19654" s="26">
        <v>1E-3</v>
      </c>
      <c r="K19654">
        <v>633</v>
      </c>
    </row>
    <row r="19655" spans="1:11" x14ac:dyDescent="0.35">
      <c r="A19655" t="s">
        <v>229</v>
      </c>
      <c r="B19655" t="s">
        <v>257</v>
      </c>
      <c r="C19655" s="26">
        <v>0.68389999999999995</v>
      </c>
      <c r="D19655" s="26">
        <v>0.1835</v>
      </c>
      <c r="E19655" s="26">
        <v>0.17219999999999999</v>
      </c>
      <c r="F19655" s="26">
        <v>5.2900000000000003E-2</v>
      </c>
      <c r="G19655" s="26">
        <v>1.8E-3</v>
      </c>
      <c r="H19655" s="26">
        <v>7.2599999999999998E-2</v>
      </c>
      <c r="K19655">
        <v>50</v>
      </c>
    </row>
    <row r="19656" spans="1:11" x14ac:dyDescent="0.35">
      <c r="A19656" s="27" t="s">
        <v>229</v>
      </c>
      <c r="B19656" s="27" t="s">
        <v>258</v>
      </c>
      <c r="C19656" s="28">
        <v>1</v>
      </c>
      <c r="D19656" s="29"/>
      <c r="E19656" s="29"/>
      <c r="F19656" s="29"/>
      <c r="G19656" s="29"/>
      <c r="H19656" s="29"/>
      <c r="I19656" s="29"/>
      <c r="J19656" s="29"/>
      <c r="K19656" s="29" t="s">
        <v>314</v>
      </c>
    </row>
    <row r="19657" spans="1:11" x14ac:dyDescent="0.35">
      <c r="A19657" t="s">
        <v>230</v>
      </c>
      <c r="B19657" t="s">
        <v>256</v>
      </c>
      <c r="C19657" s="26">
        <v>0.72860000000000003</v>
      </c>
      <c r="D19657" s="26">
        <v>0.1694</v>
      </c>
      <c r="E19657" s="26">
        <v>2.9700000000000001E-2</v>
      </c>
      <c r="F19657" s="26">
        <v>8.5800000000000001E-2</v>
      </c>
      <c r="G19657" s="26">
        <v>2.52E-2</v>
      </c>
      <c r="H19657" s="26">
        <v>3.5000000000000001E-3</v>
      </c>
      <c r="K19657">
        <v>130</v>
      </c>
    </row>
    <row r="19658" spans="1:11" x14ac:dyDescent="0.35">
      <c r="A19658" t="s">
        <v>230</v>
      </c>
      <c r="B19658" t="s">
        <v>255</v>
      </c>
      <c r="C19658" s="26">
        <v>0.69169999999999998</v>
      </c>
      <c r="D19658" s="26">
        <v>0.22259999999999999</v>
      </c>
      <c r="E19658" s="26">
        <v>5.7500000000000002E-2</v>
      </c>
      <c r="F19658" s="26">
        <v>6.4199999999999993E-2</v>
      </c>
      <c r="G19658" s="26">
        <v>7.0099999999999996E-2</v>
      </c>
      <c r="H19658" s="26">
        <v>2.1999999999999999E-2</v>
      </c>
      <c r="I19658" s="26">
        <v>8.0000000000000004E-4</v>
      </c>
      <c r="K19658">
        <v>388</v>
      </c>
    </row>
    <row r="19659" spans="1:11" x14ac:dyDescent="0.35">
      <c r="A19659" t="s">
        <v>230</v>
      </c>
      <c r="B19659" t="s">
        <v>257</v>
      </c>
      <c r="C19659" s="26">
        <v>0.629</v>
      </c>
      <c r="D19659" s="26">
        <v>0.21970000000000001</v>
      </c>
      <c r="E19659" s="26">
        <v>2.92E-2</v>
      </c>
      <c r="F19659" s="26">
        <v>0.10920000000000001</v>
      </c>
      <c r="H19659" s="26">
        <v>1.2800000000000001E-2</v>
      </c>
      <c r="K19659">
        <v>38</v>
      </c>
    </row>
    <row r="19660" spans="1:11" x14ac:dyDescent="0.35">
      <c r="A19660" s="27" t="s">
        <v>230</v>
      </c>
      <c r="B19660" s="27" t="s">
        <v>258</v>
      </c>
      <c r="C19660" s="28">
        <v>1</v>
      </c>
      <c r="D19660" s="29"/>
      <c r="E19660" s="29"/>
      <c r="F19660" s="29"/>
      <c r="G19660" s="29"/>
      <c r="H19660" s="29"/>
      <c r="I19660" s="29"/>
      <c r="J19660" s="29"/>
      <c r="K19660" s="29" t="s">
        <v>315</v>
      </c>
    </row>
    <row r="19661" spans="1:11" x14ac:dyDescent="0.35">
      <c r="A19661" s="27" t="s">
        <v>231</v>
      </c>
      <c r="B19661" s="27" t="s">
        <v>257</v>
      </c>
      <c r="C19661" s="28">
        <v>1</v>
      </c>
      <c r="D19661" s="29"/>
      <c r="E19661" s="29"/>
      <c r="F19661" s="29"/>
      <c r="G19661" s="29"/>
      <c r="H19661" s="29"/>
      <c r="I19661" s="29"/>
      <c r="J19661" s="29"/>
      <c r="K19661" s="29" t="s">
        <v>339</v>
      </c>
    </row>
    <row r="19662" spans="1:11" x14ac:dyDescent="0.35">
      <c r="A19662" t="s">
        <v>231</v>
      </c>
      <c r="B19662" t="s">
        <v>255</v>
      </c>
      <c r="C19662" s="26">
        <v>0.88280000000000003</v>
      </c>
      <c r="D19662" s="26">
        <v>6.25E-2</v>
      </c>
      <c r="E19662" s="26">
        <v>1.5599999999999999E-2</v>
      </c>
      <c r="F19662" s="26">
        <v>4.6899999999999997E-2</v>
      </c>
      <c r="G19662" s="26">
        <v>7.7999999999999996E-3</v>
      </c>
      <c r="K19662">
        <v>128</v>
      </c>
    </row>
    <row r="19663" spans="1:11" x14ac:dyDescent="0.35">
      <c r="A19663" s="27" t="s">
        <v>231</v>
      </c>
      <c r="B19663" s="27" t="s">
        <v>256</v>
      </c>
      <c r="C19663" s="28">
        <v>0.82140000000000002</v>
      </c>
      <c r="D19663" s="28">
        <v>3.5700000000000003E-2</v>
      </c>
      <c r="E19663" s="28">
        <v>7.1400000000000005E-2</v>
      </c>
      <c r="F19663" s="28">
        <v>7.1400000000000005E-2</v>
      </c>
      <c r="G19663" s="29"/>
      <c r="H19663" s="29"/>
      <c r="I19663" s="28">
        <v>3.5700000000000003E-2</v>
      </c>
      <c r="J19663" s="29"/>
      <c r="K19663" s="29" t="s">
        <v>336</v>
      </c>
    </row>
    <row r="19664" spans="1:11" x14ac:dyDescent="0.35">
      <c r="A19664" t="s">
        <v>232</v>
      </c>
      <c r="B19664" t="s">
        <v>232</v>
      </c>
      <c r="C19664" s="26">
        <v>0.78259999999999996</v>
      </c>
      <c r="D19664" s="26">
        <v>0.1094</v>
      </c>
      <c r="E19664" s="26">
        <v>7.2499999999999995E-2</v>
      </c>
      <c r="F19664" s="26">
        <v>5.3100000000000001E-2</v>
      </c>
      <c r="G19664" s="26">
        <v>2.6800000000000001E-2</v>
      </c>
      <c r="H19664" s="26">
        <v>1.5100000000000001E-2</v>
      </c>
      <c r="I19664" s="26">
        <v>2.0999999999999999E-3</v>
      </c>
      <c r="J19664" s="26">
        <v>2.9999999999999997E-4</v>
      </c>
      <c r="K19664">
        <v>2803</v>
      </c>
    </row>
    <row r="19666" spans="1:7" x14ac:dyDescent="0.35">
      <c r="A19666" s="1" t="s">
        <v>1959</v>
      </c>
    </row>
    <row r="19667" spans="1:7" x14ac:dyDescent="0.35">
      <c r="A19667" t="s">
        <v>219</v>
      </c>
      <c r="B19667" t="s">
        <v>302</v>
      </c>
      <c r="C19667" t="s">
        <v>303</v>
      </c>
      <c r="D19667" t="s">
        <v>281</v>
      </c>
      <c r="E19667" t="s">
        <v>286</v>
      </c>
      <c r="F19667" t="s">
        <v>226</v>
      </c>
    </row>
    <row r="19668" spans="1:7" x14ac:dyDescent="0.35">
      <c r="A19668" t="s">
        <v>227</v>
      </c>
      <c r="B19668" s="26">
        <v>0.7329</v>
      </c>
      <c r="C19668" s="26">
        <v>0.2671</v>
      </c>
      <c r="F19668">
        <v>161</v>
      </c>
    </row>
    <row r="19669" spans="1:7" x14ac:dyDescent="0.35">
      <c r="A19669" t="s">
        <v>228</v>
      </c>
      <c r="B19669" s="26">
        <v>0.7218</v>
      </c>
      <c r="C19669" s="26">
        <v>0.26939999999999997</v>
      </c>
      <c r="D19669" s="26">
        <v>8.8000000000000005E-3</v>
      </c>
      <c r="F19669">
        <v>1032</v>
      </c>
    </row>
    <row r="19670" spans="1:7" x14ac:dyDescent="0.35">
      <c r="A19670" t="s">
        <v>229</v>
      </c>
      <c r="B19670" s="26">
        <v>0.69299999999999995</v>
      </c>
      <c r="C19670" s="26">
        <v>0.30299999999999999</v>
      </c>
      <c r="D19670" s="26">
        <v>3.0000000000000001E-3</v>
      </c>
      <c r="E19670" s="26">
        <v>1E-3</v>
      </c>
      <c r="F19670">
        <v>893</v>
      </c>
    </row>
    <row r="19671" spans="1:7" x14ac:dyDescent="0.35">
      <c r="A19671" t="s">
        <v>230</v>
      </c>
      <c r="B19671" s="26">
        <v>0.65200000000000002</v>
      </c>
      <c r="C19671" s="26">
        <v>0.3417</v>
      </c>
      <c r="D19671" s="26">
        <v>6.3E-3</v>
      </c>
      <c r="F19671">
        <v>560</v>
      </c>
    </row>
    <row r="19672" spans="1:7" x14ac:dyDescent="0.35">
      <c r="A19672" t="s">
        <v>231</v>
      </c>
      <c r="B19672" s="26">
        <v>0.72560000000000002</v>
      </c>
      <c r="C19672" s="26">
        <v>0.26219999999999999</v>
      </c>
      <c r="D19672" s="26">
        <v>1.2200000000000001E-2</v>
      </c>
      <c r="F19672">
        <v>164</v>
      </c>
    </row>
    <row r="19673" spans="1:7" x14ac:dyDescent="0.35">
      <c r="A19673" t="s">
        <v>232</v>
      </c>
      <c r="B19673" s="26">
        <v>0.7097</v>
      </c>
      <c r="C19673" s="26">
        <v>0.28349999999999997</v>
      </c>
      <c r="D19673" s="26">
        <v>6.4999999999999997E-3</v>
      </c>
      <c r="E19673" s="26">
        <v>2.9999999999999997E-4</v>
      </c>
      <c r="F19673">
        <v>2810</v>
      </c>
    </row>
    <row r="19675" spans="1:7" x14ac:dyDescent="0.35">
      <c r="A19675" s="1" t="s">
        <v>1960</v>
      </c>
    </row>
    <row r="19676" spans="1:7" x14ac:dyDescent="0.35">
      <c r="A19676" t="s">
        <v>219</v>
      </c>
      <c r="B19676" t="s">
        <v>305</v>
      </c>
      <c r="C19676" t="s">
        <v>302</v>
      </c>
      <c r="D19676" t="s">
        <v>303</v>
      </c>
      <c r="E19676" t="s">
        <v>281</v>
      </c>
      <c r="F19676" t="s">
        <v>286</v>
      </c>
      <c r="G19676" t="s">
        <v>226</v>
      </c>
    </row>
    <row r="19677" spans="1:7" x14ac:dyDescent="0.35">
      <c r="A19677" t="s">
        <v>227</v>
      </c>
      <c r="B19677" t="s">
        <v>242</v>
      </c>
      <c r="C19677" s="26">
        <v>0.75</v>
      </c>
      <c r="D19677" s="26">
        <v>0.25</v>
      </c>
      <c r="G19677">
        <v>68</v>
      </c>
    </row>
    <row r="19678" spans="1:7" x14ac:dyDescent="0.35">
      <c r="A19678" t="s">
        <v>227</v>
      </c>
      <c r="B19678" t="s">
        <v>241</v>
      </c>
      <c r="C19678" s="26">
        <v>0.72040000000000004</v>
      </c>
      <c r="D19678" s="26">
        <v>0.27960000000000002</v>
      </c>
      <c r="G19678">
        <v>93</v>
      </c>
    </row>
    <row r="19679" spans="1:7" x14ac:dyDescent="0.35">
      <c r="A19679" t="s">
        <v>228</v>
      </c>
      <c r="B19679" t="s">
        <v>242</v>
      </c>
      <c r="C19679" s="26">
        <v>0.77890000000000004</v>
      </c>
      <c r="D19679" s="26">
        <v>0.20760000000000001</v>
      </c>
      <c r="E19679" s="26">
        <v>1.35E-2</v>
      </c>
      <c r="G19679">
        <v>401</v>
      </c>
    </row>
    <row r="19680" spans="1:7" x14ac:dyDescent="0.35">
      <c r="A19680" t="s">
        <v>228</v>
      </c>
      <c r="B19680" t="s">
        <v>241</v>
      </c>
      <c r="C19680" s="26">
        <v>0.68920000000000003</v>
      </c>
      <c r="D19680" s="26">
        <v>0.30459999999999998</v>
      </c>
      <c r="E19680" s="26">
        <v>6.1999999999999998E-3</v>
      </c>
      <c r="G19680">
        <v>631</v>
      </c>
    </row>
    <row r="19681" spans="1:7" x14ac:dyDescent="0.35">
      <c r="A19681" t="s">
        <v>229</v>
      </c>
      <c r="B19681" t="s">
        <v>242</v>
      </c>
      <c r="C19681" s="26">
        <v>0.74229999999999996</v>
      </c>
      <c r="D19681" s="26">
        <v>0.25690000000000002</v>
      </c>
      <c r="F19681" s="26">
        <v>8.0000000000000004E-4</v>
      </c>
      <c r="G19681">
        <v>291</v>
      </c>
    </row>
    <row r="19682" spans="1:7" x14ac:dyDescent="0.35">
      <c r="A19682" t="s">
        <v>229</v>
      </c>
      <c r="B19682" t="s">
        <v>241</v>
      </c>
      <c r="C19682" s="26">
        <v>0.66169999999999995</v>
      </c>
      <c r="D19682" s="26">
        <v>0.3322</v>
      </c>
      <c r="E19682" s="26">
        <v>4.8999999999999998E-3</v>
      </c>
      <c r="F19682" s="26">
        <v>1.1000000000000001E-3</v>
      </c>
      <c r="G19682">
        <v>602</v>
      </c>
    </row>
    <row r="19683" spans="1:7" x14ac:dyDescent="0.35">
      <c r="A19683" t="s">
        <v>230</v>
      </c>
      <c r="B19683" t="s">
        <v>242</v>
      </c>
      <c r="C19683" s="26">
        <v>0.68700000000000006</v>
      </c>
      <c r="D19683" s="26">
        <v>0.31030000000000002</v>
      </c>
      <c r="E19683" s="26">
        <v>2.7000000000000001E-3</v>
      </c>
      <c r="G19683">
        <v>189</v>
      </c>
    </row>
    <row r="19684" spans="1:7" x14ac:dyDescent="0.35">
      <c r="A19684" t="s">
        <v>230</v>
      </c>
      <c r="B19684" t="s">
        <v>241</v>
      </c>
      <c r="C19684" s="26">
        <v>0.6341</v>
      </c>
      <c r="D19684" s="26">
        <v>0.35770000000000002</v>
      </c>
      <c r="E19684" s="26">
        <v>8.0999999999999996E-3</v>
      </c>
      <c r="G19684">
        <v>371</v>
      </c>
    </row>
    <row r="19685" spans="1:7" x14ac:dyDescent="0.35">
      <c r="A19685" t="s">
        <v>231</v>
      </c>
      <c r="B19685" t="s">
        <v>242</v>
      </c>
      <c r="C19685" s="26">
        <v>0.79630000000000001</v>
      </c>
      <c r="D19685" s="26">
        <v>0.20369999999999999</v>
      </c>
      <c r="G19685">
        <v>54</v>
      </c>
    </row>
    <row r="19686" spans="1:7" x14ac:dyDescent="0.35">
      <c r="A19686" t="s">
        <v>231</v>
      </c>
      <c r="B19686" t="s">
        <v>241</v>
      </c>
      <c r="C19686" s="26">
        <v>0.69089999999999996</v>
      </c>
      <c r="D19686" s="26">
        <v>0.29089999999999999</v>
      </c>
      <c r="E19686" s="26">
        <v>1.8200000000000001E-2</v>
      </c>
      <c r="G19686">
        <v>110</v>
      </c>
    </row>
    <row r="19687" spans="1:7" x14ac:dyDescent="0.35">
      <c r="A19687" t="s">
        <v>232</v>
      </c>
      <c r="B19687" t="s">
        <v>232</v>
      </c>
      <c r="C19687" s="26">
        <v>0.7097</v>
      </c>
      <c r="D19687" s="26">
        <v>0.28349999999999997</v>
      </c>
      <c r="E19687" s="26">
        <v>6.4999999999999997E-3</v>
      </c>
      <c r="F19687" s="26">
        <v>2.9999999999999997E-4</v>
      </c>
      <c r="G19687">
        <v>2810</v>
      </c>
    </row>
    <row r="19689" spans="1:7" x14ac:dyDescent="0.35">
      <c r="A19689" s="1" t="s">
        <v>1961</v>
      </c>
    </row>
    <row r="19690" spans="1:7" x14ac:dyDescent="0.35">
      <c r="A19690" t="s">
        <v>219</v>
      </c>
      <c r="B19690" t="s">
        <v>305</v>
      </c>
      <c r="C19690" t="s">
        <v>302</v>
      </c>
      <c r="D19690" t="s">
        <v>303</v>
      </c>
      <c r="E19690" t="s">
        <v>281</v>
      </c>
      <c r="F19690" t="s">
        <v>286</v>
      </c>
      <c r="G19690" t="s">
        <v>226</v>
      </c>
    </row>
    <row r="19691" spans="1:7" x14ac:dyDescent="0.35">
      <c r="A19691" t="s">
        <v>227</v>
      </c>
      <c r="B19691" t="s">
        <v>239</v>
      </c>
      <c r="C19691" s="26">
        <v>0.7419</v>
      </c>
      <c r="D19691" s="26">
        <v>0.2581</v>
      </c>
      <c r="G19691">
        <v>62</v>
      </c>
    </row>
    <row r="19692" spans="1:7" x14ac:dyDescent="0.35">
      <c r="A19692" t="s">
        <v>227</v>
      </c>
      <c r="B19692" t="s">
        <v>238</v>
      </c>
      <c r="C19692" s="26">
        <v>0.72729999999999995</v>
      </c>
      <c r="D19692" s="26">
        <v>0.2727</v>
      </c>
      <c r="G19692">
        <v>99</v>
      </c>
    </row>
    <row r="19693" spans="1:7" x14ac:dyDescent="0.35">
      <c r="A19693" t="s">
        <v>228</v>
      </c>
      <c r="B19693" t="s">
        <v>239</v>
      </c>
      <c r="C19693" s="26">
        <v>0.73099999999999998</v>
      </c>
      <c r="D19693" s="26">
        <v>0.26729999999999998</v>
      </c>
      <c r="E19693" s="26">
        <v>1.6999999999999999E-3</v>
      </c>
      <c r="G19693">
        <v>330</v>
      </c>
    </row>
    <row r="19694" spans="1:7" x14ac:dyDescent="0.35">
      <c r="A19694" t="s">
        <v>228</v>
      </c>
      <c r="B19694" t="s">
        <v>238</v>
      </c>
      <c r="C19694" s="26">
        <v>0.71940000000000004</v>
      </c>
      <c r="D19694" s="26">
        <v>0.26989999999999997</v>
      </c>
      <c r="E19694" s="26">
        <v>1.0699999999999999E-2</v>
      </c>
      <c r="G19694">
        <v>702</v>
      </c>
    </row>
    <row r="19695" spans="1:7" x14ac:dyDescent="0.35">
      <c r="A19695" t="s">
        <v>229</v>
      </c>
      <c r="B19695" t="s">
        <v>239</v>
      </c>
      <c r="C19695" s="26">
        <v>0.63719999999999999</v>
      </c>
      <c r="D19695" s="26">
        <v>0.36020000000000002</v>
      </c>
      <c r="F19695" s="26">
        <v>2.5999999999999999E-3</v>
      </c>
      <c r="G19695">
        <v>332</v>
      </c>
    </row>
    <row r="19696" spans="1:7" x14ac:dyDescent="0.35">
      <c r="A19696" t="s">
        <v>229</v>
      </c>
      <c r="B19696" t="s">
        <v>238</v>
      </c>
      <c r="C19696" s="26">
        <v>0.71220000000000006</v>
      </c>
      <c r="D19696" s="26">
        <v>0.2833</v>
      </c>
      <c r="E19696" s="26">
        <v>4.0000000000000001E-3</v>
      </c>
      <c r="F19696" s="26">
        <v>4.0000000000000002E-4</v>
      </c>
      <c r="G19696">
        <v>561</v>
      </c>
    </row>
    <row r="19697" spans="1:7" x14ac:dyDescent="0.35">
      <c r="A19697" t="s">
        <v>230</v>
      </c>
      <c r="B19697" t="s">
        <v>239</v>
      </c>
      <c r="C19697" s="26">
        <v>0.63790000000000002</v>
      </c>
      <c r="D19697" s="26">
        <v>0.36209999999999998</v>
      </c>
      <c r="G19697">
        <v>211</v>
      </c>
    </row>
    <row r="19698" spans="1:7" x14ac:dyDescent="0.35">
      <c r="A19698" t="s">
        <v>230</v>
      </c>
      <c r="B19698" t="s">
        <v>238</v>
      </c>
      <c r="C19698" s="26">
        <v>0.65810000000000002</v>
      </c>
      <c r="D19698" s="26">
        <v>0.33289999999999997</v>
      </c>
      <c r="E19698" s="26">
        <v>8.9999999999999993E-3</v>
      </c>
      <c r="G19698">
        <v>349</v>
      </c>
    </row>
    <row r="19699" spans="1:7" x14ac:dyDescent="0.35">
      <c r="A19699" t="s">
        <v>231</v>
      </c>
      <c r="B19699" t="s">
        <v>239</v>
      </c>
      <c r="C19699" s="26">
        <v>0.75439999999999996</v>
      </c>
      <c r="D19699" s="26">
        <v>0.24560000000000001</v>
      </c>
      <c r="G19699">
        <v>57</v>
      </c>
    </row>
    <row r="19700" spans="1:7" x14ac:dyDescent="0.35">
      <c r="A19700" t="s">
        <v>231</v>
      </c>
      <c r="B19700" t="s">
        <v>238</v>
      </c>
      <c r="C19700" s="26">
        <v>0.71030000000000004</v>
      </c>
      <c r="D19700" s="26">
        <v>0.27100000000000002</v>
      </c>
      <c r="E19700" s="26">
        <v>1.8700000000000001E-2</v>
      </c>
      <c r="G19700">
        <v>107</v>
      </c>
    </row>
    <row r="19701" spans="1:7" x14ac:dyDescent="0.35">
      <c r="A19701" t="s">
        <v>232</v>
      </c>
      <c r="B19701" t="s">
        <v>232</v>
      </c>
      <c r="C19701" s="26">
        <v>0.7097</v>
      </c>
      <c r="D19701" s="26">
        <v>0.28349999999999997</v>
      </c>
      <c r="E19701" s="26">
        <v>6.4999999999999997E-3</v>
      </c>
      <c r="F19701" s="26">
        <v>2.9999999999999997E-4</v>
      </c>
      <c r="G19701">
        <v>2810</v>
      </c>
    </row>
    <row r="19703" spans="1:7" x14ac:dyDescent="0.35">
      <c r="A19703" s="1" t="s">
        <v>1962</v>
      </c>
    </row>
    <row r="19704" spans="1:7" x14ac:dyDescent="0.35">
      <c r="A19704" t="s">
        <v>219</v>
      </c>
      <c r="B19704" t="s">
        <v>305</v>
      </c>
      <c r="C19704" t="s">
        <v>302</v>
      </c>
      <c r="D19704" t="s">
        <v>303</v>
      </c>
      <c r="E19704" t="s">
        <v>281</v>
      </c>
      <c r="F19704" t="s">
        <v>286</v>
      </c>
      <c r="G19704" t="s">
        <v>226</v>
      </c>
    </row>
    <row r="19705" spans="1:7" x14ac:dyDescent="0.35">
      <c r="A19705" t="s">
        <v>227</v>
      </c>
      <c r="B19705" t="s">
        <v>244</v>
      </c>
      <c r="C19705" s="26">
        <v>0.73960000000000004</v>
      </c>
      <c r="D19705" s="26">
        <v>0.26040000000000002</v>
      </c>
      <c r="G19705">
        <v>96</v>
      </c>
    </row>
    <row r="19706" spans="1:7" x14ac:dyDescent="0.35">
      <c r="A19706" t="s">
        <v>227</v>
      </c>
      <c r="B19706" t="s">
        <v>245</v>
      </c>
      <c r="C19706" s="26">
        <v>0.75470000000000004</v>
      </c>
      <c r="D19706" s="26">
        <v>0.24529999999999999</v>
      </c>
      <c r="G19706">
        <v>53</v>
      </c>
    </row>
    <row r="19707" spans="1:7" x14ac:dyDescent="0.35">
      <c r="A19707" s="27" t="s">
        <v>227</v>
      </c>
      <c r="B19707" s="27" t="s">
        <v>246</v>
      </c>
      <c r="C19707" s="28">
        <v>0.58330000000000004</v>
      </c>
      <c r="D19707" s="28">
        <v>0.41670000000000001</v>
      </c>
      <c r="E19707" s="29"/>
      <c r="F19707" s="29"/>
      <c r="G19707" s="29" t="s">
        <v>342</v>
      </c>
    </row>
    <row r="19708" spans="1:7" x14ac:dyDescent="0.35">
      <c r="A19708" t="s">
        <v>228</v>
      </c>
      <c r="B19708" t="s">
        <v>244</v>
      </c>
      <c r="C19708" s="26">
        <v>0.71079999999999999</v>
      </c>
      <c r="D19708" s="26">
        <v>0.28739999999999999</v>
      </c>
      <c r="E19708" s="26">
        <v>1.8E-3</v>
      </c>
      <c r="G19708">
        <v>638</v>
      </c>
    </row>
    <row r="19709" spans="1:7" x14ac:dyDescent="0.35">
      <c r="A19709" t="s">
        <v>228</v>
      </c>
      <c r="B19709" t="s">
        <v>245</v>
      </c>
      <c r="C19709" s="26">
        <v>0.7974</v>
      </c>
      <c r="D19709" s="26">
        <v>0.17499999999999999</v>
      </c>
      <c r="E19709" s="26">
        <v>2.75E-2</v>
      </c>
      <c r="G19709">
        <v>327</v>
      </c>
    </row>
    <row r="19710" spans="1:7" x14ac:dyDescent="0.35">
      <c r="A19710" t="s">
        <v>228</v>
      </c>
      <c r="B19710" t="s">
        <v>246</v>
      </c>
      <c r="C19710" s="26">
        <v>0.51949999999999996</v>
      </c>
      <c r="D19710" s="26">
        <v>0.48049999999999998</v>
      </c>
      <c r="G19710">
        <v>67</v>
      </c>
    </row>
    <row r="19711" spans="1:7" x14ac:dyDescent="0.35">
      <c r="A19711" t="s">
        <v>229</v>
      </c>
      <c r="B19711" t="s">
        <v>244</v>
      </c>
      <c r="C19711" s="26">
        <v>0.65800000000000003</v>
      </c>
      <c r="D19711" s="26">
        <v>0.3367</v>
      </c>
      <c r="E19711" s="26">
        <v>4.3E-3</v>
      </c>
      <c r="F19711" s="26">
        <v>1E-3</v>
      </c>
      <c r="G19711">
        <v>555</v>
      </c>
    </row>
    <row r="19712" spans="1:7" x14ac:dyDescent="0.35">
      <c r="A19712" t="s">
        <v>229</v>
      </c>
      <c r="B19712" t="s">
        <v>245</v>
      </c>
      <c r="C19712" s="26">
        <v>0.78959999999999997</v>
      </c>
      <c r="D19712" s="26">
        <v>0.20910000000000001</v>
      </c>
      <c r="F19712" s="26">
        <v>1.2999999999999999E-3</v>
      </c>
      <c r="G19712">
        <v>293</v>
      </c>
    </row>
    <row r="19713" spans="1:7" x14ac:dyDescent="0.35">
      <c r="A19713" t="s">
        <v>229</v>
      </c>
      <c r="B19713" t="s">
        <v>246</v>
      </c>
      <c r="C19713" s="26">
        <v>0.68740000000000001</v>
      </c>
      <c r="D19713" s="26">
        <v>0.31259999999999999</v>
      </c>
      <c r="G19713">
        <v>45</v>
      </c>
    </row>
    <row r="19714" spans="1:7" x14ac:dyDescent="0.35">
      <c r="A19714" t="s">
        <v>230</v>
      </c>
      <c r="B19714" t="s">
        <v>244</v>
      </c>
      <c r="C19714" s="26">
        <v>0.61829999999999996</v>
      </c>
      <c r="D19714" s="26">
        <v>0.37259999999999999</v>
      </c>
      <c r="E19714" s="26">
        <v>9.1000000000000004E-3</v>
      </c>
      <c r="G19714">
        <v>370</v>
      </c>
    </row>
    <row r="19715" spans="1:7" x14ac:dyDescent="0.35">
      <c r="A19715" t="s">
        <v>230</v>
      </c>
      <c r="B19715" t="s">
        <v>245</v>
      </c>
      <c r="C19715" s="26">
        <v>0.77229999999999999</v>
      </c>
      <c r="D19715" s="26">
        <v>0.22770000000000001</v>
      </c>
      <c r="G19715">
        <v>161</v>
      </c>
    </row>
    <row r="19716" spans="1:7" x14ac:dyDescent="0.35">
      <c r="A19716" s="27" t="s">
        <v>230</v>
      </c>
      <c r="B19716" s="27" t="s">
        <v>246</v>
      </c>
      <c r="C19716" s="28">
        <v>0.49</v>
      </c>
      <c r="D19716" s="28">
        <v>0.51</v>
      </c>
      <c r="E19716" s="29"/>
      <c r="F19716" s="29"/>
      <c r="G19716" s="29" t="s">
        <v>329</v>
      </c>
    </row>
    <row r="19717" spans="1:7" x14ac:dyDescent="0.35">
      <c r="A19717" t="s">
        <v>231</v>
      </c>
      <c r="B19717" t="s">
        <v>244</v>
      </c>
      <c r="C19717" s="26">
        <v>0.68420000000000003</v>
      </c>
      <c r="D19717" s="26">
        <v>0.29470000000000002</v>
      </c>
      <c r="E19717" s="26">
        <v>2.1100000000000001E-2</v>
      </c>
      <c r="G19717">
        <v>95</v>
      </c>
    </row>
    <row r="19718" spans="1:7" x14ac:dyDescent="0.35">
      <c r="A19718" t="s">
        <v>231</v>
      </c>
      <c r="B19718" t="s">
        <v>245</v>
      </c>
      <c r="C19718" s="26">
        <v>0.78569999999999995</v>
      </c>
      <c r="D19718" s="26">
        <v>0.21429999999999999</v>
      </c>
      <c r="G19718">
        <v>56</v>
      </c>
    </row>
    <row r="19719" spans="1:7" x14ac:dyDescent="0.35">
      <c r="A19719" s="27" t="s">
        <v>231</v>
      </c>
      <c r="B19719" s="27" t="s">
        <v>246</v>
      </c>
      <c r="C19719" s="28">
        <v>0.76919999999999999</v>
      </c>
      <c r="D19719" s="28">
        <v>0.23080000000000001</v>
      </c>
      <c r="E19719" s="29"/>
      <c r="F19719" s="29"/>
      <c r="G19719" s="29" t="s">
        <v>341</v>
      </c>
    </row>
    <row r="19720" spans="1:7" x14ac:dyDescent="0.35">
      <c r="A19720" t="s">
        <v>232</v>
      </c>
      <c r="B19720" t="s">
        <v>232</v>
      </c>
      <c r="C19720" s="26">
        <v>0.7097</v>
      </c>
      <c r="D19720" s="26">
        <v>0.28349999999999997</v>
      </c>
      <c r="E19720" s="26">
        <v>6.4999999999999997E-3</v>
      </c>
      <c r="F19720" s="26">
        <v>2.9999999999999997E-4</v>
      </c>
      <c r="G19720">
        <v>2810</v>
      </c>
    </row>
    <row r="19722" spans="1:7" x14ac:dyDescent="0.35">
      <c r="A19722" s="1" t="s">
        <v>1963</v>
      </c>
    </row>
    <row r="19723" spans="1:7" x14ac:dyDescent="0.35">
      <c r="A19723" t="s">
        <v>219</v>
      </c>
      <c r="B19723" t="s">
        <v>305</v>
      </c>
      <c r="C19723" t="s">
        <v>302</v>
      </c>
      <c r="D19723" t="s">
        <v>303</v>
      </c>
      <c r="E19723" t="s">
        <v>281</v>
      </c>
      <c r="F19723" t="s">
        <v>286</v>
      </c>
      <c r="G19723" t="s">
        <v>226</v>
      </c>
    </row>
    <row r="19724" spans="1:7" x14ac:dyDescent="0.35">
      <c r="A19724" t="s">
        <v>227</v>
      </c>
      <c r="B19724" t="s">
        <v>360</v>
      </c>
      <c r="C19724" s="26">
        <v>0.71789999999999998</v>
      </c>
      <c r="D19724" s="26">
        <v>0.28210000000000002</v>
      </c>
      <c r="G19724">
        <v>39</v>
      </c>
    </row>
    <row r="19725" spans="1:7" x14ac:dyDescent="0.35">
      <c r="A19725" t="s">
        <v>227</v>
      </c>
      <c r="B19725" t="s">
        <v>361</v>
      </c>
      <c r="C19725" s="26">
        <v>0.71879999999999999</v>
      </c>
      <c r="D19725" s="26">
        <v>0.28120000000000001</v>
      </c>
      <c r="G19725">
        <v>32</v>
      </c>
    </row>
    <row r="19726" spans="1:7" x14ac:dyDescent="0.35">
      <c r="A19726" t="s">
        <v>227</v>
      </c>
      <c r="B19726" t="s">
        <v>362</v>
      </c>
      <c r="C19726" s="26">
        <v>0.81079999999999997</v>
      </c>
      <c r="D19726" s="26">
        <v>0.18920000000000001</v>
      </c>
      <c r="G19726">
        <v>37</v>
      </c>
    </row>
    <row r="19727" spans="1:7" x14ac:dyDescent="0.35">
      <c r="A19727" t="s">
        <v>227</v>
      </c>
      <c r="B19727" t="s">
        <v>363</v>
      </c>
      <c r="C19727" s="26">
        <v>0.68889999999999996</v>
      </c>
      <c r="D19727" s="26">
        <v>0.31109999999999999</v>
      </c>
      <c r="G19727">
        <v>45</v>
      </c>
    </row>
    <row r="19728" spans="1:7" x14ac:dyDescent="0.35">
      <c r="A19728" t="s">
        <v>228</v>
      </c>
      <c r="B19728" t="s">
        <v>360</v>
      </c>
      <c r="C19728" s="26">
        <v>0.72929999999999995</v>
      </c>
      <c r="D19728" s="26">
        <v>0.26269999999999999</v>
      </c>
      <c r="E19728" s="26">
        <v>8.0000000000000002E-3</v>
      </c>
      <c r="G19728">
        <v>257</v>
      </c>
    </row>
    <row r="19729" spans="1:7" x14ac:dyDescent="0.35">
      <c r="A19729" t="s">
        <v>228</v>
      </c>
      <c r="B19729" t="s">
        <v>361</v>
      </c>
      <c r="C19729" s="26">
        <v>0.64300000000000002</v>
      </c>
      <c r="D19729" s="26">
        <v>0.34320000000000001</v>
      </c>
      <c r="E19729" s="26">
        <v>1.38E-2</v>
      </c>
      <c r="G19729">
        <v>194</v>
      </c>
    </row>
    <row r="19730" spans="1:7" x14ac:dyDescent="0.35">
      <c r="A19730" t="s">
        <v>228</v>
      </c>
      <c r="B19730" t="s">
        <v>363</v>
      </c>
      <c r="C19730" s="26">
        <v>0.74780000000000002</v>
      </c>
      <c r="D19730" s="26">
        <v>0.25109999999999999</v>
      </c>
      <c r="E19730" s="26">
        <v>1E-3</v>
      </c>
      <c r="G19730">
        <v>212</v>
      </c>
    </row>
    <row r="19731" spans="1:7" x14ac:dyDescent="0.35">
      <c r="A19731" t="s">
        <v>228</v>
      </c>
      <c r="B19731" t="s">
        <v>362</v>
      </c>
      <c r="C19731" s="26">
        <v>0.80900000000000005</v>
      </c>
      <c r="D19731" s="26">
        <v>0.17519999999999999</v>
      </c>
      <c r="E19731" s="26">
        <v>1.5800000000000002E-2</v>
      </c>
      <c r="G19731">
        <v>236</v>
      </c>
    </row>
    <row r="19732" spans="1:7" x14ac:dyDescent="0.35">
      <c r="A19732" t="s">
        <v>229</v>
      </c>
      <c r="B19732" t="s">
        <v>363</v>
      </c>
      <c r="C19732" s="26">
        <v>0.69630000000000003</v>
      </c>
      <c r="D19732" s="26">
        <v>0.30370000000000003</v>
      </c>
      <c r="G19732">
        <v>190</v>
      </c>
    </row>
    <row r="19733" spans="1:7" x14ac:dyDescent="0.35">
      <c r="A19733" t="s">
        <v>229</v>
      </c>
      <c r="B19733" t="s">
        <v>360</v>
      </c>
      <c r="C19733" s="26">
        <v>0.73080000000000001</v>
      </c>
      <c r="D19733" s="26">
        <v>0.26490000000000002</v>
      </c>
      <c r="F19733" s="26">
        <v>4.3E-3</v>
      </c>
      <c r="G19733">
        <v>164</v>
      </c>
    </row>
    <row r="19734" spans="1:7" x14ac:dyDescent="0.35">
      <c r="A19734" t="s">
        <v>229</v>
      </c>
      <c r="B19734" t="s">
        <v>361</v>
      </c>
      <c r="C19734" s="26">
        <v>0.62829999999999997</v>
      </c>
      <c r="D19734" s="26">
        <v>0.36380000000000001</v>
      </c>
      <c r="E19734" s="26">
        <v>7.9000000000000008E-3</v>
      </c>
      <c r="G19734">
        <v>243</v>
      </c>
    </row>
    <row r="19735" spans="1:7" x14ac:dyDescent="0.35">
      <c r="A19735" t="s">
        <v>229</v>
      </c>
      <c r="B19735" t="s">
        <v>362</v>
      </c>
      <c r="C19735" s="26">
        <v>0.83020000000000005</v>
      </c>
      <c r="D19735" s="26">
        <v>0.16769999999999999</v>
      </c>
      <c r="F19735" s="26">
        <v>2E-3</v>
      </c>
      <c r="G19735">
        <v>171</v>
      </c>
    </row>
    <row r="19736" spans="1:7" x14ac:dyDescent="0.35">
      <c r="A19736" t="s">
        <v>230</v>
      </c>
      <c r="B19736" t="s">
        <v>360</v>
      </c>
      <c r="C19736" s="26">
        <v>0.82230000000000003</v>
      </c>
      <c r="D19736" s="26">
        <v>0.1777</v>
      </c>
      <c r="G19736">
        <v>120</v>
      </c>
    </row>
    <row r="19737" spans="1:7" x14ac:dyDescent="0.35">
      <c r="A19737" t="s">
        <v>230</v>
      </c>
      <c r="B19737" t="s">
        <v>363</v>
      </c>
      <c r="C19737" s="26">
        <v>0.69650000000000001</v>
      </c>
      <c r="D19737" s="26">
        <v>0.30349999999999999</v>
      </c>
      <c r="G19737">
        <v>127</v>
      </c>
    </row>
    <row r="19738" spans="1:7" x14ac:dyDescent="0.35">
      <c r="A19738" t="s">
        <v>230</v>
      </c>
      <c r="B19738" t="s">
        <v>361</v>
      </c>
      <c r="C19738" s="26">
        <v>0.52680000000000005</v>
      </c>
      <c r="D19738" s="26">
        <v>0.47320000000000001</v>
      </c>
      <c r="G19738">
        <v>109</v>
      </c>
    </row>
    <row r="19739" spans="1:7" x14ac:dyDescent="0.35">
      <c r="A19739" t="s">
        <v>230</v>
      </c>
      <c r="B19739" t="s">
        <v>362</v>
      </c>
      <c r="C19739" s="26">
        <v>0.6472</v>
      </c>
      <c r="D19739" s="26">
        <v>0.32769999999999999</v>
      </c>
      <c r="E19739" s="26">
        <v>2.5100000000000001E-2</v>
      </c>
      <c r="G19739">
        <v>148</v>
      </c>
    </row>
    <row r="19740" spans="1:7" x14ac:dyDescent="0.35">
      <c r="A19740" s="27" t="s">
        <v>231</v>
      </c>
      <c r="B19740" s="27" t="s">
        <v>362</v>
      </c>
      <c r="C19740" s="28">
        <v>0.8276</v>
      </c>
      <c r="D19740" s="28">
        <v>0.1724</v>
      </c>
      <c r="E19740" s="29"/>
      <c r="F19740" s="29"/>
      <c r="G19740" s="29" t="s">
        <v>329</v>
      </c>
    </row>
    <row r="19741" spans="1:7" x14ac:dyDescent="0.35">
      <c r="A19741" t="s">
        <v>231</v>
      </c>
      <c r="B19741" t="s">
        <v>361</v>
      </c>
      <c r="C19741" s="26">
        <v>0.68</v>
      </c>
      <c r="D19741" s="26">
        <v>0.32</v>
      </c>
      <c r="G19741">
        <v>50</v>
      </c>
    </row>
    <row r="19742" spans="1:7" x14ac:dyDescent="0.35">
      <c r="A19742" t="s">
        <v>231</v>
      </c>
      <c r="B19742" t="s">
        <v>360</v>
      </c>
      <c r="C19742" s="26">
        <v>0.75</v>
      </c>
      <c r="D19742" s="26">
        <v>0.20449999999999999</v>
      </c>
      <c r="E19742" s="26">
        <v>4.5499999999999999E-2</v>
      </c>
      <c r="G19742">
        <v>44</v>
      </c>
    </row>
    <row r="19743" spans="1:7" x14ac:dyDescent="0.35">
      <c r="A19743" s="27" t="s">
        <v>231</v>
      </c>
      <c r="B19743" s="27" t="s">
        <v>363</v>
      </c>
      <c r="C19743" s="28">
        <v>0.74070000000000003</v>
      </c>
      <c r="D19743" s="28">
        <v>0.25929999999999997</v>
      </c>
      <c r="E19743" s="29"/>
      <c r="F19743" s="29"/>
      <c r="G19743" s="29" t="s">
        <v>338</v>
      </c>
    </row>
    <row r="19744" spans="1:7" x14ac:dyDescent="0.35">
      <c r="A19744" t="s">
        <v>232</v>
      </c>
      <c r="B19744" t="s">
        <v>232</v>
      </c>
      <c r="C19744" s="26">
        <v>0.7097</v>
      </c>
      <c r="D19744" s="26">
        <v>0.28349999999999997</v>
      </c>
      <c r="E19744" s="26">
        <v>6.4999999999999997E-3</v>
      </c>
      <c r="F19744" s="26">
        <v>2.9999999999999997E-4</v>
      </c>
      <c r="G19744">
        <v>2474</v>
      </c>
    </row>
    <row r="19746" spans="1:7" x14ac:dyDescent="0.35">
      <c r="A19746" s="1" t="s">
        <v>1964</v>
      </c>
    </row>
    <row r="19747" spans="1:7" x14ac:dyDescent="0.35">
      <c r="A19747" t="s">
        <v>219</v>
      </c>
      <c r="B19747" t="s">
        <v>305</v>
      </c>
      <c r="C19747" t="s">
        <v>302</v>
      </c>
      <c r="D19747" t="s">
        <v>303</v>
      </c>
      <c r="E19747" t="s">
        <v>281</v>
      </c>
      <c r="F19747" t="s">
        <v>286</v>
      </c>
      <c r="G19747" t="s">
        <v>226</v>
      </c>
    </row>
    <row r="19748" spans="1:7" x14ac:dyDescent="0.35">
      <c r="A19748" t="s">
        <v>227</v>
      </c>
      <c r="B19748" t="s">
        <v>267</v>
      </c>
      <c r="C19748" s="26">
        <v>0.77780000000000005</v>
      </c>
      <c r="D19748" s="26">
        <v>0.22220000000000001</v>
      </c>
      <c r="G19748">
        <v>36</v>
      </c>
    </row>
    <row r="19749" spans="1:7" x14ac:dyDescent="0.35">
      <c r="A19749" t="s">
        <v>227</v>
      </c>
      <c r="B19749" t="s">
        <v>266</v>
      </c>
      <c r="C19749" s="26">
        <v>0.74580000000000002</v>
      </c>
      <c r="D19749" s="26">
        <v>0.25419999999999998</v>
      </c>
      <c r="G19749">
        <v>59</v>
      </c>
    </row>
    <row r="19750" spans="1:7" x14ac:dyDescent="0.35">
      <c r="A19750" t="s">
        <v>227</v>
      </c>
      <c r="B19750" t="s">
        <v>265</v>
      </c>
      <c r="C19750" s="26">
        <v>0.69699999999999995</v>
      </c>
      <c r="D19750" s="26">
        <v>0.30299999999999999</v>
      </c>
      <c r="G19750">
        <v>66</v>
      </c>
    </row>
    <row r="19751" spans="1:7" x14ac:dyDescent="0.35">
      <c r="A19751" t="s">
        <v>228</v>
      </c>
      <c r="B19751" t="s">
        <v>267</v>
      </c>
      <c r="C19751" s="26">
        <v>0.71830000000000005</v>
      </c>
      <c r="D19751" s="26">
        <v>0.28170000000000001</v>
      </c>
      <c r="G19751">
        <v>199</v>
      </c>
    </row>
    <row r="19752" spans="1:7" x14ac:dyDescent="0.35">
      <c r="A19752" t="s">
        <v>228</v>
      </c>
      <c r="B19752" t="s">
        <v>265</v>
      </c>
      <c r="C19752" s="26">
        <v>0.64510000000000001</v>
      </c>
      <c r="D19752" s="26">
        <v>0.35210000000000002</v>
      </c>
      <c r="E19752" s="26">
        <v>2.8E-3</v>
      </c>
      <c r="G19752">
        <v>384</v>
      </c>
    </row>
    <row r="19753" spans="1:7" x14ac:dyDescent="0.35">
      <c r="A19753" s="27" t="s">
        <v>228</v>
      </c>
      <c r="B19753" s="27" t="s">
        <v>236</v>
      </c>
      <c r="C19753" s="28">
        <v>1</v>
      </c>
      <c r="D19753" s="29"/>
      <c r="E19753" s="29"/>
      <c r="F19753" s="29"/>
      <c r="G19753" s="29" t="s">
        <v>314</v>
      </c>
    </row>
    <row r="19754" spans="1:7" x14ac:dyDescent="0.35">
      <c r="A19754" t="s">
        <v>228</v>
      </c>
      <c r="B19754" t="s">
        <v>266</v>
      </c>
      <c r="C19754" s="26">
        <v>0.79610000000000003</v>
      </c>
      <c r="D19754" s="26">
        <v>0.1852</v>
      </c>
      <c r="E19754" s="26">
        <v>1.8700000000000001E-2</v>
      </c>
      <c r="G19754">
        <v>447</v>
      </c>
    </row>
    <row r="19755" spans="1:7" x14ac:dyDescent="0.35">
      <c r="A19755" t="s">
        <v>229</v>
      </c>
      <c r="B19755" t="s">
        <v>266</v>
      </c>
      <c r="C19755" s="26">
        <v>0.77449999999999997</v>
      </c>
      <c r="D19755" s="26">
        <v>0.22450000000000001</v>
      </c>
      <c r="F19755" s="26">
        <v>1E-3</v>
      </c>
      <c r="G19755">
        <v>358</v>
      </c>
    </row>
    <row r="19756" spans="1:7" x14ac:dyDescent="0.35">
      <c r="A19756" t="s">
        <v>229</v>
      </c>
      <c r="B19756" t="s">
        <v>267</v>
      </c>
      <c r="C19756" s="26">
        <v>0.71230000000000004</v>
      </c>
      <c r="D19756" s="26">
        <v>0.28770000000000001</v>
      </c>
      <c r="G19756">
        <v>201</v>
      </c>
    </row>
    <row r="19757" spans="1:7" x14ac:dyDescent="0.35">
      <c r="A19757" t="s">
        <v>229</v>
      </c>
      <c r="B19757" t="s">
        <v>265</v>
      </c>
      <c r="C19757" s="26">
        <v>0.62450000000000006</v>
      </c>
      <c r="D19757" s="26">
        <v>0.36730000000000002</v>
      </c>
      <c r="E19757" s="26">
        <v>6.7000000000000002E-3</v>
      </c>
      <c r="F19757" s="26">
        <v>1.5E-3</v>
      </c>
      <c r="G19757">
        <v>334</v>
      </c>
    </row>
    <row r="19758" spans="1:7" x14ac:dyDescent="0.35">
      <c r="A19758" t="s">
        <v>230</v>
      </c>
      <c r="B19758" t="s">
        <v>267</v>
      </c>
      <c r="C19758" s="26">
        <v>0.49580000000000002</v>
      </c>
      <c r="D19758" s="26">
        <v>0.47970000000000002</v>
      </c>
      <c r="E19758" s="26">
        <v>2.4500000000000001E-2</v>
      </c>
      <c r="G19758">
        <v>119</v>
      </c>
    </row>
    <row r="19759" spans="1:7" x14ac:dyDescent="0.35">
      <c r="A19759" t="s">
        <v>230</v>
      </c>
      <c r="B19759" t="s">
        <v>266</v>
      </c>
      <c r="C19759" s="26">
        <v>0.79400000000000004</v>
      </c>
      <c r="D19759" s="26">
        <v>0.20349999999999999</v>
      </c>
      <c r="E19759" s="26">
        <v>2.5000000000000001E-3</v>
      </c>
      <c r="G19759">
        <v>232</v>
      </c>
    </row>
    <row r="19760" spans="1:7" x14ac:dyDescent="0.35">
      <c r="A19760" t="s">
        <v>230</v>
      </c>
      <c r="B19760" t="s">
        <v>265</v>
      </c>
      <c r="C19760" s="26">
        <v>0.61160000000000003</v>
      </c>
      <c r="D19760" s="26">
        <v>0.38840000000000002</v>
      </c>
      <c r="G19760">
        <v>209</v>
      </c>
    </row>
    <row r="19761" spans="1:7" x14ac:dyDescent="0.35">
      <c r="A19761" t="s">
        <v>231</v>
      </c>
      <c r="B19761" t="s">
        <v>267</v>
      </c>
      <c r="C19761" s="26">
        <v>0.67649999999999999</v>
      </c>
      <c r="D19761" s="26">
        <v>0.32350000000000001</v>
      </c>
      <c r="G19761">
        <v>34</v>
      </c>
    </row>
    <row r="19762" spans="1:7" x14ac:dyDescent="0.35">
      <c r="A19762" t="s">
        <v>231</v>
      </c>
      <c r="B19762" t="s">
        <v>266</v>
      </c>
      <c r="C19762" s="26">
        <v>0.80649999999999999</v>
      </c>
      <c r="D19762" s="26">
        <v>0.1774</v>
      </c>
      <c r="E19762" s="26">
        <v>1.61E-2</v>
      </c>
      <c r="G19762">
        <v>62</v>
      </c>
    </row>
    <row r="19763" spans="1:7" x14ac:dyDescent="0.35">
      <c r="A19763" t="s">
        <v>231</v>
      </c>
      <c r="B19763" t="s">
        <v>265</v>
      </c>
      <c r="C19763" s="26">
        <v>0.67649999999999999</v>
      </c>
      <c r="D19763" s="26">
        <v>0.30880000000000002</v>
      </c>
      <c r="E19763" s="26">
        <v>1.47E-2</v>
      </c>
      <c r="G19763">
        <v>68</v>
      </c>
    </row>
    <row r="19764" spans="1:7" x14ac:dyDescent="0.35">
      <c r="A19764" t="s">
        <v>232</v>
      </c>
      <c r="B19764" t="s">
        <v>232</v>
      </c>
      <c r="C19764" s="26">
        <v>0.7097</v>
      </c>
      <c r="D19764" s="26">
        <v>0.28349999999999997</v>
      </c>
      <c r="E19764" s="26">
        <v>6.4999999999999997E-3</v>
      </c>
      <c r="F19764" s="26">
        <v>2.9999999999999997E-4</v>
      </c>
      <c r="G19764">
        <v>2810</v>
      </c>
    </row>
    <row r="19766" spans="1:7" x14ac:dyDescent="0.35">
      <c r="A19766" s="1" t="s">
        <v>1965</v>
      </c>
    </row>
    <row r="19767" spans="1:7" x14ac:dyDescent="0.35">
      <c r="A19767" t="s">
        <v>219</v>
      </c>
      <c r="B19767" t="s">
        <v>305</v>
      </c>
      <c r="C19767" t="s">
        <v>302</v>
      </c>
      <c r="D19767" t="s">
        <v>303</v>
      </c>
      <c r="E19767" t="s">
        <v>281</v>
      </c>
      <c r="F19767" t="s">
        <v>286</v>
      </c>
      <c r="G19767" t="s">
        <v>226</v>
      </c>
    </row>
    <row r="19768" spans="1:7" x14ac:dyDescent="0.35">
      <c r="A19768" t="s">
        <v>227</v>
      </c>
      <c r="B19768" t="s">
        <v>252</v>
      </c>
      <c r="C19768" s="26">
        <v>0.77780000000000005</v>
      </c>
      <c r="D19768" s="26">
        <v>0.22220000000000001</v>
      </c>
      <c r="G19768">
        <v>45</v>
      </c>
    </row>
    <row r="19769" spans="1:7" x14ac:dyDescent="0.35">
      <c r="A19769" t="s">
        <v>227</v>
      </c>
      <c r="B19769" t="s">
        <v>253</v>
      </c>
      <c r="C19769" s="26">
        <v>0.64710000000000001</v>
      </c>
      <c r="D19769" s="26">
        <v>0.35289999999999999</v>
      </c>
      <c r="G19769">
        <v>34</v>
      </c>
    </row>
    <row r="19770" spans="1:7" x14ac:dyDescent="0.35">
      <c r="A19770" t="s">
        <v>227</v>
      </c>
      <c r="B19770" t="s">
        <v>251</v>
      </c>
      <c r="C19770" s="26">
        <v>0.74390000000000001</v>
      </c>
      <c r="D19770" s="26">
        <v>0.25609999999999999</v>
      </c>
      <c r="G19770">
        <v>82</v>
      </c>
    </row>
    <row r="19771" spans="1:7" x14ac:dyDescent="0.35">
      <c r="A19771" t="s">
        <v>228</v>
      </c>
      <c r="B19771" t="s">
        <v>252</v>
      </c>
      <c r="C19771" s="26">
        <v>0.81399999999999995</v>
      </c>
      <c r="D19771" s="26">
        <v>0.1696</v>
      </c>
      <c r="E19771" s="26">
        <v>1.6500000000000001E-2</v>
      </c>
      <c r="G19771">
        <v>343</v>
      </c>
    </row>
    <row r="19772" spans="1:7" x14ac:dyDescent="0.35">
      <c r="A19772" t="s">
        <v>228</v>
      </c>
      <c r="B19772" t="s">
        <v>253</v>
      </c>
      <c r="C19772" s="26">
        <v>0.73529999999999995</v>
      </c>
      <c r="D19772" s="26">
        <v>0.26469999999999999</v>
      </c>
      <c r="G19772">
        <v>222</v>
      </c>
    </row>
    <row r="19773" spans="1:7" x14ac:dyDescent="0.35">
      <c r="A19773" t="s">
        <v>228</v>
      </c>
      <c r="B19773" t="s">
        <v>251</v>
      </c>
      <c r="C19773" s="26">
        <v>0.65400000000000003</v>
      </c>
      <c r="D19773" s="26">
        <v>0.33850000000000002</v>
      </c>
      <c r="E19773" s="26">
        <v>7.4999999999999997E-3</v>
      </c>
      <c r="G19773">
        <v>467</v>
      </c>
    </row>
    <row r="19774" spans="1:7" x14ac:dyDescent="0.35">
      <c r="A19774" t="s">
        <v>229</v>
      </c>
      <c r="B19774" t="s">
        <v>252</v>
      </c>
      <c r="C19774" s="26">
        <v>0.75190000000000001</v>
      </c>
      <c r="D19774" s="26">
        <v>0.24660000000000001</v>
      </c>
      <c r="F19774" s="26">
        <v>1.5E-3</v>
      </c>
      <c r="G19774">
        <v>199</v>
      </c>
    </row>
    <row r="19775" spans="1:7" x14ac:dyDescent="0.35">
      <c r="A19775" t="s">
        <v>229</v>
      </c>
      <c r="B19775" t="s">
        <v>253</v>
      </c>
      <c r="C19775" s="26">
        <v>0.72909999999999997</v>
      </c>
      <c r="D19775" s="26">
        <v>0.26740000000000003</v>
      </c>
      <c r="F19775" s="26">
        <v>3.5000000000000001E-3</v>
      </c>
      <c r="G19775">
        <v>145</v>
      </c>
    </row>
    <row r="19776" spans="1:7" x14ac:dyDescent="0.35">
      <c r="A19776" t="s">
        <v>229</v>
      </c>
      <c r="B19776" t="s">
        <v>251</v>
      </c>
      <c r="C19776" s="26">
        <v>0.65880000000000005</v>
      </c>
      <c r="D19776" s="26">
        <v>0.33610000000000001</v>
      </c>
      <c r="E19776" s="26">
        <v>5.1000000000000004E-3</v>
      </c>
      <c r="G19776">
        <v>549</v>
      </c>
    </row>
    <row r="19777" spans="1:7" x14ac:dyDescent="0.35">
      <c r="A19777" t="s">
        <v>230</v>
      </c>
      <c r="B19777" t="s">
        <v>252</v>
      </c>
      <c r="C19777" s="26">
        <v>0.75749999999999995</v>
      </c>
      <c r="D19777" s="26">
        <v>0.218</v>
      </c>
      <c r="E19777" s="26">
        <v>2.46E-2</v>
      </c>
      <c r="G19777">
        <v>159</v>
      </c>
    </row>
    <row r="19778" spans="1:7" x14ac:dyDescent="0.35">
      <c r="A19778" t="s">
        <v>230</v>
      </c>
      <c r="B19778" t="s">
        <v>253</v>
      </c>
      <c r="C19778" s="26">
        <v>0.62480000000000002</v>
      </c>
      <c r="D19778" s="26">
        <v>0.37519999999999998</v>
      </c>
      <c r="G19778">
        <v>110</v>
      </c>
    </row>
    <row r="19779" spans="1:7" x14ac:dyDescent="0.35">
      <c r="A19779" t="s">
        <v>230</v>
      </c>
      <c r="B19779" t="s">
        <v>251</v>
      </c>
      <c r="C19779" s="26">
        <v>0.61270000000000002</v>
      </c>
      <c r="D19779" s="26">
        <v>0.38729999999999998</v>
      </c>
      <c r="G19779">
        <v>291</v>
      </c>
    </row>
    <row r="19780" spans="1:7" x14ac:dyDescent="0.35">
      <c r="A19780" t="s">
        <v>231</v>
      </c>
      <c r="B19780" t="s">
        <v>252</v>
      </c>
      <c r="C19780" s="26">
        <v>0.75509999999999999</v>
      </c>
      <c r="D19780" s="26">
        <v>0.2041</v>
      </c>
      <c r="E19780" s="26">
        <v>4.0800000000000003E-2</v>
      </c>
      <c r="G19780">
        <v>49</v>
      </c>
    </row>
    <row r="19781" spans="1:7" x14ac:dyDescent="0.35">
      <c r="A19781" t="s">
        <v>231</v>
      </c>
      <c r="B19781" t="s">
        <v>253</v>
      </c>
      <c r="C19781" s="26">
        <v>0.7</v>
      </c>
      <c r="D19781" s="26">
        <v>0.3</v>
      </c>
      <c r="G19781">
        <v>30</v>
      </c>
    </row>
    <row r="19782" spans="1:7" x14ac:dyDescent="0.35">
      <c r="A19782" t="s">
        <v>231</v>
      </c>
      <c r="B19782" t="s">
        <v>251</v>
      </c>
      <c r="C19782" s="26">
        <v>0.71760000000000002</v>
      </c>
      <c r="D19782" s="26">
        <v>0.28239999999999998</v>
      </c>
      <c r="G19782">
        <v>85</v>
      </c>
    </row>
    <row r="19783" spans="1:7" x14ac:dyDescent="0.35">
      <c r="A19783" t="s">
        <v>232</v>
      </c>
      <c r="B19783" t="s">
        <v>232</v>
      </c>
      <c r="C19783" s="26">
        <v>0.7097</v>
      </c>
      <c r="D19783" s="26">
        <v>0.28349999999999997</v>
      </c>
      <c r="E19783" s="26">
        <v>6.4999999999999997E-3</v>
      </c>
      <c r="F19783" s="26">
        <v>2.9999999999999997E-4</v>
      </c>
      <c r="G19783">
        <v>2810</v>
      </c>
    </row>
    <row r="19785" spans="1:7" x14ac:dyDescent="0.35">
      <c r="A19785" s="1" t="s">
        <v>1966</v>
      </c>
    </row>
    <row r="19786" spans="1:7" x14ac:dyDescent="0.35">
      <c r="A19786" t="s">
        <v>219</v>
      </c>
      <c r="B19786" t="s">
        <v>305</v>
      </c>
      <c r="C19786" t="s">
        <v>302</v>
      </c>
      <c r="D19786" t="s">
        <v>303</v>
      </c>
      <c r="E19786" t="s">
        <v>281</v>
      </c>
      <c r="F19786" t="s">
        <v>286</v>
      </c>
      <c r="G19786" t="s">
        <v>226</v>
      </c>
    </row>
    <row r="19787" spans="1:7" x14ac:dyDescent="0.35">
      <c r="A19787" t="s">
        <v>227</v>
      </c>
      <c r="B19787" t="s">
        <v>249</v>
      </c>
      <c r="C19787" s="26">
        <v>0.70450000000000002</v>
      </c>
      <c r="D19787" s="26">
        <v>0.29549999999999998</v>
      </c>
      <c r="G19787">
        <v>44</v>
      </c>
    </row>
    <row r="19788" spans="1:7" x14ac:dyDescent="0.35">
      <c r="A19788" t="s">
        <v>227</v>
      </c>
      <c r="B19788" t="s">
        <v>248</v>
      </c>
      <c r="C19788" s="26">
        <v>0.74360000000000004</v>
      </c>
      <c r="D19788" s="26">
        <v>0.25640000000000002</v>
      </c>
      <c r="G19788">
        <v>117</v>
      </c>
    </row>
    <row r="19789" spans="1:7" x14ac:dyDescent="0.35">
      <c r="A19789" t="s">
        <v>228</v>
      </c>
      <c r="B19789" t="s">
        <v>249</v>
      </c>
      <c r="C19789" s="26">
        <v>0.61919999999999997</v>
      </c>
      <c r="D19789" s="26">
        <v>0.38080000000000003</v>
      </c>
      <c r="G19789">
        <v>274</v>
      </c>
    </row>
    <row r="19790" spans="1:7" x14ac:dyDescent="0.35">
      <c r="A19790" t="s">
        <v>228</v>
      </c>
      <c r="B19790" t="s">
        <v>248</v>
      </c>
      <c r="C19790" s="26">
        <v>0.76559999999999995</v>
      </c>
      <c r="D19790" s="26">
        <v>0.2218</v>
      </c>
      <c r="E19790" s="26">
        <v>1.26E-2</v>
      </c>
      <c r="G19790">
        <v>758</v>
      </c>
    </row>
    <row r="19791" spans="1:7" x14ac:dyDescent="0.35">
      <c r="A19791" t="s">
        <v>229</v>
      </c>
      <c r="B19791" t="s">
        <v>249</v>
      </c>
      <c r="C19791" s="26">
        <v>0.64610000000000001</v>
      </c>
      <c r="D19791" s="26">
        <v>0.35389999999999999</v>
      </c>
      <c r="G19791">
        <v>259</v>
      </c>
    </row>
    <row r="19792" spans="1:7" x14ac:dyDescent="0.35">
      <c r="A19792" t="s">
        <v>229</v>
      </c>
      <c r="B19792" t="s">
        <v>248</v>
      </c>
      <c r="C19792" s="26">
        <v>0.71609999999999996</v>
      </c>
      <c r="D19792" s="26">
        <v>0.27789999999999998</v>
      </c>
      <c r="E19792" s="26">
        <v>4.4999999999999997E-3</v>
      </c>
      <c r="F19792" s="26">
        <v>1.5E-3</v>
      </c>
      <c r="G19792">
        <v>634</v>
      </c>
    </row>
    <row r="19793" spans="1:7" x14ac:dyDescent="0.35">
      <c r="A19793" t="s">
        <v>230</v>
      </c>
      <c r="B19793" t="s">
        <v>249</v>
      </c>
      <c r="C19793" s="26">
        <v>0.61409999999999998</v>
      </c>
      <c r="D19793" s="26">
        <v>0.38590000000000002</v>
      </c>
      <c r="G19793">
        <v>171</v>
      </c>
    </row>
    <row r="19794" spans="1:7" x14ac:dyDescent="0.35">
      <c r="A19794" t="s">
        <v>230</v>
      </c>
      <c r="B19794" t="s">
        <v>248</v>
      </c>
      <c r="C19794" s="26">
        <v>0.67130000000000001</v>
      </c>
      <c r="D19794" s="26">
        <v>0.31919999999999998</v>
      </c>
      <c r="E19794" s="26">
        <v>9.4999999999999998E-3</v>
      </c>
      <c r="G19794">
        <v>389</v>
      </c>
    </row>
    <row r="19795" spans="1:7" x14ac:dyDescent="0.35">
      <c r="A19795" t="s">
        <v>231</v>
      </c>
      <c r="B19795" t="s">
        <v>249</v>
      </c>
      <c r="C19795" s="26">
        <v>0.65710000000000002</v>
      </c>
      <c r="D19795" s="26">
        <v>0.31430000000000002</v>
      </c>
      <c r="E19795" s="26">
        <v>2.86E-2</v>
      </c>
      <c r="G19795">
        <v>35</v>
      </c>
    </row>
    <row r="19796" spans="1:7" x14ac:dyDescent="0.35">
      <c r="A19796" t="s">
        <v>231</v>
      </c>
      <c r="B19796" t="s">
        <v>248</v>
      </c>
      <c r="C19796" s="26">
        <v>0.74419999999999997</v>
      </c>
      <c r="D19796" s="26">
        <v>0.24809999999999999</v>
      </c>
      <c r="E19796" s="26">
        <v>7.7999999999999996E-3</v>
      </c>
      <c r="G19796">
        <v>129</v>
      </c>
    </row>
    <row r="19797" spans="1:7" x14ac:dyDescent="0.35">
      <c r="A19797" t="s">
        <v>232</v>
      </c>
      <c r="B19797" t="s">
        <v>232</v>
      </c>
      <c r="C19797" s="26">
        <v>0.7097</v>
      </c>
      <c r="D19797" s="26">
        <v>0.28349999999999997</v>
      </c>
      <c r="E19797" s="26">
        <v>6.4999999999999997E-3</v>
      </c>
      <c r="F19797" s="26">
        <v>2.9999999999999997E-4</v>
      </c>
      <c r="G19797">
        <v>2810</v>
      </c>
    </row>
    <row r="19799" spans="1:7" x14ac:dyDescent="0.35">
      <c r="A19799" s="1" t="s">
        <v>1967</v>
      </c>
    </row>
    <row r="19800" spans="1:7" x14ac:dyDescent="0.35">
      <c r="A19800" t="s">
        <v>219</v>
      </c>
      <c r="B19800" t="s">
        <v>305</v>
      </c>
      <c r="C19800" t="s">
        <v>302</v>
      </c>
      <c r="D19800" t="s">
        <v>303</v>
      </c>
      <c r="E19800" t="s">
        <v>281</v>
      </c>
      <c r="F19800" t="s">
        <v>286</v>
      </c>
      <c r="G19800" t="s">
        <v>226</v>
      </c>
    </row>
    <row r="19801" spans="1:7" x14ac:dyDescent="0.35">
      <c r="A19801" s="27" t="s">
        <v>227</v>
      </c>
      <c r="B19801" s="27" t="s">
        <v>263</v>
      </c>
      <c r="C19801" s="28">
        <v>0.66669999999999996</v>
      </c>
      <c r="D19801" s="28">
        <v>0.33329999999999999</v>
      </c>
      <c r="E19801" s="29"/>
      <c r="F19801" s="29"/>
      <c r="G19801" s="29" t="s">
        <v>315</v>
      </c>
    </row>
    <row r="19802" spans="1:7" x14ac:dyDescent="0.35">
      <c r="A19802" t="s">
        <v>227</v>
      </c>
      <c r="B19802" t="s">
        <v>261</v>
      </c>
      <c r="C19802" s="26">
        <v>0.81820000000000004</v>
      </c>
      <c r="D19802" s="26">
        <v>0.18179999999999999</v>
      </c>
      <c r="G19802">
        <v>33</v>
      </c>
    </row>
    <row r="19803" spans="1:7" x14ac:dyDescent="0.35">
      <c r="A19803" s="27" t="s">
        <v>227</v>
      </c>
      <c r="B19803" s="27" t="s">
        <v>262</v>
      </c>
      <c r="C19803" s="28">
        <v>0.66669999999999996</v>
      </c>
      <c r="D19803" s="28">
        <v>0.33329999999999999</v>
      </c>
      <c r="E19803" s="29"/>
      <c r="F19803" s="29"/>
      <c r="G19803" s="29" t="s">
        <v>315</v>
      </c>
    </row>
    <row r="19804" spans="1:7" x14ac:dyDescent="0.35">
      <c r="A19804" t="s">
        <v>227</v>
      </c>
      <c r="B19804" t="s">
        <v>260</v>
      </c>
      <c r="C19804" s="26">
        <v>0.71309999999999996</v>
      </c>
      <c r="D19804" s="26">
        <v>0.28689999999999999</v>
      </c>
      <c r="G19804">
        <v>122</v>
      </c>
    </row>
    <row r="19805" spans="1:7" x14ac:dyDescent="0.35">
      <c r="A19805" t="s">
        <v>228</v>
      </c>
      <c r="B19805" t="s">
        <v>261</v>
      </c>
      <c r="C19805" s="26">
        <v>0.74099999999999999</v>
      </c>
      <c r="D19805" s="26">
        <v>0.23469999999999999</v>
      </c>
      <c r="E19805" s="26">
        <v>2.4299999999999999E-2</v>
      </c>
      <c r="G19805">
        <v>192</v>
      </c>
    </row>
    <row r="19806" spans="1:7" x14ac:dyDescent="0.35">
      <c r="A19806" s="27" t="s">
        <v>228</v>
      </c>
      <c r="B19806" s="27" t="s">
        <v>263</v>
      </c>
      <c r="C19806" s="28">
        <v>0.72150000000000003</v>
      </c>
      <c r="D19806" s="28">
        <v>0.27850000000000003</v>
      </c>
      <c r="E19806" s="29"/>
      <c r="F19806" s="29"/>
      <c r="G19806" s="29" t="s">
        <v>312</v>
      </c>
    </row>
    <row r="19807" spans="1:7" x14ac:dyDescent="0.35">
      <c r="A19807" s="27" t="s">
        <v>228</v>
      </c>
      <c r="B19807" s="27" t="s">
        <v>236</v>
      </c>
      <c r="C19807" s="28">
        <v>0.81210000000000004</v>
      </c>
      <c r="D19807" s="28">
        <v>0.18790000000000001</v>
      </c>
      <c r="E19807" s="29"/>
      <c r="F19807" s="29"/>
      <c r="G19807" s="29" t="s">
        <v>335</v>
      </c>
    </row>
    <row r="19808" spans="1:7" x14ac:dyDescent="0.35">
      <c r="A19808" t="s">
        <v>228</v>
      </c>
      <c r="B19808" t="s">
        <v>262</v>
      </c>
      <c r="C19808" s="26">
        <v>0.68289999999999995</v>
      </c>
      <c r="D19808" s="26">
        <v>0.31709999999999999</v>
      </c>
      <c r="G19808">
        <v>200</v>
      </c>
    </row>
    <row r="19809" spans="1:7" x14ac:dyDescent="0.35">
      <c r="A19809" t="s">
        <v>228</v>
      </c>
      <c r="B19809" t="s">
        <v>260</v>
      </c>
      <c r="C19809" s="26">
        <v>0.72529999999999994</v>
      </c>
      <c r="D19809" s="26">
        <v>0.26800000000000002</v>
      </c>
      <c r="E19809" s="26">
        <v>6.7000000000000002E-3</v>
      </c>
      <c r="G19809">
        <v>609</v>
      </c>
    </row>
    <row r="19810" spans="1:7" x14ac:dyDescent="0.35">
      <c r="A19810" s="27" t="s">
        <v>229</v>
      </c>
      <c r="B19810" s="27" t="s">
        <v>263</v>
      </c>
      <c r="C19810" s="28">
        <v>0.8528</v>
      </c>
      <c r="D19810" s="28">
        <v>0.1472</v>
      </c>
      <c r="E19810" s="29"/>
      <c r="F19810" s="29"/>
      <c r="G19810" s="29" t="s">
        <v>379</v>
      </c>
    </row>
    <row r="19811" spans="1:7" x14ac:dyDescent="0.35">
      <c r="A19811" t="s">
        <v>229</v>
      </c>
      <c r="B19811" t="s">
        <v>262</v>
      </c>
      <c r="C19811" s="26">
        <v>0.62490000000000001</v>
      </c>
      <c r="D19811" s="26">
        <v>0.37509999999999999</v>
      </c>
      <c r="G19811">
        <v>186</v>
      </c>
    </row>
    <row r="19812" spans="1:7" x14ac:dyDescent="0.35">
      <c r="A19812" t="s">
        <v>229</v>
      </c>
      <c r="B19812" t="s">
        <v>261</v>
      </c>
      <c r="C19812" s="26">
        <v>0.76759999999999995</v>
      </c>
      <c r="D19812" s="26">
        <v>0.2324</v>
      </c>
      <c r="G19812">
        <v>96</v>
      </c>
    </row>
    <row r="19813" spans="1:7" x14ac:dyDescent="0.35">
      <c r="A19813" s="27" t="s">
        <v>229</v>
      </c>
      <c r="B19813" s="27" t="s">
        <v>236</v>
      </c>
      <c r="C19813" s="28">
        <v>1</v>
      </c>
      <c r="D19813" s="29"/>
      <c r="E19813" s="29"/>
      <c r="F19813" s="29"/>
      <c r="G19813" s="29" t="s">
        <v>331</v>
      </c>
    </row>
    <row r="19814" spans="1:7" x14ac:dyDescent="0.35">
      <c r="A19814" t="s">
        <v>229</v>
      </c>
      <c r="B19814" t="s">
        <v>260</v>
      </c>
      <c r="C19814" s="26">
        <v>0.70140000000000002</v>
      </c>
      <c r="D19814" s="26">
        <v>0.29139999999999999</v>
      </c>
      <c r="E19814" s="26">
        <v>5.4000000000000003E-3</v>
      </c>
      <c r="F19814" s="26">
        <v>1.8E-3</v>
      </c>
      <c r="G19814">
        <v>596</v>
      </c>
    </row>
    <row r="19815" spans="1:7" x14ac:dyDescent="0.35">
      <c r="A19815" s="27" t="s">
        <v>230</v>
      </c>
      <c r="B19815" s="27" t="s">
        <v>236</v>
      </c>
      <c r="C19815" s="28">
        <v>0.87809999999999999</v>
      </c>
      <c r="D19815" s="28">
        <v>0.12189999999999999</v>
      </c>
      <c r="E19815" s="29"/>
      <c r="F19815" s="29"/>
      <c r="G19815" s="29" t="s">
        <v>337</v>
      </c>
    </row>
    <row r="19816" spans="1:7" x14ac:dyDescent="0.35">
      <c r="A19816" t="s">
        <v>230</v>
      </c>
      <c r="B19816" t="s">
        <v>262</v>
      </c>
      <c r="C19816" s="26">
        <v>0.61460000000000004</v>
      </c>
      <c r="D19816" s="26">
        <v>0.38540000000000002</v>
      </c>
      <c r="G19816">
        <v>122</v>
      </c>
    </row>
    <row r="19817" spans="1:7" x14ac:dyDescent="0.35">
      <c r="A19817" t="s">
        <v>230</v>
      </c>
      <c r="B19817" t="s">
        <v>261</v>
      </c>
      <c r="C19817" s="26">
        <v>0.69359999999999999</v>
      </c>
      <c r="D19817" s="26">
        <v>0.2661</v>
      </c>
      <c r="E19817" s="26">
        <v>4.0399999999999998E-2</v>
      </c>
      <c r="G19817">
        <v>57</v>
      </c>
    </row>
    <row r="19818" spans="1:7" x14ac:dyDescent="0.35">
      <c r="A19818" s="27" t="s">
        <v>230</v>
      </c>
      <c r="B19818" s="27" t="s">
        <v>263</v>
      </c>
      <c r="C19818" s="28">
        <v>0.80189999999999995</v>
      </c>
      <c r="D19818" s="28">
        <v>0.1981</v>
      </c>
      <c r="E19818" s="29"/>
      <c r="F19818" s="29"/>
      <c r="G19818" s="29" t="s">
        <v>312</v>
      </c>
    </row>
    <row r="19819" spans="1:7" x14ac:dyDescent="0.35">
      <c r="A19819" t="s">
        <v>230</v>
      </c>
      <c r="B19819" t="s">
        <v>260</v>
      </c>
      <c r="C19819" s="26">
        <v>0.6462</v>
      </c>
      <c r="D19819" s="26">
        <v>0.35249999999999998</v>
      </c>
      <c r="E19819" s="26">
        <v>1.2999999999999999E-3</v>
      </c>
      <c r="G19819">
        <v>352</v>
      </c>
    </row>
    <row r="19820" spans="1:7" x14ac:dyDescent="0.35">
      <c r="A19820" s="27" t="s">
        <v>231</v>
      </c>
      <c r="B19820" s="27" t="s">
        <v>263</v>
      </c>
      <c r="C19820" s="28">
        <v>0.5</v>
      </c>
      <c r="D19820" s="28">
        <v>0.5</v>
      </c>
      <c r="E19820" s="29"/>
      <c r="F19820" s="29"/>
      <c r="G19820" s="29" t="s">
        <v>314</v>
      </c>
    </row>
    <row r="19821" spans="1:7" x14ac:dyDescent="0.35">
      <c r="A19821" t="s">
        <v>231</v>
      </c>
      <c r="B19821" t="s">
        <v>260</v>
      </c>
      <c r="C19821" s="26">
        <v>0.7419</v>
      </c>
      <c r="D19821" s="26">
        <v>0.2581</v>
      </c>
      <c r="G19821">
        <v>124</v>
      </c>
    </row>
    <row r="19822" spans="1:7" x14ac:dyDescent="0.35">
      <c r="A19822" s="27" t="s">
        <v>231</v>
      </c>
      <c r="B19822" s="27" t="s">
        <v>261</v>
      </c>
      <c r="C19822" s="28">
        <v>0.66669999999999996</v>
      </c>
      <c r="D19822" s="28">
        <v>0.25929999999999997</v>
      </c>
      <c r="E19822" s="28">
        <v>7.4099999999999999E-2</v>
      </c>
      <c r="F19822" s="29"/>
      <c r="G19822" s="29" t="s">
        <v>338</v>
      </c>
    </row>
    <row r="19823" spans="1:7" x14ac:dyDescent="0.35">
      <c r="A19823" s="27" t="s">
        <v>231</v>
      </c>
      <c r="B19823" s="27" t="s">
        <v>262</v>
      </c>
      <c r="C19823" s="28">
        <v>0.72729999999999995</v>
      </c>
      <c r="D19823" s="28">
        <v>0.2727</v>
      </c>
      <c r="E19823" s="29"/>
      <c r="F19823" s="29"/>
      <c r="G19823" s="29" t="s">
        <v>352</v>
      </c>
    </row>
    <row r="19824" spans="1:7" x14ac:dyDescent="0.35">
      <c r="A19824" t="s">
        <v>232</v>
      </c>
      <c r="B19824" t="s">
        <v>232</v>
      </c>
      <c r="C19824" s="26">
        <v>0.7097</v>
      </c>
      <c r="D19824" s="26">
        <v>0.28349999999999997</v>
      </c>
      <c r="E19824" s="26">
        <v>6.4999999999999997E-3</v>
      </c>
      <c r="F19824" s="26">
        <v>2.9999999999999997E-4</v>
      </c>
      <c r="G19824">
        <v>2810</v>
      </c>
    </row>
    <row r="19826" spans="1:7" x14ac:dyDescent="0.35">
      <c r="A19826" s="1" t="s">
        <v>1968</v>
      </c>
    </row>
    <row r="19827" spans="1:7" x14ac:dyDescent="0.35">
      <c r="A19827" t="s">
        <v>219</v>
      </c>
      <c r="B19827" t="s">
        <v>305</v>
      </c>
      <c r="C19827" t="s">
        <v>302</v>
      </c>
      <c r="D19827" t="s">
        <v>303</v>
      </c>
      <c r="E19827" t="s">
        <v>281</v>
      </c>
      <c r="F19827" t="s">
        <v>286</v>
      </c>
      <c r="G19827" t="s">
        <v>226</v>
      </c>
    </row>
    <row r="19828" spans="1:7" x14ac:dyDescent="0.35">
      <c r="A19828" t="s">
        <v>227</v>
      </c>
      <c r="B19828" t="s">
        <v>368</v>
      </c>
      <c r="C19828" s="26">
        <v>0.81820000000000004</v>
      </c>
      <c r="D19828" s="26">
        <v>0.18179999999999999</v>
      </c>
      <c r="G19828">
        <v>33</v>
      </c>
    </row>
    <row r="19829" spans="1:7" x14ac:dyDescent="0.35">
      <c r="A19829" t="s">
        <v>227</v>
      </c>
      <c r="B19829" t="s">
        <v>369</v>
      </c>
      <c r="C19829" s="26">
        <v>0.71089999999999998</v>
      </c>
      <c r="D19829" s="26">
        <v>0.28910000000000002</v>
      </c>
      <c r="G19829">
        <v>128</v>
      </c>
    </row>
    <row r="19830" spans="1:7" x14ac:dyDescent="0.35">
      <c r="A19830" t="s">
        <v>228</v>
      </c>
      <c r="B19830" t="s">
        <v>368</v>
      </c>
      <c r="C19830" s="26">
        <v>0.74099999999999999</v>
      </c>
      <c r="D19830" s="26">
        <v>0.23469999999999999</v>
      </c>
      <c r="E19830" s="26">
        <v>2.4299999999999999E-2</v>
      </c>
      <c r="G19830">
        <v>192</v>
      </c>
    </row>
    <row r="19831" spans="1:7" x14ac:dyDescent="0.35">
      <c r="A19831" t="s">
        <v>228</v>
      </c>
      <c r="B19831" t="s">
        <v>369</v>
      </c>
      <c r="C19831" s="26">
        <v>0.71709999999999996</v>
      </c>
      <c r="D19831" s="26">
        <v>0.27779999999999999</v>
      </c>
      <c r="E19831" s="26">
        <v>5.1000000000000004E-3</v>
      </c>
      <c r="G19831">
        <v>840</v>
      </c>
    </row>
    <row r="19832" spans="1:7" x14ac:dyDescent="0.35">
      <c r="A19832" t="s">
        <v>229</v>
      </c>
      <c r="B19832" t="s">
        <v>368</v>
      </c>
      <c r="C19832" s="26">
        <v>0.76759999999999995</v>
      </c>
      <c r="D19832" s="26">
        <v>0.2324</v>
      </c>
      <c r="G19832">
        <v>96</v>
      </c>
    </row>
    <row r="19833" spans="1:7" x14ac:dyDescent="0.35">
      <c r="A19833" t="s">
        <v>229</v>
      </c>
      <c r="B19833" t="s">
        <v>369</v>
      </c>
      <c r="C19833" s="26">
        <v>0.68</v>
      </c>
      <c r="D19833" s="26">
        <v>0.31530000000000002</v>
      </c>
      <c r="E19833" s="26">
        <v>3.5000000000000001E-3</v>
      </c>
      <c r="F19833" s="26">
        <v>1.1999999999999999E-3</v>
      </c>
      <c r="G19833">
        <v>797</v>
      </c>
    </row>
    <row r="19834" spans="1:7" x14ac:dyDescent="0.35">
      <c r="A19834" t="s">
        <v>230</v>
      </c>
      <c r="B19834" t="s">
        <v>368</v>
      </c>
      <c r="C19834" s="26">
        <v>0.69359999999999999</v>
      </c>
      <c r="D19834" s="26">
        <v>0.2661</v>
      </c>
      <c r="E19834" s="26">
        <v>4.0399999999999998E-2</v>
      </c>
      <c r="G19834">
        <v>57</v>
      </c>
    </row>
    <row r="19835" spans="1:7" x14ac:dyDescent="0.35">
      <c r="A19835" t="s">
        <v>230</v>
      </c>
      <c r="B19835" t="s">
        <v>369</v>
      </c>
      <c r="C19835" s="26">
        <v>0.64559999999999995</v>
      </c>
      <c r="D19835" s="26">
        <v>0.3533</v>
      </c>
      <c r="E19835" s="26">
        <v>1E-3</v>
      </c>
      <c r="G19835">
        <v>503</v>
      </c>
    </row>
    <row r="19836" spans="1:7" x14ac:dyDescent="0.35">
      <c r="A19836" s="27" t="s">
        <v>231</v>
      </c>
      <c r="B19836" s="27" t="s">
        <v>368</v>
      </c>
      <c r="C19836" s="28">
        <v>0.66669999999999996</v>
      </c>
      <c r="D19836" s="28">
        <v>0.25929999999999997</v>
      </c>
      <c r="E19836" s="28">
        <v>7.4099999999999999E-2</v>
      </c>
      <c r="F19836" s="29"/>
      <c r="G19836" s="29" t="s">
        <v>338</v>
      </c>
    </row>
    <row r="19837" spans="1:7" x14ac:dyDescent="0.35">
      <c r="A19837" t="s">
        <v>231</v>
      </c>
      <c r="B19837" t="s">
        <v>369</v>
      </c>
      <c r="C19837" s="26">
        <v>0.73719999999999997</v>
      </c>
      <c r="D19837" s="26">
        <v>0.26279999999999998</v>
      </c>
      <c r="G19837">
        <v>137</v>
      </c>
    </row>
    <row r="19838" spans="1:7" x14ac:dyDescent="0.35">
      <c r="A19838" t="s">
        <v>232</v>
      </c>
      <c r="B19838" t="s">
        <v>232</v>
      </c>
      <c r="C19838" s="26">
        <v>0.7097</v>
      </c>
      <c r="D19838" s="26">
        <v>0.28349999999999997</v>
      </c>
      <c r="E19838" s="26">
        <v>6.4999999999999997E-3</v>
      </c>
      <c r="F19838" s="26">
        <v>2.9999999999999997E-4</v>
      </c>
      <c r="G19838">
        <v>2810</v>
      </c>
    </row>
    <row r="19840" spans="1:7" x14ac:dyDescent="0.35">
      <c r="A19840" s="1" t="s">
        <v>1969</v>
      </c>
    </row>
    <row r="19841" spans="1:7" x14ac:dyDescent="0.35">
      <c r="A19841" t="s">
        <v>219</v>
      </c>
      <c r="B19841" t="s">
        <v>305</v>
      </c>
      <c r="C19841" t="s">
        <v>302</v>
      </c>
      <c r="D19841" t="s">
        <v>303</v>
      </c>
      <c r="E19841" t="s">
        <v>281</v>
      </c>
      <c r="F19841" t="s">
        <v>286</v>
      </c>
      <c r="G19841" t="s">
        <v>226</v>
      </c>
    </row>
    <row r="19842" spans="1:7" x14ac:dyDescent="0.35">
      <c r="A19842" t="s">
        <v>227</v>
      </c>
      <c r="B19842" t="s">
        <v>371</v>
      </c>
      <c r="C19842" s="26">
        <v>0.7329</v>
      </c>
      <c r="D19842" s="26">
        <v>0.2671</v>
      </c>
      <c r="G19842">
        <v>161</v>
      </c>
    </row>
    <row r="19843" spans="1:7" x14ac:dyDescent="0.35">
      <c r="A19843" t="s">
        <v>228</v>
      </c>
      <c r="B19843" t="s">
        <v>371</v>
      </c>
      <c r="C19843" s="26">
        <v>0.69789999999999996</v>
      </c>
      <c r="D19843" s="26">
        <v>0.28870000000000001</v>
      </c>
      <c r="E19843" s="26">
        <v>1.34E-2</v>
      </c>
      <c r="G19843">
        <v>291</v>
      </c>
    </row>
    <row r="19844" spans="1:7" x14ac:dyDescent="0.35">
      <c r="A19844" t="s">
        <v>228</v>
      </c>
      <c r="B19844" t="s">
        <v>372</v>
      </c>
      <c r="C19844" s="26">
        <v>0.77500000000000002</v>
      </c>
      <c r="D19844" s="26">
        <v>0.22020000000000001</v>
      </c>
      <c r="E19844" s="26">
        <v>4.8999999999999998E-3</v>
      </c>
      <c r="G19844">
        <v>218</v>
      </c>
    </row>
    <row r="19845" spans="1:7" x14ac:dyDescent="0.35">
      <c r="A19845" t="s">
        <v>228</v>
      </c>
      <c r="B19845" t="s">
        <v>373</v>
      </c>
      <c r="C19845" s="26">
        <v>0.74209999999999998</v>
      </c>
      <c r="D19845" s="26">
        <v>0.25440000000000002</v>
      </c>
      <c r="E19845" s="26">
        <v>3.5999999999999999E-3</v>
      </c>
      <c r="G19845">
        <v>523</v>
      </c>
    </row>
    <row r="19846" spans="1:7" x14ac:dyDescent="0.35">
      <c r="A19846" t="s">
        <v>229</v>
      </c>
      <c r="B19846" t="s">
        <v>371</v>
      </c>
      <c r="C19846" s="26">
        <v>0.68889999999999996</v>
      </c>
      <c r="D19846" s="26">
        <v>0.30709999999999998</v>
      </c>
      <c r="E19846" s="26">
        <v>3.3E-3</v>
      </c>
      <c r="F19846" s="26">
        <v>6.9999999999999999E-4</v>
      </c>
      <c r="G19846">
        <v>583</v>
      </c>
    </row>
    <row r="19847" spans="1:7" x14ac:dyDescent="0.35">
      <c r="A19847" t="s">
        <v>229</v>
      </c>
      <c r="B19847" t="s">
        <v>372</v>
      </c>
      <c r="C19847" s="26">
        <v>0.75539999999999996</v>
      </c>
      <c r="D19847" s="26">
        <v>0.2379</v>
      </c>
      <c r="F19847" s="26">
        <v>6.6E-3</v>
      </c>
      <c r="G19847">
        <v>220</v>
      </c>
    </row>
    <row r="19848" spans="1:7" x14ac:dyDescent="0.35">
      <c r="A19848" t="s">
        <v>229</v>
      </c>
      <c r="B19848" t="s">
        <v>373</v>
      </c>
      <c r="C19848" s="26">
        <v>0.71779999999999999</v>
      </c>
      <c r="D19848" s="26">
        <v>0.28220000000000001</v>
      </c>
      <c r="G19848">
        <v>90</v>
      </c>
    </row>
    <row r="19849" spans="1:7" x14ac:dyDescent="0.35">
      <c r="A19849" t="s">
        <v>230</v>
      </c>
      <c r="B19849" t="s">
        <v>371</v>
      </c>
      <c r="C19849" s="26">
        <v>0.64180000000000004</v>
      </c>
      <c r="D19849" s="26">
        <v>0.35049999999999998</v>
      </c>
      <c r="E19849" s="26">
        <v>7.7000000000000002E-3</v>
      </c>
      <c r="G19849">
        <v>262</v>
      </c>
    </row>
    <row r="19850" spans="1:7" x14ac:dyDescent="0.35">
      <c r="A19850" t="s">
        <v>230</v>
      </c>
      <c r="B19850" t="s">
        <v>372</v>
      </c>
      <c r="C19850" s="26">
        <v>0.72309999999999997</v>
      </c>
      <c r="D19850" s="26">
        <v>0.27689999999999998</v>
      </c>
      <c r="G19850">
        <v>146</v>
      </c>
    </row>
    <row r="19851" spans="1:7" x14ac:dyDescent="0.35">
      <c r="A19851" t="s">
        <v>230</v>
      </c>
      <c r="B19851" t="s">
        <v>373</v>
      </c>
      <c r="C19851" s="26">
        <v>0.68530000000000002</v>
      </c>
      <c r="D19851" s="26">
        <v>0.31469999999999998</v>
      </c>
      <c r="G19851">
        <v>152</v>
      </c>
    </row>
    <row r="19852" spans="1:7" x14ac:dyDescent="0.35">
      <c r="A19852" t="s">
        <v>231</v>
      </c>
      <c r="B19852" t="s">
        <v>371</v>
      </c>
      <c r="C19852" s="26">
        <v>0.72560000000000002</v>
      </c>
      <c r="D19852" s="26">
        <v>0.26219999999999999</v>
      </c>
      <c r="E19852" s="26">
        <v>1.2200000000000001E-2</v>
      </c>
      <c r="G19852">
        <v>164</v>
      </c>
    </row>
    <row r="19853" spans="1:7" x14ac:dyDescent="0.35">
      <c r="A19853" t="s">
        <v>232</v>
      </c>
      <c r="B19853" t="s">
        <v>232</v>
      </c>
      <c r="C19853" s="26">
        <v>0.7097</v>
      </c>
      <c r="D19853" s="26">
        <v>0.28349999999999997</v>
      </c>
      <c r="E19853" s="26">
        <v>6.4999999999999997E-3</v>
      </c>
      <c r="F19853" s="26">
        <v>2.9999999999999997E-4</v>
      </c>
      <c r="G19853">
        <v>2810</v>
      </c>
    </row>
    <row r="19855" spans="1:7" x14ac:dyDescent="0.35">
      <c r="A19855" s="1" t="s">
        <v>1970</v>
      </c>
    </row>
    <row r="19856" spans="1:7" x14ac:dyDescent="0.35">
      <c r="A19856" t="s">
        <v>219</v>
      </c>
      <c r="B19856" t="s">
        <v>305</v>
      </c>
      <c r="C19856" t="s">
        <v>302</v>
      </c>
      <c r="D19856" t="s">
        <v>303</v>
      </c>
      <c r="E19856" t="s">
        <v>281</v>
      </c>
      <c r="F19856" t="s">
        <v>286</v>
      </c>
      <c r="G19856" t="s">
        <v>226</v>
      </c>
    </row>
    <row r="19857" spans="1:7" x14ac:dyDescent="0.35">
      <c r="A19857" t="s">
        <v>227</v>
      </c>
      <c r="B19857" t="s">
        <v>255</v>
      </c>
      <c r="C19857" s="26">
        <v>0.74360000000000004</v>
      </c>
      <c r="D19857" s="26">
        <v>0.25640000000000002</v>
      </c>
      <c r="G19857">
        <v>117</v>
      </c>
    </row>
    <row r="19858" spans="1:7" x14ac:dyDescent="0.35">
      <c r="A19858" s="27" t="s">
        <v>227</v>
      </c>
      <c r="B19858" s="27" t="s">
        <v>257</v>
      </c>
      <c r="C19858" s="28">
        <v>0.55559999999999998</v>
      </c>
      <c r="D19858" s="28">
        <v>0.44440000000000002</v>
      </c>
      <c r="E19858" s="29"/>
      <c r="F19858" s="29"/>
      <c r="G19858" s="29" t="s">
        <v>334</v>
      </c>
    </row>
    <row r="19859" spans="1:7" x14ac:dyDescent="0.35">
      <c r="A19859" t="s">
        <v>227</v>
      </c>
      <c r="B19859" t="s">
        <v>256</v>
      </c>
      <c r="C19859" s="26">
        <v>0.7429</v>
      </c>
      <c r="D19859" s="26">
        <v>0.2571</v>
      </c>
      <c r="G19859">
        <v>35</v>
      </c>
    </row>
    <row r="19860" spans="1:7" x14ac:dyDescent="0.35">
      <c r="A19860" t="s">
        <v>228</v>
      </c>
      <c r="B19860" t="s">
        <v>257</v>
      </c>
      <c r="C19860" s="26">
        <v>0.7611</v>
      </c>
      <c r="D19860" s="26">
        <v>0.2389</v>
      </c>
      <c r="G19860">
        <v>49</v>
      </c>
    </row>
    <row r="19861" spans="1:7" x14ac:dyDescent="0.35">
      <c r="A19861" s="27" t="s">
        <v>228</v>
      </c>
      <c r="B19861" s="27" t="s">
        <v>258</v>
      </c>
      <c r="C19861" s="28">
        <v>0.90190000000000003</v>
      </c>
      <c r="D19861" s="28">
        <v>9.8100000000000007E-2</v>
      </c>
      <c r="E19861" s="29"/>
      <c r="F19861" s="29"/>
      <c r="G19861" s="29" t="s">
        <v>337</v>
      </c>
    </row>
    <row r="19862" spans="1:7" x14ac:dyDescent="0.35">
      <c r="A19862" t="s">
        <v>228</v>
      </c>
      <c r="B19862" t="s">
        <v>256</v>
      </c>
      <c r="C19862" s="26">
        <v>0.58209999999999995</v>
      </c>
      <c r="D19862" s="26">
        <v>0.41789999999999999</v>
      </c>
      <c r="G19862">
        <v>221</v>
      </c>
    </row>
    <row r="19863" spans="1:7" x14ac:dyDescent="0.35">
      <c r="A19863" t="s">
        <v>228</v>
      </c>
      <c r="B19863" t="s">
        <v>255</v>
      </c>
      <c r="C19863" s="26">
        <v>0.76559999999999995</v>
      </c>
      <c r="D19863" s="26">
        <v>0.2218</v>
      </c>
      <c r="E19863" s="26">
        <v>1.26E-2</v>
      </c>
      <c r="G19863">
        <v>758</v>
      </c>
    </row>
    <row r="19864" spans="1:7" x14ac:dyDescent="0.35">
      <c r="A19864" t="s">
        <v>229</v>
      </c>
      <c r="B19864" t="s">
        <v>256</v>
      </c>
      <c r="C19864" s="26">
        <v>0.59699999999999998</v>
      </c>
      <c r="D19864" s="26">
        <v>0.40300000000000002</v>
      </c>
      <c r="G19864">
        <v>207</v>
      </c>
    </row>
    <row r="19865" spans="1:7" x14ac:dyDescent="0.35">
      <c r="A19865" t="s">
        <v>229</v>
      </c>
      <c r="B19865" t="s">
        <v>255</v>
      </c>
      <c r="C19865" s="26">
        <v>0.71609999999999996</v>
      </c>
      <c r="D19865" s="26">
        <v>0.27789999999999998</v>
      </c>
      <c r="E19865" s="26">
        <v>4.4999999999999997E-3</v>
      </c>
      <c r="F19865" s="26">
        <v>1.5E-3</v>
      </c>
      <c r="G19865">
        <v>634</v>
      </c>
    </row>
    <row r="19866" spans="1:7" x14ac:dyDescent="0.35">
      <c r="A19866" t="s">
        <v>229</v>
      </c>
      <c r="B19866" t="s">
        <v>257</v>
      </c>
      <c r="C19866" s="26">
        <v>0.89200000000000002</v>
      </c>
      <c r="D19866" s="26">
        <v>0.108</v>
      </c>
      <c r="G19866">
        <v>50</v>
      </c>
    </row>
    <row r="19867" spans="1:7" x14ac:dyDescent="0.35">
      <c r="A19867" s="27" t="s">
        <v>229</v>
      </c>
      <c r="B19867" s="27" t="s">
        <v>258</v>
      </c>
      <c r="C19867" s="28">
        <v>1</v>
      </c>
      <c r="D19867" s="29"/>
      <c r="E19867" s="29"/>
      <c r="F19867" s="29"/>
      <c r="G19867" s="29" t="s">
        <v>314</v>
      </c>
    </row>
    <row r="19868" spans="1:7" x14ac:dyDescent="0.35">
      <c r="A19868" t="s">
        <v>230</v>
      </c>
      <c r="B19868" t="s">
        <v>256</v>
      </c>
      <c r="C19868" s="26">
        <v>0.58069999999999999</v>
      </c>
      <c r="D19868" s="26">
        <v>0.41930000000000001</v>
      </c>
      <c r="G19868">
        <v>130</v>
      </c>
    </row>
    <row r="19869" spans="1:7" x14ac:dyDescent="0.35">
      <c r="A19869" t="s">
        <v>230</v>
      </c>
      <c r="B19869" t="s">
        <v>255</v>
      </c>
      <c r="C19869" s="26">
        <v>0.67130000000000001</v>
      </c>
      <c r="D19869" s="26">
        <v>0.31919999999999998</v>
      </c>
      <c r="E19869" s="26">
        <v>9.4999999999999998E-3</v>
      </c>
      <c r="G19869">
        <v>389</v>
      </c>
    </row>
    <row r="19870" spans="1:7" x14ac:dyDescent="0.35">
      <c r="A19870" t="s">
        <v>230</v>
      </c>
      <c r="B19870" t="s">
        <v>257</v>
      </c>
      <c r="C19870" s="26">
        <v>0.70120000000000005</v>
      </c>
      <c r="D19870" s="26">
        <v>0.29880000000000001</v>
      </c>
      <c r="G19870">
        <v>38</v>
      </c>
    </row>
    <row r="19871" spans="1:7" x14ac:dyDescent="0.35">
      <c r="A19871" s="27" t="s">
        <v>230</v>
      </c>
      <c r="B19871" s="27" t="s">
        <v>258</v>
      </c>
      <c r="C19871" s="28">
        <v>1</v>
      </c>
      <c r="D19871" s="29"/>
      <c r="E19871" s="29"/>
      <c r="F19871" s="29"/>
      <c r="G19871" s="29" t="s">
        <v>315</v>
      </c>
    </row>
    <row r="19872" spans="1:7" x14ac:dyDescent="0.35">
      <c r="A19872" s="27" t="s">
        <v>231</v>
      </c>
      <c r="B19872" s="27" t="s">
        <v>257</v>
      </c>
      <c r="C19872" s="28">
        <v>0.57140000000000002</v>
      </c>
      <c r="D19872" s="28">
        <v>0.28570000000000001</v>
      </c>
      <c r="E19872" s="28">
        <v>0.1429</v>
      </c>
      <c r="F19872" s="29"/>
      <c r="G19872" s="29" t="s">
        <v>339</v>
      </c>
    </row>
    <row r="19873" spans="1:9" x14ac:dyDescent="0.35">
      <c r="A19873" t="s">
        <v>231</v>
      </c>
      <c r="B19873" t="s">
        <v>255</v>
      </c>
      <c r="C19873" s="26">
        <v>0.74419999999999997</v>
      </c>
      <c r="D19873" s="26">
        <v>0.24809999999999999</v>
      </c>
      <c r="E19873" s="26">
        <v>7.7999999999999996E-3</v>
      </c>
      <c r="G19873">
        <v>129</v>
      </c>
    </row>
    <row r="19874" spans="1:9" x14ac:dyDescent="0.35">
      <c r="A19874" s="27" t="s">
        <v>231</v>
      </c>
      <c r="B19874" s="27" t="s">
        <v>256</v>
      </c>
      <c r="C19874" s="28">
        <v>0.67859999999999998</v>
      </c>
      <c r="D19874" s="28">
        <v>0.32140000000000002</v>
      </c>
      <c r="E19874" s="29"/>
      <c r="F19874" s="29"/>
      <c r="G19874" s="29" t="s">
        <v>336</v>
      </c>
    </row>
    <row r="19875" spans="1:9" x14ac:dyDescent="0.35">
      <c r="A19875" t="s">
        <v>232</v>
      </c>
      <c r="B19875" t="s">
        <v>232</v>
      </c>
      <c r="C19875" s="26">
        <v>0.7097</v>
      </c>
      <c r="D19875" s="26">
        <v>0.28349999999999997</v>
      </c>
      <c r="E19875" s="26">
        <v>6.4999999999999997E-3</v>
      </c>
      <c r="F19875" s="26">
        <v>2.9999999999999997E-4</v>
      </c>
      <c r="G19875">
        <v>2810</v>
      </c>
    </row>
    <row r="19877" spans="1:9" x14ac:dyDescent="0.35">
      <c r="A19877" s="1" t="s">
        <v>1971</v>
      </c>
    </row>
    <row r="19878" spans="1:9" x14ac:dyDescent="0.35">
      <c r="A19878" t="s">
        <v>219</v>
      </c>
      <c r="B19878" t="s">
        <v>1972</v>
      </c>
      <c r="C19878" t="s">
        <v>1973</v>
      </c>
      <c r="D19878" t="s">
        <v>1974</v>
      </c>
      <c r="E19878" t="s">
        <v>1975</v>
      </c>
      <c r="F19878" t="s">
        <v>281</v>
      </c>
      <c r="G19878" t="s">
        <v>286</v>
      </c>
      <c r="H19878" t="s">
        <v>226</v>
      </c>
    </row>
    <row r="19879" spans="1:9" x14ac:dyDescent="0.35">
      <c r="A19879" t="s">
        <v>227</v>
      </c>
      <c r="B19879" s="26">
        <v>0.77639999999999998</v>
      </c>
      <c r="C19879" s="26">
        <v>4.3499999999999997E-2</v>
      </c>
      <c r="D19879" s="26">
        <v>8.0699999999999994E-2</v>
      </c>
      <c r="E19879" s="26">
        <v>6.2100000000000002E-2</v>
      </c>
      <c r="F19879" s="26">
        <v>3.73E-2</v>
      </c>
      <c r="H19879">
        <v>161</v>
      </c>
    </row>
    <row r="19880" spans="1:9" x14ac:dyDescent="0.35">
      <c r="A19880" t="s">
        <v>228</v>
      </c>
      <c r="B19880" s="26">
        <v>0.78610000000000002</v>
      </c>
      <c r="C19880" s="26">
        <v>0.1142</v>
      </c>
      <c r="D19880" s="26">
        <v>4.4999999999999998E-2</v>
      </c>
      <c r="E19880" s="26">
        <v>4.1000000000000002E-2</v>
      </c>
      <c r="F19880" s="26">
        <v>1.1299999999999999E-2</v>
      </c>
      <c r="G19880" s="26">
        <v>2.3999999999999998E-3</v>
      </c>
      <c r="H19880">
        <v>1033</v>
      </c>
    </row>
    <row r="19881" spans="1:9" x14ac:dyDescent="0.35">
      <c r="A19881" t="s">
        <v>229</v>
      </c>
      <c r="B19881" s="26">
        <v>0.82230000000000003</v>
      </c>
      <c r="C19881" s="26">
        <v>8.8400000000000006E-2</v>
      </c>
      <c r="D19881" s="26">
        <v>5.3400000000000003E-2</v>
      </c>
      <c r="E19881" s="26">
        <v>2.4299999999999999E-2</v>
      </c>
      <c r="F19881" s="26">
        <v>9.7999999999999997E-3</v>
      </c>
      <c r="G19881" s="26">
        <v>1.8E-3</v>
      </c>
      <c r="H19881">
        <v>895</v>
      </c>
    </row>
    <row r="19882" spans="1:9" x14ac:dyDescent="0.35">
      <c r="A19882" t="s">
        <v>230</v>
      </c>
      <c r="B19882" s="26">
        <v>0.83440000000000003</v>
      </c>
      <c r="C19882" s="26">
        <v>6.8599999999999994E-2</v>
      </c>
      <c r="D19882" s="26">
        <v>2.5600000000000001E-2</v>
      </c>
      <c r="E19882" s="26">
        <v>5.8099999999999999E-2</v>
      </c>
      <c r="F19882" s="26">
        <v>1.3299999999999999E-2</v>
      </c>
      <c r="H19882">
        <v>560</v>
      </c>
    </row>
    <row r="19883" spans="1:9" x14ac:dyDescent="0.35">
      <c r="A19883" t="s">
        <v>231</v>
      </c>
      <c r="B19883" s="26">
        <v>0.81100000000000005</v>
      </c>
      <c r="C19883" s="26">
        <v>4.8800000000000003E-2</v>
      </c>
      <c r="D19883" s="26">
        <v>7.9299999999999995E-2</v>
      </c>
      <c r="E19883" s="26">
        <v>3.6600000000000001E-2</v>
      </c>
      <c r="F19883" s="26">
        <v>2.4400000000000002E-2</v>
      </c>
      <c r="H19883">
        <v>164</v>
      </c>
    </row>
    <row r="19884" spans="1:9" x14ac:dyDescent="0.35">
      <c r="A19884" t="s">
        <v>232</v>
      </c>
      <c r="B19884" s="26">
        <v>0.80640000000000001</v>
      </c>
      <c r="C19884" s="26">
        <v>7.3800000000000004E-2</v>
      </c>
      <c r="D19884" s="26">
        <v>6.0299999999999999E-2</v>
      </c>
      <c r="E19884" s="26">
        <v>3.9899999999999998E-2</v>
      </c>
      <c r="F19884" s="26">
        <v>1.8599999999999998E-2</v>
      </c>
      <c r="G19884" s="26">
        <v>1E-3</v>
      </c>
      <c r="H19884">
        <v>2813</v>
      </c>
    </row>
    <row r="19886" spans="1:9" x14ac:dyDescent="0.35">
      <c r="A19886" s="1" t="s">
        <v>1976</v>
      </c>
    </row>
    <row r="19887" spans="1:9" x14ac:dyDescent="0.35">
      <c r="A19887" t="s">
        <v>219</v>
      </c>
      <c r="B19887" t="s">
        <v>305</v>
      </c>
      <c r="C19887" t="s">
        <v>1972</v>
      </c>
      <c r="D19887" t="s">
        <v>1973</v>
      </c>
      <c r="E19887" t="s">
        <v>1974</v>
      </c>
      <c r="F19887" t="s">
        <v>1975</v>
      </c>
      <c r="G19887" t="s">
        <v>281</v>
      </c>
      <c r="H19887" t="s">
        <v>286</v>
      </c>
      <c r="I19887" t="s">
        <v>226</v>
      </c>
    </row>
    <row r="19888" spans="1:9" x14ac:dyDescent="0.35">
      <c r="A19888" t="s">
        <v>227</v>
      </c>
      <c r="B19888" t="s">
        <v>242</v>
      </c>
      <c r="C19888" s="26">
        <v>0.69120000000000004</v>
      </c>
      <c r="D19888" s="26">
        <v>5.8799999999999998E-2</v>
      </c>
      <c r="E19888" s="26">
        <v>0.10290000000000001</v>
      </c>
      <c r="F19888" s="26">
        <v>0.10290000000000001</v>
      </c>
      <c r="G19888" s="26">
        <v>4.41E-2</v>
      </c>
      <c r="I19888">
        <v>68</v>
      </c>
    </row>
    <row r="19889" spans="1:9" x14ac:dyDescent="0.35">
      <c r="A19889" t="s">
        <v>227</v>
      </c>
      <c r="B19889" t="s">
        <v>241</v>
      </c>
      <c r="C19889" s="26">
        <v>0.8387</v>
      </c>
      <c r="D19889" s="26">
        <v>3.2300000000000002E-2</v>
      </c>
      <c r="E19889" s="26">
        <v>6.4500000000000002E-2</v>
      </c>
      <c r="F19889" s="26">
        <v>3.2300000000000002E-2</v>
      </c>
      <c r="G19889" s="26">
        <v>3.2300000000000002E-2</v>
      </c>
      <c r="I19889">
        <v>93</v>
      </c>
    </row>
    <row r="19890" spans="1:9" x14ac:dyDescent="0.35">
      <c r="A19890" t="s">
        <v>228</v>
      </c>
      <c r="B19890" t="s">
        <v>242</v>
      </c>
      <c r="C19890" s="26">
        <v>0.72709999999999997</v>
      </c>
      <c r="D19890" s="26">
        <v>0.1255</v>
      </c>
      <c r="E19890" s="26">
        <v>8.2199999999999995E-2</v>
      </c>
      <c r="F19890" s="26">
        <v>4.48E-2</v>
      </c>
      <c r="G19890" s="26">
        <v>1.55E-2</v>
      </c>
      <c r="H19890" s="26">
        <v>4.8999999999999998E-3</v>
      </c>
      <c r="I19890">
        <v>402</v>
      </c>
    </row>
    <row r="19891" spans="1:9" x14ac:dyDescent="0.35">
      <c r="A19891" t="s">
        <v>228</v>
      </c>
      <c r="B19891" t="s">
        <v>241</v>
      </c>
      <c r="C19891" s="26">
        <v>0.81969999999999998</v>
      </c>
      <c r="D19891" s="26">
        <v>0.1077</v>
      </c>
      <c r="E19891" s="26">
        <v>2.3800000000000002E-2</v>
      </c>
      <c r="F19891" s="26">
        <v>3.8899999999999997E-2</v>
      </c>
      <c r="G19891" s="26">
        <v>8.8999999999999999E-3</v>
      </c>
      <c r="H19891" s="26">
        <v>1E-3</v>
      </c>
      <c r="I19891">
        <v>631</v>
      </c>
    </row>
    <row r="19892" spans="1:9" x14ac:dyDescent="0.35">
      <c r="A19892" t="s">
        <v>229</v>
      </c>
      <c r="B19892" t="s">
        <v>242</v>
      </c>
      <c r="C19892" s="26">
        <v>0.75870000000000004</v>
      </c>
      <c r="D19892" s="26">
        <v>0.11700000000000001</v>
      </c>
      <c r="E19892" s="26">
        <v>8.0199999999999994E-2</v>
      </c>
      <c r="F19892" s="26">
        <v>2.7900000000000001E-2</v>
      </c>
      <c r="G19892" s="26">
        <v>1.41E-2</v>
      </c>
      <c r="H19892" s="26">
        <v>2.0999999999999999E-3</v>
      </c>
      <c r="I19892">
        <v>292</v>
      </c>
    </row>
    <row r="19893" spans="1:9" x14ac:dyDescent="0.35">
      <c r="A19893" t="s">
        <v>229</v>
      </c>
      <c r="B19893" t="s">
        <v>241</v>
      </c>
      <c r="C19893" s="26">
        <v>0.86309999999999998</v>
      </c>
      <c r="D19893" s="26">
        <v>7.0000000000000007E-2</v>
      </c>
      <c r="E19893" s="26">
        <v>3.6200000000000003E-2</v>
      </c>
      <c r="F19893" s="26">
        <v>2.2100000000000002E-2</v>
      </c>
      <c r="G19893" s="26">
        <v>7.0000000000000001E-3</v>
      </c>
      <c r="H19893" s="26">
        <v>1.6000000000000001E-3</v>
      </c>
      <c r="I19893">
        <v>603</v>
      </c>
    </row>
    <row r="19894" spans="1:9" x14ac:dyDescent="0.35">
      <c r="A19894" t="s">
        <v>230</v>
      </c>
      <c r="B19894" t="s">
        <v>242</v>
      </c>
      <c r="C19894" s="26">
        <v>0.73829999999999996</v>
      </c>
      <c r="D19894" s="26">
        <v>7.0999999999999994E-2</v>
      </c>
      <c r="E19894" s="26">
        <v>6.6199999999999995E-2</v>
      </c>
      <c r="F19894" s="26">
        <v>0.1124</v>
      </c>
      <c r="G19894" s="26">
        <v>1.2200000000000001E-2</v>
      </c>
      <c r="I19894">
        <v>189</v>
      </c>
    </row>
    <row r="19895" spans="1:9" x14ac:dyDescent="0.35">
      <c r="A19895" t="s">
        <v>230</v>
      </c>
      <c r="B19895" t="s">
        <v>241</v>
      </c>
      <c r="C19895" s="26">
        <v>0.88360000000000005</v>
      </c>
      <c r="D19895" s="26">
        <v>6.7400000000000002E-2</v>
      </c>
      <c r="E19895" s="26">
        <v>4.8999999999999998E-3</v>
      </c>
      <c r="F19895" s="26">
        <v>3.0300000000000001E-2</v>
      </c>
      <c r="G19895" s="26">
        <v>1.38E-2</v>
      </c>
      <c r="I19895">
        <v>371</v>
      </c>
    </row>
    <row r="19896" spans="1:9" x14ac:dyDescent="0.35">
      <c r="A19896" t="s">
        <v>231</v>
      </c>
      <c r="B19896" t="s">
        <v>242</v>
      </c>
      <c r="C19896" s="26">
        <v>0.75929999999999997</v>
      </c>
      <c r="D19896" s="26">
        <v>5.5599999999999997E-2</v>
      </c>
      <c r="E19896" s="26">
        <v>0.1111</v>
      </c>
      <c r="F19896" s="26">
        <v>5.5599999999999997E-2</v>
      </c>
      <c r="G19896" s="26">
        <v>1.8499999999999999E-2</v>
      </c>
      <c r="I19896">
        <v>54</v>
      </c>
    </row>
    <row r="19897" spans="1:9" x14ac:dyDescent="0.35">
      <c r="A19897" t="s">
        <v>231</v>
      </c>
      <c r="B19897" t="s">
        <v>241</v>
      </c>
      <c r="C19897" s="26">
        <v>0.83640000000000003</v>
      </c>
      <c r="D19897" s="26">
        <v>4.5499999999999999E-2</v>
      </c>
      <c r="E19897" s="26">
        <v>6.3600000000000004E-2</v>
      </c>
      <c r="F19897" s="26">
        <v>2.7300000000000001E-2</v>
      </c>
      <c r="G19897" s="26">
        <v>2.7300000000000001E-2</v>
      </c>
      <c r="I19897">
        <v>110</v>
      </c>
    </row>
    <row r="19898" spans="1:9" x14ac:dyDescent="0.35">
      <c r="A19898" t="s">
        <v>232</v>
      </c>
      <c r="B19898" t="s">
        <v>232</v>
      </c>
      <c r="C19898" s="26">
        <v>0.80640000000000001</v>
      </c>
      <c r="D19898" s="26">
        <v>7.3800000000000004E-2</v>
      </c>
      <c r="E19898" s="26">
        <v>6.0299999999999999E-2</v>
      </c>
      <c r="F19898" s="26">
        <v>3.9899999999999998E-2</v>
      </c>
      <c r="G19898" s="26">
        <v>1.8599999999999998E-2</v>
      </c>
      <c r="H19898" s="26">
        <v>1E-3</v>
      </c>
      <c r="I19898">
        <v>2813</v>
      </c>
    </row>
    <row r="19900" spans="1:9" x14ac:dyDescent="0.35">
      <c r="A19900" s="1" t="s">
        <v>1977</v>
      </c>
    </row>
    <row r="19901" spans="1:9" x14ac:dyDescent="0.35">
      <c r="A19901" t="s">
        <v>219</v>
      </c>
      <c r="B19901" t="s">
        <v>305</v>
      </c>
      <c r="C19901" t="s">
        <v>1972</v>
      </c>
      <c r="D19901" t="s">
        <v>1973</v>
      </c>
      <c r="E19901" t="s">
        <v>1974</v>
      </c>
      <c r="F19901" t="s">
        <v>1975</v>
      </c>
      <c r="G19901" t="s">
        <v>281</v>
      </c>
      <c r="H19901" t="s">
        <v>286</v>
      </c>
      <c r="I19901" t="s">
        <v>226</v>
      </c>
    </row>
    <row r="19902" spans="1:9" x14ac:dyDescent="0.35">
      <c r="A19902" t="s">
        <v>227</v>
      </c>
      <c r="B19902" t="s">
        <v>239</v>
      </c>
      <c r="C19902" s="26">
        <v>0.6452</v>
      </c>
      <c r="D19902" s="26">
        <v>4.8399999999999999E-2</v>
      </c>
      <c r="E19902" s="26">
        <v>0.1452</v>
      </c>
      <c r="F19902" s="26">
        <v>0.1129</v>
      </c>
      <c r="G19902" s="26">
        <v>4.8399999999999999E-2</v>
      </c>
      <c r="I19902">
        <v>62</v>
      </c>
    </row>
    <row r="19903" spans="1:9" x14ac:dyDescent="0.35">
      <c r="A19903" t="s">
        <v>227</v>
      </c>
      <c r="B19903" t="s">
        <v>238</v>
      </c>
      <c r="C19903" s="26">
        <v>0.85860000000000003</v>
      </c>
      <c r="D19903" s="26">
        <v>4.0399999999999998E-2</v>
      </c>
      <c r="E19903" s="26">
        <v>4.0399999999999998E-2</v>
      </c>
      <c r="F19903" s="26">
        <v>3.0300000000000001E-2</v>
      </c>
      <c r="G19903" s="26">
        <v>3.0300000000000001E-2</v>
      </c>
      <c r="I19903">
        <v>99</v>
      </c>
    </row>
    <row r="19904" spans="1:9" x14ac:dyDescent="0.35">
      <c r="A19904" t="s">
        <v>228</v>
      </c>
      <c r="B19904" t="s">
        <v>239</v>
      </c>
      <c r="C19904" s="26">
        <v>0.6724</v>
      </c>
      <c r="D19904" s="26">
        <v>0.1477</v>
      </c>
      <c r="E19904" s="26">
        <v>7.7100000000000002E-2</v>
      </c>
      <c r="F19904" s="26">
        <v>8.3400000000000002E-2</v>
      </c>
      <c r="G19904" s="26">
        <v>1.9400000000000001E-2</v>
      </c>
      <c r="I19904">
        <v>330</v>
      </c>
    </row>
    <row r="19905" spans="1:9" x14ac:dyDescent="0.35">
      <c r="A19905" t="s">
        <v>228</v>
      </c>
      <c r="B19905" t="s">
        <v>238</v>
      </c>
      <c r="C19905" s="26">
        <v>0.81559999999999999</v>
      </c>
      <c r="D19905" s="26">
        <v>0.10539999999999999</v>
      </c>
      <c r="E19905" s="26">
        <v>3.6700000000000003E-2</v>
      </c>
      <c r="F19905" s="26">
        <v>0.03</v>
      </c>
      <c r="G19905" s="26">
        <v>9.1999999999999998E-3</v>
      </c>
      <c r="H19905" s="26">
        <v>3.0999999999999999E-3</v>
      </c>
      <c r="I19905">
        <v>703</v>
      </c>
    </row>
    <row r="19906" spans="1:9" x14ac:dyDescent="0.35">
      <c r="A19906" t="s">
        <v>229</v>
      </c>
      <c r="B19906" t="s">
        <v>239</v>
      </c>
      <c r="C19906" s="26">
        <v>0.7359</v>
      </c>
      <c r="D19906" s="26">
        <v>0.13150000000000001</v>
      </c>
      <c r="E19906" s="26">
        <v>0.10920000000000001</v>
      </c>
      <c r="F19906" s="26">
        <v>1.66E-2</v>
      </c>
      <c r="G19906" s="26">
        <v>4.3E-3</v>
      </c>
      <c r="H19906" s="26">
        <v>2.5999999999999999E-3</v>
      </c>
      <c r="I19906">
        <v>332</v>
      </c>
    </row>
    <row r="19907" spans="1:9" x14ac:dyDescent="0.35">
      <c r="A19907" t="s">
        <v>229</v>
      </c>
      <c r="B19907" t="s">
        <v>238</v>
      </c>
      <c r="C19907" s="26">
        <v>0.8518</v>
      </c>
      <c r="D19907" s="26">
        <v>7.3599999999999999E-2</v>
      </c>
      <c r="E19907" s="26">
        <v>3.44E-2</v>
      </c>
      <c r="F19907" s="26">
        <v>2.7E-2</v>
      </c>
      <c r="G19907" s="26">
        <v>1.1599999999999999E-2</v>
      </c>
      <c r="H19907" s="26">
        <v>1.6000000000000001E-3</v>
      </c>
      <c r="I19907">
        <v>563</v>
      </c>
    </row>
    <row r="19908" spans="1:9" x14ac:dyDescent="0.35">
      <c r="A19908" t="s">
        <v>230</v>
      </c>
      <c r="B19908" t="s">
        <v>239</v>
      </c>
      <c r="C19908" s="26">
        <v>0.81289999999999996</v>
      </c>
      <c r="D19908" s="26">
        <v>6.3E-2</v>
      </c>
      <c r="E19908" s="26">
        <v>2.58E-2</v>
      </c>
      <c r="F19908" s="26">
        <v>6.08E-2</v>
      </c>
      <c r="G19908" s="26">
        <v>3.7499999999999999E-2</v>
      </c>
      <c r="I19908">
        <v>211</v>
      </c>
    </row>
    <row r="19909" spans="1:9" x14ac:dyDescent="0.35">
      <c r="A19909" t="s">
        <v>230</v>
      </c>
      <c r="B19909" t="s">
        <v>238</v>
      </c>
      <c r="C19909" s="26">
        <v>0.84370000000000001</v>
      </c>
      <c r="D19909" s="26">
        <v>7.0999999999999994E-2</v>
      </c>
      <c r="E19909" s="26">
        <v>2.5499999999999998E-2</v>
      </c>
      <c r="F19909" s="26">
        <v>5.6899999999999999E-2</v>
      </c>
      <c r="G19909" s="26">
        <v>2.8E-3</v>
      </c>
      <c r="I19909">
        <v>349</v>
      </c>
    </row>
    <row r="19910" spans="1:9" x14ac:dyDescent="0.35">
      <c r="A19910" t="s">
        <v>231</v>
      </c>
      <c r="B19910" t="s">
        <v>239</v>
      </c>
      <c r="C19910" s="26">
        <v>0.73680000000000001</v>
      </c>
      <c r="D19910" s="26">
        <v>3.5099999999999999E-2</v>
      </c>
      <c r="E19910" s="26">
        <v>0.12280000000000001</v>
      </c>
      <c r="F19910" s="26">
        <v>5.2600000000000001E-2</v>
      </c>
      <c r="G19910" s="26">
        <v>5.2600000000000001E-2</v>
      </c>
      <c r="I19910">
        <v>57</v>
      </c>
    </row>
    <row r="19911" spans="1:9" x14ac:dyDescent="0.35">
      <c r="A19911" t="s">
        <v>231</v>
      </c>
      <c r="B19911" t="s">
        <v>238</v>
      </c>
      <c r="C19911" s="26">
        <v>0.85050000000000003</v>
      </c>
      <c r="D19911" s="26">
        <v>5.6099999999999997E-2</v>
      </c>
      <c r="E19911" s="26">
        <v>5.6099999999999997E-2</v>
      </c>
      <c r="F19911" s="26">
        <v>2.8000000000000001E-2</v>
      </c>
      <c r="G19911" s="26">
        <v>9.2999999999999992E-3</v>
      </c>
      <c r="I19911">
        <v>107</v>
      </c>
    </row>
    <row r="19912" spans="1:9" x14ac:dyDescent="0.35">
      <c r="A19912" t="s">
        <v>232</v>
      </c>
      <c r="B19912" t="s">
        <v>232</v>
      </c>
      <c r="C19912" s="26">
        <v>0.80640000000000001</v>
      </c>
      <c r="D19912" s="26">
        <v>7.3800000000000004E-2</v>
      </c>
      <c r="E19912" s="26">
        <v>6.0299999999999999E-2</v>
      </c>
      <c r="F19912" s="26">
        <v>3.9899999999999998E-2</v>
      </c>
      <c r="G19912" s="26">
        <v>1.8599999999999998E-2</v>
      </c>
      <c r="H19912" s="26">
        <v>1E-3</v>
      </c>
      <c r="I19912">
        <v>2813</v>
      </c>
    </row>
    <row r="19914" spans="1:9" x14ac:dyDescent="0.35">
      <c r="A19914" s="1" t="s">
        <v>1978</v>
      </c>
    </row>
    <row r="19915" spans="1:9" x14ac:dyDescent="0.35">
      <c r="A19915" t="s">
        <v>219</v>
      </c>
      <c r="B19915" t="s">
        <v>305</v>
      </c>
      <c r="C19915" t="s">
        <v>1972</v>
      </c>
      <c r="D19915" t="s">
        <v>1973</v>
      </c>
      <c r="E19915" t="s">
        <v>1974</v>
      </c>
      <c r="F19915" t="s">
        <v>1975</v>
      </c>
      <c r="G19915" t="s">
        <v>281</v>
      </c>
      <c r="H19915" t="s">
        <v>286</v>
      </c>
      <c r="I19915" t="s">
        <v>226</v>
      </c>
    </row>
    <row r="19916" spans="1:9" x14ac:dyDescent="0.35">
      <c r="A19916" t="s">
        <v>227</v>
      </c>
      <c r="B19916" t="s">
        <v>244</v>
      </c>
      <c r="C19916" s="26">
        <v>0.8125</v>
      </c>
      <c r="D19916" s="26">
        <v>3.1199999999999999E-2</v>
      </c>
      <c r="E19916" s="26">
        <v>6.25E-2</v>
      </c>
      <c r="F19916" s="26">
        <v>7.2900000000000006E-2</v>
      </c>
      <c r="G19916" s="26">
        <v>2.0799999999999999E-2</v>
      </c>
      <c r="I19916">
        <v>96</v>
      </c>
    </row>
    <row r="19917" spans="1:9" x14ac:dyDescent="0.35">
      <c r="A19917" t="s">
        <v>227</v>
      </c>
      <c r="B19917" t="s">
        <v>245</v>
      </c>
      <c r="C19917" s="26">
        <v>0.73580000000000001</v>
      </c>
      <c r="D19917" s="26">
        <v>1.89E-2</v>
      </c>
      <c r="E19917" s="26">
        <v>0.1321</v>
      </c>
      <c r="F19917" s="26">
        <v>3.7699999999999997E-2</v>
      </c>
      <c r="G19917" s="26">
        <v>7.5499999999999998E-2</v>
      </c>
      <c r="I19917">
        <v>53</v>
      </c>
    </row>
    <row r="19918" spans="1:9" x14ac:dyDescent="0.35">
      <c r="A19918" s="27" t="s">
        <v>227</v>
      </c>
      <c r="B19918" s="27" t="s">
        <v>246</v>
      </c>
      <c r="C19918" s="28">
        <v>0.66669999999999996</v>
      </c>
      <c r="D19918" s="28">
        <v>0.25</v>
      </c>
      <c r="E19918" s="29"/>
      <c r="F19918" s="28">
        <v>8.3299999999999999E-2</v>
      </c>
      <c r="G19918" s="29"/>
      <c r="H19918" s="29"/>
      <c r="I19918" s="29" t="s">
        <v>342</v>
      </c>
    </row>
    <row r="19919" spans="1:9" x14ac:dyDescent="0.35">
      <c r="A19919" t="s">
        <v>228</v>
      </c>
      <c r="B19919" t="s">
        <v>244</v>
      </c>
      <c r="C19919" s="26">
        <v>0.80789999999999995</v>
      </c>
      <c r="D19919" s="26">
        <v>0.1173</v>
      </c>
      <c r="E19919" s="26">
        <v>2.2100000000000002E-2</v>
      </c>
      <c r="F19919" s="26">
        <v>3.95E-2</v>
      </c>
      <c r="G19919" s="26">
        <v>1.0500000000000001E-2</v>
      </c>
      <c r="H19919" s="26">
        <v>2.8E-3</v>
      </c>
      <c r="I19919">
        <v>638</v>
      </c>
    </row>
    <row r="19920" spans="1:9" x14ac:dyDescent="0.35">
      <c r="A19920" t="s">
        <v>228</v>
      </c>
      <c r="B19920" t="s">
        <v>245</v>
      </c>
      <c r="C19920" s="26">
        <v>0.73140000000000005</v>
      </c>
      <c r="D19920" s="26">
        <v>0.1037</v>
      </c>
      <c r="E19920" s="26">
        <v>0.1085</v>
      </c>
      <c r="F19920" s="26">
        <v>3.8300000000000001E-2</v>
      </c>
      <c r="G19920" s="26">
        <v>1.5900000000000001E-2</v>
      </c>
      <c r="H19920" s="26">
        <v>2.2000000000000001E-3</v>
      </c>
      <c r="I19920">
        <v>328</v>
      </c>
    </row>
    <row r="19921" spans="1:9" x14ac:dyDescent="0.35">
      <c r="A19921" t="s">
        <v>228</v>
      </c>
      <c r="B19921" t="s">
        <v>246</v>
      </c>
      <c r="C19921" s="26">
        <v>0.80020000000000002</v>
      </c>
      <c r="D19921" s="26">
        <v>0.12720000000000001</v>
      </c>
      <c r="E19921" s="26">
        <v>6.0000000000000001E-3</v>
      </c>
      <c r="F19921" s="26">
        <v>6.6600000000000006E-2</v>
      </c>
      <c r="I19921">
        <v>67</v>
      </c>
    </row>
    <row r="19922" spans="1:9" x14ac:dyDescent="0.35">
      <c r="A19922" t="s">
        <v>229</v>
      </c>
      <c r="B19922" t="s">
        <v>244</v>
      </c>
      <c r="C19922" s="26">
        <v>0.83750000000000002</v>
      </c>
      <c r="D19922" s="26">
        <v>9.11E-2</v>
      </c>
      <c r="E19922" s="26">
        <v>3.9300000000000002E-2</v>
      </c>
      <c r="F19922" s="26">
        <v>2.29E-2</v>
      </c>
      <c r="G19922" s="26">
        <v>7.6E-3</v>
      </c>
      <c r="H19922" s="26">
        <v>1.6999999999999999E-3</v>
      </c>
      <c r="I19922">
        <v>557</v>
      </c>
    </row>
    <row r="19923" spans="1:9" x14ac:dyDescent="0.35">
      <c r="A19923" t="s">
        <v>229</v>
      </c>
      <c r="B19923" t="s">
        <v>245</v>
      </c>
      <c r="C19923" s="26">
        <v>0.78159999999999996</v>
      </c>
      <c r="D19923" s="26">
        <v>6.2100000000000002E-2</v>
      </c>
      <c r="E19923" s="26">
        <v>0.1032</v>
      </c>
      <c r="F19923" s="26">
        <v>3.3300000000000003E-2</v>
      </c>
      <c r="G19923" s="26">
        <v>1.72E-2</v>
      </c>
      <c r="H19923" s="26">
        <v>2.5999999999999999E-3</v>
      </c>
      <c r="I19923">
        <v>293</v>
      </c>
    </row>
    <row r="19924" spans="1:9" x14ac:dyDescent="0.35">
      <c r="A19924" t="s">
        <v>229</v>
      </c>
      <c r="B19924" t="s">
        <v>246</v>
      </c>
      <c r="C19924" s="26">
        <v>0.81899999999999995</v>
      </c>
      <c r="D19924" s="26">
        <v>0.17780000000000001</v>
      </c>
      <c r="G19924" s="26">
        <v>3.2000000000000002E-3</v>
      </c>
      <c r="I19924">
        <v>45</v>
      </c>
    </row>
    <row r="19925" spans="1:9" x14ac:dyDescent="0.35">
      <c r="A19925" t="s">
        <v>230</v>
      </c>
      <c r="B19925" t="s">
        <v>244</v>
      </c>
      <c r="C19925" s="26">
        <v>0.88119999999999998</v>
      </c>
      <c r="D19925" s="26">
        <v>7.3099999999999998E-2</v>
      </c>
      <c r="E19925" s="26">
        <v>1.47E-2</v>
      </c>
      <c r="F19925" s="26">
        <v>2.5999999999999999E-2</v>
      </c>
      <c r="G19925" s="26">
        <v>5.1000000000000004E-3</v>
      </c>
      <c r="I19925">
        <v>370</v>
      </c>
    </row>
    <row r="19926" spans="1:9" x14ac:dyDescent="0.35">
      <c r="A19926" t="s">
        <v>230</v>
      </c>
      <c r="B19926" t="s">
        <v>245</v>
      </c>
      <c r="C19926" s="26">
        <v>0.70399999999999996</v>
      </c>
      <c r="D19926" s="26">
        <v>5.8000000000000003E-2</v>
      </c>
      <c r="E19926" s="26">
        <v>5.9499999999999997E-2</v>
      </c>
      <c r="F19926" s="26">
        <v>0.14080000000000001</v>
      </c>
      <c r="G19926" s="26">
        <v>3.7699999999999997E-2</v>
      </c>
      <c r="I19926">
        <v>161</v>
      </c>
    </row>
    <row r="19927" spans="1:9" x14ac:dyDescent="0.35">
      <c r="A19927" s="27" t="s">
        <v>230</v>
      </c>
      <c r="B19927" s="27" t="s">
        <v>246</v>
      </c>
      <c r="C19927" s="28">
        <v>0.86629999999999996</v>
      </c>
      <c r="D19927" s="28">
        <v>6.08E-2</v>
      </c>
      <c r="E19927" s="29"/>
      <c r="F19927" s="28">
        <v>7.2900000000000006E-2</v>
      </c>
      <c r="G19927" s="29"/>
      <c r="H19927" s="29"/>
      <c r="I19927" s="29" t="s">
        <v>329</v>
      </c>
    </row>
    <row r="19928" spans="1:9" x14ac:dyDescent="0.35">
      <c r="A19928" t="s">
        <v>231</v>
      </c>
      <c r="B19928" t="s">
        <v>244</v>
      </c>
      <c r="C19928" s="26">
        <v>0.84209999999999996</v>
      </c>
      <c r="D19928" s="26">
        <v>4.2099999999999999E-2</v>
      </c>
      <c r="E19928" s="26">
        <v>5.2600000000000001E-2</v>
      </c>
      <c r="F19928" s="26">
        <v>3.1600000000000003E-2</v>
      </c>
      <c r="G19928" s="26">
        <v>3.1600000000000003E-2</v>
      </c>
      <c r="I19928">
        <v>95</v>
      </c>
    </row>
    <row r="19929" spans="1:9" x14ac:dyDescent="0.35">
      <c r="A19929" t="s">
        <v>231</v>
      </c>
      <c r="B19929" t="s">
        <v>245</v>
      </c>
      <c r="C19929" s="26">
        <v>0.71430000000000005</v>
      </c>
      <c r="D19929" s="26">
        <v>7.1400000000000005E-2</v>
      </c>
      <c r="E19929" s="26">
        <v>0.1429</v>
      </c>
      <c r="F19929" s="26">
        <v>5.3600000000000002E-2</v>
      </c>
      <c r="G19929" s="26">
        <v>1.7899999999999999E-2</v>
      </c>
      <c r="I19929">
        <v>56</v>
      </c>
    </row>
    <row r="19930" spans="1:9" x14ac:dyDescent="0.35">
      <c r="A19930" s="27" t="s">
        <v>231</v>
      </c>
      <c r="B19930" s="27" t="s">
        <v>246</v>
      </c>
      <c r="C19930" s="28">
        <v>1</v>
      </c>
      <c r="D19930" s="29"/>
      <c r="E19930" s="29"/>
      <c r="F19930" s="29"/>
      <c r="G19930" s="29"/>
      <c r="H19930" s="29"/>
      <c r="I19930" s="29" t="s">
        <v>341</v>
      </c>
    </row>
    <row r="19931" spans="1:9" x14ac:dyDescent="0.35">
      <c r="A19931" t="s">
        <v>232</v>
      </c>
      <c r="B19931" t="s">
        <v>232</v>
      </c>
      <c r="C19931" s="26">
        <v>0.80640000000000001</v>
      </c>
      <c r="D19931" s="26">
        <v>7.3800000000000004E-2</v>
      </c>
      <c r="E19931" s="26">
        <v>6.0299999999999999E-2</v>
      </c>
      <c r="F19931" s="26">
        <v>3.9899999999999998E-2</v>
      </c>
      <c r="G19931" s="26">
        <v>1.8599999999999998E-2</v>
      </c>
      <c r="H19931" s="26">
        <v>1E-3</v>
      </c>
      <c r="I19931">
        <v>2813</v>
      </c>
    </row>
    <row r="19933" spans="1:9" x14ac:dyDescent="0.35">
      <c r="A19933" s="1" t="s">
        <v>1979</v>
      </c>
    </row>
    <row r="19934" spans="1:9" x14ac:dyDescent="0.35">
      <c r="A19934" t="s">
        <v>219</v>
      </c>
      <c r="B19934" t="s">
        <v>305</v>
      </c>
      <c r="C19934" t="s">
        <v>1972</v>
      </c>
      <c r="D19934" t="s">
        <v>1973</v>
      </c>
      <c r="E19934" t="s">
        <v>1974</v>
      </c>
      <c r="F19934" t="s">
        <v>1975</v>
      </c>
      <c r="G19934" t="s">
        <v>281</v>
      </c>
      <c r="H19934" t="s">
        <v>286</v>
      </c>
      <c r="I19934" t="s">
        <v>226</v>
      </c>
    </row>
    <row r="19935" spans="1:9" x14ac:dyDescent="0.35">
      <c r="A19935" t="s">
        <v>227</v>
      </c>
      <c r="B19935" t="s">
        <v>360</v>
      </c>
      <c r="C19935" s="26">
        <v>0.64100000000000001</v>
      </c>
      <c r="D19935" s="26">
        <v>7.6899999999999996E-2</v>
      </c>
      <c r="E19935" s="26">
        <v>0.15379999999999999</v>
      </c>
      <c r="F19935" s="26">
        <v>7.6899999999999996E-2</v>
      </c>
      <c r="G19935" s="26">
        <v>5.1299999999999998E-2</v>
      </c>
      <c r="I19935">
        <v>39</v>
      </c>
    </row>
    <row r="19936" spans="1:9" x14ac:dyDescent="0.35">
      <c r="A19936" t="s">
        <v>227</v>
      </c>
      <c r="B19936" t="s">
        <v>361</v>
      </c>
      <c r="C19936" s="26">
        <v>0.84379999999999999</v>
      </c>
      <c r="D19936" s="26">
        <v>6.25E-2</v>
      </c>
      <c r="E19936" s="26">
        <v>3.1199999999999999E-2</v>
      </c>
      <c r="F19936" s="26">
        <v>3.1199999999999999E-2</v>
      </c>
      <c r="G19936" s="26">
        <v>3.1199999999999999E-2</v>
      </c>
      <c r="I19936">
        <v>32</v>
      </c>
    </row>
    <row r="19937" spans="1:9" x14ac:dyDescent="0.35">
      <c r="A19937" t="s">
        <v>227</v>
      </c>
      <c r="B19937" t="s">
        <v>362</v>
      </c>
      <c r="C19937" s="26">
        <v>0.72970000000000002</v>
      </c>
      <c r="D19937" s="26">
        <v>2.7E-2</v>
      </c>
      <c r="E19937" s="26">
        <v>0.1351</v>
      </c>
      <c r="F19937" s="26">
        <v>0.1081</v>
      </c>
      <c r="I19937">
        <v>37</v>
      </c>
    </row>
    <row r="19938" spans="1:9" x14ac:dyDescent="0.35">
      <c r="A19938" t="s">
        <v>227</v>
      </c>
      <c r="B19938" t="s">
        <v>363</v>
      </c>
      <c r="C19938" s="26">
        <v>0.84440000000000004</v>
      </c>
      <c r="D19938" s="26">
        <v>2.2200000000000001E-2</v>
      </c>
      <c r="E19938" s="26">
        <v>2.2200000000000001E-2</v>
      </c>
      <c r="F19938" s="26">
        <v>4.4400000000000002E-2</v>
      </c>
      <c r="G19938" s="26">
        <v>6.6699999999999995E-2</v>
      </c>
      <c r="I19938">
        <v>45</v>
      </c>
    </row>
    <row r="19939" spans="1:9" x14ac:dyDescent="0.35">
      <c r="A19939" t="s">
        <v>228</v>
      </c>
      <c r="B19939" t="s">
        <v>360</v>
      </c>
      <c r="C19939" s="26">
        <v>0.64910000000000001</v>
      </c>
      <c r="D19939" s="26">
        <v>0.14760000000000001</v>
      </c>
      <c r="E19939" s="26">
        <v>0.10639999999999999</v>
      </c>
      <c r="F19939" s="26">
        <v>7.5999999999999998E-2</v>
      </c>
      <c r="G19939" s="26">
        <v>1.7899999999999999E-2</v>
      </c>
      <c r="H19939" s="26">
        <v>3.0000000000000001E-3</v>
      </c>
      <c r="I19939">
        <v>258</v>
      </c>
    </row>
    <row r="19940" spans="1:9" x14ac:dyDescent="0.35">
      <c r="A19940" t="s">
        <v>228</v>
      </c>
      <c r="B19940" t="s">
        <v>361</v>
      </c>
      <c r="C19940" s="26">
        <v>0.87980000000000003</v>
      </c>
      <c r="D19940" s="26">
        <v>7.0599999999999996E-2</v>
      </c>
      <c r="E19940" s="26">
        <v>4.7999999999999996E-3</v>
      </c>
      <c r="F19940" s="26">
        <v>4.48E-2</v>
      </c>
      <c r="I19940">
        <v>194</v>
      </c>
    </row>
    <row r="19941" spans="1:9" x14ac:dyDescent="0.35">
      <c r="A19941" t="s">
        <v>228</v>
      </c>
      <c r="B19941" t="s">
        <v>363</v>
      </c>
      <c r="C19941" s="26">
        <v>0.81769999999999998</v>
      </c>
      <c r="D19941" s="26">
        <v>0.1231</v>
      </c>
      <c r="E19941" s="26">
        <v>2.7699999999999999E-2</v>
      </c>
      <c r="F19941" s="26">
        <v>2.7199999999999998E-2</v>
      </c>
      <c r="G19941" s="26">
        <v>4.3E-3</v>
      </c>
      <c r="I19941">
        <v>212</v>
      </c>
    </row>
    <row r="19942" spans="1:9" x14ac:dyDescent="0.35">
      <c r="A19942" t="s">
        <v>228</v>
      </c>
      <c r="B19942" t="s">
        <v>362</v>
      </c>
      <c r="C19942" s="26">
        <v>0.77310000000000001</v>
      </c>
      <c r="D19942" s="26">
        <v>0.12770000000000001</v>
      </c>
      <c r="E19942" s="26">
        <v>6.2300000000000001E-2</v>
      </c>
      <c r="F19942" s="26">
        <v>2.01E-2</v>
      </c>
      <c r="G19942" s="26">
        <v>1.18E-2</v>
      </c>
      <c r="H19942" s="26">
        <v>5.0000000000000001E-3</v>
      </c>
      <c r="I19942">
        <v>236</v>
      </c>
    </row>
    <row r="19943" spans="1:9" x14ac:dyDescent="0.35">
      <c r="A19943" t="s">
        <v>229</v>
      </c>
      <c r="B19943" t="s">
        <v>363</v>
      </c>
      <c r="C19943" s="26">
        <v>0.83830000000000005</v>
      </c>
      <c r="D19943" s="26">
        <v>7.3599999999999999E-2</v>
      </c>
      <c r="E19943" s="26">
        <v>4.1000000000000002E-2</v>
      </c>
      <c r="F19943" s="26">
        <v>2.8899999999999999E-2</v>
      </c>
      <c r="G19943" s="26">
        <v>1.8200000000000001E-2</v>
      </c>
      <c r="I19943">
        <v>191</v>
      </c>
    </row>
    <row r="19944" spans="1:9" x14ac:dyDescent="0.35">
      <c r="A19944" t="s">
        <v>229</v>
      </c>
      <c r="B19944" t="s">
        <v>360</v>
      </c>
      <c r="C19944" s="26">
        <v>0.68659999999999999</v>
      </c>
      <c r="D19944" s="26">
        <v>0.12039999999999999</v>
      </c>
      <c r="E19944" s="26">
        <v>0.1164</v>
      </c>
      <c r="F19944" s="26">
        <v>5.8099999999999999E-2</v>
      </c>
      <c r="G19944" s="26">
        <v>1.3100000000000001E-2</v>
      </c>
      <c r="H19944" s="26">
        <v>5.4000000000000003E-3</v>
      </c>
      <c r="I19944">
        <v>164</v>
      </c>
    </row>
    <row r="19945" spans="1:9" x14ac:dyDescent="0.35">
      <c r="A19945" t="s">
        <v>229</v>
      </c>
      <c r="B19945" t="s">
        <v>361</v>
      </c>
      <c r="C19945" s="26">
        <v>0.92030000000000001</v>
      </c>
      <c r="D19945" s="26">
        <v>6.4500000000000002E-2</v>
      </c>
      <c r="E19945" s="26">
        <v>6.6E-3</v>
      </c>
      <c r="F19945" s="26">
        <v>8.6E-3</v>
      </c>
      <c r="I19945">
        <v>243</v>
      </c>
    </row>
    <row r="19946" spans="1:9" x14ac:dyDescent="0.35">
      <c r="A19946" t="s">
        <v>229</v>
      </c>
      <c r="B19946" t="s">
        <v>362</v>
      </c>
      <c r="C19946" s="26">
        <v>0.73680000000000001</v>
      </c>
      <c r="D19946" s="26">
        <v>0.1032</v>
      </c>
      <c r="E19946" s="26">
        <v>0.12330000000000001</v>
      </c>
      <c r="F19946" s="26">
        <v>1.11E-2</v>
      </c>
      <c r="G19946" s="26">
        <v>2.1600000000000001E-2</v>
      </c>
      <c r="H19946" s="26">
        <v>4.1000000000000003E-3</v>
      </c>
      <c r="I19946">
        <v>171</v>
      </c>
    </row>
    <row r="19947" spans="1:9" x14ac:dyDescent="0.35">
      <c r="A19947" t="s">
        <v>230</v>
      </c>
      <c r="B19947" t="s">
        <v>360</v>
      </c>
      <c r="C19947" s="26">
        <v>0.65590000000000004</v>
      </c>
      <c r="D19947" s="26">
        <v>0.1062</v>
      </c>
      <c r="E19947" s="26">
        <v>4.0899999999999999E-2</v>
      </c>
      <c r="F19947" s="26">
        <v>0.16869999999999999</v>
      </c>
      <c r="G19947" s="26">
        <v>2.8299999999999999E-2</v>
      </c>
      <c r="I19947">
        <v>120</v>
      </c>
    </row>
    <row r="19948" spans="1:9" x14ac:dyDescent="0.35">
      <c r="A19948" t="s">
        <v>230</v>
      </c>
      <c r="B19948" t="s">
        <v>363</v>
      </c>
      <c r="C19948" s="26">
        <v>0.85750000000000004</v>
      </c>
      <c r="D19948" s="26">
        <v>8.2799999999999999E-2</v>
      </c>
      <c r="F19948" s="26">
        <v>5.96E-2</v>
      </c>
      <c r="I19948">
        <v>127</v>
      </c>
    </row>
    <row r="19949" spans="1:9" x14ac:dyDescent="0.35">
      <c r="A19949" t="s">
        <v>230</v>
      </c>
      <c r="B19949" t="s">
        <v>361</v>
      </c>
      <c r="C19949" s="26">
        <v>0.96089999999999998</v>
      </c>
      <c r="D19949" s="26">
        <v>2.6499999999999999E-2</v>
      </c>
      <c r="F19949" s="26">
        <v>9.1999999999999998E-3</v>
      </c>
      <c r="G19949" s="26">
        <v>3.5000000000000001E-3</v>
      </c>
      <c r="I19949">
        <v>109</v>
      </c>
    </row>
    <row r="19950" spans="1:9" x14ac:dyDescent="0.35">
      <c r="A19950" t="s">
        <v>230</v>
      </c>
      <c r="B19950" t="s">
        <v>362</v>
      </c>
      <c r="C19950" s="26">
        <v>0.81850000000000001</v>
      </c>
      <c r="D19950" s="26">
        <v>5.9700000000000003E-2</v>
      </c>
      <c r="E19950" s="26">
        <v>6.4500000000000002E-2</v>
      </c>
      <c r="F19950" s="26">
        <v>3.2599999999999997E-2</v>
      </c>
      <c r="G19950" s="26">
        <v>2.47E-2</v>
      </c>
      <c r="I19950">
        <v>148</v>
      </c>
    </row>
    <row r="19951" spans="1:9" x14ac:dyDescent="0.35">
      <c r="A19951" s="27" t="s">
        <v>231</v>
      </c>
      <c r="B19951" s="27" t="s">
        <v>362</v>
      </c>
      <c r="C19951" s="28">
        <v>0.8276</v>
      </c>
      <c r="D19951" s="28">
        <v>3.4500000000000003E-2</v>
      </c>
      <c r="E19951" s="28">
        <v>6.9000000000000006E-2</v>
      </c>
      <c r="F19951" s="28">
        <v>3.4500000000000003E-2</v>
      </c>
      <c r="G19951" s="28">
        <v>3.4500000000000003E-2</v>
      </c>
      <c r="H19951" s="29"/>
      <c r="I19951" s="29" t="s">
        <v>329</v>
      </c>
    </row>
    <row r="19952" spans="1:9" x14ac:dyDescent="0.35">
      <c r="A19952" t="s">
        <v>231</v>
      </c>
      <c r="B19952" t="s">
        <v>361</v>
      </c>
      <c r="C19952" s="26">
        <v>0.86</v>
      </c>
      <c r="D19952" s="26">
        <v>0.08</v>
      </c>
      <c r="E19952" s="26">
        <v>0.02</v>
      </c>
      <c r="F19952" s="26">
        <v>0.04</v>
      </c>
      <c r="I19952">
        <v>50</v>
      </c>
    </row>
    <row r="19953" spans="1:9" x14ac:dyDescent="0.35">
      <c r="A19953" t="s">
        <v>231</v>
      </c>
      <c r="B19953" t="s">
        <v>360</v>
      </c>
      <c r="C19953" s="26">
        <v>0.72729999999999995</v>
      </c>
      <c r="D19953" s="26">
        <v>2.2700000000000001E-2</v>
      </c>
      <c r="E19953" s="26">
        <v>0.18179999999999999</v>
      </c>
      <c r="F19953" s="26">
        <v>2.2700000000000001E-2</v>
      </c>
      <c r="G19953" s="26">
        <v>4.5499999999999999E-2</v>
      </c>
      <c r="I19953">
        <v>44</v>
      </c>
    </row>
    <row r="19954" spans="1:9" x14ac:dyDescent="0.35">
      <c r="A19954" s="27" t="s">
        <v>231</v>
      </c>
      <c r="B19954" s="27" t="s">
        <v>363</v>
      </c>
      <c r="C19954" s="28">
        <v>0.88890000000000002</v>
      </c>
      <c r="D19954" s="28">
        <v>3.6999999999999998E-2</v>
      </c>
      <c r="E19954" s="28">
        <v>3.6999999999999998E-2</v>
      </c>
      <c r="F19954" s="28">
        <v>3.6999999999999998E-2</v>
      </c>
      <c r="G19954" s="29"/>
      <c r="H19954" s="29"/>
      <c r="I19954" s="29" t="s">
        <v>338</v>
      </c>
    </row>
    <row r="19955" spans="1:9" x14ac:dyDescent="0.35">
      <c r="A19955" t="s">
        <v>232</v>
      </c>
      <c r="B19955" t="s">
        <v>232</v>
      </c>
      <c r="C19955" s="26">
        <v>0.80640000000000001</v>
      </c>
      <c r="D19955" s="26">
        <v>7.3800000000000004E-2</v>
      </c>
      <c r="E19955" s="26">
        <v>6.0299999999999999E-2</v>
      </c>
      <c r="F19955" s="26">
        <v>3.9899999999999998E-2</v>
      </c>
      <c r="G19955" s="26">
        <v>1.8599999999999998E-2</v>
      </c>
      <c r="H19955" s="26">
        <v>1E-3</v>
      </c>
      <c r="I19955">
        <v>2476</v>
      </c>
    </row>
    <row r="19957" spans="1:9" x14ac:dyDescent="0.35">
      <c r="A19957" s="1" t="s">
        <v>1980</v>
      </c>
    </row>
    <row r="19958" spans="1:9" x14ac:dyDescent="0.35">
      <c r="A19958" t="s">
        <v>219</v>
      </c>
      <c r="B19958" t="s">
        <v>305</v>
      </c>
      <c r="C19958" t="s">
        <v>1972</v>
      </c>
      <c r="D19958" t="s">
        <v>1973</v>
      </c>
      <c r="E19958" t="s">
        <v>1974</v>
      </c>
      <c r="F19958" t="s">
        <v>1975</v>
      </c>
      <c r="G19958" t="s">
        <v>281</v>
      </c>
      <c r="H19958" t="s">
        <v>286</v>
      </c>
      <c r="I19958" t="s">
        <v>226</v>
      </c>
    </row>
    <row r="19959" spans="1:9" x14ac:dyDescent="0.35">
      <c r="A19959" t="s">
        <v>227</v>
      </c>
      <c r="B19959" t="s">
        <v>267</v>
      </c>
      <c r="C19959" s="26">
        <v>0.75</v>
      </c>
      <c r="D19959" s="26">
        <v>2.7799999999999998E-2</v>
      </c>
      <c r="E19959" s="26">
        <v>0.1389</v>
      </c>
      <c r="F19959" s="26">
        <v>5.5599999999999997E-2</v>
      </c>
      <c r="G19959" s="26">
        <v>2.7799999999999998E-2</v>
      </c>
      <c r="I19959">
        <v>36</v>
      </c>
    </row>
    <row r="19960" spans="1:9" x14ac:dyDescent="0.35">
      <c r="A19960" t="s">
        <v>227</v>
      </c>
      <c r="B19960" t="s">
        <v>266</v>
      </c>
      <c r="C19960" s="26">
        <v>0.83050000000000002</v>
      </c>
      <c r="D19960" s="26">
        <v>1.6899999999999998E-2</v>
      </c>
      <c r="E19960" s="26">
        <v>5.0799999999999998E-2</v>
      </c>
      <c r="F19960" s="26">
        <v>5.0799999999999998E-2</v>
      </c>
      <c r="G19960" s="26">
        <v>5.0799999999999998E-2</v>
      </c>
      <c r="I19960">
        <v>59</v>
      </c>
    </row>
    <row r="19961" spans="1:9" x14ac:dyDescent="0.35">
      <c r="A19961" t="s">
        <v>227</v>
      </c>
      <c r="B19961" t="s">
        <v>265</v>
      </c>
      <c r="C19961" s="26">
        <v>0.74239999999999995</v>
      </c>
      <c r="D19961" s="26">
        <v>7.5800000000000006E-2</v>
      </c>
      <c r="E19961" s="26">
        <v>7.5800000000000006E-2</v>
      </c>
      <c r="F19961" s="26">
        <v>7.5800000000000006E-2</v>
      </c>
      <c r="G19961" s="26">
        <v>3.0300000000000001E-2</v>
      </c>
      <c r="I19961">
        <v>66</v>
      </c>
    </row>
    <row r="19962" spans="1:9" x14ac:dyDescent="0.35">
      <c r="A19962" t="s">
        <v>228</v>
      </c>
      <c r="B19962" t="s">
        <v>267</v>
      </c>
      <c r="C19962" s="26">
        <v>0.81710000000000005</v>
      </c>
      <c r="D19962" s="26">
        <v>0.10009999999999999</v>
      </c>
      <c r="E19962" s="26">
        <v>4.4200000000000003E-2</v>
      </c>
      <c r="F19962" s="26">
        <v>2.9399999999999999E-2</v>
      </c>
      <c r="G19962" s="26">
        <v>9.1999999999999998E-3</v>
      </c>
      <c r="I19962">
        <v>199</v>
      </c>
    </row>
    <row r="19963" spans="1:9" x14ac:dyDescent="0.35">
      <c r="A19963" t="s">
        <v>228</v>
      </c>
      <c r="B19963" t="s">
        <v>265</v>
      </c>
      <c r="C19963" s="26">
        <v>0.81510000000000005</v>
      </c>
      <c r="D19963" s="26">
        <v>0.1061</v>
      </c>
      <c r="E19963" s="26">
        <v>1.66E-2</v>
      </c>
      <c r="F19963" s="26">
        <v>4.4400000000000002E-2</v>
      </c>
      <c r="G19963" s="26">
        <v>1.3899999999999999E-2</v>
      </c>
      <c r="H19963" s="26">
        <v>3.8E-3</v>
      </c>
      <c r="I19963">
        <v>384</v>
      </c>
    </row>
    <row r="19964" spans="1:9" x14ac:dyDescent="0.35">
      <c r="A19964" s="27" t="s">
        <v>228</v>
      </c>
      <c r="B19964" s="27" t="s">
        <v>236</v>
      </c>
      <c r="C19964" s="28">
        <v>0.5</v>
      </c>
      <c r="D19964" s="29"/>
      <c r="E19964" s="29"/>
      <c r="F19964" s="28">
        <v>0.5</v>
      </c>
      <c r="G19964" s="29"/>
      <c r="H19964" s="29"/>
      <c r="I19964" s="29" t="s">
        <v>314</v>
      </c>
    </row>
    <row r="19965" spans="1:9" x14ac:dyDescent="0.35">
      <c r="A19965" t="s">
        <v>228</v>
      </c>
      <c r="B19965" t="s">
        <v>266</v>
      </c>
      <c r="C19965" s="26">
        <v>0.74860000000000004</v>
      </c>
      <c r="D19965" s="26">
        <v>0.13</v>
      </c>
      <c r="E19965" s="26">
        <v>7.4700000000000003E-2</v>
      </c>
      <c r="F19965" s="26">
        <v>3.5000000000000003E-2</v>
      </c>
      <c r="G19965" s="26">
        <v>9.5999999999999992E-3</v>
      </c>
      <c r="H19965" s="26">
        <v>2.0999999999999999E-3</v>
      </c>
      <c r="I19965">
        <v>448</v>
      </c>
    </row>
    <row r="19966" spans="1:9" x14ac:dyDescent="0.35">
      <c r="A19966" t="s">
        <v>229</v>
      </c>
      <c r="B19966" t="s">
        <v>266</v>
      </c>
      <c r="C19966" s="26">
        <v>0.78769999999999996</v>
      </c>
      <c r="D19966" s="26">
        <v>7.8799999999999995E-2</v>
      </c>
      <c r="E19966" s="26">
        <v>6.8500000000000005E-2</v>
      </c>
      <c r="F19966" s="26">
        <v>3.8399999999999997E-2</v>
      </c>
      <c r="G19966" s="26">
        <v>2.46E-2</v>
      </c>
      <c r="H19966" s="26">
        <v>2E-3</v>
      </c>
      <c r="I19966">
        <v>359</v>
      </c>
    </row>
    <row r="19967" spans="1:9" x14ac:dyDescent="0.35">
      <c r="A19967" t="s">
        <v>229</v>
      </c>
      <c r="B19967" t="s">
        <v>267</v>
      </c>
      <c r="C19967" s="26">
        <v>0.83460000000000001</v>
      </c>
      <c r="D19967" s="26">
        <v>0.1144</v>
      </c>
      <c r="E19967" s="26">
        <v>4.1099999999999998E-2</v>
      </c>
      <c r="F19967" s="26">
        <v>5.0000000000000001E-3</v>
      </c>
      <c r="G19967" s="26">
        <v>4.1999999999999997E-3</v>
      </c>
      <c r="H19967" s="26">
        <v>8.0000000000000004E-4</v>
      </c>
      <c r="I19967">
        <v>201</v>
      </c>
    </row>
    <row r="19968" spans="1:9" x14ac:dyDescent="0.35">
      <c r="A19968" t="s">
        <v>229</v>
      </c>
      <c r="B19968" t="s">
        <v>265</v>
      </c>
      <c r="C19968" s="26">
        <v>0.84150000000000003</v>
      </c>
      <c r="D19968" s="26">
        <v>8.2500000000000004E-2</v>
      </c>
      <c r="E19968" s="26">
        <v>4.8500000000000001E-2</v>
      </c>
      <c r="F19968" s="26">
        <v>2.3599999999999999E-2</v>
      </c>
      <c r="G19968" s="26">
        <v>1.6999999999999999E-3</v>
      </c>
      <c r="H19968" s="26">
        <v>2.2000000000000001E-3</v>
      </c>
      <c r="I19968">
        <v>335</v>
      </c>
    </row>
    <row r="19969" spans="1:9" x14ac:dyDescent="0.35">
      <c r="A19969" t="s">
        <v>230</v>
      </c>
      <c r="B19969" t="s">
        <v>267</v>
      </c>
      <c r="C19969" s="26">
        <v>0.85</v>
      </c>
      <c r="D19969" s="26">
        <v>9.1800000000000007E-2</v>
      </c>
      <c r="E19969" s="26">
        <v>3.27E-2</v>
      </c>
      <c r="F19969" s="26">
        <v>1.7299999999999999E-2</v>
      </c>
      <c r="G19969" s="26">
        <v>8.2000000000000007E-3</v>
      </c>
      <c r="I19969">
        <v>119</v>
      </c>
    </row>
    <row r="19970" spans="1:9" x14ac:dyDescent="0.35">
      <c r="A19970" t="s">
        <v>230</v>
      </c>
      <c r="B19970" t="s">
        <v>266</v>
      </c>
      <c r="C19970" s="26">
        <v>0.71340000000000003</v>
      </c>
      <c r="D19970" s="26">
        <v>8.6099999999999996E-2</v>
      </c>
      <c r="E19970" s="26">
        <v>4.7800000000000002E-2</v>
      </c>
      <c r="F19970" s="26">
        <v>0.1217</v>
      </c>
      <c r="G19970" s="26">
        <v>3.1099999999999999E-2</v>
      </c>
      <c r="I19970">
        <v>232</v>
      </c>
    </row>
    <row r="19971" spans="1:9" x14ac:dyDescent="0.35">
      <c r="A19971" t="s">
        <v>230</v>
      </c>
      <c r="B19971" t="s">
        <v>265</v>
      </c>
      <c r="C19971" s="26">
        <v>0.93069999999999997</v>
      </c>
      <c r="D19971" s="26">
        <v>4.1300000000000003E-2</v>
      </c>
      <c r="E19971" s="26">
        <v>2.8E-3</v>
      </c>
      <c r="F19971" s="26">
        <v>2.46E-2</v>
      </c>
      <c r="G19971" s="26">
        <v>6.9999999999999999E-4</v>
      </c>
      <c r="I19971">
        <v>209</v>
      </c>
    </row>
    <row r="19972" spans="1:9" x14ac:dyDescent="0.35">
      <c r="A19972" t="s">
        <v>231</v>
      </c>
      <c r="B19972" t="s">
        <v>267</v>
      </c>
      <c r="C19972" s="26">
        <v>0.76470000000000005</v>
      </c>
      <c r="D19972" s="26">
        <v>2.9399999999999999E-2</v>
      </c>
      <c r="E19972" s="26">
        <v>8.8200000000000001E-2</v>
      </c>
      <c r="F19972" s="26">
        <v>8.8200000000000001E-2</v>
      </c>
      <c r="G19972" s="26">
        <v>2.9399999999999999E-2</v>
      </c>
      <c r="I19972">
        <v>34</v>
      </c>
    </row>
    <row r="19973" spans="1:9" x14ac:dyDescent="0.35">
      <c r="A19973" t="s">
        <v>231</v>
      </c>
      <c r="B19973" t="s">
        <v>266</v>
      </c>
      <c r="C19973" s="26">
        <v>0.7742</v>
      </c>
      <c r="D19973" s="26">
        <v>4.8399999999999999E-2</v>
      </c>
      <c r="E19973" s="26">
        <v>0.129</v>
      </c>
      <c r="F19973" s="26">
        <v>3.2300000000000002E-2</v>
      </c>
      <c r="G19973" s="26">
        <v>1.61E-2</v>
      </c>
      <c r="I19973">
        <v>62</v>
      </c>
    </row>
    <row r="19974" spans="1:9" x14ac:dyDescent="0.35">
      <c r="A19974" t="s">
        <v>231</v>
      </c>
      <c r="B19974" t="s">
        <v>265</v>
      </c>
      <c r="C19974" s="26">
        <v>0.86760000000000004</v>
      </c>
      <c r="D19974" s="26">
        <v>5.8799999999999998E-2</v>
      </c>
      <c r="E19974" s="26">
        <v>2.9399999999999999E-2</v>
      </c>
      <c r="F19974" s="26">
        <v>1.47E-2</v>
      </c>
      <c r="G19974" s="26">
        <v>2.9399999999999999E-2</v>
      </c>
      <c r="I19974">
        <v>68</v>
      </c>
    </row>
    <row r="19975" spans="1:9" x14ac:dyDescent="0.35">
      <c r="A19975" t="s">
        <v>232</v>
      </c>
      <c r="B19975" t="s">
        <v>232</v>
      </c>
      <c r="C19975" s="26">
        <v>0.80640000000000001</v>
      </c>
      <c r="D19975" s="26">
        <v>7.3800000000000004E-2</v>
      </c>
      <c r="E19975" s="26">
        <v>6.0299999999999999E-2</v>
      </c>
      <c r="F19975" s="26">
        <v>3.9899999999999998E-2</v>
      </c>
      <c r="G19975" s="26">
        <v>1.8599999999999998E-2</v>
      </c>
      <c r="H19975" s="26">
        <v>1E-3</v>
      </c>
      <c r="I19975">
        <v>2813</v>
      </c>
    </row>
    <row r="19977" spans="1:9" x14ac:dyDescent="0.35">
      <c r="A19977" s="1" t="s">
        <v>1981</v>
      </c>
    </row>
    <row r="19978" spans="1:9" x14ac:dyDescent="0.35">
      <c r="A19978" t="s">
        <v>219</v>
      </c>
      <c r="B19978" t="s">
        <v>305</v>
      </c>
      <c r="C19978" t="s">
        <v>1972</v>
      </c>
      <c r="D19978" t="s">
        <v>1973</v>
      </c>
      <c r="E19978" t="s">
        <v>1974</v>
      </c>
      <c r="F19978" t="s">
        <v>1975</v>
      </c>
      <c r="G19978" t="s">
        <v>281</v>
      </c>
      <c r="H19978" t="s">
        <v>286</v>
      </c>
      <c r="I19978" t="s">
        <v>226</v>
      </c>
    </row>
    <row r="19979" spans="1:9" x14ac:dyDescent="0.35">
      <c r="A19979" t="s">
        <v>227</v>
      </c>
      <c r="B19979" t="s">
        <v>252</v>
      </c>
      <c r="C19979" s="26">
        <v>0.71109999999999995</v>
      </c>
      <c r="E19979" s="26">
        <v>0.22220000000000001</v>
      </c>
      <c r="G19979" s="26">
        <v>6.6699999999999995E-2</v>
      </c>
      <c r="I19979">
        <v>45</v>
      </c>
    </row>
    <row r="19980" spans="1:9" x14ac:dyDescent="0.35">
      <c r="A19980" t="s">
        <v>227</v>
      </c>
      <c r="B19980" t="s">
        <v>253</v>
      </c>
      <c r="C19980" s="26">
        <v>0.79410000000000003</v>
      </c>
      <c r="D19980" s="26">
        <v>2.9399999999999999E-2</v>
      </c>
      <c r="E19980" s="26">
        <v>2.9399999999999999E-2</v>
      </c>
      <c r="F19980" s="26">
        <v>0.1176</v>
      </c>
      <c r="G19980" s="26">
        <v>2.9399999999999999E-2</v>
      </c>
      <c r="I19980">
        <v>34</v>
      </c>
    </row>
    <row r="19981" spans="1:9" x14ac:dyDescent="0.35">
      <c r="A19981" t="s">
        <v>227</v>
      </c>
      <c r="B19981" t="s">
        <v>251</v>
      </c>
      <c r="C19981" s="26">
        <v>0.80489999999999995</v>
      </c>
      <c r="D19981" s="26">
        <v>7.3200000000000001E-2</v>
      </c>
      <c r="E19981" s="26">
        <v>2.4400000000000002E-2</v>
      </c>
      <c r="F19981" s="26">
        <v>7.3200000000000001E-2</v>
      </c>
      <c r="G19981" s="26">
        <v>2.4400000000000002E-2</v>
      </c>
      <c r="I19981">
        <v>82</v>
      </c>
    </row>
    <row r="19982" spans="1:9" x14ac:dyDescent="0.35">
      <c r="A19982" t="s">
        <v>228</v>
      </c>
      <c r="B19982" t="s">
        <v>252</v>
      </c>
      <c r="C19982" s="26">
        <v>0.70620000000000005</v>
      </c>
      <c r="D19982" s="26">
        <v>0.1033</v>
      </c>
      <c r="E19982" s="26">
        <v>0.1106</v>
      </c>
      <c r="F19982" s="26">
        <v>5.4100000000000002E-2</v>
      </c>
      <c r="G19982" s="26">
        <v>1.89E-2</v>
      </c>
      <c r="H19982" s="26">
        <v>6.7999999999999996E-3</v>
      </c>
      <c r="I19982">
        <v>344</v>
      </c>
    </row>
    <row r="19983" spans="1:9" x14ac:dyDescent="0.35">
      <c r="A19983" t="s">
        <v>228</v>
      </c>
      <c r="B19983" t="s">
        <v>253</v>
      </c>
      <c r="C19983" s="26">
        <v>0.81469999999999998</v>
      </c>
      <c r="D19983" s="26">
        <v>0.1181</v>
      </c>
      <c r="E19983" s="26">
        <v>1.29E-2</v>
      </c>
      <c r="F19983" s="26">
        <v>4.7E-2</v>
      </c>
      <c r="G19983" s="26">
        <v>6.1000000000000004E-3</v>
      </c>
      <c r="H19983" s="26">
        <v>1.1999999999999999E-3</v>
      </c>
      <c r="I19983">
        <v>222</v>
      </c>
    </row>
    <row r="19984" spans="1:9" x14ac:dyDescent="0.35">
      <c r="A19984" t="s">
        <v>228</v>
      </c>
      <c r="B19984" t="s">
        <v>251</v>
      </c>
      <c r="C19984" s="26">
        <v>0.82750000000000001</v>
      </c>
      <c r="D19984" s="26">
        <v>0.1197</v>
      </c>
      <c r="E19984" s="26">
        <v>1.47E-2</v>
      </c>
      <c r="F19984" s="26">
        <v>2.9700000000000001E-2</v>
      </c>
      <c r="G19984" s="26">
        <v>8.3999999999999995E-3</v>
      </c>
      <c r="I19984">
        <v>467</v>
      </c>
    </row>
    <row r="19985" spans="1:9" x14ac:dyDescent="0.35">
      <c r="A19985" t="s">
        <v>229</v>
      </c>
      <c r="B19985" t="s">
        <v>252</v>
      </c>
      <c r="C19985" s="26">
        <v>0.71360000000000001</v>
      </c>
      <c r="D19985" s="26">
        <v>3.1300000000000001E-2</v>
      </c>
      <c r="E19985" s="26">
        <v>0.19800000000000001</v>
      </c>
      <c r="F19985" s="26">
        <v>3.1099999999999999E-2</v>
      </c>
      <c r="G19985" s="26">
        <v>2.3099999999999999E-2</v>
      </c>
      <c r="H19985" s="26">
        <v>2.8999999999999998E-3</v>
      </c>
      <c r="I19985">
        <v>199</v>
      </c>
    </row>
    <row r="19986" spans="1:9" x14ac:dyDescent="0.35">
      <c r="A19986" t="s">
        <v>229</v>
      </c>
      <c r="B19986" t="s">
        <v>253</v>
      </c>
      <c r="C19986" s="26">
        <v>0.77910000000000001</v>
      </c>
      <c r="D19986" s="26">
        <v>0.15690000000000001</v>
      </c>
      <c r="E19986" s="26">
        <v>3.32E-2</v>
      </c>
      <c r="F19986" s="26">
        <v>2.3800000000000002E-2</v>
      </c>
      <c r="G19986" s="26">
        <v>2.5999999999999999E-3</v>
      </c>
      <c r="H19986" s="26">
        <v>4.4000000000000003E-3</v>
      </c>
      <c r="I19986">
        <v>145</v>
      </c>
    </row>
    <row r="19987" spans="1:9" x14ac:dyDescent="0.35">
      <c r="A19987" t="s">
        <v>229</v>
      </c>
      <c r="B19987" t="s">
        <v>251</v>
      </c>
      <c r="C19987" s="26">
        <v>0.87780000000000002</v>
      </c>
      <c r="D19987" s="26">
        <v>8.8099999999999998E-2</v>
      </c>
      <c r="E19987" s="26">
        <v>4.7000000000000002E-3</v>
      </c>
      <c r="F19987" s="26">
        <v>2.1899999999999999E-2</v>
      </c>
      <c r="G19987" s="26">
        <v>7.0000000000000001E-3</v>
      </c>
      <c r="H19987" s="26">
        <v>5.9999999999999995E-4</v>
      </c>
      <c r="I19987">
        <v>551</v>
      </c>
    </row>
    <row r="19988" spans="1:9" x14ac:dyDescent="0.35">
      <c r="A19988" t="s">
        <v>230</v>
      </c>
      <c r="B19988" t="s">
        <v>252</v>
      </c>
      <c r="C19988" s="26">
        <v>0.67949999999999999</v>
      </c>
      <c r="D19988" s="26">
        <v>5.04E-2</v>
      </c>
      <c r="E19988" s="26">
        <v>9.9000000000000005E-2</v>
      </c>
      <c r="F19988" s="26">
        <v>0.14069999999999999</v>
      </c>
      <c r="G19988" s="26">
        <v>3.0300000000000001E-2</v>
      </c>
      <c r="I19988">
        <v>159</v>
      </c>
    </row>
    <row r="19989" spans="1:9" x14ac:dyDescent="0.35">
      <c r="A19989" t="s">
        <v>230</v>
      </c>
      <c r="B19989" t="s">
        <v>253</v>
      </c>
      <c r="C19989" s="26">
        <v>0.90269999999999995</v>
      </c>
      <c r="D19989" s="26">
        <v>7.4399999999999994E-2</v>
      </c>
      <c r="F19989" s="26">
        <v>1.06E-2</v>
      </c>
      <c r="G19989" s="26">
        <v>1.23E-2</v>
      </c>
      <c r="I19989">
        <v>110</v>
      </c>
    </row>
    <row r="19990" spans="1:9" x14ac:dyDescent="0.35">
      <c r="A19990" t="s">
        <v>230</v>
      </c>
      <c r="B19990" t="s">
        <v>251</v>
      </c>
      <c r="C19990" s="26">
        <v>0.88260000000000005</v>
      </c>
      <c r="D19990" s="26">
        <v>7.4999999999999997E-2</v>
      </c>
      <c r="E19990" s="26">
        <v>5.0000000000000001E-4</v>
      </c>
      <c r="F19990" s="26">
        <v>3.61E-2</v>
      </c>
      <c r="G19990" s="26">
        <v>5.7999999999999996E-3</v>
      </c>
      <c r="I19990">
        <v>291</v>
      </c>
    </row>
    <row r="19991" spans="1:9" x14ac:dyDescent="0.35">
      <c r="A19991" t="s">
        <v>231</v>
      </c>
      <c r="B19991" t="s">
        <v>252</v>
      </c>
      <c r="C19991" s="26">
        <v>0.69389999999999996</v>
      </c>
      <c r="D19991" s="26">
        <v>2.0400000000000001E-2</v>
      </c>
      <c r="E19991" s="26">
        <v>0.2041</v>
      </c>
      <c r="F19991" s="26">
        <v>2.0400000000000001E-2</v>
      </c>
      <c r="G19991" s="26">
        <v>6.1199999999999997E-2</v>
      </c>
      <c r="I19991">
        <v>49</v>
      </c>
    </row>
    <row r="19992" spans="1:9" x14ac:dyDescent="0.35">
      <c r="A19992" t="s">
        <v>231</v>
      </c>
      <c r="B19992" t="s">
        <v>253</v>
      </c>
      <c r="C19992" s="26">
        <v>0.9</v>
      </c>
      <c r="D19992" s="26">
        <v>3.3300000000000003E-2</v>
      </c>
      <c r="E19992" s="26">
        <v>3.3300000000000003E-2</v>
      </c>
      <c r="G19992" s="26">
        <v>3.3300000000000003E-2</v>
      </c>
      <c r="I19992">
        <v>30</v>
      </c>
    </row>
    <row r="19993" spans="1:9" x14ac:dyDescent="0.35">
      <c r="A19993" t="s">
        <v>231</v>
      </c>
      <c r="B19993" t="s">
        <v>251</v>
      </c>
      <c r="C19993" s="26">
        <v>0.84709999999999996</v>
      </c>
      <c r="D19993" s="26">
        <v>7.0599999999999996E-2</v>
      </c>
      <c r="E19993" s="26">
        <v>2.35E-2</v>
      </c>
      <c r="F19993" s="26">
        <v>5.8799999999999998E-2</v>
      </c>
      <c r="I19993">
        <v>85</v>
      </c>
    </row>
    <row r="19994" spans="1:9" x14ac:dyDescent="0.35">
      <c r="A19994" t="s">
        <v>232</v>
      </c>
      <c r="B19994" t="s">
        <v>232</v>
      </c>
      <c r="C19994" s="26">
        <v>0.80640000000000001</v>
      </c>
      <c r="D19994" s="26">
        <v>7.3800000000000004E-2</v>
      </c>
      <c r="E19994" s="26">
        <v>6.0299999999999999E-2</v>
      </c>
      <c r="F19994" s="26">
        <v>3.9899999999999998E-2</v>
      </c>
      <c r="G19994" s="26">
        <v>1.8599999999999998E-2</v>
      </c>
      <c r="H19994" s="26">
        <v>1E-3</v>
      </c>
      <c r="I19994">
        <v>2813</v>
      </c>
    </row>
    <row r="19996" spans="1:9" x14ac:dyDescent="0.35">
      <c r="A19996" s="1" t="s">
        <v>1982</v>
      </c>
    </row>
    <row r="19997" spans="1:9" x14ac:dyDescent="0.35">
      <c r="A19997" t="s">
        <v>219</v>
      </c>
      <c r="B19997" t="s">
        <v>305</v>
      </c>
      <c r="C19997" t="s">
        <v>1972</v>
      </c>
      <c r="D19997" t="s">
        <v>1973</v>
      </c>
      <c r="E19997" t="s">
        <v>1974</v>
      </c>
      <c r="F19997" t="s">
        <v>1975</v>
      </c>
      <c r="G19997" t="s">
        <v>281</v>
      </c>
      <c r="H19997" t="s">
        <v>286</v>
      </c>
      <c r="I19997" t="s">
        <v>226</v>
      </c>
    </row>
    <row r="19998" spans="1:9" x14ac:dyDescent="0.35">
      <c r="A19998" t="s">
        <v>227</v>
      </c>
      <c r="B19998" t="s">
        <v>249</v>
      </c>
      <c r="C19998" s="26">
        <v>0.81820000000000004</v>
      </c>
      <c r="D19998" s="26">
        <v>0.11360000000000001</v>
      </c>
      <c r="F19998" s="26">
        <v>4.5499999999999999E-2</v>
      </c>
      <c r="G19998" s="26">
        <v>2.2700000000000001E-2</v>
      </c>
      <c r="I19998">
        <v>44</v>
      </c>
    </row>
    <row r="19999" spans="1:9" x14ac:dyDescent="0.35">
      <c r="A19999" t="s">
        <v>227</v>
      </c>
      <c r="B19999" t="s">
        <v>248</v>
      </c>
      <c r="C19999" s="26">
        <v>0.76070000000000004</v>
      </c>
      <c r="D19999" s="26">
        <v>1.7100000000000001E-2</v>
      </c>
      <c r="E19999" s="26">
        <v>0.1111</v>
      </c>
      <c r="F19999" s="26">
        <v>6.8400000000000002E-2</v>
      </c>
      <c r="G19999" s="26">
        <v>4.2700000000000002E-2</v>
      </c>
      <c r="I19999">
        <v>117</v>
      </c>
    </row>
    <row r="20000" spans="1:9" x14ac:dyDescent="0.35">
      <c r="A20000" t="s">
        <v>228</v>
      </c>
      <c r="B20000" t="s">
        <v>249</v>
      </c>
      <c r="C20000" s="26">
        <v>0.82879999999999998</v>
      </c>
      <c r="D20000" s="26">
        <v>0.13900000000000001</v>
      </c>
      <c r="E20000" s="26">
        <v>3.5999999999999999E-3</v>
      </c>
      <c r="F20000" s="26">
        <v>2.7300000000000001E-2</v>
      </c>
      <c r="G20000" s="26">
        <v>1.4E-3</v>
      </c>
      <c r="I20000">
        <v>274</v>
      </c>
    </row>
    <row r="20001" spans="1:9" x14ac:dyDescent="0.35">
      <c r="A20001" t="s">
        <v>228</v>
      </c>
      <c r="B20001" t="s">
        <v>248</v>
      </c>
      <c r="C20001" s="26">
        <v>0.76780000000000004</v>
      </c>
      <c r="D20001" s="26">
        <v>0.1036</v>
      </c>
      <c r="E20001" s="26">
        <v>6.2700000000000006E-2</v>
      </c>
      <c r="F20001" s="26">
        <v>4.6899999999999997E-2</v>
      </c>
      <c r="G20001" s="26">
        <v>1.55E-2</v>
      </c>
      <c r="H20001" s="26">
        <v>3.5000000000000001E-3</v>
      </c>
      <c r="I20001">
        <v>759</v>
      </c>
    </row>
    <row r="20002" spans="1:9" x14ac:dyDescent="0.35">
      <c r="A20002" t="s">
        <v>229</v>
      </c>
      <c r="B20002" t="s">
        <v>249</v>
      </c>
      <c r="C20002" s="26">
        <v>0.87480000000000002</v>
      </c>
      <c r="D20002" s="26">
        <v>0.10970000000000001</v>
      </c>
      <c r="F20002" s="26">
        <v>1.2E-2</v>
      </c>
      <c r="G20002" s="26">
        <v>3.0000000000000001E-3</v>
      </c>
      <c r="H20002" s="26">
        <v>5.0000000000000001E-4</v>
      </c>
      <c r="I20002">
        <v>259</v>
      </c>
    </row>
    <row r="20003" spans="1:9" x14ac:dyDescent="0.35">
      <c r="A20003" t="s">
        <v>229</v>
      </c>
      <c r="B20003" t="s">
        <v>248</v>
      </c>
      <c r="C20003" s="26">
        <v>0.79659999999999997</v>
      </c>
      <c r="D20003" s="26">
        <v>7.7899999999999997E-2</v>
      </c>
      <c r="E20003" s="26">
        <v>7.9500000000000001E-2</v>
      </c>
      <c r="F20003" s="26">
        <v>3.04E-2</v>
      </c>
      <c r="G20003" s="26">
        <v>1.3100000000000001E-2</v>
      </c>
      <c r="H20003" s="26">
        <v>2.5000000000000001E-3</v>
      </c>
      <c r="I20003">
        <v>636</v>
      </c>
    </row>
    <row r="20004" spans="1:9" x14ac:dyDescent="0.35">
      <c r="A20004" t="s">
        <v>230</v>
      </c>
      <c r="B20004" t="s">
        <v>249</v>
      </c>
      <c r="C20004" s="26">
        <v>0.85419999999999996</v>
      </c>
      <c r="D20004" s="26">
        <v>0.1089</v>
      </c>
      <c r="F20004" s="26">
        <v>3.4200000000000001E-2</v>
      </c>
      <c r="G20004" s="26">
        <v>2.7000000000000001E-3</v>
      </c>
      <c r="I20004">
        <v>171</v>
      </c>
    </row>
    <row r="20005" spans="1:9" x14ac:dyDescent="0.35">
      <c r="A20005" t="s">
        <v>230</v>
      </c>
      <c r="B20005" t="s">
        <v>248</v>
      </c>
      <c r="C20005" s="26">
        <v>0.82440000000000002</v>
      </c>
      <c r="D20005" s="26">
        <v>4.8099999999999997E-2</v>
      </c>
      <c r="E20005" s="26">
        <v>3.8600000000000002E-2</v>
      </c>
      <c r="F20005" s="26">
        <v>7.0199999999999999E-2</v>
      </c>
      <c r="G20005" s="26">
        <v>1.8700000000000001E-2</v>
      </c>
      <c r="I20005">
        <v>389</v>
      </c>
    </row>
    <row r="20006" spans="1:9" x14ac:dyDescent="0.35">
      <c r="A20006" t="s">
        <v>231</v>
      </c>
      <c r="B20006" t="s">
        <v>249</v>
      </c>
      <c r="C20006" s="26">
        <v>1</v>
      </c>
      <c r="I20006">
        <v>35</v>
      </c>
    </row>
    <row r="20007" spans="1:9" x14ac:dyDescent="0.35">
      <c r="A20007" t="s">
        <v>231</v>
      </c>
      <c r="B20007" t="s">
        <v>248</v>
      </c>
      <c r="C20007" s="26">
        <v>0.75970000000000004</v>
      </c>
      <c r="D20007" s="26">
        <v>6.2E-2</v>
      </c>
      <c r="E20007" s="26">
        <v>0.1008</v>
      </c>
      <c r="F20007" s="26">
        <v>4.65E-2</v>
      </c>
      <c r="G20007" s="26">
        <v>3.1E-2</v>
      </c>
      <c r="I20007">
        <v>129</v>
      </c>
    </row>
    <row r="20008" spans="1:9" x14ac:dyDescent="0.35">
      <c r="A20008" t="s">
        <v>232</v>
      </c>
      <c r="B20008" t="s">
        <v>232</v>
      </c>
      <c r="C20008" s="26">
        <v>0.80640000000000001</v>
      </c>
      <c r="D20008" s="26">
        <v>7.3800000000000004E-2</v>
      </c>
      <c r="E20008" s="26">
        <v>6.0299999999999999E-2</v>
      </c>
      <c r="F20008" s="26">
        <v>3.9899999999999998E-2</v>
      </c>
      <c r="G20008" s="26">
        <v>1.8599999999999998E-2</v>
      </c>
      <c r="H20008" s="26">
        <v>1E-3</v>
      </c>
      <c r="I20008">
        <v>2813</v>
      </c>
    </row>
    <row r="20010" spans="1:9" x14ac:dyDescent="0.35">
      <c r="A20010" s="1" t="s">
        <v>1983</v>
      </c>
    </row>
    <row r="20011" spans="1:9" x14ac:dyDescent="0.35">
      <c r="A20011" t="s">
        <v>219</v>
      </c>
      <c r="B20011" t="s">
        <v>305</v>
      </c>
      <c r="C20011" t="s">
        <v>1972</v>
      </c>
      <c r="D20011" t="s">
        <v>1973</v>
      </c>
      <c r="E20011" t="s">
        <v>1974</v>
      </c>
      <c r="F20011" t="s">
        <v>1975</v>
      </c>
      <c r="G20011" t="s">
        <v>281</v>
      </c>
      <c r="H20011" t="s">
        <v>286</v>
      </c>
      <c r="I20011" t="s">
        <v>226</v>
      </c>
    </row>
    <row r="20012" spans="1:9" x14ac:dyDescent="0.35">
      <c r="A20012" s="27" t="s">
        <v>227</v>
      </c>
      <c r="B20012" s="27" t="s">
        <v>263</v>
      </c>
      <c r="C20012" s="28">
        <v>1</v>
      </c>
      <c r="D20012" s="29"/>
      <c r="E20012" s="29"/>
      <c r="F20012" s="29"/>
      <c r="G20012" s="29"/>
      <c r="H20012" s="29"/>
      <c r="I20012" s="29" t="s">
        <v>315</v>
      </c>
    </row>
    <row r="20013" spans="1:9" x14ac:dyDescent="0.35">
      <c r="A20013" t="s">
        <v>227</v>
      </c>
      <c r="B20013" t="s">
        <v>261</v>
      </c>
      <c r="C20013" s="26">
        <v>0.72729999999999995</v>
      </c>
      <c r="E20013" s="26">
        <v>9.0899999999999995E-2</v>
      </c>
      <c r="F20013" s="26">
        <v>0.1212</v>
      </c>
      <c r="G20013" s="26">
        <v>6.0600000000000001E-2</v>
      </c>
      <c r="I20013">
        <v>33</v>
      </c>
    </row>
    <row r="20014" spans="1:9" x14ac:dyDescent="0.35">
      <c r="A20014" s="27" t="s">
        <v>227</v>
      </c>
      <c r="B20014" s="27" t="s">
        <v>262</v>
      </c>
      <c r="C20014" s="28">
        <v>1</v>
      </c>
      <c r="D20014" s="29"/>
      <c r="E20014" s="29"/>
      <c r="F20014" s="29"/>
      <c r="G20014" s="29"/>
      <c r="H20014" s="29"/>
      <c r="I20014" s="29" t="s">
        <v>315</v>
      </c>
    </row>
    <row r="20015" spans="1:9" x14ac:dyDescent="0.35">
      <c r="A20015" t="s">
        <v>227</v>
      </c>
      <c r="B20015" t="s">
        <v>260</v>
      </c>
      <c r="C20015" s="26">
        <v>0.77869999999999995</v>
      </c>
      <c r="D20015" s="26">
        <v>5.74E-2</v>
      </c>
      <c r="E20015" s="26">
        <v>8.2000000000000003E-2</v>
      </c>
      <c r="F20015" s="26">
        <v>4.9200000000000001E-2</v>
      </c>
      <c r="G20015" s="26">
        <v>3.2800000000000003E-2</v>
      </c>
      <c r="I20015">
        <v>122</v>
      </c>
    </row>
    <row r="20016" spans="1:9" x14ac:dyDescent="0.35">
      <c r="A20016" t="s">
        <v>228</v>
      </c>
      <c r="B20016" t="s">
        <v>261</v>
      </c>
      <c r="C20016" s="26">
        <v>0.80310000000000004</v>
      </c>
      <c r="D20016" s="26">
        <v>8.9599999999999999E-2</v>
      </c>
      <c r="E20016" s="26">
        <v>3.5200000000000002E-2</v>
      </c>
      <c r="F20016" s="26">
        <v>5.8700000000000002E-2</v>
      </c>
      <c r="G20016" s="26">
        <v>7.3000000000000001E-3</v>
      </c>
      <c r="H20016" s="26">
        <v>6.0000000000000001E-3</v>
      </c>
      <c r="I20016">
        <v>192</v>
      </c>
    </row>
    <row r="20017" spans="1:9" x14ac:dyDescent="0.35">
      <c r="A20017" s="27" t="s">
        <v>228</v>
      </c>
      <c r="B20017" s="27" t="s">
        <v>263</v>
      </c>
      <c r="C20017" s="28">
        <v>0.84089999999999998</v>
      </c>
      <c r="D20017" s="28">
        <v>5.5300000000000002E-2</v>
      </c>
      <c r="E20017" s="28">
        <v>5.5300000000000002E-2</v>
      </c>
      <c r="F20017" s="29"/>
      <c r="G20017" s="28">
        <v>4.8500000000000001E-2</v>
      </c>
      <c r="H20017" s="29"/>
      <c r="I20017" s="29" t="s">
        <v>312</v>
      </c>
    </row>
    <row r="20018" spans="1:9" x14ac:dyDescent="0.35">
      <c r="A20018" s="27" t="s">
        <v>228</v>
      </c>
      <c r="B20018" s="27" t="s">
        <v>236</v>
      </c>
      <c r="C20018" s="28">
        <v>0.89459999999999995</v>
      </c>
      <c r="D20018" s="28">
        <v>3.9E-2</v>
      </c>
      <c r="E20018" s="29"/>
      <c r="F20018" s="28">
        <v>6.6500000000000004E-2</v>
      </c>
      <c r="G20018" s="29"/>
      <c r="H20018" s="29"/>
      <c r="I20018" s="29" t="s">
        <v>335</v>
      </c>
    </row>
    <row r="20019" spans="1:9" x14ac:dyDescent="0.35">
      <c r="A20019" t="s">
        <v>228</v>
      </c>
      <c r="B20019" t="s">
        <v>262</v>
      </c>
      <c r="C20019" s="26">
        <v>0.81699999999999995</v>
      </c>
      <c r="D20019" s="26">
        <v>0.1188</v>
      </c>
      <c r="E20019" s="26">
        <v>9.9000000000000008E-3</v>
      </c>
      <c r="F20019" s="26">
        <v>4.2700000000000002E-2</v>
      </c>
      <c r="G20019" s="26">
        <v>8.9999999999999993E-3</v>
      </c>
      <c r="H20019" s="26">
        <v>2.5000000000000001E-3</v>
      </c>
      <c r="I20019">
        <v>201</v>
      </c>
    </row>
    <row r="20020" spans="1:9" x14ac:dyDescent="0.35">
      <c r="A20020" t="s">
        <v>228</v>
      </c>
      <c r="B20020" t="s">
        <v>260</v>
      </c>
      <c r="C20020" s="26">
        <v>0.76949999999999996</v>
      </c>
      <c r="D20020" s="26">
        <v>0.12330000000000001</v>
      </c>
      <c r="E20020" s="26">
        <v>5.7799999999999997E-2</v>
      </c>
      <c r="F20020" s="26">
        <v>3.5999999999999997E-2</v>
      </c>
      <c r="G20020" s="26">
        <v>1.21E-2</v>
      </c>
      <c r="H20020" s="26">
        <v>1.4E-3</v>
      </c>
      <c r="I20020">
        <v>609</v>
      </c>
    </row>
    <row r="20021" spans="1:9" x14ac:dyDescent="0.35">
      <c r="A20021" s="27" t="s">
        <v>229</v>
      </c>
      <c r="B20021" s="27" t="s">
        <v>263</v>
      </c>
      <c r="C20021" s="28">
        <v>0.94330000000000003</v>
      </c>
      <c r="D20021" s="28">
        <v>3.4700000000000002E-2</v>
      </c>
      <c r="E20021" s="28">
        <v>4.8999999999999998E-3</v>
      </c>
      <c r="F20021" s="28">
        <v>1.7100000000000001E-2</v>
      </c>
      <c r="G20021" s="29"/>
      <c r="H20021" s="29"/>
      <c r="I20021" s="29" t="s">
        <v>379</v>
      </c>
    </row>
    <row r="20022" spans="1:9" x14ac:dyDescent="0.35">
      <c r="A20022" t="s">
        <v>229</v>
      </c>
      <c r="B20022" t="s">
        <v>262</v>
      </c>
      <c r="C20022" s="26">
        <v>0.84350000000000003</v>
      </c>
      <c r="D20022" s="26">
        <v>8.7900000000000006E-2</v>
      </c>
      <c r="E20022" s="26">
        <v>1.3100000000000001E-2</v>
      </c>
      <c r="F20022" s="26">
        <v>4.0099999999999997E-2</v>
      </c>
      <c r="G20022" s="26">
        <v>1.43E-2</v>
      </c>
      <c r="H20022" s="26">
        <v>1.1999999999999999E-3</v>
      </c>
      <c r="I20022">
        <v>188</v>
      </c>
    </row>
    <row r="20023" spans="1:9" x14ac:dyDescent="0.35">
      <c r="A20023" t="s">
        <v>229</v>
      </c>
      <c r="B20023" t="s">
        <v>261</v>
      </c>
      <c r="C20023" s="26">
        <v>0.8679</v>
      </c>
      <c r="D20023" s="26">
        <v>9.2600000000000002E-2</v>
      </c>
      <c r="E20023" s="26">
        <v>1.8599999999999998E-2</v>
      </c>
      <c r="F20023" s="26">
        <v>2.0899999999999998E-2</v>
      </c>
      <c r="I20023">
        <v>96</v>
      </c>
    </row>
    <row r="20024" spans="1:9" x14ac:dyDescent="0.35">
      <c r="A20024" s="27" t="s">
        <v>229</v>
      </c>
      <c r="B20024" s="27" t="s">
        <v>236</v>
      </c>
      <c r="C20024" s="29"/>
      <c r="D20024" s="28">
        <v>1</v>
      </c>
      <c r="E20024" s="29"/>
      <c r="F20024" s="29"/>
      <c r="G20024" s="29"/>
      <c r="H20024" s="29"/>
      <c r="I20024" s="29" t="s">
        <v>331</v>
      </c>
    </row>
    <row r="20025" spans="1:9" x14ac:dyDescent="0.35">
      <c r="A20025" t="s">
        <v>229</v>
      </c>
      <c r="B20025" t="s">
        <v>260</v>
      </c>
      <c r="C20025" s="26">
        <v>0.7954</v>
      </c>
      <c r="D20025" s="26">
        <v>8.8999999999999996E-2</v>
      </c>
      <c r="E20025" s="26">
        <v>8.48E-2</v>
      </c>
      <c r="F20025" s="26">
        <v>1.7600000000000001E-2</v>
      </c>
      <c r="G20025" s="26">
        <v>1.0500000000000001E-2</v>
      </c>
      <c r="H20025" s="26">
        <v>2.7000000000000001E-3</v>
      </c>
      <c r="I20025">
        <v>596</v>
      </c>
    </row>
    <row r="20026" spans="1:9" x14ac:dyDescent="0.35">
      <c r="A20026" s="27" t="s">
        <v>230</v>
      </c>
      <c r="B20026" s="27" t="s">
        <v>236</v>
      </c>
      <c r="C20026" s="28">
        <v>0.1585</v>
      </c>
      <c r="D20026" s="28">
        <v>0.11899999999999999</v>
      </c>
      <c r="E20026" s="29"/>
      <c r="F20026" s="28">
        <v>0.72240000000000004</v>
      </c>
      <c r="G20026" s="29"/>
      <c r="H20026" s="29"/>
      <c r="I20026" s="29" t="s">
        <v>337</v>
      </c>
    </row>
    <row r="20027" spans="1:9" x14ac:dyDescent="0.35">
      <c r="A20027" t="s">
        <v>230</v>
      </c>
      <c r="B20027" t="s">
        <v>262</v>
      </c>
      <c r="C20027" s="26">
        <v>0.86619999999999997</v>
      </c>
      <c r="D20027" s="26">
        <v>7.2099999999999997E-2</v>
      </c>
      <c r="E20027" s="26">
        <v>1.18E-2</v>
      </c>
      <c r="F20027" s="26">
        <v>4.4499999999999998E-2</v>
      </c>
      <c r="G20027" s="26">
        <v>5.4999999999999997E-3</v>
      </c>
      <c r="I20027">
        <v>122</v>
      </c>
    </row>
    <row r="20028" spans="1:9" x14ac:dyDescent="0.35">
      <c r="A20028" t="s">
        <v>230</v>
      </c>
      <c r="B20028" t="s">
        <v>261</v>
      </c>
      <c r="C20028" s="26">
        <v>0.88670000000000004</v>
      </c>
      <c r="D20028" s="26">
        <v>6.2700000000000006E-2</v>
      </c>
      <c r="E20028" s="26">
        <v>2E-3</v>
      </c>
      <c r="F20028" s="26">
        <v>4.8599999999999997E-2</v>
      </c>
      <c r="I20028">
        <v>57</v>
      </c>
    </row>
    <row r="20029" spans="1:9" x14ac:dyDescent="0.35">
      <c r="A20029" s="27" t="s">
        <v>230</v>
      </c>
      <c r="B20029" s="27" t="s">
        <v>263</v>
      </c>
      <c r="C20029" s="28">
        <v>0.68340000000000001</v>
      </c>
      <c r="D20029" s="28">
        <v>0.26640000000000003</v>
      </c>
      <c r="E20029" s="28">
        <v>1.6799999999999999E-2</v>
      </c>
      <c r="F20029" s="29"/>
      <c r="G20029" s="28">
        <v>3.3500000000000002E-2</v>
      </c>
      <c r="H20029" s="29"/>
      <c r="I20029" s="29" t="s">
        <v>312</v>
      </c>
    </row>
    <row r="20030" spans="1:9" x14ac:dyDescent="0.35">
      <c r="A20030" t="s">
        <v>230</v>
      </c>
      <c r="B20030" t="s">
        <v>260</v>
      </c>
      <c r="C20030" s="26">
        <v>0.82830000000000004</v>
      </c>
      <c r="D20030" s="26">
        <v>6.3799999999999996E-2</v>
      </c>
      <c r="E20030" s="26">
        <v>3.3599999999999998E-2</v>
      </c>
      <c r="F20030" s="26">
        <v>5.7000000000000002E-2</v>
      </c>
      <c r="G20030" s="26">
        <v>1.72E-2</v>
      </c>
      <c r="I20030">
        <v>352</v>
      </c>
    </row>
    <row r="20031" spans="1:9" x14ac:dyDescent="0.35">
      <c r="A20031" s="27" t="s">
        <v>231</v>
      </c>
      <c r="B20031" s="27" t="s">
        <v>263</v>
      </c>
      <c r="C20031" s="28">
        <v>1</v>
      </c>
      <c r="D20031" s="29"/>
      <c r="E20031" s="29"/>
      <c r="F20031" s="29"/>
      <c r="G20031" s="29"/>
      <c r="H20031" s="29"/>
      <c r="I20031" s="29" t="s">
        <v>314</v>
      </c>
    </row>
    <row r="20032" spans="1:9" x14ac:dyDescent="0.35">
      <c r="A20032" t="s">
        <v>231</v>
      </c>
      <c r="B20032" t="s">
        <v>260</v>
      </c>
      <c r="C20032" s="26">
        <v>0.7984</v>
      </c>
      <c r="D20032" s="26">
        <v>4.8399999999999999E-2</v>
      </c>
      <c r="E20032" s="26">
        <v>0.1048</v>
      </c>
      <c r="F20032" s="26">
        <v>2.4199999999999999E-2</v>
      </c>
      <c r="G20032" s="26">
        <v>2.4199999999999999E-2</v>
      </c>
      <c r="I20032">
        <v>124</v>
      </c>
    </row>
    <row r="20033" spans="1:9" x14ac:dyDescent="0.35">
      <c r="A20033" s="27" t="s">
        <v>231</v>
      </c>
      <c r="B20033" s="27" t="s">
        <v>261</v>
      </c>
      <c r="C20033" s="28">
        <v>0.81479999999999997</v>
      </c>
      <c r="D20033" s="28">
        <v>7.4099999999999999E-2</v>
      </c>
      <c r="E20033" s="29"/>
      <c r="F20033" s="28">
        <v>7.4099999999999999E-2</v>
      </c>
      <c r="G20033" s="28">
        <v>3.6999999999999998E-2</v>
      </c>
      <c r="H20033" s="29"/>
      <c r="I20033" s="29" t="s">
        <v>338</v>
      </c>
    </row>
    <row r="20034" spans="1:9" x14ac:dyDescent="0.35">
      <c r="A20034" s="27" t="s">
        <v>231</v>
      </c>
      <c r="B20034" s="27" t="s">
        <v>262</v>
      </c>
      <c r="C20034" s="28">
        <v>0.90910000000000002</v>
      </c>
      <c r="D20034" s="29"/>
      <c r="E20034" s="29"/>
      <c r="F20034" s="28">
        <v>9.0899999999999995E-2</v>
      </c>
      <c r="G20034" s="29"/>
      <c r="H20034" s="29"/>
      <c r="I20034" s="29" t="s">
        <v>352</v>
      </c>
    </row>
    <row r="20035" spans="1:9" x14ac:dyDescent="0.35">
      <c r="A20035" t="s">
        <v>232</v>
      </c>
      <c r="B20035" t="s">
        <v>232</v>
      </c>
      <c r="C20035" s="26">
        <v>0.80640000000000001</v>
      </c>
      <c r="D20035" s="26">
        <v>7.3800000000000004E-2</v>
      </c>
      <c r="E20035" s="26">
        <v>6.0299999999999999E-2</v>
      </c>
      <c r="F20035" s="26">
        <v>3.9899999999999998E-2</v>
      </c>
      <c r="G20035" s="26">
        <v>1.8599999999999998E-2</v>
      </c>
      <c r="H20035" s="26">
        <v>1E-3</v>
      </c>
      <c r="I20035">
        <v>2813</v>
      </c>
    </row>
    <row r="20037" spans="1:9" x14ac:dyDescent="0.35">
      <c r="A20037" s="1" t="s">
        <v>1984</v>
      </c>
    </row>
    <row r="20038" spans="1:9" x14ac:dyDescent="0.35">
      <c r="A20038" t="s">
        <v>219</v>
      </c>
      <c r="B20038" t="s">
        <v>305</v>
      </c>
      <c r="C20038" t="s">
        <v>1972</v>
      </c>
      <c r="D20038" t="s">
        <v>1973</v>
      </c>
      <c r="E20038" t="s">
        <v>1974</v>
      </c>
      <c r="F20038" t="s">
        <v>1975</v>
      </c>
      <c r="G20038" t="s">
        <v>281</v>
      </c>
      <c r="H20038" t="s">
        <v>286</v>
      </c>
      <c r="I20038" t="s">
        <v>226</v>
      </c>
    </row>
    <row r="20039" spans="1:9" x14ac:dyDescent="0.35">
      <c r="A20039" t="s">
        <v>227</v>
      </c>
      <c r="B20039" t="s">
        <v>368</v>
      </c>
      <c r="C20039" s="26">
        <v>0.72729999999999995</v>
      </c>
      <c r="E20039" s="26">
        <v>9.0899999999999995E-2</v>
      </c>
      <c r="F20039" s="26">
        <v>0.1212</v>
      </c>
      <c r="G20039" s="26">
        <v>6.0600000000000001E-2</v>
      </c>
      <c r="I20039">
        <v>33</v>
      </c>
    </row>
    <row r="20040" spans="1:9" x14ac:dyDescent="0.35">
      <c r="A20040" t="s">
        <v>227</v>
      </c>
      <c r="B20040" t="s">
        <v>369</v>
      </c>
      <c r="C20040" s="26">
        <v>0.78910000000000002</v>
      </c>
      <c r="D20040" s="26">
        <v>5.4699999999999999E-2</v>
      </c>
      <c r="E20040" s="26">
        <v>7.8100000000000003E-2</v>
      </c>
      <c r="F20040" s="26">
        <v>4.6899999999999997E-2</v>
      </c>
      <c r="G20040" s="26">
        <v>3.1199999999999999E-2</v>
      </c>
      <c r="I20040">
        <v>128</v>
      </c>
    </row>
    <row r="20041" spans="1:9" x14ac:dyDescent="0.35">
      <c r="A20041" t="s">
        <v>228</v>
      </c>
      <c r="B20041" t="s">
        <v>368</v>
      </c>
      <c r="C20041" s="26">
        <v>0.80310000000000004</v>
      </c>
      <c r="D20041" s="26">
        <v>8.9599999999999999E-2</v>
      </c>
      <c r="E20041" s="26">
        <v>3.5200000000000002E-2</v>
      </c>
      <c r="F20041" s="26">
        <v>5.8700000000000002E-2</v>
      </c>
      <c r="G20041" s="26">
        <v>7.3000000000000001E-3</v>
      </c>
      <c r="H20041" s="26">
        <v>6.0000000000000001E-3</v>
      </c>
      <c r="I20041">
        <v>192</v>
      </c>
    </row>
    <row r="20042" spans="1:9" x14ac:dyDescent="0.35">
      <c r="A20042" t="s">
        <v>228</v>
      </c>
      <c r="B20042" t="s">
        <v>369</v>
      </c>
      <c r="C20042" s="26">
        <v>0.78190000000000004</v>
      </c>
      <c r="D20042" s="26">
        <v>0.1201</v>
      </c>
      <c r="E20042" s="26">
        <v>4.7399999999999998E-2</v>
      </c>
      <c r="F20042" s="26">
        <v>3.6799999999999999E-2</v>
      </c>
      <c r="G20042" s="26">
        <v>1.2200000000000001E-2</v>
      </c>
      <c r="H20042" s="26">
        <v>1.6000000000000001E-3</v>
      </c>
      <c r="I20042">
        <v>841</v>
      </c>
    </row>
    <row r="20043" spans="1:9" x14ac:dyDescent="0.35">
      <c r="A20043" t="s">
        <v>229</v>
      </c>
      <c r="B20043" t="s">
        <v>368</v>
      </c>
      <c r="C20043" s="26">
        <v>0.8679</v>
      </c>
      <c r="D20043" s="26">
        <v>9.2600000000000002E-2</v>
      </c>
      <c r="E20043" s="26">
        <v>1.8599999999999998E-2</v>
      </c>
      <c r="F20043" s="26">
        <v>2.0899999999999998E-2</v>
      </c>
      <c r="I20043">
        <v>96</v>
      </c>
    </row>
    <row r="20044" spans="1:9" x14ac:dyDescent="0.35">
      <c r="A20044" t="s">
        <v>229</v>
      </c>
      <c r="B20044" t="s">
        <v>369</v>
      </c>
      <c r="C20044" s="26">
        <v>0.81430000000000002</v>
      </c>
      <c r="D20044" s="26">
        <v>8.7599999999999997E-2</v>
      </c>
      <c r="E20044" s="26">
        <v>5.9499999999999997E-2</v>
      </c>
      <c r="F20044" s="26">
        <v>2.4899999999999999E-2</v>
      </c>
      <c r="G20044" s="26">
        <v>1.15E-2</v>
      </c>
      <c r="H20044" s="26">
        <v>2.0999999999999999E-3</v>
      </c>
      <c r="I20044">
        <v>799</v>
      </c>
    </row>
    <row r="20045" spans="1:9" x14ac:dyDescent="0.35">
      <c r="A20045" t="s">
        <v>230</v>
      </c>
      <c r="B20045" t="s">
        <v>368</v>
      </c>
      <c r="C20045" s="26">
        <v>0.88670000000000004</v>
      </c>
      <c r="D20045" s="26">
        <v>6.2700000000000006E-2</v>
      </c>
      <c r="E20045" s="26">
        <v>2E-3</v>
      </c>
      <c r="F20045" s="26">
        <v>4.8599999999999997E-2</v>
      </c>
      <c r="I20045">
        <v>57</v>
      </c>
    </row>
    <row r="20046" spans="1:9" x14ac:dyDescent="0.35">
      <c r="A20046" t="s">
        <v>230</v>
      </c>
      <c r="B20046" t="s">
        <v>369</v>
      </c>
      <c r="C20046" s="26">
        <v>0.82640000000000002</v>
      </c>
      <c r="D20046" s="26">
        <v>6.9500000000000006E-2</v>
      </c>
      <c r="E20046" s="26">
        <v>2.92E-2</v>
      </c>
      <c r="F20046" s="26">
        <v>5.9499999999999997E-2</v>
      </c>
      <c r="G20046" s="26">
        <v>1.5299999999999999E-2</v>
      </c>
      <c r="I20046">
        <v>503</v>
      </c>
    </row>
    <row r="20047" spans="1:9" x14ac:dyDescent="0.35">
      <c r="A20047" s="27" t="s">
        <v>231</v>
      </c>
      <c r="B20047" s="27" t="s">
        <v>368</v>
      </c>
      <c r="C20047" s="28">
        <v>0.81479999999999997</v>
      </c>
      <c r="D20047" s="28">
        <v>7.4099999999999999E-2</v>
      </c>
      <c r="E20047" s="29"/>
      <c r="F20047" s="28">
        <v>7.4099999999999999E-2</v>
      </c>
      <c r="G20047" s="28">
        <v>3.6999999999999998E-2</v>
      </c>
      <c r="H20047" s="29"/>
      <c r="I20047" s="29" t="s">
        <v>338</v>
      </c>
    </row>
    <row r="20048" spans="1:9" x14ac:dyDescent="0.35">
      <c r="A20048" t="s">
        <v>231</v>
      </c>
      <c r="B20048" t="s">
        <v>369</v>
      </c>
      <c r="C20048" s="26">
        <v>0.81020000000000003</v>
      </c>
      <c r="D20048" s="26">
        <v>4.3799999999999999E-2</v>
      </c>
      <c r="E20048" s="26">
        <v>9.4899999999999998E-2</v>
      </c>
      <c r="F20048" s="26">
        <v>2.92E-2</v>
      </c>
      <c r="G20048" s="26">
        <v>2.1899999999999999E-2</v>
      </c>
      <c r="I20048">
        <v>137</v>
      </c>
    </row>
    <row r="20049" spans="1:9" x14ac:dyDescent="0.35">
      <c r="A20049" t="s">
        <v>232</v>
      </c>
      <c r="B20049" t="s">
        <v>232</v>
      </c>
      <c r="C20049" s="26">
        <v>0.80640000000000001</v>
      </c>
      <c r="D20049" s="26">
        <v>7.3800000000000004E-2</v>
      </c>
      <c r="E20049" s="26">
        <v>6.0299999999999999E-2</v>
      </c>
      <c r="F20049" s="26">
        <v>3.9899999999999998E-2</v>
      </c>
      <c r="G20049" s="26">
        <v>1.8599999999999998E-2</v>
      </c>
      <c r="H20049" s="26">
        <v>1E-3</v>
      </c>
      <c r="I20049">
        <v>2813</v>
      </c>
    </row>
    <row r="20051" spans="1:9" x14ac:dyDescent="0.35">
      <c r="A20051" s="1" t="s">
        <v>1985</v>
      </c>
    </row>
    <row r="20052" spans="1:9" x14ac:dyDescent="0.35">
      <c r="A20052" t="s">
        <v>219</v>
      </c>
      <c r="B20052" t="s">
        <v>305</v>
      </c>
      <c r="C20052" t="s">
        <v>1972</v>
      </c>
      <c r="D20052" t="s">
        <v>1973</v>
      </c>
      <c r="E20052" t="s">
        <v>1974</v>
      </c>
      <c r="F20052" t="s">
        <v>1975</v>
      </c>
      <c r="G20052" t="s">
        <v>281</v>
      </c>
      <c r="H20052" t="s">
        <v>286</v>
      </c>
      <c r="I20052" t="s">
        <v>226</v>
      </c>
    </row>
    <row r="20053" spans="1:9" x14ac:dyDescent="0.35">
      <c r="A20053" t="s">
        <v>227</v>
      </c>
      <c r="B20053" t="s">
        <v>371</v>
      </c>
      <c r="C20053" s="26">
        <v>0.77639999999999998</v>
      </c>
      <c r="D20053" s="26">
        <v>4.3499999999999997E-2</v>
      </c>
      <c r="E20053" s="26">
        <v>8.0699999999999994E-2</v>
      </c>
      <c r="F20053" s="26">
        <v>6.2100000000000002E-2</v>
      </c>
      <c r="G20053" s="26">
        <v>3.73E-2</v>
      </c>
      <c r="I20053">
        <v>161</v>
      </c>
    </row>
    <row r="20054" spans="1:9" x14ac:dyDescent="0.35">
      <c r="A20054" t="s">
        <v>228</v>
      </c>
      <c r="B20054" t="s">
        <v>371</v>
      </c>
      <c r="C20054" s="26">
        <v>0.83460000000000001</v>
      </c>
      <c r="D20054" s="26">
        <v>8.2400000000000001E-2</v>
      </c>
      <c r="E20054" s="26">
        <v>3.7900000000000003E-2</v>
      </c>
      <c r="F20054" s="26">
        <v>3.5299999999999998E-2</v>
      </c>
      <c r="G20054" s="26">
        <v>9.1000000000000004E-3</v>
      </c>
      <c r="H20054" s="26">
        <v>6.9999999999999999E-4</v>
      </c>
      <c r="I20054">
        <v>292</v>
      </c>
    </row>
    <row r="20055" spans="1:9" x14ac:dyDescent="0.35">
      <c r="A20055" t="s">
        <v>228</v>
      </c>
      <c r="B20055" t="s">
        <v>372</v>
      </c>
      <c r="C20055" s="26">
        <v>0.51290000000000002</v>
      </c>
      <c r="D20055" s="26">
        <v>0.20039999999999999</v>
      </c>
      <c r="E20055" s="26">
        <v>7.46E-2</v>
      </c>
      <c r="F20055" s="26">
        <v>0.1547</v>
      </c>
      <c r="G20055" s="26">
        <v>4.6899999999999997E-2</v>
      </c>
      <c r="H20055" s="26">
        <v>1.0500000000000001E-2</v>
      </c>
      <c r="I20055">
        <v>218</v>
      </c>
    </row>
    <row r="20056" spans="1:9" x14ac:dyDescent="0.35">
      <c r="A20056" t="s">
        <v>228</v>
      </c>
      <c r="B20056" t="s">
        <v>373</v>
      </c>
      <c r="C20056" s="26">
        <v>0.78080000000000005</v>
      </c>
      <c r="D20056" s="26">
        <v>0.13769999999999999</v>
      </c>
      <c r="E20056" s="26">
        <v>4.82E-2</v>
      </c>
      <c r="F20056" s="26">
        <v>2.3900000000000001E-2</v>
      </c>
      <c r="G20056" s="26">
        <v>6.4000000000000003E-3</v>
      </c>
      <c r="H20056" s="26">
        <v>3.0000000000000001E-3</v>
      </c>
      <c r="I20056">
        <v>523</v>
      </c>
    </row>
    <row r="20057" spans="1:9" x14ac:dyDescent="0.35">
      <c r="A20057" t="s">
        <v>229</v>
      </c>
      <c r="B20057" t="s">
        <v>371</v>
      </c>
      <c r="C20057" s="26">
        <v>0.83899999999999997</v>
      </c>
      <c r="D20057" s="26">
        <v>7.9500000000000001E-2</v>
      </c>
      <c r="E20057" s="26">
        <v>5.3699999999999998E-2</v>
      </c>
      <c r="F20057" s="26">
        <v>1.89E-2</v>
      </c>
      <c r="G20057" s="26">
        <v>8.0000000000000002E-3</v>
      </c>
      <c r="H20057" s="26">
        <v>8.9999999999999998E-4</v>
      </c>
      <c r="I20057">
        <v>584</v>
      </c>
    </row>
    <row r="20058" spans="1:9" x14ac:dyDescent="0.35">
      <c r="A20058" t="s">
        <v>229</v>
      </c>
      <c r="B20058" t="s">
        <v>372</v>
      </c>
      <c r="C20058" s="26">
        <v>0.56969999999999998</v>
      </c>
      <c r="D20058" s="26">
        <v>0.19020000000000001</v>
      </c>
      <c r="E20058" s="26">
        <v>6.3100000000000003E-2</v>
      </c>
      <c r="F20058" s="26">
        <v>0.11210000000000001</v>
      </c>
      <c r="G20058" s="26">
        <v>4.5199999999999997E-2</v>
      </c>
      <c r="H20058" s="26">
        <v>1.9699999999999999E-2</v>
      </c>
      <c r="I20058">
        <v>221</v>
      </c>
    </row>
    <row r="20059" spans="1:9" x14ac:dyDescent="0.35">
      <c r="A20059" t="s">
        <v>229</v>
      </c>
      <c r="B20059" t="s">
        <v>373</v>
      </c>
      <c r="C20059" s="26">
        <v>0.71860000000000002</v>
      </c>
      <c r="D20059" s="26">
        <v>0.20349999999999999</v>
      </c>
      <c r="E20059" s="26">
        <v>2.47E-2</v>
      </c>
      <c r="F20059" s="26">
        <v>4.6899999999999997E-2</v>
      </c>
      <c r="G20059" s="26">
        <v>6.3E-3</v>
      </c>
      <c r="I20059">
        <v>90</v>
      </c>
    </row>
    <row r="20060" spans="1:9" x14ac:dyDescent="0.35">
      <c r="A20060" t="s">
        <v>230</v>
      </c>
      <c r="B20060" t="s">
        <v>371</v>
      </c>
      <c r="C20060" s="26">
        <v>0.85629999999999995</v>
      </c>
      <c r="D20060" s="26">
        <v>5.3100000000000001E-2</v>
      </c>
      <c r="E20060" s="26">
        <v>2.3199999999999998E-2</v>
      </c>
      <c r="F20060" s="26">
        <v>5.6300000000000003E-2</v>
      </c>
      <c r="G20060" s="26">
        <v>1.0999999999999999E-2</v>
      </c>
      <c r="I20060">
        <v>262</v>
      </c>
    </row>
    <row r="20061" spans="1:9" x14ac:dyDescent="0.35">
      <c r="A20061" t="s">
        <v>230</v>
      </c>
      <c r="B20061" t="s">
        <v>372</v>
      </c>
      <c r="C20061" s="26">
        <v>0.56689999999999996</v>
      </c>
      <c r="D20061" s="26">
        <v>0.1787</v>
      </c>
      <c r="E20061" s="26">
        <v>6.9800000000000001E-2</v>
      </c>
      <c r="F20061" s="26">
        <v>0.14560000000000001</v>
      </c>
      <c r="G20061" s="26">
        <v>3.9100000000000003E-2</v>
      </c>
      <c r="I20061">
        <v>146</v>
      </c>
    </row>
    <row r="20062" spans="1:9" x14ac:dyDescent="0.35">
      <c r="A20062" t="s">
        <v>230</v>
      </c>
      <c r="B20062" t="s">
        <v>373</v>
      </c>
      <c r="C20062" s="26">
        <v>0.81540000000000001</v>
      </c>
      <c r="D20062" s="26">
        <v>0.1177</v>
      </c>
      <c r="E20062" s="26">
        <v>2.0899999999999998E-2</v>
      </c>
      <c r="F20062" s="26">
        <v>0.03</v>
      </c>
      <c r="G20062" s="26">
        <v>1.61E-2</v>
      </c>
      <c r="I20062">
        <v>152</v>
      </c>
    </row>
    <row r="20063" spans="1:9" x14ac:dyDescent="0.35">
      <c r="A20063" t="s">
        <v>231</v>
      </c>
      <c r="B20063" t="s">
        <v>371</v>
      </c>
      <c r="C20063" s="26">
        <v>0.81100000000000005</v>
      </c>
      <c r="D20063" s="26">
        <v>4.8800000000000003E-2</v>
      </c>
      <c r="E20063" s="26">
        <v>7.9299999999999995E-2</v>
      </c>
      <c r="F20063" s="26">
        <v>3.6600000000000001E-2</v>
      </c>
      <c r="G20063" s="26">
        <v>2.4400000000000002E-2</v>
      </c>
      <c r="I20063">
        <v>164</v>
      </c>
    </row>
    <row r="20064" spans="1:9" x14ac:dyDescent="0.35">
      <c r="A20064" t="s">
        <v>232</v>
      </c>
      <c r="B20064" t="s">
        <v>232</v>
      </c>
      <c r="C20064" s="26">
        <v>0.80640000000000001</v>
      </c>
      <c r="D20064" s="26">
        <v>7.3800000000000004E-2</v>
      </c>
      <c r="E20064" s="26">
        <v>6.0299999999999999E-2</v>
      </c>
      <c r="F20064" s="26">
        <v>3.9899999999999998E-2</v>
      </c>
      <c r="G20064" s="26">
        <v>1.8599999999999998E-2</v>
      </c>
      <c r="H20064" s="26">
        <v>1E-3</v>
      </c>
      <c r="I20064">
        <v>2813</v>
      </c>
    </row>
    <row r="20066" spans="1:9" x14ac:dyDescent="0.35">
      <c r="A20066" s="1" t="s">
        <v>1986</v>
      </c>
    </row>
    <row r="20067" spans="1:9" x14ac:dyDescent="0.35">
      <c r="A20067" t="s">
        <v>219</v>
      </c>
      <c r="B20067" t="s">
        <v>305</v>
      </c>
      <c r="C20067" t="s">
        <v>1972</v>
      </c>
      <c r="D20067" t="s">
        <v>1973</v>
      </c>
      <c r="E20067" t="s">
        <v>1974</v>
      </c>
      <c r="F20067" t="s">
        <v>1975</v>
      </c>
      <c r="G20067" t="s">
        <v>281</v>
      </c>
      <c r="H20067" t="s">
        <v>286</v>
      </c>
      <c r="I20067" t="s">
        <v>226</v>
      </c>
    </row>
    <row r="20068" spans="1:9" x14ac:dyDescent="0.35">
      <c r="A20068" t="s">
        <v>227</v>
      </c>
      <c r="B20068" t="s">
        <v>255</v>
      </c>
      <c r="C20068" s="26">
        <v>0.76070000000000004</v>
      </c>
      <c r="D20068" s="26">
        <v>1.7100000000000001E-2</v>
      </c>
      <c r="E20068" s="26">
        <v>0.1111</v>
      </c>
      <c r="F20068" s="26">
        <v>6.8400000000000002E-2</v>
      </c>
      <c r="G20068" s="26">
        <v>4.2700000000000002E-2</v>
      </c>
      <c r="I20068">
        <v>117</v>
      </c>
    </row>
    <row r="20069" spans="1:9" x14ac:dyDescent="0.35">
      <c r="A20069" s="27" t="s">
        <v>227</v>
      </c>
      <c r="B20069" s="27" t="s">
        <v>257</v>
      </c>
      <c r="C20069" s="28">
        <v>0.88890000000000002</v>
      </c>
      <c r="D20069" s="29"/>
      <c r="E20069" s="29"/>
      <c r="F20069" s="28">
        <v>0.1111</v>
      </c>
      <c r="G20069" s="29"/>
      <c r="H20069" s="29"/>
      <c r="I20069" s="29" t="s">
        <v>334</v>
      </c>
    </row>
    <row r="20070" spans="1:9" x14ac:dyDescent="0.35">
      <c r="A20070" t="s">
        <v>227</v>
      </c>
      <c r="B20070" t="s">
        <v>256</v>
      </c>
      <c r="C20070" s="26">
        <v>0.8</v>
      </c>
      <c r="D20070" s="26">
        <v>0.1429</v>
      </c>
      <c r="F20070" s="26">
        <v>2.86E-2</v>
      </c>
      <c r="G20070" s="26">
        <v>2.86E-2</v>
      </c>
      <c r="I20070">
        <v>35</v>
      </c>
    </row>
    <row r="20071" spans="1:9" x14ac:dyDescent="0.35">
      <c r="A20071" t="s">
        <v>228</v>
      </c>
      <c r="B20071" t="s">
        <v>257</v>
      </c>
      <c r="C20071" s="26">
        <v>0.72989999999999999</v>
      </c>
      <c r="D20071" s="26">
        <v>0.1673</v>
      </c>
      <c r="E20071" s="26">
        <v>1.26E-2</v>
      </c>
      <c r="F20071" s="26">
        <v>9.01E-2</v>
      </c>
      <c r="I20071">
        <v>49</v>
      </c>
    </row>
    <row r="20072" spans="1:9" x14ac:dyDescent="0.35">
      <c r="A20072" s="27" t="s">
        <v>228</v>
      </c>
      <c r="B20072" s="27" t="s">
        <v>258</v>
      </c>
      <c r="C20072" s="28">
        <v>0.79079999999999995</v>
      </c>
      <c r="D20072" s="28">
        <v>0.2092</v>
      </c>
      <c r="E20072" s="29"/>
      <c r="F20072" s="29"/>
      <c r="G20072" s="29"/>
      <c r="H20072" s="29"/>
      <c r="I20072" s="29" t="s">
        <v>337</v>
      </c>
    </row>
    <row r="20073" spans="1:9" x14ac:dyDescent="0.35">
      <c r="A20073" t="s">
        <v>228</v>
      </c>
      <c r="B20073" t="s">
        <v>256</v>
      </c>
      <c r="C20073" s="26">
        <v>0.85099999999999998</v>
      </c>
      <c r="D20073" s="26">
        <v>0.13120000000000001</v>
      </c>
      <c r="E20073" s="26">
        <v>1.6999999999999999E-3</v>
      </c>
      <c r="F20073" s="26">
        <v>1.43E-2</v>
      </c>
      <c r="G20073" s="26">
        <v>1.6999999999999999E-3</v>
      </c>
      <c r="I20073">
        <v>221</v>
      </c>
    </row>
    <row r="20074" spans="1:9" x14ac:dyDescent="0.35">
      <c r="A20074" t="s">
        <v>228</v>
      </c>
      <c r="B20074" t="s">
        <v>255</v>
      </c>
      <c r="C20074" s="26">
        <v>0.76780000000000004</v>
      </c>
      <c r="D20074" s="26">
        <v>0.1036</v>
      </c>
      <c r="E20074" s="26">
        <v>6.2700000000000006E-2</v>
      </c>
      <c r="F20074" s="26">
        <v>4.6899999999999997E-2</v>
      </c>
      <c r="G20074" s="26">
        <v>1.55E-2</v>
      </c>
      <c r="H20074" s="26">
        <v>3.5000000000000001E-3</v>
      </c>
      <c r="I20074">
        <v>759</v>
      </c>
    </row>
    <row r="20075" spans="1:9" x14ac:dyDescent="0.35">
      <c r="A20075" t="s">
        <v>229</v>
      </c>
      <c r="B20075" t="s">
        <v>256</v>
      </c>
      <c r="C20075" s="26">
        <v>0.88009999999999999</v>
      </c>
      <c r="D20075" s="26">
        <v>0.1144</v>
      </c>
      <c r="F20075" s="26">
        <v>3.7000000000000002E-3</v>
      </c>
      <c r="G20075" s="26">
        <v>1.1999999999999999E-3</v>
      </c>
      <c r="H20075" s="26">
        <v>5.9999999999999995E-4</v>
      </c>
      <c r="I20075">
        <v>207</v>
      </c>
    </row>
    <row r="20076" spans="1:9" x14ac:dyDescent="0.35">
      <c r="A20076" t="s">
        <v>229</v>
      </c>
      <c r="B20076" t="s">
        <v>255</v>
      </c>
      <c r="C20076" s="26">
        <v>0.79659999999999997</v>
      </c>
      <c r="D20076" s="26">
        <v>7.7899999999999997E-2</v>
      </c>
      <c r="E20076" s="26">
        <v>7.9500000000000001E-2</v>
      </c>
      <c r="F20076" s="26">
        <v>3.04E-2</v>
      </c>
      <c r="G20076" s="26">
        <v>1.3100000000000001E-2</v>
      </c>
      <c r="H20076" s="26">
        <v>2.5000000000000001E-3</v>
      </c>
      <c r="I20076">
        <v>636</v>
      </c>
    </row>
    <row r="20077" spans="1:9" x14ac:dyDescent="0.35">
      <c r="A20077" t="s">
        <v>229</v>
      </c>
      <c r="B20077" t="s">
        <v>257</v>
      </c>
      <c r="C20077" s="26">
        <v>0.85319999999999996</v>
      </c>
      <c r="D20077" s="26">
        <v>8.0399999999999999E-2</v>
      </c>
      <c r="F20077" s="26">
        <v>5.4100000000000002E-2</v>
      </c>
      <c r="G20077" s="26">
        <v>1.23E-2</v>
      </c>
      <c r="I20077">
        <v>50</v>
      </c>
    </row>
    <row r="20078" spans="1:9" x14ac:dyDescent="0.35">
      <c r="A20078" s="27" t="s">
        <v>229</v>
      </c>
      <c r="B20078" s="27" t="s">
        <v>258</v>
      </c>
      <c r="C20078" s="28">
        <v>0.22409999999999999</v>
      </c>
      <c r="D20078" s="28">
        <v>0.77590000000000003</v>
      </c>
      <c r="E20078" s="29"/>
      <c r="F20078" s="29"/>
      <c r="G20078" s="29"/>
      <c r="H20078" s="29"/>
      <c r="I20078" s="29" t="s">
        <v>314</v>
      </c>
    </row>
    <row r="20079" spans="1:9" x14ac:dyDescent="0.35">
      <c r="A20079" t="s">
        <v>230</v>
      </c>
      <c r="B20079" t="s">
        <v>256</v>
      </c>
      <c r="C20079" s="26">
        <v>0.84750000000000003</v>
      </c>
      <c r="D20079" s="26">
        <v>0.1115</v>
      </c>
      <c r="F20079" s="26">
        <v>3.7499999999999999E-2</v>
      </c>
      <c r="G20079" s="26">
        <v>3.5000000000000001E-3</v>
      </c>
      <c r="I20079">
        <v>130</v>
      </c>
    </row>
    <row r="20080" spans="1:9" x14ac:dyDescent="0.35">
      <c r="A20080" t="s">
        <v>230</v>
      </c>
      <c r="B20080" t="s">
        <v>255</v>
      </c>
      <c r="C20080" s="26">
        <v>0.82440000000000002</v>
      </c>
      <c r="D20080" s="26">
        <v>4.8099999999999997E-2</v>
      </c>
      <c r="E20080" s="26">
        <v>3.8600000000000002E-2</v>
      </c>
      <c r="F20080" s="26">
        <v>7.0199999999999999E-2</v>
      </c>
      <c r="G20080" s="26">
        <v>1.8700000000000001E-2</v>
      </c>
      <c r="I20080">
        <v>389</v>
      </c>
    </row>
    <row r="20081" spans="1:18" x14ac:dyDescent="0.35">
      <c r="A20081" t="s">
        <v>230</v>
      </c>
      <c r="B20081" t="s">
        <v>257</v>
      </c>
      <c r="C20081" s="26">
        <v>0.86539999999999995</v>
      </c>
      <c r="D20081" s="26">
        <v>0.10920000000000001</v>
      </c>
      <c r="F20081" s="26">
        <v>2.5399999999999999E-2</v>
      </c>
      <c r="I20081">
        <v>38</v>
      </c>
    </row>
    <row r="20082" spans="1:18" x14ac:dyDescent="0.35">
      <c r="A20082" s="27" t="s">
        <v>230</v>
      </c>
      <c r="B20082" s="27" t="s">
        <v>258</v>
      </c>
      <c r="C20082" s="28">
        <v>1</v>
      </c>
      <c r="D20082" s="29"/>
      <c r="E20082" s="29"/>
      <c r="F20082" s="29"/>
      <c r="G20082" s="29"/>
      <c r="H20082" s="29"/>
      <c r="I20082" s="29" t="s">
        <v>315</v>
      </c>
    </row>
    <row r="20083" spans="1:18" x14ac:dyDescent="0.35">
      <c r="A20083" s="27" t="s">
        <v>231</v>
      </c>
      <c r="B20083" s="27" t="s">
        <v>257</v>
      </c>
      <c r="C20083" s="28">
        <v>1</v>
      </c>
      <c r="D20083" s="29"/>
      <c r="E20083" s="29"/>
      <c r="F20083" s="29"/>
      <c r="G20083" s="29"/>
      <c r="H20083" s="29"/>
      <c r="I20083" s="29" t="s">
        <v>339</v>
      </c>
    </row>
    <row r="20084" spans="1:18" x14ac:dyDescent="0.35">
      <c r="A20084" t="s">
        <v>231</v>
      </c>
      <c r="B20084" t="s">
        <v>255</v>
      </c>
      <c r="C20084" s="26">
        <v>0.75970000000000004</v>
      </c>
      <c r="D20084" s="26">
        <v>6.2E-2</v>
      </c>
      <c r="E20084" s="26">
        <v>0.1008</v>
      </c>
      <c r="F20084" s="26">
        <v>4.65E-2</v>
      </c>
      <c r="G20084" s="26">
        <v>3.1E-2</v>
      </c>
      <c r="I20084">
        <v>129</v>
      </c>
    </row>
    <row r="20085" spans="1:18" x14ac:dyDescent="0.35">
      <c r="A20085" s="27" t="s">
        <v>231</v>
      </c>
      <c r="B20085" s="27" t="s">
        <v>256</v>
      </c>
      <c r="C20085" s="28">
        <v>1</v>
      </c>
      <c r="D20085" s="29"/>
      <c r="E20085" s="29"/>
      <c r="F20085" s="29"/>
      <c r="G20085" s="29"/>
      <c r="H20085" s="29"/>
      <c r="I20085" s="29" t="s">
        <v>336</v>
      </c>
    </row>
    <row r="20086" spans="1:18" x14ac:dyDescent="0.35">
      <c r="A20086" t="s">
        <v>232</v>
      </c>
      <c r="B20086" t="s">
        <v>232</v>
      </c>
      <c r="C20086" s="26">
        <v>0.80640000000000001</v>
      </c>
      <c r="D20086" s="26">
        <v>7.3800000000000004E-2</v>
      </c>
      <c r="E20086" s="26">
        <v>6.0299999999999999E-2</v>
      </c>
      <c r="F20086" s="26">
        <v>3.9899999999999998E-2</v>
      </c>
      <c r="G20086" s="26">
        <v>1.8599999999999998E-2</v>
      </c>
      <c r="H20086" s="26">
        <v>1E-3</v>
      </c>
      <c r="I20086">
        <v>2813</v>
      </c>
    </row>
    <row r="20088" spans="1:18" x14ac:dyDescent="0.35">
      <c r="A20088" s="1" t="s">
        <v>1987</v>
      </c>
    </row>
    <row r="20089" spans="1:18" x14ac:dyDescent="0.35">
      <c r="A20089" t="s">
        <v>219</v>
      </c>
      <c r="B20089" t="s">
        <v>1988</v>
      </c>
      <c r="C20089" t="s">
        <v>1989</v>
      </c>
      <c r="D20089" t="s">
        <v>1990</v>
      </c>
      <c r="E20089" t="s">
        <v>1991</v>
      </c>
      <c r="F20089" t="s">
        <v>1992</v>
      </c>
      <c r="G20089" t="s">
        <v>1993</v>
      </c>
      <c r="H20089" t="s">
        <v>1994</v>
      </c>
      <c r="I20089" t="s">
        <v>1995</v>
      </c>
      <c r="J20089" t="s">
        <v>1996</v>
      </c>
      <c r="K20089" t="s">
        <v>1997</v>
      </c>
      <c r="L20089" t="s">
        <v>1998</v>
      </c>
      <c r="M20089" t="s">
        <v>1999</v>
      </c>
      <c r="N20089" t="s">
        <v>281</v>
      </c>
      <c r="O20089" t="s">
        <v>2000</v>
      </c>
      <c r="P20089" t="s">
        <v>286</v>
      </c>
      <c r="Q20089" t="s">
        <v>2001</v>
      </c>
      <c r="R20089" t="s">
        <v>226</v>
      </c>
    </row>
    <row r="20090" spans="1:18" x14ac:dyDescent="0.35">
      <c r="A20090" t="s">
        <v>227</v>
      </c>
      <c r="B20090" s="26">
        <v>0.39129999999999998</v>
      </c>
      <c r="C20090" s="26">
        <v>0.24840000000000001</v>
      </c>
      <c r="D20090" s="26">
        <v>0.16769999999999999</v>
      </c>
      <c r="E20090" s="26">
        <v>9.9400000000000002E-2</v>
      </c>
      <c r="F20090" s="26">
        <v>4.9700000000000001E-2</v>
      </c>
      <c r="G20090" s="26">
        <v>1.24E-2</v>
      </c>
      <c r="H20090" s="26">
        <v>1.24E-2</v>
      </c>
      <c r="I20090" s="26">
        <v>1.24E-2</v>
      </c>
      <c r="N20090" s="26">
        <v>6.1999999999999998E-3</v>
      </c>
      <c r="R20090">
        <v>161</v>
      </c>
    </row>
    <row r="20091" spans="1:18" x14ac:dyDescent="0.35">
      <c r="A20091" t="s">
        <v>228</v>
      </c>
      <c r="B20091" s="26">
        <v>0.35599999999999998</v>
      </c>
      <c r="C20091" s="26">
        <v>0.27450000000000002</v>
      </c>
      <c r="D20091" s="26">
        <v>0.2092</v>
      </c>
      <c r="E20091" s="26">
        <v>3.1300000000000001E-2</v>
      </c>
      <c r="F20091" s="26">
        <v>3.3500000000000002E-2</v>
      </c>
      <c r="G20091" s="26">
        <v>5.5399999999999998E-2</v>
      </c>
      <c r="H20091" s="26">
        <v>1.6E-2</v>
      </c>
      <c r="I20091" s="26">
        <v>5.8999999999999999E-3</v>
      </c>
      <c r="J20091" s="26">
        <v>8.8999999999999999E-3</v>
      </c>
      <c r="K20091" s="26">
        <v>3.0000000000000001E-3</v>
      </c>
      <c r="L20091" s="26">
        <v>3.2000000000000002E-3</v>
      </c>
      <c r="N20091" s="26">
        <v>1.1999999999999999E-3</v>
      </c>
      <c r="O20091" s="26">
        <v>1.6999999999999999E-3</v>
      </c>
      <c r="R20091">
        <v>1033</v>
      </c>
    </row>
    <row r="20092" spans="1:18" x14ac:dyDescent="0.35">
      <c r="A20092" t="s">
        <v>229</v>
      </c>
      <c r="B20092" s="26">
        <v>0.3679</v>
      </c>
      <c r="C20092" s="26">
        <v>0.23749999999999999</v>
      </c>
      <c r="D20092" s="26">
        <v>0.1777</v>
      </c>
      <c r="E20092" s="26">
        <v>6.9099999999999995E-2</v>
      </c>
      <c r="F20092" s="26">
        <v>6.1400000000000003E-2</v>
      </c>
      <c r="G20092" s="26">
        <v>1.78E-2</v>
      </c>
      <c r="H20092" s="26">
        <v>1.4200000000000001E-2</v>
      </c>
      <c r="I20092" s="26">
        <v>1.44E-2</v>
      </c>
      <c r="J20092" s="26">
        <v>2.2700000000000001E-2</v>
      </c>
      <c r="K20092" s="26">
        <v>6.0000000000000001E-3</v>
      </c>
      <c r="L20092" s="26">
        <v>5.0000000000000001E-3</v>
      </c>
      <c r="M20092" s="26">
        <v>5.0000000000000001E-3</v>
      </c>
      <c r="O20092" s="26">
        <v>2.9999999999999997E-4</v>
      </c>
      <c r="P20092" s="26">
        <v>1E-3</v>
      </c>
      <c r="R20092">
        <v>895</v>
      </c>
    </row>
    <row r="20093" spans="1:18" x14ac:dyDescent="0.35">
      <c r="A20093" t="s">
        <v>230</v>
      </c>
      <c r="B20093" s="26">
        <v>0.51880000000000004</v>
      </c>
      <c r="C20093" s="26">
        <v>0.17319999999999999</v>
      </c>
      <c r="D20093" s="26">
        <v>8.6800000000000002E-2</v>
      </c>
      <c r="E20093" s="26">
        <v>2.5999999999999999E-2</v>
      </c>
      <c r="F20093" s="26">
        <v>3.85E-2</v>
      </c>
      <c r="G20093" s="26">
        <v>2.01E-2</v>
      </c>
      <c r="H20093" s="26">
        <v>7.4499999999999997E-2</v>
      </c>
      <c r="I20093" s="26">
        <v>1.7100000000000001E-2</v>
      </c>
      <c r="J20093" s="26">
        <v>2.06E-2</v>
      </c>
      <c r="K20093" s="26">
        <v>2.18E-2</v>
      </c>
      <c r="L20093" s="26">
        <v>8.9999999999999998E-4</v>
      </c>
      <c r="N20093" s="26">
        <v>8.9999999999999998E-4</v>
      </c>
      <c r="Q20093" s="26">
        <v>8.9999999999999998E-4</v>
      </c>
      <c r="R20093">
        <v>559</v>
      </c>
    </row>
    <row r="20094" spans="1:18" x14ac:dyDescent="0.35">
      <c r="A20094" t="s">
        <v>231</v>
      </c>
      <c r="B20094" s="26">
        <v>0.45119999999999999</v>
      </c>
      <c r="C20094" s="26">
        <v>0.23169999999999999</v>
      </c>
      <c r="D20094" s="26">
        <v>6.0999999999999999E-2</v>
      </c>
      <c r="E20094" s="26">
        <v>0.128</v>
      </c>
      <c r="F20094" s="26">
        <v>5.4899999999999997E-2</v>
      </c>
      <c r="G20094" s="26">
        <v>1.83E-2</v>
      </c>
      <c r="H20094" s="26">
        <v>1.83E-2</v>
      </c>
      <c r="I20094" s="26">
        <v>3.0499999999999999E-2</v>
      </c>
      <c r="L20094" s="26">
        <v>6.1000000000000004E-3</v>
      </c>
      <c r="R20094">
        <v>164</v>
      </c>
    </row>
    <row r="20095" spans="1:18" x14ac:dyDescent="0.35">
      <c r="A20095" t="s">
        <v>232</v>
      </c>
      <c r="B20095" s="26">
        <v>0.40639999999999998</v>
      </c>
      <c r="C20095" s="26">
        <v>0.23860000000000001</v>
      </c>
      <c r="D20095" s="26">
        <v>0.1416</v>
      </c>
      <c r="E20095" s="26">
        <v>7.8399999999999997E-2</v>
      </c>
      <c r="F20095" s="26">
        <v>5.0200000000000002E-2</v>
      </c>
      <c r="G20095" s="26">
        <v>2.46E-2</v>
      </c>
      <c r="H20095" s="26">
        <v>2.12E-2</v>
      </c>
      <c r="I20095" s="26">
        <v>1.7100000000000001E-2</v>
      </c>
      <c r="J20095" s="26">
        <v>1.0200000000000001E-2</v>
      </c>
      <c r="K20095" s="26">
        <v>4.4000000000000003E-3</v>
      </c>
      <c r="L20095" s="26">
        <v>3.8E-3</v>
      </c>
      <c r="M20095" s="26">
        <v>1.4E-3</v>
      </c>
      <c r="N20095" s="26">
        <v>1.2999999999999999E-3</v>
      </c>
      <c r="O20095" s="26">
        <v>4.0000000000000002E-4</v>
      </c>
      <c r="P20095" s="26">
        <v>2.9999999999999997E-4</v>
      </c>
      <c r="Q20095" s="26">
        <v>1E-4</v>
      </c>
      <c r="R20095">
        <v>2812</v>
      </c>
    </row>
    <row r="20097" spans="1:19" x14ac:dyDescent="0.35">
      <c r="A20097" s="1" t="s">
        <v>2002</v>
      </c>
    </row>
    <row r="20098" spans="1:19" x14ac:dyDescent="0.35">
      <c r="A20098" t="s">
        <v>219</v>
      </c>
      <c r="B20098" t="s">
        <v>305</v>
      </c>
      <c r="C20098" t="s">
        <v>1988</v>
      </c>
      <c r="D20098" t="s">
        <v>1989</v>
      </c>
      <c r="E20098" t="s">
        <v>1990</v>
      </c>
      <c r="F20098" t="s">
        <v>1991</v>
      </c>
      <c r="G20098" t="s">
        <v>1992</v>
      </c>
      <c r="H20098" t="s">
        <v>1993</v>
      </c>
      <c r="I20098" t="s">
        <v>1994</v>
      </c>
      <c r="J20098" t="s">
        <v>1995</v>
      </c>
      <c r="K20098" t="s">
        <v>1996</v>
      </c>
      <c r="L20098" t="s">
        <v>1997</v>
      </c>
      <c r="M20098" t="s">
        <v>1998</v>
      </c>
      <c r="N20098" t="s">
        <v>1999</v>
      </c>
      <c r="O20098" t="s">
        <v>281</v>
      </c>
      <c r="P20098" t="s">
        <v>2000</v>
      </c>
      <c r="Q20098" t="s">
        <v>286</v>
      </c>
      <c r="R20098" t="s">
        <v>2001</v>
      </c>
      <c r="S20098" t="s">
        <v>226</v>
      </c>
    </row>
    <row r="20099" spans="1:19" x14ac:dyDescent="0.35">
      <c r="A20099" t="s">
        <v>227</v>
      </c>
      <c r="B20099" t="s">
        <v>242</v>
      </c>
      <c r="C20099" s="26">
        <v>0.32350000000000001</v>
      </c>
      <c r="D20099" s="26">
        <v>0.29409999999999997</v>
      </c>
      <c r="E20099" s="26">
        <v>0.17649999999999999</v>
      </c>
      <c r="F20099" s="26">
        <v>7.3499999999999996E-2</v>
      </c>
      <c r="G20099" s="26">
        <v>5.8799999999999998E-2</v>
      </c>
      <c r="H20099" s="26">
        <v>1.47E-2</v>
      </c>
      <c r="I20099" s="26">
        <v>2.9399999999999999E-2</v>
      </c>
      <c r="J20099" s="26">
        <v>1.47E-2</v>
      </c>
      <c r="O20099" s="26">
        <v>1.47E-2</v>
      </c>
      <c r="S20099">
        <v>68</v>
      </c>
    </row>
    <row r="20100" spans="1:19" x14ac:dyDescent="0.35">
      <c r="A20100" t="s">
        <v>227</v>
      </c>
      <c r="B20100" t="s">
        <v>241</v>
      </c>
      <c r="C20100" s="26">
        <v>0.44090000000000001</v>
      </c>
      <c r="D20100" s="26">
        <v>0.21510000000000001</v>
      </c>
      <c r="E20100" s="26">
        <v>0.1613</v>
      </c>
      <c r="F20100" s="26">
        <v>0.1183</v>
      </c>
      <c r="G20100" s="26">
        <v>4.2999999999999997E-2</v>
      </c>
      <c r="H20100" s="26">
        <v>1.0800000000000001E-2</v>
      </c>
      <c r="J20100" s="26">
        <v>1.0800000000000001E-2</v>
      </c>
      <c r="S20100">
        <v>93</v>
      </c>
    </row>
    <row r="20101" spans="1:19" x14ac:dyDescent="0.35">
      <c r="A20101" t="s">
        <v>228</v>
      </c>
      <c r="B20101" t="s">
        <v>242</v>
      </c>
      <c r="C20101" s="26">
        <v>0.35809999999999997</v>
      </c>
      <c r="D20101" s="26">
        <v>0.24129999999999999</v>
      </c>
      <c r="E20101" s="26">
        <v>0.20069999999999999</v>
      </c>
      <c r="F20101" s="26">
        <v>4.7300000000000002E-2</v>
      </c>
      <c r="G20101" s="26">
        <v>4.0899999999999999E-2</v>
      </c>
      <c r="H20101" s="26">
        <v>5.5399999999999998E-2</v>
      </c>
      <c r="I20101" s="26">
        <v>1.7600000000000001E-2</v>
      </c>
      <c r="J20101" s="26">
        <v>1.3599999999999999E-2</v>
      </c>
      <c r="K20101" s="26">
        <v>1.37E-2</v>
      </c>
      <c r="L20101" s="26">
        <v>8.2000000000000007E-3</v>
      </c>
      <c r="O20101" s="26">
        <v>3.2000000000000002E-3</v>
      </c>
      <c r="S20101">
        <v>402</v>
      </c>
    </row>
    <row r="20102" spans="1:19" x14ac:dyDescent="0.35">
      <c r="A20102" t="s">
        <v>228</v>
      </c>
      <c r="B20102" t="s">
        <v>241</v>
      </c>
      <c r="C20102" s="26">
        <v>0.3548</v>
      </c>
      <c r="D20102" s="26">
        <v>0.29349999999999998</v>
      </c>
      <c r="E20102" s="26">
        <v>0.21410000000000001</v>
      </c>
      <c r="F20102" s="26">
        <v>2.2200000000000001E-2</v>
      </c>
      <c r="G20102" s="26">
        <v>2.93E-2</v>
      </c>
      <c r="H20102" s="26">
        <v>5.5399999999999998E-2</v>
      </c>
      <c r="I20102" s="26">
        <v>1.5100000000000001E-2</v>
      </c>
      <c r="J20102" s="26">
        <v>1.5E-3</v>
      </c>
      <c r="K20102" s="26">
        <v>6.1999999999999998E-3</v>
      </c>
      <c r="M20102" s="26">
        <v>5.1000000000000004E-3</v>
      </c>
      <c r="P20102" s="26">
        <v>2.7000000000000001E-3</v>
      </c>
      <c r="S20102">
        <v>631</v>
      </c>
    </row>
    <row r="20103" spans="1:19" x14ac:dyDescent="0.35">
      <c r="A20103" t="s">
        <v>229</v>
      </c>
      <c r="B20103" t="s">
        <v>242</v>
      </c>
      <c r="C20103" s="26">
        <v>0.38159999999999999</v>
      </c>
      <c r="D20103" s="26">
        <v>0.2301</v>
      </c>
      <c r="E20103" s="26">
        <v>0.15540000000000001</v>
      </c>
      <c r="F20103" s="26">
        <v>9.2399999999999996E-2</v>
      </c>
      <c r="G20103" s="26">
        <v>4.8500000000000001E-2</v>
      </c>
      <c r="H20103" s="26">
        <v>1.4999999999999999E-2</v>
      </c>
      <c r="I20103" s="26">
        <v>9.7000000000000003E-3</v>
      </c>
      <c r="J20103" s="26">
        <v>1.3100000000000001E-2</v>
      </c>
      <c r="K20103" s="26">
        <v>2.2200000000000001E-2</v>
      </c>
      <c r="L20103" s="26">
        <v>6.4000000000000003E-3</v>
      </c>
      <c r="M20103" s="26">
        <v>1.2800000000000001E-2</v>
      </c>
      <c r="N20103" s="26">
        <v>1.2800000000000001E-2</v>
      </c>
      <c r="S20103">
        <v>292</v>
      </c>
    </row>
    <row r="20104" spans="1:19" x14ac:dyDescent="0.35">
      <c r="A20104" t="s">
        <v>229</v>
      </c>
      <c r="B20104" t="s">
        <v>241</v>
      </c>
      <c r="C20104" s="26">
        <v>0.35909999999999997</v>
      </c>
      <c r="D20104" s="26">
        <v>0.24229999999999999</v>
      </c>
      <c r="E20104" s="26">
        <v>0.19189999999999999</v>
      </c>
      <c r="F20104" s="26">
        <v>5.4199999999999998E-2</v>
      </c>
      <c r="G20104" s="26">
        <v>6.9599999999999995E-2</v>
      </c>
      <c r="H20104" s="26">
        <v>1.9699999999999999E-2</v>
      </c>
      <c r="I20104" s="26">
        <v>1.7100000000000001E-2</v>
      </c>
      <c r="J20104" s="26">
        <v>1.52E-2</v>
      </c>
      <c r="K20104" s="26">
        <v>2.3E-2</v>
      </c>
      <c r="L20104" s="26">
        <v>5.7000000000000002E-3</v>
      </c>
      <c r="P20104" s="26">
        <v>5.0000000000000001E-4</v>
      </c>
      <c r="Q20104" s="26">
        <v>1.6000000000000001E-3</v>
      </c>
      <c r="S20104">
        <v>603</v>
      </c>
    </row>
    <row r="20105" spans="1:19" x14ac:dyDescent="0.35">
      <c r="A20105" t="s">
        <v>230</v>
      </c>
      <c r="B20105" t="s">
        <v>242</v>
      </c>
      <c r="C20105" s="26">
        <v>0.4879</v>
      </c>
      <c r="D20105" s="26">
        <v>0.23250000000000001</v>
      </c>
      <c r="E20105" s="26">
        <v>7.0000000000000007E-2</v>
      </c>
      <c r="F20105" s="26">
        <v>2.0199999999999999E-2</v>
      </c>
      <c r="G20105" s="26">
        <v>1.8499999999999999E-2</v>
      </c>
      <c r="H20105" s="26">
        <v>2.8000000000000001E-2</v>
      </c>
      <c r="I20105" s="26">
        <v>5.0999999999999997E-2</v>
      </c>
      <c r="J20105" s="26">
        <v>1.8599999999999998E-2</v>
      </c>
      <c r="K20105" s="26">
        <v>2.92E-2</v>
      </c>
      <c r="L20105" s="26">
        <v>3.8800000000000001E-2</v>
      </c>
      <c r="M20105" s="26">
        <v>2.7000000000000001E-3</v>
      </c>
      <c r="R20105" s="26">
        <v>2.5999999999999999E-3</v>
      </c>
      <c r="S20105">
        <v>189</v>
      </c>
    </row>
    <row r="20106" spans="1:19" x14ac:dyDescent="0.35">
      <c r="A20106" t="s">
        <v>230</v>
      </c>
      <c r="B20106" t="s">
        <v>241</v>
      </c>
      <c r="C20106" s="26">
        <v>0.53459999999999996</v>
      </c>
      <c r="D20106" s="26">
        <v>0.1429</v>
      </c>
      <c r="E20106" s="26">
        <v>9.5399999999999999E-2</v>
      </c>
      <c r="F20106" s="26">
        <v>2.9000000000000001E-2</v>
      </c>
      <c r="G20106" s="26">
        <v>4.87E-2</v>
      </c>
      <c r="H20106" s="26">
        <v>1.61E-2</v>
      </c>
      <c r="I20106" s="26">
        <v>8.6499999999999994E-2</v>
      </c>
      <c r="J20106" s="26">
        <v>1.6299999999999999E-2</v>
      </c>
      <c r="K20106" s="26">
        <v>1.6199999999999999E-2</v>
      </c>
      <c r="L20106" s="26">
        <v>1.3100000000000001E-2</v>
      </c>
      <c r="O20106" s="26">
        <v>1.4E-3</v>
      </c>
      <c r="S20106">
        <v>370</v>
      </c>
    </row>
    <row r="20107" spans="1:19" x14ac:dyDescent="0.35">
      <c r="A20107" t="s">
        <v>231</v>
      </c>
      <c r="B20107" t="s">
        <v>242</v>
      </c>
      <c r="C20107" s="26">
        <v>0.46300000000000002</v>
      </c>
      <c r="D20107" s="26">
        <v>0.16669999999999999</v>
      </c>
      <c r="E20107" s="26">
        <v>5.5599999999999997E-2</v>
      </c>
      <c r="F20107" s="26">
        <v>0.16669999999999999</v>
      </c>
      <c r="G20107" s="26">
        <v>5.5599999999999997E-2</v>
      </c>
      <c r="H20107" s="26">
        <v>1.8499999999999999E-2</v>
      </c>
      <c r="I20107" s="26">
        <v>3.6999999999999998E-2</v>
      </c>
      <c r="J20107" s="26">
        <v>3.6999999999999998E-2</v>
      </c>
      <c r="S20107">
        <v>54</v>
      </c>
    </row>
    <row r="20108" spans="1:19" x14ac:dyDescent="0.35">
      <c r="A20108" t="s">
        <v>231</v>
      </c>
      <c r="B20108" t="s">
        <v>241</v>
      </c>
      <c r="C20108" s="26">
        <v>0.44550000000000001</v>
      </c>
      <c r="D20108" s="26">
        <v>0.2636</v>
      </c>
      <c r="E20108" s="26">
        <v>6.3600000000000004E-2</v>
      </c>
      <c r="F20108" s="26">
        <v>0.1091</v>
      </c>
      <c r="G20108" s="26">
        <v>5.45E-2</v>
      </c>
      <c r="H20108" s="26">
        <v>1.8200000000000001E-2</v>
      </c>
      <c r="I20108" s="26">
        <v>9.1000000000000004E-3</v>
      </c>
      <c r="J20108" s="26">
        <v>2.7300000000000001E-2</v>
      </c>
      <c r="M20108" s="26">
        <v>9.1000000000000004E-3</v>
      </c>
      <c r="S20108">
        <v>110</v>
      </c>
    </row>
    <row r="20109" spans="1:19" x14ac:dyDescent="0.35">
      <c r="A20109" t="s">
        <v>232</v>
      </c>
      <c r="B20109" t="s">
        <v>232</v>
      </c>
      <c r="C20109" s="26">
        <v>0.40639999999999998</v>
      </c>
      <c r="D20109" s="26">
        <v>0.23860000000000001</v>
      </c>
      <c r="E20109" s="26">
        <v>0.1416</v>
      </c>
      <c r="F20109" s="26">
        <v>7.8399999999999997E-2</v>
      </c>
      <c r="G20109" s="26">
        <v>5.0200000000000002E-2</v>
      </c>
      <c r="H20109" s="26">
        <v>2.46E-2</v>
      </c>
      <c r="I20109" s="26">
        <v>2.12E-2</v>
      </c>
      <c r="J20109" s="26">
        <v>1.7100000000000001E-2</v>
      </c>
      <c r="K20109" s="26">
        <v>1.0200000000000001E-2</v>
      </c>
      <c r="L20109" s="26">
        <v>4.4000000000000003E-3</v>
      </c>
      <c r="M20109" s="26">
        <v>3.8E-3</v>
      </c>
      <c r="N20109" s="26">
        <v>1.4E-3</v>
      </c>
      <c r="O20109" s="26">
        <v>1.2999999999999999E-3</v>
      </c>
      <c r="P20109" s="26">
        <v>4.0000000000000002E-4</v>
      </c>
      <c r="Q20109" s="26">
        <v>2.9999999999999997E-4</v>
      </c>
      <c r="R20109" s="26">
        <v>1E-4</v>
      </c>
      <c r="S20109">
        <v>2812</v>
      </c>
    </row>
    <row r="20111" spans="1:19" x14ac:dyDescent="0.35">
      <c r="A20111" s="1" t="s">
        <v>2003</v>
      </c>
    </row>
    <row r="20112" spans="1:19" x14ac:dyDescent="0.35">
      <c r="A20112" t="s">
        <v>219</v>
      </c>
      <c r="B20112" t="s">
        <v>305</v>
      </c>
      <c r="C20112" t="s">
        <v>1988</v>
      </c>
      <c r="D20112" t="s">
        <v>1989</v>
      </c>
      <c r="E20112" t="s">
        <v>1990</v>
      </c>
      <c r="F20112" t="s">
        <v>1991</v>
      </c>
      <c r="G20112" t="s">
        <v>1992</v>
      </c>
      <c r="H20112" t="s">
        <v>1993</v>
      </c>
      <c r="I20112" t="s">
        <v>1994</v>
      </c>
      <c r="J20112" t="s">
        <v>1995</v>
      </c>
      <c r="K20112" t="s">
        <v>1996</v>
      </c>
      <c r="L20112" t="s">
        <v>1997</v>
      </c>
      <c r="M20112" t="s">
        <v>1998</v>
      </c>
      <c r="N20112" t="s">
        <v>1999</v>
      </c>
      <c r="O20112" t="s">
        <v>281</v>
      </c>
      <c r="P20112" t="s">
        <v>2000</v>
      </c>
      <c r="Q20112" t="s">
        <v>286</v>
      </c>
      <c r="R20112" t="s">
        <v>2001</v>
      </c>
      <c r="S20112" t="s">
        <v>226</v>
      </c>
    </row>
    <row r="20113" spans="1:19" x14ac:dyDescent="0.35">
      <c r="A20113" t="s">
        <v>227</v>
      </c>
      <c r="B20113" t="s">
        <v>239</v>
      </c>
      <c r="C20113" s="26">
        <v>0.4355</v>
      </c>
      <c r="D20113" s="26">
        <v>0.19350000000000001</v>
      </c>
      <c r="E20113" s="26">
        <v>4.8399999999999999E-2</v>
      </c>
      <c r="F20113" s="26">
        <v>0.1613</v>
      </c>
      <c r="G20113" s="26">
        <v>9.6799999999999997E-2</v>
      </c>
      <c r="I20113" s="26">
        <v>1.61E-2</v>
      </c>
      <c r="J20113" s="26">
        <v>3.2300000000000002E-2</v>
      </c>
      <c r="O20113" s="26">
        <v>1.61E-2</v>
      </c>
      <c r="S20113">
        <v>62</v>
      </c>
    </row>
    <row r="20114" spans="1:19" x14ac:dyDescent="0.35">
      <c r="A20114" t="s">
        <v>227</v>
      </c>
      <c r="B20114" t="s">
        <v>238</v>
      </c>
      <c r="C20114" s="26">
        <v>0.36359999999999998</v>
      </c>
      <c r="D20114" s="26">
        <v>0.2828</v>
      </c>
      <c r="E20114" s="26">
        <v>0.2424</v>
      </c>
      <c r="F20114" s="26">
        <v>6.0600000000000001E-2</v>
      </c>
      <c r="G20114" s="26">
        <v>2.0199999999999999E-2</v>
      </c>
      <c r="H20114" s="26">
        <v>2.0199999999999999E-2</v>
      </c>
      <c r="I20114" s="26">
        <v>1.01E-2</v>
      </c>
      <c r="S20114">
        <v>99</v>
      </c>
    </row>
    <row r="20115" spans="1:19" x14ac:dyDescent="0.35">
      <c r="A20115" t="s">
        <v>228</v>
      </c>
      <c r="B20115" t="s">
        <v>239</v>
      </c>
      <c r="C20115" s="26">
        <v>0.37180000000000002</v>
      </c>
      <c r="D20115" s="26">
        <v>0.19819999999999999</v>
      </c>
      <c r="E20115" s="26">
        <v>9.8000000000000004E-2</v>
      </c>
      <c r="F20115" s="26">
        <v>9.7900000000000001E-2</v>
      </c>
      <c r="G20115" s="26">
        <v>0.1014</v>
      </c>
      <c r="H20115" s="26">
        <v>8.4500000000000006E-2</v>
      </c>
      <c r="I20115" s="26">
        <v>1.95E-2</v>
      </c>
      <c r="J20115" s="26">
        <v>7.6E-3</v>
      </c>
      <c r="K20115" s="26">
        <v>8.5000000000000006E-3</v>
      </c>
      <c r="L20115" s="26">
        <v>5.7000000000000002E-3</v>
      </c>
      <c r="M20115" s="26">
        <v>4.4000000000000003E-3</v>
      </c>
      <c r="P20115" s="26">
        <v>2.7000000000000001E-3</v>
      </c>
      <c r="S20115">
        <v>330</v>
      </c>
    </row>
    <row r="20116" spans="1:19" x14ac:dyDescent="0.35">
      <c r="A20116" t="s">
        <v>228</v>
      </c>
      <c r="B20116" t="s">
        <v>238</v>
      </c>
      <c r="C20116" s="26">
        <v>0.35189999999999999</v>
      </c>
      <c r="D20116" s="26">
        <v>0.2944</v>
      </c>
      <c r="E20116" s="26">
        <v>0.2382</v>
      </c>
      <c r="F20116" s="26">
        <v>1.4E-2</v>
      </c>
      <c r="G20116" s="26">
        <v>1.5900000000000001E-2</v>
      </c>
      <c r="H20116" s="26">
        <v>4.7800000000000002E-2</v>
      </c>
      <c r="I20116" s="26">
        <v>1.5100000000000001E-2</v>
      </c>
      <c r="J20116" s="26">
        <v>5.4999999999999997E-3</v>
      </c>
      <c r="K20116" s="26">
        <v>8.9999999999999993E-3</v>
      </c>
      <c r="L20116" s="26">
        <v>2.3E-3</v>
      </c>
      <c r="M20116" s="26">
        <v>2.8999999999999998E-3</v>
      </c>
      <c r="O20116" s="26">
        <v>1.5E-3</v>
      </c>
      <c r="P20116" s="26">
        <v>1.5E-3</v>
      </c>
      <c r="S20116">
        <v>703</v>
      </c>
    </row>
    <row r="20117" spans="1:19" x14ac:dyDescent="0.35">
      <c r="A20117" t="s">
        <v>229</v>
      </c>
      <c r="B20117" t="s">
        <v>239</v>
      </c>
      <c r="C20117" s="26">
        <v>0.36499999999999999</v>
      </c>
      <c r="D20117" s="26">
        <v>0.1419</v>
      </c>
      <c r="E20117" s="26">
        <v>5.74E-2</v>
      </c>
      <c r="F20117" s="26">
        <v>0.1928</v>
      </c>
      <c r="G20117" s="26">
        <v>0.13500000000000001</v>
      </c>
      <c r="H20117" s="26">
        <v>1.12E-2</v>
      </c>
      <c r="I20117" s="26">
        <v>5.1000000000000004E-3</v>
      </c>
      <c r="J20117" s="26">
        <v>3.6400000000000002E-2</v>
      </c>
      <c r="K20117" s="26">
        <v>1.9699999999999999E-2</v>
      </c>
      <c r="L20117" s="26">
        <v>2E-3</v>
      </c>
      <c r="M20117" s="26">
        <v>1.9699999999999999E-2</v>
      </c>
      <c r="N20117" s="26">
        <v>9.7999999999999997E-3</v>
      </c>
      <c r="P20117" s="26">
        <v>1.2999999999999999E-3</v>
      </c>
      <c r="Q20117" s="26">
        <v>2.5999999999999999E-3</v>
      </c>
      <c r="S20117">
        <v>332</v>
      </c>
    </row>
    <row r="20118" spans="1:19" x14ac:dyDescent="0.35">
      <c r="A20118" t="s">
        <v>229</v>
      </c>
      <c r="B20118" t="s">
        <v>238</v>
      </c>
      <c r="C20118" s="26">
        <v>0.36880000000000002</v>
      </c>
      <c r="D20118" s="26">
        <v>0.27010000000000001</v>
      </c>
      <c r="E20118" s="26">
        <v>0.21870000000000001</v>
      </c>
      <c r="F20118" s="26">
        <v>2.69E-2</v>
      </c>
      <c r="G20118" s="26">
        <v>3.6200000000000003E-2</v>
      </c>
      <c r="H20118" s="26">
        <v>2.01E-2</v>
      </c>
      <c r="I20118" s="26">
        <v>1.7299999999999999E-2</v>
      </c>
      <c r="J20118" s="26">
        <v>6.8999999999999999E-3</v>
      </c>
      <c r="K20118" s="26">
        <v>2.3699999999999999E-2</v>
      </c>
      <c r="L20118" s="26">
        <v>7.4000000000000003E-3</v>
      </c>
      <c r="N20118" s="26">
        <v>3.3999999999999998E-3</v>
      </c>
      <c r="Q20118" s="26">
        <v>4.0000000000000002E-4</v>
      </c>
      <c r="S20118">
        <v>563</v>
      </c>
    </row>
    <row r="20119" spans="1:19" x14ac:dyDescent="0.35">
      <c r="A20119" t="s">
        <v>230</v>
      </c>
      <c r="B20119" t="s">
        <v>239</v>
      </c>
      <c r="C20119" s="26">
        <v>0.53120000000000001</v>
      </c>
      <c r="D20119" s="26">
        <v>0.1154</v>
      </c>
      <c r="E20119" s="26">
        <v>6.1100000000000002E-2</v>
      </c>
      <c r="F20119" s="26">
        <v>6.6699999999999995E-2</v>
      </c>
      <c r="G20119" s="26">
        <v>3.5499999999999997E-2</v>
      </c>
      <c r="H20119" s="26">
        <v>3.4500000000000003E-2</v>
      </c>
      <c r="I20119" s="26">
        <v>4.7300000000000002E-2</v>
      </c>
      <c r="J20119" s="26">
        <v>2.0899999999999998E-2</v>
      </c>
      <c r="K20119" s="26">
        <v>1.2E-2</v>
      </c>
      <c r="L20119" s="26">
        <v>7.2300000000000003E-2</v>
      </c>
      <c r="M20119" s="26">
        <v>3.0000000000000001E-3</v>
      </c>
      <c r="S20119">
        <v>211</v>
      </c>
    </row>
    <row r="20120" spans="1:19" x14ac:dyDescent="0.35">
      <c r="A20120" t="s">
        <v>230</v>
      </c>
      <c r="B20120" t="s">
        <v>238</v>
      </c>
      <c r="C20120" s="26">
        <v>0.51339999999999997</v>
      </c>
      <c r="D20120" s="26">
        <v>0.1981</v>
      </c>
      <c r="E20120" s="26">
        <v>9.7900000000000001E-2</v>
      </c>
      <c r="F20120" s="26">
        <v>8.5000000000000006E-3</v>
      </c>
      <c r="G20120" s="26">
        <v>3.9800000000000002E-2</v>
      </c>
      <c r="H20120" s="26">
        <v>1.3899999999999999E-2</v>
      </c>
      <c r="I20120" s="26">
        <v>8.6199999999999999E-2</v>
      </c>
      <c r="J20120" s="26">
        <v>1.54E-2</v>
      </c>
      <c r="K20120" s="26">
        <v>2.4299999999999999E-2</v>
      </c>
      <c r="O20120" s="26">
        <v>1.2999999999999999E-3</v>
      </c>
      <c r="R20120" s="26">
        <v>1.2999999999999999E-3</v>
      </c>
      <c r="S20120">
        <v>348</v>
      </c>
    </row>
    <row r="20121" spans="1:19" x14ac:dyDescent="0.35">
      <c r="A20121" t="s">
        <v>231</v>
      </c>
      <c r="B20121" t="s">
        <v>239</v>
      </c>
      <c r="C20121" s="26">
        <v>0.31580000000000003</v>
      </c>
      <c r="D20121" s="26">
        <v>0.1404</v>
      </c>
      <c r="E20121" s="26">
        <v>1.7500000000000002E-2</v>
      </c>
      <c r="F20121" s="26">
        <v>0.29820000000000002</v>
      </c>
      <c r="G20121" s="26">
        <v>8.77E-2</v>
      </c>
      <c r="I20121" s="26">
        <v>5.2600000000000001E-2</v>
      </c>
      <c r="J20121" s="26">
        <v>8.77E-2</v>
      </c>
      <c r="S20121">
        <v>57</v>
      </c>
    </row>
    <row r="20122" spans="1:19" x14ac:dyDescent="0.35">
      <c r="A20122" t="s">
        <v>231</v>
      </c>
      <c r="B20122" t="s">
        <v>238</v>
      </c>
      <c r="C20122" s="26">
        <v>0.52339999999999998</v>
      </c>
      <c r="D20122" s="26">
        <v>0.28039999999999998</v>
      </c>
      <c r="E20122" s="26">
        <v>8.4099999999999994E-2</v>
      </c>
      <c r="F20122" s="26">
        <v>3.7400000000000003E-2</v>
      </c>
      <c r="G20122" s="26">
        <v>3.7400000000000003E-2</v>
      </c>
      <c r="H20122" s="26">
        <v>2.8000000000000001E-2</v>
      </c>
      <c r="M20122" s="26">
        <v>9.2999999999999992E-3</v>
      </c>
      <c r="S20122">
        <v>107</v>
      </c>
    </row>
    <row r="20123" spans="1:19" x14ac:dyDescent="0.35">
      <c r="A20123" t="s">
        <v>232</v>
      </c>
      <c r="B20123" t="s">
        <v>232</v>
      </c>
      <c r="C20123" s="26">
        <v>0.40639999999999998</v>
      </c>
      <c r="D20123" s="26">
        <v>0.23860000000000001</v>
      </c>
      <c r="E20123" s="26">
        <v>0.1416</v>
      </c>
      <c r="F20123" s="26">
        <v>7.8399999999999997E-2</v>
      </c>
      <c r="G20123" s="26">
        <v>5.0200000000000002E-2</v>
      </c>
      <c r="H20123" s="26">
        <v>2.46E-2</v>
      </c>
      <c r="I20123" s="26">
        <v>2.12E-2</v>
      </c>
      <c r="J20123" s="26">
        <v>1.7100000000000001E-2</v>
      </c>
      <c r="K20123" s="26">
        <v>1.0200000000000001E-2</v>
      </c>
      <c r="L20123" s="26">
        <v>4.4000000000000003E-3</v>
      </c>
      <c r="M20123" s="26">
        <v>3.8E-3</v>
      </c>
      <c r="N20123" s="26">
        <v>1.4E-3</v>
      </c>
      <c r="O20123" s="26">
        <v>1.2999999999999999E-3</v>
      </c>
      <c r="P20123" s="26">
        <v>4.0000000000000002E-4</v>
      </c>
      <c r="Q20123" s="26">
        <v>2.9999999999999997E-4</v>
      </c>
      <c r="R20123" s="26">
        <v>1E-4</v>
      </c>
      <c r="S20123">
        <v>2812</v>
      </c>
    </row>
    <row r="20125" spans="1:19" x14ac:dyDescent="0.35">
      <c r="A20125" s="1" t="s">
        <v>2004</v>
      </c>
    </row>
    <row r="20126" spans="1:19" x14ac:dyDescent="0.35">
      <c r="A20126" t="s">
        <v>219</v>
      </c>
      <c r="B20126" t="s">
        <v>305</v>
      </c>
      <c r="C20126" t="s">
        <v>1988</v>
      </c>
      <c r="D20126" t="s">
        <v>1989</v>
      </c>
      <c r="E20126" t="s">
        <v>1990</v>
      </c>
      <c r="F20126" t="s">
        <v>1991</v>
      </c>
      <c r="G20126" t="s">
        <v>1992</v>
      </c>
      <c r="H20126" t="s">
        <v>1993</v>
      </c>
      <c r="I20126" t="s">
        <v>1994</v>
      </c>
      <c r="J20126" t="s">
        <v>1995</v>
      </c>
      <c r="K20126" t="s">
        <v>1996</v>
      </c>
      <c r="L20126" t="s">
        <v>1997</v>
      </c>
      <c r="M20126" t="s">
        <v>1998</v>
      </c>
      <c r="N20126" t="s">
        <v>1999</v>
      </c>
      <c r="O20126" t="s">
        <v>281</v>
      </c>
      <c r="P20126" t="s">
        <v>2000</v>
      </c>
      <c r="Q20126" t="s">
        <v>286</v>
      </c>
      <c r="R20126" t="s">
        <v>2001</v>
      </c>
      <c r="S20126" t="s">
        <v>226</v>
      </c>
    </row>
    <row r="20127" spans="1:19" x14ac:dyDescent="0.35">
      <c r="A20127" t="s">
        <v>227</v>
      </c>
      <c r="B20127" t="s">
        <v>244</v>
      </c>
      <c r="C20127" s="26">
        <v>0.36459999999999998</v>
      </c>
      <c r="D20127" s="26">
        <v>0.29170000000000001</v>
      </c>
      <c r="E20127" s="26">
        <v>0.19789999999999999</v>
      </c>
      <c r="F20127" s="26">
        <v>6.25E-2</v>
      </c>
      <c r="G20127" s="26">
        <v>4.1700000000000001E-2</v>
      </c>
      <c r="H20127" s="26">
        <v>1.04E-2</v>
      </c>
      <c r="J20127" s="26">
        <v>2.0799999999999999E-2</v>
      </c>
      <c r="O20127" s="26">
        <v>1.04E-2</v>
      </c>
      <c r="S20127">
        <v>96</v>
      </c>
    </row>
    <row r="20128" spans="1:19" x14ac:dyDescent="0.35">
      <c r="A20128" t="s">
        <v>227</v>
      </c>
      <c r="B20128" t="s">
        <v>245</v>
      </c>
      <c r="C20128" s="26">
        <v>0.434</v>
      </c>
      <c r="D20128" s="26">
        <v>0.16980000000000001</v>
      </c>
      <c r="E20128" s="26">
        <v>0.1321</v>
      </c>
      <c r="F20128" s="26">
        <v>0.16980000000000001</v>
      </c>
      <c r="G20128" s="26">
        <v>7.5499999999999998E-2</v>
      </c>
      <c r="I20128" s="26">
        <v>1.89E-2</v>
      </c>
      <c r="S20128">
        <v>53</v>
      </c>
    </row>
    <row r="20129" spans="1:19" x14ac:dyDescent="0.35">
      <c r="A20129" s="27" t="s">
        <v>227</v>
      </c>
      <c r="B20129" s="27" t="s">
        <v>246</v>
      </c>
      <c r="C20129" s="28">
        <v>0.41670000000000001</v>
      </c>
      <c r="D20129" s="28">
        <v>0.25</v>
      </c>
      <c r="E20129" s="28">
        <v>8.3299999999999999E-2</v>
      </c>
      <c r="F20129" s="28">
        <v>8.3299999999999999E-2</v>
      </c>
      <c r="G20129" s="29"/>
      <c r="H20129" s="28">
        <v>8.3299999999999999E-2</v>
      </c>
      <c r="I20129" s="28">
        <v>8.3299999999999999E-2</v>
      </c>
      <c r="J20129" s="29"/>
      <c r="K20129" s="29"/>
      <c r="L20129" s="29"/>
      <c r="M20129" s="29"/>
      <c r="N20129" s="29"/>
      <c r="O20129" s="29"/>
      <c r="P20129" s="29"/>
      <c r="Q20129" s="29"/>
      <c r="R20129" s="29"/>
      <c r="S20129" s="29" t="s">
        <v>342</v>
      </c>
    </row>
    <row r="20130" spans="1:19" x14ac:dyDescent="0.35">
      <c r="A20130" t="s">
        <v>228</v>
      </c>
      <c r="B20130" t="s">
        <v>244</v>
      </c>
      <c r="C20130" s="26">
        <v>0.3402</v>
      </c>
      <c r="D20130" s="26">
        <v>0.3009</v>
      </c>
      <c r="E20130" s="26">
        <v>0.20630000000000001</v>
      </c>
      <c r="F20130" s="26">
        <v>2.8799999999999999E-2</v>
      </c>
      <c r="G20130" s="26">
        <v>3.0300000000000001E-2</v>
      </c>
      <c r="H20130" s="26">
        <v>5.2600000000000001E-2</v>
      </c>
      <c r="I20130" s="26">
        <v>1.14E-2</v>
      </c>
      <c r="J20130" s="26">
        <v>8.6999999999999994E-3</v>
      </c>
      <c r="K20130" s="26">
        <v>1.2699999999999999E-2</v>
      </c>
      <c r="L20130" s="26">
        <v>1.9E-3</v>
      </c>
      <c r="M20130" s="26">
        <v>1.8E-3</v>
      </c>
      <c r="O20130" s="26">
        <v>1.8E-3</v>
      </c>
      <c r="P20130" s="26">
        <v>2.5999999999999999E-3</v>
      </c>
      <c r="S20130">
        <v>638</v>
      </c>
    </row>
    <row r="20131" spans="1:19" x14ac:dyDescent="0.35">
      <c r="A20131" t="s">
        <v>228</v>
      </c>
      <c r="B20131" t="s">
        <v>245</v>
      </c>
      <c r="C20131" s="26">
        <v>0.39510000000000001</v>
      </c>
      <c r="D20131" s="26">
        <v>0.23319999999999999</v>
      </c>
      <c r="E20131" s="26">
        <v>0.2162</v>
      </c>
      <c r="F20131" s="26">
        <v>4.2799999999999998E-2</v>
      </c>
      <c r="G20131" s="26">
        <v>3.2199999999999999E-2</v>
      </c>
      <c r="H20131" s="26">
        <v>4.2799999999999998E-2</v>
      </c>
      <c r="I20131" s="26">
        <v>2.4199999999999999E-2</v>
      </c>
      <c r="J20131" s="26">
        <v>8.9999999999999998E-4</v>
      </c>
      <c r="K20131" s="26">
        <v>8.9999999999999998E-4</v>
      </c>
      <c r="L20131" s="26">
        <v>6.3E-3</v>
      </c>
      <c r="M20131" s="26">
        <v>5.4999999999999997E-3</v>
      </c>
      <c r="S20131">
        <v>328</v>
      </c>
    </row>
    <row r="20132" spans="1:19" x14ac:dyDescent="0.35">
      <c r="A20132" t="s">
        <v>228</v>
      </c>
      <c r="B20132" t="s">
        <v>246</v>
      </c>
      <c r="C20132" s="26">
        <v>0.34860000000000002</v>
      </c>
      <c r="D20132" s="26">
        <v>0.19089999999999999</v>
      </c>
      <c r="E20132" s="26">
        <v>0.20810000000000001</v>
      </c>
      <c r="F20132" s="26">
        <v>8.8000000000000005E-3</v>
      </c>
      <c r="G20132" s="26">
        <v>6.9699999999999998E-2</v>
      </c>
      <c r="H20132" s="26">
        <v>0.13320000000000001</v>
      </c>
      <c r="I20132" s="26">
        <v>2.6599999999999999E-2</v>
      </c>
      <c r="K20132" s="26">
        <v>6.0000000000000001E-3</v>
      </c>
      <c r="M20132" s="26">
        <v>8.0000000000000002E-3</v>
      </c>
      <c r="S20132">
        <v>67</v>
      </c>
    </row>
    <row r="20133" spans="1:19" x14ac:dyDescent="0.35">
      <c r="A20133" t="s">
        <v>229</v>
      </c>
      <c r="B20133" t="s">
        <v>244</v>
      </c>
      <c r="C20133" s="26">
        <v>0.37490000000000001</v>
      </c>
      <c r="D20133" s="26">
        <v>0.2334</v>
      </c>
      <c r="E20133" s="26">
        <v>0.2024</v>
      </c>
      <c r="F20133" s="26">
        <v>6.7100000000000007E-2</v>
      </c>
      <c r="G20133" s="26">
        <v>4.6100000000000002E-2</v>
      </c>
      <c r="H20133" s="26">
        <v>1.66E-2</v>
      </c>
      <c r="I20133" s="26">
        <v>9.4999999999999998E-3</v>
      </c>
      <c r="J20133" s="26">
        <v>1.24E-2</v>
      </c>
      <c r="K20133" s="26">
        <v>1.32E-2</v>
      </c>
      <c r="L20133" s="26">
        <v>7.9000000000000008E-3</v>
      </c>
      <c r="M20133" s="26">
        <v>7.1999999999999998E-3</v>
      </c>
      <c r="N20133" s="26">
        <v>7.1999999999999998E-3</v>
      </c>
      <c r="P20133" s="26">
        <v>5.0000000000000001E-4</v>
      </c>
      <c r="Q20133" s="26">
        <v>1.4E-3</v>
      </c>
      <c r="S20133">
        <v>557</v>
      </c>
    </row>
    <row r="20134" spans="1:19" x14ac:dyDescent="0.35">
      <c r="A20134" t="s">
        <v>229</v>
      </c>
      <c r="B20134" t="s">
        <v>245</v>
      </c>
      <c r="C20134" s="26">
        <v>0.3644</v>
      </c>
      <c r="D20134" s="26">
        <v>0.2424</v>
      </c>
      <c r="E20134" s="26">
        <v>0.1225</v>
      </c>
      <c r="F20134" s="26">
        <v>7.7600000000000002E-2</v>
      </c>
      <c r="G20134" s="26">
        <v>8.2299999999999998E-2</v>
      </c>
      <c r="H20134" s="26">
        <v>2.4299999999999999E-2</v>
      </c>
      <c r="I20134" s="26">
        <v>2.81E-2</v>
      </c>
      <c r="J20134" s="26">
        <v>1.29E-2</v>
      </c>
      <c r="K20134" s="26">
        <v>4.3400000000000001E-2</v>
      </c>
      <c r="L20134" s="26">
        <v>2E-3</v>
      </c>
      <c r="S20134">
        <v>293</v>
      </c>
    </row>
    <row r="20135" spans="1:19" x14ac:dyDescent="0.35">
      <c r="A20135" t="s">
        <v>229</v>
      </c>
      <c r="B20135" t="s">
        <v>246</v>
      </c>
      <c r="C20135" s="26">
        <v>0.29239999999999999</v>
      </c>
      <c r="D20135" s="26">
        <v>0.26700000000000002</v>
      </c>
      <c r="E20135" s="26">
        <v>0.11890000000000001</v>
      </c>
      <c r="F20135" s="26">
        <v>5.5100000000000003E-2</v>
      </c>
      <c r="G20135" s="26">
        <v>0.15989999999999999</v>
      </c>
      <c r="H20135" s="26">
        <v>3.2000000000000002E-3</v>
      </c>
      <c r="I20135" s="26">
        <v>9.4000000000000004E-3</v>
      </c>
      <c r="J20135" s="26">
        <v>4.7100000000000003E-2</v>
      </c>
      <c r="K20135" s="26">
        <v>4.7100000000000003E-2</v>
      </c>
      <c r="S20135">
        <v>45</v>
      </c>
    </row>
    <row r="20136" spans="1:19" x14ac:dyDescent="0.35">
      <c r="A20136" t="s">
        <v>230</v>
      </c>
      <c r="B20136" t="s">
        <v>244</v>
      </c>
      <c r="C20136" s="26">
        <v>0.52159999999999995</v>
      </c>
      <c r="D20136" s="26">
        <v>0.19070000000000001</v>
      </c>
      <c r="E20136" s="26">
        <v>8.5599999999999996E-2</v>
      </c>
      <c r="F20136" s="26">
        <v>1.3899999999999999E-2</v>
      </c>
      <c r="G20136" s="26">
        <v>4.1799999999999997E-2</v>
      </c>
      <c r="H20136" s="26">
        <v>1.32E-2</v>
      </c>
      <c r="I20136" s="26">
        <v>7.0300000000000001E-2</v>
      </c>
      <c r="J20136" s="26">
        <v>2.46E-2</v>
      </c>
      <c r="K20136" s="26">
        <v>1.8100000000000002E-2</v>
      </c>
      <c r="L20136" s="26">
        <v>1.77E-2</v>
      </c>
      <c r="O20136" s="26">
        <v>1.2999999999999999E-3</v>
      </c>
      <c r="R20136" s="26">
        <v>1.2999999999999999E-3</v>
      </c>
      <c r="S20136">
        <v>370</v>
      </c>
    </row>
    <row r="20137" spans="1:19" x14ac:dyDescent="0.35">
      <c r="A20137" t="s">
        <v>230</v>
      </c>
      <c r="B20137" t="s">
        <v>245</v>
      </c>
      <c r="C20137" s="26">
        <v>0.50949999999999995</v>
      </c>
      <c r="D20137" s="26">
        <v>0.14749999999999999</v>
      </c>
      <c r="E20137" s="26">
        <v>9.5000000000000001E-2</v>
      </c>
      <c r="F20137" s="26">
        <v>6.3399999999999998E-2</v>
      </c>
      <c r="G20137" s="26">
        <v>2.98E-2</v>
      </c>
      <c r="H20137" s="26">
        <v>3.3099999999999997E-2</v>
      </c>
      <c r="I20137" s="26">
        <v>7.9100000000000004E-2</v>
      </c>
      <c r="K20137" s="26">
        <v>3.1099999999999999E-2</v>
      </c>
      <c r="L20137" s="26">
        <v>8.0999999999999996E-3</v>
      </c>
      <c r="M20137" s="26">
        <v>3.5000000000000001E-3</v>
      </c>
      <c r="S20137">
        <v>160</v>
      </c>
    </row>
    <row r="20138" spans="1:19" x14ac:dyDescent="0.35">
      <c r="A20138" s="27" t="s">
        <v>230</v>
      </c>
      <c r="B20138" s="27" t="s">
        <v>246</v>
      </c>
      <c r="C20138" s="28">
        <v>0.52869999999999995</v>
      </c>
      <c r="D20138" s="28">
        <v>6.0400000000000002E-2</v>
      </c>
      <c r="E20138" s="28">
        <v>6.08E-2</v>
      </c>
      <c r="F20138" s="29"/>
      <c r="G20138" s="28">
        <v>3.7400000000000003E-2</v>
      </c>
      <c r="H20138" s="28">
        <v>4.82E-2</v>
      </c>
      <c r="I20138" s="28">
        <v>0.1108</v>
      </c>
      <c r="J20138" s="29"/>
      <c r="K20138" s="29"/>
      <c r="L20138" s="28">
        <v>0.15379999999999999</v>
      </c>
      <c r="M20138" s="29"/>
      <c r="N20138" s="29"/>
      <c r="O20138" s="29"/>
      <c r="P20138" s="29"/>
      <c r="Q20138" s="29"/>
      <c r="R20138" s="29"/>
      <c r="S20138" s="29" t="s">
        <v>329</v>
      </c>
    </row>
    <row r="20139" spans="1:19" x14ac:dyDescent="0.35">
      <c r="A20139" t="s">
        <v>231</v>
      </c>
      <c r="B20139" t="s">
        <v>244</v>
      </c>
      <c r="C20139" s="26">
        <v>0.44209999999999999</v>
      </c>
      <c r="D20139" s="26">
        <v>0.25259999999999999</v>
      </c>
      <c r="E20139" s="26">
        <v>3.1600000000000003E-2</v>
      </c>
      <c r="F20139" s="26">
        <v>0.15790000000000001</v>
      </c>
      <c r="G20139" s="26">
        <v>4.2099999999999999E-2</v>
      </c>
      <c r="H20139" s="26">
        <v>1.0500000000000001E-2</v>
      </c>
      <c r="I20139" s="26">
        <v>2.1100000000000001E-2</v>
      </c>
      <c r="J20139" s="26">
        <v>3.1600000000000003E-2</v>
      </c>
      <c r="M20139" s="26">
        <v>1.0500000000000001E-2</v>
      </c>
      <c r="S20139">
        <v>95</v>
      </c>
    </row>
    <row r="20140" spans="1:19" x14ac:dyDescent="0.35">
      <c r="A20140" t="s">
        <v>231</v>
      </c>
      <c r="B20140" t="s">
        <v>245</v>
      </c>
      <c r="C20140" s="26">
        <v>0.46429999999999999</v>
      </c>
      <c r="D20140" s="26">
        <v>0.21429999999999999</v>
      </c>
      <c r="E20140" s="26">
        <v>0.125</v>
      </c>
      <c r="F20140" s="26">
        <v>8.9300000000000004E-2</v>
      </c>
      <c r="G20140" s="26">
        <v>5.3600000000000002E-2</v>
      </c>
      <c r="H20140" s="26">
        <v>1.7899999999999999E-2</v>
      </c>
      <c r="I20140" s="26">
        <v>1.7899999999999999E-2</v>
      </c>
      <c r="J20140" s="26">
        <v>1.7899999999999999E-2</v>
      </c>
      <c r="S20140">
        <v>56</v>
      </c>
    </row>
    <row r="20141" spans="1:19" x14ac:dyDescent="0.35">
      <c r="A20141" s="27" t="s">
        <v>231</v>
      </c>
      <c r="B20141" s="27" t="s">
        <v>246</v>
      </c>
      <c r="C20141" s="28">
        <v>0.46150000000000002</v>
      </c>
      <c r="D20141" s="28">
        <v>0.15379999999999999</v>
      </c>
      <c r="E20141" s="29"/>
      <c r="F20141" s="28">
        <v>7.6899999999999996E-2</v>
      </c>
      <c r="G20141" s="28">
        <v>0.15379999999999999</v>
      </c>
      <c r="H20141" s="28">
        <v>7.6899999999999996E-2</v>
      </c>
      <c r="I20141" s="29"/>
      <c r="J20141" s="28">
        <v>7.6899999999999996E-2</v>
      </c>
      <c r="K20141" s="29"/>
      <c r="L20141" s="29"/>
      <c r="M20141" s="29"/>
      <c r="N20141" s="29"/>
      <c r="O20141" s="29"/>
      <c r="P20141" s="29"/>
      <c r="Q20141" s="29"/>
      <c r="R20141" s="29"/>
      <c r="S20141" s="29" t="s">
        <v>341</v>
      </c>
    </row>
    <row r="20142" spans="1:19" x14ac:dyDescent="0.35">
      <c r="A20142" t="s">
        <v>232</v>
      </c>
      <c r="B20142" t="s">
        <v>232</v>
      </c>
      <c r="C20142" s="26">
        <v>0.40639999999999998</v>
      </c>
      <c r="D20142" s="26">
        <v>0.23860000000000001</v>
      </c>
      <c r="E20142" s="26">
        <v>0.1416</v>
      </c>
      <c r="F20142" s="26">
        <v>7.8399999999999997E-2</v>
      </c>
      <c r="G20142" s="26">
        <v>5.0200000000000002E-2</v>
      </c>
      <c r="H20142" s="26">
        <v>2.46E-2</v>
      </c>
      <c r="I20142" s="26">
        <v>2.12E-2</v>
      </c>
      <c r="J20142" s="26">
        <v>1.7100000000000001E-2</v>
      </c>
      <c r="K20142" s="26">
        <v>1.0200000000000001E-2</v>
      </c>
      <c r="L20142" s="26">
        <v>4.4000000000000003E-3</v>
      </c>
      <c r="M20142" s="26">
        <v>3.8E-3</v>
      </c>
      <c r="N20142" s="26">
        <v>1.4E-3</v>
      </c>
      <c r="O20142" s="26">
        <v>1.2999999999999999E-3</v>
      </c>
      <c r="P20142" s="26">
        <v>4.0000000000000002E-4</v>
      </c>
      <c r="Q20142" s="26">
        <v>2.9999999999999997E-4</v>
      </c>
      <c r="R20142" s="26">
        <v>1E-4</v>
      </c>
      <c r="S20142">
        <v>2812</v>
      </c>
    </row>
    <row r="20144" spans="1:19" x14ac:dyDescent="0.35">
      <c r="A20144" s="1" t="s">
        <v>2005</v>
      </c>
    </row>
    <row r="20145" spans="1:19" x14ac:dyDescent="0.35">
      <c r="A20145" t="s">
        <v>219</v>
      </c>
      <c r="B20145" t="s">
        <v>305</v>
      </c>
      <c r="C20145" t="s">
        <v>1988</v>
      </c>
      <c r="D20145" t="s">
        <v>1989</v>
      </c>
      <c r="E20145" t="s">
        <v>1990</v>
      </c>
      <c r="F20145" t="s">
        <v>1991</v>
      </c>
      <c r="G20145" t="s">
        <v>1992</v>
      </c>
      <c r="H20145" t="s">
        <v>1993</v>
      </c>
      <c r="I20145" t="s">
        <v>1994</v>
      </c>
      <c r="J20145" t="s">
        <v>1995</v>
      </c>
      <c r="K20145" t="s">
        <v>1996</v>
      </c>
      <c r="L20145" t="s">
        <v>1997</v>
      </c>
      <c r="M20145" t="s">
        <v>1998</v>
      </c>
      <c r="N20145" t="s">
        <v>1999</v>
      </c>
      <c r="O20145" t="s">
        <v>281</v>
      </c>
      <c r="P20145" t="s">
        <v>2000</v>
      </c>
      <c r="Q20145" t="s">
        <v>286</v>
      </c>
      <c r="R20145" t="s">
        <v>2001</v>
      </c>
      <c r="S20145" t="s">
        <v>226</v>
      </c>
    </row>
    <row r="20146" spans="1:19" x14ac:dyDescent="0.35">
      <c r="A20146" t="s">
        <v>227</v>
      </c>
      <c r="B20146" t="s">
        <v>360</v>
      </c>
      <c r="C20146" s="26">
        <v>0.46150000000000002</v>
      </c>
      <c r="D20146" s="26">
        <v>0.17949999999999999</v>
      </c>
      <c r="E20146" s="26">
        <v>2.5600000000000001E-2</v>
      </c>
      <c r="F20146" s="26">
        <v>0.23080000000000001</v>
      </c>
      <c r="G20146" s="26">
        <v>5.1299999999999998E-2</v>
      </c>
      <c r="I20146" s="26">
        <v>2.5600000000000001E-2</v>
      </c>
      <c r="J20146" s="26">
        <v>2.5600000000000001E-2</v>
      </c>
      <c r="S20146">
        <v>39</v>
      </c>
    </row>
    <row r="20147" spans="1:19" x14ac:dyDescent="0.35">
      <c r="A20147" t="s">
        <v>227</v>
      </c>
      <c r="B20147" t="s">
        <v>361</v>
      </c>
      <c r="C20147" s="26">
        <v>0.28120000000000001</v>
      </c>
      <c r="D20147" s="26">
        <v>0.34379999999999999</v>
      </c>
      <c r="E20147" s="26">
        <v>0.15620000000000001</v>
      </c>
      <c r="F20147" s="26">
        <v>6.25E-2</v>
      </c>
      <c r="G20147" s="26">
        <v>0.125</v>
      </c>
      <c r="H20147" s="26">
        <v>3.1199999999999999E-2</v>
      </c>
      <c r="S20147">
        <v>32</v>
      </c>
    </row>
    <row r="20148" spans="1:19" x14ac:dyDescent="0.35">
      <c r="A20148" t="s">
        <v>227</v>
      </c>
      <c r="B20148" t="s">
        <v>362</v>
      </c>
      <c r="C20148" s="26">
        <v>0.51349999999999996</v>
      </c>
      <c r="D20148" s="26">
        <v>0.16220000000000001</v>
      </c>
      <c r="E20148" s="26">
        <v>0.2162</v>
      </c>
      <c r="F20148" s="26">
        <v>2.7E-2</v>
      </c>
      <c r="G20148" s="26">
        <v>2.7E-2</v>
      </c>
      <c r="H20148" s="26">
        <v>2.7E-2</v>
      </c>
      <c r="J20148" s="26">
        <v>2.7E-2</v>
      </c>
      <c r="S20148">
        <v>37</v>
      </c>
    </row>
    <row r="20149" spans="1:19" x14ac:dyDescent="0.35">
      <c r="A20149" t="s">
        <v>227</v>
      </c>
      <c r="B20149" t="s">
        <v>363</v>
      </c>
      <c r="C20149" s="26">
        <v>0.28889999999999999</v>
      </c>
      <c r="D20149" s="26">
        <v>0.33329999999999999</v>
      </c>
      <c r="E20149" s="26">
        <v>0.22220000000000001</v>
      </c>
      <c r="F20149" s="26">
        <v>8.8900000000000007E-2</v>
      </c>
      <c r="G20149" s="26">
        <v>2.2200000000000001E-2</v>
      </c>
      <c r="I20149" s="26">
        <v>2.2200000000000001E-2</v>
      </c>
      <c r="O20149" s="26">
        <v>2.2200000000000001E-2</v>
      </c>
      <c r="S20149">
        <v>45</v>
      </c>
    </row>
    <row r="20150" spans="1:19" x14ac:dyDescent="0.35">
      <c r="A20150" t="s">
        <v>228</v>
      </c>
      <c r="B20150" t="s">
        <v>360</v>
      </c>
      <c r="C20150" s="26">
        <v>0.4274</v>
      </c>
      <c r="D20150" s="26">
        <v>0.2175</v>
      </c>
      <c r="E20150" s="26">
        <v>0.15040000000000001</v>
      </c>
      <c r="F20150" s="26">
        <v>5.5E-2</v>
      </c>
      <c r="G20150" s="26">
        <v>2.8899999999999999E-2</v>
      </c>
      <c r="H20150" s="26">
        <v>5.6399999999999999E-2</v>
      </c>
      <c r="I20150" s="26">
        <v>2.7300000000000001E-2</v>
      </c>
      <c r="J20150" s="26">
        <v>6.1000000000000004E-3</v>
      </c>
      <c r="K20150" s="26">
        <v>2.2599999999999999E-2</v>
      </c>
      <c r="L20150" s="26">
        <v>8.5000000000000006E-3</v>
      </c>
      <c r="S20150">
        <v>258</v>
      </c>
    </row>
    <row r="20151" spans="1:19" x14ac:dyDescent="0.35">
      <c r="A20151" t="s">
        <v>228</v>
      </c>
      <c r="B20151" t="s">
        <v>361</v>
      </c>
      <c r="C20151" s="26">
        <v>0.30130000000000001</v>
      </c>
      <c r="D20151" s="26">
        <v>0.35299999999999998</v>
      </c>
      <c r="E20151" s="26">
        <v>0.26479999999999998</v>
      </c>
      <c r="F20151" s="26">
        <v>1.7500000000000002E-2</v>
      </c>
      <c r="G20151" s="26">
        <v>1.55E-2</v>
      </c>
      <c r="H20151" s="26">
        <v>2.8400000000000002E-2</v>
      </c>
      <c r="I20151" s="26">
        <v>1.7299999999999999E-2</v>
      </c>
      <c r="L20151" s="26">
        <v>2.3E-3</v>
      </c>
      <c r="S20151">
        <v>194</v>
      </c>
    </row>
    <row r="20152" spans="1:19" x14ac:dyDescent="0.35">
      <c r="A20152" t="s">
        <v>228</v>
      </c>
      <c r="B20152" t="s">
        <v>363</v>
      </c>
      <c r="C20152" s="26">
        <v>0.34810000000000002</v>
      </c>
      <c r="D20152" s="26">
        <v>0.25940000000000002</v>
      </c>
      <c r="E20152" s="26">
        <v>0.2419</v>
      </c>
      <c r="F20152" s="26">
        <v>1.5599999999999999E-2</v>
      </c>
      <c r="G20152" s="26">
        <v>0.04</v>
      </c>
      <c r="H20152" s="26">
        <v>5.6500000000000002E-2</v>
      </c>
      <c r="I20152" s="26">
        <v>1.15E-2</v>
      </c>
      <c r="J20152" s="26">
        <v>1.6E-2</v>
      </c>
      <c r="K20152" s="26">
        <v>9.4999999999999998E-3</v>
      </c>
      <c r="M20152" s="26">
        <v>1.5E-3</v>
      </c>
      <c r="S20152">
        <v>212</v>
      </c>
    </row>
    <row r="20153" spans="1:19" x14ac:dyDescent="0.35">
      <c r="A20153" t="s">
        <v>228</v>
      </c>
      <c r="B20153" t="s">
        <v>362</v>
      </c>
      <c r="C20153" s="26">
        <v>0.3851</v>
      </c>
      <c r="D20153" s="26">
        <v>0.24160000000000001</v>
      </c>
      <c r="E20153" s="26">
        <v>0.1636</v>
      </c>
      <c r="F20153" s="26">
        <v>4.0500000000000001E-2</v>
      </c>
      <c r="G20153" s="26">
        <v>5.1299999999999998E-2</v>
      </c>
      <c r="H20153" s="26">
        <v>9.3299999999999994E-2</v>
      </c>
      <c r="I20153" s="26">
        <v>6.4999999999999997E-3</v>
      </c>
      <c r="J20153" s="26">
        <v>2.3999999999999998E-3</v>
      </c>
      <c r="K20153" s="26">
        <v>5.0000000000000001E-3</v>
      </c>
      <c r="L20153" s="26">
        <v>3.3E-3</v>
      </c>
      <c r="M20153" s="26">
        <v>5.0000000000000001E-3</v>
      </c>
      <c r="P20153" s="26">
        <v>2.3999999999999998E-3</v>
      </c>
      <c r="S20153">
        <v>236</v>
      </c>
    </row>
    <row r="20154" spans="1:19" x14ac:dyDescent="0.35">
      <c r="A20154" t="s">
        <v>229</v>
      </c>
      <c r="B20154" t="s">
        <v>363</v>
      </c>
      <c r="C20154" s="26">
        <v>0.46410000000000001</v>
      </c>
      <c r="D20154" s="26">
        <v>0.16</v>
      </c>
      <c r="E20154" s="26">
        <v>0.12709999999999999</v>
      </c>
      <c r="F20154" s="26">
        <v>5.5399999999999998E-2</v>
      </c>
      <c r="G20154" s="26">
        <v>6.88E-2</v>
      </c>
      <c r="H20154" s="26">
        <v>8.9999999999999998E-4</v>
      </c>
      <c r="I20154" s="26">
        <v>4.8800000000000003E-2</v>
      </c>
      <c r="J20154" s="26">
        <v>1.46E-2</v>
      </c>
      <c r="K20154" s="26">
        <v>6.0199999999999997E-2</v>
      </c>
      <c r="S20154">
        <v>191</v>
      </c>
    </row>
    <row r="20155" spans="1:19" x14ac:dyDescent="0.35">
      <c r="A20155" t="s">
        <v>229</v>
      </c>
      <c r="B20155" t="s">
        <v>360</v>
      </c>
      <c r="C20155" s="26">
        <v>0.37680000000000002</v>
      </c>
      <c r="D20155" s="26">
        <v>0.23569999999999999</v>
      </c>
      <c r="E20155" s="26">
        <v>9.6000000000000002E-2</v>
      </c>
      <c r="F20155" s="26">
        <v>9.74E-2</v>
      </c>
      <c r="G20155" s="26">
        <v>0.1115</v>
      </c>
      <c r="H20155" s="26">
        <v>2.2000000000000001E-3</v>
      </c>
      <c r="I20155" s="26">
        <v>7.3000000000000001E-3</v>
      </c>
      <c r="J20155" s="26">
        <v>1.6799999999999999E-2</v>
      </c>
      <c r="K20155" s="26">
        <v>1.1000000000000001E-3</v>
      </c>
      <c r="L20155" s="26">
        <v>2.0999999999999999E-3</v>
      </c>
      <c r="M20155" s="26">
        <v>3.2500000000000001E-2</v>
      </c>
      <c r="N20155" s="26">
        <v>1.6199999999999999E-2</v>
      </c>
      <c r="Q20155" s="26">
        <v>4.3E-3</v>
      </c>
      <c r="S20155">
        <v>164</v>
      </c>
    </row>
    <row r="20156" spans="1:19" x14ac:dyDescent="0.35">
      <c r="A20156" t="s">
        <v>229</v>
      </c>
      <c r="B20156" t="s">
        <v>361</v>
      </c>
      <c r="C20156" s="26">
        <v>0.29099999999999998</v>
      </c>
      <c r="D20156" s="26">
        <v>0.31890000000000002</v>
      </c>
      <c r="E20156" s="26">
        <v>0.224</v>
      </c>
      <c r="F20156" s="26">
        <v>6.3899999999999998E-2</v>
      </c>
      <c r="G20156" s="26">
        <v>4.9000000000000002E-2</v>
      </c>
      <c r="H20156" s="26">
        <v>2.3099999999999999E-2</v>
      </c>
      <c r="I20156" s="26">
        <v>2.0000000000000001E-4</v>
      </c>
      <c r="J20156" s="26">
        <v>7.0000000000000001E-3</v>
      </c>
      <c r="K20156" s="26">
        <v>1.44E-2</v>
      </c>
      <c r="L20156" s="26">
        <v>8.3000000000000001E-3</v>
      </c>
      <c r="S20156">
        <v>243</v>
      </c>
    </row>
    <row r="20157" spans="1:19" x14ac:dyDescent="0.35">
      <c r="A20157" t="s">
        <v>229</v>
      </c>
      <c r="B20157" t="s">
        <v>362</v>
      </c>
      <c r="C20157" s="26">
        <v>0.4647</v>
      </c>
      <c r="D20157" s="26">
        <v>0.1176</v>
      </c>
      <c r="E20157" s="26">
        <v>0.1424</v>
      </c>
      <c r="F20157" s="26">
        <v>9.5100000000000004E-2</v>
      </c>
      <c r="G20157" s="26">
        <v>3.8899999999999997E-2</v>
      </c>
      <c r="H20157" s="26">
        <v>3.4000000000000002E-2</v>
      </c>
      <c r="I20157" s="26">
        <v>2.47E-2</v>
      </c>
      <c r="J20157" s="26">
        <v>3.3000000000000002E-2</v>
      </c>
      <c r="K20157" s="26">
        <v>1.8499999999999999E-2</v>
      </c>
      <c r="L20157" s="26">
        <v>1.55E-2</v>
      </c>
      <c r="N20157" s="26">
        <v>1.55E-2</v>
      </c>
      <c r="S20157">
        <v>171</v>
      </c>
    </row>
    <row r="20158" spans="1:19" x14ac:dyDescent="0.35">
      <c r="A20158" t="s">
        <v>230</v>
      </c>
      <c r="B20158" t="s">
        <v>360</v>
      </c>
      <c r="C20158" s="26">
        <v>0.5292</v>
      </c>
      <c r="D20158" s="26">
        <v>0.1653</v>
      </c>
      <c r="E20158" s="26">
        <v>2.64E-2</v>
      </c>
      <c r="F20158" s="26">
        <v>9.5999999999999992E-3</v>
      </c>
      <c r="G20158" s="26">
        <v>7.8200000000000006E-2</v>
      </c>
      <c r="H20158" s="26">
        <v>3.5000000000000003E-2</v>
      </c>
      <c r="I20158" s="26">
        <v>4.9200000000000001E-2</v>
      </c>
      <c r="J20158" s="26">
        <v>6.2399999999999997E-2</v>
      </c>
      <c r="K20158" s="26">
        <v>4.7000000000000002E-3</v>
      </c>
      <c r="L20158" s="26">
        <v>3.9899999999999998E-2</v>
      </c>
      <c r="S20158">
        <v>120</v>
      </c>
    </row>
    <row r="20159" spans="1:19" x14ac:dyDescent="0.35">
      <c r="A20159" t="s">
        <v>230</v>
      </c>
      <c r="B20159" t="s">
        <v>363</v>
      </c>
      <c r="C20159" s="26">
        <v>0.58740000000000003</v>
      </c>
      <c r="D20159" s="26">
        <v>0.17050000000000001</v>
      </c>
      <c r="E20159" s="26">
        <v>0.1043</v>
      </c>
      <c r="F20159" s="26">
        <v>1.1599999999999999E-2</v>
      </c>
      <c r="G20159" s="26">
        <v>3.0700000000000002E-2</v>
      </c>
      <c r="H20159" s="26">
        <v>1.14E-2</v>
      </c>
      <c r="I20159" s="26">
        <v>5.6000000000000001E-2</v>
      </c>
      <c r="K20159" s="26">
        <v>1.5299999999999999E-2</v>
      </c>
      <c r="L20159" s="26">
        <v>5.1000000000000004E-3</v>
      </c>
      <c r="M20159" s="26">
        <v>3.8999999999999998E-3</v>
      </c>
      <c r="R20159" s="26">
        <v>3.8E-3</v>
      </c>
      <c r="S20159">
        <v>127</v>
      </c>
    </row>
    <row r="20160" spans="1:19" x14ac:dyDescent="0.35">
      <c r="A20160" t="s">
        <v>230</v>
      </c>
      <c r="B20160" t="s">
        <v>361</v>
      </c>
      <c r="C20160" s="26">
        <v>0.44540000000000002</v>
      </c>
      <c r="D20160" s="26">
        <v>0.26450000000000001</v>
      </c>
      <c r="E20160" s="26">
        <v>0.1187</v>
      </c>
      <c r="F20160" s="26">
        <v>3.3000000000000002E-2</v>
      </c>
      <c r="G20160" s="26">
        <v>1.41E-2</v>
      </c>
      <c r="H20160" s="26">
        <v>8.0999999999999996E-3</v>
      </c>
      <c r="I20160" s="26">
        <v>6.1100000000000002E-2</v>
      </c>
      <c r="J20160" s="26">
        <v>2.12E-2</v>
      </c>
      <c r="K20160" s="26">
        <v>3.1800000000000002E-2</v>
      </c>
      <c r="L20160" s="26">
        <v>2.2000000000000001E-3</v>
      </c>
      <c r="S20160">
        <v>109</v>
      </c>
    </row>
    <row r="20161" spans="1:19" x14ac:dyDescent="0.35">
      <c r="A20161" t="s">
        <v>230</v>
      </c>
      <c r="B20161" t="s">
        <v>362</v>
      </c>
      <c r="C20161" s="26">
        <v>0.5071</v>
      </c>
      <c r="D20161" s="26">
        <v>8.3099999999999993E-2</v>
      </c>
      <c r="E20161" s="26">
        <v>9.6699999999999994E-2</v>
      </c>
      <c r="F20161" s="26">
        <v>4.4200000000000003E-2</v>
      </c>
      <c r="G20161" s="26">
        <v>4.87E-2</v>
      </c>
      <c r="H20161" s="26">
        <v>3.0599999999999999E-2</v>
      </c>
      <c r="I20161" s="26">
        <v>0.11799999999999999</v>
      </c>
      <c r="K20161" s="26">
        <v>2.86E-2</v>
      </c>
      <c r="L20161" s="26">
        <v>4.2999999999999997E-2</v>
      </c>
      <c r="S20161">
        <v>147</v>
      </c>
    </row>
    <row r="20162" spans="1:19" x14ac:dyDescent="0.35">
      <c r="A20162" s="27" t="s">
        <v>231</v>
      </c>
      <c r="B20162" s="27" t="s">
        <v>362</v>
      </c>
      <c r="C20162" s="28">
        <v>0.48280000000000001</v>
      </c>
      <c r="D20162" s="28">
        <v>0.2069</v>
      </c>
      <c r="E20162" s="28">
        <v>6.9000000000000006E-2</v>
      </c>
      <c r="F20162" s="28">
        <v>0.1724</v>
      </c>
      <c r="G20162" s="28">
        <v>6.9000000000000006E-2</v>
      </c>
      <c r="H20162" s="29"/>
      <c r="I20162" s="29"/>
      <c r="J20162" s="29"/>
      <c r="K20162" s="29"/>
      <c r="L20162" s="29"/>
      <c r="M20162" s="29"/>
      <c r="N20162" s="29"/>
      <c r="O20162" s="29"/>
      <c r="P20162" s="29"/>
      <c r="Q20162" s="29"/>
      <c r="R20162" s="29"/>
      <c r="S20162" s="29" t="s">
        <v>329</v>
      </c>
    </row>
    <row r="20163" spans="1:19" x14ac:dyDescent="0.35">
      <c r="A20163" t="s">
        <v>231</v>
      </c>
      <c r="B20163" t="s">
        <v>361</v>
      </c>
      <c r="C20163" s="26">
        <v>0.34</v>
      </c>
      <c r="D20163" s="26">
        <v>0.4</v>
      </c>
      <c r="E20163" s="26">
        <v>0.08</v>
      </c>
      <c r="F20163" s="26">
        <v>0.04</v>
      </c>
      <c r="G20163" s="26">
        <v>0.04</v>
      </c>
      <c r="H20163" s="26">
        <v>0.06</v>
      </c>
      <c r="I20163" s="26">
        <v>0.02</v>
      </c>
      <c r="J20163" s="26">
        <v>0.02</v>
      </c>
      <c r="S20163">
        <v>50</v>
      </c>
    </row>
    <row r="20164" spans="1:19" x14ac:dyDescent="0.35">
      <c r="A20164" t="s">
        <v>231</v>
      </c>
      <c r="B20164" t="s">
        <v>360</v>
      </c>
      <c r="C20164" s="26">
        <v>0.52270000000000005</v>
      </c>
      <c r="D20164" s="26">
        <v>6.8199999999999997E-2</v>
      </c>
      <c r="E20164" s="26">
        <v>2.2700000000000001E-2</v>
      </c>
      <c r="F20164" s="26">
        <v>0.2273</v>
      </c>
      <c r="G20164" s="26">
        <v>9.0899999999999995E-2</v>
      </c>
      <c r="J20164" s="26">
        <v>4.5499999999999999E-2</v>
      </c>
      <c r="M20164" s="26">
        <v>2.2700000000000001E-2</v>
      </c>
      <c r="S20164">
        <v>44</v>
      </c>
    </row>
    <row r="20165" spans="1:19" x14ac:dyDescent="0.35">
      <c r="A20165" s="27" t="s">
        <v>231</v>
      </c>
      <c r="B20165" s="27" t="s">
        <v>363</v>
      </c>
      <c r="C20165" s="28">
        <v>0.44440000000000002</v>
      </c>
      <c r="D20165" s="28">
        <v>0.22220000000000001</v>
      </c>
      <c r="E20165" s="28">
        <v>7.4099999999999999E-2</v>
      </c>
      <c r="F20165" s="28">
        <v>0.14810000000000001</v>
      </c>
      <c r="G20165" s="28">
        <v>3.6999999999999998E-2</v>
      </c>
      <c r="H20165" s="29"/>
      <c r="I20165" s="28">
        <v>3.6999999999999998E-2</v>
      </c>
      <c r="J20165" s="28">
        <v>3.6999999999999998E-2</v>
      </c>
      <c r="K20165" s="29"/>
      <c r="L20165" s="29"/>
      <c r="M20165" s="29"/>
      <c r="N20165" s="29"/>
      <c r="O20165" s="29"/>
      <c r="P20165" s="29"/>
      <c r="Q20165" s="29"/>
      <c r="R20165" s="29"/>
      <c r="S20165" s="29" t="s">
        <v>338</v>
      </c>
    </row>
    <row r="20166" spans="1:19" x14ac:dyDescent="0.35">
      <c r="A20166" t="s">
        <v>232</v>
      </c>
      <c r="B20166" t="s">
        <v>232</v>
      </c>
      <c r="C20166" s="26">
        <v>0.40639999999999998</v>
      </c>
      <c r="D20166" s="26">
        <v>0.23860000000000001</v>
      </c>
      <c r="E20166" s="26">
        <v>0.1416</v>
      </c>
      <c r="F20166" s="26">
        <v>7.8399999999999997E-2</v>
      </c>
      <c r="G20166" s="26">
        <v>5.0200000000000002E-2</v>
      </c>
      <c r="H20166" s="26">
        <v>2.46E-2</v>
      </c>
      <c r="I20166" s="26">
        <v>2.12E-2</v>
      </c>
      <c r="J20166" s="26">
        <v>1.7100000000000001E-2</v>
      </c>
      <c r="K20166" s="26">
        <v>1.0200000000000001E-2</v>
      </c>
      <c r="L20166" s="26">
        <v>4.4000000000000003E-3</v>
      </c>
      <c r="M20166" s="26">
        <v>3.8E-3</v>
      </c>
      <c r="N20166" s="26">
        <v>1.4E-3</v>
      </c>
      <c r="O20166" s="26">
        <v>1.2999999999999999E-3</v>
      </c>
      <c r="P20166" s="26">
        <v>4.0000000000000002E-4</v>
      </c>
      <c r="Q20166" s="26">
        <v>2.9999999999999997E-4</v>
      </c>
      <c r="R20166" s="26">
        <v>1E-4</v>
      </c>
      <c r="S20166">
        <v>2475</v>
      </c>
    </row>
    <row r="20168" spans="1:19" x14ac:dyDescent="0.35">
      <c r="A20168" s="1" t="s">
        <v>2006</v>
      </c>
    </row>
    <row r="20169" spans="1:19" x14ac:dyDescent="0.35">
      <c r="A20169" t="s">
        <v>219</v>
      </c>
      <c r="B20169" t="s">
        <v>305</v>
      </c>
      <c r="C20169" t="s">
        <v>1988</v>
      </c>
      <c r="D20169" t="s">
        <v>1989</v>
      </c>
      <c r="E20169" t="s">
        <v>1990</v>
      </c>
      <c r="F20169" t="s">
        <v>1991</v>
      </c>
      <c r="G20169" t="s">
        <v>1992</v>
      </c>
      <c r="H20169" t="s">
        <v>1993</v>
      </c>
      <c r="I20169" t="s">
        <v>1994</v>
      </c>
      <c r="J20169" t="s">
        <v>1995</v>
      </c>
      <c r="K20169" t="s">
        <v>1996</v>
      </c>
      <c r="L20169" t="s">
        <v>1997</v>
      </c>
      <c r="M20169" t="s">
        <v>1998</v>
      </c>
      <c r="N20169" t="s">
        <v>1999</v>
      </c>
      <c r="O20169" t="s">
        <v>281</v>
      </c>
      <c r="P20169" t="s">
        <v>2000</v>
      </c>
      <c r="Q20169" t="s">
        <v>286</v>
      </c>
      <c r="R20169" t="s">
        <v>2001</v>
      </c>
      <c r="S20169" t="s">
        <v>226</v>
      </c>
    </row>
    <row r="20170" spans="1:19" x14ac:dyDescent="0.35">
      <c r="A20170" t="s">
        <v>227</v>
      </c>
      <c r="B20170" t="s">
        <v>267</v>
      </c>
      <c r="C20170" s="26">
        <v>0.52780000000000005</v>
      </c>
      <c r="D20170" s="26">
        <v>0.22220000000000001</v>
      </c>
      <c r="E20170" s="26">
        <v>5.5599999999999997E-2</v>
      </c>
      <c r="F20170" s="26">
        <v>0.1389</v>
      </c>
      <c r="G20170" s="26">
        <v>5.5599999999999997E-2</v>
      </c>
      <c r="S20170">
        <v>36</v>
      </c>
    </row>
    <row r="20171" spans="1:19" x14ac:dyDescent="0.35">
      <c r="A20171" t="s">
        <v>227</v>
      </c>
      <c r="B20171" t="s">
        <v>266</v>
      </c>
      <c r="C20171" s="26">
        <v>0.38979999999999998</v>
      </c>
      <c r="D20171" s="26">
        <v>0.18640000000000001</v>
      </c>
      <c r="E20171" s="26">
        <v>0.23730000000000001</v>
      </c>
      <c r="F20171" s="26">
        <v>8.4699999999999998E-2</v>
      </c>
      <c r="G20171" s="26">
        <v>5.0799999999999998E-2</v>
      </c>
      <c r="H20171" s="26">
        <v>1.6899999999999998E-2</v>
      </c>
      <c r="I20171" s="26">
        <v>3.39E-2</v>
      </c>
      <c r="S20171">
        <v>59</v>
      </c>
    </row>
    <row r="20172" spans="1:19" x14ac:dyDescent="0.35">
      <c r="A20172" t="s">
        <v>227</v>
      </c>
      <c r="B20172" t="s">
        <v>265</v>
      </c>
      <c r="C20172" s="26">
        <v>0.31819999999999998</v>
      </c>
      <c r="D20172" s="26">
        <v>0.31819999999999998</v>
      </c>
      <c r="E20172" s="26">
        <v>0.16669999999999999</v>
      </c>
      <c r="F20172" s="26">
        <v>9.0899999999999995E-2</v>
      </c>
      <c r="G20172" s="26">
        <v>4.5499999999999999E-2</v>
      </c>
      <c r="H20172" s="26">
        <v>1.52E-2</v>
      </c>
      <c r="J20172" s="26">
        <v>3.0300000000000001E-2</v>
      </c>
      <c r="O20172" s="26">
        <v>1.52E-2</v>
      </c>
      <c r="S20172">
        <v>66</v>
      </c>
    </row>
    <row r="20173" spans="1:19" x14ac:dyDescent="0.35">
      <c r="A20173" t="s">
        <v>228</v>
      </c>
      <c r="B20173" t="s">
        <v>267</v>
      </c>
      <c r="C20173" s="26">
        <v>0.4209</v>
      </c>
      <c r="D20173" s="26">
        <v>0.23860000000000001</v>
      </c>
      <c r="E20173" s="26">
        <v>0.1615</v>
      </c>
      <c r="F20173" s="26">
        <v>2.92E-2</v>
      </c>
      <c r="G20173" s="26">
        <v>5.57E-2</v>
      </c>
      <c r="H20173" s="26">
        <v>2.7699999999999999E-2</v>
      </c>
      <c r="I20173" s="26">
        <v>2.58E-2</v>
      </c>
      <c r="J20173" s="26">
        <v>2.18E-2</v>
      </c>
      <c r="K20173" s="26">
        <v>1.34E-2</v>
      </c>
      <c r="L20173" s="26">
        <v>5.4000000000000003E-3</v>
      </c>
      <c r="S20173">
        <v>199</v>
      </c>
    </row>
    <row r="20174" spans="1:19" x14ac:dyDescent="0.35">
      <c r="A20174" t="s">
        <v>228</v>
      </c>
      <c r="B20174" t="s">
        <v>265</v>
      </c>
      <c r="C20174" s="26">
        <v>0.35260000000000002</v>
      </c>
      <c r="D20174" s="26">
        <v>0.27800000000000002</v>
      </c>
      <c r="E20174" s="26">
        <v>0.2225</v>
      </c>
      <c r="F20174" s="26">
        <v>2.5899999999999999E-2</v>
      </c>
      <c r="G20174" s="26">
        <v>3.3700000000000001E-2</v>
      </c>
      <c r="H20174" s="26">
        <v>5.33E-2</v>
      </c>
      <c r="I20174" s="26">
        <v>1.06E-2</v>
      </c>
      <c r="J20174" s="26">
        <v>5.9999999999999995E-4</v>
      </c>
      <c r="K20174" s="26">
        <v>1.2E-2</v>
      </c>
      <c r="L20174" s="26">
        <v>1E-3</v>
      </c>
      <c r="M20174" s="26">
        <v>2.8E-3</v>
      </c>
      <c r="O20174" s="26">
        <v>2.8E-3</v>
      </c>
      <c r="P20174" s="26">
        <v>4.1000000000000003E-3</v>
      </c>
      <c r="S20174">
        <v>384</v>
      </c>
    </row>
    <row r="20175" spans="1:19" x14ac:dyDescent="0.35">
      <c r="A20175" s="27" t="s">
        <v>228</v>
      </c>
      <c r="B20175" s="27" t="s">
        <v>236</v>
      </c>
      <c r="C20175" s="29"/>
      <c r="D20175" s="29"/>
      <c r="E20175" s="28">
        <v>0.5</v>
      </c>
      <c r="F20175" s="28">
        <v>0.5</v>
      </c>
      <c r="G20175" s="29"/>
      <c r="H20175" s="29"/>
      <c r="I20175" s="29"/>
      <c r="J20175" s="29"/>
      <c r="K20175" s="29"/>
      <c r="L20175" s="29"/>
      <c r="M20175" s="29"/>
      <c r="N20175" s="29"/>
      <c r="O20175" s="29"/>
      <c r="P20175" s="29"/>
      <c r="Q20175" s="29"/>
      <c r="R20175" s="29"/>
      <c r="S20175" s="29" t="s">
        <v>314</v>
      </c>
    </row>
    <row r="20176" spans="1:19" x14ac:dyDescent="0.35">
      <c r="A20176" t="s">
        <v>228</v>
      </c>
      <c r="B20176" t="s">
        <v>266</v>
      </c>
      <c r="C20176" s="26">
        <v>0.33850000000000002</v>
      </c>
      <c r="D20176" s="26">
        <v>0.29020000000000001</v>
      </c>
      <c r="E20176" s="26">
        <v>0.2107</v>
      </c>
      <c r="F20176" s="26">
        <v>3.0099999999999998E-2</v>
      </c>
      <c r="G20176" s="26">
        <v>2.4799999999999999E-2</v>
      </c>
      <c r="H20176" s="26">
        <v>6.9800000000000001E-2</v>
      </c>
      <c r="I20176" s="26">
        <v>1.77E-2</v>
      </c>
      <c r="J20176" s="26">
        <v>4.8999999999999998E-3</v>
      </c>
      <c r="K20176" s="26">
        <v>4.1000000000000003E-3</v>
      </c>
      <c r="L20176" s="26">
        <v>4.1000000000000003E-3</v>
      </c>
      <c r="M20176" s="26">
        <v>5.1000000000000004E-3</v>
      </c>
      <c r="S20176">
        <v>448</v>
      </c>
    </row>
    <row r="20177" spans="1:19" x14ac:dyDescent="0.35">
      <c r="A20177" t="s">
        <v>229</v>
      </c>
      <c r="B20177" t="s">
        <v>266</v>
      </c>
      <c r="C20177" s="26">
        <v>0.41039999999999999</v>
      </c>
      <c r="D20177" s="26">
        <v>0.2021</v>
      </c>
      <c r="E20177" s="26">
        <v>0.13689999999999999</v>
      </c>
      <c r="F20177" s="26">
        <v>7.4300000000000005E-2</v>
      </c>
      <c r="G20177" s="26">
        <v>7.5800000000000006E-2</v>
      </c>
      <c r="H20177" s="26">
        <v>2.7400000000000001E-2</v>
      </c>
      <c r="I20177" s="26">
        <v>2.0899999999999998E-2</v>
      </c>
      <c r="J20177" s="26">
        <v>1.8599999999999998E-2</v>
      </c>
      <c r="K20177" s="26">
        <v>2.4400000000000002E-2</v>
      </c>
      <c r="L20177" s="26">
        <v>1.5E-3</v>
      </c>
      <c r="N20177" s="26">
        <v>7.6E-3</v>
      </c>
      <c r="S20177">
        <v>359</v>
      </c>
    </row>
    <row r="20178" spans="1:19" x14ac:dyDescent="0.35">
      <c r="A20178" t="s">
        <v>229</v>
      </c>
      <c r="B20178" t="s">
        <v>267</v>
      </c>
      <c r="C20178" s="26">
        <v>0.29899999999999999</v>
      </c>
      <c r="D20178" s="26">
        <v>0.2974</v>
      </c>
      <c r="E20178" s="26">
        <v>0.19350000000000001</v>
      </c>
      <c r="F20178" s="26">
        <v>7.7399999999999997E-2</v>
      </c>
      <c r="G20178" s="26">
        <v>4.9399999999999999E-2</v>
      </c>
      <c r="H20178" s="26">
        <v>1.4999999999999999E-2</v>
      </c>
      <c r="I20178" s="26">
        <v>6.1000000000000004E-3</v>
      </c>
      <c r="J20178" s="26">
        <v>1.4E-2</v>
      </c>
      <c r="K20178" s="26">
        <v>2.5600000000000001E-2</v>
      </c>
      <c r="L20178" s="26">
        <v>1.1299999999999999E-2</v>
      </c>
      <c r="M20178" s="26">
        <v>1.1299999999999999E-2</v>
      </c>
      <c r="S20178">
        <v>201</v>
      </c>
    </row>
    <row r="20179" spans="1:19" x14ac:dyDescent="0.35">
      <c r="A20179" t="s">
        <v>229</v>
      </c>
      <c r="B20179" t="s">
        <v>265</v>
      </c>
      <c r="C20179" s="26">
        <v>0.37069999999999997</v>
      </c>
      <c r="D20179" s="26">
        <v>0.23380000000000001</v>
      </c>
      <c r="E20179" s="26">
        <v>0.1996</v>
      </c>
      <c r="F20179" s="26">
        <v>6.13E-2</v>
      </c>
      <c r="G20179" s="26">
        <v>5.67E-2</v>
      </c>
      <c r="H20179" s="26">
        <v>1.2200000000000001E-2</v>
      </c>
      <c r="I20179" s="26">
        <v>1.3299999999999999E-2</v>
      </c>
      <c r="J20179" s="26">
        <v>1.15E-2</v>
      </c>
      <c r="K20179" s="26">
        <v>0.02</v>
      </c>
      <c r="L20179" s="26">
        <v>6.7000000000000002E-3</v>
      </c>
      <c r="M20179" s="26">
        <v>5.5999999999999999E-3</v>
      </c>
      <c r="N20179" s="26">
        <v>5.5999999999999999E-3</v>
      </c>
      <c r="P20179" s="26">
        <v>6.9999999999999999E-4</v>
      </c>
      <c r="Q20179" s="26">
        <v>2.2000000000000001E-3</v>
      </c>
      <c r="S20179">
        <v>335</v>
      </c>
    </row>
    <row r="20180" spans="1:19" x14ac:dyDescent="0.35">
      <c r="A20180" t="s">
        <v>230</v>
      </c>
      <c r="B20180" t="s">
        <v>267</v>
      </c>
      <c r="C20180" s="26">
        <v>0.55220000000000002</v>
      </c>
      <c r="D20180" s="26">
        <v>0.1166</v>
      </c>
      <c r="E20180" s="26">
        <v>7.6999999999999999E-2</v>
      </c>
      <c r="F20180" s="26">
        <v>4.9200000000000001E-2</v>
      </c>
      <c r="G20180" s="26">
        <v>3.9100000000000003E-2</v>
      </c>
      <c r="H20180" s="26">
        <v>1.6299999999999999E-2</v>
      </c>
      <c r="I20180" s="26">
        <v>0.1072</v>
      </c>
      <c r="K20180" s="26">
        <v>2.4500000000000001E-2</v>
      </c>
      <c r="L20180" s="26">
        <v>1.3599999999999999E-2</v>
      </c>
      <c r="M20180" s="26">
        <v>4.1000000000000003E-3</v>
      </c>
      <c r="S20180">
        <v>119</v>
      </c>
    </row>
    <row r="20181" spans="1:19" x14ac:dyDescent="0.35">
      <c r="A20181" t="s">
        <v>230</v>
      </c>
      <c r="B20181" t="s">
        <v>266</v>
      </c>
      <c r="C20181" s="26">
        <v>0.51359999999999995</v>
      </c>
      <c r="D20181" s="26">
        <v>0.19359999999999999</v>
      </c>
      <c r="E20181" s="26">
        <v>8.0799999999999997E-2</v>
      </c>
      <c r="F20181" s="26">
        <v>3.5499999999999997E-2</v>
      </c>
      <c r="G20181" s="26">
        <v>3.5499999999999997E-2</v>
      </c>
      <c r="H20181" s="26">
        <v>2.9499999999999998E-2</v>
      </c>
      <c r="I20181" s="26">
        <v>4.36E-2</v>
      </c>
      <c r="J20181" s="26">
        <v>1.7399999999999999E-2</v>
      </c>
      <c r="K20181" s="26">
        <v>3.2199999999999999E-2</v>
      </c>
      <c r="L20181" s="26">
        <v>1.8200000000000001E-2</v>
      </c>
      <c r="S20181">
        <v>231</v>
      </c>
    </row>
    <row r="20182" spans="1:19" x14ac:dyDescent="0.35">
      <c r="A20182" t="s">
        <v>230</v>
      </c>
      <c r="B20182" t="s">
        <v>265</v>
      </c>
      <c r="C20182" s="26">
        <v>0.50570000000000004</v>
      </c>
      <c r="D20182" s="26">
        <v>0.1852</v>
      </c>
      <c r="E20182" s="26">
        <v>9.7100000000000006E-2</v>
      </c>
      <c r="F20182" s="26">
        <v>5.5999999999999999E-3</v>
      </c>
      <c r="G20182" s="26">
        <v>4.07E-2</v>
      </c>
      <c r="H20182" s="26">
        <v>1.4E-2</v>
      </c>
      <c r="I20182" s="26">
        <v>8.4000000000000005E-2</v>
      </c>
      <c r="J20182" s="26">
        <v>2.5700000000000001E-2</v>
      </c>
      <c r="K20182" s="26">
        <v>8.5000000000000006E-3</v>
      </c>
      <c r="L20182" s="26">
        <v>2.92E-2</v>
      </c>
      <c r="O20182" s="26">
        <v>2.2000000000000001E-3</v>
      </c>
      <c r="R20182" s="26">
        <v>2.0999999999999999E-3</v>
      </c>
      <c r="S20182">
        <v>209</v>
      </c>
    </row>
    <row r="20183" spans="1:19" x14ac:dyDescent="0.35">
      <c r="A20183" t="s">
        <v>231</v>
      </c>
      <c r="B20183" t="s">
        <v>267</v>
      </c>
      <c r="C20183" s="26">
        <v>0.47060000000000002</v>
      </c>
      <c r="D20183" s="26">
        <v>0.23530000000000001</v>
      </c>
      <c r="E20183" s="26">
        <v>8.8200000000000001E-2</v>
      </c>
      <c r="F20183" s="26">
        <v>5.8799999999999998E-2</v>
      </c>
      <c r="G20183" s="26">
        <v>5.8799999999999998E-2</v>
      </c>
      <c r="H20183" s="26">
        <v>2.9399999999999999E-2</v>
      </c>
      <c r="I20183" s="26">
        <v>2.9399999999999999E-2</v>
      </c>
      <c r="J20183" s="26">
        <v>2.9399999999999999E-2</v>
      </c>
      <c r="S20183">
        <v>34</v>
      </c>
    </row>
    <row r="20184" spans="1:19" x14ac:dyDescent="0.35">
      <c r="A20184" t="s">
        <v>231</v>
      </c>
      <c r="B20184" t="s">
        <v>266</v>
      </c>
      <c r="C20184" s="26">
        <v>0.4677</v>
      </c>
      <c r="D20184" s="26">
        <v>0.2097</v>
      </c>
      <c r="E20184" s="26">
        <v>0.1129</v>
      </c>
      <c r="F20184" s="26">
        <v>0.129</v>
      </c>
      <c r="G20184" s="26">
        <v>3.2300000000000002E-2</v>
      </c>
      <c r="I20184" s="26">
        <v>1.61E-2</v>
      </c>
      <c r="J20184" s="26">
        <v>1.61E-2</v>
      </c>
      <c r="M20184" s="26">
        <v>1.61E-2</v>
      </c>
      <c r="S20184">
        <v>62</v>
      </c>
    </row>
    <row r="20185" spans="1:19" x14ac:dyDescent="0.35">
      <c r="A20185" t="s">
        <v>231</v>
      </c>
      <c r="B20185" t="s">
        <v>265</v>
      </c>
      <c r="C20185" s="26">
        <v>0.42649999999999999</v>
      </c>
      <c r="D20185" s="26">
        <v>0.25</v>
      </c>
      <c r="F20185" s="26">
        <v>0.1618</v>
      </c>
      <c r="G20185" s="26">
        <v>7.3499999999999996E-2</v>
      </c>
      <c r="H20185" s="26">
        <v>2.9399999999999999E-2</v>
      </c>
      <c r="I20185" s="26">
        <v>1.47E-2</v>
      </c>
      <c r="J20185" s="26">
        <v>4.41E-2</v>
      </c>
      <c r="S20185">
        <v>68</v>
      </c>
    </row>
    <row r="20186" spans="1:19" x14ac:dyDescent="0.35">
      <c r="A20186" t="s">
        <v>232</v>
      </c>
      <c r="B20186" t="s">
        <v>232</v>
      </c>
      <c r="C20186" s="26">
        <v>0.40639999999999998</v>
      </c>
      <c r="D20186" s="26">
        <v>0.23860000000000001</v>
      </c>
      <c r="E20186" s="26">
        <v>0.1416</v>
      </c>
      <c r="F20186" s="26">
        <v>7.8399999999999997E-2</v>
      </c>
      <c r="G20186" s="26">
        <v>5.0200000000000002E-2</v>
      </c>
      <c r="H20186" s="26">
        <v>2.46E-2</v>
      </c>
      <c r="I20186" s="26">
        <v>2.12E-2</v>
      </c>
      <c r="J20186" s="26">
        <v>1.7100000000000001E-2</v>
      </c>
      <c r="K20186" s="26">
        <v>1.0200000000000001E-2</v>
      </c>
      <c r="L20186" s="26">
        <v>4.4000000000000003E-3</v>
      </c>
      <c r="M20186" s="26">
        <v>3.8E-3</v>
      </c>
      <c r="N20186" s="26">
        <v>1.4E-3</v>
      </c>
      <c r="O20186" s="26">
        <v>1.2999999999999999E-3</v>
      </c>
      <c r="P20186" s="26">
        <v>4.0000000000000002E-4</v>
      </c>
      <c r="Q20186" s="26">
        <v>2.9999999999999997E-4</v>
      </c>
      <c r="R20186" s="26">
        <v>1E-4</v>
      </c>
      <c r="S20186">
        <v>2812</v>
      </c>
    </row>
    <row r="20188" spans="1:19" x14ac:dyDescent="0.35">
      <c r="A20188" s="1" t="s">
        <v>2007</v>
      </c>
    </row>
    <row r="20189" spans="1:19" x14ac:dyDescent="0.35">
      <c r="A20189" t="s">
        <v>219</v>
      </c>
      <c r="B20189" t="s">
        <v>305</v>
      </c>
      <c r="C20189" t="s">
        <v>1988</v>
      </c>
      <c r="D20189" t="s">
        <v>1989</v>
      </c>
      <c r="E20189" t="s">
        <v>1990</v>
      </c>
      <c r="F20189" t="s">
        <v>1991</v>
      </c>
      <c r="G20189" t="s">
        <v>1992</v>
      </c>
      <c r="H20189" t="s">
        <v>1993</v>
      </c>
      <c r="I20189" t="s">
        <v>1994</v>
      </c>
      <c r="J20189" t="s">
        <v>1995</v>
      </c>
      <c r="K20189" t="s">
        <v>1996</v>
      </c>
      <c r="L20189" t="s">
        <v>1997</v>
      </c>
      <c r="M20189" t="s">
        <v>1998</v>
      </c>
      <c r="N20189" t="s">
        <v>1999</v>
      </c>
      <c r="O20189" t="s">
        <v>281</v>
      </c>
      <c r="P20189" t="s">
        <v>2000</v>
      </c>
      <c r="Q20189" t="s">
        <v>286</v>
      </c>
      <c r="R20189" t="s">
        <v>2001</v>
      </c>
      <c r="S20189" t="s">
        <v>226</v>
      </c>
    </row>
    <row r="20190" spans="1:19" x14ac:dyDescent="0.35">
      <c r="A20190" t="s">
        <v>227</v>
      </c>
      <c r="B20190" t="s">
        <v>252</v>
      </c>
      <c r="C20190" s="26">
        <v>0.44440000000000002</v>
      </c>
      <c r="D20190" s="26">
        <v>0.22220000000000001</v>
      </c>
      <c r="E20190" s="26">
        <v>0.1333</v>
      </c>
      <c r="F20190" s="26">
        <v>0.1111</v>
      </c>
      <c r="G20190" s="26">
        <v>6.6699999999999995E-2</v>
      </c>
      <c r="I20190" s="26">
        <v>2.2200000000000001E-2</v>
      </c>
      <c r="S20190">
        <v>45</v>
      </c>
    </row>
    <row r="20191" spans="1:19" x14ac:dyDescent="0.35">
      <c r="A20191" t="s">
        <v>227</v>
      </c>
      <c r="B20191" t="s">
        <v>253</v>
      </c>
      <c r="C20191" s="26">
        <v>0.4118</v>
      </c>
      <c r="D20191" s="26">
        <v>0.32350000000000001</v>
      </c>
      <c r="E20191" s="26">
        <v>0.14710000000000001</v>
      </c>
      <c r="F20191" s="26">
        <v>5.8799999999999998E-2</v>
      </c>
      <c r="G20191" s="26">
        <v>2.9399999999999999E-2</v>
      </c>
      <c r="O20191" s="26">
        <v>2.9399999999999999E-2</v>
      </c>
      <c r="S20191">
        <v>34</v>
      </c>
    </row>
    <row r="20192" spans="1:19" x14ac:dyDescent="0.35">
      <c r="A20192" t="s">
        <v>227</v>
      </c>
      <c r="B20192" t="s">
        <v>251</v>
      </c>
      <c r="C20192" s="26">
        <v>0.35370000000000001</v>
      </c>
      <c r="D20192" s="26">
        <v>0.23169999999999999</v>
      </c>
      <c r="E20192" s="26">
        <v>0.1951</v>
      </c>
      <c r="F20192" s="26">
        <v>0.10979999999999999</v>
      </c>
      <c r="G20192" s="26">
        <v>4.8800000000000003E-2</v>
      </c>
      <c r="H20192" s="26">
        <v>2.4400000000000002E-2</v>
      </c>
      <c r="I20192" s="26">
        <v>1.2200000000000001E-2</v>
      </c>
      <c r="J20192" s="26">
        <v>2.4400000000000002E-2</v>
      </c>
      <c r="S20192">
        <v>82</v>
      </c>
    </row>
    <row r="20193" spans="1:19" x14ac:dyDescent="0.35">
      <c r="A20193" t="s">
        <v>228</v>
      </c>
      <c r="B20193" t="s">
        <v>252</v>
      </c>
      <c r="C20193" s="26">
        <v>0.39729999999999999</v>
      </c>
      <c r="D20193" s="26">
        <v>0.22869999999999999</v>
      </c>
      <c r="E20193" s="26">
        <v>0.18229999999999999</v>
      </c>
      <c r="F20193" s="26">
        <v>4.9299999999999997E-2</v>
      </c>
      <c r="G20193" s="26">
        <v>3.2199999999999999E-2</v>
      </c>
      <c r="H20193" s="26">
        <v>6.8500000000000005E-2</v>
      </c>
      <c r="I20193" s="26">
        <v>1.55E-2</v>
      </c>
      <c r="J20193" s="26">
        <v>1.5E-3</v>
      </c>
      <c r="K20193" s="26">
        <v>8.8000000000000005E-3</v>
      </c>
      <c r="L20193" s="26">
        <v>3.8E-3</v>
      </c>
      <c r="M20193" s="26">
        <v>8.3999999999999995E-3</v>
      </c>
      <c r="P20193" s="26">
        <v>3.5999999999999999E-3</v>
      </c>
      <c r="S20193">
        <v>344</v>
      </c>
    </row>
    <row r="20194" spans="1:19" x14ac:dyDescent="0.35">
      <c r="A20194" t="s">
        <v>228</v>
      </c>
      <c r="B20194" t="s">
        <v>253</v>
      </c>
      <c r="C20194" s="26">
        <v>0.31319999999999998</v>
      </c>
      <c r="D20194" s="26">
        <v>0.27710000000000001</v>
      </c>
      <c r="E20194" s="26">
        <v>0.23480000000000001</v>
      </c>
      <c r="F20194" s="26">
        <v>3.3000000000000002E-2</v>
      </c>
      <c r="G20194" s="26">
        <v>3.5700000000000003E-2</v>
      </c>
      <c r="H20194" s="26">
        <v>4.7699999999999999E-2</v>
      </c>
      <c r="I20194" s="26">
        <v>1.8800000000000001E-2</v>
      </c>
      <c r="J20194" s="26">
        <v>5.5999999999999999E-3</v>
      </c>
      <c r="K20194" s="26">
        <v>1.9400000000000001E-2</v>
      </c>
      <c r="L20194" s="26">
        <v>6.1000000000000004E-3</v>
      </c>
      <c r="M20194" s="26">
        <v>2.7000000000000001E-3</v>
      </c>
      <c r="O20194" s="26">
        <v>5.7000000000000002E-3</v>
      </c>
      <c r="S20194">
        <v>222</v>
      </c>
    </row>
    <row r="20195" spans="1:19" x14ac:dyDescent="0.35">
      <c r="A20195" t="s">
        <v>228</v>
      </c>
      <c r="B20195" t="s">
        <v>251</v>
      </c>
      <c r="C20195" s="26">
        <v>0.34670000000000001</v>
      </c>
      <c r="D20195" s="26">
        <v>0.30430000000000001</v>
      </c>
      <c r="E20195" s="26">
        <v>0.21629999999999999</v>
      </c>
      <c r="F20195" s="26">
        <v>1.8499999999999999E-2</v>
      </c>
      <c r="G20195" s="26">
        <v>3.3500000000000002E-2</v>
      </c>
      <c r="H20195" s="26">
        <v>4.99E-2</v>
      </c>
      <c r="I20195" s="26">
        <v>1.5100000000000001E-2</v>
      </c>
      <c r="J20195" s="26">
        <v>8.9999999999999993E-3</v>
      </c>
      <c r="K20195" s="26">
        <v>4.4999999999999997E-3</v>
      </c>
      <c r="L20195" s="26">
        <v>1.1999999999999999E-3</v>
      </c>
      <c r="P20195" s="26">
        <v>1.1999999999999999E-3</v>
      </c>
      <c r="S20195">
        <v>467</v>
      </c>
    </row>
    <row r="20196" spans="1:19" x14ac:dyDescent="0.35">
      <c r="A20196" t="s">
        <v>229</v>
      </c>
      <c r="B20196" t="s">
        <v>252</v>
      </c>
      <c r="C20196" s="26">
        <v>0.37159999999999999</v>
      </c>
      <c r="D20196" s="26">
        <v>0.10050000000000001</v>
      </c>
      <c r="E20196" s="26">
        <v>0.14499999999999999</v>
      </c>
      <c r="F20196" s="26">
        <v>0.13109999999999999</v>
      </c>
      <c r="G20196" s="26">
        <v>0.1095</v>
      </c>
      <c r="H20196" s="26">
        <v>2.53E-2</v>
      </c>
      <c r="I20196" s="26">
        <v>3.0300000000000001E-2</v>
      </c>
      <c r="J20196" s="26">
        <v>2.2800000000000001E-2</v>
      </c>
      <c r="K20196" s="26">
        <v>5.1299999999999998E-2</v>
      </c>
      <c r="L20196" s="26">
        <v>1.26E-2</v>
      </c>
      <c r="S20196">
        <v>199</v>
      </c>
    </row>
    <row r="20197" spans="1:19" x14ac:dyDescent="0.35">
      <c r="A20197" t="s">
        <v>229</v>
      </c>
      <c r="B20197" t="s">
        <v>253</v>
      </c>
      <c r="C20197" s="26">
        <v>0.41299999999999998</v>
      </c>
      <c r="D20197" s="26">
        <v>0.222</v>
      </c>
      <c r="E20197" s="26">
        <v>0.1128</v>
      </c>
      <c r="F20197" s="26">
        <v>9.8199999999999996E-2</v>
      </c>
      <c r="G20197" s="26">
        <v>5.1499999999999997E-2</v>
      </c>
      <c r="H20197" s="26">
        <v>1.6799999999999999E-2</v>
      </c>
      <c r="I20197" s="26">
        <v>1.4999999999999999E-2</v>
      </c>
      <c r="J20197" s="26">
        <v>1.3299999999999999E-2</v>
      </c>
      <c r="K20197" s="26">
        <v>1.4200000000000001E-2</v>
      </c>
      <c r="M20197" s="26">
        <v>2.6499999999999999E-2</v>
      </c>
      <c r="N20197" s="26">
        <v>1.3299999999999999E-2</v>
      </c>
      <c r="Q20197" s="26">
        <v>3.5000000000000001E-3</v>
      </c>
      <c r="S20197">
        <v>145</v>
      </c>
    </row>
    <row r="20198" spans="1:19" x14ac:dyDescent="0.35">
      <c r="A20198" t="s">
        <v>229</v>
      </c>
      <c r="B20198" t="s">
        <v>251</v>
      </c>
      <c r="C20198" s="26">
        <v>0.35189999999999999</v>
      </c>
      <c r="D20198" s="26">
        <v>0.29480000000000001</v>
      </c>
      <c r="E20198" s="26">
        <v>0.21099999999999999</v>
      </c>
      <c r="F20198" s="26">
        <v>3.61E-2</v>
      </c>
      <c r="G20198" s="26">
        <v>4.6199999999999998E-2</v>
      </c>
      <c r="H20198" s="26">
        <v>1.5299999999999999E-2</v>
      </c>
      <c r="I20198" s="26">
        <v>7.7999999999999996E-3</v>
      </c>
      <c r="J20198" s="26">
        <v>1.15E-2</v>
      </c>
      <c r="K20198" s="26">
        <v>1.4500000000000001E-2</v>
      </c>
      <c r="L20198" s="26">
        <v>5.4000000000000003E-3</v>
      </c>
      <c r="N20198" s="26">
        <v>4.3E-3</v>
      </c>
      <c r="P20198" s="26">
        <v>5.9999999999999995E-4</v>
      </c>
      <c r="Q20198" s="26">
        <v>5.9999999999999995E-4</v>
      </c>
      <c r="S20198">
        <v>551</v>
      </c>
    </row>
    <row r="20199" spans="1:19" x14ac:dyDescent="0.35">
      <c r="A20199" t="s">
        <v>230</v>
      </c>
      <c r="B20199" t="s">
        <v>252</v>
      </c>
      <c r="C20199" s="26">
        <v>0.44729999999999998</v>
      </c>
      <c r="D20199" s="26">
        <v>9.7299999999999998E-2</v>
      </c>
      <c r="E20199" s="26">
        <v>8.7999999999999995E-2</v>
      </c>
      <c r="F20199" s="26">
        <v>4.3299999999999998E-2</v>
      </c>
      <c r="G20199" s="26">
        <v>7.8200000000000006E-2</v>
      </c>
      <c r="H20199" s="26">
        <v>3.49E-2</v>
      </c>
      <c r="I20199" s="26">
        <v>0.14230000000000001</v>
      </c>
      <c r="J20199" s="26">
        <v>3.5999999999999999E-3</v>
      </c>
      <c r="K20199" s="26">
        <v>3.5000000000000003E-2</v>
      </c>
      <c r="L20199" s="26">
        <v>2.6700000000000002E-2</v>
      </c>
      <c r="M20199" s="26">
        <v>3.5999999999999999E-3</v>
      </c>
      <c r="S20199">
        <v>158</v>
      </c>
    </row>
    <row r="20200" spans="1:19" x14ac:dyDescent="0.35">
      <c r="A20200" t="s">
        <v>230</v>
      </c>
      <c r="B20200" t="s">
        <v>253</v>
      </c>
      <c r="C20200" s="26">
        <v>0.65449999999999997</v>
      </c>
      <c r="D20200" s="26">
        <v>0.1734</v>
      </c>
      <c r="E20200" s="26">
        <v>7.7799999999999994E-2</v>
      </c>
      <c r="F20200" s="26">
        <v>6.3E-3</v>
      </c>
      <c r="H20200" s="26">
        <v>1.09E-2</v>
      </c>
      <c r="I20200" s="26">
        <v>4.87E-2</v>
      </c>
      <c r="K20200" s="26">
        <v>2.3599999999999999E-2</v>
      </c>
      <c r="L20200" s="26">
        <v>4.7999999999999996E-3</v>
      </c>
      <c r="S20200">
        <v>110</v>
      </c>
    </row>
    <row r="20201" spans="1:19" x14ac:dyDescent="0.35">
      <c r="A20201" t="s">
        <v>230</v>
      </c>
      <c r="B20201" t="s">
        <v>251</v>
      </c>
      <c r="C20201" s="26">
        <v>0.50549999999999995</v>
      </c>
      <c r="D20201" s="26">
        <v>0.20799999999999999</v>
      </c>
      <c r="E20201" s="26">
        <v>8.9300000000000004E-2</v>
      </c>
      <c r="F20201" s="26">
        <v>2.4799999999999999E-2</v>
      </c>
      <c r="G20201" s="26">
        <v>3.3300000000000003E-2</v>
      </c>
      <c r="H20201" s="26">
        <v>1.6400000000000001E-2</v>
      </c>
      <c r="I20201" s="26">
        <v>5.21E-2</v>
      </c>
      <c r="J20201" s="26">
        <v>2.9100000000000001E-2</v>
      </c>
      <c r="K20201" s="26">
        <v>1.29E-2</v>
      </c>
      <c r="L20201" s="26">
        <v>2.53E-2</v>
      </c>
      <c r="O20201" s="26">
        <v>1.6000000000000001E-3</v>
      </c>
      <c r="R20201" s="26">
        <v>1.6000000000000001E-3</v>
      </c>
      <c r="S20201">
        <v>291</v>
      </c>
    </row>
    <row r="20202" spans="1:19" x14ac:dyDescent="0.35">
      <c r="A20202" t="s">
        <v>231</v>
      </c>
      <c r="B20202" t="s">
        <v>252</v>
      </c>
      <c r="C20202" s="26">
        <v>0.53059999999999996</v>
      </c>
      <c r="D20202" s="26">
        <v>0.10199999999999999</v>
      </c>
      <c r="E20202" s="26">
        <v>8.1600000000000006E-2</v>
      </c>
      <c r="F20202" s="26">
        <v>0.1633</v>
      </c>
      <c r="G20202" s="26">
        <v>6.1199999999999997E-2</v>
      </c>
      <c r="H20202" s="26">
        <v>2.0400000000000001E-2</v>
      </c>
      <c r="I20202" s="26">
        <v>2.0400000000000001E-2</v>
      </c>
      <c r="J20202" s="26">
        <v>2.0400000000000001E-2</v>
      </c>
      <c r="S20202">
        <v>49</v>
      </c>
    </row>
    <row r="20203" spans="1:19" x14ac:dyDescent="0.35">
      <c r="A20203" t="s">
        <v>231</v>
      </c>
      <c r="B20203" t="s">
        <v>253</v>
      </c>
      <c r="C20203" s="26">
        <v>0.43330000000000002</v>
      </c>
      <c r="D20203" s="26">
        <v>0.23330000000000001</v>
      </c>
      <c r="E20203" s="26">
        <v>3.3300000000000003E-2</v>
      </c>
      <c r="F20203" s="26">
        <v>0.16669999999999999</v>
      </c>
      <c r="G20203" s="26">
        <v>3.3300000000000003E-2</v>
      </c>
      <c r="I20203" s="26">
        <v>3.3300000000000003E-2</v>
      </c>
      <c r="J20203" s="26">
        <v>3.3300000000000003E-2</v>
      </c>
      <c r="M20203" s="26">
        <v>3.3300000000000003E-2</v>
      </c>
      <c r="S20203">
        <v>30</v>
      </c>
    </row>
    <row r="20204" spans="1:19" x14ac:dyDescent="0.35">
      <c r="A20204" t="s">
        <v>231</v>
      </c>
      <c r="B20204" t="s">
        <v>251</v>
      </c>
      <c r="C20204" s="26">
        <v>0.4118</v>
      </c>
      <c r="D20204" s="26">
        <v>0.30590000000000001</v>
      </c>
      <c r="E20204" s="26">
        <v>5.8799999999999998E-2</v>
      </c>
      <c r="F20204" s="26">
        <v>9.4100000000000003E-2</v>
      </c>
      <c r="G20204" s="26">
        <v>5.8799999999999998E-2</v>
      </c>
      <c r="H20204" s="26">
        <v>2.35E-2</v>
      </c>
      <c r="I20204" s="26">
        <v>1.18E-2</v>
      </c>
      <c r="J20204" s="26">
        <v>3.5299999999999998E-2</v>
      </c>
      <c r="S20204">
        <v>85</v>
      </c>
    </row>
    <row r="20205" spans="1:19" x14ac:dyDescent="0.35">
      <c r="A20205" t="s">
        <v>232</v>
      </c>
      <c r="B20205" t="s">
        <v>232</v>
      </c>
      <c r="C20205" s="26">
        <v>0.40639999999999998</v>
      </c>
      <c r="D20205" s="26">
        <v>0.23860000000000001</v>
      </c>
      <c r="E20205" s="26">
        <v>0.1416</v>
      </c>
      <c r="F20205" s="26">
        <v>7.8399999999999997E-2</v>
      </c>
      <c r="G20205" s="26">
        <v>5.0200000000000002E-2</v>
      </c>
      <c r="H20205" s="26">
        <v>2.46E-2</v>
      </c>
      <c r="I20205" s="26">
        <v>2.12E-2</v>
      </c>
      <c r="J20205" s="26">
        <v>1.7100000000000001E-2</v>
      </c>
      <c r="K20205" s="26">
        <v>1.0200000000000001E-2</v>
      </c>
      <c r="L20205" s="26">
        <v>4.4000000000000003E-3</v>
      </c>
      <c r="M20205" s="26">
        <v>3.8E-3</v>
      </c>
      <c r="N20205" s="26">
        <v>1.4E-3</v>
      </c>
      <c r="O20205" s="26">
        <v>1.2999999999999999E-3</v>
      </c>
      <c r="P20205" s="26">
        <v>4.0000000000000002E-4</v>
      </c>
      <c r="Q20205" s="26">
        <v>2.9999999999999997E-4</v>
      </c>
      <c r="R20205" s="26">
        <v>1E-4</v>
      </c>
      <c r="S20205">
        <v>2812</v>
      </c>
    </row>
    <row r="20207" spans="1:19" x14ac:dyDescent="0.35">
      <c r="A20207" s="1" t="s">
        <v>2008</v>
      </c>
    </row>
    <row r="20208" spans="1:19" x14ac:dyDescent="0.35">
      <c r="A20208" t="s">
        <v>219</v>
      </c>
      <c r="B20208" t="s">
        <v>305</v>
      </c>
      <c r="C20208" t="s">
        <v>1988</v>
      </c>
      <c r="D20208" t="s">
        <v>1989</v>
      </c>
      <c r="E20208" t="s">
        <v>1990</v>
      </c>
      <c r="F20208" t="s">
        <v>1991</v>
      </c>
      <c r="G20208" t="s">
        <v>1992</v>
      </c>
      <c r="H20208" t="s">
        <v>1993</v>
      </c>
      <c r="I20208" t="s">
        <v>1994</v>
      </c>
      <c r="J20208" t="s">
        <v>1995</v>
      </c>
      <c r="K20208" t="s">
        <v>1996</v>
      </c>
      <c r="L20208" t="s">
        <v>1997</v>
      </c>
      <c r="M20208" t="s">
        <v>1998</v>
      </c>
      <c r="N20208" t="s">
        <v>1999</v>
      </c>
      <c r="O20208" t="s">
        <v>281</v>
      </c>
      <c r="P20208" t="s">
        <v>2000</v>
      </c>
      <c r="Q20208" t="s">
        <v>286</v>
      </c>
      <c r="R20208" t="s">
        <v>2001</v>
      </c>
      <c r="S20208" t="s">
        <v>226</v>
      </c>
    </row>
    <row r="20209" spans="1:19" x14ac:dyDescent="0.35">
      <c r="A20209" t="s">
        <v>227</v>
      </c>
      <c r="B20209" t="s">
        <v>249</v>
      </c>
      <c r="C20209" s="26">
        <v>0.34089999999999998</v>
      </c>
      <c r="D20209" s="26">
        <v>0.34089999999999998</v>
      </c>
      <c r="E20209" s="26">
        <v>0.15909999999999999</v>
      </c>
      <c r="F20209" s="26">
        <v>6.8199999999999997E-2</v>
      </c>
      <c r="G20209" s="26">
        <v>2.2700000000000001E-2</v>
      </c>
      <c r="H20209" s="26">
        <v>2.2700000000000001E-2</v>
      </c>
      <c r="I20209" s="26">
        <v>2.2700000000000001E-2</v>
      </c>
      <c r="J20209" s="26">
        <v>2.2700000000000001E-2</v>
      </c>
      <c r="S20209">
        <v>44</v>
      </c>
    </row>
    <row r="20210" spans="1:19" x14ac:dyDescent="0.35">
      <c r="A20210" t="s">
        <v>227</v>
      </c>
      <c r="B20210" t="s">
        <v>248</v>
      </c>
      <c r="C20210" s="26">
        <v>0.4103</v>
      </c>
      <c r="D20210" s="26">
        <v>0.2137</v>
      </c>
      <c r="E20210" s="26">
        <v>0.1709</v>
      </c>
      <c r="F20210" s="26">
        <v>0.1111</v>
      </c>
      <c r="G20210" s="26">
        <v>5.9799999999999999E-2</v>
      </c>
      <c r="H20210" s="26">
        <v>8.5000000000000006E-3</v>
      </c>
      <c r="I20210" s="26">
        <v>8.5000000000000006E-3</v>
      </c>
      <c r="J20210" s="26">
        <v>8.5000000000000006E-3</v>
      </c>
      <c r="O20210" s="26">
        <v>8.5000000000000006E-3</v>
      </c>
      <c r="S20210">
        <v>117</v>
      </c>
    </row>
    <row r="20211" spans="1:19" x14ac:dyDescent="0.35">
      <c r="A20211" t="s">
        <v>228</v>
      </c>
      <c r="B20211" t="s">
        <v>249</v>
      </c>
      <c r="C20211" s="26">
        <v>0.34239999999999998</v>
      </c>
      <c r="D20211" s="26">
        <v>0.30880000000000002</v>
      </c>
      <c r="E20211" s="26">
        <v>0.18459999999999999</v>
      </c>
      <c r="F20211" s="26">
        <v>1.03E-2</v>
      </c>
      <c r="G20211" s="26">
        <v>2.7E-2</v>
      </c>
      <c r="H20211" s="26">
        <v>8.9300000000000004E-2</v>
      </c>
      <c r="I20211" s="26">
        <v>1.0999999999999999E-2</v>
      </c>
      <c r="J20211" s="26">
        <v>3.2000000000000002E-3</v>
      </c>
      <c r="K20211" s="26">
        <v>1.7000000000000001E-2</v>
      </c>
      <c r="L20211" s="26">
        <v>2.8E-3</v>
      </c>
      <c r="M20211" s="26">
        <v>1.8E-3</v>
      </c>
      <c r="P20211" s="26">
        <v>1.8E-3</v>
      </c>
      <c r="S20211">
        <v>274</v>
      </c>
    </row>
    <row r="20212" spans="1:19" x14ac:dyDescent="0.35">
      <c r="A20212" t="s">
        <v>228</v>
      </c>
      <c r="B20212" t="s">
        <v>248</v>
      </c>
      <c r="C20212" s="26">
        <v>0.3619</v>
      </c>
      <c r="D20212" s="26">
        <v>0.25990000000000002</v>
      </c>
      <c r="E20212" s="26">
        <v>0.21970000000000001</v>
      </c>
      <c r="F20212" s="26">
        <v>4.0300000000000002E-2</v>
      </c>
      <c r="G20212" s="26">
        <v>3.6299999999999999E-2</v>
      </c>
      <c r="H20212" s="26">
        <v>4.1000000000000002E-2</v>
      </c>
      <c r="I20212" s="26">
        <v>1.8200000000000001E-2</v>
      </c>
      <c r="J20212" s="26">
        <v>7.1000000000000004E-3</v>
      </c>
      <c r="K20212" s="26">
        <v>5.4999999999999997E-3</v>
      </c>
      <c r="L20212" s="26">
        <v>3.0999999999999999E-3</v>
      </c>
      <c r="M20212" s="26">
        <v>3.8E-3</v>
      </c>
      <c r="O20212" s="26">
        <v>1.6999999999999999E-3</v>
      </c>
      <c r="P20212" s="26">
        <v>1.6999999999999999E-3</v>
      </c>
      <c r="S20212">
        <v>759</v>
      </c>
    </row>
    <row r="20213" spans="1:19" x14ac:dyDescent="0.35">
      <c r="A20213" t="s">
        <v>229</v>
      </c>
      <c r="B20213" t="s">
        <v>249</v>
      </c>
      <c r="C20213" s="26">
        <v>0.35060000000000002</v>
      </c>
      <c r="D20213" s="26">
        <v>0.28410000000000002</v>
      </c>
      <c r="E20213" s="26">
        <v>0.21920000000000001</v>
      </c>
      <c r="F20213" s="26">
        <v>2.01E-2</v>
      </c>
      <c r="G20213" s="26">
        <v>5.4399999999999997E-2</v>
      </c>
      <c r="H20213" s="26">
        <v>9.1000000000000004E-3</v>
      </c>
      <c r="I20213" s="26">
        <v>1.11E-2</v>
      </c>
      <c r="J20213" s="26">
        <v>1.7299999999999999E-2</v>
      </c>
      <c r="K20213" s="26">
        <v>1.7299999999999999E-2</v>
      </c>
      <c r="L20213" s="26">
        <v>9.1000000000000004E-3</v>
      </c>
      <c r="N20213" s="26">
        <v>7.6E-3</v>
      </c>
      <c r="S20213">
        <v>259</v>
      </c>
    </row>
    <row r="20214" spans="1:19" x14ac:dyDescent="0.35">
      <c r="A20214" t="s">
        <v>229</v>
      </c>
      <c r="B20214" t="s">
        <v>248</v>
      </c>
      <c r="C20214" s="26">
        <v>0.37630000000000002</v>
      </c>
      <c r="D20214" s="26">
        <v>0.2147</v>
      </c>
      <c r="E20214" s="26">
        <v>0.15740000000000001</v>
      </c>
      <c r="F20214" s="26">
        <v>9.3100000000000002E-2</v>
      </c>
      <c r="G20214" s="26">
        <v>6.4799999999999996E-2</v>
      </c>
      <c r="H20214" s="26">
        <v>2.2100000000000002E-2</v>
      </c>
      <c r="I20214" s="26">
        <v>1.5699999999999999E-2</v>
      </c>
      <c r="J20214" s="26">
        <v>1.2999999999999999E-2</v>
      </c>
      <c r="K20214" s="26">
        <v>2.53E-2</v>
      </c>
      <c r="L20214" s="26">
        <v>4.4999999999999997E-3</v>
      </c>
      <c r="M20214" s="26">
        <v>7.4999999999999997E-3</v>
      </c>
      <c r="N20214" s="26">
        <v>3.7000000000000002E-3</v>
      </c>
      <c r="P20214" s="26">
        <v>5.0000000000000001E-4</v>
      </c>
      <c r="Q20214" s="26">
        <v>1.5E-3</v>
      </c>
      <c r="S20214">
        <v>636</v>
      </c>
    </row>
    <row r="20215" spans="1:19" x14ac:dyDescent="0.35">
      <c r="A20215" t="s">
        <v>230</v>
      </c>
      <c r="B20215" t="s">
        <v>249</v>
      </c>
      <c r="C20215" s="26">
        <v>0.50209999999999999</v>
      </c>
      <c r="D20215" s="26">
        <v>0.21759999999999999</v>
      </c>
      <c r="E20215" s="26">
        <v>5.7099999999999998E-2</v>
      </c>
      <c r="F20215" s="26">
        <v>1.6899999999999998E-2</v>
      </c>
      <c r="G20215" s="26">
        <v>3.0200000000000001E-2</v>
      </c>
      <c r="H20215" s="26">
        <v>1.5699999999999999E-2</v>
      </c>
      <c r="I20215" s="26">
        <v>4.7699999999999999E-2</v>
      </c>
      <c r="J20215" s="26">
        <v>4.7899999999999998E-2</v>
      </c>
      <c r="K20215" s="26">
        <v>2.1299999999999999E-2</v>
      </c>
      <c r="L20215" s="26">
        <v>3.8100000000000002E-2</v>
      </c>
      <c r="O20215" s="26">
        <v>2.7000000000000001E-3</v>
      </c>
      <c r="R20215" s="26">
        <v>2.5999999999999999E-3</v>
      </c>
      <c r="S20215">
        <v>171</v>
      </c>
    </row>
    <row r="20216" spans="1:19" x14ac:dyDescent="0.35">
      <c r="A20216" t="s">
        <v>230</v>
      </c>
      <c r="B20216" t="s">
        <v>248</v>
      </c>
      <c r="C20216" s="26">
        <v>0.5272</v>
      </c>
      <c r="D20216" s="26">
        <v>0.15049999999999999</v>
      </c>
      <c r="E20216" s="26">
        <v>0.1019</v>
      </c>
      <c r="F20216" s="26">
        <v>3.0700000000000002E-2</v>
      </c>
      <c r="G20216" s="26">
        <v>4.2700000000000002E-2</v>
      </c>
      <c r="H20216" s="26">
        <v>2.23E-2</v>
      </c>
      <c r="I20216" s="26">
        <v>8.8099999999999998E-2</v>
      </c>
      <c r="J20216" s="26">
        <v>1.4E-3</v>
      </c>
      <c r="K20216" s="26">
        <v>2.0199999999999999E-2</v>
      </c>
      <c r="L20216" s="26">
        <v>1.35E-2</v>
      </c>
      <c r="M20216" s="26">
        <v>1.4E-3</v>
      </c>
      <c r="S20216">
        <v>388</v>
      </c>
    </row>
    <row r="20217" spans="1:19" x14ac:dyDescent="0.35">
      <c r="A20217" t="s">
        <v>231</v>
      </c>
      <c r="B20217" t="s">
        <v>249</v>
      </c>
      <c r="C20217" s="26">
        <v>0.57140000000000002</v>
      </c>
      <c r="D20217" s="26">
        <v>0.2286</v>
      </c>
      <c r="F20217" s="26">
        <v>5.7099999999999998E-2</v>
      </c>
      <c r="G20217" s="26">
        <v>8.5699999999999998E-2</v>
      </c>
      <c r="H20217" s="26">
        <v>2.86E-2</v>
      </c>
      <c r="J20217" s="26">
        <v>2.86E-2</v>
      </c>
      <c r="S20217">
        <v>35</v>
      </c>
    </row>
    <row r="20218" spans="1:19" x14ac:dyDescent="0.35">
      <c r="A20218" t="s">
        <v>231</v>
      </c>
      <c r="B20218" t="s">
        <v>248</v>
      </c>
      <c r="C20218" s="26">
        <v>0.41860000000000003</v>
      </c>
      <c r="D20218" s="26">
        <v>0.2326</v>
      </c>
      <c r="E20218" s="26">
        <v>7.7499999999999999E-2</v>
      </c>
      <c r="F20218" s="26">
        <v>0.14729999999999999</v>
      </c>
      <c r="G20218" s="26">
        <v>4.65E-2</v>
      </c>
      <c r="H20218" s="26">
        <v>1.55E-2</v>
      </c>
      <c r="I20218" s="26">
        <v>2.3300000000000001E-2</v>
      </c>
      <c r="J20218" s="26">
        <v>3.1E-2</v>
      </c>
      <c r="M20218" s="26">
        <v>7.7999999999999996E-3</v>
      </c>
      <c r="S20218">
        <v>129</v>
      </c>
    </row>
    <row r="20219" spans="1:19" x14ac:dyDescent="0.35">
      <c r="A20219" t="s">
        <v>232</v>
      </c>
      <c r="B20219" t="s">
        <v>232</v>
      </c>
      <c r="C20219" s="26">
        <v>0.40639999999999998</v>
      </c>
      <c r="D20219" s="26">
        <v>0.23860000000000001</v>
      </c>
      <c r="E20219" s="26">
        <v>0.1416</v>
      </c>
      <c r="F20219" s="26">
        <v>7.8399999999999997E-2</v>
      </c>
      <c r="G20219" s="26">
        <v>5.0200000000000002E-2</v>
      </c>
      <c r="H20219" s="26">
        <v>2.46E-2</v>
      </c>
      <c r="I20219" s="26">
        <v>2.12E-2</v>
      </c>
      <c r="J20219" s="26">
        <v>1.7100000000000001E-2</v>
      </c>
      <c r="K20219" s="26">
        <v>1.0200000000000001E-2</v>
      </c>
      <c r="L20219" s="26">
        <v>4.4000000000000003E-3</v>
      </c>
      <c r="M20219" s="26">
        <v>3.8E-3</v>
      </c>
      <c r="N20219" s="26">
        <v>1.4E-3</v>
      </c>
      <c r="O20219" s="26">
        <v>1.2999999999999999E-3</v>
      </c>
      <c r="P20219" s="26">
        <v>4.0000000000000002E-4</v>
      </c>
      <c r="Q20219" s="26">
        <v>2.9999999999999997E-4</v>
      </c>
      <c r="R20219" s="26">
        <v>1E-4</v>
      </c>
      <c r="S20219">
        <v>2812</v>
      </c>
    </row>
    <row r="20221" spans="1:19" x14ac:dyDescent="0.35">
      <c r="A20221" s="1" t="s">
        <v>2009</v>
      </c>
    </row>
    <row r="20222" spans="1:19" x14ac:dyDescent="0.35">
      <c r="A20222" t="s">
        <v>219</v>
      </c>
      <c r="B20222" t="s">
        <v>305</v>
      </c>
      <c r="C20222" t="s">
        <v>1988</v>
      </c>
      <c r="D20222" t="s">
        <v>1989</v>
      </c>
      <c r="E20222" t="s">
        <v>1990</v>
      </c>
      <c r="F20222" t="s">
        <v>1991</v>
      </c>
      <c r="G20222" t="s">
        <v>1992</v>
      </c>
      <c r="H20222" t="s">
        <v>1993</v>
      </c>
      <c r="I20222" t="s">
        <v>1994</v>
      </c>
      <c r="J20222" t="s">
        <v>1995</v>
      </c>
      <c r="K20222" t="s">
        <v>1996</v>
      </c>
      <c r="L20222" t="s">
        <v>1997</v>
      </c>
      <c r="M20222" t="s">
        <v>1998</v>
      </c>
      <c r="N20222" t="s">
        <v>1999</v>
      </c>
      <c r="O20222" t="s">
        <v>281</v>
      </c>
      <c r="P20222" t="s">
        <v>2000</v>
      </c>
      <c r="Q20222" t="s">
        <v>286</v>
      </c>
      <c r="R20222" t="s">
        <v>2001</v>
      </c>
      <c r="S20222" t="s">
        <v>226</v>
      </c>
    </row>
    <row r="20223" spans="1:19" x14ac:dyDescent="0.35">
      <c r="A20223" s="27" t="s">
        <v>227</v>
      </c>
      <c r="B20223" s="27" t="s">
        <v>263</v>
      </c>
      <c r="C20223" s="28">
        <v>0.66669999999999996</v>
      </c>
      <c r="D20223" s="28">
        <v>0.33329999999999999</v>
      </c>
      <c r="E20223" s="29"/>
      <c r="F20223" s="29"/>
      <c r="G20223" s="29"/>
      <c r="H20223" s="29"/>
      <c r="I20223" s="29"/>
      <c r="J20223" s="29"/>
      <c r="K20223" s="29"/>
      <c r="L20223" s="29"/>
      <c r="M20223" s="29"/>
      <c r="N20223" s="29"/>
      <c r="O20223" s="29"/>
      <c r="P20223" s="29"/>
      <c r="Q20223" s="29"/>
      <c r="R20223" s="29"/>
      <c r="S20223" s="29" t="s">
        <v>315</v>
      </c>
    </row>
    <row r="20224" spans="1:19" x14ac:dyDescent="0.35">
      <c r="A20224" t="s">
        <v>227</v>
      </c>
      <c r="B20224" t="s">
        <v>261</v>
      </c>
      <c r="C20224" s="26">
        <v>0.1515</v>
      </c>
      <c r="D20224" s="26">
        <v>0.36359999999999998</v>
      </c>
      <c r="E20224" s="26">
        <v>0.2727</v>
      </c>
      <c r="F20224" s="26">
        <v>9.0899999999999995E-2</v>
      </c>
      <c r="G20224" s="26">
        <v>6.0600000000000001E-2</v>
      </c>
      <c r="H20224" s="26">
        <v>3.0300000000000001E-2</v>
      </c>
      <c r="J20224" s="26">
        <v>3.0300000000000001E-2</v>
      </c>
      <c r="S20224">
        <v>33</v>
      </c>
    </row>
    <row r="20225" spans="1:19" x14ac:dyDescent="0.35">
      <c r="A20225" s="27" t="s">
        <v>227</v>
      </c>
      <c r="B20225" s="27" t="s">
        <v>262</v>
      </c>
      <c r="C20225" s="28">
        <v>0.33329999999999999</v>
      </c>
      <c r="D20225" s="28">
        <v>0.66669999999999996</v>
      </c>
      <c r="E20225" s="29"/>
      <c r="F20225" s="29"/>
      <c r="G20225" s="29"/>
      <c r="H20225" s="29"/>
      <c r="I20225" s="29"/>
      <c r="J20225" s="29"/>
      <c r="K20225" s="29"/>
      <c r="L20225" s="29"/>
      <c r="M20225" s="29"/>
      <c r="N20225" s="29"/>
      <c r="O20225" s="29"/>
      <c r="P20225" s="29"/>
      <c r="Q20225" s="29"/>
      <c r="R20225" s="29"/>
      <c r="S20225" s="29" t="s">
        <v>315</v>
      </c>
    </row>
    <row r="20226" spans="1:19" x14ac:dyDescent="0.35">
      <c r="A20226" t="s">
        <v>227</v>
      </c>
      <c r="B20226" t="s">
        <v>260</v>
      </c>
      <c r="C20226" s="26">
        <v>0.45079999999999998</v>
      </c>
      <c r="D20226" s="26">
        <v>0.2049</v>
      </c>
      <c r="E20226" s="26">
        <v>0.14749999999999999</v>
      </c>
      <c r="F20226" s="26">
        <v>0.1066</v>
      </c>
      <c r="G20226" s="26">
        <v>4.9200000000000001E-2</v>
      </c>
      <c r="H20226" s="26">
        <v>8.2000000000000007E-3</v>
      </c>
      <c r="I20226" s="26">
        <v>1.6400000000000001E-2</v>
      </c>
      <c r="J20226" s="26">
        <v>8.2000000000000007E-3</v>
      </c>
      <c r="O20226" s="26">
        <v>8.2000000000000007E-3</v>
      </c>
      <c r="S20226">
        <v>122</v>
      </c>
    </row>
    <row r="20227" spans="1:19" x14ac:dyDescent="0.35">
      <c r="A20227" t="s">
        <v>228</v>
      </c>
      <c r="B20227" t="s">
        <v>261</v>
      </c>
      <c r="C20227" s="26">
        <v>0.2102</v>
      </c>
      <c r="D20227" s="26">
        <v>0.31659999999999999</v>
      </c>
      <c r="E20227" s="26">
        <v>0.31990000000000002</v>
      </c>
      <c r="F20227" s="26">
        <v>2.06E-2</v>
      </c>
      <c r="G20227" s="26">
        <v>3.5900000000000001E-2</v>
      </c>
      <c r="H20227" s="26">
        <v>6.0999999999999999E-2</v>
      </c>
      <c r="I20227" s="26">
        <v>8.6E-3</v>
      </c>
      <c r="J20227" s="26">
        <v>7.4999999999999997E-3</v>
      </c>
      <c r="K20227" s="26">
        <v>1.29E-2</v>
      </c>
      <c r="L20227" s="26">
        <v>2.0999999999999999E-3</v>
      </c>
      <c r="M20227" s="26">
        <v>4.7000000000000002E-3</v>
      </c>
      <c r="S20227">
        <v>192</v>
      </c>
    </row>
    <row r="20228" spans="1:19" x14ac:dyDescent="0.35">
      <c r="A20228" s="27" t="s">
        <v>228</v>
      </c>
      <c r="B20228" s="27" t="s">
        <v>263</v>
      </c>
      <c r="C20228" s="28">
        <v>0.314</v>
      </c>
      <c r="D20228" s="28">
        <v>0.40889999999999999</v>
      </c>
      <c r="E20228" s="28">
        <v>0.1472</v>
      </c>
      <c r="F20228" s="29"/>
      <c r="G20228" s="29"/>
      <c r="H20228" s="28">
        <v>2.2100000000000002E-2</v>
      </c>
      <c r="I20228" s="28">
        <v>2.5899999999999999E-2</v>
      </c>
      <c r="J20228" s="29"/>
      <c r="K20228" s="28">
        <v>6.25E-2</v>
      </c>
      <c r="L20228" s="28">
        <v>1.9199999999999998E-2</v>
      </c>
      <c r="M20228" s="29"/>
      <c r="N20228" s="29"/>
      <c r="O20228" s="29"/>
      <c r="P20228" s="29"/>
      <c r="Q20228" s="29"/>
      <c r="R20228" s="29"/>
      <c r="S20228" s="29" t="s">
        <v>312</v>
      </c>
    </row>
    <row r="20229" spans="1:19" x14ac:dyDescent="0.35">
      <c r="A20229" s="27" t="s">
        <v>228</v>
      </c>
      <c r="B20229" s="27" t="s">
        <v>236</v>
      </c>
      <c r="C20229" s="28">
        <v>0.76090000000000002</v>
      </c>
      <c r="D20229" s="28">
        <v>0.13370000000000001</v>
      </c>
      <c r="E20229" s="28">
        <v>3.9E-2</v>
      </c>
      <c r="F20229" s="29"/>
      <c r="G20229" s="29"/>
      <c r="H20229" s="28">
        <v>6.6500000000000004E-2</v>
      </c>
      <c r="I20229" s="29"/>
      <c r="J20229" s="29"/>
      <c r="K20229" s="29"/>
      <c r="L20229" s="29"/>
      <c r="M20229" s="29"/>
      <c r="N20229" s="29"/>
      <c r="O20229" s="29"/>
      <c r="P20229" s="29"/>
      <c r="Q20229" s="29"/>
      <c r="R20229" s="29"/>
      <c r="S20229" s="29" t="s">
        <v>335</v>
      </c>
    </row>
    <row r="20230" spans="1:19" x14ac:dyDescent="0.35">
      <c r="A20230" t="s">
        <v>228</v>
      </c>
      <c r="B20230" t="s">
        <v>262</v>
      </c>
      <c r="C20230" s="26">
        <v>0.3251</v>
      </c>
      <c r="D20230" s="26">
        <v>0.3382</v>
      </c>
      <c r="E20230" s="26">
        <v>0.21759999999999999</v>
      </c>
      <c r="F20230" s="26">
        <v>1.9E-2</v>
      </c>
      <c r="G20230" s="26">
        <v>3.0300000000000001E-2</v>
      </c>
      <c r="H20230" s="26">
        <v>2.0199999999999999E-2</v>
      </c>
      <c r="I20230" s="26">
        <v>1.7500000000000002E-2</v>
      </c>
      <c r="J20230" s="26">
        <v>1.5E-3</v>
      </c>
      <c r="K20230" s="26">
        <v>2.8999999999999998E-3</v>
      </c>
      <c r="L20230" s="26">
        <v>3.3E-3</v>
      </c>
      <c r="M20230" s="26">
        <v>1.41E-2</v>
      </c>
      <c r="P20230" s="26">
        <v>1.03E-2</v>
      </c>
      <c r="S20230">
        <v>201</v>
      </c>
    </row>
    <row r="20231" spans="1:19" x14ac:dyDescent="0.35">
      <c r="A20231" t="s">
        <v>228</v>
      </c>
      <c r="B20231" t="s">
        <v>260</v>
      </c>
      <c r="C20231" s="26">
        <v>0.4078</v>
      </c>
      <c r="D20231" s="26">
        <v>0.24129999999999999</v>
      </c>
      <c r="E20231" s="26">
        <v>0.17549999999999999</v>
      </c>
      <c r="F20231" s="26">
        <v>3.9300000000000002E-2</v>
      </c>
      <c r="G20231" s="26">
        <v>3.5000000000000003E-2</v>
      </c>
      <c r="H20231" s="26">
        <v>6.4100000000000004E-2</v>
      </c>
      <c r="I20231" s="26">
        <v>1.78E-2</v>
      </c>
      <c r="J20231" s="26">
        <v>6.8999999999999999E-3</v>
      </c>
      <c r="K20231" s="26">
        <v>7.7999999999999996E-3</v>
      </c>
      <c r="L20231" s="26">
        <v>2.7000000000000001E-3</v>
      </c>
      <c r="O20231" s="26">
        <v>1.9E-3</v>
      </c>
      <c r="S20231">
        <v>609</v>
      </c>
    </row>
    <row r="20232" spans="1:19" x14ac:dyDescent="0.35">
      <c r="A20232" s="27" t="s">
        <v>229</v>
      </c>
      <c r="B20232" s="27" t="s">
        <v>263</v>
      </c>
      <c r="C20232" s="28">
        <v>0.46410000000000001</v>
      </c>
      <c r="D20232" s="28">
        <v>1.7100000000000001E-2</v>
      </c>
      <c r="E20232" s="28">
        <v>0.36309999999999998</v>
      </c>
      <c r="F20232" s="29"/>
      <c r="G20232" s="29"/>
      <c r="H20232" s="29"/>
      <c r="I20232" s="29"/>
      <c r="J20232" s="29"/>
      <c r="K20232" s="28">
        <v>0.15570000000000001</v>
      </c>
      <c r="L20232" s="29"/>
      <c r="M20232" s="29"/>
      <c r="N20232" s="29"/>
      <c r="O20232" s="29"/>
      <c r="P20232" s="29"/>
      <c r="Q20232" s="29"/>
      <c r="R20232" s="29"/>
      <c r="S20232" s="29" t="s">
        <v>379</v>
      </c>
    </row>
    <row r="20233" spans="1:19" x14ac:dyDescent="0.35">
      <c r="A20233" t="s">
        <v>229</v>
      </c>
      <c r="B20233" t="s">
        <v>262</v>
      </c>
      <c r="C20233" s="26">
        <v>0.34320000000000001</v>
      </c>
      <c r="D20233" s="26">
        <v>0.32679999999999998</v>
      </c>
      <c r="E20233" s="26">
        <v>0.2072</v>
      </c>
      <c r="F20233" s="26">
        <v>3.8999999999999998E-3</v>
      </c>
      <c r="G20233" s="26">
        <v>4.1000000000000002E-2</v>
      </c>
      <c r="H20233" s="26">
        <v>1.0699999999999999E-2</v>
      </c>
      <c r="I20233" s="26">
        <v>2.24E-2</v>
      </c>
      <c r="J20233" s="26">
        <v>3.0000000000000001E-3</v>
      </c>
      <c r="K20233" s="26">
        <v>3.04E-2</v>
      </c>
      <c r="N20233" s="26">
        <v>8.9999999999999993E-3</v>
      </c>
      <c r="P20233" s="26">
        <v>1.1999999999999999E-3</v>
      </c>
      <c r="Q20233" s="26">
        <v>1.1999999999999999E-3</v>
      </c>
      <c r="S20233">
        <v>188</v>
      </c>
    </row>
    <row r="20234" spans="1:19" x14ac:dyDescent="0.35">
      <c r="A20234" t="s">
        <v>229</v>
      </c>
      <c r="B20234" t="s">
        <v>261</v>
      </c>
      <c r="C20234" s="26">
        <v>0.2223</v>
      </c>
      <c r="D20234" s="26">
        <v>0.28860000000000002</v>
      </c>
      <c r="E20234" s="26">
        <v>0.32929999999999998</v>
      </c>
      <c r="F20234" s="26">
        <v>0.05</v>
      </c>
      <c r="G20234" s="26">
        <v>4.1599999999999998E-2</v>
      </c>
      <c r="H20234" s="26">
        <v>4.1500000000000002E-2</v>
      </c>
      <c r="I20234" s="26">
        <v>2.46E-2</v>
      </c>
      <c r="J20234" s="26">
        <v>2.2000000000000001E-3</v>
      </c>
      <c r="S20234">
        <v>96</v>
      </c>
    </row>
    <row r="20235" spans="1:19" x14ac:dyDescent="0.35">
      <c r="A20235" s="27" t="s">
        <v>229</v>
      </c>
      <c r="B20235" s="27" t="s">
        <v>236</v>
      </c>
      <c r="C20235" s="28">
        <v>1</v>
      </c>
      <c r="D20235" s="29"/>
      <c r="E20235" s="29"/>
      <c r="F20235" s="29"/>
      <c r="G20235" s="29"/>
      <c r="H20235" s="29"/>
      <c r="I20235" s="29"/>
      <c r="J20235" s="29"/>
      <c r="K20235" s="29"/>
      <c r="L20235" s="29"/>
      <c r="M20235" s="29"/>
      <c r="N20235" s="29"/>
      <c r="O20235" s="29"/>
      <c r="P20235" s="29"/>
      <c r="Q20235" s="29"/>
      <c r="R20235" s="29"/>
      <c r="S20235" s="29" t="s">
        <v>331</v>
      </c>
    </row>
    <row r="20236" spans="1:19" x14ac:dyDescent="0.35">
      <c r="A20236" t="s">
        <v>229</v>
      </c>
      <c r="B20236" t="s">
        <v>260</v>
      </c>
      <c r="C20236" s="26">
        <v>0.41589999999999999</v>
      </c>
      <c r="D20236" s="26">
        <v>0.18640000000000001</v>
      </c>
      <c r="E20236" s="26">
        <v>0.11559999999999999</v>
      </c>
      <c r="F20236" s="26">
        <v>0.1096</v>
      </c>
      <c r="G20236" s="26">
        <v>7.9100000000000004E-2</v>
      </c>
      <c r="H20236" s="26">
        <v>1.5699999999999999E-2</v>
      </c>
      <c r="I20236" s="26">
        <v>7.7999999999999996E-3</v>
      </c>
      <c r="J20236" s="26">
        <v>2.3900000000000001E-2</v>
      </c>
      <c r="K20236" s="26">
        <v>2.0199999999999999E-2</v>
      </c>
      <c r="L20236" s="26">
        <v>1.09E-2</v>
      </c>
      <c r="M20236" s="26">
        <v>9.1000000000000004E-3</v>
      </c>
      <c r="N20236" s="26">
        <v>4.4999999999999997E-3</v>
      </c>
      <c r="Q20236" s="26">
        <v>1.1999999999999999E-3</v>
      </c>
      <c r="S20236">
        <v>596</v>
      </c>
    </row>
    <row r="20237" spans="1:19" x14ac:dyDescent="0.35">
      <c r="A20237" s="27" t="s">
        <v>230</v>
      </c>
      <c r="B20237" s="27" t="s">
        <v>236</v>
      </c>
      <c r="C20237" s="28">
        <v>0.88100000000000001</v>
      </c>
      <c r="D20237" s="28">
        <v>0.11899999999999999</v>
      </c>
      <c r="E20237" s="29"/>
      <c r="F20237" s="29"/>
      <c r="G20237" s="29"/>
      <c r="H20237" s="29"/>
      <c r="I20237" s="29"/>
      <c r="J20237" s="29"/>
      <c r="K20237" s="29"/>
      <c r="L20237" s="29"/>
      <c r="M20237" s="29"/>
      <c r="N20237" s="29"/>
      <c r="O20237" s="29"/>
      <c r="P20237" s="29"/>
      <c r="Q20237" s="29"/>
      <c r="R20237" s="29"/>
      <c r="S20237" s="29" t="s">
        <v>337</v>
      </c>
    </row>
    <row r="20238" spans="1:19" x14ac:dyDescent="0.35">
      <c r="A20238" t="s">
        <v>230</v>
      </c>
      <c r="B20238" t="s">
        <v>262</v>
      </c>
      <c r="C20238" s="26">
        <v>0.4783</v>
      </c>
      <c r="D20238" s="26">
        <v>0.20599999999999999</v>
      </c>
      <c r="E20238" s="26">
        <v>0.13619999999999999</v>
      </c>
      <c r="F20238" s="26">
        <v>2.18E-2</v>
      </c>
      <c r="G20238" s="26">
        <v>2.5499999999999998E-2</v>
      </c>
      <c r="H20238" s="26">
        <v>3.1E-2</v>
      </c>
      <c r="I20238" s="26">
        <v>7.1400000000000005E-2</v>
      </c>
      <c r="K20238" s="26">
        <v>1.7899999999999999E-2</v>
      </c>
      <c r="L20238" s="26">
        <v>6.1000000000000004E-3</v>
      </c>
      <c r="R20238" s="26">
        <v>5.8999999999999999E-3</v>
      </c>
      <c r="S20238">
        <v>121</v>
      </c>
    </row>
    <row r="20239" spans="1:19" x14ac:dyDescent="0.35">
      <c r="A20239" t="s">
        <v>230</v>
      </c>
      <c r="B20239" t="s">
        <v>261</v>
      </c>
      <c r="C20239" s="26">
        <v>0.50370000000000004</v>
      </c>
      <c r="D20239" s="26">
        <v>0.1183</v>
      </c>
      <c r="E20239" s="26">
        <v>0.14710000000000001</v>
      </c>
      <c r="F20239" s="26">
        <v>6.7999999999999996E-3</v>
      </c>
      <c r="G20239" s="26">
        <v>8.9399999999999993E-2</v>
      </c>
      <c r="I20239" s="26">
        <v>0.1211</v>
      </c>
      <c r="L20239" s="26">
        <v>6.7999999999999996E-3</v>
      </c>
      <c r="O20239" s="26">
        <v>6.7999999999999996E-3</v>
      </c>
      <c r="S20239">
        <v>57</v>
      </c>
    </row>
    <row r="20240" spans="1:19" x14ac:dyDescent="0.35">
      <c r="A20240" s="27" t="s">
        <v>230</v>
      </c>
      <c r="B20240" s="27" t="s">
        <v>263</v>
      </c>
      <c r="C20240" s="28">
        <v>0.51880000000000004</v>
      </c>
      <c r="D20240" s="28">
        <v>0.1227</v>
      </c>
      <c r="E20240" s="28">
        <v>0.1227</v>
      </c>
      <c r="F20240" s="28">
        <v>5.57E-2</v>
      </c>
      <c r="G20240" s="29"/>
      <c r="H20240" s="28">
        <v>5.4399999999999997E-2</v>
      </c>
      <c r="I20240" s="28">
        <v>0.12559999999999999</v>
      </c>
      <c r="J20240" s="29"/>
      <c r="K20240" s="29"/>
      <c r="L20240" s="29"/>
      <c r="M20240" s="29"/>
      <c r="N20240" s="29"/>
      <c r="O20240" s="29"/>
      <c r="P20240" s="29"/>
      <c r="Q20240" s="29"/>
      <c r="R20240" s="29"/>
      <c r="S20240" s="29" t="s">
        <v>312</v>
      </c>
    </row>
    <row r="20241" spans="1:19" x14ac:dyDescent="0.35">
      <c r="A20241" t="s">
        <v>230</v>
      </c>
      <c r="B20241" t="s">
        <v>260</v>
      </c>
      <c r="C20241" s="26">
        <v>0.52649999999999997</v>
      </c>
      <c r="D20241" s="26">
        <v>0.1784</v>
      </c>
      <c r="E20241" s="26">
        <v>6.4600000000000005E-2</v>
      </c>
      <c r="F20241" s="26">
        <v>3.0200000000000001E-2</v>
      </c>
      <c r="G20241" s="26">
        <v>3.2800000000000003E-2</v>
      </c>
      <c r="H20241" s="26">
        <v>2.1000000000000001E-2</v>
      </c>
      <c r="I20241" s="26">
        <v>6.5799999999999997E-2</v>
      </c>
      <c r="J20241" s="26">
        <v>2.46E-2</v>
      </c>
      <c r="K20241" s="26">
        <v>2.58E-2</v>
      </c>
      <c r="L20241" s="26">
        <v>2.8799999999999999E-2</v>
      </c>
      <c r="M20241" s="26">
        <v>1.2999999999999999E-3</v>
      </c>
      <c r="S20241">
        <v>352</v>
      </c>
    </row>
    <row r="20242" spans="1:19" x14ac:dyDescent="0.35">
      <c r="A20242" s="27" t="s">
        <v>231</v>
      </c>
      <c r="B20242" s="27" t="s">
        <v>263</v>
      </c>
      <c r="C20242" s="28">
        <v>0.5</v>
      </c>
      <c r="D20242" s="29"/>
      <c r="E20242" s="28">
        <v>0.5</v>
      </c>
      <c r="F20242" s="29"/>
      <c r="G20242" s="29"/>
      <c r="H20242" s="29"/>
      <c r="I20242" s="29"/>
      <c r="J20242" s="29"/>
      <c r="K20242" s="29"/>
      <c r="L20242" s="29"/>
      <c r="M20242" s="29"/>
      <c r="N20242" s="29"/>
      <c r="O20242" s="29"/>
      <c r="P20242" s="29"/>
      <c r="Q20242" s="29"/>
      <c r="R20242" s="29"/>
      <c r="S20242" s="29" t="s">
        <v>314</v>
      </c>
    </row>
    <row r="20243" spans="1:19" x14ac:dyDescent="0.35">
      <c r="A20243" t="s">
        <v>231</v>
      </c>
      <c r="B20243" t="s">
        <v>260</v>
      </c>
      <c r="C20243" s="26">
        <v>0.4677</v>
      </c>
      <c r="D20243" s="26">
        <v>0.1855</v>
      </c>
      <c r="E20243" s="26">
        <v>4.8399999999999999E-2</v>
      </c>
      <c r="F20243" s="26">
        <v>0.1452</v>
      </c>
      <c r="G20243" s="26">
        <v>7.2599999999999998E-2</v>
      </c>
      <c r="H20243" s="26">
        <v>1.61E-2</v>
      </c>
      <c r="I20243" s="26">
        <v>1.61E-2</v>
      </c>
      <c r="J20243" s="26">
        <v>4.0300000000000002E-2</v>
      </c>
      <c r="M20243" s="26">
        <v>8.0999999999999996E-3</v>
      </c>
      <c r="S20243">
        <v>124</v>
      </c>
    </row>
    <row r="20244" spans="1:19" x14ac:dyDescent="0.35">
      <c r="A20244" s="27" t="s">
        <v>231</v>
      </c>
      <c r="B20244" s="27" t="s">
        <v>261</v>
      </c>
      <c r="C20244" s="28">
        <v>0.40739999999999998</v>
      </c>
      <c r="D20244" s="28">
        <v>0.37040000000000001</v>
      </c>
      <c r="E20244" s="28">
        <v>0.1111</v>
      </c>
      <c r="F20244" s="28">
        <v>7.4099999999999999E-2</v>
      </c>
      <c r="G20244" s="29"/>
      <c r="H20244" s="29"/>
      <c r="I20244" s="28">
        <v>3.6999999999999998E-2</v>
      </c>
      <c r="J20244" s="29"/>
      <c r="K20244" s="29"/>
      <c r="L20244" s="29"/>
      <c r="M20244" s="29"/>
      <c r="N20244" s="29"/>
      <c r="O20244" s="29"/>
      <c r="P20244" s="29"/>
      <c r="Q20244" s="29"/>
      <c r="R20244" s="29"/>
      <c r="S20244" s="29" t="s">
        <v>338</v>
      </c>
    </row>
    <row r="20245" spans="1:19" x14ac:dyDescent="0.35">
      <c r="A20245" s="27" t="s">
        <v>231</v>
      </c>
      <c r="B20245" s="27" t="s">
        <v>262</v>
      </c>
      <c r="C20245" s="28">
        <v>0.36359999999999998</v>
      </c>
      <c r="D20245" s="28">
        <v>0.45450000000000002</v>
      </c>
      <c r="E20245" s="29"/>
      <c r="F20245" s="28">
        <v>9.0899999999999995E-2</v>
      </c>
      <c r="G20245" s="29"/>
      <c r="H20245" s="28">
        <v>9.0899999999999995E-2</v>
      </c>
      <c r="I20245" s="29"/>
      <c r="J20245" s="29"/>
      <c r="K20245" s="29"/>
      <c r="L20245" s="29"/>
      <c r="M20245" s="29"/>
      <c r="N20245" s="29"/>
      <c r="O20245" s="29"/>
      <c r="P20245" s="29"/>
      <c r="Q20245" s="29"/>
      <c r="R20245" s="29"/>
      <c r="S20245" s="29" t="s">
        <v>352</v>
      </c>
    </row>
    <row r="20246" spans="1:19" x14ac:dyDescent="0.35">
      <c r="A20246" t="s">
        <v>232</v>
      </c>
      <c r="B20246" t="s">
        <v>232</v>
      </c>
      <c r="C20246" s="26">
        <v>0.40639999999999998</v>
      </c>
      <c r="D20246" s="26">
        <v>0.23860000000000001</v>
      </c>
      <c r="E20246" s="26">
        <v>0.1416</v>
      </c>
      <c r="F20246" s="26">
        <v>7.8399999999999997E-2</v>
      </c>
      <c r="G20246" s="26">
        <v>5.0200000000000002E-2</v>
      </c>
      <c r="H20246" s="26">
        <v>2.46E-2</v>
      </c>
      <c r="I20246" s="26">
        <v>2.12E-2</v>
      </c>
      <c r="J20246" s="26">
        <v>1.7100000000000001E-2</v>
      </c>
      <c r="K20246" s="26">
        <v>1.0200000000000001E-2</v>
      </c>
      <c r="L20246" s="26">
        <v>4.4000000000000003E-3</v>
      </c>
      <c r="M20246" s="26">
        <v>3.8E-3</v>
      </c>
      <c r="N20246" s="26">
        <v>1.4E-3</v>
      </c>
      <c r="O20246" s="26">
        <v>1.2999999999999999E-3</v>
      </c>
      <c r="P20246" s="26">
        <v>4.0000000000000002E-4</v>
      </c>
      <c r="Q20246" s="26">
        <v>2.9999999999999997E-4</v>
      </c>
      <c r="R20246" s="26">
        <v>1E-4</v>
      </c>
      <c r="S20246">
        <v>2812</v>
      </c>
    </row>
    <row r="20248" spans="1:19" x14ac:dyDescent="0.35">
      <c r="A20248" s="1" t="s">
        <v>2010</v>
      </c>
    </row>
    <row r="20249" spans="1:19" x14ac:dyDescent="0.35">
      <c r="A20249" t="s">
        <v>219</v>
      </c>
      <c r="B20249" t="s">
        <v>305</v>
      </c>
      <c r="C20249" t="s">
        <v>1988</v>
      </c>
      <c r="D20249" t="s">
        <v>1989</v>
      </c>
      <c r="E20249" t="s">
        <v>1990</v>
      </c>
      <c r="F20249" t="s">
        <v>1991</v>
      </c>
      <c r="G20249" t="s">
        <v>1992</v>
      </c>
      <c r="H20249" t="s">
        <v>1993</v>
      </c>
      <c r="I20249" t="s">
        <v>1994</v>
      </c>
      <c r="J20249" t="s">
        <v>1995</v>
      </c>
      <c r="K20249" t="s">
        <v>1996</v>
      </c>
      <c r="L20249" t="s">
        <v>1997</v>
      </c>
      <c r="M20249" t="s">
        <v>1998</v>
      </c>
      <c r="N20249" t="s">
        <v>1999</v>
      </c>
      <c r="O20249" t="s">
        <v>281</v>
      </c>
      <c r="P20249" t="s">
        <v>2000</v>
      </c>
      <c r="Q20249" t="s">
        <v>286</v>
      </c>
      <c r="R20249" t="s">
        <v>2001</v>
      </c>
      <c r="S20249" t="s">
        <v>226</v>
      </c>
    </row>
    <row r="20250" spans="1:19" x14ac:dyDescent="0.35">
      <c r="A20250" t="s">
        <v>227</v>
      </c>
      <c r="B20250" t="s">
        <v>368</v>
      </c>
      <c r="C20250" s="26">
        <v>0.1515</v>
      </c>
      <c r="D20250" s="26">
        <v>0.36359999999999998</v>
      </c>
      <c r="E20250" s="26">
        <v>0.2727</v>
      </c>
      <c r="F20250" s="26">
        <v>9.0899999999999995E-2</v>
      </c>
      <c r="G20250" s="26">
        <v>6.0600000000000001E-2</v>
      </c>
      <c r="H20250" s="26">
        <v>3.0300000000000001E-2</v>
      </c>
      <c r="J20250" s="26">
        <v>3.0300000000000001E-2</v>
      </c>
      <c r="S20250">
        <v>33</v>
      </c>
    </row>
    <row r="20251" spans="1:19" x14ac:dyDescent="0.35">
      <c r="A20251" t="s">
        <v>227</v>
      </c>
      <c r="B20251" t="s">
        <v>369</v>
      </c>
      <c r="C20251" s="26">
        <v>0.4531</v>
      </c>
      <c r="D20251" s="26">
        <v>0.21879999999999999</v>
      </c>
      <c r="E20251" s="26">
        <v>0.1406</v>
      </c>
      <c r="F20251" s="26">
        <v>0.1016</v>
      </c>
      <c r="G20251" s="26">
        <v>4.6899999999999997E-2</v>
      </c>
      <c r="H20251" s="26">
        <v>7.7999999999999996E-3</v>
      </c>
      <c r="I20251" s="26">
        <v>1.5599999999999999E-2</v>
      </c>
      <c r="J20251" s="26">
        <v>7.7999999999999996E-3</v>
      </c>
      <c r="O20251" s="26">
        <v>7.7999999999999996E-3</v>
      </c>
      <c r="S20251">
        <v>128</v>
      </c>
    </row>
    <row r="20252" spans="1:19" x14ac:dyDescent="0.35">
      <c r="A20252" t="s">
        <v>228</v>
      </c>
      <c r="B20252" t="s">
        <v>368</v>
      </c>
      <c r="C20252" s="26">
        <v>0.2102</v>
      </c>
      <c r="D20252" s="26">
        <v>0.31659999999999999</v>
      </c>
      <c r="E20252" s="26">
        <v>0.31990000000000002</v>
      </c>
      <c r="F20252" s="26">
        <v>2.06E-2</v>
      </c>
      <c r="G20252" s="26">
        <v>3.5900000000000001E-2</v>
      </c>
      <c r="H20252" s="26">
        <v>6.0999999999999999E-2</v>
      </c>
      <c r="I20252" s="26">
        <v>8.6E-3</v>
      </c>
      <c r="J20252" s="26">
        <v>7.4999999999999997E-3</v>
      </c>
      <c r="K20252" s="26">
        <v>1.29E-2</v>
      </c>
      <c r="L20252" s="26">
        <v>2.0999999999999999E-3</v>
      </c>
      <c r="M20252" s="26">
        <v>4.7000000000000002E-3</v>
      </c>
      <c r="S20252">
        <v>192</v>
      </c>
    </row>
    <row r="20253" spans="1:19" x14ac:dyDescent="0.35">
      <c r="A20253" t="s">
        <v>228</v>
      </c>
      <c r="B20253" t="s">
        <v>369</v>
      </c>
      <c r="C20253" s="26">
        <v>0.39129999999999998</v>
      </c>
      <c r="D20253" s="26">
        <v>0.26429999999999998</v>
      </c>
      <c r="E20253" s="26">
        <v>0.18240000000000001</v>
      </c>
      <c r="F20253" s="26">
        <v>3.39E-2</v>
      </c>
      <c r="G20253" s="26">
        <v>3.3000000000000002E-2</v>
      </c>
      <c r="H20253" s="26">
        <v>5.4100000000000002E-2</v>
      </c>
      <c r="I20253" s="26">
        <v>1.78E-2</v>
      </c>
      <c r="J20253" s="26">
        <v>5.4999999999999997E-3</v>
      </c>
      <c r="K20253" s="26">
        <v>8.0000000000000002E-3</v>
      </c>
      <c r="L20253" s="26">
        <v>3.2000000000000002E-3</v>
      </c>
      <c r="M20253" s="26">
        <v>2.8999999999999998E-3</v>
      </c>
      <c r="O20253" s="26">
        <v>1.5E-3</v>
      </c>
      <c r="P20253" s="26">
        <v>2.0999999999999999E-3</v>
      </c>
      <c r="S20253">
        <v>841</v>
      </c>
    </row>
    <row r="20254" spans="1:19" x14ac:dyDescent="0.35">
      <c r="A20254" t="s">
        <v>229</v>
      </c>
      <c r="B20254" t="s">
        <v>368</v>
      </c>
      <c r="C20254" s="26">
        <v>0.2223</v>
      </c>
      <c r="D20254" s="26">
        <v>0.28860000000000002</v>
      </c>
      <c r="E20254" s="26">
        <v>0.32929999999999998</v>
      </c>
      <c r="F20254" s="26">
        <v>0.05</v>
      </c>
      <c r="G20254" s="26">
        <v>4.1599999999999998E-2</v>
      </c>
      <c r="H20254" s="26">
        <v>4.1500000000000002E-2</v>
      </c>
      <c r="I20254" s="26">
        <v>2.46E-2</v>
      </c>
      <c r="J20254" s="26">
        <v>2.2000000000000001E-3</v>
      </c>
      <c r="S20254">
        <v>96</v>
      </c>
    </row>
    <row r="20255" spans="1:19" x14ac:dyDescent="0.35">
      <c r="A20255" t="s">
        <v>229</v>
      </c>
      <c r="B20255" t="s">
        <v>369</v>
      </c>
      <c r="C20255" s="26">
        <v>0.39329999999999998</v>
      </c>
      <c r="D20255" s="26">
        <v>0.2286</v>
      </c>
      <c r="E20255" s="26">
        <v>0.1512</v>
      </c>
      <c r="F20255" s="26">
        <v>7.2499999999999995E-2</v>
      </c>
      <c r="G20255" s="26">
        <v>6.4799999999999996E-2</v>
      </c>
      <c r="H20255" s="26">
        <v>1.37E-2</v>
      </c>
      <c r="I20255" s="26">
        <v>1.24E-2</v>
      </c>
      <c r="J20255" s="26">
        <v>1.6500000000000001E-2</v>
      </c>
      <c r="K20255" s="26">
        <v>2.6599999999999999E-2</v>
      </c>
      <c r="L20255" s="26">
        <v>7.0000000000000001E-3</v>
      </c>
      <c r="M20255" s="26">
        <v>5.8999999999999999E-3</v>
      </c>
      <c r="N20255" s="26">
        <v>5.8999999999999999E-3</v>
      </c>
      <c r="P20255" s="26">
        <v>4.0000000000000002E-4</v>
      </c>
      <c r="Q20255" s="26">
        <v>1.1999999999999999E-3</v>
      </c>
      <c r="S20255">
        <v>799</v>
      </c>
    </row>
    <row r="20256" spans="1:19" x14ac:dyDescent="0.35">
      <c r="A20256" t="s">
        <v>230</v>
      </c>
      <c r="B20256" t="s">
        <v>368</v>
      </c>
      <c r="C20256" s="26">
        <v>0.50370000000000004</v>
      </c>
      <c r="D20256" s="26">
        <v>0.1183</v>
      </c>
      <c r="E20256" s="26">
        <v>0.14710000000000001</v>
      </c>
      <c r="F20256" s="26">
        <v>6.7999999999999996E-3</v>
      </c>
      <c r="G20256" s="26">
        <v>8.9399999999999993E-2</v>
      </c>
      <c r="I20256" s="26">
        <v>0.1211</v>
      </c>
      <c r="L20256" s="26">
        <v>6.7999999999999996E-3</v>
      </c>
      <c r="O20256" s="26">
        <v>6.7999999999999996E-3</v>
      </c>
      <c r="S20256">
        <v>57</v>
      </c>
    </row>
    <row r="20257" spans="1:19" x14ac:dyDescent="0.35">
      <c r="A20257" t="s">
        <v>230</v>
      </c>
      <c r="B20257" t="s">
        <v>369</v>
      </c>
      <c r="C20257" s="26">
        <v>0.52110000000000001</v>
      </c>
      <c r="D20257" s="26">
        <v>0.18160000000000001</v>
      </c>
      <c r="E20257" s="26">
        <v>7.7499999999999999E-2</v>
      </c>
      <c r="F20257" s="26">
        <v>2.9000000000000001E-2</v>
      </c>
      <c r="G20257" s="26">
        <v>3.0599999999999999E-2</v>
      </c>
      <c r="H20257" s="26">
        <v>2.3199999999999998E-2</v>
      </c>
      <c r="I20257" s="26">
        <v>6.7299999999999999E-2</v>
      </c>
      <c r="J20257" s="26">
        <v>1.9699999999999999E-2</v>
      </c>
      <c r="K20257" s="26">
        <v>2.3800000000000002E-2</v>
      </c>
      <c r="L20257" s="26">
        <v>2.41E-2</v>
      </c>
      <c r="M20257" s="26">
        <v>1E-3</v>
      </c>
      <c r="R20257" s="26">
        <v>1E-3</v>
      </c>
      <c r="S20257">
        <v>502</v>
      </c>
    </row>
    <row r="20258" spans="1:19" x14ac:dyDescent="0.35">
      <c r="A20258" s="27" t="s">
        <v>231</v>
      </c>
      <c r="B20258" s="27" t="s">
        <v>368</v>
      </c>
      <c r="C20258" s="28">
        <v>0.40739999999999998</v>
      </c>
      <c r="D20258" s="28">
        <v>0.37040000000000001</v>
      </c>
      <c r="E20258" s="28">
        <v>0.1111</v>
      </c>
      <c r="F20258" s="28">
        <v>7.4099999999999999E-2</v>
      </c>
      <c r="G20258" s="29"/>
      <c r="H20258" s="29"/>
      <c r="I20258" s="28">
        <v>3.6999999999999998E-2</v>
      </c>
      <c r="J20258" s="29"/>
      <c r="K20258" s="29"/>
      <c r="L20258" s="29"/>
      <c r="M20258" s="29"/>
      <c r="N20258" s="29"/>
      <c r="O20258" s="29"/>
      <c r="P20258" s="29"/>
      <c r="Q20258" s="29"/>
      <c r="R20258" s="29"/>
      <c r="S20258" s="29" t="s">
        <v>338</v>
      </c>
    </row>
    <row r="20259" spans="1:19" x14ac:dyDescent="0.35">
      <c r="A20259" t="s">
        <v>231</v>
      </c>
      <c r="B20259" t="s">
        <v>369</v>
      </c>
      <c r="C20259" s="26">
        <v>0.45989999999999998</v>
      </c>
      <c r="D20259" s="26">
        <v>0.2044</v>
      </c>
      <c r="E20259" s="26">
        <v>5.11E-2</v>
      </c>
      <c r="F20259" s="26">
        <v>0.13869999999999999</v>
      </c>
      <c r="G20259" s="26">
        <v>6.5699999999999995E-2</v>
      </c>
      <c r="H20259" s="26">
        <v>2.1899999999999999E-2</v>
      </c>
      <c r="I20259" s="26">
        <v>1.46E-2</v>
      </c>
      <c r="J20259" s="26">
        <v>3.6499999999999998E-2</v>
      </c>
      <c r="M20259" s="26">
        <v>7.3000000000000001E-3</v>
      </c>
      <c r="S20259">
        <v>137</v>
      </c>
    </row>
    <row r="20260" spans="1:19" x14ac:dyDescent="0.35">
      <c r="A20260" t="s">
        <v>232</v>
      </c>
      <c r="B20260" t="s">
        <v>232</v>
      </c>
      <c r="C20260" s="26">
        <v>0.40639999999999998</v>
      </c>
      <c r="D20260" s="26">
        <v>0.23860000000000001</v>
      </c>
      <c r="E20260" s="26">
        <v>0.1416</v>
      </c>
      <c r="F20260" s="26">
        <v>7.8399999999999997E-2</v>
      </c>
      <c r="G20260" s="26">
        <v>5.0200000000000002E-2</v>
      </c>
      <c r="H20260" s="26">
        <v>2.46E-2</v>
      </c>
      <c r="I20260" s="26">
        <v>2.12E-2</v>
      </c>
      <c r="J20260" s="26">
        <v>1.7100000000000001E-2</v>
      </c>
      <c r="K20260" s="26">
        <v>1.0200000000000001E-2</v>
      </c>
      <c r="L20260" s="26">
        <v>4.4000000000000003E-3</v>
      </c>
      <c r="M20260" s="26">
        <v>3.8E-3</v>
      </c>
      <c r="N20260" s="26">
        <v>1.4E-3</v>
      </c>
      <c r="O20260" s="26">
        <v>1.2999999999999999E-3</v>
      </c>
      <c r="P20260" s="26">
        <v>4.0000000000000002E-4</v>
      </c>
      <c r="Q20260" s="26">
        <v>2.9999999999999997E-4</v>
      </c>
      <c r="R20260" s="26">
        <v>1E-4</v>
      </c>
      <c r="S20260">
        <v>2812</v>
      </c>
    </row>
    <row r="20262" spans="1:19" x14ac:dyDescent="0.35">
      <c r="A20262" s="1" t="s">
        <v>2011</v>
      </c>
    </row>
    <row r="20263" spans="1:19" x14ac:dyDescent="0.35">
      <c r="A20263" t="s">
        <v>219</v>
      </c>
      <c r="B20263" t="s">
        <v>305</v>
      </c>
      <c r="C20263" t="s">
        <v>1988</v>
      </c>
      <c r="D20263" t="s">
        <v>1989</v>
      </c>
      <c r="E20263" t="s">
        <v>1990</v>
      </c>
      <c r="F20263" t="s">
        <v>1991</v>
      </c>
      <c r="G20263" t="s">
        <v>1992</v>
      </c>
      <c r="H20263" t="s">
        <v>1993</v>
      </c>
      <c r="I20263" t="s">
        <v>1994</v>
      </c>
      <c r="J20263" t="s">
        <v>1995</v>
      </c>
      <c r="K20263" t="s">
        <v>1996</v>
      </c>
      <c r="L20263" t="s">
        <v>1997</v>
      </c>
      <c r="M20263" t="s">
        <v>1998</v>
      </c>
      <c r="N20263" t="s">
        <v>1999</v>
      </c>
      <c r="O20263" t="s">
        <v>281</v>
      </c>
      <c r="P20263" t="s">
        <v>2000</v>
      </c>
      <c r="Q20263" t="s">
        <v>286</v>
      </c>
      <c r="R20263" t="s">
        <v>2001</v>
      </c>
      <c r="S20263" t="s">
        <v>226</v>
      </c>
    </row>
    <row r="20264" spans="1:19" x14ac:dyDescent="0.35">
      <c r="A20264" t="s">
        <v>227</v>
      </c>
      <c r="B20264" t="s">
        <v>371</v>
      </c>
      <c r="C20264" s="26">
        <v>0.39129999999999998</v>
      </c>
      <c r="D20264" s="26">
        <v>0.24840000000000001</v>
      </c>
      <c r="E20264" s="26">
        <v>0.16769999999999999</v>
      </c>
      <c r="F20264" s="26">
        <v>9.9400000000000002E-2</v>
      </c>
      <c r="G20264" s="26">
        <v>4.9700000000000001E-2</v>
      </c>
      <c r="H20264" s="26">
        <v>1.24E-2</v>
      </c>
      <c r="I20264" s="26">
        <v>1.24E-2</v>
      </c>
      <c r="J20264" s="26">
        <v>1.24E-2</v>
      </c>
      <c r="O20264" s="26">
        <v>6.1999999999999998E-3</v>
      </c>
      <c r="S20264">
        <v>161</v>
      </c>
    </row>
    <row r="20265" spans="1:19" x14ac:dyDescent="0.35">
      <c r="A20265" t="s">
        <v>228</v>
      </c>
      <c r="B20265" t="s">
        <v>371</v>
      </c>
      <c r="C20265" s="26">
        <v>0.37180000000000002</v>
      </c>
      <c r="D20265" s="26">
        <v>0.3009</v>
      </c>
      <c r="E20265" s="26">
        <v>0.18870000000000001</v>
      </c>
      <c r="F20265" s="26">
        <v>2.9399999999999999E-2</v>
      </c>
      <c r="G20265" s="26">
        <v>3.0700000000000002E-2</v>
      </c>
      <c r="H20265" s="26">
        <v>6.0199999999999997E-2</v>
      </c>
      <c r="I20265" s="26">
        <v>2.8999999999999998E-3</v>
      </c>
      <c r="J20265" s="26">
        <v>7.0000000000000001E-3</v>
      </c>
      <c r="K20265" s="26">
        <v>6.4000000000000003E-3</v>
      </c>
      <c r="L20265" s="26">
        <v>1.4E-3</v>
      </c>
      <c r="M20265" s="26">
        <v>6.9999999999999999E-4</v>
      </c>
      <c r="S20265">
        <v>292</v>
      </c>
    </row>
    <row r="20266" spans="1:19" x14ac:dyDescent="0.35">
      <c r="A20266" t="s">
        <v>228</v>
      </c>
      <c r="B20266" t="s">
        <v>372</v>
      </c>
      <c r="C20266" s="26">
        <v>0.30520000000000003</v>
      </c>
      <c r="D20266" s="26">
        <v>0.25840000000000002</v>
      </c>
      <c r="E20266" s="26">
        <v>0.13819999999999999</v>
      </c>
      <c r="F20266" s="26">
        <v>4.9399999999999999E-2</v>
      </c>
      <c r="G20266" s="26">
        <v>3.4200000000000001E-2</v>
      </c>
      <c r="H20266" s="26">
        <v>0.1061</v>
      </c>
      <c r="I20266" s="26">
        <v>5.5399999999999998E-2</v>
      </c>
      <c r="J20266" s="26">
        <v>2.0500000000000001E-2</v>
      </c>
      <c r="K20266" s="26">
        <v>1.7000000000000001E-2</v>
      </c>
      <c r="L20266" s="26">
        <v>1.54E-2</v>
      </c>
      <c r="S20266">
        <v>218</v>
      </c>
    </row>
    <row r="20267" spans="1:19" x14ac:dyDescent="0.35">
      <c r="A20267" t="s">
        <v>228</v>
      </c>
      <c r="B20267" t="s">
        <v>373</v>
      </c>
      <c r="C20267" s="26">
        <v>0.34599999999999997</v>
      </c>
      <c r="D20267" s="26">
        <v>0.2429</v>
      </c>
      <c r="E20267" s="26">
        <v>0.25190000000000001</v>
      </c>
      <c r="F20267" s="26">
        <v>0.03</v>
      </c>
      <c r="G20267" s="26">
        <v>3.7199999999999997E-2</v>
      </c>
      <c r="H20267" s="26">
        <v>3.7999999999999999E-2</v>
      </c>
      <c r="I20267" s="26">
        <v>2.5000000000000001E-2</v>
      </c>
      <c r="J20267" s="26">
        <v>1.1999999999999999E-3</v>
      </c>
      <c r="K20267" s="26">
        <v>1.06E-2</v>
      </c>
      <c r="L20267" s="26">
        <v>2.3999999999999998E-3</v>
      </c>
      <c r="M20267" s="26">
        <v>7.3000000000000001E-3</v>
      </c>
      <c r="O20267" s="26">
        <v>3.0000000000000001E-3</v>
      </c>
      <c r="P20267" s="26">
        <v>4.4000000000000003E-3</v>
      </c>
      <c r="S20267">
        <v>523</v>
      </c>
    </row>
    <row r="20268" spans="1:19" x14ac:dyDescent="0.35">
      <c r="A20268" t="s">
        <v>229</v>
      </c>
      <c r="B20268" t="s">
        <v>371</v>
      </c>
      <c r="C20268" s="26">
        <v>0.34649999999999997</v>
      </c>
      <c r="D20268" s="26">
        <v>0.24790000000000001</v>
      </c>
      <c r="E20268" s="26">
        <v>0.18690000000000001</v>
      </c>
      <c r="F20268" s="26">
        <v>6.6799999999999998E-2</v>
      </c>
      <c r="G20268" s="26">
        <v>6.3700000000000007E-2</v>
      </c>
      <c r="H20268" s="26">
        <v>1.9E-2</v>
      </c>
      <c r="I20268" s="26">
        <v>1.2800000000000001E-2</v>
      </c>
      <c r="J20268" s="26">
        <v>1.43E-2</v>
      </c>
      <c r="K20268" s="26">
        <v>2.46E-2</v>
      </c>
      <c r="L20268" s="26">
        <v>6.1000000000000004E-3</v>
      </c>
      <c r="M20268" s="26">
        <v>5.4000000000000003E-3</v>
      </c>
      <c r="N20268" s="26">
        <v>5.4000000000000003E-3</v>
      </c>
      <c r="Q20268" s="26">
        <v>6.9999999999999999E-4</v>
      </c>
      <c r="S20268">
        <v>584</v>
      </c>
    </row>
    <row r="20269" spans="1:19" x14ac:dyDescent="0.35">
      <c r="A20269" t="s">
        <v>229</v>
      </c>
      <c r="B20269" t="s">
        <v>372</v>
      </c>
      <c r="C20269" s="26">
        <v>0.63090000000000002</v>
      </c>
      <c r="D20269" s="26">
        <v>0.1109</v>
      </c>
      <c r="E20269" s="26">
        <v>6.1100000000000002E-2</v>
      </c>
      <c r="F20269" s="26">
        <v>8.9599999999999999E-2</v>
      </c>
      <c r="G20269" s="26">
        <v>3.49E-2</v>
      </c>
      <c r="H20269" s="26">
        <v>6.6E-3</v>
      </c>
      <c r="I20269" s="26">
        <v>2.92E-2</v>
      </c>
      <c r="J20269" s="26">
        <v>1.7000000000000001E-2</v>
      </c>
      <c r="L20269" s="26">
        <v>6.6E-3</v>
      </c>
      <c r="P20269" s="26">
        <v>6.6E-3</v>
      </c>
      <c r="Q20269" s="26">
        <v>6.6E-3</v>
      </c>
      <c r="S20269">
        <v>221</v>
      </c>
    </row>
    <row r="20270" spans="1:19" x14ac:dyDescent="0.35">
      <c r="A20270" t="s">
        <v>229</v>
      </c>
      <c r="B20270" t="s">
        <v>373</v>
      </c>
      <c r="C20270" s="26">
        <v>0.61560000000000004</v>
      </c>
      <c r="D20270" s="26">
        <v>0.11559999999999999</v>
      </c>
      <c r="E20270" s="26">
        <v>7.7499999999999999E-2</v>
      </c>
      <c r="F20270" s="26">
        <v>0.1109</v>
      </c>
      <c r="G20270" s="26">
        <v>3.1E-2</v>
      </c>
      <c r="I20270" s="26">
        <v>3.6999999999999998E-2</v>
      </c>
      <c r="J20270" s="26">
        <v>1.23E-2</v>
      </c>
      <c r="S20270">
        <v>90</v>
      </c>
    </row>
    <row r="20271" spans="1:19" x14ac:dyDescent="0.35">
      <c r="A20271" t="s">
        <v>230</v>
      </c>
      <c r="B20271" t="s">
        <v>371</v>
      </c>
      <c r="C20271" s="26">
        <v>0.56330000000000002</v>
      </c>
      <c r="D20271" s="26">
        <v>0.1598</v>
      </c>
      <c r="E20271" s="26">
        <v>6.4000000000000001E-2</v>
      </c>
      <c r="F20271" s="26">
        <v>2.6599999999999999E-2</v>
      </c>
      <c r="G20271" s="26">
        <v>3.8600000000000002E-2</v>
      </c>
      <c r="H20271" s="26">
        <v>0.01</v>
      </c>
      <c r="I20271" s="26">
        <v>7.2599999999999998E-2</v>
      </c>
      <c r="J20271" s="26">
        <v>2.0899999999999998E-2</v>
      </c>
      <c r="K20271" s="26">
        <v>1.66E-2</v>
      </c>
      <c r="L20271" s="26">
        <v>2.5399999999999999E-2</v>
      </c>
      <c r="M20271" s="26">
        <v>1.1000000000000001E-3</v>
      </c>
      <c r="O20271" s="26">
        <v>1.1000000000000001E-3</v>
      </c>
      <c r="S20271">
        <v>262</v>
      </c>
    </row>
    <row r="20272" spans="1:19" x14ac:dyDescent="0.35">
      <c r="A20272" t="s">
        <v>230</v>
      </c>
      <c r="B20272" t="s">
        <v>372</v>
      </c>
      <c r="C20272" s="26">
        <v>0.47439999999999999</v>
      </c>
      <c r="D20272" s="26">
        <v>0.1867</v>
      </c>
      <c r="E20272" s="26">
        <v>0.1772</v>
      </c>
      <c r="F20272" s="26">
        <v>4.5199999999999997E-2</v>
      </c>
      <c r="G20272" s="26">
        <v>2.5000000000000001E-2</v>
      </c>
      <c r="H20272" s="26">
        <v>3.8100000000000002E-2</v>
      </c>
      <c r="I20272" s="26">
        <v>3.4500000000000003E-2</v>
      </c>
      <c r="L20272" s="26">
        <v>1.9E-2</v>
      </c>
      <c r="S20272">
        <v>145</v>
      </c>
    </row>
    <row r="20273" spans="1:19" x14ac:dyDescent="0.35">
      <c r="A20273" t="s">
        <v>230</v>
      </c>
      <c r="B20273" t="s">
        <v>373</v>
      </c>
      <c r="C20273" s="26">
        <v>0.25380000000000003</v>
      </c>
      <c r="D20273" s="26">
        <v>0.25259999999999999</v>
      </c>
      <c r="E20273" s="26">
        <v>0.19209999999999999</v>
      </c>
      <c r="F20273" s="26">
        <v>1.3899999999999999E-2</v>
      </c>
      <c r="G20273" s="26">
        <v>4.3900000000000002E-2</v>
      </c>
      <c r="H20273" s="26">
        <v>7.6499999999999999E-2</v>
      </c>
      <c r="I20273" s="26">
        <v>0.1045</v>
      </c>
      <c r="K20273" s="26">
        <v>5.57E-2</v>
      </c>
      <c r="R20273" s="26">
        <v>7.0000000000000001E-3</v>
      </c>
      <c r="S20273">
        <v>152</v>
      </c>
    </row>
    <row r="20274" spans="1:19" x14ac:dyDescent="0.35">
      <c r="A20274" t="s">
        <v>231</v>
      </c>
      <c r="B20274" t="s">
        <v>371</v>
      </c>
      <c r="C20274" s="26">
        <v>0.45119999999999999</v>
      </c>
      <c r="D20274" s="26">
        <v>0.23169999999999999</v>
      </c>
      <c r="E20274" s="26">
        <v>6.0999999999999999E-2</v>
      </c>
      <c r="F20274" s="26">
        <v>0.128</v>
      </c>
      <c r="G20274" s="26">
        <v>5.4899999999999997E-2</v>
      </c>
      <c r="H20274" s="26">
        <v>1.83E-2</v>
      </c>
      <c r="I20274" s="26">
        <v>1.83E-2</v>
      </c>
      <c r="J20274" s="26">
        <v>3.0499999999999999E-2</v>
      </c>
      <c r="M20274" s="26">
        <v>6.1000000000000004E-3</v>
      </c>
      <c r="S20274">
        <v>164</v>
      </c>
    </row>
    <row r="20275" spans="1:19" x14ac:dyDescent="0.35">
      <c r="A20275" t="s">
        <v>232</v>
      </c>
      <c r="B20275" t="s">
        <v>232</v>
      </c>
      <c r="C20275" s="26">
        <v>0.40639999999999998</v>
      </c>
      <c r="D20275" s="26">
        <v>0.23860000000000001</v>
      </c>
      <c r="E20275" s="26">
        <v>0.1416</v>
      </c>
      <c r="F20275" s="26">
        <v>7.8399999999999997E-2</v>
      </c>
      <c r="G20275" s="26">
        <v>5.0200000000000002E-2</v>
      </c>
      <c r="H20275" s="26">
        <v>2.46E-2</v>
      </c>
      <c r="I20275" s="26">
        <v>2.12E-2</v>
      </c>
      <c r="J20275" s="26">
        <v>1.7100000000000001E-2</v>
      </c>
      <c r="K20275" s="26">
        <v>1.0200000000000001E-2</v>
      </c>
      <c r="L20275" s="26">
        <v>4.4000000000000003E-3</v>
      </c>
      <c r="M20275" s="26">
        <v>3.8E-3</v>
      </c>
      <c r="N20275" s="26">
        <v>1.4E-3</v>
      </c>
      <c r="O20275" s="26">
        <v>1.2999999999999999E-3</v>
      </c>
      <c r="P20275" s="26">
        <v>4.0000000000000002E-4</v>
      </c>
      <c r="Q20275" s="26">
        <v>2.9999999999999997E-4</v>
      </c>
      <c r="R20275" s="26">
        <v>1E-4</v>
      </c>
      <c r="S20275">
        <v>2812</v>
      </c>
    </row>
    <row r="20277" spans="1:19" x14ac:dyDescent="0.35">
      <c r="A20277" s="1" t="s">
        <v>2012</v>
      </c>
    </row>
    <row r="20278" spans="1:19" x14ac:dyDescent="0.35">
      <c r="A20278" t="s">
        <v>219</v>
      </c>
      <c r="B20278" t="s">
        <v>305</v>
      </c>
      <c r="C20278" t="s">
        <v>1988</v>
      </c>
      <c r="D20278" t="s">
        <v>1989</v>
      </c>
      <c r="E20278" t="s">
        <v>1990</v>
      </c>
      <c r="F20278" t="s">
        <v>1991</v>
      </c>
      <c r="G20278" t="s">
        <v>1992</v>
      </c>
      <c r="H20278" t="s">
        <v>1993</v>
      </c>
      <c r="I20278" t="s">
        <v>1994</v>
      </c>
      <c r="J20278" t="s">
        <v>1995</v>
      </c>
      <c r="K20278" t="s">
        <v>1996</v>
      </c>
      <c r="L20278" t="s">
        <v>1997</v>
      </c>
      <c r="M20278" t="s">
        <v>1998</v>
      </c>
      <c r="N20278" t="s">
        <v>1999</v>
      </c>
      <c r="O20278" t="s">
        <v>281</v>
      </c>
      <c r="P20278" t="s">
        <v>2000</v>
      </c>
      <c r="Q20278" t="s">
        <v>286</v>
      </c>
      <c r="R20278" t="s">
        <v>2001</v>
      </c>
      <c r="S20278" t="s">
        <v>226</v>
      </c>
    </row>
    <row r="20279" spans="1:19" x14ac:dyDescent="0.35">
      <c r="A20279" t="s">
        <v>227</v>
      </c>
      <c r="B20279" t="s">
        <v>255</v>
      </c>
      <c r="C20279" s="26">
        <v>0.4103</v>
      </c>
      <c r="D20279" s="26">
        <v>0.2137</v>
      </c>
      <c r="E20279" s="26">
        <v>0.1709</v>
      </c>
      <c r="F20279" s="26">
        <v>0.1111</v>
      </c>
      <c r="G20279" s="26">
        <v>5.9799999999999999E-2</v>
      </c>
      <c r="H20279" s="26">
        <v>8.5000000000000006E-3</v>
      </c>
      <c r="I20279" s="26">
        <v>8.5000000000000006E-3</v>
      </c>
      <c r="J20279" s="26">
        <v>8.5000000000000006E-3</v>
      </c>
      <c r="O20279" s="26">
        <v>8.5000000000000006E-3</v>
      </c>
      <c r="S20279">
        <v>117</v>
      </c>
    </row>
    <row r="20280" spans="1:19" x14ac:dyDescent="0.35">
      <c r="A20280" s="27" t="s">
        <v>227</v>
      </c>
      <c r="B20280" s="27" t="s">
        <v>257</v>
      </c>
      <c r="C20280" s="28">
        <v>0.33329999999999999</v>
      </c>
      <c r="D20280" s="28">
        <v>0.1111</v>
      </c>
      <c r="E20280" s="28">
        <v>0.33329999999999999</v>
      </c>
      <c r="F20280" s="29"/>
      <c r="G20280" s="28">
        <v>0.1111</v>
      </c>
      <c r="H20280" s="29"/>
      <c r="I20280" s="28">
        <v>0.1111</v>
      </c>
      <c r="J20280" s="29"/>
      <c r="K20280" s="29"/>
      <c r="L20280" s="29"/>
      <c r="M20280" s="29"/>
      <c r="N20280" s="29"/>
      <c r="O20280" s="29"/>
      <c r="P20280" s="29"/>
      <c r="Q20280" s="29"/>
      <c r="R20280" s="29"/>
      <c r="S20280" s="29" t="s">
        <v>334</v>
      </c>
    </row>
    <row r="20281" spans="1:19" x14ac:dyDescent="0.35">
      <c r="A20281" t="s">
        <v>227</v>
      </c>
      <c r="B20281" t="s">
        <v>256</v>
      </c>
      <c r="C20281" s="26">
        <v>0.34289999999999998</v>
      </c>
      <c r="D20281" s="26">
        <v>0.4</v>
      </c>
      <c r="E20281" s="26">
        <v>0.1143</v>
      </c>
      <c r="F20281" s="26">
        <v>8.5699999999999998E-2</v>
      </c>
      <c r="H20281" s="26">
        <v>2.86E-2</v>
      </c>
      <c r="J20281" s="26">
        <v>2.86E-2</v>
      </c>
      <c r="S20281">
        <v>35</v>
      </c>
    </row>
    <row r="20282" spans="1:19" x14ac:dyDescent="0.35">
      <c r="A20282" t="s">
        <v>228</v>
      </c>
      <c r="B20282" t="s">
        <v>257</v>
      </c>
      <c r="C20282" s="26">
        <v>0.28670000000000001</v>
      </c>
      <c r="D20282" s="26">
        <v>0.30990000000000001</v>
      </c>
      <c r="E20282" s="26">
        <v>0.20630000000000001</v>
      </c>
      <c r="F20282" s="26">
        <v>2.2100000000000002E-2</v>
      </c>
      <c r="G20282" s="26">
        <v>1.0500000000000001E-2</v>
      </c>
      <c r="H20282" s="26">
        <v>0.13550000000000001</v>
      </c>
      <c r="J20282" s="26">
        <v>1.84E-2</v>
      </c>
      <c r="K20282" s="26">
        <v>1.0500000000000001E-2</v>
      </c>
      <c r="S20282">
        <v>49</v>
      </c>
    </row>
    <row r="20283" spans="1:19" x14ac:dyDescent="0.35">
      <c r="A20283" s="27" t="s">
        <v>228</v>
      </c>
      <c r="B20283" s="27" t="s">
        <v>258</v>
      </c>
      <c r="C20283" s="29"/>
      <c r="D20283" s="28">
        <v>0.59470000000000001</v>
      </c>
      <c r="E20283" s="28">
        <v>0.2092</v>
      </c>
      <c r="F20283" s="29"/>
      <c r="G20283" s="29"/>
      <c r="H20283" s="28">
        <v>9.8100000000000007E-2</v>
      </c>
      <c r="I20283" s="28">
        <v>9.8100000000000007E-2</v>
      </c>
      <c r="J20283" s="29"/>
      <c r="K20283" s="29"/>
      <c r="L20283" s="29"/>
      <c r="M20283" s="29"/>
      <c r="N20283" s="29"/>
      <c r="O20283" s="29"/>
      <c r="P20283" s="29"/>
      <c r="Q20283" s="29"/>
      <c r="R20283" s="29"/>
      <c r="S20283" s="29" t="s">
        <v>337</v>
      </c>
    </row>
    <row r="20284" spans="1:19" x14ac:dyDescent="0.35">
      <c r="A20284" t="s">
        <v>228</v>
      </c>
      <c r="B20284" t="s">
        <v>256</v>
      </c>
      <c r="C20284" s="26">
        <v>0.36230000000000001</v>
      </c>
      <c r="D20284" s="26">
        <v>0.30199999999999999</v>
      </c>
      <c r="E20284" s="26">
        <v>0.1794</v>
      </c>
      <c r="F20284" s="26">
        <v>8.0000000000000002E-3</v>
      </c>
      <c r="G20284" s="26">
        <v>3.1199999999999999E-2</v>
      </c>
      <c r="H20284" s="26">
        <v>7.9100000000000004E-2</v>
      </c>
      <c r="I20284" s="26">
        <v>1.1299999999999999E-2</v>
      </c>
      <c r="K20284" s="26">
        <v>1.8700000000000001E-2</v>
      </c>
      <c r="L20284" s="26">
        <v>3.3999999999999998E-3</v>
      </c>
      <c r="M20284" s="26">
        <v>2.3E-3</v>
      </c>
      <c r="P20284" s="26">
        <v>2.3E-3</v>
      </c>
      <c r="S20284">
        <v>221</v>
      </c>
    </row>
    <row r="20285" spans="1:19" x14ac:dyDescent="0.35">
      <c r="A20285" t="s">
        <v>228</v>
      </c>
      <c r="B20285" t="s">
        <v>255</v>
      </c>
      <c r="C20285" s="26">
        <v>0.3619</v>
      </c>
      <c r="D20285" s="26">
        <v>0.25990000000000002</v>
      </c>
      <c r="E20285" s="26">
        <v>0.21970000000000001</v>
      </c>
      <c r="F20285" s="26">
        <v>4.0300000000000002E-2</v>
      </c>
      <c r="G20285" s="26">
        <v>3.6299999999999999E-2</v>
      </c>
      <c r="H20285" s="26">
        <v>4.1000000000000002E-2</v>
      </c>
      <c r="I20285" s="26">
        <v>1.8200000000000001E-2</v>
      </c>
      <c r="J20285" s="26">
        <v>7.1000000000000004E-3</v>
      </c>
      <c r="K20285" s="26">
        <v>5.4999999999999997E-3</v>
      </c>
      <c r="L20285" s="26">
        <v>3.0999999999999999E-3</v>
      </c>
      <c r="M20285" s="26">
        <v>3.8E-3</v>
      </c>
      <c r="O20285" s="26">
        <v>1.6999999999999999E-3</v>
      </c>
      <c r="P20285" s="26">
        <v>1.6999999999999999E-3</v>
      </c>
      <c r="S20285">
        <v>759</v>
      </c>
    </row>
    <row r="20286" spans="1:19" x14ac:dyDescent="0.35">
      <c r="A20286" t="s">
        <v>229</v>
      </c>
      <c r="B20286" t="s">
        <v>256</v>
      </c>
      <c r="C20286" s="26">
        <v>0.34160000000000001</v>
      </c>
      <c r="D20286" s="26">
        <v>0.30120000000000002</v>
      </c>
      <c r="E20286" s="26">
        <v>0.21529999999999999</v>
      </c>
      <c r="F20286" s="26">
        <v>2.2599999999999999E-2</v>
      </c>
      <c r="G20286" s="26">
        <v>5.3699999999999998E-2</v>
      </c>
      <c r="H20286" s="26">
        <v>1.09E-2</v>
      </c>
      <c r="I20286" s="26">
        <v>1.34E-2</v>
      </c>
      <c r="J20286" s="26">
        <v>9.7999999999999997E-3</v>
      </c>
      <c r="K20286" s="26">
        <v>2.07E-2</v>
      </c>
      <c r="L20286" s="26">
        <v>1.09E-2</v>
      </c>
      <c r="S20286">
        <v>207</v>
      </c>
    </row>
    <row r="20287" spans="1:19" x14ac:dyDescent="0.35">
      <c r="A20287" t="s">
        <v>229</v>
      </c>
      <c r="B20287" t="s">
        <v>255</v>
      </c>
      <c r="C20287" s="26">
        <v>0.37630000000000002</v>
      </c>
      <c r="D20287" s="26">
        <v>0.2147</v>
      </c>
      <c r="E20287" s="26">
        <v>0.15740000000000001</v>
      </c>
      <c r="F20287" s="26">
        <v>9.3100000000000002E-2</v>
      </c>
      <c r="G20287" s="26">
        <v>6.4799999999999996E-2</v>
      </c>
      <c r="H20287" s="26">
        <v>2.2100000000000002E-2</v>
      </c>
      <c r="I20287" s="26">
        <v>1.5699999999999999E-2</v>
      </c>
      <c r="J20287" s="26">
        <v>1.2999999999999999E-2</v>
      </c>
      <c r="K20287" s="26">
        <v>2.53E-2</v>
      </c>
      <c r="L20287" s="26">
        <v>4.4999999999999997E-3</v>
      </c>
      <c r="M20287" s="26">
        <v>7.4999999999999997E-3</v>
      </c>
      <c r="N20287" s="26">
        <v>3.7000000000000002E-3</v>
      </c>
      <c r="P20287" s="26">
        <v>5.0000000000000001E-4</v>
      </c>
      <c r="Q20287" s="26">
        <v>1.5E-3</v>
      </c>
      <c r="S20287">
        <v>636</v>
      </c>
    </row>
    <row r="20288" spans="1:19" x14ac:dyDescent="0.35">
      <c r="A20288" t="s">
        <v>229</v>
      </c>
      <c r="B20288" t="s">
        <v>257</v>
      </c>
      <c r="C20288" s="26">
        <v>0.3911</v>
      </c>
      <c r="D20288" s="26">
        <v>0.2001</v>
      </c>
      <c r="E20288" s="26">
        <v>0.24060000000000001</v>
      </c>
      <c r="F20288" s="26">
        <v>7.7999999999999996E-3</v>
      </c>
      <c r="G20288" s="26">
        <v>5.8599999999999999E-2</v>
      </c>
      <c r="J20288" s="26">
        <v>5.5500000000000001E-2</v>
      </c>
      <c r="N20288" s="26">
        <v>4.6300000000000001E-2</v>
      </c>
      <c r="S20288">
        <v>50</v>
      </c>
    </row>
    <row r="20289" spans="1:19" x14ac:dyDescent="0.35">
      <c r="A20289" s="27" t="s">
        <v>229</v>
      </c>
      <c r="B20289" s="27" t="s">
        <v>258</v>
      </c>
      <c r="C20289" s="28">
        <v>1</v>
      </c>
      <c r="D20289" s="29"/>
      <c r="E20289" s="29"/>
      <c r="F20289" s="29"/>
      <c r="G20289" s="29"/>
      <c r="H20289" s="29"/>
      <c r="I20289" s="29"/>
      <c r="J20289" s="29"/>
      <c r="K20289" s="29"/>
      <c r="L20289" s="29"/>
      <c r="M20289" s="29"/>
      <c r="N20289" s="29"/>
      <c r="O20289" s="29"/>
      <c r="P20289" s="29"/>
      <c r="Q20289" s="29"/>
      <c r="R20289" s="29"/>
      <c r="S20289" s="29" t="s">
        <v>314</v>
      </c>
    </row>
    <row r="20290" spans="1:19" x14ac:dyDescent="0.35">
      <c r="A20290" t="s">
        <v>230</v>
      </c>
      <c r="B20290" t="s">
        <v>256</v>
      </c>
      <c r="C20290" s="26">
        <v>0.47789999999999999</v>
      </c>
      <c r="D20290" s="26">
        <v>0.23649999999999999</v>
      </c>
      <c r="E20290" s="26">
        <v>5.9299999999999999E-2</v>
      </c>
      <c r="F20290" s="26">
        <v>1.4999999999999999E-2</v>
      </c>
      <c r="G20290" s="26">
        <v>1.3899999999999999E-2</v>
      </c>
      <c r="H20290" s="26">
        <v>1.7000000000000001E-2</v>
      </c>
      <c r="I20290" s="26">
        <v>5.8500000000000003E-2</v>
      </c>
      <c r="J20290" s="26">
        <v>6.2100000000000002E-2</v>
      </c>
      <c r="K20290" s="26">
        <v>2.41E-2</v>
      </c>
      <c r="L20290" s="26">
        <v>2.8799999999999999E-2</v>
      </c>
      <c r="O20290" s="26">
        <v>3.5000000000000001E-3</v>
      </c>
      <c r="R20290" s="26">
        <v>3.3999999999999998E-3</v>
      </c>
      <c r="S20290">
        <v>130</v>
      </c>
    </row>
    <row r="20291" spans="1:19" x14ac:dyDescent="0.35">
      <c r="A20291" t="s">
        <v>230</v>
      </c>
      <c r="B20291" t="s">
        <v>255</v>
      </c>
      <c r="C20291" s="26">
        <v>0.5272</v>
      </c>
      <c r="D20291" s="26">
        <v>0.15049999999999999</v>
      </c>
      <c r="E20291" s="26">
        <v>0.1019</v>
      </c>
      <c r="F20291" s="26">
        <v>3.0700000000000002E-2</v>
      </c>
      <c r="G20291" s="26">
        <v>4.2700000000000002E-2</v>
      </c>
      <c r="H20291" s="26">
        <v>2.23E-2</v>
      </c>
      <c r="I20291" s="26">
        <v>8.8099999999999998E-2</v>
      </c>
      <c r="J20291" s="26">
        <v>1.4E-3</v>
      </c>
      <c r="K20291" s="26">
        <v>2.0199999999999999E-2</v>
      </c>
      <c r="L20291" s="26">
        <v>1.35E-2</v>
      </c>
      <c r="M20291" s="26">
        <v>1.4E-3</v>
      </c>
      <c r="S20291">
        <v>388</v>
      </c>
    </row>
    <row r="20292" spans="1:19" x14ac:dyDescent="0.35">
      <c r="A20292" t="s">
        <v>230</v>
      </c>
      <c r="B20292" t="s">
        <v>257</v>
      </c>
      <c r="C20292" s="26">
        <v>0.55759999999999998</v>
      </c>
      <c r="D20292" s="26">
        <v>0.15579999999999999</v>
      </c>
      <c r="E20292" s="26">
        <v>5.4300000000000001E-2</v>
      </c>
      <c r="F20292" s="26">
        <v>2.5399999999999999E-2</v>
      </c>
      <c r="G20292" s="26">
        <v>9.2799999999999994E-2</v>
      </c>
      <c r="H20292" s="26">
        <v>1.2500000000000001E-2</v>
      </c>
      <c r="I20292" s="26">
        <v>1.2500000000000001E-2</v>
      </c>
      <c r="K20292" s="26">
        <v>1.2800000000000001E-2</v>
      </c>
      <c r="L20292" s="26">
        <v>7.6100000000000001E-2</v>
      </c>
      <c r="S20292">
        <v>38</v>
      </c>
    </row>
    <row r="20293" spans="1:19" x14ac:dyDescent="0.35">
      <c r="A20293" s="27" t="s">
        <v>230</v>
      </c>
      <c r="B20293" s="27" t="s">
        <v>258</v>
      </c>
      <c r="C20293" s="28">
        <v>0.86439999999999995</v>
      </c>
      <c r="D20293" s="28">
        <v>0.1356</v>
      </c>
      <c r="E20293" s="29"/>
      <c r="F20293" s="29"/>
      <c r="G20293" s="29"/>
      <c r="H20293" s="29"/>
      <c r="I20293" s="29"/>
      <c r="J20293" s="29"/>
      <c r="K20293" s="29"/>
      <c r="L20293" s="29"/>
      <c r="M20293" s="29"/>
      <c r="N20293" s="29"/>
      <c r="O20293" s="29"/>
      <c r="P20293" s="29"/>
      <c r="Q20293" s="29"/>
      <c r="R20293" s="29"/>
      <c r="S20293" s="29" t="s">
        <v>315</v>
      </c>
    </row>
    <row r="20294" spans="1:19" x14ac:dyDescent="0.35">
      <c r="A20294" s="27" t="s">
        <v>231</v>
      </c>
      <c r="B20294" s="27" t="s">
        <v>257</v>
      </c>
      <c r="C20294" s="28">
        <v>0.71430000000000005</v>
      </c>
      <c r="D20294" s="28">
        <v>0.1429</v>
      </c>
      <c r="E20294" s="29"/>
      <c r="F20294" s="29"/>
      <c r="G20294" s="28">
        <v>0.1429</v>
      </c>
      <c r="H20294" s="29"/>
      <c r="I20294" s="29"/>
      <c r="J20294" s="29"/>
      <c r="K20294" s="29"/>
      <c r="L20294" s="29"/>
      <c r="M20294" s="29"/>
      <c r="N20294" s="29"/>
      <c r="O20294" s="29"/>
      <c r="P20294" s="29"/>
      <c r="Q20294" s="29"/>
      <c r="R20294" s="29"/>
      <c r="S20294" s="29" t="s">
        <v>339</v>
      </c>
    </row>
    <row r="20295" spans="1:19" x14ac:dyDescent="0.35">
      <c r="A20295" t="s">
        <v>231</v>
      </c>
      <c r="B20295" t="s">
        <v>255</v>
      </c>
      <c r="C20295" s="26">
        <v>0.41860000000000003</v>
      </c>
      <c r="D20295" s="26">
        <v>0.2326</v>
      </c>
      <c r="E20295" s="26">
        <v>7.7499999999999999E-2</v>
      </c>
      <c r="F20295" s="26">
        <v>0.14729999999999999</v>
      </c>
      <c r="G20295" s="26">
        <v>4.65E-2</v>
      </c>
      <c r="H20295" s="26">
        <v>1.55E-2</v>
      </c>
      <c r="I20295" s="26">
        <v>2.3300000000000001E-2</v>
      </c>
      <c r="J20295" s="26">
        <v>3.1E-2</v>
      </c>
      <c r="M20295" s="26">
        <v>7.7999999999999996E-3</v>
      </c>
      <c r="S20295">
        <v>129</v>
      </c>
    </row>
    <row r="20296" spans="1:19" x14ac:dyDescent="0.35">
      <c r="A20296" s="27" t="s">
        <v>231</v>
      </c>
      <c r="B20296" s="27" t="s">
        <v>256</v>
      </c>
      <c r="C20296" s="28">
        <v>0.53569999999999995</v>
      </c>
      <c r="D20296" s="28">
        <v>0.25</v>
      </c>
      <c r="E20296" s="29"/>
      <c r="F20296" s="28">
        <v>7.1400000000000005E-2</v>
      </c>
      <c r="G20296" s="28">
        <v>7.1400000000000005E-2</v>
      </c>
      <c r="H20296" s="28">
        <v>3.5700000000000003E-2</v>
      </c>
      <c r="I20296" s="29"/>
      <c r="J20296" s="28">
        <v>3.5700000000000003E-2</v>
      </c>
      <c r="K20296" s="29"/>
      <c r="L20296" s="29"/>
      <c r="M20296" s="29"/>
      <c r="N20296" s="29"/>
      <c r="O20296" s="29"/>
      <c r="P20296" s="29"/>
      <c r="Q20296" s="29"/>
      <c r="R20296" s="29"/>
      <c r="S20296" s="29" t="s">
        <v>336</v>
      </c>
    </row>
    <row r="20297" spans="1:19" x14ac:dyDescent="0.35">
      <c r="A20297" t="s">
        <v>232</v>
      </c>
      <c r="B20297" t="s">
        <v>232</v>
      </c>
      <c r="C20297" s="26">
        <v>0.40639999999999998</v>
      </c>
      <c r="D20297" s="26">
        <v>0.23860000000000001</v>
      </c>
      <c r="E20297" s="26">
        <v>0.1416</v>
      </c>
      <c r="F20297" s="26">
        <v>7.8399999999999997E-2</v>
      </c>
      <c r="G20297" s="26">
        <v>5.0200000000000002E-2</v>
      </c>
      <c r="H20297" s="26">
        <v>2.46E-2</v>
      </c>
      <c r="I20297" s="26">
        <v>2.12E-2</v>
      </c>
      <c r="J20297" s="26">
        <v>1.7100000000000001E-2</v>
      </c>
      <c r="K20297" s="26">
        <v>1.0200000000000001E-2</v>
      </c>
      <c r="L20297" s="26">
        <v>4.4000000000000003E-3</v>
      </c>
      <c r="M20297" s="26">
        <v>3.8E-3</v>
      </c>
      <c r="N20297" s="26">
        <v>1.4E-3</v>
      </c>
      <c r="O20297" s="26">
        <v>1.2999999999999999E-3</v>
      </c>
      <c r="P20297" s="26">
        <v>4.0000000000000002E-4</v>
      </c>
      <c r="Q20297" s="26">
        <v>2.9999999999999997E-4</v>
      </c>
      <c r="R20297" s="26">
        <v>1E-4</v>
      </c>
      <c r="S20297">
        <v>2812</v>
      </c>
    </row>
    <row r="20299" spans="1:19" x14ac:dyDescent="0.35">
      <c r="A20299" s="1" t="s">
        <v>2013</v>
      </c>
    </row>
    <row r="20300" spans="1:19" x14ac:dyDescent="0.35">
      <c r="A20300" t="s">
        <v>219</v>
      </c>
      <c r="B20300" t="s">
        <v>534</v>
      </c>
      <c r="C20300" t="s">
        <v>535</v>
      </c>
      <c r="D20300" t="s">
        <v>536</v>
      </c>
      <c r="E20300" t="s">
        <v>537</v>
      </c>
      <c r="F20300" t="s">
        <v>226</v>
      </c>
    </row>
    <row r="20301" spans="1:19" x14ac:dyDescent="0.35">
      <c r="A20301" t="s">
        <v>227</v>
      </c>
      <c r="B20301">
        <v>12.13</v>
      </c>
      <c r="C20301">
        <v>10</v>
      </c>
      <c r="D20301">
        <v>0</v>
      </c>
      <c r="E20301">
        <v>90</v>
      </c>
      <c r="F20301">
        <v>95</v>
      </c>
    </row>
    <row r="20302" spans="1:19" x14ac:dyDescent="0.35">
      <c r="A20302" t="s">
        <v>228</v>
      </c>
      <c r="B20302">
        <v>18.07</v>
      </c>
      <c r="C20302">
        <v>10</v>
      </c>
      <c r="D20302">
        <v>0</v>
      </c>
      <c r="E20302">
        <v>240</v>
      </c>
      <c r="F20302">
        <v>593</v>
      </c>
    </row>
    <row r="20303" spans="1:19" x14ac:dyDescent="0.35">
      <c r="A20303" t="s">
        <v>229</v>
      </c>
      <c r="B20303">
        <v>14.54</v>
      </c>
      <c r="C20303">
        <v>10</v>
      </c>
      <c r="D20303">
        <v>0</v>
      </c>
      <c r="E20303">
        <v>180</v>
      </c>
      <c r="F20303">
        <v>395</v>
      </c>
    </row>
    <row r="20304" spans="1:19" x14ac:dyDescent="0.35">
      <c r="A20304" t="s">
        <v>230</v>
      </c>
      <c r="B20304">
        <v>19.27</v>
      </c>
      <c r="C20304">
        <v>10</v>
      </c>
      <c r="D20304">
        <v>0</v>
      </c>
      <c r="E20304">
        <v>120</v>
      </c>
      <c r="F20304">
        <v>280</v>
      </c>
    </row>
    <row r="20305" spans="1:7" x14ac:dyDescent="0.35">
      <c r="A20305" t="s">
        <v>231</v>
      </c>
      <c r="B20305">
        <v>10.44</v>
      </c>
      <c r="C20305">
        <v>6</v>
      </c>
      <c r="D20305">
        <v>0</v>
      </c>
      <c r="E20305">
        <v>90</v>
      </c>
      <c r="F20305">
        <v>82</v>
      </c>
    </row>
    <row r="20306" spans="1:7" x14ac:dyDescent="0.35">
      <c r="A20306" t="s">
        <v>232</v>
      </c>
      <c r="B20306">
        <v>14.22</v>
      </c>
      <c r="C20306">
        <v>10</v>
      </c>
      <c r="D20306">
        <v>0</v>
      </c>
      <c r="E20306">
        <v>240</v>
      </c>
      <c r="F20306">
        <v>1445</v>
      </c>
    </row>
    <row r="20308" spans="1:7" x14ac:dyDescent="0.35">
      <c r="A20308" s="1" t="s">
        <v>2014</v>
      </c>
    </row>
    <row r="20309" spans="1:7" x14ac:dyDescent="0.35">
      <c r="A20309" t="s">
        <v>219</v>
      </c>
      <c r="B20309" t="s">
        <v>305</v>
      </c>
      <c r="C20309" t="s">
        <v>534</v>
      </c>
      <c r="D20309" t="s">
        <v>535</v>
      </c>
      <c r="E20309" t="s">
        <v>536</v>
      </c>
      <c r="F20309" t="s">
        <v>537</v>
      </c>
      <c r="G20309" t="s">
        <v>226</v>
      </c>
    </row>
    <row r="20310" spans="1:7" x14ac:dyDescent="0.35">
      <c r="A20310" t="s">
        <v>227</v>
      </c>
      <c r="B20310" t="s">
        <v>242</v>
      </c>
      <c r="C20310">
        <v>13.43</v>
      </c>
      <c r="D20310">
        <v>10</v>
      </c>
      <c r="E20310">
        <v>0</v>
      </c>
      <c r="F20310">
        <v>80</v>
      </c>
      <c r="G20310">
        <v>44</v>
      </c>
    </row>
    <row r="20311" spans="1:7" x14ac:dyDescent="0.35">
      <c r="A20311" t="s">
        <v>227</v>
      </c>
      <c r="B20311" t="s">
        <v>241</v>
      </c>
      <c r="C20311">
        <v>11</v>
      </c>
      <c r="D20311">
        <v>5</v>
      </c>
      <c r="E20311">
        <v>0</v>
      </c>
      <c r="F20311">
        <v>90</v>
      </c>
      <c r="G20311">
        <v>51</v>
      </c>
    </row>
    <row r="20312" spans="1:7" x14ac:dyDescent="0.35">
      <c r="A20312" t="s">
        <v>228</v>
      </c>
      <c r="B20312" t="s">
        <v>242</v>
      </c>
      <c r="C20312">
        <v>22.5</v>
      </c>
      <c r="D20312">
        <v>15</v>
      </c>
      <c r="E20312">
        <v>0</v>
      </c>
      <c r="F20312">
        <v>180</v>
      </c>
      <c r="G20312">
        <v>216</v>
      </c>
    </row>
    <row r="20313" spans="1:7" x14ac:dyDescent="0.35">
      <c r="A20313" t="s">
        <v>228</v>
      </c>
      <c r="B20313" t="s">
        <v>241</v>
      </c>
      <c r="C20313">
        <v>15.69</v>
      </c>
      <c r="D20313">
        <v>10</v>
      </c>
      <c r="E20313">
        <v>0</v>
      </c>
      <c r="F20313">
        <v>240</v>
      </c>
      <c r="G20313">
        <v>377</v>
      </c>
    </row>
    <row r="20314" spans="1:7" x14ac:dyDescent="0.35">
      <c r="A20314" t="s">
        <v>229</v>
      </c>
      <c r="B20314" t="s">
        <v>242</v>
      </c>
      <c r="C20314">
        <v>19.079999999999998</v>
      </c>
      <c r="D20314">
        <v>12</v>
      </c>
      <c r="E20314">
        <v>0</v>
      </c>
      <c r="F20314">
        <v>180</v>
      </c>
      <c r="G20314">
        <v>138</v>
      </c>
    </row>
    <row r="20315" spans="1:7" x14ac:dyDescent="0.35">
      <c r="A20315" t="s">
        <v>229</v>
      </c>
      <c r="B20315" t="s">
        <v>241</v>
      </c>
      <c r="C20315">
        <v>11.73</v>
      </c>
      <c r="D20315">
        <v>10</v>
      </c>
      <c r="E20315">
        <v>0</v>
      </c>
      <c r="F20315">
        <v>120</v>
      </c>
      <c r="G20315">
        <v>257</v>
      </c>
    </row>
    <row r="20316" spans="1:7" x14ac:dyDescent="0.35">
      <c r="A20316" t="s">
        <v>230</v>
      </c>
      <c r="B20316" t="s">
        <v>242</v>
      </c>
      <c r="C20316">
        <v>25.34</v>
      </c>
      <c r="D20316">
        <v>15</v>
      </c>
      <c r="E20316">
        <v>0</v>
      </c>
      <c r="F20316">
        <v>120</v>
      </c>
      <c r="G20316">
        <v>99</v>
      </c>
    </row>
    <row r="20317" spans="1:7" x14ac:dyDescent="0.35">
      <c r="A20317" t="s">
        <v>230</v>
      </c>
      <c r="B20317" t="s">
        <v>241</v>
      </c>
      <c r="C20317">
        <v>16.14</v>
      </c>
      <c r="D20317">
        <v>10</v>
      </c>
      <c r="E20317">
        <v>0</v>
      </c>
      <c r="F20317">
        <v>120</v>
      </c>
      <c r="G20317">
        <v>181</v>
      </c>
    </row>
    <row r="20318" spans="1:7" x14ac:dyDescent="0.35">
      <c r="A20318" s="27" t="s">
        <v>231</v>
      </c>
      <c r="B20318" s="27" t="s">
        <v>242</v>
      </c>
      <c r="C20318" s="29">
        <v>10.36</v>
      </c>
      <c r="D20318" s="29">
        <v>5</v>
      </c>
      <c r="E20318" s="29">
        <v>0</v>
      </c>
      <c r="F20318" s="29">
        <v>60</v>
      </c>
      <c r="G20318" s="29">
        <v>25</v>
      </c>
    </row>
    <row r="20319" spans="1:7" x14ac:dyDescent="0.35">
      <c r="A20319" t="s">
        <v>231</v>
      </c>
      <c r="B20319" t="s">
        <v>241</v>
      </c>
      <c r="C20319">
        <v>10.47</v>
      </c>
      <c r="D20319">
        <v>10</v>
      </c>
      <c r="E20319">
        <v>0</v>
      </c>
      <c r="F20319">
        <v>90</v>
      </c>
      <c r="G20319">
        <v>57</v>
      </c>
    </row>
    <row r="20320" spans="1:7" x14ac:dyDescent="0.35">
      <c r="A20320" t="s">
        <v>232</v>
      </c>
      <c r="B20320" t="s">
        <v>232</v>
      </c>
      <c r="C20320">
        <v>14.22</v>
      </c>
      <c r="D20320">
        <v>10</v>
      </c>
      <c r="E20320">
        <v>0</v>
      </c>
      <c r="F20320">
        <v>240</v>
      </c>
      <c r="G20320">
        <v>1445</v>
      </c>
    </row>
    <row r="20322" spans="1:7" x14ac:dyDescent="0.35">
      <c r="A20322" s="1" t="s">
        <v>2015</v>
      </c>
    </row>
    <row r="20323" spans="1:7" x14ac:dyDescent="0.35">
      <c r="A20323" t="s">
        <v>219</v>
      </c>
      <c r="B20323" t="s">
        <v>305</v>
      </c>
      <c r="C20323" t="s">
        <v>534</v>
      </c>
      <c r="D20323" t="s">
        <v>535</v>
      </c>
      <c r="E20323" t="s">
        <v>536</v>
      </c>
      <c r="F20323" t="s">
        <v>537</v>
      </c>
      <c r="G20323" t="s">
        <v>226</v>
      </c>
    </row>
    <row r="20324" spans="1:7" x14ac:dyDescent="0.35">
      <c r="A20324" t="s">
        <v>227</v>
      </c>
      <c r="B20324" t="s">
        <v>239</v>
      </c>
      <c r="C20324">
        <v>11.56</v>
      </c>
      <c r="D20324">
        <v>5</v>
      </c>
      <c r="E20324">
        <v>0</v>
      </c>
      <c r="F20324">
        <v>90</v>
      </c>
      <c r="G20324">
        <v>34</v>
      </c>
    </row>
    <row r="20325" spans="1:7" x14ac:dyDescent="0.35">
      <c r="A20325" t="s">
        <v>227</v>
      </c>
      <c r="B20325" t="s">
        <v>238</v>
      </c>
      <c r="C20325">
        <v>12.44</v>
      </c>
      <c r="D20325">
        <v>10</v>
      </c>
      <c r="E20325">
        <v>0</v>
      </c>
      <c r="F20325">
        <v>80</v>
      </c>
      <c r="G20325">
        <v>61</v>
      </c>
    </row>
    <row r="20326" spans="1:7" x14ac:dyDescent="0.35">
      <c r="A20326" t="s">
        <v>228</v>
      </c>
      <c r="B20326" t="s">
        <v>239</v>
      </c>
      <c r="C20326">
        <v>22.67</v>
      </c>
      <c r="D20326">
        <v>10</v>
      </c>
      <c r="E20326">
        <v>0</v>
      </c>
      <c r="F20326">
        <v>180</v>
      </c>
      <c r="G20326">
        <v>194</v>
      </c>
    </row>
    <row r="20327" spans="1:7" x14ac:dyDescent="0.35">
      <c r="A20327" t="s">
        <v>228</v>
      </c>
      <c r="B20327" t="s">
        <v>238</v>
      </c>
      <c r="C20327">
        <v>16.89</v>
      </c>
      <c r="D20327">
        <v>10</v>
      </c>
      <c r="E20327">
        <v>0</v>
      </c>
      <c r="F20327">
        <v>240</v>
      </c>
      <c r="G20327">
        <v>399</v>
      </c>
    </row>
    <row r="20328" spans="1:7" x14ac:dyDescent="0.35">
      <c r="A20328" t="s">
        <v>229</v>
      </c>
      <c r="B20328" t="s">
        <v>239</v>
      </c>
      <c r="C20328">
        <v>13.32</v>
      </c>
      <c r="D20328">
        <v>5</v>
      </c>
      <c r="E20328">
        <v>0</v>
      </c>
      <c r="F20328">
        <v>120</v>
      </c>
      <c r="G20328">
        <v>168</v>
      </c>
    </row>
    <row r="20329" spans="1:7" x14ac:dyDescent="0.35">
      <c r="A20329" t="s">
        <v>229</v>
      </c>
      <c r="B20329" t="s">
        <v>238</v>
      </c>
      <c r="C20329">
        <v>14.94</v>
      </c>
      <c r="D20329">
        <v>10</v>
      </c>
      <c r="E20329">
        <v>0</v>
      </c>
      <c r="F20329">
        <v>180</v>
      </c>
      <c r="G20329">
        <v>227</v>
      </c>
    </row>
    <row r="20330" spans="1:7" x14ac:dyDescent="0.35">
      <c r="A20330" t="s">
        <v>230</v>
      </c>
      <c r="B20330" t="s">
        <v>239</v>
      </c>
      <c r="C20330">
        <v>16.04</v>
      </c>
      <c r="D20330">
        <v>10</v>
      </c>
      <c r="E20330">
        <v>0</v>
      </c>
      <c r="F20330">
        <v>120</v>
      </c>
      <c r="G20330">
        <v>91</v>
      </c>
    </row>
    <row r="20331" spans="1:7" x14ac:dyDescent="0.35">
      <c r="A20331" t="s">
        <v>230</v>
      </c>
      <c r="B20331" t="s">
        <v>238</v>
      </c>
      <c r="C20331">
        <v>20.36</v>
      </c>
      <c r="D20331">
        <v>15</v>
      </c>
      <c r="E20331">
        <v>0</v>
      </c>
      <c r="F20331">
        <v>120</v>
      </c>
      <c r="G20331">
        <v>189</v>
      </c>
    </row>
    <row r="20332" spans="1:7" x14ac:dyDescent="0.35">
      <c r="A20332" t="s">
        <v>231</v>
      </c>
      <c r="B20332" t="s">
        <v>239</v>
      </c>
      <c r="C20332">
        <v>7.82</v>
      </c>
      <c r="D20332">
        <v>4</v>
      </c>
      <c r="E20332">
        <v>0</v>
      </c>
      <c r="F20332">
        <v>60</v>
      </c>
      <c r="G20332">
        <v>38</v>
      </c>
    </row>
    <row r="20333" spans="1:7" x14ac:dyDescent="0.35">
      <c r="A20333" t="s">
        <v>231</v>
      </c>
      <c r="B20333" t="s">
        <v>238</v>
      </c>
      <c r="C20333">
        <v>12.7</v>
      </c>
      <c r="D20333">
        <v>10</v>
      </c>
      <c r="E20333">
        <v>0</v>
      </c>
      <c r="F20333">
        <v>90</v>
      </c>
      <c r="G20333">
        <v>44</v>
      </c>
    </row>
    <row r="20334" spans="1:7" x14ac:dyDescent="0.35">
      <c r="A20334" t="s">
        <v>232</v>
      </c>
      <c r="B20334" t="s">
        <v>232</v>
      </c>
      <c r="C20334">
        <v>14.22</v>
      </c>
      <c r="D20334">
        <v>10</v>
      </c>
      <c r="E20334">
        <v>0</v>
      </c>
      <c r="F20334">
        <v>240</v>
      </c>
      <c r="G20334">
        <v>1445</v>
      </c>
    </row>
    <row r="20336" spans="1:7" x14ac:dyDescent="0.35">
      <c r="A20336" s="1" t="s">
        <v>2016</v>
      </c>
    </row>
    <row r="20337" spans="1:7" x14ac:dyDescent="0.35">
      <c r="A20337" t="s">
        <v>219</v>
      </c>
      <c r="B20337" t="s">
        <v>305</v>
      </c>
      <c r="C20337" t="s">
        <v>534</v>
      </c>
      <c r="D20337" t="s">
        <v>535</v>
      </c>
      <c r="E20337" t="s">
        <v>536</v>
      </c>
      <c r="F20337" t="s">
        <v>537</v>
      </c>
      <c r="G20337" t="s">
        <v>226</v>
      </c>
    </row>
    <row r="20338" spans="1:7" x14ac:dyDescent="0.35">
      <c r="A20338" t="s">
        <v>227</v>
      </c>
      <c r="B20338" t="s">
        <v>244</v>
      </c>
      <c r="C20338">
        <v>11.81</v>
      </c>
      <c r="D20338">
        <v>7</v>
      </c>
      <c r="E20338">
        <v>0</v>
      </c>
      <c r="F20338">
        <v>90</v>
      </c>
      <c r="G20338">
        <v>58</v>
      </c>
    </row>
    <row r="20339" spans="1:7" x14ac:dyDescent="0.35">
      <c r="A20339" t="s">
        <v>227</v>
      </c>
      <c r="B20339" t="s">
        <v>245</v>
      </c>
      <c r="C20339">
        <v>9.83</v>
      </c>
      <c r="D20339">
        <v>5</v>
      </c>
      <c r="E20339">
        <v>0</v>
      </c>
      <c r="F20339">
        <v>40</v>
      </c>
      <c r="G20339">
        <v>30</v>
      </c>
    </row>
    <row r="20340" spans="1:7" x14ac:dyDescent="0.35">
      <c r="A20340" s="27" t="s">
        <v>227</v>
      </c>
      <c r="B20340" s="27" t="s">
        <v>246</v>
      </c>
      <c r="C20340" s="29">
        <v>24.57</v>
      </c>
      <c r="D20340" s="29">
        <v>30</v>
      </c>
      <c r="E20340" s="29">
        <v>2</v>
      </c>
      <c r="F20340" s="29">
        <v>80</v>
      </c>
      <c r="G20340" s="29">
        <v>7</v>
      </c>
    </row>
    <row r="20341" spans="1:7" x14ac:dyDescent="0.35">
      <c r="A20341" t="s">
        <v>228</v>
      </c>
      <c r="B20341" t="s">
        <v>244</v>
      </c>
      <c r="C20341">
        <v>16.64</v>
      </c>
      <c r="D20341">
        <v>10</v>
      </c>
      <c r="E20341">
        <v>0</v>
      </c>
      <c r="F20341">
        <v>160</v>
      </c>
      <c r="G20341">
        <v>370</v>
      </c>
    </row>
    <row r="20342" spans="1:7" x14ac:dyDescent="0.35">
      <c r="A20342" t="s">
        <v>228</v>
      </c>
      <c r="B20342" t="s">
        <v>245</v>
      </c>
      <c r="C20342">
        <v>20.54</v>
      </c>
      <c r="D20342">
        <v>10</v>
      </c>
      <c r="E20342">
        <v>0</v>
      </c>
      <c r="F20342">
        <v>240</v>
      </c>
      <c r="G20342">
        <v>184</v>
      </c>
    </row>
    <row r="20343" spans="1:7" x14ac:dyDescent="0.35">
      <c r="A20343" t="s">
        <v>228</v>
      </c>
      <c r="B20343" t="s">
        <v>246</v>
      </c>
      <c r="C20343">
        <v>22.45</v>
      </c>
      <c r="D20343">
        <v>10</v>
      </c>
      <c r="E20343">
        <v>0</v>
      </c>
      <c r="F20343">
        <v>120</v>
      </c>
      <c r="G20343">
        <v>39</v>
      </c>
    </row>
    <row r="20344" spans="1:7" x14ac:dyDescent="0.35">
      <c r="A20344" t="s">
        <v>229</v>
      </c>
      <c r="B20344" t="s">
        <v>244</v>
      </c>
      <c r="C20344">
        <v>14.51</v>
      </c>
      <c r="D20344">
        <v>10</v>
      </c>
      <c r="E20344">
        <v>0</v>
      </c>
      <c r="F20344">
        <v>180</v>
      </c>
      <c r="G20344">
        <v>249</v>
      </c>
    </row>
    <row r="20345" spans="1:7" x14ac:dyDescent="0.35">
      <c r="A20345" t="s">
        <v>229</v>
      </c>
      <c r="B20345" t="s">
        <v>245</v>
      </c>
      <c r="C20345">
        <v>14.9</v>
      </c>
      <c r="D20345">
        <v>10</v>
      </c>
      <c r="E20345">
        <v>0</v>
      </c>
      <c r="F20345">
        <v>60</v>
      </c>
      <c r="G20345">
        <v>122</v>
      </c>
    </row>
    <row r="20346" spans="1:7" x14ac:dyDescent="0.35">
      <c r="A20346" s="27" t="s">
        <v>229</v>
      </c>
      <c r="B20346" s="27" t="s">
        <v>246</v>
      </c>
      <c r="C20346" s="29">
        <v>13.39</v>
      </c>
      <c r="D20346" s="29">
        <v>10</v>
      </c>
      <c r="E20346" s="29">
        <v>0</v>
      </c>
      <c r="F20346" s="29">
        <v>60</v>
      </c>
      <c r="G20346" s="29">
        <v>24</v>
      </c>
    </row>
    <row r="20347" spans="1:7" x14ac:dyDescent="0.35">
      <c r="A20347" t="s">
        <v>230</v>
      </c>
      <c r="B20347" t="s">
        <v>244</v>
      </c>
      <c r="C20347">
        <v>17.78</v>
      </c>
      <c r="D20347">
        <v>10</v>
      </c>
      <c r="E20347">
        <v>0</v>
      </c>
      <c r="F20347">
        <v>90</v>
      </c>
      <c r="G20347">
        <v>181</v>
      </c>
    </row>
    <row r="20348" spans="1:7" x14ac:dyDescent="0.35">
      <c r="A20348" t="s">
        <v>230</v>
      </c>
      <c r="B20348" t="s">
        <v>245</v>
      </c>
      <c r="C20348">
        <v>23.07</v>
      </c>
      <c r="D20348">
        <v>15</v>
      </c>
      <c r="E20348">
        <v>0</v>
      </c>
      <c r="F20348">
        <v>120</v>
      </c>
      <c r="G20348">
        <v>84</v>
      </c>
    </row>
    <row r="20349" spans="1:7" x14ac:dyDescent="0.35">
      <c r="A20349" s="27" t="s">
        <v>230</v>
      </c>
      <c r="B20349" s="27" t="s">
        <v>246</v>
      </c>
      <c r="C20349" s="29">
        <v>19.27</v>
      </c>
      <c r="D20349" s="29">
        <v>20</v>
      </c>
      <c r="E20349" s="29">
        <v>0</v>
      </c>
      <c r="F20349" s="29">
        <v>60</v>
      </c>
      <c r="G20349" s="29">
        <v>15</v>
      </c>
    </row>
    <row r="20350" spans="1:7" x14ac:dyDescent="0.35">
      <c r="A20350" t="s">
        <v>231</v>
      </c>
      <c r="B20350" t="s">
        <v>244</v>
      </c>
      <c r="C20350">
        <v>9.02</v>
      </c>
      <c r="D20350">
        <v>5</v>
      </c>
      <c r="E20350">
        <v>0</v>
      </c>
      <c r="F20350">
        <v>60</v>
      </c>
      <c r="G20350">
        <v>47</v>
      </c>
    </row>
    <row r="20351" spans="1:7" x14ac:dyDescent="0.35">
      <c r="A20351" s="27" t="s">
        <v>231</v>
      </c>
      <c r="B20351" s="27" t="s">
        <v>245</v>
      </c>
      <c r="C20351" s="29">
        <v>14.25</v>
      </c>
      <c r="D20351" s="29">
        <v>10</v>
      </c>
      <c r="E20351" s="29">
        <v>0</v>
      </c>
      <c r="F20351" s="29">
        <v>90</v>
      </c>
      <c r="G20351" s="29">
        <v>28</v>
      </c>
    </row>
    <row r="20352" spans="1:7" x14ac:dyDescent="0.35">
      <c r="A20352" s="27" t="s">
        <v>231</v>
      </c>
      <c r="B20352" s="27" t="s">
        <v>246</v>
      </c>
      <c r="C20352" s="29">
        <v>4.71</v>
      </c>
      <c r="D20352" s="29">
        <v>5</v>
      </c>
      <c r="E20352" s="29">
        <v>0</v>
      </c>
      <c r="F20352" s="29">
        <v>15</v>
      </c>
      <c r="G20352" s="29">
        <v>7</v>
      </c>
    </row>
    <row r="20353" spans="1:7" x14ac:dyDescent="0.35">
      <c r="A20353" t="s">
        <v>232</v>
      </c>
      <c r="B20353" t="s">
        <v>232</v>
      </c>
      <c r="C20353">
        <v>14.22</v>
      </c>
      <c r="D20353">
        <v>10</v>
      </c>
      <c r="E20353">
        <v>0</v>
      </c>
      <c r="F20353">
        <v>240</v>
      </c>
      <c r="G20353">
        <v>1445</v>
      </c>
    </row>
    <row r="20355" spans="1:7" x14ac:dyDescent="0.35">
      <c r="A20355" s="1" t="s">
        <v>2017</v>
      </c>
    </row>
    <row r="20356" spans="1:7" x14ac:dyDescent="0.35">
      <c r="A20356" t="s">
        <v>219</v>
      </c>
      <c r="B20356" t="s">
        <v>305</v>
      </c>
      <c r="C20356" t="s">
        <v>534</v>
      </c>
      <c r="D20356" t="s">
        <v>535</v>
      </c>
      <c r="E20356" t="s">
        <v>536</v>
      </c>
      <c r="F20356" t="s">
        <v>537</v>
      </c>
      <c r="G20356" t="s">
        <v>226</v>
      </c>
    </row>
    <row r="20357" spans="1:7" x14ac:dyDescent="0.35">
      <c r="A20357" s="27" t="s">
        <v>227</v>
      </c>
      <c r="B20357" s="27" t="s">
        <v>360</v>
      </c>
      <c r="C20357" s="29">
        <v>13.24</v>
      </c>
      <c r="D20357" s="29">
        <v>5</v>
      </c>
      <c r="E20357" s="29">
        <v>0</v>
      </c>
      <c r="F20357" s="29">
        <v>80</v>
      </c>
      <c r="G20357" s="29">
        <v>21</v>
      </c>
    </row>
    <row r="20358" spans="1:7" x14ac:dyDescent="0.35">
      <c r="A20358" t="s">
        <v>227</v>
      </c>
      <c r="B20358" t="s">
        <v>363</v>
      </c>
      <c r="C20358">
        <v>13.87</v>
      </c>
      <c r="D20358">
        <v>10</v>
      </c>
      <c r="E20358">
        <v>0</v>
      </c>
      <c r="F20358">
        <v>80</v>
      </c>
      <c r="G20358">
        <v>31</v>
      </c>
    </row>
    <row r="20359" spans="1:7" x14ac:dyDescent="0.35">
      <c r="A20359" s="27" t="s">
        <v>227</v>
      </c>
      <c r="B20359" s="27" t="s">
        <v>361</v>
      </c>
      <c r="C20359" s="29">
        <v>7.33</v>
      </c>
      <c r="D20359" s="29">
        <v>5</v>
      </c>
      <c r="E20359" s="29">
        <v>0</v>
      </c>
      <c r="F20359" s="29">
        <v>30</v>
      </c>
      <c r="G20359" s="29">
        <v>21</v>
      </c>
    </row>
    <row r="20360" spans="1:7" x14ac:dyDescent="0.35">
      <c r="A20360" s="27" t="s">
        <v>227</v>
      </c>
      <c r="B20360" s="27" t="s">
        <v>362</v>
      </c>
      <c r="C20360" s="29">
        <v>12.06</v>
      </c>
      <c r="D20360" s="29">
        <v>5</v>
      </c>
      <c r="E20360" s="29">
        <v>0</v>
      </c>
      <c r="F20360" s="29">
        <v>90</v>
      </c>
      <c r="G20360" s="29">
        <v>18</v>
      </c>
    </row>
    <row r="20361" spans="1:7" x14ac:dyDescent="0.35">
      <c r="A20361" t="s">
        <v>228</v>
      </c>
      <c r="B20361" t="s">
        <v>361</v>
      </c>
      <c r="C20361">
        <v>12.65</v>
      </c>
      <c r="D20361">
        <v>10</v>
      </c>
      <c r="E20361">
        <v>0</v>
      </c>
      <c r="F20361">
        <v>120</v>
      </c>
      <c r="G20361">
        <v>123</v>
      </c>
    </row>
    <row r="20362" spans="1:7" x14ac:dyDescent="0.35">
      <c r="A20362" t="s">
        <v>228</v>
      </c>
      <c r="B20362" t="s">
        <v>362</v>
      </c>
      <c r="C20362">
        <v>18.690000000000001</v>
      </c>
      <c r="D20362">
        <v>10</v>
      </c>
      <c r="E20362">
        <v>0</v>
      </c>
      <c r="F20362">
        <v>120</v>
      </c>
      <c r="G20362">
        <v>136</v>
      </c>
    </row>
    <row r="20363" spans="1:7" x14ac:dyDescent="0.35">
      <c r="A20363" t="s">
        <v>228</v>
      </c>
      <c r="B20363" t="s">
        <v>363</v>
      </c>
      <c r="C20363">
        <v>19.27</v>
      </c>
      <c r="D20363">
        <v>15</v>
      </c>
      <c r="E20363">
        <v>0</v>
      </c>
      <c r="F20363">
        <v>180</v>
      </c>
      <c r="G20363">
        <v>129</v>
      </c>
    </row>
    <row r="20364" spans="1:7" x14ac:dyDescent="0.35">
      <c r="A20364" t="s">
        <v>228</v>
      </c>
      <c r="B20364" t="s">
        <v>360</v>
      </c>
      <c r="C20364">
        <v>24.67</v>
      </c>
      <c r="D20364">
        <v>15</v>
      </c>
      <c r="E20364">
        <v>0</v>
      </c>
      <c r="F20364">
        <v>240</v>
      </c>
      <c r="G20364">
        <v>124</v>
      </c>
    </row>
    <row r="20365" spans="1:7" x14ac:dyDescent="0.35">
      <c r="A20365" t="s">
        <v>229</v>
      </c>
      <c r="B20365" t="s">
        <v>362</v>
      </c>
      <c r="C20365">
        <v>18.62</v>
      </c>
      <c r="D20365">
        <v>10</v>
      </c>
      <c r="E20365">
        <v>0</v>
      </c>
      <c r="F20365">
        <v>120</v>
      </c>
      <c r="G20365">
        <v>60</v>
      </c>
    </row>
    <row r="20366" spans="1:7" x14ac:dyDescent="0.35">
      <c r="A20366" t="s">
        <v>229</v>
      </c>
      <c r="B20366" t="s">
        <v>360</v>
      </c>
      <c r="C20366">
        <v>17.7</v>
      </c>
      <c r="D20366">
        <v>10</v>
      </c>
      <c r="E20366">
        <v>0</v>
      </c>
      <c r="F20366">
        <v>180</v>
      </c>
      <c r="G20366">
        <v>76</v>
      </c>
    </row>
    <row r="20367" spans="1:7" x14ac:dyDescent="0.35">
      <c r="A20367" t="s">
        <v>229</v>
      </c>
      <c r="B20367" t="s">
        <v>361</v>
      </c>
      <c r="C20367">
        <v>12.28</v>
      </c>
      <c r="D20367">
        <v>10</v>
      </c>
      <c r="E20367">
        <v>0</v>
      </c>
      <c r="F20367">
        <v>80</v>
      </c>
      <c r="G20367">
        <v>128</v>
      </c>
    </row>
    <row r="20368" spans="1:7" x14ac:dyDescent="0.35">
      <c r="A20368" t="s">
        <v>229</v>
      </c>
      <c r="B20368" t="s">
        <v>363</v>
      </c>
      <c r="C20368">
        <v>15.15</v>
      </c>
      <c r="D20368">
        <v>10</v>
      </c>
      <c r="E20368">
        <v>0</v>
      </c>
      <c r="F20368">
        <v>60</v>
      </c>
      <c r="G20368">
        <v>75</v>
      </c>
    </row>
    <row r="20369" spans="1:7" x14ac:dyDescent="0.35">
      <c r="A20369" t="s">
        <v>230</v>
      </c>
      <c r="B20369" t="s">
        <v>361</v>
      </c>
      <c r="C20369">
        <v>11.95</v>
      </c>
      <c r="D20369">
        <v>10</v>
      </c>
      <c r="E20369">
        <v>0</v>
      </c>
      <c r="F20369">
        <v>60</v>
      </c>
      <c r="G20369">
        <v>67</v>
      </c>
    </row>
    <row r="20370" spans="1:7" x14ac:dyDescent="0.35">
      <c r="A20370" t="s">
        <v>230</v>
      </c>
      <c r="B20370" t="s">
        <v>363</v>
      </c>
      <c r="C20370">
        <v>15.68</v>
      </c>
      <c r="D20370">
        <v>15</v>
      </c>
      <c r="E20370">
        <v>0</v>
      </c>
      <c r="F20370">
        <v>90</v>
      </c>
      <c r="G20370">
        <v>64</v>
      </c>
    </row>
    <row r="20371" spans="1:7" x14ac:dyDescent="0.35">
      <c r="A20371" t="s">
        <v>230</v>
      </c>
      <c r="B20371" t="s">
        <v>360</v>
      </c>
      <c r="C20371">
        <v>20.329999999999998</v>
      </c>
      <c r="D20371">
        <v>15</v>
      </c>
      <c r="E20371">
        <v>0</v>
      </c>
      <c r="F20371">
        <v>90</v>
      </c>
      <c r="G20371">
        <v>55</v>
      </c>
    </row>
    <row r="20372" spans="1:7" x14ac:dyDescent="0.35">
      <c r="A20372" t="s">
        <v>230</v>
      </c>
      <c r="B20372" t="s">
        <v>362</v>
      </c>
      <c r="C20372">
        <v>31.55</v>
      </c>
      <c r="D20372">
        <v>20</v>
      </c>
      <c r="E20372">
        <v>0</v>
      </c>
      <c r="F20372">
        <v>120</v>
      </c>
      <c r="G20372">
        <v>69</v>
      </c>
    </row>
    <row r="20373" spans="1:7" x14ac:dyDescent="0.35">
      <c r="A20373" s="27" t="s">
        <v>231</v>
      </c>
      <c r="B20373" s="27" t="s">
        <v>360</v>
      </c>
      <c r="C20373" s="29">
        <v>7.47</v>
      </c>
      <c r="D20373" s="29">
        <v>6</v>
      </c>
      <c r="E20373" s="29">
        <v>0</v>
      </c>
      <c r="F20373" s="29">
        <v>30</v>
      </c>
      <c r="G20373" s="29">
        <v>19</v>
      </c>
    </row>
    <row r="20374" spans="1:7" x14ac:dyDescent="0.35">
      <c r="A20374" s="27" t="s">
        <v>231</v>
      </c>
      <c r="B20374" s="27" t="s">
        <v>363</v>
      </c>
      <c r="C20374" s="29">
        <v>9.6199999999999992</v>
      </c>
      <c r="D20374" s="29">
        <v>5</v>
      </c>
      <c r="E20374" s="29">
        <v>0</v>
      </c>
      <c r="F20374" s="29">
        <v>60</v>
      </c>
      <c r="G20374" s="29">
        <v>13</v>
      </c>
    </row>
    <row r="20375" spans="1:7" x14ac:dyDescent="0.35">
      <c r="A20375" t="s">
        <v>231</v>
      </c>
      <c r="B20375" t="s">
        <v>361</v>
      </c>
      <c r="C20375">
        <v>13.83</v>
      </c>
      <c r="D20375">
        <v>10</v>
      </c>
      <c r="E20375">
        <v>0</v>
      </c>
      <c r="F20375">
        <v>90</v>
      </c>
      <c r="G20375">
        <v>30</v>
      </c>
    </row>
    <row r="20376" spans="1:7" x14ac:dyDescent="0.35">
      <c r="A20376" s="27" t="s">
        <v>231</v>
      </c>
      <c r="B20376" s="27" t="s">
        <v>362</v>
      </c>
      <c r="C20376" s="29">
        <v>8.2899999999999991</v>
      </c>
      <c r="D20376" s="29">
        <v>5</v>
      </c>
      <c r="E20376" s="29">
        <v>0</v>
      </c>
      <c r="F20376" s="29">
        <v>30</v>
      </c>
      <c r="G20376" s="29">
        <v>14</v>
      </c>
    </row>
    <row r="20377" spans="1:7" x14ac:dyDescent="0.35">
      <c r="A20377" t="s">
        <v>232</v>
      </c>
      <c r="B20377" t="s">
        <v>232</v>
      </c>
      <c r="C20377">
        <v>14.22</v>
      </c>
      <c r="D20377">
        <v>10</v>
      </c>
      <c r="E20377">
        <v>0</v>
      </c>
      <c r="F20377">
        <v>240</v>
      </c>
      <c r="G20377">
        <v>1445</v>
      </c>
    </row>
    <row r="20379" spans="1:7" x14ac:dyDescent="0.35">
      <c r="A20379" s="1" t="s">
        <v>2018</v>
      </c>
    </row>
    <row r="20380" spans="1:7" x14ac:dyDescent="0.35">
      <c r="A20380" t="s">
        <v>219</v>
      </c>
      <c r="B20380" t="s">
        <v>305</v>
      </c>
      <c r="C20380" t="s">
        <v>534</v>
      </c>
      <c r="D20380" t="s">
        <v>535</v>
      </c>
      <c r="E20380" t="s">
        <v>536</v>
      </c>
      <c r="F20380" t="s">
        <v>537</v>
      </c>
      <c r="G20380" t="s">
        <v>226</v>
      </c>
    </row>
    <row r="20381" spans="1:7" x14ac:dyDescent="0.35">
      <c r="A20381" s="27" t="s">
        <v>227</v>
      </c>
      <c r="B20381" s="27" t="s">
        <v>267</v>
      </c>
      <c r="C20381" s="29">
        <v>12.06</v>
      </c>
      <c r="D20381" s="29">
        <v>10</v>
      </c>
      <c r="E20381" s="29">
        <v>0</v>
      </c>
      <c r="F20381" s="29">
        <v>60</v>
      </c>
      <c r="G20381" s="29">
        <v>17</v>
      </c>
    </row>
    <row r="20382" spans="1:7" x14ac:dyDescent="0.35">
      <c r="A20382" t="s">
        <v>227</v>
      </c>
      <c r="B20382" t="s">
        <v>266</v>
      </c>
      <c r="C20382">
        <v>10.220000000000001</v>
      </c>
      <c r="D20382">
        <v>10</v>
      </c>
      <c r="E20382">
        <v>0</v>
      </c>
      <c r="F20382">
        <v>40</v>
      </c>
      <c r="G20382">
        <v>36</v>
      </c>
    </row>
    <row r="20383" spans="1:7" x14ac:dyDescent="0.35">
      <c r="A20383" t="s">
        <v>227</v>
      </c>
      <c r="B20383" t="s">
        <v>265</v>
      </c>
      <c r="C20383">
        <v>13.79</v>
      </c>
      <c r="D20383">
        <v>7</v>
      </c>
      <c r="E20383">
        <v>0</v>
      </c>
      <c r="F20383">
        <v>90</v>
      </c>
      <c r="G20383">
        <v>42</v>
      </c>
    </row>
    <row r="20384" spans="1:7" x14ac:dyDescent="0.35">
      <c r="A20384" t="s">
        <v>228</v>
      </c>
      <c r="B20384" t="s">
        <v>267</v>
      </c>
      <c r="C20384">
        <v>18.84</v>
      </c>
      <c r="D20384">
        <v>10</v>
      </c>
      <c r="E20384">
        <v>0</v>
      </c>
      <c r="F20384">
        <v>180</v>
      </c>
      <c r="G20384">
        <v>112</v>
      </c>
    </row>
    <row r="20385" spans="1:7" x14ac:dyDescent="0.35">
      <c r="A20385" t="s">
        <v>228</v>
      </c>
      <c r="B20385" t="s">
        <v>266</v>
      </c>
      <c r="C20385">
        <v>19.62</v>
      </c>
      <c r="D20385">
        <v>15</v>
      </c>
      <c r="E20385">
        <v>0</v>
      </c>
      <c r="F20385">
        <v>240</v>
      </c>
      <c r="G20385">
        <v>253</v>
      </c>
    </row>
    <row r="20386" spans="1:7" x14ac:dyDescent="0.35">
      <c r="A20386" s="27" t="s">
        <v>228</v>
      </c>
      <c r="B20386" s="27" t="s">
        <v>236</v>
      </c>
      <c r="C20386" s="29">
        <v>9</v>
      </c>
      <c r="D20386" s="29">
        <v>3</v>
      </c>
      <c r="E20386" s="29">
        <v>3</v>
      </c>
      <c r="F20386" s="29">
        <v>15</v>
      </c>
      <c r="G20386" s="29">
        <v>2</v>
      </c>
    </row>
    <row r="20387" spans="1:7" x14ac:dyDescent="0.35">
      <c r="A20387" t="s">
        <v>228</v>
      </c>
      <c r="B20387" t="s">
        <v>265</v>
      </c>
      <c r="C20387">
        <v>16.48</v>
      </c>
      <c r="D20387">
        <v>10</v>
      </c>
      <c r="E20387">
        <v>0</v>
      </c>
      <c r="F20387">
        <v>160</v>
      </c>
      <c r="G20387">
        <v>226</v>
      </c>
    </row>
    <row r="20388" spans="1:7" x14ac:dyDescent="0.35">
      <c r="A20388" t="s">
        <v>229</v>
      </c>
      <c r="B20388" t="s">
        <v>267</v>
      </c>
      <c r="C20388">
        <v>13.45</v>
      </c>
      <c r="D20388">
        <v>10</v>
      </c>
      <c r="E20388">
        <v>0</v>
      </c>
      <c r="F20388">
        <v>180</v>
      </c>
      <c r="G20388">
        <v>103</v>
      </c>
    </row>
    <row r="20389" spans="1:7" x14ac:dyDescent="0.35">
      <c r="A20389" t="s">
        <v>229</v>
      </c>
      <c r="B20389" t="s">
        <v>265</v>
      </c>
      <c r="C20389">
        <v>12.84</v>
      </c>
      <c r="D20389">
        <v>10</v>
      </c>
      <c r="E20389">
        <v>0</v>
      </c>
      <c r="F20389">
        <v>120</v>
      </c>
      <c r="G20389">
        <v>146</v>
      </c>
    </row>
    <row r="20390" spans="1:7" x14ac:dyDescent="0.35">
      <c r="A20390" t="s">
        <v>229</v>
      </c>
      <c r="B20390" t="s">
        <v>266</v>
      </c>
      <c r="C20390">
        <v>17.87</v>
      </c>
      <c r="D20390">
        <v>10</v>
      </c>
      <c r="E20390">
        <v>0</v>
      </c>
      <c r="F20390">
        <v>120</v>
      </c>
      <c r="G20390">
        <v>146</v>
      </c>
    </row>
    <row r="20391" spans="1:7" x14ac:dyDescent="0.35">
      <c r="A20391" t="s">
        <v>230</v>
      </c>
      <c r="B20391" t="s">
        <v>265</v>
      </c>
      <c r="C20391">
        <v>18.47</v>
      </c>
      <c r="D20391">
        <v>10</v>
      </c>
      <c r="E20391">
        <v>0</v>
      </c>
      <c r="F20391">
        <v>90</v>
      </c>
      <c r="G20391">
        <v>104</v>
      </c>
    </row>
    <row r="20392" spans="1:7" x14ac:dyDescent="0.35">
      <c r="A20392" t="s">
        <v>230</v>
      </c>
      <c r="B20392" t="s">
        <v>266</v>
      </c>
      <c r="C20392">
        <v>19.03</v>
      </c>
      <c r="D20392">
        <v>15</v>
      </c>
      <c r="E20392">
        <v>0</v>
      </c>
      <c r="F20392">
        <v>120</v>
      </c>
      <c r="G20392">
        <v>115</v>
      </c>
    </row>
    <row r="20393" spans="1:7" x14ac:dyDescent="0.35">
      <c r="A20393" t="s">
        <v>230</v>
      </c>
      <c r="B20393" t="s">
        <v>267</v>
      </c>
      <c r="C20393">
        <v>21.14</v>
      </c>
      <c r="D20393">
        <v>15</v>
      </c>
      <c r="E20393">
        <v>0</v>
      </c>
      <c r="F20393">
        <v>120</v>
      </c>
      <c r="G20393">
        <v>61</v>
      </c>
    </row>
    <row r="20394" spans="1:7" x14ac:dyDescent="0.35">
      <c r="A20394" s="27" t="s">
        <v>231</v>
      </c>
      <c r="B20394" s="27" t="s">
        <v>267</v>
      </c>
      <c r="C20394" s="29">
        <v>11.14</v>
      </c>
      <c r="D20394" s="29">
        <v>10</v>
      </c>
      <c r="E20394" s="29">
        <v>1</v>
      </c>
      <c r="F20394" s="29">
        <v>40</v>
      </c>
      <c r="G20394" s="29">
        <v>14</v>
      </c>
    </row>
    <row r="20395" spans="1:7" x14ac:dyDescent="0.35">
      <c r="A20395" t="s">
        <v>231</v>
      </c>
      <c r="B20395" t="s">
        <v>265</v>
      </c>
      <c r="C20395">
        <v>8.16</v>
      </c>
      <c r="D20395">
        <v>3</v>
      </c>
      <c r="E20395">
        <v>0</v>
      </c>
      <c r="F20395">
        <v>60</v>
      </c>
      <c r="G20395">
        <v>37</v>
      </c>
    </row>
    <row r="20396" spans="1:7" x14ac:dyDescent="0.35">
      <c r="A20396" t="s">
        <v>231</v>
      </c>
      <c r="B20396" t="s">
        <v>266</v>
      </c>
      <c r="C20396">
        <v>12.84</v>
      </c>
      <c r="D20396">
        <v>10</v>
      </c>
      <c r="E20396">
        <v>0</v>
      </c>
      <c r="F20396">
        <v>90</v>
      </c>
      <c r="G20396">
        <v>31</v>
      </c>
    </row>
    <row r="20397" spans="1:7" x14ac:dyDescent="0.35">
      <c r="A20397" t="s">
        <v>232</v>
      </c>
      <c r="B20397" t="s">
        <v>232</v>
      </c>
      <c r="C20397">
        <v>14.22</v>
      </c>
      <c r="D20397">
        <v>10</v>
      </c>
      <c r="E20397">
        <v>0</v>
      </c>
      <c r="F20397">
        <v>240</v>
      </c>
      <c r="G20397">
        <v>1445</v>
      </c>
    </row>
    <row r="20399" spans="1:7" x14ac:dyDescent="0.35">
      <c r="A20399" s="1" t="s">
        <v>2019</v>
      </c>
    </row>
    <row r="20400" spans="1:7" x14ac:dyDescent="0.35">
      <c r="A20400" t="s">
        <v>219</v>
      </c>
      <c r="B20400" t="s">
        <v>305</v>
      </c>
      <c r="C20400" t="s">
        <v>534</v>
      </c>
      <c r="D20400" t="s">
        <v>535</v>
      </c>
      <c r="E20400" t="s">
        <v>536</v>
      </c>
      <c r="F20400" t="s">
        <v>537</v>
      </c>
      <c r="G20400" t="s">
        <v>226</v>
      </c>
    </row>
    <row r="20401" spans="1:7" x14ac:dyDescent="0.35">
      <c r="A20401" s="27" t="s">
        <v>227</v>
      </c>
      <c r="B20401" s="27" t="s">
        <v>252</v>
      </c>
      <c r="C20401" s="29">
        <v>20.48</v>
      </c>
      <c r="D20401" s="29">
        <v>15</v>
      </c>
      <c r="E20401" s="29">
        <v>0</v>
      </c>
      <c r="F20401" s="29">
        <v>90</v>
      </c>
      <c r="G20401" s="29">
        <v>25</v>
      </c>
    </row>
    <row r="20402" spans="1:7" x14ac:dyDescent="0.35">
      <c r="A20402" s="27" t="s">
        <v>227</v>
      </c>
      <c r="B20402" s="27" t="s">
        <v>253</v>
      </c>
      <c r="C20402" s="29">
        <v>8.7899999999999991</v>
      </c>
      <c r="D20402" s="29">
        <v>10</v>
      </c>
      <c r="E20402" s="29">
        <v>0</v>
      </c>
      <c r="F20402" s="29">
        <v>40</v>
      </c>
      <c r="G20402" s="29">
        <v>19</v>
      </c>
    </row>
    <row r="20403" spans="1:7" x14ac:dyDescent="0.35">
      <c r="A20403" t="s">
        <v>227</v>
      </c>
      <c r="B20403" t="s">
        <v>251</v>
      </c>
      <c r="C20403">
        <v>9.27</v>
      </c>
      <c r="D20403">
        <v>5</v>
      </c>
      <c r="E20403">
        <v>0</v>
      </c>
      <c r="F20403">
        <v>80</v>
      </c>
      <c r="G20403">
        <v>51</v>
      </c>
    </row>
    <row r="20404" spans="1:7" x14ac:dyDescent="0.35">
      <c r="A20404" t="s">
        <v>228</v>
      </c>
      <c r="B20404" t="s">
        <v>252</v>
      </c>
      <c r="C20404">
        <v>24.11</v>
      </c>
      <c r="D20404">
        <v>15</v>
      </c>
      <c r="E20404">
        <v>0</v>
      </c>
      <c r="F20404">
        <v>240</v>
      </c>
      <c r="G20404">
        <v>176</v>
      </c>
    </row>
    <row r="20405" spans="1:7" x14ac:dyDescent="0.35">
      <c r="A20405" t="s">
        <v>228</v>
      </c>
      <c r="B20405" t="s">
        <v>253</v>
      </c>
      <c r="C20405">
        <v>18.559999999999999</v>
      </c>
      <c r="D20405">
        <v>15</v>
      </c>
      <c r="E20405">
        <v>0</v>
      </c>
      <c r="F20405">
        <v>120</v>
      </c>
      <c r="G20405">
        <v>127</v>
      </c>
    </row>
    <row r="20406" spans="1:7" x14ac:dyDescent="0.35">
      <c r="A20406" t="s">
        <v>228</v>
      </c>
      <c r="B20406" t="s">
        <v>251</v>
      </c>
      <c r="C20406">
        <v>14.08</v>
      </c>
      <c r="D20406">
        <v>10</v>
      </c>
      <c r="E20406">
        <v>0</v>
      </c>
      <c r="F20406">
        <v>120</v>
      </c>
      <c r="G20406">
        <v>290</v>
      </c>
    </row>
    <row r="20407" spans="1:7" x14ac:dyDescent="0.35">
      <c r="A20407" t="s">
        <v>229</v>
      </c>
      <c r="B20407" t="s">
        <v>252</v>
      </c>
      <c r="C20407">
        <v>20.149999999999999</v>
      </c>
      <c r="D20407">
        <v>15</v>
      </c>
      <c r="E20407">
        <v>0</v>
      </c>
      <c r="F20407">
        <v>120</v>
      </c>
      <c r="G20407">
        <v>85</v>
      </c>
    </row>
    <row r="20408" spans="1:7" x14ac:dyDescent="0.35">
      <c r="A20408" t="s">
        <v>229</v>
      </c>
      <c r="B20408" t="s">
        <v>253</v>
      </c>
      <c r="C20408">
        <v>17.52</v>
      </c>
      <c r="D20408">
        <v>10</v>
      </c>
      <c r="E20408">
        <v>0</v>
      </c>
      <c r="F20408">
        <v>180</v>
      </c>
      <c r="G20408">
        <v>63</v>
      </c>
    </row>
    <row r="20409" spans="1:7" x14ac:dyDescent="0.35">
      <c r="A20409" t="s">
        <v>229</v>
      </c>
      <c r="B20409" t="s">
        <v>251</v>
      </c>
      <c r="C20409">
        <v>11.58</v>
      </c>
      <c r="D20409">
        <v>10</v>
      </c>
      <c r="E20409">
        <v>0</v>
      </c>
      <c r="F20409">
        <v>120</v>
      </c>
      <c r="G20409">
        <v>247</v>
      </c>
    </row>
    <row r="20410" spans="1:7" x14ac:dyDescent="0.35">
      <c r="A20410" t="s">
        <v>230</v>
      </c>
      <c r="B20410" t="s">
        <v>252</v>
      </c>
      <c r="C20410">
        <v>28.26</v>
      </c>
      <c r="D20410">
        <v>30</v>
      </c>
      <c r="E20410">
        <v>0</v>
      </c>
      <c r="F20410">
        <v>120</v>
      </c>
      <c r="G20410">
        <v>83</v>
      </c>
    </row>
    <row r="20411" spans="1:7" x14ac:dyDescent="0.35">
      <c r="A20411" t="s">
        <v>230</v>
      </c>
      <c r="B20411" t="s">
        <v>253</v>
      </c>
      <c r="C20411">
        <v>22.38</v>
      </c>
      <c r="D20411">
        <v>15</v>
      </c>
      <c r="E20411">
        <v>0</v>
      </c>
      <c r="F20411">
        <v>90</v>
      </c>
      <c r="G20411">
        <v>48</v>
      </c>
    </row>
    <row r="20412" spans="1:7" x14ac:dyDescent="0.35">
      <c r="A20412" t="s">
        <v>230</v>
      </c>
      <c r="B20412" t="s">
        <v>251</v>
      </c>
      <c r="C20412">
        <v>13.58</v>
      </c>
      <c r="D20412">
        <v>10</v>
      </c>
      <c r="E20412">
        <v>0</v>
      </c>
      <c r="F20412">
        <v>60</v>
      </c>
      <c r="G20412">
        <v>149</v>
      </c>
    </row>
    <row r="20413" spans="1:7" x14ac:dyDescent="0.35">
      <c r="A20413" s="27" t="s">
        <v>231</v>
      </c>
      <c r="B20413" s="27" t="s">
        <v>252</v>
      </c>
      <c r="C20413" s="29">
        <v>11.26</v>
      </c>
      <c r="D20413" s="29">
        <v>5</v>
      </c>
      <c r="E20413" s="29">
        <v>0</v>
      </c>
      <c r="F20413" s="29">
        <v>90</v>
      </c>
      <c r="G20413" s="29">
        <v>19</v>
      </c>
    </row>
    <row r="20414" spans="1:7" x14ac:dyDescent="0.35">
      <c r="A20414" s="27" t="s">
        <v>231</v>
      </c>
      <c r="B20414" s="27" t="s">
        <v>253</v>
      </c>
      <c r="C20414" s="29">
        <v>12</v>
      </c>
      <c r="D20414" s="29">
        <v>10</v>
      </c>
      <c r="E20414" s="29">
        <v>0</v>
      </c>
      <c r="F20414" s="29">
        <v>60</v>
      </c>
      <c r="G20414" s="29">
        <v>15</v>
      </c>
    </row>
    <row r="20415" spans="1:7" x14ac:dyDescent="0.35">
      <c r="A20415" t="s">
        <v>231</v>
      </c>
      <c r="B20415" t="s">
        <v>251</v>
      </c>
      <c r="C20415">
        <v>9.6300000000000008</v>
      </c>
      <c r="D20415">
        <v>6</v>
      </c>
      <c r="E20415">
        <v>0</v>
      </c>
      <c r="F20415">
        <v>40</v>
      </c>
      <c r="G20415">
        <v>48</v>
      </c>
    </row>
    <row r="20416" spans="1:7" x14ac:dyDescent="0.35">
      <c r="A20416" t="s">
        <v>232</v>
      </c>
      <c r="B20416" t="s">
        <v>232</v>
      </c>
      <c r="C20416">
        <v>14.22</v>
      </c>
      <c r="D20416">
        <v>10</v>
      </c>
      <c r="E20416">
        <v>0</v>
      </c>
      <c r="F20416">
        <v>240</v>
      </c>
      <c r="G20416">
        <v>1445</v>
      </c>
    </row>
    <row r="20418" spans="1:7" x14ac:dyDescent="0.35">
      <c r="A20418" s="1" t="s">
        <v>2020</v>
      </c>
    </row>
    <row r="20419" spans="1:7" x14ac:dyDescent="0.35">
      <c r="A20419" t="s">
        <v>219</v>
      </c>
      <c r="B20419" t="s">
        <v>305</v>
      </c>
      <c r="C20419" t="s">
        <v>534</v>
      </c>
      <c r="D20419" t="s">
        <v>535</v>
      </c>
      <c r="E20419" t="s">
        <v>536</v>
      </c>
      <c r="F20419" t="s">
        <v>537</v>
      </c>
      <c r="G20419" t="s">
        <v>226</v>
      </c>
    </row>
    <row r="20420" spans="1:7" x14ac:dyDescent="0.35">
      <c r="A20420" s="27" t="s">
        <v>227</v>
      </c>
      <c r="B20420" s="27" t="s">
        <v>249</v>
      </c>
      <c r="C20420" s="29">
        <v>12.68</v>
      </c>
      <c r="D20420" s="29">
        <v>10</v>
      </c>
      <c r="E20420" s="29">
        <v>1</v>
      </c>
      <c r="F20420" s="29">
        <v>80</v>
      </c>
      <c r="G20420" s="29">
        <v>28</v>
      </c>
    </row>
    <row r="20421" spans="1:7" x14ac:dyDescent="0.35">
      <c r="A20421" t="s">
        <v>227</v>
      </c>
      <c r="B20421" t="s">
        <v>248</v>
      </c>
      <c r="C20421">
        <v>11.9</v>
      </c>
      <c r="D20421">
        <v>5</v>
      </c>
      <c r="E20421">
        <v>0</v>
      </c>
      <c r="F20421">
        <v>90</v>
      </c>
      <c r="G20421">
        <v>67</v>
      </c>
    </row>
    <row r="20422" spans="1:7" x14ac:dyDescent="0.35">
      <c r="A20422" t="s">
        <v>228</v>
      </c>
      <c r="B20422" t="s">
        <v>249</v>
      </c>
      <c r="C20422">
        <v>16.100000000000001</v>
      </c>
      <c r="D20422">
        <v>10</v>
      </c>
      <c r="E20422">
        <v>0</v>
      </c>
      <c r="F20422">
        <v>120</v>
      </c>
      <c r="G20422">
        <v>158</v>
      </c>
    </row>
    <row r="20423" spans="1:7" x14ac:dyDescent="0.35">
      <c r="A20423" t="s">
        <v>228</v>
      </c>
      <c r="B20423" t="s">
        <v>248</v>
      </c>
      <c r="C20423">
        <v>18.91</v>
      </c>
      <c r="D20423">
        <v>10</v>
      </c>
      <c r="E20423">
        <v>0</v>
      </c>
      <c r="F20423">
        <v>240</v>
      </c>
      <c r="G20423">
        <v>435</v>
      </c>
    </row>
    <row r="20424" spans="1:7" x14ac:dyDescent="0.35">
      <c r="A20424" t="s">
        <v>229</v>
      </c>
      <c r="B20424" t="s">
        <v>249</v>
      </c>
      <c r="C20424">
        <v>13.34</v>
      </c>
      <c r="D20424">
        <v>10</v>
      </c>
      <c r="E20424">
        <v>0</v>
      </c>
      <c r="F20424">
        <v>180</v>
      </c>
      <c r="G20424">
        <v>119</v>
      </c>
    </row>
    <row r="20425" spans="1:7" x14ac:dyDescent="0.35">
      <c r="A20425" t="s">
        <v>229</v>
      </c>
      <c r="B20425" t="s">
        <v>248</v>
      </c>
      <c r="C20425">
        <v>15.18</v>
      </c>
      <c r="D20425">
        <v>10</v>
      </c>
      <c r="E20425">
        <v>0</v>
      </c>
      <c r="F20425">
        <v>120</v>
      </c>
      <c r="G20425">
        <v>276</v>
      </c>
    </row>
    <row r="20426" spans="1:7" x14ac:dyDescent="0.35">
      <c r="A20426" t="s">
        <v>230</v>
      </c>
      <c r="B20426" t="s">
        <v>249</v>
      </c>
      <c r="C20426">
        <v>13.71</v>
      </c>
      <c r="D20426">
        <v>10</v>
      </c>
      <c r="E20426">
        <v>0</v>
      </c>
      <c r="F20426">
        <v>60</v>
      </c>
      <c r="G20426">
        <v>84</v>
      </c>
    </row>
    <row r="20427" spans="1:7" x14ac:dyDescent="0.35">
      <c r="A20427" t="s">
        <v>230</v>
      </c>
      <c r="B20427" t="s">
        <v>248</v>
      </c>
      <c r="C20427">
        <v>21.95</v>
      </c>
      <c r="D20427">
        <v>15</v>
      </c>
      <c r="E20427">
        <v>0</v>
      </c>
      <c r="F20427">
        <v>120</v>
      </c>
      <c r="G20427">
        <v>196</v>
      </c>
    </row>
    <row r="20428" spans="1:7" x14ac:dyDescent="0.35">
      <c r="A20428" s="27" t="s">
        <v>231</v>
      </c>
      <c r="B20428" s="27" t="s">
        <v>249</v>
      </c>
      <c r="C20428" s="29">
        <v>10.14</v>
      </c>
      <c r="D20428" s="29">
        <v>5</v>
      </c>
      <c r="E20428" s="29">
        <v>1</v>
      </c>
      <c r="F20428" s="29">
        <v>30</v>
      </c>
      <c r="G20428" s="29">
        <v>14</v>
      </c>
    </row>
    <row r="20429" spans="1:7" x14ac:dyDescent="0.35">
      <c r="A20429" t="s">
        <v>231</v>
      </c>
      <c r="B20429" t="s">
        <v>248</v>
      </c>
      <c r="C20429">
        <v>10.5</v>
      </c>
      <c r="D20429">
        <v>6</v>
      </c>
      <c r="E20429">
        <v>0</v>
      </c>
      <c r="F20429">
        <v>90</v>
      </c>
      <c r="G20429">
        <v>68</v>
      </c>
    </row>
    <row r="20430" spans="1:7" x14ac:dyDescent="0.35">
      <c r="A20430" t="s">
        <v>232</v>
      </c>
      <c r="B20430" t="s">
        <v>232</v>
      </c>
      <c r="C20430">
        <v>14.22</v>
      </c>
      <c r="D20430">
        <v>10</v>
      </c>
      <c r="E20430">
        <v>0</v>
      </c>
      <c r="F20430">
        <v>240</v>
      </c>
      <c r="G20430">
        <v>1445</v>
      </c>
    </row>
    <row r="20432" spans="1:7" x14ac:dyDescent="0.35">
      <c r="A20432" s="1" t="s">
        <v>2021</v>
      </c>
    </row>
    <row r="20433" spans="1:7" x14ac:dyDescent="0.35">
      <c r="A20433" t="s">
        <v>219</v>
      </c>
      <c r="B20433" t="s">
        <v>305</v>
      </c>
      <c r="C20433" t="s">
        <v>534</v>
      </c>
      <c r="D20433" t="s">
        <v>535</v>
      </c>
      <c r="E20433" t="s">
        <v>536</v>
      </c>
      <c r="F20433" t="s">
        <v>537</v>
      </c>
      <c r="G20433" t="s">
        <v>226</v>
      </c>
    </row>
    <row r="20434" spans="1:7" x14ac:dyDescent="0.35">
      <c r="A20434" s="27" t="s">
        <v>227</v>
      </c>
      <c r="B20434" s="27" t="s">
        <v>263</v>
      </c>
      <c r="C20434" s="29">
        <v>0</v>
      </c>
      <c r="D20434" s="29">
        <v>0</v>
      </c>
      <c r="E20434" s="29">
        <v>0</v>
      </c>
      <c r="F20434" s="29">
        <v>0</v>
      </c>
      <c r="G20434" s="29">
        <v>1</v>
      </c>
    </row>
    <row r="20435" spans="1:7" x14ac:dyDescent="0.35">
      <c r="A20435" s="27" t="s">
        <v>227</v>
      </c>
      <c r="B20435" s="27" t="s">
        <v>262</v>
      </c>
      <c r="C20435" s="29">
        <v>5</v>
      </c>
      <c r="D20435" s="29">
        <v>5</v>
      </c>
      <c r="E20435" s="29">
        <v>5</v>
      </c>
      <c r="F20435" s="29">
        <v>5</v>
      </c>
      <c r="G20435" s="29">
        <v>2</v>
      </c>
    </row>
    <row r="20436" spans="1:7" x14ac:dyDescent="0.35">
      <c r="A20436" s="27" t="s">
        <v>227</v>
      </c>
      <c r="B20436" s="27" t="s">
        <v>261</v>
      </c>
      <c r="C20436" s="29">
        <v>15.52</v>
      </c>
      <c r="D20436" s="29">
        <v>10</v>
      </c>
      <c r="E20436" s="29">
        <v>0</v>
      </c>
      <c r="F20436" s="29">
        <v>90</v>
      </c>
      <c r="G20436" s="29">
        <v>27</v>
      </c>
    </row>
    <row r="20437" spans="1:7" x14ac:dyDescent="0.35">
      <c r="A20437" t="s">
        <v>227</v>
      </c>
      <c r="B20437" t="s">
        <v>260</v>
      </c>
      <c r="C20437">
        <v>11.12</v>
      </c>
      <c r="D20437">
        <v>7</v>
      </c>
      <c r="E20437">
        <v>0</v>
      </c>
      <c r="F20437">
        <v>80</v>
      </c>
      <c r="G20437">
        <v>65</v>
      </c>
    </row>
    <row r="20438" spans="1:7" x14ac:dyDescent="0.35">
      <c r="A20438" t="s">
        <v>228</v>
      </c>
      <c r="B20438" t="s">
        <v>261</v>
      </c>
      <c r="C20438">
        <v>20.59</v>
      </c>
      <c r="D20438">
        <v>15</v>
      </c>
      <c r="E20438">
        <v>0</v>
      </c>
      <c r="F20438">
        <v>240</v>
      </c>
      <c r="G20438">
        <v>146</v>
      </c>
    </row>
    <row r="20439" spans="1:7" x14ac:dyDescent="0.35">
      <c r="A20439" t="s">
        <v>228</v>
      </c>
      <c r="B20439" t="s">
        <v>260</v>
      </c>
      <c r="C20439">
        <v>18.03</v>
      </c>
      <c r="D20439">
        <v>10</v>
      </c>
      <c r="E20439">
        <v>0</v>
      </c>
      <c r="F20439">
        <v>160</v>
      </c>
      <c r="G20439">
        <v>312</v>
      </c>
    </row>
    <row r="20440" spans="1:7" x14ac:dyDescent="0.35">
      <c r="A20440" t="s">
        <v>228</v>
      </c>
      <c r="B20440" t="s">
        <v>262</v>
      </c>
      <c r="C20440">
        <v>15.36</v>
      </c>
      <c r="D20440">
        <v>10</v>
      </c>
      <c r="E20440">
        <v>0</v>
      </c>
      <c r="F20440">
        <v>130</v>
      </c>
      <c r="G20440">
        <v>123</v>
      </c>
    </row>
    <row r="20441" spans="1:7" x14ac:dyDescent="0.35">
      <c r="A20441" s="27" t="s">
        <v>228</v>
      </c>
      <c r="B20441" s="27" t="s">
        <v>236</v>
      </c>
      <c r="C20441" s="29">
        <v>15</v>
      </c>
      <c r="D20441" s="29">
        <v>15</v>
      </c>
      <c r="E20441" s="29">
        <v>15</v>
      </c>
      <c r="F20441" s="29">
        <v>15</v>
      </c>
      <c r="G20441" s="29">
        <v>1</v>
      </c>
    </row>
    <row r="20442" spans="1:7" x14ac:dyDescent="0.35">
      <c r="A20442" s="27" t="s">
        <v>228</v>
      </c>
      <c r="B20442" s="27" t="s">
        <v>263</v>
      </c>
      <c r="C20442" s="29">
        <v>11.61</v>
      </c>
      <c r="D20442" s="29">
        <v>15</v>
      </c>
      <c r="E20442" s="29">
        <v>0</v>
      </c>
      <c r="F20442" s="29">
        <v>60</v>
      </c>
      <c r="G20442" s="29">
        <v>11</v>
      </c>
    </row>
    <row r="20443" spans="1:7" x14ac:dyDescent="0.35">
      <c r="A20443" t="s">
        <v>229</v>
      </c>
      <c r="B20443" t="s">
        <v>260</v>
      </c>
      <c r="C20443">
        <v>12.64</v>
      </c>
      <c r="D20443">
        <v>10</v>
      </c>
      <c r="E20443">
        <v>0</v>
      </c>
      <c r="F20443">
        <v>180</v>
      </c>
      <c r="G20443">
        <v>239</v>
      </c>
    </row>
    <row r="20444" spans="1:7" x14ac:dyDescent="0.35">
      <c r="A20444" s="27" t="s">
        <v>229</v>
      </c>
      <c r="B20444" s="27" t="s">
        <v>263</v>
      </c>
      <c r="C20444" s="29">
        <v>31.3</v>
      </c>
      <c r="D20444" s="29">
        <v>30</v>
      </c>
      <c r="E20444" s="29">
        <v>0</v>
      </c>
      <c r="F20444" s="29">
        <v>60</v>
      </c>
      <c r="G20444" s="29">
        <v>6</v>
      </c>
    </row>
    <row r="20445" spans="1:7" x14ac:dyDescent="0.35">
      <c r="A20445" t="s">
        <v>229</v>
      </c>
      <c r="B20445" t="s">
        <v>261</v>
      </c>
      <c r="C20445">
        <v>19.260000000000002</v>
      </c>
      <c r="D20445">
        <v>15</v>
      </c>
      <c r="E20445">
        <v>0</v>
      </c>
      <c r="F20445">
        <v>120</v>
      </c>
      <c r="G20445">
        <v>61</v>
      </c>
    </row>
    <row r="20446" spans="1:7" x14ac:dyDescent="0.35">
      <c r="A20446" t="s">
        <v>229</v>
      </c>
      <c r="B20446" t="s">
        <v>262</v>
      </c>
      <c r="C20446">
        <v>13.56</v>
      </c>
      <c r="D20446">
        <v>10</v>
      </c>
      <c r="E20446">
        <v>0</v>
      </c>
      <c r="F20446">
        <v>60</v>
      </c>
      <c r="G20446">
        <v>89</v>
      </c>
    </row>
    <row r="20447" spans="1:7" x14ac:dyDescent="0.35">
      <c r="A20447" t="s">
        <v>230</v>
      </c>
      <c r="B20447" t="s">
        <v>261</v>
      </c>
      <c r="C20447">
        <v>15.95</v>
      </c>
      <c r="D20447">
        <v>15</v>
      </c>
      <c r="E20447">
        <v>0</v>
      </c>
      <c r="F20447">
        <v>120</v>
      </c>
      <c r="G20447">
        <v>31</v>
      </c>
    </row>
    <row r="20448" spans="1:7" x14ac:dyDescent="0.35">
      <c r="A20448" t="s">
        <v>230</v>
      </c>
      <c r="B20448" t="s">
        <v>262</v>
      </c>
      <c r="C20448">
        <v>16.75</v>
      </c>
      <c r="D20448">
        <v>15</v>
      </c>
      <c r="E20448">
        <v>0</v>
      </c>
      <c r="F20448">
        <v>60</v>
      </c>
      <c r="G20448">
        <v>69</v>
      </c>
    </row>
    <row r="20449" spans="1:7" x14ac:dyDescent="0.35">
      <c r="A20449" s="27" t="s">
        <v>230</v>
      </c>
      <c r="B20449" s="27" t="s">
        <v>263</v>
      </c>
      <c r="C20449" s="29">
        <v>19.899999999999999</v>
      </c>
      <c r="D20449" s="29">
        <v>20</v>
      </c>
      <c r="E20449" s="29">
        <v>5</v>
      </c>
      <c r="F20449" s="29">
        <v>60</v>
      </c>
      <c r="G20449" s="29">
        <v>15</v>
      </c>
    </row>
    <row r="20450" spans="1:7" x14ac:dyDescent="0.35">
      <c r="A20450" t="s">
        <v>230</v>
      </c>
      <c r="B20450" t="s">
        <v>260</v>
      </c>
      <c r="C20450">
        <v>20.61</v>
      </c>
      <c r="D20450">
        <v>10</v>
      </c>
      <c r="E20450">
        <v>0</v>
      </c>
      <c r="F20450">
        <v>120</v>
      </c>
      <c r="G20450">
        <v>165</v>
      </c>
    </row>
    <row r="20451" spans="1:7" x14ac:dyDescent="0.35">
      <c r="A20451" s="27" t="s">
        <v>231</v>
      </c>
      <c r="B20451" s="27" t="s">
        <v>263</v>
      </c>
      <c r="C20451" s="29">
        <v>30</v>
      </c>
      <c r="D20451" s="29">
        <v>30</v>
      </c>
      <c r="E20451" s="29">
        <v>30</v>
      </c>
      <c r="F20451" s="29">
        <v>30</v>
      </c>
      <c r="G20451" s="29">
        <v>1</v>
      </c>
    </row>
    <row r="20452" spans="1:7" x14ac:dyDescent="0.35">
      <c r="A20452" s="27" t="s">
        <v>231</v>
      </c>
      <c r="B20452" s="27" t="s">
        <v>262</v>
      </c>
      <c r="C20452" s="29">
        <v>7.14</v>
      </c>
      <c r="D20452" s="29">
        <v>10</v>
      </c>
      <c r="E20452" s="29">
        <v>0</v>
      </c>
      <c r="F20452" s="29">
        <v>20</v>
      </c>
      <c r="G20452" s="29">
        <v>7</v>
      </c>
    </row>
    <row r="20453" spans="1:7" x14ac:dyDescent="0.35">
      <c r="A20453" s="27" t="s">
        <v>231</v>
      </c>
      <c r="B20453" s="27" t="s">
        <v>261</v>
      </c>
      <c r="C20453" s="29">
        <v>12.75</v>
      </c>
      <c r="D20453" s="29">
        <v>15</v>
      </c>
      <c r="E20453" s="29">
        <v>2</v>
      </c>
      <c r="F20453" s="29">
        <v>40</v>
      </c>
      <c r="G20453" s="29">
        <v>16</v>
      </c>
    </row>
    <row r="20454" spans="1:7" x14ac:dyDescent="0.35">
      <c r="A20454" t="s">
        <v>231</v>
      </c>
      <c r="B20454" t="s">
        <v>260</v>
      </c>
      <c r="C20454">
        <v>9.86</v>
      </c>
      <c r="D20454">
        <v>5</v>
      </c>
      <c r="E20454">
        <v>0</v>
      </c>
      <c r="F20454">
        <v>90</v>
      </c>
      <c r="G20454">
        <v>58</v>
      </c>
    </row>
    <row r="20455" spans="1:7" x14ac:dyDescent="0.35">
      <c r="A20455" t="s">
        <v>232</v>
      </c>
      <c r="B20455" t="s">
        <v>232</v>
      </c>
      <c r="C20455">
        <v>14.22</v>
      </c>
      <c r="D20455">
        <v>10</v>
      </c>
      <c r="E20455">
        <v>0</v>
      </c>
      <c r="F20455">
        <v>240</v>
      </c>
      <c r="G20455">
        <v>1445</v>
      </c>
    </row>
    <row r="20457" spans="1:7" x14ac:dyDescent="0.35">
      <c r="A20457" s="1" t="s">
        <v>2022</v>
      </c>
    </row>
    <row r="20458" spans="1:7" x14ac:dyDescent="0.35">
      <c r="A20458" t="s">
        <v>219</v>
      </c>
      <c r="B20458" t="s">
        <v>305</v>
      </c>
      <c r="C20458" t="s">
        <v>534</v>
      </c>
      <c r="D20458" t="s">
        <v>535</v>
      </c>
      <c r="E20458" t="s">
        <v>536</v>
      </c>
      <c r="F20458" t="s">
        <v>537</v>
      </c>
      <c r="G20458" t="s">
        <v>226</v>
      </c>
    </row>
    <row r="20459" spans="1:7" x14ac:dyDescent="0.35">
      <c r="A20459" s="27" t="s">
        <v>227</v>
      </c>
      <c r="B20459" s="27" t="s">
        <v>368</v>
      </c>
      <c r="C20459" s="29">
        <v>15.52</v>
      </c>
      <c r="D20459" s="29">
        <v>10</v>
      </c>
      <c r="E20459" s="29">
        <v>0</v>
      </c>
      <c r="F20459" s="29">
        <v>90</v>
      </c>
      <c r="G20459" s="29">
        <v>27</v>
      </c>
    </row>
    <row r="20460" spans="1:7" x14ac:dyDescent="0.35">
      <c r="A20460" t="s">
        <v>227</v>
      </c>
      <c r="B20460" t="s">
        <v>369</v>
      </c>
      <c r="C20460">
        <v>10.78</v>
      </c>
      <c r="D20460">
        <v>5</v>
      </c>
      <c r="E20460">
        <v>0</v>
      </c>
      <c r="F20460">
        <v>80</v>
      </c>
      <c r="G20460">
        <v>68</v>
      </c>
    </row>
    <row r="20461" spans="1:7" x14ac:dyDescent="0.35">
      <c r="A20461" t="s">
        <v>228</v>
      </c>
      <c r="B20461" t="s">
        <v>368</v>
      </c>
      <c r="C20461">
        <v>20.59</v>
      </c>
      <c r="D20461">
        <v>15</v>
      </c>
      <c r="E20461">
        <v>0</v>
      </c>
      <c r="F20461">
        <v>240</v>
      </c>
      <c r="G20461">
        <v>146</v>
      </c>
    </row>
    <row r="20462" spans="1:7" x14ac:dyDescent="0.35">
      <c r="A20462" t="s">
        <v>228</v>
      </c>
      <c r="B20462" t="s">
        <v>369</v>
      </c>
      <c r="C20462">
        <v>17.239999999999998</v>
      </c>
      <c r="D20462">
        <v>10</v>
      </c>
      <c r="E20462">
        <v>0</v>
      </c>
      <c r="F20462">
        <v>160</v>
      </c>
      <c r="G20462">
        <v>447</v>
      </c>
    </row>
    <row r="20463" spans="1:7" x14ac:dyDescent="0.35">
      <c r="A20463" t="s">
        <v>229</v>
      </c>
      <c r="B20463" t="s">
        <v>368</v>
      </c>
      <c r="C20463">
        <v>19.260000000000002</v>
      </c>
      <c r="D20463">
        <v>15</v>
      </c>
      <c r="E20463">
        <v>0</v>
      </c>
      <c r="F20463">
        <v>120</v>
      </c>
      <c r="G20463">
        <v>61</v>
      </c>
    </row>
    <row r="20464" spans="1:7" x14ac:dyDescent="0.35">
      <c r="A20464" t="s">
        <v>229</v>
      </c>
      <c r="B20464" t="s">
        <v>369</v>
      </c>
      <c r="C20464">
        <v>13.39</v>
      </c>
      <c r="D20464">
        <v>10</v>
      </c>
      <c r="E20464">
        <v>0</v>
      </c>
      <c r="F20464">
        <v>180</v>
      </c>
      <c r="G20464">
        <v>334</v>
      </c>
    </row>
    <row r="20465" spans="1:7" x14ac:dyDescent="0.35">
      <c r="A20465" t="s">
        <v>230</v>
      </c>
      <c r="B20465" t="s">
        <v>368</v>
      </c>
      <c r="C20465">
        <v>15.95</v>
      </c>
      <c r="D20465">
        <v>15</v>
      </c>
      <c r="E20465">
        <v>0</v>
      </c>
      <c r="F20465">
        <v>120</v>
      </c>
      <c r="G20465">
        <v>31</v>
      </c>
    </row>
    <row r="20466" spans="1:7" x14ac:dyDescent="0.35">
      <c r="A20466" t="s">
        <v>230</v>
      </c>
      <c r="B20466" t="s">
        <v>369</v>
      </c>
      <c r="C20466">
        <v>19.86</v>
      </c>
      <c r="D20466">
        <v>10</v>
      </c>
      <c r="E20466">
        <v>0</v>
      </c>
      <c r="F20466">
        <v>120</v>
      </c>
      <c r="G20466">
        <v>249</v>
      </c>
    </row>
    <row r="20467" spans="1:7" x14ac:dyDescent="0.35">
      <c r="A20467" s="27" t="s">
        <v>231</v>
      </c>
      <c r="B20467" s="27" t="s">
        <v>368</v>
      </c>
      <c r="C20467" s="29">
        <v>12.75</v>
      </c>
      <c r="D20467" s="29">
        <v>15</v>
      </c>
      <c r="E20467" s="29">
        <v>2</v>
      </c>
      <c r="F20467" s="29">
        <v>40</v>
      </c>
      <c r="G20467" s="29">
        <v>16</v>
      </c>
    </row>
    <row r="20468" spans="1:7" x14ac:dyDescent="0.35">
      <c r="A20468" t="s">
        <v>231</v>
      </c>
      <c r="B20468" t="s">
        <v>369</v>
      </c>
      <c r="C20468">
        <v>9.8800000000000008</v>
      </c>
      <c r="D20468">
        <v>5</v>
      </c>
      <c r="E20468">
        <v>0</v>
      </c>
      <c r="F20468">
        <v>90</v>
      </c>
      <c r="G20468">
        <v>66</v>
      </c>
    </row>
    <row r="20469" spans="1:7" x14ac:dyDescent="0.35">
      <c r="A20469" t="s">
        <v>232</v>
      </c>
      <c r="B20469" t="s">
        <v>232</v>
      </c>
      <c r="C20469">
        <v>14.22</v>
      </c>
      <c r="D20469">
        <v>10</v>
      </c>
      <c r="E20469">
        <v>0</v>
      </c>
      <c r="F20469">
        <v>240</v>
      </c>
      <c r="G20469">
        <v>1445</v>
      </c>
    </row>
    <row r="20471" spans="1:7" x14ac:dyDescent="0.35">
      <c r="A20471" s="1" t="s">
        <v>2023</v>
      </c>
    </row>
    <row r="20472" spans="1:7" x14ac:dyDescent="0.35">
      <c r="A20472" t="s">
        <v>219</v>
      </c>
      <c r="B20472" t="s">
        <v>305</v>
      </c>
      <c r="C20472" t="s">
        <v>534</v>
      </c>
      <c r="D20472" t="s">
        <v>535</v>
      </c>
      <c r="E20472" t="s">
        <v>536</v>
      </c>
      <c r="F20472" t="s">
        <v>537</v>
      </c>
      <c r="G20472" t="s">
        <v>226</v>
      </c>
    </row>
    <row r="20473" spans="1:7" x14ac:dyDescent="0.35">
      <c r="A20473" t="s">
        <v>227</v>
      </c>
      <c r="B20473" t="s">
        <v>371</v>
      </c>
      <c r="C20473">
        <v>12.13</v>
      </c>
      <c r="D20473">
        <v>10</v>
      </c>
      <c r="E20473">
        <v>0</v>
      </c>
      <c r="F20473">
        <v>90</v>
      </c>
      <c r="G20473">
        <v>95</v>
      </c>
    </row>
    <row r="20474" spans="1:7" x14ac:dyDescent="0.35">
      <c r="A20474" t="s">
        <v>228</v>
      </c>
      <c r="B20474" t="s">
        <v>371</v>
      </c>
      <c r="C20474">
        <v>19.190000000000001</v>
      </c>
      <c r="D20474">
        <v>15</v>
      </c>
      <c r="E20474">
        <v>0</v>
      </c>
      <c r="F20474">
        <v>180</v>
      </c>
      <c r="G20474">
        <v>153</v>
      </c>
    </row>
    <row r="20475" spans="1:7" x14ac:dyDescent="0.35">
      <c r="A20475" t="s">
        <v>228</v>
      </c>
      <c r="B20475" t="s">
        <v>372</v>
      </c>
      <c r="C20475">
        <v>23.65</v>
      </c>
      <c r="D20475">
        <v>15</v>
      </c>
      <c r="E20475">
        <v>0</v>
      </c>
      <c r="F20475">
        <v>240</v>
      </c>
      <c r="G20475">
        <v>128</v>
      </c>
    </row>
    <row r="20476" spans="1:7" x14ac:dyDescent="0.35">
      <c r="A20476" t="s">
        <v>228</v>
      </c>
      <c r="B20476" t="s">
        <v>373</v>
      </c>
      <c r="C20476">
        <v>15.5</v>
      </c>
      <c r="D20476">
        <v>10</v>
      </c>
      <c r="E20476">
        <v>0</v>
      </c>
      <c r="F20476">
        <v>130</v>
      </c>
      <c r="G20476">
        <v>312</v>
      </c>
    </row>
    <row r="20477" spans="1:7" x14ac:dyDescent="0.35">
      <c r="A20477" t="s">
        <v>229</v>
      </c>
      <c r="B20477" t="s">
        <v>371</v>
      </c>
      <c r="C20477">
        <v>14.53</v>
      </c>
      <c r="D20477">
        <v>10</v>
      </c>
      <c r="E20477">
        <v>0</v>
      </c>
      <c r="F20477">
        <v>180</v>
      </c>
      <c r="G20477">
        <v>289</v>
      </c>
    </row>
    <row r="20478" spans="1:7" x14ac:dyDescent="0.35">
      <c r="A20478" t="s">
        <v>229</v>
      </c>
      <c r="B20478" t="s">
        <v>372</v>
      </c>
      <c r="C20478">
        <v>14.01</v>
      </c>
      <c r="D20478">
        <v>10</v>
      </c>
      <c r="E20478">
        <v>0</v>
      </c>
      <c r="F20478">
        <v>60</v>
      </c>
      <c r="G20478">
        <v>75</v>
      </c>
    </row>
    <row r="20479" spans="1:7" x14ac:dyDescent="0.35">
      <c r="A20479" t="s">
        <v>229</v>
      </c>
      <c r="B20479" t="s">
        <v>373</v>
      </c>
      <c r="C20479">
        <v>15.65</v>
      </c>
      <c r="D20479">
        <v>10</v>
      </c>
      <c r="E20479">
        <v>0</v>
      </c>
      <c r="F20479">
        <v>120</v>
      </c>
      <c r="G20479">
        <v>31</v>
      </c>
    </row>
    <row r="20480" spans="1:7" x14ac:dyDescent="0.35">
      <c r="A20480" t="s">
        <v>230</v>
      </c>
      <c r="B20480" t="s">
        <v>371</v>
      </c>
      <c r="C20480">
        <v>19.54</v>
      </c>
      <c r="D20480">
        <v>10</v>
      </c>
      <c r="E20480">
        <v>0</v>
      </c>
      <c r="F20480">
        <v>120</v>
      </c>
      <c r="G20480">
        <v>100</v>
      </c>
    </row>
    <row r="20481" spans="1:7" x14ac:dyDescent="0.35">
      <c r="A20481" t="s">
        <v>230</v>
      </c>
      <c r="B20481" t="s">
        <v>372</v>
      </c>
      <c r="C20481">
        <v>19.14</v>
      </c>
      <c r="D20481">
        <v>15</v>
      </c>
      <c r="E20481">
        <v>0</v>
      </c>
      <c r="F20481">
        <v>90</v>
      </c>
      <c r="G20481">
        <v>73</v>
      </c>
    </row>
    <row r="20482" spans="1:7" x14ac:dyDescent="0.35">
      <c r="A20482" t="s">
        <v>230</v>
      </c>
      <c r="B20482" t="s">
        <v>373</v>
      </c>
      <c r="C20482">
        <v>18.399999999999999</v>
      </c>
      <c r="D20482">
        <v>15</v>
      </c>
      <c r="E20482">
        <v>0</v>
      </c>
      <c r="F20482">
        <v>120</v>
      </c>
      <c r="G20482">
        <v>107</v>
      </c>
    </row>
    <row r="20483" spans="1:7" x14ac:dyDescent="0.35">
      <c r="A20483" t="s">
        <v>231</v>
      </c>
      <c r="B20483" t="s">
        <v>371</v>
      </c>
      <c r="C20483">
        <v>10.44</v>
      </c>
      <c r="D20483">
        <v>6</v>
      </c>
      <c r="E20483">
        <v>0</v>
      </c>
      <c r="F20483">
        <v>90</v>
      </c>
      <c r="G20483">
        <v>82</v>
      </c>
    </row>
    <row r="20484" spans="1:7" x14ac:dyDescent="0.35">
      <c r="A20484" t="s">
        <v>232</v>
      </c>
      <c r="B20484" t="s">
        <v>232</v>
      </c>
      <c r="C20484">
        <v>14.22</v>
      </c>
      <c r="D20484">
        <v>10</v>
      </c>
      <c r="E20484">
        <v>0</v>
      </c>
      <c r="F20484">
        <v>240</v>
      </c>
      <c r="G20484">
        <v>1445</v>
      </c>
    </row>
    <row r="20486" spans="1:7" x14ac:dyDescent="0.35">
      <c r="A20486" s="1" t="s">
        <v>2024</v>
      </c>
    </row>
    <row r="20487" spans="1:7" x14ac:dyDescent="0.35">
      <c r="A20487" t="s">
        <v>219</v>
      </c>
      <c r="B20487" t="s">
        <v>305</v>
      </c>
      <c r="C20487" t="s">
        <v>534</v>
      </c>
      <c r="D20487" t="s">
        <v>535</v>
      </c>
      <c r="E20487" t="s">
        <v>536</v>
      </c>
      <c r="F20487" t="s">
        <v>537</v>
      </c>
      <c r="G20487" t="s">
        <v>226</v>
      </c>
    </row>
    <row r="20488" spans="1:7" x14ac:dyDescent="0.35">
      <c r="A20488" t="s">
        <v>227</v>
      </c>
      <c r="B20488" t="s">
        <v>255</v>
      </c>
      <c r="C20488">
        <v>11.9</v>
      </c>
      <c r="D20488">
        <v>5</v>
      </c>
      <c r="E20488">
        <v>0</v>
      </c>
      <c r="F20488">
        <v>90</v>
      </c>
      <c r="G20488">
        <v>67</v>
      </c>
    </row>
    <row r="20489" spans="1:7" x14ac:dyDescent="0.35">
      <c r="A20489" s="27" t="s">
        <v>227</v>
      </c>
      <c r="B20489" s="27" t="s">
        <v>256</v>
      </c>
      <c r="C20489" s="29">
        <v>13.14</v>
      </c>
      <c r="D20489" s="29">
        <v>10</v>
      </c>
      <c r="E20489" s="29">
        <v>2</v>
      </c>
      <c r="F20489" s="29">
        <v>80</v>
      </c>
      <c r="G20489" s="29">
        <v>22</v>
      </c>
    </row>
    <row r="20490" spans="1:7" x14ac:dyDescent="0.35">
      <c r="A20490" s="27" t="s">
        <v>227</v>
      </c>
      <c r="B20490" s="27" t="s">
        <v>257</v>
      </c>
      <c r="C20490" s="29">
        <v>11</v>
      </c>
      <c r="D20490" s="29">
        <v>15</v>
      </c>
      <c r="E20490" s="29">
        <v>1</v>
      </c>
      <c r="F20490" s="29">
        <v>30</v>
      </c>
      <c r="G20490" s="29">
        <v>6</v>
      </c>
    </row>
    <row r="20491" spans="1:7" x14ac:dyDescent="0.35">
      <c r="A20491" t="s">
        <v>228</v>
      </c>
      <c r="B20491" t="s">
        <v>255</v>
      </c>
      <c r="C20491">
        <v>18.91</v>
      </c>
      <c r="D20491">
        <v>10</v>
      </c>
      <c r="E20491">
        <v>0</v>
      </c>
      <c r="F20491">
        <v>240</v>
      </c>
      <c r="G20491">
        <v>435</v>
      </c>
    </row>
    <row r="20492" spans="1:7" x14ac:dyDescent="0.35">
      <c r="A20492" s="27" t="s">
        <v>228</v>
      </c>
      <c r="B20492" s="27" t="s">
        <v>258</v>
      </c>
      <c r="C20492" s="29">
        <v>18.37</v>
      </c>
      <c r="D20492" s="29">
        <v>15</v>
      </c>
      <c r="E20492" s="29">
        <v>10</v>
      </c>
      <c r="F20492" s="29">
        <v>60</v>
      </c>
      <c r="G20492" s="29">
        <v>4</v>
      </c>
    </row>
    <row r="20493" spans="1:7" x14ac:dyDescent="0.35">
      <c r="A20493" t="s">
        <v>228</v>
      </c>
      <c r="B20493" t="s">
        <v>256</v>
      </c>
      <c r="C20493">
        <v>15.92</v>
      </c>
      <c r="D20493">
        <v>10</v>
      </c>
      <c r="E20493">
        <v>0</v>
      </c>
      <c r="F20493">
        <v>120</v>
      </c>
      <c r="G20493">
        <v>124</v>
      </c>
    </row>
    <row r="20494" spans="1:7" x14ac:dyDescent="0.35">
      <c r="A20494" t="s">
        <v>228</v>
      </c>
      <c r="B20494" t="s">
        <v>257</v>
      </c>
      <c r="C20494">
        <v>16.489999999999998</v>
      </c>
      <c r="D20494">
        <v>15</v>
      </c>
      <c r="E20494">
        <v>0</v>
      </c>
      <c r="F20494">
        <v>60</v>
      </c>
      <c r="G20494">
        <v>30</v>
      </c>
    </row>
    <row r="20495" spans="1:7" x14ac:dyDescent="0.35">
      <c r="A20495" t="s">
        <v>229</v>
      </c>
      <c r="B20495" t="s">
        <v>255</v>
      </c>
      <c r="C20495">
        <v>15.18</v>
      </c>
      <c r="D20495">
        <v>10</v>
      </c>
      <c r="E20495">
        <v>0</v>
      </c>
      <c r="F20495">
        <v>120</v>
      </c>
      <c r="G20495">
        <v>276</v>
      </c>
    </row>
    <row r="20496" spans="1:7" x14ac:dyDescent="0.35">
      <c r="A20496" t="s">
        <v>229</v>
      </c>
      <c r="B20496" t="s">
        <v>256</v>
      </c>
      <c r="C20496">
        <v>12.66</v>
      </c>
      <c r="D20496">
        <v>10</v>
      </c>
      <c r="E20496">
        <v>0</v>
      </c>
      <c r="F20496">
        <v>180</v>
      </c>
      <c r="G20496">
        <v>99</v>
      </c>
    </row>
    <row r="20497" spans="1:7" x14ac:dyDescent="0.35">
      <c r="A20497" s="27" t="s">
        <v>229</v>
      </c>
      <c r="B20497" s="27" t="s">
        <v>257</v>
      </c>
      <c r="C20497" s="29">
        <v>17.27</v>
      </c>
      <c r="D20497" s="29">
        <v>10</v>
      </c>
      <c r="E20497" s="29">
        <v>1</v>
      </c>
      <c r="F20497" s="29">
        <v>60</v>
      </c>
      <c r="G20497" s="29">
        <v>20</v>
      </c>
    </row>
    <row r="20498" spans="1:7" x14ac:dyDescent="0.35">
      <c r="A20498" s="27" t="s">
        <v>230</v>
      </c>
      <c r="B20498" s="27" t="s">
        <v>257</v>
      </c>
      <c r="C20498" s="29">
        <v>13.43</v>
      </c>
      <c r="D20498" s="29">
        <v>15</v>
      </c>
      <c r="E20498" s="29">
        <v>1</v>
      </c>
      <c r="F20498" s="29">
        <v>60</v>
      </c>
      <c r="G20498" s="29">
        <v>19</v>
      </c>
    </row>
    <row r="20499" spans="1:7" x14ac:dyDescent="0.35">
      <c r="A20499" t="s">
        <v>230</v>
      </c>
      <c r="B20499" t="s">
        <v>256</v>
      </c>
      <c r="C20499">
        <v>13.84</v>
      </c>
      <c r="D20499">
        <v>10</v>
      </c>
      <c r="E20499">
        <v>0</v>
      </c>
      <c r="F20499">
        <v>60</v>
      </c>
      <c r="G20499">
        <v>64</v>
      </c>
    </row>
    <row r="20500" spans="1:7" x14ac:dyDescent="0.35">
      <c r="A20500" s="27" t="s">
        <v>230</v>
      </c>
      <c r="B20500" s="27" t="s">
        <v>258</v>
      </c>
      <c r="C20500" s="29">
        <v>5</v>
      </c>
      <c r="D20500" s="29">
        <v>5</v>
      </c>
      <c r="E20500" s="29">
        <v>5</v>
      </c>
      <c r="F20500" s="29">
        <v>5</v>
      </c>
      <c r="G20500" s="29">
        <v>1</v>
      </c>
    </row>
    <row r="20501" spans="1:7" x14ac:dyDescent="0.35">
      <c r="A20501" t="s">
        <v>230</v>
      </c>
      <c r="B20501" t="s">
        <v>255</v>
      </c>
      <c r="C20501">
        <v>21.95</v>
      </c>
      <c r="D20501">
        <v>15</v>
      </c>
      <c r="E20501">
        <v>0</v>
      </c>
      <c r="F20501">
        <v>120</v>
      </c>
      <c r="G20501">
        <v>196</v>
      </c>
    </row>
    <row r="20502" spans="1:7" x14ac:dyDescent="0.35">
      <c r="A20502" t="s">
        <v>231</v>
      </c>
      <c r="B20502" t="s">
        <v>255</v>
      </c>
      <c r="C20502">
        <v>10.5</v>
      </c>
      <c r="D20502">
        <v>6</v>
      </c>
      <c r="E20502">
        <v>0</v>
      </c>
      <c r="F20502">
        <v>90</v>
      </c>
      <c r="G20502">
        <v>68</v>
      </c>
    </row>
    <row r="20503" spans="1:7" x14ac:dyDescent="0.35">
      <c r="A20503" s="27" t="s">
        <v>231</v>
      </c>
      <c r="B20503" s="27" t="s">
        <v>257</v>
      </c>
      <c r="C20503" s="29">
        <v>17.5</v>
      </c>
      <c r="D20503" s="29">
        <v>5</v>
      </c>
      <c r="E20503" s="29">
        <v>5</v>
      </c>
      <c r="F20503" s="29">
        <v>30</v>
      </c>
      <c r="G20503" s="29">
        <v>2</v>
      </c>
    </row>
    <row r="20504" spans="1:7" x14ac:dyDescent="0.35">
      <c r="A20504" s="27" t="s">
        <v>231</v>
      </c>
      <c r="B20504" s="27" t="s">
        <v>256</v>
      </c>
      <c r="C20504" s="29">
        <v>8.92</v>
      </c>
      <c r="D20504" s="29">
        <v>5</v>
      </c>
      <c r="E20504" s="29">
        <v>1</v>
      </c>
      <c r="F20504" s="29">
        <v>30</v>
      </c>
      <c r="G20504" s="29">
        <v>12</v>
      </c>
    </row>
    <row r="20505" spans="1:7" x14ac:dyDescent="0.35">
      <c r="A20505" t="s">
        <v>232</v>
      </c>
      <c r="B20505" t="s">
        <v>232</v>
      </c>
      <c r="C20505">
        <v>14.22</v>
      </c>
      <c r="D20505">
        <v>10</v>
      </c>
      <c r="E20505">
        <v>0</v>
      </c>
      <c r="F20505">
        <v>240</v>
      </c>
      <c r="G20505">
        <v>1445</v>
      </c>
    </row>
    <row r="20507" spans="1:7" x14ac:dyDescent="0.35">
      <c r="A20507" s="1" t="s">
        <v>2025</v>
      </c>
    </row>
    <row r="20508" spans="1:7" x14ac:dyDescent="0.35">
      <c r="A20508" t="s">
        <v>219</v>
      </c>
      <c r="B20508" t="s">
        <v>303</v>
      </c>
      <c r="C20508" t="s">
        <v>302</v>
      </c>
      <c r="D20508" t="s">
        <v>281</v>
      </c>
      <c r="E20508" t="s">
        <v>2026</v>
      </c>
      <c r="F20508" t="s">
        <v>226</v>
      </c>
    </row>
    <row r="20509" spans="1:7" x14ac:dyDescent="0.35">
      <c r="A20509" t="s">
        <v>227</v>
      </c>
      <c r="B20509" s="26">
        <v>0.90510000000000002</v>
      </c>
      <c r="C20509" s="26">
        <v>6.3299999999999995E-2</v>
      </c>
      <c r="D20509" s="26">
        <v>2.53E-2</v>
      </c>
      <c r="E20509" s="26">
        <v>6.3E-3</v>
      </c>
      <c r="F20509">
        <v>158</v>
      </c>
    </row>
    <row r="20510" spans="1:7" x14ac:dyDescent="0.35">
      <c r="A20510" t="s">
        <v>228</v>
      </c>
      <c r="B20510" s="26">
        <v>0.85160000000000002</v>
      </c>
      <c r="C20510" s="26">
        <v>0.1318</v>
      </c>
      <c r="D20510" s="26">
        <v>1.66E-2</v>
      </c>
      <c r="F20510">
        <v>1001</v>
      </c>
    </row>
    <row r="20511" spans="1:7" x14ac:dyDescent="0.35">
      <c r="A20511" t="s">
        <v>229</v>
      </c>
      <c r="B20511" s="26">
        <v>0.90649999999999997</v>
      </c>
      <c r="C20511" s="26">
        <v>7.1400000000000005E-2</v>
      </c>
      <c r="D20511" s="26">
        <v>2.1399999999999999E-2</v>
      </c>
      <c r="E20511" s="26">
        <v>6.9999999999999999E-4</v>
      </c>
      <c r="F20511">
        <v>886</v>
      </c>
    </row>
    <row r="20512" spans="1:7" x14ac:dyDescent="0.35">
      <c r="A20512" t="s">
        <v>230</v>
      </c>
      <c r="B20512" s="26">
        <v>0.84319999999999995</v>
      </c>
      <c r="C20512" s="26">
        <v>0.1278</v>
      </c>
      <c r="D20512" s="26">
        <v>2.9100000000000001E-2</v>
      </c>
      <c r="F20512">
        <v>555</v>
      </c>
    </row>
    <row r="20513" spans="1:7" x14ac:dyDescent="0.35">
      <c r="A20513" t="s">
        <v>231</v>
      </c>
      <c r="B20513" s="26">
        <v>0.91190000000000004</v>
      </c>
      <c r="C20513" s="26">
        <v>8.1799999999999998E-2</v>
      </c>
      <c r="D20513" s="26">
        <v>6.3E-3</v>
      </c>
      <c r="F20513">
        <v>159</v>
      </c>
    </row>
    <row r="20514" spans="1:7" x14ac:dyDescent="0.35">
      <c r="A20514" t="s">
        <v>232</v>
      </c>
      <c r="B20514" s="26">
        <v>0.89100000000000001</v>
      </c>
      <c r="C20514" s="26">
        <v>9.01E-2</v>
      </c>
      <c r="D20514" s="26">
        <v>1.77E-2</v>
      </c>
      <c r="E20514" s="26">
        <v>1.1999999999999999E-3</v>
      </c>
      <c r="F20514">
        <v>2759</v>
      </c>
    </row>
    <row r="20516" spans="1:7" x14ac:dyDescent="0.35">
      <c r="A20516" s="1" t="s">
        <v>2027</v>
      </c>
    </row>
    <row r="20517" spans="1:7" x14ac:dyDescent="0.35">
      <c r="A20517" t="s">
        <v>219</v>
      </c>
      <c r="B20517" t="s">
        <v>305</v>
      </c>
      <c r="C20517" t="s">
        <v>303</v>
      </c>
      <c r="D20517" t="s">
        <v>302</v>
      </c>
      <c r="E20517" t="s">
        <v>281</v>
      </c>
      <c r="F20517" t="s">
        <v>2026</v>
      </c>
      <c r="G20517" t="s">
        <v>226</v>
      </c>
    </row>
    <row r="20518" spans="1:7" x14ac:dyDescent="0.35">
      <c r="A20518" t="s">
        <v>227</v>
      </c>
      <c r="B20518" t="s">
        <v>242</v>
      </c>
      <c r="C20518" s="26">
        <v>0.96919999999999995</v>
      </c>
      <c r="D20518" s="26">
        <v>3.0800000000000001E-2</v>
      </c>
      <c r="G20518">
        <v>65</v>
      </c>
    </row>
    <row r="20519" spans="1:7" x14ac:dyDescent="0.35">
      <c r="A20519" t="s">
        <v>227</v>
      </c>
      <c r="B20519" t="s">
        <v>241</v>
      </c>
      <c r="C20519" s="26">
        <v>0.86019999999999996</v>
      </c>
      <c r="D20519" s="26">
        <v>8.5999999999999993E-2</v>
      </c>
      <c r="E20519" s="26">
        <v>4.2999999999999997E-2</v>
      </c>
      <c r="F20519" s="26">
        <v>1.0800000000000001E-2</v>
      </c>
      <c r="G20519">
        <v>93</v>
      </c>
    </row>
    <row r="20520" spans="1:7" x14ac:dyDescent="0.35">
      <c r="A20520" t="s">
        <v>228</v>
      </c>
      <c r="B20520" t="s">
        <v>242</v>
      </c>
      <c r="C20520" s="26">
        <v>0.7954</v>
      </c>
      <c r="D20520" s="26">
        <v>0.18229999999999999</v>
      </c>
      <c r="E20520" s="26">
        <v>2.23E-2</v>
      </c>
      <c r="G20520">
        <v>389</v>
      </c>
    </row>
    <row r="20521" spans="1:7" x14ac:dyDescent="0.35">
      <c r="A20521" t="s">
        <v>228</v>
      </c>
      <c r="B20521" t="s">
        <v>241</v>
      </c>
      <c r="C20521" s="26">
        <v>0.8841</v>
      </c>
      <c r="D20521" s="26">
        <v>0.1026</v>
      </c>
      <c r="E20521" s="26">
        <v>1.3299999999999999E-2</v>
      </c>
      <c r="G20521">
        <v>612</v>
      </c>
    </row>
    <row r="20522" spans="1:7" x14ac:dyDescent="0.35">
      <c r="A20522" t="s">
        <v>229</v>
      </c>
      <c r="B20522" t="s">
        <v>242</v>
      </c>
      <c r="C20522" s="26">
        <v>0.86799999999999999</v>
      </c>
      <c r="D20522" s="26">
        <v>9.9099999999999994E-2</v>
      </c>
      <c r="E20522" s="26">
        <v>3.2899999999999999E-2</v>
      </c>
      <c r="G20522">
        <v>288</v>
      </c>
    </row>
    <row r="20523" spans="1:7" x14ac:dyDescent="0.35">
      <c r="A20523" t="s">
        <v>229</v>
      </c>
      <c r="B20523" t="s">
        <v>241</v>
      </c>
      <c r="C20523" s="26">
        <v>0.93100000000000005</v>
      </c>
      <c r="D20523" s="26">
        <v>5.3900000000000003E-2</v>
      </c>
      <c r="E20523" s="26">
        <v>1.4E-2</v>
      </c>
      <c r="F20523" s="26">
        <v>1.1000000000000001E-3</v>
      </c>
      <c r="G20523">
        <v>598</v>
      </c>
    </row>
    <row r="20524" spans="1:7" x14ac:dyDescent="0.35">
      <c r="A20524" t="s">
        <v>230</v>
      </c>
      <c r="B20524" t="s">
        <v>242</v>
      </c>
      <c r="C20524" s="26">
        <v>0.81159999999999999</v>
      </c>
      <c r="D20524" s="26">
        <v>0.1797</v>
      </c>
      <c r="E20524" s="26">
        <v>8.8000000000000005E-3</v>
      </c>
      <c r="G20524">
        <v>187</v>
      </c>
    </row>
    <row r="20525" spans="1:7" x14ac:dyDescent="0.35">
      <c r="A20525" t="s">
        <v>230</v>
      </c>
      <c r="B20525" t="s">
        <v>241</v>
      </c>
      <c r="C20525" s="26">
        <v>0.85929999999999995</v>
      </c>
      <c r="D20525" s="26">
        <v>0.1012</v>
      </c>
      <c r="E20525" s="26">
        <v>3.9399999999999998E-2</v>
      </c>
      <c r="G20525">
        <v>368</v>
      </c>
    </row>
    <row r="20526" spans="1:7" x14ac:dyDescent="0.35">
      <c r="A20526" t="s">
        <v>231</v>
      </c>
      <c r="B20526" t="s">
        <v>242</v>
      </c>
      <c r="C20526" s="26">
        <v>0.84309999999999996</v>
      </c>
      <c r="D20526" s="26">
        <v>0.15690000000000001</v>
      </c>
      <c r="G20526">
        <v>51</v>
      </c>
    </row>
    <row r="20527" spans="1:7" x14ac:dyDescent="0.35">
      <c r="A20527" t="s">
        <v>231</v>
      </c>
      <c r="B20527" t="s">
        <v>241</v>
      </c>
      <c r="C20527" s="26">
        <v>0.94440000000000002</v>
      </c>
      <c r="D20527" s="26">
        <v>4.6300000000000001E-2</v>
      </c>
      <c r="E20527" s="26">
        <v>9.2999999999999992E-3</v>
      </c>
      <c r="G20527">
        <v>108</v>
      </c>
    </row>
    <row r="20528" spans="1:7" x14ac:dyDescent="0.35">
      <c r="A20528" t="s">
        <v>232</v>
      </c>
      <c r="B20528" t="s">
        <v>232</v>
      </c>
      <c r="C20528" s="26">
        <v>0.89100000000000001</v>
      </c>
      <c r="D20528" s="26">
        <v>9.01E-2</v>
      </c>
      <c r="E20528" s="26">
        <v>1.77E-2</v>
      </c>
      <c r="F20528" s="26">
        <v>1.1999999999999999E-3</v>
      </c>
      <c r="G20528">
        <v>2759</v>
      </c>
    </row>
    <row r="20530" spans="1:7" x14ac:dyDescent="0.35">
      <c r="A20530" s="1" t="s">
        <v>2028</v>
      </c>
    </row>
    <row r="20531" spans="1:7" x14ac:dyDescent="0.35">
      <c r="A20531" t="s">
        <v>219</v>
      </c>
      <c r="B20531" t="s">
        <v>305</v>
      </c>
      <c r="C20531" t="s">
        <v>303</v>
      </c>
      <c r="D20531" t="s">
        <v>302</v>
      </c>
      <c r="E20531" t="s">
        <v>281</v>
      </c>
      <c r="F20531" t="s">
        <v>2026</v>
      </c>
      <c r="G20531" t="s">
        <v>226</v>
      </c>
    </row>
    <row r="20532" spans="1:7" x14ac:dyDescent="0.35">
      <c r="A20532" t="s">
        <v>227</v>
      </c>
      <c r="B20532" t="s">
        <v>239</v>
      </c>
      <c r="C20532" s="26">
        <v>0.9153</v>
      </c>
      <c r="D20532" s="26">
        <v>5.0799999999999998E-2</v>
      </c>
      <c r="E20532" s="26">
        <v>3.39E-2</v>
      </c>
      <c r="G20532">
        <v>59</v>
      </c>
    </row>
    <row r="20533" spans="1:7" x14ac:dyDescent="0.35">
      <c r="A20533" t="s">
        <v>227</v>
      </c>
      <c r="B20533" t="s">
        <v>238</v>
      </c>
      <c r="C20533" s="26">
        <v>0.89900000000000002</v>
      </c>
      <c r="D20533" s="26">
        <v>7.0699999999999999E-2</v>
      </c>
      <c r="E20533" s="26">
        <v>2.0199999999999999E-2</v>
      </c>
      <c r="F20533" s="26">
        <v>1.01E-2</v>
      </c>
      <c r="G20533">
        <v>99</v>
      </c>
    </row>
    <row r="20534" spans="1:7" x14ac:dyDescent="0.35">
      <c r="A20534" t="s">
        <v>228</v>
      </c>
      <c r="B20534" t="s">
        <v>239</v>
      </c>
      <c r="C20534" s="26">
        <v>0.85909999999999997</v>
      </c>
      <c r="D20534" s="26">
        <v>0.13550000000000001</v>
      </c>
      <c r="E20534" s="26">
        <v>5.4999999999999997E-3</v>
      </c>
      <c r="G20534">
        <v>315</v>
      </c>
    </row>
    <row r="20535" spans="1:7" x14ac:dyDescent="0.35">
      <c r="A20535" t="s">
        <v>228</v>
      </c>
      <c r="B20535" t="s">
        <v>238</v>
      </c>
      <c r="C20535" s="26">
        <v>0.84970000000000001</v>
      </c>
      <c r="D20535" s="26">
        <v>0.13089999999999999</v>
      </c>
      <c r="E20535" s="26">
        <v>1.95E-2</v>
      </c>
      <c r="G20535">
        <v>686</v>
      </c>
    </row>
    <row r="20536" spans="1:7" x14ac:dyDescent="0.35">
      <c r="A20536" t="s">
        <v>229</v>
      </c>
      <c r="B20536" t="s">
        <v>239</v>
      </c>
      <c r="C20536" s="26">
        <v>0.89590000000000003</v>
      </c>
      <c r="D20536" s="26">
        <v>9.1499999999999998E-2</v>
      </c>
      <c r="E20536" s="26">
        <v>0.01</v>
      </c>
      <c r="F20536" s="26">
        <v>2.7000000000000001E-3</v>
      </c>
      <c r="G20536">
        <v>328</v>
      </c>
    </row>
    <row r="20537" spans="1:7" x14ac:dyDescent="0.35">
      <c r="A20537" t="s">
        <v>229</v>
      </c>
      <c r="B20537" t="s">
        <v>238</v>
      </c>
      <c r="C20537" s="26">
        <v>0.91010000000000002</v>
      </c>
      <c r="D20537" s="26">
        <v>6.4600000000000005E-2</v>
      </c>
      <c r="E20537" s="26">
        <v>2.53E-2</v>
      </c>
      <c r="G20537">
        <v>558</v>
      </c>
    </row>
    <row r="20538" spans="1:7" x14ac:dyDescent="0.35">
      <c r="A20538" t="s">
        <v>230</v>
      </c>
      <c r="B20538" t="s">
        <v>239</v>
      </c>
      <c r="C20538" s="26">
        <v>0.83230000000000004</v>
      </c>
      <c r="D20538" s="26">
        <v>0.1409</v>
      </c>
      <c r="E20538" s="26">
        <v>2.69E-2</v>
      </c>
      <c r="G20538">
        <v>210</v>
      </c>
    </row>
    <row r="20539" spans="1:7" x14ac:dyDescent="0.35">
      <c r="A20539" t="s">
        <v>230</v>
      </c>
      <c r="B20539" t="s">
        <v>238</v>
      </c>
      <c r="C20539" s="26">
        <v>0.84789999999999999</v>
      </c>
      <c r="D20539" s="26">
        <v>0.1221</v>
      </c>
      <c r="E20539" s="26">
        <v>0.03</v>
      </c>
      <c r="G20539">
        <v>345</v>
      </c>
    </row>
    <row r="20540" spans="1:7" x14ac:dyDescent="0.35">
      <c r="A20540" t="s">
        <v>231</v>
      </c>
      <c r="B20540" t="s">
        <v>239</v>
      </c>
      <c r="C20540" s="26">
        <v>0.92859999999999998</v>
      </c>
      <c r="D20540" s="26">
        <v>7.1400000000000005E-2</v>
      </c>
      <c r="G20540">
        <v>56</v>
      </c>
    </row>
    <row r="20541" spans="1:7" x14ac:dyDescent="0.35">
      <c r="A20541" t="s">
        <v>231</v>
      </c>
      <c r="B20541" t="s">
        <v>238</v>
      </c>
      <c r="C20541" s="26">
        <v>0.90290000000000004</v>
      </c>
      <c r="D20541" s="26">
        <v>8.7400000000000005E-2</v>
      </c>
      <c r="E20541" s="26">
        <v>9.7000000000000003E-3</v>
      </c>
      <c r="G20541">
        <v>103</v>
      </c>
    </row>
    <row r="20542" spans="1:7" x14ac:dyDescent="0.35">
      <c r="A20542" t="s">
        <v>232</v>
      </c>
      <c r="B20542" t="s">
        <v>232</v>
      </c>
      <c r="C20542" s="26">
        <v>0.89100000000000001</v>
      </c>
      <c r="D20542" s="26">
        <v>9.01E-2</v>
      </c>
      <c r="E20542" s="26">
        <v>1.77E-2</v>
      </c>
      <c r="F20542" s="26">
        <v>1.1999999999999999E-3</v>
      </c>
      <c r="G20542">
        <v>2759</v>
      </c>
    </row>
    <row r="20544" spans="1:7" x14ac:dyDescent="0.35">
      <c r="A20544" s="1" t="s">
        <v>2029</v>
      </c>
    </row>
    <row r="20545" spans="1:7" x14ac:dyDescent="0.35">
      <c r="A20545" t="s">
        <v>219</v>
      </c>
      <c r="B20545" t="s">
        <v>305</v>
      </c>
      <c r="C20545" t="s">
        <v>303</v>
      </c>
      <c r="D20545" t="s">
        <v>302</v>
      </c>
      <c r="E20545" t="s">
        <v>281</v>
      </c>
      <c r="F20545" t="s">
        <v>2026</v>
      </c>
      <c r="G20545" t="s">
        <v>226</v>
      </c>
    </row>
    <row r="20546" spans="1:7" x14ac:dyDescent="0.35">
      <c r="A20546" t="s">
        <v>227</v>
      </c>
      <c r="B20546" t="s">
        <v>244</v>
      </c>
      <c r="C20546" s="26">
        <v>0.88170000000000004</v>
      </c>
      <c r="D20546" s="26">
        <v>7.5300000000000006E-2</v>
      </c>
      <c r="E20546" s="26">
        <v>3.2300000000000002E-2</v>
      </c>
      <c r="F20546" s="26">
        <v>1.0800000000000001E-2</v>
      </c>
      <c r="G20546">
        <v>93</v>
      </c>
    </row>
    <row r="20547" spans="1:7" x14ac:dyDescent="0.35">
      <c r="A20547" t="s">
        <v>227</v>
      </c>
      <c r="B20547" t="s">
        <v>245</v>
      </c>
      <c r="C20547" s="26">
        <v>0.92449999999999999</v>
      </c>
      <c r="D20547" s="26">
        <v>5.6599999999999998E-2</v>
      </c>
      <c r="E20547" s="26">
        <v>1.89E-2</v>
      </c>
      <c r="G20547">
        <v>53</v>
      </c>
    </row>
    <row r="20548" spans="1:7" x14ac:dyDescent="0.35">
      <c r="A20548" s="27" t="s">
        <v>227</v>
      </c>
      <c r="B20548" s="27" t="s">
        <v>246</v>
      </c>
      <c r="C20548" s="28">
        <v>1</v>
      </c>
      <c r="D20548" s="29"/>
      <c r="E20548" s="29"/>
      <c r="F20548" s="29"/>
      <c r="G20548" s="29" t="s">
        <v>342</v>
      </c>
    </row>
    <row r="20549" spans="1:7" x14ac:dyDescent="0.35">
      <c r="A20549" t="s">
        <v>228</v>
      </c>
      <c r="B20549" t="s">
        <v>244</v>
      </c>
      <c r="C20549" s="26">
        <v>0.86729999999999996</v>
      </c>
      <c r="D20549" s="26">
        <v>0.1148</v>
      </c>
      <c r="E20549" s="26">
        <v>1.7999999999999999E-2</v>
      </c>
      <c r="G20549">
        <v>618</v>
      </c>
    </row>
    <row r="20550" spans="1:7" x14ac:dyDescent="0.35">
      <c r="A20550" t="s">
        <v>228</v>
      </c>
      <c r="B20550" t="s">
        <v>245</v>
      </c>
      <c r="C20550" s="26">
        <v>0.81430000000000002</v>
      </c>
      <c r="D20550" s="26">
        <v>0.17130000000000001</v>
      </c>
      <c r="E20550" s="26">
        <v>1.44E-2</v>
      </c>
      <c r="G20550">
        <v>317</v>
      </c>
    </row>
    <row r="20551" spans="1:7" x14ac:dyDescent="0.35">
      <c r="A20551" t="s">
        <v>228</v>
      </c>
      <c r="B20551" t="s">
        <v>246</v>
      </c>
      <c r="C20551" s="26">
        <v>0.85140000000000005</v>
      </c>
      <c r="D20551" s="26">
        <v>0.1363</v>
      </c>
      <c r="E20551" s="26">
        <v>1.2200000000000001E-2</v>
      </c>
      <c r="G20551">
        <v>66</v>
      </c>
    </row>
    <row r="20552" spans="1:7" x14ac:dyDescent="0.35">
      <c r="A20552" t="s">
        <v>229</v>
      </c>
      <c r="B20552" t="s">
        <v>244</v>
      </c>
      <c r="C20552" s="26">
        <v>0.89229999999999998</v>
      </c>
      <c r="D20552" s="26">
        <v>7.5800000000000006E-2</v>
      </c>
      <c r="E20552" s="26">
        <v>3.1E-2</v>
      </c>
      <c r="F20552" s="26">
        <v>1E-3</v>
      </c>
      <c r="G20552">
        <v>549</v>
      </c>
    </row>
    <row r="20553" spans="1:7" x14ac:dyDescent="0.35">
      <c r="A20553" t="s">
        <v>229</v>
      </c>
      <c r="B20553" t="s">
        <v>245</v>
      </c>
      <c r="C20553" s="26">
        <v>0.95860000000000001</v>
      </c>
      <c r="D20553" s="26">
        <v>4.1399999999999999E-2</v>
      </c>
      <c r="G20553">
        <v>293</v>
      </c>
    </row>
    <row r="20554" spans="1:7" x14ac:dyDescent="0.35">
      <c r="A20554" t="s">
        <v>229</v>
      </c>
      <c r="B20554" t="s">
        <v>246</v>
      </c>
      <c r="C20554" s="26">
        <v>0.84119999999999995</v>
      </c>
      <c r="D20554" s="26">
        <v>0.1588</v>
      </c>
      <c r="G20554">
        <v>44</v>
      </c>
    </row>
    <row r="20555" spans="1:7" x14ac:dyDescent="0.35">
      <c r="A20555" t="s">
        <v>230</v>
      </c>
      <c r="B20555" t="s">
        <v>244</v>
      </c>
      <c r="C20555" s="26">
        <v>0.85240000000000005</v>
      </c>
      <c r="D20555" s="26">
        <v>0.11890000000000001</v>
      </c>
      <c r="E20555" s="26">
        <v>2.87E-2</v>
      </c>
      <c r="G20555">
        <v>366</v>
      </c>
    </row>
    <row r="20556" spans="1:7" x14ac:dyDescent="0.35">
      <c r="A20556" t="s">
        <v>230</v>
      </c>
      <c r="B20556" t="s">
        <v>245</v>
      </c>
      <c r="C20556" s="26">
        <v>0.81799999999999995</v>
      </c>
      <c r="D20556" s="26">
        <v>0.14990000000000001</v>
      </c>
      <c r="E20556" s="26">
        <v>3.2099999999999997E-2</v>
      </c>
      <c r="G20556">
        <v>160</v>
      </c>
    </row>
    <row r="20557" spans="1:7" x14ac:dyDescent="0.35">
      <c r="A20557" s="27" t="s">
        <v>230</v>
      </c>
      <c r="B20557" s="27" t="s">
        <v>246</v>
      </c>
      <c r="C20557" s="28">
        <v>0.84670000000000001</v>
      </c>
      <c r="D20557" s="28">
        <v>0.1351</v>
      </c>
      <c r="E20557" s="28">
        <v>1.83E-2</v>
      </c>
      <c r="F20557" s="29"/>
      <c r="G20557" s="29" t="s">
        <v>329</v>
      </c>
    </row>
    <row r="20558" spans="1:7" x14ac:dyDescent="0.35">
      <c r="A20558" t="s">
        <v>231</v>
      </c>
      <c r="B20558" t="s">
        <v>244</v>
      </c>
      <c r="C20558" s="26">
        <v>0.91210000000000002</v>
      </c>
      <c r="D20558" s="26">
        <v>7.6899999999999996E-2</v>
      </c>
      <c r="E20558" s="26">
        <v>1.0999999999999999E-2</v>
      </c>
      <c r="G20558">
        <v>91</v>
      </c>
    </row>
    <row r="20559" spans="1:7" x14ac:dyDescent="0.35">
      <c r="A20559" t="s">
        <v>231</v>
      </c>
      <c r="B20559" t="s">
        <v>245</v>
      </c>
      <c r="C20559" s="26">
        <v>0.90910000000000002</v>
      </c>
      <c r="D20559" s="26">
        <v>9.0899999999999995E-2</v>
      </c>
      <c r="G20559">
        <v>55</v>
      </c>
    </row>
    <row r="20560" spans="1:7" x14ac:dyDescent="0.35">
      <c r="A20560" s="27" t="s">
        <v>231</v>
      </c>
      <c r="B20560" s="27" t="s">
        <v>246</v>
      </c>
      <c r="C20560" s="28">
        <v>0.92310000000000003</v>
      </c>
      <c r="D20560" s="28">
        <v>7.6899999999999996E-2</v>
      </c>
      <c r="E20560" s="29"/>
      <c r="F20560" s="29"/>
      <c r="G20560" s="29" t="s">
        <v>341</v>
      </c>
    </row>
    <row r="20561" spans="1:7" x14ac:dyDescent="0.35">
      <c r="A20561" t="s">
        <v>232</v>
      </c>
      <c r="B20561" t="s">
        <v>232</v>
      </c>
      <c r="C20561" s="26">
        <v>0.89100000000000001</v>
      </c>
      <c r="D20561" s="26">
        <v>9.01E-2</v>
      </c>
      <c r="E20561" s="26">
        <v>1.77E-2</v>
      </c>
      <c r="F20561" s="26">
        <v>1.1999999999999999E-3</v>
      </c>
      <c r="G20561">
        <v>2759</v>
      </c>
    </row>
    <row r="20563" spans="1:7" x14ac:dyDescent="0.35">
      <c r="A20563" s="1" t="s">
        <v>2030</v>
      </c>
    </row>
    <row r="20564" spans="1:7" x14ac:dyDescent="0.35">
      <c r="A20564" t="s">
        <v>219</v>
      </c>
      <c r="B20564" t="s">
        <v>305</v>
      </c>
      <c r="C20564" t="s">
        <v>303</v>
      </c>
      <c r="D20564" t="s">
        <v>302</v>
      </c>
      <c r="E20564" t="s">
        <v>281</v>
      </c>
      <c r="F20564" t="s">
        <v>2026</v>
      </c>
      <c r="G20564" t="s">
        <v>226</v>
      </c>
    </row>
    <row r="20565" spans="1:7" x14ac:dyDescent="0.35">
      <c r="A20565" t="s">
        <v>227</v>
      </c>
      <c r="B20565" t="s">
        <v>360</v>
      </c>
      <c r="C20565" s="26">
        <v>0.94740000000000002</v>
      </c>
      <c r="D20565" s="26">
        <v>5.2600000000000001E-2</v>
      </c>
      <c r="G20565">
        <v>38</v>
      </c>
    </row>
    <row r="20566" spans="1:7" x14ac:dyDescent="0.35">
      <c r="A20566" t="s">
        <v>227</v>
      </c>
      <c r="B20566" t="s">
        <v>361</v>
      </c>
      <c r="C20566" s="26">
        <v>0.8125</v>
      </c>
      <c r="D20566" s="26">
        <v>0.15620000000000001</v>
      </c>
      <c r="E20566" s="26">
        <v>3.1199999999999999E-2</v>
      </c>
      <c r="G20566">
        <v>32</v>
      </c>
    </row>
    <row r="20567" spans="1:7" x14ac:dyDescent="0.35">
      <c r="A20567" t="s">
        <v>227</v>
      </c>
      <c r="B20567" t="s">
        <v>362</v>
      </c>
      <c r="C20567" s="26">
        <v>0.88890000000000002</v>
      </c>
      <c r="D20567" s="26">
        <v>5.5599999999999997E-2</v>
      </c>
      <c r="E20567" s="26">
        <v>2.7799999999999998E-2</v>
      </c>
      <c r="F20567" s="26">
        <v>2.7799999999999998E-2</v>
      </c>
      <c r="G20567">
        <v>36</v>
      </c>
    </row>
    <row r="20568" spans="1:7" x14ac:dyDescent="0.35">
      <c r="A20568" t="s">
        <v>227</v>
      </c>
      <c r="B20568" t="s">
        <v>363</v>
      </c>
      <c r="C20568" s="26">
        <v>0.95450000000000002</v>
      </c>
      <c r="D20568" s="26">
        <v>2.2700000000000001E-2</v>
      </c>
      <c r="E20568" s="26">
        <v>2.2700000000000001E-2</v>
      </c>
      <c r="G20568">
        <v>44</v>
      </c>
    </row>
    <row r="20569" spans="1:7" x14ac:dyDescent="0.35">
      <c r="A20569" t="s">
        <v>228</v>
      </c>
      <c r="B20569" t="s">
        <v>360</v>
      </c>
      <c r="C20569" s="26">
        <v>0.81889999999999996</v>
      </c>
      <c r="D20569" s="26">
        <v>0.1656</v>
      </c>
      <c r="E20569" s="26">
        <v>1.55E-2</v>
      </c>
      <c r="G20569">
        <v>248</v>
      </c>
    </row>
    <row r="20570" spans="1:7" x14ac:dyDescent="0.35">
      <c r="A20570" t="s">
        <v>228</v>
      </c>
      <c r="B20570" t="s">
        <v>361</v>
      </c>
      <c r="C20570" s="26">
        <v>0.8831</v>
      </c>
      <c r="D20570" s="26">
        <v>9.6600000000000005E-2</v>
      </c>
      <c r="E20570" s="26">
        <v>2.0299999999999999E-2</v>
      </c>
      <c r="G20570">
        <v>189</v>
      </c>
    </row>
    <row r="20571" spans="1:7" x14ac:dyDescent="0.35">
      <c r="A20571" t="s">
        <v>228</v>
      </c>
      <c r="B20571" t="s">
        <v>363</v>
      </c>
      <c r="C20571" s="26">
        <v>0.89780000000000004</v>
      </c>
      <c r="D20571" s="26">
        <v>0.1022</v>
      </c>
      <c r="G20571">
        <v>207</v>
      </c>
    </row>
    <row r="20572" spans="1:7" x14ac:dyDescent="0.35">
      <c r="A20572" t="s">
        <v>228</v>
      </c>
      <c r="B20572" t="s">
        <v>362</v>
      </c>
      <c r="C20572" s="26">
        <v>0.80249999999999999</v>
      </c>
      <c r="D20572" s="26">
        <v>0.17</v>
      </c>
      <c r="E20572" s="26">
        <v>2.75E-2</v>
      </c>
      <c r="G20572">
        <v>231</v>
      </c>
    </row>
    <row r="20573" spans="1:7" x14ac:dyDescent="0.35">
      <c r="A20573" t="s">
        <v>229</v>
      </c>
      <c r="B20573" t="s">
        <v>363</v>
      </c>
      <c r="C20573" s="26">
        <v>0.90269999999999995</v>
      </c>
      <c r="D20573" s="26">
        <v>7.8799999999999995E-2</v>
      </c>
      <c r="E20573" s="26">
        <v>1.8499999999999999E-2</v>
      </c>
      <c r="G20573">
        <v>189</v>
      </c>
    </row>
    <row r="20574" spans="1:7" x14ac:dyDescent="0.35">
      <c r="A20574" t="s">
        <v>229</v>
      </c>
      <c r="B20574" t="s">
        <v>360</v>
      </c>
      <c r="C20574" s="26">
        <v>0.82740000000000002</v>
      </c>
      <c r="D20574" s="26">
        <v>0.1162</v>
      </c>
      <c r="E20574" s="26">
        <v>5.21E-2</v>
      </c>
      <c r="F20574" s="26">
        <v>4.3E-3</v>
      </c>
      <c r="G20574">
        <v>162</v>
      </c>
    </row>
    <row r="20575" spans="1:7" x14ac:dyDescent="0.35">
      <c r="A20575" t="s">
        <v>229</v>
      </c>
      <c r="B20575" t="s">
        <v>361</v>
      </c>
      <c r="C20575" s="26">
        <v>0.93889999999999996</v>
      </c>
      <c r="D20575" s="26">
        <v>4.6600000000000003E-2</v>
      </c>
      <c r="E20575" s="26">
        <v>1.4500000000000001E-2</v>
      </c>
      <c r="G20575">
        <v>241</v>
      </c>
    </row>
    <row r="20576" spans="1:7" x14ac:dyDescent="0.35">
      <c r="A20576" t="s">
        <v>229</v>
      </c>
      <c r="B20576" t="s">
        <v>362</v>
      </c>
      <c r="C20576" s="26">
        <v>0.93300000000000005</v>
      </c>
      <c r="D20576" s="26">
        <v>4.4299999999999999E-2</v>
      </c>
      <c r="E20576" s="26">
        <v>2.2700000000000001E-2</v>
      </c>
      <c r="G20576">
        <v>171</v>
      </c>
    </row>
    <row r="20577" spans="1:7" x14ac:dyDescent="0.35">
      <c r="A20577" t="s">
        <v>230</v>
      </c>
      <c r="B20577" t="s">
        <v>360</v>
      </c>
      <c r="C20577" s="26">
        <v>0.73870000000000002</v>
      </c>
      <c r="D20577" s="26">
        <v>0.24540000000000001</v>
      </c>
      <c r="E20577" s="26">
        <v>1.5900000000000001E-2</v>
      </c>
      <c r="G20577">
        <v>119</v>
      </c>
    </row>
    <row r="20578" spans="1:7" x14ac:dyDescent="0.35">
      <c r="A20578" t="s">
        <v>230</v>
      </c>
      <c r="B20578" t="s">
        <v>363</v>
      </c>
      <c r="C20578" s="26">
        <v>0.85450000000000004</v>
      </c>
      <c r="D20578" s="26">
        <v>0.1148</v>
      </c>
      <c r="E20578" s="26">
        <v>3.0700000000000002E-2</v>
      </c>
      <c r="G20578">
        <v>127</v>
      </c>
    </row>
    <row r="20579" spans="1:7" x14ac:dyDescent="0.35">
      <c r="A20579" t="s">
        <v>230</v>
      </c>
      <c r="B20579" t="s">
        <v>361</v>
      </c>
      <c r="C20579" s="26">
        <v>0.91139999999999999</v>
      </c>
      <c r="D20579" s="26">
        <v>6.3700000000000007E-2</v>
      </c>
      <c r="E20579" s="26">
        <v>2.4899999999999999E-2</v>
      </c>
      <c r="G20579">
        <v>107</v>
      </c>
    </row>
    <row r="20580" spans="1:7" x14ac:dyDescent="0.35">
      <c r="A20580" t="s">
        <v>230</v>
      </c>
      <c r="B20580" t="s">
        <v>362</v>
      </c>
      <c r="C20580" s="26">
        <v>0.82410000000000005</v>
      </c>
      <c r="D20580" s="26">
        <v>0.1255</v>
      </c>
      <c r="E20580" s="26">
        <v>5.04E-2</v>
      </c>
      <c r="G20580">
        <v>146</v>
      </c>
    </row>
    <row r="20581" spans="1:7" x14ac:dyDescent="0.35">
      <c r="A20581" s="27" t="s">
        <v>231</v>
      </c>
      <c r="B20581" s="27" t="s">
        <v>362</v>
      </c>
      <c r="C20581" s="28">
        <v>0.92859999999999998</v>
      </c>
      <c r="D20581" s="28">
        <v>7.1400000000000005E-2</v>
      </c>
      <c r="E20581" s="29"/>
      <c r="F20581" s="29"/>
      <c r="G20581" s="29" t="s">
        <v>336</v>
      </c>
    </row>
    <row r="20582" spans="1:7" x14ac:dyDescent="0.35">
      <c r="A20582" t="s">
        <v>231</v>
      </c>
      <c r="B20582" t="s">
        <v>361</v>
      </c>
      <c r="C20582" s="26">
        <v>0.97919999999999996</v>
      </c>
      <c r="D20582" s="26">
        <v>2.0799999999999999E-2</v>
      </c>
      <c r="G20582">
        <v>48</v>
      </c>
    </row>
    <row r="20583" spans="1:7" x14ac:dyDescent="0.35">
      <c r="A20583" t="s">
        <v>231</v>
      </c>
      <c r="B20583" t="s">
        <v>360</v>
      </c>
      <c r="C20583" s="26">
        <v>0.88639999999999997</v>
      </c>
      <c r="D20583" s="26">
        <v>9.0899999999999995E-2</v>
      </c>
      <c r="E20583" s="26">
        <v>2.2700000000000001E-2</v>
      </c>
      <c r="G20583">
        <v>44</v>
      </c>
    </row>
    <row r="20584" spans="1:7" x14ac:dyDescent="0.35">
      <c r="A20584" s="27" t="s">
        <v>231</v>
      </c>
      <c r="B20584" s="27" t="s">
        <v>363</v>
      </c>
      <c r="C20584" s="28">
        <v>0.88460000000000005</v>
      </c>
      <c r="D20584" s="28">
        <v>0.1154</v>
      </c>
      <c r="E20584" s="29"/>
      <c r="F20584" s="29"/>
      <c r="G20584" s="29" t="s">
        <v>357</v>
      </c>
    </row>
    <row r="20585" spans="1:7" x14ac:dyDescent="0.35">
      <c r="A20585" t="s">
        <v>232</v>
      </c>
      <c r="B20585" t="s">
        <v>232</v>
      </c>
      <c r="C20585" s="26">
        <v>0.89100000000000001</v>
      </c>
      <c r="D20585" s="26">
        <v>9.01E-2</v>
      </c>
      <c r="E20585" s="26">
        <v>1.77E-2</v>
      </c>
      <c r="F20585" s="26">
        <v>1.1999999999999999E-3</v>
      </c>
      <c r="G20585">
        <v>2433</v>
      </c>
    </row>
    <row r="20587" spans="1:7" x14ac:dyDescent="0.35">
      <c r="A20587" s="1" t="s">
        <v>2031</v>
      </c>
    </row>
    <row r="20588" spans="1:7" x14ac:dyDescent="0.35">
      <c r="A20588" t="s">
        <v>219</v>
      </c>
      <c r="B20588" t="s">
        <v>305</v>
      </c>
      <c r="C20588" t="s">
        <v>303</v>
      </c>
      <c r="D20588" t="s">
        <v>302</v>
      </c>
      <c r="E20588" t="s">
        <v>281</v>
      </c>
      <c r="F20588" t="s">
        <v>2026</v>
      </c>
      <c r="G20588" t="s">
        <v>226</v>
      </c>
    </row>
    <row r="20589" spans="1:7" x14ac:dyDescent="0.35">
      <c r="A20589" t="s">
        <v>227</v>
      </c>
      <c r="B20589" t="s">
        <v>267</v>
      </c>
      <c r="C20589" s="26">
        <v>0.94440000000000002</v>
      </c>
      <c r="D20589" s="26">
        <v>5.5599999999999997E-2</v>
      </c>
      <c r="G20589">
        <v>36</v>
      </c>
    </row>
    <row r="20590" spans="1:7" x14ac:dyDescent="0.35">
      <c r="A20590" t="s">
        <v>227</v>
      </c>
      <c r="B20590" t="s">
        <v>266</v>
      </c>
      <c r="C20590" s="26">
        <v>0.87929999999999997</v>
      </c>
      <c r="D20590" s="26">
        <v>6.9000000000000006E-2</v>
      </c>
      <c r="E20590" s="26">
        <v>5.1700000000000003E-2</v>
      </c>
      <c r="G20590">
        <v>58</v>
      </c>
    </row>
    <row r="20591" spans="1:7" x14ac:dyDescent="0.35">
      <c r="A20591" t="s">
        <v>227</v>
      </c>
      <c r="B20591" t="s">
        <v>265</v>
      </c>
      <c r="C20591" s="26">
        <v>0.90620000000000001</v>
      </c>
      <c r="D20591" s="26">
        <v>6.25E-2</v>
      </c>
      <c r="E20591" s="26">
        <v>1.5599999999999999E-2</v>
      </c>
      <c r="F20591" s="26">
        <v>1.5599999999999999E-2</v>
      </c>
      <c r="G20591">
        <v>64</v>
      </c>
    </row>
    <row r="20592" spans="1:7" x14ac:dyDescent="0.35">
      <c r="A20592" t="s">
        <v>228</v>
      </c>
      <c r="B20592" t="s">
        <v>267</v>
      </c>
      <c r="C20592" s="26">
        <v>0.84299999999999997</v>
      </c>
      <c r="D20592" s="26">
        <v>0.15229999999999999</v>
      </c>
      <c r="E20592" s="26">
        <v>4.7000000000000002E-3</v>
      </c>
      <c r="G20592">
        <v>196</v>
      </c>
    </row>
    <row r="20593" spans="1:7" x14ac:dyDescent="0.35">
      <c r="A20593" t="s">
        <v>228</v>
      </c>
      <c r="B20593" t="s">
        <v>265</v>
      </c>
      <c r="C20593" s="26">
        <v>0.90380000000000005</v>
      </c>
      <c r="D20593" s="26">
        <v>8.0299999999999996E-2</v>
      </c>
      <c r="E20593" s="26">
        <v>1.6E-2</v>
      </c>
      <c r="G20593">
        <v>374</v>
      </c>
    </row>
    <row r="20594" spans="1:7" x14ac:dyDescent="0.35">
      <c r="A20594" s="27" t="s">
        <v>228</v>
      </c>
      <c r="B20594" s="27" t="s">
        <v>236</v>
      </c>
      <c r="C20594" s="28">
        <v>1</v>
      </c>
      <c r="D20594" s="29"/>
      <c r="E20594" s="29"/>
      <c r="F20594" s="29"/>
      <c r="G20594" s="29" t="s">
        <v>314</v>
      </c>
    </row>
    <row r="20595" spans="1:7" x14ac:dyDescent="0.35">
      <c r="A20595" t="s">
        <v>228</v>
      </c>
      <c r="B20595" t="s">
        <v>266</v>
      </c>
      <c r="C20595" s="26">
        <v>0.79869999999999997</v>
      </c>
      <c r="D20595" s="26">
        <v>0.1787</v>
      </c>
      <c r="E20595" s="26">
        <v>2.2599999999999999E-2</v>
      </c>
      <c r="G20595">
        <v>429</v>
      </c>
    </row>
    <row r="20596" spans="1:7" x14ac:dyDescent="0.35">
      <c r="A20596" t="s">
        <v>229</v>
      </c>
      <c r="B20596" t="s">
        <v>266</v>
      </c>
      <c r="C20596" s="26">
        <v>0.89410000000000001</v>
      </c>
      <c r="D20596" s="26">
        <v>8.7099999999999997E-2</v>
      </c>
      <c r="E20596" s="26">
        <v>1.8800000000000001E-2</v>
      </c>
      <c r="G20596">
        <v>357</v>
      </c>
    </row>
    <row r="20597" spans="1:7" x14ac:dyDescent="0.35">
      <c r="A20597" t="s">
        <v>229</v>
      </c>
      <c r="B20597" t="s">
        <v>267</v>
      </c>
      <c r="C20597" s="26">
        <v>0.97060000000000002</v>
      </c>
      <c r="D20597" s="26">
        <v>1.77E-2</v>
      </c>
      <c r="E20597" s="26">
        <v>1.17E-2</v>
      </c>
      <c r="G20597">
        <v>196</v>
      </c>
    </row>
    <row r="20598" spans="1:7" x14ac:dyDescent="0.35">
      <c r="A20598" t="s">
        <v>229</v>
      </c>
      <c r="B20598" t="s">
        <v>265</v>
      </c>
      <c r="C20598" s="26">
        <v>0.88529999999999998</v>
      </c>
      <c r="D20598" s="26">
        <v>8.5500000000000007E-2</v>
      </c>
      <c r="E20598" s="26">
        <v>2.7799999999999998E-2</v>
      </c>
      <c r="F20598" s="26">
        <v>1.5E-3</v>
      </c>
      <c r="G20598">
        <v>333</v>
      </c>
    </row>
    <row r="20599" spans="1:7" x14ac:dyDescent="0.35">
      <c r="A20599" t="s">
        <v>230</v>
      </c>
      <c r="B20599" t="s">
        <v>267</v>
      </c>
      <c r="C20599" s="26">
        <v>0.88319999999999999</v>
      </c>
      <c r="D20599" s="26">
        <v>0.1087</v>
      </c>
      <c r="E20599" s="26">
        <v>8.0999999999999996E-3</v>
      </c>
      <c r="G20599">
        <v>118</v>
      </c>
    </row>
    <row r="20600" spans="1:7" x14ac:dyDescent="0.35">
      <c r="A20600" t="s">
        <v>230</v>
      </c>
      <c r="B20600" t="s">
        <v>266</v>
      </c>
      <c r="C20600" s="26">
        <v>0.77410000000000001</v>
      </c>
      <c r="D20600" s="26">
        <v>0.17280000000000001</v>
      </c>
      <c r="E20600" s="26">
        <v>5.3199999999999997E-2</v>
      </c>
      <c r="G20600">
        <v>229</v>
      </c>
    </row>
    <row r="20601" spans="1:7" x14ac:dyDescent="0.35">
      <c r="A20601" t="s">
        <v>230</v>
      </c>
      <c r="B20601" t="s">
        <v>265</v>
      </c>
      <c r="C20601" s="26">
        <v>0.88160000000000005</v>
      </c>
      <c r="D20601" s="26">
        <v>9.9099999999999994E-2</v>
      </c>
      <c r="E20601" s="26">
        <v>1.9300000000000001E-2</v>
      </c>
      <c r="G20601">
        <v>208</v>
      </c>
    </row>
    <row r="20602" spans="1:7" x14ac:dyDescent="0.35">
      <c r="A20602" t="s">
        <v>231</v>
      </c>
      <c r="B20602" t="s">
        <v>267</v>
      </c>
      <c r="C20602" s="26">
        <v>0.87880000000000003</v>
      </c>
      <c r="D20602" s="26">
        <v>0.1212</v>
      </c>
      <c r="G20602">
        <v>33</v>
      </c>
    </row>
    <row r="20603" spans="1:7" x14ac:dyDescent="0.35">
      <c r="A20603" t="s">
        <v>231</v>
      </c>
      <c r="B20603" t="s">
        <v>266</v>
      </c>
      <c r="C20603" s="26">
        <v>0.95</v>
      </c>
      <c r="D20603" s="26">
        <v>0.05</v>
      </c>
      <c r="G20603">
        <v>60</v>
      </c>
    </row>
    <row r="20604" spans="1:7" x14ac:dyDescent="0.35">
      <c r="A20604" t="s">
        <v>231</v>
      </c>
      <c r="B20604" t="s">
        <v>265</v>
      </c>
      <c r="C20604" s="26">
        <v>0.89390000000000003</v>
      </c>
      <c r="D20604" s="26">
        <v>9.0899999999999995E-2</v>
      </c>
      <c r="E20604" s="26">
        <v>1.52E-2</v>
      </c>
      <c r="G20604">
        <v>66</v>
      </c>
    </row>
    <row r="20605" spans="1:7" x14ac:dyDescent="0.35">
      <c r="A20605" t="s">
        <v>232</v>
      </c>
      <c r="B20605" t="s">
        <v>232</v>
      </c>
      <c r="C20605" s="26">
        <v>0.89100000000000001</v>
      </c>
      <c r="D20605" s="26">
        <v>9.01E-2</v>
      </c>
      <c r="E20605" s="26">
        <v>1.77E-2</v>
      </c>
      <c r="F20605" s="26">
        <v>1.1999999999999999E-3</v>
      </c>
      <c r="G20605">
        <v>2759</v>
      </c>
    </row>
    <row r="20607" spans="1:7" x14ac:dyDescent="0.35">
      <c r="A20607" s="1" t="s">
        <v>2032</v>
      </c>
    </row>
    <row r="20608" spans="1:7" x14ac:dyDescent="0.35">
      <c r="A20608" t="s">
        <v>219</v>
      </c>
      <c r="B20608" t="s">
        <v>305</v>
      </c>
      <c r="C20608" t="s">
        <v>303</v>
      </c>
      <c r="D20608" t="s">
        <v>302</v>
      </c>
      <c r="E20608" t="s">
        <v>281</v>
      </c>
      <c r="F20608" t="s">
        <v>2026</v>
      </c>
      <c r="G20608" t="s">
        <v>226</v>
      </c>
    </row>
    <row r="20609" spans="1:7" x14ac:dyDescent="0.35">
      <c r="A20609" t="s">
        <v>227</v>
      </c>
      <c r="B20609" t="s">
        <v>252</v>
      </c>
      <c r="C20609" s="26">
        <v>0.88890000000000002</v>
      </c>
      <c r="D20609" s="26">
        <v>8.8900000000000007E-2</v>
      </c>
      <c r="E20609" s="26">
        <v>2.2200000000000001E-2</v>
      </c>
      <c r="G20609">
        <v>45</v>
      </c>
    </row>
    <row r="20610" spans="1:7" x14ac:dyDescent="0.35">
      <c r="A20610" t="s">
        <v>227</v>
      </c>
      <c r="B20610" t="s">
        <v>253</v>
      </c>
      <c r="C20610" s="26">
        <v>0.9375</v>
      </c>
      <c r="D20610" s="26">
        <v>3.1199999999999999E-2</v>
      </c>
      <c r="F20610" s="26">
        <v>3.1199999999999999E-2</v>
      </c>
      <c r="G20610">
        <v>32</v>
      </c>
    </row>
    <row r="20611" spans="1:7" x14ac:dyDescent="0.35">
      <c r="A20611" t="s">
        <v>227</v>
      </c>
      <c r="B20611" t="s">
        <v>251</v>
      </c>
      <c r="C20611" s="26">
        <v>0.9012</v>
      </c>
      <c r="D20611" s="26">
        <v>6.1699999999999998E-2</v>
      </c>
      <c r="E20611" s="26">
        <v>3.6999999999999998E-2</v>
      </c>
      <c r="G20611">
        <v>81</v>
      </c>
    </row>
    <row r="20612" spans="1:7" x14ac:dyDescent="0.35">
      <c r="A20612" t="s">
        <v>228</v>
      </c>
      <c r="B20612" t="s">
        <v>252</v>
      </c>
      <c r="C20612" s="26">
        <v>0.85980000000000001</v>
      </c>
      <c r="D20612" s="26">
        <v>0.1188</v>
      </c>
      <c r="E20612" s="26">
        <v>2.1299999999999999E-2</v>
      </c>
      <c r="G20612">
        <v>333</v>
      </c>
    </row>
    <row r="20613" spans="1:7" x14ac:dyDescent="0.35">
      <c r="A20613" t="s">
        <v>228</v>
      </c>
      <c r="B20613" t="s">
        <v>253</v>
      </c>
      <c r="C20613" s="26">
        <v>0.82320000000000004</v>
      </c>
      <c r="D20613" s="26">
        <v>0.15840000000000001</v>
      </c>
      <c r="E20613" s="26">
        <v>1.84E-2</v>
      </c>
      <c r="G20613">
        <v>217</v>
      </c>
    </row>
    <row r="20614" spans="1:7" x14ac:dyDescent="0.35">
      <c r="A20614" t="s">
        <v>228</v>
      </c>
      <c r="B20614" t="s">
        <v>251</v>
      </c>
      <c r="C20614" s="26">
        <v>0.85850000000000004</v>
      </c>
      <c r="D20614" s="26">
        <v>0.12889999999999999</v>
      </c>
      <c r="E20614" s="26">
        <v>1.26E-2</v>
      </c>
      <c r="G20614">
        <v>451</v>
      </c>
    </row>
    <row r="20615" spans="1:7" x14ac:dyDescent="0.35">
      <c r="A20615" t="s">
        <v>229</v>
      </c>
      <c r="B20615" t="s">
        <v>252</v>
      </c>
      <c r="C20615" s="26">
        <v>0.93340000000000001</v>
      </c>
      <c r="D20615" s="26">
        <v>5.0200000000000002E-2</v>
      </c>
      <c r="E20615" s="26">
        <v>1.6400000000000001E-2</v>
      </c>
      <c r="G20615">
        <v>198</v>
      </c>
    </row>
    <row r="20616" spans="1:7" x14ac:dyDescent="0.35">
      <c r="A20616" t="s">
        <v>229</v>
      </c>
      <c r="B20616" t="s">
        <v>253</v>
      </c>
      <c r="C20616" s="26">
        <v>0.77090000000000003</v>
      </c>
      <c r="D20616" s="26">
        <v>0.15029999999999999</v>
      </c>
      <c r="E20616" s="26">
        <v>7.51E-2</v>
      </c>
      <c r="F20616" s="26">
        <v>3.5999999999999999E-3</v>
      </c>
      <c r="G20616">
        <v>143</v>
      </c>
    </row>
    <row r="20617" spans="1:7" x14ac:dyDescent="0.35">
      <c r="A20617" t="s">
        <v>229</v>
      </c>
      <c r="B20617" t="s">
        <v>251</v>
      </c>
      <c r="C20617" s="26">
        <v>0.93969999999999998</v>
      </c>
      <c r="D20617" s="26">
        <v>5.4300000000000001E-2</v>
      </c>
      <c r="E20617" s="26">
        <v>6.0000000000000001E-3</v>
      </c>
      <c r="G20617">
        <v>545</v>
      </c>
    </row>
    <row r="20618" spans="1:7" x14ac:dyDescent="0.35">
      <c r="A20618" t="s">
        <v>230</v>
      </c>
      <c r="B20618" t="s">
        <v>252</v>
      </c>
      <c r="C20618" s="26">
        <v>0.79359999999999997</v>
      </c>
      <c r="D20618" s="26">
        <v>0.1736</v>
      </c>
      <c r="E20618" s="26">
        <v>3.2899999999999999E-2</v>
      </c>
      <c r="G20618">
        <v>157</v>
      </c>
    </row>
    <row r="20619" spans="1:7" x14ac:dyDescent="0.35">
      <c r="A20619" t="s">
        <v>230</v>
      </c>
      <c r="B20619" t="s">
        <v>253</v>
      </c>
      <c r="C20619" s="26">
        <v>0.8407</v>
      </c>
      <c r="D20619" s="26">
        <v>0.12609999999999999</v>
      </c>
      <c r="E20619" s="26">
        <v>3.32E-2</v>
      </c>
      <c r="G20619">
        <v>109</v>
      </c>
    </row>
    <row r="20620" spans="1:7" x14ac:dyDescent="0.35">
      <c r="A20620" t="s">
        <v>230</v>
      </c>
      <c r="B20620" t="s">
        <v>251</v>
      </c>
      <c r="C20620" s="26">
        <v>0.86680000000000001</v>
      </c>
      <c r="D20620" s="26">
        <v>0.10730000000000001</v>
      </c>
      <c r="E20620" s="26">
        <v>2.5899999999999999E-2</v>
      </c>
      <c r="G20620">
        <v>289</v>
      </c>
    </row>
    <row r="20621" spans="1:7" x14ac:dyDescent="0.35">
      <c r="A20621" t="s">
        <v>231</v>
      </c>
      <c r="B20621" t="s">
        <v>252</v>
      </c>
      <c r="C20621" s="26">
        <v>0.91490000000000005</v>
      </c>
      <c r="D20621" s="26">
        <v>8.5099999999999995E-2</v>
      </c>
      <c r="G20621">
        <v>47</v>
      </c>
    </row>
    <row r="20622" spans="1:7" x14ac:dyDescent="0.35">
      <c r="A20622" t="s">
        <v>231</v>
      </c>
      <c r="B20622" t="s">
        <v>253</v>
      </c>
      <c r="C20622" s="26">
        <v>0.93330000000000002</v>
      </c>
      <c r="D20622" s="26">
        <v>6.6699999999999995E-2</v>
      </c>
      <c r="G20622">
        <v>30</v>
      </c>
    </row>
    <row r="20623" spans="1:7" x14ac:dyDescent="0.35">
      <c r="A20623" t="s">
        <v>231</v>
      </c>
      <c r="B20623" t="s">
        <v>251</v>
      </c>
      <c r="C20623" s="26">
        <v>0.90239999999999998</v>
      </c>
      <c r="D20623" s="26">
        <v>8.5400000000000004E-2</v>
      </c>
      <c r="E20623" s="26">
        <v>1.2200000000000001E-2</v>
      </c>
      <c r="G20623">
        <v>82</v>
      </c>
    </row>
    <row r="20624" spans="1:7" x14ac:dyDescent="0.35">
      <c r="A20624" t="s">
        <v>232</v>
      </c>
      <c r="B20624" t="s">
        <v>232</v>
      </c>
      <c r="C20624" s="26">
        <v>0.89100000000000001</v>
      </c>
      <c r="D20624" s="26">
        <v>9.01E-2</v>
      </c>
      <c r="E20624" s="26">
        <v>1.77E-2</v>
      </c>
      <c r="F20624" s="26">
        <v>1.1999999999999999E-3</v>
      </c>
      <c r="G20624">
        <v>2759</v>
      </c>
    </row>
    <row r="20626" spans="1:7" x14ac:dyDescent="0.35">
      <c r="A20626" s="1" t="s">
        <v>2033</v>
      </c>
    </row>
    <row r="20627" spans="1:7" x14ac:dyDescent="0.35">
      <c r="A20627" t="s">
        <v>219</v>
      </c>
      <c r="B20627" t="s">
        <v>305</v>
      </c>
      <c r="C20627" t="s">
        <v>303</v>
      </c>
      <c r="D20627" t="s">
        <v>302</v>
      </c>
      <c r="E20627" t="s">
        <v>281</v>
      </c>
      <c r="F20627" t="s">
        <v>2026</v>
      </c>
      <c r="G20627" t="s">
        <v>226</v>
      </c>
    </row>
    <row r="20628" spans="1:7" x14ac:dyDescent="0.35">
      <c r="A20628" t="s">
        <v>227</v>
      </c>
      <c r="B20628" t="s">
        <v>249</v>
      </c>
      <c r="C20628" s="26">
        <v>0.93020000000000003</v>
      </c>
      <c r="D20628" s="26">
        <v>4.65E-2</v>
      </c>
      <c r="E20628" s="26">
        <v>2.3300000000000001E-2</v>
      </c>
      <c r="G20628">
        <v>43</v>
      </c>
    </row>
    <row r="20629" spans="1:7" x14ac:dyDescent="0.35">
      <c r="A20629" t="s">
        <v>227</v>
      </c>
      <c r="B20629" t="s">
        <v>248</v>
      </c>
      <c r="C20629" s="26">
        <v>0.89570000000000005</v>
      </c>
      <c r="D20629" s="26">
        <v>6.9599999999999995E-2</v>
      </c>
      <c r="E20629" s="26">
        <v>2.6100000000000002E-2</v>
      </c>
      <c r="F20629" s="26">
        <v>8.6999999999999994E-3</v>
      </c>
      <c r="G20629">
        <v>115</v>
      </c>
    </row>
    <row r="20630" spans="1:7" x14ac:dyDescent="0.35">
      <c r="A20630" t="s">
        <v>228</v>
      </c>
      <c r="B20630" t="s">
        <v>249</v>
      </c>
      <c r="C20630" s="26">
        <v>0.84340000000000004</v>
      </c>
      <c r="D20630" s="26">
        <v>0.14599999999999999</v>
      </c>
      <c r="E20630" s="26">
        <v>1.06E-2</v>
      </c>
      <c r="G20630">
        <v>264</v>
      </c>
    </row>
    <row r="20631" spans="1:7" x14ac:dyDescent="0.35">
      <c r="A20631" t="s">
        <v>228</v>
      </c>
      <c r="B20631" t="s">
        <v>248</v>
      </c>
      <c r="C20631" s="26">
        <v>0.85509999999999997</v>
      </c>
      <c r="D20631" s="26">
        <v>0.1258</v>
      </c>
      <c r="E20631" s="26">
        <v>1.9099999999999999E-2</v>
      </c>
      <c r="G20631">
        <v>737</v>
      </c>
    </row>
    <row r="20632" spans="1:7" x14ac:dyDescent="0.35">
      <c r="A20632" t="s">
        <v>229</v>
      </c>
      <c r="B20632" t="s">
        <v>249</v>
      </c>
      <c r="C20632" s="26">
        <v>0.92</v>
      </c>
      <c r="D20632" s="26">
        <v>6.2199999999999998E-2</v>
      </c>
      <c r="E20632" s="26">
        <v>1.78E-2</v>
      </c>
      <c r="G20632">
        <v>256</v>
      </c>
    </row>
    <row r="20633" spans="1:7" x14ac:dyDescent="0.35">
      <c r="A20633" t="s">
        <v>229</v>
      </c>
      <c r="B20633" t="s">
        <v>248</v>
      </c>
      <c r="C20633" s="26">
        <v>0.89990000000000003</v>
      </c>
      <c r="D20633" s="26">
        <v>7.5999999999999998E-2</v>
      </c>
      <c r="E20633" s="26">
        <v>2.3099999999999999E-2</v>
      </c>
      <c r="F20633" s="26">
        <v>1E-3</v>
      </c>
      <c r="G20633">
        <v>630</v>
      </c>
    </row>
    <row r="20634" spans="1:7" x14ac:dyDescent="0.35">
      <c r="A20634" t="s">
        <v>230</v>
      </c>
      <c r="B20634" t="s">
        <v>249</v>
      </c>
      <c r="C20634" s="26">
        <v>0.85450000000000004</v>
      </c>
      <c r="D20634" s="26">
        <v>0.12690000000000001</v>
      </c>
      <c r="E20634" s="26">
        <v>1.8599999999999998E-2</v>
      </c>
      <c r="G20634">
        <v>171</v>
      </c>
    </row>
    <row r="20635" spans="1:7" x14ac:dyDescent="0.35">
      <c r="A20635" t="s">
        <v>230</v>
      </c>
      <c r="B20635" t="s">
        <v>248</v>
      </c>
      <c r="C20635" s="26">
        <v>0.83730000000000004</v>
      </c>
      <c r="D20635" s="26">
        <v>0.12820000000000001</v>
      </c>
      <c r="E20635" s="26">
        <v>3.44E-2</v>
      </c>
      <c r="G20635">
        <v>384</v>
      </c>
    </row>
    <row r="20636" spans="1:7" x14ac:dyDescent="0.35">
      <c r="A20636" t="s">
        <v>231</v>
      </c>
      <c r="B20636" t="s">
        <v>249</v>
      </c>
      <c r="C20636" s="26">
        <v>0.91180000000000005</v>
      </c>
      <c r="D20636" s="26">
        <v>5.8799999999999998E-2</v>
      </c>
      <c r="E20636" s="26">
        <v>2.9399999999999999E-2</v>
      </c>
      <c r="G20636">
        <v>34</v>
      </c>
    </row>
    <row r="20637" spans="1:7" x14ac:dyDescent="0.35">
      <c r="A20637" t="s">
        <v>231</v>
      </c>
      <c r="B20637" t="s">
        <v>248</v>
      </c>
      <c r="C20637" s="26">
        <v>0.91200000000000003</v>
      </c>
      <c r="D20637" s="26">
        <v>8.7999999999999995E-2</v>
      </c>
      <c r="G20637">
        <v>125</v>
      </c>
    </row>
    <row r="20638" spans="1:7" x14ac:dyDescent="0.35">
      <c r="A20638" t="s">
        <v>232</v>
      </c>
      <c r="B20638" t="s">
        <v>232</v>
      </c>
      <c r="C20638" s="26">
        <v>0.89100000000000001</v>
      </c>
      <c r="D20638" s="26">
        <v>9.01E-2</v>
      </c>
      <c r="E20638" s="26">
        <v>1.77E-2</v>
      </c>
      <c r="F20638" s="26">
        <v>1.1999999999999999E-3</v>
      </c>
      <c r="G20638">
        <v>2759</v>
      </c>
    </row>
    <row r="20640" spans="1:7" x14ac:dyDescent="0.35">
      <c r="A20640" s="1" t="s">
        <v>2034</v>
      </c>
    </row>
    <row r="20641" spans="1:7" x14ac:dyDescent="0.35">
      <c r="A20641" t="s">
        <v>219</v>
      </c>
      <c r="B20641" t="s">
        <v>305</v>
      </c>
      <c r="C20641" t="s">
        <v>303</v>
      </c>
      <c r="D20641" t="s">
        <v>302</v>
      </c>
      <c r="E20641" t="s">
        <v>281</v>
      </c>
      <c r="F20641" t="s">
        <v>2026</v>
      </c>
      <c r="G20641" t="s">
        <v>226</v>
      </c>
    </row>
    <row r="20642" spans="1:7" x14ac:dyDescent="0.35">
      <c r="A20642" t="s">
        <v>227</v>
      </c>
      <c r="B20642" t="s">
        <v>260</v>
      </c>
      <c r="C20642" s="26">
        <v>0.92559999999999998</v>
      </c>
      <c r="D20642" s="26">
        <v>4.1300000000000003E-2</v>
      </c>
      <c r="E20642" s="26">
        <v>2.4799999999999999E-2</v>
      </c>
      <c r="F20642" s="26">
        <v>8.3000000000000001E-3</v>
      </c>
      <c r="G20642">
        <v>121</v>
      </c>
    </row>
    <row r="20643" spans="1:7" x14ac:dyDescent="0.35">
      <c r="A20643" t="s">
        <v>227</v>
      </c>
      <c r="B20643" t="s">
        <v>261</v>
      </c>
      <c r="C20643" s="26">
        <v>0.871</v>
      </c>
      <c r="D20643" s="26">
        <v>9.6799999999999997E-2</v>
      </c>
      <c r="E20643" s="26">
        <v>3.2300000000000002E-2</v>
      </c>
      <c r="G20643">
        <v>31</v>
      </c>
    </row>
    <row r="20644" spans="1:7" x14ac:dyDescent="0.35">
      <c r="A20644" s="27" t="s">
        <v>227</v>
      </c>
      <c r="B20644" s="27" t="s">
        <v>262</v>
      </c>
      <c r="C20644" s="28">
        <v>1</v>
      </c>
      <c r="D20644" s="29"/>
      <c r="E20644" s="29"/>
      <c r="F20644" s="29"/>
      <c r="G20644" s="29" t="s">
        <v>315</v>
      </c>
    </row>
    <row r="20645" spans="1:7" x14ac:dyDescent="0.35">
      <c r="A20645" s="27" t="s">
        <v>227</v>
      </c>
      <c r="B20645" s="27" t="s">
        <v>263</v>
      </c>
      <c r="C20645" s="28">
        <v>0.33329999999999999</v>
      </c>
      <c r="D20645" s="28">
        <v>0.66669999999999996</v>
      </c>
      <c r="E20645" s="29"/>
      <c r="F20645" s="29"/>
      <c r="G20645" s="29" t="s">
        <v>315</v>
      </c>
    </row>
    <row r="20646" spans="1:7" x14ac:dyDescent="0.35">
      <c r="A20646" s="27" t="s">
        <v>228</v>
      </c>
      <c r="B20646" s="27" t="s">
        <v>263</v>
      </c>
      <c r="C20646" s="28">
        <v>0.87739999999999996</v>
      </c>
      <c r="D20646" s="28">
        <v>9.2399999999999996E-2</v>
      </c>
      <c r="E20646" s="28">
        <v>3.0200000000000001E-2</v>
      </c>
      <c r="F20646" s="29"/>
      <c r="G20646" s="29" t="s">
        <v>310</v>
      </c>
    </row>
    <row r="20647" spans="1:7" x14ac:dyDescent="0.35">
      <c r="A20647" s="27" t="s">
        <v>228</v>
      </c>
      <c r="B20647" s="27" t="s">
        <v>236</v>
      </c>
      <c r="C20647" s="28">
        <v>0.20019999999999999</v>
      </c>
      <c r="D20647" s="28">
        <v>0.61199999999999999</v>
      </c>
      <c r="E20647" s="28">
        <v>0.18790000000000001</v>
      </c>
      <c r="F20647" s="29"/>
      <c r="G20647" s="29" t="s">
        <v>335</v>
      </c>
    </row>
    <row r="20648" spans="1:7" x14ac:dyDescent="0.35">
      <c r="A20648" t="s">
        <v>228</v>
      </c>
      <c r="B20648" t="s">
        <v>262</v>
      </c>
      <c r="C20648" s="26">
        <v>0.84560000000000002</v>
      </c>
      <c r="D20648" s="26">
        <v>0.12989999999999999</v>
      </c>
      <c r="E20648" s="26">
        <v>2.4500000000000001E-2</v>
      </c>
      <c r="G20648">
        <v>197</v>
      </c>
    </row>
    <row r="20649" spans="1:7" x14ac:dyDescent="0.35">
      <c r="A20649" t="s">
        <v>228</v>
      </c>
      <c r="B20649" t="s">
        <v>260</v>
      </c>
      <c r="C20649" s="26">
        <v>0.85509999999999997</v>
      </c>
      <c r="D20649" s="26">
        <v>0.12970000000000001</v>
      </c>
      <c r="E20649" s="26">
        <v>1.52E-2</v>
      </c>
      <c r="G20649">
        <v>591</v>
      </c>
    </row>
    <row r="20650" spans="1:7" x14ac:dyDescent="0.35">
      <c r="A20650" t="s">
        <v>228</v>
      </c>
      <c r="B20650" t="s">
        <v>261</v>
      </c>
      <c r="C20650" s="26">
        <v>0.86470000000000002</v>
      </c>
      <c r="D20650" s="26">
        <v>0.12820000000000001</v>
      </c>
      <c r="E20650" s="26">
        <v>7.1000000000000004E-3</v>
      </c>
      <c r="G20650">
        <v>183</v>
      </c>
    </row>
    <row r="20651" spans="1:7" x14ac:dyDescent="0.35">
      <c r="A20651" t="s">
        <v>229</v>
      </c>
      <c r="B20651" t="s">
        <v>262</v>
      </c>
      <c r="C20651" s="26">
        <v>0.91830000000000001</v>
      </c>
      <c r="D20651" s="26">
        <v>5.79E-2</v>
      </c>
      <c r="E20651" s="26">
        <v>2.3800000000000002E-2</v>
      </c>
      <c r="G20651">
        <v>185</v>
      </c>
    </row>
    <row r="20652" spans="1:7" x14ac:dyDescent="0.35">
      <c r="A20652" t="s">
        <v>229</v>
      </c>
      <c r="B20652" t="s">
        <v>261</v>
      </c>
      <c r="C20652" s="26">
        <v>0.87529999999999997</v>
      </c>
      <c r="D20652" s="26">
        <v>6.7400000000000002E-2</v>
      </c>
      <c r="E20652" s="26">
        <v>5.7299999999999997E-2</v>
      </c>
      <c r="G20652">
        <v>95</v>
      </c>
    </row>
    <row r="20653" spans="1:7" x14ac:dyDescent="0.35">
      <c r="A20653" t="s">
        <v>229</v>
      </c>
      <c r="B20653" t="s">
        <v>260</v>
      </c>
      <c r="C20653" s="26">
        <v>0.91249999999999998</v>
      </c>
      <c r="D20653" s="26">
        <v>7.51E-2</v>
      </c>
      <c r="E20653" s="26">
        <v>1.12E-2</v>
      </c>
      <c r="F20653" s="26">
        <v>1.1999999999999999E-3</v>
      </c>
      <c r="G20653">
        <v>591</v>
      </c>
    </row>
    <row r="20654" spans="1:7" x14ac:dyDescent="0.35">
      <c r="A20654" s="27" t="s">
        <v>229</v>
      </c>
      <c r="B20654" s="27" t="s">
        <v>236</v>
      </c>
      <c r="C20654" s="28">
        <v>1</v>
      </c>
      <c r="D20654" s="29"/>
      <c r="E20654" s="29"/>
      <c r="F20654" s="29"/>
      <c r="G20654" s="29" t="s">
        <v>331</v>
      </c>
    </row>
    <row r="20655" spans="1:7" x14ac:dyDescent="0.35">
      <c r="A20655" s="27" t="s">
        <v>229</v>
      </c>
      <c r="B20655" s="27" t="s">
        <v>263</v>
      </c>
      <c r="C20655" s="28">
        <v>0.80959999999999999</v>
      </c>
      <c r="D20655" s="28">
        <v>0.19040000000000001</v>
      </c>
      <c r="E20655" s="29"/>
      <c r="F20655" s="29"/>
      <c r="G20655" s="29" t="s">
        <v>379</v>
      </c>
    </row>
    <row r="20656" spans="1:7" x14ac:dyDescent="0.35">
      <c r="A20656" s="27" t="s">
        <v>230</v>
      </c>
      <c r="B20656" s="27" t="s">
        <v>263</v>
      </c>
      <c r="C20656" s="28">
        <v>0.61939999999999995</v>
      </c>
      <c r="D20656" s="28">
        <v>0.36380000000000001</v>
      </c>
      <c r="E20656" s="28">
        <v>1.6799999999999999E-2</v>
      </c>
      <c r="F20656" s="29"/>
      <c r="G20656" s="29" t="s">
        <v>312</v>
      </c>
    </row>
    <row r="20657" spans="1:7" x14ac:dyDescent="0.35">
      <c r="A20657" t="s">
        <v>230</v>
      </c>
      <c r="B20657" t="s">
        <v>261</v>
      </c>
      <c r="C20657" s="26">
        <v>0.87239999999999995</v>
      </c>
      <c r="D20657" s="26">
        <v>0.121</v>
      </c>
      <c r="E20657" s="26">
        <v>6.7000000000000002E-3</v>
      </c>
      <c r="G20657">
        <v>57</v>
      </c>
    </row>
    <row r="20658" spans="1:7" x14ac:dyDescent="0.35">
      <c r="A20658" t="s">
        <v>230</v>
      </c>
      <c r="B20658" t="s">
        <v>262</v>
      </c>
      <c r="C20658" s="26">
        <v>0.86560000000000004</v>
      </c>
      <c r="D20658" s="26">
        <v>4.3799999999999999E-2</v>
      </c>
      <c r="E20658" s="26">
        <v>9.06E-2</v>
      </c>
      <c r="G20658">
        <v>120</v>
      </c>
    </row>
    <row r="20659" spans="1:7" x14ac:dyDescent="0.35">
      <c r="A20659" t="s">
        <v>230</v>
      </c>
      <c r="B20659" t="s">
        <v>260</v>
      </c>
      <c r="C20659" s="26">
        <v>0.84409999999999996</v>
      </c>
      <c r="D20659" s="26">
        <v>0.1351</v>
      </c>
      <c r="E20659" s="26">
        <v>2.0799999999999999E-2</v>
      </c>
      <c r="G20659">
        <v>349</v>
      </c>
    </row>
    <row r="20660" spans="1:7" x14ac:dyDescent="0.35">
      <c r="A20660" s="27" t="s">
        <v>230</v>
      </c>
      <c r="B20660" s="27" t="s">
        <v>236</v>
      </c>
      <c r="C20660" s="28">
        <v>0.27760000000000001</v>
      </c>
      <c r="D20660" s="28">
        <v>0.72240000000000004</v>
      </c>
      <c r="E20660" s="29"/>
      <c r="F20660" s="29"/>
      <c r="G20660" s="29" t="s">
        <v>337</v>
      </c>
    </row>
    <row r="20661" spans="1:7" x14ac:dyDescent="0.35">
      <c r="A20661" s="27" t="s">
        <v>231</v>
      </c>
      <c r="B20661" s="27" t="s">
        <v>263</v>
      </c>
      <c r="C20661" s="28">
        <v>1</v>
      </c>
      <c r="D20661" s="29"/>
      <c r="E20661" s="29"/>
      <c r="F20661" s="29"/>
      <c r="G20661" s="29" t="s">
        <v>314</v>
      </c>
    </row>
    <row r="20662" spans="1:7" x14ac:dyDescent="0.35">
      <c r="A20662" t="s">
        <v>231</v>
      </c>
      <c r="B20662" t="s">
        <v>260</v>
      </c>
      <c r="C20662" s="26">
        <v>0.89170000000000005</v>
      </c>
      <c r="D20662" s="26">
        <v>0.1</v>
      </c>
      <c r="E20662" s="26">
        <v>8.3000000000000001E-3</v>
      </c>
      <c r="G20662">
        <v>120</v>
      </c>
    </row>
    <row r="20663" spans="1:7" x14ac:dyDescent="0.35">
      <c r="A20663" s="27" t="s">
        <v>231</v>
      </c>
      <c r="B20663" s="27" t="s">
        <v>261</v>
      </c>
      <c r="C20663" s="28">
        <v>0.96150000000000002</v>
      </c>
      <c r="D20663" s="28">
        <v>3.85E-2</v>
      </c>
      <c r="E20663" s="29"/>
      <c r="F20663" s="29"/>
      <c r="G20663" s="29" t="s">
        <v>357</v>
      </c>
    </row>
    <row r="20664" spans="1:7" x14ac:dyDescent="0.35">
      <c r="A20664" s="27" t="s">
        <v>231</v>
      </c>
      <c r="B20664" s="27" t="s">
        <v>262</v>
      </c>
      <c r="C20664" s="28">
        <v>1</v>
      </c>
      <c r="D20664" s="29"/>
      <c r="E20664" s="29"/>
      <c r="F20664" s="29"/>
      <c r="G20664" s="29" t="s">
        <v>352</v>
      </c>
    </row>
    <row r="20665" spans="1:7" x14ac:dyDescent="0.35">
      <c r="A20665" t="s">
        <v>232</v>
      </c>
      <c r="B20665" t="s">
        <v>232</v>
      </c>
      <c r="C20665" s="26">
        <v>0.89100000000000001</v>
      </c>
      <c r="D20665" s="26">
        <v>9.01E-2</v>
      </c>
      <c r="E20665" s="26">
        <v>1.77E-2</v>
      </c>
      <c r="F20665" s="26">
        <v>1.1999999999999999E-3</v>
      </c>
      <c r="G20665">
        <v>2759</v>
      </c>
    </row>
    <row r="20667" spans="1:7" x14ac:dyDescent="0.35">
      <c r="A20667" s="1" t="s">
        <v>2035</v>
      </c>
    </row>
    <row r="20668" spans="1:7" x14ac:dyDescent="0.35">
      <c r="A20668" t="s">
        <v>219</v>
      </c>
      <c r="B20668" t="s">
        <v>305</v>
      </c>
      <c r="C20668" t="s">
        <v>303</v>
      </c>
      <c r="D20668" t="s">
        <v>302</v>
      </c>
      <c r="E20668" t="s">
        <v>281</v>
      </c>
      <c r="F20668" t="s">
        <v>2026</v>
      </c>
      <c r="G20668" t="s">
        <v>226</v>
      </c>
    </row>
    <row r="20669" spans="1:7" x14ac:dyDescent="0.35">
      <c r="A20669" t="s">
        <v>227</v>
      </c>
      <c r="B20669" t="s">
        <v>368</v>
      </c>
      <c r="C20669" s="26">
        <v>0.871</v>
      </c>
      <c r="D20669" s="26">
        <v>9.6799999999999997E-2</v>
      </c>
      <c r="E20669" s="26">
        <v>3.2300000000000002E-2</v>
      </c>
      <c r="G20669">
        <v>31</v>
      </c>
    </row>
    <row r="20670" spans="1:7" x14ac:dyDescent="0.35">
      <c r="A20670" t="s">
        <v>227</v>
      </c>
      <c r="B20670" t="s">
        <v>369</v>
      </c>
      <c r="C20670" s="26">
        <v>0.91339999999999999</v>
      </c>
      <c r="D20670" s="26">
        <v>5.5100000000000003E-2</v>
      </c>
      <c r="E20670" s="26">
        <v>2.3599999999999999E-2</v>
      </c>
      <c r="F20670" s="26">
        <v>7.9000000000000008E-3</v>
      </c>
      <c r="G20670">
        <v>127</v>
      </c>
    </row>
    <row r="20671" spans="1:7" x14ac:dyDescent="0.35">
      <c r="A20671" t="s">
        <v>228</v>
      </c>
      <c r="B20671" t="s">
        <v>368</v>
      </c>
      <c r="C20671" s="26">
        <v>0.86470000000000002</v>
      </c>
      <c r="D20671" s="26">
        <v>0.12820000000000001</v>
      </c>
      <c r="E20671" s="26">
        <v>7.1000000000000004E-3</v>
      </c>
      <c r="G20671">
        <v>183</v>
      </c>
    </row>
    <row r="20672" spans="1:7" x14ac:dyDescent="0.35">
      <c r="A20672" t="s">
        <v>228</v>
      </c>
      <c r="B20672" t="s">
        <v>369</v>
      </c>
      <c r="C20672" s="26">
        <v>0.84850000000000003</v>
      </c>
      <c r="D20672" s="26">
        <v>0.13270000000000001</v>
      </c>
      <c r="E20672" s="26">
        <v>1.8800000000000001E-2</v>
      </c>
      <c r="G20672">
        <v>818</v>
      </c>
    </row>
    <row r="20673" spans="1:7" x14ac:dyDescent="0.35">
      <c r="A20673" t="s">
        <v>229</v>
      </c>
      <c r="B20673" t="s">
        <v>368</v>
      </c>
      <c r="C20673" s="26">
        <v>0.87529999999999997</v>
      </c>
      <c r="D20673" s="26">
        <v>6.7400000000000002E-2</v>
      </c>
      <c r="E20673" s="26">
        <v>5.7299999999999997E-2</v>
      </c>
      <c r="G20673">
        <v>95</v>
      </c>
    </row>
    <row r="20674" spans="1:7" x14ac:dyDescent="0.35">
      <c r="A20674" t="s">
        <v>229</v>
      </c>
      <c r="B20674" t="s">
        <v>369</v>
      </c>
      <c r="C20674" s="26">
        <v>0.91200000000000003</v>
      </c>
      <c r="D20674" s="26">
        <v>7.2099999999999997E-2</v>
      </c>
      <c r="E20674" s="26">
        <v>1.4999999999999999E-2</v>
      </c>
      <c r="F20674" s="26">
        <v>8.0000000000000004E-4</v>
      </c>
      <c r="G20674">
        <v>791</v>
      </c>
    </row>
    <row r="20675" spans="1:7" x14ac:dyDescent="0.35">
      <c r="A20675" t="s">
        <v>230</v>
      </c>
      <c r="B20675" t="s">
        <v>368</v>
      </c>
      <c r="C20675" s="26">
        <v>0.87239999999999995</v>
      </c>
      <c r="D20675" s="26">
        <v>0.121</v>
      </c>
      <c r="E20675" s="26">
        <v>6.7000000000000002E-3</v>
      </c>
      <c r="G20675">
        <v>57</v>
      </c>
    </row>
    <row r="20676" spans="1:7" x14ac:dyDescent="0.35">
      <c r="A20676" t="s">
        <v>230</v>
      </c>
      <c r="B20676" t="s">
        <v>369</v>
      </c>
      <c r="C20676" s="26">
        <v>0.8387</v>
      </c>
      <c r="D20676" s="26">
        <v>0.1288</v>
      </c>
      <c r="E20676" s="26">
        <v>3.2500000000000001E-2</v>
      </c>
      <c r="G20676">
        <v>498</v>
      </c>
    </row>
    <row r="20677" spans="1:7" x14ac:dyDescent="0.35">
      <c r="A20677" s="27" t="s">
        <v>231</v>
      </c>
      <c r="B20677" s="27" t="s">
        <v>368</v>
      </c>
      <c r="C20677" s="28">
        <v>0.96150000000000002</v>
      </c>
      <c r="D20677" s="28">
        <v>3.85E-2</v>
      </c>
      <c r="E20677" s="29"/>
      <c r="F20677" s="29"/>
      <c r="G20677" s="29" t="s">
        <v>357</v>
      </c>
    </row>
    <row r="20678" spans="1:7" x14ac:dyDescent="0.35">
      <c r="A20678" t="s">
        <v>231</v>
      </c>
      <c r="B20678" t="s">
        <v>369</v>
      </c>
      <c r="C20678" s="26">
        <v>0.90229999999999999</v>
      </c>
      <c r="D20678" s="26">
        <v>9.0200000000000002E-2</v>
      </c>
      <c r="E20678" s="26">
        <v>7.4999999999999997E-3</v>
      </c>
      <c r="G20678">
        <v>133</v>
      </c>
    </row>
    <row r="20679" spans="1:7" x14ac:dyDescent="0.35">
      <c r="A20679" t="s">
        <v>232</v>
      </c>
      <c r="B20679" t="s">
        <v>232</v>
      </c>
      <c r="C20679" s="26">
        <v>0.89100000000000001</v>
      </c>
      <c r="D20679" s="26">
        <v>9.01E-2</v>
      </c>
      <c r="E20679" s="26">
        <v>1.77E-2</v>
      </c>
      <c r="F20679" s="26">
        <v>1.1999999999999999E-3</v>
      </c>
      <c r="G20679">
        <v>2759</v>
      </c>
    </row>
    <row r="20681" spans="1:7" x14ac:dyDescent="0.35">
      <c r="A20681" s="1" t="s">
        <v>2036</v>
      </c>
    </row>
    <row r="20682" spans="1:7" x14ac:dyDescent="0.35">
      <c r="A20682" t="s">
        <v>219</v>
      </c>
      <c r="B20682" t="s">
        <v>305</v>
      </c>
      <c r="C20682" t="s">
        <v>303</v>
      </c>
      <c r="D20682" t="s">
        <v>302</v>
      </c>
      <c r="E20682" t="s">
        <v>281</v>
      </c>
      <c r="F20682" t="s">
        <v>2026</v>
      </c>
      <c r="G20682" t="s">
        <v>226</v>
      </c>
    </row>
    <row r="20683" spans="1:7" x14ac:dyDescent="0.35">
      <c r="A20683" t="s">
        <v>227</v>
      </c>
      <c r="B20683" t="s">
        <v>371</v>
      </c>
      <c r="C20683" s="26">
        <v>0.90510000000000002</v>
      </c>
      <c r="D20683" s="26">
        <v>6.3299999999999995E-2</v>
      </c>
      <c r="E20683" s="26">
        <v>2.53E-2</v>
      </c>
      <c r="F20683" s="26">
        <v>6.3E-3</v>
      </c>
      <c r="G20683">
        <v>158</v>
      </c>
    </row>
    <row r="20684" spans="1:7" x14ac:dyDescent="0.35">
      <c r="A20684" t="s">
        <v>228</v>
      </c>
      <c r="B20684" t="s">
        <v>371</v>
      </c>
      <c r="C20684" s="26">
        <v>0.86480000000000001</v>
      </c>
      <c r="D20684" s="26">
        <v>0.1222</v>
      </c>
      <c r="E20684" s="26">
        <v>1.2999999999999999E-2</v>
      </c>
      <c r="G20684">
        <v>284</v>
      </c>
    </row>
    <row r="20685" spans="1:7" x14ac:dyDescent="0.35">
      <c r="A20685" t="s">
        <v>228</v>
      </c>
      <c r="B20685" t="s">
        <v>372</v>
      </c>
      <c r="C20685" s="26">
        <v>0.82089999999999996</v>
      </c>
      <c r="D20685" s="26">
        <v>0.14749999999999999</v>
      </c>
      <c r="E20685" s="26">
        <v>3.1600000000000003E-2</v>
      </c>
      <c r="G20685">
        <v>206</v>
      </c>
    </row>
    <row r="20686" spans="1:7" x14ac:dyDescent="0.35">
      <c r="A20686" t="s">
        <v>228</v>
      </c>
      <c r="B20686" t="s">
        <v>373</v>
      </c>
      <c r="C20686" s="26">
        <v>0.84060000000000001</v>
      </c>
      <c r="D20686" s="26">
        <v>0.14119999999999999</v>
      </c>
      <c r="E20686" s="26">
        <v>1.8200000000000001E-2</v>
      </c>
      <c r="G20686">
        <v>511</v>
      </c>
    </row>
    <row r="20687" spans="1:7" x14ac:dyDescent="0.35">
      <c r="A20687" t="s">
        <v>229</v>
      </c>
      <c r="B20687" t="s">
        <v>371</v>
      </c>
      <c r="C20687" s="26">
        <v>0.90859999999999996</v>
      </c>
      <c r="D20687" s="26">
        <v>6.8599999999999994E-2</v>
      </c>
      <c r="E20687" s="26">
        <v>2.2100000000000002E-2</v>
      </c>
      <c r="F20687" s="26">
        <v>6.9999999999999999E-4</v>
      </c>
      <c r="G20687">
        <v>578</v>
      </c>
    </row>
    <row r="20688" spans="1:7" x14ac:dyDescent="0.35">
      <c r="A20688" t="s">
        <v>229</v>
      </c>
      <c r="B20688" t="s">
        <v>372</v>
      </c>
      <c r="C20688" s="26">
        <v>0.88139999999999996</v>
      </c>
      <c r="D20688" s="26">
        <v>9.8799999999999999E-2</v>
      </c>
      <c r="E20688" s="26">
        <v>1.9699999999999999E-2</v>
      </c>
      <c r="G20688">
        <v>221</v>
      </c>
    </row>
    <row r="20689" spans="1:7" x14ac:dyDescent="0.35">
      <c r="A20689" t="s">
        <v>229</v>
      </c>
      <c r="B20689" t="s">
        <v>373</v>
      </c>
      <c r="C20689" s="26">
        <v>0.88290000000000002</v>
      </c>
      <c r="D20689" s="26">
        <v>0.1171</v>
      </c>
      <c r="G20689">
        <v>87</v>
      </c>
    </row>
    <row r="20690" spans="1:7" x14ac:dyDescent="0.35">
      <c r="A20690" t="s">
        <v>230</v>
      </c>
      <c r="B20690" t="s">
        <v>371</v>
      </c>
      <c r="C20690" s="26">
        <v>0.84440000000000004</v>
      </c>
      <c r="D20690" s="26">
        <v>0.12590000000000001</v>
      </c>
      <c r="E20690" s="26">
        <v>2.98E-2</v>
      </c>
      <c r="G20690">
        <v>261</v>
      </c>
    </row>
    <row r="20691" spans="1:7" x14ac:dyDescent="0.35">
      <c r="A20691" t="s">
        <v>230</v>
      </c>
      <c r="B20691" t="s">
        <v>372</v>
      </c>
      <c r="C20691" s="26">
        <v>0.8609</v>
      </c>
      <c r="D20691" s="26">
        <v>0.11890000000000001</v>
      </c>
      <c r="E20691" s="26">
        <v>2.0199999999999999E-2</v>
      </c>
      <c r="G20691">
        <v>145</v>
      </c>
    </row>
    <row r="20692" spans="1:7" x14ac:dyDescent="0.35">
      <c r="A20692" t="s">
        <v>230</v>
      </c>
      <c r="B20692" t="s">
        <v>373</v>
      </c>
      <c r="C20692" s="26">
        <v>0.82730000000000004</v>
      </c>
      <c r="D20692" s="26">
        <v>0.14430000000000001</v>
      </c>
      <c r="E20692" s="26">
        <v>2.8400000000000002E-2</v>
      </c>
      <c r="G20692">
        <v>149</v>
      </c>
    </row>
    <row r="20693" spans="1:7" x14ac:dyDescent="0.35">
      <c r="A20693" t="s">
        <v>231</v>
      </c>
      <c r="B20693" t="s">
        <v>371</v>
      </c>
      <c r="C20693" s="26">
        <v>0.91190000000000004</v>
      </c>
      <c r="D20693" s="26">
        <v>8.1799999999999998E-2</v>
      </c>
      <c r="E20693" s="26">
        <v>6.3E-3</v>
      </c>
      <c r="G20693">
        <v>159</v>
      </c>
    </row>
    <row r="20694" spans="1:7" x14ac:dyDescent="0.35">
      <c r="A20694" t="s">
        <v>232</v>
      </c>
      <c r="B20694" t="s">
        <v>232</v>
      </c>
      <c r="C20694" s="26">
        <v>0.89100000000000001</v>
      </c>
      <c r="D20694" s="26">
        <v>9.01E-2</v>
      </c>
      <c r="E20694" s="26">
        <v>1.77E-2</v>
      </c>
      <c r="F20694" s="26">
        <v>1.1999999999999999E-3</v>
      </c>
      <c r="G20694">
        <v>2759</v>
      </c>
    </row>
    <row r="20696" spans="1:7" x14ac:dyDescent="0.35">
      <c r="A20696" s="1" t="s">
        <v>2037</v>
      </c>
    </row>
    <row r="20697" spans="1:7" x14ac:dyDescent="0.35">
      <c r="A20697" t="s">
        <v>219</v>
      </c>
      <c r="B20697" t="s">
        <v>305</v>
      </c>
      <c r="C20697" t="s">
        <v>303</v>
      </c>
      <c r="D20697" t="s">
        <v>302</v>
      </c>
      <c r="E20697" t="s">
        <v>281</v>
      </c>
      <c r="F20697" t="s">
        <v>2026</v>
      </c>
      <c r="G20697" t="s">
        <v>226</v>
      </c>
    </row>
    <row r="20698" spans="1:7" x14ac:dyDescent="0.35">
      <c r="A20698" t="s">
        <v>227</v>
      </c>
      <c r="B20698" t="s">
        <v>255</v>
      </c>
      <c r="C20698" s="26">
        <v>0.89570000000000005</v>
      </c>
      <c r="D20698" s="26">
        <v>6.9599999999999995E-2</v>
      </c>
      <c r="E20698" s="26">
        <v>2.6100000000000002E-2</v>
      </c>
      <c r="F20698" s="26">
        <v>8.6999999999999994E-3</v>
      </c>
      <c r="G20698">
        <v>115</v>
      </c>
    </row>
    <row r="20699" spans="1:7" x14ac:dyDescent="0.35">
      <c r="A20699" s="27" t="s">
        <v>227</v>
      </c>
      <c r="B20699" s="27" t="s">
        <v>257</v>
      </c>
      <c r="C20699" s="28">
        <v>0.88890000000000002</v>
      </c>
      <c r="D20699" s="29"/>
      <c r="E20699" s="28">
        <v>0.1111</v>
      </c>
      <c r="F20699" s="29"/>
      <c r="G20699" s="29" t="s">
        <v>334</v>
      </c>
    </row>
    <row r="20700" spans="1:7" x14ac:dyDescent="0.35">
      <c r="A20700" t="s">
        <v>227</v>
      </c>
      <c r="B20700" t="s">
        <v>256</v>
      </c>
      <c r="C20700" s="26">
        <v>0.94120000000000004</v>
      </c>
      <c r="D20700" s="26">
        <v>5.8799999999999998E-2</v>
      </c>
      <c r="G20700">
        <v>34</v>
      </c>
    </row>
    <row r="20701" spans="1:7" x14ac:dyDescent="0.35">
      <c r="A20701" t="s">
        <v>228</v>
      </c>
      <c r="B20701" t="s">
        <v>257</v>
      </c>
      <c r="C20701" s="26">
        <v>0.8034</v>
      </c>
      <c r="D20701" s="26">
        <v>0.1857</v>
      </c>
      <c r="E20701" s="26">
        <v>1.09E-2</v>
      </c>
      <c r="G20701">
        <v>45</v>
      </c>
    </row>
    <row r="20702" spans="1:7" x14ac:dyDescent="0.35">
      <c r="A20702" s="27" t="s">
        <v>228</v>
      </c>
      <c r="B20702" s="27" t="s">
        <v>258</v>
      </c>
      <c r="C20702" s="28">
        <v>0.90190000000000003</v>
      </c>
      <c r="D20702" s="28">
        <v>9.8100000000000007E-2</v>
      </c>
      <c r="E20702" s="29"/>
      <c r="F20702" s="29"/>
      <c r="G20702" s="29" t="s">
        <v>337</v>
      </c>
    </row>
    <row r="20703" spans="1:7" x14ac:dyDescent="0.35">
      <c r="A20703" t="s">
        <v>228</v>
      </c>
      <c r="B20703" t="s">
        <v>256</v>
      </c>
      <c r="C20703" s="26">
        <v>0.85050000000000003</v>
      </c>
      <c r="D20703" s="26">
        <v>0.13869999999999999</v>
      </c>
      <c r="E20703" s="26">
        <v>1.0800000000000001E-2</v>
      </c>
      <c r="G20703">
        <v>215</v>
      </c>
    </row>
    <row r="20704" spans="1:7" x14ac:dyDescent="0.35">
      <c r="A20704" t="s">
        <v>228</v>
      </c>
      <c r="B20704" t="s">
        <v>255</v>
      </c>
      <c r="C20704" s="26">
        <v>0.85509999999999997</v>
      </c>
      <c r="D20704" s="26">
        <v>0.1258</v>
      </c>
      <c r="E20704" s="26">
        <v>1.9099999999999999E-2</v>
      </c>
      <c r="G20704">
        <v>737</v>
      </c>
    </row>
    <row r="20705" spans="1:7" x14ac:dyDescent="0.35">
      <c r="A20705" t="s">
        <v>229</v>
      </c>
      <c r="B20705" t="s">
        <v>256</v>
      </c>
      <c r="C20705" s="26">
        <v>0.92800000000000005</v>
      </c>
      <c r="D20705" s="26">
        <v>5.1900000000000002E-2</v>
      </c>
      <c r="E20705" s="26">
        <v>2.01E-2</v>
      </c>
      <c r="G20705">
        <v>205</v>
      </c>
    </row>
    <row r="20706" spans="1:7" x14ac:dyDescent="0.35">
      <c r="A20706" t="s">
        <v>229</v>
      </c>
      <c r="B20706" t="s">
        <v>255</v>
      </c>
      <c r="C20706" s="26">
        <v>0.89990000000000003</v>
      </c>
      <c r="D20706" s="26">
        <v>7.5999999999999998E-2</v>
      </c>
      <c r="E20706" s="26">
        <v>2.3099999999999999E-2</v>
      </c>
      <c r="F20706" s="26">
        <v>1E-3</v>
      </c>
      <c r="G20706">
        <v>630</v>
      </c>
    </row>
    <row r="20707" spans="1:7" x14ac:dyDescent="0.35">
      <c r="A20707" t="s">
        <v>229</v>
      </c>
      <c r="B20707" t="s">
        <v>257</v>
      </c>
      <c r="C20707" s="26">
        <v>0.87849999999999995</v>
      </c>
      <c r="D20707" s="26">
        <v>0.1154</v>
      </c>
      <c r="E20707" s="26">
        <v>6.1999999999999998E-3</v>
      </c>
      <c r="G20707">
        <v>49</v>
      </c>
    </row>
    <row r="20708" spans="1:7" x14ac:dyDescent="0.35">
      <c r="A20708" s="27" t="s">
        <v>229</v>
      </c>
      <c r="B20708" s="27" t="s">
        <v>258</v>
      </c>
      <c r="C20708" s="28">
        <v>1</v>
      </c>
      <c r="D20708" s="29"/>
      <c r="E20708" s="29"/>
      <c r="F20708" s="29"/>
      <c r="G20708" s="29" t="s">
        <v>314</v>
      </c>
    </row>
    <row r="20709" spans="1:7" x14ac:dyDescent="0.35">
      <c r="A20709" t="s">
        <v>230</v>
      </c>
      <c r="B20709" t="s">
        <v>256</v>
      </c>
      <c r="C20709" s="26">
        <v>0.87690000000000001</v>
      </c>
      <c r="D20709" s="26">
        <v>0.1196</v>
      </c>
      <c r="E20709" s="26">
        <v>3.3999999999999998E-3</v>
      </c>
      <c r="G20709">
        <v>130</v>
      </c>
    </row>
    <row r="20710" spans="1:7" x14ac:dyDescent="0.35">
      <c r="A20710" t="s">
        <v>230</v>
      </c>
      <c r="B20710" t="s">
        <v>255</v>
      </c>
      <c r="C20710" s="26">
        <v>0.83730000000000004</v>
      </c>
      <c r="D20710" s="26">
        <v>0.12820000000000001</v>
      </c>
      <c r="E20710" s="26">
        <v>3.44E-2</v>
      </c>
      <c r="G20710">
        <v>384</v>
      </c>
    </row>
    <row r="20711" spans="1:7" x14ac:dyDescent="0.35">
      <c r="A20711" t="s">
        <v>230</v>
      </c>
      <c r="B20711" t="s">
        <v>257</v>
      </c>
      <c r="C20711" s="26">
        <v>0.75880000000000003</v>
      </c>
      <c r="D20711" s="26">
        <v>0.1651</v>
      </c>
      <c r="E20711" s="26">
        <v>7.6100000000000001E-2</v>
      </c>
      <c r="G20711">
        <v>38</v>
      </c>
    </row>
    <row r="20712" spans="1:7" x14ac:dyDescent="0.35">
      <c r="A20712" s="27" t="s">
        <v>230</v>
      </c>
      <c r="B20712" s="27" t="s">
        <v>258</v>
      </c>
      <c r="C20712" s="28">
        <v>1</v>
      </c>
      <c r="D20712" s="29"/>
      <c r="E20712" s="29"/>
      <c r="F20712" s="29"/>
      <c r="G20712" s="29" t="s">
        <v>315</v>
      </c>
    </row>
    <row r="20713" spans="1:7" x14ac:dyDescent="0.35">
      <c r="A20713" s="27" t="s">
        <v>231</v>
      </c>
      <c r="B20713" s="27" t="s">
        <v>257</v>
      </c>
      <c r="C20713" s="28">
        <v>1</v>
      </c>
      <c r="D20713" s="29"/>
      <c r="E20713" s="29"/>
      <c r="F20713" s="29"/>
      <c r="G20713" s="29" t="s">
        <v>339</v>
      </c>
    </row>
    <row r="20714" spans="1:7" x14ac:dyDescent="0.35">
      <c r="A20714" t="s">
        <v>231</v>
      </c>
      <c r="B20714" t="s">
        <v>255</v>
      </c>
      <c r="C20714" s="26">
        <v>0.91200000000000003</v>
      </c>
      <c r="D20714" s="26">
        <v>8.7999999999999995E-2</v>
      </c>
      <c r="G20714">
        <v>125</v>
      </c>
    </row>
    <row r="20715" spans="1:7" x14ac:dyDescent="0.35">
      <c r="A20715" s="27" t="s">
        <v>231</v>
      </c>
      <c r="B20715" s="27" t="s">
        <v>256</v>
      </c>
      <c r="C20715" s="28">
        <v>0.88890000000000002</v>
      </c>
      <c r="D20715" s="28">
        <v>7.4099999999999999E-2</v>
      </c>
      <c r="E20715" s="28">
        <v>3.6999999999999998E-2</v>
      </c>
      <c r="F20715" s="29"/>
      <c r="G20715" s="29" t="s">
        <v>338</v>
      </c>
    </row>
    <row r="20716" spans="1:7" x14ac:dyDescent="0.35">
      <c r="A20716" t="s">
        <v>232</v>
      </c>
      <c r="B20716" t="s">
        <v>232</v>
      </c>
      <c r="C20716" s="26">
        <v>0.89100000000000001</v>
      </c>
      <c r="D20716" s="26">
        <v>9.01E-2</v>
      </c>
      <c r="E20716" s="26">
        <v>1.77E-2</v>
      </c>
      <c r="F20716" s="26">
        <v>1.1999999999999999E-3</v>
      </c>
      <c r="G20716">
        <v>2759</v>
      </c>
    </row>
    <row r="20718" spans="1:7" x14ac:dyDescent="0.35">
      <c r="A20718" s="1" t="s">
        <v>2038</v>
      </c>
    </row>
    <row r="20719" spans="1:7" x14ac:dyDescent="0.35">
      <c r="A20719" t="s">
        <v>219</v>
      </c>
      <c r="B20719" t="s">
        <v>302</v>
      </c>
      <c r="C20719" t="s">
        <v>303</v>
      </c>
      <c r="D20719" t="s">
        <v>281</v>
      </c>
      <c r="E20719" t="s">
        <v>2026</v>
      </c>
      <c r="F20719" t="s">
        <v>226</v>
      </c>
    </row>
    <row r="20720" spans="1:7" x14ac:dyDescent="0.35">
      <c r="A20720" t="s">
        <v>227</v>
      </c>
      <c r="B20720" s="26">
        <v>0.81989999999999996</v>
      </c>
      <c r="C20720" s="26">
        <v>0.1739</v>
      </c>
      <c r="D20720" s="26">
        <v>6.1999999999999998E-3</v>
      </c>
      <c r="F20720">
        <v>161</v>
      </c>
    </row>
    <row r="20721" spans="1:7" x14ac:dyDescent="0.35">
      <c r="A20721" t="s">
        <v>228</v>
      </c>
      <c r="B20721" s="26">
        <v>0.7248</v>
      </c>
      <c r="C20721" s="26">
        <v>0.2742</v>
      </c>
      <c r="E20721" s="26">
        <v>8.9999999999999998E-4</v>
      </c>
      <c r="F20721">
        <v>1033</v>
      </c>
    </row>
    <row r="20722" spans="1:7" x14ac:dyDescent="0.35">
      <c r="A20722" t="s">
        <v>229</v>
      </c>
      <c r="B20722" s="26">
        <v>0.76759999999999995</v>
      </c>
      <c r="C20722" s="26">
        <v>0.23139999999999999</v>
      </c>
      <c r="E20722" s="26">
        <v>1E-3</v>
      </c>
      <c r="F20722">
        <v>895</v>
      </c>
    </row>
    <row r="20723" spans="1:7" x14ac:dyDescent="0.35">
      <c r="A20723" t="s">
        <v>230</v>
      </c>
      <c r="B20723" s="26">
        <v>0.7046</v>
      </c>
      <c r="C20723" s="26">
        <v>0.29449999999999998</v>
      </c>
      <c r="D20723" s="26">
        <v>8.9999999999999998E-4</v>
      </c>
      <c r="F20723">
        <v>560</v>
      </c>
    </row>
    <row r="20724" spans="1:7" x14ac:dyDescent="0.35">
      <c r="A20724" t="s">
        <v>231</v>
      </c>
      <c r="B20724" s="26">
        <v>0.71340000000000003</v>
      </c>
      <c r="C20724" s="26">
        <v>0.28660000000000002</v>
      </c>
      <c r="F20724">
        <v>164</v>
      </c>
    </row>
    <row r="20725" spans="1:7" x14ac:dyDescent="0.35">
      <c r="A20725" t="s">
        <v>232</v>
      </c>
      <c r="B20725" s="26">
        <v>0.74629999999999996</v>
      </c>
      <c r="C20725" s="26">
        <v>0.25219999999999998</v>
      </c>
      <c r="D20725" s="26">
        <v>1E-3</v>
      </c>
      <c r="E20725" s="26">
        <v>5.0000000000000001E-4</v>
      </c>
      <c r="F20725">
        <v>2813</v>
      </c>
    </row>
    <row r="20727" spans="1:7" x14ac:dyDescent="0.35">
      <c r="A20727" s="1" t="s">
        <v>2039</v>
      </c>
    </row>
    <row r="20728" spans="1:7" x14ac:dyDescent="0.35">
      <c r="A20728" t="s">
        <v>219</v>
      </c>
      <c r="B20728" t="s">
        <v>305</v>
      </c>
      <c r="C20728" t="s">
        <v>302</v>
      </c>
      <c r="D20728" t="s">
        <v>303</v>
      </c>
      <c r="E20728" t="s">
        <v>281</v>
      </c>
      <c r="F20728" t="s">
        <v>2026</v>
      </c>
      <c r="G20728" t="s">
        <v>226</v>
      </c>
    </row>
    <row r="20729" spans="1:7" x14ac:dyDescent="0.35">
      <c r="A20729" t="s">
        <v>227</v>
      </c>
      <c r="B20729" t="s">
        <v>242</v>
      </c>
      <c r="C20729" s="26">
        <v>0.86760000000000004</v>
      </c>
      <c r="D20729" s="26">
        <v>0.13239999999999999</v>
      </c>
      <c r="G20729">
        <v>68</v>
      </c>
    </row>
    <row r="20730" spans="1:7" x14ac:dyDescent="0.35">
      <c r="A20730" t="s">
        <v>227</v>
      </c>
      <c r="B20730" t="s">
        <v>241</v>
      </c>
      <c r="C20730" s="26">
        <v>0.78490000000000004</v>
      </c>
      <c r="D20730" s="26">
        <v>0.20430000000000001</v>
      </c>
      <c r="E20730" s="26">
        <v>1.0800000000000001E-2</v>
      </c>
      <c r="G20730">
        <v>93</v>
      </c>
    </row>
    <row r="20731" spans="1:7" x14ac:dyDescent="0.35">
      <c r="A20731" t="s">
        <v>228</v>
      </c>
      <c r="B20731" t="s">
        <v>242</v>
      </c>
      <c r="C20731" s="26">
        <v>0.75190000000000001</v>
      </c>
      <c r="D20731" s="26">
        <v>0.24809999999999999</v>
      </c>
      <c r="G20731">
        <v>402</v>
      </c>
    </row>
    <row r="20732" spans="1:7" x14ac:dyDescent="0.35">
      <c r="A20732" t="s">
        <v>228</v>
      </c>
      <c r="B20732" t="s">
        <v>241</v>
      </c>
      <c r="C20732" s="26">
        <v>0.70940000000000003</v>
      </c>
      <c r="D20732" s="26">
        <v>0.28920000000000001</v>
      </c>
      <c r="F20732" s="26">
        <v>1.4E-3</v>
      </c>
      <c r="G20732">
        <v>631</v>
      </c>
    </row>
    <row r="20733" spans="1:7" x14ac:dyDescent="0.35">
      <c r="A20733" t="s">
        <v>229</v>
      </c>
      <c r="B20733" t="s">
        <v>242</v>
      </c>
      <c r="C20733" s="26">
        <v>0.7591</v>
      </c>
      <c r="D20733" s="26">
        <v>0.2409</v>
      </c>
      <c r="G20733">
        <v>292</v>
      </c>
    </row>
    <row r="20734" spans="1:7" x14ac:dyDescent="0.35">
      <c r="A20734" t="s">
        <v>229</v>
      </c>
      <c r="B20734" t="s">
        <v>241</v>
      </c>
      <c r="C20734" s="26">
        <v>0.77300000000000002</v>
      </c>
      <c r="D20734" s="26">
        <v>0.2253</v>
      </c>
      <c r="F20734" s="26">
        <v>1.6000000000000001E-3</v>
      </c>
      <c r="G20734">
        <v>603</v>
      </c>
    </row>
    <row r="20735" spans="1:7" x14ac:dyDescent="0.35">
      <c r="A20735" t="s">
        <v>230</v>
      </c>
      <c r="B20735" t="s">
        <v>242</v>
      </c>
      <c r="C20735" s="26">
        <v>0.65510000000000002</v>
      </c>
      <c r="D20735" s="26">
        <v>0.34489999999999998</v>
      </c>
      <c r="G20735">
        <v>189</v>
      </c>
    </row>
    <row r="20736" spans="1:7" x14ac:dyDescent="0.35">
      <c r="A20736" t="s">
        <v>230</v>
      </c>
      <c r="B20736" t="s">
        <v>241</v>
      </c>
      <c r="C20736" s="26">
        <v>0.7298</v>
      </c>
      <c r="D20736" s="26">
        <v>0.26879999999999998</v>
      </c>
      <c r="E20736" s="26">
        <v>1.4E-3</v>
      </c>
      <c r="G20736">
        <v>371</v>
      </c>
    </row>
    <row r="20737" spans="1:7" x14ac:dyDescent="0.35">
      <c r="A20737" t="s">
        <v>231</v>
      </c>
      <c r="B20737" t="s">
        <v>242</v>
      </c>
      <c r="C20737" s="26">
        <v>0.74070000000000003</v>
      </c>
      <c r="D20737" s="26">
        <v>0.25929999999999997</v>
      </c>
      <c r="G20737">
        <v>54</v>
      </c>
    </row>
    <row r="20738" spans="1:7" x14ac:dyDescent="0.35">
      <c r="A20738" t="s">
        <v>231</v>
      </c>
      <c r="B20738" t="s">
        <v>241</v>
      </c>
      <c r="C20738" s="26">
        <v>0.7</v>
      </c>
      <c r="D20738" s="26">
        <v>0.3</v>
      </c>
      <c r="G20738">
        <v>110</v>
      </c>
    </row>
    <row r="20739" spans="1:7" x14ac:dyDescent="0.35">
      <c r="A20739" t="s">
        <v>232</v>
      </c>
      <c r="B20739" t="s">
        <v>232</v>
      </c>
      <c r="C20739" s="26">
        <v>0.74629999999999996</v>
      </c>
      <c r="D20739" s="26">
        <v>0.25219999999999998</v>
      </c>
      <c r="E20739" s="26">
        <v>1E-3</v>
      </c>
      <c r="F20739" s="26">
        <v>5.0000000000000001E-4</v>
      </c>
      <c r="G20739">
        <v>2813</v>
      </c>
    </row>
    <row r="20741" spans="1:7" x14ac:dyDescent="0.35">
      <c r="A20741" s="1" t="s">
        <v>2040</v>
      </c>
    </row>
    <row r="20742" spans="1:7" x14ac:dyDescent="0.35">
      <c r="A20742" t="s">
        <v>219</v>
      </c>
      <c r="B20742" t="s">
        <v>305</v>
      </c>
      <c r="C20742" t="s">
        <v>302</v>
      </c>
      <c r="D20742" t="s">
        <v>303</v>
      </c>
      <c r="E20742" t="s">
        <v>281</v>
      </c>
      <c r="F20742" t="s">
        <v>2026</v>
      </c>
      <c r="G20742" t="s">
        <v>226</v>
      </c>
    </row>
    <row r="20743" spans="1:7" x14ac:dyDescent="0.35">
      <c r="A20743" t="s">
        <v>227</v>
      </c>
      <c r="B20743" t="s">
        <v>239</v>
      </c>
      <c r="C20743" s="26">
        <v>0.7903</v>
      </c>
      <c r="D20743" s="26">
        <v>0.2097</v>
      </c>
      <c r="G20743">
        <v>62</v>
      </c>
    </row>
    <row r="20744" spans="1:7" x14ac:dyDescent="0.35">
      <c r="A20744" t="s">
        <v>227</v>
      </c>
      <c r="B20744" t="s">
        <v>238</v>
      </c>
      <c r="C20744" s="26">
        <v>0.83840000000000003</v>
      </c>
      <c r="D20744" s="26">
        <v>0.1515</v>
      </c>
      <c r="E20744" s="26">
        <v>1.01E-2</v>
      </c>
      <c r="G20744">
        <v>99</v>
      </c>
    </row>
    <row r="20745" spans="1:7" x14ac:dyDescent="0.35">
      <c r="A20745" t="s">
        <v>228</v>
      </c>
      <c r="B20745" t="s">
        <v>239</v>
      </c>
      <c r="C20745" s="26">
        <v>0.76290000000000002</v>
      </c>
      <c r="D20745" s="26">
        <v>0.23269999999999999</v>
      </c>
      <c r="F20745" s="26">
        <v>4.4000000000000003E-3</v>
      </c>
      <c r="G20745">
        <v>330</v>
      </c>
    </row>
    <row r="20746" spans="1:7" x14ac:dyDescent="0.35">
      <c r="A20746" t="s">
        <v>228</v>
      </c>
      <c r="B20746" t="s">
        <v>238</v>
      </c>
      <c r="C20746" s="26">
        <v>0.71489999999999998</v>
      </c>
      <c r="D20746" s="26">
        <v>0.28510000000000002</v>
      </c>
      <c r="G20746">
        <v>703</v>
      </c>
    </row>
    <row r="20747" spans="1:7" x14ac:dyDescent="0.35">
      <c r="A20747" t="s">
        <v>229</v>
      </c>
      <c r="B20747" t="s">
        <v>239</v>
      </c>
      <c r="C20747" s="26">
        <v>0.6966</v>
      </c>
      <c r="D20747" s="26">
        <v>0.30070000000000002</v>
      </c>
      <c r="F20747" s="26">
        <v>2.5999999999999999E-3</v>
      </c>
      <c r="G20747">
        <v>332</v>
      </c>
    </row>
    <row r="20748" spans="1:7" x14ac:dyDescent="0.35">
      <c r="A20748" t="s">
        <v>229</v>
      </c>
      <c r="B20748" t="s">
        <v>238</v>
      </c>
      <c r="C20748" s="26">
        <v>0.79179999999999995</v>
      </c>
      <c r="D20748" s="26">
        <v>0.20780000000000001</v>
      </c>
      <c r="F20748" s="26">
        <v>4.0000000000000002E-4</v>
      </c>
      <c r="G20748">
        <v>563</v>
      </c>
    </row>
    <row r="20749" spans="1:7" x14ac:dyDescent="0.35">
      <c r="A20749" t="s">
        <v>230</v>
      </c>
      <c r="B20749" t="s">
        <v>239</v>
      </c>
      <c r="C20749" s="26">
        <v>0.75049999999999994</v>
      </c>
      <c r="D20749" s="26">
        <v>0.2465</v>
      </c>
      <c r="E20749" s="26">
        <v>3.0000000000000001E-3</v>
      </c>
      <c r="G20749">
        <v>211</v>
      </c>
    </row>
    <row r="20750" spans="1:7" x14ac:dyDescent="0.35">
      <c r="A20750" t="s">
        <v>230</v>
      </c>
      <c r="B20750" t="s">
        <v>238</v>
      </c>
      <c r="C20750" s="26">
        <v>0.68479999999999996</v>
      </c>
      <c r="D20750" s="26">
        <v>0.31519999999999998</v>
      </c>
      <c r="G20750">
        <v>349</v>
      </c>
    </row>
    <row r="20751" spans="1:7" x14ac:dyDescent="0.35">
      <c r="A20751" t="s">
        <v>231</v>
      </c>
      <c r="B20751" t="s">
        <v>239</v>
      </c>
      <c r="C20751" s="26">
        <v>0.71930000000000005</v>
      </c>
      <c r="D20751" s="26">
        <v>0.28070000000000001</v>
      </c>
      <c r="G20751">
        <v>57</v>
      </c>
    </row>
    <row r="20752" spans="1:7" x14ac:dyDescent="0.35">
      <c r="A20752" t="s">
        <v>231</v>
      </c>
      <c r="B20752" t="s">
        <v>238</v>
      </c>
      <c r="C20752" s="26">
        <v>0.71030000000000004</v>
      </c>
      <c r="D20752" s="26">
        <v>0.28970000000000001</v>
      </c>
      <c r="G20752">
        <v>107</v>
      </c>
    </row>
    <row r="20753" spans="1:7" x14ac:dyDescent="0.35">
      <c r="A20753" t="s">
        <v>232</v>
      </c>
      <c r="B20753" t="s">
        <v>232</v>
      </c>
      <c r="C20753" s="26">
        <v>0.74629999999999996</v>
      </c>
      <c r="D20753" s="26">
        <v>0.25219999999999998</v>
      </c>
      <c r="E20753" s="26">
        <v>1E-3</v>
      </c>
      <c r="F20753" s="26">
        <v>5.0000000000000001E-4</v>
      </c>
      <c r="G20753">
        <v>2813</v>
      </c>
    </row>
    <row r="20755" spans="1:7" x14ac:dyDescent="0.35">
      <c r="A20755" s="1" t="s">
        <v>2041</v>
      </c>
    </row>
    <row r="20756" spans="1:7" x14ac:dyDescent="0.35">
      <c r="A20756" t="s">
        <v>219</v>
      </c>
      <c r="B20756" t="s">
        <v>305</v>
      </c>
      <c r="C20756" t="s">
        <v>302</v>
      </c>
      <c r="D20756" t="s">
        <v>303</v>
      </c>
      <c r="E20756" t="s">
        <v>281</v>
      </c>
      <c r="F20756" t="s">
        <v>2026</v>
      </c>
      <c r="G20756" t="s">
        <v>226</v>
      </c>
    </row>
    <row r="20757" spans="1:7" x14ac:dyDescent="0.35">
      <c r="A20757" t="s">
        <v>227</v>
      </c>
      <c r="B20757" t="s">
        <v>244</v>
      </c>
      <c r="C20757" s="26">
        <v>0.85419999999999996</v>
      </c>
      <c r="D20757" s="26">
        <v>0.13539999999999999</v>
      </c>
      <c r="E20757" s="26">
        <v>1.04E-2</v>
      </c>
      <c r="G20757">
        <v>96</v>
      </c>
    </row>
    <row r="20758" spans="1:7" x14ac:dyDescent="0.35">
      <c r="A20758" t="s">
        <v>227</v>
      </c>
      <c r="B20758" t="s">
        <v>245</v>
      </c>
      <c r="C20758" s="26">
        <v>0.73580000000000001</v>
      </c>
      <c r="D20758" s="26">
        <v>0.26419999999999999</v>
      </c>
      <c r="G20758">
        <v>53</v>
      </c>
    </row>
    <row r="20759" spans="1:7" x14ac:dyDescent="0.35">
      <c r="A20759" s="27" t="s">
        <v>227</v>
      </c>
      <c r="B20759" s="27" t="s">
        <v>246</v>
      </c>
      <c r="C20759" s="28">
        <v>0.91669999999999996</v>
      </c>
      <c r="D20759" s="28">
        <v>8.3299999999999999E-2</v>
      </c>
      <c r="E20759" s="29"/>
      <c r="F20759" s="29"/>
      <c r="G20759" s="29" t="s">
        <v>342</v>
      </c>
    </row>
    <row r="20760" spans="1:7" x14ac:dyDescent="0.35">
      <c r="A20760" t="s">
        <v>228</v>
      </c>
      <c r="B20760" t="s">
        <v>244</v>
      </c>
      <c r="C20760" s="26">
        <v>0.71819999999999995</v>
      </c>
      <c r="D20760" s="26">
        <v>0.28039999999999998</v>
      </c>
      <c r="F20760" s="26">
        <v>1.4E-3</v>
      </c>
      <c r="G20760">
        <v>638</v>
      </c>
    </row>
    <row r="20761" spans="1:7" x14ac:dyDescent="0.35">
      <c r="A20761" t="s">
        <v>228</v>
      </c>
      <c r="B20761" t="s">
        <v>245</v>
      </c>
      <c r="C20761" s="26">
        <v>0.72729999999999995</v>
      </c>
      <c r="D20761" s="26">
        <v>0.2727</v>
      </c>
      <c r="G20761">
        <v>328</v>
      </c>
    </row>
    <row r="20762" spans="1:7" x14ac:dyDescent="0.35">
      <c r="A20762" t="s">
        <v>228</v>
      </c>
      <c r="B20762" t="s">
        <v>246</v>
      </c>
      <c r="C20762" s="26">
        <v>0.77849999999999997</v>
      </c>
      <c r="D20762" s="26">
        <v>0.2215</v>
      </c>
      <c r="G20762">
        <v>67</v>
      </c>
    </row>
    <row r="20763" spans="1:7" x14ac:dyDescent="0.35">
      <c r="A20763" t="s">
        <v>229</v>
      </c>
      <c r="B20763" t="s">
        <v>244</v>
      </c>
      <c r="C20763" s="26">
        <v>0.75529999999999997</v>
      </c>
      <c r="D20763" s="26">
        <v>0.2432</v>
      </c>
      <c r="F20763" s="26">
        <v>1.4E-3</v>
      </c>
      <c r="G20763">
        <v>557</v>
      </c>
    </row>
    <row r="20764" spans="1:7" x14ac:dyDescent="0.35">
      <c r="A20764" t="s">
        <v>229</v>
      </c>
      <c r="B20764" t="s">
        <v>245</v>
      </c>
      <c r="C20764" s="26">
        <v>0.81040000000000001</v>
      </c>
      <c r="D20764" s="26">
        <v>0.18959999999999999</v>
      </c>
      <c r="G20764">
        <v>293</v>
      </c>
    </row>
    <row r="20765" spans="1:7" x14ac:dyDescent="0.35">
      <c r="A20765" t="s">
        <v>229</v>
      </c>
      <c r="B20765" t="s">
        <v>246</v>
      </c>
      <c r="C20765" s="26">
        <v>0.72270000000000001</v>
      </c>
      <c r="D20765" s="26">
        <v>0.27729999999999999</v>
      </c>
      <c r="G20765">
        <v>45</v>
      </c>
    </row>
    <row r="20766" spans="1:7" x14ac:dyDescent="0.35">
      <c r="A20766" t="s">
        <v>230</v>
      </c>
      <c r="B20766" t="s">
        <v>244</v>
      </c>
      <c r="C20766" s="26">
        <v>0.69840000000000002</v>
      </c>
      <c r="D20766" s="26">
        <v>0.30020000000000002</v>
      </c>
      <c r="E20766" s="26">
        <v>1.2999999999999999E-3</v>
      </c>
      <c r="G20766">
        <v>370</v>
      </c>
    </row>
    <row r="20767" spans="1:7" x14ac:dyDescent="0.35">
      <c r="A20767" t="s">
        <v>230</v>
      </c>
      <c r="B20767" t="s">
        <v>245</v>
      </c>
      <c r="C20767" s="26">
        <v>0.71750000000000003</v>
      </c>
      <c r="D20767" s="26">
        <v>0.28249999999999997</v>
      </c>
      <c r="G20767">
        <v>161</v>
      </c>
    </row>
    <row r="20768" spans="1:7" x14ac:dyDescent="0.35">
      <c r="A20768" s="27" t="s">
        <v>230</v>
      </c>
      <c r="B20768" s="27" t="s">
        <v>246</v>
      </c>
      <c r="C20768" s="28">
        <v>0.7228</v>
      </c>
      <c r="D20768" s="28">
        <v>0.2772</v>
      </c>
      <c r="E20768" s="29"/>
      <c r="F20768" s="29"/>
      <c r="G20768" s="29" t="s">
        <v>329</v>
      </c>
    </row>
    <row r="20769" spans="1:7" x14ac:dyDescent="0.35">
      <c r="A20769" t="s">
        <v>231</v>
      </c>
      <c r="B20769" t="s">
        <v>244</v>
      </c>
      <c r="C20769" s="26">
        <v>0.6421</v>
      </c>
      <c r="D20769" s="26">
        <v>0.3579</v>
      </c>
      <c r="G20769">
        <v>95</v>
      </c>
    </row>
    <row r="20770" spans="1:7" x14ac:dyDescent="0.35">
      <c r="A20770" t="s">
        <v>231</v>
      </c>
      <c r="B20770" t="s">
        <v>245</v>
      </c>
      <c r="C20770" s="26">
        <v>0.85709999999999997</v>
      </c>
      <c r="D20770" s="26">
        <v>0.1429</v>
      </c>
      <c r="G20770">
        <v>56</v>
      </c>
    </row>
    <row r="20771" spans="1:7" x14ac:dyDescent="0.35">
      <c r="A20771" s="27" t="s">
        <v>231</v>
      </c>
      <c r="B20771" s="27" t="s">
        <v>246</v>
      </c>
      <c r="C20771" s="28">
        <v>0.61539999999999995</v>
      </c>
      <c r="D20771" s="28">
        <v>0.3846</v>
      </c>
      <c r="E20771" s="29"/>
      <c r="F20771" s="29"/>
      <c r="G20771" s="29" t="s">
        <v>341</v>
      </c>
    </row>
    <row r="20772" spans="1:7" x14ac:dyDescent="0.35">
      <c r="A20772" t="s">
        <v>232</v>
      </c>
      <c r="B20772" t="s">
        <v>232</v>
      </c>
      <c r="C20772" s="26">
        <v>0.74629999999999996</v>
      </c>
      <c r="D20772" s="26">
        <v>0.25219999999999998</v>
      </c>
      <c r="E20772" s="26">
        <v>1E-3</v>
      </c>
      <c r="F20772" s="26">
        <v>5.0000000000000001E-4</v>
      </c>
      <c r="G20772">
        <v>2813</v>
      </c>
    </row>
    <row r="20774" spans="1:7" x14ac:dyDescent="0.35">
      <c r="A20774" s="1" t="s">
        <v>2042</v>
      </c>
    </row>
    <row r="20775" spans="1:7" x14ac:dyDescent="0.35">
      <c r="A20775" t="s">
        <v>219</v>
      </c>
      <c r="B20775" t="s">
        <v>305</v>
      </c>
      <c r="C20775" t="s">
        <v>302</v>
      </c>
      <c r="D20775" t="s">
        <v>303</v>
      </c>
      <c r="E20775" t="s">
        <v>281</v>
      </c>
      <c r="F20775" t="s">
        <v>2026</v>
      </c>
      <c r="G20775" t="s">
        <v>226</v>
      </c>
    </row>
    <row r="20776" spans="1:7" x14ac:dyDescent="0.35">
      <c r="A20776" t="s">
        <v>227</v>
      </c>
      <c r="B20776" t="s">
        <v>360</v>
      </c>
      <c r="C20776" s="26">
        <v>0.76919999999999999</v>
      </c>
      <c r="D20776" s="26">
        <v>0.23080000000000001</v>
      </c>
      <c r="G20776">
        <v>39</v>
      </c>
    </row>
    <row r="20777" spans="1:7" x14ac:dyDescent="0.35">
      <c r="A20777" t="s">
        <v>227</v>
      </c>
      <c r="B20777" t="s">
        <v>361</v>
      </c>
      <c r="C20777" s="26">
        <v>0.78120000000000001</v>
      </c>
      <c r="D20777" s="26">
        <v>0.1875</v>
      </c>
      <c r="E20777" s="26">
        <v>3.1199999999999999E-2</v>
      </c>
      <c r="G20777">
        <v>32</v>
      </c>
    </row>
    <row r="20778" spans="1:7" x14ac:dyDescent="0.35">
      <c r="A20778" t="s">
        <v>227</v>
      </c>
      <c r="B20778" t="s">
        <v>362</v>
      </c>
      <c r="C20778" s="26">
        <v>0.78380000000000005</v>
      </c>
      <c r="D20778" s="26">
        <v>0.2162</v>
      </c>
      <c r="G20778">
        <v>37</v>
      </c>
    </row>
    <row r="20779" spans="1:7" x14ac:dyDescent="0.35">
      <c r="A20779" t="s">
        <v>227</v>
      </c>
      <c r="B20779" t="s">
        <v>363</v>
      </c>
      <c r="C20779" s="26">
        <v>0.91110000000000002</v>
      </c>
      <c r="D20779" s="26">
        <v>8.8900000000000007E-2</v>
      </c>
      <c r="G20779">
        <v>45</v>
      </c>
    </row>
    <row r="20780" spans="1:7" x14ac:dyDescent="0.35">
      <c r="A20780" t="s">
        <v>228</v>
      </c>
      <c r="B20780" t="s">
        <v>360</v>
      </c>
      <c r="C20780" s="26">
        <v>0.73319999999999996</v>
      </c>
      <c r="D20780" s="26">
        <v>0.26679999999999998</v>
      </c>
      <c r="G20780">
        <v>258</v>
      </c>
    </row>
    <row r="20781" spans="1:7" x14ac:dyDescent="0.35">
      <c r="A20781" t="s">
        <v>228</v>
      </c>
      <c r="B20781" t="s">
        <v>361</v>
      </c>
      <c r="C20781" s="26">
        <v>0.74809999999999999</v>
      </c>
      <c r="D20781" s="26">
        <v>0.25190000000000001</v>
      </c>
      <c r="G20781">
        <v>194</v>
      </c>
    </row>
    <row r="20782" spans="1:7" x14ac:dyDescent="0.35">
      <c r="A20782" t="s">
        <v>228</v>
      </c>
      <c r="B20782" t="s">
        <v>363</v>
      </c>
      <c r="C20782" s="26">
        <v>0.7218</v>
      </c>
      <c r="D20782" s="26">
        <v>0.27660000000000001</v>
      </c>
      <c r="F20782" s="26">
        <v>1.5E-3</v>
      </c>
      <c r="G20782">
        <v>212</v>
      </c>
    </row>
    <row r="20783" spans="1:7" x14ac:dyDescent="0.35">
      <c r="A20783" t="s">
        <v>228</v>
      </c>
      <c r="B20783" t="s">
        <v>362</v>
      </c>
      <c r="C20783" s="26">
        <v>0.71989999999999998</v>
      </c>
      <c r="D20783" s="26">
        <v>0.28010000000000002</v>
      </c>
      <c r="G20783">
        <v>236</v>
      </c>
    </row>
    <row r="20784" spans="1:7" x14ac:dyDescent="0.35">
      <c r="A20784" t="s">
        <v>229</v>
      </c>
      <c r="B20784" t="s">
        <v>363</v>
      </c>
      <c r="C20784" s="26">
        <v>0.79379999999999995</v>
      </c>
      <c r="D20784" s="26">
        <v>0.20619999999999999</v>
      </c>
      <c r="G20784">
        <v>191</v>
      </c>
    </row>
    <row r="20785" spans="1:7" x14ac:dyDescent="0.35">
      <c r="A20785" t="s">
        <v>229</v>
      </c>
      <c r="B20785" t="s">
        <v>360</v>
      </c>
      <c r="C20785" s="26">
        <v>0.76500000000000001</v>
      </c>
      <c r="D20785" s="26">
        <v>0.23069999999999999</v>
      </c>
      <c r="F20785" s="26">
        <v>4.3E-3</v>
      </c>
      <c r="G20785">
        <v>164</v>
      </c>
    </row>
    <row r="20786" spans="1:7" x14ac:dyDescent="0.35">
      <c r="A20786" t="s">
        <v>229</v>
      </c>
      <c r="B20786" t="s">
        <v>361</v>
      </c>
      <c r="C20786" s="26">
        <v>0.74009999999999998</v>
      </c>
      <c r="D20786" s="26">
        <v>0.25990000000000002</v>
      </c>
      <c r="G20786">
        <v>243</v>
      </c>
    </row>
    <row r="20787" spans="1:7" x14ac:dyDescent="0.35">
      <c r="A20787" t="s">
        <v>229</v>
      </c>
      <c r="B20787" t="s">
        <v>362</v>
      </c>
      <c r="C20787" s="26">
        <v>0.73509999999999998</v>
      </c>
      <c r="D20787" s="26">
        <v>0.26490000000000002</v>
      </c>
      <c r="G20787">
        <v>171</v>
      </c>
    </row>
    <row r="20788" spans="1:7" x14ac:dyDescent="0.35">
      <c r="A20788" t="s">
        <v>230</v>
      </c>
      <c r="B20788" t="s">
        <v>360</v>
      </c>
      <c r="C20788" s="26">
        <v>0.6865</v>
      </c>
      <c r="D20788" s="26">
        <v>0.3135</v>
      </c>
      <c r="G20788">
        <v>120</v>
      </c>
    </row>
    <row r="20789" spans="1:7" x14ac:dyDescent="0.35">
      <c r="A20789" t="s">
        <v>230</v>
      </c>
      <c r="B20789" t="s">
        <v>363</v>
      </c>
      <c r="C20789" s="26">
        <v>0.72799999999999998</v>
      </c>
      <c r="D20789" s="26">
        <v>0.27200000000000002</v>
      </c>
      <c r="G20789">
        <v>127</v>
      </c>
    </row>
    <row r="20790" spans="1:7" x14ac:dyDescent="0.35">
      <c r="A20790" t="s">
        <v>230</v>
      </c>
      <c r="B20790" t="s">
        <v>361</v>
      </c>
      <c r="C20790" s="26">
        <v>0.75180000000000002</v>
      </c>
      <c r="D20790" s="26">
        <v>0.2482</v>
      </c>
      <c r="G20790">
        <v>109</v>
      </c>
    </row>
    <row r="20791" spans="1:7" x14ac:dyDescent="0.35">
      <c r="A20791" t="s">
        <v>230</v>
      </c>
      <c r="B20791" t="s">
        <v>362</v>
      </c>
      <c r="C20791" s="26">
        <v>0.66210000000000002</v>
      </c>
      <c r="D20791" s="26">
        <v>0.33789999999999998</v>
      </c>
      <c r="G20791">
        <v>148</v>
      </c>
    </row>
    <row r="20792" spans="1:7" x14ac:dyDescent="0.35">
      <c r="A20792" s="27" t="s">
        <v>231</v>
      </c>
      <c r="B20792" s="27" t="s">
        <v>362</v>
      </c>
      <c r="C20792" s="28">
        <v>0.6552</v>
      </c>
      <c r="D20792" s="28">
        <v>0.3448</v>
      </c>
      <c r="E20792" s="29"/>
      <c r="F20792" s="29"/>
      <c r="G20792" s="29" t="s">
        <v>329</v>
      </c>
    </row>
    <row r="20793" spans="1:7" x14ac:dyDescent="0.35">
      <c r="A20793" t="s">
        <v>231</v>
      </c>
      <c r="B20793" t="s">
        <v>361</v>
      </c>
      <c r="C20793" s="26">
        <v>0.8</v>
      </c>
      <c r="D20793" s="26">
        <v>0.2</v>
      </c>
      <c r="G20793">
        <v>50</v>
      </c>
    </row>
    <row r="20794" spans="1:7" x14ac:dyDescent="0.35">
      <c r="A20794" t="s">
        <v>231</v>
      </c>
      <c r="B20794" t="s">
        <v>360</v>
      </c>
      <c r="C20794" s="26">
        <v>0.77270000000000005</v>
      </c>
      <c r="D20794" s="26">
        <v>0.2273</v>
      </c>
      <c r="G20794">
        <v>44</v>
      </c>
    </row>
    <row r="20795" spans="1:7" x14ac:dyDescent="0.35">
      <c r="A20795" s="27" t="s">
        <v>231</v>
      </c>
      <c r="B20795" s="27" t="s">
        <v>363</v>
      </c>
      <c r="C20795" s="28">
        <v>0.59260000000000002</v>
      </c>
      <c r="D20795" s="28">
        <v>0.40739999999999998</v>
      </c>
      <c r="E20795" s="29"/>
      <c r="F20795" s="29"/>
      <c r="G20795" s="29" t="s">
        <v>338</v>
      </c>
    </row>
    <row r="20796" spans="1:7" x14ac:dyDescent="0.35">
      <c r="A20796" t="s">
        <v>232</v>
      </c>
      <c r="B20796" t="s">
        <v>232</v>
      </c>
      <c r="C20796" s="26">
        <v>0.74629999999999996</v>
      </c>
      <c r="D20796" s="26">
        <v>0.25219999999999998</v>
      </c>
      <c r="E20796" s="26">
        <v>1E-3</v>
      </c>
      <c r="F20796" s="26">
        <v>5.0000000000000001E-4</v>
      </c>
      <c r="G20796">
        <v>2476</v>
      </c>
    </row>
    <row r="20798" spans="1:7" x14ac:dyDescent="0.35">
      <c r="A20798" s="1" t="s">
        <v>2043</v>
      </c>
    </row>
    <row r="20799" spans="1:7" x14ac:dyDescent="0.35">
      <c r="A20799" t="s">
        <v>219</v>
      </c>
      <c r="B20799" t="s">
        <v>305</v>
      </c>
      <c r="C20799" t="s">
        <v>302</v>
      </c>
      <c r="D20799" t="s">
        <v>303</v>
      </c>
      <c r="E20799" t="s">
        <v>281</v>
      </c>
      <c r="F20799" t="s">
        <v>2026</v>
      </c>
      <c r="G20799" t="s">
        <v>226</v>
      </c>
    </row>
    <row r="20800" spans="1:7" x14ac:dyDescent="0.35">
      <c r="A20800" t="s">
        <v>227</v>
      </c>
      <c r="B20800" t="s">
        <v>267</v>
      </c>
      <c r="C20800" s="26">
        <v>0.77780000000000005</v>
      </c>
      <c r="D20800" s="26">
        <v>0.22220000000000001</v>
      </c>
      <c r="G20800">
        <v>36</v>
      </c>
    </row>
    <row r="20801" spans="1:7" x14ac:dyDescent="0.35">
      <c r="A20801" t="s">
        <v>227</v>
      </c>
      <c r="B20801" t="s">
        <v>266</v>
      </c>
      <c r="C20801" s="26">
        <v>0.76270000000000004</v>
      </c>
      <c r="D20801" s="26">
        <v>0.2203</v>
      </c>
      <c r="E20801" s="26">
        <v>1.6899999999999998E-2</v>
      </c>
      <c r="G20801">
        <v>59</v>
      </c>
    </row>
    <row r="20802" spans="1:7" x14ac:dyDescent="0.35">
      <c r="A20802" t="s">
        <v>227</v>
      </c>
      <c r="B20802" t="s">
        <v>265</v>
      </c>
      <c r="C20802" s="26">
        <v>0.89390000000000003</v>
      </c>
      <c r="D20802" s="26">
        <v>0.1061</v>
      </c>
      <c r="G20802">
        <v>66</v>
      </c>
    </row>
    <row r="20803" spans="1:7" x14ac:dyDescent="0.35">
      <c r="A20803" t="s">
        <v>228</v>
      </c>
      <c r="B20803" t="s">
        <v>267</v>
      </c>
      <c r="C20803" s="26">
        <v>0.75460000000000005</v>
      </c>
      <c r="D20803" s="26">
        <v>0.24540000000000001</v>
      </c>
      <c r="G20803">
        <v>199</v>
      </c>
    </row>
    <row r="20804" spans="1:7" x14ac:dyDescent="0.35">
      <c r="A20804" t="s">
        <v>228</v>
      </c>
      <c r="B20804" t="s">
        <v>265</v>
      </c>
      <c r="C20804" s="26">
        <v>0.72250000000000003</v>
      </c>
      <c r="D20804" s="26">
        <v>0.2767</v>
      </c>
      <c r="F20804" s="26">
        <v>8.9999999999999998E-4</v>
      </c>
      <c r="G20804">
        <v>384</v>
      </c>
    </row>
    <row r="20805" spans="1:7" x14ac:dyDescent="0.35">
      <c r="A20805" s="27" t="s">
        <v>228</v>
      </c>
      <c r="B20805" s="27" t="s">
        <v>236</v>
      </c>
      <c r="C20805" s="28">
        <v>1</v>
      </c>
      <c r="D20805" s="29"/>
      <c r="E20805" s="29"/>
      <c r="F20805" s="29"/>
      <c r="G20805" s="29" t="s">
        <v>314</v>
      </c>
    </row>
    <row r="20806" spans="1:7" x14ac:dyDescent="0.35">
      <c r="A20806" t="s">
        <v>228</v>
      </c>
      <c r="B20806" t="s">
        <v>266</v>
      </c>
      <c r="C20806" s="26">
        <v>0.71050000000000002</v>
      </c>
      <c r="D20806" s="26">
        <v>0.28810000000000002</v>
      </c>
      <c r="F20806" s="26">
        <v>1.2999999999999999E-3</v>
      </c>
      <c r="G20806">
        <v>448</v>
      </c>
    </row>
    <row r="20807" spans="1:7" x14ac:dyDescent="0.35">
      <c r="A20807" t="s">
        <v>229</v>
      </c>
      <c r="B20807" t="s">
        <v>266</v>
      </c>
      <c r="C20807" s="26">
        <v>0.75580000000000003</v>
      </c>
      <c r="D20807" s="26">
        <v>0.2442</v>
      </c>
      <c r="G20807">
        <v>359</v>
      </c>
    </row>
    <row r="20808" spans="1:7" x14ac:dyDescent="0.35">
      <c r="A20808" t="s">
        <v>229</v>
      </c>
      <c r="B20808" t="s">
        <v>267</v>
      </c>
      <c r="C20808" s="26">
        <v>0.85250000000000004</v>
      </c>
      <c r="D20808" s="26">
        <v>0.14749999999999999</v>
      </c>
      <c r="G20808">
        <v>201</v>
      </c>
    </row>
    <row r="20809" spans="1:7" x14ac:dyDescent="0.35">
      <c r="A20809" t="s">
        <v>229</v>
      </c>
      <c r="B20809" t="s">
        <v>265</v>
      </c>
      <c r="C20809" s="26">
        <v>0.73429999999999995</v>
      </c>
      <c r="D20809" s="26">
        <v>0.26340000000000002</v>
      </c>
      <c r="F20809" s="26">
        <v>2.2000000000000001E-3</v>
      </c>
      <c r="G20809">
        <v>335</v>
      </c>
    </row>
    <row r="20810" spans="1:7" x14ac:dyDescent="0.35">
      <c r="A20810" t="s">
        <v>230</v>
      </c>
      <c r="B20810" t="s">
        <v>267</v>
      </c>
      <c r="C20810" s="26">
        <v>0.75690000000000002</v>
      </c>
      <c r="D20810" s="26">
        <v>0.2389</v>
      </c>
      <c r="E20810" s="26">
        <v>4.1000000000000003E-3</v>
      </c>
      <c r="G20810">
        <v>119</v>
      </c>
    </row>
    <row r="20811" spans="1:7" x14ac:dyDescent="0.35">
      <c r="A20811" t="s">
        <v>230</v>
      </c>
      <c r="B20811" t="s">
        <v>266</v>
      </c>
      <c r="C20811" s="26">
        <v>0.65839999999999999</v>
      </c>
      <c r="D20811" s="26">
        <v>0.34160000000000001</v>
      </c>
      <c r="G20811">
        <v>232</v>
      </c>
    </row>
    <row r="20812" spans="1:7" x14ac:dyDescent="0.35">
      <c r="A20812" t="s">
        <v>230</v>
      </c>
      <c r="B20812" t="s">
        <v>265</v>
      </c>
      <c r="C20812" s="26">
        <v>0.71689999999999998</v>
      </c>
      <c r="D20812" s="26">
        <v>0.28310000000000002</v>
      </c>
      <c r="G20812">
        <v>209</v>
      </c>
    </row>
    <row r="20813" spans="1:7" x14ac:dyDescent="0.35">
      <c r="A20813" t="s">
        <v>231</v>
      </c>
      <c r="B20813" t="s">
        <v>267</v>
      </c>
      <c r="C20813" s="26">
        <v>0.70589999999999997</v>
      </c>
      <c r="D20813" s="26">
        <v>0.29409999999999997</v>
      </c>
      <c r="G20813">
        <v>34</v>
      </c>
    </row>
    <row r="20814" spans="1:7" x14ac:dyDescent="0.35">
      <c r="A20814" t="s">
        <v>231</v>
      </c>
      <c r="B20814" t="s">
        <v>266</v>
      </c>
      <c r="C20814" s="26">
        <v>0.7581</v>
      </c>
      <c r="D20814" s="26">
        <v>0.2419</v>
      </c>
      <c r="G20814">
        <v>62</v>
      </c>
    </row>
    <row r="20815" spans="1:7" x14ac:dyDescent="0.35">
      <c r="A20815" t="s">
        <v>231</v>
      </c>
      <c r="B20815" t="s">
        <v>265</v>
      </c>
      <c r="C20815" s="26">
        <v>0.67649999999999999</v>
      </c>
      <c r="D20815" s="26">
        <v>0.32350000000000001</v>
      </c>
      <c r="G20815">
        <v>68</v>
      </c>
    </row>
    <row r="20816" spans="1:7" x14ac:dyDescent="0.35">
      <c r="A20816" t="s">
        <v>232</v>
      </c>
      <c r="B20816" t="s">
        <v>232</v>
      </c>
      <c r="C20816" s="26">
        <v>0.74629999999999996</v>
      </c>
      <c r="D20816" s="26">
        <v>0.25219999999999998</v>
      </c>
      <c r="E20816" s="26">
        <v>1E-3</v>
      </c>
      <c r="F20816" s="26">
        <v>5.0000000000000001E-4</v>
      </c>
      <c r="G20816">
        <v>2813</v>
      </c>
    </row>
    <row r="20818" spans="1:7" x14ac:dyDescent="0.35">
      <c r="A20818" s="1" t="s">
        <v>2044</v>
      </c>
    </row>
    <row r="20819" spans="1:7" x14ac:dyDescent="0.35">
      <c r="A20819" t="s">
        <v>219</v>
      </c>
      <c r="B20819" t="s">
        <v>305</v>
      </c>
      <c r="C20819" t="s">
        <v>302</v>
      </c>
      <c r="D20819" t="s">
        <v>303</v>
      </c>
      <c r="E20819" t="s">
        <v>281</v>
      </c>
      <c r="F20819" t="s">
        <v>2026</v>
      </c>
      <c r="G20819" t="s">
        <v>226</v>
      </c>
    </row>
    <row r="20820" spans="1:7" x14ac:dyDescent="0.35">
      <c r="A20820" t="s">
        <v>227</v>
      </c>
      <c r="B20820" t="s">
        <v>252</v>
      </c>
      <c r="C20820" s="26">
        <v>0.73329999999999995</v>
      </c>
      <c r="D20820" s="26">
        <v>0.26669999999999999</v>
      </c>
      <c r="G20820">
        <v>45</v>
      </c>
    </row>
    <row r="20821" spans="1:7" x14ac:dyDescent="0.35">
      <c r="A20821" t="s">
        <v>227</v>
      </c>
      <c r="B20821" t="s">
        <v>253</v>
      </c>
      <c r="C20821" s="26">
        <v>0.94120000000000004</v>
      </c>
      <c r="D20821" s="26">
        <v>5.8799999999999998E-2</v>
      </c>
      <c r="G20821">
        <v>34</v>
      </c>
    </row>
    <row r="20822" spans="1:7" x14ac:dyDescent="0.35">
      <c r="A20822" t="s">
        <v>227</v>
      </c>
      <c r="B20822" t="s">
        <v>251</v>
      </c>
      <c r="C20822" s="26">
        <v>0.81710000000000005</v>
      </c>
      <c r="D20822" s="26">
        <v>0.17069999999999999</v>
      </c>
      <c r="E20822" s="26">
        <v>1.2200000000000001E-2</v>
      </c>
      <c r="G20822">
        <v>82</v>
      </c>
    </row>
    <row r="20823" spans="1:7" x14ac:dyDescent="0.35">
      <c r="A20823" t="s">
        <v>228</v>
      </c>
      <c r="B20823" t="s">
        <v>252</v>
      </c>
      <c r="C20823" s="26">
        <v>0.74529999999999996</v>
      </c>
      <c r="D20823" s="26">
        <v>0.25469999999999998</v>
      </c>
      <c r="G20823">
        <v>344</v>
      </c>
    </row>
    <row r="20824" spans="1:7" x14ac:dyDescent="0.35">
      <c r="A20824" t="s">
        <v>228</v>
      </c>
      <c r="B20824" t="s">
        <v>253</v>
      </c>
      <c r="C20824" s="26">
        <v>0.75039999999999996</v>
      </c>
      <c r="D20824" s="26">
        <v>0.24510000000000001</v>
      </c>
      <c r="F20824" s="26">
        <v>4.4000000000000003E-3</v>
      </c>
      <c r="G20824">
        <v>222</v>
      </c>
    </row>
    <row r="20825" spans="1:7" x14ac:dyDescent="0.35">
      <c r="A20825" t="s">
        <v>228</v>
      </c>
      <c r="B20825" t="s">
        <v>251</v>
      </c>
      <c r="C20825" s="26">
        <v>0.70009999999999994</v>
      </c>
      <c r="D20825" s="26">
        <v>0.2999</v>
      </c>
      <c r="G20825">
        <v>467</v>
      </c>
    </row>
    <row r="20826" spans="1:7" x14ac:dyDescent="0.35">
      <c r="A20826" t="s">
        <v>229</v>
      </c>
      <c r="B20826" t="s">
        <v>252</v>
      </c>
      <c r="C20826" s="26">
        <v>0.75549999999999995</v>
      </c>
      <c r="D20826" s="26">
        <v>0.2445</v>
      </c>
      <c r="G20826">
        <v>199</v>
      </c>
    </row>
    <row r="20827" spans="1:7" x14ac:dyDescent="0.35">
      <c r="A20827" t="s">
        <v>229</v>
      </c>
      <c r="B20827" t="s">
        <v>253</v>
      </c>
      <c r="C20827" s="26">
        <v>0.71589999999999998</v>
      </c>
      <c r="D20827" s="26">
        <v>0.28060000000000002</v>
      </c>
      <c r="F20827" s="26">
        <v>3.5000000000000001E-3</v>
      </c>
      <c r="G20827">
        <v>145</v>
      </c>
    </row>
    <row r="20828" spans="1:7" x14ac:dyDescent="0.35">
      <c r="A20828" t="s">
        <v>229</v>
      </c>
      <c r="B20828" t="s">
        <v>251</v>
      </c>
      <c r="C20828" s="26">
        <v>0.78879999999999995</v>
      </c>
      <c r="D20828" s="26">
        <v>0.21060000000000001</v>
      </c>
      <c r="F20828" s="26">
        <v>5.9999999999999995E-4</v>
      </c>
      <c r="G20828">
        <v>551</v>
      </c>
    </row>
    <row r="20829" spans="1:7" x14ac:dyDescent="0.35">
      <c r="A20829" t="s">
        <v>230</v>
      </c>
      <c r="B20829" t="s">
        <v>252</v>
      </c>
      <c r="C20829" s="26">
        <v>0.77239999999999998</v>
      </c>
      <c r="D20829" s="26">
        <v>0.2276</v>
      </c>
      <c r="G20829">
        <v>159</v>
      </c>
    </row>
    <row r="20830" spans="1:7" x14ac:dyDescent="0.35">
      <c r="A20830" t="s">
        <v>230</v>
      </c>
      <c r="B20830" t="s">
        <v>253</v>
      </c>
      <c r="C20830" s="26">
        <v>0.5847</v>
      </c>
      <c r="D20830" s="26">
        <v>0.4153</v>
      </c>
      <c r="G20830">
        <v>110</v>
      </c>
    </row>
    <row r="20831" spans="1:7" x14ac:dyDescent="0.35">
      <c r="A20831" t="s">
        <v>230</v>
      </c>
      <c r="B20831" t="s">
        <v>251</v>
      </c>
      <c r="C20831" s="26">
        <v>0.71409999999999996</v>
      </c>
      <c r="D20831" s="26">
        <v>0.2843</v>
      </c>
      <c r="E20831" s="26">
        <v>1.6000000000000001E-3</v>
      </c>
      <c r="G20831">
        <v>291</v>
      </c>
    </row>
    <row r="20832" spans="1:7" x14ac:dyDescent="0.35">
      <c r="A20832" t="s">
        <v>231</v>
      </c>
      <c r="B20832" t="s">
        <v>252</v>
      </c>
      <c r="C20832" s="26">
        <v>0.77549999999999997</v>
      </c>
      <c r="D20832" s="26">
        <v>0.22450000000000001</v>
      </c>
      <c r="G20832">
        <v>49</v>
      </c>
    </row>
    <row r="20833" spans="1:7" x14ac:dyDescent="0.35">
      <c r="A20833" t="s">
        <v>231</v>
      </c>
      <c r="B20833" t="s">
        <v>253</v>
      </c>
      <c r="C20833" s="26">
        <v>0.66669999999999996</v>
      </c>
      <c r="D20833" s="26">
        <v>0.33329999999999999</v>
      </c>
      <c r="G20833">
        <v>30</v>
      </c>
    </row>
    <row r="20834" spans="1:7" x14ac:dyDescent="0.35">
      <c r="A20834" t="s">
        <v>231</v>
      </c>
      <c r="B20834" t="s">
        <v>251</v>
      </c>
      <c r="C20834" s="26">
        <v>0.69410000000000005</v>
      </c>
      <c r="D20834" s="26">
        <v>0.30590000000000001</v>
      </c>
      <c r="G20834">
        <v>85</v>
      </c>
    </row>
    <row r="20835" spans="1:7" x14ac:dyDescent="0.35">
      <c r="A20835" t="s">
        <v>232</v>
      </c>
      <c r="B20835" t="s">
        <v>232</v>
      </c>
      <c r="C20835" s="26">
        <v>0.74629999999999996</v>
      </c>
      <c r="D20835" s="26">
        <v>0.25219999999999998</v>
      </c>
      <c r="E20835" s="26">
        <v>1E-3</v>
      </c>
      <c r="F20835" s="26">
        <v>5.0000000000000001E-4</v>
      </c>
      <c r="G20835">
        <v>2813</v>
      </c>
    </row>
    <row r="20837" spans="1:7" x14ac:dyDescent="0.35">
      <c r="A20837" s="1" t="s">
        <v>2045</v>
      </c>
    </row>
    <row r="20838" spans="1:7" x14ac:dyDescent="0.35">
      <c r="A20838" t="s">
        <v>219</v>
      </c>
      <c r="B20838" t="s">
        <v>305</v>
      </c>
      <c r="C20838" t="s">
        <v>302</v>
      </c>
      <c r="D20838" t="s">
        <v>303</v>
      </c>
      <c r="E20838" t="s">
        <v>281</v>
      </c>
      <c r="F20838" t="s">
        <v>2026</v>
      </c>
      <c r="G20838" t="s">
        <v>226</v>
      </c>
    </row>
    <row r="20839" spans="1:7" x14ac:dyDescent="0.35">
      <c r="A20839" t="s">
        <v>227</v>
      </c>
      <c r="B20839" t="s">
        <v>249</v>
      </c>
      <c r="C20839" s="26">
        <v>0.86360000000000003</v>
      </c>
      <c r="D20839" s="26">
        <v>0.13639999999999999</v>
      </c>
      <c r="G20839">
        <v>44</v>
      </c>
    </row>
    <row r="20840" spans="1:7" x14ac:dyDescent="0.35">
      <c r="A20840" t="s">
        <v>227</v>
      </c>
      <c r="B20840" t="s">
        <v>248</v>
      </c>
      <c r="C20840" s="26">
        <v>0.8034</v>
      </c>
      <c r="D20840" s="26">
        <v>0.188</v>
      </c>
      <c r="E20840" s="26">
        <v>8.5000000000000006E-3</v>
      </c>
      <c r="G20840">
        <v>117</v>
      </c>
    </row>
    <row r="20841" spans="1:7" x14ac:dyDescent="0.35">
      <c r="A20841" t="s">
        <v>228</v>
      </c>
      <c r="B20841" t="s">
        <v>249</v>
      </c>
      <c r="C20841" s="26">
        <v>0.67949999999999999</v>
      </c>
      <c r="D20841" s="26">
        <v>0.32050000000000001</v>
      </c>
      <c r="G20841">
        <v>274</v>
      </c>
    </row>
    <row r="20842" spans="1:7" x14ac:dyDescent="0.35">
      <c r="A20842" t="s">
        <v>228</v>
      </c>
      <c r="B20842" t="s">
        <v>248</v>
      </c>
      <c r="C20842" s="26">
        <v>0.74419999999999997</v>
      </c>
      <c r="D20842" s="26">
        <v>0.2545</v>
      </c>
      <c r="F20842" s="26">
        <v>1.2999999999999999E-3</v>
      </c>
      <c r="G20842">
        <v>759</v>
      </c>
    </row>
    <row r="20843" spans="1:7" x14ac:dyDescent="0.35">
      <c r="A20843" t="s">
        <v>229</v>
      </c>
      <c r="B20843" t="s">
        <v>249</v>
      </c>
      <c r="C20843" s="26">
        <v>0.79349999999999998</v>
      </c>
      <c r="D20843" s="26">
        <v>0.20649999999999999</v>
      </c>
      <c r="G20843">
        <v>259</v>
      </c>
    </row>
    <row r="20844" spans="1:7" x14ac:dyDescent="0.35">
      <c r="A20844" t="s">
        <v>229</v>
      </c>
      <c r="B20844" t="s">
        <v>248</v>
      </c>
      <c r="C20844" s="26">
        <v>0.75490000000000002</v>
      </c>
      <c r="D20844" s="26">
        <v>0.2437</v>
      </c>
      <c r="F20844" s="26">
        <v>1.5E-3</v>
      </c>
      <c r="G20844">
        <v>636</v>
      </c>
    </row>
    <row r="20845" spans="1:7" x14ac:dyDescent="0.35">
      <c r="A20845" t="s">
        <v>230</v>
      </c>
      <c r="B20845" t="s">
        <v>249</v>
      </c>
      <c r="C20845" s="26">
        <v>0.73</v>
      </c>
      <c r="D20845" s="26">
        <v>0.27</v>
      </c>
      <c r="G20845">
        <v>171</v>
      </c>
    </row>
    <row r="20846" spans="1:7" x14ac:dyDescent="0.35">
      <c r="A20846" t="s">
        <v>230</v>
      </c>
      <c r="B20846" t="s">
        <v>248</v>
      </c>
      <c r="C20846" s="26">
        <v>0.69159999999999999</v>
      </c>
      <c r="D20846" s="26">
        <v>0.307</v>
      </c>
      <c r="E20846" s="26">
        <v>1.4E-3</v>
      </c>
      <c r="G20846">
        <v>389</v>
      </c>
    </row>
    <row r="20847" spans="1:7" x14ac:dyDescent="0.35">
      <c r="A20847" t="s">
        <v>231</v>
      </c>
      <c r="B20847" t="s">
        <v>249</v>
      </c>
      <c r="C20847" s="26">
        <v>0.62860000000000005</v>
      </c>
      <c r="D20847" s="26">
        <v>0.37140000000000001</v>
      </c>
      <c r="G20847">
        <v>35</v>
      </c>
    </row>
    <row r="20848" spans="1:7" x14ac:dyDescent="0.35">
      <c r="A20848" t="s">
        <v>231</v>
      </c>
      <c r="B20848" t="s">
        <v>248</v>
      </c>
      <c r="C20848" s="26">
        <v>0.73640000000000005</v>
      </c>
      <c r="D20848" s="26">
        <v>0.2636</v>
      </c>
      <c r="G20848">
        <v>129</v>
      </c>
    </row>
    <row r="20849" spans="1:7" x14ac:dyDescent="0.35">
      <c r="A20849" t="s">
        <v>232</v>
      </c>
      <c r="B20849" t="s">
        <v>232</v>
      </c>
      <c r="C20849" s="26">
        <v>0.74629999999999996</v>
      </c>
      <c r="D20849" s="26">
        <v>0.25219999999999998</v>
      </c>
      <c r="E20849" s="26">
        <v>1E-3</v>
      </c>
      <c r="F20849" s="26">
        <v>5.0000000000000001E-4</v>
      </c>
      <c r="G20849">
        <v>2813</v>
      </c>
    </row>
    <row r="20851" spans="1:7" x14ac:dyDescent="0.35">
      <c r="A20851" s="1" t="s">
        <v>2046</v>
      </c>
    </row>
    <row r="20852" spans="1:7" x14ac:dyDescent="0.35">
      <c r="A20852" t="s">
        <v>219</v>
      </c>
      <c r="B20852" t="s">
        <v>305</v>
      </c>
      <c r="C20852" t="s">
        <v>302</v>
      </c>
      <c r="D20852" t="s">
        <v>303</v>
      </c>
      <c r="E20852" t="s">
        <v>281</v>
      </c>
      <c r="F20852" t="s">
        <v>2026</v>
      </c>
      <c r="G20852" t="s">
        <v>226</v>
      </c>
    </row>
    <row r="20853" spans="1:7" x14ac:dyDescent="0.35">
      <c r="A20853" s="27" t="s">
        <v>227</v>
      </c>
      <c r="B20853" s="27" t="s">
        <v>263</v>
      </c>
      <c r="C20853" s="28">
        <v>0.66669999999999996</v>
      </c>
      <c r="D20853" s="29"/>
      <c r="E20853" s="28">
        <v>0.33329999999999999</v>
      </c>
      <c r="F20853" s="29"/>
      <c r="G20853" s="29" t="s">
        <v>315</v>
      </c>
    </row>
    <row r="20854" spans="1:7" x14ac:dyDescent="0.35">
      <c r="A20854" t="s">
        <v>227</v>
      </c>
      <c r="B20854" t="s">
        <v>261</v>
      </c>
      <c r="C20854" s="26">
        <v>0.84850000000000003</v>
      </c>
      <c r="D20854" s="26">
        <v>0.1515</v>
      </c>
      <c r="G20854">
        <v>33</v>
      </c>
    </row>
    <row r="20855" spans="1:7" x14ac:dyDescent="0.35">
      <c r="A20855" s="27" t="s">
        <v>227</v>
      </c>
      <c r="B20855" s="27" t="s">
        <v>262</v>
      </c>
      <c r="C20855" s="28">
        <v>1</v>
      </c>
      <c r="D20855" s="29"/>
      <c r="E20855" s="29"/>
      <c r="F20855" s="29"/>
      <c r="G20855" s="29" t="s">
        <v>315</v>
      </c>
    </row>
    <row r="20856" spans="1:7" x14ac:dyDescent="0.35">
      <c r="A20856" t="s">
        <v>227</v>
      </c>
      <c r="B20856" t="s">
        <v>260</v>
      </c>
      <c r="C20856" s="26">
        <v>0.8115</v>
      </c>
      <c r="D20856" s="26">
        <v>0.1885</v>
      </c>
      <c r="G20856">
        <v>122</v>
      </c>
    </row>
    <row r="20857" spans="1:7" x14ac:dyDescent="0.35">
      <c r="A20857" t="s">
        <v>228</v>
      </c>
      <c r="B20857" t="s">
        <v>261</v>
      </c>
      <c r="C20857" s="26">
        <v>0.86250000000000004</v>
      </c>
      <c r="D20857" s="26">
        <v>0.13469999999999999</v>
      </c>
      <c r="F20857" s="26">
        <v>2.8E-3</v>
      </c>
      <c r="G20857">
        <v>192</v>
      </c>
    </row>
    <row r="20858" spans="1:7" x14ac:dyDescent="0.35">
      <c r="A20858" s="27" t="s">
        <v>228</v>
      </c>
      <c r="B20858" s="27" t="s">
        <v>263</v>
      </c>
      <c r="C20858" s="28">
        <v>0.81510000000000005</v>
      </c>
      <c r="D20858" s="28">
        <v>0.16569999999999999</v>
      </c>
      <c r="E20858" s="29"/>
      <c r="F20858" s="28">
        <v>1.9199999999999998E-2</v>
      </c>
      <c r="G20858" s="29" t="s">
        <v>312</v>
      </c>
    </row>
    <row r="20859" spans="1:7" x14ac:dyDescent="0.35">
      <c r="A20859" s="27" t="s">
        <v>228</v>
      </c>
      <c r="B20859" s="27" t="s">
        <v>236</v>
      </c>
      <c r="C20859" s="28">
        <v>0.7732</v>
      </c>
      <c r="D20859" s="28">
        <v>0.2268</v>
      </c>
      <c r="E20859" s="29"/>
      <c r="F20859" s="29"/>
      <c r="G20859" s="29" t="s">
        <v>335</v>
      </c>
    </row>
    <row r="20860" spans="1:7" x14ac:dyDescent="0.35">
      <c r="A20860" t="s">
        <v>228</v>
      </c>
      <c r="B20860" t="s">
        <v>262</v>
      </c>
      <c r="C20860" s="26">
        <v>0.67679999999999996</v>
      </c>
      <c r="D20860" s="26">
        <v>0.32319999999999999</v>
      </c>
      <c r="G20860">
        <v>201</v>
      </c>
    </row>
    <row r="20861" spans="1:7" x14ac:dyDescent="0.35">
      <c r="A20861" t="s">
        <v>228</v>
      </c>
      <c r="B20861" t="s">
        <v>260</v>
      </c>
      <c r="C20861" s="26">
        <v>0.69099999999999995</v>
      </c>
      <c r="D20861" s="26">
        <v>0.309</v>
      </c>
      <c r="G20861">
        <v>609</v>
      </c>
    </row>
    <row r="20862" spans="1:7" x14ac:dyDescent="0.35">
      <c r="A20862" s="27" t="s">
        <v>229</v>
      </c>
      <c r="B20862" s="27" t="s">
        <v>263</v>
      </c>
      <c r="C20862" s="28">
        <v>0.84430000000000005</v>
      </c>
      <c r="D20862" s="28">
        <v>0.15570000000000001</v>
      </c>
      <c r="E20862" s="29"/>
      <c r="F20862" s="29"/>
      <c r="G20862" s="29" t="s">
        <v>379</v>
      </c>
    </row>
    <row r="20863" spans="1:7" x14ac:dyDescent="0.35">
      <c r="A20863" t="s">
        <v>229</v>
      </c>
      <c r="B20863" t="s">
        <v>262</v>
      </c>
      <c r="C20863" s="26">
        <v>0.69359999999999999</v>
      </c>
      <c r="D20863" s="26">
        <v>0.30520000000000003</v>
      </c>
      <c r="F20863" s="26">
        <v>1.1999999999999999E-3</v>
      </c>
      <c r="G20863">
        <v>188</v>
      </c>
    </row>
    <row r="20864" spans="1:7" x14ac:dyDescent="0.35">
      <c r="A20864" t="s">
        <v>229</v>
      </c>
      <c r="B20864" t="s">
        <v>261</v>
      </c>
      <c r="C20864" s="26">
        <v>0.88770000000000004</v>
      </c>
      <c r="D20864" s="26">
        <v>0.1123</v>
      </c>
      <c r="G20864">
        <v>96</v>
      </c>
    </row>
    <row r="20865" spans="1:7" x14ac:dyDescent="0.35">
      <c r="A20865" s="27" t="s">
        <v>229</v>
      </c>
      <c r="B20865" s="27" t="s">
        <v>236</v>
      </c>
      <c r="C20865" s="28">
        <v>1</v>
      </c>
      <c r="D20865" s="29"/>
      <c r="E20865" s="29"/>
      <c r="F20865" s="29"/>
      <c r="G20865" s="29" t="s">
        <v>331</v>
      </c>
    </row>
    <row r="20866" spans="1:7" x14ac:dyDescent="0.35">
      <c r="A20866" t="s">
        <v>229</v>
      </c>
      <c r="B20866" t="s">
        <v>260</v>
      </c>
      <c r="C20866" s="26">
        <v>0.76990000000000003</v>
      </c>
      <c r="D20866" s="26">
        <v>0.22889999999999999</v>
      </c>
      <c r="F20866" s="26">
        <v>1.1999999999999999E-3</v>
      </c>
      <c r="G20866">
        <v>596</v>
      </c>
    </row>
    <row r="20867" spans="1:7" x14ac:dyDescent="0.35">
      <c r="A20867" s="27" t="s">
        <v>230</v>
      </c>
      <c r="B20867" s="27" t="s">
        <v>236</v>
      </c>
      <c r="C20867" s="28">
        <v>0.15570000000000001</v>
      </c>
      <c r="D20867" s="28">
        <v>0.84430000000000005</v>
      </c>
      <c r="E20867" s="29"/>
      <c r="F20867" s="29"/>
      <c r="G20867" s="29" t="s">
        <v>337</v>
      </c>
    </row>
    <row r="20868" spans="1:7" x14ac:dyDescent="0.35">
      <c r="A20868" t="s">
        <v>230</v>
      </c>
      <c r="B20868" t="s">
        <v>262</v>
      </c>
      <c r="C20868" s="26">
        <v>0.71889999999999998</v>
      </c>
      <c r="D20868" s="26">
        <v>0.27500000000000002</v>
      </c>
      <c r="E20868" s="26">
        <v>6.0000000000000001E-3</v>
      </c>
      <c r="G20868">
        <v>122</v>
      </c>
    </row>
    <row r="20869" spans="1:7" x14ac:dyDescent="0.35">
      <c r="A20869" t="s">
        <v>230</v>
      </c>
      <c r="B20869" t="s">
        <v>261</v>
      </c>
      <c r="C20869" s="26">
        <v>0.73370000000000002</v>
      </c>
      <c r="D20869" s="26">
        <v>0.26629999999999998</v>
      </c>
      <c r="G20869">
        <v>57</v>
      </c>
    </row>
    <row r="20870" spans="1:7" x14ac:dyDescent="0.35">
      <c r="A20870" s="27" t="s">
        <v>230</v>
      </c>
      <c r="B20870" s="27" t="s">
        <v>263</v>
      </c>
      <c r="C20870" s="28">
        <v>0.49380000000000002</v>
      </c>
      <c r="D20870" s="28">
        <v>0.50619999999999998</v>
      </c>
      <c r="E20870" s="29"/>
      <c r="F20870" s="29"/>
      <c r="G20870" s="29" t="s">
        <v>312</v>
      </c>
    </row>
    <row r="20871" spans="1:7" x14ac:dyDescent="0.35">
      <c r="A20871" t="s">
        <v>230</v>
      </c>
      <c r="B20871" t="s">
        <v>260</v>
      </c>
      <c r="C20871" s="26">
        <v>0.70669999999999999</v>
      </c>
      <c r="D20871" s="26">
        <v>0.29330000000000001</v>
      </c>
      <c r="G20871">
        <v>352</v>
      </c>
    </row>
    <row r="20872" spans="1:7" x14ac:dyDescent="0.35">
      <c r="A20872" s="27" t="s">
        <v>231</v>
      </c>
      <c r="B20872" s="27" t="s">
        <v>263</v>
      </c>
      <c r="C20872" s="28">
        <v>0.5</v>
      </c>
      <c r="D20872" s="28">
        <v>0.5</v>
      </c>
      <c r="E20872" s="29"/>
      <c r="F20872" s="29"/>
      <c r="G20872" s="29" t="s">
        <v>314</v>
      </c>
    </row>
    <row r="20873" spans="1:7" x14ac:dyDescent="0.35">
      <c r="A20873" t="s">
        <v>231</v>
      </c>
      <c r="B20873" t="s">
        <v>260</v>
      </c>
      <c r="C20873" s="26">
        <v>0.6855</v>
      </c>
      <c r="D20873" s="26">
        <v>0.3145</v>
      </c>
      <c r="G20873">
        <v>124</v>
      </c>
    </row>
    <row r="20874" spans="1:7" x14ac:dyDescent="0.35">
      <c r="A20874" s="27" t="s">
        <v>231</v>
      </c>
      <c r="B20874" s="27" t="s">
        <v>261</v>
      </c>
      <c r="C20874" s="28">
        <v>0.77780000000000005</v>
      </c>
      <c r="D20874" s="28">
        <v>0.22220000000000001</v>
      </c>
      <c r="E20874" s="29"/>
      <c r="F20874" s="29"/>
      <c r="G20874" s="29" t="s">
        <v>338</v>
      </c>
    </row>
    <row r="20875" spans="1:7" x14ac:dyDescent="0.35">
      <c r="A20875" s="27" t="s">
        <v>231</v>
      </c>
      <c r="B20875" s="27" t="s">
        <v>262</v>
      </c>
      <c r="C20875" s="28">
        <v>0.90910000000000002</v>
      </c>
      <c r="D20875" s="28">
        <v>9.0899999999999995E-2</v>
      </c>
      <c r="E20875" s="29"/>
      <c r="F20875" s="29"/>
      <c r="G20875" s="29" t="s">
        <v>352</v>
      </c>
    </row>
    <row r="20876" spans="1:7" x14ac:dyDescent="0.35">
      <c r="A20876" t="s">
        <v>232</v>
      </c>
      <c r="B20876" t="s">
        <v>232</v>
      </c>
      <c r="C20876" s="26">
        <v>0.74629999999999996</v>
      </c>
      <c r="D20876" s="26">
        <v>0.25219999999999998</v>
      </c>
      <c r="E20876" s="26">
        <v>1E-3</v>
      </c>
      <c r="F20876" s="26">
        <v>5.0000000000000001E-4</v>
      </c>
      <c r="G20876">
        <v>2813</v>
      </c>
    </row>
    <row r="20878" spans="1:7" x14ac:dyDescent="0.35">
      <c r="A20878" s="1" t="s">
        <v>2047</v>
      </c>
    </row>
    <row r="20879" spans="1:7" x14ac:dyDescent="0.35">
      <c r="A20879" t="s">
        <v>219</v>
      </c>
      <c r="B20879" t="s">
        <v>305</v>
      </c>
      <c r="C20879" t="s">
        <v>302</v>
      </c>
      <c r="D20879" t="s">
        <v>303</v>
      </c>
      <c r="E20879" t="s">
        <v>281</v>
      </c>
      <c r="F20879" t="s">
        <v>2026</v>
      </c>
      <c r="G20879" t="s">
        <v>226</v>
      </c>
    </row>
    <row r="20880" spans="1:7" x14ac:dyDescent="0.35">
      <c r="A20880" t="s">
        <v>227</v>
      </c>
      <c r="B20880" t="s">
        <v>368</v>
      </c>
      <c r="C20880" s="26">
        <v>0.84850000000000003</v>
      </c>
      <c r="D20880" s="26">
        <v>0.1515</v>
      </c>
      <c r="G20880">
        <v>33</v>
      </c>
    </row>
    <row r="20881" spans="1:7" x14ac:dyDescent="0.35">
      <c r="A20881" t="s">
        <v>227</v>
      </c>
      <c r="B20881" t="s">
        <v>369</v>
      </c>
      <c r="C20881" s="26">
        <v>0.8125</v>
      </c>
      <c r="D20881" s="26">
        <v>0.1797</v>
      </c>
      <c r="E20881" s="26">
        <v>7.7999999999999996E-3</v>
      </c>
      <c r="G20881">
        <v>128</v>
      </c>
    </row>
    <row r="20882" spans="1:7" x14ac:dyDescent="0.35">
      <c r="A20882" t="s">
        <v>228</v>
      </c>
      <c r="B20882" t="s">
        <v>368</v>
      </c>
      <c r="C20882" s="26">
        <v>0.86250000000000004</v>
      </c>
      <c r="D20882" s="26">
        <v>0.13469999999999999</v>
      </c>
      <c r="F20882" s="26">
        <v>2.8E-3</v>
      </c>
      <c r="G20882">
        <v>192</v>
      </c>
    </row>
    <row r="20883" spans="1:7" x14ac:dyDescent="0.35">
      <c r="A20883" t="s">
        <v>228</v>
      </c>
      <c r="B20883" t="s">
        <v>369</v>
      </c>
      <c r="C20883" s="26">
        <v>0.69159999999999999</v>
      </c>
      <c r="D20883" s="26">
        <v>0.308</v>
      </c>
      <c r="F20883" s="26">
        <v>4.0000000000000002E-4</v>
      </c>
      <c r="G20883">
        <v>841</v>
      </c>
    </row>
    <row r="20884" spans="1:7" x14ac:dyDescent="0.35">
      <c r="A20884" t="s">
        <v>229</v>
      </c>
      <c r="B20884" t="s">
        <v>368</v>
      </c>
      <c r="C20884" s="26">
        <v>0.88770000000000004</v>
      </c>
      <c r="D20884" s="26">
        <v>0.1123</v>
      </c>
      <c r="G20884">
        <v>96</v>
      </c>
    </row>
    <row r="20885" spans="1:7" x14ac:dyDescent="0.35">
      <c r="A20885" t="s">
        <v>229</v>
      </c>
      <c r="B20885" t="s">
        <v>369</v>
      </c>
      <c r="C20885" s="26">
        <v>0.74660000000000004</v>
      </c>
      <c r="D20885" s="26">
        <v>0.25219999999999998</v>
      </c>
      <c r="F20885" s="26">
        <v>1.1999999999999999E-3</v>
      </c>
      <c r="G20885">
        <v>799</v>
      </c>
    </row>
    <row r="20886" spans="1:7" x14ac:dyDescent="0.35">
      <c r="A20886" t="s">
        <v>230</v>
      </c>
      <c r="B20886" t="s">
        <v>368</v>
      </c>
      <c r="C20886" s="26">
        <v>0.73370000000000002</v>
      </c>
      <c r="D20886" s="26">
        <v>0.26629999999999998</v>
      </c>
      <c r="G20886">
        <v>57</v>
      </c>
    </row>
    <row r="20887" spans="1:7" x14ac:dyDescent="0.35">
      <c r="A20887" t="s">
        <v>230</v>
      </c>
      <c r="B20887" t="s">
        <v>369</v>
      </c>
      <c r="C20887" s="26">
        <v>0.70009999999999994</v>
      </c>
      <c r="D20887" s="26">
        <v>0.2989</v>
      </c>
      <c r="E20887" s="26">
        <v>1E-3</v>
      </c>
      <c r="G20887">
        <v>503</v>
      </c>
    </row>
    <row r="20888" spans="1:7" x14ac:dyDescent="0.35">
      <c r="A20888" s="27" t="s">
        <v>231</v>
      </c>
      <c r="B20888" s="27" t="s">
        <v>368</v>
      </c>
      <c r="C20888" s="28">
        <v>0.77780000000000005</v>
      </c>
      <c r="D20888" s="28">
        <v>0.22220000000000001</v>
      </c>
      <c r="E20888" s="29"/>
      <c r="F20888" s="29"/>
      <c r="G20888" s="29" t="s">
        <v>338</v>
      </c>
    </row>
    <row r="20889" spans="1:7" x14ac:dyDescent="0.35">
      <c r="A20889" t="s">
        <v>231</v>
      </c>
      <c r="B20889" t="s">
        <v>369</v>
      </c>
      <c r="C20889" s="26">
        <v>0.70069999999999999</v>
      </c>
      <c r="D20889" s="26">
        <v>0.29930000000000001</v>
      </c>
      <c r="G20889">
        <v>137</v>
      </c>
    </row>
    <row r="20890" spans="1:7" x14ac:dyDescent="0.35">
      <c r="A20890" t="s">
        <v>232</v>
      </c>
      <c r="B20890" t="s">
        <v>232</v>
      </c>
      <c r="C20890" s="26">
        <v>0.74629999999999996</v>
      </c>
      <c r="D20890" s="26">
        <v>0.25219999999999998</v>
      </c>
      <c r="E20890" s="26">
        <v>1E-3</v>
      </c>
      <c r="F20890" s="26">
        <v>5.0000000000000001E-4</v>
      </c>
      <c r="G20890">
        <v>2813</v>
      </c>
    </row>
    <row r="20892" spans="1:7" x14ac:dyDescent="0.35">
      <c r="A20892" s="1" t="s">
        <v>2048</v>
      </c>
    </row>
    <row r="20893" spans="1:7" x14ac:dyDescent="0.35">
      <c r="A20893" t="s">
        <v>219</v>
      </c>
      <c r="B20893" t="s">
        <v>305</v>
      </c>
      <c r="C20893" t="s">
        <v>302</v>
      </c>
      <c r="D20893" t="s">
        <v>303</v>
      </c>
      <c r="E20893" t="s">
        <v>281</v>
      </c>
      <c r="F20893" t="s">
        <v>2026</v>
      </c>
      <c r="G20893" t="s">
        <v>226</v>
      </c>
    </row>
    <row r="20894" spans="1:7" x14ac:dyDescent="0.35">
      <c r="A20894" t="s">
        <v>227</v>
      </c>
      <c r="B20894" t="s">
        <v>371</v>
      </c>
      <c r="C20894" s="26">
        <v>0.81989999999999996</v>
      </c>
      <c r="D20894" s="26">
        <v>0.1739</v>
      </c>
      <c r="E20894" s="26">
        <v>6.1999999999999998E-3</v>
      </c>
      <c r="G20894">
        <v>161</v>
      </c>
    </row>
    <row r="20895" spans="1:7" x14ac:dyDescent="0.35">
      <c r="A20895" t="s">
        <v>228</v>
      </c>
      <c r="B20895" t="s">
        <v>371</v>
      </c>
      <c r="C20895" s="26">
        <v>0.70709999999999995</v>
      </c>
      <c r="D20895" s="26">
        <v>0.2923</v>
      </c>
      <c r="F20895" s="26">
        <v>6.9999999999999999E-4</v>
      </c>
      <c r="G20895">
        <v>292</v>
      </c>
    </row>
    <row r="20896" spans="1:7" x14ac:dyDescent="0.35">
      <c r="A20896" t="s">
        <v>228</v>
      </c>
      <c r="B20896" t="s">
        <v>372</v>
      </c>
      <c r="C20896" s="26">
        <v>0.78979999999999995</v>
      </c>
      <c r="D20896" s="26">
        <v>0.2102</v>
      </c>
      <c r="G20896">
        <v>218</v>
      </c>
    </row>
    <row r="20897" spans="1:7" x14ac:dyDescent="0.35">
      <c r="A20897" t="s">
        <v>228</v>
      </c>
      <c r="B20897" t="s">
        <v>373</v>
      </c>
      <c r="C20897" s="26">
        <v>0.73440000000000005</v>
      </c>
      <c r="D20897" s="26">
        <v>0.26419999999999999</v>
      </c>
      <c r="F20897" s="26">
        <v>1.4E-3</v>
      </c>
      <c r="G20897">
        <v>523</v>
      </c>
    </row>
    <row r="20898" spans="1:7" x14ac:dyDescent="0.35">
      <c r="A20898" t="s">
        <v>229</v>
      </c>
      <c r="B20898" t="s">
        <v>371</v>
      </c>
      <c r="C20898" s="26">
        <v>0.7752</v>
      </c>
      <c r="D20898" s="26">
        <v>0.22409999999999999</v>
      </c>
      <c r="F20898" s="26">
        <v>6.9999999999999999E-4</v>
      </c>
      <c r="G20898">
        <v>584</v>
      </c>
    </row>
    <row r="20899" spans="1:7" x14ac:dyDescent="0.35">
      <c r="A20899" t="s">
        <v>229</v>
      </c>
      <c r="B20899" t="s">
        <v>372</v>
      </c>
      <c r="C20899" s="26">
        <v>0.64990000000000003</v>
      </c>
      <c r="D20899" s="26">
        <v>0.34350000000000003</v>
      </c>
      <c r="F20899" s="26">
        <v>6.6E-3</v>
      </c>
      <c r="G20899">
        <v>221</v>
      </c>
    </row>
    <row r="20900" spans="1:7" x14ac:dyDescent="0.35">
      <c r="A20900" t="s">
        <v>229</v>
      </c>
      <c r="B20900" t="s">
        <v>373</v>
      </c>
      <c r="C20900" s="26">
        <v>0.72489999999999999</v>
      </c>
      <c r="D20900" s="26">
        <v>0.27510000000000001</v>
      </c>
      <c r="G20900">
        <v>90</v>
      </c>
    </row>
    <row r="20901" spans="1:7" x14ac:dyDescent="0.35">
      <c r="A20901" t="s">
        <v>230</v>
      </c>
      <c r="B20901" t="s">
        <v>371</v>
      </c>
      <c r="C20901" s="26">
        <v>0.69130000000000003</v>
      </c>
      <c r="D20901" s="26">
        <v>0.30759999999999998</v>
      </c>
      <c r="E20901" s="26">
        <v>1.1000000000000001E-3</v>
      </c>
      <c r="G20901">
        <v>262</v>
      </c>
    </row>
    <row r="20902" spans="1:7" x14ac:dyDescent="0.35">
      <c r="A20902" t="s">
        <v>230</v>
      </c>
      <c r="B20902" t="s">
        <v>372</v>
      </c>
      <c r="C20902" s="26">
        <v>0.71950000000000003</v>
      </c>
      <c r="D20902" s="26">
        <v>0.28050000000000003</v>
      </c>
      <c r="G20902">
        <v>146</v>
      </c>
    </row>
    <row r="20903" spans="1:7" x14ac:dyDescent="0.35">
      <c r="A20903" t="s">
        <v>230</v>
      </c>
      <c r="B20903" t="s">
        <v>373</v>
      </c>
      <c r="C20903" s="26">
        <v>0.78269999999999995</v>
      </c>
      <c r="D20903" s="26">
        <v>0.21729999999999999</v>
      </c>
      <c r="G20903">
        <v>152</v>
      </c>
    </row>
    <row r="20904" spans="1:7" x14ac:dyDescent="0.35">
      <c r="A20904" t="s">
        <v>231</v>
      </c>
      <c r="B20904" t="s">
        <v>371</v>
      </c>
      <c r="C20904" s="26">
        <v>0.71340000000000003</v>
      </c>
      <c r="D20904" s="26">
        <v>0.28660000000000002</v>
      </c>
      <c r="G20904">
        <v>164</v>
      </c>
    </row>
    <row r="20905" spans="1:7" x14ac:dyDescent="0.35">
      <c r="A20905" t="s">
        <v>232</v>
      </c>
      <c r="B20905" t="s">
        <v>232</v>
      </c>
      <c r="C20905" s="26">
        <v>0.74629999999999996</v>
      </c>
      <c r="D20905" s="26">
        <v>0.25219999999999998</v>
      </c>
      <c r="E20905" s="26">
        <v>1E-3</v>
      </c>
      <c r="F20905" s="26">
        <v>5.0000000000000001E-4</v>
      </c>
      <c r="G20905">
        <v>2813</v>
      </c>
    </row>
    <row r="20907" spans="1:7" x14ac:dyDescent="0.35">
      <c r="A20907" s="1" t="s">
        <v>2049</v>
      </c>
    </row>
    <row r="20908" spans="1:7" x14ac:dyDescent="0.35">
      <c r="A20908" t="s">
        <v>219</v>
      </c>
      <c r="B20908" t="s">
        <v>305</v>
      </c>
      <c r="C20908" t="s">
        <v>302</v>
      </c>
      <c r="D20908" t="s">
        <v>303</v>
      </c>
      <c r="E20908" t="s">
        <v>281</v>
      </c>
      <c r="F20908" t="s">
        <v>2026</v>
      </c>
      <c r="G20908" t="s">
        <v>226</v>
      </c>
    </row>
    <row r="20909" spans="1:7" x14ac:dyDescent="0.35">
      <c r="A20909" t="s">
        <v>227</v>
      </c>
      <c r="B20909" t="s">
        <v>255</v>
      </c>
      <c r="C20909" s="26">
        <v>0.8034</v>
      </c>
      <c r="D20909" s="26">
        <v>0.188</v>
      </c>
      <c r="E20909" s="26">
        <v>8.5000000000000006E-3</v>
      </c>
      <c r="G20909">
        <v>117</v>
      </c>
    </row>
    <row r="20910" spans="1:7" x14ac:dyDescent="0.35">
      <c r="A20910" s="27" t="s">
        <v>227</v>
      </c>
      <c r="B20910" s="27" t="s">
        <v>257</v>
      </c>
      <c r="C20910" s="28">
        <v>0.77780000000000005</v>
      </c>
      <c r="D20910" s="28">
        <v>0.22220000000000001</v>
      </c>
      <c r="E20910" s="29"/>
      <c r="F20910" s="29"/>
      <c r="G20910" s="29" t="s">
        <v>334</v>
      </c>
    </row>
    <row r="20911" spans="1:7" x14ac:dyDescent="0.35">
      <c r="A20911" t="s">
        <v>227</v>
      </c>
      <c r="B20911" t="s">
        <v>256</v>
      </c>
      <c r="C20911" s="26">
        <v>0.88570000000000004</v>
      </c>
      <c r="D20911" s="26">
        <v>0.1143</v>
      </c>
      <c r="G20911">
        <v>35</v>
      </c>
    </row>
    <row r="20912" spans="1:7" x14ac:dyDescent="0.35">
      <c r="A20912" t="s">
        <v>228</v>
      </c>
      <c r="B20912" t="s">
        <v>257</v>
      </c>
      <c r="C20912" s="26">
        <v>0.70120000000000005</v>
      </c>
      <c r="D20912" s="26">
        <v>0.29880000000000001</v>
      </c>
      <c r="G20912">
        <v>49</v>
      </c>
    </row>
    <row r="20913" spans="1:7" x14ac:dyDescent="0.35">
      <c r="A20913" s="27" t="s">
        <v>228</v>
      </c>
      <c r="B20913" s="27" t="s">
        <v>258</v>
      </c>
      <c r="C20913" s="28">
        <v>1</v>
      </c>
      <c r="D20913" s="29"/>
      <c r="E20913" s="29"/>
      <c r="F20913" s="29"/>
      <c r="G20913" s="29" t="s">
        <v>337</v>
      </c>
    </row>
    <row r="20914" spans="1:7" x14ac:dyDescent="0.35">
      <c r="A20914" t="s">
        <v>228</v>
      </c>
      <c r="B20914" t="s">
        <v>256</v>
      </c>
      <c r="C20914" s="26">
        <v>0.66749999999999998</v>
      </c>
      <c r="D20914" s="26">
        <v>0.33250000000000002</v>
      </c>
      <c r="G20914">
        <v>221</v>
      </c>
    </row>
    <row r="20915" spans="1:7" x14ac:dyDescent="0.35">
      <c r="A20915" t="s">
        <v>228</v>
      </c>
      <c r="B20915" t="s">
        <v>255</v>
      </c>
      <c r="C20915" s="26">
        <v>0.74419999999999997</v>
      </c>
      <c r="D20915" s="26">
        <v>0.2545</v>
      </c>
      <c r="F20915" s="26">
        <v>1.2999999999999999E-3</v>
      </c>
      <c r="G20915">
        <v>759</v>
      </c>
    </row>
    <row r="20916" spans="1:7" x14ac:dyDescent="0.35">
      <c r="A20916" t="s">
        <v>229</v>
      </c>
      <c r="B20916" t="s">
        <v>256</v>
      </c>
      <c r="C20916" s="26">
        <v>0.78659999999999997</v>
      </c>
      <c r="D20916" s="26">
        <v>0.21340000000000001</v>
      </c>
      <c r="G20916">
        <v>207</v>
      </c>
    </row>
    <row r="20917" spans="1:7" x14ac:dyDescent="0.35">
      <c r="A20917" t="s">
        <v>229</v>
      </c>
      <c r="B20917" t="s">
        <v>255</v>
      </c>
      <c r="C20917" s="26">
        <v>0.75490000000000002</v>
      </c>
      <c r="D20917" s="26">
        <v>0.2437</v>
      </c>
      <c r="F20917" s="26">
        <v>1.5E-3</v>
      </c>
      <c r="G20917">
        <v>636</v>
      </c>
    </row>
    <row r="20918" spans="1:7" x14ac:dyDescent="0.35">
      <c r="A20918" t="s">
        <v>229</v>
      </c>
      <c r="B20918" t="s">
        <v>257</v>
      </c>
      <c r="C20918" s="26">
        <v>0.82699999999999996</v>
      </c>
      <c r="D20918" s="26">
        <v>0.17299999999999999</v>
      </c>
      <c r="G20918">
        <v>50</v>
      </c>
    </row>
    <row r="20919" spans="1:7" x14ac:dyDescent="0.35">
      <c r="A20919" s="27" t="s">
        <v>229</v>
      </c>
      <c r="B20919" s="27" t="s">
        <v>258</v>
      </c>
      <c r="C20919" s="28">
        <v>1</v>
      </c>
      <c r="D20919" s="29"/>
      <c r="E20919" s="29"/>
      <c r="F20919" s="29"/>
      <c r="G20919" s="29" t="s">
        <v>314</v>
      </c>
    </row>
    <row r="20920" spans="1:7" x14ac:dyDescent="0.35">
      <c r="A20920" t="s">
        <v>230</v>
      </c>
      <c r="B20920" t="s">
        <v>256</v>
      </c>
      <c r="C20920" s="26">
        <v>0.76580000000000004</v>
      </c>
      <c r="D20920" s="26">
        <v>0.23419999999999999</v>
      </c>
      <c r="G20920">
        <v>130</v>
      </c>
    </row>
    <row r="20921" spans="1:7" x14ac:dyDescent="0.35">
      <c r="A20921" t="s">
        <v>230</v>
      </c>
      <c r="B20921" t="s">
        <v>255</v>
      </c>
      <c r="C20921" s="26">
        <v>0.69159999999999999</v>
      </c>
      <c r="D20921" s="26">
        <v>0.307</v>
      </c>
      <c r="E20921" s="26">
        <v>1.4E-3</v>
      </c>
      <c r="G20921">
        <v>389</v>
      </c>
    </row>
    <row r="20922" spans="1:7" x14ac:dyDescent="0.35">
      <c r="A20922" t="s">
        <v>230</v>
      </c>
      <c r="B20922" t="s">
        <v>257</v>
      </c>
      <c r="C20922" s="26">
        <v>0.57320000000000004</v>
      </c>
      <c r="D20922" s="26">
        <v>0.42680000000000001</v>
      </c>
      <c r="G20922">
        <v>38</v>
      </c>
    </row>
    <row r="20923" spans="1:7" x14ac:dyDescent="0.35">
      <c r="A20923" s="27" t="s">
        <v>230</v>
      </c>
      <c r="B20923" s="27" t="s">
        <v>258</v>
      </c>
      <c r="C20923" s="28">
        <v>1</v>
      </c>
      <c r="D20923" s="29"/>
      <c r="E20923" s="29"/>
      <c r="F20923" s="29"/>
      <c r="G20923" s="29" t="s">
        <v>315</v>
      </c>
    </row>
    <row r="20924" spans="1:7" x14ac:dyDescent="0.35">
      <c r="A20924" s="27" t="s">
        <v>231</v>
      </c>
      <c r="B20924" s="27" t="s">
        <v>257</v>
      </c>
      <c r="C20924" s="28">
        <v>0.85709999999999997</v>
      </c>
      <c r="D20924" s="28">
        <v>0.1429</v>
      </c>
      <c r="E20924" s="29"/>
      <c r="F20924" s="29"/>
      <c r="G20924" s="29" t="s">
        <v>339</v>
      </c>
    </row>
    <row r="20925" spans="1:7" x14ac:dyDescent="0.35">
      <c r="A20925" t="s">
        <v>231</v>
      </c>
      <c r="B20925" t="s">
        <v>255</v>
      </c>
      <c r="C20925" s="26">
        <v>0.73640000000000005</v>
      </c>
      <c r="D20925" s="26">
        <v>0.2636</v>
      </c>
      <c r="G20925">
        <v>129</v>
      </c>
    </row>
    <row r="20926" spans="1:7" x14ac:dyDescent="0.35">
      <c r="A20926" s="27" t="s">
        <v>231</v>
      </c>
      <c r="B20926" s="27" t="s">
        <v>256</v>
      </c>
      <c r="C20926" s="28">
        <v>0.57140000000000002</v>
      </c>
      <c r="D20926" s="28">
        <v>0.42859999999999998</v>
      </c>
      <c r="E20926" s="29"/>
      <c r="F20926" s="29"/>
      <c r="G20926" s="29" t="s">
        <v>336</v>
      </c>
    </row>
    <row r="20927" spans="1:7" x14ac:dyDescent="0.35">
      <c r="A20927" t="s">
        <v>232</v>
      </c>
      <c r="B20927" t="s">
        <v>232</v>
      </c>
      <c r="C20927" s="26">
        <v>0.74629999999999996</v>
      </c>
      <c r="D20927" s="26">
        <v>0.25219999999999998</v>
      </c>
      <c r="E20927" s="26">
        <v>1E-3</v>
      </c>
      <c r="F20927" s="26">
        <v>5.0000000000000001E-4</v>
      </c>
      <c r="G20927">
        <v>2813</v>
      </c>
    </row>
    <row r="20929" spans="1:10" x14ac:dyDescent="0.35">
      <c r="A20929" s="1" t="s">
        <v>2050</v>
      </c>
    </row>
    <row r="20930" spans="1:10" x14ac:dyDescent="0.35">
      <c r="A20930" t="s">
        <v>219</v>
      </c>
      <c r="B20930" t="s">
        <v>2051</v>
      </c>
      <c r="C20930" t="s">
        <v>2052</v>
      </c>
      <c r="D20930" t="s">
        <v>2053</v>
      </c>
      <c r="E20930" t="s">
        <v>2054</v>
      </c>
      <c r="F20930" t="s">
        <v>2055</v>
      </c>
      <c r="G20930" t="s">
        <v>281</v>
      </c>
      <c r="H20930" t="s">
        <v>286</v>
      </c>
      <c r="I20930" t="s">
        <v>226</v>
      </c>
    </row>
    <row r="20931" spans="1:10" x14ac:dyDescent="0.35">
      <c r="A20931" t="s">
        <v>227</v>
      </c>
      <c r="B20931" s="26">
        <v>0.91930000000000001</v>
      </c>
      <c r="C20931" s="26">
        <v>4.9700000000000001E-2</v>
      </c>
      <c r="D20931" s="26">
        <v>1.8599999999999998E-2</v>
      </c>
      <c r="E20931" s="26">
        <v>6.1999999999999998E-3</v>
      </c>
      <c r="F20931" s="26">
        <v>6.1999999999999998E-3</v>
      </c>
      <c r="I20931">
        <v>161</v>
      </c>
    </row>
    <row r="20932" spans="1:10" x14ac:dyDescent="0.35">
      <c r="A20932" t="s">
        <v>228</v>
      </c>
      <c r="B20932" s="26">
        <v>0.92290000000000005</v>
      </c>
      <c r="C20932" s="26">
        <v>4.1799999999999997E-2</v>
      </c>
      <c r="D20932" s="26">
        <v>2.8400000000000002E-2</v>
      </c>
      <c r="E20932" s="26">
        <v>1.6999999999999999E-3</v>
      </c>
      <c r="F20932" s="26">
        <v>4.4999999999999997E-3</v>
      </c>
      <c r="G20932" s="26">
        <v>2.0000000000000001E-4</v>
      </c>
      <c r="H20932" s="26">
        <v>4.0000000000000002E-4</v>
      </c>
      <c r="I20932">
        <v>1033</v>
      </c>
    </row>
    <row r="20933" spans="1:10" x14ac:dyDescent="0.35">
      <c r="A20933" t="s">
        <v>229</v>
      </c>
      <c r="B20933" s="26">
        <v>0.92230000000000001</v>
      </c>
      <c r="C20933" s="26">
        <v>5.33E-2</v>
      </c>
      <c r="D20933" s="26">
        <v>1.11E-2</v>
      </c>
      <c r="E20933" s="26">
        <v>5.3E-3</v>
      </c>
      <c r="F20933" s="26">
        <v>2.9999999999999997E-4</v>
      </c>
      <c r="G20933" s="26">
        <v>6.7000000000000002E-3</v>
      </c>
      <c r="H20933" s="26">
        <v>1E-3</v>
      </c>
      <c r="I20933">
        <v>895</v>
      </c>
    </row>
    <row r="20934" spans="1:10" x14ac:dyDescent="0.35">
      <c r="A20934" t="s">
        <v>230</v>
      </c>
      <c r="B20934" s="26">
        <v>0.90600000000000003</v>
      </c>
      <c r="C20934" s="26">
        <v>5.62E-2</v>
      </c>
      <c r="D20934" s="26">
        <v>1.2999999999999999E-2</v>
      </c>
      <c r="E20934" s="26">
        <v>9.4999999999999998E-3</v>
      </c>
      <c r="F20934" s="26">
        <v>1.4E-2</v>
      </c>
      <c r="G20934" s="26">
        <v>1.1999999999999999E-3</v>
      </c>
      <c r="I20934">
        <v>560</v>
      </c>
    </row>
    <row r="20935" spans="1:10" x14ac:dyDescent="0.35">
      <c r="A20935" t="s">
        <v>231</v>
      </c>
      <c r="B20935" s="26">
        <v>0.91459999999999997</v>
      </c>
      <c r="C20935" s="26">
        <v>5.4899999999999997E-2</v>
      </c>
      <c r="D20935" s="26">
        <v>3.0499999999999999E-2</v>
      </c>
      <c r="I20935">
        <v>164</v>
      </c>
    </row>
    <row r="20936" spans="1:10" x14ac:dyDescent="0.35">
      <c r="A20936" t="s">
        <v>232</v>
      </c>
      <c r="B20936" s="26">
        <v>0.91830000000000001</v>
      </c>
      <c r="C20936" s="26">
        <v>5.1200000000000002E-2</v>
      </c>
      <c r="D20936" s="26">
        <v>2.1100000000000001E-2</v>
      </c>
      <c r="E20936" s="26">
        <v>3.7000000000000002E-3</v>
      </c>
      <c r="F20936" s="26">
        <v>3.2000000000000002E-3</v>
      </c>
      <c r="G20936" s="26">
        <v>2.0999999999999999E-3</v>
      </c>
      <c r="H20936" s="26">
        <v>4.0000000000000002E-4</v>
      </c>
      <c r="I20936">
        <v>2813</v>
      </c>
    </row>
    <row r="20938" spans="1:10" x14ac:dyDescent="0.35">
      <c r="A20938" s="1" t="s">
        <v>2056</v>
      </c>
    </row>
    <row r="20939" spans="1:10" x14ac:dyDescent="0.35">
      <c r="A20939" t="s">
        <v>219</v>
      </c>
      <c r="B20939" t="s">
        <v>305</v>
      </c>
      <c r="C20939" t="s">
        <v>2051</v>
      </c>
      <c r="D20939" t="s">
        <v>2052</v>
      </c>
      <c r="E20939" t="s">
        <v>2053</v>
      </c>
      <c r="F20939" t="s">
        <v>2054</v>
      </c>
      <c r="G20939" t="s">
        <v>2055</v>
      </c>
      <c r="H20939" t="s">
        <v>281</v>
      </c>
      <c r="I20939" t="s">
        <v>286</v>
      </c>
      <c r="J20939" t="s">
        <v>226</v>
      </c>
    </row>
    <row r="20940" spans="1:10" x14ac:dyDescent="0.35">
      <c r="A20940" t="s">
        <v>227</v>
      </c>
      <c r="B20940" t="s">
        <v>242</v>
      </c>
      <c r="C20940" s="26">
        <v>0.88239999999999996</v>
      </c>
      <c r="D20940" s="26">
        <v>5.8799999999999998E-2</v>
      </c>
      <c r="E20940" s="26">
        <v>4.41E-2</v>
      </c>
      <c r="F20940" s="26">
        <v>1.47E-2</v>
      </c>
      <c r="J20940">
        <v>68</v>
      </c>
    </row>
    <row r="20941" spans="1:10" x14ac:dyDescent="0.35">
      <c r="A20941" t="s">
        <v>227</v>
      </c>
      <c r="B20941" t="s">
        <v>241</v>
      </c>
      <c r="C20941" s="26">
        <v>0.94620000000000004</v>
      </c>
      <c r="D20941" s="26">
        <v>4.2999999999999997E-2</v>
      </c>
      <c r="G20941" s="26">
        <v>1.0800000000000001E-2</v>
      </c>
      <c r="J20941">
        <v>93</v>
      </c>
    </row>
    <row r="20942" spans="1:10" x14ac:dyDescent="0.35">
      <c r="A20942" t="s">
        <v>228</v>
      </c>
      <c r="B20942" t="s">
        <v>242</v>
      </c>
      <c r="C20942" s="26">
        <v>0.89090000000000003</v>
      </c>
      <c r="D20942" s="26">
        <v>4.7100000000000003E-2</v>
      </c>
      <c r="E20942" s="26">
        <v>4.8099999999999997E-2</v>
      </c>
      <c r="F20942" s="26">
        <v>4.1000000000000003E-3</v>
      </c>
      <c r="G20942" s="26">
        <v>9.7999999999999997E-3</v>
      </c>
      <c r="J20942">
        <v>402</v>
      </c>
    </row>
    <row r="20943" spans="1:10" x14ac:dyDescent="0.35">
      <c r="A20943" t="s">
        <v>228</v>
      </c>
      <c r="B20943" t="s">
        <v>241</v>
      </c>
      <c r="C20943" s="26">
        <v>0.94110000000000005</v>
      </c>
      <c r="D20943" s="26">
        <v>3.8800000000000001E-2</v>
      </c>
      <c r="E20943" s="26">
        <v>1.72E-2</v>
      </c>
      <c r="F20943" s="26">
        <v>4.0000000000000002E-4</v>
      </c>
      <c r="G20943" s="26">
        <v>1.4E-3</v>
      </c>
      <c r="H20943" s="26">
        <v>4.0000000000000002E-4</v>
      </c>
      <c r="I20943" s="26">
        <v>5.9999999999999995E-4</v>
      </c>
      <c r="J20943">
        <v>631</v>
      </c>
    </row>
    <row r="20944" spans="1:10" x14ac:dyDescent="0.35">
      <c r="A20944" t="s">
        <v>229</v>
      </c>
      <c r="B20944" t="s">
        <v>242</v>
      </c>
      <c r="C20944" s="26">
        <v>0.91239999999999999</v>
      </c>
      <c r="D20944" s="26">
        <v>6.7100000000000007E-2</v>
      </c>
      <c r="E20944" s="26">
        <v>3.8E-3</v>
      </c>
      <c r="F20944" s="26">
        <v>7.3000000000000001E-3</v>
      </c>
      <c r="H20944" s="26">
        <v>9.4000000000000004E-3</v>
      </c>
      <c r="J20944">
        <v>292</v>
      </c>
    </row>
    <row r="20945" spans="1:10" x14ac:dyDescent="0.35">
      <c r="A20945" t="s">
        <v>229</v>
      </c>
      <c r="B20945" t="s">
        <v>241</v>
      </c>
      <c r="C20945" s="26">
        <v>0.92859999999999998</v>
      </c>
      <c r="D20945" s="26">
        <v>4.4400000000000002E-2</v>
      </c>
      <c r="E20945" s="26">
        <v>1.5800000000000002E-2</v>
      </c>
      <c r="F20945" s="26">
        <v>4.1000000000000003E-3</v>
      </c>
      <c r="G20945" s="26">
        <v>5.0000000000000001E-4</v>
      </c>
      <c r="H20945" s="26">
        <v>4.8999999999999998E-3</v>
      </c>
      <c r="I20945" s="26">
        <v>1.6000000000000001E-3</v>
      </c>
      <c r="J20945">
        <v>603</v>
      </c>
    </row>
    <row r="20946" spans="1:10" x14ac:dyDescent="0.35">
      <c r="A20946" t="s">
        <v>230</v>
      </c>
      <c r="B20946" t="s">
        <v>242</v>
      </c>
      <c r="C20946" s="26">
        <v>0.84050000000000002</v>
      </c>
      <c r="D20946" s="26">
        <v>0.10680000000000001</v>
      </c>
      <c r="E20946" s="26">
        <v>7.7999999999999996E-3</v>
      </c>
      <c r="F20946" s="26">
        <v>2.0199999999999999E-2</v>
      </c>
      <c r="G20946" s="26">
        <v>2.3900000000000001E-2</v>
      </c>
      <c r="H20946" s="26">
        <v>8.0000000000000004E-4</v>
      </c>
      <c r="J20946">
        <v>189</v>
      </c>
    </row>
    <row r="20947" spans="1:10" x14ac:dyDescent="0.35">
      <c r="A20947" t="s">
        <v>230</v>
      </c>
      <c r="B20947" t="s">
        <v>241</v>
      </c>
      <c r="C20947" s="26">
        <v>0.9395</v>
      </c>
      <c r="D20947" s="26">
        <v>3.04E-2</v>
      </c>
      <c r="E20947" s="26">
        <v>1.5699999999999999E-2</v>
      </c>
      <c r="F20947" s="26">
        <v>4.1000000000000003E-3</v>
      </c>
      <c r="G20947" s="26">
        <v>8.9999999999999993E-3</v>
      </c>
      <c r="H20947" s="26">
        <v>1.4E-3</v>
      </c>
      <c r="J20947">
        <v>371</v>
      </c>
    </row>
    <row r="20948" spans="1:10" x14ac:dyDescent="0.35">
      <c r="A20948" t="s">
        <v>231</v>
      </c>
      <c r="B20948" t="s">
        <v>242</v>
      </c>
      <c r="C20948" s="26">
        <v>0.90739999999999998</v>
      </c>
      <c r="D20948" s="26">
        <v>5.5599999999999997E-2</v>
      </c>
      <c r="E20948" s="26">
        <v>3.6999999999999998E-2</v>
      </c>
      <c r="J20948">
        <v>54</v>
      </c>
    </row>
    <row r="20949" spans="1:10" x14ac:dyDescent="0.35">
      <c r="A20949" t="s">
        <v>231</v>
      </c>
      <c r="B20949" t="s">
        <v>241</v>
      </c>
      <c r="C20949" s="26">
        <v>0.91820000000000002</v>
      </c>
      <c r="D20949" s="26">
        <v>5.45E-2</v>
      </c>
      <c r="E20949" s="26">
        <v>2.7300000000000001E-2</v>
      </c>
      <c r="J20949">
        <v>110</v>
      </c>
    </row>
    <row r="20950" spans="1:10" x14ac:dyDescent="0.35">
      <c r="A20950" t="s">
        <v>232</v>
      </c>
      <c r="B20950" t="s">
        <v>232</v>
      </c>
      <c r="C20950" s="26">
        <v>0.91830000000000001</v>
      </c>
      <c r="D20950" s="26">
        <v>5.1200000000000002E-2</v>
      </c>
      <c r="E20950" s="26">
        <v>2.1100000000000001E-2</v>
      </c>
      <c r="F20950" s="26">
        <v>3.7000000000000002E-3</v>
      </c>
      <c r="G20950" s="26">
        <v>3.2000000000000002E-3</v>
      </c>
      <c r="H20950" s="26">
        <v>2.0999999999999999E-3</v>
      </c>
      <c r="I20950" s="26">
        <v>4.0000000000000002E-4</v>
      </c>
      <c r="J20950">
        <v>2813</v>
      </c>
    </row>
    <row r="20952" spans="1:10" x14ac:dyDescent="0.35">
      <c r="A20952" s="1" t="s">
        <v>2057</v>
      </c>
    </row>
    <row r="20953" spans="1:10" x14ac:dyDescent="0.35">
      <c r="A20953" t="s">
        <v>219</v>
      </c>
      <c r="B20953" t="s">
        <v>305</v>
      </c>
      <c r="C20953" t="s">
        <v>2051</v>
      </c>
      <c r="D20953" t="s">
        <v>2052</v>
      </c>
      <c r="E20953" t="s">
        <v>2053</v>
      </c>
      <c r="F20953" t="s">
        <v>2054</v>
      </c>
      <c r="G20953" t="s">
        <v>2055</v>
      </c>
      <c r="H20953" t="s">
        <v>281</v>
      </c>
      <c r="I20953" t="s">
        <v>286</v>
      </c>
      <c r="J20953" t="s">
        <v>226</v>
      </c>
    </row>
    <row r="20954" spans="1:10" x14ac:dyDescent="0.35">
      <c r="A20954" t="s">
        <v>227</v>
      </c>
      <c r="B20954" t="s">
        <v>239</v>
      </c>
      <c r="C20954" s="26">
        <v>0.9194</v>
      </c>
      <c r="D20954" s="26">
        <v>6.4500000000000002E-2</v>
      </c>
      <c r="F20954" s="26">
        <v>1.61E-2</v>
      </c>
      <c r="J20954">
        <v>62</v>
      </c>
    </row>
    <row r="20955" spans="1:10" x14ac:dyDescent="0.35">
      <c r="A20955" t="s">
        <v>227</v>
      </c>
      <c r="B20955" t="s">
        <v>238</v>
      </c>
      <c r="C20955" s="26">
        <v>0.91920000000000002</v>
      </c>
      <c r="D20955" s="26">
        <v>4.0399999999999998E-2</v>
      </c>
      <c r="E20955" s="26">
        <v>3.0300000000000001E-2</v>
      </c>
      <c r="G20955" s="26">
        <v>1.01E-2</v>
      </c>
      <c r="J20955">
        <v>99</v>
      </c>
    </row>
    <row r="20956" spans="1:10" x14ac:dyDescent="0.35">
      <c r="A20956" t="s">
        <v>228</v>
      </c>
      <c r="B20956" t="s">
        <v>239</v>
      </c>
      <c r="C20956" s="26">
        <v>0.89810000000000001</v>
      </c>
      <c r="D20956" s="26">
        <v>5.1700000000000003E-2</v>
      </c>
      <c r="E20956" s="26">
        <v>4.6300000000000001E-2</v>
      </c>
      <c r="F20956" s="26">
        <v>2E-3</v>
      </c>
      <c r="G20956" s="26">
        <v>2E-3</v>
      </c>
      <c r="J20956">
        <v>330</v>
      </c>
    </row>
    <row r="20957" spans="1:10" x14ac:dyDescent="0.35">
      <c r="A20957" t="s">
        <v>228</v>
      </c>
      <c r="B20957" t="s">
        <v>238</v>
      </c>
      <c r="C20957" s="26">
        <v>0.92930000000000001</v>
      </c>
      <c r="D20957" s="26">
        <v>3.9300000000000002E-2</v>
      </c>
      <c r="E20957" s="26">
        <v>2.3800000000000002E-2</v>
      </c>
      <c r="F20957" s="26">
        <v>1.6999999999999999E-3</v>
      </c>
      <c r="G20957" s="26">
        <v>5.1000000000000004E-3</v>
      </c>
      <c r="H20957" s="26">
        <v>2.9999999999999997E-4</v>
      </c>
      <c r="I20957" s="26">
        <v>5.0000000000000001E-4</v>
      </c>
      <c r="J20957">
        <v>703</v>
      </c>
    </row>
    <row r="20958" spans="1:10" x14ac:dyDescent="0.35">
      <c r="A20958" t="s">
        <v>229</v>
      </c>
      <c r="B20958" t="s">
        <v>239</v>
      </c>
      <c r="C20958" s="26">
        <v>0.90880000000000005</v>
      </c>
      <c r="D20958" s="26">
        <v>6.3E-2</v>
      </c>
      <c r="E20958" s="26">
        <v>2.4299999999999999E-2</v>
      </c>
      <c r="G20958" s="26">
        <v>1.2999999999999999E-3</v>
      </c>
      <c r="I20958" s="26">
        <v>2.5999999999999999E-3</v>
      </c>
      <c r="J20958">
        <v>332</v>
      </c>
    </row>
    <row r="20959" spans="1:10" x14ac:dyDescent="0.35">
      <c r="A20959" t="s">
        <v>229</v>
      </c>
      <c r="B20959" t="s">
        <v>238</v>
      </c>
      <c r="C20959" s="26">
        <v>0.92689999999999995</v>
      </c>
      <c r="D20959" s="26">
        <v>4.99E-2</v>
      </c>
      <c r="E20959" s="26">
        <v>6.6E-3</v>
      </c>
      <c r="F20959" s="26">
        <v>7.1999999999999998E-3</v>
      </c>
      <c r="H20959" s="26">
        <v>8.8999999999999999E-3</v>
      </c>
      <c r="I20959" s="26">
        <v>4.0000000000000002E-4</v>
      </c>
      <c r="J20959">
        <v>563</v>
      </c>
    </row>
    <row r="20960" spans="1:10" x14ac:dyDescent="0.35">
      <c r="A20960" t="s">
        <v>230</v>
      </c>
      <c r="B20960" t="s">
        <v>239</v>
      </c>
      <c r="C20960" s="26">
        <v>0.84179999999999999</v>
      </c>
      <c r="D20960" s="26">
        <v>6.7299999999999999E-2</v>
      </c>
      <c r="E20960" s="26">
        <v>2.35E-2</v>
      </c>
      <c r="F20960" s="26">
        <v>2.7699999999999999E-2</v>
      </c>
      <c r="G20960" s="26">
        <v>3.9600000000000003E-2</v>
      </c>
      <c r="J20960">
        <v>211</v>
      </c>
    </row>
    <row r="20961" spans="1:10" x14ac:dyDescent="0.35">
      <c r="A20961" t="s">
        <v>230</v>
      </c>
      <c r="B20961" t="s">
        <v>238</v>
      </c>
      <c r="C20961" s="26">
        <v>0.93369999999999997</v>
      </c>
      <c r="D20961" s="26">
        <v>5.1499999999999997E-2</v>
      </c>
      <c r="E20961" s="26">
        <v>8.5000000000000006E-3</v>
      </c>
      <c r="F20961" s="26">
        <v>1.6999999999999999E-3</v>
      </c>
      <c r="G20961" s="26">
        <v>3.0000000000000001E-3</v>
      </c>
      <c r="H20961" s="26">
        <v>1.6999999999999999E-3</v>
      </c>
      <c r="J20961">
        <v>349</v>
      </c>
    </row>
    <row r="20962" spans="1:10" x14ac:dyDescent="0.35">
      <c r="A20962" t="s">
        <v>231</v>
      </c>
      <c r="B20962" t="s">
        <v>239</v>
      </c>
      <c r="C20962" s="26">
        <v>0.9123</v>
      </c>
      <c r="D20962" s="26">
        <v>7.0199999999999999E-2</v>
      </c>
      <c r="E20962" s="26">
        <v>1.7500000000000002E-2</v>
      </c>
      <c r="J20962">
        <v>57</v>
      </c>
    </row>
    <row r="20963" spans="1:10" x14ac:dyDescent="0.35">
      <c r="A20963" t="s">
        <v>231</v>
      </c>
      <c r="B20963" t="s">
        <v>238</v>
      </c>
      <c r="C20963" s="26">
        <v>0.91590000000000005</v>
      </c>
      <c r="D20963" s="26">
        <v>4.6699999999999998E-2</v>
      </c>
      <c r="E20963" s="26">
        <v>3.7400000000000003E-2</v>
      </c>
      <c r="J20963">
        <v>107</v>
      </c>
    </row>
    <row r="20964" spans="1:10" x14ac:dyDescent="0.35">
      <c r="A20964" t="s">
        <v>232</v>
      </c>
      <c r="B20964" t="s">
        <v>232</v>
      </c>
      <c r="C20964" s="26">
        <v>0.91830000000000001</v>
      </c>
      <c r="D20964" s="26">
        <v>5.1200000000000002E-2</v>
      </c>
      <c r="E20964" s="26">
        <v>2.1100000000000001E-2</v>
      </c>
      <c r="F20964" s="26">
        <v>3.7000000000000002E-3</v>
      </c>
      <c r="G20964" s="26">
        <v>3.2000000000000002E-3</v>
      </c>
      <c r="H20964" s="26">
        <v>2.0999999999999999E-3</v>
      </c>
      <c r="I20964" s="26">
        <v>4.0000000000000002E-4</v>
      </c>
      <c r="J20964">
        <v>2813</v>
      </c>
    </row>
    <row r="20966" spans="1:10" x14ac:dyDescent="0.35">
      <c r="A20966" s="1" t="s">
        <v>2058</v>
      </c>
    </row>
    <row r="20967" spans="1:10" x14ac:dyDescent="0.35">
      <c r="A20967" t="s">
        <v>219</v>
      </c>
      <c r="B20967" t="s">
        <v>305</v>
      </c>
      <c r="C20967" t="s">
        <v>2051</v>
      </c>
      <c r="D20967" t="s">
        <v>2052</v>
      </c>
      <c r="E20967" t="s">
        <v>2053</v>
      </c>
      <c r="F20967" t="s">
        <v>2054</v>
      </c>
      <c r="G20967" t="s">
        <v>2055</v>
      </c>
      <c r="H20967" t="s">
        <v>281</v>
      </c>
      <c r="I20967" t="s">
        <v>286</v>
      </c>
      <c r="J20967" t="s">
        <v>226</v>
      </c>
    </row>
    <row r="20968" spans="1:10" x14ac:dyDescent="0.35">
      <c r="A20968" t="s">
        <v>227</v>
      </c>
      <c r="B20968" t="s">
        <v>244</v>
      </c>
      <c r="C20968" s="26">
        <v>0.90620000000000001</v>
      </c>
      <c r="D20968" s="26">
        <v>6.25E-2</v>
      </c>
      <c r="E20968" s="26">
        <v>2.0799999999999999E-2</v>
      </c>
      <c r="F20968" s="26">
        <v>1.04E-2</v>
      </c>
      <c r="J20968">
        <v>96</v>
      </c>
    </row>
    <row r="20969" spans="1:10" x14ac:dyDescent="0.35">
      <c r="A20969" t="s">
        <v>227</v>
      </c>
      <c r="B20969" t="s">
        <v>245</v>
      </c>
      <c r="C20969" s="26">
        <v>0.92449999999999999</v>
      </c>
      <c r="D20969" s="26">
        <v>3.7699999999999997E-2</v>
      </c>
      <c r="E20969" s="26">
        <v>1.89E-2</v>
      </c>
      <c r="G20969" s="26">
        <v>1.89E-2</v>
      </c>
      <c r="J20969">
        <v>53</v>
      </c>
    </row>
    <row r="20970" spans="1:10" x14ac:dyDescent="0.35">
      <c r="A20970" s="27" t="s">
        <v>227</v>
      </c>
      <c r="B20970" s="27" t="s">
        <v>246</v>
      </c>
      <c r="C20970" s="28">
        <v>1</v>
      </c>
      <c r="D20970" s="29"/>
      <c r="E20970" s="29"/>
      <c r="F20970" s="29"/>
      <c r="G20970" s="29"/>
      <c r="H20970" s="29"/>
      <c r="I20970" s="29"/>
      <c r="J20970" s="29" t="s">
        <v>342</v>
      </c>
    </row>
    <row r="20971" spans="1:10" x14ac:dyDescent="0.35">
      <c r="A20971" t="s">
        <v>228</v>
      </c>
      <c r="B20971" t="s">
        <v>244</v>
      </c>
      <c r="C20971" s="26">
        <v>0.92900000000000005</v>
      </c>
      <c r="D20971" s="26">
        <v>3.9399999999999998E-2</v>
      </c>
      <c r="E20971" s="26">
        <v>2.8000000000000001E-2</v>
      </c>
      <c r="F20971" s="26">
        <v>1.6999999999999999E-3</v>
      </c>
      <c r="G20971" s="26">
        <v>1.4E-3</v>
      </c>
      <c r="I20971" s="26">
        <v>5.9999999999999995E-4</v>
      </c>
      <c r="J20971">
        <v>638</v>
      </c>
    </row>
    <row r="20972" spans="1:10" x14ac:dyDescent="0.35">
      <c r="A20972" t="s">
        <v>228</v>
      </c>
      <c r="B20972" t="s">
        <v>245</v>
      </c>
      <c r="C20972" s="26">
        <v>0.91810000000000003</v>
      </c>
      <c r="D20972" s="26">
        <v>3.6400000000000002E-2</v>
      </c>
      <c r="E20972" s="26">
        <v>2.9399999999999999E-2</v>
      </c>
      <c r="F20972" s="26">
        <v>2.3999999999999998E-3</v>
      </c>
      <c r="G20972" s="26">
        <v>1.2800000000000001E-2</v>
      </c>
      <c r="H20972" s="26">
        <v>8.9999999999999998E-4</v>
      </c>
      <c r="J20972">
        <v>328</v>
      </c>
    </row>
    <row r="20973" spans="1:10" x14ac:dyDescent="0.35">
      <c r="A20973" t="s">
        <v>228</v>
      </c>
      <c r="B20973" t="s">
        <v>246</v>
      </c>
      <c r="C20973" s="26">
        <v>0.88370000000000004</v>
      </c>
      <c r="D20973" s="26">
        <v>8.72E-2</v>
      </c>
      <c r="E20973" s="26">
        <v>2.9100000000000001E-2</v>
      </c>
      <c r="J20973">
        <v>67</v>
      </c>
    </row>
    <row r="20974" spans="1:10" x14ac:dyDescent="0.35">
      <c r="A20974" t="s">
        <v>229</v>
      </c>
      <c r="B20974" t="s">
        <v>244</v>
      </c>
      <c r="C20974" s="26">
        <v>0.92400000000000004</v>
      </c>
      <c r="D20974" s="26">
        <v>6.1100000000000002E-2</v>
      </c>
      <c r="E20974" s="26">
        <v>7.1999999999999998E-3</v>
      </c>
      <c r="F20974" s="26">
        <v>5.0000000000000001E-4</v>
      </c>
      <c r="G20974" s="26">
        <v>5.0000000000000001E-4</v>
      </c>
      <c r="H20974" s="26">
        <v>5.3E-3</v>
      </c>
      <c r="I20974" s="26">
        <v>1.4E-3</v>
      </c>
      <c r="J20974">
        <v>557</v>
      </c>
    </row>
    <row r="20975" spans="1:10" x14ac:dyDescent="0.35">
      <c r="A20975" t="s">
        <v>229</v>
      </c>
      <c r="B20975" t="s">
        <v>245</v>
      </c>
      <c r="C20975" s="26">
        <v>0.90200000000000002</v>
      </c>
      <c r="D20975" s="26">
        <v>4.24E-2</v>
      </c>
      <c r="E20975" s="26">
        <v>2.41E-2</v>
      </c>
      <c r="F20975" s="26">
        <v>1.9800000000000002E-2</v>
      </c>
      <c r="H20975" s="26">
        <v>1.18E-2</v>
      </c>
      <c r="J20975">
        <v>293</v>
      </c>
    </row>
    <row r="20976" spans="1:10" x14ac:dyDescent="0.35">
      <c r="A20976" t="s">
        <v>229</v>
      </c>
      <c r="B20976" t="s">
        <v>246</v>
      </c>
      <c r="C20976" s="26">
        <v>0.99680000000000002</v>
      </c>
      <c r="D20976" s="26">
        <v>3.2000000000000002E-3</v>
      </c>
      <c r="J20976">
        <v>45</v>
      </c>
    </row>
    <row r="20977" spans="1:10" x14ac:dyDescent="0.35">
      <c r="A20977" t="s">
        <v>230</v>
      </c>
      <c r="B20977" t="s">
        <v>244</v>
      </c>
      <c r="C20977" s="26">
        <v>0.89810000000000001</v>
      </c>
      <c r="D20977" s="26">
        <v>5.5E-2</v>
      </c>
      <c r="E20977" s="26">
        <v>1.4999999999999999E-2</v>
      </c>
      <c r="F20977" s="26">
        <v>1.21E-2</v>
      </c>
      <c r="G20977" s="26">
        <v>1.8499999999999999E-2</v>
      </c>
      <c r="H20977" s="26">
        <v>1.2999999999999999E-3</v>
      </c>
      <c r="J20977">
        <v>370</v>
      </c>
    </row>
    <row r="20978" spans="1:10" x14ac:dyDescent="0.35">
      <c r="A20978" t="s">
        <v>230</v>
      </c>
      <c r="B20978" t="s">
        <v>245</v>
      </c>
      <c r="C20978" s="26">
        <v>0.94630000000000003</v>
      </c>
      <c r="D20978" s="26">
        <v>3.9E-2</v>
      </c>
      <c r="E20978" s="26">
        <v>8.0000000000000002E-3</v>
      </c>
      <c r="F20978" s="26">
        <v>1.1000000000000001E-3</v>
      </c>
      <c r="G20978" s="26">
        <v>4.4999999999999997E-3</v>
      </c>
      <c r="H20978" s="26">
        <v>1.1000000000000001E-3</v>
      </c>
      <c r="J20978">
        <v>161</v>
      </c>
    </row>
    <row r="20979" spans="1:10" x14ac:dyDescent="0.35">
      <c r="A20979" s="27" t="s">
        <v>230</v>
      </c>
      <c r="B20979" s="27" t="s">
        <v>246</v>
      </c>
      <c r="C20979" s="28">
        <v>0.80449999999999999</v>
      </c>
      <c r="D20979" s="28">
        <v>0.16600000000000001</v>
      </c>
      <c r="E20979" s="28">
        <v>1.12E-2</v>
      </c>
      <c r="F20979" s="28">
        <v>1.83E-2</v>
      </c>
      <c r="G20979" s="29"/>
      <c r="H20979" s="29"/>
      <c r="I20979" s="29"/>
      <c r="J20979" s="29" t="s">
        <v>329</v>
      </c>
    </row>
    <row r="20980" spans="1:10" x14ac:dyDescent="0.35">
      <c r="A20980" t="s">
        <v>231</v>
      </c>
      <c r="B20980" t="s">
        <v>244</v>
      </c>
      <c r="C20980" s="26">
        <v>0.89470000000000005</v>
      </c>
      <c r="D20980" s="26">
        <v>5.2600000000000001E-2</v>
      </c>
      <c r="E20980" s="26">
        <v>5.2600000000000001E-2</v>
      </c>
      <c r="J20980">
        <v>95</v>
      </c>
    </row>
    <row r="20981" spans="1:10" x14ac:dyDescent="0.35">
      <c r="A20981" t="s">
        <v>231</v>
      </c>
      <c r="B20981" t="s">
        <v>245</v>
      </c>
      <c r="C20981" s="26">
        <v>0.94640000000000002</v>
      </c>
      <c r="D20981" s="26">
        <v>5.3600000000000002E-2</v>
      </c>
      <c r="J20981">
        <v>56</v>
      </c>
    </row>
    <row r="20982" spans="1:10" x14ac:dyDescent="0.35">
      <c r="A20982" s="27" t="s">
        <v>231</v>
      </c>
      <c r="B20982" s="27" t="s">
        <v>246</v>
      </c>
      <c r="C20982" s="28">
        <v>0.92310000000000003</v>
      </c>
      <c r="D20982" s="28">
        <v>7.6899999999999996E-2</v>
      </c>
      <c r="E20982" s="29"/>
      <c r="F20982" s="29"/>
      <c r="G20982" s="29"/>
      <c r="H20982" s="29"/>
      <c r="I20982" s="29"/>
      <c r="J20982" s="29" t="s">
        <v>341</v>
      </c>
    </row>
    <row r="20983" spans="1:10" x14ac:dyDescent="0.35">
      <c r="A20983" t="s">
        <v>232</v>
      </c>
      <c r="B20983" t="s">
        <v>232</v>
      </c>
      <c r="C20983" s="26">
        <v>0.91830000000000001</v>
      </c>
      <c r="D20983" s="26">
        <v>5.1200000000000002E-2</v>
      </c>
      <c r="E20983" s="26">
        <v>2.1100000000000001E-2</v>
      </c>
      <c r="F20983" s="26">
        <v>3.7000000000000002E-3</v>
      </c>
      <c r="G20983" s="26">
        <v>3.2000000000000002E-3</v>
      </c>
      <c r="H20983" s="26">
        <v>2.0999999999999999E-3</v>
      </c>
      <c r="I20983" s="26">
        <v>4.0000000000000002E-4</v>
      </c>
      <c r="J20983">
        <v>2813</v>
      </c>
    </row>
    <row r="20985" spans="1:10" x14ac:dyDescent="0.35">
      <c r="A20985" s="1" t="s">
        <v>2059</v>
      </c>
    </row>
    <row r="20986" spans="1:10" x14ac:dyDescent="0.35">
      <c r="A20986" t="s">
        <v>219</v>
      </c>
      <c r="B20986" t="s">
        <v>305</v>
      </c>
      <c r="C20986" t="s">
        <v>2051</v>
      </c>
      <c r="D20986" t="s">
        <v>2052</v>
      </c>
      <c r="E20986" t="s">
        <v>2053</v>
      </c>
      <c r="F20986" t="s">
        <v>2054</v>
      </c>
      <c r="G20986" t="s">
        <v>2055</v>
      </c>
      <c r="H20986" t="s">
        <v>281</v>
      </c>
      <c r="I20986" t="s">
        <v>286</v>
      </c>
      <c r="J20986" t="s">
        <v>226</v>
      </c>
    </row>
    <row r="20987" spans="1:10" x14ac:dyDescent="0.35">
      <c r="A20987" t="s">
        <v>227</v>
      </c>
      <c r="B20987" t="s">
        <v>360</v>
      </c>
      <c r="C20987" s="26">
        <v>0.87180000000000002</v>
      </c>
      <c r="D20987" s="26">
        <v>5.1299999999999998E-2</v>
      </c>
      <c r="E20987" s="26">
        <v>2.5600000000000001E-2</v>
      </c>
      <c r="F20987" s="26">
        <v>2.5600000000000001E-2</v>
      </c>
      <c r="G20987" s="26">
        <v>2.5600000000000001E-2</v>
      </c>
      <c r="J20987">
        <v>39</v>
      </c>
    </row>
    <row r="20988" spans="1:10" x14ac:dyDescent="0.35">
      <c r="A20988" t="s">
        <v>227</v>
      </c>
      <c r="B20988" t="s">
        <v>361</v>
      </c>
      <c r="C20988" s="26">
        <v>0.9375</v>
      </c>
      <c r="D20988" s="26">
        <v>6.25E-2</v>
      </c>
      <c r="J20988">
        <v>32</v>
      </c>
    </row>
    <row r="20989" spans="1:10" x14ac:dyDescent="0.35">
      <c r="A20989" t="s">
        <v>227</v>
      </c>
      <c r="B20989" t="s">
        <v>362</v>
      </c>
      <c r="C20989" s="26">
        <v>0.94589999999999996</v>
      </c>
      <c r="D20989" s="26">
        <v>5.4100000000000002E-2</v>
      </c>
      <c r="J20989">
        <v>37</v>
      </c>
    </row>
    <row r="20990" spans="1:10" x14ac:dyDescent="0.35">
      <c r="A20990" t="s">
        <v>227</v>
      </c>
      <c r="B20990" t="s">
        <v>363</v>
      </c>
      <c r="C20990" s="26">
        <v>0.9556</v>
      </c>
      <c r="D20990" s="26">
        <v>2.2200000000000001E-2</v>
      </c>
      <c r="E20990" s="26">
        <v>2.2200000000000001E-2</v>
      </c>
      <c r="J20990">
        <v>45</v>
      </c>
    </row>
    <row r="20991" spans="1:10" x14ac:dyDescent="0.35">
      <c r="A20991" t="s">
        <v>228</v>
      </c>
      <c r="B20991" t="s">
        <v>360</v>
      </c>
      <c r="C20991" s="26">
        <v>0.82469999999999999</v>
      </c>
      <c r="D20991" s="26">
        <v>8.8700000000000001E-2</v>
      </c>
      <c r="E20991" s="26">
        <v>5.8200000000000002E-2</v>
      </c>
      <c r="F20991" s="26">
        <v>5.7999999999999996E-3</v>
      </c>
      <c r="G20991" s="26">
        <v>2.1399999999999999E-2</v>
      </c>
      <c r="H20991" s="26">
        <v>1.1999999999999999E-3</v>
      </c>
      <c r="J20991">
        <v>258</v>
      </c>
    </row>
    <row r="20992" spans="1:10" x14ac:dyDescent="0.35">
      <c r="A20992" t="s">
        <v>228</v>
      </c>
      <c r="B20992" t="s">
        <v>361</v>
      </c>
      <c r="C20992" s="26">
        <v>0.96230000000000004</v>
      </c>
      <c r="D20992" s="26">
        <v>2.8400000000000002E-2</v>
      </c>
      <c r="E20992" s="26">
        <v>8.3000000000000001E-3</v>
      </c>
      <c r="G20992" s="26">
        <v>1E-3</v>
      </c>
      <c r="J20992">
        <v>194</v>
      </c>
    </row>
    <row r="20993" spans="1:10" x14ac:dyDescent="0.35">
      <c r="A20993" t="s">
        <v>228</v>
      </c>
      <c r="B20993" t="s">
        <v>363</v>
      </c>
      <c r="C20993" s="26">
        <v>0.91849999999999998</v>
      </c>
      <c r="D20993" s="26">
        <v>3.49E-2</v>
      </c>
      <c r="E20993" s="26">
        <v>4.5600000000000002E-2</v>
      </c>
      <c r="F20993" s="26">
        <v>1E-3</v>
      </c>
      <c r="J20993">
        <v>212</v>
      </c>
    </row>
    <row r="20994" spans="1:10" x14ac:dyDescent="0.35">
      <c r="A20994" t="s">
        <v>228</v>
      </c>
      <c r="B20994" t="s">
        <v>362</v>
      </c>
      <c r="C20994" s="26">
        <v>0.95750000000000002</v>
      </c>
      <c r="D20994" s="26">
        <v>2.5000000000000001E-2</v>
      </c>
      <c r="E20994" s="26">
        <v>1.6E-2</v>
      </c>
      <c r="F20994" s="26">
        <v>1.5E-3</v>
      </c>
      <c r="J20994">
        <v>236</v>
      </c>
    </row>
    <row r="20995" spans="1:10" x14ac:dyDescent="0.35">
      <c r="A20995" t="s">
        <v>229</v>
      </c>
      <c r="B20995" t="s">
        <v>363</v>
      </c>
      <c r="C20995" s="26">
        <v>0.9375</v>
      </c>
      <c r="D20995" s="26">
        <v>3.2399999999999998E-2</v>
      </c>
      <c r="E20995" s="26">
        <v>1.37E-2</v>
      </c>
      <c r="H20995" s="26">
        <v>1.6400000000000001E-2</v>
      </c>
      <c r="J20995">
        <v>191</v>
      </c>
    </row>
    <row r="20996" spans="1:10" x14ac:dyDescent="0.35">
      <c r="A20996" t="s">
        <v>229</v>
      </c>
      <c r="B20996" t="s">
        <v>360</v>
      </c>
      <c r="C20996" s="26">
        <v>0.8478</v>
      </c>
      <c r="D20996" s="26">
        <v>0.1188</v>
      </c>
      <c r="E20996" s="26">
        <v>1.0800000000000001E-2</v>
      </c>
      <c r="F20996" s="26">
        <v>1.84E-2</v>
      </c>
      <c r="I20996" s="26">
        <v>4.3E-3</v>
      </c>
      <c r="J20996">
        <v>164</v>
      </c>
    </row>
    <row r="20997" spans="1:10" x14ac:dyDescent="0.35">
      <c r="A20997" t="s">
        <v>229</v>
      </c>
      <c r="B20997" t="s">
        <v>361</v>
      </c>
      <c r="C20997" s="26">
        <v>0.92710000000000004</v>
      </c>
      <c r="D20997" s="26">
        <v>5.2900000000000003E-2</v>
      </c>
      <c r="E20997" s="26">
        <v>1.34E-2</v>
      </c>
      <c r="F20997" s="26">
        <v>6.6E-3</v>
      </c>
      <c r="J20997">
        <v>243</v>
      </c>
    </row>
    <row r="20998" spans="1:10" x14ac:dyDescent="0.35">
      <c r="A20998" t="s">
        <v>229</v>
      </c>
      <c r="B20998" t="s">
        <v>362</v>
      </c>
      <c r="C20998" s="26">
        <v>0.96299999999999997</v>
      </c>
      <c r="D20998" s="26">
        <v>2.98E-2</v>
      </c>
      <c r="E20998" s="26">
        <v>5.1000000000000004E-3</v>
      </c>
      <c r="G20998" s="26">
        <v>2E-3</v>
      </c>
      <c r="J20998">
        <v>171</v>
      </c>
    </row>
    <row r="20999" spans="1:10" x14ac:dyDescent="0.35">
      <c r="A20999" t="s">
        <v>230</v>
      </c>
      <c r="B20999" t="s">
        <v>360</v>
      </c>
      <c r="C20999" s="26">
        <v>0.88619999999999999</v>
      </c>
      <c r="D20999" s="26">
        <v>5.6899999999999999E-2</v>
      </c>
      <c r="E20999" s="26">
        <v>5.2600000000000001E-2</v>
      </c>
      <c r="F20999" s="26">
        <v>1.5E-3</v>
      </c>
      <c r="G20999" s="26">
        <v>1.5E-3</v>
      </c>
      <c r="H20999" s="26">
        <v>1.5E-3</v>
      </c>
      <c r="J20999">
        <v>120</v>
      </c>
    </row>
    <row r="21000" spans="1:10" x14ac:dyDescent="0.35">
      <c r="A21000" t="s">
        <v>230</v>
      </c>
      <c r="B21000" t="s">
        <v>363</v>
      </c>
      <c r="C21000" s="26">
        <v>0.93369999999999997</v>
      </c>
      <c r="D21000" s="26">
        <v>5.2299999999999999E-2</v>
      </c>
      <c r="E21000" s="26">
        <v>1.1999999999999999E-3</v>
      </c>
      <c r="F21000" s="26">
        <v>1.1999999999999999E-3</v>
      </c>
      <c r="G21000" s="26">
        <v>1.1599999999999999E-2</v>
      </c>
      <c r="J21000">
        <v>127</v>
      </c>
    </row>
    <row r="21001" spans="1:10" x14ac:dyDescent="0.35">
      <c r="A21001" t="s">
        <v>230</v>
      </c>
      <c r="B21001" t="s">
        <v>361</v>
      </c>
      <c r="C21001" s="26">
        <v>0.98019999999999996</v>
      </c>
      <c r="D21001" s="26">
        <v>1.41E-2</v>
      </c>
      <c r="E21001" s="26">
        <v>5.7000000000000002E-3</v>
      </c>
      <c r="J21001">
        <v>109</v>
      </c>
    </row>
    <row r="21002" spans="1:10" x14ac:dyDescent="0.35">
      <c r="A21002" t="s">
        <v>230</v>
      </c>
      <c r="B21002" t="s">
        <v>362</v>
      </c>
      <c r="C21002" s="26">
        <v>0.81</v>
      </c>
      <c r="D21002" s="26">
        <v>0.1081</v>
      </c>
      <c r="E21002" s="26">
        <v>5.7999999999999996E-3</v>
      </c>
      <c r="F21002" s="26">
        <v>3.2099999999999997E-2</v>
      </c>
      <c r="G21002" s="26">
        <v>4.3999999999999997E-2</v>
      </c>
      <c r="J21002">
        <v>148</v>
      </c>
    </row>
    <row r="21003" spans="1:10" x14ac:dyDescent="0.35">
      <c r="A21003" s="27" t="s">
        <v>231</v>
      </c>
      <c r="B21003" s="27" t="s">
        <v>362</v>
      </c>
      <c r="C21003" s="28">
        <v>0.93100000000000005</v>
      </c>
      <c r="D21003" s="28">
        <v>6.9000000000000006E-2</v>
      </c>
      <c r="E21003" s="29"/>
      <c r="F21003" s="29"/>
      <c r="G21003" s="29"/>
      <c r="H21003" s="29"/>
      <c r="I21003" s="29"/>
      <c r="J21003" s="29" t="s">
        <v>329</v>
      </c>
    </row>
    <row r="21004" spans="1:10" x14ac:dyDescent="0.35">
      <c r="A21004" t="s">
        <v>231</v>
      </c>
      <c r="B21004" t="s">
        <v>361</v>
      </c>
      <c r="C21004" s="26">
        <v>0.94</v>
      </c>
      <c r="D21004" s="26">
        <v>0.04</v>
      </c>
      <c r="E21004" s="26">
        <v>0.02</v>
      </c>
      <c r="J21004">
        <v>50</v>
      </c>
    </row>
    <row r="21005" spans="1:10" x14ac:dyDescent="0.35">
      <c r="A21005" t="s">
        <v>231</v>
      </c>
      <c r="B21005" t="s">
        <v>360</v>
      </c>
      <c r="C21005" s="26">
        <v>0.86360000000000003</v>
      </c>
      <c r="D21005" s="26">
        <v>6.8199999999999997E-2</v>
      </c>
      <c r="E21005" s="26">
        <v>6.8199999999999997E-2</v>
      </c>
      <c r="J21005">
        <v>44</v>
      </c>
    </row>
    <row r="21006" spans="1:10" x14ac:dyDescent="0.35">
      <c r="A21006" s="27" t="s">
        <v>231</v>
      </c>
      <c r="B21006" s="27" t="s">
        <v>363</v>
      </c>
      <c r="C21006" s="28">
        <v>0.92589999999999995</v>
      </c>
      <c r="D21006" s="28">
        <v>7.4099999999999999E-2</v>
      </c>
      <c r="E21006" s="29"/>
      <c r="F21006" s="29"/>
      <c r="G21006" s="29"/>
      <c r="H21006" s="29"/>
      <c r="I21006" s="29"/>
      <c r="J21006" s="29" t="s">
        <v>338</v>
      </c>
    </row>
    <row r="21007" spans="1:10" x14ac:dyDescent="0.35">
      <c r="A21007" t="s">
        <v>232</v>
      </c>
      <c r="B21007" t="s">
        <v>232</v>
      </c>
      <c r="C21007" s="26">
        <v>0.91830000000000001</v>
      </c>
      <c r="D21007" s="26">
        <v>5.1200000000000002E-2</v>
      </c>
      <c r="E21007" s="26">
        <v>2.1100000000000001E-2</v>
      </c>
      <c r="F21007" s="26">
        <v>3.7000000000000002E-3</v>
      </c>
      <c r="G21007" s="26">
        <v>3.2000000000000002E-3</v>
      </c>
      <c r="H21007" s="26">
        <v>2.0999999999999999E-3</v>
      </c>
      <c r="I21007" s="26">
        <v>4.0000000000000002E-4</v>
      </c>
      <c r="J21007">
        <v>2476</v>
      </c>
    </row>
    <row r="21009" spans="1:10" x14ac:dyDescent="0.35">
      <c r="A21009" s="1" t="s">
        <v>2060</v>
      </c>
    </row>
    <row r="21010" spans="1:10" x14ac:dyDescent="0.35">
      <c r="A21010" t="s">
        <v>219</v>
      </c>
      <c r="B21010" t="s">
        <v>305</v>
      </c>
      <c r="C21010" t="s">
        <v>2051</v>
      </c>
      <c r="D21010" t="s">
        <v>2052</v>
      </c>
      <c r="E21010" t="s">
        <v>2053</v>
      </c>
      <c r="F21010" t="s">
        <v>2054</v>
      </c>
      <c r="G21010" t="s">
        <v>2055</v>
      </c>
      <c r="H21010" t="s">
        <v>281</v>
      </c>
      <c r="I21010" t="s">
        <v>286</v>
      </c>
      <c r="J21010" t="s">
        <v>226</v>
      </c>
    </row>
    <row r="21011" spans="1:10" x14ac:dyDescent="0.35">
      <c r="A21011" t="s">
        <v>227</v>
      </c>
      <c r="B21011" t="s">
        <v>267</v>
      </c>
      <c r="C21011" s="26">
        <v>0.94440000000000002</v>
      </c>
      <c r="E21011" s="26">
        <v>2.7799999999999998E-2</v>
      </c>
      <c r="G21011" s="26">
        <v>2.7799999999999998E-2</v>
      </c>
      <c r="J21011">
        <v>36</v>
      </c>
    </row>
    <row r="21012" spans="1:10" x14ac:dyDescent="0.35">
      <c r="A21012" t="s">
        <v>227</v>
      </c>
      <c r="B21012" t="s">
        <v>266</v>
      </c>
      <c r="C21012" s="26">
        <v>0.89829999999999999</v>
      </c>
      <c r="D21012" s="26">
        <v>6.7799999999999999E-2</v>
      </c>
      <c r="E21012" s="26">
        <v>3.39E-2</v>
      </c>
      <c r="J21012">
        <v>59</v>
      </c>
    </row>
    <row r="21013" spans="1:10" x14ac:dyDescent="0.35">
      <c r="A21013" t="s">
        <v>227</v>
      </c>
      <c r="B21013" t="s">
        <v>265</v>
      </c>
      <c r="C21013" s="26">
        <v>0.92420000000000002</v>
      </c>
      <c r="D21013" s="26">
        <v>6.0600000000000001E-2</v>
      </c>
      <c r="F21013" s="26">
        <v>1.52E-2</v>
      </c>
      <c r="J21013">
        <v>66</v>
      </c>
    </row>
    <row r="21014" spans="1:10" x14ac:dyDescent="0.35">
      <c r="A21014" t="s">
        <v>228</v>
      </c>
      <c r="B21014" t="s">
        <v>267</v>
      </c>
      <c r="C21014" s="26">
        <v>0.93600000000000005</v>
      </c>
      <c r="D21014" s="26">
        <v>6.0499999999999998E-2</v>
      </c>
      <c r="F21014" s="26">
        <v>2.0999999999999999E-3</v>
      </c>
      <c r="G21014" s="26">
        <v>1.4E-3</v>
      </c>
      <c r="J21014">
        <v>199</v>
      </c>
    </row>
    <row r="21015" spans="1:10" x14ac:dyDescent="0.35">
      <c r="A21015" t="s">
        <v>228</v>
      </c>
      <c r="B21015" t="s">
        <v>265</v>
      </c>
      <c r="C21015" s="26">
        <v>0.91820000000000002</v>
      </c>
      <c r="D21015" s="26">
        <v>4.2000000000000003E-2</v>
      </c>
      <c r="E21015" s="26">
        <v>3.8199999999999998E-2</v>
      </c>
      <c r="F21015" s="26">
        <v>5.9999999999999995E-4</v>
      </c>
      <c r="I21015" s="26">
        <v>1E-3</v>
      </c>
      <c r="J21015">
        <v>384</v>
      </c>
    </row>
    <row r="21016" spans="1:10" x14ac:dyDescent="0.35">
      <c r="A21016" s="27" t="s">
        <v>228</v>
      </c>
      <c r="B21016" s="27" t="s">
        <v>236</v>
      </c>
      <c r="C21016" s="28">
        <v>1</v>
      </c>
      <c r="D21016" s="29"/>
      <c r="E21016" s="29"/>
      <c r="F21016" s="29"/>
      <c r="G21016" s="29"/>
      <c r="H21016" s="29"/>
      <c r="I21016" s="29"/>
      <c r="J21016" s="29" t="s">
        <v>314</v>
      </c>
    </row>
    <row r="21017" spans="1:10" x14ac:dyDescent="0.35">
      <c r="A21017" t="s">
        <v>228</v>
      </c>
      <c r="B21017" t="s">
        <v>266</v>
      </c>
      <c r="C21017" s="26">
        <v>0.92090000000000005</v>
      </c>
      <c r="D21017" s="26">
        <v>3.4599999999999999E-2</v>
      </c>
      <c r="E21017" s="26">
        <v>3.0800000000000001E-2</v>
      </c>
      <c r="F21017" s="26">
        <v>2.8E-3</v>
      </c>
      <c r="G21017" s="26">
        <v>1.03E-2</v>
      </c>
      <c r="H21017" s="26">
        <v>5.9999999999999995E-4</v>
      </c>
      <c r="J21017">
        <v>448</v>
      </c>
    </row>
    <row r="21018" spans="1:10" x14ac:dyDescent="0.35">
      <c r="A21018" t="s">
        <v>229</v>
      </c>
      <c r="B21018" t="s">
        <v>266</v>
      </c>
      <c r="C21018" s="26">
        <v>0.88249999999999995</v>
      </c>
      <c r="D21018" s="26">
        <v>6.83E-2</v>
      </c>
      <c r="E21018" s="26">
        <v>2.2800000000000001E-2</v>
      </c>
      <c r="F21018" s="26">
        <v>1.5299999999999999E-2</v>
      </c>
      <c r="H21018" s="26">
        <v>1.12E-2</v>
      </c>
      <c r="J21018">
        <v>359</v>
      </c>
    </row>
    <row r="21019" spans="1:10" x14ac:dyDescent="0.35">
      <c r="A21019" t="s">
        <v>229</v>
      </c>
      <c r="B21019" t="s">
        <v>267</v>
      </c>
      <c r="C21019" s="26">
        <v>0.92969999999999997</v>
      </c>
      <c r="D21019" s="26">
        <v>4.36E-2</v>
      </c>
      <c r="E21019" s="26">
        <v>1.32E-2</v>
      </c>
      <c r="H21019" s="26">
        <v>1.35E-2</v>
      </c>
      <c r="J21019">
        <v>201</v>
      </c>
    </row>
    <row r="21020" spans="1:10" x14ac:dyDescent="0.35">
      <c r="A21020" t="s">
        <v>229</v>
      </c>
      <c r="B21020" t="s">
        <v>265</v>
      </c>
      <c r="C21020" s="26">
        <v>0.94779999999999998</v>
      </c>
      <c r="D21020" s="26">
        <v>4.7100000000000003E-2</v>
      </c>
      <c r="E21020" s="26">
        <v>1.5E-3</v>
      </c>
      <c r="F21020" s="26">
        <v>6.9999999999999999E-4</v>
      </c>
      <c r="G21020" s="26">
        <v>6.9999999999999999E-4</v>
      </c>
      <c r="I21020" s="26">
        <v>2.2000000000000001E-3</v>
      </c>
      <c r="J21020">
        <v>335</v>
      </c>
    </row>
    <row r="21021" spans="1:10" x14ac:dyDescent="0.35">
      <c r="A21021" t="s">
        <v>230</v>
      </c>
      <c r="B21021" t="s">
        <v>267</v>
      </c>
      <c r="C21021" s="26">
        <v>0.91620000000000001</v>
      </c>
      <c r="D21021" s="26">
        <v>6.6500000000000004E-2</v>
      </c>
      <c r="E21021" s="26">
        <v>2.5000000000000001E-3</v>
      </c>
      <c r="F21021" s="26">
        <v>1.06E-2</v>
      </c>
      <c r="G21021" s="26">
        <v>4.1000000000000003E-3</v>
      </c>
      <c r="J21021">
        <v>119</v>
      </c>
    </row>
    <row r="21022" spans="1:10" x14ac:dyDescent="0.35">
      <c r="A21022" t="s">
        <v>230</v>
      </c>
      <c r="B21022" t="s">
        <v>266</v>
      </c>
      <c r="C21022" s="26">
        <v>0.89529999999999998</v>
      </c>
      <c r="D21022" s="26">
        <v>5.9299999999999999E-2</v>
      </c>
      <c r="E21022" s="26">
        <v>2.5700000000000001E-2</v>
      </c>
      <c r="F21022" s="26">
        <v>1.49E-2</v>
      </c>
      <c r="G21022" s="26">
        <v>4.0000000000000001E-3</v>
      </c>
      <c r="H21022" s="26">
        <v>8.0000000000000004E-4</v>
      </c>
      <c r="J21022">
        <v>232</v>
      </c>
    </row>
    <row r="21023" spans="1:10" x14ac:dyDescent="0.35">
      <c r="A21023" t="s">
        <v>230</v>
      </c>
      <c r="B21023" t="s">
        <v>265</v>
      </c>
      <c r="C21023" s="26">
        <v>0.90990000000000004</v>
      </c>
      <c r="D21023" s="26">
        <v>4.82E-2</v>
      </c>
      <c r="E21023" s="26">
        <v>7.6E-3</v>
      </c>
      <c r="F21023" s="26">
        <v>4.3E-3</v>
      </c>
      <c r="G21023" s="26">
        <v>2.7900000000000001E-2</v>
      </c>
      <c r="H21023" s="26">
        <v>2.2000000000000001E-3</v>
      </c>
      <c r="J21023">
        <v>209</v>
      </c>
    </row>
    <row r="21024" spans="1:10" x14ac:dyDescent="0.35">
      <c r="A21024" t="s">
        <v>231</v>
      </c>
      <c r="B21024" t="s">
        <v>267</v>
      </c>
      <c r="C21024" s="26">
        <v>0.97060000000000002</v>
      </c>
      <c r="D21024" s="26">
        <v>2.9399999999999999E-2</v>
      </c>
      <c r="J21024">
        <v>34</v>
      </c>
    </row>
    <row r="21025" spans="1:10" x14ac:dyDescent="0.35">
      <c r="A21025" t="s">
        <v>231</v>
      </c>
      <c r="B21025" t="s">
        <v>266</v>
      </c>
      <c r="C21025" s="26">
        <v>0.9355</v>
      </c>
      <c r="D21025" s="26">
        <v>4.8399999999999999E-2</v>
      </c>
      <c r="E21025" s="26">
        <v>1.61E-2</v>
      </c>
      <c r="J21025">
        <v>62</v>
      </c>
    </row>
    <row r="21026" spans="1:10" x14ac:dyDescent="0.35">
      <c r="A21026" t="s">
        <v>231</v>
      </c>
      <c r="B21026" t="s">
        <v>265</v>
      </c>
      <c r="C21026" s="26">
        <v>0.86760000000000004</v>
      </c>
      <c r="D21026" s="26">
        <v>7.3499999999999996E-2</v>
      </c>
      <c r="E21026" s="26">
        <v>5.8799999999999998E-2</v>
      </c>
      <c r="J21026">
        <v>68</v>
      </c>
    </row>
    <row r="21027" spans="1:10" x14ac:dyDescent="0.35">
      <c r="A21027" t="s">
        <v>232</v>
      </c>
      <c r="B21027" t="s">
        <v>232</v>
      </c>
      <c r="C21027" s="26">
        <v>0.91830000000000001</v>
      </c>
      <c r="D21027" s="26">
        <v>5.1200000000000002E-2</v>
      </c>
      <c r="E21027" s="26">
        <v>2.1100000000000001E-2</v>
      </c>
      <c r="F21027" s="26">
        <v>3.7000000000000002E-3</v>
      </c>
      <c r="G21027" s="26">
        <v>3.2000000000000002E-3</v>
      </c>
      <c r="H21027" s="26">
        <v>2.0999999999999999E-3</v>
      </c>
      <c r="I21027" s="26">
        <v>4.0000000000000002E-4</v>
      </c>
      <c r="J21027">
        <v>2813</v>
      </c>
    </row>
    <row r="21029" spans="1:10" x14ac:dyDescent="0.35">
      <c r="A21029" s="1" t="s">
        <v>2061</v>
      </c>
    </row>
    <row r="21030" spans="1:10" x14ac:dyDescent="0.35">
      <c r="A21030" t="s">
        <v>219</v>
      </c>
      <c r="B21030" t="s">
        <v>305</v>
      </c>
      <c r="C21030" t="s">
        <v>2051</v>
      </c>
      <c r="D21030" t="s">
        <v>2052</v>
      </c>
      <c r="E21030" t="s">
        <v>2053</v>
      </c>
      <c r="F21030" t="s">
        <v>2054</v>
      </c>
      <c r="G21030" t="s">
        <v>2055</v>
      </c>
      <c r="H21030" t="s">
        <v>281</v>
      </c>
      <c r="I21030" t="s">
        <v>286</v>
      </c>
      <c r="J21030" t="s">
        <v>226</v>
      </c>
    </row>
    <row r="21031" spans="1:10" x14ac:dyDescent="0.35">
      <c r="A21031" t="s">
        <v>227</v>
      </c>
      <c r="B21031" t="s">
        <v>252</v>
      </c>
      <c r="C21031" s="26">
        <v>0.91110000000000002</v>
      </c>
      <c r="D21031" s="26">
        <v>4.4400000000000002E-2</v>
      </c>
      <c r="E21031" s="26">
        <v>4.4400000000000002E-2</v>
      </c>
      <c r="J21031">
        <v>45</v>
      </c>
    </row>
    <row r="21032" spans="1:10" x14ac:dyDescent="0.35">
      <c r="A21032" t="s">
        <v>227</v>
      </c>
      <c r="B21032" t="s">
        <v>253</v>
      </c>
      <c r="C21032" s="26">
        <v>0.91180000000000005</v>
      </c>
      <c r="D21032" s="26">
        <v>5.8799999999999998E-2</v>
      </c>
      <c r="E21032" s="26">
        <v>2.9399999999999999E-2</v>
      </c>
      <c r="J21032">
        <v>34</v>
      </c>
    </row>
    <row r="21033" spans="1:10" x14ac:dyDescent="0.35">
      <c r="A21033" t="s">
        <v>227</v>
      </c>
      <c r="B21033" t="s">
        <v>251</v>
      </c>
      <c r="C21033" s="26">
        <v>0.92679999999999996</v>
      </c>
      <c r="D21033" s="26">
        <v>4.8800000000000003E-2</v>
      </c>
      <c r="F21033" s="26">
        <v>1.2200000000000001E-2</v>
      </c>
      <c r="G21033" s="26">
        <v>1.2200000000000001E-2</v>
      </c>
      <c r="J21033">
        <v>82</v>
      </c>
    </row>
    <row r="21034" spans="1:10" x14ac:dyDescent="0.35">
      <c r="A21034" t="s">
        <v>228</v>
      </c>
      <c r="B21034" t="s">
        <v>252</v>
      </c>
      <c r="C21034" s="26">
        <v>0.92310000000000003</v>
      </c>
      <c r="D21034" s="26">
        <v>2.6800000000000001E-2</v>
      </c>
      <c r="E21034" s="26">
        <v>3.2300000000000002E-2</v>
      </c>
      <c r="F21034" s="26">
        <v>4.7000000000000002E-3</v>
      </c>
      <c r="G21034" s="26">
        <v>1.11E-2</v>
      </c>
      <c r="H21034" s="26">
        <v>8.0000000000000004E-4</v>
      </c>
      <c r="I21034" s="26">
        <v>1.2999999999999999E-3</v>
      </c>
      <c r="J21034">
        <v>344</v>
      </c>
    </row>
    <row r="21035" spans="1:10" x14ac:dyDescent="0.35">
      <c r="A21035" t="s">
        <v>228</v>
      </c>
      <c r="B21035" t="s">
        <v>253</v>
      </c>
      <c r="C21035" s="26">
        <v>0.89390000000000003</v>
      </c>
      <c r="D21035" s="26">
        <v>5.9900000000000002E-2</v>
      </c>
      <c r="E21035" s="26">
        <v>4.3799999999999999E-2</v>
      </c>
      <c r="G21035" s="26">
        <v>2.3999999999999998E-3</v>
      </c>
      <c r="J21035">
        <v>222</v>
      </c>
    </row>
    <row r="21036" spans="1:10" x14ac:dyDescent="0.35">
      <c r="A21036" t="s">
        <v>228</v>
      </c>
      <c r="B21036" t="s">
        <v>251</v>
      </c>
      <c r="C21036" s="26">
        <v>0.93520000000000003</v>
      </c>
      <c r="D21036" s="26">
        <v>4.4200000000000003E-2</v>
      </c>
      <c r="E21036" s="26">
        <v>1.9199999999999998E-2</v>
      </c>
      <c r="F21036" s="26">
        <v>5.0000000000000001E-4</v>
      </c>
      <c r="G21036" s="26">
        <v>8.9999999999999998E-4</v>
      </c>
      <c r="J21036">
        <v>467</v>
      </c>
    </row>
    <row r="21037" spans="1:10" x14ac:dyDescent="0.35">
      <c r="A21037" t="s">
        <v>229</v>
      </c>
      <c r="B21037" t="s">
        <v>252</v>
      </c>
      <c r="C21037" s="26">
        <v>0.95240000000000002</v>
      </c>
      <c r="D21037" s="26">
        <v>9.5999999999999992E-3</v>
      </c>
      <c r="E21037" s="26">
        <v>1.1900000000000001E-2</v>
      </c>
      <c r="F21037" s="26">
        <v>1.12E-2</v>
      </c>
      <c r="G21037" s="26">
        <v>1.5E-3</v>
      </c>
      <c r="H21037" s="26">
        <v>1.34E-2</v>
      </c>
      <c r="J21037">
        <v>199</v>
      </c>
    </row>
    <row r="21038" spans="1:10" x14ac:dyDescent="0.35">
      <c r="A21038" t="s">
        <v>229</v>
      </c>
      <c r="B21038" t="s">
        <v>253</v>
      </c>
      <c r="C21038" s="26">
        <v>0.93200000000000005</v>
      </c>
      <c r="D21038" s="26">
        <v>6.2700000000000006E-2</v>
      </c>
      <c r="E21038" s="26">
        <v>1.6999999999999999E-3</v>
      </c>
      <c r="I21038" s="26">
        <v>3.5000000000000001E-3</v>
      </c>
      <c r="J21038">
        <v>145</v>
      </c>
    </row>
    <row r="21039" spans="1:10" x14ac:dyDescent="0.35">
      <c r="A21039" t="s">
        <v>229</v>
      </c>
      <c r="B21039" t="s">
        <v>251</v>
      </c>
      <c r="C21039" s="26">
        <v>0.90769999999999995</v>
      </c>
      <c r="D21039" s="26">
        <v>6.6900000000000001E-2</v>
      </c>
      <c r="E21039" s="26">
        <v>1.38E-2</v>
      </c>
      <c r="F21039" s="26">
        <v>4.7999999999999996E-3</v>
      </c>
      <c r="H21039" s="26">
        <v>6.1999999999999998E-3</v>
      </c>
      <c r="I21039" s="26">
        <v>5.9999999999999995E-4</v>
      </c>
      <c r="J21039">
        <v>551</v>
      </c>
    </row>
    <row r="21040" spans="1:10" x14ac:dyDescent="0.35">
      <c r="A21040" t="s">
        <v>230</v>
      </c>
      <c r="B21040" t="s">
        <v>252</v>
      </c>
      <c r="C21040" s="26">
        <v>0.87570000000000003</v>
      </c>
      <c r="D21040" s="26">
        <v>6.9800000000000001E-2</v>
      </c>
      <c r="E21040" s="26">
        <v>8.2000000000000007E-3</v>
      </c>
      <c r="F21040" s="26">
        <v>1.1000000000000001E-3</v>
      </c>
      <c r="G21040" s="26">
        <v>4.4200000000000003E-2</v>
      </c>
      <c r="H21040" s="26">
        <v>1.1000000000000001E-3</v>
      </c>
      <c r="J21040">
        <v>159</v>
      </c>
    </row>
    <row r="21041" spans="1:10" x14ac:dyDescent="0.35">
      <c r="A21041" t="s">
        <v>230</v>
      </c>
      <c r="B21041" t="s">
        <v>253</v>
      </c>
      <c r="C21041" s="26">
        <v>0.91869999999999996</v>
      </c>
      <c r="D21041" s="26">
        <v>6.2799999999999995E-2</v>
      </c>
      <c r="E21041" s="26">
        <v>2.8999999999999998E-3</v>
      </c>
      <c r="F21041" s="26">
        <v>6.1000000000000004E-3</v>
      </c>
      <c r="G21041" s="26">
        <v>9.4999999999999998E-3</v>
      </c>
      <c r="J21041">
        <v>110</v>
      </c>
    </row>
    <row r="21042" spans="1:10" x14ac:dyDescent="0.35">
      <c r="A21042" t="s">
        <v>230</v>
      </c>
      <c r="B21042" t="s">
        <v>251</v>
      </c>
      <c r="C21042" s="26">
        <v>0.91569999999999996</v>
      </c>
      <c r="D21042" s="26">
        <v>4.7699999999999999E-2</v>
      </c>
      <c r="E21042" s="26">
        <v>1.8700000000000001E-2</v>
      </c>
      <c r="F21042" s="26">
        <v>1.46E-2</v>
      </c>
      <c r="G21042" s="26">
        <v>1.6000000000000001E-3</v>
      </c>
      <c r="H21042" s="26">
        <v>1.6000000000000001E-3</v>
      </c>
      <c r="J21042">
        <v>291</v>
      </c>
    </row>
    <row r="21043" spans="1:10" x14ac:dyDescent="0.35">
      <c r="A21043" t="s">
        <v>231</v>
      </c>
      <c r="B21043" t="s">
        <v>252</v>
      </c>
      <c r="C21043" s="26">
        <v>0.93879999999999997</v>
      </c>
      <c r="D21043" s="26">
        <v>6.1199999999999997E-2</v>
      </c>
      <c r="J21043">
        <v>49</v>
      </c>
    </row>
    <row r="21044" spans="1:10" x14ac:dyDescent="0.35">
      <c r="A21044" t="s">
        <v>231</v>
      </c>
      <c r="B21044" t="s">
        <v>253</v>
      </c>
      <c r="C21044" s="26">
        <v>0.86670000000000003</v>
      </c>
      <c r="D21044" s="26">
        <v>0.1</v>
      </c>
      <c r="E21044" s="26">
        <v>3.3300000000000003E-2</v>
      </c>
      <c r="J21044">
        <v>30</v>
      </c>
    </row>
    <row r="21045" spans="1:10" x14ac:dyDescent="0.35">
      <c r="A21045" t="s">
        <v>231</v>
      </c>
      <c r="B21045" t="s">
        <v>251</v>
      </c>
      <c r="C21045" s="26">
        <v>0.91759999999999997</v>
      </c>
      <c r="D21045" s="26">
        <v>3.5299999999999998E-2</v>
      </c>
      <c r="E21045" s="26">
        <v>4.7100000000000003E-2</v>
      </c>
      <c r="J21045">
        <v>85</v>
      </c>
    </row>
    <row r="21046" spans="1:10" x14ac:dyDescent="0.35">
      <c r="A21046" t="s">
        <v>232</v>
      </c>
      <c r="B21046" t="s">
        <v>232</v>
      </c>
      <c r="C21046" s="26">
        <v>0.91830000000000001</v>
      </c>
      <c r="D21046" s="26">
        <v>5.1200000000000002E-2</v>
      </c>
      <c r="E21046" s="26">
        <v>2.1100000000000001E-2</v>
      </c>
      <c r="F21046" s="26">
        <v>3.7000000000000002E-3</v>
      </c>
      <c r="G21046" s="26">
        <v>3.2000000000000002E-3</v>
      </c>
      <c r="H21046" s="26">
        <v>2.0999999999999999E-3</v>
      </c>
      <c r="I21046" s="26">
        <v>4.0000000000000002E-4</v>
      </c>
      <c r="J21046">
        <v>2813</v>
      </c>
    </row>
    <row r="21048" spans="1:10" x14ac:dyDescent="0.35">
      <c r="A21048" s="1" t="s">
        <v>2062</v>
      </c>
    </row>
    <row r="21049" spans="1:10" x14ac:dyDescent="0.35">
      <c r="A21049" t="s">
        <v>219</v>
      </c>
      <c r="B21049" t="s">
        <v>305</v>
      </c>
      <c r="C21049" t="s">
        <v>2051</v>
      </c>
      <c r="D21049" t="s">
        <v>2052</v>
      </c>
      <c r="E21049" t="s">
        <v>2053</v>
      </c>
      <c r="F21049" t="s">
        <v>2054</v>
      </c>
      <c r="G21049" t="s">
        <v>2055</v>
      </c>
      <c r="H21049" t="s">
        <v>281</v>
      </c>
      <c r="I21049" t="s">
        <v>286</v>
      </c>
      <c r="J21049" t="s">
        <v>226</v>
      </c>
    </row>
    <row r="21050" spans="1:10" x14ac:dyDescent="0.35">
      <c r="A21050" t="s">
        <v>227</v>
      </c>
      <c r="B21050" t="s">
        <v>249</v>
      </c>
      <c r="C21050" s="26">
        <v>0.95450000000000002</v>
      </c>
      <c r="D21050" s="26">
        <v>4.5499999999999999E-2</v>
      </c>
      <c r="J21050">
        <v>44</v>
      </c>
    </row>
    <row r="21051" spans="1:10" x14ac:dyDescent="0.35">
      <c r="A21051" t="s">
        <v>227</v>
      </c>
      <c r="B21051" t="s">
        <v>248</v>
      </c>
      <c r="C21051" s="26">
        <v>0.90600000000000003</v>
      </c>
      <c r="D21051" s="26">
        <v>5.1299999999999998E-2</v>
      </c>
      <c r="E21051" s="26">
        <v>2.5600000000000001E-2</v>
      </c>
      <c r="F21051" s="26">
        <v>8.5000000000000006E-3</v>
      </c>
      <c r="G21051" s="26">
        <v>8.5000000000000006E-3</v>
      </c>
      <c r="J21051">
        <v>117</v>
      </c>
    </row>
    <row r="21052" spans="1:10" x14ac:dyDescent="0.35">
      <c r="A21052" t="s">
        <v>228</v>
      </c>
      <c r="B21052" t="s">
        <v>249</v>
      </c>
      <c r="C21052" s="26">
        <v>0.92130000000000001</v>
      </c>
      <c r="D21052" s="26">
        <v>3.95E-2</v>
      </c>
      <c r="E21052" s="26">
        <v>3.61E-2</v>
      </c>
      <c r="G21052" s="26">
        <v>3.0000000000000001E-3</v>
      </c>
      <c r="J21052">
        <v>274</v>
      </c>
    </row>
    <row r="21053" spans="1:10" x14ac:dyDescent="0.35">
      <c r="A21053" t="s">
        <v>228</v>
      </c>
      <c r="B21053" t="s">
        <v>248</v>
      </c>
      <c r="C21053" s="26">
        <v>0.92349999999999999</v>
      </c>
      <c r="D21053" s="26">
        <v>4.2799999999999998E-2</v>
      </c>
      <c r="E21053" s="26">
        <v>2.52E-2</v>
      </c>
      <c r="F21053" s="26">
        <v>2.5000000000000001E-3</v>
      </c>
      <c r="G21053" s="26">
        <v>5.1000000000000004E-3</v>
      </c>
      <c r="H21053" s="26">
        <v>2.9999999999999997E-4</v>
      </c>
      <c r="I21053" s="26">
        <v>5.9999999999999995E-4</v>
      </c>
      <c r="J21053">
        <v>759</v>
      </c>
    </row>
    <row r="21054" spans="1:10" x14ac:dyDescent="0.35">
      <c r="A21054" t="s">
        <v>229</v>
      </c>
      <c r="B21054" t="s">
        <v>249</v>
      </c>
      <c r="C21054" s="26">
        <v>0.90620000000000001</v>
      </c>
      <c r="D21054" s="26">
        <v>7.7100000000000002E-2</v>
      </c>
      <c r="E21054" s="26">
        <v>1.47E-2</v>
      </c>
      <c r="H21054" s="26">
        <v>2E-3</v>
      </c>
      <c r="J21054">
        <v>259</v>
      </c>
    </row>
    <row r="21055" spans="1:10" x14ac:dyDescent="0.35">
      <c r="A21055" t="s">
        <v>229</v>
      </c>
      <c r="B21055" t="s">
        <v>248</v>
      </c>
      <c r="C21055" s="26">
        <v>0.93020000000000003</v>
      </c>
      <c r="D21055" s="26">
        <v>4.1599999999999998E-2</v>
      </c>
      <c r="E21055" s="26">
        <v>9.2999999999999992E-3</v>
      </c>
      <c r="F21055" s="26">
        <v>8.0000000000000002E-3</v>
      </c>
      <c r="G21055" s="26">
        <v>5.0000000000000001E-4</v>
      </c>
      <c r="H21055" s="26">
        <v>8.8999999999999999E-3</v>
      </c>
      <c r="I21055" s="26">
        <v>1.5E-3</v>
      </c>
      <c r="J21055">
        <v>636</v>
      </c>
    </row>
    <row r="21056" spans="1:10" x14ac:dyDescent="0.35">
      <c r="A21056" t="s">
        <v>230</v>
      </c>
      <c r="B21056" t="s">
        <v>249</v>
      </c>
      <c r="C21056" s="26">
        <v>0.85589999999999999</v>
      </c>
      <c r="D21056" s="26">
        <v>9.2799999999999994E-2</v>
      </c>
      <c r="E21056" s="26">
        <v>2.7300000000000001E-2</v>
      </c>
      <c r="F21056" s="26">
        <v>2.1299999999999999E-2</v>
      </c>
      <c r="H21056" s="26">
        <v>2.7000000000000001E-3</v>
      </c>
      <c r="J21056">
        <v>171</v>
      </c>
    </row>
    <row r="21057" spans="1:10" x14ac:dyDescent="0.35">
      <c r="A21057" t="s">
        <v>230</v>
      </c>
      <c r="B21057" t="s">
        <v>248</v>
      </c>
      <c r="C21057" s="26">
        <v>0.93149999999999999</v>
      </c>
      <c r="D21057" s="26">
        <v>3.7600000000000001E-2</v>
      </c>
      <c r="E21057" s="26">
        <v>5.7999999999999996E-3</v>
      </c>
      <c r="F21057" s="26">
        <v>3.5000000000000001E-3</v>
      </c>
      <c r="G21057" s="26">
        <v>2.1100000000000001E-2</v>
      </c>
      <c r="H21057" s="26">
        <v>4.0000000000000002E-4</v>
      </c>
      <c r="J21057">
        <v>389</v>
      </c>
    </row>
    <row r="21058" spans="1:10" x14ac:dyDescent="0.35">
      <c r="A21058" t="s">
        <v>231</v>
      </c>
      <c r="B21058" t="s">
        <v>249</v>
      </c>
      <c r="C21058" s="26">
        <v>0.85709999999999997</v>
      </c>
      <c r="D21058" s="26">
        <v>5.7099999999999998E-2</v>
      </c>
      <c r="E21058" s="26">
        <v>8.5699999999999998E-2</v>
      </c>
      <c r="J21058">
        <v>35</v>
      </c>
    </row>
    <row r="21059" spans="1:10" x14ac:dyDescent="0.35">
      <c r="A21059" t="s">
        <v>231</v>
      </c>
      <c r="B21059" t="s">
        <v>248</v>
      </c>
      <c r="C21059" s="26">
        <v>0.93020000000000003</v>
      </c>
      <c r="D21059" s="26">
        <v>5.4300000000000001E-2</v>
      </c>
      <c r="E21059" s="26">
        <v>1.55E-2</v>
      </c>
      <c r="J21059">
        <v>129</v>
      </c>
    </row>
    <row r="21060" spans="1:10" x14ac:dyDescent="0.35">
      <c r="A21060" t="s">
        <v>232</v>
      </c>
      <c r="B21060" t="s">
        <v>232</v>
      </c>
      <c r="C21060" s="26">
        <v>0.91830000000000001</v>
      </c>
      <c r="D21060" s="26">
        <v>5.1200000000000002E-2</v>
      </c>
      <c r="E21060" s="26">
        <v>2.1100000000000001E-2</v>
      </c>
      <c r="F21060" s="26">
        <v>3.7000000000000002E-3</v>
      </c>
      <c r="G21060" s="26">
        <v>3.2000000000000002E-3</v>
      </c>
      <c r="H21060" s="26">
        <v>2.0999999999999999E-3</v>
      </c>
      <c r="I21060" s="26">
        <v>4.0000000000000002E-4</v>
      </c>
      <c r="J21060">
        <v>2813</v>
      </c>
    </row>
    <row r="21062" spans="1:10" x14ac:dyDescent="0.35">
      <c r="A21062" s="1" t="s">
        <v>2063</v>
      </c>
    </row>
    <row r="21063" spans="1:10" x14ac:dyDescent="0.35">
      <c r="A21063" t="s">
        <v>219</v>
      </c>
      <c r="B21063" t="s">
        <v>305</v>
      </c>
      <c r="C21063" t="s">
        <v>2051</v>
      </c>
      <c r="D21063" t="s">
        <v>2052</v>
      </c>
      <c r="E21063" t="s">
        <v>2053</v>
      </c>
      <c r="F21063" t="s">
        <v>2054</v>
      </c>
      <c r="G21063" t="s">
        <v>2055</v>
      </c>
      <c r="H21063" t="s">
        <v>281</v>
      </c>
      <c r="I21063" t="s">
        <v>286</v>
      </c>
      <c r="J21063" t="s">
        <v>226</v>
      </c>
    </row>
    <row r="21064" spans="1:10" x14ac:dyDescent="0.35">
      <c r="A21064" s="27" t="s">
        <v>227</v>
      </c>
      <c r="B21064" s="27" t="s">
        <v>263</v>
      </c>
      <c r="C21064" s="28">
        <v>1</v>
      </c>
      <c r="D21064" s="29"/>
      <c r="E21064" s="29"/>
      <c r="F21064" s="29"/>
      <c r="G21064" s="29"/>
      <c r="H21064" s="29"/>
      <c r="I21064" s="29"/>
      <c r="J21064" s="29" t="s">
        <v>315</v>
      </c>
    </row>
    <row r="21065" spans="1:10" x14ac:dyDescent="0.35">
      <c r="A21065" t="s">
        <v>227</v>
      </c>
      <c r="B21065" t="s">
        <v>261</v>
      </c>
      <c r="C21065" s="26">
        <v>0.87880000000000003</v>
      </c>
      <c r="D21065" s="26">
        <v>6.0600000000000001E-2</v>
      </c>
      <c r="E21065" s="26">
        <v>3.0300000000000001E-2</v>
      </c>
      <c r="F21065" s="26">
        <v>3.0300000000000001E-2</v>
      </c>
      <c r="J21065">
        <v>33</v>
      </c>
    </row>
    <row r="21066" spans="1:10" x14ac:dyDescent="0.35">
      <c r="A21066" s="27" t="s">
        <v>227</v>
      </c>
      <c r="B21066" s="27" t="s">
        <v>262</v>
      </c>
      <c r="C21066" s="28">
        <v>1</v>
      </c>
      <c r="D21066" s="29"/>
      <c r="E21066" s="29"/>
      <c r="F21066" s="29"/>
      <c r="G21066" s="29"/>
      <c r="H21066" s="29"/>
      <c r="I21066" s="29"/>
      <c r="J21066" s="29" t="s">
        <v>315</v>
      </c>
    </row>
    <row r="21067" spans="1:10" x14ac:dyDescent="0.35">
      <c r="A21067" t="s">
        <v>227</v>
      </c>
      <c r="B21067" t="s">
        <v>260</v>
      </c>
      <c r="C21067" s="26">
        <v>0.92620000000000002</v>
      </c>
      <c r="D21067" s="26">
        <v>4.9200000000000001E-2</v>
      </c>
      <c r="E21067" s="26">
        <v>1.6400000000000001E-2</v>
      </c>
      <c r="G21067" s="26">
        <v>8.2000000000000007E-3</v>
      </c>
      <c r="J21067">
        <v>122</v>
      </c>
    </row>
    <row r="21068" spans="1:10" x14ac:dyDescent="0.35">
      <c r="A21068" t="s">
        <v>228</v>
      </c>
      <c r="B21068" t="s">
        <v>261</v>
      </c>
      <c r="C21068" s="26">
        <v>0.94620000000000004</v>
      </c>
      <c r="D21068" s="26">
        <v>4.02E-2</v>
      </c>
      <c r="E21068" s="26">
        <v>1.23E-2</v>
      </c>
      <c r="G21068" s="26">
        <v>1.1999999999999999E-3</v>
      </c>
      <c r="J21068">
        <v>192</v>
      </c>
    </row>
    <row r="21069" spans="1:10" x14ac:dyDescent="0.35">
      <c r="A21069" s="27" t="s">
        <v>228</v>
      </c>
      <c r="B21069" s="27" t="s">
        <v>263</v>
      </c>
      <c r="C21069" s="28">
        <v>0.93559999999999999</v>
      </c>
      <c r="D21069" s="28">
        <v>2.2100000000000002E-2</v>
      </c>
      <c r="E21069" s="28">
        <v>2.93E-2</v>
      </c>
      <c r="F21069" s="28">
        <v>1.2999999999999999E-2</v>
      </c>
      <c r="G21069" s="29"/>
      <c r="H21069" s="29"/>
      <c r="I21069" s="29"/>
      <c r="J21069" s="29" t="s">
        <v>312</v>
      </c>
    </row>
    <row r="21070" spans="1:10" x14ac:dyDescent="0.35">
      <c r="A21070" s="27" t="s">
        <v>228</v>
      </c>
      <c r="B21070" s="27" t="s">
        <v>236</v>
      </c>
      <c r="C21070" s="28">
        <v>0.9335</v>
      </c>
      <c r="D21070" s="29"/>
      <c r="E21070" s="28">
        <v>6.6500000000000004E-2</v>
      </c>
      <c r="F21070" s="29"/>
      <c r="G21070" s="29"/>
      <c r="H21070" s="29"/>
      <c r="I21070" s="29"/>
      <c r="J21070" s="29" t="s">
        <v>335</v>
      </c>
    </row>
    <row r="21071" spans="1:10" x14ac:dyDescent="0.35">
      <c r="A21071" t="s">
        <v>228</v>
      </c>
      <c r="B21071" t="s">
        <v>262</v>
      </c>
      <c r="C21071" s="26">
        <v>0.93969999999999998</v>
      </c>
      <c r="D21071" s="26">
        <v>3.8800000000000001E-2</v>
      </c>
      <c r="E21071" s="26">
        <v>1.7500000000000002E-2</v>
      </c>
      <c r="G21071" s="26">
        <v>1.5E-3</v>
      </c>
      <c r="I21071" s="26">
        <v>2.5000000000000001E-3</v>
      </c>
      <c r="J21071">
        <v>201</v>
      </c>
    </row>
    <row r="21072" spans="1:10" x14ac:dyDescent="0.35">
      <c r="A21072" t="s">
        <v>228</v>
      </c>
      <c r="B21072" t="s">
        <v>260</v>
      </c>
      <c r="C21072" s="26">
        <v>0.91039999999999999</v>
      </c>
      <c r="D21072" s="26">
        <v>4.4200000000000003E-2</v>
      </c>
      <c r="E21072" s="26">
        <v>3.61E-2</v>
      </c>
      <c r="F21072" s="26">
        <v>2.3999999999999998E-3</v>
      </c>
      <c r="G21072" s="26">
        <v>6.4999999999999997E-3</v>
      </c>
      <c r="H21072" s="26">
        <v>4.0000000000000002E-4</v>
      </c>
      <c r="J21072">
        <v>609</v>
      </c>
    </row>
    <row r="21073" spans="1:10" x14ac:dyDescent="0.35">
      <c r="A21073" s="27" t="s">
        <v>229</v>
      </c>
      <c r="B21073" s="27" t="s">
        <v>263</v>
      </c>
      <c r="C21073" s="28">
        <v>0.71419999999999995</v>
      </c>
      <c r="D21073" s="28">
        <v>0.2858</v>
      </c>
      <c r="E21073" s="29"/>
      <c r="F21073" s="29"/>
      <c r="G21073" s="29"/>
      <c r="H21073" s="29"/>
      <c r="I21073" s="29"/>
      <c r="J21073" s="29" t="s">
        <v>379</v>
      </c>
    </row>
    <row r="21074" spans="1:10" x14ac:dyDescent="0.35">
      <c r="A21074" t="s">
        <v>229</v>
      </c>
      <c r="B21074" t="s">
        <v>262</v>
      </c>
      <c r="C21074" s="26">
        <v>0.90969999999999995</v>
      </c>
      <c r="D21074" s="26">
        <v>6.6000000000000003E-2</v>
      </c>
      <c r="E21074" s="26">
        <v>9.9000000000000008E-3</v>
      </c>
      <c r="H21074" s="26">
        <v>1.3100000000000001E-2</v>
      </c>
      <c r="I21074" s="26">
        <v>1.1999999999999999E-3</v>
      </c>
      <c r="J21074">
        <v>188</v>
      </c>
    </row>
    <row r="21075" spans="1:10" x14ac:dyDescent="0.35">
      <c r="A21075" t="s">
        <v>229</v>
      </c>
      <c r="B21075" t="s">
        <v>261</v>
      </c>
      <c r="C21075" s="26">
        <v>0.89570000000000005</v>
      </c>
      <c r="D21075" s="26">
        <v>8.0699999999999994E-2</v>
      </c>
      <c r="E21075" s="26">
        <v>2.2000000000000001E-3</v>
      </c>
      <c r="F21075" s="26">
        <v>1.9099999999999999E-2</v>
      </c>
      <c r="G21075" s="26">
        <v>2.2000000000000001E-3</v>
      </c>
      <c r="J21075">
        <v>96</v>
      </c>
    </row>
    <row r="21076" spans="1:10" x14ac:dyDescent="0.35">
      <c r="A21076" s="27" t="s">
        <v>229</v>
      </c>
      <c r="B21076" s="27" t="s">
        <v>236</v>
      </c>
      <c r="C21076" s="28">
        <v>1</v>
      </c>
      <c r="D21076" s="29"/>
      <c r="E21076" s="29"/>
      <c r="F21076" s="29"/>
      <c r="G21076" s="29"/>
      <c r="H21076" s="29"/>
      <c r="I21076" s="29"/>
      <c r="J21076" s="29" t="s">
        <v>331</v>
      </c>
    </row>
    <row r="21077" spans="1:10" x14ac:dyDescent="0.35">
      <c r="A21077" t="s">
        <v>229</v>
      </c>
      <c r="B21077" t="s">
        <v>260</v>
      </c>
      <c r="C21077" s="26">
        <v>0.94299999999999995</v>
      </c>
      <c r="D21077" s="26">
        <v>3.1300000000000001E-2</v>
      </c>
      <c r="E21077" s="26">
        <v>1.4500000000000001E-2</v>
      </c>
      <c r="F21077" s="26">
        <v>4.4999999999999997E-3</v>
      </c>
      <c r="H21077" s="26">
        <v>5.4000000000000003E-3</v>
      </c>
      <c r="I21077" s="26">
        <v>1.1999999999999999E-3</v>
      </c>
      <c r="J21077">
        <v>596</v>
      </c>
    </row>
    <row r="21078" spans="1:10" x14ac:dyDescent="0.35">
      <c r="A21078" s="27" t="s">
        <v>230</v>
      </c>
      <c r="B21078" s="27" t="s">
        <v>236</v>
      </c>
      <c r="C21078" s="28">
        <v>1</v>
      </c>
      <c r="D21078" s="29"/>
      <c r="E21078" s="29"/>
      <c r="F21078" s="29"/>
      <c r="G21078" s="29"/>
      <c r="H21078" s="29"/>
      <c r="I21078" s="29"/>
      <c r="J21078" s="29" t="s">
        <v>337</v>
      </c>
    </row>
    <row r="21079" spans="1:10" x14ac:dyDescent="0.35">
      <c r="A21079" t="s">
        <v>230</v>
      </c>
      <c r="B21079" t="s">
        <v>262</v>
      </c>
      <c r="C21079" s="26">
        <v>0.93730000000000002</v>
      </c>
      <c r="D21079" s="26">
        <v>3.73E-2</v>
      </c>
      <c r="E21079" s="26">
        <v>1.7500000000000002E-2</v>
      </c>
      <c r="F21079" s="26">
        <v>1.8E-3</v>
      </c>
      <c r="G21079" s="26">
        <v>6.0000000000000001E-3</v>
      </c>
      <c r="J21079">
        <v>122</v>
      </c>
    </row>
    <row r="21080" spans="1:10" x14ac:dyDescent="0.35">
      <c r="A21080" t="s">
        <v>230</v>
      </c>
      <c r="B21080" t="s">
        <v>261</v>
      </c>
      <c r="C21080" s="26">
        <v>0.85640000000000005</v>
      </c>
      <c r="D21080" s="26">
        <v>9.4399999999999998E-2</v>
      </c>
      <c r="E21080" s="26">
        <v>4.0399999999999998E-2</v>
      </c>
      <c r="F21080" s="26">
        <v>2E-3</v>
      </c>
      <c r="H21080" s="26">
        <v>6.7999999999999996E-3</v>
      </c>
      <c r="J21080">
        <v>57</v>
      </c>
    </row>
    <row r="21081" spans="1:10" x14ac:dyDescent="0.35">
      <c r="A21081" s="27" t="s">
        <v>230</v>
      </c>
      <c r="B21081" s="27" t="s">
        <v>263</v>
      </c>
      <c r="C21081" s="28">
        <v>0.52600000000000002</v>
      </c>
      <c r="D21081" s="28">
        <v>0.41830000000000001</v>
      </c>
      <c r="E21081" s="28">
        <v>5.57E-2</v>
      </c>
      <c r="F21081" s="29"/>
      <c r="G21081" s="29"/>
      <c r="H21081" s="29"/>
      <c r="I21081" s="29"/>
      <c r="J21081" s="29" t="s">
        <v>312</v>
      </c>
    </row>
    <row r="21082" spans="1:10" x14ac:dyDescent="0.35">
      <c r="A21082" t="s">
        <v>230</v>
      </c>
      <c r="B21082" t="s">
        <v>260</v>
      </c>
      <c r="C21082" s="26">
        <v>0.91669999999999996</v>
      </c>
      <c r="D21082" s="26">
        <v>4.5100000000000001E-2</v>
      </c>
      <c r="E21082" s="26">
        <v>5.8999999999999999E-3</v>
      </c>
      <c r="F21082" s="26">
        <v>1.29E-2</v>
      </c>
      <c r="G21082" s="26">
        <v>1.89E-2</v>
      </c>
      <c r="H21082" s="26">
        <v>4.0000000000000002E-4</v>
      </c>
      <c r="J21082">
        <v>352</v>
      </c>
    </row>
    <row r="21083" spans="1:10" x14ac:dyDescent="0.35">
      <c r="A21083" s="27" t="s">
        <v>231</v>
      </c>
      <c r="B21083" s="27" t="s">
        <v>263</v>
      </c>
      <c r="C21083" s="28">
        <v>1</v>
      </c>
      <c r="D21083" s="29"/>
      <c r="E21083" s="29"/>
      <c r="F21083" s="29"/>
      <c r="G21083" s="29"/>
      <c r="H21083" s="29"/>
      <c r="I21083" s="29"/>
      <c r="J21083" s="29" t="s">
        <v>314</v>
      </c>
    </row>
    <row r="21084" spans="1:10" x14ac:dyDescent="0.35">
      <c r="A21084" t="s">
        <v>231</v>
      </c>
      <c r="B21084" t="s">
        <v>260</v>
      </c>
      <c r="C21084" s="26">
        <v>0.8871</v>
      </c>
      <c r="D21084" s="26">
        <v>7.2599999999999998E-2</v>
      </c>
      <c r="E21084" s="26">
        <v>4.0300000000000002E-2</v>
      </c>
      <c r="J21084">
        <v>124</v>
      </c>
    </row>
    <row r="21085" spans="1:10" x14ac:dyDescent="0.35">
      <c r="A21085" s="27" t="s">
        <v>231</v>
      </c>
      <c r="B21085" s="27" t="s">
        <v>261</v>
      </c>
      <c r="C21085" s="28">
        <v>1</v>
      </c>
      <c r="D21085" s="29"/>
      <c r="E21085" s="29"/>
      <c r="F21085" s="29"/>
      <c r="G21085" s="29"/>
      <c r="H21085" s="29"/>
      <c r="I21085" s="29"/>
      <c r="J21085" s="29" t="s">
        <v>338</v>
      </c>
    </row>
    <row r="21086" spans="1:10" x14ac:dyDescent="0.35">
      <c r="A21086" s="27" t="s">
        <v>231</v>
      </c>
      <c r="B21086" s="27" t="s">
        <v>262</v>
      </c>
      <c r="C21086" s="28">
        <v>1</v>
      </c>
      <c r="D21086" s="29"/>
      <c r="E21086" s="29"/>
      <c r="F21086" s="29"/>
      <c r="G21086" s="29"/>
      <c r="H21086" s="29"/>
      <c r="I21086" s="29"/>
      <c r="J21086" s="29" t="s">
        <v>352</v>
      </c>
    </row>
    <row r="21087" spans="1:10" x14ac:dyDescent="0.35">
      <c r="A21087" t="s">
        <v>232</v>
      </c>
      <c r="B21087" t="s">
        <v>232</v>
      </c>
      <c r="C21087" s="26">
        <v>0.91830000000000001</v>
      </c>
      <c r="D21087" s="26">
        <v>5.1200000000000002E-2</v>
      </c>
      <c r="E21087" s="26">
        <v>2.1100000000000001E-2</v>
      </c>
      <c r="F21087" s="26">
        <v>3.7000000000000002E-3</v>
      </c>
      <c r="G21087" s="26">
        <v>3.2000000000000002E-3</v>
      </c>
      <c r="H21087" s="26">
        <v>2.0999999999999999E-3</v>
      </c>
      <c r="I21087" s="26">
        <v>4.0000000000000002E-4</v>
      </c>
      <c r="J21087">
        <v>2813</v>
      </c>
    </row>
    <row r="21089" spans="1:10" x14ac:dyDescent="0.35">
      <c r="A21089" s="1" t="s">
        <v>2064</v>
      </c>
    </row>
    <row r="21090" spans="1:10" x14ac:dyDescent="0.35">
      <c r="A21090" t="s">
        <v>219</v>
      </c>
      <c r="B21090" t="s">
        <v>305</v>
      </c>
      <c r="C21090" t="s">
        <v>2051</v>
      </c>
      <c r="D21090" t="s">
        <v>2052</v>
      </c>
      <c r="E21090" t="s">
        <v>2053</v>
      </c>
      <c r="F21090" t="s">
        <v>2054</v>
      </c>
      <c r="G21090" t="s">
        <v>2055</v>
      </c>
      <c r="H21090" t="s">
        <v>281</v>
      </c>
      <c r="I21090" t="s">
        <v>286</v>
      </c>
      <c r="J21090" t="s">
        <v>226</v>
      </c>
    </row>
    <row r="21091" spans="1:10" x14ac:dyDescent="0.35">
      <c r="A21091" t="s">
        <v>227</v>
      </c>
      <c r="B21091" t="s">
        <v>368</v>
      </c>
      <c r="C21091" s="26">
        <v>0.87880000000000003</v>
      </c>
      <c r="D21091" s="26">
        <v>6.0600000000000001E-2</v>
      </c>
      <c r="E21091" s="26">
        <v>3.0300000000000001E-2</v>
      </c>
      <c r="F21091" s="26">
        <v>3.0300000000000001E-2</v>
      </c>
      <c r="J21091">
        <v>33</v>
      </c>
    </row>
    <row r="21092" spans="1:10" x14ac:dyDescent="0.35">
      <c r="A21092" t="s">
        <v>227</v>
      </c>
      <c r="B21092" t="s">
        <v>369</v>
      </c>
      <c r="C21092" s="26">
        <v>0.92969999999999997</v>
      </c>
      <c r="D21092" s="26">
        <v>4.6899999999999997E-2</v>
      </c>
      <c r="E21092" s="26">
        <v>1.5599999999999999E-2</v>
      </c>
      <c r="G21092" s="26">
        <v>7.7999999999999996E-3</v>
      </c>
      <c r="J21092">
        <v>128</v>
      </c>
    </row>
    <row r="21093" spans="1:10" x14ac:dyDescent="0.35">
      <c r="A21093" t="s">
        <v>228</v>
      </c>
      <c r="B21093" t="s">
        <v>368</v>
      </c>
      <c r="C21093" s="26">
        <v>0.94620000000000004</v>
      </c>
      <c r="D21093" s="26">
        <v>4.02E-2</v>
      </c>
      <c r="E21093" s="26">
        <v>1.23E-2</v>
      </c>
      <c r="G21093" s="26">
        <v>1.1999999999999999E-3</v>
      </c>
      <c r="J21093">
        <v>192</v>
      </c>
    </row>
    <row r="21094" spans="1:10" x14ac:dyDescent="0.35">
      <c r="A21094" t="s">
        <v>228</v>
      </c>
      <c r="B21094" t="s">
        <v>369</v>
      </c>
      <c r="C21094" s="26">
        <v>0.91720000000000002</v>
      </c>
      <c r="D21094" s="26">
        <v>4.2200000000000001E-2</v>
      </c>
      <c r="E21094" s="26">
        <v>3.2399999999999998E-2</v>
      </c>
      <c r="F21094" s="26">
        <v>2.2000000000000001E-3</v>
      </c>
      <c r="G21094" s="26">
        <v>5.1999999999999998E-3</v>
      </c>
      <c r="H21094" s="26">
        <v>2.9999999999999997E-4</v>
      </c>
      <c r="I21094" s="26">
        <v>5.0000000000000001E-4</v>
      </c>
      <c r="J21094">
        <v>841</v>
      </c>
    </row>
    <row r="21095" spans="1:10" x14ac:dyDescent="0.35">
      <c r="A21095" t="s">
        <v>229</v>
      </c>
      <c r="B21095" t="s">
        <v>368</v>
      </c>
      <c r="C21095" s="26">
        <v>0.89570000000000005</v>
      </c>
      <c r="D21095" s="26">
        <v>8.0699999999999994E-2</v>
      </c>
      <c r="E21095" s="26">
        <v>2.2000000000000001E-3</v>
      </c>
      <c r="F21095" s="26">
        <v>1.9099999999999999E-2</v>
      </c>
      <c r="G21095" s="26">
        <v>2.2000000000000001E-3</v>
      </c>
      <c r="J21095">
        <v>96</v>
      </c>
    </row>
    <row r="21096" spans="1:10" x14ac:dyDescent="0.35">
      <c r="A21096" t="s">
        <v>229</v>
      </c>
      <c r="B21096" t="s">
        <v>369</v>
      </c>
      <c r="C21096" s="26">
        <v>0.92689999999999995</v>
      </c>
      <c r="D21096" s="26">
        <v>4.8500000000000001E-2</v>
      </c>
      <c r="E21096" s="26">
        <v>1.2699999999999999E-2</v>
      </c>
      <c r="F21096" s="26">
        <v>2.8999999999999998E-3</v>
      </c>
      <c r="H21096" s="26">
        <v>7.7999999999999996E-3</v>
      </c>
      <c r="I21096" s="26">
        <v>1.1999999999999999E-3</v>
      </c>
      <c r="J21096">
        <v>799</v>
      </c>
    </row>
    <row r="21097" spans="1:10" x14ac:dyDescent="0.35">
      <c r="A21097" t="s">
        <v>230</v>
      </c>
      <c r="B21097" t="s">
        <v>368</v>
      </c>
      <c r="C21097" s="26">
        <v>0.85640000000000005</v>
      </c>
      <c r="D21097" s="26">
        <v>9.4399999999999998E-2</v>
      </c>
      <c r="E21097" s="26">
        <v>4.0399999999999998E-2</v>
      </c>
      <c r="F21097" s="26">
        <v>2E-3</v>
      </c>
      <c r="H21097" s="26">
        <v>6.7999999999999996E-3</v>
      </c>
      <c r="J21097">
        <v>57</v>
      </c>
    </row>
    <row r="21098" spans="1:10" x14ac:dyDescent="0.35">
      <c r="A21098" t="s">
        <v>230</v>
      </c>
      <c r="B21098" t="s">
        <v>369</v>
      </c>
      <c r="C21098" s="26">
        <v>0.91369999999999996</v>
      </c>
      <c r="D21098" s="26">
        <v>5.04E-2</v>
      </c>
      <c r="E21098" s="26">
        <v>8.8000000000000005E-3</v>
      </c>
      <c r="F21098" s="26">
        <v>1.0699999999999999E-2</v>
      </c>
      <c r="G21098" s="26">
        <v>1.6199999999999999E-2</v>
      </c>
      <c r="H21098" s="26">
        <v>2.9999999999999997E-4</v>
      </c>
      <c r="J21098">
        <v>503</v>
      </c>
    </row>
    <row r="21099" spans="1:10" x14ac:dyDescent="0.35">
      <c r="A21099" s="27" t="s">
        <v>231</v>
      </c>
      <c r="B21099" s="27" t="s">
        <v>368</v>
      </c>
      <c r="C21099" s="28">
        <v>1</v>
      </c>
      <c r="D21099" s="29"/>
      <c r="E21099" s="29"/>
      <c r="F21099" s="29"/>
      <c r="G21099" s="29"/>
      <c r="H21099" s="29"/>
      <c r="I21099" s="29"/>
      <c r="J21099" s="29" t="s">
        <v>338</v>
      </c>
    </row>
    <row r="21100" spans="1:10" x14ac:dyDescent="0.35">
      <c r="A21100" t="s">
        <v>231</v>
      </c>
      <c r="B21100" t="s">
        <v>369</v>
      </c>
      <c r="C21100" s="26">
        <v>0.89780000000000004</v>
      </c>
      <c r="D21100" s="26">
        <v>6.5699999999999995E-2</v>
      </c>
      <c r="E21100" s="26">
        <v>3.6499999999999998E-2</v>
      </c>
      <c r="J21100">
        <v>137</v>
      </c>
    </row>
    <row r="21101" spans="1:10" x14ac:dyDescent="0.35">
      <c r="A21101" t="s">
        <v>232</v>
      </c>
      <c r="B21101" t="s">
        <v>232</v>
      </c>
      <c r="C21101" s="26">
        <v>0.91830000000000001</v>
      </c>
      <c r="D21101" s="26">
        <v>5.1200000000000002E-2</v>
      </c>
      <c r="E21101" s="26">
        <v>2.1100000000000001E-2</v>
      </c>
      <c r="F21101" s="26">
        <v>3.7000000000000002E-3</v>
      </c>
      <c r="G21101" s="26">
        <v>3.2000000000000002E-3</v>
      </c>
      <c r="H21101" s="26">
        <v>2.0999999999999999E-3</v>
      </c>
      <c r="I21101" s="26">
        <v>4.0000000000000002E-4</v>
      </c>
      <c r="J21101">
        <v>2813</v>
      </c>
    </row>
    <row r="21103" spans="1:10" x14ac:dyDescent="0.35">
      <c r="A21103" s="1" t="s">
        <v>2065</v>
      </c>
    </row>
    <row r="21104" spans="1:10" x14ac:dyDescent="0.35">
      <c r="A21104" t="s">
        <v>219</v>
      </c>
      <c r="B21104" t="s">
        <v>305</v>
      </c>
      <c r="C21104" t="s">
        <v>2051</v>
      </c>
      <c r="D21104" t="s">
        <v>2052</v>
      </c>
      <c r="E21104" t="s">
        <v>2053</v>
      </c>
      <c r="F21104" t="s">
        <v>2054</v>
      </c>
      <c r="G21104" t="s">
        <v>2055</v>
      </c>
      <c r="H21104" t="s">
        <v>281</v>
      </c>
      <c r="I21104" t="s">
        <v>286</v>
      </c>
      <c r="J21104" t="s">
        <v>226</v>
      </c>
    </row>
    <row r="21105" spans="1:10" x14ac:dyDescent="0.35">
      <c r="A21105" t="s">
        <v>227</v>
      </c>
      <c r="B21105" t="s">
        <v>371</v>
      </c>
      <c r="C21105" s="26">
        <v>0.91930000000000001</v>
      </c>
      <c r="D21105" s="26">
        <v>4.9700000000000001E-2</v>
      </c>
      <c r="E21105" s="26">
        <v>1.8599999999999998E-2</v>
      </c>
      <c r="F21105" s="26">
        <v>6.1999999999999998E-3</v>
      </c>
      <c r="G21105" s="26">
        <v>6.1999999999999998E-3</v>
      </c>
      <c r="J21105">
        <v>161</v>
      </c>
    </row>
    <row r="21106" spans="1:10" x14ac:dyDescent="0.35">
      <c r="A21106" t="s">
        <v>228</v>
      </c>
      <c r="B21106" t="s">
        <v>371</v>
      </c>
      <c r="C21106" s="26">
        <v>0.92989999999999995</v>
      </c>
      <c r="D21106" s="26">
        <v>3.6799999999999999E-2</v>
      </c>
      <c r="E21106" s="26">
        <v>2.6200000000000001E-2</v>
      </c>
      <c r="F21106" s="26">
        <v>6.9999999999999999E-4</v>
      </c>
      <c r="G21106" s="26">
        <v>6.4000000000000003E-3</v>
      </c>
      <c r="J21106">
        <v>292</v>
      </c>
    </row>
    <row r="21107" spans="1:10" x14ac:dyDescent="0.35">
      <c r="A21107" t="s">
        <v>228</v>
      </c>
      <c r="B21107" t="s">
        <v>372</v>
      </c>
      <c r="C21107" s="26">
        <v>0.81169999999999998</v>
      </c>
      <c r="D21107" s="26">
        <v>0.1061</v>
      </c>
      <c r="E21107" s="26">
        <v>4.9799999999999997E-2</v>
      </c>
      <c r="F21107" s="26">
        <v>1.14E-2</v>
      </c>
      <c r="G21107" s="26">
        <v>1.34E-2</v>
      </c>
      <c r="H21107" s="26">
        <v>2.8E-3</v>
      </c>
      <c r="I21107" s="26">
        <v>4.8999999999999998E-3</v>
      </c>
      <c r="J21107">
        <v>218</v>
      </c>
    </row>
    <row r="21108" spans="1:10" x14ac:dyDescent="0.35">
      <c r="A21108" t="s">
        <v>228</v>
      </c>
      <c r="B21108" t="s">
        <v>373</v>
      </c>
      <c r="C21108" s="26">
        <v>0.93759999999999999</v>
      </c>
      <c r="D21108" s="26">
        <v>3.4500000000000003E-2</v>
      </c>
      <c r="E21108" s="26">
        <v>2.6800000000000001E-2</v>
      </c>
      <c r="F21108" s="26">
        <v>1.1000000000000001E-3</v>
      </c>
      <c r="J21108">
        <v>523</v>
      </c>
    </row>
    <row r="21109" spans="1:10" x14ac:dyDescent="0.35">
      <c r="A21109" t="s">
        <v>229</v>
      </c>
      <c r="B21109" t="s">
        <v>371</v>
      </c>
      <c r="C21109" s="26">
        <v>0.92459999999999998</v>
      </c>
      <c r="D21109" s="26">
        <v>5.1200000000000002E-2</v>
      </c>
      <c r="E21109" s="26">
        <v>1.09E-2</v>
      </c>
      <c r="F21109" s="26">
        <v>5.4000000000000003E-3</v>
      </c>
      <c r="H21109" s="26">
        <v>7.1999999999999998E-3</v>
      </c>
      <c r="I21109" s="26">
        <v>6.9999999999999999E-4</v>
      </c>
      <c r="J21109">
        <v>584</v>
      </c>
    </row>
    <row r="21110" spans="1:10" x14ac:dyDescent="0.35">
      <c r="A21110" t="s">
        <v>229</v>
      </c>
      <c r="B21110" t="s">
        <v>372</v>
      </c>
      <c r="C21110" s="26">
        <v>0.89749999999999996</v>
      </c>
      <c r="D21110" s="26">
        <v>7.4300000000000005E-2</v>
      </c>
      <c r="E21110" s="26">
        <v>1.5100000000000001E-2</v>
      </c>
      <c r="G21110" s="26">
        <v>6.6E-3</v>
      </c>
      <c r="I21110" s="26">
        <v>6.6E-3</v>
      </c>
      <c r="J21110">
        <v>221</v>
      </c>
    </row>
    <row r="21111" spans="1:10" x14ac:dyDescent="0.35">
      <c r="A21111" t="s">
        <v>229</v>
      </c>
      <c r="B21111" t="s">
        <v>373</v>
      </c>
      <c r="C21111" s="26">
        <v>0.88870000000000005</v>
      </c>
      <c r="D21111" s="26">
        <v>8.6599999999999996E-2</v>
      </c>
      <c r="E21111" s="26">
        <v>1.23E-2</v>
      </c>
      <c r="F21111" s="26">
        <v>1.23E-2</v>
      </c>
      <c r="J21111">
        <v>90</v>
      </c>
    </row>
    <row r="21112" spans="1:10" x14ac:dyDescent="0.35">
      <c r="A21112" t="s">
        <v>230</v>
      </c>
      <c r="B21112" t="s">
        <v>371</v>
      </c>
      <c r="C21112" s="26">
        <v>0.91059999999999997</v>
      </c>
      <c r="D21112" s="26">
        <v>5.0799999999999998E-2</v>
      </c>
      <c r="E21112" s="26">
        <v>1.3299999999999999E-2</v>
      </c>
      <c r="F21112" s="26">
        <v>8.8000000000000005E-3</v>
      </c>
      <c r="G21112" s="26">
        <v>1.54E-2</v>
      </c>
      <c r="H21112" s="26">
        <v>1.1000000000000001E-3</v>
      </c>
      <c r="J21112">
        <v>262</v>
      </c>
    </row>
    <row r="21113" spans="1:10" x14ac:dyDescent="0.35">
      <c r="A21113" t="s">
        <v>230</v>
      </c>
      <c r="B21113" t="s">
        <v>372</v>
      </c>
      <c r="C21113" s="26">
        <v>0.86860000000000004</v>
      </c>
      <c r="D21113" s="26">
        <v>8.8800000000000004E-2</v>
      </c>
      <c r="E21113" s="26">
        <v>2.3699999999999999E-2</v>
      </c>
      <c r="F21113" s="26">
        <v>9.4999999999999998E-3</v>
      </c>
      <c r="G21113" s="26">
        <v>4.7000000000000002E-3</v>
      </c>
      <c r="H21113" s="26">
        <v>4.7000000000000002E-3</v>
      </c>
      <c r="J21113">
        <v>146</v>
      </c>
    </row>
    <row r="21114" spans="1:10" x14ac:dyDescent="0.35">
      <c r="A21114" t="s">
        <v>230</v>
      </c>
      <c r="B21114" t="s">
        <v>373</v>
      </c>
      <c r="C21114" s="26">
        <v>0.89400000000000002</v>
      </c>
      <c r="D21114" s="26">
        <v>7.6499999999999999E-2</v>
      </c>
      <c r="E21114" s="26">
        <v>6.4000000000000003E-3</v>
      </c>
      <c r="F21114" s="26">
        <v>1.3899999999999999E-2</v>
      </c>
      <c r="G21114" s="26">
        <v>9.1000000000000004E-3</v>
      </c>
      <c r="J21114">
        <v>152</v>
      </c>
    </row>
    <row r="21115" spans="1:10" x14ac:dyDescent="0.35">
      <c r="A21115" t="s">
        <v>231</v>
      </c>
      <c r="B21115" t="s">
        <v>371</v>
      </c>
      <c r="C21115" s="26">
        <v>0.91459999999999997</v>
      </c>
      <c r="D21115" s="26">
        <v>5.4899999999999997E-2</v>
      </c>
      <c r="E21115" s="26">
        <v>3.0499999999999999E-2</v>
      </c>
      <c r="J21115">
        <v>164</v>
      </c>
    </row>
    <row r="21116" spans="1:10" x14ac:dyDescent="0.35">
      <c r="A21116" t="s">
        <v>232</v>
      </c>
      <c r="B21116" t="s">
        <v>232</v>
      </c>
      <c r="C21116" s="26">
        <v>0.91830000000000001</v>
      </c>
      <c r="D21116" s="26">
        <v>5.1200000000000002E-2</v>
      </c>
      <c r="E21116" s="26">
        <v>2.1100000000000001E-2</v>
      </c>
      <c r="F21116" s="26">
        <v>3.7000000000000002E-3</v>
      </c>
      <c r="G21116" s="26">
        <v>3.2000000000000002E-3</v>
      </c>
      <c r="H21116" s="26">
        <v>2.0999999999999999E-3</v>
      </c>
      <c r="I21116" s="26">
        <v>4.0000000000000002E-4</v>
      </c>
      <c r="J21116">
        <v>2813</v>
      </c>
    </row>
    <row r="21118" spans="1:10" x14ac:dyDescent="0.35">
      <c r="A21118" s="1" t="s">
        <v>2066</v>
      </c>
    </row>
    <row r="21119" spans="1:10" x14ac:dyDescent="0.35">
      <c r="A21119" t="s">
        <v>219</v>
      </c>
      <c r="B21119" t="s">
        <v>305</v>
      </c>
      <c r="C21119" t="s">
        <v>2051</v>
      </c>
      <c r="D21119" t="s">
        <v>2052</v>
      </c>
      <c r="E21119" t="s">
        <v>2053</v>
      </c>
      <c r="F21119" t="s">
        <v>2054</v>
      </c>
      <c r="G21119" t="s">
        <v>2055</v>
      </c>
      <c r="H21119" t="s">
        <v>281</v>
      </c>
      <c r="I21119" t="s">
        <v>286</v>
      </c>
      <c r="J21119" t="s">
        <v>226</v>
      </c>
    </row>
    <row r="21120" spans="1:10" x14ac:dyDescent="0.35">
      <c r="A21120" t="s">
        <v>227</v>
      </c>
      <c r="B21120" t="s">
        <v>255</v>
      </c>
      <c r="C21120" s="26">
        <v>0.90600000000000003</v>
      </c>
      <c r="D21120" s="26">
        <v>5.1299999999999998E-2</v>
      </c>
      <c r="E21120" s="26">
        <v>2.5600000000000001E-2</v>
      </c>
      <c r="F21120" s="26">
        <v>8.5000000000000006E-3</v>
      </c>
      <c r="G21120" s="26">
        <v>8.5000000000000006E-3</v>
      </c>
      <c r="J21120">
        <v>117</v>
      </c>
    </row>
    <row r="21121" spans="1:10" x14ac:dyDescent="0.35">
      <c r="A21121" s="27" t="s">
        <v>227</v>
      </c>
      <c r="B21121" s="27" t="s">
        <v>257</v>
      </c>
      <c r="C21121" s="28">
        <v>1</v>
      </c>
      <c r="D21121" s="29"/>
      <c r="E21121" s="29"/>
      <c r="F21121" s="29"/>
      <c r="G21121" s="29"/>
      <c r="H21121" s="29"/>
      <c r="I21121" s="29"/>
      <c r="J21121" s="29" t="s">
        <v>334</v>
      </c>
    </row>
    <row r="21122" spans="1:10" x14ac:dyDescent="0.35">
      <c r="A21122" t="s">
        <v>227</v>
      </c>
      <c r="B21122" t="s">
        <v>256</v>
      </c>
      <c r="C21122" s="26">
        <v>0.94289999999999996</v>
      </c>
      <c r="D21122" s="26">
        <v>5.7099999999999998E-2</v>
      </c>
      <c r="J21122">
        <v>35</v>
      </c>
    </row>
    <row r="21123" spans="1:10" x14ac:dyDescent="0.35">
      <c r="A21123" t="s">
        <v>228</v>
      </c>
      <c r="B21123" t="s">
        <v>257</v>
      </c>
      <c r="C21123" s="26">
        <v>0.95299999999999996</v>
      </c>
      <c r="D21123" s="26">
        <v>2.8500000000000001E-2</v>
      </c>
      <c r="E21123" s="26">
        <v>1.0500000000000001E-2</v>
      </c>
      <c r="G21123" s="26">
        <v>7.9000000000000008E-3</v>
      </c>
      <c r="J21123">
        <v>49</v>
      </c>
    </row>
    <row r="21124" spans="1:10" x14ac:dyDescent="0.35">
      <c r="A21124" s="27" t="s">
        <v>228</v>
      </c>
      <c r="B21124" s="27" t="s">
        <v>258</v>
      </c>
      <c r="C21124" s="28">
        <v>1</v>
      </c>
      <c r="D21124" s="29"/>
      <c r="E21124" s="29"/>
      <c r="F21124" s="29"/>
      <c r="G21124" s="29"/>
      <c r="H21124" s="29"/>
      <c r="I21124" s="29"/>
      <c r="J21124" s="29" t="s">
        <v>337</v>
      </c>
    </row>
    <row r="21125" spans="1:10" x14ac:dyDescent="0.35">
      <c r="A21125" t="s">
        <v>228</v>
      </c>
      <c r="B21125" t="s">
        <v>256</v>
      </c>
      <c r="C21125" s="26">
        <v>0.91269999999999996</v>
      </c>
      <c r="D21125" s="26">
        <v>4.2799999999999998E-2</v>
      </c>
      <c r="E21125" s="26">
        <v>4.2500000000000003E-2</v>
      </c>
      <c r="G21125" s="26">
        <v>2E-3</v>
      </c>
      <c r="J21125">
        <v>221</v>
      </c>
    </row>
    <row r="21126" spans="1:10" x14ac:dyDescent="0.35">
      <c r="A21126" t="s">
        <v>228</v>
      </c>
      <c r="B21126" t="s">
        <v>255</v>
      </c>
      <c r="C21126" s="26">
        <v>0.92349999999999999</v>
      </c>
      <c r="D21126" s="26">
        <v>4.2799999999999998E-2</v>
      </c>
      <c r="E21126" s="26">
        <v>2.52E-2</v>
      </c>
      <c r="F21126" s="26">
        <v>2.5000000000000001E-3</v>
      </c>
      <c r="G21126" s="26">
        <v>5.1000000000000004E-3</v>
      </c>
      <c r="H21126" s="26">
        <v>2.9999999999999997E-4</v>
      </c>
      <c r="I21126" s="26">
        <v>5.9999999999999995E-4</v>
      </c>
      <c r="J21126">
        <v>759</v>
      </c>
    </row>
    <row r="21127" spans="1:10" x14ac:dyDescent="0.35">
      <c r="A21127" t="s">
        <v>229</v>
      </c>
      <c r="B21127" t="s">
        <v>256</v>
      </c>
      <c r="C21127" s="26">
        <v>0.92769999999999997</v>
      </c>
      <c r="D21127" s="26">
        <v>5.96E-2</v>
      </c>
      <c r="E21127" s="26">
        <v>1.2800000000000001E-2</v>
      </c>
      <c r="J21127">
        <v>207</v>
      </c>
    </row>
    <row r="21128" spans="1:10" x14ac:dyDescent="0.35">
      <c r="A21128" t="s">
        <v>229</v>
      </c>
      <c r="B21128" t="s">
        <v>255</v>
      </c>
      <c r="C21128" s="26">
        <v>0.93020000000000003</v>
      </c>
      <c r="D21128" s="26">
        <v>4.1599999999999998E-2</v>
      </c>
      <c r="E21128" s="26">
        <v>9.2999999999999992E-3</v>
      </c>
      <c r="F21128" s="26">
        <v>8.0000000000000002E-3</v>
      </c>
      <c r="G21128" s="26">
        <v>5.0000000000000001E-4</v>
      </c>
      <c r="H21128" s="26">
        <v>8.8999999999999999E-3</v>
      </c>
      <c r="I21128" s="26">
        <v>1.5E-3</v>
      </c>
      <c r="J21128">
        <v>636</v>
      </c>
    </row>
    <row r="21129" spans="1:10" x14ac:dyDescent="0.35">
      <c r="A21129" t="s">
        <v>229</v>
      </c>
      <c r="B21129" t="s">
        <v>257</v>
      </c>
      <c r="C21129" s="26">
        <v>0.79669999999999996</v>
      </c>
      <c r="D21129" s="26">
        <v>0.16639999999999999</v>
      </c>
      <c r="E21129" s="26">
        <v>2.47E-2</v>
      </c>
      <c r="H21129" s="26">
        <v>1.23E-2</v>
      </c>
      <c r="J21129">
        <v>50</v>
      </c>
    </row>
    <row r="21130" spans="1:10" x14ac:dyDescent="0.35">
      <c r="A21130" s="27" t="s">
        <v>229</v>
      </c>
      <c r="B21130" s="27" t="s">
        <v>258</v>
      </c>
      <c r="C21130" s="28">
        <v>1</v>
      </c>
      <c r="D21130" s="29"/>
      <c r="E21130" s="29"/>
      <c r="F21130" s="29"/>
      <c r="G21130" s="29"/>
      <c r="H21130" s="29"/>
      <c r="I21130" s="29"/>
      <c r="J21130" s="29" t="s">
        <v>314</v>
      </c>
    </row>
    <row r="21131" spans="1:10" x14ac:dyDescent="0.35">
      <c r="A21131" t="s">
        <v>230</v>
      </c>
      <c r="B21131" t="s">
        <v>256</v>
      </c>
      <c r="C21131" s="26">
        <v>0.8821</v>
      </c>
      <c r="D21131" s="26">
        <v>9.6299999999999997E-2</v>
      </c>
      <c r="E21131" s="26">
        <v>1.12E-2</v>
      </c>
      <c r="F21131" s="26">
        <v>6.8999999999999999E-3</v>
      </c>
      <c r="H21131" s="26">
        <v>3.5000000000000001E-3</v>
      </c>
      <c r="J21131">
        <v>130</v>
      </c>
    </row>
    <row r="21132" spans="1:10" x14ac:dyDescent="0.35">
      <c r="A21132" t="s">
        <v>230</v>
      </c>
      <c r="B21132" t="s">
        <v>255</v>
      </c>
      <c r="C21132" s="26">
        <v>0.93149999999999999</v>
      </c>
      <c r="D21132" s="26">
        <v>3.7600000000000001E-2</v>
      </c>
      <c r="E21132" s="26">
        <v>5.7999999999999996E-3</v>
      </c>
      <c r="F21132" s="26">
        <v>3.5000000000000001E-3</v>
      </c>
      <c r="G21132" s="26">
        <v>2.1100000000000001E-2</v>
      </c>
      <c r="H21132" s="26">
        <v>4.0000000000000002E-4</v>
      </c>
      <c r="J21132">
        <v>389</v>
      </c>
    </row>
    <row r="21133" spans="1:10" x14ac:dyDescent="0.35">
      <c r="A21133" t="s">
        <v>230</v>
      </c>
      <c r="B21133" t="s">
        <v>257</v>
      </c>
      <c r="C21133" s="26">
        <v>0.74629999999999996</v>
      </c>
      <c r="D21133" s="26">
        <v>8.8700000000000001E-2</v>
      </c>
      <c r="E21133" s="26">
        <v>8.8999999999999996E-2</v>
      </c>
      <c r="F21133" s="26">
        <v>7.6100000000000001E-2</v>
      </c>
      <c r="J21133">
        <v>38</v>
      </c>
    </row>
    <row r="21134" spans="1:10" x14ac:dyDescent="0.35">
      <c r="A21134" s="27" t="s">
        <v>230</v>
      </c>
      <c r="B21134" s="27" t="s">
        <v>258</v>
      </c>
      <c r="C21134" s="28">
        <v>1</v>
      </c>
      <c r="D21134" s="29"/>
      <c r="E21134" s="29"/>
      <c r="F21134" s="29"/>
      <c r="G21134" s="29"/>
      <c r="H21134" s="29"/>
      <c r="I21134" s="29"/>
      <c r="J21134" s="29" t="s">
        <v>315</v>
      </c>
    </row>
    <row r="21135" spans="1:10" x14ac:dyDescent="0.35">
      <c r="A21135" s="27" t="s">
        <v>231</v>
      </c>
      <c r="B21135" s="27" t="s">
        <v>257</v>
      </c>
      <c r="C21135" s="28">
        <v>1</v>
      </c>
      <c r="D21135" s="29"/>
      <c r="E21135" s="29"/>
      <c r="F21135" s="29"/>
      <c r="G21135" s="29"/>
      <c r="H21135" s="29"/>
      <c r="I21135" s="29"/>
      <c r="J21135" s="29" t="s">
        <v>339</v>
      </c>
    </row>
    <row r="21136" spans="1:10" x14ac:dyDescent="0.35">
      <c r="A21136" t="s">
        <v>231</v>
      </c>
      <c r="B21136" t="s">
        <v>255</v>
      </c>
      <c r="C21136" s="26">
        <v>0.93020000000000003</v>
      </c>
      <c r="D21136" s="26">
        <v>5.4300000000000001E-2</v>
      </c>
      <c r="E21136" s="26">
        <v>1.55E-2</v>
      </c>
      <c r="J21136">
        <v>129</v>
      </c>
    </row>
    <row r="21137" spans="1:20" x14ac:dyDescent="0.35">
      <c r="A21137" s="27" t="s">
        <v>231</v>
      </c>
      <c r="B21137" s="27" t="s">
        <v>256</v>
      </c>
      <c r="C21137" s="28">
        <v>0.82140000000000002</v>
      </c>
      <c r="D21137" s="28">
        <v>7.1400000000000005E-2</v>
      </c>
      <c r="E21137" s="28">
        <v>0.1071</v>
      </c>
      <c r="F21137" s="29"/>
      <c r="G21137" s="29"/>
      <c r="H21137" s="29"/>
      <c r="I21137" s="29"/>
      <c r="J21137" s="29" t="s">
        <v>336</v>
      </c>
    </row>
    <row r="21138" spans="1:20" x14ac:dyDescent="0.35">
      <c r="A21138" t="s">
        <v>232</v>
      </c>
      <c r="B21138" t="s">
        <v>232</v>
      </c>
      <c r="C21138" s="26">
        <v>0.91830000000000001</v>
      </c>
      <c r="D21138" s="26">
        <v>5.1200000000000002E-2</v>
      </c>
      <c r="E21138" s="26">
        <v>2.1100000000000001E-2</v>
      </c>
      <c r="F21138" s="26">
        <v>3.7000000000000002E-3</v>
      </c>
      <c r="G21138" s="26">
        <v>3.2000000000000002E-3</v>
      </c>
      <c r="H21138" s="26">
        <v>2.0999999999999999E-3</v>
      </c>
      <c r="I21138" s="26">
        <v>4.0000000000000002E-4</v>
      </c>
      <c r="J21138">
        <v>2813</v>
      </c>
    </row>
    <row r="21140" spans="1:20" x14ac:dyDescent="0.35">
      <c r="A21140" s="1" t="s">
        <v>2067</v>
      </c>
    </row>
    <row r="21141" spans="1:20" x14ac:dyDescent="0.35">
      <c r="A21141" t="s">
        <v>219</v>
      </c>
      <c r="B21141" t="s">
        <v>2068</v>
      </c>
      <c r="C21141" t="s">
        <v>1991</v>
      </c>
      <c r="D21141" t="s">
        <v>1992</v>
      </c>
      <c r="E21141" t="s">
        <v>1995</v>
      </c>
      <c r="F21141" t="s">
        <v>1994</v>
      </c>
      <c r="G21141" t="s">
        <v>1998</v>
      </c>
      <c r="H21141" t="s">
        <v>1993</v>
      </c>
      <c r="I21141" t="s">
        <v>1989</v>
      </c>
      <c r="J21141" t="s">
        <v>1997</v>
      </c>
      <c r="K21141" t="s">
        <v>1999</v>
      </c>
      <c r="L21141" t="s">
        <v>2001</v>
      </c>
      <c r="M21141" t="s">
        <v>1996</v>
      </c>
      <c r="N21141" t="s">
        <v>2000</v>
      </c>
      <c r="O21141" t="s">
        <v>1990</v>
      </c>
      <c r="P21141" t="s">
        <v>286</v>
      </c>
      <c r="Q21141" t="s">
        <v>281</v>
      </c>
      <c r="R21141" t="s">
        <v>2069</v>
      </c>
      <c r="S21141" t="s">
        <v>226</v>
      </c>
    </row>
    <row r="21142" spans="1:20" x14ac:dyDescent="0.35">
      <c r="A21142" t="s">
        <v>227</v>
      </c>
      <c r="B21142" s="26">
        <v>0.80120000000000002</v>
      </c>
      <c r="C21142" s="26">
        <v>9.9400000000000002E-2</v>
      </c>
      <c r="D21142" s="26">
        <v>6.2100000000000002E-2</v>
      </c>
      <c r="E21142" s="26">
        <v>1.8599999999999998E-2</v>
      </c>
      <c r="F21142" s="26">
        <v>1.24E-2</v>
      </c>
      <c r="H21142" s="26">
        <v>6.1999999999999998E-3</v>
      </c>
      <c r="S21142">
        <v>161</v>
      </c>
    </row>
    <row r="21143" spans="1:20" x14ac:dyDescent="0.35">
      <c r="A21143" t="s">
        <v>228</v>
      </c>
      <c r="B21143" s="26">
        <v>0.90480000000000005</v>
      </c>
      <c r="C21143" s="26">
        <v>2.7199999999999998E-2</v>
      </c>
      <c r="D21143" s="26">
        <v>2.8400000000000002E-2</v>
      </c>
      <c r="E21143" s="26">
        <v>5.1999999999999998E-3</v>
      </c>
      <c r="F21143" s="26">
        <v>5.8999999999999999E-3</v>
      </c>
      <c r="G21143" s="26">
        <v>5.0000000000000001E-4</v>
      </c>
      <c r="H21143" s="26">
        <v>4.1000000000000003E-3</v>
      </c>
      <c r="I21143" s="26">
        <v>1.03E-2</v>
      </c>
      <c r="J21143" s="26">
        <v>4.3E-3</v>
      </c>
      <c r="K21143" s="26">
        <v>3.3E-3</v>
      </c>
      <c r="M21143" s="26">
        <v>3.0000000000000001E-3</v>
      </c>
      <c r="N21143" s="26">
        <v>6.9999999999999999E-4</v>
      </c>
      <c r="O21143" s="26">
        <v>1E-3</v>
      </c>
      <c r="P21143" s="26">
        <v>4.0000000000000002E-4</v>
      </c>
      <c r="Q21143" s="26">
        <v>8.9999999999999998E-4</v>
      </c>
      <c r="S21143">
        <v>1033</v>
      </c>
    </row>
    <row r="21144" spans="1:20" x14ac:dyDescent="0.35">
      <c r="A21144" t="s">
        <v>229</v>
      </c>
      <c r="B21144" s="26">
        <v>0.85699999999999998</v>
      </c>
      <c r="C21144" s="26">
        <v>6.08E-2</v>
      </c>
      <c r="D21144" s="26">
        <v>4.5199999999999997E-2</v>
      </c>
      <c r="E21144" s="26">
        <v>1.7100000000000001E-2</v>
      </c>
      <c r="F21144" s="26">
        <v>4.4999999999999997E-3</v>
      </c>
      <c r="G21144" s="26">
        <v>2.5000000000000001E-3</v>
      </c>
      <c r="H21144" s="26">
        <v>2.0000000000000001E-4</v>
      </c>
      <c r="I21144" s="26">
        <v>1E-3</v>
      </c>
      <c r="J21144" s="26">
        <v>1.5E-3</v>
      </c>
      <c r="K21144" s="26">
        <v>2.5000000000000001E-3</v>
      </c>
      <c r="L21144" s="26">
        <v>3.3E-3</v>
      </c>
      <c r="M21144" s="26">
        <v>4.0000000000000002E-4</v>
      </c>
      <c r="N21144" s="26">
        <v>2.8E-3</v>
      </c>
      <c r="P21144" s="26">
        <v>1E-3</v>
      </c>
      <c r="S21144">
        <v>895</v>
      </c>
    </row>
    <row r="21145" spans="1:20" x14ac:dyDescent="0.35">
      <c r="A21145" t="s">
        <v>230</v>
      </c>
      <c r="B21145" s="26">
        <v>0.88900000000000001</v>
      </c>
      <c r="C21145" s="26">
        <v>3.7400000000000003E-2</v>
      </c>
      <c r="D21145" s="26">
        <v>2.8000000000000001E-2</v>
      </c>
      <c r="E21145" s="26">
        <v>1.26E-2</v>
      </c>
      <c r="F21145" s="26">
        <v>6.3E-3</v>
      </c>
      <c r="H21145" s="26">
        <v>8.0000000000000002E-3</v>
      </c>
      <c r="I21145" s="26">
        <v>1.1999999999999999E-3</v>
      </c>
      <c r="J21145" s="26">
        <v>6.4999999999999997E-3</v>
      </c>
      <c r="K21145" s="26">
        <v>8.9999999999999998E-4</v>
      </c>
      <c r="L21145" s="26">
        <v>8.9999999999999998E-4</v>
      </c>
      <c r="M21145" s="26">
        <v>2.0999999999999999E-3</v>
      </c>
      <c r="O21145" s="26">
        <v>5.8999999999999999E-3</v>
      </c>
      <c r="Q21145" s="26">
        <v>2.9999999999999997E-4</v>
      </c>
      <c r="R21145" s="26">
        <v>8.9999999999999998E-4</v>
      </c>
      <c r="S21145">
        <v>559</v>
      </c>
    </row>
    <row r="21146" spans="1:20" x14ac:dyDescent="0.35">
      <c r="A21146" t="s">
        <v>231</v>
      </c>
      <c r="B21146" s="26">
        <v>0.76829999999999998</v>
      </c>
      <c r="C21146" s="26">
        <v>0.128</v>
      </c>
      <c r="D21146" s="26">
        <v>5.4899999999999997E-2</v>
      </c>
      <c r="E21146" s="26">
        <v>3.0499999999999999E-2</v>
      </c>
      <c r="F21146" s="26">
        <v>1.2200000000000001E-2</v>
      </c>
      <c r="G21146" s="26">
        <v>6.1000000000000004E-3</v>
      </c>
      <c r="S21146">
        <v>164</v>
      </c>
    </row>
    <row r="21147" spans="1:20" x14ac:dyDescent="0.35">
      <c r="A21147" t="s">
        <v>232</v>
      </c>
      <c r="B21147" s="26">
        <v>0.83660000000000001</v>
      </c>
      <c r="C21147" s="26">
        <v>7.6300000000000007E-2</v>
      </c>
      <c r="D21147" s="26">
        <v>4.5499999999999999E-2</v>
      </c>
      <c r="E21147" s="26">
        <v>1.8200000000000001E-2</v>
      </c>
      <c r="F21147" s="26">
        <v>8.3000000000000001E-3</v>
      </c>
      <c r="G21147" s="26">
        <v>2.5000000000000001E-3</v>
      </c>
      <c r="H21147" s="26">
        <v>2.5000000000000001E-3</v>
      </c>
      <c r="I21147" s="26">
        <v>2.3999999999999998E-3</v>
      </c>
      <c r="J21147" s="26">
        <v>1.9E-3</v>
      </c>
      <c r="K21147" s="26">
        <v>1.4E-3</v>
      </c>
      <c r="L21147" s="26">
        <v>1E-3</v>
      </c>
      <c r="M21147" s="26">
        <v>8.9999999999999998E-4</v>
      </c>
      <c r="N21147" s="26">
        <v>8.9999999999999998E-4</v>
      </c>
      <c r="O21147" s="26">
        <v>8.0000000000000004E-4</v>
      </c>
      <c r="P21147" s="26">
        <v>4.0000000000000002E-4</v>
      </c>
      <c r="Q21147" s="26">
        <v>2.0000000000000001E-4</v>
      </c>
      <c r="R21147" s="26">
        <v>1E-4</v>
      </c>
      <c r="S21147">
        <v>2812</v>
      </c>
    </row>
    <row r="21149" spans="1:20" x14ac:dyDescent="0.35">
      <c r="A21149" s="1" t="s">
        <v>2070</v>
      </c>
    </row>
    <row r="21150" spans="1:20" x14ac:dyDescent="0.35">
      <c r="A21150" t="s">
        <v>219</v>
      </c>
      <c r="B21150" t="s">
        <v>305</v>
      </c>
      <c r="C21150" t="s">
        <v>2068</v>
      </c>
      <c r="D21150" t="s">
        <v>1991</v>
      </c>
      <c r="E21150" t="s">
        <v>1992</v>
      </c>
      <c r="F21150" t="s">
        <v>1995</v>
      </c>
      <c r="G21150" t="s">
        <v>1994</v>
      </c>
      <c r="H21150" t="s">
        <v>1998</v>
      </c>
      <c r="I21150" t="s">
        <v>1993</v>
      </c>
      <c r="J21150" t="s">
        <v>1989</v>
      </c>
      <c r="K21150" t="s">
        <v>1997</v>
      </c>
      <c r="L21150" t="s">
        <v>1999</v>
      </c>
      <c r="M21150" t="s">
        <v>2001</v>
      </c>
      <c r="N21150" t="s">
        <v>1996</v>
      </c>
      <c r="O21150" t="s">
        <v>2000</v>
      </c>
      <c r="P21150" t="s">
        <v>1990</v>
      </c>
      <c r="Q21150" t="s">
        <v>286</v>
      </c>
      <c r="R21150" t="s">
        <v>281</v>
      </c>
      <c r="S21150" t="s">
        <v>2069</v>
      </c>
      <c r="T21150" t="s">
        <v>226</v>
      </c>
    </row>
    <row r="21151" spans="1:20" x14ac:dyDescent="0.35">
      <c r="A21151" t="s">
        <v>227</v>
      </c>
      <c r="B21151" t="s">
        <v>242</v>
      </c>
      <c r="C21151" s="26">
        <v>0.77939999999999998</v>
      </c>
      <c r="D21151" s="26">
        <v>8.8200000000000001E-2</v>
      </c>
      <c r="E21151" s="26">
        <v>7.3499999999999996E-2</v>
      </c>
      <c r="F21151" s="26">
        <v>1.47E-2</v>
      </c>
      <c r="G21151" s="26">
        <v>2.9399999999999999E-2</v>
      </c>
      <c r="I21151" s="26">
        <v>1.47E-2</v>
      </c>
      <c r="T21151">
        <v>68</v>
      </c>
    </row>
    <row r="21152" spans="1:20" x14ac:dyDescent="0.35">
      <c r="A21152" t="s">
        <v>227</v>
      </c>
      <c r="B21152" t="s">
        <v>241</v>
      </c>
      <c r="C21152" s="26">
        <v>0.81720000000000004</v>
      </c>
      <c r="D21152" s="26">
        <v>0.1075</v>
      </c>
      <c r="E21152" s="26">
        <v>5.3800000000000001E-2</v>
      </c>
      <c r="F21152" s="26">
        <v>2.1499999999999998E-2</v>
      </c>
      <c r="T21152">
        <v>93</v>
      </c>
    </row>
    <row r="21153" spans="1:20" x14ac:dyDescent="0.35">
      <c r="A21153" t="s">
        <v>228</v>
      </c>
      <c r="B21153" t="s">
        <v>242</v>
      </c>
      <c r="C21153" s="26">
        <v>0.88329999999999997</v>
      </c>
      <c r="D21153" s="26">
        <v>3.7499999999999999E-2</v>
      </c>
      <c r="E21153" s="26">
        <v>1.8700000000000001E-2</v>
      </c>
      <c r="F21153" s="26">
        <v>1.09E-2</v>
      </c>
      <c r="G21153" s="26">
        <v>6.7999999999999996E-3</v>
      </c>
      <c r="I21153" s="26">
        <v>2.3E-3</v>
      </c>
      <c r="J21153" s="26">
        <v>2.0500000000000001E-2</v>
      </c>
      <c r="K21153" s="26">
        <v>6.8999999999999999E-3</v>
      </c>
      <c r="L21153" s="26">
        <v>9.1000000000000004E-3</v>
      </c>
      <c r="N21153" s="26">
        <v>1.2999999999999999E-3</v>
      </c>
      <c r="O21153" s="26">
        <v>1.1000000000000001E-3</v>
      </c>
      <c r="R21153" s="26">
        <v>1.5E-3</v>
      </c>
      <c r="T21153">
        <v>402</v>
      </c>
    </row>
    <row r="21154" spans="1:20" x14ac:dyDescent="0.35">
      <c r="A21154" t="s">
        <v>228</v>
      </c>
      <c r="B21154" t="s">
        <v>241</v>
      </c>
      <c r="C21154" s="26">
        <v>0.91700000000000004</v>
      </c>
      <c r="D21154" s="26">
        <v>2.1399999999999999E-2</v>
      </c>
      <c r="E21154" s="26">
        <v>3.39E-2</v>
      </c>
      <c r="F21154" s="26">
        <v>1.9E-3</v>
      </c>
      <c r="G21154" s="26">
        <v>5.4000000000000003E-3</v>
      </c>
      <c r="H21154" s="26">
        <v>8.9999999999999998E-4</v>
      </c>
      <c r="I21154" s="26">
        <v>5.1000000000000004E-3</v>
      </c>
      <c r="J21154" s="26">
        <v>4.4000000000000003E-3</v>
      </c>
      <c r="K21154" s="26">
        <v>2.8E-3</v>
      </c>
      <c r="N21154" s="26">
        <v>4.0000000000000001E-3</v>
      </c>
      <c r="O21154" s="26">
        <v>4.0000000000000002E-4</v>
      </c>
      <c r="P21154" s="26">
        <v>1.6000000000000001E-3</v>
      </c>
      <c r="Q21154" s="26">
        <v>5.9999999999999995E-4</v>
      </c>
      <c r="R21154" s="26">
        <v>5.9999999999999995E-4</v>
      </c>
      <c r="T21154">
        <v>631</v>
      </c>
    </row>
    <row r="21155" spans="1:20" x14ac:dyDescent="0.35">
      <c r="A21155" t="s">
        <v>229</v>
      </c>
      <c r="B21155" t="s">
        <v>242</v>
      </c>
      <c r="C21155" s="26">
        <v>0.82940000000000003</v>
      </c>
      <c r="D21155" s="26">
        <v>8.72E-2</v>
      </c>
      <c r="E21155" s="26">
        <v>3.4299999999999997E-2</v>
      </c>
      <c r="F21155" s="26">
        <v>2.5899999999999999E-2</v>
      </c>
      <c r="G21155" s="26">
        <v>1.1000000000000001E-3</v>
      </c>
      <c r="H21155" s="26">
        <v>6.4000000000000003E-3</v>
      </c>
      <c r="I21155" s="26">
        <v>4.0000000000000002E-4</v>
      </c>
      <c r="K21155" s="26">
        <v>1.6999999999999999E-3</v>
      </c>
      <c r="L21155" s="26">
        <v>6.4000000000000003E-3</v>
      </c>
      <c r="N21155" s="26">
        <v>6.9999999999999999E-4</v>
      </c>
      <c r="O21155" s="26">
        <v>6.4000000000000003E-3</v>
      </c>
      <c r="T21155">
        <v>292</v>
      </c>
    </row>
    <row r="21156" spans="1:20" x14ac:dyDescent="0.35">
      <c r="A21156" t="s">
        <v>229</v>
      </c>
      <c r="B21156" t="s">
        <v>241</v>
      </c>
      <c r="C21156" s="26">
        <v>0.87480000000000002</v>
      </c>
      <c r="D21156" s="26">
        <v>4.3999999999999997E-2</v>
      </c>
      <c r="E21156" s="26">
        <v>5.2200000000000003E-2</v>
      </c>
      <c r="F21156" s="26">
        <v>1.14E-2</v>
      </c>
      <c r="G21156" s="26">
        <v>6.7000000000000002E-3</v>
      </c>
      <c r="J21156" s="26">
        <v>1.6000000000000001E-3</v>
      </c>
      <c r="K21156" s="26">
        <v>1.4E-3</v>
      </c>
      <c r="M21156" s="26">
        <v>5.4999999999999997E-3</v>
      </c>
      <c r="N21156" s="26">
        <v>2.9999999999999997E-4</v>
      </c>
      <c r="O21156" s="26">
        <v>5.0000000000000001E-4</v>
      </c>
      <c r="Q21156" s="26">
        <v>1.6000000000000001E-3</v>
      </c>
      <c r="T21156">
        <v>603</v>
      </c>
    </row>
    <row r="21157" spans="1:20" x14ac:dyDescent="0.35">
      <c r="A21157" t="s">
        <v>230</v>
      </c>
      <c r="B21157" t="s">
        <v>242</v>
      </c>
      <c r="C21157" s="26">
        <v>0.87</v>
      </c>
      <c r="D21157" s="26">
        <v>4.9599999999999998E-2</v>
      </c>
      <c r="E21157" s="26">
        <v>2.1299999999999999E-2</v>
      </c>
      <c r="F21157" s="26">
        <v>1.8599999999999998E-2</v>
      </c>
      <c r="I21157" s="26">
        <v>8.8000000000000005E-3</v>
      </c>
      <c r="K21157" s="26">
        <v>4.3E-3</v>
      </c>
      <c r="L21157" s="26">
        <v>2.5999999999999999E-3</v>
      </c>
      <c r="N21157" s="26">
        <v>6.1999999999999998E-3</v>
      </c>
      <c r="P21157" s="26">
        <v>1.6E-2</v>
      </c>
      <c r="S21157" s="26">
        <v>2.7000000000000001E-3</v>
      </c>
      <c r="T21157">
        <v>188</v>
      </c>
    </row>
    <row r="21158" spans="1:20" x14ac:dyDescent="0.35">
      <c r="A21158" t="s">
        <v>230</v>
      </c>
      <c r="B21158" t="s">
        <v>241</v>
      </c>
      <c r="C21158" s="26">
        <v>0.89870000000000005</v>
      </c>
      <c r="D21158" s="26">
        <v>3.1199999999999999E-2</v>
      </c>
      <c r="E21158" s="26">
        <v>3.15E-2</v>
      </c>
      <c r="F21158" s="26">
        <v>9.4999999999999998E-3</v>
      </c>
      <c r="G21158" s="26">
        <v>9.4999999999999998E-3</v>
      </c>
      <c r="I21158" s="26">
        <v>7.7000000000000002E-3</v>
      </c>
      <c r="J21158" s="26">
        <v>1.8E-3</v>
      </c>
      <c r="K21158" s="26">
        <v>7.7000000000000002E-3</v>
      </c>
      <c r="M21158" s="26">
        <v>1.4E-3</v>
      </c>
      <c r="P21158" s="26">
        <v>8.0000000000000004E-4</v>
      </c>
      <c r="R21158" s="26">
        <v>4.0000000000000002E-4</v>
      </c>
      <c r="T21158">
        <v>371</v>
      </c>
    </row>
    <row r="21159" spans="1:20" x14ac:dyDescent="0.35">
      <c r="A21159" t="s">
        <v>231</v>
      </c>
      <c r="B21159" t="s">
        <v>242</v>
      </c>
      <c r="C21159" s="26">
        <v>0.66669999999999996</v>
      </c>
      <c r="D21159" s="26">
        <v>0.16669999999999999</v>
      </c>
      <c r="E21159" s="26">
        <v>0.1111</v>
      </c>
      <c r="F21159" s="26">
        <v>3.6999999999999998E-2</v>
      </c>
      <c r="G21159" s="26">
        <v>1.8499999999999999E-2</v>
      </c>
      <c r="T21159">
        <v>54</v>
      </c>
    </row>
    <row r="21160" spans="1:20" x14ac:dyDescent="0.35">
      <c r="A21160" t="s">
        <v>231</v>
      </c>
      <c r="B21160" t="s">
        <v>241</v>
      </c>
      <c r="C21160" s="26">
        <v>0.81820000000000004</v>
      </c>
      <c r="D21160" s="26">
        <v>0.1091</v>
      </c>
      <c r="E21160" s="26">
        <v>2.7300000000000001E-2</v>
      </c>
      <c r="F21160" s="26">
        <v>2.7300000000000001E-2</v>
      </c>
      <c r="G21160" s="26">
        <v>9.1000000000000004E-3</v>
      </c>
      <c r="H21160" s="26">
        <v>9.1000000000000004E-3</v>
      </c>
      <c r="T21160">
        <v>110</v>
      </c>
    </row>
    <row r="21161" spans="1:20" x14ac:dyDescent="0.35">
      <c r="A21161" t="s">
        <v>232</v>
      </c>
      <c r="B21161" t="s">
        <v>232</v>
      </c>
      <c r="C21161" s="26">
        <v>0.83660000000000001</v>
      </c>
      <c r="D21161" s="26">
        <v>7.6300000000000007E-2</v>
      </c>
      <c r="E21161" s="26">
        <v>4.5499999999999999E-2</v>
      </c>
      <c r="F21161" s="26">
        <v>1.8200000000000001E-2</v>
      </c>
      <c r="G21161" s="26">
        <v>8.3000000000000001E-3</v>
      </c>
      <c r="H21161" s="26">
        <v>2.5000000000000001E-3</v>
      </c>
      <c r="I21161" s="26">
        <v>2.5000000000000001E-3</v>
      </c>
      <c r="J21161" s="26">
        <v>2.3999999999999998E-3</v>
      </c>
      <c r="K21161" s="26">
        <v>1.9E-3</v>
      </c>
      <c r="L21161" s="26">
        <v>1.4E-3</v>
      </c>
      <c r="M21161" s="26">
        <v>1E-3</v>
      </c>
      <c r="N21161" s="26">
        <v>8.9999999999999998E-4</v>
      </c>
      <c r="O21161" s="26">
        <v>8.9999999999999998E-4</v>
      </c>
      <c r="P21161" s="26">
        <v>8.0000000000000004E-4</v>
      </c>
      <c r="Q21161" s="26">
        <v>4.0000000000000002E-4</v>
      </c>
      <c r="R21161" s="26">
        <v>2.0000000000000001E-4</v>
      </c>
      <c r="S21161" s="26">
        <v>1E-4</v>
      </c>
      <c r="T21161">
        <v>2812</v>
      </c>
    </row>
    <row r="21163" spans="1:20" x14ac:dyDescent="0.35">
      <c r="A21163" s="1" t="s">
        <v>2071</v>
      </c>
    </row>
    <row r="21164" spans="1:20" x14ac:dyDescent="0.35">
      <c r="A21164" t="s">
        <v>219</v>
      </c>
      <c r="B21164" t="s">
        <v>305</v>
      </c>
      <c r="C21164" t="s">
        <v>2068</v>
      </c>
      <c r="D21164" t="s">
        <v>1991</v>
      </c>
      <c r="E21164" t="s">
        <v>1992</v>
      </c>
      <c r="F21164" t="s">
        <v>1995</v>
      </c>
      <c r="G21164" t="s">
        <v>1994</v>
      </c>
      <c r="H21164" t="s">
        <v>1998</v>
      </c>
      <c r="I21164" t="s">
        <v>1993</v>
      </c>
      <c r="J21164" t="s">
        <v>1989</v>
      </c>
      <c r="K21164" t="s">
        <v>1997</v>
      </c>
      <c r="L21164" t="s">
        <v>1999</v>
      </c>
      <c r="M21164" t="s">
        <v>2001</v>
      </c>
      <c r="N21164" t="s">
        <v>1996</v>
      </c>
      <c r="O21164" t="s">
        <v>2000</v>
      </c>
      <c r="P21164" t="s">
        <v>1990</v>
      </c>
      <c r="Q21164" t="s">
        <v>286</v>
      </c>
      <c r="R21164" t="s">
        <v>281</v>
      </c>
      <c r="S21164" t="s">
        <v>2069</v>
      </c>
      <c r="T21164" t="s">
        <v>226</v>
      </c>
    </row>
    <row r="21165" spans="1:20" x14ac:dyDescent="0.35">
      <c r="A21165" t="s">
        <v>227</v>
      </c>
      <c r="B21165" t="s">
        <v>239</v>
      </c>
      <c r="C21165" s="26">
        <v>0.69350000000000001</v>
      </c>
      <c r="D21165" s="26">
        <v>0.1613</v>
      </c>
      <c r="E21165" s="26">
        <v>9.6799999999999997E-2</v>
      </c>
      <c r="F21165" s="26">
        <v>3.2300000000000002E-2</v>
      </c>
      <c r="G21165" s="26">
        <v>1.61E-2</v>
      </c>
      <c r="T21165">
        <v>62</v>
      </c>
    </row>
    <row r="21166" spans="1:20" x14ac:dyDescent="0.35">
      <c r="A21166" t="s">
        <v>227</v>
      </c>
      <c r="B21166" t="s">
        <v>238</v>
      </c>
      <c r="C21166" s="26">
        <v>0.86870000000000003</v>
      </c>
      <c r="D21166" s="26">
        <v>6.0600000000000001E-2</v>
      </c>
      <c r="E21166" s="26">
        <v>4.0399999999999998E-2</v>
      </c>
      <c r="F21166" s="26">
        <v>1.01E-2</v>
      </c>
      <c r="G21166" s="26">
        <v>1.01E-2</v>
      </c>
      <c r="I21166" s="26">
        <v>1.01E-2</v>
      </c>
      <c r="T21166">
        <v>99</v>
      </c>
    </row>
    <row r="21167" spans="1:20" x14ac:dyDescent="0.35">
      <c r="A21167" t="s">
        <v>228</v>
      </c>
      <c r="B21167" t="s">
        <v>239</v>
      </c>
      <c r="C21167" s="26">
        <v>0.68779999999999997</v>
      </c>
      <c r="D21167" s="26">
        <v>0.1187</v>
      </c>
      <c r="E21167" s="26">
        <v>0.1048</v>
      </c>
      <c r="F21167" s="26">
        <v>1.9900000000000001E-2</v>
      </c>
      <c r="G21167" s="26">
        <v>1.1299999999999999E-2</v>
      </c>
      <c r="H21167" s="26">
        <v>2.7000000000000001E-3</v>
      </c>
      <c r="I21167" s="26">
        <v>1.01E-2</v>
      </c>
      <c r="J21167" s="26">
        <v>2.41E-2</v>
      </c>
      <c r="K21167" s="26">
        <v>1.04E-2</v>
      </c>
      <c r="N21167" s="26">
        <v>4.4000000000000003E-3</v>
      </c>
      <c r="O21167" s="26">
        <v>3.2000000000000002E-3</v>
      </c>
      <c r="R21167" s="26">
        <v>2.7000000000000001E-3</v>
      </c>
      <c r="T21167">
        <v>330</v>
      </c>
    </row>
    <row r="21168" spans="1:20" x14ac:dyDescent="0.35">
      <c r="A21168" t="s">
        <v>228</v>
      </c>
      <c r="B21168" t="s">
        <v>238</v>
      </c>
      <c r="C21168" s="26">
        <v>0.96120000000000005</v>
      </c>
      <c r="D21168" s="26">
        <v>3.3999999999999998E-3</v>
      </c>
      <c r="E21168" s="26">
        <v>8.5000000000000006E-3</v>
      </c>
      <c r="F21168" s="26">
        <v>1.2999999999999999E-3</v>
      </c>
      <c r="G21168" s="26">
        <v>4.4999999999999997E-3</v>
      </c>
      <c r="I21168" s="26">
        <v>2.5000000000000001E-3</v>
      </c>
      <c r="J21168" s="26">
        <v>6.7000000000000002E-3</v>
      </c>
      <c r="K21168" s="26">
        <v>2.7000000000000001E-3</v>
      </c>
      <c r="L21168" s="26">
        <v>4.1999999999999997E-3</v>
      </c>
      <c r="N21168" s="26">
        <v>2.7000000000000001E-3</v>
      </c>
      <c r="P21168" s="26">
        <v>1.2999999999999999E-3</v>
      </c>
      <c r="Q21168" s="26">
        <v>5.0000000000000001E-4</v>
      </c>
      <c r="R21168" s="26">
        <v>5.0000000000000001E-4</v>
      </c>
      <c r="T21168">
        <v>703</v>
      </c>
    </row>
    <row r="21169" spans="1:20" x14ac:dyDescent="0.35">
      <c r="A21169" t="s">
        <v>229</v>
      </c>
      <c r="B21169" t="s">
        <v>239</v>
      </c>
      <c r="C21169" s="26">
        <v>0.5736</v>
      </c>
      <c r="D21169" s="26">
        <v>0.19700000000000001</v>
      </c>
      <c r="E21169" s="26">
        <v>0.1298</v>
      </c>
      <c r="F21169" s="26">
        <v>4.7E-2</v>
      </c>
      <c r="G21169" s="26">
        <v>1.4200000000000001E-2</v>
      </c>
      <c r="H21169" s="26">
        <v>9.7999999999999997E-3</v>
      </c>
      <c r="I21169" s="26">
        <v>6.9999999999999999E-4</v>
      </c>
      <c r="K21169" s="26">
        <v>2E-3</v>
      </c>
      <c r="M21169" s="26">
        <v>1.11E-2</v>
      </c>
      <c r="N21169" s="26">
        <v>1E-3</v>
      </c>
      <c r="O21169" s="26">
        <v>1.11E-2</v>
      </c>
      <c r="Q21169" s="26">
        <v>2.5999999999999999E-3</v>
      </c>
      <c r="T21169">
        <v>332</v>
      </c>
    </row>
    <row r="21170" spans="1:20" x14ac:dyDescent="0.35">
      <c r="A21170" t="s">
        <v>229</v>
      </c>
      <c r="B21170" t="s">
        <v>238</v>
      </c>
      <c r="C21170" s="26">
        <v>0.95379999999999998</v>
      </c>
      <c r="D21170" s="26">
        <v>1.44E-2</v>
      </c>
      <c r="E21170" s="26">
        <v>1.6299999999999999E-2</v>
      </c>
      <c r="F21170" s="26">
        <v>6.8999999999999999E-3</v>
      </c>
      <c r="G21170" s="26">
        <v>1.1999999999999999E-3</v>
      </c>
      <c r="J21170" s="26">
        <v>1.2999999999999999E-3</v>
      </c>
      <c r="K21170" s="26">
        <v>1.2999999999999999E-3</v>
      </c>
      <c r="L21170" s="26">
        <v>3.3999999999999998E-3</v>
      </c>
      <c r="M21170" s="26">
        <v>6.9999999999999999E-4</v>
      </c>
      <c r="N21170" s="26">
        <v>2.0000000000000001E-4</v>
      </c>
      <c r="Q21170" s="26">
        <v>4.0000000000000002E-4</v>
      </c>
      <c r="T21170">
        <v>563</v>
      </c>
    </row>
    <row r="21171" spans="1:20" x14ac:dyDescent="0.35">
      <c r="A21171" t="s">
        <v>230</v>
      </c>
      <c r="B21171" t="s">
        <v>239</v>
      </c>
      <c r="C21171" s="26">
        <v>0.71660000000000001</v>
      </c>
      <c r="D21171" s="26">
        <v>0.1042</v>
      </c>
      <c r="E21171" s="26">
        <v>8.1199999999999994E-2</v>
      </c>
      <c r="F21171" s="26">
        <v>2.0899999999999998E-2</v>
      </c>
      <c r="G21171" s="26">
        <v>1.7899999999999999E-2</v>
      </c>
      <c r="I21171" s="26">
        <v>2.07E-2</v>
      </c>
      <c r="K21171" s="26">
        <v>2.1700000000000001E-2</v>
      </c>
      <c r="L21171" s="26">
        <v>2.8999999999999998E-3</v>
      </c>
      <c r="M21171" s="26">
        <v>3.0000000000000001E-3</v>
      </c>
      <c r="N21171" s="26">
        <v>6.8999999999999999E-3</v>
      </c>
      <c r="P21171" s="26">
        <v>8.9999999999999998E-4</v>
      </c>
      <c r="S21171" s="26">
        <v>3.0000000000000001E-3</v>
      </c>
      <c r="T21171">
        <v>211</v>
      </c>
    </row>
    <row r="21172" spans="1:20" x14ac:dyDescent="0.35">
      <c r="A21172" t="s">
        <v>230</v>
      </c>
      <c r="B21172" t="s">
        <v>238</v>
      </c>
      <c r="C21172" s="26">
        <v>0.96340000000000003</v>
      </c>
      <c r="D21172" s="26">
        <v>8.5000000000000006E-3</v>
      </c>
      <c r="E21172" s="26">
        <v>5.1000000000000004E-3</v>
      </c>
      <c r="F21172" s="26">
        <v>8.9999999999999993E-3</v>
      </c>
      <c r="G21172" s="26">
        <v>1.2999999999999999E-3</v>
      </c>
      <c r="I21172" s="26">
        <v>2.5000000000000001E-3</v>
      </c>
      <c r="J21172" s="26">
        <v>1.6999999999999999E-3</v>
      </c>
      <c r="P21172" s="26">
        <v>8.0999999999999996E-3</v>
      </c>
      <c r="R21172" s="26">
        <v>4.0000000000000002E-4</v>
      </c>
      <c r="T21172">
        <v>348</v>
      </c>
    </row>
    <row r="21173" spans="1:20" x14ac:dyDescent="0.35">
      <c r="A21173" t="s">
        <v>231</v>
      </c>
      <c r="B21173" t="s">
        <v>239</v>
      </c>
      <c r="C21173" s="26">
        <v>0.42109999999999997</v>
      </c>
      <c r="D21173" s="26">
        <v>0.35089999999999999</v>
      </c>
      <c r="E21173" s="26">
        <v>0.12280000000000001</v>
      </c>
      <c r="F21173" s="26">
        <v>7.0199999999999999E-2</v>
      </c>
      <c r="G21173" s="26">
        <v>3.5099999999999999E-2</v>
      </c>
      <c r="T21173">
        <v>57</v>
      </c>
    </row>
    <row r="21174" spans="1:20" x14ac:dyDescent="0.35">
      <c r="A21174" t="s">
        <v>231</v>
      </c>
      <c r="B21174" t="s">
        <v>238</v>
      </c>
      <c r="C21174" s="26">
        <v>0.95330000000000004</v>
      </c>
      <c r="D21174" s="26">
        <v>9.2999999999999992E-3</v>
      </c>
      <c r="E21174" s="26">
        <v>1.8700000000000001E-2</v>
      </c>
      <c r="F21174" s="26">
        <v>9.2999999999999992E-3</v>
      </c>
      <c r="H21174" s="26">
        <v>9.2999999999999992E-3</v>
      </c>
      <c r="T21174">
        <v>107</v>
      </c>
    </row>
    <row r="21175" spans="1:20" x14ac:dyDescent="0.35">
      <c r="A21175" t="s">
        <v>232</v>
      </c>
      <c r="B21175" t="s">
        <v>232</v>
      </c>
      <c r="C21175" s="26">
        <v>0.83660000000000001</v>
      </c>
      <c r="D21175" s="26">
        <v>7.6300000000000007E-2</v>
      </c>
      <c r="E21175" s="26">
        <v>4.5499999999999999E-2</v>
      </c>
      <c r="F21175" s="26">
        <v>1.8200000000000001E-2</v>
      </c>
      <c r="G21175" s="26">
        <v>8.3000000000000001E-3</v>
      </c>
      <c r="H21175" s="26">
        <v>2.5000000000000001E-3</v>
      </c>
      <c r="I21175" s="26">
        <v>2.5000000000000001E-3</v>
      </c>
      <c r="J21175" s="26">
        <v>2.3999999999999998E-3</v>
      </c>
      <c r="K21175" s="26">
        <v>1.9E-3</v>
      </c>
      <c r="L21175" s="26">
        <v>1.4E-3</v>
      </c>
      <c r="M21175" s="26">
        <v>1E-3</v>
      </c>
      <c r="N21175" s="26">
        <v>8.9999999999999998E-4</v>
      </c>
      <c r="O21175" s="26">
        <v>8.9999999999999998E-4</v>
      </c>
      <c r="P21175" s="26">
        <v>8.0000000000000004E-4</v>
      </c>
      <c r="Q21175" s="26">
        <v>4.0000000000000002E-4</v>
      </c>
      <c r="R21175" s="26">
        <v>2.0000000000000001E-4</v>
      </c>
      <c r="S21175" s="26">
        <v>1E-4</v>
      </c>
      <c r="T21175">
        <v>2812</v>
      </c>
    </row>
    <row r="21177" spans="1:20" x14ac:dyDescent="0.35">
      <c r="A21177" s="1" t="s">
        <v>2072</v>
      </c>
    </row>
    <row r="21178" spans="1:20" x14ac:dyDescent="0.35">
      <c r="A21178" t="s">
        <v>219</v>
      </c>
      <c r="B21178" t="s">
        <v>305</v>
      </c>
      <c r="C21178" t="s">
        <v>2068</v>
      </c>
      <c r="D21178" t="s">
        <v>1991</v>
      </c>
      <c r="E21178" t="s">
        <v>1992</v>
      </c>
      <c r="F21178" t="s">
        <v>1995</v>
      </c>
      <c r="G21178" t="s">
        <v>1994</v>
      </c>
      <c r="H21178" t="s">
        <v>1998</v>
      </c>
      <c r="I21178" t="s">
        <v>1993</v>
      </c>
      <c r="J21178" t="s">
        <v>1989</v>
      </c>
      <c r="K21178" t="s">
        <v>1997</v>
      </c>
      <c r="L21178" t="s">
        <v>1999</v>
      </c>
      <c r="M21178" t="s">
        <v>2001</v>
      </c>
      <c r="N21178" t="s">
        <v>1996</v>
      </c>
      <c r="O21178" t="s">
        <v>2000</v>
      </c>
      <c r="P21178" t="s">
        <v>1990</v>
      </c>
      <c r="Q21178" t="s">
        <v>286</v>
      </c>
      <c r="R21178" t="s">
        <v>281</v>
      </c>
      <c r="S21178" t="s">
        <v>2069</v>
      </c>
      <c r="T21178" t="s">
        <v>226</v>
      </c>
    </row>
    <row r="21179" spans="1:20" x14ac:dyDescent="0.35">
      <c r="A21179" t="s">
        <v>227</v>
      </c>
      <c r="B21179" t="s">
        <v>244</v>
      </c>
      <c r="C21179" s="26">
        <v>0.82289999999999996</v>
      </c>
      <c r="D21179" s="26">
        <v>9.3799999999999994E-2</v>
      </c>
      <c r="E21179" s="26">
        <v>5.21E-2</v>
      </c>
      <c r="F21179" s="26">
        <v>3.1199999999999999E-2</v>
      </c>
      <c r="T21179">
        <v>96</v>
      </c>
    </row>
    <row r="21180" spans="1:20" x14ac:dyDescent="0.35">
      <c r="A21180" t="s">
        <v>227</v>
      </c>
      <c r="B21180" t="s">
        <v>245</v>
      </c>
      <c r="C21180" s="26">
        <v>0.77359999999999995</v>
      </c>
      <c r="D21180" s="26">
        <v>0.1321</v>
      </c>
      <c r="E21180" s="26">
        <v>7.5499999999999998E-2</v>
      </c>
      <c r="I21180" s="26">
        <v>1.89E-2</v>
      </c>
      <c r="T21180">
        <v>53</v>
      </c>
    </row>
    <row r="21181" spans="1:20" x14ac:dyDescent="0.35">
      <c r="A21181" s="27" t="s">
        <v>227</v>
      </c>
      <c r="B21181" s="27" t="s">
        <v>246</v>
      </c>
      <c r="C21181" s="28">
        <v>0.75</v>
      </c>
      <c r="D21181" s="29"/>
      <c r="E21181" s="28">
        <v>8.3299999999999999E-2</v>
      </c>
      <c r="F21181" s="29"/>
      <c r="G21181" s="28">
        <v>0.16669999999999999</v>
      </c>
      <c r="H21181" s="29"/>
      <c r="I21181" s="29"/>
      <c r="J21181" s="29"/>
      <c r="K21181" s="29"/>
      <c r="L21181" s="29"/>
      <c r="M21181" s="29"/>
      <c r="N21181" s="29"/>
      <c r="O21181" s="29"/>
      <c r="P21181" s="29"/>
      <c r="Q21181" s="29"/>
      <c r="R21181" s="29"/>
      <c r="S21181" s="29"/>
      <c r="T21181" s="29" t="s">
        <v>342</v>
      </c>
    </row>
    <row r="21182" spans="1:20" x14ac:dyDescent="0.35">
      <c r="A21182" t="s">
        <v>228</v>
      </c>
      <c r="B21182" t="s">
        <v>244</v>
      </c>
      <c r="C21182" s="26">
        <v>0.91639999999999999</v>
      </c>
      <c r="D21182" s="26">
        <v>2.5899999999999999E-2</v>
      </c>
      <c r="E21182" s="26">
        <v>3.09E-2</v>
      </c>
      <c r="F21182" s="26">
        <v>5.4999999999999997E-3</v>
      </c>
      <c r="G21182" s="26">
        <v>6.0000000000000001E-3</v>
      </c>
      <c r="H21182" s="26">
        <v>8.0000000000000004E-4</v>
      </c>
      <c r="I21182" s="26">
        <v>5.0000000000000001E-3</v>
      </c>
      <c r="J21182" s="26">
        <v>1.2999999999999999E-3</v>
      </c>
      <c r="K21182" s="26">
        <v>2.7000000000000001E-3</v>
      </c>
      <c r="N21182" s="26">
        <v>3.5000000000000001E-3</v>
      </c>
      <c r="O21182" s="26">
        <v>1E-3</v>
      </c>
      <c r="P21182" s="26">
        <v>4.0000000000000002E-4</v>
      </c>
      <c r="Q21182" s="26">
        <v>5.9999999999999995E-4</v>
      </c>
      <c r="T21182">
        <v>638</v>
      </c>
    </row>
    <row r="21183" spans="1:20" x14ac:dyDescent="0.35">
      <c r="A21183" t="s">
        <v>228</v>
      </c>
      <c r="B21183" t="s">
        <v>245</v>
      </c>
      <c r="C21183" s="26">
        <v>0.86819999999999997</v>
      </c>
      <c r="D21183" s="26">
        <v>3.2199999999999999E-2</v>
      </c>
      <c r="E21183" s="26">
        <v>2.3E-2</v>
      </c>
      <c r="F21183" s="26">
        <v>4.1000000000000003E-3</v>
      </c>
      <c r="G21183" s="26">
        <v>7.1999999999999998E-3</v>
      </c>
      <c r="I21183" s="26">
        <v>3.0000000000000001E-3</v>
      </c>
      <c r="J21183" s="26">
        <v>3.2500000000000001E-2</v>
      </c>
      <c r="K21183" s="26">
        <v>8.9999999999999993E-3</v>
      </c>
      <c r="L21183" s="26">
        <v>1.1900000000000001E-2</v>
      </c>
      <c r="N21183" s="26">
        <v>2.5999999999999999E-3</v>
      </c>
      <c r="P21183" s="26">
        <v>2.8E-3</v>
      </c>
      <c r="R21183" s="26">
        <v>3.3E-3</v>
      </c>
      <c r="T21183">
        <v>328</v>
      </c>
    </row>
    <row r="21184" spans="1:20" x14ac:dyDescent="0.35">
      <c r="A21184" t="s">
        <v>228</v>
      </c>
      <c r="B21184" t="s">
        <v>246</v>
      </c>
      <c r="C21184" s="26">
        <v>0.94259999999999999</v>
      </c>
      <c r="D21184" s="26">
        <v>2.01E-2</v>
      </c>
      <c r="E21184" s="26">
        <v>2.53E-2</v>
      </c>
      <c r="F21184" s="26">
        <v>6.0000000000000001E-3</v>
      </c>
      <c r="J21184" s="26">
        <v>6.0000000000000001E-3</v>
      </c>
      <c r="T21184">
        <v>67</v>
      </c>
    </row>
    <row r="21185" spans="1:20" x14ac:dyDescent="0.35">
      <c r="A21185" t="s">
        <v>229</v>
      </c>
      <c r="B21185" t="s">
        <v>244</v>
      </c>
      <c r="C21185" s="26">
        <v>0.86560000000000004</v>
      </c>
      <c r="D21185" s="26">
        <v>5.6000000000000001E-2</v>
      </c>
      <c r="E21185" s="26">
        <v>3.7499999999999999E-2</v>
      </c>
      <c r="F21185" s="26">
        <v>1.6E-2</v>
      </c>
      <c r="G21185" s="26">
        <v>4.8999999999999998E-3</v>
      </c>
      <c r="H21185" s="26">
        <v>3.5999999999999999E-3</v>
      </c>
      <c r="J21185" s="26">
        <v>1.4E-3</v>
      </c>
      <c r="K21185" s="26">
        <v>1E-3</v>
      </c>
      <c r="L21185" s="26">
        <v>3.5999999999999999E-3</v>
      </c>
      <c r="M21185" s="26">
        <v>4.5999999999999999E-3</v>
      </c>
      <c r="N21185" s="26">
        <v>2.0000000000000001E-4</v>
      </c>
      <c r="O21185" s="26">
        <v>4.1000000000000003E-3</v>
      </c>
      <c r="Q21185" s="26">
        <v>1.4E-3</v>
      </c>
      <c r="T21185">
        <v>557</v>
      </c>
    </row>
    <row r="21186" spans="1:20" x14ac:dyDescent="0.35">
      <c r="A21186" t="s">
        <v>229</v>
      </c>
      <c r="B21186" t="s">
        <v>245</v>
      </c>
      <c r="C21186" s="26">
        <v>0.86109999999999998</v>
      </c>
      <c r="D21186" s="26">
        <v>7.4300000000000005E-2</v>
      </c>
      <c r="E21186" s="26">
        <v>4.2200000000000001E-2</v>
      </c>
      <c r="F21186" s="26">
        <v>1.3599999999999999E-2</v>
      </c>
      <c r="G21186" s="26">
        <v>3.7000000000000002E-3</v>
      </c>
      <c r="K21186" s="26">
        <v>3.3E-3</v>
      </c>
      <c r="M21186" s="26">
        <v>6.9999999999999999E-4</v>
      </c>
      <c r="N21186" s="26">
        <v>1E-3</v>
      </c>
      <c r="T21186">
        <v>293</v>
      </c>
    </row>
    <row r="21187" spans="1:20" x14ac:dyDescent="0.35">
      <c r="A21187" t="s">
        <v>229</v>
      </c>
      <c r="B21187" t="s">
        <v>246</v>
      </c>
      <c r="C21187" s="26">
        <v>0.72660000000000002</v>
      </c>
      <c r="D21187" s="26">
        <v>0.06</v>
      </c>
      <c r="E21187" s="26">
        <v>0.15989999999999999</v>
      </c>
      <c r="F21187" s="26">
        <v>4.7100000000000003E-2</v>
      </c>
      <c r="G21187" s="26">
        <v>3.2000000000000002E-3</v>
      </c>
      <c r="I21187" s="26">
        <v>3.2000000000000002E-3</v>
      </c>
      <c r="T21187">
        <v>45</v>
      </c>
    </row>
    <row r="21188" spans="1:20" x14ac:dyDescent="0.35">
      <c r="A21188" t="s">
        <v>230</v>
      </c>
      <c r="B21188" t="s">
        <v>244</v>
      </c>
      <c r="C21188" s="26">
        <v>0.89990000000000003</v>
      </c>
      <c r="D21188" s="26">
        <v>2.9399999999999999E-2</v>
      </c>
      <c r="E21188" s="26">
        <v>2.1499999999999998E-2</v>
      </c>
      <c r="F21188" s="26">
        <v>1.8200000000000001E-2</v>
      </c>
      <c r="G21188" s="26">
        <v>9.1000000000000004E-3</v>
      </c>
      <c r="I21188" s="26">
        <v>6.0000000000000001E-3</v>
      </c>
      <c r="K21188" s="26">
        <v>1.6999999999999999E-3</v>
      </c>
      <c r="L21188" s="26">
        <v>1.2999999999999999E-3</v>
      </c>
      <c r="N21188" s="26">
        <v>2.5999999999999999E-3</v>
      </c>
      <c r="P21188" s="26">
        <v>8.6E-3</v>
      </c>
      <c r="R21188" s="26">
        <v>4.0000000000000002E-4</v>
      </c>
      <c r="S21188" s="26">
        <v>1.2999999999999999E-3</v>
      </c>
      <c r="T21188">
        <v>369</v>
      </c>
    </row>
    <row r="21189" spans="1:20" x14ac:dyDescent="0.35">
      <c r="A21189" t="s">
        <v>230</v>
      </c>
      <c r="B21189" t="s">
        <v>245</v>
      </c>
      <c r="C21189" s="26">
        <v>0.88849999999999996</v>
      </c>
      <c r="D21189" s="26">
        <v>6.4500000000000002E-2</v>
      </c>
      <c r="E21189" s="26">
        <v>1.8499999999999999E-2</v>
      </c>
      <c r="I21189" s="26">
        <v>8.0000000000000002E-3</v>
      </c>
      <c r="J21189" s="26">
        <v>4.4999999999999997E-3</v>
      </c>
      <c r="K21189" s="26">
        <v>1.15E-2</v>
      </c>
      <c r="M21189" s="26">
        <v>3.5000000000000001E-3</v>
      </c>
      <c r="N21189" s="26">
        <v>1.1000000000000001E-3</v>
      </c>
      <c r="T21189">
        <v>161</v>
      </c>
    </row>
    <row r="21190" spans="1:20" x14ac:dyDescent="0.35">
      <c r="A21190" s="27" t="s">
        <v>230</v>
      </c>
      <c r="B21190" s="27" t="s">
        <v>246</v>
      </c>
      <c r="C21190" s="28">
        <v>0.73680000000000001</v>
      </c>
      <c r="D21190" s="28">
        <v>5.5999999999999999E-3</v>
      </c>
      <c r="E21190" s="28">
        <v>0.17199999999999999</v>
      </c>
      <c r="F21190" s="29"/>
      <c r="G21190" s="29"/>
      <c r="H21190" s="29"/>
      <c r="I21190" s="28">
        <v>3.6900000000000002E-2</v>
      </c>
      <c r="J21190" s="29"/>
      <c r="K21190" s="28">
        <v>4.8599999999999997E-2</v>
      </c>
      <c r="L21190" s="29"/>
      <c r="M21190" s="29"/>
      <c r="N21190" s="29"/>
      <c r="O21190" s="29"/>
      <c r="P21190" s="29"/>
      <c r="Q21190" s="29"/>
      <c r="R21190" s="29"/>
      <c r="S21190" s="29"/>
      <c r="T21190" s="29" t="s">
        <v>329</v>
      </c>
    </row>
    <row r="21191" spans="1:20" x14ac:dyDescent="0.35">
      <c r="A21191" t="s">
        <v>231</v>
      </c>
      <c r="B21191" t="s">
        <v>244</v>
      </c>
      <c r="C21191" s="26">
        <v>0.72629999999999995</v>
      </c>
      <c r="D21191" s="26">
        <v>0.15790000000000001</v>
      </c>
      <c r="E21191" s="26">
        <v>6.3200000000000006E-2</v>
      </c>
      <c r="F21191" s="26">
        <v>2.1100000000000001E-2</v>
      </c>
      <c r="G21191" s="26">
        <v>2.1100000000000001E-2</v>
      </c>
      <c r="H21191" s="26">
        <v>1.0500000000000001E-2</v>
      </c>
      <c r="T21191">
        <v>95</v>
      </c>
    </row>
    <row r="21192" spans="1:20" x14ac:dyDescent="0.35">
      <c r="A21192" t="s">
        <v>231</v>
      </c>
      <c r="B21192" t="s">
        <v>245</v>
      </c>
      <c r="C21192" s="26">
        <v>0.85709999999999997</v>
      </c>
      <c r="D21192" s="26">
        <v>7.1400000000000005E-2</v>
      </c>
      <c r="E21192" s="26">
        <v>3.5700000000000003E-2</v>
      </c>
      <c r="F21192" s="26">
        <v>3.5700000000000003E-2</v>
      </c>
      <c r="T21192">
        <v>56</v>
      </c>
    </row>
    <row r="21193" spans="1:20" x14ac:dyDescent="0.35">
      <c r="A21193" s="27" t="s">
        <v>231</v>
      </c>
      <c r="B21193" s="27" t="s">
        <v>246</v>
      </c>
      <c r="C21193" s="28">
        <v>0.69230000000000003</v>
      </c>
      <c r="D21193" s="28">
        <v>0.15379999999999999</v>
      </c>
      <c r="E21193" s="28">
        <v>7.6899999999999996E-2</v>
      </c>
      <c r="F21193" s="28">
        <v>7.6899999999999996E-2</v>
      </c>
      <c r="G21193" s="29"/>
      <c r="H21193" s="29"/>
      <c r="I21193" s="29"/>
      <c r="J21193" s="29"/>
      <c r="K21193" s="29"/>
      <c r="L21193" s="29"/>
      <c r="M21193" s="29"/>
      <c r="N21193" s="29"/>
      <c r="O21193" s="29"/>
      <c r="P21193" s="29"/>
      <c r="Q21193" s="29"/>
      <c r="R21193" s="29"/>
      <c r="S21193" s="29"/>
      <c r="T21193" s="29" t="s">
        <v>341</v>
      </c>
    </row>
    <row r="21194" spans="1:20" x14ac:dyDescent="0.35">
      <c r="A21194" t="s">
        <v>232</v>
      </c>
      <c r="B21194" t="s">
        <v>232</v>
      </c>
      <c r="C21194" s="26">
        <v>0.83660000000000001</v>
      </c>
      <c r="D21194" s="26">
        <v>7.6300000000000007E-2</v>
      </c>
      <c r="E21194" s="26">
        <v>4.5499999999999999E-2</v>
      </c>
      <c r="F21194" s="26">
        <v>1.8200000000000001E-2</v>
      </c>
      <c r="G21194" s="26">
        <v>8.3000000000000001E-3</v>
      </c>
      <c r="H21194" s="26">
        <v>2.5000000000000001E-3</v>
      </c>
      <c r="I21194" s="26">
        <v>2.5000000000000001E-3</v>
      </c>
      <c r="J21194" s="26">
        <v>2.3999999999999998E-3</v>
      </c>
      <c r="K21194" s="26">
        <v>1.9E-3</v>
      </c>
      <c r="L21194" s="26">
        <v>1.4E-3</v>
      </c>
      <c r="M21194" s="26">
        <v>1E-3</v>
      </c>
      <c r="N21194" s="26">
        <v>8.9999999999999998E-4</v>
      </c>
      <c r="O21194" s="26">
        <v>8.9999999999999998E-4</v>
      </c>
      <c r="P21194" s="26">
        <v>8.0000000000000004E-4</v>
      </c>
      <c r="Q21194" s="26">
        <v>4.0000000000000002E-4</v>
      </c>
      <c r="R21194" s="26">
        <v>2.0000000000000001E-4</v>
      </c>
      <c r="S21194" s="26">
        <v>1E-4</v>
      </c>
      <c r="T21194">
        <v>2812</v>
      </c>
    </row>
    <row r="21196" spans="1:20" x14ac:dyDescent="0.35">
      <c r="A21196" s="1" t="s">
        <v>2073</v>
      </c>
    </row>
    <row r="21197" spans="1:20" x14ac:dyDescent="0.35">
      <c r="A21197" t="s">
        <v>219</v>
      </c>
      <c r="B21197" t="s">
        <v>305</v>
      </c>
      <c r="C21197" t="s">
        <v>2068</v>
      </c>
      <c r="D21197" t="s">
        <v>1991</v>
      </c>
      <c r="E21197" t="s">
        <v>1992</v>
      </c>
      <c r="F21197" t="s">
        <v>1995</v>
      </c>
      <c r="G21197" t="s">
        <v>1994</v>
      </c>
      <c r="H21197" t="s">
        <v>1998</v>
      </c>
      <c r="I21197" t="s">
        <v>1993</v>
      </c>
      <c r="J21197" t="s">
        <v>1989</v>
      </c>
      <c r="K21197" t="s">
        <v>1997</v>
      </c>
      <c r="L21197" t="s">
        <v>1999</v>
      </c>
      <c r="M21197" t="s">
        <v>2001</v>
      </c>
      <c r="N21197" t="s">
        <v>1996</v>
      </c>
      <c r="O21197" t="s">
        <v>2000</v>
      </c>
      <c r="P21197" t="s">
        <v>1990</v>
      </c>
      <c r="Q21197" t="s">
        <v>286</v>
      </c>
      <c r="R21197" t="s">
        <v>281</v>
      </c>
      <c r="S21197" t="s">
        <v>2069</v>
      </c>
      <c r="T21197" t="s">
        <v>226</v>
      </c>
    </row>
    <row r="21198" spans="1:20" x14ac:dyDescent="0.35">
      <c r="A21198" t="s">
        <v>227</v>
      </c>
      <c r="B21198" t="s">
        <v>360</v>
      </c>
      <c r="C21198" s="26">
        <v>0.61539999999999995</v>
      </c>
      <c r="D21198" s="26">
        <v>0.23080000000000001</v>
      </c>
      <c r="E21198" s="26">
        <v>7.6899999999999996E-2</v>
      </c>
      <c r="F21198" s="26">
        <v>2.5600000000000001E-2</v>
      </c>
      <c r="G21198" s="26">
        <v>2.5600000000000001E-2</v>
      </c>
      <c r="I21198" s="26">
        <v>2.5600000000000001E-2</v>
      </c>
      <c r="T21198">
        <v>39</v>
      </c>
    </row>
    <row r="21199" spans="1:20" x14ac:dyDescent="0.35">
      <c r="A21199" t="s">
        <v>227</v>
      </c>
      <c r="B21199" t="s">
        <v>361</v>
      </c>
      <c r="C21199" s="26">
        <v>0.8125</v>
      </c>
      <c r="D21199" s="26">
        <v>3.1199999999999999E-2</v>
      </c>
      <c r="E21199" s="26">
        <v>0.15620000000000001</v>
      </c>
      <c r="T21199">
        <v>32</v>
      </c>
    </row>
    <row r="21200" spans="1:20" x14ac:dyDescent="0.35">
      <c r="A21200" t="s">
        <v>227</v>
      </c>
      <c r="B21200" t="s">
        <v>362</v>
      </c>
      <c r="C21200" s="26">
        <v>0.89190000000000003</v>
      </c>
      <c r="D21200" s="26">
        <v>2.7E-2</v>
      </c>
      <c r="E21200" s="26">
        <v>2.7E-2</v>
      </c>
      <c r="F21200" s="26">
        <v>2.7E-2</v>
      </c>
      <c r="G21200" s="26">
        <v>2.7E-2</v>
      </c>
      <c r="T21200">
        <v>37</v>
      </c>
    </row>
    <row r="21201" spans="1:20" x14ac:dyDescent="0.35">
      <c r="A21201" t="s">
        <v>227</v>
      </c>
      <c r="B21201" t="s">
        <v>363</v>
      </c>
      <c r="C21201" s="26">
        <v>0.84440000000000004</v>
      </c>
      <c r="D21201" s="26">
        <v>0.1111</v>
      </c>
      <c r="E21201" s="26">
        <v>2.2200000000000001E-2</v>
      </c>
      <c r="F21201" s="26">
        <v>2.2200000000000001E-2</v>
      </c>
      <c r="T21201">
        <v>45</v>
      </c>
    </row>
    <row r="21202" spans="1:20" x14ac:dyDescent="0.35">
      <c r="A21202" t="s">
        <v>228</v>
      </c>
      <c r="B21202" t="s">
        <v>360</v>
      </c>
      <c r="C21202" s="26">
        <v>0.83020000000000005</v>
      </c>
      <c r="D21202" s="26">
        <v>5.4899999999999997E-2</v>
      </c>
      <c r="E21202" s="26">
        <v>3.9300000000000002E-2</v>
      </c>
      <c r="F21202" s="26">
        <v>8.5000000000000006E-3</v>
      </c>
      <c r="G21202" s="26">
        <v>1.1599999999999999E-2</v>
      </c>
      <c r="J21202" s="26">
        <v>2.3099999999999999E-2</v>
      </c>
      <c r="K21202" s="26">
        <v>6.0000000000000001E-3</v>
      </c>
      <c r="L21202" s="26">
        <v>1.6799999999999999E-2</v>
      </c>
      <c r="N21202" s="26">
        <v>1.1999999999999999E-3</v>
      </c>
      <c r="O21202" s="26">
        <v>1.1999999999999999E-3</v>
      </c>
      <c r="P21202" s="26">
        <v>2.5000000000000001E-3</v>
      </c>
      <c r="R21202" s="26">
        <v>4.5999999999999999E-3</v>
      </c>
      <c r="T21202">
        <v>258</v>
      </c>
    </row>
    <row r="21203" spans="1:20" x14ac:dyDescent="0.35">
      <c r="A21203" t="s">
        <v>228</v>
      </c>
      <c r="B21203" t="s">
        <v>361</v>
      </c>
      <c r="C21203" s="26">
        <v>0.96140000000000003</v>
      </c>
      <c r="D21203" s="26">
        <v>5.3E-3</v>
      </c>
      <c r="E21203" s="26">
        <v>1.23E-2</v>
      </c>
      <c r="G21203" s="26">
        <v>5.8999999999999999E-3</v>
      </c>
      <c r="I21203" s="26">
        <v>3.3999999999999998E-3</v>
      </c>
      <c r="J21203" s="26">
        <v>8.3000000000000001E-3</v>
      </c>
      <c r="K21203" s="26">
        <v>3.3999999999999998E-3</v>
      </c>
      <c r="T21203">
        <v>194</v>
      </c>
    </row>
    <row r="21204" spans="1:20" x14ac:dyDescent="0.35">
      <c r="A21204" t="s">
        <v>228</v>
      </c>
      <c r="B21204" t="s">
        <v>363</v>
      </c>
      <c r="C21204" s="26">
        <v>0.92130000000000001</v>
      </c>
      <c r="D21204" s="26">
        <v>1.8599999999999998E-2</v>
      </c>
      <c r="E21204" s="26">
        <v>3.9600000000000003E-2</v>
      </c>
      <c r="G21204" s="26">
        <v>5.3E-3</v>
      </c>
      <c r="I21204" s="26">
        <v>5.1999999999999998E-3</v>
      </c>
      <c r="K21204" s="26">
        <v>4.0000000000000001E-3</v>
      </c>
      <c r="N21204" s="26">
        <v>4.3E-3</v>
      </c>
      <c r="O21204" s="26">
        <v>1.6999999999999999E-3</v>
      </c>
      <c r="T21204">
        <v>212</v>
      </c>
    </row>
    <row r="21205" spans="1:20" x14ac:dyDescent="0.35">
      <c r="A21205" t="s">
        <v>228</v>
      </c>
      <c r="B21205" t="s">
        <v>362</v>
      </c>
      <c r="C21205" s="26">
        <v>0.88690000000000002</v>
      </c>
      <c r="D21205" s="26">
        <v>0.03</v>
      </c>
      <c r="E21205" s="26">
        <v>2.9000000000000001E-2</v>
      </c>
      <c r="F21205" s="26">
        <v>1.1299999999999999E-2</v>
      </c>
      <c r="G21205" s="26">
        <v>1.8E-3</v>
      </c>
      <c r="H21205" s="26">
        <v>2.3999999999999998E-3</v>
      </c>
      <c r="I21205" s="26">
        <v>8.6E-3</v>
      </c>
      <c r="J21205" s="26">
        <v>1.61E-2</v>
      </c>
      <c r="K21205" s="26">
        <v>5.7000000000000002E-3</v>
      </c>
      <c r="N21205" s="26">
        <v>6.1000000000000004E-3</v>
      </c>
      <c r="P21205" s="26">
        <v>2.3999999999999998E-3</v>
      </c>
      <c r="T21205">
        <v>236</v>
      </c>
    </row>
    <row r="21206" spans="1:20" x14ac:dyDescent="0.35">
      <c r="A21206" t="s">
        <v>229</v>
      </c>
      <c r="B21206" t="s">
        <v>363</v>
      </c>
      <c r="C21206" s="26">
        <v>0.89190000000000003</v>
      </c>
      <c r="D21206" s="26">
        <v>5.9499999999999997E-2</v>
      </c>
      <c r="E21206" s="26">
        <v>2.8899999999999999E-2</v>
      </c>
      <c r="F21206" s="26">
        <v>1.52E-2</v>
      </c>
      <c r="G21206" s="26">
        <v>1.8E-3</v>
      </c>
      <c r="M21206" s="26">
        <v>1.8E-3</v>
      </c>
      <c r="N21206" s="26">
        <v>8.9999999999999998E-4</v>
      </c>
      <c r="T21206">
        <v>191</v>
      </c>
    </row>
    <row r="21207" spans="1:20" x14ac:dyDescent="0.35">
      <c r="A21207" t="s">
        <v>229</v>
      </c>
      <c r="B21207" t="s">
        <v>360</v>
      </c>
      <c r="C21207" s="26">
        <v>0.71130000000000004</v>
      </c>
      <c r="D21207" s="26">
        <v>0.14760000000000001</v>
      </c>
      <c r="E21207" s="26">
        <v>7.5200000000000003E-2</v>
      </c>
      <c r="F21207" s="26">
        <v>3.3700000000000001E-2</v>
      </c>
      <c r="G21207" s="26">
        <v>5.4999999999999997E-3</v>
      </c>
      <c r="H21207" s="26">
        <v>1.6199999999999999E-2</v>
      </c>
      <c r="I21207" s="26">
        <v>1.1000000000000001E-3</v>
      </c>
      <c r="K21207" s="26">
        <v>2.0999999999999999E-3</v>
      </c>
      <c r="M21207" s="26">
        <v>1.1000000000000001E-3</v>
      </c>
      <c r="N21207" s="26">
        <v>1.6999999999999999E-3</v>
      </c>
      <c r="Q21207" s="26">
        <v>4.3E-3</v>
      </c>
      <c r="T21207">
        <v>164</v>
      </c>
    </row>
    <row r="21208" spans="1:20" x14ac:dyDescent="0.35">
      <c r="A21208" t="s">
        <v>229</v>
      </c>
      <c r="B21208" t="s">
        <v>361</v>
      </c>
      <c r="C21208" s="26">
        <v>0.89729999999999999</v>
      </c>
      <c r="D21208" s="26">
        <v>3.6400000000000002E-2</v>
      </c>
      <c r="E21208" s="26">
        <v>5.0299999999999997E-2</v>
      </c>
      <c r="F21208" s="26">
        <v>7.0000000000000001E-3</v>
      </c>
      <c r="G21208" s="26">
        <v>6.7999999999999996E-3</v>
      </c>
      <c r="J21208" s="26">
        <v>1.6999999999999999E-3</v>
      </c>
      <c r="K21208" s="26">
        <v>4.0000000000000002E-4</v>
      </c>
      <c r="T21208">
        <v>243</v>
      </c>
    </row>
    <row r="21209" spans="1:20" x14ac:dyDescent="0.35">
      <c r="A21209" t="s">
        <v>229</v>
      </c>
      <c r="B21209" t="s">
        <v>362</v>
      </c>
      <c r="C21209" s="26">
        <v>0.80059999999999998</v>
      </c>
      <c r="D21209" s="26">
        <v>7.2400000000000006E-2</v>
      </c>
      <c r="E21209" s="26">
        <v>3.5200000000000002E-2</v>
      </c>
      <c r="F21209" s="26">
        <v>3.3000000000000002E-2</v>
      </c>
      <c r="G21209" s="26">
        <v>4.1000000000000003E-3</v>
      </c>
      <c r="K21209" s="26">
        <v>6.1999999999999998E-3</v>
      </c>
      <c r="L21209" s="26">
        <v>1.55E-2</v>
      </c>
      <c r="M21209" s="26">
        <v>1.7500000000000002E-2</v>
      </c>
      <c r="O21209" s="26">
        <v>1.55E-2</v>
      </c>
      <c r="T21209">
        <v>171</v>
      </c>
    </row>
    <row r="21210" spans="1:20" x14ac:dyDescent="0.35">
      <c r="A21210" t="s">
        <v>230</v>
      </c>
      <c r="B21210" t="s">
        <v>360</v>
      </c>
      <c r="C21210" s="26">
        <v>0.84640000000000004</v>
      </c>
      <c r="D21210" s="26">
        <v>1.11E-2</v>
      </c>
      <c r="E21210" s="26">
        <v>6.7500000000000004E-2</v>
      </c>
      <c r="F21210" s="26">
        <v>3.3799999999999997E-2</v>
      </c>
      <c r="I21210" s="26">
        <v>2.23E-2</v>
      </c>
      <c r="K21210" s="26">
        <v>6.3E-3</v>
      </c>
      <c r="L21210" s="26">
        <v>4.7999999999999996E-3</v>
      </c>
      <c r="P21210" s="26">
        <v>2.8999999999999998E-3</v>
      </c>
      <c r="S21210" s="26">
        <v>4.8999999999999998E-3</v>
      </c>
      <c r="T21210">
        <v>119</v>
      </c>
    </row>
    <row r="21211" spans="1:20" x14ac:dyDescent="0.35">
      <c r="A21211" t="s">
        <v>230</v>
      </c>
      <c r="B21211" t="s">
        <v>363</v>
      </c>
      <c r="C21211" s="26">
        <v>0.97060000000000002</v>
      </c>
      <c r="D21211" s="26">
        <v>8.8999999999999999E-3</v>
      </c>
      <c r="E21211" s="26">
        <v>3.8999999999999998E-3</v>
      </c>
      <c r="F21211" s="26">
        <v>3.8E-3</v>
      </c>
      <c r="G21211" s="26">
        <v>3.8E-3</v>
      </c>
      <c r="K21211" s="26">
        <v>5.1000000000000004E-3</v>
      </c>
      <c r="N21211" s="26">
        <v>3.8999999999999998E-3</v>
      </c>
      <c r="T21211">
        <v>127</v>
      </c>
    </row>
    <row r="21212" spans="1:20" x14ac:dyDescent="0.35">
      <c r="A21212" t="s">
        <v>230</v>
      </c>
      <c r="B21212" t="s">
        <v>361</v>
      </c>
      <c r="C21212" s="26">
        <v>0.92479999999999996</v>
      </c>
      <c r="D21212" s="26">
        <v>3.6600000000000001E-2</v>
      </c>
      <c r="E21212" s="26">
        <v>4.7000000000000002E-3</v>
      </c>
      <c r="F21212" s="26">
        <v>2.12E-2</v>
      </c>
      <c r="I21212" s="26">
        <v>7.0000000000000001E-3</v>
      </c>
      <c r="J21212" s="26">
        <v>1.1000000000000001E-3</v>
      </c>
      <c r="K21212" s="26">
        <v>1.1000000000000001E-3</v>
      </c>
      <c r="N21212" s="26">
        <v>3.5999999999999999E-3</v>
      </c>
      <c r="T21212">
        <v>109</v>
      </c>
    </row>
    <row r="21213" spans="1:20" x14ac:dyDescent="0.35">
      <c r="A21213" t="s">
        <v>230</v>
      </c>
      <c r="B21213" t="s">
        <v>362</v>
      </c>
      <c r="C21213" s="26">
        <v>0.79649999999999999</v>
      </c>
      <c r="D21213" s="26">
        <v>8.3500000000000005E-2</v>
      </c>
      <c r="E21213" s="26">
        <v>5.33E-2</v>
      </c>
      <c r="G21213" s="26">
        <v>2.1499999999999998E-2</v>
      </c>
      <c r="I21213" s="26">
        <v>7.1999999999999998E-3</v>
      </c>
      <c r="J21213" s="26">
        <v>3.5000000000000001E-3</v>
      </c>
      <c r="K21213" s="26">
        <v>8.3000000000000001E-3</v>
      </c>
      <c r="M21213" s="26">
        <v>3.5999999999999999E-3</v>
      </c>
      <c r="N21213" s="26">
        <v>1.1000000000000001E-3</v>
      </c>
      <c r="P21213" s="26">
        <v>2.1499999999999998E-2</v>
      </c>
      <c r="T21213">
        <v>148</v>
      </c>
    </row>
    <row r="21214" spans="1:20" x14ac:dyDescent="0.35">
      <c r="A21214" s="27" t="s">
        <v>231</v>
      </c>
      <c r="B21214" s="27" t="s">
        <v>362</v>
      </c>
      <c r="C21214" s="28">
        <v>0.72409999999999997</v>
      </c>
      <c r="D21214" s="28">
        <v>0.1724</v>
      </c>
      <c r="E21214" s="28">
        <v>0.10340000000000001</v>
      </c>
      <c r="F21214" s="29"/>
      <c r="G21214" s="29"/>
      <c r="H21214" s="29"/>
      <c r="I21214" s="29"/>
      <c r="J21214" s="29"/>
      <c r="K21214" s="29"/>
      <c r="L21214" s="29"/>
      <c r="M21214" s="29"/>
      <c r="N21214" s="29"/>
      <c r="O21214" s="29"/>
      <c r="P21214" s="29"/>
      <c r="Q21214" s="29"/>
      <c r="R21214" s="29"/>
      <c r="S21214" s="29"/>
      <c r="T21214" s="29" t="s">
        <v>329</v>
      </c>
    </row>
    <row r="21215" spans="1:20" x14ac:dyDescent="0.35">
      <c r="A21215" t="s">
        <v>231</v>
      </c>
      <c r="B21215" t="s">
        <v>361</v>
      </c>
      <c r="C21215" s="26">
        <v>0.88</v>
      </c>
      <c r="D21215" s="26">
        <v>0.04</v>
      </c>
      <c r="E21215" s="26">
        <v>0.06</v>
      </c>
      <c r="F21215" s="26">
        <v>0.02</v>
      </c>
      <c r="T21215">
        <v>50</v>
      </c>
    </row>
    <row r="21216" spans="1:20" x14ac:dyDescent="0.35">
      <c r="A21216" t="s">
        <v>231</v>
      </c>
      <c r="B21216" t="s">
        <v>360</v>
      </c>
      <c r="C21216" s="26">
        <v>0.63639999999999997</v>
      </c>
      <c r="D21216" s="26">
        <v>0.25</v>
      </c>
      <c r="E21216" s="26">
        <v>4.5499999999999999E-2</v>
      </c>
      <c r="F21216" s="26">
        <v>4.5499999999999999E-2</v>
      </c>
      <c r="H21216" s="26">
        <v>2.2700000000000001E-2</v>
      </c>
      <c r="T21216">
        <v>44</v>
      </c>
    </row>
    <row r="21217" spans="1:20" x14ac:dyDescent="0.35">
      <c r="A21217" s="27" t="s">
        <v>231</v>
      </c>
      <c r="B21217" s="27" t="s">
        <v>363</v>
      </c>
      <c r="C21217" s="28">
        <v>0.77780000000000005</v>
      </c>
      <c r="D21217" s="28">
        <v>0.1111</v>
      </c>
      <c r="E21217" s="28">
        <v>3.6999999999999998E-2</v>
      </c>
      <c r="F21217" s="28">
        <v>3.6999999999999998E-2</v>
      </c>
      <c r="G21217" s="28">
        <v>3.6999999999999998E-2</v>
      </c>
      <c r="H21217" s="29"/>
      <c r="I21217" s="29"/>
      <c r="J21217" s="29"/>
      <c r="K21217" s="29"/>
      <c r="L21217" s="29"/>
      <c r="M21217" s="29"/>
      <c r="N21217" s="29"/>
      <c r="O21217" s="29"/>
      <c r="P21217" s="29"/>
      <c r="Q21217" s="29"/>
      <c r="R21217" s="29"/>
      <c r="S21217" s="29"/>
      <c r="T21217" s="29" t="s">
        <v>338</v>
      </c>
    </row>
    <row r="21218" spans="1:20" x14ac:dyDescent="0.35">
      <c r="A21218" t="s">
        <v>232</v>
      </c>
      <c r="B21218" t="s">
        <v>232</v>
      </c>
      <c r="C21218" s="26">
        <v>0.83660000000000001</v>
      </c>
      <c r="D21218" s="26">
        <v>7.6300000000000007E-2</v>
      </c>
      <c r="E21218" s="26">
        <v>4.5499999999999999E-2</v>
      </c>
      <c r="F21218" s="26">
        <v>1.8200000000000001E-2</v>
      </c>
      <c r="G21218" s="26">
        <v>8.3000000000000001E-3</v>
      </c>
      <c r="H21218" s="26">
        <v>2.5000000000000001E-3</v>
      </c>
      <c r="I21218" s="26">
        <v>2.5000000000000001E-3</v>
      </c>
      <c r="J21218" s="26">
        <v>2.3999999999999998E-3</v>
      </c>
      <c r="K21218" s="26">
        <v>1.9E-3</v>
      </c>
      <c r="L21218" s="26">
        <v>1.4E-3</v>
      </c>
      <c r="M21218" s="26">
        <v>1E-3</v>
      </c>
      <c r="N21218" s="26">
        <v>8.9999999999999998E-4</v>
      </c>
      <c r="O21218" s="26">
        <v>8.9999999999999998E-4</v>
      </c>
      <c r="P21218" s="26">
        <v>8.0000000000000004E-4</v>
      </c>
      <c r="Q21218" s="26">
        <v>4.0000000000000002E-4</v>
      </c>
      <c r="R21218" s="26">
        <v>2.0000000000000001E-4</v>
      </c>
      <c r="S21218" s="26">
        <v>1E-4</v>
      </c>
      <c r="T21218">
        <v>2475</v>
      </c>
    </row>
    <row r="21220" spans="1:20" x14ac:dyDescent="0.35">
      <c r="A21220" s="1" t="s">
        <v>2074</v>
      </c>
    </row>
    <row r="21221" spans="1:20" x14ac:dyDescent="0.35">
      <c r="A21221" t="s">
        <v>219</v>
      </c>
      <c r="B21221" t="s">
        <v>305</v>
      </c>
      <c r="C21221" t="s">
        <v>2068</v>
      </c>
      <c r="D21221" t="s">
        <v>1991</v>
      </c>
      <c r="E21221" t="s">
        <v>1992</v>
      </c>
      <c r="F21221" t="s">
        <v>1995</v>
      </c>
      <c r="G21221" t="s">
        <v>1994</v>
      </c>
      <c r="H21221" t="s">
        <v>1998</v>
      </c>
      <c r="I21221" t="s">
        <v>1993</v>
      </c>
      <c r="J21221" t="s">
        <v>1989</v>
      </c>
      <c r="K21221" t="s">
        <v>1997</v>
      </c>
      <c r="L21221" t="s">
        <v>1999</v>
      </c>
      <c r="M21221" t="s">
        <v>2001</v>
      </c>
      <c r="N21221" t="s">
        <v>1996</v>
      </c>
      <c r="O21221" t="s">
        <v>2000</v>
      </c>
      <c r="P21221" t="s">
        <v>1990</v>
      </c>
      <c r="Q21221" t="s">
        <v>286</v>
      </c>
      <c r="R21221" t="s">
        <v>281</v>
      </c>
      <c r="S21221" t="s">
        <v>2069</v>
      </c>
      <c r="T21221" t="s">
        <v>226</v>
      </c>
    </row>
    <row r="21222" spans="1:20" x14ac:dyDescent="0.35">
      <c r="A21222" t="s">
        <v>227</v>
      </c>
      <c r="B21222" t="s">
        <v>267</v>
      </c>
      <c r="C21222" s="26">
        <v>0.80559999999999998</v>
      </c>
      <c r="D21222" s="26">
        <v>0.1111</v>
      </c>
      <c r="E21222" s="26">
        <v>5.5599999999999997E-2</v>
      </c>
      <c r="I21222" s="26">
        <v>2.7799999999999998E-2</v>
      </c>
      <c r="T21222">
        <v>36</v>
      </c>
    </row>
    <row r="21223" spans="1:20" x14ac:dyDescent="0.35">
      <c r="A21223" t="s">
        <v>227</v>
      </c>
      <c r="B21223" t="s">
        <v>266</v>
      </c>
      <c r="C21223" s="26">
        <v>0.83050000000000002</v>
      </c>
      <c r="D21223" s="26">
        <v>0.1017</v>
      </c>
      <c r="E21223" s="26">
        <v>5.0799999999999998E-2</v>
      </c>
      <c r="G21223" s="26">
        <v>1.6899999999999998E-2</v>
      </c>
      <c r="T21223">
        <v>59</v>
      </c>
    </row>
    <row r="21224" spans="1:20" x14ac:dyDescent="0.35">
      <c r="A21224" t="s">
        <v>227</v>
      </c>
      <c r="B21224" t="s">
        <v>265</v>
      </c>
      <c r="C21224" s="26">
        <v>0.77270000000000005</v>
      </c>
      <c r="D21224" s="26">
        <v>9.0899999999999995E-2</v>
      </c>
      <c r="E21224" s="26">
        <v>7.5800000000000006E-2</v>
      </c>
      <c r="F21224" s="26">
        <v>4.5499999999999999E-2</v>
      </c>
      <c r="G21224" s="26">
        <v>1.52E-2</v>
      </c>
      <c r="T21224">
        <v>66</v>
      </c>
    </row>
    <row r="21225" spans="1:20" x14ac:dyDescent="0.35">
      <c r="A21225" t="s">
        <v>228</v>
      </c>
      <c r="B21225" t="s">
        <v>267</v>
      </c>
      <c r="C21225" s="26">
        <v>0.91120000000000001</v>
      </c>
      <c r="D21225" s="26">
        <v>3.5200000000000002E-2</v>
      </c>
      <c r="E21225" s="26">
        <v>1.5699999999999999E-2</v>
      </c>
      <c r="F21225" s="26">
        <v>4.5999999999999999E-3</v>
      </c>
      <c r="G21225" s="26">
        <v>7.1000000000000004E-3</v>
      </c>
      <c r="H21225" s="26">
        <v>3.2000000000000002E-3</v>
      </c>
      <c r="J21225" s="26">
        <v>1.18E-2</v>
      </c>
      <c r="K21225" s="26">
        <v>2.0999999999999999E-3</v>
      </c>
      <c r="N21225" s="26">
        <v>6.8999999999999999E-3</v>
      </c>
      <c r="R21225" s="26">
        <v>2.0999999999999999E-3</v>
      </c>
      <c r="T21225">
        <v>199</v>
      </c>
    </row>
    <row r="21226" spans="1:20" x14ac:dyDescent="0.35">
      <c r="A21226" t="s">
        <v>228</v>
      </c>
      <c r="B21226" t="s">
        <v>265</v>
      </c>
      <c r="C21226" s="26">
        <v>0.93420000000000003</v>
      </c>
      <c r="D21226" s="26">
        <v>1.49E-2</v>
      </c>
      <c r="E21226" s="26">
        <v>3.8800000000000001E-2</v>
      </c>
      <c r="F21226" s="26">
        <v>1.1999999999999999E-3</v>
      </c>
      <c r="G21226" s="26">
        <v>3.8E-3</v>
      </c>
      <c r="I21226" s="26">
        <v>2E-3</v>
      </c>
      <c r="J21226" s="26">
        <v>2E-3</v>
      </c>
      <c r="K21226" s="26">
        <v>1E-3</v>
      </c>
      <c r="N21226" s="26">
        <v>5.9999999999999995E-4</v>
      </c>
      <c r="P21226" s="26">
        <v>5.9999999999999995E-4</v>
      </c>
      <c r="Q21226" s="26">
        <v>1E-3</v>
      </c>
      <c r="T21226">
        <v>384</v>
      </c>
    </row>
    <row r="21227" spans="1:20" x14ac:dyDescent="0.35">
      <c r="A21227" s="27" t="s">
        <v>228</v>
      </c>
      <c r="B21227" s="27" t="s">
        <v>236</v>
      </c>
      <c r="C21227" s="28">
        <v>0.5</v>
      </c>
      <c r="D21227" s="28">
        <v>0.5</v>
      </c>
      <c r="E21227" s="29"/>
      <c r="F21227" s="29"/>
      <c r="G21227" s="29"/>
      <c r="H21227" s="29"/>
      <c r="I21227" s="29"/>
      <c r="J21227" s="29"/>
      <c r="K21227" s="29"/>
      <c r="L21227" s="29"/>
      <c r="M21227" s="29"/>
      <c r="N21227" s="29"/>
      <c r="O21227" s="29"/>
      <c r="P21227" s="29"/>
      <c r="Q21227" s="29"/>
      <c r="R21227" s="29"/>
      <c r="S21227" s="29"/>
      <c r="T21227" s="29" t="s">
        <v>314</v>
      </c>
    </row>
    <row r="21228" spans="1:20" x14ac:dyDescent="0.35">
      <c r="A21228" t="s">
        <v>228</v>
      </c>
      <c r="B21228" t="s">
        <v>266</v>
      </c>
      <c r="C21228" s="26">
        <v>0.879</v>
      </c>
      <c r="D21228" s="26">
        <v>2.8799999999999999E-2</v>
      </c>
      <c r="E21228" s="26">
        <v>2.35E-2</v>
      </c>
      <c r="F21228" s="26">
        <v>9.4999999999999998E-3</v>
      </c>
      <c r="G21228" s="26">
        <v>7.7000000000000002E-3</v>
      </c>
      <c r="I21228" s="26">
        <v>7.9000000000000008E-3</v>
      </c>
      <c r="J21228" s="26">
        <v>1.8200000000000001E-2</v>
      </c>
      <c r="K21228" s="26">
        <v>8.6E-3</v>
      </c>
      <c r="L21228" s="26">
        <v>8.0999999999999996E-3</v>
      </c>
      <c r="N21228" s="26">
        <v>4.0000000000000001E-3</v>
      </c>
      <c r="O21228" s="26">
        <v>1.6000000000000001E-3</v>
      </c>
      <c r="P21228" s="26">
        <v>1.9E-3</v>
      </c>
      <c r="R21228" s="26">
        <v>1.2999999999999999E-3</v>
      </c>
      <c r="T21228">
        <v>448</v>
      </c>
    </row>
    <row r="21229" spans="1:20" x14ac:dyDescent="0.35">
      <c r="A21229" t="s">
        <v>229</v>
      </c>
      <c r="B21229" t="s">
        <v>266</v>
      </c>
      <c r="C21229" s="26">
        <v>0.87219999999999998</v>
      </c>
      <c r="D21229" s="26">
        <v>8.2799999999999999E-2</v>
      </c>
      <c r="E21229" s="26">
        <v>2.75E-2</v>
      </c>
      <c r="F21229" s="26">
        <v>1.15E-2</v>
      </c>
      <c r="G21229" s="26">
        <v>2.5999999999999999E-3</v>
      </c>
      <c r="K21229" s="26">
        <v>1.5E-3</v>
      </c>
      <c r="M21229" s="26">
        <v>1E-3</v>
      </c>
      <c r="N21229" s="26">
        <v>8.0000000000000004E-4</v>
      </c>
      <c r="T21229">
        <v>359</v>
      </c>
    </row>
    <row r="21230" spans="1:20" x14ac:dyDescent="0.35">
      <c r="A21230" t="s">
        <v>229</v>
      </c>
      <c r="B21230" t="s">
        <v>267</v>
      </c>
      <c r="C21230" s="26">
        <v>0.86819999999999997</v>
      </c>
      <c r="D21230" s="26">
        <v>6.0100000000000001E-2</v>
      </c>
      <c r="E21230" s="26">
        <v>5.0099999999999999E-2</v>
      </c>
      <c r="F21230" s="26">
        <v>1.4E-2</v>
      </c>
      <c r="G21230" s="26">
        <v>3.8999999999999998E-3</v>
      </c>
      <c r="I21230" s="26">
        <v>8.0000000000000004E-4</v>
      </c>
      <c r="K21230" s="26">
        <v>1.5E-3</v>
      </c>
      <c r="M21230" s="26">
        <v>8.0000000000000004E-4</v>
      </c>
      <c r="N21230" s="26">
        <v>8.0000000000000004E-4</v>
      </c>
      <c r="T21230">
        <v>201</v>
      </c>
    </row>
    <row r="21231" spans="1:20" x14ac:dyDescent="0.35">
      <c r="A21231" t="s">
        <v>229</v>
      </c>
      <c r="B21231" t="s">
        <v>265</v>
      </c>
      <c r="C21231" s="26">
        <v>0.84050000000000002</v>
      </c>
      <c r="D21231" s="26">
        <v>4.5199999999999997E-2</v>
      </c>
      <c r="E21231" s="26">
        <v>5.5800000000000002E-2</v>
      </c>
      <c r="F21231" s="26">
        <v>2.2700000000000001E-2</v>
      </c>
      <c r="G21231" s="26">
        <v>6.3E-3</v>
      </c>
      <c r="H21231" s="26">
        <v>5.5999999999999999E-3</v>
      </c>
      <c r="J21231" s="26">
        <v>2.2000000000000001E-3</v>
      </c>
      <c r="K21231" s="26">
        <v>1.5E-3</v>
      </c>
      <c r="L21231" s="26">
        <v>5.5999999999999999E-3</v>
      </c>
      <c r="M21231" s="26">
        <v>6.3E-3</v>
      </c>
      <c r="O21231" s="26">
        <v>6.3E-3</v>
      </c>
      <c r="Q21231" s="26">
        <v>2.2000000000000001E-3</v>
      </c>
      <c r="T21231">
        <v>335</v>
      </c>
    </row>
    <row r="21232" spans="1:20" x14ac:dyDescent="0.35">
      <c r="A21232" t="s">
        <v>230</v>
      </c>
      <c r="B21232" t="s">
        <v>267</v>
      </c>
      <c r="C21232" s="26">
        <v>0.85760000000000003</v>
      </c>
      <c r="D21232" s="26">
        <v>7.4899999999999994E-2</v>
      </c>
      <c r="E21232" s="26">
        <v>1.47E-2</v>
      </c>
      <c r="F21232" s="26">
        <v>4.0000000000000001E-3</v>
      </c>
      <c r="I21232" s="26">
        <v>9.4000000000000004E-3</v>
      </c>
      <c r="J21232" s="26">
        <v>1.1999999999999999E-3</v>
      </c>
      <c r="K21232" s="26">
        <v>1.24E-2</v>
      </c>
      <c r="P21232" s="26">
        <v>2.4500000000000001E-2</v>
      </c>
      <c r="R21232" s="26">
        <v>1.1999999999999999E-3</v>
      </c>
      <c r="T21232">
        <v>119</v>
      </c>
    </row>
    <row r="21233" spans="1:20" x14ac:dyDescent="0.35">
      <c r="A21233" t="s">
        <v>230</v>
      </c>
      <c r="B21233" t="s">
        <v>266</v>
      </c>
      <c r="C21233" s="26">
        <v>0.90069999999999995</v>
      </c>
      <c r="D21233" s="26">
        <v>3.8100000000000002E-2</v>
      </c>
      <c r="E21233" s="26">
        <v>1.5800000000000002E-2</v>
      </c>
      <c r="F21233" s="26">
        <v>1.7500000000000002E-2</v>
      </c>
      <c r="G21233" s="26">
        <v>2.5000000000000001E-3</v>
      </c>
      <c r="I21233" s="26">
        <v>8.2000000000000007E-3</v>
      </c>
      <c r="J21233" s="26">
        <v>2.5000000000000001E-3</v>
      </c>
      <c r="K21233" s="26">
        <v>5.7999999999999996E-3</v>
      </c>
      <c r="L21233" s="26">
        <v>2.5000000000000001E-3</v>
      </c>
      <c r="M21233" s="26">
        <v>2.5000000000000001E-3</v>
      </c>
      <c r="N21233" s="26">
        <v>3.3E-3</v>
      </c>
      <c r="P21233" s="26">
        <v>8.0000000000000004E-4</v>
      </c>
      <c r="T21233">
        <v>231</v>
      </c>
    </row>
    <row r="21234" spans="1:20" x14ac:dyDescent="0.35">
      <c r="A21234" t="s">
        <v>230</v>
      </c>
      <c r="B21234" t="s">
        <v>265</v>
      </c>
      <c r="C21234" s="26">
        <v>0.89539999999999997</v>
      </c>
      <c r="D21234" s="26">
        <v>1.7000000000000001E-2</v>
      </c>
      <c r="E21234" s="26">
        <v>4.5699999999999998E-2</v>
      </c>
      <c r="F21234" s="26">
        <v>1.29E-2</v>
      </c>
      <c r="G21234" s="26">
        <v>1.29E-2</v>
      </c>
      <c r="I21234" s="26">
        <v>7.1999999999999998E-3</v>
      </c>
      <c r="K21234" s="26">
        <v>4.1000000000000003E-3</v>
      </c>
      <c r="N21234" s="26">
        <v>2.2000000000000001E-3</v>
      </c>
      <c r="P21234" s="26">
        <v>6.9999999999999999E-4</v>
      </c>
      <c r="S21234" s="26">
        <v>2.2000000000000001E-3</v>
      </c>
      <c r="T21234">
        <v>209</v>
      </c>
    </row>
    <row r="21235" spans="1:20" x14ac:dyDescent="0.35">
      <c r="A21235" t="s">
        <v>231</v>
      </c>
      <c r="B21235" t="s">
        <v>267</v>
      </c>
      <c r="C21235" s="26">
        <v>0.82350000000000001</v>
      </c>
      <c r="D21235" s="26">
        <v>2.9399999999999999E-2</v>
      </c>
      <c r="E21235" s="26">
        <v>5.8799999999999998E-2</v>
      </c>
      <c r="F21235" s="26">
        <v>5.8799999999999998E-2</v>
      </c>
      <c r="G21235" s="26">
        <v>2.9399999999999999E-2</v>
      </c>
      <c r="T21235">
        <v>34</v>
      </c>
    </row>
    <row r="21236" spans="1:20" x14ac:dyDescent="0.35">
      <c r="A21236" t="s">
        <v>231</v>
      </c>
      <c r="B21236" t="s">
        <v>266</v>
      </c>
      <c r="C21236" s="26">
        <v>0.8226</v>
      </c>
      <c r="D21236" s="26">
        <v>0.1452</v>
      </c>
      <c r="F21236" s="26">
        <v>1.61E-2</v>
      </c>
      <c r="H21236" s="26">
        <v>1.61E-2</v>
      </c>
      <c r="T21236">
        <v>62</v>
      </c>
    </row>
    <row r="21237" spans="1:20" x14ac:dyDescent="0.35">
      <c r="A21237" t="s">
        <v>231</v>
      </c>
      <c r="B21237" t="s">
        <v>265</v>
      </c>
      <c r="C21237" s="26">
        <v>0.69120000000000004</v>
      </c>
      <c r="D21237" s="26">
        <v>0.1618</v>
      </c>
      <c r="E21237" s="26">
        <v>0.10290000000000001</v>
      </c>
      <c r="F21237" s="26">
        <v>2.9399999999999999E-2</v>
      </c>
      <c r="G21237" s="26">
        <v>1.47E-2</v>
      </c>
      <c r="T21237">
        <v>68</v>
      </c>
    </row>
    <row r="21238" spans="1:20" x14ac:dyDescent="0.35">
      <c r="A21238" t="s">
        <v>232</v>
      </c>
      <c r="B21238" t="s">
        <v>232</v>
      </c>
      <c r="C21238" s="26">
        <v>0.83660000000000001</v>
      </c>
      <c r="D21238" s="26">
        <v>7.6300000000000007E-2</v>
      </c>
      <c r="E21238" s="26">
        <v>4.5499999999999999E-2</v>
      </c>
      <c r="F21238" s="26">
        <v>1.8200000000000001E-2</v>
      </c>
      <c r="G21238" s="26">
        <v>8.3000000000000001E-3</v>
      </c>
      <c r="H21238" s="26">
        <v>2.5000000000000001E-3</v>
      </c>
      <c r="I21238" s="26">
        <v>2.5000000000000001E-3</v>
      </c>
      <c r="J21238" s="26">
        <v>2.3999999999999998E-3</v>
      </c>
      <c r="K21238" s="26">
        <v>1.9E-3</v>
      </c>
      <c r="L21238" s="26">
        <v>1.4E-3</v>
      </c>
      <c r="M21238" s="26">
        <v>1E-3</v>
      </c>
      <c r="N21238" s="26">
        <v>8.9999999999999998E-4</v>
      </c>
      <c r="O21238" s="26">
        <v>8.9999999999999998E-4</v>
      </c>
      <c r="P21238" s="26">
        <v>8.0000000000000004E-4</v>
      </c>
      <c r="Q21238" s="26">
        <v>4.0000000000000002E-4</v>
      </c>
      <c r="R21238" s="26">
        <v>2.0000000000000001E-4</v>
      </c>
      <c r="S21238" s="26">
        <v>1E-4</v>
      </c>
      <c r="T21238">
        <v>2812</v>
      </c>
    </row>
    <row r="21240" spans="1:20" x14ac:dyDescent="0.35">
      <c r="A21240" s="1" t="s">
        <v>2075</v>
      </c>
    </row>
    <row r="21241" spans="1:20" x14ac:dyDescent="0.35">
      <c r="A21241" t="s">
        <v>219</v>
      </c>
      <c r="B21241" t="s">
        <v>305</v>
      </c>
      <c r="C21241" t="s">
        <v>2068</v>
      </c>
      <c r="D21241" t="s">
        <v>1991</v>
      </c>
      <c r="E21241" t="s">
        <v>1992</v>
      </c>
      <c r="F21241" t="s">
        <v>1995</v>
      </c>
      <c r="G21241" t="s">
        <v>1994</v>
      </c>
      <c r="H21241" t="s">
        <v>1998</v>
      </c>
      <c r="I21241" t="s">
        <v>1993</v>
      </c>
      <c r="J21241" t="s">
        <v>1989</v>
      </c>
      <c r="K21241" t="s">
        <v>1997</v>
      </c>
      <c r="L21241" t="s">
        <v>1999</v>
      </c>
      <c r="M21241" t="s">
        <v>2001</v>
      </c>
      <c r="N21241" t="s">
        <v>1996</v>
      </c>
      <c r="O21241" t="s">
        <v>2000</v>
      </c>
      <c r="P21241" t="s">
        <v>1990</v>
      </c>
      <c r="Q21241" t="s">
        <v>286</v>
      </c>
      <c r="R21241" t="s">
        <v>281</v>
      </c>
      <c r="S21241" t="s">
        <v>2069</v>
      </c>
      <c r="T21241" t="s">
        <v>226</v>
      </c>
    </row>
    <row r="21242" spans="1:20" x14ac:dyDescent="0.35">
      <c r="A21242" t="s">
        <v>227</v>
      </c>
      <c r="B21242" t="s">
        <v>252</v>
      </c>
      <c r="C21242" s="26">
        <v>0.84440000000000004</v>
      </c>
      <c r="D21242" s="26">
        <v>8.8900000000000007E-2</v>
      </c>
      <c r="E21242" s="26">
        <v>6.6699999999999995E-2</v>
      </c>
      <c r="T21242">
        <v>45</v>
      </c>
    </row>
    <row r="21243" spans="1:20" x14ac:dyDescent="0.35">
      <c r="A21243" t="s">
        <v>227</v>
      </c>
      <c r="B21243" t="s">
        <v>253</v>
      </c>
      <c r="C21243" s="26">
        <v>0.76470000000000005</v>
      </c>
      <c r="D21243" s="26">
        <v>0.14710000000000001</v>
      </c>
      <c r="E21243" s="26">
        <v>5.8799999999999998E-2</v>
      </c>
      <c r="F21243" s="26">
        <v>2.9399999999999999E-2</v>
      </c>
      <c r="T21243">
        <v>34</v>
      </c>
    </row>
    <row r="21244" spans="1:20" x14ac:dyDescent="0.35">
      <c r="A21244" t="s">
        <v>227</v>
      </c>
      <c r="B21244" t="s">
        <v>251</v>
      </c>
      <c r="C21244" s="26">
        <v>0.79269999999999996</v>
      </c>
      <c r="D21244" s="26">
        <v>8.5400000000000004E-2</v>
      </c>
      <c r="E21244" s="26">
        <v>6.0999999999999999E-2</v>
      </c>
      <c r="F21244" s="26">
        <v>2.4400000000000002E-2</v>
      </c>
      <c r="G21244" s="26">
        <v>2.4400000000000002E-2</v>
      </c>
      <c r="I21244" s="26">
        <v>1.2200000000000001E-2</v>
      </c>
      <c r="T21244">
        <v>82</v>
      </c>
    </row>
    <row r="21245" spans="1:20" x14ac:dyDescent="0.35">
      <c r="A21245" t="s">
        <v>228</v>
      </c>
      <c r="B21245" t="s">
        <v>252</v>
      </c>
      <c r="C21245" s="26">
        <v>0.88039999999999996</v>
      </c>
      <c r="D21245" s="26">
        <v>2.8400000000000002E-2</v>
      </c>
      <c r="E21245" s="26">
        <v>2.6599999999999999E-2</v>
      </c>
      <c r="F21245" s="26">
        <v>6.1000000000000004E-3</v>
      </c>
      <c r="G21245" s="26">
        <v>5.8999999999999999E-3</v>
      </c>
      <c r="I21245" s="26">
        <v>2.5999999999999999E-3</v>
      </c>
      <c r="J21245" s="26">
        <v>2.3300000000000001E-2</v>
      </c>
      <c r="K21245" s="26">
        <v>6.6E-3</v>
      </c>
      <c r="L21245" s="26">
        <v>1.04E-2</v>
      </c>
      <c r="N21245" s="26">
        <v>5.1999999999999998E-3</v>
      </c>
      <c r="O21245" s="26">
        <v>8.0000000000000004E-4</v>
      </c>
      <c r="P21245" s="26">
        <v>8.0000000000000004E-4</v>
      </c>
      <c r="Q21245" s="26">
        <v>1.2999999999999999E-3</v>
      </c>
      <c r="R21245" s="26">
        <v>1.6999999999999999E-3</v>
      </c>
      <c r="T21245">
        <v>344</v>
      </c>
    </row>
    <row r="21246" spans="1:20" x14ac:dyDescent="0.35">
      <c r="A21246" t="s">
        <v>228</v>
      </c>
      <c r="B21246" t="s">
        <v>253</v>
      </c>
      <c r="C21246" s="26">
        <v>0.90580000000000005</v>
      </c>
      <c r="D21246" s="26">
        <v>4.7600000000000003E-2</v>
      </c>
      <c r="E21246" s="26">
        <v>1.7899999999999999E-2</v>
      </c>
      <c r="F21246" s="26">
        <v>1.0500000000000001E-2</v>
      </c>
      <c r="G21246" s="26">
        <v>3.5999999999999999E-3</v>
      </c>
      <c r="H21246" s="26">
        <v>2.7000000000000001E-3</v>
      </c>
      <c r="J21246" s="26">
        <v>2E-3</v>
      </c>
      <c r="K21246" s="26">
        <v>8.6999999999999994E-3</v>
      </c>
      <c r="P21246" s="26">
        <v>1.1999999999999999E-3</v>
      </c>
      <c r="T21246">
        <v>222</v>
      </c>
    </row>
    <row r="21247" spans="1:20" x14ac:dyDescent="0.35">
      <c r="A21247" t="s">
        <v>228</v>
      </c>
      <c r="B21247" t="s">
        <v>251</v>
      </c>
      <c r="C21247" s="26">
        <v>0.92069999999999996</v>
      </c>
      <c r="D21247" s="26">
        <v>1.77E-2</v>
      </c>
      <c r="E21247" s="26">
        <v>3.4000000000000002E-2</v>
      </c>
      <c r="F21247" s="26">
        <v>2.2000000000000001E-3</v>
      </c>
      <c r="G21247" s="26">
        <v>6.8999999999999999E-3</v>
      </c>
      <c r="I21247" s="26">
        <v>6.7999999999999996E-3</v>
      </c>
      <c r="J21247" s="26">
        <v>5.1000000000000004E-3</v>
      </c>
      <c r="K21247" s="26">
        <v>8.9999999999999998E-4</v>
      </c>
      <c r="N21247" s="26">
        <v>2.8999999999999998E-3</v>
      </c>
      <c r="O21247" s="26">
        <v>8.9999999999999998E-4</v>
      </c>
      <c r="P21247" s="26">
        <v>1.1999999999999999E-3</v>
      </c>
      <c r="R21247" s="26">
        <v>8.0000000000000004E-4</v>
      </c>
      <c r="T21247">
        <v>467</v>
      </c>
    </row>
    <row r="21248" spans="1:20" x14ac:dyDescent="0.35">
      <c r="A21248" t="s">
        <v>229</v>
      </c>
      <c r="B21248" t="s">
        <v>252</v>
      </c>
      <c r="C21248" s="26">
        <v>0.81499999999999995</v>
      </c>
      <c r="D21248" s="26">
        <v>0.10199999999999999</v>
      </c>
      <c r="E21248" s="26">
        <v>2.9899999999999999E-2</v>
      </c>
      <c r="F21248" s="26">
        <v>2.2800000000000001E-2</v>
      </c>
      <c r="G21248" s="26">
        <v>2.3E-3</v>
      </c>
      <c r="K21248" s="26">
        <v>2.8999999999999998E-3</v>
      </c>
      <c r="M21248" s="26">
        <v>1.34E-2</v>
      </c>
      <c r="N21248" s="26">
        <v>4.0000000000000002E-4</v>
      </c>
      <c r="O21248" s="26">
        <v>1.12E-2</v>
      </c>
      <c r="T21248">
        <v>199</v>
      </c>
    </row>
    <row r="21249" spans="1:20" x14ac:dyDescent="0.35">
      <c r="A21249" t="s">
        <v>229</v>
      </c>
      <c r="B21249" t="s">
        <v>253</v>
      </c>
      <c r="C21249" s="26">
        <v>0.7833</v>
      </c>
      <c r="D21249" s="26">
        <v>9.3799999999999994E-2</v>
      </c>
      <c r="E21249" s="26">
        <v>7.2599999999999998E-2</v>
      </c>
      <c r="F21249" s="26">
        <v>1.3299999999999999E-2</v>
      </c>
      <c r="G21249" s="26">
        <v>1.6999999999999999E-3</v>
      </c>
      <c r="H21249" s="26">
        <v>1.3299999999999999E-2</v>
      </c>
      <c r="I21249" s="26">
        <v>8.9999999999999998E-4</v>
      </c>
      <c r="K21249" s="26">
        <v>3.5000000000000001E-3</v>
      </c>
      <c r="L21249" s="26">
        <v>1.3299999999999999E-2</v>
      </c>
      <c r="N21249" s="26">
        <v>8.9999999999999998E-4</v>
      </c>
      <c r="Q21249" s="26">
        <v>3.5000000000000001E-3</v>
      </c>
      <c r="T21249">
        <v>145</v>
      </c>
    </row>
    <row r="21250" spans="1:20" x14ac:dyDescent="0.35">
      <c r="A21250" t="s">
        <v>229</v>
      </c>
      <c r="B21250" t="s">
        <v>251</v>
      </c>
      <c r="C21250" s="26">
        <v>0.89680000000000004</v>
      </c>
      <c r="D21250" s="26">
        <v>3.4500000000000003E-2</v>
      </c>
      <c r="E21250" s="26">
        <v>4.2299999999999997E-2</v>
      </c>
      <c r="F21250" s="26">
        <v>1.61E-2</v>
      </c>
      <c r="G21250" s="26">
        <v>6.3E-3</v>
      </c>
      <c r="J21250" s="26">
        <v>1.6999999999999999E-3</v>
      </c>
      <c r="K21250" s="26">
        <v>2.9999999999999997E-4</v>
      </c>
      <c r="M21250" s="26">
        <v>5.9999999999999995E-4</v>
      </c>
      <c r="N21250" s="26">
        <v>2.9999999999999997E-4</v>
      </c>
      <c r="O21250" s="26">
        <v>5.9999999999999995E-4</v>
      </c>
      <c r="Q21250" s="26">
        <v>5.9999999999999995E-4</v>
      </c>
      <c r="T21250">
        <v>551</v>
      </c>
    </row>
    <row r="21251" spans="1:20" x14ac:dyDescent="0.35">
      <c r="A21251" t="s">
        <v>230</v>
      </c>
      <c r="B21251" t="s">
        <v>252</v>
      </c>
      <c r="C21251" s="26">
        <v>0.84670000000000001</v>
      </c>
      <c r="D21251" s="26">
        <v>6.4500000000000002E-2</v>
      </c>
      <c r="E21251" s="26">
        <v>6.0900000000000003E-2</v>
      </c>
      <c r="F21251" s="26">
        <v>3.5999999999999999E-3</v>
      </c>
      <c r="I21251" s="26">
        <v>1.1599999999999999E-2</v>
      </c>
      <c r="J21251" s="26">
        <v>3.5000000000000001E-3</v>
      </c>
      <c r="K21251" s="26">
        <v>8.2000000000000007E-3</v>
      </c>
      <c r="R21251" s="26">
        <v>1.1000000000000001E-3</v>
      </c>
      <c r="T21251">
        <v>158</v>
      </c>
    </row>
    <row r="21252" spans="1:20" x14ac:dyDescent="0.35">
      <c r="A21252" t="s">
        <v>230</v>
      </c>
      <c r="B21252" t="s">
        <v>253</v>
      </c>
      <c r="C21252" s="26">
        <v>0.92779999999999996</v>
      </c>
      <c r="D21252" s="26">
        <v>2.9899999999999999E-2</v>
      </c>
      <c r="E21252" s="26">
        <v>1.55E-2</v>
      </c>
      <c r="G21252" s="26">
        <v>4.7000000000000002E-3</v>
      </c>
      <c r="I21252" s="26">
        <v>9.4999999999999998E-3</v>
      </c>
      <c r="K21252" s="26">
        <v>4.7999999999999996E-3</v>
      </c>
      <c r="N21252" s="26">
        <v>4.7999999999999996E-3</v>
      </c>
      <c r="P21252" s="26">
        <v>2.8999999999999998E-3</v>
      </c>
      <c r="T21252">
        <v>110</v>
      </c>
    </row>
    <row r="21253" spans="1:20" x14ac:dyDescent="0.35">
      <c r="A21253" t="s">
        <v>230</v>
      </c>
      <c r="B21253" t="s">
        <v>251</v>
      </c>
      <c r="C21253" s="26">
        <v>0.8952</v>
      </c>
      <c r="D21253" s="26">
        <v>2.7400000000000001E-2</v>
      </c>
      <c r="E21253" s="26">
        <v>1.72E-2</v>
      </c>
      <c r="F21253" s="26">
        <v>2.1000000000000001E-2</v>
      </c>
      <c r="G21253" s="26">
        <v>9.7000000000000003E-3</v>
      </c>
      <c r="I21253" s="26">
        <v>5.8999999999999999E-3</v>
      </c>
      <c r="J21253" s="26">
        <v>5.0000000000000001E-4</v>
      </c>
      <c r="K21253" s="26">
        <v>6.4000000000000003E-3</v>
      </c>
      <c r="L21253" s="26">
        <v>1.6000000000000001E-3</v>
      </c>
      <c r="M21253" s="26">
        <v>1.6000000000000001E-3</v>
      </c>
      <c r="N21253" s="26">
        <v>2.0999999999999999E-3</v>
      </c>
      <c r="P21253" s="26">
        <v>9.7000000000000003E-3</v>
      </c>
      <c r="S21253" s="26">
        <v>1.6000000000000001E-3</v>
      </c>
      <c r="T21253">
        <v>291</v>
      </c>
    </row>
    <row r="21254" spans="1:20" x14ac:dyDescent="0.35">
      <c r="A21254" t="s">
        <v>231</v>
      </c>
      <c r="B21254" t="s">
        <v>252</v>
      </c>
      <c r="C21254" s="26">
        <v>0.73470000000000002</v>
      </c>
      <c r="D21254" s="26">
        <v>0.1633</v>
      </c>
      <c r="E21254" s="26">
        <v>6.1199999999999997E-2</v>
      </c>
      <c r="F21254" s="26">
        <v>2.0400000000000001E-2</v>
      </c>
      <c r="G21254" s="26">
        <v>2.0400000000000001E-2</v>
      </c>
      <c r="T21254">
        <v>49</v>
      </c>
    </row>
    <row r="21255" spans="1:20" x14ac:dyDescent="0.35">
      <c r="A21255" t="s">
        <v>231</v>
      </c>
      <c r="B21255" t="s">
        <v>253</v>
      </c>
      <c r="C21255" s="26">
        <v>0.63329999999999997</v>
      </c>
      <c r="D21255" s="26">
        <v>0.2</v>
      </c>
      <c r="E21255" s="26">
        <v>6.6699999999999995E-2</v>
      </c>
      <c r="F21255" s="26">
        <v>3.3300000000000003E-2</v>
      </c>
      <c r="G21255" s="26">
        <v>3.3300000000000003E-2</v>
      </c>
      <c r="H21255" s="26">
        <v>3.3300000000000003E-2</v>
      </c>
      <c r="T21255">
        <v>30</v>
      </c>
    </row>
    <row r="21256" spans="1:20" x14ac:dyDescent="0.35">
      <c r="A21256" t="s">
        <v>231</v>
      </c>
      <c r="B21256" t="s">
        <v>251</v>
      </c>
      <c r="C21256" s="26">
        <v>0.83530000000000004</v>
      </c>
      <c r="D21256" s="26">
        <v>8.2400000000000001E-2</v>
      </c>
      <c r="E21256" s="26">
        <v>4.7100000000000003E-2</v>
      </c>
      <c r="F21256" s="26">
        <v>3.5299999999999998E-2</v>
      </c>
      <c r="T21256">
        <v>85</v>
      </c>
    </row>
    <row r="21257" spans="1:20" x14ac:dyDescent="0.35">
      <c r="A21257" t="s">
        <v>232</v>
      </c>
      <c r="B21257" t="s">
        <v>232</v>
      </c>
      <c r="C21257" s="26">
        <v>0.83660000000000001</v>
      </c>
      <c r="D21257" s="26">
        <v>7.6300000000000007E-2</v>
      </c>
      <c r="E21257" s="26">
        <v>4.5499999999999999E-2</v>
      </c>
      <c r="F21257" s="26">
        <v>1.8200000000000001E-2</v>
      </c>
      <c r="G21257" s="26">
        <v>8.3000000000000001E-3</v>
      </c>
      <c r="H21257" s="26">
        <v>2.5000000000000001E-3</v>
      </c>
      <c r="I21257" s="26">
        <v>2.5000000000000001E-3</v>
      </c>
      <c r="J21257" s="26">
        <v>2.3999999999999998E-3</v>
      </c>
      <c r="K21257" s="26">
        <v>1.9E-3</v>
      </c>
      <c r="L21257" s="26">
        <v>1.4E-3</v>
      </c>
      <c r="M21257" s="26">
        <v>1E-3</v>
      </c>
      <c r="N21257" s="26">
        <v>8.9999999999999998E-4</v>
      </c>
      <c r="O21257" s="26">
        <v>8.9999999999999998E-4</v>
      </c>
      <c r="P21257" s="26">
        <v>8.0000000000000004E-4</v>
      </c>
      <c r="Q21257" s="26">
        <v>4.0000000000000002E-4</v>
      </c>
      <c r="R21257" s="26">
        <v>2.0000000000000001E-4</v>
      </c>
      <c r="S21257" s="26">
        <v>1E-4</v>
      </c>
      <c r="T21257">
        <v>2812</v>
      </c>
    </row>
    <row r="21259" spans="1:20" x14ac:dyDescent="0.35">
      <c r="A21259" s="1" t="s">
        <v>2076</v>
      </c>
    </row>
    <row r="21260" spans="1:20" x14ac:dyDescent="0.35">
      <c r="A21260" t="s">
        <v>219</v>
      </c>
      <c r="B21260" t="s">
        <v>305</v>
      </c>
      <c r="C21260" t="s">
        <v>2068</v>
      </c>
      <c r="D21260" t="s">
        <v>1991</v>
      </c>
      <c r="E21260" t="s">
        <v>1992</v>
      </c>
      <c r="F21260" t="s">
        <v>1995</v>
      </c>
      <c r="G21260" t="s">
        <v>1994</v>
      </c>
      <c r="H21260" t="s">
        <v>1998</v>
      </c>
      <c r="I21260" t="s">
        <v>1993</v>
      </c>
      <c r="J21260" t="s">
        <v>1989</v>
      </c>
      <c r="K21260" t="s">
        <v>1997</v>
      </c>
      <c r="L21260" t="s">
        <v>1999</v>
      </c>
      <c r="M21260" t="s">
        <v>2001</v>
      </c>
      <c r="N21260" t="s">
        <v>1996</v>
      </c>
      <c r="O21260" t="s">
        <v>2000</v>
      </c>
      <c r="P21260" t="s">
        <v>1990</v>
      </c>
      <c r="Q21260" t="s">
        <v>286</v>
      </c>
      <c r="R21260" t="s">
        <v>281</v>
      </c>
      <c r="S21260" t="s">
        <v>2069</v>
      </c>
      <c r="T21260" t="s">
        <v>226</v>
      </c>
    </row>
    <row r="21261" spans="1:20" x14ac:dyDescent="0.35">
      <c r="A21261" t="s">
        <v>227</v>
      </c>
      <c r="B21261" t="s">
        <v>249</v>
      </c>
      <c r="C21261" s="26">
        <v>0.81820000000000004</v>
      </c>
      <c r="D21261" s="26">
        <v>4.5499999999999999E-2</v>
      </c>
      <c r="E21261" s="26">
        <v>6.8199999999999997E-2</v>
      </c>
      <c r="F21261" s="26">
        <v>2.2700000000000001E-2</v>
      </c>
      <c r="G21261" s="26">
        <v>4.5499999999999999E-2</v>
      </c>
      <c r="T21261">
        <v>44</v>
      </c>
    </row>
    <row r="21262" spans="1:20" x14ac:dyDescent="0.35">
      <c r="A21262" t="s">
        <v>227</v>
      </c>
      <c r="B21262" t="s">
        <v>248</v>
      </c>
      <c r="C21262" s="26">
        <v>0.79490000000000005</v>
      </c>
      <c r="D21262" s="26">
        <v>0.1197</v>
      </c>
      <c r="E21262" s="26">
        <v>5.9799999999999999E-2</v>
      </c>
      <c r="F21262" s="26">
        <v>1.7100000000000001E-2</v>
      </c>
      <c r="I21262" s="26">
        <v>8.5000000000000006E-3</v>
      </c>
      <c r="T21262">
        <v>117</v>
      </c>
    </row>
    <row r="21263" spans="1:20" x14ac:dyDescent="0.35">
      <c r="A21263" t="s">
        <v>228</v>
      </c>
      <c r="B21263" t="s">
        <v>249</v>
      </c>
      <c r="C21263" s="26">
        <v>0.92520000000000002</v>
      </c>
      <c r="D21263" s="26">
        <v>1.9E-2</v>
      </c>
      <c r="E21263" s="26">
        <v>2.9100000000000001E-2</v>
      </c>
      <c r="F21263" s="26">
        <v>3.2000000000000002E-3</v>
      </c>
      <c r="G21263" s="26">
        <v>6.1999999999999998E-3</v>
      </c>
      <c r="I21263" s="26">
        <v>8.0999999999999996E-3</v>
      </c>
      <c r="J21263" s="26">
        <v>2.8E-3</v>
      </c>
      <c r="K21263" s="26">
        <v>4.5999999999999999E-3</v>
      </c>
      <c r="N21263" s="26">
        <v>1.8E-3</v>
      </c>
      <c r="T21263">
        <v>274</v>
      </c>
    </row>
    <row r="21264" spans="1:20" x14ac:dyDescent="0.35">
      <c r="A21264" t="s">
        <v>228</v>
      </c>
      <c r="B21264" t="s">
        <v>248</v>
      </c>
      <c r="C21264" s="26">
        <v>0.89600000000000002</v>
      </c>
      <c r="D21264" s="26">
        <v>3.0700000000000002E-2</v>
      </c>
      <c r="E21264" s="26">
        <v>2.8000000000000001E-2</v>
      </c>
      <c r="F21264" s="26">
        <v>6.0000000000000001E-3</v>
      </c>
      <c r="G21264" s="26">
        <v>5.7999999999999996E-3</v>
      </c>
      <c r="H21264" s="26">
        <v>8.0000000000000004E-4</v>
      </c>
      <c r="I21264" s="26">
        <v>2.3999999999999998E-3</v>
      </c>
      <c r="J21264" s="26">
        <v>1.35E-2</v>
      </c>
      <c r="K21264" s="26">
        <v>4.1999999999999997E-3</v>
      </c>
      <c r="L21264" s="26">
        <v>4.7000000000000002E-3</v>
      </c>
      <c r="N21264" s="26">
        <v>3.5999999999999999E-3</v>
      </c>
      <c r="O21264" s="26">
        <v>8.9999999999999998E-4</v>
      </c>
      <c r="P21264" s="26">
        <v>1.5E-3</v>
      </c>
      <c r="Q21264" s="26">
        <v>5.9999999999999995E-4</v>
      </c>
      <c r="R21264" s="26">
        <v>1.2999999999999999E-3</v>
      </c>
      <c r="T21264">
        <v>759</v>
      </c>
    </row>
    <row r="21265" spans="1:20" x14ac:dyDescent="0.35">
      <c r="A21265" t="s">
        <v>229</v>
      </c>
      <c r="B21265" t="s">
        <v>249</v>
      </c>
      <c r="C21265" s="26">
        <v>0.89410000000000001</v>
      </c>
      <c r="D21265" s="26">
        <v>3.1099999999999999E-2</v>
      </c>
      <c r="E21265" s="26">
        <v>4.6300000000000001E-2</v>
      </c>
      <c r="F21265" s="26">
        <v>1.7299999999999999E-2</v>
      </c>
      <c r="G21265" s="26">
        <v>8.6999999999999994E-3</v>
      </c>
      <c r="J21265" s="26">
        <v>2E-3</v>
      </c>
      <c r="N21265" s="26">
        <v>5.0000000000000001E-4</v>
      </c>
      <c r="T21265">
        <v>259</v>
      </c>
    </row>
    <row r="21266" spans="1:20" x14ac:dyDescent="0.35">
      <c r="A21266" t="s">
        <v>229</v>
      </c>
      <c r="B21266" t="s">
        <v>248</v>
      </c>
      <c r="C21266" s="26">
        <v>0.83889999999999998</v>
      </c>
      <c r="D21266" s="26">
        <v>7.5399999999999995E-2</v>
      </c>
      <c r="E21266" s="26">
        <v>4.4699999999999997E-2</v>
      </c>
      <c r="F21266" s="26">
        <v>1.7000000000000001E-2</v>
      </c>
      <c r="G21266" s="26">
        <v>2.5000000000000001E-3</v>
      </c>
      <c r="H21266" s="26">
        <v>3.7000000000000002E-3</v>
      </c>
      <c r="I21266" s="26">
        <v>2.9999999999999997E-4</v>
      </c>
      <c r="J21266" s="26">
        <v>5.0000000000000001E-4</v>
      </c>
      <c r="K21266" s="26">
        <v>2.2000000000000001E-3</v>
      </c>
      <c r="L21266" s="26">
        <v>3.7000000000000002E-3</v>
      </c>
      <c r="M21266" s="26">
        <v>5.0000000000000001E-3</v>
      </c>
      <c r="N21266" s="26">
        <v>4.0000000000000002E-4</v>
      </c>
      <c r="O21266" s="26">
        <v>4.1999999999999997E-3</v>
      </c>
      <c r="Q21266" s="26">
        <v>1.5E-3</v>
      </c>
      <c r="T21266">
        <v>636</v>
      </c>
    </row>
    <row r="21267" spans="1:20" x14ac:dyDescent="0.35">
      <c r="A21267" t="s">
        <v>230</v>
      </c>
      <c r="B21267" t="s">
        <v>249</v>
      </c>
      <c r="C21267" s="26">
        <v>0.86380000000000001</v>
      </c>
      <c r="D21267" s="26">
        <v>3.09E-2</v>
      </c>
      <c r="E21267" s="26">
        <v>3.09E-2</v>
      </c>
      <c r="F21267" s="26">
        <v>3.4599999999999999E-2</v>
      </c>
      <c r="G21267" s="26">
        <v>1.6E-2</v>
      </c>
      <c r="I21267" s="26">
        <v>6.1000000000000004E-3</v>
      </c>
      <c r="K21267" s="26">
        <v>9.7000000000000003E-3</v>
      </c>
      <c r="L21267" s="26">
        <v>2.5999999999999999E-3</v>
      </c>
      <c r="N21267" s="26">
        <v>2.7000000000000001E-3</v>
      </c>
      <c r="S21267" s="26">
        <v>2.7000000000000001E-3</v>
      </c>
      <c r="T21267">
        <v>171</v>
      </c>
    </row>
    <row r="21268" spans="1:20" x14ac:dyDescent="0.35">
      <c r="A21268" t="s">
        <v>230</v>
      </c>
      <c r="B21268" t="s">
        <v>248</v>
      </c>
      <c r="C21268" s="26">
        <v>0.90190000000000003</v>
      </c>
      <c r="D21268" s="26">
        <v>4.0599999999999997E-2</v>
      </c>
      <c r="E21268" s="26">
        <v>2.6599999999999999E-2</v>
      </c>
      <c r="F21268" s="26">
        <v>1.4E-3</v>
      </c>
      <c r="G21268" s="26">
        <v>1.2999999999999999E-3</v>
      </c>
      <c r="I21268" s="26">
        <v>8.9999999999999993E-3</v>
      </c>
      <c r="J21268" s="26">
        <v>1.8E-3</v>
      </c>
      <c r="K21268" s="26">
        <v>4.8999999999999998E-3</v>
      </c>
      <c r="M21268" s="26">
        <v>1.4E-3</v>
      </c>
      <c r="N21268" s="26">
        <v>1.8E-3</v>
      </c>
      <c r="P21268" s="26">
        <v>8.9999999999999993E-3</v>
      </c>
      <c r="R21268" s="26">
        <v>4.0000000000000002E-4</v>
      </c>
      <c r="T21268">
        <v>388</v>
      </c>
    </row>
    <row r="21269" spans="1:20" x14ac:dyDescent="0.35">
      <c r="A21269" t="s">
        <v>231</v>
      </c>
      <c r="B21269" t="s">
        <v>249</v>
      </c>
      <c r="C21269" s="26">
        <v>0.85709999999999997</v>
      </c>
      <c r="D21269" s="26">
        <v>8.5699999999999998E-2</v>
      </c>
      <c r="E21269" s="26">
        <v>2.86E-2</v>
      </c>
      <c r="F21269" s="26">
        <v>2.86E-2</v>
      </c>
      <c r="T21269">
        <v>35</v>
      </c>
    </row>
    <row r="21270" spans="1:20" x14ac:dyDescent="0.35">
      <c r="A21270" t="s">
        <v>231</v>
      </c>
      <c r="B21270" t="s">
        <v>248</v>
      </c>
      <c r="C21270" s="26">
        <v>0.74419999999999997</v>
      </c>
      <c r="D21270" s="26">
        <v>0.13950000000000001</v>
      </c>
      <c r="E21270" s="26">
        <v>6.2E-2</v>
      </c>
      <c r="F21270" s="26">
        <v>3.1E-2</v>
      </c>
      <c r="G21270" s="26">
        <v>1.55E-2</v>
      </c>
      <c r="H21270" s="26">
        <v>7.7999999999999996E-3</v>
      </c>
      <c r="T21270">
        <v>129</v>
      </c>
    </row>
    <row r="21271" spans="1:20" x14ac:dyDescent="0.35">
      <c r="A21271" t="s">
        <v>232</v>
      </c>
      <c r="B21271" t="s">
        <v>232</v>
      </c>
      <c r="C21271" s="26">
        <v>0.83660000000000001</v>
      </c>
      <c r="D21271" s="26">
        <v>7.6300000000000007E-2</v>
      </c>
      <c r="E21271" s="26">
        <v>4.5499999999999999E-2</v>
      </c>
      <c r="F21271" s="26">
        <v>1.8200000000000001E-2</v>
      </c>
      <c r="G21271" s="26">
        <v>8.3000000000000001E-3</v>
      </c>
      <c r="H21271" s="26">
        <v>2.5000000000000001E-3</v>
      </c>
      <c r="I21271" s="26">
        <v>2.5000000000000001E-3</v>
      </c>
      <c r="J21271" s="26">
        <v>2.3999999999999998E-3</v>
      </c>
      <c r="K21271" s="26">
        <v>1.9E-3</v>
      </c>
      <c r="L21271" s="26">
        <v>1.4E-3</v>
      </c>
      <c r="M21271" s="26">
        <v>1E-3</v>
      </c>
      <c r="N21271" s="26">
        <v>8.9999999999999998E-4</v>
      </c>
      <c r="O21271" s="26">
        <v>8.9999999999999998E-4</v>
      </c>
      <c r="P21271" s="26">
        <v>8.0000000000000004E-4</v>
      </c>
      <c r="Q21271" s="26">
        <v>4.0000000000000002E-4</v>
      </c>
      <c r="R21271" s="26">
        <v>2.0000000000000001E-4</v>
      </c>
      <c r="S21271" s="26">
        <v>1E-4</v>
      </c>
      <c r="T21271">
        <v>2812</v>
      </c>
    </row>
    <row r="21273" spans="1:20" x14ac:dyDescent="0.35">
      <c r="A21273" s="1" t="s">
        <v>2077</v>
      </c>
    </row>
    <row r="21274" spans="1:20" x14ac:dyDescent="0.35">
      <c r="A21274" t="s">
        <v>219</v>
      </c>
      <c r="B21274" t="s">
        <v>305</v>
      </c>
      <c r="C21274" t="s">
        <v>2068</v>
      </c>
      <c r="D21274" t="s">
        <v>1991</v>
      </c>
      <c r="E21274" t="s">
        <v>1992</v>
      </c>
      <c r="F21274" t="s">
        <v>1995</v>
      </c>
      <c r="G21274" t="s">
        <v>1994</v>
      </c>
      <c r="H21274" t="s">
        <v>1998</v>
      </c>
      <c r="I21274" t="s">
        <v>1993</v>
      </c>
      <c r="J21274" t="s">
        <v>1989</v>
      </c>
      <c r="K21274" t="s">
        <v>1997</v>
      </c>
      <c r="L21274" t="s">
        <v>1999</v>
      </c>
      <c r="M21274" t="s">
        <v>2001</v>
      </c>
      <c r="N21274" t="s">
        <v>1996</v>
      </c>
      <c r="O21274" t="s">
        <v>2000</v>
      </c>
      <c r="P21274" t="s">
        <v>1990</v>
      </c>
      <c r="Q21274" t="s">
        <v>286</v>
      </c>
      <c r="R21274" t="s">
        <v>281</v>
      </c>
      <c r="S21274" t="s">
        <v>2069</v>
      </c>
      <c r="T21274" t="s">
        <v>226</v>
      </c>
    </row>
    <row r="21275" spans="1:20" x14ac:dyDescent="0.35">
      <c r="A21275" s="27" t="s">
        <v>227</v>
      </c>
      <c r="B21275" s="27" t="s">
        <v>263</v>
      </c>
      <c r="C21275" s="28">
        <v>1</v>
      </c>
      <c r="D21275" s="29"/>
      <c r="E21275" s="29"/>
      <c r="F21275" s="29"/>
      <c r="G21275" s="29"/>
      <c r="H21275" s="29"/>
      <c r="I21275" s="29"/>
      <c r="J21275" s="29"/>
      <c r="K21275" s="29"/>
      <c r="L21275" s="29"/>
      <c r="M21275" s="29"/>
      <c r="N21275" s="29"/>
      <c r="O21275" s="29"/>
      <c r="P21275" s="29"/>
      <c r="Q21275" s="29"/>
      <c r="R21275" s="29"/>
      <c r="S21275" s="29"/>
      <c r="T21275" s="29" t="s">
        <v>315</v>
      </c>
    </row>
    <row r="21276" spans="1:20" x14ac:dyDescent="0.35">
      <c r="A21276" t="s">
        <v>227</v>
      </c>
      <c r="B21276" t="s">
        <v>261</v>
      </c>
      <c r="C21276" s="26">
        <v>0.78790000000000004</v>
      </c>
      <c r="D21276" s="26">
        <v>6.0600000000000001E-2</v>
      </c>
      <c r="E21276" s="26">
        <v>9.0899999999999995E-2</v>
      </c>
      <c r="F21276" s="26">
        <v>3.0300000000000001E-2</v>
      </c>
      <c r="G21276" s="26">
        <v>3.0300000000000001E-2</v>
      </c>
      <c r="T21276">
        <v>33</v>
      </c>
    </row>
    <row r="21277" spans="1:20" x14ac:dyDescent="0.35">
      <c r="A21277" s="27" t="s">
        <v>227</v>
      </c>
      <c r="B21277" s="27" t="s">
        <v>262</v>
      </c>
      <c r="C21277" s="28">
        <v>1</v>
      </c>
      <c r="D21277" s="29"/>
      <c r="E21277" s="29"/>
      <c r="F21277" s="29"/>
      <c r="G21277" s="29"/>
      <c r="H21277" s="29"/>
      <c r="I21277" s="29"/>
      <c r="J21277" s="29"/>
      <c r="K21277" s="29"/>
      <c r="L21277" s="29"/>
      <c r="M21277" s="29"/>
      <c r="N21277" s="29"/>
      <c r="O21277" s="29"/>
      <c r="P21277" s="29"/>
      <c r="Q21277" s="29"/>
      <c r="R21277" s="29"/>
      <c r="S21277" s="29"/>
      <c r="T21277" s="29" t="s">
        <v>315</v>
      </c>
    </row>
    <row r="21278" spans="1:20" x14ac:dyDescent="0.35">
      <c r="A21278" t="s">
        <v>227</v>
      </c>
      <c r="B21278" t="s">
        <v>260</v>
      </c>
      <c r="C21278" s="26">
        <v>0.79510000000000003</v>
      </c>
      <c r="D21278" s="26">
        <v>0.1148</v>
      </c>
      <c r="E21278" s="26">
        <v>5.74E-2</v>
      </c>
      <c r="F21278" s="26">
        <v>1.6400000000000001E-2</v>
      </c>
      <c r="G21278" s="26">
        <v>8.2000000000000007E-3</v>
      </c>
      <c r="I21278" s="26">
        <v>8.2000000000000007E-3</v>
      </c>
      <c r="T21278">
        <v>122</v>
      </c>
    </row>
    <row r="21279" spans="1:20" x14ac:dyDescent="0.35">
      <c r="A21279" t="s">
        <v>228</v>
      </c>
      <c r="B21279" t="s">
        <v>261</v>
      </c>
      <c r="C21279" s="26">
        <v>0.88429999999999997</v>
      </c>
      <c r="D21279" s="26">
        <v>3.2300000000000002E-2</v>
      </c>
      <c r="E21279" s="26">
        <v>4.0300000000000002E-2</v>
      </c>
      <c r="F21279" s="26">
        <v>9.5999999999999992E-3</v>
      </c>
      <c r="G21279" s="26">
        <v>4.8999999999999998E-3</v>
      </c>
      <c r="I21279" s="26">
        <v>1.03E-2</v>
      </c>
      <c r="K21279" s="26">
        <v>4.8999999999999998E-3</v>
      </c>
      <c r="N21279" s="26">
        <v>7.1000000000000004E-3</v>
      </c>
      <c r="O21279" s="26">
        <v>2.0999999999999999E-3</v>
      </c>
      <c r="P21279" s="26">
        <v>4.1000000000000003E-3</v>
      </c>
      <c r="T21279">
        <v>192</v>
      </c>
    </row>
    <row r="21280" spans="1:20" x14ac:dyDescent="0.35">
      <c r="A21280" s="27" t="s">
        <v>228</v>
      </c>
      <c r="B21280" s="27" t="s">
        <v>263</v>
      </c>
      <c r="C21280" s="28">
        <v>0.81440000000000001</v>
      </c>
      <c r="D21280" s="28">
        <v>1.9199999999999998E-2</v>
      </c>
      <c r="E21280" s="29"/>
      <c r="F21280" s="29"/>
      <c r="G21280" s="28">
        <v>2.5899999999999999E-2</v>
      </c>
      <c r="H21280" s="29"/>
      <c r="I21280" s="29"/>
      <c r="J21280" s="29"/>
      <c r="K21280" s="28">
        <v>4.8500000000000001E-2</v>
      </c>
      <c r="L21280" s="29"/>
      <c r="M21280" s="29"/>
      <c r="N21280" s="28">
        <v>6.25E-2</v>
      </c>
      <c r="O21280" s="29"/>
      <c r="P21280" s="29"/>
      <c r="Q21280" s="29"/>
      <c r="R21280" s="28">
        <v>2.93E-2</v>
      </c>
      <c r="S21280" s="29"/>
      <c r="T21280" s="29" t="s">
        <v>312</v>
      </c>
    </row>
    <row r="21281" spans="1:20" x14ac:dyDescent="0.35">
      <c r="A21281" s="27" t="s">
        <v>228</v>
      </c>
      <c r="B21281" s="27" t="s">
        <v>236</v>
      </c>
      <c r="C21281" s="28">
        <v>0.46600000000000003</v>
      </c>
      <c r="D21281" s="29"/>
      <c r="E21281" s="29"/>
      <c r="F21281" s="29"/>
      <c r="G21281" s="29"/>
      <c r="H21281" s="29"/>
      <c r="I21281" s="29"/>
      <c r="J21281" s="28">
        <v>0.53400000000000003</v>
      </c>
      <c r="K21281" s="29"/>
      <c r="L21281" s="29"/>
      <c r="M21281" s="29"/>
      <c r="N21281" s="29"/>
      <c r="O21281" s="29"/>
      <c r="P21281" s="29"/>
      <c r="Q21281" s="29"/>
      <c r="R21281" s="29"/>
      <c r="S21281" s="29"/>
      <c r="T21281" s="29" t="s">
        <v>335</v>
      </c>
    </row>
    <row r="21282" spans="1:20" x14ac:dyDescent="0.35">
      <c r="A21282" t="s">
        <v>228</v>
      </c>
      <c r="B21282" t="s">
        <v>262</v>
      </c>
      <c r="C21282" s="26">
        <v>0.95209999999999995</v>
      </c>
      <c r="D21282" s="26">
        <v>1.2800000000000001E-2</v>
      </c>
      <c r="E21282" s="26">
        <v>1.6799999999999999E-2</v>
      </c>
      <c r="F21282" s="26">
        <v>2.8999999999999998E-3</v>
      </c>
      <c r="G21282" s="26">
        <v>5.4000000000000003E-3</v>
      </c>
      <c r="I21282" s="26">
        <v>5.0000000000000001E-3</v>
      </c>
      <c r="K21282" s="26">
        <v>2.5000000000000001E-3</v>
      </c>
      <c r="Q21282" s="26">
        <v>2.5000000000000001E-3</v>
      </c>
      <c r="T21282">
        <v>201</v>
      </c>
    </row>
    <row r="21283" spans="1:20" x14ac:dyDescent="0.35">
      <c r="A21283" t="s">
        <v>228</v>
      </c>
      <c r="B21283" t="s">
        <v>260</v>
      </c>
      <c r="C21283" s="26">
        <v>0.90559999999999996</v>
      </c>
      <c r="D21283" s="26">
        <v>3.0099999999999998E-2</v>
      </c>
      <c r="E21283" s="26">
        <v>2.8799999999999999E-2</v>
      </c>
      <c r="F21283" s="26">
        <v>4.5999999999999999E-3</v>
      </c>
      <c r="G21283" s="26">
        <v>5.7999999999999996E-3</v>
      </c>
      <c r="H21283" s="26">
        <v>8.9999999999999998E-4</v>
      </c>
      <c r="I21283" s="26">
        <v>2E-3</v>
      </c>
      <c r="J21283" s="26">
        <v>1.14E-2</v>
      </c>
      <c r="K21283" s="26">
        <v>3.3E-3</v>
      </c>
      <c r="L21283" s="26">
        <v>5.4000000000000003E-3</v>
      </c>
      <c r="N21283" s="26">
        <v>8.0000000000000004E-4</v>
      </c>
      <c r="O21283" s="26">
        <v>4.0000000000000002E-4</v>
      </c>
      <c r="P21283" s="26">
        <v>4.0000000000000002E-4</v>
      </c>
      <c r="R21283" s="26">
        <v>5.9999999999999995E-4</v>
      </c>
      <c r="T21283">
        <v>609</v>
      </c>
    </row>
    <row r="21284" spans="1:20" x14ac:dyDescent="0.35">
      <c r="A21284" s="27" t="s">
        <v>229</v>
      </c>
      <c r="B21284" s="27" t="s">
        <v>263</v>
      </c>
      <c r="C21284" s="28">
        <v>0.8528</v>
      </c>
      <c r="D21284" s="29"/>
      <c r="E21284" s="28">
        <v>1.7100000000000001E-2</v>
      </c>
      <c r="F21284" s="28">
        <v>0.13009999999999999</v>
      </c>
      <c r="G21284" s="29"/>
      <c r="H21284" s="29"/>
      <c r="I21284" s="29"/>
      <c r="J21284" s="29"/>
      <c r="K21284" s="29"/>
      <c r="L21284" s="29"/>
      <c r="M21284" s="29"/>
      <c r="N21284" s="29"/>
      <c r="O21284" s="29"/>
      <c r="P21284" s="29"/>
      <c r="Q21284" s="29"/>
      <c r="R21284" s="29"/>
      <c r="S21284" s="29"/>
      <c r="T21284" s="29" t="s">
        <v>379</v>
      </c>
    </row>
    <row r="21285" spans="1:20" x14ac:dyDescent="0.35">
      <c r="A21285" t="s">
        <v>229</v>
      </c>
      <c r="B21285" t="s">
        <v>262</v>
      </c>
      <c r="C21285" s="26">
        <v>0.93520000000000003</v>
      </c>
      <c r="D21285" s="26">
        <v>3.5999999999999999E-3</v>
      </c>
      <c r="E21285" s="26">
        <v>5.2900000000000003E-2</v>
      </c>
      <c r="F21285" s="26">
        <v>3.3E-3</v>
      </c>
      <c r="G21285" s="26">
        <v>2.7000000000000001E-3</v>
      </c>
      <c r="O21285" s="26">
        <v>1.1999999999999999E-3</v>
      </c>
      <c r="Q21285" s="26">
        <v>1.1999999999999999E-3</v>
      </c>
      <c r="T21285">
        <v>188</v>
      </c>
    </row>
    <row r="21286" spans="1:20" x14ac:dyDescent="0.35">
      <c r="A21286" t="s">
        <v>229</v>
      </c>
      <c r="B21286" t="s">
        <v>261</v>
      </c>
      <c r="C21286" s="26">
        <v>0.85160000000000002</v>
      </c>
      <c r="D21286" s="26">
        <v>8.4400000000000003E-2</v>
      </c>
      <c r="E21286" s="26">
        <v>2.2499999999999999E-2</v>
      </c>
      <c r="F21286" s="26">
        <v>1.9099999999999999E-2</v>
      </c>
      <c r="G21286" s="26">
        <v>1.9099999999999999E-2</v>
      </c>
      <c r="M21286" s="26">
        <v>2.2000000000000001E-3</v>
      </c>
      <c r="N21286" s="26">
        <v>1.1000000000000001E-3</v>
      </c>
      <c r="T21286">
        <v>96</v>
      </c>
    </row>
    <row r="21287" spans="1:20" x14ac:dyDescent="0.35">
      <c r="A21287" s="27" t="s">
        <v>229</v>
      </c>
      <c r="B21287" s="27" t="s">
        <v>236</v>
      </c>
      <c r="C21287" s="28">
        <v>1</v>
      </c>
      <c r="D21287" s="29"/>
      <c r="E21287" s="29"/>
      <c r="F21287" s="29"/>
      <c r="G21287" s="29"/>
      <c r="H21287" s="29"/>
      <c r="I21287" s="29"/>
      <c r="J21287" s="29"/>
      <c r="K21287" s="29"/>
      <c r="L21287" s="29"/>
      <c r="M21287" s="29"/>
      <c r="N21287" s="29"/>
      <c r="O21287" s="29"/>
      <c r="P21287" s="29"/>
      <c r="Q21287" s="29"/>
      <c r="R21287" s="29"/>
      <c r="S21287" s="29"/>
      <c r="T21287" s="29" t="s">
        <v>331</v>
      </c>
    </row>
    <row r="21288" spans="1:20" x14ac:dyDescent="0.35">
      <c r="A21288" t="s">
        <v>229</v>
      </c>
      <c r="B21288" t="s">
        <v>260</v>
      </c>
      <c r="C21288" s="26">
        <v>0.81910000000000005</v>
      </c>
      <c r="D21288" s="26">
        <v>8.5599999999999996E-2</v>
      </c>
      <c r="E21288" s="26">
        <v>4.8399999999999999E-2</v>
      </c>
      <c r="F21288" s="26">
        <v>1.9599999999999999E-2</v>
      </c>
      <c r="G21288" s="26">
        <v>1.6999999999999999E-3</v>
      </c>
      <c r="H21288" s="26">
        <v>4.4999999999999997E-3</v>
      </c>
      <c r="I21288" s="26">
        <v>2.9999999999999997E-4</v>
      </c>
      <c r="J21288" s="26">
        <v>1.8E-3</v>
      </c>
      <c r="K21288" s="26">
        <v>2.7000000000000001E-3</v>
      </c>
      <c r="L21288" s="26">
        <v>4.4999999999999997E-3</v>
      </c>
      <c r="M21288" s="26">
        <v>5.4000000000000003E-3</v>
      </c>
      <c r="N21288" s="26">
        <v>5.0000000000000001E-4</v>
      </c>
      <c r="O21288" s="26">
        <v>4.4999999999999997E-3</v>
      </c>
      <c r="Q21288" s="26">
        <v>1.1999999999999999E-3</v>
      </c>
      <c r="T21288">
        <v>596</v>
      </c>
    </row>
    <row r="21289" spans="1:20" x14ac:dyDescent="0.35">
      <c r="A21289" s="27" t="s">
        <v>230</v>
      </c>
      <c r="B21289" s="27" t="s">
        <v>236</v>
      </c>
      <c r="C21289" s="28">
        <v>0.84430000000000005</v>
      </c>
      <c r="D21289" s="28">
        <v>0.11899999999999999</v>
      </c>
      <c r="E21289" s="29"/>
      <c r="F21289" s="29"/>
      <c r="G21289" s="29"/>
      <c r="H21289" s="29"/>
      <c r="I21289" s="29"/>
      <c r="J21289" s="29"/>
      <c r="K21289" s="29"/>
      <c r="L21289" s="29"/>
      <c r="M21289" s="29"/>
      <c r="N21289" s="29"/>
      <c r="O21289" s="29"/>
      <c r="P21289" s="28">
        <v>3.6600000000000001E-2</v>
      </c>
      <c r="Q21289" s="29"/>
      <c r="R21289" s="29"/>
      <c r="S21289" s="29"/>
      <c r="T21289" s="29" t="s">
        <v>337</v>
      </c>
    </row>
    <row r="21290" spans="1:20" x14ac:dyDescent="0.35">
      <c r="A21290" t="s">
        <v>230</v>
      </c>
      <c r="B21290" t="s">
        <v>262</v>
      </c>
      <c r="C21290" s="26">
        <v>0.94930000000000003</v>
      </c>
      <c r="D21290" s="26">
        <v>2.3599999999999999E-2</v>
      </c>
      <c r="E21290" s="26">
        <v>9.4999999999999998E-3</v>
      </c>
      <c r="K21290" s="26">
        <v>7.9000000000000008E-3</v>
      </c>
      <c r="N21290" s="26">
        <v>7.9000000000000008E-3</v>
      </c>
      <c r="P21290" s="26">
        <v>1.8E-3</v>
      </c>
      <c r="T21290">
        <v>122</v>
      </c>
    </row>
    <row r="21291" spans="1:20" x14ac:dyDescent="0.35">
      <c r="A21291" t="s">
        <v>230</v>
      </c>
      <c r="B21291" t="s">
        <v>261</v>
      </c>
      <c r="C21291" s="26">
        <v>0.97099999999999997</v>
      </c>
      <c r="E21291" s="26">
        <v>1.55E-2</v>
      </c>
      <c r="K21291" s="26">
        <v>6.7999999999999996E-3</v>
      </c>
      <c r="L21291" s="26">
        <v>6.7000000000000002E-3</v>
      </c>
      <c r="T21291">
        <v>57</v>
      </c>
    </row>
    <row r="21292" spans="1:20" x14ac:dyDescent="0.35">
      <c r="A21292" s="27" t="s">
        <v>230</v>
      </c>
      <c r="B21292" s="27" t="s">
        <v>263</v>
      </c>
      <c r="C21292" s="28">
        <v>0.87309999999999999</v>
      </c>
      <c r="D21292" s="28">
        <v>5.57E-2</v>
      </c>
      <c r="E21292" s="29"/>
      <c r="F21292" s="29"/>
      <c r="G21292" s="29"/>
      <c r="H21292" s="29"/>
      <c r="I21292" s="28">
        <v>5.4399999999999997E-2</v>
      </c>
      <c r="J21292" s="28">
        <v>1.6799999999999999E-2</v>
      </c>
      <c r="K21292" s="29"/>
      <c r="L21292" s="29"/>
      <c r="M21292" s="29"/>
      <c r="N21292" s="29"/>
      <c r="O21292" s="29"/>
      <c r="P21292" s="29"/>
      <c r="Q21292" s="29"/>
      <c r="R21292" s="29"/>
      <c r="S21292" s="29"/>
      <c r="T21292" s="29" t="s">
        <v>312</v>
      </c>
    </row>
    <row r="21293" spans="1:20" x14ac:dyDescent="0.35">
      <c r="A21293" t="s">
        <v>230</v>
      </c>
      <c r="B21293" t="s">
        <v>260</v>
      </c>
      <c r="C21293" s="26">
        <v>0.86099999999999999</v>
      </c>
      <c r="D21293" s="26">
        <v>4.6199999999999998E-2</v>
      </c>
      <c r="E21293" s="26">
        <v>3.5400000000000001E-2</v>
      </c>
      <c r="F21293" s="26">
        <v>1.8100000000000002E-2</v>
      </c>
      <c r="G21293" s="26">
        <v>9.1000000000000004E-3</v>
      </c>
      <c r="I21293" s="26">
        <v>1.03E-2</v>
      </c>
      <c r="J21293" s="26">
        <v>1.2999999999999999E-3</v>
      </c>
      <c r="K21293" s="26">
        <v>6.4000000000000003E-3</v>
      </c>
      <c r="M21293" s="26">
        <v>1.2999999999999999E-3</v>
      </c>
      <c r="N21293" s="26">
        <v>1.2999999999999999E-3</v>
      </c>
      <c r="P21293" s="26">
        <v>7.7999999999999996E-3</v>
      </c>
      <c r="R21293" s="26">
        <v>4.0000000000000002E-4</v>
      </c>
      <c r="S21293" s="26">
        <v>1.2999999999999999E-3</v>
      </c>
      <c r="T21293">
        <v>351</v>
      </c>
    </row>
    <row r="21294" spans="1:20" x14ac:dyDescent="0.35">
      <c r="A21294" s="27" t="s">
        <v>231</v>
      </c>
      <c r="B21294" s="27" t="s">
        <v>263</v>
      </c>
      <c r="C21294" s="28">
        <v>1</v>
      </c>
      <c r="D21294" s="29"/>
      <c r="E21294" s="29"/>
      <c r="F21294" s="29"/>
      <c r="G21294" s="29"/>
      <c r="H21294" s="29"/>
      <c r="I21294" s="29"/>
      <c r="J21294" s="29"/>
      <c r="K21294" s="29"/>
      <c r="L21294" s="29"/>
      <c r="M21294" s="29"/>
      <c r="N21294" s="29"/>
      <c r="O21294" s="29"/>
      <c r="P21294" s="29"/>
      <c r="Q21294" s="29"/>
      <c r="R21294" s="29"/>
      <c r="S21294" s="29"/>
      <c r="T21294" s="29" t="s">
        <v>314</v>
      </c>
    </row>
    <row r="21295" spans="1:20" x14ac:dyDescent="0.35">
      <c r="A21295" t="s">
        <v>231</v>
      </c>
      <c r="B21295" t="s">
        <v>260</v>
      </c>
      <c r="C21295" s="26">
        <v>0.7258</v>
      </c>
      <c r="D21295" s="26">
        <v>0.1532</v>
      </c>
      <c r="E21295" s="26">
        <v>6.4500000000000002E-2</v>
      </c>
      <c r="F21295" s="26">
        <v>4.0300000000000002E-2</v>
      </c>
      <c r="G21295" s="26">
        <v>8.0999999999999996E-3</v>
      </c>
      <c r="H21295" s="26">
        <v>8.0999999999999996E-3</v>
      </c>
      <c r="T21295">
        <v>124</v>
      </c>
    </row>
    <row r="21296" spans="1:20" x14ac:dyDescent="0.35">
      <c r="A21296" s="27" t="s">
        <v>231</v>
      </c>
      <c r="B21296" s="27" t="s">
        <v>261</v>
      </c>
      <c r="C21296" s="28">
        <v>0.92589999999999995</v>
      </c>
      <c r="D21296" s="29"/>
      <c r="E21296" s="28">
        <v>3.6999999999999998E-2</v>
      </c>
      <c r="F21296" s="29"/>
      <c r="G21296" s="28">
        <v>3.6999999999999998E-2</v>
      </c>
      <c r="H21296" s="29"/>
      <c r="I21296" s="29"/>
      <c r="J21296" s="29"/>
      <c r="K21296" s="29"/>
      <c r="L21296" s="29"/>
      <c r="M21296" s="29"/>
      <c r="N21296" s="29"/>
      <c r="O21296" s="29"/>
      <c r="P21296" s="29"/>
      <c r="Q21296" s="29"/>
      <c r="R21296" s="29"/>
      <c r="S21296" s="29"/>
      <c r="T21296" s="29" t="s">
        <v>338</v>
      </c>
    </row>
    <row r="21297" spans="1:20" x14ac:dyDescent="0.35">
      <c r="A21297" s="27" t="s">
        <v>231</v>
      </c>
      <c r="B21297" s="27" t="s">
        <v>262</v>
      </c>
      <c r="C21297" s="28">
        <v>0.81820000000000004</v>
      </c>
      <c r="D21297" s="28">
        <v>0.18179999999999999</v>
      </c>
      <c r="E21297" s="29"/>
      <c r="F21297" s="29"/>
      <c r="G21297" s="29"/>
      <c r="H21297" s="29"/>
      <c r="I21297" s="29"/>
      <c r="J21297" s="29"/>
      <c r="K21297" s="29"/>
      <c r="L21297" s="29"/>
      <c r="M21297" s="29"/>
      <c r="N21297" s="29"/>
      <c r="O21297" s="29"/>
      <c r="P21297" s="29"/>
      <c r="Q21297" s="29"/>
      <c r="R21297" s="29"/>
      <c r="S21297" s="29"/>
      <c r="T21297" s="29" t="s">
        <v>352</v>
      </c>
    </row>
    <row r="21298" spans="1:20" x14ac:dyDescent="0.35">
      <c r="A21298" t="s">
        <v>232</v>
      </c>
      <c r="B21298" t="s">
        <v>232</v>
      </c>
      <c r="C21298" s="26">
        <v>0.83660000000000001</v>
      </c>
      <c r="D21298" s="26">
        <v>7.6300000000000007E-2</v>
      </c>
      <c r="E21298" s="26">
        <v>4.5499999999999999E-2</v>
      </c>
      <c r="F21298" s="26">
        <v>1.8200000000000001E-2</v>
      </c>
      <c r="G21298" s="26">
        <v>8.3000000000000001E-3</v>
      </c>
      <c r="H21298" s="26">
        <v>2.5000000000000001E-3</v>
      </c>
      <c r="I21298" s="26">
        <v>2.5000000000000001E-3</v>
      </c>
      <c r="J21298" s="26">
        <v>2.3999999999999998E-3</v>
      </c>
      <c r="K21298" s="26">
        <v>1.9E-3</v>
      </c>
      <c r="L21298" s="26">
        <v>1.4E-3</v>
      </c>
      <c r="M21298" s="26">
        <v>1E-3</v>
      </c>
      <c r="N21298" s="26">
        <v>8.9999999999999998E-4</v>
      </c>
      <c r="O21298" s="26">
        <v>8.9999999999999998E-4</v>
      </c>
      <c r="P21298" s="26">
        <v>8.0000000000000004E-4</v>
      </c>
      <c r="Q21298" s="26">
        <v>4.0000000000000002E-4</v>
      </c>
      <c r="R21298" s="26">
        <v>2.0000000000000001E-4</v>
      </c>
      <c r="S21298" s="26">
        <v>1E-4</v>
      </c>
      <c r="T21298">
        <v>2812</v>
      </c>
    </row>
    <row r="21300" spans="1:20" x14ac:dyDescent="0.35">
      <c r="A21300" s="1" t="s">
        <v>2078</v>
      </c>
    </row>
    <row r="21301" spans="1:20" x14ac:dyDescent="0.35">
      <c r="A21301" t="s">
        <v>219</v>
      </c>
      <c r="B21301" t="s">
        <v>305</v>
      </c>
      <c r="C21301" t="s">
        <v>2068</v>
      </c>
      <c r="D21301" t="s">
        <v>1991</v>
      </c>
      <c r="E21301" t="s">
        <v>1992</v>
      </c>
      <c r="F21301" t="s">
        <v>1995</v>
      </c>
      <c r="G21301" t="s">
        <v>1994</v>
      </c>
      <c r="H21301" t="s">
        <v>1998</v>
      </c>
      <c r="I21301" t="s">
        <v>1993</v>
      </c>
      <c r="J21301" t="s">
        <v>1989</v>
      </c>
      <c r="K21301" t="s">
        <v>1997</v>
      </c>
      <c r="L21301" t="s">
        <v>1999</v>
      </c>
      <c r="M21301" t="s">
        <v>2001</v>
      </c>
      <c r="N21301" t="s">
        <v>1996</v>
      </c>
      <c r="O21301" t="s">
        <v>2000</v>
      </c>
      <c r="P21301" t="s">
        <v>1990</v>
      </c>
      <c r="Q21301" t="s">
        <v>286</v>
      </c>
      <c r="R21301" t="s">
        <v>281</v>
      </c>
      <c r="S21301" t="s">
        <v>2069</v>
      </c>
      <c r="T21301" t="s">
        <v>226</v>
      </c>
    </row>
    <row r="21302" spans="1:20" x14ac:dyDescent="0.35">
      <c r="A21302" t="s">
        <v>227</v>
      </c>
      <c r="B21302" t="s">
        <v>368</v>
      </c>
      <c r="C21302" s="26">
        <v>0.78790000000000004</v>
      </c>
      <c r="D21302" s="26">
        <v>6.0600000000000001E-2</v>
      </c>
      <c r="E21302" s="26">
        <v>9.0899999999999995E-2</v>
      </c>
      <c r="F21302" s="26">
        <v>3.0300000000000001E-2</v>
      </c>
      <c r="G21302" s="26">
        <v>3.0300000000000001E-2</v>
      </c>
      <c r="T21302">
        <v>33</v>
      </c>
    </row>
    <row r="21303" spans="1:20" x14ac:dyDescent="0.35">
      <c r="A21303" t="s">
        <v>227</v>
      </c>
      <c r="B21303" t="s">
        <v>369</v>
      </c>
      <c r="C21303" s="26">
        <v>0.80469999999999997</v>
      </c>
      <c r="D21303" s="26">
        <v>0.1094</v>
      </c>
      <c r="E21303" s="26">
        <v>5.4699999999999999E-2</v>
      </c>
      <c r="F21303" s="26">
        <v>1.5599999999999999E-2</v>
      </c>
      <c r="G21303" s="26">
        <v>7.7999999999999996E-3</v>
      </c>
      <c r="I21303" s="26">
        <v>7.7999999999999996E-3</v>
      </c>
      <c r="T21303">
        <v>128</v>
      </c>
    </row>
    <row r="21304" spans="1:20" x14ac:dyDescent="0.35">
      <c r="A21304" t="s">
        <v>228</v>
      </c>
      <c r="B21304" t="s">
        <v>368</v>
      </c>
      <c r="C21304" s="26">
        <v>0.88429999999999997</v>
      </c>
      <c r="D21304" s="26">
        <v>3.2300000000000002E-2</v>
      </c>
      <c r="E21304" s="26">
        <v>4.0300000000000002E-2</v>
      </c>
      <c r="F21304" s="26">
        <v>9.5999999999999992E-3</v>
      </c>
      <c r="G21304" s="26">
        <v>4.8999999999999998E-3</v>
      </c>
      <c r="I21304" s="26">
        <v>1.03E-2</v>
      </c>
      <c r="K21304" s="26">
        <v>4.8999999999999998E-3</v>
      </c>
      <c r="N21304" s="26">
        <v>7.1000000000000004E-3</v>
      </c>
      <c r="O21304" s="26">
        <v>2.0999999999999999E-3</v>
      </c>
      <c r="P21304" s="26">
        <v>4.1000000000000003E-3</v>
      </c>
      <c r="T21304">
        <v>192</v>
      </c>
    </row>
    <row r="21305" spans="1:20" x14ac:dyDescent="0.35">
      <c r="A21305" t="s">
        <v>228</v>
      </c>
      <c r="B21305" t="s">
        <v>369</v>
      </c>
      <c r="C21305" s="26">
        <v>0.90969999999999995</v>
      </c>
      <c r="D21305" s="26">
        <v>2.5999999999999999E-2</v>
      </c>
      <c r="E21305" s="26">
        <v>2.5499999999999998E-2</v>
      </c>
      <c r="F21305" s="26">
        <v>4.1000000000000003E-3</v>
      </c>
      <c r="G21305" s="26">
        <v>6.1999999999999998E-3</v>
      </c>
      <c r="H21305" s="26">
        <v>6.9999999999999999E-4</v>
      </c>
      <c r="I21305" s="26">
        <v>2.5999999999999999E-3</v>
      </c>
      <c r="J21305" s="26">
        <v>1.2800000000000001E-2</v>
      </c>
      <c r="K21305" s="26">
        <v>4.1000000000000003E-3</v>
      </c>
      <c r="L21305" s="26">
        <v>4.1000000000000003E-3</v>
      </c>
      <c r="N21305" s="26">
        <v>2.0999999999999999E-3</v>
      </c>
      <c r="O21305" s="26">
        <v>2.9999999999999997E-4</v>
      </c>
      <c r="P21305" s="26">
        <v>2.9999999999999997E-4</v>
      </c>
      <c r="Q21305" s="26">
        <v>5.0000000000000001E-4</v>
      </c>
      <c r="R21305" s="26">
        <v>1.1000000000000001E-3</v>
      </c>
      <c r="T21305">
        <v>841</v>
      </c>
    </row>
    <row r="21306" spans="1:20" x14ac:dyDescent="0.35">
      <c r="A21306" t="s">
        <v>229</v>
      </c>
      <c r="B21306" t="s">
        <v>368</v>
      </c>
      <c r="C21306" s="26">
        <v>0.85160000000000002</v>
      </c>
      <c r="D21306" s="26">
        <v>8.4400000000000003E-2</v>
      </c>
      <c r="E21306" s="26">
        <v>2.2499999999999999E-2</v>
      </c>
      <c r="F21306" s="26">
        <v>1.9099999999999999E-2</v>
      </c>
      <c r="G21306" s="26">
        <v>1.9099999999999999E-2</v>
      </c>
      <c r="M21306" s="26">
        <v>2.2000000000000001E-3</v>
      </c>
      <c r="N21306" s="26">
        <v>1.1000000000000001E-3</v>
      </c>
      <c r="T21306">
        <v>96</v>
      </c>
    </row>
    <row r="21307" spans="1:20" x14ac:dyDescent="0.35">
      <c r="A21307" t="s">
        <v>229</v>
      </c>
      <c r="B21307" t="s">
        <v>369</v>
      </c>
      <c r="C21307" s="26">
        <v>0.85799999999999998</v>
      </c>
      <c r="D21307" s="26">
        <v>5.67E-2</v>
      </c>
      <c r="E21307" s="26">
        <v>4.9200000000000001E-2</v>
      </c>
      <c r="F21307" s="26">
        <v>1.67E-2</v>
      </c>
      <c r="G21307" s="26">
        <v>2E-3</v>
      </c>
      <c r="H21307" s="26">
        <v>2.8999999999999998E-3</v>
      </c>
      <c r="I21307" s="26">
        <v>2.0000000000000001E-4</v>
      </c>
      <c r="J21307" s="26">
        <v>1.1999999999999999E-3</v>
      </c>
      <c r="K21307" s="26">
        <v>1.8E-3</v>
      </c>
      <c r="L21307" s="26">
        <v>2.8999999999999998E-3</v>
      </c>
      <c r="M21307" s="26">
        <v>3.5000000000000001E-3</v>
      </c>
      <c r="N21307" s="26">
        <v>2.9999999999999997E-4</v>
      </c>
      <c r="O21307" s="26">
        <v>3.3E-3</v>
      </c>
      <c r="Q21307" s="26">
        <v>1.1999999999999999E-3</v>
      </c>
      <c r="T21307">
        <v>799</v>
      </c>
    </row>
    <row r="21308" spans="1:20" x14ac:dyDescent="0.35">
      <c r="A21308" t="s">
        <v>230</v>
      </c>
      <c r="B21308" t="s">
        <v>368</v>
      </c>
      <c r="C21308" s="26">
        <v>0.97099999999999997</v>
      </c>
      <c r="E21308" s="26">
        <v>1.55E-2</v>
      </c>
      <c r="K21308" s="26">
        <v>6.7999999999999996E-3</v>
      </c>
      <c r="L21308" s="26">
        <v>6.7000000000000002E-3</v>
      </c>
      <c r="T21308">
        <v>57</v>
      </c>
    </row>
    <row r="21309" spans="1:20" x14ac:dyDescent="0.35">
      <c r="A21309" t="s">
        <v>230</v>
      </c>
      <c r="B21309" t="s">
        <v>369</v>
      </c>
      <c r="C21309" s="26">
        <v>0.87639999999999996</v>
      </c>
      <c r="D21309" s="26">
        <v>4.3099999999999999E-2</v>
      </c>
      <c r="E21309" s="26">
        <v>0.03</v>
      </c>
      <c r="F21309" s="26">
        <v>1.4500000000000001E-2</v>
      </c>
      <c r="G21309" s="26">
        <v>7.1999999999999998E-3</v>
      </c>
      <c r="I21309" s="26">
        <v>9.2999999999999992E-3</v>
      </c>
      <c r="J21309" s="26">
        <v>1.2999999999999999E-3</v>
      </c>
      <c r="K21309" s="26">
        <v>6.4999999999999997E-3</v>
      </c>
      <c r="M21309" s="26">
        <v>1E-3</v>
      </c>
      <c r="N21309" s="26">
        <v>2.3999999999999998E-3</v>
      </c>
      <c r="P21309" s="26">
        <v>6.7999999999999996E-3</v>
      </c>
      <c r="R21309" s="26">
        <v>2.9999999999999997E-4</v>
      </c>
      <c r="S21309" s="26">
        <v>1E-3</v>
      </c>
      <c r="T21309">
        <v>502</v>
      </c>
    </row>
    <row r="21310" spans="1:20" x14ac:dyDescent="0.35">
      <c r="A21310" s="27" t="s">
        <v>231</v>
      </c>
      <c r="B21310" s="27" t="s">
        <v>368</v>
      </c>
      <c r="C21310" s="28">
        <v>0.92589999999999995</v>
      </c>
      <c r="D21310" s="29"/>
      <c r="E21310" s="28">
        <v>3.6999999999999998E-2</v>
      </c>
      <c r="F21310" s="29"/>
      <c r="G21310" s="28">
        <v>3.6999999999999998E-2</v>
      </c>
      <c r="H21310" s="29"/>
      <c r="I21310" s="29"/>
      <c r="J21310" s="29"/>
      <c r="K21310" s="29"/>
      <c r="L21310" s="29"/>
      <c r="M21310" s="29"/>
      <c r="N21310" s="29"/>
      <c r="O21310" s="29"/>
      <c r="P21310" s="29"/>
      <c r="Q21310" s="29"/>
      <c r="R21310" s="29"/>
      <c r="S21310" s="29"/>
      <c r="T21310" s="29" t="s">
        <v>338</v>
      </c>
    </row>
    <row r="21311" spans="1:20" x14ac:dyDescent="0.35">
      <c r="A21311" t="s">
        <v>231</v>
      </c>
      <c r="B21311" t="s">
        <v>369</v>
      </c>
      <c r="C21311" s="26">
        <v>0.73719999999999997</v>
      </c>
      <c r="D21311" s="26">
        <v>0.15329999999999999</v>
      </c>
      <c r="E21311" s="26">
        <v>5.8400000000000001E-2</v>
      </c>
      <c r="F21311" s="26">
        <v>3.6499999999999998E-2</v>
      </c>
      <c r="G21311" s="26">
        <v>7.3000000000000001E-3</v>
      </c>
      <c r="H21311" s="26">
        <v>7.3000000000000001E-3</v>
      </c>
      <c r="T21311">
        <v>137</v>
      </c>
    </row>
    <row r="21312" spans="1:20" x14ac:dyDescent="0.35">
      <c r="A21312" t="s">
        <v>232</v>
      </c>
      <c r="B21312" t="s">
        <v>232</v>
      </c>
      <c r="C21312" s="26">
        <v>0.83660000000000001</v>
      </c>
      <c r="D21312" s="26">
        <v>7.6300000000000007E-2</v>
      </c>
      <c r="E21312" s="26">
        <v>4.5499999999999999E-2</v>
      </c>
      <c r="F21312" s="26">
        <v>1.8200000000000001E-2</v>
      </c>
      <c r="G21312" s="26">
        <v>8.3000000000000001E-3</v>
      </c>
      <c r="H21312" s="26">
        <v>2.5000000000000001E-3</v>
      </c>
      <c r="I21312" s="26">
        <v>2.5000000000000001E-3</v>
      </c>
      <c r="J21312" s="26">
        <v>2.3999999999999998E-3</v>
      </c>
      <c r="K21312" s="26">
        <v>1.9E-3</v>
      </c>
      <c r="L21312" s="26">
        <v>1.4E-3</v>
      </c>
      <c r="M21312" s="26">
        <v>1E-3</v>
      </c>
      <c r="N21312" s="26">
        <v>8.9999999999999998E-4</v>
      </c>
      <c r="O21312" s="26">
        <v>8.9999999999999998E-4</v>
      </c>
      <c r="P21312" s="26">
        <v>8.0000000000000004E-4</v>
      </c>
      <c r="Q21312" s="26">
        <v>4.0000000000000002E-4</v>
      </c>
      <c r="R21312" s="26">
        <v>2.0000000000000001E-4</v>
      </c>
      <c r="S21312" s="26">
        <v>1E-4</v>
      </c>
      <c r="T21312">
        <v>2812</v>
      </c>
    </row>
    <row r="21314" spans="1:20" x14ac:dyDescent="0.35">
      <c r="A21314" s="1" t="s">
        <v>2079</v>
      </c>
    </row>
    <row r="21315" spans="1:20" x14ac:dyDescent="0.35">
      <c r="A21315" t="s">
        <v>219</v>
      </c>
      <c r="B21315" t="s">
        <v>305</v>
      </c>
      <c r="C21315" t="s">
        <v>2068</v>
      </c>
      <c r="D21315" t="s">
        <v>1991</v>
      </c>
      <c r="E21315" t="s">
        <v>1992</v>
      </c>
      <c r="F21315" t="s">
        <v>1995</v>
      </c>
      <c r="G21315" t="s">
        <v>1994</v>
      </c>
      <c r="H21315" t="s">
        <v>1998</v>
      </c>
      <c r="I21315" t="s">
        <v>1993</v>
      </c>
      <c r="J21315" t="s">
        <v>1989</v>
      </c>
      <c r="K21315" t="s">
        <v>1997</v>
      </c>
      <c r="L21315" t="s">
        <v>1999</v>
      </c>
      <c r="M21315" t="s">
        <v>2001</v>
      </c>
      <c r="N21315" t="s">
        <v>1996</v>
      </c>
      <c r="O21315" t="s">
        <v>2000</v>
      </c>
      <c r="P21315" t="s">
        <v>1990</v>
      </c>
      <c r="Q21315" t="s">
        <v>286</v>
      </c>
      <c r="R21315" t="s">
        <v>281</v>
      </c>
      <c r="S21315" t="s">
        <v>2069</v>
      </c>
      <c r="T21315" t="s">
        <v>226</v>
      </c>
    </row>
    <row r="21316" spans="1:20" x14ac:dyDescent="0.35">
      <c r="A21316" t="s">
        <v>227</v>
      </c>
      <c r="B21316" t="s">
        <v>371</v>
      </c>
      <c r="C21316" s="26">
        <v>0.80120000000000002</v>
      </c>
      <c r="D21316" s="26">
        <v>9.9400000000000002E-2</v>
      </c>
      <c r="E21316" s="26">
        <v>6.2100000000000002E-2</v>
      </c>
      <c r="F21316" s="26">
        <v>1.8599999999999998E-2</v>
      </c>
      <c r="G21316" s="26">
        <v>1.24E-2</v>
      </c>
      <c r="I21316" s="26">
        <v>6.1999999999999998E-3</v>
      </c>
      <c r="T21316">
        <v>161</v>
      </c>
    </row>
    <row r="21317" spans="1:20" x14ac:dyDescent="0.35">
      <c r="A21317" t="s">
        <v>228</v>
      </c>
      <c r="B21317" t="s">
        <v>371</v>
      </c>
      <c r="C21317" s="26">
        <v>0.92330000000000001</v>
      </c>
      <c r="D21317" s="26">
        <v>2.0899999999999998E-2</v>
      </c>
      <c r="E21317" s="26">
        <v>2.9399999999999999E-2</v>
      </c>
      <c r="F21317" s="26">
        <v>1.5E-3</v>
      </c>
      <c r="G21317" s="26">
        <v>1.4E-3</v>
      </c>
      <c r="I21317" s="26">
        <v>8.0000000000000004E-4</v>
      </c>
      <c r="J21317" s="26">
        <v>1.2699999999999999E-2</v>
      </c>
      <c r="K21317" s="26">
        <v>2.2000000000000001E-3</v>
      </c>
      <c r="L21317" s="26">
        <v>6.4000000000000003E-3</v>
      </c>
      <c r="O21317" s="26">
        <v>8.0000000000000004E-4</v>
      </c>
      <c r="R21317" s="26">
        <v>6.9999999999999999E-4</v>
      </c>
      <c r="T21317">
        <v>292</v>
      </c>
    </row>
    <row r="21318" spans="1:20" x14ac:dyDescent="0.35">
      <c r="A21318" t="s">
        <v>228</v>
      </c>
      <c r="B21318" t="s">
        <v>372</v>
      </c>
      <c r="C21318" s="26">
        <v>0.73050000000000004</v>
      </c>
      <c r="D21318" s="26">
        <v>9.2799999999999994E-2</v>
      </c>
      <c r="E21318" s="26">
        <v>3.9600000000000003E-2</v>
      </c>
      <c r="F21318" s="26">
        <v>3.3099999999999997E-2</v>
      </c>
      <c r="G21318" s="26">
        <v>2.5499999999999998E-2</v>
      </c>
      <c r="H21318" s="26">
        <v>6.4000000000000003E-3</v>
      </c>
      <c r="I21318" s="26">
        <v>1.95E-2</v>
      </c>
      <c r="J21318" s="26">
        <v>1.95E-2</v>
      </c>
      <c r="K21318" s="26">
        <v>9.7000000000000003E-3</v>
      </c>
      <c r="N21318" s="26">
        <v>1.21E-2</v>
      </c>
      <c r="Q21318" s="26">
        <v>4.8999999999999998E-3</v>
      </c>
      <c r="R21318" s="26">
        <v>6.4000000000000003E-3</v>
      </c>
      <c r="T21318">
        <v>218</v>
      </c>
    </row>
    <row r="21319" spans="1:20" x14ac:dyDescent="0.35">
      <c r="A21319" t="s">
        <v>228</v>
      </c>
      <c r="B21319" t="s">
        <v>373</v>
      </c>
      <c r="C21319" s="26">
        <v>0.91790000000000005</v>
      </c>
      <c r="D21319" s="26">
        <v>2.1399999999999999E-2</v>
      </c>
      <c r="E21319" s="26">
        <v>2.4500000000000001E-2</v>
      </c>
      <c r="F21319" s="26">
        <v>4.0000000000000001E-3</v>
      </c>
      <c r="G21319" s="26">
        <v>7.7000000000000002E-3</v>
      </c>
      <c r="I21319" s="26">
        <v>5.1000000000000004E-3</v>
      </c>
      <c r="J21319" s="26">
        <v>5.1000000000000004E-3</v>
      </c>
      <c r="K21319" s="26">
        <v>6.0000000000000001E-3</v>
      </c>
      <c r="N21319" s="26">
        <v>5.1000000000000004E-3</v>
      </c>
      <c r="O21319" s="26">
        <v>5.9999999999999995E-4</v>
      </c>
      <c r="P21319" s="26">
        <v>2.5999999999999999E-3</v>
      </c>
      <c r="T21319">
        <v>523</v>
      </c>
    </row>
    <row r="21320" spans="1:20" x14ac:dyDescent="0.35">
      <c r="A21320" t="s">
        <v>229</v>
      </c>
      <c r="B21320" t="s">
        <v>371</v>
      </c>
      <c r="C21320" s="26">
        <v>0.85940000000000005</v>
      </c>
      <c r="D21320" s="26">
        <v>6.0100000000000001E-2</v>
      </c>
      <c r="E21320" s="26">
        <v>4.6100000000000002E-2</v>
      </c>
      <c r="F21320" s="26">
        <v>1.72E-2</v>
      </c>
      <c r="G21320" s="26">
        <v>3.2000000000000002E-3</v>
      </c>
      <c r="H21320" s="26">
        <v>2.7000000000000001E-3</v>
      </c>
      <c r="I21320" s="26">
        <v>2.0000000000000001E-4</v>
      </c>
      <c r="J21320" s="26">
        <v>6.9999999999999999E-4</v>
      </c>
      <c r="K21320" s="26">
        <v>8.9999999999999998E-4</v>
      </c>
      <c r="L21320" s="26">
        <v>2.7000000000000001E-3</v>
      </c>
      <c r="M21320" s="26">
        <v>2.8999999999999998E-3</v>
      </c>
      <c r="N21320" s="26">
        <v>4.0000000000000002E-4</v>
      </c>
      <c r="O21320" s="26">
        <v>2.7000000000000001E-3</v>
      </c>
      <c r="Q21320" s="26">
        <v>6.9999999999999999E-4</v>
      </c>
      <c r="T21320">
        <v>584</v>
      </c>
    </row>
    <row r="21321" spans="1:20" x14ac:dyDescent="0.35">
      <c r="A21321" t="s">
        <v>229</v>
      </c>
      <c r="B21321" t="s">
        <v>372</v>
      </c>
      <c r="C21321" s="26">
        <v>0.82089999999999996</v>
      </c>
      <c r="D21321" s="26">
        <v>7.2599999999999998E-2</v>
      </c>
      <c r="E21321" s="26">
        <v>2.2700000000000001E-2</v>
      </c>
      <c r="F21321" s="26">
        <v>1.7000000000000001E-2</v>
      </c>
      <c r="G21321" s="26">
        <v>2.5399999999999999E-2</v>
      </c>
      <c r="K21321" s="26">
        <v>1.32E-2</v>
      </c>
      <c r="M21321" s="26">
        <v>1.32E-2</v>
      </c>
      <c r="N21321" s="26">
        <v>1.9E-3</v>
      </c>
      <c r="O21321" s="26">
        <v>6.6E-3</v>
      </c>
      <c r="Q21321" s="26">
        <v>6.6E-3</v>
      </c>
      <c r="T21321">
        <v>221</v>
      </c>
    </row>
    <row r="21322" spans="1:20" x14ac:dyDescent="0.35">
      <c r="A21322" t="s">
        <v>229</v>
      </c>
      <c r="B21322" t="s">
        <v>373</v>
      </c>
      <c r="C21322" s="26">
        <v>0.84219999999999995</v>
      </c>
      <c r="D21322" s="26">
        <v>6.5199999999999994E-2</v>
      </c>
      <c r="E21322" s="26">
        <v>5.5599999999999997E-2</v>
      </c>
      <c r="F21322" s="26">
        <v>1.23E-2</v>
      </c>
      <c r="G21322" s="26">
        <v>1.23E-2</v>
      </c>
      <c r="J21322" s="26">
        <v>1.23E-2</v>
      </c>
      <c r="T21322">
        <v>90</v>
      </c>
    </row>
    <row r="21323" spans="1:20" x14ac:dyDescent="0.35">
      <c r="A21323" t="s">
        <v>230</v>
      </c>
      <c r="B21323" t="s">
        <v>371</v>
      </c>
      <c r="C21323" s="26">
        <v>0.88729999999999998</v>
      </c>
      <c r="D21323" s="26">
        <v>4.0899999999999999E-2</v>
      </c>
      <c r="E21323" s="26">
        <v>2.76E-2</v>
      </c>
      <c r="F21323" s="26">
        <v>1.43E-2</v>
      </c>
      <c r="G21323" s="26">
        <v>6.6E-3</v>
      </c>
      <c r="I21323" s="26">
        <v>5.5999999999999999E-3</v>
      </c>
      <c r="K21323" s="26">
        <v>6.7000000000000002E-3</v>
      </c>
      <c r="M21323" s="26">
        <v>1.1000000000000001E-3</v>
      </c>
      <c r="N21323" s="26">
        <v>2.2000000000000001E-3</v>
      </c>
      <c r="P21323" s="26">
        <v>6.6E-3</v>
      </c>
      <c r="S21323" s="26">
        <v>1.1000000000000001E-3</v>
      </c>
      <c r="T21323">
        <v>262</v>
      </c>
    </row>
    <row r="21324" spans="1:20" x14ac:dyDescent="0.35">
      <c r="A21324" t="s">
        <v>230</v>
      </c>
      <c r="B21324" t="s">
        <v>372</v>
      </c>
      <c r="C21324" s="26">
        <v>0.84850000000000003</v>
      </c>
      <c r="D21324" s="26">
        <v>3.4299999999999997E-2</v>
      </c>
      <c r="E21324" s="26">
        <v>2.9600000000000001E-2</v>
      </c>
      <c r="F21324" s="26">
        <v>1.54E-2</v>
      </c>
      <c r="I21324" s="26">
        <v>1.4200000000000001E-2</v>
      </c>
      <c r="J21324" s="26">
        <v>4.7000000000000002E-3</v>
      </c>
      <c r="K21324" s="26">
        <v>1.89E-2</v>
      </c>
      <c r="L21324" s="26">
        <v>1.54E-2</v>
      </c>
      <c r="N21324" s="26">
        <v>4.7000000000000002E-3</v>
      </c>
      <c r="P21324" s="26">
        <v>9.4999999999999998E-3</v>
      </c>
      <c r="R21324" s="26">
        <v>4.7000000000000002E-3</v>
      </c>
      <c r="T21324">
        <v>146</v>
      </c>
    </row>
    <row r="21325" spans="1:20" x14ac:dyDescent="0.35">
      <c r="A21325" t="s">
        <v>230</v>
      </c>
      <c r="B21325" t="s">
        <v>373</v>
      </c>
      <c r="C21325" s="26">
        <v>0.91859999999999997</v>
      </c>
      <c r="D21325" s="26">
        <v>1.6199999999999999E-2</v>
      </c>
      <c r="E21325" s="26">
        <v>3.0200000000000001E-2</v>
      </c>
      <c r="G21325" s="26">
        <v>7.0000000000000001E-3</v>
      </c>
      <c r="I21325" s="26">
        <v>2.1000000000000001E-2</v>
      </c>
      <c r="J21325" s="26">
        <v>7.0000000000000001E-3</v>
      </c>
      <c r="T21325">
        <v>151</v>
      </c>
    </row>
    <row r="21326" spans="1:20" x14ac:dyDescent="0.35">
      <c r="A21326" t="s">
        <v>231</v>
      </c>
      <c r="B21326" t="s">
        <v>371</v>
      </c>
      <c r="C21326" s="26">
        <v>0.76829999999999998</v>
      </c>
      <c r="D21326" s="26">
        <v>0.128</v>
      </c>
      <c r="E21326" s="26">
        <v>5.4899999999999997E-2</v>
      </c>
      <c r="F21326" s="26">
        <v>3.0499999999999999E-2</v>
      </c>
      <c r="G21326" s="26">
        <v>1.2200000000000001E-2</v>
      </c>
      <c r="H21326" s="26">
        <v>6.1000000000000004E-3</v>
      </c>
      <c r="T21326">
        <v>164</v>
      </c>
    </row>
    <row r="21327" spans="1:20" x14ac:dyDescent="0.35">
      <c r="A21327" t="s">
        <v>232</v>
      </c>
      <c r="B21327" t="s">
        <v>232</v>
      </c>
      <c r="C21327" s="26">
        <v>0.83660000000000001</v>
      </c>
      <c r="D21327" s="26">
        <v>7.6300000000000007E-2</v>
      </c>
      <c r="E21327" s="26">
        <v>4.5499999999999999E-2</v>
      </c>
      <c r="F21327" s="26">
        <v>1.8200000000000001E-2</v>
      </c>
      <c r="G21327" s="26">
        <v>8.3000000000000001E-3</v>
      </c>
      <c r="H21327" s="26">
        <v>2.5000000000000001E-3</v>
      </c>
      <c r="I21327" s="26">
        <v>2.5000000000000001E-3</v>
      </c>
      <c r="J21327" s="26">
        <v>2.3999999999999998E-3</v>
      </c>
      <c r="K21327" s="26">
        <v>1.9E-3</v>
      </c>
      <c r="L21327" s="26">
        <v>1.4E-3</v>
      </c>
      <c r="M21327" s="26">
        <v>1E-3</v>
      </c>
      <c r="N21327" s="26">
        <v>8.9999999999999998E-4</v>
      </c>
      <c r="O21327" s="26">
        <v>8.9999999999999998E-4</v>
      </c>
      <c r="P21327" s="26">
        <v>8.0000000000000004E-4</v>
      </c>
      <c r="Q21327" s="26">
        <v>4.0000000000000002E-4</v>
      </c>
      <c r="R21327" s="26">
        <v>2.0000000000000001E-4</v>
      </c>
      <c r="S21327" s="26">
        <v>1E-4</v>
      </c>
      <c r="T21327">
        <v>2812</v>
      </c>
    </row>
    <row r="21329" spans="1:20" x14ac:dyDescent="0.35">
      <c r="A21329" s="1" t="s">
        <v>2080</v>
      </c>
    </row>
    <row r="21330" spans="1:20" x14ac:dyDescent="0.35">
      <c r="A21330" t="s">
        <v>219</v>
      </c>
      <c r="B21330" t="s">
        <v>305</v>
      </c>
      <c r="C21330" t="s">
        <v>2068</v>
      </c>
      <c r="D21330" t="s">
        <v>1991</v>
      </c>
      <c r="E21330" t="s">
        <v>1992</v>
      </c>
      <c r="F21330" t="s">
        <v>1995</v>
      </c>
      <c r="G21330" t="s">
        <v>1994</v>
      </c>
      <c r="H21330" t="s">
        <v>1998</v>
      </c>
      <c r="I21330" t="s">
        <v>1993</v>
      </c>
      <c r="J21330" t="s">
        <v>1989</v>
      </c>
      <c r="K21330" t="s">
        <v>1997</v>
      </c>
      <c r="L21330" t="s">
        <v>1999</v>
      </c>
      <c r="M21330" t="s">
        <v>2001</v>
      </c>
      <c r="N21330" t="s">
        <v>1996</v>
      </c>
      <c r="O21330" t="s">
        <v>2000</v>
      </c>
      <c r="P21330" t="s">
        <v>1990</v>
      </c>
      <c r="Q21330" t="s">
        <v>286</v>
      </c>
      <c r="R21330" t="s">
        <v>281</v>
      </c>
      <c r="S21330" t="s">
        <v>2069</v>
      </c>
      <c r="T21330" t="s">
        <v>226</v>
      </c>
    </row>
    <row r="21331" spans="1:20" x14ac:dyDescent="0.35">
      <c r="A21331" t="s">
        <v>227</v>
      </c>
      <c r="B21331" t="s">
        <v>255</v>
      </c>
      <c r="C21331" s="26">
        <v>0.79490000000000005</v>
      </c>
      <c r="D21331" s="26">
        <v>0.1197</v>
      </c>
      <c r="E21331" s="26">
        <v>5.9799999999999999E-2</v>
      </c>
      <c r="F21331" s="26">
        <v>1.7100000000000001E-2</v>
      </c>
      <c r="I21331" s="26">
        <v>8.5000000000000006E-3</v>
      </c>
      <c r="T21331">
        <v>117</v>
      </c>
    </row>
    <row r="21332" spans="1:20" x14ac:dyDescent="0.35">
      <c r="A21332" s="27" t="s">
        <v>227</v>
      </c>
      <c r="B21332" s="27" t="s">
        <v>257</v>
      </c>
      <c r="C21332" s="28">
        <v>0.77780000000000005</v>
      </c>
      <c r="D21332" s="29"/>
      <c r="E21332" s="28">
        <v>0.1111</v>
      </c>
      <c r="F21332" s="29"/>
      <c r="G21332" s="28">
        <v>0.1111</v>
      </c>
      <c r="H21332" s="29"/>
      <c r="I21332" s="29"/>
      <c r="J21332" s="29"/>
      <c r="K21332" s="29"/>
      <c r="L21332" s="29"/>
      <c r="M21332" s="29"/>
      <c r="N21332" s="29"/>
      <c r="O21332" s="29"/>
      <c r="P21332" s="29"/>
      <c r="Q21332" s="29"/>
      <c r="R21332" s="29"/>
      <c r="S21332" s="29"/>
      <c r="T21332" s="29" t="s">
        <v>334</v>
      </c>
    </row>
    <row r="21333" spans="1:20" x14ac:dyDescent="0.35">
      <c r="A21333" t="s">
        <v>227</v>
      </c>
      <c r="B21333" t="s">
        <v>256</v>
      </c>
      <c r="C21333" s="26">
        <v>0.8286</v>
      </c>
      <c r="D21333" s="26">
        <v>5.7099999999999998E-2</v>
      </c>
      <c r="E21333" s="26">
        <v>5.7099999999999998E-2</v>
      </c>
      <c r="F21333" s="26">
        <v>2.86E-2</v>
      </c>
      <c r="G21333" s="26">
        <v>2.86E-2</v>
      </c>
      <c r="T21333">
        <v>35</v>
      </c>
    </row>
    <row r="21334" spans="1:20" x14ac:dyDescent="0.35">
      <c r="A21334" t="s">
        <v>228</v>
      </c>
      <c r="B21334" t="s">
        <v>257</v>
      </c>
      <c r="C21334" s="26">
        <v>0.88019999999999998</v>
      </c>
      <c r="D21334" s="26">
        <v>5.6500000000000002E-2</v>
      </c>
      <c r="E21334" s="26">
        <v>1.84E-2</v>
      </c>
      <c r="F21334" s="26">
        <v>1.0500000000000001E-2</v>
      </c>
      <c r="G21334" s="26">
        <v>7.9000000000000008E-3</v>
      </c>
      <c r="I21334" s="26">
        <v>7.9000000000000008E-3</v>
      </c>
      <c r="J21334" s="26">
        <v>7.9000000000000008E-3</v>
      </c>
      <c r="N21334" s="26">
        <v>1.0500000000000001E-2</v>
      </c>
      <c r="T21334">
        <v>49</v>
      </c>
    </row>
    <row r="21335" spans="1:20" x14ac:dyDescent="0.35">
      <c r="A21335" s="27" t="s">
        <v>228</v>
      </c>
      <c r="B21335" s="27" t="s">
        <v>258</v>
      </c>
      <c r="C21335" s="28">
        <v>0.90190000000000003</v>
      </c>
      <c r="D21335" s="29"/>
      <c r="E21335" s="29"/>
      <c r="F21335" s="29"/>
      <c r="G21335" s="28">
        <v>9.8100000000000007E-2</v>
      </c>
      <c r="H21335" s="29"/>
      <c r="I21335" s="29"/>
      <c r="J21335" s="29"/>
      <c r="K21335" s="29"/>
      <c r="L21335" s="29"/>
      <c r="M21335" s="29"/>
      <c r="N21335" s="29"/>
      <c r="O21335" s="29"/>
      <c r="P21335" s="29"/>
      <c r="Q21335" s="29"/>
      <c r="R21335" s="29"/>
      <c r="S21335" s="29"/>
      <c r="T21335" s="29" t="s">
        <v>337</v>
      </c>
    </row>
    <row r="21336" spans="1:20" x14ac:dyDescent="0.35">
      <c r="A21336" t="s">
        <v>228</v>
      </c>
      <c r="B21336" t="s">
        <v>256</v>
      </c>
      <c r="C21336" s="26">
        <v>0.93540000000000001</v>
      </c>
      <c r="D21336" s="26">
        <v>1.14E-2</v>
      </c>
      <c r="E21336" s="26">
        <v>3.2000000000000001E-2</v>
      </c>
      <c r="F21336" s="26">
        <v>1.6999999999999999E-3</v>
      </c>
      <c r="G21336" s="26">
        <v>3.8E-3</v>
      </c>
      <c r="I21336" s="26">
        <v>8.3000000000000001E-3</v>
      </c>
      <c r="J21336" s="26">
        <v>1.6999999999999999E-3</v>
      </c>
      <c r="K21336" s="26">
        <v>5.7000000000000002E-3</v>
      </c>
      <c r="T21336">
        <v>221</v>
      </c>
    </row>
    <row r="21337" spans="1:20" x14ac:dyDescent="0.35">
      <c r="A21337" t="s">
        <v>228</v>
      </c>
      <c r="B21337" t="s">
        <v>255</v>
      </c>
      <c r="C21337" s="26">
        <v>0.89600000000000002</v>
      </c>
      <c r="D21337" s="26">
        <v>3.0700000000000002E-2</v>
      </c>
      <c r="E21337" s="26">
        <v>2.8000000000000001E-2</v>
      </c>
      <c r="F21337" s="26">
        <v>6.0000000000000001E-3</v>
      </c>
      <c r="G21337" s="26">
        <v>5.7999999999999996E-3</v>
      </c>
      <c r="H21337" s="26">
        <v>8.0000000000000004E-4</v>
      </c>
      <c r="I21337" s="26">
        <v>2.3999999999999998E-3</v>
      </c>
      <c r="J21337" s="26">
        <v>1.35E-2</v>
      </c>
      <c r="K21337" s="26">
        <v>4.1999999999999997E-3</v>
      </c>
      <c r="L21337" s="26">
        <v>4.7000000000000002E-3</v>
      </c>
      <c r="N21337" s="26">
        <v>3.5999999999999999E-3</v>
      </c>
      <c r="O21337" s="26">
        <v>8.9999999999999998E-4</v>
      </c>
      <c r="P21337" s="26">
        <v>1.5E-3</v>
      </c>
      <c r="Q21337" s="26">
        <v>5.9999999999999995E-4</v>
      </c>
      <c r="R21337" s="26">
        <v>1.2999999999999999E-3</v>
      </c>
      <c r="T21337">
        <v>759</v>
      </c>
    </row>
    <row r="21338" spans="1:20" x14ac:dyDescent="0.35">
      <c r="A21338" t="s">
        <v>229</v>
      </c>
      <c r="B21338" t="s">
        <v>256</v>
      </c>
      <c r="C21338" s="26">
        <v>0.88800000000000001</v>
      </c>
      <c r="D21338" s="26">
        <v>2.6599999999999999E-2</v>
      </c>
      <c r="E21338" s="26">
        <v>5.3100000000000001E-2</v>
      </c>
      <c r="F21338" s="26">
        <v>1.89E-2</v>
      </c>
      <c r="G21338" s="26">
        <v>1.04E-2</v>
      </c>
      <c r="J21338" s="26">
        <v>2.3999999999999998E-3</v>
      </c>
      <c r="N21338" s="26">
        <v>5.9999999999999995E-4</v>
      </c>
      <c r="T21338">
        <v>207</v>
      </c>
    </row>
    <row r="21339" spans="1:20" x14ac:dyDescent="0.35">
      <c r="A21339" t="s">
        <v>229</v>
      </c>
      <c r="B21339" t="s">
        <v>255</v>
      </c>
      <c r="C21339" s="26">
        <v>0.83889999999999998</v>
      </c>
      <c r="D21339" s="26">
        <v>7.5399999999999995E-2</v>
      </c>
      <c r="E21339" s="26">
        <v>4.4699999999999997E-2</v>
      </c>
      <c r="F21339" s="26">
        <v>1.7000000000000001E-2</v>
      </c>
      <c r="G21339" s="26">
        <v>2.5000000000000001E-3</v>
      </c>
      <c r="H21339" s="26">
        <v>3.7000000000000002E-3</v>
      </c>
      <c r="I21339" s="26">
        <v>2.9999999999999997E-4</v>
      </c>
      <c r="J21339" s="26">
        <v>5.0000000000000001E-4</v>
      </c>
      <c r="K21339" s="26">
        <v>2.2000000000000001E-3</v>
      </c>
      <c r="L21339" s="26">
        <v>3.7000000000000002E-3</v>
      </c>
      <c r="M21339" s="26">
        <v>5.0000000000000001E-3</v>
      </c>
      <c r="N21339" s="26">
        <v>4.0000000000000002E-4</v>
      </c>
      <c r="O21339" s="26">
        <v>4.1999999999999997E-3</v>
      </c>
      <c r="Q21339" s="26">
        <v>1.5E-3</v>
      </c>
      <c r="T21339">
        <v>636</v>
      </c>
    </row>
    <row r="21340" spans="1:20" x14ac:dyDescent="0.35">
      <c r="A21340" t="s">
        <v>229</v>
      </c>
      <c r="B21340" t="s">
        <v>257</v>
      </c>
      <c r="C21340" s="26">
        <v>0.92430000000000001</v>
      </c>
      <c r="D21340" s="26">
        <v>5.4100000000000002E-2</v>
      </c>
      <c r="E21340" s="26">
        <v>1.23E-2</v>
      </c>
      <c r="F21340" s="26">
        <v>9.1999999999999998E-3</v>
      </c>
      <c r="T21340">
        <v>50</v>
      </c>
    </row>
    <row r="21341" spans="1:20" x14ac:dyDescent="0.35">
      <c r="A21341" s="27" t="s">
        <v>229</v>
      </c>
      <c r="B21341" s="27" t="s">
        <v>258</v>
      </c>
      <c r="C21341" s="28">
        <v>1</v>
      </c>
      <c r="D21341" s="29"/>
      <c r="E21341" s="29"/>
      <c r="F21341" s="29"/>
      <c r="G21341" s="29"/>
      <c r="H21341" s="29"/>
      <c r="I21341" s="29"/>
      <c r="J21341" s="29"/>
      <c r="K21341" s="29"/>
      <c r="L21341" s="29"/>
      <c r="M21341" s="29"/>
      <c r="N21341" s="29"/>
      <c r="O21341" s="29"/>
      <c r="P21341" s="29"/>
      <c r="Q21341" s="29"/>
      <c r="R21341" s="29"/>
      <c r="S21341" s="29"/>
      <c r="T21341" s="29" t="s">
        <v>314</v>
      </c>
    </row>
    <row r="21342" spans="1:20" x14ac:dyDescent="0.35">
      <c r="A21342" t="s">
        <v>230</v>
      </c>
      <c r="B21342" t="s">
        <v>256</v>
      </c>
      <c r="C21342" s="26">
        <v>0.84160000000000001</v>
      </c>
      <c r="D21342" s="26">
        <v>2.98E-2</v>
      </c>
      <c r="E21342" s="26">
        <v>3.56E-2</v>
      </c>
      <c r="F21342" s="26">
        <v>4.48E-2</v>
      </c>
      <c r="G21342" s="26">
        <v>2.07E-2</v>
      </c>
      <c r="I21342" s="26">
        <v>8.0000000000000002E-3</v>
      </c>
      <c r="K21342" s="26">
        <v>1.26E-2</v>
      </c>
      <c r="L21342" s="26">
        <v>3.3999999999999998E-3</v>
      </c>
      <c r="S21342" s="26">
        <v>3.5000000000000001E-3</v>
      </c>
      <c r="T21342">
        <v>130</v>
      </c>
    </row>
    <row r="21343" spans="1:20" x14ac:dyDescent="0.35">
      <c r="A21343" t="s">
        <v>230</v>
      </c>
      <c r="B21343" t="s">
        <v>255</v>
      </c>
      <c r="C21343" s="26">
        <v>0.90190000000000003</v>
      </c>
      <c r="D21343" s="26">
        <v>4.0599999999999997E-2</v>
      </c>
      <c r="E21343" s="26">
        <v>2.6599999999999999E-2</v>
      </c>
      <c r="F21343" s="26">
        <v>1.4E-3</v>
      </c>
      <c r="G21343" s="26">
        <v>1.2999999999999999E-3</v>
      </c>
      <c r="I21343" s="26">
        <v>8.9999999999999993E-3</v>
      </c>
      <c r="J21343" s="26">
        <v>1.8E-3</v>
      </c>
      <c r="K21343" s="26">
        <v>4.8999999999999998E-3</v>
      </c>
      <c r="M21343" s="26">
        <v>1.4E-3</v>
      </c>
      <c r="N21343" s="26">
        <v>1.8E-3</v>
      </c>
      <c r="P21343" s="26">
        <v>8.9999999999999993E-3</v>
      </c>
      <c r="R21343" s="26">
        <v>4.0000000000000002E-4</v>
      </c>
      <c r="T21343">
        <v>388</v>
      </c>
    </row>
    <row r="21344" spans="1:20" x14ac:dyDescent="0.35">
      <c r="A21344" t="s">
        <v>230</v>
      </c>
      <c r="B21344" t="s">
        <v>257</v>
      </c>
      <c r="C21344" s="26">
        <v>0.9325</v>
      </c>
      <c r="D21344" s="26">
        <v>3.7900000000000003E-2</v>
      </c>
      <c r="E21344" s="26">
        <v>1.67E-2</v>
      </c>
      <c r="N21344" s="26">
        <v>1.2800000000000001E-2</v>
      </c>
      <c r="T21344">
        <v>38</v>
      </c>
    </row>
    <row r="21345" spans="1:20" x14ac:dyDescent="0.35">
      <c r="A21345" s="27" t="s">
        <v>230</v>
      </c>
      <c r="B21345" s="27" t="s">
        <v>258</v>
      </c>
      <c r="C21345" s="28">
        <v>1</v>
      </c>
      <c r="D21345" s="29"/>
      <c r="E21345" s="29"/>
      <c r="F21345" s="29"/>
      <c r="G21345" s="29"/>
      <c r="H21345" s="29"/>
      <c r="I21345" s="29"/>
      <c r="J21345" s="29"/>
      <c r="K21345" s="29"/>
      <c r="L21345" s="29"/>
      <c r="M21345" s="29"/>
      <c r="N21345" s="29"/>
      <c r="O21345" s="29"/>
      <c r="P21345" s="29"/>
      <c r="Q21345" s="29"/>
      <c r="R21345" s="29"/>
      <c r="S21345" s="29"/>
      <c r="T21345" s="29" t="s">
        <v>315</v>
      </c>
    </row>
    <row r="21346" spans="1:20" x14ac:dyDescent="0.35">
      <c r="A21346" s="27" t="s">
        <v>231</v>
      </c>
      <c r="B21346" s="27" t="s">
        <v>257</v>
      </c>
      <c r="C21346" s="28">
        <v>1</v>
      </c>
      <c r="D21346" s="29"/>
      <c r="E21346" s="29"/>
      <c r="F21346" s="29"/>
      <c r="G21346" s="29"/>
      <c r="H21346" s="29"/>
      <c r="I21346" s="29"/>
      <c r="J21346" s="29"/>
      <c r="K21346" s="29"/>
      <c r="L21346" s="29"/>
      <c r="M21346" s="29"/>
      <c r="N21346" s="29"/>
      <c r="O21346" s="29"/>
      <c r="P21346" s="29"/>
      <c r="Q21346" s="29"/>
      <c r="R21346" s="29"/>
      <c r="S21346" s="29"/>
      <c r="T21346" s="29" t="s">
        <v>339</v>
      </c>
    </row>
    <row r="21347" spans="1:20" x14ac:dyDescent="0.35">
      <c r="A21347" t="s">
        <v>231</v>
      </c>
      <c r="B21347" t="s">
        <v>255</v>
      </c>
      <c r="C21347" s="26">
        <v>0.74419999999999997</v>
      </c>
      <c r="D21347" s="26">
        <v>0.13950000000000001</v>
      </c>
      <c r="E21347" s="26">
        <v>6.2E-2</v>
      </c>
      <c r="F21347" s="26">
        <v>3.1E-2</v>
      </c>
      <c r="G21347" s="26">
        <v>1.55E-2</v>
      </c>
      <c r="H21347" s="26">
        <v>7.7999999999999996E-3</v>
      </c>
      <c r="T21347">
        <v>129</v>
      </c>
    </row>
    <row r="21348" spans="1:20" x14ac:dyDescent="0.35">
      <c r="A21348" s="27" t="s">
        <v>231</v>
      </c>
      <c r="B21348" s="27" t="s">
        <v>256</v>
      </c>
      <c r="C21348" s="28">
        <v>0.82140000000000002</v>
      </c>
      <c r="D21348" s="28">
        <v>0.1071</v>
      </c>
      <c r="E21348" s="28">
        <v>3.5700000000000003E-2</v>
      </c>
      <c r="F21348" s="28">
        <v>3.5700000000000003E-2</v>
      </c>
      <c r="G21348" s="29"/>
      <c r="H21348" s="29"/>
      <c r="I21348" s="29"/>
      <c r="J21348" s="29"/>
      <c r="K21348" s="29"/>
      <c r="L21348" s="29"/>
      <c r="M21348" s="29"/>
      <c r="N21348" s="29"/>
      <c r="O21348" s="29"/>
      <c r="P21348" s="29"/>
      <c r="Q21348" s="29"/>
      <c r="R21348" s="29"/>
      <c r="S21348" s="29"/>
      <c r="T21348" s="29" t="s">
        <v>336</v>
      </c>
    </row>
    <row r="21349" spans="1:20" x14ac:dyDescent="0.35">
      <c r="A21349" t="s">
        <v>232</v>
      </c>
      <c r="B21349" t="s">
        <v>232</v>
      </c>
      <c r="C21349" s="26">
        <v>0.83660000000000001</v>
      </c>
      <c r="D21349" s="26">
        <v>7.6300000000000007E-2</v>
      </c>
      <c r="E21349" s="26">
        <v>4.5499999999999999E-2</v>
      </c>
      <c r="F21349" s="26">
        <v>1.8200000000000001E-2</v>
      </c>
      <c r="G21349" s="26">
        <v>8.3000000000000001E-3</v>
      </c>
      <c r="H21349" s="26">
        <v>2.5000000000000001E-3</v>
      </c>
      <c r="I21349" s="26">
        <v>2.5000000000000001E-3</v>
      </c>
      <c r="J21349" s="26">
        <v>2.3999999999999998E-3</v>
      </c>
      <c r="K21349" s="26">
        <v>1.9E-3</v>
      </c>
      <c r="L21349" s="26">
        <v>1.4E-3</v>
      </c>
      <c r="M21349" s="26">
        <v>1E-3</v>
      </c>
      <c r="N21349" s="26">
        <v>8.9999999999999998E-4</v>
      </c>
      <c r="O21349" s="26">
        <v>8.9999999999999998E-4</v>
      </c>
      <c r="P21349" s="26">
        <v>8.0000000000000004E-4</v>
      </c>
      <c r="Q21349" s="26">
        <v>4.0000000000000002E-4</v>
      </c>
      <c r="R21349" s="26">
        <v>2.0000000000000001E-4</v>
      </c>
      <c r="S21349" s="26">
        <v>1E-4</v>
      </c>
      <c r="T21349">
        <v>2812</v>
      </c>
    </row>
    <row r="21351" spans="1:20" x14ac:dyDescent="0.35">
      <c r="A21351" s="1" t="s">
        <v>2081</v>
      </c>
    </row>
    <row r="21352" spans="1:20" x14ac:dyDescent="0.35">
      <c r="A21352" t="s">
        <v>219</v>
      </c>
      <c r="B21352" t="s">
        <v>2051</v>
      </c>
      <c r="C21352" t="s">
        <v>2052</v>
      </c>
      <c r="D21352" t="s">
        <v>2053</v>
      </c>
      <c r="E21352" t="s">
        <v>2054</v>
      </c>
      <c r="F21352" t="s">
        <v>2055</v>
      </c>
      <c r="G21352" t="s">
        <v>281</v>
      </c>
      <c r="H21352" t="s">
        <v>286</v>
      </c>
      <c r="I21352" t="s">
        <v>226</v>
      </c>
    </row>
    <row r="21353" spans="1:20" x14ac:dyDescent="0.35">
      <c r="A21353" t="s">
        <v>227</v>
      </c>
      <c r="B21353" s="26">
        <v>0.85089999999999999</v>
      </c>
      <c r="C21353" s="26">
        <v>9.9400000000000002E-2</v>
      </c>
      <c r="D21353" s="26">
        <v>3.73E-2</v>
      </c>
      <c r="E21353" s="26">
        <v>1.24E-2</v>
      </c>
      <c r="I21353">
        <v>161</v>
      </c>
    </row>
    <row r="21354" spans="1:20" x14ac:dyDescent="0.35">
      <c r="A21354" t="s">
        <v>228</v>
      </c>
      <c r="B21354" s="26">
        <v>0.85009999999999997</v>
      </c>
      <c r="C21354" s="26">
        <v>7.0199999999999999E-2</v>
      </c>
      <c r="D21354" s="26">
        <v>5.0799999999999998E-2</v>
      </c>
      <c r="E21354" s="26">
        <v>9.2999999999999992E-3</v>
      </c>
      <c r="F21354" s="26">
        <v>1.9099999999999999E-2</v>
      </c>
      <c r="H21354" s="26">
        <v>4.0000000000000002E-4</v>
      </c>
      <c r="I21354">
        <v>1033</v>
      </c>
    </row>
    <row r="21355" spans="1:20" x14ac:dyDescent="0.35">
      <c r="A21355" t="s">
        <v>229</v>
      </c>
      <c r="B21355" s="26">
        <v>0.88170000000000004</v>
      </c>
      <c r="C21355" s="26">
        <v>7.4700000000000003E-2</v>
      </c>
      <c r="D21355" s="26">
        <v>2.6800000000000001E-2</v>
      </c>
      <c r="E21355" s="26">
        <v>9.1999999999999998E-3</v>
      </c>
      <c r="G21355" s="26">
        <v>6.7000000000000002E-3</v>
      </c>
      <c r="H21355" s="26">
        <v>1E-3</v>
      </c>
      <c r="I21355">
        <v>895</v>
      </c>
    </row>
    <row r="21356" spans="1:20" x14ac:dyDescent="0.35">
      <c r="A21356" t="s">
        <v>230</v>
      </c>
      <c r="B21356" s="26">
        <v>0.84060000000000001</v>
      </c>
      <c r="C21356" s="26">
        <v>0.1046</v>
      </c>
      <c r="D21356" s="26">
        <v>3.8199999999999998E-2</v>
      </c>
      <c r="E21356" s="26">
        <v>9.7000000000000003E-3</v>
      </c>
      <c r="F21356" s="26">
        <v>6.0000000000000001E-3</v>
      </c>
      <c r="G21356" s="26">
        <v>8.9999999999999998E-4</v>
      </c>
      <c r="I21356">
        <v>560</v>
      </c>
    </row>
    <row r="21357" spans="1:20" x14ac:dyDescent="0.35">
      <c r="A21357" t="s">
        <v>231</v>
      </c>
      <c r="B21357" s="26">
        <v>0.90239999999999998</v>
      </c>
      <c r="C21357" s="26">
        <v>7.3200000000000001E-2</v>
      </c>
      <c r="D21357" s="26">
        <v>2.4400000000000002E-2</v>
      </c>
      <c r="I21357">
        <v>164</v>
      </c>
    </row>
    <row r="21358" spans="1:20" x14ac:dyDescent="0.35">
      <c r="A21358" t="s">
        <v>232</v>
      </c>
      <c r="B21358" s="26">
        <v>0.87270000000000003</v>
      </c>
      <c r="C21358" s="26">
        <v>0.08</v>
      </c>
      <c r="D21358" s="26">
        <v>3.3500000000000002E-2</v>
      </c>
      <c r="E21358" s="26">
        <v>7.1999999999999998E-3</v>
      </c>
      <c r="F21358" s="26">
        <v>4.3E-3</v>
      </c>
      <c r="G21358" s="26">
        <v>2E-3</v>
      </c>
      <c r="H21358" s="26">
        <v>4.0000000000000002E-4</v>
      </c>
      <c r="I21358">
        <v>2813</v>
      </c>
    </row>
    <row r="21360" spans="1:20" x14ac:dyDescent="0.35">
      <c r="A21360" s="1" t="s">
        <v>2082</v>
      </c>
    </row>
    <row r="21361" spans="1:10" x14ac:dyDescent="0.35">
      <c r="A21361" t="s">
        <v>219</v>
      </c>
      <c r="B21361" t="s">
        <v>305</v>
      </c>
      <c r="C21361" t="s">
        <v>2051</v>
      </c>
      <c r="D21361" t="s">
        <v>2052</v>
      </c>
      <c r="E21361" t="s">
        <v>2053</v>
      </c>
      <c r="F21361" t="s">
        <v>2054</v>
      </c>
      <c r="G21361" t="s">
        <v>2055</v>
      </c>
      <c r="H21361" t="s">
        <v>281</v>
      </c>
      <c r="I21361" t="s">
        <v>286</v>
      </c>
      <c r="J21361" t="s">
        <v>226</v>
      </c>
    </row>
    <row r="21362" spans="1:10" x14ac:dyDescent="0.35">
      <c r="A21362" t="s">
        <v>227</v>
      </c>
      <c r="B21362" t="s">
        <v>242</v>
      </c>
      <c r="C21362" s="26">
        <v>0.80879999999999996</v>
      </c>
      <c r="D21362" s="26">
        <v>0.13239999999999999</v>
      </c>
      <c r="E21362" s="26">
        <v>2.9399999999999999E-2</v>
      </c>
      <c r="F21362" s="26">
        <v>2.9399999999999999E-2</v>
      </c>
      <c r="J21362">
        <v>68</v>
      </c>
    </row>
    <row r="21363" spans="1:10" x14ac:dyDescent="0.35">
      <c r="A21363" t="s">
        <v>227</v>
      </c>
      <c r="B21363" t="s">
        <v>241</v>
      </c>
      <c r="C21363" s="26">
        <v>0.88170000000000004</v>
      </c>
      <c r="D21363" s="26">
        <v>7.5300000000000006E-2</v>
      </c>
      <c r="E21363" s="26">
        <v>4.2999999999999997E-2</v>
      </c>
      <c r="J21363">
        <v>93</v>
      </c>
    </row>
    <row r="21364" spans="1:10" x14ac:dyDescent="0.35">
      <c r="A21364" t="s">
        <v>228</v>
      </c>
      <c r="B21364" t="s">
        <v>242</v>
      </c>
      <c r="C21364" s="26">
        <v>0.81720000000000004</v>
      </c>
      <c r="D21364" s="26">
        <v>8.3699999999999997E-2</v>
      </c>
      <c r="E21364" s="26">
        <v>5.8099999999999999E-2</v>
      </c>
      <c r="F21364" s="26">
        <v>9.4000000000000004E-3</v>
      </c>
      <c r="G21364" s="26">
        <v>3.1699999999999999E-2</v>
      </c>
      <c r="J21364">
        <v>402</v>
      </c>
    </row>
    <row r="21365" spans="1:10" x14ac:dyDescent="0.35">
      <c r="A21365" t="s">
        <v>228</v>
      </c>
      <c r="B21365" t="s">
        <v>241</v>
      </c>
      <c r="C21365" s="26">
        <v>0.86899999999999999</v>
      </c>
      <c r="D21365" s="26">
        <v>6.2600000000000003E-2</v>
      </c>
      <c r="E21365" s="26">
        <v>4.6699999999999998E-2</v>
      </c>
      <c r="F21365" s="26">
        <v>9.2999999999999992E-3</v>
      </c>
      <c r="G21365" s="26">
        <v>1.18E-2</v>
      </c>
      <c r="I21365" s="26">
        <v>5.9999999999999995E-4</v>
      </c>
      <c r="J21365">
        <v>631</v>
      </c>
    </row>
    <row r="21366" spans="1:10" x14ac:dyDescent="0.35">
      <c r="A21366" t="s">
        <v>229</v>
      </c>
      <c r="B21366" t="s">
        <v>242</v>
      </c>
      <c r="C21366" s="26">
        <v>0.88959999999999995</v>
      </c>
      <c r="D21366" s="26">
        <v>7.8E-2</v>
      </c>
      <c r="E21366" s="26">
        <v>9.4000000000000004E-3</v>
      </c>
      <c r="F21366" s="26">
        <v>1.54E-2</v>
      </c>
      <c r="H21366" s="26">
        <v>7.7000000000000002E-3</v>
      </c>
      <c r="J21366">
        <v>292</v>
      </c>
    </row>
    <row r="21367" spans="1:10" x14ac:dyDescent="0.35">
      <c r="A21367" t="s">
        <v>229</v>
      </c>
      <c r="B21367" t="s">
        <v>241</v>
      </c>
      <c r="C21367" s="26">
        <v>0.87660000000000005</v>
      </c>
      <c r="D21367" s="26">
        <v>7.2599999999999998E-2</v>
      </c>
      <c r="E21367" s="26">
        <v>3.7900000000000003E-2</v>
      </c>
      <c r="F21367" s="26">
        <v>5.1999999999999998E-3</v>
      </c>
      <c r="H21367" s="26">
        <v>6.0000000000000001E-3</v>
      </c>
      <c r="I21367" s="26">
        <v>1.6000000000000001E-3</v>
      </c>
      <c r="J21367">
        <v>603</v>
      </c>
    </row>
    <row r="21368" spans="1:10" x14ac:dyDescent="0.35">
      <c r="A21368" t="s">
        <v>230</v>
      </c>
      <c r="B21368" t="s">
        <v>242</v>
      </c>
      <c r="C21368" s="26">
        <v>0.84230000000000005</v>
      </c>
      <c r="D21368" s="26">
        <v>8.0799999999999997E-2</v>
      </c>
      <c r="E21368" s="26">
        <v>4.5400000000000003E-2</v>
      </c>
      <c r="F21368" s="26">
        <v>2.6200000000000001E-2</v>
      </c>
      <c r="G21368" s="26">
        <v>5.4000000000000003E-3</v>
      </c>
      <c r="J21368">
        <v>189</v>
      </c>
    </row>
    <row r="21369" spans="1:10" x14ac:dyDescent="0.35">
      <c r="A21369" t="s">
        <v>230</v>
      </c>
      <c r="B21369" t="s">
        <v>241</v>
      </c>
      <c r="C21369" s="26">
        <v>0.83979999999999999</v>
      </c>
      <c r="D21369" s="26">
        <v>0.1167</v>
      </c>
      <c r="E21369" s="26">
        <v>3.4500000000000003E-2</v>
      </c>
      <c r="F21369" s="26">
        <v>1.2999999999999999E-3</v>
      </c>
      <c r="G21369" s="26">
        <v>6.3E-3</v>
      </c>
      <c r="H21369" s="26">
        <v>1.4E-3</v>
      </c>
      <c r="J21369">
        <v>371</v>
      </c>
    </row>
    <row r="21370" spans="1:10" x14ac:dyDescent="0.35">
      <c r="A21370" t="s">
        <v>231</v>
      </c>
      <c r="B21370" t="s">
        <v>242</v>
      </c>
      <c r="C21370" s="26">
        <v>0.88890000000000002</v>
      </c>
      <c r="D21370" s="26">
        <v>7.4099999999999999E-2</v>
      </c>
      <c r="E21370" s="26">
        <v>3.6999999999999998E-2</v>
      </c>
      <c r="J21370">
        <v>54</v>
      </c>
    </row>
    <row r="21371" spans="1:10" x14ac:dyDescent="0.35">
      <c r="A21371" t="s">
        <v>231</v>
      </c>
      <c r="B21371" t="s">
        <v>241</v>
      </c>
      <c r="C21371" s="26">
        <v>0.90910000000000002</v>
      </c>
      <c r="D21371" s="26">
        <v>7.2700000000000001E-2</v>
      </c>
      <c r="E21371" s="26">
        <v>1.8200000000000001E-2</v>
      </c>
      <c r="J21371">
        <v>110</v>
      </c>
    </row>
    <row r="21372" spans="1:10" x14ac:dyDescent="0.35">
      <c r="A21372" t="s">
        <v>232</v>
      </c>
      <c r="B21372" t="s">
        <v>232</v>
      </c>
      <c r="C21372" s="26">
        <v>0.87270000000000003</v>
      </c>
      <c r="D21372" s="26">
        <v>0.08</v>
      </c>
      <c r="E21372" s="26">
        <v>3.3500000000000002E-2</v>
      </c>
      <c r="F21372" s="26">
        <v>7.1999999999999998E-3</v>
      </c>
      <c r="G21372" s="26">
        <v>4.3E-3</v>
      </c>
      <c r="H21372" s="26">
        <v>2E-3</v>
      </c>
      <c r="I21372" s="26">
        <v>4.0000000000000002E-4</v>
      </c>
      <c r="J21372">
        <v>2813</v>
      </c>
    </row>
    <row r="21374" spans="1:10" x14ac:dyDescent="0.35">
      <c r="A21374" s="1" t="s">
        <v>2083</v>
      </c>
    </row>
    <row r="21375" spans="1:10" x14ac:dyDescent="0.35">
      <c r="A21375" t="s">
        <v>219</v>
      </c>
      <c r="B21375" t="s">
        <v>305</v>
      </c>
      <c r="C21375" t="s">
        <v>2051</v>
      </c>
      <c r="D21375" t="s">
        <v>2052</v>
      </c>
      <c r="E21375" t="s">
        <v>2053</v>
      </c>
      <c r="F21375" t="s">
        <v>2054</v>
      </c>
      <c r="G21375" t="s">
        <v>2055</v>
      </c>
      <c r="H21375" t="s">
        <v>281</v>
      </c>
      <c r="I21375" t="s">
        <v>286</v>
      </c>
      <c r="J21375" t="s">
        <v>226</v>
      </c>
    </row>
    <row r="21376" spans="1:10" x14ac:dyDescent="0.35">
      <c r="A21376" t="s">
        <v>227</v>
      </c>
      <c r="B21376" t="s">
        <v>239</v>
      </c>
      <c r="C21376" s="26">
        <v>0.8387</v>
      </c>
      <c r="D21376" s="26">
        <v>0.1129</v>
      </c>
      <c r="E21376" s="26">
        <v>3.2300000000000002E-2</v>
      </c>
      <c r="F21376" s="26">
        <v>1.61E-2</v>
      </c>
      <c r="J21376">
        <v>62</v>
      </c>
    </row>
    <row r="21377" spans="1:10" x14ac:dyDescent="0.35">
      <c r="A21377" t="s">
        <v>227</v>
      </c>
      <c r="B21377" t="s">
        <v>238</v>
      </c>
      <c r="C21377" s="26">
        <v>0.85860000000000003</v>
      </c>
      <c r="D21377" s="26">
        <v>9.0899999999999995E-2</v>
      </c>
      <c r="E21377" s="26">
        <v>4.0399999999999998E-2</v>
      </c>
      <c r="F21377" s="26">
        <v>1.01E-2</v>
      </c>
      <c r="J21377">
        <v>99</v>
      </c>
    </row>
    <row r="21378" spans="1:10" x14ac:dyDescent="0.35">
      <c r="A21378" t="s">
        <v>228</v>
      </c>
      <c r="B21378" t="s">
        <v>239</v>
      </c>
      <c r="C21378" s="26">
        <v>0.82730000000000004</v>
      </c>
      <c r="D21378" s="26">
        <v>7.46E-2</v>
      </c>
      <c r="E21378" s="26">
        <v>5.8900000000000001E-2</v>
      </c>
      <c r="F21378" s="26">
        <v>1.67E-2</v>
      </c>
      <c r="G21378" s="26">
        <v>2.24E-2</v>
      </c>
      <c r="J21378">
        <v>330</v>
      </c>
    </row>
    <row r="21379" spans="1:10" x14ac:dyDescent="0.35">
      <c r="A21379" t="s">
        <v>228</v>
      </c>
      <c r="B21379" t="s">
        <v>238</v>
      </c>
      <c r="C21379" s="26">
        <v>0.85609999999999997</v>
      </c>
      <c r="D21379" s="26">
        <v>6.9099999999999995E-2</v>
      </c>
      <c r="E21379" s="26">
        <v>4.87E-2</v>
      </c>
      <c r="F21379" s="26">
        <v>7.4000000000000003E-3</v>
      </c>
      <c r="G21379" s="26">
        <v>1.8200000000000001E-2</v>
      </c>
      <c r="I21379" s="26">
        <v>5.0000000000000001E-4</v>
      </c>
      <c r="J21379">
        <v>703</v>
      </c>
    </row>
    <row r="21380" spans="1:10" x14ac:dyDescent="0.35">
      <c r="A21380" t="s">
        <v>229</v>
      </c>
      <c r="B21380" t="s">
        <v>239</v>
      </c>
      <c r="C21380" s="26">
        <v>0.88429999999999997</v>
      </c>
      <c r="D21380" s="26">
        <v>7.7700000000000005E-2</v>
      </c>
      <c r="E21380" s="26">
        <v>3.2099999999999997E-2</v>
      </c>
      <c r="F21380" s="26">
        <v>6.9999999999999999E-4</v>
      </c>
      <c r="H21380" s="26">
        <v>2.5999999999999999E-3</v>
      </c>
      <c r="I21380" s="26">
        <v>2.5999999999999999E-3</v>
      </c>
      <c r="J21380">
        <v>332</v>
      </c>
    </row>
    <row r="21381" spans="1:10" x14ac:dyDescent="0.35">
      <c r="A21381" t="s">
        <v>229</v>
      </c>
      <c r="B21381" t="s">
        <v>238</v>
      </c>
      <c r="C21381" s="26">
        <v>0.88080000000000003</v>
      </c>
      <c r="D21381" s="26">
        <v>7.3700000000000002E-2</v>
      </c>
      <c r="E21381" s="26">
        <v>2.4899999999999999E-2</v>
      </c>
      <c r="F21381" s="26">
        <v>1.21E-2</v>
      </c>
      <c r="H21381" s="26">
        <v>8.0000000000000002E-3</v>
      </c>
      <c r="I21381" s="26">
        <v>4.0000000000000002E-4</v>
      </c>
      <c r="J21381">
        <v>563</v>
      </c>
    </row>
    <row r="21382" spans="1:10" x14ac:dyDescent="0.35">
      <c r="A21382" t="s">
        <v>230</v>
      </c>
      <c r="B21382" t="s">
        <v>239</v>
      </c>
      <c r="C21382" s="26">
        <v>0.86970000000000003</v>
      </c>
      <c r="D21382" s="26">
        <v>4.1300000000000003E-2</v>
      </c>
      <c r="E21382" s="26">
        <v>5.6500000000000002E-2</v>
      </c>
      <c r="F21382" s="26">
        <v>2.2599999999999999E-2</v>
      </c>
      <c r="G21382" s="26">
        <v>9.9000000000000008E-3</v>
      </c>
      <c r="J21382">
        <v>211</v>
      </c>
    </row>
    <row r="21383" spans="1:10" x14ac:dyDescent="0.35">
      <c r="A21383" t="s">
        <v>230</v>
      </c>
      <c r="B21383" t="s">
        <v>238</v>
      </c>
      <c r="C21383" s="26">
        <v>0.82809999999999995</v>
      </c>
      <c r="D21383" s="26">
        <v>0.1318</v>
      </c>
      <c r="E21383" s="26">
        <v>3.0300000000000001E-2</v>
      </c>
      <c r="F21383" s="26">
        <v>4.1999999999999997E-3</v>
      </c>
      <c r="G21383" s="26">
        <v>4.3E-3</v>
      </c>
      <c r="H21383" s="26">
        <v>1.2999999999999999E-3</v>
      </c>
      <c r="J21383">
        <v>349</v>
      </c>
    </row>
    <row r="21384" spans="1:10" x14ac:dyDescent="0.35">
      <c r="A21384" t="s">
        <v>231</v>
      </c>
      <c r="B21384" t="s">
        <v>239</v>
      </c>
      <c r="C21384" s="26">
        <v>0.87719999999999998</v>
      </c>
      <c r="D21384" s="26">
        <v>7.0199999999999999E-2</v>
      </c>
      <c r="E21384" s="26">
        <v>5.2600000000000001E-2</v>
      </c>
      <c r="J21384">
        <v>57</v>
      </c>
    </row>
    <row r="21385" spans="1:10" x14ac:dyDescent="0.35">
      <c r="A21385" t="s">
        <v>231</v>
      </c>
      <c r="B21385" t="s">
        <v>238</v>
      </c>
      <c r="C21385" s="26">
        <v>0.91590000000000005</v>
      </c>
      <c r="D21385" s="26">
        <v>7.4800000000000005E-2</v>
      </c>
      <c r="E21385" s="26">
        <v>9.2999999999999992E-3</v>
      </c>
      <c r="J21385">
        <v>107</v>
      </c>
    </row>
    <row r="21386" spans="1:10" x14ac:dyDescent="0.35">
      <c r="A21386" t="s">
        <v>232</v>
      </c>
      <c r="B21386" t="s">
        <v>232</v>
      </c>
      <c r="C21386" s="26">
        <v>0.87270000000000003</v>
      </c>
      <c r="D21386" s="26">
        <v>0.08</v>
      </c>
      <c r="E21386" s="26">
        <v>3.3500000000000002E-2</v>
      </c>
      <c r="F21386" s="26">
        <v>7.1999999999999998E-3</v>
      </c>
      <c r="G21386" s="26">
        <v>4.3E-3</v>
      </c>
      <c r="H21386" s="26">
        <v>2E-3</v>
      </c>
      <c r="I21386" s="26">
        <v>4.0000000000000002E-4</v>
      </c>
      <c r="J21386">
        <v>2813</v>
      </c>
    </row>
    <row r="21388" spans="1:10" x14ac:dyDescent="0.35">
      <c r="A21388" s="1" t="s">
        <v>2084</v>
      </c>
    </row>
    <row r="21389" spans="1:10" x14ac:dyDescent="0.35">
      <c r="A21389" t="s">
        <v>219</v>
      </c>
      <c r="B21389" t="s">
        <v>305</v>
      </c>
      <c r="C21389" t="s">
        <v>2051</v>
      </c>
      <c r="D21389" t="s">
        <v>2052</v>
      </c>
      <c r="E21389" t="s">
        <v>2053</v>
      </c>
      <c r="F21389" t="s">
        <v>2054</v>
      </c>
      <c r="G21389" t="s">
        <v>2055</v>
      </c>
      <c r="H21389" t="s">
        <v>281</v>
      </c>
      <c r="I21389" t="s">
        <v>286</v>
      </c>
      <c r="J21389" t="s">
        <v>226</v>
      </c>
    </row>
    <row r="21390" spans="1:10" x14ac:dyDescent="0.35">
      <c r="A21390" t="s">
        <v>227</v>
      </c>
      <c r="B21390" t="s">
        <v>244</v>
      </c>
      <c r="C21390" s="26">
        <v>0.8125</v>
      </c>
      <c r="D21390" s="26">
        <v>0.11459999999999999</v>
      </c>
      <c r="E21390" s="26">
        <v>5.21E-2</v>
      </c>
      <c r="F21390" s="26">
        <v>2.0799999999999999E-2</v>
      </c>
      <c r="J21390">
        <v>96</v>
      </c>
    </row>
    <row r="21391" spans="1:10" x14ac:dyDescent="0.35">
      <c r="A21391" t="s">
        <v>227</v>
      </c>
      <c r="B21391" t="s">
        <v>245</v>
      </c>
      <c r="C21391" s="26">
        <v>0.94340000000000002</v>
      </c>
      <c r="D21391" s="26">
        <v>5.6599999999999998E-2</v>
      </c>
      <c r="J21391">
        <v>53</v>
      </c>
    </row>
    <row r="21392" spans="1:10" x14ac:dyDescent="0.35">
      <c r="A21392" s="27" t="s">
        <v>227</v>
      </c>
      <c r="B21392" s="27" t="s">
        <v>246</v>
      </c>
      <c r="C21392" s="28">
        <v>0.75</v>
      </c>
      <c r="D21392" s="28">
        <v>0.16669999999999999</v>
      </c>
      <c r="E21392" s="28">
        <v>8.3299999999999999E-2</v>
      </c>
      <c r="F21392" s="29"/>
      <c r="G21392" s="29"/>
      <c r="H21392" s="29"/>
      <c r="I21392" s="29"/>
      <c r="J21392" s="29" t="s">
        <v>342</v>
      </c>
    </row>
    <row r="21393" spans="1:10" x14ac:dyDescent="0.35">
      <c r="A21393" t="s">
        <v>228</v>
      </c>
      <c r="B21393" t="s">
        <v>244</v>
      </c>
      <c r="C21393" s="26">
        <v>0.85609999999999997</v>
      </c>
      <c r="D21393" s="26">
        <v>7.0400000000000004E-2</v>
      </c>
      <c r="E21393" s="26">
        <v>5.4600000000000003E-2</v>
      </c>
      <c r="F21393" s="26">
        <v>9.7999999999999997E-3</v>
      </c>
      <c r="G21393" s="26">
        <v>8.5000000000000006E-3</v>
      </c>
      <c r="I21393" s="26">
        <v>5.9999999999999995E-4</v>
      </c>
      <c r="J21393">
        <v>638</v>
      </c>
    </row>
    <row r="21394" spans="1:10" x14ac:dyDescent="0.35">
      <c r="A21394" t="s">
        <v>228</v>
      </c>
      <c r="B21394" t="s">
        <v>245</v>
      </c>
      <c r="C21394" s="26">
        <v>0.84789999999999999</v>
      </c>
      <c r="D21394" s="26">
        <v>6.2E-2</v>
      </c>
      <c r="E21394" s="26">
        <v>4.4499999999999998E-2</v>
      </c>
      <c r="F21394" s="26">
        <v>8.9999999999999993E-3</v>
      </c>
      <c r="G21394" s="26">
        <v>3.6700000000000003E-2</v>
      </c>
      <c r="J21394">
        <v>328</v>
      </c>
    </row>
    <row r="21395" spans="1:10" x14ac:dyDescent="0.35">
      <c r="A21395" t="s">
        <v>228</v>
      </c>
      <c r="B21395" t="s">
        <v>246</v>
      </c>
      <c r="C21395" s="26">
        <v>0.8024</v>
      </c>
      <c r="D21395" s="26">
        <v>0.1024</v>
      </c>
      <c r="E21395" s="26">
        <v>4.07E-2</v>
      </c>
      <c r="F21395" s="26">
        <v>6.0000000000000001E-3</v>
      </c>
      <c r="G21395" s="26">
        <v>4.8500000000000001E-2</v>
      </c>
      <c r="J21395">
        <v>67</v>
      </c>
    </row>
    <row r="21396" spans="1:10" x14ac:dyDescent="0.35">
      <c r="A21396" t="s">
        <v>229</v>
      </c>
      <c r="B21396" t="s">
        <v>244</v>
      </c>
      <c r="C21396" s="26">
        <v>0.88290000000000002</v>
      </c>
      <c r="D21396" s="26">
        <v>8.0600000000000005E-2</v>
      </c>
      <c r="E21396" s="26">
        <v>1.6799999999999999E-2</v>
      </c>
      <c r="F21396" s="26">
        <v>9.1000000000000004E-3</v>
      </c>
      <c r="H21396" s="26">
        <v>9.1000000000000004E-3</v>
      </c>
      <c r="I21396" s="26">
        <v>1.4E-3</v>
      </c>
      <c r="J21396">
        <v>557</v>
      </c>
    </row>
    <row r="21397" spans="1:10" x14ac:dyDescent="0.35">
      <c r="A21397" t="s">
        <v>229</v>
      </c>
      <c r="B21397" t="s">
        <v>245</v>
      </c>
      <c r="C21397" s="26">
        <v>0.8871</v>
      </c>
      <c r="D21397" s="26">
        <v>5.33E-2</v>
      </c>
      <c r="E21397" s="26">
        <v>4.7800000000000002E-2</v>
      </c>
      <c r="F21397" s="26">
        <v>1.0500000000000001E-2</v>
      </c>
      <c r="H21397" s="26">
        <v>1.2999999999999999E-3</v>
      </c>
      <c r="J21397">
        <v>293</v>
      </c>
    </row>
    <row r="21398" spans="1:10" x14ac:dyDescent="0.35">
      <c r="A21398" t="s">
        <v>229</v>
      </c>
      <c r="B21398" t="s">
        <v>246</v>
      </c>
      <c r="C21398" s="26">
        <v>0.84009999999999996</v>
      </c>
      <c r="D21398" s="26">
        <v>0.1004</v>
      </c>
      <c r="E21398" s="26">
        <v>5.6399999999999999E-2</v>
      </c>
      <c r="F21398" s="26">
        <v>3.2000000000000002E-3</v>
      </c>
      <c r="J21398">
        <v>45</v>
      </c>
    </row>
    <row r="21399" spans="1:10" x14ac:dyDescent="0.35">
      <c r="A21399" t="s">
        <v>230</v>
      </c>
      <c r="B21399" t="s">
        <v>244</v>
      </c>
      <c r="C21399" s="26">
        <v>0.83430000000000004</v>
      </c>
      <c r="D21399" s="26">
        <v>0.11509999999999999</v>
      </c>
      <c r="E21399" s="26">
        <v>3.4200000000000001E-2</v>
      </c>
      <c r="F21399" s="26">
        <v>1.0699999999999999E-2</v>
      </c>
      <c r="G21399" s="26">
        <v>4.3E-3</v>
      </c>
      <c r="H21399" s="26">
        <v>1.2999999999999999E-3</v>
      </c>
      <c r="J21399">
        <v>370</v>
      </c>
    </row>
    <row r="21400" spans="1:10" x14ac:dyDescent="0.35">
      <c r="A21400" t="s">
        <v>230</v>
      </c>
      <c r="B21400" t="s">
        <v>245</v>
      </c>
      <c r="C21400" s="26">
        <v>0.87450000000000006</v>
      </c>
      <c r="D21400" s="26">
        <v>8.8099999999999998E-2</v>
      </c>
      <c r="E21400" s="26">
        <v>2.4899999999999999E-2</v>
      </c>
      <c r="F21400" s="26">
        <v>4.4999999999999997E-3</v>
      </c>
      <c r="G21400" s="26">
        <v>8.0000000000000002E-3</v>
      </c>
      <c r="J21400">
        <v>161</v>
      </c>
    </row>
    <row r="21401" spans="1:10" x14ac:dyDescent="0.35">
      <c r="A21401" s="27" t="s">
        <v>230</v>
      </c>
      <c r="B21401" s="27" t="s">
        <v>246</v>
      </c>
      <c r="C21401" s="28">
        <v>0.74929999999999997</v>
      </c>
      <c r="D21401" s="28">
        <v>4.2599999999999999E-2</v>
      </c>
      <c r="E21401" s="28">
        <v>0.16550000000000001</v>
      </c>
      <c r="F21401" s="28">
        <v>2.3900000000000001E-2</v>
      </c>
      <c r="G21401" s="28">
        <v>1.8700000000000001E-2</v>
      </c>
      <c r="H21401" s="29"/>
      <c r="I21401" s="29"/>
      <c r="J21401" s="29" t="s">
        <v>329</v>
      </c>
    </row>
    <row r="21402" spans="1:10" x14ac:dyDescent="0.35">
      <c r="A21402" t="s">
        <v>231</v>
      </c>
      <c r="B21402" t="s">
        <v>244</v>
      </c>
      <c r="C21402" s="26">
        <v>0.93679999999999997</v>
      </c>
      <c r="D21402" s="26">
        <v>3.1600000000000003E-2</v>
      </c>
      <c r="E21402" s="26">
        <v>3.1600000000000003E-2</v>
      </c>
      <c r="J21402">
        <v>95</v>
      </c>
    </row>
    <row r="21403" spans="1:10" x14ac:dyDescent="0.35">
      <c r="A21403" t="s">
        <v>231</v>
      </c>
      <c r="B21403" t="s">
        <v>245</v>
      </c>
      <c r="C21403" s="26">
        <v>0.83930000000000005</v>
      </c>
      <c r="D21403" s="26">
        <v>0.1429</v>
      </c>
      <c r="E21403" s="26">
        <v>1.7899999999999999E-2</v>
      </c>
      <c r="J21403">
        <v>56</v>
      </c>
    </row>
    <row r="21404" spans="1:10" x14ac:dyDescent="0.35">
      <c r="A21404" s="27" t="s">
        <v>231</v>
      </c>
      <c r="B21404" s="27" t="s">
        <v>246</v>
      </c>
      <c r="C21404" s="28">
        <v>0.92310000000000003</v>
      </c>
      <c r="D21404" s="28">
        <v>7.6899999999999996E-2</v>
      </c>
      <c r="E21404" s="29"/>
      <c r="F21404" s="29"/>
      <c r="G21404" s="29"/>
      <c r="H21404" s="29"/>
      <c r="I21404" s="29"/>
      <c r="J21404" s="29" t="s">
        <v>341</v>
      </c>
    </row>
    <row r="21405" spans="1:10" x14ac:dyDescent="0.35">
      <c r="A21405" t="s">
        <v>232</v>
      </c>
      <c r="B21405" t="s">
        <v>232</v>
      </c>
      <c r="C21405" s="26">
        <v>0.87270000000000003</v>
      </c>
      <c r="D21405" s="26">
        <v>0.08</v>
      </c>
      <c r="E21405" s="26">
        <v>3.3500000000000002E-2</v>
      </c>
      <c r="F21405" s="26">
        <v>7.1999999999999998E-3</v>
      </c>
      <c r="G21405" s="26">
        <v>4.3E-3</v>
      </c>
      <c r="H21405" s="26">
        <v>2E-3</v>
      </c>
      <c r="I21405" s="26">
        <v>4.0000000000000002E-4</v>
      </c>
      <c r="J21405">
        <v>2813</v>
      </c>
    </row>
    <row r="21407" spans="1:10" x14ac:dyDescent="0.35">
      <c r="A21407" s="1" t="s">
        <v>2085</v>
      </c>
    </row>
    <row r="21408" spans="1:10" x14ac:dyDescent="0.35">
      <c r="A21408" t="s">
        <v>219</v>
      </c>
      <c r="B21408" t="s">
        <v>305</v>
      </c>
      <c r="C21408" t="s">
        <v>2051</v>
      </c>
      <c r="D21408" t="s">
        <v>2052</v>
      </c>
      <c r="E21408" t="s">
        <v>2053</v>
      </c>
      <c r="F21408" t="s">
        <v>2054</v>
      </c>
      <c r="G21408" t="s">
        <v>2055</v>
      </c>
      <c r="H21408" t="s">
        <v>281</v>
      </c>
      <c r="I21408" t="s">
        <v>286</v>
      </c>
      <c r="J21408" t="s">
        <v>226</v>
      </c>
    </row>
    <row r="21409" spans="1:10" x14ac:dyDescent="0.35">
      <c r="A21409" t="s">
        <v>227</v>
      </c>
      <c r="B21409" t="s">
        <v>360</v>
      </c>
      <c r="C21409" s="26">
        <v>0.84619999999999995</v>
      </c>
      <c r="D21409" s="26">
        <v>7.6899999999999996E-2</v>
      </c>
      <c r="E21409" s="26">
        <v>5.1299999999999998E-2</v>
      </c>
      <c r="F21409" s="26">
        <v>2.5600000000000001E-2</v>
      </c>
      <c r="J21409">
        <v>39</v>
      </c>
    </row>
    <row r="21410" spans="1:10" x14ac:dyDescent="0.35">
      <c r="A21410" t="s">
        <v>227</v>
      </c>
      <c r="B21410" t="s">
        <v>361</v>
      </c>
      <c r="C21410" s="26">
        <v>0.9375</v>
      </c>
      <c r="D21410" s="26">
        <v>3.1199999999999999E-2</v>
      </c>
      <c r="E21410" s="26">
        <v>3.1199999999999999E-2</v>
      </c>
      <c r="J21410">
        <v>32</v>
      </c>
    </row>
    <row r="21411" spans="1:10" x14ac:dyDescent="0.35">
      <c r="A21411" t="s">
        <v>227</v>
      </c>
      <c r="B21411" t="s">
        <v>362</v>
      </c>
      <c r="C21411" s="26">
        <v>0.81079999999999997</v>
      </c>
      <c r="D21411" s="26">
        <v>0.16220000000000001</v>
      </c>
      <c r="F21411" s="26">
        <v>2.7E-2</v>
      </c>
      <c r="J21411">
        <v>37</v>
      </c>
    </row>
    <row r="21412" spans="1:10" x14ac:dyDescent="0.35">
      <c r="A21412" t="s">
        <v>227</v>
      </c>
      <c r="B21412" t="s">
        <v>363</v>
      </c>
      <c r="C21412" s="26">
        <v>0.8</v>
      </c>
      <c r="D21412" s="26">
        <v>0.1333</v>
      </c>
      <c r="E21412" s="26">
        <v>6.6699999999999995E-2</v>
      </c>
      <c r="J21412">
        <v>45</v>
      </c>
    </row>
    <row r="21413" spans="1:10" x14ac:dyDescent="0.35">
      <c r="A21413" t="s">
        <v>228</v>
      </c>
      <c r="B21413" t="s">
        <v>360</v>
      </c>
      <c r="C21413" s="26">
        <v>0.75009999999999999</v>
      </c>
      <c r="D21413" s="26">
        <v>8.5500000000000007E-2</v>
      </c>
      <c r="E21413" s="26">
        <v>9.0899999999999995E-2</v>
      </c>
      <c r="F21413" s="26">
        <v>1.52E-2</v>
      </c>
      <c r="G21413" s="26">
        <v>5.8299999999999998E-2</v>
      </c>
      <c r="J21413">
        <v>258</v>
      </c>
    </row>
    <row r="21414" spans="1:10" x14ac:dyDescent="0.35">
      <c r="A21414" t="s">
        <v>228</v>
      </c>
      <c r="B21414" t="s">
        <v>361</v>
      </c>
      <c r="C21414" s="26">
        <v>0.86760000000000004</v>
      </c>
      <c r="D21414" s="26">
        <v>7.5899999999999995E-2</v>
      </c>
      <c r="E21414" s="26">
        <v>2.4500000000000001E-2</v>
      </c>
      <c r="F21414" s="26">
        <v>1.72E-2</v>
      </c>
      <c r="G21414" s="26">
        <v>1.4800000000000001E-2</v>
      </c>
      <c r="J21414">
        <v>194</v>
      </c>
    </row>
    <row r="21415" spans="1:10" x14ac:dyDescent="0.35">
      <c r="A21415" t="s">
        <v>228</v>
      </c>
      <c r="B21415" t="s">
        <v>363</v>
      </c>
      <c r="C21415" s="26">
        <v>0.87280000000000002</v>
      </c>
      <c r="D21415" s="26">
        <v>4.7100000000000003E-2</v>
      </c>
      <c r="E21415" s="26">
        <v>7.6999999999999999E-2</v>
      </c>
      <c r="F21415" s="26">
        <v>3.0000000000000001E-3</v>
      </c>
      <c r="J21415">
        <v>212</v>
      </c>
    </row>
    <row r="21416" spans="1:10" x14ac:dyDescent="0.35">
      <c r="A21416" t="s">
        <v>228</v>
      </c>
      <c r="B21416" t="s">
        <v>362</v>
      </c>
      <c r="C21416" s="26">
        <v>0.90780000000000005</v>
      </c>
      <c r="D21416" s="26">
        <v>5.9799999999999999E-2</v>
      </c>
      <c r="E21416" s="26">
        <v>2.6100000000000002E-2</v>
      </c>
      <c r="F21416" s="26">
        <v>3.5999999999999999E-3</v>
      </c>
      <c r="G21416" s="26">
        <v>2.8E-3</v>
      </c>
      <c r="J21416">
        <v>236</v>
      </c>
    </row>
    <row r="21417" spans="1:10" x14ac:dyDescent="0.35">
      <c r="A21417" t="s">
        <v>229</v>
      </c>
      <c r="B21417" t="s">
        <v>363</v>
      </c>
      <c r="C21417" s="26">
        <v>0.88549999999999995</v>
      </c>
      <c r="D21417" s="26">
        <v>8.1699999999999995E-2</v>
      </c>
      <c r="E21417" s="26">
        <v>1.55E-2</v>
      </c>
      <c r="F21417" s="26">
        <v>8.9999999999999998E-4</v>
      </c>
      <c r="H21417" s="26">
        <v>1.6400000000000001E-2</v>
      </c>
      <c r="J21417">
        <v>191</v>
      </c>
    </row>
    <row r="21418" spans="1:10" x14ac:dyDescent="0.35">
      <c r="A21418" t="s">
        <v>229</v>
      </c>
      <c r="B21418" t="s">
        <v>360</v>
      </c>
      <c r="C21418" s="26">
        <v>0.8165</v>
      </c>
      <c r="D21418" s="26">
        <v>0.1198</v>
      </c>
      <c r="E21418" s="26">
        <v>3.9899999999999998E-2</v>
      </c>
      <c r="F21418" s="26">
        <v>1.9400000000000001E-2</v>
      </c>
      <c r="I21418" s="26">
        <v>4.3E-3</v>
      </c>
      <c r="J21418">
        <v>164</v>
      </c>
    </row>
    <row r="21419" spans="1:10" x14ac:dyDescent="0.35">
      <c r="A21419" t="s">
        <v>229</v>
      </c>
      <c r="B21419" t="s">
        <v>361</v>
      </c>
      <c r="C21419" s="26">
        <v>0.87990000000000002</v>
      </c>
      <c r="D21419" s="26">
        <v>6.0400000000000002E-2</v>
      </c>
      <c r="E21419" s="26">
        <v>3.61E-2</v>
      </c>
      <c r="F21419" s="26">
        <v>1.5699999999999999E-2</v>
      </c>
      <c r="H21419" s="26">
        <v>7.9000000000000008E-3</v>
      </c>
      <c r="J21419">
        <v>243</v>
      </c>
    </row>
    <row r="21420" spans="1:10" x14ac:dyDescent="0.35">
      <c r="A21420" t="s">
        <v>229</v>
      </c>
      <c r="B21420" t="s">
        <v>362</v>
      </c>
      <c r="C21420" s="26">
        <v>0.90669999999999995</v>
      </c>
      <c r="D21420" s="26">
        <v>6.7599999999999993E-2</v>
      </c>
      <c r="E21420" s="26">
        <v>2.1600000000000001E-2</v>
      </c>
      <c r="H21420" s="26">
        <v>4.1000000000000003E-3</v>
      </c>
      <c r="J21420">
        <v>171</v>
      </c>
    </row>
    <row r="21421" spans="1:10" x14ac:dyDescent="0.35">
      <c r="A21421" t="s">
        <v>230</v>
      </c>
      <c r="B21421" t="s">
        <v>360</v>
      </c>
      <c r="C21421" s="26">
        <v>0.85</v>
      </c>
      <c r="D21421" s="26">
        <v>7.2499999999999995E-2</v>
      </c>
      <c r="E21421" s="26">
        <v>6.83E-2</v>
      </c>
      <c r="F21421" s="26">
        <v>2.8999999999999998E-3</v>
      </c>
      <c r="G21421" s="26">
        <v>6.3E-3</v>
      </c>
      <c r="J21421">
        <v>120</v>
      </c>
    </row>
    <row r="21422" spans="1:10" x14ac:dyDescent="0.35">
      <c r="A21422" t="s">
        <v>230</v>
      </c>
      <c r="B21422" t="s">
        <v>363</v>
      </c>
      <c r="C21422" s="26">
        <v>0.80920000000000003</v>
      </c>
      <c r="D21422" s="26">
        <v>0.14779999999999999</v>
      </c>
      <c r="E21422" s="26">
        <v>2.64E-2</v>
      </c>
      <c r="F21422" s="26">
        <v>8.8000000000000005E-3</v>
      </c>
      <c r="G21422" s="26">
        <v>7.7999999999999996E-3</v>
      </c>
      <c r="J21422">
        <v>127</v>
      </c>
    </row>
    <row r="21423" spans="1:10" x14ac:dyDescent="0.35">
      <c r="A21423" t="s">
        <v>230</v>
      </c>
      <c r="B21423" t="s">
        <v>361</v>
      </c>
      <c r="C21423" s="26">
        <v>0.86399999999999999</v>
      </c>
      <c r="D21423" s="26">
        <v>0.1148</v>
      </c>
      <c r="E21423" s="26">
        <v>1.7600000000000001E-2</v>
      </c>
      <c r="G21423" s="26">
        <v>3.5999999999999999E-3</v>
      </c>
      <c r="J21423">
        <v>109</v>
      </c>
    </row>
    <row r="21424" spans="1:10" x14ac:dyDescent="0.35">
      <c r="A21424" t="s">
        <v>230</v>
      </c>
      <c r="B21424" t="s">
        <v>362</v>
      </c>
      <c r="C21424" s="26">
        <v>0.83640000000000003</v>
      </c>
      <c r="D21424" s="26">
        <v>7.9500000000000001E-2</v>
      </c>
      <c r="E21424" s="26">
        <v>5.4399999999999997E-2</v>
      </c>
      <c r="F21424" s="26">
        <v>2.5000000000000001E-2</v>
      </c>
      <c r="G21424" s="26">
        <v>4.7000000000000002E-3</v>
      </c>
      <c r="J21424">
        <v>148</v>
      </c>
    </row>
    <row r="21425" spans="1:10" x14ac:dyDescent="0.35">
      <c r="A21425" s="27" t="s">
        <v>231</v>
      </c>
      <c r="B21425" s="27" t="s">
        <v>362</v>
      </c>
      <c r="C21425" s="28">
        <v>0.93100000000000005</v>
      </c>
      <c r="D21425" s="28">
        <v>3.4500000000000003E-2</v>
      </c>
      <c r="E21425" s="28">
        <v>3.4500000000000003E-2</v>
      </c>
      <c r="F21425" s="29"/>
      <c r="G21425" s="29"/>
      <c r="H21425" s="29"/>
      <c r="I21425" s="29"/>
      <c r="J21425" s="29" t="s">
        <v>329</v>
      </c>
    </row>
    <row r="21426" spans="1:10" x14ac:dyDescent="0.35">
      <c r="A21426" t="s">
        <v>231</v>
      </c>
      <c r="B21426" t="s">
        <v>361</v>
      </c>
      <c r="C21426" s="26">
        <v>0.9</v>
      </c>
      <c r="D21426" s="26">
        <v>0.1</v>
      </c>
      <c r="J21426">
        <v>50</v>
      </c>
    </row>
    <row r="21427" spans="1:10" x14ac:dyDescent="0.35">
      <c r="A21427" t="s">
        <v>231</v>
      </c>
      <c r="B21427" t="s">
        <v>360</v>
      </c>
      <c r="C21427" s="26">
        <v>0.86360000000000003</v>
      </c>
      <c r="D21427" s="26">
        <v>6.8199999999999997E-2</v>
      </c>
      <c r="E21427" s="26">
        <v>6.8199999999999997E-2</v>
      </c>
      <c r="J21427">
        <v>44</v>
      </c>
    </row>
    <row r="21428" spans="1:10" x14ac:dyDescent="0.35">
      <c r="A21428" s="27" t="s">
        <v>231</v>
      </c>
      <c r="B21428" s="27" t="s">
        <v>363</v>
      </c>
      <c r="C21428" s="28">
        <v>0.92589999999999995</v>
      </c>
      <c r="D21428" s="28">
        <v>7.4099999999999999E-2</v>
      </c>
      <c r="E21428" s="29"/>
      <c r="F21428" s="29"/>
      <c r="G21428" s="29"/>
      <c r="H21428" s="29"/>
      <c r="I21428" s="29"/>
      <c r="J21428" s="29" t="s">
        <v>338</v>
      </c>
    </row>
    <row r="21429" spans="1:10" x14ac:dyDescent="0.35">
      <c r="A21429" t="s">
        <v>232</v>
      </c>
      <c r="B21429" t="s">
        <v>232</v>
      </c>
      <c r="C21429" s="26">
        <v>0.87270000000000003</v>
      </c>
      <c r="D21429" s="26">
        <v>0.08</v>
      </c>
      <c r="E21429" s="26">
        <v>3.3500000000000002E-2</v>
      </c>
      <c r="F21429" s="26">
        <v>7.1999999999999998E-3</v>
      </c>
      <c r="G21429" s="26">
        <v>4.3E-3</v>
      </c>
      <c r="H21429" s="26">
        <v>2E-3</v>
      </c>
      <c r="I21429" s="26">
        <v>4.0000000000000002E-4</v>
      </c>
      <c r="J21429">
        <v>2476</v>
      </c>
    </row>
    <row r="21431" spans="1:10" x14ac:dyDescent="0.35">
      <c r="A21431" s="1" t="s">
        <v>2086</v>
      </c>
    </row>
    <row r="21432" spans="1:10" x14ac:dyDescent="0.35">
      <c r="A21432" t="s">
        <v>219</v>
      </c>
      <c r="B21432" t="s">
        <v>305</v>
      </c>
      <c r="C21432" t="s">
        <v>2051</v>
      </c>
      <c r="D21432" t="s">
        <v>2052</v>
      </c>
      <c r="E21432" t="s">
        <v>2053</v>
      </c>
      <c r="F21432" t="s">
        <v>2054</v>
      </c>
      <c r="G21432" t="s">
        <v>2055</v>
      </c>
      <c r="H21432" t="s">
        <v>281</v>
      </c>
      <c r="I21432" t="s">
        <v>286</v>
      </c>
      <c r="J21432" t="s">
        <v>226</v>
      </c>
    </row>
    <row r="21433" spans="1:10" x14ac:dyDescent="0.35">
      <c r="A21433" t="s">
        <v>227</v>
      </c>
      <c r="B21433" t="s">
        <v>267</v>
      </c>
      <c r="C21433" s="26">
        <v>0.88890000000000002</v>
      </c>
      <c r="D21433" s="26">
        <v>8.3299999999999999E-2</v>
      </c>
      <c r="F21433" s="26">
        <v>2.7799999999999998E-2</v>
      </c>
      <c r="J21433">
        <v>36</v>
      </c>
    </row>
    <row r="21434" spans="1:10" x14ac:dyDescent="0.35">
      <c r="A21434" t="s">
        <v>227</v>
      </c>
      <c r="B21434" t="s">
        <v>266</v>
      </c>
      <c r="C21434" s="26">
        <v>0.89829999999999999</v>
      </c>
      <c r="D21434" s="26">
        <v>6.7799999999999999E-2</v>
      </c>
      <c r="E21434" s="26">
        <v>3.39E-2</v>
      </c>
      <c r="J21434">
        <v>59</v>
      </c>
    </row>
    <row r="21435" spans="1:10" x14ac:dyDescent="0.35">
      <c r="A21435" t="s">
        <v>227</v>
      </c>
      <c r="B21435" t="s">
        <v>265</v>
      </c>
      <c r="C21435" s="26">
        <v>0.78790000000000004</v>
      </c>
      <c r="D21435" s="26">
        <v>0.13639999999999999</v>
      </c>
      <c r="E21435" s="26">
        <v>6.0600000000000001E-2</v>
      </c>
      <c r="F21435" s="26">
        <v>1.52E-2</v>
      </c>
      <c r="J21435">
        <v>66</v>
      </c>
    </row>
    <row r="21436" spans="1:10" x14ac:dyDescent="0.35">
      <c r="A21436" t="s">
        <v>228</v>
      </c>
      <c r="B21436" t="s">
        <v>267</v>
      </c>
      <c r="C21436" s="26">
        <v>0.86299999999999999</v>
      </c>
      <c r="D21436" s="26">
        <v>8.3000000000000004E-2</v>
      </c>
      <c r="E21436" s="26">
        <v>4.3999999999999997E-2</v>
      </c>
      <c r="F21436" s="26">
        <v>8.5000000000000006E-3</v>
      </c>
      <c r="G21436" s="26">
        <v>1.4E-3</v>
      </c>
      <c r="J21436">
        <v>199</v>
      </c>
    </row>
    <row r="21437" spans="1:10" x14ac:dyDescent="0.35">
      <c r="A21437" t="s">
        <v>228</v>
      </c>
      <c r="B21437" t="s">
        <v>265</v>
      </c>
      <c r="C21437" s="26">
        <v>0.85240000000000005</v>
      </c>
      <c r="D21437" s="26">
        <v>6.7699999999999996E-2</v>
      </c>
      <c r="E21437" s="26">
        <v>5.7500000000000002E-2</v>
      </c>
      <c r="F21437" s="26">
        <v>2.2000000000000001E-3</v>
      </c>
      <c r="G21437" s="26">
        <v>1.9199999999999998E-2</v>
      </c>
      <c r="I21437" s="26">
        <v>1E-3</v>
      </c>
      <c r="J21437">
        <v>384</v>
      </c>
    </row>
    <row r="21438" spans="1:10" x14ac:dyDescent="0.35">
      <c r="A21438" s="27" t="s">
        <v>228</v>
      </c>
      <c r="B21438" s="27" t="s">
        <v>236</v>
      </c>
      <c r="C21438" s="28">
        <v>1</v>
      </c>
      <c r="D21438" s="29"/>
      <c r="E21438" s="29"/>
      <c r="F21438" s="29"/>
      <c r="G21438" s="29"/>
      <c r="H21438" s="29"/>
      <c r="I21438" s="29"/>
      <c r="J21438" s="29" t="s">
        <v>314</v>
      </c>
    </row>
    <row r="21439" spans="1:10" x14ac:dyDescent="0.35">
      <c r="A21439" t="s">
        <v>228</v>
      </c>
      <c r="B21439" t="s">
        <v>266</v>
      </c>
      <c r="C21439" s="26">
        <v>0.84009999999999996</v>
      </c>
      <c r="D21439" s="26">
        <v>6.8699999999999997E-2</v>
      </c>
      <c r="E21439" s="26">
        <v>4.7800000000000002E-2</v>
      </c>
      <c r="F21439" s="26">
        <v>1.7000000000000001E-2</v>
      </c>
      <c r="G21439" s="26">
        <v>2.6499999999999999E-2</v>
      </c>
      <c r="J21439">
        <v>448</v>
      </c>
    </row>
    <row r="21440" spans="1:10" x14ac:dyDescent="0.35">
      <c r="A21440" t="s">
        <v>229</v>
      </c>
      <c r="B21440" t="s">
        <v>266</v>
      </c>
      <c r="C21440" s="26">
        <v>0.85599999999999998</v>
      </c>
      <c r="D21440" s="26">
        <v>9.7299999999999998E-2</v>
      </c>
      <c r="E21440" s="26">
        <v>3.7499999999999999E-2</v>
      </c>
      <c r="F21440" s="26">
        <v>8.0999999999999996E-3</v>
      </c>
      <c r="H21440" s="26">
        <v>1E-3</v>
      </c>
      <c r="J21440">
        <v>359</v>
      </c>
    </row>
    <row r="21441" spans="1:10" x14ac:dyDescent="0.35">
      <c r="A21441" t="s">
        <v>229</v>
      </c>
      <c r="B21441" t="s">
        <v>267</v>
      </c>
      <c r="C21441" s="26">
        <v>0.91310000000000002</v>
      </c>
      <c r="D21441" s="26">
        <v>3.0800000000000001E-2</v>
      </c>
      <c r="E21441" s="26">
        <v>2.9000000000000001E-2</v>
      </c>
      <c r="F21441" s="26">
        <v>2.7E-2</v>
      </c>
      <c r="J21441">
        <v>201</v>
      </c>
    </row>
    <row r="21442" spans="1:10" x14ac:dyDescent="0.35">
      <c r="A21442" t="s">
        <v>229</v>
      </c>
      <c r="B21442" t="s">
        <v>265</v>
      </c>
      <c r="C21442" s="26">
        <v>0.88490000000000002</v>
      </c>
      <c r="D21442" s="26">
        <v>7.9899999999999999E-2</v>
      </c>
      <c r="E21442" s="26">
        <v>1.78E-2</v>
      </c>
      <c r="F21442" s="26">
        <v>1.1000000000000001E-3</v>
      </c>
      <c r="H21442" s="26">
        <v>1.41E-2</v>
      </c>
      <c r="I21442" s="26">
        <v>2.2000000000000001E-3</v>
      </c>
      <c r="J21442">
        <v>335</v>
      </c>
    </row>
    <row r="21443" spans="1:10" x14ac:dyDescent="0.35">
      <c r="A21443" t="s">
        <v>230</v>
      </c>
      <c r="B21443" t="s">
        <v>267</v>
      </c>
      <c r="C21443" s="26">
        <v>0.89510000000000001</v>
      </c>
      <c r="D21443" s="26">
        <v>7.5499999999999998E-2</v>
      </c>
      <c r="E21443" s="26">
        <v>1.8700000000000001E-2</v>
      </c>
      <c r="F21443" s="26">
        <v>2.5000000000000001E-3</v>
      </c>
      <c r="G21443" s="26">
        <v>8.2000000000000007E-3</v>
      </c>
      <c r="J21443">
        <v>119</v>
      </c>
    </row>
    <row r="21444" spans="1:10" x14ac:dyDescent="0.35">
      <c r="A21444" t="s">
        <v>230</v>
      </c>
      <c r="B21444" t="s">
        <v>266</v>
      </c>
      <c r="C21444" s="26">
        <v>0.85729999999999995</v>
      </c>
      <c r="D21444" s="26">
        <v>8.4500000000000006E-2</v>
      </c>
      <c r="E21444" s="26">
        <v>3.1099999999999999E-2</v>
      </c>
      <c r="F21444" s="26">
        <v>2.06E-2</v>
      </c>
      <c r="G21444" s="26">
        <v>6.4999999999999997E-3</v>
      </c>
      <c r="J21444">
        <v>232</v>
      </c>
    </row>
    <row r="21445" spans="1:10" x14ac:dyDescent="0.35">
      <c r="A21445" t="s">
        <v>230</v>
      </c>
      <c r="B21445" t="s">
        <v>265</v>
      </c>
      <c r="C21445" s="26">
        <v>0.79759999999999998</v>
      </c>
      <c r="D21445" s="26">
        <v>0.1371</v>
      </c>
      <c r="E21445" s="26">
        <v>5.45E-2</v>
      </c>
      <c r="F21445" s="26">
        <v>4.1999999999999997E-3</v>
      </c>
      <c r="G21445" s="26">
        <v>4.3E-3</v>
      </c>
      <c r="H21445" s="26">
        <v>2.2000000000000001E-3</v>
      </c>
      <c r="J21445">
        <v>209</v>
      </c>
    </row>
    <row r="21446" spans="1:10" x14ac:dyDescent="0.35">
      <c r="A21446" t="s">
        <v>231</v>
      </c>
      <c r="B21446" t="s">
        <v>267</v>
      </c>
      <c r="C21446" s="26">
        <v>0.91180000000000005</v>
      </c>
      <c r="D21446" s="26">
        <v>8.8200000000000001E-2</v>
      </c>
      <c r="J21446">
        <v>34</v>
      </c>
    </row>
    <row r="21447" spans="1:10" x14ac:dyDescent="0.35">
      <c r="A21447" t="s">
        <v>231</v>
      </c>
      <c r="B21447" t="s">
        <v>266</v>
      </c>
      <c r="C21447" s="26">
        <v>0.8871</v>
      </c>
      <c r="D21447" s="26">
        <v>8.0600000000000005E-2</v>
      </c>
      <c r="E21447" s="26">
        <v>3.2300000000000002E-2</v>
      </c>
      <c r="J21447">
        <v>62</v>
      </c>
    </row>
    <row r="21448" spans="1:10" x14ac:dyDescent="0.35">
      <c r="A21448" t="s">
        <v>231</v>
      </c>
      <c r="B21448" t="s">
        <v>265</v>
      </c>
      <c r="C21448" s="26">
        <v>0.91180000000000005</v>
      </c>
      <c r="D21448" s="26">
        <v>5.8799999999999998E-2</v>
      </c>
      <c r="E21448" s="26">
        <v>2.9399999999999999E-2</v>
      </c>
      <c r="J21448">
        <v>68</v>
      </c>
    </row>
    <row r="21449" spans="1:10" x14ac:dyDescent="0.35">
      <c r="A21449" t="s">
        <v>232</v>
      </c>
      <c r="B21449" t="s">
        <v>232</v>
      </c>
      <c r="C21449" s="26">
        <v>0.87270000000000003</v>
      </c>
      <c r="D21449" s="26">
        <v>0.08</v>
      </c>
      <c r="E21449" s="26">
        <v>3.3500000000000002E-2</v>
      </c>
      <c r="F21449" s="26">
        <v>7.1999999999999998E-3</v>
      </c>
      <c r="G21449" s="26">
        <v>4.3E-3</v>
      </c>
      <c r="H21449" s="26">
        <v>2E-3</v>
      </c>
      <c r="I21449" s="26">
        <v>4.0000000000000002E-4</v>
      </c>
      <c r="J21449">
        <v>2813</v>
      </c>
    </row>
    <row r="21451" spans="1:10" x14ac:dyDescent="0.35">
      <c r="A21451" s="1" t="s">
        <v>2087</v>
      </c>
    </row>
    <row r="21452" spans="1:10" x14ac:dyDescent="0.35">
      <c r="A21452" t="s">
        <v>219</v>
      </c>
      <c r="B21452" t="s">
        <v>305</v>
      </c>
      <c r="C21452" t="s">
        <v>2051</v>
      </c>
      <c r="D21452" t="s">
        <v>2052</v>
      </c>
      <c r="E21452" t="s">
        <v>2053</v>
      </c>
      <c r="F21452" t="s">
        <v>2054</v>
      </c>
      <c r="G21452" t="s">
        <v>2055</v>
      </c>
      <c r="H21452" t="s">
        <v>281</v>
      </c>
      <c r="I21452" t="s">
        <v>286</v>
      </c>
      <c r="J21452" t="s">
        <v>226</v>
      </c>
    </row>
    <row r="21453" spans="1:10" x14ac:dyDescent="0.35">
      <c r="A21453" t="s">
        <v>227</v>
      </c>
      <c r="B21453" t="s">
        <v>252</v>
      </c>
      <c r="C21453" s="26">
        <v>0.91110000000000002</v>
      </c>
      <c r="D21453" s="26">
        <v>6.6699999999999995E-2</v>
      </c>
      <c r="F21453" s="26">
        <v>2.2200000000000001E-2</v>
      </c>
      <c r="J21453">
        <v>45</v>
      </c>
    </row>
    <row r="21454" spans="1:10" x14ac:dyDescent="0.35">
      <c r="A21454" t="s">
        <v>227</v>
      </c>
      <c r="B21454" t="s">
        <v>253</v>
      </c>
      <c r="C21454" s="26">
        <v>0.76470000000000005</v>
      </c>
      <c r="D21454" s="26">
        <v>0.2059</v>
      </c>
      <c r="E21454" s="26">
        <v>2.9399999999999999E-2</v>
      </c>
      <c r="J21454">
        <v>34</v>
      </c>
    </row>
    <row r="21455" spans="1:10" x14ac:dyDescent="0.35">
      <c r="A21455" t="s">
        <v>227</v>
      </c>
      <c r="B21455" t="s">
        <v>251</v>
      </c>
      <c r="C21455" s="26">
        <v>0.85370000000000001</v>
      </c>
      <c r="D21455" s="26">
        <v>7.3200000000000001E-2</v>
      </c>
      <c r="E21455" s="26">
        <v>6.0999999999999999E-2</v>
      </c>
      <c r="F21455" s="26">
        <v>1.2200000000000001E-2</v>
      </c>
      <c r="J21455">
        <v>82</v>
      </c>
    </row>
    <row r="21456" spans="1:10" x14ac:dyDescent="0.35">
      <c r="A21456" t="s">
        <v>228</v>
      </c>
      <c r="B21456" t="s">
        <v>252</v>
      </c>
      <c r="C21456" s="26">
        <v>0.88700000000000001</v>
      </c>
      <c r="D21456" s="26">
        <v>3.6400000000000002E-2</v>
      </c>
      <c r="E21456" s="26">
        <v>4.5199999999999997E-2</v>
      </c>
      <c r="F21456" s="26">
        <v>7.9000000000000008E-3</v>
      </c>
      <c r="G21456" s="26">
        <v>2.23E-2</v>
      </c>
      <c r="I21456" s="26">
        <v>1.2999999999999999E-3</v>
      </c>
      <c r="J21456">
        <v>344</v>
      </c>
    </row>
    <row r="21457" spans="1:10" x14ac:dyDescent="0.35">
      <c r="A21457" t="s">
        <v>228</v>
      </c>
      <c r="B21457" t="s">
        <v>253</v>
      </c>
      <c r="C21457" s="26">
        <v>0.77059999999999995</v>
      </c>
      <c r="D21457" s="26">
        <v>0.1076</v>
      </c>
      <c r="E21457" s="26">
        <v>7.6999999999999999E-2</v>
      </c>
      <c r="F21457" s="26">
        <v>6.7999999999999996E-3</v>
      </c>
      <c r="G21457" s="26">
        <v>3.7999999999999999E-2</v>
      </c>
      <c r="J21457">
        <v>222</v>
      </c>
    </row>
    <row r="21458" spans="1:10" x14ac:dyDescent="0.35">
      <c r="A21458" t="s">
        <v>228</v>
      </c>
      <c r="B21458" t="s">
        <v>251</v>
      </c>
      <c r="C21458" s="26">
        <v>0.85960000000000003</v>
      </c>
      <c r="D21458" s="26">
        <v>7.6899999999999996E-2</v>
      </c>
      <c r="E21458" s="26">
        <v>4.3400000000000001E-2</v>
      </c>
      <c r="F21458" s="26">
        <v>1.14E-2</v>
      </c>
      <c r="G21458" s="26">
        <v>8.6999999999999994E-3</v>
      </c>
      <c r="J21458">
        <v>467</v>
      </c>
    </row>
    <row r="21459" spans="1:10" x14ac:dyDescent="0.35">
      <c r="A21459" t="s">
        <v>229</v>
      </c>
      <c r="B21459" t="s">
        <v>252</v>
      </c>
      <c r="C21459" s="26">
        <v>0.93230000000000002</v>
      </c>
      <c r="D21459" s="26">
        <v>5.4300000000000001E-2</v>
      </c>
      <c r="E21459" s="26">
        <v>8.0000000000000004E-4</v>
      </c>
      <c r="F21459" s="26">
        <v>1.12E-2</v>
      </c>
      <c r="H21459" s="26">
        <v>1.5E-3</v>
      </c>
      <c r="J21459">
        <v>199</v>
      </c>
    </row>
    <row r="21460" spans="1:10" x14ac:dyDescent="0.35">
      <c r="A21460" t="s">
        <v>229</v>
      </c>
      <c r="B21460" t="s">
        <v>253</v>
      </c>
      <c r="C21460" s="26">
        <v>0.86760000000000004</v>
      </c>
      <c r="D21460" s="26">
        <v>8.1199999999999994E-2</v>
      </c>
      <c r="E21460" s="26">
        <v>3.09E-2</v>
      </c>
      <c r="F21460" s="26">
        <v>1.6799999999999999E-2</v>
      </c>
      <c r="I21460" s="26">
        <v>3.5000000000000001E-3</v>
      </c>
      <c r="J21460">
        <v>145</v>
      </c>
    </row>
    <row r="21461" spans="1:10" x14ac:dyDescent="0.35">
      <c r="A21461" t="s">
        <v>229</v>
      </c>
      <c r="B21461" t="s">
        <v>251</v>
      </c>
      <c r="C21461" s="26">
        <v>0.8669</v>
      </c>
      <c r="D21461" s="26">
        <v>8.0399999999999999E-2</v>
      </c>
      <c r="E21461" s="26">
        <v>3.5400000000000001E-2</v>
      </c>
      <c r="F21461" s="26">
        <v>6.0000000000000001E-3</v>
      </c>
      <c r="H21461" s="26">
        <v>1.0800000000000001E-2</v>
      </c>
      <c r="I21461" s="26">
        <v>5.9999999999999995E-4</v>
      </c>
      <c r="J21461">
        <v>551</v>
      </c>
    </row>
    <row r="21462" spans="1:10" x14ac:dyDescent="0.35">
      <c r="A21462" t="s">
        <v>230</v>
      </c>
      <c r="B21462" t="s">
        <v>252</v>
      </c>
      <c r="C21462" s="26">
        <v>0.87409999999999999</v>
      </c>
      <c r="D21462" s="26">
        <v>8.3400000000000002E-2</v>
      </c>
      <c r="E21462" s="26">
        <v>3.5799999999999998E-2</v>
      </c>
      <c r="F21462" s="26">
        <v>4.4999999999999997E-3</v>
      </c>
      <c r="G21462" s="26">
        <v>2.0999999999999999E-3</v>
      </c>
      <c r="J21462">
        <v>159</v>
      </c>
    </row>
    <row r="21463" spans="1:10" x14ac:dyDescent="0.35">
      <c r="A21463" t="s">
        <v>230</v>
      </c>
      <c r="B21463" t="s">
        <v>253</v>
      </c>
      <c r="C21463" s="26">
        <v>0.82479999999999998</v>
      </c>
      <c r="D21463" s="26">
        <v>0.1241</v>
      </c>
      <c r="E21463" s="26">
        <v>3.39E-2</v>
      </c>
      <c r="F21463" s="26">
        <v>7.6E-3</v>
      </c>
      <c r="G21463" s="26">
        <v>9.5999999999999992E-3</v>
      </c>
      <c r="J21463">
        <v>110</v>
      </c>
    </row>
    <row r="21464" spans="1:10" x14ac:dyDescent="0.35">
      <c r="A21464" t="s">
        <v>230</v>
      </c>
      <c r="B21464" t="s">
        <v>251</v>
      </c>
      <c r="C21464" s="26">
        <v>0.8306</v>
      </c>
      <c r="D21464" s="26">
        <v>0.1076</v>
      </c>
      <c r="E21464" s="26">
        <v>4.07E-2</v>
      </c>
      <c r="F21464" s="26">
        <v>1.29E-2</v>
      </c>
      <c r="G21464" s="26">
        <v>6.4999999999999997E-3</v>
      </c>
      <c r="H21464" s="26">
        <v>1.6000000000000001E-3</v>
      </c>
      <c r="J21464">
        <v>291</v>
      </c>
    </row>
    <row r="21465" spans="1:10" x14ac:dyDescent="0.35">
      <c r="A21465" t="s">
        <v>231</v>
      </c>
      <c r="B21465" t="s">
        <v>252</v>
      </c>
      <c r="C21465" s="26">
        <v>0.89800000000000002</v>
      </c>
      <c r="D21465" s="26">
        <v>6.1199999999999997E-2</v>
      </c>
      <c r="E21465" s="26">
        <v>4.0800000000000003E-2</v>
      </c>
      <c r="J21465">
        <v>49</v>
      </c>
    </row>
    <row r="21466" spans="1:10" x14ac:dyDescent="0.35">
      <c r="A21466" t="s">
        <v>231</v>
      </c>
      <c r="B21466" t="s">
        <v>253</v>
      </c>
      <c r="C21466" s="26">
        <v>0.93330000000000002</v>
      </c>
      <c r="D21466" s="26">
        <v>3.3300000000000003E-2</v>
      </c>
      <c r="E21466" s="26">
        <v>3.3300000000000003E-2</v>
      </c>
      <c r="J21466">
        <v>30</v>
      </c>
    </row>
    <row r="21467" spans="1:10" x14ac:dyDescent="0.35">
      <c r="A21467" t="s">
        <v>231</v>
      </c>
      <c r="B21467" t="s">
        <v>251</v>
      </c>
      <c r="C21467" s="26">
        <v>0.89410000000000001</v>
      </c>
      <c r="D21467" s="26">
        <v>9.4100000000000003E-2</v>
      </c>
      <c r="E21467" s="26">
        <v>1.18E-2</v>
      </c>
      <c r="J21467">
        <v>85</v>
      </c>
    </row>
    <row r="21468" spans="1:10" x14ac:dyDescent="0.35">
      <c r="A21468" t="s">
        <v>232</v>
      </c>
      <c r="B21468" t="s">
        <v>232</v>
      </c>
      <c r="C21468" s="26">
        <v>0.87270000000000003</v>
      </c>
      <c r="D21468" s="26">
        <v>0.08</v>
      </c>
      <c r="E21468" s="26">
        <v>3.3500000000000002E-2</v>
      </c>
      <c r="F21468" s="26">
        <v>7.1999999999999998E-3</v>
      </c>
      <c r="G21468" s="26">
        <v>4.3E-3</v>
      </c>
      <c r="H21468" s="26">
        <v>2E-3</v>
      </c>
      <c r="I21468" s="26">
        <v>4.0000000000000002E-4</v>
      </c>
      <c r="J21468">
        <v>2813</v>
      </c>
    </row>
    <row r="21470" spans="1:10" x14ac:dyDescent="0.35">
      <c r="A21470" s="1" t="s">
        <v>2088</v>
      </c>
    </row>
    <row r="21471" spans="1:10" x14ac:dyDescent="0.35">
      <c r="A21471" t="s">
        <v>219</v>
      </c>
      <c r="B21471" t="s">
        <v>305</v>
      </c>
      <c r="C21471" t="s">
        <v>2051</v>
      </c>
      <c r="D21471" t="s">
        <v>2052</v>
      </c>
      <c r="E21471" t="s">
        <v>2053</v>
      </c>
      <c r="F21471" t="s">
        <v>2054</v>
      </c>
      <c r="G21471" t="s">
        <v>2055</v>
      </c>
      <c r="H21471" t="s">
        <v>281</v>
      </c>
      <c r="I21471" t="s">
        <v>286</v>
      </c>
      <c r="J21471" t="s">
        <v>226</v>
      </c>
    </row>
    <row r="21472" spans="1:10" x14ac:dyDescent="0.35">
      <c r="A21472" t="s">
        <v>227</v>
      </c>
      <c r="B21472" t="s">
        <v>249</v>
      </c>
      <c r="C21472" s="26">
        <v>0.72729999999999995</v>
      </c>
      <c r="D21472" s="26">
        <v>0.15909999999999999</v>
      </c>
      <c r="E21472" s="26">
        <v>0.11360000000000001</v>
      </c>
      <c r="J21472">
        <v>44</v>
      </c>
    </row>
    <row r="21473" spans="1:10" x14ac:dyDescent="0.35">
      <c r="A21473" t="s">
        <v>227</v>
      </c>
      <c r="B21473" t="s">
        <v>248</v>
      </c>
      <c r="C21473" s="26">
        <v>0.89739999999999998</v>
      </c>
      <c r="D21473" s="26">
        <v>7.6899999999999996E-2</v>
      </c>
      <c r="E21473" s="26">
        <v>8.5000000000000006E-3</v>
      </c>
      <c r="F21473" s="26">
        <v>1.7100000000000001E-2</v>
      </c>
      <c r="J21473">
        <v>117</v>
      </c>
    </row>
    <row r="21474" spans="1:10" x14ac:dyDescent="0.35">
      <c r="A21474" t="s">
        <v>228</v>
      </c>
      <c r="B21474" t="s">
        <v>249</v>
      </c>
      <c r="C21474" s="26">
        <v>0.83889999999999998</v>
      </c>
      <c r="D21474" s="26">
        <v>9.6799999999999997E-2</v>
      </c>
      <c r="E21474" s="26">
        <v>4.2999999999999997E-2</v>
      </c>
      <c r="F21474" s="26">
        <v>3.5999999999999999E-3</v>
      </c>
      <c r="G21474" s="26">
        <v>1.77E-2</v>
      </c>
      <c r="J21474">
        <v>274</v>
      </c>
    </row>
    <row r="21475" spans="1:10" x14ac:dyDescent="0.35">
      <c r="A21475" t="s">
        <v>228</v>
      </c>
      <c r="B21475" t="s">
        <v>248</v>
      </c>
      <c r="C21475" s="26">
        <v>0.85489999999999999</v>
      </c>
      <c r="D21475" s="26">
        <v>5.8900000000000001E-2</v>
      </c>
      <c r="E21475" s="26">
        <v>5.4199999999999998E-2</v>
      </c>
      <c r="F21475" s="26">
        <v>1.17E-2</v>
      </c>
      <c r="G21475" s="26">
        <v>1.9599999999999999E-2</v>
      </c>
      <c r="I21475" s="26">
        <v>5.9999999999999995E-4</v>
      </c>
      <c r="J21475">
        <v>759</v>
      </c>
    </row>
    <row r="21476" spans="1:10" x14ac:dyDescent="0.35">
      <c r="A21476" t="s">
        <v>229</v>
      </c>
      <c r="B21476" t="s">
        <v>249</v>
      </c>
      <c r="C21476" s="26">
        <v>0.79220000000000002</v>
      </c>
      <c r="D21476" s="26">
        <v>0.1444</v>
      </c>
      <c r="E21476" s="26">
        <v>3.5499999999999997E-2</v>
      </c>
      <c r="F21476" s="26">
        <v>9.5999999999999992E-3</v>
      </c>
      <c r="H21476" s="26">
        <v>1.8200000000000001E-2</v>
      </c>
      <c r="J21476">
        <v>259</v>
      </c>
    </row>
    <row r="21477" spans="1:10" x14ac:dyDescent="0.35">
      <c r="A21477" t="s">
        <v>229</v>
      </c>
      <c r="B21477" t="s">
        <v>248</v>
      </c>
      <c r="C21477" s="26">
        <v>0.92549999999999999</v>
      </c>
      <c r="D21477" s="26">
        <v>4.0599999999999997E-2</v>
      </c>
      <c r="E21477" s="26">
        <v>2.2499999999999999E-2</v>
      </c>
      <c r="F21477" s="26">
        <v>8.8999999999999999E-3</v>
      </c>
      <c r="H21477" s="26">
        <v>1E-3</v>
      </c>
      <c r="I21477" s="26">
        <v>1.5E-3</v>
      </c>
      <c r="J21477">
        <v>636</v>
      </c>
    </row>
    <row r="21478" spans="1:10" x14ac:dyDescent="0.35">
      <c r="A21478" t="s">
        <v>230</v>
      </c>
      <c r="B21478" t="s">
        <v>249</v>
      </c>
      <c r="C21478" s="26">
        <v>0.82509999999999994</v>
      </c>
      <c r="D21478" s="26">
        <v>7.7499999999999999E-2</v>
      </c>
      <c r="E21478" s="26">
        <v>6.4600000000000005E-2</v>
      </c>
      <c r="F21478" s="26">
        <v>2.1999999999999999E-2</v>
      </c>
      <c r="G21478" s="26">
        <v>8.0999999999999996E-3</v>
      </c>
      <c r="H21478" s="26">
        <v>2.7000000000000001E-3</v>
      </c>
      <c r="J21478">
        <v>171</v>
      </c>
    </row>
    <row r="21479" spans="1:10" x14ac:dyDescent="0.35">
      <c r="A21479" t="s">
        <v>230</v>
      </c>
      <c r="B21479" t="s">
        <v>248</v>
      </c>
      <c r="C21479" s="26">
        <v>0.84850000000000003</v>
      </c>
      <c r="D21479" s="26">
        <v>0.1183</v>
      </c>
      <c r="E21479" s="26">
        <v>2.4799999999999999E-2</v>
      </c>
      <c r="F21479" s="26">
        <v>3.5000000000000001E-3</v>
      </c>
      <c r="G21479" s="26">
        <v>4.8999999999999998E-3</v>
      </c>
      <c r="J21479">
        <v>389</v>
      </c>
    </row>
    <row r="21480" spans="1:10" x14ac:dyDescent="0.35">
      <c r="A21480" t="s">
        <v>231</v>
      </c>
      <c r="B21480" t="s">
        <v>249</v>
      </c>
      <c r="C21480" s="26">
        <v>0.88570000000000004</v>
      </c>
      <c r="D21480" s="26">
        <v>5.7099999999999998E-2</v>
      </c>
      <c r="E21480" s="26">
        <v>5.7099999999999998E-2</v>
      </c>
      <c r="J21480">
        <v>35</v>
      </c>
    </row>
    <row r="21481" spans="1:10" x14ac:dyDescent="0.35">
      <c r="A21481" t="s">
        <v>231</v>
      </c>
      <c r="B21481" t="s">
        <v>248</v>
      </c>
      <c r="C21481" s="26">
        <v>0.90700000000000003</v>
      </c>
      <c r="D21481" s="26">
        <v>7.7499999999999999E-2</v>
      </c>
      <c r="E21481" s="26">
        <v>1.55E-2</v>
      </c>
      <c r="J21481">
        <v>129</v>
      </c>
    </row>
    <row r="21482" spans="1:10" x14ac:dyDescent="0.35">
      <c r="A21482" t="s">
        <v>232</v>
      </c>
      <c r="B21482" t="s">
        <v>232</v>
      </c>
      <c r="C21482" s="26">
        <v>0.87270000000000003</v>
      </c>
      <c r="D21482" s="26">
        <v>0.08</v>
      </c>
      <c r="E21482" s="26">
        <v>3.3500000000000002E-2</v>
      </c>
      <c r="F21482" s="26">
        <v>7.1999999999999998E-3</v>
      </c>
      <c r="G21482" s="26">
        <v>4.3E-3</v>
      </c>
      <c r="H21482" s="26">
        <v>2E-3</v>
      </c>
      <c r="I21482" s="26">
        <v>4.0000000000000002E-4</v>
      </c>
      <c r="J21482">
        <v>2813</v>
      </c>
    </row>
    <row r="21484" spans="1:10" x14ac:dyDescent="0.35">
      <c r="A21484" s="1" t="s">
        <v>2089</v>
      </c>
    </row>
    <row r="21485" spans="1:10" x14ac:dyDescent="0.35">
      <c r="A21485" t="s">
        <v>219</v>
      </c>
      <c r="B21485" t="s">
        <v>305</v>
      </c>
      <c r="C21485" t="s">
        <v>2051</v>
      </c>
      <c r="D21485" t="s">
        <v>2052</v>
      </c>
      <c r="E21485" t="s">
        <v>2053</v>
      </c>
      <c r="F21485" t="s">
        <v>2054</v>
      </c>
      <c r="G21485" t="s">
        <v>2055</v>
      </c>
      <c r="H21485" t="s">
        <v>281</v>
      </c>
      <c r="I21485" t="s">
        <v>286</v>
      </c>
      <c r="J21485" t="s">
        <v>226</v>
      </c>
    </row>
    <row r="21486" spans="1:10" x14ac:dyDescent="0.35">
      <c r="A21486" s="27" t="s">
        <v>227</v>
      </c>
      <c r="B21486" s="27" t="s">
        <v>263</v>
      </c>
      <c r="C21486" s="28">
        <v>1</v>
      </c>
      <c r="D21486" s="29"/>
      <c r="E21486" s="29"/>
      <c r="F21486" s="29"/>
      <c r="G21486" s="29"/>
      <c r="H21486" s="29"/>
      <c r="I21486" s="29"/>
      <c r="J21486" s="29" t="s">
        <v>315</v>
      </c>
    </row>
    <row r="21487" spans="1:10" x14ac:dyDescent="0.35">
      <c r="A21487" t="s">
        <v>227</v>
      </c>
      <c r="B21487" t="s">
        <v>261</v>
      </c>
      <c r="C21487" s="26">
        <v>0.72729999999999995</v>
      </c>
      <c r="D21487" s="26">
        <v>0.18179999999999999</v>
      </c>
      <c r="E21487" s="26">
        <v>6.0600000000000001E-2</v>
      </c>
      <c r="F21487" s="26">
        <v>3.0300000000000001E-2</v>
      </c>
      <c r="J21487">
        <v>33</v>
      </c>
    </row>
    <row r="21488" spans="1:10" x14ac:dyDescent="0.35">
      <c r="A21488" s="27" t="s">
        <v>227</v>
      </c>
      <c r="B21488" s="27" t="s">
        <v>262</v>
      </c>
      <c r="C21488" s="28">
        <v>1</v>
      </c>
      <c r="D21488" s="29"/>
      <c r="E21488" s="29"/>
      <c r="F21488" s="29"/>
      <c r="G21488" s="29"/>
      <c r="H21488" s="29"/>
      <c r="I21488" s="29"/>
      <c r="J21488" s="29" t="s">
        <v>315</v>
      </c>
    </row>
    <row r="21489" spans="1:10" x14ac:dyDescent="0.35">
      <c r="A21489" t="s">
        <v>227</v>
      </c>
      <c r="B21489" t="s">
        <v>260</v>
      </c>
      <c r="C21489" s="26">
        <v>0.877</v>
      </c>
      <c r="D21489" s="26">
        <v>8.2000000000000003E-2</v>
      </c>
      <c r="E21489" s="26">
        <v>3.2800000000000003E-2</v>
      </c>
      <c r="F21489" s="26">
        <v>8.2000000000000007E-3</v>
      </c>
      <c r="J21489">
        <v>122</v>
      </c>
    </row>
    <row r="21490" spans="1:10" x14ac:dyDescent="0.35">
      <c r="A21490" t="s">
        <v>228</v>
      </c>
      <c r="B21490" t="s">
        <v>261</v>
      </c>
      <c r="C21490" s="26">
        <v>0.87319999999999998</v>
      </c>
      <c r="D21490" s="26">
        <v>6.9800000000000001E-2</v>
      </c>
      <c r="E21490" s="26">
        <v>3.1E-2</v>
      </c>
      <c r="F21490" s="26">
        <v>7.7000000000000002E-3</v>
      </c>
      <c r="G21490" s="26">
        <v>1.83E-2</v>
      </c>
      <c r="J21490">
        <v>192</v>
      </c>
    </row>
    <row r="21491" spans="1:10" x14ac:dyDescent="0.35">
      <c r="A21491" s="27" t="s">
        <v>228</v>
      </c>
      <c r="B21491" s="27" t="s">
        <v>263</v>
      </c>
      <c r="C21491" s="28">
        <v>0.65800000000000003</v>
      </c>
      <c r="D21491" s="28">
        <v>0.23530000000000001</v>
      </c>
      <c r="E21491" s="28">
        <v>8.4599999999999995E-2</v>
      </c>
      <c r="F21491" s="29"/>
      <c r="G21491" s="28">
        <v>2.2100000000000002E-2</v>
      </c>
      <c r="H21491" s="29"/>
      <c r="I21491" s="29"/>
      <c r="J21491" s="29" t="s">
        <v>312</v>
      </c>
    </row>
    <row r="21492" spans="1:10" x14ac:dyDescent="0.35">
      <c r="A21492" s="27" t="s">
        <v>228</v>
      </c>
      <c r="B21492" s="27" t="s">
        <v>236</v>
      </c>
      <c r="C21492" s="28">
        <v>0.9335</v>
      </c>
      <c r="D21492" s="29"/>
      <c r="E21492" s="28">
        <v>6.6500000000000004E-2</v>
      </c>
      <c r="F21492" s="29"/>
      <c r="G21492" s="29"/>
      <c r="H21492" s="29"/>
      <c r="I21492" s="29"/>
      <c r="J21492" s="29" t="s">
        <v>335</v>
      </c>
    </row>
    <row r="21493" spans="1:10" x14ac:dyDescent="0.35">
      <c r="A21493" t="s">
        <v>228</v>
      </c>
      <c r="B21493" t="s">
        <v>262</v>
      </c>
      <c r="C21493" s="26">
        <v>0.81969999999999998</v>
      </c>
      <c r="D21493" s="26">
        <v>0.106</v>
      </c>
      <c r="E21493" s="26">
        <v>6.5000000000000002E-2</v>
      </c>
      <c r="F21493" s="26">
        <v>2.5000000000000001E-3</v>
      </c>
      <c r="G21493" s="26">
        <v>4.4000000000000003E-3</v>
      </c>
      <c r="I21493" s="26">
        <v>2.5000000000000001E-3</v>
      </c>
      <c r="J21493">
        <v>201</v>
      </c>
    </row>
    <row r="21494" spans="1:10" x14ac:dyDescent="0.35">
      <c r="A21494" t="s">
        <v>228</v>
      </c>
      <c r="B21494" t="s">
        <v>260</v>
      </c>
      <c r="C21494" s="26">
        <v>0.85609999999999997</v>
      </c>
      <c r="D21494" s="26">
        <v>5.6399999999999999E-2</v>
      </c>
      <c r="E21494" s="26">
        <v>5.21E-2</v>
      </c>
      <c r="F21494" s="26">
        <v>1.2E-2</v>
      </c>
      <c r="G21494" s="26">
        <v>2.3400000000000001E-2</v>
      </c>
      <c r="J21494">
        <v>609</v>
      </c>
    </row>
    <row r="21495" spans="1:10" x14ac:dyDescent="0.35">
      <c r="A21495" s="27" t="s">
        <v>229</v>
      </c>
      <c r="B21495" s="27" t="s">
        <v>263</v>
      </c>
      <c r="C21495" s="28">
        <v>0.9829</v>
      </c>
      <c r="D21495" s="28">
        <v>1.7100000000000001E-2</v>
      </c>
      <c r="E21495" s="29"/>
      <c r="F21495" s="29"/>
      <c r="G21495" s="29"/>
      <c r="H21495" s="29"/>
      <c r="I21495" s="29"/>
      <c r="J21495" s="29" t="s">
        <v>379</v>
      </c>
    </row>
    <row r="21496" spans="1:10" x14ac:dyDescent="0.35">
      <c r="A21496" t="s">
        <v>229</v>
      </c>
      <c r="B21496" t="s">
        <v>262</v>
      </c>
      <c r="C21496" s="26">
        <v>0.83750000000000002</v>
      </c>
      <c r="D21496" s="26">
        <v>0.10489999999999999</v>
      </c>
      <c r="E21496" s="26">
        <v>2.4199999999999999E-2</v>
      </c>
      <c r="F21496" s="26">
        <v>1.0699999999999999E-2</v>
      </c>
      <c r="H21496" s="26">
        <v>2.1499999999999998E-2</v>
      </c>
      <c r="I21496" s="26">
        <v>1.1999999999999999E-3</v>
      </c>
      <c r="J21496">
        <v>188</v>
      </c>
    </row>
    <row r="21497" spans="1:10" x14ac:dyDescent="0.35">
      <c r="A21497" t="s">
        <v>229</v>
      </c>
      <c r="B21497" t="s">
        <v>261</v>
      </c>
      <c r="C21497" s="26">
        <v>0.80700000000000005</v>
      </c>
      <c r="D21497" s="26">
        <v>0.1482</v>
      </c>
      <c r="E21497" s="26">
        <v>3.9300000000000002E-2</v>
      </c>
      <c r="F21497" s="26">
        <v>3.3999999999999998E-3</v>
      </c>
      <c r="H21497" s="26">
        <v>2.2000000000000001E-3</v>
      </c>
      <c r="J21497">
        <v>96</v>
      </c>
    </row>
    <row r="21498" spans="1:10" x14ac:dyDescent="0.35">
      <c r="A21498" s="27" t="s">
        <v>229</v>
      </c>
      <c r="B21498" s="27" t="s">
        <v>236</v>
      </c>
      <c r="C21498" s="28">
        <v>1</v>
      </c>
      <c r="D21498" s="29"/>
      <c r="E21498" s="29"/>
      <c r="F21498" s="29"/>
      <c r="G21498" s="29"/>
      <c r="H21498" s="29"/>
      <c r="I21498" s="29"/>
      <c r="J21498" s="29" t="s">
        <v>331</v>
      </c>
    </row>
    <row r="21499" spans="1:10" x14ac:dyDescent="0.35">
      <c r="A21499" t="s">
        <v>229</v>
      </c>
      <c r="B21499" t="s">
        <v>260</v>
      </c>
      <c r="C21499" s="26">
        <v>0.92049999999999998</v>
      </c>
      <c r="D21499" s="26">
        <v>4.1799999999999997E-2</v>
      </c>
      <c r="E21499" s="26">
        <v>2.5700000000000001E-2</v>
      </c>
      <c r="F21499" s="26">
        <v>1.03E-2</v>
      </c>
      <c r="H21499" s="26">
        <v>5.9999999999999995E-4</v>
      </c>
      <c r="I21499" s="26">
        <v>1.1999999999999999E-3</v>
      </c>
      <c r="J21499">
        <v>596</v>
      </c>
    </row>
    <row r="21500" spans="1:10" x14ac:dyDescent="0.35">
      <c r="A21500" s="27" t="s">
        <v>230</v>
      </c>
      <c r="B21500" s="27" t="s">
        <v>236</v>
      </c>
      <c r="C21500" s="28">
        <v>1</v>
      </c>
      <c r="D21500" s="29"/>
      <c r="E21500" s="29"/>
      <c r="F21500" s="29"/>
      <c r="G21500" s="29"/>
      <c r="H21500" s="29"/>
      <c r="I21500" s="29"/>
      <c r="J21500" s="29" t="s">
        <v>337</v>
      </c>
    </row>
    <row r="21501" spans="1:10" x14ac:dyDescent="0.35">
      <c r="A21501" t="s">
        <v>230</v>
      </c>
      <c r="B21501" t="s">
        <v>262</v>
      </c>
      <c r="C21501" s="26">
        <v>0.74919999999999998</v>
      </c>
      <c r="D21501" s="26">
        <v>0.20549999999999999</v>
      </c>
      <c r="E21501" s="26">
        <v>3.5700000000000003E-2</v>
      </c>
      <c r="F21501" s="26">
        <v>7.7000000000000002E-3</v>
      </c>
      <c r="G21501" s="26">
        <v>1.8E-3</v>
      </c>
      <c r="J21501">
        <v>122</v>
      </c>
    </row>
    <row r="21502" spans="1:10" x14ac:dyDescent="0.35">
      <c r="A21502" t="s">
        <v>230</v>
      </c>
      <c r="B21502" t="s">
        <v>261</v>
      </c>
      <c r="C21502" s="26">
        <v>0.79200000000000004</v>
      </c>
      <c r="D21502" s="26">
        <v>0.15010000000000001</v>
      </c>
      <c r="E21502" s="26">
        <v>2.6599999999999999E-2</v>
      </c>
      <c r="F21502" s="26">
        <v>4.1000000000000003E-3</v>
      </c>
      <c r="G21502" s="26">
        <v>2.0400000000000001E-2</v>
      </c>
      <c r="H21502" s="26">
        <v>6.7999999999999996E-3</v>
      </c>
      <c r="J21502">
        <v>57</v>
      </c>
    </row>
    <row r="21503" spans="1:10" x14ac:dyDescent="0.35">
      <c r="A21503" s="27" t="s">
        <v>230</v>
      </c>
      <c r="B21503" s="27" t="s">
        <v>263</v>
      </c>
      <c r="C21503" s="28">
        <v>0.36980000000000002</v>
      </c>
      <c r="D21503" s="28">
        <v>0.17299999999999999</v>
      </c>
      <c r="E21503" s="28">
        <v>0.4572</v>
      </c>
      <c r="F21503" s="29"/>
      <c r="G21503" s="29"/>
      <c r="H21503" s="29"/>
      <c r="I21503" s="29"/>
      <c r="J21503" s="29" t="s">
        <v>312</v>
      </c>
    </row>
    <row r="21504" spans="1:10" x14ac:dyDescent="0.35">
      <c r="A21504" t="s">
        <v>230</v>
      </c>
      <c r="B21504" t="s">
        <v>260</v>
      </c>
      <c r="C21504" s="26">
        <v>0.87919999999999998</v>
      </c>
      <c r="D21504" s="26">
        <v>7.3400000000000007E-2</v>
      </c>
      <c r="E21504" s="26">
        <v>3.15E-2</v>
      </c>
      <c r="F21504" s="26">
        <v>1.1599999999999999E-2</v>
      </c>
      <c r="G21504" s="26">
        <v>4.3E-3</v>
      </c>
      <c r="J21504">
        <v>352</v>
      </c>
    </row>
    <row r="21505" spans="1:10" x14ac:dyDescent="0.35">
      <c r="A21505" s="27" t="s">
        <v>231</v>
      </c>
      <c r="B21505" s="27" t="s">
        <v>263</v>
      </c>
      <c r="C21505" s="28">
        <v>1</v>
      </c>
      <c r="D21505" s="29"/>
      <c r="E21505" s="29"/>
      <c r="F21505" s="29"/>
      <c r="G21505" s="29"/>
      <c r="H21505" s="29"/>
      <c r="I21505" s="29"/>
      <c r="J21505" s="29" t="s">
        <v>314</v>
      </c>
    </row>
    <row r="21506" spans="1:10" x14ac:dyDescent="0.35">
      <c r="A21506" t="s">
        <v>231</v>
      </c>
      <c r="B21506" t="s">
        <v>260</v>
      </c>
      <c r="C21506" s="26">
        <v>0.8871</v>
      </c>
      <c r="D21506" s="26">
        <v>8.0600000000000005E-2</v>
      </c>
      <c r="E21506" s="26">
        <v>3.2300000000000002E-2</v>
      </c>
      <c r="J21506">
        <v>124</v>
      </c>
    </row>
    <row r="21507" spans="1:10" x14ac:dyDescent="0.35">
      <c r="A21507" s="27" t="s">
        <v>231</v>
      </c>
      <c r="B21507" s="27" t="s">
        <v>261</v>
      </c>
      <c r="C21507" s="28">
        <v>0.92589999999999995</v>
      </c>
      <c r="D21507" s="28">
        <v>7.4099999999999999E-2</v>
      </c>
      <c r="E21507" s="29"/>
      <c r="F21507" s="29"/>
      <c r="G21507" s="29"/>
      <c r="H21507" s="29"/>
      <c r="I21507" s="29"/>
      <c r="J21507" s="29" t="s">
        <v>338</v>
      </c>
    </row>
    <row r="21508" spans="1:10" x14ac:dyDescent="0.35">
      <c r="A21508" s="27" t="s">
        <v>231</v>
      </c>
      <c r="B21508" s="27" t="s">
        <v>262</v>
      </c>
      <c r="C21508" s="28">
        <v>1</v>
      </c>
      <c r="D21508" s="29"/>
      <c r="E21508" s="29"/>
      <c r="F21508" s="29"/>
      <c r="G21508" s="29"/>
      <c r="H21508" s="29"/>
      <c r="I21508" s="29"/>
      <c r="J21508" s="29" t="s">
        <v>352</v>
      </c>
    </row>
    <row r="21509" spans="1:10" x14ac:dyDescent="0.35">
      <c r="A21509" t="s">
        <v>232</v>
      </c>
      <c r="B21509" t="s">
        <v>232</v>
      </c>
      <c r="C21509" s="26">
        <v>0.87270000000000003</v>
      </c>
      <c r="D21509" s="26">
        <v>0.08</v>
      </c>
      <c r="E21509" s="26">
        <v>3.3500000000000002E-2</v>
      </c>
      <c r="F21509" s="26">
        <v>7.1999999999999998E-3</v>
      </c>
      <c r="G21509" s="26">
        <v>4.3E-3</v>
      </c>
      <c r="H21509" s="26">
        <v>2E-3</v>
      </c>
      <c r="I21509" s="26">
        <v>4.0000000000000002E-4</v>
      </c>
      <c r="J21509">
        <v>2813</v>
      </c>
    </row>
    <row r="21511" spans="1:10" x14ac:dyDescent="0.35">
      <c r="A21511" s="1" t="s">
        <v>2090</v>
      </c>
    </row>
    <row r="21512" spans="1:10" x14ac:dyDescent="0.35">
      <c r="A21512" t="s">
        <v>219</v>
      </c>
      <c r="B21512" t="s">
        <v>305</v>
      </c>
      <c r="C21512" t="s">
        <v>2051</v>
      </c>
      <c r="D21512" t="s">
        <v>2052</v>
      </c>
      <c r="E21512" t="s">
        <v>2053</v>
      </c>
      <c r="F21512" t="s">
        <v>2054</v>
      </c>
      <c r="G21512" t="s">
        <v>2055</v>
      </c>
      <c r="H21512" t="s">
        <v>281</v>
      </c>
      <c r="I21512" t="s">
        <v>286</v>
      </c>
      <c r="J21512" t="s">
        <v>226</v>
      </c>
    </row>
    <row r="21513" spans="1:10" x14ac:dyDescent="0.35">
      <c r="A21513" t="s">
        <v>227</v>
      </c>
      <c r="B21513" t="s">
        <v>368</v>
      </c>
      <c r="C21513" s="26">
        <v>0.72729999999999995</v>
      </c>
      <c r="D21513" s="26">
        <v>0.18179999999999999</v>
      </c>
      <c r="E21513" s="26">
        <v>6.0600000000000001E-2</v>
      </c>
      <c r="F21513" s="26">
        <v>3.0300000000000001E-2</v>
      </c>
      <c r="J21513">
        <v>33</v>
      </c>
    </row>
    <row r="21514" spans="1:10" x14ac:dyDescent="0.35">
      <c r="A21514" t="s">
        <v>227</v>
      </c>
      <c r="B21514" t="s">
        <v>369</v>
      </c>
      <c r="C21514" s="26">
        <v>0.88280000000000003</v>
      </c>
      <c r="D21514" s="26">
        <v>7.8100000000000003E-2</v>
      </c>
      <c r="E21514" s="26">
        <v>3.1199999999999999E-2</v>
      </c>
      <c r="F21514" s="26">
        <v>7.7999999999999996E-3</v>
      </c>
      <c r="J21514">
        <v>128</v>
      </c>
    </row>
    <row r="21515" spans="1:10" x14ac:dyDescent="0.35">
      <c r="A21515" t="s">
        <v>228</v>
      </c>
      <c r="B21515" t="s">
        <v>368</v>
      </c>
      <c r="C21515" s="26">
        <v>0.87319999999999998</v>
      </c>
      <c r="D21515" s="26">
        <v>6.9800000000000001E-2</v>
      </c>
      <c r="E21515" s="26">
        <v>3.1E-2</v>
      </c>
      <c r="F21515" s="26">
        <v>7.7000000000000002E-3</v>
      </c>
      <c r="G21515" s="26">
        <v>1.83E-2</v>
      </c>
      <c r="J21515">
        <v>192</v>
      </c>
    </row>
    <row r="21516" spans="1:10" x14ac:dyDescent="0.35">
      <c r="A21516" t="s">
        <v>228</v>
      </c>
      <c r="B21516" t="s">
        <v>369</v>
      </c>
      <c r="C21516" s="26">
        <v>0.84460000000000002</v>
      </c>
      <c r="D21516" s="26">
        <v>7.0400000000000004E-2</v>
      </c>
      <c r="E21516" s="26">
        <v>5.5599999999999997E-2</v>
      </c>
      <c r="F21516" s="26">
        <v>9.7000000000000003E-3</v>
      </c>
      <c r="G21516" s="26">
        <v>1.9199999999999998E-2</v>
      </c>
      <c r="I21516" s="26">
        <v>5.0000000000000001E-4</v>
      </c>
      <c r="J21516">
        <v>841</v>
      </c>
    </row>
    <row r="21517" spans="1:10" x14ac:dyDescent="0.35">
      <c r="A21517" t="s">
        <v>229</v>
      </c>
      <c r="B21517" t="s">
        <v>368</v>
      </c>
      <c r="C21517" s="26">
        <v>0.80700000000000005</v>
      </c>
      <c r="D21517" s="26">
        <v>0.1482</v>
      </c>
      <c r="E21517" s="26">
        <v>3.9300000000000002E-2</v>
      </c>
      <c r="F21517" s="26">
        <v>3.3999999999999998E-3</v>
      </c>
      <c r="H21517" s="26">
        <v>2.2000000000000001E-3</v>
      </c>
      <c r="J21517">
        <v>96</v>
      </c>
    </row>
    <row r="21518" spans="1:10" x14ac:dyDescent="0.35">
      <c r="A21518" t="s">
        <v>229</v>
      </c>
      <c r="B21518" t="s">
        <v>369</v>
      </c>
      <c r="C21518" s="26">
        <v>0.89470000000000005</v>
      </c>
      <c r="D21518" s="26">
        <v>6.1899999999999997E-2</v>
      </c>
      <c r="E21518" s="26">
        <v>2.46E-2</v>
      </c>
      <c r="F21518" s="26">
        <v>1.0200000000000001E-2</v>
      </c>
      <c r="H21518" s="26">
        <v>7.4000000000000003E-3</v>
      </c>
      <c r="I21518" s="26">
        <v>1.1999999999999999E-3</v>
      </c>
      <c r="J21518">
        <v>799</v>
      </c>
    </row>
    <row r="21519" spans="1:10" x14ac:dyDescent="0.35">
      <c r="A21519" t="s">
        <v>230</v>
      </c>
      <c r="B21519" t="s">
        <v>368</v>
      </c>
      <c r="C21519" s="26">
        <v>0.79200000000000004</v>
      </c>
      <c r="D21519" s="26">
        <v>0.15010000000000001</v>
      </c>
      <c r="E21519" s="26">
        <v>2.6599999999999999E-2</v>
      </c>
      <c r="F21519" s="26">
        <v>4.1000000000000003E-3</v>
      </c>
      <c r="G21519" s="26">
        <v>2.0400000000000001E-2</v>
      </c>
      <c r="H21519" s="26">
        <v>6.7999999999999996E-3</v>
      </c>
      <c r="J21519">
        <v>57</v>
      </c>
    </row>
    <row r="21520" spans="1:10" x14ac:dyDescent="0.35">
      <c r="A21520" t="s">
        <v>230</v>
      </c>
      <c r="B21520" t="s">
        <v>369</v>
      </c>
      <c r="C21520" s="26">
        <v>0.84809999999999997</v>
      </c>
      <c r="D21520" s="26">
        <v>9.7500000000000003E-2</v>
      </c>
      <c r="E21520" s="26">
        <v>0.04</v>
      </c>
      <c r="F21520" s="26">
        <v>1.06E-2</v>
      </c>
      <c r="G21520" s="26">
        <v>3.7000000000000002E-3</v>
      </c>
      <c r="J21520">
        <v>503</v>
      </c>
    </row>
    <row r="21521" spans="1:10" x14ac:dyDescent="0.35">
      <c r="A21521" s="27" t="s">
        <v>231</v>
      </c>
      <c r="B21521" s="27" t="s">
        <v>368</v>
      </c>
      <c r="C21521" s="28">
        <v>0.92589999999999995</v>
      </c>
      <c r="D21521" s="28">
        <v>7.4099999999999999E-2</v>
      </c>
      <c r="E21521" s="29"/>
      <c r="F21521" s="29"/>
      <c r="G21521" s="29"/>
      <c r="H21521" s="29"/>
      <c r="I21521" s="29"/>
      <c r="J21521" s="29" t="s">
        <v>338</v>
      </c>
    </row>
    <row r="21522" spans="1:10" x14ac:dyDescent="0.35">
      <c r="A21522" t="s">
        <v>231</v>
      </c>
      <c r="B21522" t="s">
        <v>369</v>
      </c>
      <c r="C21522" s="26">
        <v>0.89780000000000004</v>
      </c>
      <c r="D21522" s="26">
        <v>7.2999999999999995E-2</v>
      </c>
      <c r="E21522" s="26">
        <v>2.92E-2</v>
      </c>
      <c r="J21522">
        <v>137</v>
      </c>
    </row>
    <row r="21523" spans="1:10" x14ac:dyDescent="0.35">
      <c r="A21523" t="s">
        <v>232</v>
      </c>
      <c r="B21523" t="s">
        <v>232</v>
      </c>
      <c r="C21523" s="26">
        <v>0.87270000000000003</v>
      </c>
      <c r="D21523" s="26">
        <v>0.08</v>
      </c>
      <c r="E21523" s="26">
        <v>3.3500000000000002E-2</v>
      </c>
      <c r="F21523" s="26">
        <v>7.1999999999999998E-3</v>
      </c>
      <c r="G21523" s="26">
        <v>4.3E-3</v>
      </c>
      <c r="H21523" s="26">
        <v>2E-3</v>
      </c>
      <c r="I21523" s="26">
        <v>4.0000000000000002E-4</v>
      </c>
      <c r="J21523">
        <v>2813</v>
      </c>
    </row>
    <row r="21525" spans="1:10" x14ac:dyDescent="0.35">
      <c r="A21525" s="1" t="s">
        <v>2091</v>
      </c>
    </row>
    <row r="21526" spans="1:10" x14ac:dyDescent="0.35">
      <c r="A21526" t="s">
        <v>219</v>
      </c>
      <c r="B21526" t="s">
        <v>305</v>
      </c>
      <c r="C21526" t="s">
        <v>2051</v>
      </c>
      <c r="D21526" t="s">
        <v>2052</v>
      </c>
      <c r="E21526" t="s">
        <v>2053</v>
      </c>
      <c r="F21526" t="s">
        <v>2054</v>
      </c>
      <c r="G21526" t="s">
        <v>2055</v>
      </c>
      <c r="H21526" t="s">
        <v>281</v>
      </c>
      <c r="I21526" t="s">
        <v>286</v>
      </c>
      <c r="J21526" t="s">
        <v>226</v>
      </c>
    </row>
    <row r="21527" spans="1:10" x14ac:dyDescent="0.35">
      <c r="A21527" t="s">
        <v>227</v>
      </c>
      <c r="B21527" t="s">
        <v>371</v>
      </c>
      <c r="C21527" s="26">
        <v>0.85089999999999999</v>
      </c>
      <c r="D21527" s="26">
        <v>9.9400000000000002E-2</v>
      </c>
      <c r="E21527" s="26">
        <v>3.73E-2</v>
      </c>
      <c r="F21527" s="26">
        <v>1.24E-2</v>
      </c>
      <c r="J21527">
        <v>161</v>
      </c>
    </row>
    <row r="21528" spans="1:10" x14ac:dyDescent="0.35">
      <c r="A21528" t="s">
        <v>228</v>
      </c>
      <c r="B21528" t="s">
        <v>371</v>
      </c>
      <c r="C21528" s="26">
        <v>0.8548</v>
      </c>
      <c r="D21528" s="26">
        <v>6.4299999999999996E-2</v>
      </c>
      <c r="E21528" s="26">
        <v>4.19E-2</v>
      </c>
      <c r="F21528" s="26">
        <v>6.4000000000000003E-3</v>
      </c>
      <c r="G21528" s="26">
        <v>3.2599999999999997E-2</v>
      </c>
      <c r="J21528">
        <v>292</v>
      </c>
    </row>
    <row r="21529" spans="1:10" x14ac:dyDescent="0.35">
      <c r="A21529" t="s">
        <v>228</v>
      </c>
      <c r="B21529" t="s">
        <v>372</v>
      </c>
      <c r="C21529" s="26">
        <v>0.71779999999999999</v>
      </c>
      <c r="D21529" s="26">
        <v>0.10249999999999999</v>
      </c>
      <c r="E21529" s="26">
        <v>0.12989999999999999</v>
      </c>
      <c r="F21529" s="26">
        <v>3.1600000000000003E-2</v>
      </c>
      <c r="G21529" s="26">
        <v>1.34E-2</v>
      </c>
      <c r="I21529" s="26">
        <v>4.8999999999999998E-3</v>
      </c>
      <c r="J21529">
        <v>218</v>
      </c>
    </row>
    <row r="21530" spans="1:10" x14ac:dyDescent="0.35">
      <c r="A21530" t="s">
        <v>228</v>
      </c>
      <c r="B21530" t="s">
        <v>373</v>
      </c>
      <c r="C21530" s="26">
        <v>0.87260000000000004</v>
      </c>
      <c r="D21530" s="26">
        <v>7.1099999999999997E-2</v>
      </c>
      <c r="E21530" s="26">
        <v>4.5600000000000002E-2</v>
      </c>
      <c r="F21530" s="26">
        <v>8.3999999999999995E-3</v>
      </c>
      <c r="G21530" s="26">
        <v>2.3E-3</v>
      </c>
      <c r="J21530">
        <v>523</v>
      </c>
    </row>
    <row r="21531" spans="1:10" x14ac:dyDescent="0.35">
      <c r="A21531" t="s">
        <v>229</v>
      </c>
      <c r="B21531" t="s">
        <v>371</v>
      </c>
      <c r="C21531" s="26">
        <v>0.88200000000000001</v>
      </c>
      <c r="D21531" s="26">
        <v>7.3899999999999993E-2</v>
      </c>
      <c r="E21531" s="26">
        <v>2.7300000000000001E-2</v>
      </c>
      <c r="F21531" s="26">
        <v>9.5999999999999992E-3</v>
      </c>
      <c r="H21531" s="26">
        <v>6.4999999999999997E-3</v>
      </c>
      <c r="I21531" s="26">
        <v>6.9999999999999999E-4</v>
      </c>
      <c r="J21531">
        <v>584</v>
      </c>
    </row>
    <row r="21532" spans="1:10" x14ac:dyDescent="0.35">
      <c r="A21532" t="s">
        <v>229</v>
      </c>
      <c r="B21532" t="s">
        <v>372</v>
      </c>
      <c r="C21532" s="26">
        <v>0.88060000000000005</v>
      </c>
      <c r="D21532" s="26">
        <v>8.4599999999999995E-2</v>
      </c>
      <c r="E21532" s="26">
        <v>2.1600000000000001E-2</v>
      </c>
      <c r="H21532" s="26">
        <v>6.6E-3</v>
      </c>
      <c r="I21532" s="26">
        <v>6.6E-3</v>
      </c>
      <c r="J21532">
        <v>221</v>
      </c>
    </row>
    <row r="21533" spans="1:10" x14ac:dyDescent="0.35">
      <c r="A21533" t="s">
        <v>229</v>
      </c>
      <c r="B21533" t="s">
        <v>373</v>
      </c>
      <c r="C21533" s="26">
        <v>0.87290000000000001</v>
      </c>
      <c r="D21533" s="26">
        <v>8.3799999999999999E-2</v>
      </c>
      <c r="E21533" s="26">
        <v>1.8700000000000001E-2</v>
      </c>
      <c r="F21533" s="26">
        <v>1.23E-2</v>
      </c>
      <c r="H21533" s="26">
        <v>1.23E-2</v>
      </c>
      <c r="J21533">
        <v>90</v>
      </c>
    </row>
    <row r="21534" spans="1:10" x14ac:dyDescent="0.35">
      <c r="A21534" t="s">
        <v>230</v>
      </c>
      <c r="B21534" t="s">
        <v>371</v>
      </c>
      <c r="C21534" s="26">
        <v>0.86860000000000004</v>
      </c>
      <c r="D21534" s="26">
        <v>9.3700000000000006E-2</v>
      </c>
      <c r="E21534" s="26">
        <v>2.4299999999999999E-2</v>
      </c>
      <c r="F21534" s="26">
        <v>6.6E-3</v>
      </c>
      <c r="G21534" s="26">
        <v>5.5999999999999999E-3</v>
      </c>
      <c r="H21534" s="26">
        <v>1.1000000000000001E-3</v>
      </c>
      <c r="J21534">
        <v>262</v>
      </c>
    </row>
    <row r="21535" spans="1:10" x14ac:dyDescent="0.35">
      <c r="A21535" t="s">
        <v>230</v>
      </c>
      <c r="B21535" t="s">
        <v>372</v>
      </c>
      <c r="C21535" s="26">
        <v>0.78820000000000001</v>
      </c>
      <c r="D21535" s="26">
        <v>0.1101</v>
      </c>
      <c r="E21535" s="26">
        <v>8.2799999999999999E-2</v>
      </c>
      <c r="F21535" s="26">
        <v>1.4200000000000001E-2</v>
      </c>
      <c r="G21535" s="26">
        <v>4.7000000000000002E-3</v>
      </c>
      <c r="J21535">
        <v>146</v>
      </c>
    </row>
    <row r="21536" spans="1:10" x14ac:dyDescent="0.35">
      <c r="A21536" t="s">
        <v>230</v>
      </c>
      <c r="B21536" t="s">
        <v>373</v>
      </c>
      <c r="C21536" s="26">
        <v>0.68530000000000002</v>
      </c>
      <c r="D21536" s="26">
        <v>0.17119999999999999</v>
      </c>
      <c r="E21536" s="26">
        <v>0.1065</v>
      </c>
      <c r="F21536" s="26">
        <v>2.7799999999999998E-2</v>
      </c>
      <c r="G21536" s="26">
        <v>9.1000000000000004E-3</v>
      </c>
      <c r="J21536">
        <v>152</v>
      </c>
    </row>
    <row r="21537" spans="1:10" x14ac:dyDescent="0.35">
      <c r="A21537" t="s">
        <v>231</v>
      </c>
      <c r="B21537" t="s">
        <v>371</v>
      </c>
      <c r="C21537" s="26">
        <v>0.90239999999999998</v>
      </c>
      <c r="D21537" s="26">
        <v>7.3200000000000001E-2</v>
      </c>
      <c r="E21537" s="26">
        <v>2.4400000000000002E-2</v>
      </c>
      <c r="J21537">
        <v>164</v>
      </c>
    </row>
    <row r="21538" spans="1:10" x14ac:dyDescent="0.35">
      <c r="A21538" t="s">
        <v>232</v>
      </c>
      <c r="B21538" t="s">
        <v>232</v>
      </c>
      <c r="C21538" s="26">
        <v>0.87270000000000003</v>
      </c>
      <c r="D21538" s="26">
        <v>0.08</v>
      </c>
      <c r="E21538" s="26">
        <v>3.3500000000000002E-2</v>
      </c>
      <c r="F21538" s="26">
        <v>7.1999999999999998E-3</v>
      </c>
      <c r="G21538" s="26">
        <v>4.3E-3</v>
      </c>
      <c r="H21538" s="26">
        <v>2E-3</v>
      </c>
      <c r="I21538" s="26">
        <v>4.0000000000000002E-4</v>
      </c>
      <c r="J21538">
        <v>2813</v>
      </c>
    </row>
    <row r="21540" spans="1:10" x14ac:dyDescent="0.35">
      <c r="A21540" s="1" t="s">
        <v>2092</v>
      </c>
    </row>
    <row r="21541" spans="1:10" x14ac:dyDescent="0.35">
      <c r="A21541" t="s">
        <v>219</v>
      </c>
      <c r="B21541" t="s">
        <v>305</v>
      </c>
      <c r="C21541" t="s">
        <v>2051</v>
      </c>
      <c r="D21541" t="s">
        <v>2052</v>
      </c>
      <c r="E21541" t="s">
        <v>2053</v>
      </c>
      <c r="F21541" t="s">
        <v>2054</v>
      </c>
      <c r="G21541" t="s">
        <v>2055</v>
      </c>
      <c r="H21541" t="s">
        <v>281</v>
      </c>
      <c r="I21541" t="s">
        <v>286</v>
      </c>
      <c r="J21541" t="s">
        <v>226</v>
      </c>
    </row>
    <row r="21542" spans="1:10" x14ac:dyDescent="0.35">
      <c r="A21542" t="s">
        <v>227</v>
      </c>
      <c r="B21542" t="s">
        <v>255</v>
      </c>
      <c r="C21542" s="26">
        <v>0.89739999999999998</v>
      </c>
      <c r="D21542" s="26">
        <v>7.6899999999999996E-2</v>
      </c>
      <c r="E21542" s="26">
        <v>8.5000000000000006E-3</v>
      </c>
      <c r="F21542" s="26">
        <v>1.7100000000000001E-2</v>
      </c>
      <c r="J21542">
        <v>117</v>
      </c>
    </row>
    <row r="21543" spans="1:10" x14ac:dyDescent="0.35">
      <c r="A21543" s="27" t="s">
        <v>227</v>
      </c>
      <c r="B21543" s="27" t="s">
        <v>257</v>
      </c>
      <c r="C21543" s="28">
        <v>0.88890000000000002</v>
      </c>
      <c r="D21543" s="29"/>
      <c r="E21543" s="28">
        <v>0.1111</v>
      </c>
      <c r="F21543" s="29"/>
      <c r="G21543" s="29"/>
      <c r="H21543" s="29"/>
      <c r="I21543" s="29"/>
      <c r="J21543" s="29" t="s">
        <v>334</v>
      </c>
    </row>
    <row r="21544" spans="1:10" x14ac:dyDescent="0.35">
      <c r="A21544" t="s">
        <v>227</v>
      </c>
      <c r="B21544" t="s">
        <v>256</v>
      </c>
      <c r="C21544" s="26">
        <v>0.68569999999999998</v>
      </c>
      <c r="D21544" s="26">
        <v>0.2</v>
      </c>
      <c r="E21544" s="26">
        <v>0.1143</v>
      </c>
      <c r="J21544">
        <v>35</v>
      </c>
    </row>
    <row r="21545" spans="1:10" x14ac:dyDescent="0.35">
      <c r="A21545" t="s">
        <v>228</v>
      </c>
      <c r="B21545" t="s">
        <v>257</v>
      </c>
      <c r="C21545" s="26">
        <v>0.92700000000000005</v>
      </c>
      <c r="D21545" s="26">
        <v>3.8699999999999998E-2</v>
      </c>
      <c r="E21545" s="26">
        <v>1.84E-2</v>
      </c>
      <c r="F21545" s="26">
        <v>7.9000000000000008E-3</v>
      </c>
      <c r="G21545" s="26">
        <v>7.9000000000000008E-3</v>
      </c>
      <c r="J21545">
        <v>49</v>
      </c>
    </row>
    <row r="21546" spans="1:10" x14ac:dyDescent="0.35">
      <c r="A21546" s="27" t="s">
        <v>228</v>
      </c>
      <c r="B21546" s="27" t="s">
        <v>258</v>
      </c>
      <c r="C21546" s="28">
        <v>0.40529999999999999</v>
      </c>
      <c r="D21546" s="28">
        <v>0.59470000000000001</v>
      </c>
      <c r="E21546" s="29"/>
      <c r="F21546" s="29"/>
      <c r="G21546" s="29"/>
      <c r="H21546" s="29"/>
      <c r="I21546" s="29"/>
      <c r="J21546" s="29" t="s">
        <v>337</v>
      </c>
    </row>
    <row r="21547" spans="1:10" x14ac:dyDescent="0.35">
      <c r="A21547" t="s">
        <v>228</v>
      </c>
      <c r="B21547" t="s">
        <v>256</v>
      </c>
      <c r="C21547" s="26">
        <v>0.83</v>
      </c>
      <c r="D21547" s="26">
        <v>9.7799999999999998E-2</v>
      </c>
      <c r="E21547" s="26">
        <v>4.9399999999999999E-2</v>
      </c>
      <c r="F21547" s="26">
        <v>2.7000000000000001E-3</v>
      </c>
      <c r="G21547" s="26">
        <v>2.0199999999999999E-2</v>
      </c>
      <c r="J21547">
        <v>221</v>
      </c>
    </row>
    <row r="21548" spans="1:10" x14ac:dyDescent="0.35">
      <c r="A21548" t="s">
        <v>228</v>
      </c>
      <c r="B21548" t="s">
        <v>255</v>
      </c>
      <c r="C21548" s="26">
        <v>0.85489999999999999</v>
      </c>
      <c r="D21548" s="26">
        <v>5.8900000000000001E-2</v>
      </c>
      <c r="E21548" s="26">
        <v>5.4199999999999998E-2</v>
      </c>
      <c r="F21548" s="26">
        <v>1.17E-2</v>
      </c>
      <c r="G21548" s="26">
        <v>1.9599999999999999E-2</v>
      </c>
      <c r="I21548" s="26">
        <v>5.9999999999999995E-4</v>
      </c>
      <c r="J21548">
        <v>759</v>
      </c>
    </row>
    <row r="21549" spans="1:10" x14ac:dyDescent="0.35">
      <c r="A21549" t="s">
        <v>229</v>
      </c>
      <c r="B21549" t="s">
        <v>256</v>
      </c>
      <c r="C21549" s="26">
        <v>0.79810000000000003</v>
      </c>
      <c r="D21549" s="26">
        <v>0.13689999999999999</v>
      </c>
      <c r="E21549" s="26">
        <v>3.1600000000000003E-2</v>
      </c>
      <c r="F21549" s="26">
        <v>1.1599999999999999E-2</v>
      </c>
      <c r="H21549" s="26">
        <v>2.1899999999999999E-2</v>
      </c>
      <c r="J21549">
        <v>207</v>
      </c>
    </row>
    <row r="21550" spans="1:10" x14ac:dyDescent="0.35">
      <c r="A21550" t="s">
        <v>229</v>
      </c>
      <c r="B21550" t="s">
        <v>255</v>
      </c>
      <c r="C21550" s="26">
        <v>0.92549999999999999</v>
      </c>
      <c r="D21550" s="26">
        <v>4.0599999999999997E-2</v>
      </c>
      <c r="E21550" s="26">
        <v>2.2499999999999999E-2</v>
      </c>
      <c r="F21550" s="26">
        <v>8.8999999999999999E-3</v>
      </c>
      <c r="H21550" s="26">
        <v>1E-3</v>
      </c>
      <c r="I21550" s="26">
        <v>1.5E-3</v>
      </c>
      <c r="J21550">
        <v>636</v>
      </c>
    </row>
    <row r="21551" spans="1:10" x14ac:dyDescent="0.35">
      <c r="A21551" t="s">
        <v>229</v>
      </c>
      <c r="B21551" t="s">
        <v>257</v>
      </c>
      <c r="C21551" s="26">
        <v>0.7611</v>
      </c>
      <c r="D21551" s="26">
        <v>0.18360000000000001</v>
      </c>
      <c r="E21551" s="26">
        <v>5.5399999999999998E-2</v>
      </c>
      <c r="J21551">
        <v>50</v>
      </c>
    </row>
    <row r="21552" spans="1:10" x14ac:dyDescent="0.35">
      <c r="A21552" s="27" t="s">
        <v>229</v>
      </c>
      <c r="B21552" s="27" t="s">
        <v>258</v>
      </c>
      <c r="C21552" s="28">
        <v>1</v>
      </c>
      <c r="D21552" s="29"/>
      <c r="E21552" s="29"/>
      <c r="F21552" s="29"/>
      <c r="G21552" s="29"/>
      <c r="H21552" s="29"/>
      <c r="I21552" s="29"/>
      <c r="J21552" s="29" t="s">
        <v>314</v>
      </c>
    </row>
    <row r="21553" spans="1:10" x14ac:dyDescent="0.35">
      <c r="A21553" t="s">
        <v>230</v>
      </c>
      <c r="B21553" t="s">
        <v>256</v>
      </c>
      <c r="C21553" s="26">
        <v>0.82940000000000003</v>
      </c>
      <c r="D21553" s="26">
        <v>7.1900000000000006E-2</v>
      </c>
      <c r="E21553" s="26">
        <v>7.6799999999999993E-2</v>
      </c>
      <c r="F21553" s="26">
        <v>7.9000000000000008E-3</v>
      </c>
      <c r="G21553" s="26">
        <v>1.0500000000000001E-2</v>
      </c>
      <c r="H21553" s="26">
        <v>3.5000000000000001E-3</v>
      </c>
      <c r="J21553">
        <v>130</v>
      </c>
    </row>
    <row r="21554" spans="1:10" x14ac:dyDescent="0.35">
      <c r="A21554" t="s">
        <v>230</v>
      </c>
      <c r="B21554" t="s">
        <v>255</v>
      </c>
      <c r="C21554" s="26">
        <v>0.84850000000000003</v>
      </c>
      <c r="D21554" s="26">
        <v>0.1183</v>
      </c>
      <c r="E21554" s="26">
        <v>2.4799999999999999E-2</v>
      </c>
      <c r="F21554" s="26">
        <v>3.5000000000000001E-3</v>
      </c>
      <c r="G21554" s="26">
        <v>4.8999999999999998E-3</v>
      </c>
      <c r="J21554">
        <v>389</v>
      </c>
    </row>
    <row r="21555" spans="1:10" x14ac:dyDescent="0.35">
      <c r="A21555" t="s">
        <v>230</v>
      </c>
      <c r="B21555" t="s">
        <v>257</v>
      </c>
      <c r="C21555" s="26">
        <v>0.79279999999999995</v>
      </c>
      <c r="D21555" s="26">
        <v>0.10539999999999999</v>
      </c>
      <c r="E21555" s="26">
        <v>2.5700000000000001E-2</v>
      </c>
      <c r="F21555" s="26">
        <v>7.6100000000000001E-2</v>
      </c>
      <c r="J21555">
        <v>38</v>
      </c>
    </row>
    <row r="21556" spans="1:10" x14ac:dyDescent="0.35">
      <c r="A21556" s="27" t="s">
        <v>230</v>
      </c>
      <c r="B21556" s="27" t="s">
        <v>258</v>
      </c>
      <c r="C21556" s="28">
        <v>1</v>
      </c>
      <c r="D21556" s="29"/>
      <c r="E21556" s="29"/>
      <c r="F21556" s="29"/>
      <c r="G21556" s="29"/>
      <c r="H21556" s="29"/>
      <c r="I21556" s="29"/>
      <c r="J21556" s="29" t="s">
        <v>315</v>
      </c>
    </row>
    <row r="21557" spans="1:10" x14ac:dyDescent="0.35">
      <c r="A21557" s="27" t="s">
        <v>231</v>
      </c>
      <c r="B21557" s="27" t="s">
        <v>257</v>
      </c>
      <c r="C21557" s="28">
        <v>1</v>
      </c>
      <c r="D21557" s="29"/>
      <c r="E21557" s="29"/>
      <c r="F21557" s="29"/>
      <c r="G21557" s="29"/>
      <c r="H21557" s="29"/>
      <c r="I21557" s="29"/>
      <c r="J21557" s="29" t="s">
        <v>339</v>
      </c>
    </row>
    <row r="21558" spans="1:10" x14ac:dyDescent="0.35">
      <c r="A21558" t="s">
        <v>231</v>
      </c>
      <c r="B21558" t="s">
        <v>255</v>
      </c>
      <c r="C21558" s="26">
        <v>0.90700000000000003</v>
      </c>
      <c r="D21558" s="26">
        <v>7.7499999999999999E-2</v>
      </c>
      <c r="E21558" s="26">
        <v>1.55E-2</v>
      </c>
      <c r="J21558">
        <v>129</v>
      </c>
    </row>
    <row r="21559" spans="1:10" x14ac:dyDescent="0.35">
      <c r="A21559" s="27" t="s">
        <v>231</v>
      </c>
      <c r="B21559" s="27" t="s">
        <v>256</v>
      </c>
      <c r="C21559" s="28">
        <v>0.85709999999999997</v>
      </c>
      <c r="D21559" s="28">
        <v>7.1400000000000005E-2</v>
      </c>
      <c r="E21559" s="28">
        <v>7.1400000000000005E-2</v>
      </c>
      <c r="F21559" s="29"/>
      <c r="G21559" s="29"/>
      <c r="H21559" s="29"/>
      <c r="I21559" s="29"/>
      <c r="J21559" s="29" t="s">
        <v>336</v>
      </c>
    </row>
    <row r="21560" spans="1:10" x14ac:dyDescent="0.35">
      <c r="A21560" t="s">
        <v>232</v>
      </c>
      <c r="B21560" t="s">
        <v>232</v>
      </c>
      <c r="C21560" s="26">
        <v>0.87270000000000003</v>
      </c>
      <c r="D21560" s="26">
        <v>0.08</v>
      </c>
      <c r="E21560" s="26">
        <v>3.3500000000000002E-2</v>
      </c>
      <c r="F21560" s="26">
        <v>7.1999999999999998E-3</v>
      </c>
      <c r="G21560" s="26">
        <v>4.3E-3</v>
      </c>
      <c r="H21560" s="26">
        <v>2E-3</v>
      </c>
      <c r="I21560" s="26">
        <v>4.0000000000000002E-4</v>
      </c>
      <c r="J21560">
        <v>2813</v>
      </c>
    </row>
    <row r="21562" spans="1:10" x14ac:dyDescent="0.35">
      <c r="A21562" s="1" t="s">
        <v>2093</v>
      </c>
    </row>
    <row r="21563" spans="1:10" x14ac:dyDescent="0.35">
      <c r="A21563" t="s">
        <v>219</v>
      </c>
      <c r="B21563" t="s">
        <v>303</v>
      </c>
      <c r="C21563" t="s">
        <v>302</v>
      </c>
      <c r="D21563" t="s">
        <v>286</v>
      </c>
      <c r="E21563" t="s">
        <v>226</v>
      </c>
    </row>
    <row r="21564" spans="1:10" x14ac:dyDescent="0.35">
      <c r="A21564" t="s">
        <v>227</v>
      </c>
      <c r="B21564" s="26">
        <v>0.99380000000000002</v>
      </c>
      <c r="C21564" s="26">
        <v>6.1999999999999998E-3</v>
      </c>
      <c r="E21564">
        <v>161</v>
      </c>
    </row>
    <row r="21565" spans="1:10" x14ac:dyDescent="0.35">
      <c r="A21565" t="s">
        <v>228</v>
      </c>
      <c r="B21565" s="26">
        <v>0.98019999999999996</v>
      </c>
      <c r="C21565" s="26">
        <v>1.9E-2</v>
      </c>
      <c r="D21565" s="26">
        <v>8.0000000000000004E-4</v>
      </c>
      <c r="E21565">
        <v>1033</v>
      </c>
    </row>
    <row r="21566" spans="1:10" x14ac:dyDescent="0.35">
      <c r="A21566" t="s">
        <v>229</v>
      </c>
      <c r="B21566" s="26">
        <v>0.98309999999999997</v>
      </c>
      <c r="C21566" s="26">
        <v>1.2999999999999999E-2</v>
      </c>
      <c r="D21566" s="26">
        <v>3.8E-3</v>
      </c>
      <c r="E21566">
        <v>895</v>
      </c>
    </row>
    <row r="21567" spans="1:10" x14ac:dyDescent="0.35">
      <c r="A21567" t="s">
        <v>230</v>
      </c>
      <c r="B21567" s="26">
        <v>0.98570000000000002</v>
      </c>
      <c r="C21567" s="26">
        <v>1.4E-2</v>
      </c>
      <c r="D21567" s="26">
        <v>2.9999999999999997E-4</v>
      </c>
      <c r="E21567">
        <v>560</v>
      </c>
    </row>
    <row r="21568" spans="1:10" x14ac:dyDescent="0.35">
      <c r="A21568" t="s">
        <v>231</v>
      </c>
      <c r="B21568" s="26">
        <v>0.96340000000000003</v>
      </c>
      <c r="C21568" s="26">
        <v>3.0499999999999999E-2</v>
      </c>
      <c r="D21568" s="26">
        <v>6.1000000000000004E-3</v>
      </c>
      <c r="E21568">
        <v>164</v>
      </c>
    </row>
    <row r="21569" spans="1:6" x14ac:dyDescent="0.35">
      <c r="A21569" t="s">
        <v>232</v>
      </c>
      <c r="B21569" s="26">
        <v>0.97899999999999998</v>
      </c>
      <c r="C21569" s="26">
        <v>1.7999999999999999E-2</v>
      </c>
      <c r="D21569" s="26">
        <v>2.8999999999999998E-3</v>
      </c>
      <c r="E21569">
        <v>2813</v>
      </c>
    </row>
    <row r="21571" spans="1:6" x14ac:dyDescent="0.35">
      <c r="A21571" s="1" t="s">
        <v>2094</v>
      </c>
    </row>
    <row r="21572" spans="1:6" x14ac:dyDescent="0.35">
      <c r="A21572" t="s">
        <v>219</v>
      </c>
      <c r="B21572" t="s">
        <v>305</v>
      </c>
      <c r="C21572" t="s">
        <v>303</v>
      </c>
      <c r="D21572" t="s">
        <v>302</v>
      </c>
      <c r="E21572" t="s">
        <v>286</v>
      </c>
      <c r="F21572" t="s">
        <v>226</v>
      </c>
    </row>
    <row r="21573" spans="1:6" x14ac:dyDescent="0.35">
      <c r="A21573" t="s">
        <v>227</v>
      </c>
      <c r="B21573" t="s">
        <v>242</v>
      </c>
      <c r="C21573" s="26">
        <v>0.98529999999999995</v>
      </c>
      <c r="D21573" s="26">
        <v>1.47E-2</v>
      </c>
      <c r="F21573">
        <v>68</v>
      </c>
    </row>
    <row r="21574" spans="1:6" x14ac:dyDescent="0.35">
      <c r="A21574" t="s">
        <v>227</v>
      </c>
      <c r="B21574" t="s">
        <v>241</v>
      </c>
      <c r="C21574" s="26">
        <v>1</v>
      </c>
      <c r="F21574">
        <v>93</v>
      </c>
    </row>
    <row r="21575" spans="1:6" x14ac:dyDescent="0.35">
      <c r="A21575" t="s">
        <v>228</v>
      </c>
      <c r="B21575" t="s">
        <v>242</v>
      </c>
      <c r="C21575" s="26">
        <v>0.96389999999999998</v>
      </c>
      <c r="D21575" s="26">
        <v>3.5200000000000002E-2</v>
      </c>
      <c r="E21575" s="26">
        <v>1E-3</v>
      </c>
      <c r="F21575">
        <v>402</v>
      </c>
    </row>
    <row r="21576" spans="1:6" x14ac:dyDescent="0.35">
      <c r="A21576" t="s">
        <v>228</v>
      </c>
      <c r="B21576" t="s">
        <v>241</v>
      </c>
      <c r="C21576" s="26">
        <v>0.98950000000000005</v>
      </c>
      <c r="D21576" s="26">
        <v>9.7999999999999997E-3</v>
      </c>
      <c r="E21576" s="26">
        <v>5.9999999999999995E-4</v>
      </c>
      <c r="F21576">
        <v>631</v>
      </c>
    </row>
    <row r="21577" spans="1:6" x14ac:dyDescent="0.35">
      <c r="A21577" t="s">
        <v>229</v>
      </c>
      <c r="B21577" t="s">
        <v>242</v>
      </c>
      <c r="C21577" s="26">
        <v>0.9859</v>
      </c>
      <c r="D21577" s="26">
        <v>7.7000000000000002E-3</v>
      </c>
      <c r="E21577" s="26">
        <v>6.4000000000000003E-3</v>
      </c>
      <c r="F21577">
        <v>292</v>
      </c>
    </row>
    <row r="21578" spans="1:6" x14ac:dyDescent="0.35">
      <c r="A21578" t="s">
        <v>229</v>
      </c>
      <c r="B21578" t="s">
        <v>241</v>
      </c>
      <c r="C21578" s="26">
        <v>0.98140000000000005</v>
      </c>
      <c r="D21578" s="26">
        <v>1.6500000000000001E-2</v>
      </c>
      <c r="E21578" s="26">
        <v>2.2000000000000001E-3</v>
      </c>
      <c r="F21578">
        <v>603</v>
      </c>
    </row>
    <row r="21579" spans="1:6" x14ac:dyDescent="0.35">
      <c r="A21579" t="s">
        <v>230</v>
      </c>
      <c r="B21579" t="s">
        <v>242</v>
      </c>
      <c r="C21579" s="26">
        <v>0.97719999999999996</v>
      </c>
      <c r="D21579" s="26">
        <v>2.2800000000000001E-2</v>
      </c>
      <c r="F21579">
        <v>189</v>
      </c>
    </row>
    <row r="21580" spans="1:6" x14ac:dyDescent="0.35">
      <c r="A21580" t="s">
        <v>230</v>
      </c>
      <c r="B21580" t="s">
        <v>241</v>
      </c>
      <c r="C21580" s="26">
        <v>0.99009999999999998</v>
      </c>
      <c r="D21580" s="26">
        <v>9.4999999999999998E-3</v>
      </c>
      <c r="E21580" s="26">
        <v>4.0000000000000002E-4</v>
      </c>
      <c r="F21580">
        <v>371</v>
      </c>
    </row>
    <row r="21581" spans="1:6" x14ac:dyDescent="0.35">
      <c r="A21581" t="s">
        <v>231</v>
      </c>
      <c r="B21581" t="s">
        <v>242</v>
      </c>
      <c r="C21581" s="26">
        <v>0.90739999999999998</v>
      </c>
      <c r="D21581" s="26">
        <v>9.2600000000000002E-2</v>
      </c>
      <c r="F21581">
        <v>54</v>
      </c>
    </row>
    <row r="21582" spans="1:6" x14ac:dyDescent="0.35">
      <c r="A21582" t="s">
        <v>231</v>
      </c>
      <c r="B21582" t="s">
        <v>241</v>
      </c>
      <c r="C21582" s="26">
        <v>0.9909</v>
      </c>
      <c r="E21582" s="26">
        <v>9.1000000000000004E-3</v>
      </c>
      <c r="F21582">
        <v>110</v>
      </c>
    </row>
    <row r="21583" spans="1:6" x14ac:dyDescent="0.35">
      <c r="A21583" t="s">
        <v>232</v>
      </c>
      <c r="B21583" t="s">
        <v>232</v>
      </c>
      <c r="C21583" s="26">
        <v>0.97899999999999998</v>
      </c>
      <c r="D21583" s="26">
        <v>1.7999999999999999E-2</v>
      </c>
      <c r="E21583" s="26">
        <v>2.8999999999999998E-3</v>
      </c>
      <c r="F21583">
        <v>2813</v>
      </c>
    </row>
    <row r="21585" spans="1:6" x14ac:dyDescent="0.35">
      <c r="A21585" s="1" t="s">
        <v>2095</v>
      </c>
    </row>
    <row r="21586" spans="1:6" x14ac:dyDescent="0.35">
      <c r="A21586" t="s">
        <v>219</v>
      </c>
      <c r="B21586" t="s">
        <v>305</v>
      </c>
      <c r="C21586" t="s">
        <v>303</v>
      </c>
      <c r="D21586" t="s">
        <v>302</v>
      </c>
      <c r="E21586" t="s">
        <v>286</v>
      </c>
      <c r="F21586" t="s">
        <v>226</v>
      </c>
    </row>
    <row r="21587" spans="1:6" x14ac:dyDescent="0.35">
      <c r="A21587" t="s">
        <v>227</v>
      </c>
      <c r="B21587" t="s">
        <v>239</v>
      </c>
      <c r="C21587" s="26">
        <v>0.9839</v>
      </c>
      <c r="D21587" s="26">
        <v>1.61E-2</v>
      </c>
      <c r="F21587">
        <v>62</v>
      </c>
    </row>
    <row r="21588" spans="1:6" x14ac:dyDescent="0.35">
      <c r="A21588" t="s">
        <v>227</v>
      </c>
      <c r="B21588" t="s">
        <v>238</v>
      </c>
      <c r="C21588" s="26">
        <v>1</v>
      </c>
      <c r="F21588">
        <v>99</v>
      </c>
    </row>
    <row r="21589" spans="1:6" x14ac:dyDescent="0.35">
      <c r="A21589" t="s">
        <v>228</v>
      </c>
      <c r="B21589" t="s">
        <v>239</v>
      </c>
      <c r="C21589" s="26">
        <v>0.98270000000000002</v>
      </c>
      <c r="D21589" s="26">
        <v>1.5599999999999999E-2</v>
      </c>
      <c r="E21589" s="26">
        <v>1.6999999999999999E-3</v>
      </c>
      <c r="F21589">
        <v>330</v>
      </c>
    </row>
    <row r="21590" spans="1:6" x14ac:dyDescent="0.35">
      <c r="A21590" t="s">
        <v>228</v>
      </c>
      <c r="B21590" t="s">
        <v>238</v>
      </c>
      <c r="C21590" s="26">
        <v>0.97950000000000004</v>
      </c>
      <c r="D21590" s="26">
        <v>0.02</v>
      </c>
      <c r="E21590" s="26">
        <v>5.0000000000000001E-4</v>
      </c>
      <c r="F21590">
        <v>703</v>
      </c>
    </row>
    <row r="21591" spans="1:6" x14ac:dyDescent="0.35">
      <c r="A21591" t="s">
        <v>229</v>
      </c>
      <c r="B21591" t="s">
        <v>239</v>
      </c>
      <c r="C21591" s="26">
        <v>0.96879999999999999</v>
      </c>
      <c r="D21591" s="26">
        <v>1.7399999999999999E-2</v>
      </c>
      <c r="E21591" s="26">
        <v>1.38E-2</v>
      </c>
      <c r="F21591">
        <v>332</v>
      </c>
    </row>
    <row r="21592" spans="1:6" x14ac:dyDescent="0.35">
      <c r="A21592" t="s">
        <v>229</v>
      </c>
      <c r="B21592" t="s">
        <v>238</v>
      </c>
      <c r="C21592" s="26">
        <v>0.98799999999999999</v>
      </c>
      <c r="D21592" s="26">
        <v>1.15E-2</v>
      </c>
      <c r="E21592" s="26">
        <v>4.0000000000000002E-4</v>
      </c>
      <c r="F21592">
        <v>563</v>
      </c>
    </row>
    <row r="21593" spans="1:6" x14ac:dyDescent="0.35">
      <c r="A21593" t="s">
        <v>230</v>
      </c>
      <c r="B21593" t="s">
        <v>239</v>
      </c>
      <c r="C21593" s="26">
        <v>0.95640000000000003</v>
      </c>
      <c r="D21593" s="26">
        <v>4.36E-2</v>
      </c>
      <c r="F21593">
        <v>211</v>
      </c>
    </row>
    <row r="21594" spans="1:6" x14ac:dyDescent="0.35">
      <c r="A21594" t="s">
        <v>230</v>
      </c>
      <c r="B21594" t="s">
        <v>238</v>
      </c>
      <c r="C21594" s="26">
        <v>0.99829999999999997</v>
      </c>
      <c r="D21594" s="26">
        <v>1.2999999999999999E-3</v>
      </c>
      <c r="E21594" s="26">
        <v>4.0000000000000002E-4</v>
      </c>
      <c r="F21594">
        <v>349</v>
      </c>
    </row>
    <row r="21595" spans="1:6" x14ac:dyDescent="0.35">
      <c r="A21595" t="s">
        <v>231</v>
      </c>
      <c r="B21595" t="s">
        <v>239</v>
      </c>
      <c r="C21595" s="26">
        <v>0.94740000000000002</v>
      </c>
      <c r="D21595" s="26">
        <v>5.2600000000000001E-2</v>
      </c>
      <c r="F21595">
        <v>57</v>
      </c>
    </row>
    <row r="21596" spans="1:6" x14ac:dyDescent="0.35">
      <c r="A21596" t="s">
        <v>231</v>
      </c>
      <c r="B21596" t="s">
        <v>238</v>
      </c>
      <c r="C21596" s="26">
        <v>0.97199999999999998</v>
      </c>
      <c r="D21596" s="26">
        <v>1.8700000000000001E-2</v>
      </c>
      <c r="E21596" s="26">
        <v>9.2999999999999992E-3</v>
      </c>
      <c r="F21596">
        <v>107</v>
      </c>
    </row>
    <row r="21597" spans="1:6" x14ac:dyDescent="0.35">
      <c r="A21597" t="s">
        <v>232</v>
      </c>
      <c r="B21597" t="s">
        <v>232</v>
      </c>
      <c r="C21597" s="26">
        <v>0.97899999999999998</v>
      </c>
      <c r="D21597" s="26">
        <v>1.7999999999999999E-2</v>
      </c>
      <c r="E21597" s="26">
        <v>2.8999999999999998E-3</v>
      </c>
      <c r="F21597">
        <v>2813</v>
      </c>
    </row>
    <row r="21599" spans="1:6" x14ac:dyDescent="0.35">
      <c r="A21599" s="1" t="s">
        <v>2096</v>
      </c>
    </row>
    <row r="21600" spans="1:6" x14ac:dyDescent="0.35">
      <c r="A21600" t="s">
        <v>219</v>
      </c>
      <c r="B21600" t="s">
        <v>305</v>
      </c>
      <c r="C21600" t="s">
        <v>303</v>
      </c>
      <c r="D21600" t="s">
        <v>302</v>
      </c>
      <c r="E21600" t="s">
        <v>286</v>
      </c>
      <c r="F21600" t="s">
        <v>226</v>
      </c>
    </row>
    <row r="21601" spans="1:6" x14ac:dyDescent="0.35">
      <c r="A21601" t="s">
        <v>227</v>
      </c>
      <c r="B21601" t="s">
        <v>244</v>
      </c>
      <c r="C21601" s="26">
        <v>0.98960000000000004</v>
      </c>
      <c r="D21601" s="26">
        <v>1.04E-2</v>
      </c>
      <c r="F21601">
        <v>96</v>
      </c>
    </row>
    <row r="21602" spans="1:6" x14ac:dyDescent="0.35">
      <c r="A21602" t="s">
        <v>227</v>
      </c>
      <c r="B21602" t="s">
        <v>245</v>
      </c>
      <c r="C21602" s="26">
        <v>1</v>
      </c>
      <c r="F21602">
        <v>53</v>
      </c>
    </row>
    <row r="21603" spans="1:6" x14ac:dyDescent="0.35">
      <c r="A21603" s="27" t="s">
        <v>227</v>
      </c>
      <c r="B21603" s="27" t="s">
        <v>246</v>
      </c>
      <c r="C21603" s="28">
        <v>1</v>
      </c>
      <c r="D21603" s="29"/>
      <c r="E21603" s="29"/>
      <c r="F21603" s="29" t="s">
        <v>342</v>
      </c>
    </row>
    <row r="21604" spans="1:6" x14ac:dyDescent="0.35">
      <c r="A21604" t="s">
        <v>228</v>
      </c>
      <c r="B21604" t="s">
        <v>244</v>
      </c>
      <c r="C21604" s="26">
        <v>0.97750000000000004</v>
      </c>
      <c r="D21604" s="26">
        <v>2.1299999999999999E-2</v>
      </c>
      <c r="E21604" s="26">
        <v>1.1999999999999999E-3</v>
      </c>
      <c r="F21604">
        <v>638</v>
      </c>
    </row>
    <row r="21605" spans="1:6" x14ac:dyDescent="0.35">
      <c r="A21605" t="s">
        <v>228</v>
      </c>
      <c r="B21605" t="s">
        <v>245</v>
      </c>
      <c r="C21605" s="26">
        <v>0.98309999999999997</v>
      </c>
      <c r="D21605" s="26">
        <v>1.6899999999999998E-2</v>
      </c>
      <c r="F21605">
        <v>328</v>
      </c>
    </row>
    <row r="21606" spans="1:6" x14ac:dyDescent="0.35">
      <c r="A21606" t="s">
        <v>228</v>
      </c>
      <c r="B21606" t="s">
        <v>246</v>
      </c>
      <c r="C21606" s="26">
        <v>0.99399999999999999</v>
      </c>
      <c r="D21606" s="26">
        <v>6.0000000000000001E-3</v>
      </c>
      <c r="F21606">
        <v>67</v>
      </c>
    </row>
    <row r="21607" spans="1:6" x14ac:dyDescent="0.35">
      <c r="A21607" t="s">
        <v>229</v>
      </c>
      <c r="B21607" t="s">
        <v>244</v>
      </c>
      <c r="C21607" s="26">
        <v>0.98350000000000004</v>
      </c>
      <c r="D21607" s="26">
        <v>1.09E-2</v>
      </c>
      <c r="E21607" s="26">
        <v>5.4999999999999997E-3</v>
      </c>
      <c r="F21607">
        <v>557</v>
      </c>
    </row>
    <row r="21608" spans="1:6" x14ac:dyDescent="0.35">
      <c r="A21608" t="s">
        <v>229</v>
      </c>
      <c r="B21608" t="s">
        <v>245</v>
      </c>
      <c r="C21608" s="26">
        <v>0.97960000000000003</v>
      </c>
      <c r="D21608" s="26">
        <v>2.0400000000000001E-2</v>
      </c>
      <c r="F21608">
        <v>293</v>
      </c>
    </row>
    <row r="21609" spans="1:6" x14ac:dyDescent="0.35">
      <c r="A21609" t="s">
        <v>229</v>
      </c>
      <c r="B21609" t="s">
        <v>246</v>
      </c>
      <c r="C21609" s="26">
        <v>0.995</v>
      </c>
      <c r="D21609" s="26">
        <v>5.0000000000000001E-3</v>
      </c>
      <c r="F21609">
        <v>45</v>
      </c>
    </row>
    <row r="21610" spans="1:6" x14ac:dyDescent="0.35">
      <c r="A21610" t="s">
        <v>230</v>
      </c>
      <c r="B21610" t="s">
        <v>244</v>
      </c>
      <c r="C21610" s="26">
        <v>0.98370000000000002</v>
      </c>
      <c r="D21610" s="26">
        <v>1.6E-2</v>
      </c>
      <c r="E21610" s="26">
        <v>4.0000000000000002E-4</v>
      </c>
      <c r="F21610">
        <v>370</v>
      </c>
    </row>
    <row r="21611" spans="1:6" x14ac:dyDescent="0.35">
      <c r="A21611" t="s">
        <v>230</v>
      </c>
      <c r="B21611" t="s">
        <v>245</v>
      </c>
      <c r="C21611" s="26">
        <v>0.99199999999999999</v>
      </c>
      <c r="D21611" s="26">
        <v>8.0000000000000002E-3</v>
      </c>
      <c r="F21611">
        <v>161</v>
      </c>
    </row>
    <row r="21612" spans="1:6" x14ac:dyDescent="0.35">
      <c r="A21612" s="27" t="s">
        <v>230</v>
      </c>
      <c r="B21612" s="27" t="s">
        <v>246</v>
      </c>
      <c r="C21612" s="28">
        <v>0.98129999999999995</v>
      </c>
      <c r="D21612" s="28">
        <v>1.8700000000000001E-2</v>
      </c>
      <c r="E21612" s="29"/>
      <c r="F21612" s="29" t="s">
        <v>329</v>
      </c>
    </row>
    <row r="21613" spans="1:6" x14ac:dyDescent="0.35">
      <c r="A21613" t="s">
        <v>231</v>
      </c>
      <c r="B21613" t="s">
        <v>244</v>
      </c>
      <c r="C21613" s="26">
        <v>0.96840000000000004</v>
      </c>
      <c r="D21613" s="26">
        <v>3.1600000000000003E-2</v>
      </c>
      <c r="F21613">
        <v>95</v>
      </c>
    </row>
    <row r="21614" spans="1:6" x14ac:dyDescent="0.35">
      <c r="A21614" t="s">
        <v>231</v>
      </c>
      <c r="B21614" t="s">
        <v>245</v>
      </c>
      <c r="C21614" s="26">
        <v>0.94640000000000002</v>
      </c>
      <c r="D21614" s="26">
        <v>3.5700000000000003E-2</v>
      </c>
      <c r="E21614" s="26">
        <v>1.7899999999999999E-2</v>
      </c>
      <c r="F21614">
        <v>56</v>
      </c>
    </row>
    <row r="21615" spans="1:6" x14ac:dyDescent="0.35">
      <c r="A21615" s="27" t="s">
        <v>231</v>
      </c>
      <c r="B21615" s="27" t="s">
        <v>246</v>
      </c>
      <c r="C21615" s="28">
        <v>1</v>
      </c>
      <c r="D21615" s="29"/>
      <c r="E21615" s="29"/>
      <c r="F21615" s="29" t="s">
        <v>341</v>
      </c>
    </row>
    <row r="21616" spans="1:6" x14ac:dyDescent="0.35">
      <c r="A21616" t="s">
        <v>232</v>
      </c>
      <c r="B21616" t="s">
        <v>232</v>
      </c>
      <c r="C21616" s="26">
        <v>0.97899999999999998</v>
      </c>
      <c r="D21616" s="26">
        <v>1.7999999999999999E-2</v>
      </c>
      <c r="E21616" s="26">
        <v>2.8999999999999998E-3</v>
      </c>
      <c r="F21616">
        <v>2813</v>
      </c>
    </row>
    <row r="21618" spans="1:6" x14ac:dyDescent="0.35">
      <c r="A21618" s="1" t="s">
        <v>2097</v>
      </c>
    </row>
    <row r="21619" spans="1:6" x14ac:dyDescent="0.35">
      <c r="A21619" t="s">
        <v>219</v>
      </c>
      <c r="B21619" t="s">
        <v>305</v>
      </c>
      <c r="C21619" t="s">
        <v>303</v>
      </c>
      <c r="D21619" t="s">
        <v>302</v>
      </c>
      <c r="E21619" t="s">
        <v>286</v>
      </c>
      <c r="F21619" t="s">
        <v>226</v>
      </c>
    </row>
    <row r="21620" spans="1:6" x14ac:dyDescent="0.35">
      <c r="A21620" t="s">
        <v>227</v>
      </c>
      <c r="B21620" t="s">
        <v>360</v>
      </c>
      <c r="C21620" s="26">
        <v>0.97440000000000004</v>
      </c>
      <c r="D21620" s="26">
        <v>2.5600000000000001E-2</v>
      </c>
      <c r="F21620">
        <v>39</v>
      </c>
    </row>
    <row r="21621" spans="1:6" x14ac:dyDescent="0.35">
      <c r="A21621" t="s">
        <v>227</v>
      </c>
      <c r="B21621" t="s">
        <v>361</v>
      </c>
      <c r="C21621" s="26">
        <v>1</v>
      </c>
      <c r="F21621">
        <v>32</v>
      </c>
    </row>
    <row r="21622" spans="1:6" x14ac:dyDescent="0.35">
      <c r="A21622" t="s">
        <v>227</v>
      </c>
      <c r="B21622" t="s">
        <v>362</v>
      </c>
      <c r="C21622" s="26">
        <v>1</v>
      </c>
      <c r="F21622">
        <v>37</v>
      </c>
    </row>
    <row r="21623" spans="1:6" x14ac:dyDescent="0.35">
      <c r="A21623" t="s">
        <v>227</v>
      </c>
      <c r="B21623" t="s">
        <v>363</v>
      </c>
      <c r="C21623" s="26">
        <v>1</v>
      </c>
      <c r="F21623">
        <v>45</v>
      </c>
    </row>
    <row r="21624" spans="1:6" x14ac:dyDescent="0.35">
      <c r="A21624" t="s">
        <v>228</v>
      </c>
      <c r="B21624" t="s">
        <v>360</v>
      </c>
      <c r="C21624" s="26">
        <v>0.96479999999999999</v>
      </c>
      <c r="D21624" s="26">
        <v>3.5200000000000002E-2</v>
      </c>
      <c r="F21624">
        <v>258</v>
      </c>
    </row>
    <row r="21625" spans="1:6" x14ac:dyDescent="0.35">
      <c r="A21625" t="s">
        <v>228</v>
      </c>
      <c r="B21625" t="s">
        <v>361</v>
      </c>
      <c r="C21625" s="26">
        <v>0.99660000000000004</v>
      </c>
      <c r="D21625" s="26">
        <v>3.3999999999999998E-3</v>
      </c>
      <c r="F21625">
        <v>194</v>
      </c>
    </row>
    <row r="21626" spans="1:6" x14ac:dyDescent="0.35">
      <c r="A21626" t="s">
        <v>228</v>
      </c>
      <c r="B21626" t="s">
        <v>363</v>
      </c>
      <c r="C21626" s="26">
        <v>0.99339999999999995</v>
      </c>
      <c r="D21626" s="26">
        <v>6.6E-3</v>
      </c>
      <c r="F21626">
        <v>212</v>
      </c>
    </row>
    <row r="21627" spans="1:6" x14ac:dyDescent="0.35">
      <c r="A21627" t="s">
        <v>228</v>
      </c>
      <c r="B21627" t="s">
        <v>362</v>
      </c>
      <c r="C21627" s="26">
        <v>0.9627</v>
      </c>
      <c r="D21627" s="26">
        <v>3.5700000000000003E-2</v>
      </c>
      <c r="E21627" s="26">
        <v>1.5E-3</v>
      </c>
      <c r="F21627">
        <v>236</v>
      </c>
    </row>
    <row r="21628" spans="1:6" x14ac:dyDescent="0.35">
      <c r="A21628" t="s">
        <v>229</v>
      </c>
      <c r="B21628" t="s">
        <v>363</v>
      </c>
      <c r="C21628" s="26">
        <v>0.99729999999999996</v>
      </c>
      <c r="D21628" s="26">
        <v>8.9999999999999998E-4</v>
      </c>
      <c r="E21628" s="26">
        <v>1.8E-3</v>
      </c>
      <c r="F21628">
        <v>191</v>
      </c>
    </row>
    <row r="21629" spans="1:6" x14ac:dyDescent="0.35">
      <c r="A21629" t="s">
        <v>229</v>
      </c>
      <c r="B21629" t="s">
        <v>360</v>
      </c>
      <c r="C21629" s="26">
        <v>0.93710000000000004</v>
      </c>
      <c r="D21629" s="26">
        <v>4.2299999999999997E-2</v>
      </c>
      <c r="E21629" s="26">
        <v>2.0500000000000001E-2</v>
      </c>
      <c r="F21629">
        <v>164</v>
      </c>
    </row>
    <row r="21630" spans="1:6" x14ac:dyDescent="0.35">
      <c r="A21630" t="s">
        <v>229</v>
      </c>
      <c r="B21630" t="s">
        <v>361</v>
      </c>
      <c r="C21630" s="26">
        <v>0.99299999999999999</v>
      </c>
      <c r="D21630" s="26">
        <v>7.0000000000000001E-3</v>
      </c>
      <c r="F21630">
        <v>243</v>
      </c>
    </row>
    <row r="21631" spans="1:6" x14ac:dyDescent="0.35">
      <c r="A21631" t="s">
        <v>229</v>
      </c>
      <c r="B21631" t="s">
        <v>362</v>
      </c>
      <c r="C21631" s="26">
        <v>0.98150000000000004</v>
      </c>
      <c r="D21631" s="26">
        <v>1.8499999999999999E-2</v>
      </c>
      <c r="F21631">
        <v>171</v>
      </c>
    </row>
    <row r="21632" spans="1:6" x14ac:dyDescent="0.35">
      <c r="A21632" t="s">
        <v>230</v>
      </c>
      <c r="B21632" t="s">
        <v>360</v>
      </c>
      <c r="C21632" s="26">
        <v>0.96640000000000004</v>
      </c>
      <c r="D21632" s="26">
        <v>3.3599999999999998E-2</v>
      </c>
      <c r="F21632">
        <v>120</v>
      </c>
    </row>
    <row r="21633" spans="1:6" x14ac:dyDescent="0.35">
      <c r="A21633" t="s">
        <v>230</v>
      </c>
      <c r="B21633" t="s">
        <v>363</v>
      </c>
      <c r="C21633" s="26">
        <v>1</v>
      </c>
      <c r="F21633">
        <v>127</v>
      </c>
    </row>
    <row r="21634" spans="1:6" x14ac:dyDescent="0.35">
      <c r="A21634" t="s">
        <v>230</v>
      </c>
      <c r="B21634" t="s">
        <v>361</v>
      </c>
      <c r="C21634" s="26">
        <v>0.99890000000000001</v>
      </c>
      <c r="D21634" s="26">
        <v>1.1000000000000001E-3</v>
      </c>
      <c r="F21634">
        <v>109</v>
      </c>
    </row>
    <row r="21635" spans="1:6" x14ac:dyDescent="0.35">
      <c r="A21635" t="s">
        <v>230</v>
      </c>
      <c r="B21635" t="s">
        <v>362</v>
      </c>
      <c r="C21635" s="26">
        <v>0.99180000000000001</v>
      </c>
      <c r="D21635" s="26">
        <v>8.2000000000000007E-3</v>
      </c>
      <c r="F21635">
        <v>148</v>
      </c>
    </row>
    <row r="21636" spans="1:6" x14ac:dyDescent="0.35">
      <c r="A21636" s="27" t="s">
        <v>231</v>
      </c>
      <c r="B21636" s="27" t="s">
        <v>362</v>
      </c>
      <c r="C21636" s="28">
        <v>0.96550000000000002</v>
      </c>
      <c r="D21636" s="28">
        <v>3.4500000000000003E-2</v>
      </c>
      <c r="E21636" s="29"/>
      <c r="F21636" s="29" t="s">
        <v>329</v>
      </c>
    </row>
    <row r="21637" spans="1:6" x14ac:dyDescent="0.35">
      <c r="A21637" t="s">
        <v>231</v>
      </c>
      <c r="B21637" t="s">
        <v>361</v>
      </c>
      <c r="C21637" s="26">
        <v>0.96</v>
      </c>
      <c r="D21637" s="26">
        <v>0.04</v>
      </c>
      <c r="F21637">
        <v>50</v>
      </c>
    </row>
    <row r="21638" spans="1:6" x14ac:dyDescent="0.35">
      <c r="A21638" t="s">
        <v>231</v>
      </c>
      <c r="B21638" t="s">
        <v>360</v>
      </c>
      <c r="C21638" s="26">
        <v>0.93179999999999996</v>
      </c>
      <c r="D21638" s="26">
        <v>4.5499999999999999E-2</v>
      </c>
      <c r="E21638" s="26">
        <v>2.2700000000000001E-2</v>
      </c>
      <c r="F21638">
        <v>44</v>
      </c>
    </row>
    <row r="21639" spans="1:6" x14ac:dyDescent="0.35">
      <c r="A21639" s="27" t="s">
        <v>231</v>
      </c>
      <c r="B21639" s="27" t="s">
        <v>363</v>
      </c>
      <c r="C21639" s="28">
        <v>1</v>
      </c>
      <c r="D21639" s="29"/>
      <c r="E21639" s="29"/>
      <c r="F21639" s="29" t="s">
        <v>338</v>
      </c>
    </row>
    <row r="21640" spans="1:6" x14ac:dyDescent="0.35">
      <c r="A21640" t="s">
        <v>232</v>
      </c>
      <c r="B21640" t="s">
        <v>232</v>
      </c>
      <c r="C21640" s="26">
        <v>0.97899999999999998</v>
      </c>
      <c r="D21640" s="26">
        <v>1.7999999999999999E-2</v>
      </c>
      <c r="E21640" s="26">
        <v>2.8999999999999998E-3</v>
      </c>
      <c r="F21640">
        <v>2476</v>
      </c>
    </row>
    <row r="21642" spans="1:6" x14ac:dyDescent="0.35">
      <c r="A21642" s="1" t="s">
        <v>2098</v>
      </c>
    </row>
    <row r="21643" spans="1:6" x14ac:dyDescent="0.35">
      <c r="A21643" t="s">
        <v>219</v>
      </c>
      <c r="B21643" t="s">
        <v>305</v>
      </c>
      <c r="C21643" t="s">
        <v>303</v>
      </c>
      <c r="D21643" t="s">
        <v>302</v>
      </c>
      <c r="E21643" t="s">
        <v>286</v>
      </c>
      <c r="F21643" t="s">
        <v>226</v>
      </c>
    </row>
    <row r="21644" spans="1:6" x14ac:dyDescent="0.35">
      <c r="A21644" t="s">
        <v>227</v>
      </c>
      <c r="B21644" t="s">
        <v>267</v>
      </c>
      <c r="C21644" s="26">
        <v>1</v>
      </c>
      <c r="F21644">
        <v>36</v>
      </c>
    </row>
    <row r="21645" spans="1:6" x14ac:dyDescent="0.35">
      <c r="A21645" t="s">
        <v>227</v>
      </c>
      <c r="B21645" t="s">
        <v>266</v>
      </c>
      <c r="C21645" s="26">
        <v>1</v>
      </c>
      <c r="F21645">
        <v>59</v>
      </c>
    </row>
    <row r="21646" spans="1:6" x14ac:dyDescent="0.35">
      <c r="A21646" t="s">
        <v>227</v>
      </c>
      <c r="B21646" t="s">
        <v>265</v>
      </c>
      <c r="C21646" s="26">
        <v>0.98480000000000001</v>
      </c>
      <c r="D21646" s="26">
        <v>1.52E-2</v>
      </c>
      <c r="F21646">
        <v>66</v>
      </c>
    </row>
    <row r="21647" spans="1:6" x14ac:dyDescent="0.35">
      <c r="A21647" t="s">
        <v>228</v>
      </c>
      <c r="B21647" t="s">
        <v>267</v>
      </c>
      <c r="C21647" s="26">
        <v>0.96860000000000002</v>
      </c>
      <c r="D21647" s="26">
        <v>3.1399999999999997E-2</v>
      </c>
      <c r="F21647">
        <v>199</v>
      </c>
    </row>
    <row r="21648" spans="1:6" x14ac:dyDescent="0.35">
      <c r="A21648" t="s">
        <v>228</v>
      </c>
      <c r="B21648" t="s">
        <v>265</v>
      </c>
      <c r="C21648" s="26">
        <v>0.98580000000000001</v>
      </c>
      <c r="D21648" s="26">
        <v>1.24E-2</v>
      </c>
      <c r="E21648" s="26">
        <v>1.9E-3</v>
      </c>
      <c r="F21648">
        <v>384</v>
      </c>
    </row>
    <row r="21649" spans="1:6" x14ac:dyDescent="0.35">
      <c r="A21649" s="27" t="s">
        <v>228</v>
      </c>
      <c r="B21649" s="27" t="s">
        <v>236</v>
      </c>
      <c r="C21649" s="28">
        <v>1</v>
      </c>
      <c r="D21649" s="29"/>
      <c r="E21649" s="29"/>
      <c r="F21649" s="29" t="s">
        <v>314</v>
      </c>
    </row>
    <row r="21650" spans="1:6" x14ac:dyDescent="0.35">
      <c r="A21650" t="s">
        <v>228</v>
      </c>
      <c r="B21650" t="s">
        <v>266</v>
      </c>
      <c r="C21650" s="26">
        <v>0.97899999999999998</v>
      </c>
      <c r="D21650" s="26">
        <v>2.1000000000000001E-2</v>
      </c>
      <c r="F21650">
        <v>448</v>
      </c>
    </row>
    <row r="21651" spans="1:6" x14ac:dyDescent="0.35">
      <c r="A21651" t="s">
        <v>229</v>
      </c>
      <c r="B21651" t="s">
        <v>266</v>
      </c>
      <c r="C21651" s="26">
        <v>0.98070000000000002</v>
      </c>
      <c r="D21651" s="26">
        <v>1.9300000000000001E-2</v>
      </c>
      <c r="F21651">
        <v>359</v>
      </c>
    </row>
    <row r="21652" spans="1:6" x14ac:dyDescent="0.35">
      <c r="A21652" t="s">
        <v>229</v>
      </c>
      <c r="B21652" t="s">
        <v>267</v>
      </c>
      <c r="C21652" s="26">
        <v>0.97660000000000002</v>
      </c>
      <c r="D21652" s="26">
        <v>2.3400000000000001E-2</v>
      </c>
      <c r="F21652">
        <v>201</v>
      </c>
    </row>
    <row r="21653" spans="1:6" x14ac:dyDescent="0.35">
      <c r="A21653" t="s">
        <v>229</v>
      </c>
      <c r="B21653" t="s">
        <v>265</v>
      </c>
      <c r="C21653" s="26">
        <v>0.98809999999999998</v>
      </c>
      <c r="D21653" s="26">
        <v>3.3999999999999998E-3</v>
      </c>
      <c r="E21653" s="26">
        <v>8.5000000000000006E-3</v>
      </c>
      <c r="F21653">
        <v>335</v>
      </c>
    </row>
    <row r="21654" spans="1:6" x14ac:dyDescent="0.35">
      <c r="A21654" t="s">
        <v>230</v>
      </c>
      <c r="B21654" t="s">
        <v>267</v>
      </c>
      <c r="C21654" s="26">
        <v>1</v>
      </c>
      <c r="F21654">
        <v>119</v>
      </c>
    </row>
    <row r="21655" spans="1:6" x14ac:dyDescent="0.35">
      <c r="A21655" t="s">
        <v>230</v>
      </c>
      <c r="B21655" t="s">
        <v>266</v>
      </c>
      <c r="C21655" s="26">
        <v>0.97689999999999999</v>
      </c>
      <c r="D21655" s="26">
        <v>2.3099999999999999E-2</v>
      </c>
      <c r="F21655">
        <v>232</v>
      </c>
    </row>
    <row r="21656" spans="1:6" x14ac:dyDescent="0.35">
      <c r="A21656" t="s">
        <v>230</v>
      </c>
      <c r="B21656" t="s">
        <v>265</v>
      </c>
      <c r="C21656" s="26">
        <v>0.98580000000000001</v>
      </c>
      <c r="D21656" s="26">
        <v>1.35E-2</v>
      </c>
      <c r="E21656" s="26">
        <v>6.9999999999999999E-4</v>
      </c>
      <c r="F21656">
        <v>209</v>
      </c>
    </row>
    <row r="21657" spans="1:6" x14ac:dyDescent="0.35">
      <c r="A21657" t="s">
        <v>231</v>
      </c>
      <c r="B21657" t="s">
        <v>267</v>
      </c>
      <c r="C21657" s="26">
        <v>0.97060000000000002</v>
      </c>
      <c r="D21657" s="26">
        <v>2.9399999999999999E-2</v>
      </c>
      <c r="F21657">
        <v>34</v>
      </c>
    </row>
    <row r="21658" spans="1:6" x14ac:dyDescent="0.35">
      <c r="A21658" t="s">
        <v>231</v>
      </c>
      <c r="B21658" t="s">
        <v>266</v>
      </c>
      <c r="C21658" s="26">
        <v>0.9677</v>
      </c>
      <c r="D21658" s="26">
        <v>1.61E-2</v>
      </c>
      <c r="E21658" s="26">
        <v>1.61E-2</v>
      </c>
      <c r="F21658">
        <v>62</v>
      </c>
    </row>
    <row r="21659" spans="1:6" x14ac:dyDescent="0.35">
      <c r="A21659" t="s">
        <v>231</v>
      </c>
      <c r="B21659" t="s">
        <v>265</v>
      </c>
      <c r="C21659" s="26">
        <v>0.95589999999999997</v>
      </c>
      <c r="D21659" s="26">
        <v>4.41E-2</v>
      </c>
      <c r="F21659">
        <v>68</v>
      </c>
    </row>
    <row r="21660" spans="1:6" x14ac:dyDescent="0.35">
      <c r="A21660" t="s">
        <v>232</v>
      </c>
      <c r="B21660" t="s">
        <v>232</v>
      </c>
      <c r="C21660" s="26">
        <v>0.97899999999999998</v>
      </c>
      <c r="D21660" s="26">
        <v>1.7999999999999999E-2</v>
      </c>
      <c r="E21660" s="26">
        <v>2.8999999999999998E-3</v>
      </c>
      <c r="F21660">
        <v>2813</v>
      </c>
    </row>
    <row r="21662" spans="1:6" x14ac:dyDescent="0.35">
      <c r="A21662" s="1" t="s">
        <v>2099</v>
      </c>
    </row>
    <row r="21663" spans="1:6" x14ac:dyDescent="0.35">
      <c r="A21663" t="s">
        <v>219</v>
      </c>
      <c r="B21663" t="s">
        <v>305</v>
      </c>
      <c r="C21663" t="s">
        <v>303</v>
      </c>
      <c r="D21663" t="s">
        <v>302</v>
      </c>
      <c r="E21663" t="s">
        <v>286</v>
      </c>
      <c r="F21663" t="s">
        <v>226</v>
      </c>
    </row>
    <row r="21664" spans="1:6" x14ac:dyDescent="0.35">
      <c r="A21664" t="s">
        <v>227</v>
      </c>
      <c r="B21664" t="s">
        <v>252</v>
      </c>
      <c r="C21664" s="26">
        <v>1</v>
      </c>
      <c r="F21664">
        <v>45</v>
      </c>
    </row>
    <row r="21665" spans="1:6" x14ac:dyDescent="0.35">
      <c r="A21665" t="s">
        <v>227</v>
      </c>
      <c r="B21665" t="s">
        <v>253</v>
      </c>
      <c r="C21665" s="26">
        <v>1</v>
      </c>
      <c r="F21665">
        <v>34</v>
      </c>
    </row>
    <row r="21666" spans="1:6" x14ac:dyDescent="0.35">
      <c r="A21666" t="s">
        <v>227</v>
      </c>
      <c r="B21666" t="s">
        <v>251</v>
      </c>
      <c r="C21666" s="26">
        <v>0.98780000000000001</v>
      </c>
      <c r="D21666" s="26">
        <v>1.2200000000000001E-2</v>
      </c>
      <c r="F21666">
        <v>82</v>
      </c>
    </row>
    <row r="21667" spans="1:6" x14ac:dyDescent="0.35">
      <c r="A21667" t="s">
        <v>228</v>
      </c>
      <c r="B21667" t="s">
        <v>252</v>
      </c>
      <c r="C21667" s="26">
        <v>0.98160000000000003</v>
      </c>
      <c r="D21667" s="26">
        <v>1.6E-2</v>
      </c>
      <c r="E21667" s="26">
        <v>2.3999999999999998E-3</v>
      </c>
      <c r="F21667">
        <v>344</v>
      </c>
    </row>
    <row r="21668" spans="1:6" x14ac:dyDescent="0.35">
      <c r="A21668" t="s">
        <v>228</v>
      </c>
      <c r="B21668" t="s">
        <v>253</v>
      </c>
      <c r="C21668" s="26">
        <v>0.94810000000000005</v>
      </c>
      <c r="D21668" s="26">
        <v>5.1900000000000002E-2</v>
      </c>
      <c r="F21668">
        <v>222</v>
      </c>
    </row>
    <row r="21669" spans="1:6" x14ac:dyDescent="0.35">
      <c r="A21669" t="s">
        <v>228</v>
      </c>
      <c r="B21669" t="s">
        <v>251</v>
      </c>
      <c r="C21669" s="26">
        <v>0.99299999999999999</v>
      </c>
      <c r="D21669" s="26">
        <v>7.0000000000000001E-3</v>
      </c>
      <c r="F21669">
        <v>467</v>
      </c>
    </row>
    <row r="21670" spans="1:6" x14ac:dyDescent="0.35">
      <c r="A21670" t="s">
        <v>229</v>
      </c>
      <c r="B21670" t="s">
        <v>252</v>
      </c>
      <c r="C21670" s="26">
        <v>0.98839999999999995</v>
      </c>
      <c r="D21670" s="26">
        <v>1.1599999999999999E-2</v>
      </c>
      <c r="F21670">
        <v>199</v>
      </c>
    </row>
    <row r="21671" spans="1:6" x14ac:dyDescent="0.35">
      <c r="A21671" t="s">
        <v>229</v>
      </c>
      <c r="B21671" t="s">
        <v>253</v>
      </c>
      <c r="C21671" s="26">
        <v>0.98229999999999995</v>
      </c>
      <c r="D21671" s="26">
        <v>1.4200000000000001E-2</v>
      </c>
      <c r="E21671" s="26">
        <v>3.5000000000000001E-3</v>
      </c>
      <c r="F21671">
        <v>145</v>
      </c>
    </row>
    <row r="21672" spans="1:6" x14ac:dyDescent="0.35">
      <c r="A21672" t="s">
        <v>229</v>
      </c>
      <c r="B21672" t="s">
        <v>251</v>
      </c>
      <c r="C21672" s="26">
        <v>0.98140000000000005</v>
      </c>
      <c r="D21672" s="26">
        <v>1.32E-2</v>
      </c>
      <c r="E21672" s="26">
        <v>5.4000000000000003E-3</v>
      </c>
      <c r="F21672">
        <v>551</v>
      </c>
    </row>
    <row r="21673" spans="1:6" x14ac:dyDescent="0.35">
      <c r="A21673" t="s">
        <v>230</v>
      </c>
      <c r="B21673" t="s">
        <v>252</v>
      </c>
      <c r="C21673" s="26">
        <v>0.9909</v>
      </c>
      <c r="D21673" s="26">
        <v>9.1000000000000004E-3</v>
      </c>
      <c r="F21673">
        <v>159</v>
      </c>
    </row>
    <row r="21674" spans="1:6" x14ac:dyDescent="0.35">
      <c r="A21674" t="s">
        <v>230</v>
      </c>
      <c r="B21674" t="s">
        <v>253</v>
      </c>
      <c r="C21674" s="26">
        <v>0.99519999999999997</v>
      </c>
      <c r="D21674" s="26">
        <v>4.7999999999999996E-3</v>
      </c>
      <c r="F21674">
        <v>110</v>
      </c>
    </row>
    <row r="21675" spans="1:6" x14ac:dyDescent="0.35">
      <c r="A21675" t="s">
        <v>230</v>
      </c>
      <c r="B21675" t="s">
        <v>251</v>
      </c>
      <c r="C21675" s="26">
        <v>0.98009999999999997</v>
      </c>
      <c r="D21675" s="26">
        <v>1.9400000000000001E-2</v>
      </c>
      <c r="E21675" s="26">
        <v>5.0000000000000001E-4</v>
      </c>
      <c r="F21675">
        <v>291</v>
      </c>
    </row>
    <row r="21676" spans="1:6" x14ac:dyDescent="0.35">
      <c r="A21676" t="s">
        <v>231</v>
      </c>
      <c r="B21676" t="s">
        <v>252</v>
      </c>
      <c r="C21676" s="26">
        <v>0.91839999999999999</v>
      </c>
      <c r="D21676" s="26">
        <v>6.1199999999999997E-2</v>
      </c>
      <c r="E21676" s="26">
        <v>2.0400000000000001E-2</v>
      </c>
      <c r="F21676">
        <v>49</v>
      </c>
    </row>
    <row r="21677" spans="1:6" x14ac:dyDescent="0.35">
      <c r="A21677" t="s">
        <v>231</v>
      </c>
      <c r="B21677" t="s">
        <v>253</v>
      </c>
      <c r="C21677" s="26">
        <v>1</v>
      </c>
      <c r="F21677">
        <v>30</v>
      </c>
    </row>
    <row r="21678" spans="1:6" x14ac:dyDescent="0.35">
      <c r="A21678" t="s">
        <v>231</v>
      </c>
      <c r="B21678" t="s">
        <v>251</v>
      </c>
      <c r="C21678" s="26">
        <v>0.97650000000000003</v>
      </c>
      <c r="D21678" s="26">
        <v>2.35E-2</v>
      </c>
      <c r="F21678">
        <v>85</v>
      </c>
    </row>
    <row r="21679" spans="1:6" x14ac:dyDescent="0.35">
      <c r="A21679" t="s">
        <v>232</v>
      </c>
      <c r="B21679" t="s">
        <v>232</v>
      </c>
      <c r="C21679" s="26">
        <v>0.97899999999999998</v>
      </c>
      <c r="D21679" s="26">
        <v>1.7999999999999999E-2</v>
      </c>
      <c r="E21679" s="26">
        <v>2.8999999999999998E-3</v>
      </c>
      <c r="F21679">
        <v>2813</v>
      </c>
    </row>
    <row r="21681" spans="1:6" x14ac:dyDescent="0.35">
      <c r="A21681" s="1" t="s">
        <v>2100</v>
      </c>
    </row>
    <row r="21682" spans="1:6" x14ac:dyDescent="0.35">
      <c r="A21682" t="s">
        <v>219</v>
      </c>
      <c r="B21682" t="s">
        <v>305</v>
      </c>
      <c r="C21682" t="s">
        <v>303</v>
      </c>
      <c r="D21682" t="s">
        <v>302</v>
      </c>
      <c r="E21682" t="s">
        <v>286</v>
      </c>
      <c r="F21682" t="s">
        <v>226</v>
      </c>
    </row>
    <row r="21683" spans="1:6" x14ac:dyDescent="0.35">
      <c r="A21683" t="s">
        <v>227</v>
      </c>
      <c r="B21683" t="s">
        <v>249</v>
      </c>
      <c r="C21683" s="26">
        <v>1</v>
      </c>
      <c r="F21683">
        <v>44</v>
      </c>
    </row>
    <row r="21684" spans="1:6" x14ac:dyDescent="0.35">
      <c r="A21684" t="s">
        <v>227</v>
      </c>
      <c r="B21684" t="s">
        <v>248</v>
      </c>
      <c r="C21684" s="26">
        <v>0.99150000000000005</v>
      </c>
      <c r="D21684" s="26">
        <v>8.5000000000000006E-3</v>
      </c>
      <c r="F21684">
        <v>117</v>
      </c>
    </row>
    <row r="21685" spans="1:6" x14ac:dyDescent="0.35">
      <c r="A21685" t="s">
        <v>228</v>
      </c>
      <c r="B21685" t="s">
        <v>249</v>
      </c>
      <c r="C21685" s="26">
        <v>0.9748</v>
      </c>
      <c r="D21685" s="26">
        <v>2.52E-2</v>
      </c>
      <c r="F21685">
        <v>274</v>
      </c>
    </row>
    <row r="21686" spans="1:6" x14ac:dyDescent="0.35">
      <c r="A21686" t="s">
        <v>228</v>
      </c>
      <c r="B21686" t="s">
        <v>248</v>
      </c>
      <c r="C21686" s="26">
        <v>0.98250000000000004</v>
      </c>
      <c r="D21686" s="26">
        <v>1.6400000000000001E-2</v>
      </c>
      <c r="E21686" s="26">
        <v>1.1000000000000001E-3</v>
      </c>
      <c r="F21686">
        <v>759</v>
      </c>
    </row>
    <row r="21687" spans="1:6" x14ac:dyDescent="0.35">
      <c r="A21687" t="s">
        <v>229</v>
      </c>
      <c r="B21687" t="s">
        <v>249</v>
      </c>
      <c r="C21687" s="26">
        <v>0.98760000000000003</v>
      </c>
      <c r="D21687" s="26">
        <v>1.24E-2</v>
      </c>
      <c r="F21687">
        <v>259</v>
      </c>
    </row>
    <row r="21688" spans="1:6" x14ac:dyDescent="0.35">
      <c r="A21688" t="s">
        <v>229</v>
      </c>
      <c r="B21688" t="s">
        <v>248</v>
      </c>
      <c r="C21688" s="26">
        <v>0.98099999999999998</v>
      </c>
      <c r="D21688" s="26">
        <v>1.3299999999999999E-2</v>
      </c>
      <c r="E21688" s="26">
        <v>5.7000000000000002E-3</v>
      </c>
      <c r="F21688">
        <v>636</v>
      </c>
    </row>
    <row r="21689" spans="1:6" x14ac:dyDescent="0.35">
      <c r="A21689" t="s">
        <v>230</v>
      </c>
      <c r="B21689" t="s">
        <v>249</v>
      </c>
      <c r="C21689" s="26">
        <v>0.96460000000000001</v>
      </c>
      <c r="D21689" s="26">
        <v>3.4599999999999999E-2</v>
      </c>
      <c r="E21689" s="26">
        <v>8.0000000000000004E-4</v>
      </c>
      <c r="F21689">
        <v>171</v>
      </c>
    </row>
    <row r="21690" spans="1:6" x14ac:dyDescent="0.35">
      <c r="A21690" t="s">
        <v>230</v>
      </c>
      <c r="B21690" t="s">
        <v>248</v>
      </c>
      <c r="C21690" s="26">
        <v>0.99650000000000005</v>
      </c>
      <c r="D21690" s="26">
        <v>3.5000000000000001E-3</v>
      </c>
      <c r="F21690">
        <v>389</v>
      </c>
    </row>
    <row r="21691" spans="1:6" x14ac:dyDescent="0.35">
      <c r="A21691" t="s">
        <v>231</v>
      </c>
      <c r="B21691" t="s">
        <v>249</v>
      </c>
      <c r="C21691" s="26">
        <v>1</v>
      </c>
      <c r="F21691">
        <v>35</v>
      </c>
    </row>
    <row r="21692" spans="1:6" x14ac:dyDescent="0.35">
      <c r="A21692" t="s">
        <v>231</v>
      </c>
      <c r="B21692" t="s">
        <v>248</v>
      </c>
      <c r="C21692" s="26">
        <v>0.95350000000000001</v>
      </c>
      <c r="D21692" s="26">
        <v>3.8800000000000001E-2</v>
      </c>
      <c r="E21692" s="26">
        <v>7.7999999999999996E-3</v>
      </c>
      <c r="F21692">
        <v>129</v>
      </c>
    </row>
    <row r="21693" spans="1:6" x14ac:dyDescent="0.35">
      <c r="A21693" t="s">
        <v>232</v>
      </c>
      <c r="B21693" t="s">
        <v>232</v>
      </c>
      <c r="C21693" s="26">
        <v>0.97899999999999998</v>
      </c>
      <c r="D21693" s="26">
        <v>1.7999999999999999E-2</v>
      </c>
      <c r="E21693" s="26">
        <v>2.8999999999999998E-3</v>
      </c>
      <c r="F21693">
        <v>2813</v>
      </c>
    </row>
    <row r="21695" spans="1:6" x14ac:dyDescent="0.35">
      <c r="A21695" s="1" t="s">
        <v>2101</v>
      </c>
    </row>
    <row r="21696" spans="1:6" x14ac:dyDescent="0.35">
      <c r="A21696" t="s">
        <v>219</v>
      </c>
      <c r="B21696" t="s">
        <v>305</v>
      </c>
      <c r="C21696" t="s">
        <v>303</v>
      </c>
      <c r="D21696" t="s">
        <v>302</v>
      </c>
      <c r="E21696" t="s">
        <v>286</v>
      </c>
      <c r="F21696" t="s">
        <v>226</v>
      </c>
    </row>
    <row r="21697" spans="1:6" x14ac:dyDescent="0.35">
      <c r="A21697" s="27" t="s">
        <v>227</v>
      </c>
      <c r="B21697" s="27" t="s">
        <v>263</v>
      </c>
      <c r="C21697" s="28">
        <v>1</v>
      </c>
      <c r="D21697" s="29"/>
      <c r="E21697" s="29"/>
      <c r="F21697" s="29" t="s">
        <v>315</v>
      </c>
    </row>
    <row r="21698" spans="1:6" x14ac:dyDescent="0.35">
      <c r="A21698" t="s">
        <v>227</v>
      </c>
      <c r="B21698" t="s">
        <v>261</v>
      </c>
      <c r="C21698" s="26">
        <v>0.96970000000000001</v>
      </c>
      <c r="D21698" s="26">
        <v>3.0300000000000001E-2</v>
      </c>
      <c r="F21698">
        <v>33</v>
      </c>
    </row>
    <row r="21699" spans="1:6" x14ac:dyDescent="0.35">
      <c r="A21699" s="27" t="s">
        <v>227</v>
      </c>
      <c r="B21699" s="27" t="s">
        <v>262</v>
      </c>
      <c r="C21699" s="28">
        <v>1</v>
      </c>
      <c r="D21699" s="29"/>
      <c r="E21699" s="29"/>
      <c r="F21699" s="29" t="s">
        <v>315</v>
      </c>
    </row>
    <row r="21700" spans="1:6" x14ac:dyDescent="0.35">
      <c r="A21700" t="s">
        <v>227</v>
      </c>
      <c r="B21700" t="s">
        <v>260</v>
      </c>
      <c r="C21700" s="26">
        <v>1</v>
      </c>
      <c r="F21700">
        <v>122</v>
      </c>
    </row>
    <row r="21701" spans="1:6" x14ac:dyDescent="0.35">
      <c r="A21701" t="s">
        <v>228</v>
      </c>
      <c r="B21701" t="s">
        <v>261</v>
      </c>
      <c r="C21701" s="26">
        <v>0.97940000000000005</v>
      </c>
      <c r="D21701" s="26">
        <v>2.06E-2</v>
      </c>
      <c r="F21701">
        <v>192</v>
      </c>
    </row>
    <row r="21702" spans="1:6" x14ac:dyDescent="0.35">
      <c r="A21702" s="27" t="s">
        <v>228</v>
      </c>
      <c r="B21702" s="27" t="s">
        <v>263</v>
      </c>
      <c r="C21702" s="28">
        <v>1</v>
      </c>
      <c r="D21702" s="29"/>
      <c r="E21702" s="29"/>
      <c r="F21702" s="29" t="s">
        <v>312</v>
      </c>
    </row>
    <row r="21703" spans="1:6" x14ac:dyDescent="0.35">
      <c r="A21703" s="27" t="s">
        <v>228</v>
      </c>
      <c r="B21703" s="27" t="s">
        <v>236</v>
      </c>
      <c r="C21703" s="28">
        <v>1</v>
      </c>
      <c r="D21703" s="29"/>
      <c r="E21703" s="29"/>
      <c r="F21703" s="29" t="s">
        <v>335</v>
      </c>
    </row>
    <row r="21704" spans="1:6" x14ac:dyDescent="0.35">
      <c r="A21704" t="s">
        <v>228</v>
      </c>
      <c r="B21704" t="s">
        <v>262</v>
      </c>
      <c r="C21704" s="26">
        <v>0.98799999999999999</v>
      </c>
      <c r="D21704" s="26">
        <v>9.4999999999999998E-3</v>
      </c>
      <c r="E21704" s="26">
        <v>2.5000000000000001E-3</v>
      </c>
      <c r="F21704">
        <v>201</v>
      </c>
    </row>
    <row r="21705" spans="1:6" x14ac:dyDescent="0.35">
      <c r="A21705" t="s">
        <v>228</v>
      </c>
      <c r="B21705" t="s">
        <v>260</v>
      </c>
      <c r="C21705" s="26">
        <v>0.97750000000000004</v>
      </c>
      <c r="D21705" s="26">
        <v>2.1899999999999999E-2</v>
      </c>
      <c r="E21705" s="26">
        <v>5.9999999999999995E-4</v>
      </c>
      <c r="F21705">
        <v>609</v>
      </c>
    </row>
    <row r="21706" spans="1:6" x14ac:dyDescent="0.35">
      <c r="A21706" s="27" t="s">
        <v>229</v>
      </c>
      <c r="B21706" s="27" t="s">
        <v>263</v>
      </c>
      <c r="C21706" s="28">
        <v>0.86990000000000001</v>
      </c>
      <c r="D21706" s="29"/>
      <c r="E21706" s="28">
        <v>0.13009999999999999</v>
      </c>
      <c r="F21706" s="29" t="s">
        <v>379</v>
      </c>
    </row>
    <row r="21707" spans="1:6" x14ac:dyDescent="0.35">
      <c r="A21707" t="s">
        <v>229</v>
      </c>
      <c r="B21707" t="s">
        <v>262</v>
      </c>
      <c r="C21707" s="26">
        <v>0.98509999999999998</v>
      </c>
      <c r="D21707" s="26">
        <v>1.37E-2</v>
      </c>
      <c r="E21707" s="26">
        <v>1.1999999999999999E-3</v>
      </c>
      <c r="F21707">
        <v>188</v>
      </c>
    </row>
    <row r="21708" spans="1:6" x14ac:dyDescent="0.35">
      <c r="A21708" t="s">
        <v>229</v>
      </c>
      <c r="B21708" t="s">
        <v>261</v>
      </c>
      <c r="C21708" s="26">
        <v>0.95960000000000001</v>
      </c>
      <c r="D21708" s="26">
        <v>4.0399999999999998E-2</v>
      </c>
      <c r="F21708">
        <v>96</v>
      </c>
    </row>
    <row r="21709" spans="1:6" x14ac:dyDescent="0.35">
      <c r="A21709" s="27" t="s">
        <v>229</v>
      </c>
      <c r="B21709" s="27" t="s">
        <v>236</v>
      </c>
      <c r="C21709" s="28">
        <v>1</v>
      </c>
      <c r="D21709" s="29"/>
      <c r="E21709" s="29"/>
      <c r="F21709" s="29" t="s">
        <v>331</v>
      </c>
    </row>
    <row r="21710" spans="1:6" x14ac:dyDescent="0.35">
      <c r="A21710" t="s">
        <v>229</v>
      </c>
      <c r="B21710" t="s">
        <v>260</v>
      </c>
      <c r="C21710" s="26">
        <v>0.99239999999999995</v>
      </c>
      <c r="D21710" s="26">
        <v>5.7999999999999996E-3</v>
      </c>
      <c r="E21710" s="26">
        <v>1.8E-3</v>
      </c>
      <c r="F21710">
        <v>596</v>
      </c>
    </row>
    <row r="21711" spans="1:6" x14ac:dyDescent="0.35">
      <c r="A21711" s="27" t="s">
        <v>230</v>
      </c>
      <c r="B21711" s="27" t="s">
        <v>236</v>
      </c>
      <c r="C21711" s="28">
        <v>1</v>
      </c>
      <c r="D21711" s="29"/>
      <c r="E21711" s="29"/>
      <c r="F21711" s="29" t="s">
        <v>337</v>
      </c>
    </row>
    <row r="21712" spans="1:6" x14ac:dyDescent="0.35">
      <c r="A21712" t="s">
        <v>230</v>
      </c>
      <c r="B21712" t="s">
        <v>262</v>
      </c>
      <c r="C21712" s="26">
        <v>0.99029999999999996</v>
      </c>
      <c r="D21712" s="26">
        <v>9.7000000000000003E-3</v>
      </c>
      <c r="F21712">
        <v>122</v>
      </c>
    </row>
    <row r="21713" spans="1:6" x14ac:dyDescent="0.35">
      <c r="A21713" t="s">
        <v>230</v>
      </c>
      <c r="B21713" t="s">
        <v>261</v>
      </c>
      <c r="C21713" s="26">
        <v>1</v>
      </c>
      <c r="F21713">
        <v>57</v>
      </c>
    </row>
    <row r="21714" spans="1:6" x14ac:dyDescent="0.35">
      <c r="A21714" s="27" t="s">
        <v>230</v>
      </c>
      <c r="B21714" s="27" t="s">
        <v>263</v>
      </c>
      <c r="C21714" s="28">
        <v>1</v>
      </c>
      <c r="D21714" s="29"/>
      <c r="E21714" s="29"/>
      <c r="F21714" s="29" t="s">
        <v>312</v>
      </c>
    </row>
    <row r="21715" spans="1:6" x14ac:dyDescent="0.35">
      <c r="A21715" t="s">
        <v>230</v>
      </c>
      <c r="B21715" t="s">
        <v>260</v>
      </c>
      <c r="C21715" s="26">
        <v>0.98150000000000004</v>
      </c>
      <c r="D21715" s="26">
        <v>1.8100000000000002E-2</v>
      </c>
      <c r="E21715" s="26">
        <v>4.0000000000000002E-4</v>
      </c>
      <c r="F21715">
        <v>352</v>
      </c>
    </row>
    <row r="21716" spans="1:6" x14ac:dyDescent="0.35">
      <c r="A21716" s="27" t="s">
        <v>231</v>
      </c>
      <c r="B21716" s="27" t="s">
        <v>263</v>
      </c>
      <c r="C21716" s="28">
        <v>1</v>
      </c>
      <c r="D21716" s="29"/>
      <c r="E21716" s="29"/>
      <c r="F21716" s="29" t="s">
        <v>314</v>
      </c>
    </row>
    <row r="21717" spans="1:6" x14ac:dyDescent="0.35">
      <c r="A21717" t="s">
        <v>231</v>
      </c>
      <c r="B21717" t="s">
        <v>260</v>
      </c>
      <c r="C21717" s="26">
        <v>0.9516</v>
      </c>
      <c r="D21717" s="26">
        <v>4.0300000000000002E-2</v>
      </c>
      <c r="E21717" s="26">
        <v>8.0999999999999996E-3</v>
      </c>
      <c r="F21717">
        <v>124</v>
      </c>
    </row>
    <row r="21718" spans="1:6" x14ac:dyDescent="0.35">
      <c r="A21718" s="27" t="s">
        <v>231</v>
      </c>
      <c r="B21718" s="27" t="s">
        <v>261</v>
      </c>
      <c r="C21718" s="28">
        <v>1</v>
      </c>
      <c r="D21718" s="29"/>
      <c r="E21718" s="29"/>
      <c r="F21718" s="29" t="s">
        <v>338</v>
      </c>
    </row>
    <row r="21719" spans="1:6" x14ac:dyDescent="0.35">
      <c r="A21719" s="27" t="s">
        <v>231</v>
      </c>
      <c r="B21719" s="27" t="s">
        <v>262</v>
      </c>
      <c r="C21719" s="28">
        <v>1</v>
      </c>
      <c r="D21719" s="29"/>
      <c r="E21719" s="29"/>
      <c r="F21719" s="29" t="s">
        <v>352</v>
      </c>
    </row>
    <row r="21720" spans="1:6" x14ac:dyDescent="0.35">
      <c r="A21720" t="s">
        <v>232</v>
      </c>
      <c r="B21720" t="s">
        <v>232</v>
      </c>
      <c r="C21720" s="26">
        <v>0.97899999999999998</v>
      </c>
      <c r="D21720" s="26">
        <v>1.7999999999999999E-2</v>
      </c>
      <c r="E21720" s="26">
        <v>2.8999999999999998E-3</v>
      </c>
      <c r="F21720">
        <v>2813</v>
      </c>
    </row>
    <row r="21722" spans="1:6" x14ac:dyDescent="0.35">
      <c r="A21722" s="1" t="s">
        <v>2102</v>
      </c>
    </row>
    <row r="21723" spans="1:6" x14ac:dyDescent="0.35">
      <c r="A21723" t="s">
        <v>219</v>
      </c>
      <c r="B21723" t="s">
        <v>305</v>
      </c>
      <c r="C21723" t="s">
        <v>303</v>
      </c>
      <c r="D21723" t="s">
        <v>302</v>
      </c>
      <c r="E21723" t="s">
        <v>286</v>
      </c>
      <c r="F21723" t="s">
        <v>226</v>
      </c>
    </row>
    <row r="21724" spans="1:6" x14ac:dyDescent="0.35">
      <c r="A21724" t="s">
        <v>227</v>
      </c>
      <c r="B21724" t="s">
        <v>368</v>
      </c>
      <c r="C21724" s="26">
        <v>0.96970000000000001</v>
      </c>
      <c r="D21724" s="26">
        <v>3.0300000000000001E-2</v>
      </c>
      <c r="F21724">
        <v>33</v>
      </c>
    </row>
    <row r="21725" spans="1:6" x14ac:dyDescent="0.35">
      <c r="A21725" t="s">
        <v>227</v>
      </c>
      <c r="B21725" t="s">
        <v>369</v>
      </c>
      <c r="C21725" s="26">
        <v>1</v>
      </c>
      <c r="F21725">
        <v>128</v>
      </c>
    </row>
    <row r="21726" spans="1:6" x14ac:dyDescent="0.35">
      <c r="A21726" t="s">
        <v>228</v>
      </c>
      <c r="B21726" t="s">
        <v>368</v>
      </c>
      <c r="C21726" s="26">
        <v>0.97940000000000005</v>
      </c>
      <c r="D21726" s="26">
        <v>2.06E-2</v>
      </c>
      <c r="F21726">
        <v>192</v>
      </c>
    </row>
    <row r="21727" spans="1:6" x14ac:dyDescent="0.35">
      <c r="A21727" t="s">
        <v>228</v>
      </c>
      <c r="B21727" t="s">
        <v>369</v>
      </c>
      <c r="C21727" s="26">
        <v>0.98040000000000005</v>
      </c>
      <c r="D21727" s="26">
        <v>1.8700000000000001E-2</v>
      </c>
      <c r="E21727" s="26">
        <v>1E-3</v>
      </c>
      <c r="F21727">
        <v>841</v>
      </c>
    </row>
    <row r="21728" spans="1:6" x14ac:dyDescent="0.35">
      <c r="A21728" t="s">
        <v>229</v>
      </c>
      <c r="B21728" t="s">
        <v>368</v>
      </c>
      <c r="C21728" s="26">
        <v>0.95960000000000001</v>
      </c>
      <c r="D21728" s="26">
        <v>4.0399999999999998E-2</v>
      </c>
      <c r="F21728">
        <v>96</v>
      </c>
    </row>
    <row r="21729" spans="1:6" x14ac:dyDescent="0.35">
      <c r="A21729" t="s">
        <v>229</v>
      </c>
      <c r="B21729" t="s">
        <v>369</v>
      </c>
      <c r="C21729" s="26">
        <v>0.98719999999999997</v>
      </c>
      <c r="D21729" s="26">
        <v>8.3000000000000001E-3</v>
      </c>
      <c r="E21729" s="26">
        <v>4.4999999999999997E-3</v>
      </c>
      <c r="F21729">
        <v>799</v>
      </c>
    </row>
    <row r="21730" spans="1:6" x14ac:dyDescent="0.35">
      <c r="A21730" t="s">
        <v>230</v>
      </c>
      <c r="B21730" t="s">
        <v>368</v>
      </c>
      <c r="C21730" s="26">
        <v>1</v>
      </c>
      <c r="F21730">
        <v>57</v>
      </c>
    </row>
    <row r="21731" spans="1:6" x14ac:dyDescent="0.35">
      <c r="A21731" t="s">
        <v>230</v>
      </c>
      <c r="B21731" t="s">
        <v>369</v>
      </c>
      <c r="C21731" s="26">
        <v>0.98350000000000004</v>
      </c>
      <c r="D21731" s="26">
        <v>1.6199999999999999E-2</v>
      </c>
      <c r="E21731" s="26">
        <v>2.9999999999999997E-4</v>
      </c>
      <c r="F21731">
        <v>503</v>
      </c>
    </row>
    <row r="21732" spans="1:6" x14ac:dyDescent="0.35">
      <c r="A21732" s="27" t="s">
        <v>231</v>
      </c>
      <c r="B21732" s="27" t="s">
        <v>368</v>
      </c>
      <c r="C21732" s="28">
        <v>1</v>
      </c>
      <c r="D21732" s="29"/>
      <c r="E21732" s="29"/>
      <c r="F21732" s="29" t="s">
        <v>338</v>
      </c>
    </row>
    <row r="21733" spans="1:6" x14ac:dyDescent="0.35">
      <c r="A21733" t="s">
        <v>231</v>
      </c>
      <c r="B21733" t="s">
        <v>369</v>
      </c>
      <c r="C21733" s="26">
        <v>0.95620000000000005</v>
      </c>
      <c r="D21733" s="26">
        <v>3.6499999999999998E-2</v>
      </c>
      <c r="E21733" s="26">
        <v>7.3000000000000001E-3</v>
      </c>
      <c r="F21733">
        <v>137</v>
      </c>
    </row>
    <row r="21734" spans="1:6" x14ac:dyDescent="0.35">
      <c r="A21734" t="s">
        <v>232</v>
      </c>
      <c r="B21734" t="s">
        <v>232</v>
      </c>
      <c r="C21734" s="26">
        <v>0.97899999999999998</v>
      </c>
      <c r="D21734" s="26">
        <v>1.7999999999999999E-2</v>
      </c>
      <c r="E21734" s="26">
        <v>2.8999999999999998E-3</v>
      </c>
      <c r="F21734">
        <v>2813</v>
      </c>
    </row>
    <row r="21736" spans="1:6" x14ac:dyDescent="0.35">
      <c r="A21736" s="1" t="s">
        <v>2103</v>
      </c>
    </row>
    <row r="21737" spans="1:6" x14ac:dyDescent="0.35">
      <c r="A21737" t="s">
        <v>219</v>
      </c>
      <c r="B21737" t="s">
        <v>305</v>
      </c>
      <c r="C21737" t="s">
        <v>303</v>
      </c>
      <c r="D21737" t="s">
        <v>302</v>
      </c>
      <c r="E21737" t="s">
        <v>286</v>
      </c>
      <c r="F21737" t="s">
        <v>226</v>
      </c>
    </row>
    <row r="21738" spans="1:6" x14ac:dyDescent="0.35">
      <c r="A21738" t="s">
        <v>227</v>
      </c>
      <c r="B21738" t="s">
        <v>371</v>
      </c>
      <c r="C21738" s="26">
        <v>0.99380000000000002</v>
      </c>
      <c r="D21738" s="26">
        <v>6.1999999999999998E-3</v>
      </c>
      <c r="F21738">
        <v>161</v>
      </c>
    </row>
    <row r="21739" spans="1:6" x14ac:dyDescent="0.35">
      <c r="A21739" t="s">
        <v>228</v>
      </c>
      <c r="B21739" t="s">
        <v>371</v>
      </c>
      <c r="C21739" s="26">
        <v>0.97950000000000004</v>
      </c>
      <c r="D21739" s="26">
        <v>1.9800000000000002E-2</v>
      </c>
      <c r="E21739" s="26">
        <v>6.9999999999999999E-4</v>
      </c>
      <c r="F21739">
        <v>292</v>
      </c>
    </row>
    <row r="21740" spans="1:6" x14ac:dyDescent="0.35">
      <c r="A21740" t="s">
        <v>228</v>
      </c>
      <c r="B21740" t="s">
        <v>372</v>
      </c>
      <c r="C21740" s="26">
        <v>0.96079999999999999</v>
      </c>
      <c r="D21740" s="26">
        <v>3.44E-2</v>
      </c>
      <c r="E21740" s="26">
        <v>4.8999999999999998E-3</v>
      </c>
      <c r="F21740">
        <v>218</v>
      </c>
    </row>
    <row r="21741" spans="1:6" x14ac:dyDescent="0.35">
      <c r="A21741" t="s">
        <v>228</v>
      </c>
      <c r="B21741" t="s">
        <v>373</v>
      </c>
      <c r="C21741" s="26">
        <v>0.98519999999999996</v>
      </c>
      <c r="D21741" s="26">
        <v>1.4800000000000001E-2</v>
      </c>
      <c r="F21741">
        <v>523</v>
      </c>
    </row>
    <row r="21742" spans="1:6" x14ac:dyDescent="0.35">
      <c r="A21742" t="s">
        <v>229</v>
      </c>
      <c r="B21742" t="s">
        <v>371</v>
      </c>
      <c r="C21742" s="26">
        <v>0.98370000000000002</v>
      </c>
      <c r="D21742" s="26">
        <v>1.2800000000000001E-2</v>
      </c>
      <c r="E21742" s="26">
        <v>3.3999999999999998E-3</v>
      </c>
      <c r="F21742">
        <v>584</v>
      </c>
    </row>
    <row r="21743" spans="1:6" x14ac:dyDescent="0.35">
      <c r="A21743" t="s">
        <v>229</v>
      </c>
      <c r="B21743" t="s">
        <v>372</v>
      </c>
      <c r="C21743" s="26">
        <v>0.96330000000000005</v>
      </c>
      <c r="D21743" s="26">
        <v>2.35E-2</v>
      </c>
      <c r="E21743" s="26">
        <v>1.32E-2</v>
      </c>
      <c r="F21743">
        <v>221</v>
      </c>
    </row>
    <row r="21744" spans="1:6" x14ac:dyDescent="0.35">
      <c r="A21744" t="s">
        <v>229</v>
      </c>
      <c r="B21744" t="s">
        <v>373</v>
      </c>
      <c r="C21744" s="26">
        <v>1</v>
      </c>
      <c r="F21744">
        <v>90</v>
      </c>
    </row>
    <row r="21745" spans="1:6" x14ac:dyDescent="0.35">
      <c r="A21745" t="s">
        <v>230</v>
      </c>
      <c r="B21745" t="s">
        <v>371</v>
      </c>
      <c r="C21745" s="26">
        <v>0.98460000000000003</v>
      </c>
      <c r="D21745" s="26">
        <v>1.54E-2</v>
      </c>
      <c r="F21745">
        <v>262</v>
      </c>
    </row>
    <row r="21746" spans="1:6" x14ac:dyDescent="0.35">
      <c r="A21746" t="s">
        <v>230</v>
      </c>
      <c r="B21746" t="s">
        <v>372</v>
      </c>
      <c r="C21746" s="26">
        <v>0.99050000000000005</v>
      </c>
      <c r="D21746" s="26">
        <v>4.7000000000000002E-3</v>
      </c>
      <c r="E21746" s="26">
        <v>4.7000000000000002E-3</v>
      </c>
      <c r="F21746">
        <v>146</v>
      </c>
    </row>
    <row r="21747" spans="1:6" x14ac:dyDescent="0.35">
      <c r="A21747" t="s">
        <v>230</v>
      </c>
      <c r="B21747" t="s">
        <v>373</v>
      </c>
      <c r="C21747" s="26">
        <v>0.9909</v>
      </c>
      <c r="D21747" s="26">
        <v>9.1000000000000004E-3</v>
      </c>
      <c r="F21747">
        <v>152</v>
      </c>
    </row>
    <row r="21748" spans="1:6" x14ac:dyDescent="0.35">
      <c r="A21748" t="s">
        <v>231</v>
      </c>
      <c r="B21748" t="s">
        <v>371</v>
      </c>
      <c r="C21748" s="26">
        <v>0.96340000000000003</v>
      </c>
      <c r="D21748" s="26">
        <v>3.0499999999999999E-2</v>
      </c>
      <c r="E21748" s="26">
        <v>6.1000000000000004E-3</v>
      </c>
      <c r="F21748">
        <v>164</v>
      </c>
    </row>
    <row r="21749" spans="1:6" x14ac:dyDescent="0.35">
      <c r="A21749" t="s">
        <v>232</v>
      </c>
      <c r="B21749" t="s">
        <v>232</v>
      </c>
      <c r="C21749" s="26">
        <v>0.97899999999999998</v>
      </c>
      <c r="D21749" s="26">
        <v>1.7999999999999999E-2</v>
      </c>
      <c r="E21749" s="26">
        <v>2.8999999999999998E-3</v>
      </c>
      <c r="F21749">
        <v>2813</v>
      </c>
    </row>
    <row r="21751" spans="1:6" x14ac:dyDescent="0.35">
      <c r="A21751" s="1" t="s">
        <v>2104</v>
      </c>
    </row>
    <row r="21752" spans="1:6" x14ac:dyDescent="0.35">
      <c r="A21752" t="s">
        <v>219</v>
      </c>
      <c r="B21752" t="s">
        <v>305</v>
      </c>
      <c r="C21752" t="s">
        <v>303</v>
      </c>
      <c r="D21752" t="s">
        <v>302</v>
      </c>
      <c r="E21752" t="s">
        <v>286</v>
      </c>
      <c r="F21752" t="s">
        <v>226</v>
      </c>
    </row>
    <row r="21753" spans="1:6" x14ac:dyDescent="0.35">
      <c r="A21753" t="s">
        <v>227</v>
      </c>
      <c r="B21753" t="s">
        <v>255</v>
      </c>
      <c r="C21753" s="26">
        <v>0.99150000000000005</v>
      </c>
      <c r="D21753" s="26">
        <v>8.5000000000000006E-3</v>
      </c>
      <c r="F21753">
        <v>117</v>
      </c>
    </row>
    <row r="21754" spans="1:6" x14ac:dyDescent="0.35">
      <c r="A21754" s="27" t="s">
        <v>227</v>
      </c>
      <c r="B21754" s="27" t="s">
        <v>257</v>
      </c>
      <c r="C21754" s="28">
        <v>1</v>
      </c>
      <c r="D21754" s="29"/>
      <c r="E21754" s="29"/>
      <c r="F21754" s="29" t="s">
        <v>334</v>
      </c>
    </row>
    <row r="21755" spans="1:6" x14ac:dyDescent="0.35">
      <c r="A21755" t="s">
        <v>227</v>
      </c>
      <c r="B21755" t="s">
        <v>256</v>
      </c>
      <c r="C21755" s="26">
        <v>1</v>
      </c>
      <c r="F21755">
        <v>35</v>
      </c>
    </row>
    <row r="21756" spans="1:6" x14ac:dyDescent="0.35">
      <c r="A21756" t="s">
        <v>228</v>
      </c>
      <c r="B21756" t="s">
        <v>257</v>
      </c>
      <c r="C21756" s="26">
        <v>0.95909999999999995</v>
      </c>
      <c r="D21756" s="26">
        <v>4.0899999999999999E-2</v>
      </c>
      <c r="F21756">
        <v>49</v>
      </c>
    </row>
    <row r="21757" spans="1:6" x14ac:dyDescent="0.35">
      <c r="A21757" s="27" t="s">
        <v>228</v>
      </c>
      <c r="B21757" s="27" t="s">
        <v>258</v>
      </c>
      <c r="C21757" s="28">
        <v>1</v>
      </c>
      <c r="D21757" s="29"/>
      <c r="E21757" s="29"/>
      <c r="F21757" s="29" t="s">
        <v>337</v>
      </c>
    </row>
    <row r="21758" spans="1:6" x14ac:dyDescent="0.35">
      <c r="A21758" t="s">
        <v>228</v>
      </c>
      <c r="B21758" t="s">
        <v>256</v>
      </c>
      <c r="C21758" s="26">
        <v>0.97770000000000001</v>
      </c>
      <c r="D21758" s="26">
        <v>2.23E-2</v>
      </c>
      <c r="F21758">
        <v>221</v>
      </c>
    </row>
    <row r="21759" spans="1:6" x14ac:dyDescent="0.35">
      <c r="A21759" t="s">
        <v>228</v>
      </c>
      <c r="B21759" t="s">
        <v>255</v>
      </c>
      <c r="C21759" s="26">
        <v>0.98250000000000004</v>
      </c>
      <c r="D21759" s="26">
        <v>1.6400000000000001E-2</v>
      </c>
      <c r="E21759" s="26">
        <v>1.1000000000000001E-3</v>
      </c>
      <c r="F21759">
        <v>759</v>
      </c>
    </row>
    <row r="21760" spans="1:6" x14ac:dyDescent="0.35">
      <c r="A21760" t="s">
        <v>229</v>
      </c>
      <c r="B21760" t="s">
        <v>256</v>
      </c>
      <c r="C21760" s="26">
        <v>0.99780000000000002</v>
      </c>
      <c r="D21760" s="26">
        <v>2.2000000000000001E-3</v>
      </c>
      <c r="F21760">
        <v>207</v>
      </c>
    </row>
    <row r="21761" spans="1:8" x14ac:dyDescent="0.35">
      <c r="A21761" t="s">
        <v>229</v>
      </c>
      <c r="B21761" t="s">
        <v>255</v>
      </c>
      <c r="C21761" s="26">
        <v>0.98099999999999998</v>
      </c>
      <c r="D21761" s="26">
        <v>1.3299999999999999E-2</v>
      </c>
      <c r="E21761" s="26">
        <v>5.7000000000000002E-3</v>
      </c>
      <c r="F21761">
        <v>636</v>
      </c>
    </row>
    <row r="21762" spans="1:8" x14ac:dyDescent="0.35">
      <c r="A21762" t="s">
        <v>229</v>
      </c>
      <c r="B21762" t="s">
        <v>257</v>
      </c>
      <c r="C21762" s="26">
        <v>0.93540000000000001</v>
      </c>
      <c r="D21762" s="26">
        <v>6.4600000000000005E-2</v>
      </c>
      <c r="F21762">
        <v>50</v>
      </c>
    </row>
    <row r="21763" spans="1:8" x14ac:dyDescent="0.35">
      <c r="A21763" s="27" t="s">
        <v>229</v>
      </c>
      <c r="B21763" s="27" t="s">
        <v>258</v>
      </c>
      <c r="C21763" s="28">
        <v>1</v>
      </c>
      <c r="D21763" s="29"/>
      <c r="E21763" s="29"/>
      <c r="F21763" s="29" t="s">
        <v>314</v>
      </c>
    </row>
    <row r="21764" spans="1:8" x14ac:dyDescent="0.35">
      <c r="A21764" t="s">
        <v>230</v>
      </c>
      <c r="B21764" t="s">
        <v>256</v>
      </c>
      <c r="C21764" s="26">
        <v>0.97470000000000001</v>
      </c>
      <c r="D21764" s="26">
        <v>2.4199999999999999E-2</v>
      </c>
      <c r="E21764" s="26">
        <v>1.1000000000000001E-3</v>
      </c>
      <c r="F21764">
        <v>130</v>
      </c>
    </row>
    <row r="21765" spans="1:8" x14ac:dyDescent="0.35">
      <c r="A21765" t="s">
        <v>230</v>
      </c>
      <c r="B21765" t="s">
        <v>255</v>
      </c>
      <c r="C21765" s="26">
        <v>0.99650000000000005</v>
      </c>
      <c r="D21765" s="26">
        <v>3.5000000000000001E-3</v>
      </c>
      <c r="F21765">
        <v>389</v>
      </c>
    </row>
    <row r="21766" spans="1:8" x14ac:dyDescent="0.35">
      <c r="A21766" t="s">
        <v>230</v>
      </c>
      <c r="B21766" t="s">
        <v>257</v>
      </c>
      <c r="C21766" s="26">
        <v>0.92390000000000005</v>
      </c>
      <c r="D21766" s="26">
        <v>7.6100000000000001E-2</v>
      </c>
      <c r="F21766">
        <v>38</v>
      </c>
    </row>
    <row r="21767" spans="1:8" x14ac:dyDescent="0.35">
      <c r="A21767" s="27" t="s">
        <v>230</v>
      </c>
      <c r="B21767" s="27" t="s">
        <v>258</v>
      </c>
      <c r="C21767" s="28">
        <v>1</v>
      </c>
      <c r="D21767" s="29"/>
      <c r="E21767" s="29"/>
      <c r="F21767" s="29" t="s">
        <v>315</v>
      </c>
    </row>
    <row r="21768" spans="1:8" x14ac:dyDescent="0.35">
      <c r="A21768" s="27" t="s">
        <v>231</v>
      </c>
      <c r="B21768" s="27" t="s">
        <v>257</v>
      </c>
      <c r="C21768" s="28">
        <v>1</v>
      </c>
      <c r="D21768" s="29"/>
      <c r="E21768" s="29"/>
      <c r="F21768" s="29" t="s">
        <v>339</v>
      </c>
    </row>
    <row r="21769" spans="1:8" x14ac:dyDescent="0.35">
      <c r="A21769" t="s">
        <v>231</v>
      </c>
      <c r="B21769" t="s">
        <v>255</v>
      </c>
      <c r="C21769" s="26">
        <v>0.95350000000000001</v>
      </c>
      <c r="D21769" s="26">
        <v>3.8800000000000001E-2</v>
      </c>
      <c r="E21769" s="26">
        <v>7.7999999999999996E-3</v>
      </c>
      <c r="F21769">
        <v>129</v>
      </c>
    </row>
    <row r="21770" spans="1:8" x14ac:dyDescent="0.35">
      <c r="A21770" s="27" t="s">
        <v>231</v>
      </c>
      <c r="B21770" s="27" t="s">
        <v>256</v>
      </c>
      <c r="C21770" s="28">
        <v>1</v>
      </c>
      <c r="D21770" s="29"/>
      <c r="E21770" s="29"/>
      <c r="F21770" s="29" t="s">
        <v>336</v>
      </c>
    </row>
    <row r="21771" spans="1:8" x14ac:dyDescent="0.35">
      <c r="A21771" t="s">
        <v>232</v>
      </c>
      <c r="B21771" t="s">
        <v>232</v>
      </c>
      <c r="C21771" s="26">
        <v>0.97899999999999998</v>
      </c>
      <c r="D21771" s="26">
        <v>1.7999999999999999E-2</v>
      </c>
      <c r="E21771" s="26">
        <v>2.8999999999999998E-3</v>
      </c>
      <c r="F21771">
        <v>2813</v>
      </c>
    </row>
    <row r="21773" spans="1:8" x14ac:dyDescent="0.35">
      <c r="A21773" s="1" t="s">
        <v>2105</v>
      </c>
    </row>
    <row r="21774" spans="1:8" x14ac:dyDescent="0.35">
      <c r="A21774" t="s">
        <v>219</v>
      </c>
      <c r="B21774" t="s">
        <v>2106</v>
      </c>
      <c r="C21774" t="s">
        <v>2107</v>
      </c>
      <c r="D21774" t="s">
        <v>2108</v>
      </c>
      <c r="E21774" t="s">
        <v>2109</v>
      </c>
      <c r="F21774" t="s">
        <v>286</v>
      </c>
      <c r="G21774" t="s">
        <v>281</v>
      </c>
      <c r="H21774" t="s">
        <v>226</v>
      </c>
    </row>
    <row r="21775" spans="1:8" x14ac:dyDescent="0.35">
      <c r="A21775" t="s">
        <v>227</v>
      </c>
      <c r="B21775" s="26">
        <v>0.92549999999999999</v>
      </c>
      <c r="C21775" s="26">
        <v>4.9700000000000001E-2</v>
      </c>
      <c r="D21775" s="26">
        <v>2.4799999999999999E-2</v>
      </c>
      <c r="H21775">
        <v>161</v>
      </c>
    </row>
    <row r="21776" spans="1:8" x14ac:dyDescent="0.35">
      <c r="A21776" t="s">
        <v>228</v>
      </c>
      <c r="B21776" s="26">
        <v>0.95520000000000005</v>
      </c>
      <c r="C21776" s="26">
        <v>2.0899999999999998E-2</v>
      </c>
      <c r="D21776" s="26">
        <v>1.9699999999999999E-2</v>
      </c>
      <c r="E21776" s="26">
        <v>3.8999999999999998E-3</v>
      </c>
      <c r="F21776" s="26">
        <v>4.0000000000000002E-4</v>
      </c>
      <c r="H21776">
        <v>1033</v>
      </c>
    </row>
    <row r="21777" spans="1:9" x14ac:dyDescent="0.35">
      <c r="A21777" t="s">
        <v>229</v>
      </c>
      <c r="B21777" s="26">
        <v>0.95279999999999998</v>
      </c>
      <c r="C21777" s="26">
        <v>2.2200000000000001E-2</v>
      </c>
      <c r="D21777" s="26">
        <v>2.4E-2</v>
      </c>
      <c r="F21777" s="26">
        <v>1E-3</v>
      </c>
      <c r="G21777" s="26">
        <v>1E-4</v>
      </c>
      <c r="H21777">
        <v>895</v>
      </c>
    </row>
    <row r="21778" spans="1:9" x14ac:dyDescent="0.35">
      <c r="A21778" t="s">
        <v>230</v>
      </c>
      <c r="B21778" s="26">
        <v>0.93740000000000001</v>
      </c>
      <c r="C21778" s="26">
        <v>3.6700000000000003E-2</v>
      </c>
      <c r="D21778" s="26">
        <v>2.5999999999999999E-2</v>
      </c>
      <c r="H21778">
        <v>560</v>
      </c>
    </row>
    <row r="21779" spans="1:9" x14ac:dyDescent="0.35">
      <c r="A21779" t="s">
        <v>231</v>
      </c>
      <c r="B21779" s="26">
        <v>0.92069999999999996</v>
      </c>
      <c r="C21779" s="26">
        <v>3.6600000000000001E-2</v>
      </c>
      <c r="D21779" s="26">
        <v>3.6600000000000001E-2</v>
      </c>
      <c r="E21779" s="26">
        <v>6.1000000000000004E-3</v>
      </c>
      <c r="H21779">
        <v>164</v>
      </c>
    </row>
    <row r="21780" spans="1:9" x14ac:dyDescent="0.35">
      <c r="A21780" t="s">
        <v>232</v>
      </c>
      <c r="B21780" s="26">
        <v>0.93879999999999997</v>
      </c>
      <c r="C21780" s="26">
        <v>3.1399999999999997E-2</v>
      </c>
      <c r="D21780" s="26">
        <v>2.69E-2</v>
      </c>
      <c r="E21780" s="26">
        <v>2.3999999999999998E-3</v>
      </c>
      <c r="F21780" s="26">
        <v>4.0000000000000002E-4</v>
      </c>
      <c r="G21780" s="26">
        <v>0</v>
      </c>
      <c r="H21780">
        <v>2813</v>
      </c>
    </row>
    <row r="21782" spans="1:9" x14ac:dyDescent="0.35">
      <c r="A21782" s="1" t="s">
        <v>2110</v>
      </c>
    </row>
    <row r="21783" spans="1:9" x14ac:dyDescent="0.35">
      <c r="A21783" t="s">
        <v>219</v>
      </c>
      <c r="B21783" t="s">
        <v>305</v>
      </c>
      <c r="C21783" t="s">
        <v>2106</v>
      </c>
      <c r="D21783" t="s">
        <v>2107</v>
      </c>
      <c r="E21783" t="s">
        <v>2108</v>
      </c>
      <c r="F21783" t="s">
        <v>2109</v>
      </c>
      <c r="G21783" t="s">
        <v>286</v>
      </c>
      <c r="H21783" t="s">
        <v>281</v>
      </c>
      <c r="I21783" t="s">
        <v>226</v>
      </c>
    </row>
    <row r="21784" spans="1:9" x14ac:dyDescent="0.35">
      <c r="A21784" t="s">
        <v>227</v>
      </c>
      <c r="B21784" t="s">
        <v>242</v>
      </c>
      <c r="C21784" s="26">
        <v>0.89710000000000001</v>
      </c>
      <c r="D21784" s="26">
        <v>7.3499999999999996E-2</v>
      </c>
      <c r="E21784" s="26">
        <v>2.9399999999999999E-2</v>
      </c>
      <c r="I21784">
        <v>68</v>
      </c>
    </row>
    <row r="21785" spans="1:9" x14ac:dyDescent="0.35">
      <c r="A21785" t="s">
        <v>227</v>
      </c>
      <c r="B21785" t="s">
        <v>241</v>
      </c>
      <c r="C21785" s="26">
        <v>0.94620000000000004</v>
      </c>
      <c r="D21785" s="26">
        <v>3.2300000000000002E-2</v>
      </c>
      <c r="E21785" s="26">
        <v>2.1499999999999998E-2</v>
      </c>
      <c r="I21785">
        <v>93</v>
      </c>
    </row>
    <row r="21786" spans="1:9" x14ac:dyDescent="0.35">
      <c r="A21786" t="s">
        <v>228</v>
      </c>
      <c r="B21786" t="s">
        <v>242</v>
      </c>
      <c r="C21786" s="26">
        <v>0.91930000000000001</v>
      </c>
      <c r="D21786" s="26">
        <v>3.27E-2</v>
      </c>
      <c r="E21786" s="26">
        <v>3.7400000000000003E-2</v>
      </c>
      <c r="F21786" s="26">
        <v>1.06E-2</v>
      </c>
      <c r="I21786">
        <v>402</v>
      </c>
    </row>
    <row r="21787" spans="1:9" x14ac:dyDescent="0.35">
      <c r="A21787" t="s">
        <v>228</v>
      </c>
      <c r="B21787" t="s">
        <v>241</v>
      </c>
      <c r="C21787" s="26">
        <v>0.97570000000000001</v>
      </c>
      <c r="D21787" s="26">
        <v>1.41E-2</v>
      </c>
      <c r="E21787" s="26">
        <v>9.5999999999999992E-3</v>
      </c>
      <c r="G21787" s="26">
        <v>5.9999999999999995E-4</v>
      </c>
      <c r="I21787">
        <v>631</v>
      </c>
    </row>
    <row r="21788" spans="1:9" x14ac:dyDescent="0.35">
      <c r="A21788" t="s">
        <v>229</v>
      </c>
      <c r="B21788" t="s">
        <v>242</v>
      </c>
      <c r="C21788" s="26">
        <v>0.92969999999999997</v>
      </c>
      <c r="D21788" s="26">
        <v>3.3799999999999997E-2</v>
      </c>
      <c r="E21788" s="26">
        <v>3.6200000000000003E-2</v>
      </c>
      <c r="H21788" s="26">
        <v>2.0000000000000001E-4</v>
      </c>
      <c r="I21788">
        <v>292</v>
      </c>
    </row>
    <row r="21789" spans="1:9" x14ac:dyDescent="0.35">
      <c r="A21789" t="s">
        <v>229</v>
      </c>
      <c r="B21789" t="s">
        <v>241</v>
      </c>
      <c r="C21789" s="26">
        <v>0.96750000000000003</v>
      </c>
      <c r="D21789" s="26">
        <v>1.47E-2</v>
      </c>
      <c r="E21789" s="26">
        <v>1.61E-2</v>
      </c>
      <c r="G21789" s="26">
        <v>1.6000000000000001E-3</v>
      </c>
      <c r="I21789">
        <v>603</v>
      </c>
    </row>
    <row r="21790" spans="1:9" x14ac:dyDescent="0.35">
      <c r="A21790" t="s">
        <v>230</v>
      </c>
      <c r="B21790" t="s">
        <v>242</v>
      </c>
      <c r="C21790" s="26">
        <v>0.93830000000000002</v>
      </c>
      <c r="D21790" s="26">
        <v>4.7500000000000001E-2</v>
      </c>
      <c r="E21790" s="26">
        <v>1.4200000000000001E-2</v>
      </c>
      <c r="I21790">
        <v>189</v>
      </c>
    </row>
    <row r="21791" spans="1:9" x14ac:dyDescent="0.35">
      <c r="A21791" t="s">
        <v>230</v>
      </c>
      <c r="B21791" t="s">
        <v>241</v>
      </c>
      <c r="C21791" s="26">
        <v>0.93689999999999996</v>
      </c>
      <c r="D21791" s="26">
        <v>3.1099999999999999E-2</v>
      </c>
      <c r="E21791" s="26">
        <v>3.2000000000000001E-2</v>
      </c>
      <c r="I21791">
        <v>371</v>
      </c>
    </row>
    <row r="21792" spans="1:9" x14ac:dyDescent="0.35">
      <c r="A21792" t="s">
        <v>231</v>
      </c>
      <c r="B21792" t="s">
        <v>242</v>
      </c>
      <c r="C21792" s="26">
        <v>0.88890000000000002</v>
      </c>
      <c r="D21792" s="26">
        <v>5.5599999999999997E-2</v>
      </c>
      <c r="E21792" s="26">
        <v>5.5599999999999997E-2</v>
      </c>
      <c r="I21792">
        <v>54</v>
      </c>
    </row>
    <row r="21793" spans="1:9" x14ac:dyDescent="0.35">
      <c r="A21793" t="s">
        <v>231</v>
      </c>
      <c r="B21793" t="s">
        <v>241</v>
      </c>
      <c r="C21793" s="26">
        <v>0.93640000000000001</v>
      </c>
      <c r="D21793" s="26">
        <v>2.7300000000000001E-2</v>
      </c>
      <c r="E21793" s="26">
        <v>2.7300000000000001E-2</v>
      </c>
      <c r="F21793" s="26">
        <v>9.1000000000000004E-3</v>
      </c>
      <c r="I21793">
        <v>110</v>
      </c>
    </row>
    <row r="21794" spans="1:9" x14ac:dyDescent="0.35">
      <c r="A21794" t="s">
        <v>232</v>
      </c>
      <c r="B21794" t="s">
        <v>232</v>
      </c>
      <c r="C21794" s="26">
        <v>0.93879999999999997</v>
      </c>
      <c r="D21794" s="26">
        <v>3.1399999999999997E-2</v>
      </c>
      <c r="E21794" s="26">
        <v>2.69E-2</v>
      </c>
      <c r="F21794" s="26">
        <v>2.3999999999999998E-3</v>
      </c>
      <c r="G21794" s="26">
        <v>4.0000000000000002E-4</v>
      </c>
      <c r="H21794" s="26">
        <v>0</v>
      </c>
      <c r="I21794">
        <v>2813</v>
      </c>
    </row>
    <row r="21796" spans="1:9" x14ac:dyDescent="0.35">
      <c r="A21796" s="1" t="s">
        <v>2111</v>
      </c>
    </row>
    <row r="21797" spans="1:9" x14ac:dyDescent="0.35">
      <c r="A21797" t="s">
        <v>219</v>
      </c>
      <c r="B21797" t="s">
        <v>305</v>
      </c>
      <c r="C21797" t="s">
        <v>2106</v>
      </c>
      <c r="D21797" t="s">
        <v>2107</v>
      </c>
      <c r="E21797" t="s">
        <v>2108</v>
      </c>
      <c r="F21797" t="s">
        <v>2109</v>
      </c>
      <c r="G21797" t="s">
        <v>286</v>
      </c>
      <c r="H21797" t="s">
        <v>281</v>
      </c>
      <c r="I21797" t="s">
        <v>226</v>
      </c>
    </row>
    <row r="21798" spans="1:9" x14ac:dyDescent="0.35">
      <c r="A21798" t="s">
        <v>227</v>
      </c>
      <c r="B21798" t="s">
        <v>239</v>
      </c>
      <c r="C21798" s="26">
        <v>0.80649999999999999</v>
      </c>
      <c r="D21798" s="26">
        <v>0.129</v>
      </c>
      <c r="E21798" s="26">
        <v>6.4500000000000002E-2</v>
      </c>
      <c r="I21798">
        <v>62</v>
      </c>
    </row>
    <row r="21799" spans="1:9" x14ac:dyDescent="0.35">
      <c r="A21799" t="s">
        <v>227</v>
      </c>
      <c r="B21799" t="s">
        <v>238</v>
      </c>
      <c r="C21799" s="26">
        <v>1</v>
      </c>
      <c r="I21799">
        <v>99</v>
      </c>
    </row>
    <row r="21800" spans="1:9" x14ac:dyDescent="0.35">
      <c r="A21800" t="s">
        <v>228</v>
      </c>
      <c r="B21800" t="s">
        <v>239</v>
      </c>
      <c r="C21800" s="26">
        <v>0.86370000000000002</v>
      </c>
      <c r="D21800" s="26">
        <v>5.2400000000000002E-2</v>
      </c>
      <c r="E21800" s="26">
        <v>8.3900000000000002E-2</v>
      </c>
      <c r="I21800">
        <v>330</v>
      </c>
    </row>
    <row r="21801" spans="1:9" x14ac:dyDescent="0.35">
      <c r="A21801" t="s">
        <v>228</v>
      </c>
      <c r="B21801" t="s">
        <v>238</v>
      </c>
      <c r="C21801" s="26">
        <v>0.97899999999999998</v>
      </c>
      <c r="D21801" s="26">
        <v>1.26E-2</v>
      </c>
      <c r="E21801" s="26">
        <v>3.0000000000000001E-3</v>
      </c>
      <c r="F21801" s="26">
        <v>4.8999999999999998E-3</v>
      </c>
      <c r="G21801" s="26">
        <v>5.0000000000000001E-4</v>
      </c>
      <c r="I21801">
        <v>703</v>
      </c>
    </row>
    <row r="21802" spans="1:9" x14ac:dyDescent="0.35">
      <c r="A21802" t="s">
        <v>229</v>
      </c>
      <c r="B21802" t="s">
        <v>239</v>
      </c>
      <c r="C21802" s="26">
        <v>0.86229999999999996</v>
      </c>
      <c r="D21802" s="26">
        <v>8.0500000000000002E-2</v>
      </c>
      <c r="E21802" s="26">
        <v>5.4199999999999998E-2</v>
      </c>
      <c r="G21802" s="26">
        <v>2.5999999999999999E-3</v>
      </c>
      <c r="H21802" s="26">
        <v>4.0000000000000002E-4</v>
      </c>
      <c r="I21802">
        <v>332</v>
      </c>
    </row>
    <row r="21803" spans="1:9" x14ac:dyDescent="0.35">
      <c r="A21803" t="s">
        <v>229</v>
      </c>
      <c r="B21803" t="s">
        <v>238</v>
      </c>
      <c r="C21803" s="26">
        <v>0.98370000000000002</v>
      </c>
      <c r="D21803" s="26">
        <v>2.2000000000000001E-3</v>
      </c>
      <c r="E21803" s="26">
        <v>1.37E-2</v>
      </c>
      <c r="G21803" s="26">
        <v>4.0000000000000002E-4</v>
      </c>
      <c r="I21803">
        <v>563</v>
      </c>
    </row>
    <row r="21804" spans="1:9" x14ac:dyDescent="0.35">
      <c r="A21804" t="s">
        <v>230</v>
      </c>
      <c r="B21804" t="s">
        <v>239</v>
      </c>
      <c r="C21804" s="26">
        <v>0.85740000000000005</v>
      </c>
      <c r="D21804" s="26">
        <v>9.9000000000000005E-2</v>
      </c>
      <c r="E21804" s="26">
        <v>4.36E-2</v>
      </c>
      <c r="I21804">
        <v>211</v>
      </c>
    </row>
    <row r="21805" spans="1:9" x14ac:dyDescent="0.35">
      <c r="A21805" t="s">
        <v>230</v>
      </c>
      <c r="B21805" t="s">
        <v>238</v>
      </c>
      <c r="C21805" s="26">
        <v>0.97189999999999999</v>
      </c>
      <c r="D21805" s="26">
        <v>9.7999999999999997E-3</v>
      </c>
      <c r="E21805" s="26">
        <v>1.84E-2</v>
      </c>
      <c r="I21805">
        <v>349</v>
      </c>
    </row>
    <row r="21806" spans="1:9" x14ac:dyDescent="0.35">
      <c r="A21806" t="s">
        <v>231</v>
      </c>
      <c r="B21806" t="s">
        <v>239</v>
      </c>
      <c r="C21806" s="26">
        <v>0.80700000000000005</v>
      </c>
      <c r="D21806" s="26">
        <v>8.77E-2</v>
      </c>
      <c r="E21806" s="26">
        <v>8.77E-2</v>
      </c>
      <c r="F21806" s="26">
        <v>1.7500000000000002E-2</v>
      </c>
      <c r="I21806">
        <v>57</v>
      </c>
    </row>
    <row r="21807" spans="1:9" x14ac:dyDescent="0.35">
      <c r="A21807" t="s">
        <v>231</v>
      </c>
      <c r="B21807" t="s">
        <v>238</v>
      </c>
      <c r="C21807" s="26">
        <v>0.98129999999999995</v>
      </c>
      <c r="D21807" s="26">
        <v>9.2999999999999992E-3</v>
      </c>
      <c r="E21807" s="26">
        <v>9.2999999999999992E-3</v>
      </c>
      <c r="I21807">
        <v>107</v>
      </c>
    </row>
    <row r="21808" spans="1:9" x14ac:dyDescent="0.35">
      <c r="A21808" t="s">
        <v>232</v>
      </c>
      <c r="B21808" t="s">
        <v>232</v>
      </c>
      <c r="C21808" s="26">
        <v>0.93879999999999997</v>
      </c>
      <c r="D21808" s="26">
        <v>3.1399999999999997E-2</v>
      </c>
      <c r="E21808" s="26">
        <v>2.69E-2</v>
      </c>
      <c r="F21808" s="26">
        <v>2.3999999999999998E-3</v>
      </c>
      <c r="G21808" s="26">
        <v>4.0000000000000002E-4</v>
      </c>
      <c r="H21808" s="26">
        <v>0</v>
      </c>
      <c r="I21808">
        <v>2813</v>
      </c>
    </row>
    <row r="21810" spans="1:9" x14ac:dyDescent="0.35">
      <c r="A21810" s="1" t="s">
        <v>2112</v>
      </c>
    </row>
    <row r="21811" spans="1:9" x14ac:dyDescent="0.35">
      <c r="A21811" t="s">
        <v>219</v>
      </c>
      <c r="B21811" t="s">
        <v>305</v>
      </c>
      <c r="C21811" t="s">
        <v>2106</v>
      </c>
      <c r="D21811" t="s">
        <v>2107</v>
      </c>
      <c r="E21811" t="s">
        <v>2108</v>
      </c>
      <c r="F21811" t="s">
        <v>2109</v>
      </c>
      <c r="G21811" t="s">
        <v>286</v>
      </c>
      <c r="H21811" t="s">
        <v>281</v>
      </c>
      <c r="I21811" t="s">
        <v>226</v>
      </c>
    </row>
    <row r="21812" spans="1:9" x14ac:dyDescent="0.35">
      <c r="A21812" t="s">
        <v>227</v>
      </c>
      <c r="B21812" t="s">
        <v>244</v>
      </c>
      <c r="C21812" s="26">
        <v>0.94789999999999996</v>
      </c>
      <c r="D21812" s="26">
        <v>4.1700000000000001E-2</v>
      </c>
      <c r="E21812" s="26">
        <v>1.04E-2</v>
      </c>
      <c r="I21812">
        <v>96</v>
      </c>
    </row>
    <row r="21813" spans="1:9" x14ac:dyDescent="0.35">
      <c r="A21813" t="s">
        <v>227</v>
      </c>
      <c r="B21813" t="s">
        <v>245</v>
      </c>
      <c r="C21813" s="26">
        <v>0.88680000000000003</v>
      </c>
      <c r="D21813" s="26">
        <v>7.5499999999999998E-2</v>
      </c>
      <c r="E21813" s="26">
        <v>3.7699999999999997E-2</v>
      </c>
      <c r="I21813">
        <v>53</v>
      </c>
    </row>
    <row r="21814" spans="1:9" x14ac:dyDescent="0.35">
      <c r="A21814" s="27" t="s">
        <v>227</v>
      </c>
      <c r="B21814" s="27" t="s">
        <v>246</v>
      </c>
      <c r="C21814" s="28">
        <v>0.91669999999999996</v>
      </c>
      <c r="D21814" s="29"/>
      <c r="E21814" s="28">
        <v>8.3299999999999999E-2</v>
      </c>
      <c r="F21814" s="29"/>
      <c r="G21814" s="29"/>
      <c r="H21814" s="29"/>
      <c r="I21814" s="29" t="s">
        <v>342</v>
      </c>
    </row>
    <row r="21815" spans="1:9" x14ac:dyDescent="0.35">
      <c r="A21815" t="s">
        <v>228</v>
      </c>
      <c r="B21815" t="s">
        <v>244</v>
      </c>
      <c r="C21815" s="26">
        <v>0.96699999999999997</v>
      </c>
      <c r="D21815" s="26">
        <v>2.12E-2</v>
      </c>
      <c r="E21815" s="26">
        <v>1.04E-2</v>
      </c>
      <c r="F21815" s="26">
        <v>8.0000000000000004E-4</v>
      </c>
      <c r="G21815" s="26">
        <v>5.9999999999999995E-4</v>
      </c>
      <c r="I21815">
        <v>638</v>
      </c>
    </row>
    <row r="21816" spans="1:9" x14ac:dyDescent="0.35">
      <c r="A21816" t="s">
        <v>228</v>
      </c>
      <c r="B21816" t="s">
        <v>245</v>
      </c>
      <c r="C21816" s="26">
        <v>0.93110000000000004</v>
      </c>
      <c r="D21816" s="26">
        <v>2.4E-2</v>
      </c>
      <c r="E21816" s="26">
        <v>3.3000000000000002E-2</v>
      </c>
      <c r="F21816" s="26">
        <v>1.1900000000000001E-2</v>
      </c>
      <c r="I21816">
        <v>328</v>
      </c>
    </row>
    <row r="21817" spans="1:9" x14ac:dyDescent="0.35">
      <c r="A21817" t="s">
        <v>228</v>
      </c>
      <c r="B21817" t="s">
        <v>246</v>
      </c>
      <c r="C21817" s="26">
        <v>0.94020000000000004</v>
      </c>
      <c r="D21817" s="26">
        <v>5.1999999999999998E-3</v>
      </c>
      <c r="E21817" s="26">
        <v>5.45E-2</v>
      </c>
      <c r="I21817">
        <v>67</v>
      </c>
    </row>
    <row r="21818" spans="1:9" x14ac:dyDescent="0.35">
      <c r="A21818" t="s">
        <v>229</v>
      </c>
      <c r="B21818" t="s">
        <v>244</v>
      </c>
      <c r="C21818" s="26">
        <v>0.9597</v>
      </c>
      <c r="D21818" s="26">
        <v>1.3299999999999999E-2</v>
      </c>
      <c r="E21818" s="26">
        <v>2.5499999999999998E-2</v>
      </c>
      <c r="G21818" s="26">
        <v>1.4E-3</v>
      </c>
      <c r="H21818" s="26">
        <v>1E-4</v>
      </c>
      <c r="I21818">
        <v>557</v>
      </c>
    </row>
    <row r="21819" spans="1:9" x14ac:dyDescent="0.35">
      <c r="A21819" t="s">
        <v>229</v>
      </c>
      <c r="B21819" t="s">
        <v>245</v>
      </c>
      <c r="C21819" s="26">
        <v>0.94479999999999997</v>
      </c>
      <c r="D21819" s="26">
        <v>3.0300000000000001E-2</v>
      </c>
      <c r="E21819" s="26">
        <v>2.4899999999999999E-2</v>
      </c>
      <c r="I21819">
        <v>293</v>
      </c>
    </row>
    <row r="21820" spans="1:9" x14ac:dyDescent="0.35">
      <c r="A21820" t="s">
        <v>229</v>
      </c>
      <c r="B21820" t="s">
        <v>246</v>
      </c>
      <c r="C21820" s="26">
        <v>0.90080000000000005</v>
      </c>
      <c r="D21820" s="26">
        <v>9.9199999999999997E-2</v>
      </c>
      <c r="I21820">
        <v>45</v>
      </c>
    </row>
    <row r="21821" spans="1:9" x14ac:dyDescent="0.35">
      <c r="A21821" t="s">
        <v>230</v>
      </c>
      <c r="B21821" t="s">
        <v>244</v>
      </c>
      <c r="C21821" s="26">
        <v>0.95440000000000003</v>
      </c>
      <c r="D21821" s="26">
        <v>3.09E-2</v>
      </c>
      <c r="E21821" s="26">
        <v>1.46E-2</v>
      </c>
      <c r="I21821">
        <v>370</v>
      </c>
    </row>
    <row r="21822" spans="1:9" x14ac:dyDescent="0.35">
      <c r="A21822" t="s">
        <v>230</v>
      </c>
      <c r="B21822" t="s">
        <v>245</v>
      </c>
      <c r="C21822" s="26">
        <v>0.92979999999999996</v>
      </c>
      <c r="D21822" s="26">
        <v>3.3500000000000002E-2</v>
      </c>
      <c r="E21822" s="26">
        <v>3.6700000000000003E-2</v>
      </c>
      <c r="I21822">
        <v>161</v>
      </c>
    </row>
    <row r="21823" spans="1:9" x14ac:dyDescent="0.35">
      <c r="A21823" s="27" t="s">
        <v>230</v>
      </c>
      <c r="B21823" s="27" t="s">
        <v>246</v>
      </c>
      <c r="C21823" s="28">
        <v>0.73540000000000005</v>
      </c>
      <c r="D21823" s="28">
        <v>0.1351</v>
      </c>
      <c r="E21823" s="28">
        <v>0.1295</v>
      </c>
      <c r="F21823" s="29"/>
      <c r="G21823" s="29"/>
      <c r="H21823" s="29"/>
      <c r="I21823" s="29" t="s">
        <v>329</v>
      </c>
    </row>
    <row r="21824" spans="1:9" x14ac:dyDescent="0.35">
      <c r="A21824" t="s">
        <v>231</v>
      </c>
      <c r="B21824" t="s">
        <v>244</v>
      </c>
      <c r="C21824" s="26">
        <v>0.93679999999999997</v>
      </c>
      <c r="D21824" s="26">
        <v>2.1100000000000001E-2</v>
      </c>
      <c r="E21824" s="26">
        <v>3.1600000000000003E-2</v>
      </c>
      <c r="F21824" s="26">
        <v>1.0500000000000001E-2</v>
      </c>
      <c r="I21824">
        <v>95</v>
      </c>
    </row>
    <row r="21825" spans="1:9" x14ac:dyDescent="0.35">
      <c r="A21825" t="s">
        <v>231</v>
      </c>
      <c r="B21825" t="s">
        <v>245</v>
      </c>
      <c r="C21825" s="26">
        <v>0.89290000000000003</v>
      </c>
      <c r="D21825" s="26">
        <v>7.1400000000000005E-2</v>
      </c>
      <c r="E21825" s="26">
        <v>3.5700000000000003E-2</v>
      </c>
      <c r="I21825">
        <v>56</v>
      </c>
    </row>
    <row r="21826" spans="1:9" x14ac:dyDescent="0.35">
      <c r="A21826" s="27" t="s">
        <v>231</v>
      </c>
      <c r="B21826" s="27" t="s">
        <v>246</v>
      </c>
      <c r="C21826" s="28">
        <v>0.92310000000000003</v>
      </c>
      <c r="D21826" s="29"/>
      <c r="E21826" s="28">
        <v>7.6899999999999996E-2</v>
      </c>
      <c r="F21826" s="29"/>
      <c r="G21826" s="29"/>
      <c r="H21826" s="29"/>
      <c r="I21826" s="29" t="s">
        <v>341</v>
      </c>
    </row>
    <row r="21827" spans="1:9" x14ac:dyDescent="0.35">
      <c r="A21827" t="s">
        <v>232</v>
      </c>
      <c r="B21827" t="s">
        <v>232</v>
      </c>
      <c r="C21827" s="26">
        <v>0.93879999999999997</v>
      </c>
      <c r="D21827" s="26">
        <v>3.1399999999999997E-2</v>
      </c>
      <c r="E21827" s="26">
        <v>2.69E-2</v>
      </c>
      <c r="F21827" s="26">
        <v>2.3999999999999998E-3</v>
      </c>
      <c r="G21827" s="26">
        <v>4.0000000000000002E-4</v>
      </c>
      <c r="H21827" s="26">
        <v>0</v>
      </c>
      <c r="I21827">
        <v>2813</v>
      </c>
    </row>
    <row r="21829" spans="1:9" x14ac:dyDescent="0.35">
      <c r="A21829" s="1" t="s">
        <v>2113</v>
      </c>
    </row>
    <row r="21830" spans="1:9" x14ac:dyDescent="0.35">
      <c r="A21830" t="s">
        <v>219</v>
      </c>
      <c r="B21830" t="s">
        <v>305</v>
      </c>
      <c r="C21830" t="s">
        <v>2106</v>
      </c>
      <c r="D21830" t="s">
        <v>2107</v>
      </c>
      <c r="E21830" t="s">
        <v>2108</v>
      </c>
      <c r="F21830" t="s">
        <v>2109</v>
      </c>
      <c r="G21830" t="s">
        <v>286</v>
      </c>
      <c r="H21830" t="s">
        <v>281</v>
      </c>
      <c r="I21830" t="s">
        <v>226</v>
      </c>
    </row>
    <row r="21831" spans="1:9" x14ac:dyDescent="0.35">
      <c r="A21831" t="s">
        <v>227</v>
      </c>
      <c r="B21831" t="s">
        <v>360</v>
      </c>
      <c r="C21831" s="26">
        <v>0.84619999999999995</v>
      </c>
      <c r="D21831" s="26">
        <v>0.12820000000000001</v>
      </c>
      <c r="E21831" s="26">
        <v>2.5600000000000001E-2</v>
      </c>
      <c r="I21831">
        <v>39</v>
      </c>
    </row>
    <row r="21832" spans="1:9" x14ac:dyDescent="0.35">
      <c r="A21832" t="s">
        <v>227</v>
      </c>
      <c r="B21832" t="s">
        <v>361</v>
      </c>
      <c r="C21832" s="26">
        <v>0.96879999999999999</v>
      </c>
      <c r="E21832" s="26">
        <v>3.1199999999999999E-2</v>
      </c>
      <c r="I21832">
        <v>32</v>
      </c>
    </row>
    <row r="21833" spans="1:9" x14ac:dyDescent="0.35">
      <c r="A21833" t="s">
        <v>227</v>
      </c>
      <c r="B21833" t="s">
        <v>362</v>
      </c>
      <c r="C21833" s="26">
        <v>0.91890000000000005</v>
      </c>
      <c r="D21833" s="26">
        <v>5.4100000000000002E-2</v>
      </c>
      <c r="E21833" s="26">
        <v>2.7E-2</v>
      </c>
      <c r="I21833">
        <v>37</v>
      </c>
    </row>
    <row r="21834" spans="1:9" x14ac:dyDescent="0.35">
      <c r="A21834" t="s">
        <v>227</v>
      </c>
      <c r="B21834" t="s">
        <v>363</v>
      </c>
      <c r="C21834" s="26">
        <v>0.9556</v>
      </c>
      <c r="D21834" s="26">
        <v>2.2200000000000001E-2</v>
      </c>
      <c r="E21834" s="26">
        <v>2.2200000000000001E-2</v>
      </c>
      <c r="I21834">
        <v>45</v>
      </c>
    </row>
    <row r="21835" spans="1:9" x14ac:dyDescent="0.35">
      <c r="A21835" t="s">
        <v>228</v>
      </c>
      <c r="B21835" t="s">
        <v>360</v>
      </c>
      <c r="C21835" s="26">
        <v>0.89939999999999998</v>
      </c>
      <c r="D21835" s="26">
        <v>2.8299999999999999E-2</v>
      </c>
      <c r="E21835" s="26">
        <v>5.5500000000000001E-2</v>
      </c>
      <c r="F21835" s="26">
        <v>1.6799999999999999E-2</v>
      </c>
      <c r="I21835">
        <v>258</v>
      </c>
    </row>
    <row r="21836" spans="1:9" x14ac:dyDescent="0.35">
      <c r="A21836" t="s">
        <v>228</v>
      </c>
      <c r="B21836" t="s">
        <v>361</v>
      </c>
      <c r="C21836" s="26">
        <v>0.98660000000000003</v>
      </c>
      <c r="D21836" s="26">
        <v>1.24E-2</v>
      </c>
      <c r="E21836" s="26">
        <v>1E-3</v>
      </c>
      <c r="I21836">
        <v>194</v>
      </c>
    </row>
    <row r="21837" spans="1:9" x14ac:dyDescent="0.35">
      <c r="A21837" t="s">
        <v>228</v>
      </c>
      <c r="B21837" t="s">
        <v>363</v>
      </c>
      <c r="C21837" s="26">
        <v>0.97840000000000005</v>
      </c>
      <c r="D21837" s="26">
        <v>8.8999999999999999E-3</v>
      </c>
      <c r="E21837" s="26">
        <v>1.2800000000000001E-2</v>
      </c>
      <c r="I21837">
        <v>212</v>
      </c>
    </row>
    <row r="21838" spans="1:9" x14ac:dyDescent="0.35">
      <c r="A21838" t="s">
        <v>228</v>
      </c>
      <c r="B21838" t="s">
        <v>362</v>
      </c>
      <c r="C21838" s="26">
        <v>0.94110000000000005</v>
      </c>
      <c r="D21838" s="26">
        <v>4.07E-2</v>
      </c>
      <c r="E21838" s="26">
        <v>1.8200000000000001E-2</v>
      </c>
      <c r="I21838">
        <v>236</v>
      </c>
    </row>
    <row r="21839" spans="1:9" x14ac:dyDescent="0.35">
      <c r="A21839" t="s">
        <v>229</v>
      </c>
      <c r="B21839" t="s">
        <v>363</v>
      </c>
      <c r="C21839" s="26">
        <v>0.98680000000000001</v>
      </c>
      <c r="D21839" s="26">
        <v>4.1000000000000003E-3</v>
      </c>
      <c r="E21839" s="26">
        <v>8.9999999999999993E-3</v>
      </c>
      <c r="I21839">
        <v>191</v>
      </c>
    </row>
    <row r="21840" spans="1:9" x14ac:dyDescent="0.35">
      <c r="A21840" t="s">
        <v>229</v>
      </c>
      <c r="B21840" t="s">
        <v>360</v>
      </c>
      <c r="C21840" s="26">
        <v>0.85009999999999997</v>
      </c>
      <c r="D21840" s="26">
        <v>8.1600000000000006E-2</v>
      </c>
      <c r="E21840" s="26">
        <v>6.4000000000000001E-2</v>
      </c>
      <c r="G21840" s="26">
        <v>4.3E-3</v>
      </c>
      <c r="I21840">
        <v>164</v>
      </c>
    </row>
    <row r="21841" spans="1:9" x14ac:dyDescent="0.35">
      <c r="A21841" t="s">
        <v>229</v>
      </c>
      <c r="B21841" t="s">
        <v>361</v>
      </c>
      <c r="C21841" s="26">
        <v>0.97919999999999996</v>
      </c>
      <c r="D21841" s="26">
        <v>7.7000000000000002E-3</v>
      </c>
      <c r="E21841" s="26">
        <v>1.3100000000000001E-2</v>
      </c>
      <c r="I21841">
        <v>243</v>
      </c>
    </row>
    <row r="21842" spans="1:9" x14ac:dyDescent="0.35">
      <c r="A21842" t="s">
        <v>229</v>
      </c>
      <c r="B21842" t="s">
        <v>362</v>
      </c>
      <c r="C21842" s="26">
        <v>0.92689999999999995</v>
      </c>
      <c r="D21842" s="26">
        <v>3.3599999999999998E-2</v>
      </c>
      <c r="E21842" s="26">
        <v>3.8899999999999997E-2</v>
      </c>
      <c r="H21842" s="26">
        <v>5.9999999999999995E-4</v>
      </c>
      <c r="I21842">
        <v>171</v>
      </c>
    </row>
    <row r="21843" spans="1:9" x14ac:dyDescent="0.35">
      <c r="A21843" t="s">
        <v>230</v>
      </c>
      <c r="B21843" t="s">
        <v>360</v>
      </c>
      <c r="C21843" s="26">
        <v>0.8569</v>
      </c>
      <c r="D21843" s="26">
        <v>6.6299999999999998E-2</v>
      </c>
      <c r="E21843" s="26">
        <v>7.6799999999999993E-2</v>
      </c>
      <c r="I21843">
        <v>120</v>
      </c>
    </row>
    <row r="21844" spans="1:9" x14ac:dyDescent="0.35">
      <c r="A21844" t="s">
        <v>230</v>
      </c>
      <c r="B21844" t="s">
        <v>363</v>
      </c>
      <c r="C21844" s="26">
        <v>0.96150000000000002</v>
      </c>
      <c r="D21844" s="26">
        <v>3.4599999999999999E-2</v>
      </c>
      <c r="E21844" s="26">
        <v>3.8999999999999998E-3</v>
      </c>
      <c r="I21844">
        <v>127</v>
      </c>
    </row>
    <row r="21845" spans="1:9" x14ac:dyDescent="0.35">
      <c r="A21845" t="s">
        <v>230</v>
      </c>
      <c r="B21845" t="s">
        <v>361</v>
      </c>
      <c r="C21845" s="26">
        <v>0.96589999999999998</v>
      </c>
      <c r="D21845" s="26">
        <v>8.2000000000000007E-3</v>
      </c>
      <c r="E21845" s="26">
        <v>2.5899999999999999E-2</v>
      </c>
      <c r="I21845">
        <v>109</v>
      </c>
    </row>
    <row r="21846" spans="1:9" x14ac:dyDescent="0.35">
      <c r="A21846" t="s">
        <v>230</v>
      </c>
      <c r="B21846" t="s">
        <v>362</v>
      </c>
      <c r="C21846" s="26">
        <v>0.94399999999999995</v>
      </c>
      <c r="D21846" s="26">
        <v>4.4200000000000003E-2</v>
      </c>
      <c r="E21846" s="26">
        <v>1.1900000000000001E-2</v>
      </c>
      <c r="I21846">
        <v>148</v>
      </c>
    </row>
    <row r="21847" spans="1:9" x14ac:dyDescent="0.35">
      <c r="A21847" s="27" t="s">
        <v>231</v>
      </c>
      <c r="B21847" s="27" t="s">
        <v>362</v>
      </c>
      <c r="C21847" s="28">
        <v>0.89659999999999995</v>
      </c>
      <c r="D21847" s="28">
        <v>3.4500000000000003E-2</v>
      </c>
      <c r="E21847" s="28">
        <v>6.9000000000000006E-2</v>
      </c>
      <c r="F21847" s="29"/>
      <c r="G21847" s="29"/>
      <c r="H21847" s="29"/>
      <c r="I21847" s="29" t="s">
        <v>329</v>
      </c>
    </row>
    <row r="21848" spans="1:9" x14ac:dyDescent="0.35">
      <c r="A21848" t="s">
        <v>231</v>
      </c>
      <c r="B21848" t="s">
        <v>361</v>
      </c>
      <c r="C21848" s="26">
        <v>0.98</v>
      </c>
      <c r="D21848" s="26">
        <v>0.02</v>
      </c>
      <c r="I21848">
        <v>50</v>
      </c>
    </row>
    <row r="21849" spans="1:9" x14ac:dyDescent="0.35">
      <c r="A21849" t="s">
        <v>231</v>
      </c>
      <c r="B21849" t="s">
        <v>360</v>
      </c>
      <c r="C21849" s="26">
        <v>0.81820000000000004</v>
      </c>
      <c r="D21849" s="26">
        <v>6.8199999999999997E-2</v>
      </c>
      <c r="E21849" s="26">
        <v>9.0899999999999995E-2</v>
      </c>
      <c r="F21849" s="26">
        <v>2.2700000000000001E-2</v>
      </c>
      <c r="I21849">
        <v>44</v>
      </c>
    </row>
    <row r="21850" spans="1:9" x14ac:dyDescent="0.35">
      <c r="A21850" s="27" t="s">
        <v>231</v>
      </c>
      <c r="B21850" s="27" t="s">
        <v>363</v>
      </c>
      <c r="C21850" s="28">
        <v>1</v>
      </c>
      <c r="D21850" s="29"/>
      <c r="E21850" s="29"/>
      <c r="F21850" s="29"/>
      <c r="G21850" s="29"/>
      <c r="H21850" s="29"/>
      <c r="I21850" s="29" t="s">
        <v>338</v>
      </c>
    </row>
    <row r="21851" spans="1:9" x14ac:dyDescent="0.35">
      <c r="A21851" t="s">
        <v>232</v>
      </c>
      <c r="B21851" t="s">
        <v>232</v>
      </c>
      <c r="C21851" s="26">
        <v>0.93879999999999997</v>
      </c>
      <c r="D21851" s="26">
        <v>3.1399999999999997E-2</v>
      </c>
      <c r="E21851" s="26">
        <v>2.69E-2</v>
      </c>
      <c r="F21851" s="26">
        <v>2.3999999999999998E-3</v>
      </c>
      <c r="G21851" s="26">
        <v>4.0000000000000002E-4</v>
      </c>
      <c r="H21851" s="26">
        <v>0</v>
      </c>
      <c r="I21851">
        <v>2476</v>
      </c>
    </row>
    <row r="21853" spans="1:9" x14ac:dyDescent="0.35">
      <c r="A21853" s="1" t="s">
        <v>2114</v>
      </c>
    </row>
    <row r="21854" spans="1:9" x14ac:dyDescent="0.35">
      <c r="A21854" t="s">
        <v>219</v>
      </c>
      <c r="B21854" t="s">
        <v>305</v>
      </c>
      <c r="C21854" t="s">
        <v>2106</v>
      </c>
      <c r="D21854" t="s">
        <v>2107</v>
      </c>
      <c r="E21854" t="s">
        <v>2108</v>
      </c>
      <c r="F21854" t="s">
        <v>2109</v>
      </c>
      <c r="G21854" t="s">
        <v>286</v>
      </c>
      <c r="H21854" t="s">
        <v>281</v>
      </c>
      <c r="I21854" t="s">
        <v>226</v>
      </c>
    </row>
    <row r="21855" spans="1:9" x14ac:dyDescent="0.35">
      <c r="A21855" t="s">
        <v>227</v>
      </c>
      <c r="B21855" t="s">
        <v>267</v>
      </c>
      <c r="C21855" s="26">
        <v>0.97219999999999995</v>
      </c>
      <c r="D21855" s="26">
        <v>2.7799999999999998E-2</v>
      </c>
      <c r="I21855">
        <v>36</v>
      </c>
    </row>
    <row r="21856" spans="1:9" x14ac:dyDescent="0.35">
      <c r="A21856" t="s">
        <v>227</v>
      </c>
      <c r="B21856" t="s">
        <v>266</v>
      </c>
      <c r="C21856" s="26">
        <v>0.89829999999999999</v>
      </c>
      <c r="D21856" s="26">
        <v>5.0799999999999998E-2</v>
      </c>
      <c r="E21856" s="26">
        <v>5.0799999999999998E-2</v>
      </c>
      <c r="I21856">
        <v>59</v>
      </c>
    </row>
    <row r="21857" spans="1:9" x14ac:dyDescent="0.35">
      <c r="A21857" t="s">
        <v>227</v>
      </c>
      <c r="B21857" t="s">
        <v>265</v>
      </c>
      <c r="C21857" s="26">
        <v>0.92420000000000002</v>
      </c>
      <c r="D21857" s="26">
        <v>6.0600000000000001E-2</v>
      </c>
      <c r="E21857" s="26">
        <v>1.52E-2</v>
      </c>
      <c r="I21857">
        <v>66</v>
      </c>
    </row>
    <row r="21858" spans="1:9" x14ac:dyDescent="0.35">
      <c r="A21858" t="s">
        <v>228</v>
      </c>
      <c r="B21858" t="s">
        <v>267</v>
      </c>
      <c r="C21858" s="26">
        <v>0.96830000000000005</v>
      </c>
      <c r="D21858" s="26">
        <v>2.46E-2</v>
      </c>
      <c r="E21858" s="26">
        <v>7.1000000000000004E-3</v>
      </c>
      <c r="I21858">
        <v>199</v>
      </c>
    </row>
    <row r="21859" spans="1:9" x14ac:dyDescent="0.35">
      <c r="A21859" t="s">
        <v>228</v>
      </c>
      <c r="B21859" t="s">
        <v>265</v>
      </c>
      <c r="C21859" s="26">
        <v>0.97789999999999999</v>
      </c>
      <c r="D21859" s="26">
        <v>1.5699999999999999E-2</v>
      </c>
      <c r="E21859" s="26">
        <v>4.1000000000000003E-3</v>
      </c>
      <c r="F21859" s="26">
        <v>1.2999999999999999E-3</v>
      </c>
      <c r="G21859" s="26">
        <v>1E-3</v>
      </c>
      <c r="I21859">
        <v>384</v>
      </c>
    </row>
    <row r="21860" spans="1:9" x14ac:dyDescent="0.35">
      <c r="A21860" s="27" t="s">
        <v>228</v>
      </c>
      <c r="B21860" s="27" t="s">
        <v>236</v>
      </c>
      <c r="C21860" s="28">
        <v>0.5</v>
      </c>
      <c r="D21860" s="28">
        <v>0.5</v>
      </c>
      <c r="E21860" s="29"/>
      <c r="F21860" s="29"/>
      <c r="G21860" s="29"/>
      <c r="H21860" s="29"/>
      <c r="I21860" s="29" t="s">
        <v>314</v>
      </c>
    </row>
    <row r="21861" spans="1:9" x14ac:dyDescent="0.35">
      <c r="A21861" t="s">
        <v>228</v>
      </c>
      <c r="B21861" t="s">
        <v>266</v>
      </c>
      <c r="C21861" s="26">
        <v>0.93420000000000003</v>
      </c>
      <c r="D21861" s="26">
        <v>1.6799999999999999E-2</v>
      </c>
      <c r="E21861" s="26">
        <v>4.0899999999999999E-2</v>
      </c>
      <c r="F21861" s="26">
        <v>8.0999999999999996E-3</v>
      </c>
      <c r="I21861">
        <v>448</v>
      </c>
    </row>
    <row r="21862" spans="1:9" x14ac:dyDescent="0.35">
      <c r="A21862" t="s">
        <v>229</v>
      </c>
      <c r="B21862" t="s">
        <v>266</v>
      </c>
      <c r="C21862" s="26">
        <v>0.9577</v>
      </c>
      <c r="D21862" s="26">
        <v>2.18E-2</v>
      </c>
      <c r="E21862" s="26">
        <v>2.0500000000000001E-2</v>
      </c>
      <c r="I21862">
        <v>359</v>
      </c>
    </row>
    <row r="21863" spans="1:9" x14ac:dyDescent="0.35">
      <c r="A21863" t="s">
        <v>229</v>
      </c>
      <c r="B21863" t="s">
        <v>267</v>
      </c>
      <c r="C21863" s="26">
        <v>0.95209999999999995</v>
      </c>
      <c r="D21863" s="26">
        <v>2.0400000000000001E-2</v>
      </c>
      <c r="E21863" s="26">
        <v>2.75E-2</v>
      </c>
      <c r="I21863">
        <v>201</v>
      </c>
    </row>
    <row r="21864" spans="1:9" x14ac:dyDescent="0.35">
      <c r="A21864" t="s">
        <v>229</v>
      </c>
      <c r="B21864" t="s">
        <v>265</v>
      </c>
      <c r="C21864" s="26">
        <v>0.94950000000000001</v>
      </c>
      <c r="D21864" s="26">
        <v>2.3199999999999998E-2</v>
      </c>
      <c r="E21864" s="26">
        <v>2.4799999999999999E-2</v>
      </c>
      <c r="G21864" s="26">
        <v>2.2000000000000001E-3</v>
      </c>
      <c r="H21864" s="26">
        <v>2.0000000000000001E-4</v>
      </c>
      <c r="I21864">
        <v>335</v>
      </c>
    </row>
    <row r="21865" spans="1:9" x14ac:dyDescent="0.35">
      <c r="A21865" t="s">
        <v>230</v>
      </c>
      <c r="B21865" t="s">
        <v>267</v>
      </c>
      <c r="C21865" s="26">
        <v>0.94430000000000003</v>
      </c>
      <c r="D21865" s="26">
        <v>2.7199999999999998E-2</v>
      </c>
      <c r="E21865" s="26">
        <v>2.8500000000000001E-2</v>
      </c>
      <c r="I21865">
        <v>119</v>
      </c>
    </row>
    <row r="21866" spans="1:9" x14ac:dyDescent="0.35">
      <c r="A21866" t="s">
        <v>230</v>
      </c>
      <c r="B21866" t="s">
        <v>266</v>
      </c>
      <c r="C21866" s="26">
        <v>0.93320000000000003</v>
      </c>
      <c r="D21866" s="26">
        <v>3.2899999999999999E-2</v>
      </c>
      <c r="E21866" s="26">
        <v>3.3799999999999997E-2</v>
      </c>
      <c r="I21866">
        <v>232</v>
      </c>
    </row>
    <row r="21867" spans="1:9" x14ac:dyDescent="0.35">
      <c r="A21867" t="s">
        <v>230</v>
      </c>
      <c r="B21867" t="s">
        <v>265</v>
      </c>
      <c r="C21867" s="26">
        <v>0.93730000000000002</v>
      </c>
      <c r="D21867" s="26">
        <v>4.48E-2</v>
      </c>
      <c r="E21867" s="26">
        <v>1.78E-2</v>
      </c>
      <c r="I21867">
        <v>209</v>
      </c>
    </row>
    <row r="21868" spans="1:9" x14ac:dyDescent="0.35">
      <c r="A21868" t="s">
        <v>231</v>
      </c>
      <c r="B21868" t="s">
        <v>267</v>
      </c>
      <c r="C21868" s="26">
        <v>0.88239999999999996</v>
      </c>
      <c r="D21868" s="26">
        <v>8.8200000000000001E-2</v>
      </c>
      <c r="E21868" s="26">
        <v>2.9399999999999999E-2</v>
      </c>
      <c r="I21868">
        <v>34</v>
      </c>
    </row>
    <row r="21869" spans="1:9" x14ac:dyDescent="0.35">
      <c r="A21869" t="s">
        <v>231</v>
      </c>
      <c r="B21869" t="s">
        <v>266</v>
      </c>
      <c r="C21869" s="26">
        <v>0.9032</v>
      </c>
      <c r="D21869" s="26">
        <v>4.8399999999999999E-2</v>
      </c>
      <c r="E21869" s="26">
        <v>3.2300000000000002E-2</v>
      </c>
      <c r="F21869" s="26">
        <v>1.61E-2</v>
      </c>
      <c r="I21869">
        <v>62</v>
      </c>
    </row>
    <row r="21870" spans="1:9" x14ac:dyDescent="0.35">
      <c r="A21870" t="s">
        <v>231</v>
      </c>
      <c r="B21870" t="s">
        <v>265</v>
      </c>
      <c r="C21870" s="26">
        <v>0.95589999999999997</v>
      </c>
      <c r="E21870" s="26">
        <v>4.41E-2</v>
      </c>
      <c r="I21870">
        <v>68</v>
      </c>
    </row>
    <row r="21871" spans="1:9" x14ac:dyDescent="0.35">
      <c r="A21871" t="s">
        <v>232</v>
      </c>
      <c r="B21871" t="s">
        <v>232</v>
      </c>
      <c r="C21871" s="26">
        <v>0.93879999999999997</v>
      </c>
      <c r="D21871" s="26">
        <v>3.1399999999999997E-2</v>
      </c>
      <c r="E21871" s="26">
        <v>2.69E-2</v>
      </c>
      <c r="F21871" s="26">
        <v>2.3999999999999998E-3</v>
      </c>
      <c r="G21871" s="26">
        <v>4.0000000000000002E-4</v>
      </c>
      <c r="H21871" s="26">
        <v>0</v>
      </c>
      <c r="I21871">
        <v>2813</v>
      </c>
    </row>
    <row r="21873" spans="1:9" x14ac:dyDescent="0.35">
      <c r="A21873" s="1" t="s">
        <v>2115</v>
      </c>
    </row>
    <row r="21874" spans="1:9" x14ac:dyDescent="0.35">
      <c r="A21874" t="s">
        <v>219</v>
      </c>
      <c r="B21874" t="s">
        <v>305</v>
      </c>
      <c r="C21874" t="s">
        <v>2106</v>
      </c>
      <c r="D21874" t="s">
        <v>2107</v>
      </c>
      <c r="E21874" t="s">
        <v>2108</v>
      </c>
      <c r="F21874" t="s">
        <v>2109</v>
      </c>
      <c r="G21874" t="s">
        <v>286</v>
      </c>
      <c r="H21874" t="s">
        <v>281</v>
      </c>
      <c r="I21874" t="s">
        <v>226</v>
      </c>
    </row>
    <row r="21875" spans="1:9" x14ac:dyDescent="0.35">
      <c r="A21875" t="s">
        <v>227</v>
      </c>
      <c r="B21875" t="s">
        <v>252</v>
      </c>
      <c r="C21875" s="26">
        <v>0.86670000000000003</v>
      </c>
      <c r="D21875" s="26">
        <v>8.8900000000000007E-2</v>
      </c>
      <c r="E21875" s="26">
        <v>4.4400000000000002E-2</v>
      </c>
      <c r="I21875">
        <v>45</v>
      </c>
    </row>
    <row r="21876" spans="1:9" x14ac:dyDescent="0.35">
      <c r="A21876" t="s">
        <v>227</v>
      </c>
      <c r="B21876" t="s">
        <v>253</v>
      </c>
      <c r="C21876" s="26">
        <v>0.94120000000000004</v>
      </c>
      <c r="D21876" s="26">
        <v>5.8799999999999998E-2</v>
      </c>
      <c r="I21876">
        <v>34</v>
      </c>
    </row>
    <row r="21877" spans="1:9" x14ac:dyDescent="0.35">
      <c r="A21877" t="s">
        <v>227</v>
      </c>
      <c r="B21877" t="s">
        <v>251</v>
      </c>
      <c r="C21877" s="26">
        <v>0.95120000000000005</v>
      </c>
      <c r="D21877" s="26">
        <v>2.4400000000000002E-2</v>
      </c>
      <c r="E21877" s="26">
        <v>2.4400000000000002E-2</v>
      </c>
      <c r="I21877">
        <v>82</v>
      </c>
    </row>
    <row r="21878" spans="1:9" x14ac:dyDescent="0.35">
      <c r="A21878" t="s">
        <v>228</v>
      </c>
      <c r="B21878" t="s">
        <v>252</v>
      </c>
      <c r="C21878" s="26">
        <v>0.92700000000000005</v>
      </c>
      <c r="D21878" s="26">
        <v>2.76E-2</v>
      </c>
      <c r="E21878" s="26">
        <v>3.3799999999999997E-2</v>
      </c>
      <c r="F21878" s="26">
        <v>1.04E-2</v>
      </c>
      <c r="G21878" s="26">
        <v>1.2999999999999999E-3</v>
      </c>
      <c r="I21878">
        <v>344</v>
      </c>
    </row>
    <row r="21879" spans="1:9" x14ac:dyDescent="0.35">
      <c r="A21879" t="s">
        <v>228</v>
      </c>
      <c r="B21879" t="s">
        <v>253</v>
      </c>
      <c r="C21879" s="26">
        <v>0.93730000000000002</v>
      </c>
      <c r="D21879" s="26">
        <v>3.5400000000000001E-2</v>
      </c>
      <c r="E21879" s="26">
        <v>2.47E-2</v>
      </c>
      <c r="F21879" s="26">
        <v>2.7000000000000001E-3</v>
      </c>
      <c r="I21879">
        <v>222</v>
      </c>
    </row>
    <row r="21880" spans="1:9" x14ac:dyDescent="0.35">
      <c r="A21880" t="s">
        <v>228</v>
      </c>
      <c r="B21880" t="s">
        <v>251</v>
      </c>
      <c r="C21880" s="26">
        <v>0.9819</v>
      </c>
      <c r="D21880" s="26">
        <v>1.01E-2</v>
      </c>
      <c r="E21880" s="26">
        <v>8.0000000000000002E-3</v>
      </c>
      <c r="I21880">
        <v>467</v>
      </c>
    </row>
    <row r="21881" spans="1:9" x14ac:dyDescent="0.35">
      <c r="A21881" t="s">
        <v>229</v>
      </c>
      <c r="B21881" t="s">
        <v>252</v>
      </c>
      <c r="C21881" s="26">
        <v>0.91710000000000003</v>
      </c>
      <c r="D21881" s="26">
        <v>5.1900000000000002E-2</v>
      </c>
      <c r="E21881" s="26">
        <v>3.1E-2</v>
      </c>
      <c r="I21881">
        <v>199</v>
      </c>
    </row>
    <row r="21882" spans="1:9" x14ac:dyDescent="0.35">
      <c r="A21882" t="s">
        <v>229</v>
      </c>
      <c r="B21882" t="s">
        <v>253</v>
      </c>
      <c r="C21882" s="26">
        <v>0.92269999999999996</v>
      </c>
      <c r="D21882" s="26">
        <v>2.8299999999999999E-2</v>
      </c>
      <c r="E21882" s="26">
        <v>4.4999999999999998E-2</v>
      </c>
      <c r="G21882" s="26">
        <v>3.5000000000000001E-3</v>
      </c>
      <c r="H21882" s="26">
        <v>5.0000000000000001E-4</v>
      </c>
      <c r="I21882">
        <v>145</v>
      </c>
    </row>
    <row r="21883" spans="1:9" x14ac:dyDescent="0.35">
      <c r="A21883" t="s">
        <v>229</v>
      </c>
      <c r="B21883" t="s">
        <v>251</v>
      </c>
      <c r="C21883" s="26">
        <v>0.97609999999999997</v>
      </c>
      <c r="D21883" s="26">
        <v>8.8000000000000005E-3</v>
      </c>
      <c r="E21883" s="26">
        <v>1.4500000000000001E-2</v>
      </c>
      <c r="G21883" s="26">
        <v>5.9999999999999995E-4</v>
      </c>
      <c r="I21883">
        <v>551</v>
      </c>
    </row>
    <row r="21884" spans="1:9" x14ac:dyDescent="0.35">
      <c r="A21884" t="s">
        <v>230</v>
      </c>
      <c r="B21884" t="s">
        <v>252</v>
      </c>
      <c r="C21884" s="26">
        <v>0.94899999999999995</v>
      </c>
      <c r="D21884" s="26">
        <v>3.1300000000000001E-2</v>
      </c>
      <c r="E21884" s="26">
        <v>1.9699999999999999E-2</v>
      </c>
      <c r="I21884">
        <v>159</v>
      </c>
    </row>
    <row r="21885" spans="1:9" x14ac:dyDescent="0.35">
      <c r="A21885" t="s">
        <v>230</v>
      </c>
      <c r="B21885" t="s">
        <v>253</v>
      </c>
      <c r="C21885" s="26">
        <v>0.95099999999999996</v>
      </c>
      <c r="D21885" s="26">
        <v>3.95E-2</v>
      </c>
      <c r="E21885" s="26">
        <v>9.4999999999999998E-3</v>
      </c>
      <c r="I21885">
        <v>110</v>
      </c>
    </row>
    <row r="21886" spans="1:9" x14ac:dyDescent="0.35">
      <c r="A21886" t="s">
        <v>230</v>
      </c>
      <c r="B21886" t="s">
        <v>251</v>
      </c>
      <c r="C21886" s="26">
        <v>0.9274</v>
      </c>
      <c r="D21886" s="26">
        <v>3.8100000000000002E-2</v>
      </c>
      <c r="E21886" s="26">
        <v>3.44E-2</v>
      </c>
      <c r="I21886">
        <v>291</v>
      </c>
    </row>
    <row r="21887" spans="1:9" x14ac:dyDescent="0.35">
      <c r="A21887" t="s">
        <v>231</v>
      </c>
      <c r="B21887" t="s">
        <v>252</v>
      </c>
      <c r="C21887" s="26">
        <v>0.85709999999999997</v>
      </c>
      <c r="D21887" s="26">
        <v>8.1600000000000006E-2</v>
      </c>
      <c r="E21887" s="26">
        <v>6.1199999999999997E-2</v>
      </c>
      <c r="I21887">
        <v>49</v>
      </c>
    </row>
    <row r="21888" spans="1:9" x14ac:dyDescent="0.35">
      <c r="A21888" t="s">
        <v>231</v>
      </c>
      <c r="B21888" t="s">
        <v>253</v>
      </c>
      <c r="C21888" s="26">
        <v>0.86670000000000003</v>
      </c>
      <c r="D21888" s="26">
        <v>3.3300000000000003E-2</v>
      </c>
      <c r="E21888" s="26">
        <v>6.6699999999999995E-2</v>
      </c>
      <c r="F21888" s="26">
        <v>3.3300000000000003E-2</v>
      </c>
      <c r="I21888">
        <v>30</v>
      </c>
    </row>
    <row r="21889" spans="1:9" x14ac:dyDescent="0.35">
      <c r="A21889" t="s">
        <v>231</v>
      </c>
      <c r="B21889" t="s">
        <v>251</v>
      </c>
      <c r="C21889" s="26">
        <v>0.97650000000000003</v>
      </c>
      <c r="D21889" s="26">
        <v>1.18E-2</v>
      </c>
      <c r="E21889" s="26">
        <v>1.18E-2</v>
      </c>
      <c r="I21889">
        <v>85</v>
      </c>
    </row>
    <row r="21890" spans="1:9" x14ac:dyDescent="0.35">
      <c r="A21890" t="s">
        <v>232</v>
      </c>
      <c r="B21890" t="s">
        <v>232</v>
      </c>
      <c r="C21890" s="26">
        <v>0.93879999999999997</v>
      </c>
      <c r="D21890" s="26">
        <v>3.1399999999999997E-2</v>
      </c>
      <c r="E21890" s="26">
        <v>2.69E-2</v>
      </c>
      <c r="F21890" s="26">
        <v>2.3999999999999998E-3</v>
      </c>
      <c r="G21890" s="26">
        <v>4.0000000000000002E-4</v>
      </c>
      <c r="H21890" s="26">
        <v>0</v>
      </c>
      <c r="I21890">
        <v>2813</v>
      </c>
    </row>
    <row r="21892" spans="1:9" x14ac:dyDescent="0.35">
      <c r="A21892" s="1" t="s">
        <v>2116</v>
      </c>
    </row>
    <row r="21893" spans="1:9" x14ac:dyDescent="0.35">
      <c r="A21893" t="s">
        <v>219</v>
      </c>
      <c r="B21893" t="s">
        <v>305</v>
      </c>
      <c r="C21893" t="s">
        <v>2106</v>
      </c>
      <c r="D21893" t="s">
        <v>2107</v>
      </c>
      <c r="E21893" t="s">
        <v>2108</v>
      </c>
      <c r="F21893" t="s">
        <v>2109</v>
      </c>
      <c r="G21893" t="s">
        <v>286</v>
      </c>
      <c r="H21893" t="s">
        <v>281</v>
      </c>
      <c r="I21893" t="s">
        <v>226</v>
      </c>
    </row>
    <row r="21894" spans="1:9" x14ac:dyDescent="0.35">
      <c r="A21894" t="s">
        <v>227</v>
      </c>
      <c r="B21894" t="s">
        <v>249</v>
      </c>
      <c r="C21894" s="26">
        <v>0.95450000000000002</v>
      </c>
      <c r="E21894" s="26">
        <v>4.5499999999999999E-2</v>
      </c>
      <c r="I21894">
        <v>44</v>
      </c>
    </row>
    <row r="21895" spans="1:9" x14ac:dyDescent="0.35">
      <c r="A21895" t="s">
        <v>227</v>
      </c>
      <c r="B21895" t="s">
        <v>248</v>
      </c>
      <c r="C21895" s="26">
        <v>0.91449999999999998</v>
      </c>
      <c r="D21895" s="26">
        <v>6.8400000000000002E-2</v>
      </c>
      <c r="E21895" s="26">
        <v>1.7100000000000001E-2</v>
      </c>
      <c r="I21895">
        <v>117</v>
      </c>
    </row>
    <row r="21896" spans="1:9" x14ac:dyDescent="0.35">
      <c r="A21896" t="s">
        <v>228</v>
      </c>
      <c r="B21896" t="s">
        <v>249</v>
      </c>
      <c r="C21896" s="26">
        <v>0.97189999999999999</v>
      </c>
      <c r="D21896" s="26">
        <v>1.1599999999999999E-2</v>
      </c>
      <c r="E21896" s="26">
        <v>1.6500000000000001E-2</v>
      </c>
      <c r="I21896">
        <v>274</v>
      </c>
    </row>
    <row r="21897" spans="1:9" x14ac:dyDescent="0.35">
      <c r="A21897" t="s">
        <v>228</v>
      </c>
      <c r="B21897" t="s">
        <v>248</v>
      </c>
      <c r="C21897" s="26">
        <v>0.94799999999999995</v>
      </c>
      <c r="D21897" s="26">
        <v>2.4799999999999999E-2</v>
      </c>
      <c r="E21897" s="26">
        <v>2.1100000000000001E-2</v>
      </c>
      <c r="F21897" s="26">
        <v>5.4999999999999997E-3</v>
      </c>
      <c r="G21897" s="26">
        <v>5.9999999999999995E-4</v>
      </c>
      <c r="I21897">
        <v>759</v>
      </c>
    </row>
    <row r="21898" spans="1:9" x14ac:dyDescent="0.35">
      <c r="A21898" t="s">
        <v>229</v>
      </c>
      <c r="B21898" t="s">
        <v>249</v>
      </c>
      <c r="C21898" s="26">
        <v>0.98960000000000004</v>
      </c>
      <c r="D21898" s="26">
        <v>9.4000000000000004E-3</v>
      </c>
      <c r="E21898" s="26">
        <v>1E-3</v>
      </c>
      <c r="I21898">
        <v>259</v>
      </c>
    </row>
    <row r="21899" spans="1:9" x14ac:dyDescent="0.35">
      <c r="A21899" t="s">
        <v>229</v>
      </c>
      <c r="B21899" t="s">
        <v>248</v>
      </c>
      <c r="C21899" s="26">
        <v>0.93479999999999996</v>
      </c>
      <c r="D21899" s="26">
        <v>2.8400000000000002E-2</v>
      </c>
      <c r="E21899" s="26">
        <v>3.5200000000000002E-2</v>
      </c>
      <c r="G21899" s="26">
        <v>1.5E-3</v>
      </c>
      <c r="H21899" s="26">
        <v>1E-4</v>
      </c>
      <c r="I21899">
        <v>636</v>
      </c>
    </row>
    <row r="21900" spans="1:9" x14ac:dyDescent="0.35">
      <c r="A21900" t="s">
        <v>230</v>
      </c>
      <c r="B21900" t="s">
        <v>249</v>
      </c>
      <c r="C21900" s="26">
        <v>0.90800000000000003</v>
      </c>
      <c r="D21900" s="26">
        <v>5.1200000000000002E-2</v>
      </c>
      <c r="E21900" s="26">
        <v>4.0800000000000003E-2</v>
      </c>
      <c r="I21900">
        <v>171</v>
      </c>
    </row>
    <row r="21901" spans="1:9" x14ac:dyDescent="0.35">
      <c r="A21901" t="s">
        <v>230</v>
      </c>
      <c r="B21901" t="s">
        <v>248</v>
      </c>
      <c r="C21901" s="26">
        <v>0.95230000000000004</v>
      </c>
      <c r="D21901" s="26">
        <v>2.93E-2</v>
      </c>
      <c r="E21901" s="26">
        <v>1.84E-2</v>
      </c>
      <c r="I21901">
        <v>389</v>
      </c>
    </row>
    <row r="21902" spans="1:9" x14ac:dyDescent="0.35">
      <c r="A21902" t="s">
        <v>231</v>
      </c>
      <c r="B21902" t="s">
        <v>249</v>
      </c>
      <c r="C21902" s="26">
        <v>0.97140000000000004</v>
      </c>
      <c r="E21902" s="26">
        <v>2.86E-2</v>
      </c>
      <c r="I21902">
        <v>35</v>
      </c>
    </row>
    <row r="21903" spans="1:9" x14ac:dyDescent="0.35">
      <c r="A21903" t="s">
        <v>231</v>
      </c>
      <c r="B21903" t="s">
        <v>248</v>
      </c>
      <c r="C21903" s="26">
        <v>0.90700000000000003</v>
      </c>
      <c r="D21903" s="26">
        <v>4.65E-2</v>
      </c>
      <c r="E21903" s="26">
        <v>3.8800000000000001E-2</v>
      </c>
      <c r="F21903" s="26">
        <v>7.7999999999999996E-3</v>
      </c>
      <c r="I21903">
        <v>129</v>
      </c>
    </row>
    <row r="21904" spans="1:9" x14ac:dyDescent="0.35">
      <c r="A21904" t="s">
        <v>232</v>
      </c>
      <c r="B21904" t="s">
        <v>232</v>
      </c>
      <c r="C21904" s="26">
        <v>0.93879999999999997</v>
      </c>
      <c r="D21904" s="26">
        <v>3.1399999999999997E-2</v>
      </c>
      <c r="E21904" s="26">
        <v>2.69E-2</v>
      </c>
      <c r="F21904" s="26">
        <v>2.3999999999999998E-3</v>
      </c>
      <c r="G21904" s="26">
        <v>4.0000000000000002E-4</v>
      </c>
      <c r="H21904" s="26">
        <v>0</v>
      </c>
      <c r="I21904">
        <v>2813</v>
      </c>
    </row>
    <row r="21906" spans="1:9" x14ac:dyDescent="0.35">
      <c r="A21906" s="1" t="s">
        <v>2117</v>
      </c>
    </row>
    <row r="21907" spans="1:9" x14ac:dyDescent="0.35">
      <c r="A21907" t="s">
        <v>219</v>
      </c>
      <c r="B21907" t="s">
        <v>305</v>
      </c>
      <c r="C21907" t="s">
        <v>2106</v>
      </c>
      <c r="D21907" t="s">
        <v>2107</v>
      </c>
      <c r="E21907" t="s">
        <v>2108</v>
      </c>
      <c r="F21907" t="s">
        <v>2109</v>
      </c>
      <c r="G21907" t="s">
        <v>286</v>
      </c>
      <c r="H21907" t="s">
        <v>281</v>
      </c>
      <c r="I21907" t="s">
        <v>226</v>
      </c>
    </row>
    <row r="21908" spans="1:9" x14ac:dyDescent="0.35">
      <c r="A21908" s="27" t="s">
        <v>227</v>
      </c>
      <c r="B21908" s="27" t="s">
        <v>263</v>
      </c>
      <c r="C21908" s="28">
        <v>1</v>
      </c>
      <c r="D21908" s="29"/>
      <c r="E21908" s="29"/>
      <c r="F21908" s="29"/>
      <c r="G21908" s="29"/>
      <c r="H21908" s="29"/>
      <c r="I21908" s="29" t="s">
        <v>315</v>
      </c>
    </row>
    <row r="21909" spans="1:9" x14ac:dyDescent="0.35">
      <c r="A21909" t="s">
        <v>227</v>
      </c>
      <c r="B21909" t="s">
        <v>261</v>
      </c>
      <c r="C21909" s="26">
        <v>0.90910000000000002</v>
      </c>
      <c r="D21909" s="26">
        <v>3.0300000000000001E-2</v>
      </c>
      <c r="E21909" s="26">
        <v>6.0600000000000001E-2</v>
      </c>
      <c r="I21909">
        <v>33</v>
      </c>
    </row>
    <row r="21910" spans="1:9" x14ac:dyDescent="0.35">
      <c r="A21910" s="27" t="s">
        <v>227</v>
      </c>
      <c r="B21910" s="27" t="s">
        <v>262</v>
      </c>
      <c r="C21910" s="28">
        <v>1</v>
      </c>
      <c r="D21910" s="29"/>
      <c r="E21910" s="29"/>
      <c r="F21910" s="29"/>
      <c r="G21910" s="29"/>
      <c r="H21910" s="29"/>
      <c r="I21910" s="29" t="s">
        <v>315</v>
      </c>
    </row>
    <row r="21911" spans="1:9" x14ac:dyDescent="0.35">
      <c r="A21911" t="s">
        <v>227</v>
      </c>
      <c r="B21911" t="s">
        <v>260</v>
      </c>
      <c r="C21911" s="26">
        <v>0.92620000000000002</v>
      </c>
      <c r="D21911" s="26">
        <v>5.74E-2</v>
      </c>
      <c r="E21911" s="26">
        <v>1.6400000000000001E-2</v>
      </c>
      <c r="I21911">
        <v>122</v>
      </c>
    </row>
    <row r="21912" spans="1:9" x14ac:dyDescent="0.35">
      <c r="A21912" t="s">
        <v>228</v>
      </c>
      <c r="B21912" t="s">
        <v>261</v>
      </c>
      <c r="C21912" s="26">
        <v>0.93730000000000002</v>
      </c>
      <c r="D21912" s="26">
        <v>1.7999999999999999E-2</v>
      </c>
      <c r="E21912" s="26">
        <v>4.19E-2</v>
      </c>
      <c r="F21912" s="26">
        <v>2.8E-3</v>
      </c>
      <c r="I21912">
        <v>192</v>
      </c>
    </row>
    <row r="21913" spans="1:9" x14ac:dyDescent="0.35">
      <c r="A21913" s="27" t="s">
        <v>228</v>
      </c>
      <c r="B21913" s="27" t="s">
        <v>263</v>
      </c>
      <c r="C21913" s="28">
        <v>0.98699999999999999</v>
      </c>
      <c r="D21913" s="29"/>
      <c r="E21913" s="28">
        <v>1.2999999999999999E-2</v>
      </c>
      <c r="F21913" s="29"/>
      <c r="G21913" s="29"/>
      <c r="H21913" s="29"/>
      <c r="I21913" s="29" t="s">
        <v>312</v>
      </c>
    </row>
    <row r="21914" spans="1:9" x14ac:dyDescent="0.35">
      <c r="A21914" s="27" t="s">
        <v>228</v>
      </c>
      <c r="B21914" s="27" t="s">
        <v>236</v>
      </c>
      <c r="C21914" s="28">
        <v>1</v>
      </c>
      <c r="D21914" s="29"/>
      <c r="E21914" s="29"/>
      <c r="F21914" s="29"/>
      <c r="G21914" s="29"/>
      <c r="H21914" s="29"/>
      <c r="I21914" s="29" t="s">
        <v>335</v>
      </c>
    </row>
    <row r="21915" spans="1:9" x14ac:dyDescent="0.35">
      <c r="A21915" t="s">
        <v>228</v>
      </c>
      <c r="B21915" t="s">
        <v>262</v>
      </c>
      <c r="C21915" s="26">
        <v>0.98119999999999996</v>
      </c>
      <c r="D21915" s="26">
        <v>1.34E-2</v>
      </c>
      <c r="E21915" s="26">
        <v>2.8999999999999998E-3</v>
      </c>
      <c r="G21915" s="26">
        <v>2.5000000000000001E-3</v>
      </c>
      <c r="I21915">
        <v>201</v>
      </c>
    </row>
    <row r="21916" spans="1:9" x14ac:dyDescent="0.35">
      <c r="A21916" t="s">
        <v>228</v>
      </c>
      <c r="B21916" t="s">
        <v>260</v>
      </c>
      <c r="C21916" s="26">
        <v>0.95240000000000002</v>
      </c>
      <c r="D21916" s="26">
        <v>2.46E-2</v>
      </c>
      <c r="E21916" s="26">
        <v>1.7600000000000001E-2</v>
      </c>
      <c r="F21916" s="26">
        <v>5.4000000000000003E-3</v>
      </c>
      <c r="I21916">
        <v>609</v>
      </c>
    </row>
    <row r="21917" spans="1:9" x14ac:dyDescent="0.35">
      <c r="A21917" s="27" t="s">
        <v>229</v>
      </c>
      <c r="B21917" s="27" t="s">
        <v>263</v>
      </c>
      <c r="C21917" s="28">
        <v>1</v>
      </c>
      <c r="D21917" s="29"/>
      <c r="E21917" s="29"/>
      <c r="F21917" s="29"/>
      <c r="G21917" s="29"/>
      <c r="H21917" s="29"/>
      <c r="I21917" s="29" t="s">
        <v>379</v>
      </c>
    </row>
    <row r="21918" spans="1:9" x14ac:dyDescent="0.35">
      <c r="A21918" t="s">
        <v>229</v>
      </c>
      <c r="B21918" t="s">
        <v>262</v>
      </c>
      <c r="C21918" s="26">
        <v>0.99160000000000004</v>
      </c>
      <c r="D21918" s="26">
        <v>4.1999999999999997E-3</v>
      </c>
      <c r="E21918" s="26">
        <v>3.0000000000000001E-3</v>
      </c>
      <c r="G21918" s="26">
        <v>1.1999999999999999E-3</v>
      </c>
      <c r="I21918">
        <v>188</v>
      </c>
    </row>
    <row r="21919" spans="1:9" x14ac:dyDescent="0.35">
      <c r="A21919" t="s">
        <v>229</v>
      </c>
      <c r="B21919" t="s">
        <v>261</v>
      </c>
      <c r="C21919" s="26">
        <v>0.89449999999999996</v>
      </c>
      <c r="D21919" s="26">
        <v>3.7100000000000001E-2</v>
      </c>
      <c r="E21919" s="26">
        <v>6.8400000000000002E-2</v>
      </c>
      <c r="I21919">
        <v>96</v>
      </c>
    </row>
    <row r="21920" spans="1:9" x14ac:dyDescent="0.35">
      <c r="A21920" s="27" t="s">
        <v>229</v>
      </c>
      <c r="B21920" s="27" t="s">
        <v>236</v>
      </c>
      <c r="C21920" s="28">
        <v>1</v>
      </c>
      <c r="D21920" s="29"/>
      <c r="E21920" s="29"/>
      <c r="F21920" s="29"/>
      <c r="G21920" s="29"/>
      <c r="H21920" s="29"/>
      <c r="I21920" s="29" t="s">
        <v>331</v>
      </c>
    </row>
    <row r="21921" spans="1:9" x14ac:dyDescent="0.35">
      <c r="A21921" t="s">
        <v>229</v>
      </c>
      <c r="B21921" t="s">
        <v>260</v>
      </c>
      <c r="C21921" s="26">
        <v>0.94710000000000005</v>
      </c>
      <c r="D21921" s="26">
        <v>2.8000000000000001E-2</v>
      </c>
      <c r="E21921" s="26">
        <v>2.35E-2</v>
      </c>
      <c r="G21921" s="26">
        <v>1.1999999999999999E-3</v>
      </c>
      <c r="H21921" s="26">
        <v>2.0000000000000001E-4</v>
      </c>
      <c r="I21921">
        <v>596</v>
      </c>
    </row>
    <row r="21922" spans="1:9" x14ac:dyDescent="0.35">
      <c r="A21922" s="27" t="s">
        <v>230</v>
      </c>
      <c r="B21922" s="27" t="s">
        <v>236</v>
      </c>
      <c r="C21922" s="28">
        <v>0.88100000000000001</v>
      </c>
      <c r="D21922" s="29"/>
      <c r="E21922" s="28">
        <v>0.11899999999999999</v>
      </c>
      <c r="F21922" s="29"/>
      <c r="G21922" s="29"/>
      <c r="H21922" s="29"/>
      <c r="I21922" s="29" t="s">
        <v>337</v>
      </c>
    </row>
    <row r="21923" spans="1:9" x14ac:dyDescent="0.35">
      <c r="A21923" t="s">
        <v>230</v>
      </c>
      <c r="B21923" t="s">
        <v>262</v>
      </c>
      <c r="C21923" s="26">
        <v>0.96879999999999999</v>
      </c>
      <c r="D21923" s="26">
        <v>1.5599999999999999E-2</v>
      </c>
      <c r="E21923" s="26">
        <v>1.5599999999999999E-2</v>
      </c>
      <c r="I21923">
        <v>122</v>
      </c>
    </row>
    <row r="21924" spans="1:9" x14ac:dyDescent="0.35">
      <c r="A21924" t="s">
        <v>230</v>
      </c>
      <c r="B21924" t="s">
        <v>261</v>
      </c>
      <c r="C21924" s="26">
        <v>0.97989999999999999</v>
      </c>
      <c r="D21924" s="26">
        <v>2.01E-2</v>
      </c>
      <c r="I21924">
        <v>57</v>
      </c>
    </row>
    <row r="21925" spans="1:9" x14ac:dyDescent="0.35">
      <c r="A21925" s="27" t="s">
        <v>230</v>
      </c>
      <c r="B21925" s="27" t="s">
        <v>263</v>
      </c>
      <c r="C21925" s="28">
        <v>0.6139</v>
      </c>
      <c r="D21925" s="28">
        <v>0.3861</v>
      </c>
      <c r="E21925" s="29"/>
      <c r="F21925" s="29"/>
      <c r="G21925" s="29"/>
      <c r="H21925" s="29"/>
      <c r="I21925" s="29" t="s">
        <v>312</v>
      </c>
    </row>
    <row r="21926" spans="1:9" x14ac:dyDescent="0.35">
      <c r="A21926" t="s">
        <v>230</v>
      </c>
      <c r="B21926" t="s">
        <v>260</v>
      </c>
      <c r="C21926" s="26">
        <v>0.93059999999999998</v>
      </c>
      <c r="D21926" s="26">
        <v>3.6600000000000001E-2</v>
      </c>
      <c r="E21926" s="26">
        <v>3.2800000000000003E-2</v>
      </c>
      <c r="I21926">
        <v>352</v>
      </c>
    </row>
    <row r="21927" spans="1:9" x14ac:dyDescent="0.35">
      <c r="A21927" s="27" t="s">
        <v>231</v>
      </c>
      <c r="B21927" s="27" t="s">
        <v>263</v>
      </c>
      <c r="C21927" s="28">
        <v>1</v>
      </c>
      <c r="D21927" s="29"/>
      <c r="E21927" s="29"/>
      <c r="F21927" s="29"/>
      <c r="G21927" s="29"/>
      <c r="H21927" s="29"/>
      <c r="I21927" s="29" t="s">
        <v>314</v>
      </c>
    </row>
    <row r="21928" spans="1:9" x14ac:dyDescent="0.35">
      <c r="A21928" t="s">
        <v>231</v>
      </c>
      <c r="B21928" t="s">
        <v>260</v>
      </c>
      <c r="C21928" s="26">
        <v>0.9032</v>
      </c>
      <c r="D21928" s="26">
        <v>4.0300000000000002E-2</v>
      </c>
      <c r="E21928" s="26">
        <v>4.8399999999999999E-2</v>
      </c>
      <c r="F21928" s="26">
        <v>8.0999999999999996E-3</v>
      </c>
      <c r="I21928">
        <v>124</v>
      </c>
    </row>
    <row r="21929" spans="1:9" x14ac:dyDescent="0.35">
      <c r="A21929" s="27" t="s">
        <v>231</v>
      </c>
      <c r="B21929" s="27" t="s">
        <v>261</v>
      </c>
      <c r="C21929" s="28">
        <v>0.96299999999999997</v>
      </c>
      <c r="D21929" s="28">
        <v>3.6999999999999998E-2</v>
      </c>
      <c r="E21929" s="29"/>
      <c r="F21929" s="29"/>
      <c r="G21929" s="29"/>
      <c r="H21929" s="29"/>
      <c r="I21929" s="29" t="s">
        <v>338</v>
      </c>
    </row>
    <row r="21930" spans="1:9" x14ac:dyDescent="0.35">
      <c r="A21930" s="27" t="s">
        <v>231</v>
      </c>
      <c r="B21930" s="27" t="s">
        <v>262</v>
      </c>
      <c r="C21930" s="28">
        <v>1</v>
      </c>
      <c r="D21930" s="29"/>
      <c r="E21930" s="29"/>
      <c r="F21930" s="29"/>
      <c r="G21930" s="29"/>
      <c r="H21930" s="29"/>
      <c r="I21930" s="29" t="s">
        <v>352</v>
      </c>
    </row>
    <row r="21931" spans="1:9" x14ac:dyDescent="0.35">
      <c r="A21931" t="s">
        <v>232</v>
      </c>
      <c r="B21931" t="s">
        <v>232</v>
      </c>
      <c r="C21931" s="26">
        <v>0.93879999999999997</v>
      </c>
      <c r="D21931" s="26">
        <v>3.1399999999999997E-2</v>
      </c>
      <c r="E21931" s="26">
        <v>2.69E-2</v>
      </c>
      <c r="F21931" s="26">
        <v>2.3999999999999998E-3</v>
      </c>
      <c r="G21931" s="26">
        <v>4.0000000000000002E-4</v>
      </c>
      <c r="H21931" s="26">
        <v>0</v>
      </c>
      <c r="I21931">
        <v>2813</v>
      </c>
    </row>
    <row r="21933" spans="1:9" x14ac:dyDescent="0.35">
      <c r="A21933" s="1" t="s">
        <v>2118</v>
      </c>
    </row>
    <row r="21934" spans="1:9" x14ac:dyDescent="0.35">
      <c r="A21934" t="s">
        <v>219</v>
      </c>
      <c r="B21934" t="s">
        <v>305</v>
      </c>
      <c r="C21934" t="s">
        <v>2106</v>
      </c>
      <c r="D21934" t="s">
        <v>2107</v>
      </c>
      <c r="E21934" t="s">
        <v>2108</v>
      </c>
      <c r="F21934" t="s">
        <v>2109</v>
      </c>
      <c r="G21934" t="s">
        <v>286</v>
      </c>
      <c r="H21934" t="s">
        <v>281</v>
      </c>
      <c r="I21934" t="s">
        <v>226</v>
      </c>
    </row>
    <row r="21935" spans="1:9" x14ac:dyDescent="0.35">
      <c r="A21935" t="s">
        <v>227</v>
      </c>
      <c r="B21935" t="s">
        <v>368</v>
      </c>
      <c r="C21935" s="26">
        <v>0.90910000000000002</v>
      </c>
      <c r="D21935" s="26">
        <v>3.0300000000000001E-2</v>
      </c>
      <c r="E21935" s="26">
        <v>6.0600000000000001E-2</v>
      </c>
      <c r="I21935">
        <v>33</v>
      </c>
    </row>
    <row r="21936" spans="1:9" x14ac:dyDescent="0.35">
      <c r="A21936" t="s">
        <v>227</v>
      </c>
      <c r="B21936" t="s">
        <v>369</v>
      </c>
      <c r="C21936" s="26">
        <v>0.92969999999999997</v>
      </c>
      <c r="D21936" s="26">
        <v>5.4699999999999999E-2</v>
      </c>
      <c r="E21936" s="26">
        <v>1.5599999999999999E-2</v>
      </c>
      <c r="I21936">
        <v>128</v>
      </c>
    </row>
    <row r="21937" spans="1:9" x14ac:dyDescent="0.35">
      <c r="A21937" t="s">
        <v>228</v>
      </c>
      <c r="B21937" t="s">
        <v>368</v>
      </c>
      <c r="C21937" s="26">
        <v>0.93730000000000002</v>
      </c>
      <c r="D21937" s="26">
        <v>1.7999999999999999E-2</v>
      </c>
      <c r="E21937" s="26">
        <v>4.19E-2</v>
      </c>
      <c r="F21937" s="26">
        <v>2.8E-3</v>
      </c>
      <c r="I21937">
        <v>192</v>
      </c>
    </row>
    <row r="21938" spans="1:9" x14ac:dyDescent="0.35">
      <c r="A21938" t="s">
        <v>228</v>
      </c>
      <c r="B21938" t="s">
        <v>369</v>
      </c>
      <c r="C21938" s="26">
        <v>0.95950000000000002</v>
      </c>
      <c r="D21938" s="26">
        <v>2.1600000000000001E-2</v>
      </c>
      <c r="E21938" s="26">
        <v>1.43E-2</v>
      </c>
      <c r="F21938" s="26">
        <v>4.1000000000000003E-3</v>
      </c>
      <c r="G21938" s="26">
        <v>5.0000000000000001E-4</v>
      </c>
      <c r="I21938">
        <v>841</v>
      </c>
    </row>
    <row r="21939" spans="1:9" x14ac:dyDescent="0.35">
      <c r="A21939" t="s">
        <v>229</v>
      </c>
      <c r="B21939" t="s">
        <v>368</v>
      </c>
      <c r="C21939" s="26">
        <v>0.89449999999999996</v>
      </c>
      <c r="D21939" s="26">
        <v>3.7100000000000001E-2</v>
      </c>
      <c r="E21939" s="26">
        <v>6.8400000000000002E-2</v>
      </c>
      <c r="I21939">
        <v>96</v>
      </c>
    </row>
    <row r="21940" spans="1:9" x14ac:dyDescent="0.35">
      <c r="A21940" t="s">
        <v>229</v>
      </c>
      <c r="B21940" t="s">
        <v>369</v>
      </c>
      <c r="C21940" s="26">
        <v>0.96289999999999998</v>
      </c>
      <c r="D21940" s="26">
        <v>1.95E-2</v>
      </c>
      <c r="E21940" s="26">
        <v>1.6199999999999999E-2</v>
      </c>
      <c r="G21940" s="26">
        <v>1.1999999999999999E-3</v>
      </c>
      <c r="H21940" s="26">
        <v>1E-4</v>
      </c>
      <c r="I21940">
        <v>799</v>
      </c>
    </row>
    <row r="21941" spans="1:9" x14ac:dyDescent="0.35">
      <c r="A21941" t="s">
        <v>230</v>
      </c>
      <c r="B21941" t="s">
        <v>368</v>
      </c>
      <c r="C21941" s="26">
        <v>0.97989999999999999</v>
      </c>
      <c r="D21941" s="26">
        <v>2.01E-2</v>
      </c>
      <c r="I21941">
        <v>57</v>
      </c>
    </row>
    <row r="21942" spans="1:9" x14ac:dyDescent="0.35">
      <c r="A21942" t="s">
        <v>230</v>
      </c>
      <c r="B21942" t="s">
        <v>369</v>
      </c>
      <c r="C21942" s="26">
        <v>0.93089999999999995</v>
      </c>
      <c r="D21942" s="26">
        <v>3.9199999999999999E-2</v>
      </c>
      <c r="E21942" s="26">
        <v>2.9899999999999999E-2</v>
      </c>
      <c r="I21942">
        <v>503</v>
      </c>
    </row>
    <row r="21943" spans="1:9" x14ac:dyDescent="0.35">
      <c r="A21943" s="27" t="s">
        <v>231</v>
      </c>
      <c r="B21943" s="27" t="s">
        <v>368</v>
      </c>
      <c r="C21943" s="28">
        <v>0.96299999999999997</v>
      </c>
      <c r="D21943" s="28">
        <v>3.6999999999999998E-2</v>
      </c>
      <c r="E21943" s="29"/>
      <c r="F21943" s="29"/>
      <c r="G21943" s="29"/>
      <c r="H21943" s="29"/>
      <c r="I21943" s="29" t="s">
        <v>338</v>
      </c>
    </row>
    <row r="21944" spans="1:9" x14ac:dyDescent="0.35">
      <c r="A21944" t="s">
        <v>231</v>
      </c>
      <c r="B21944" t="s">
        <v>369</v>
      </c>
      <c r="C21944" s="26">
        <v>0.91239999999999999</v>
      </c>
      <c r="D21944" s="26">
        <v>3.6499999999999998E-2</v>
      </c>
      <c r="E21944" s="26">
        <v>4.3799999999999999E-2</v>
      </c>
      <c r="F21944" s="26">
        <v>7.3000000000000001E-3</v>
      </c>
      <c r="I21944">
        <v>137</v>
      </c>
    </row>
    <row r="21945" spans="1:9" x14ac:dyDescent="0.35">
      <c r="A21945" t="s">
        <v>232</v>
      </c>
      <c r="B21945" t="s">
        <v>232</v>
      </c>
      <c r="C21945" s="26">
        <v>0.93879999999999997</v>
      </c>
      <c r="D21945" s="26">
        <v>3.1399999999999997E-2</v>
      </c>
      <c r="E21945" s="26">
        <v>2.69E-2</v>
      </c>
      <c r="F21945" s="26">
        <v>2.3999999999999998E-3</v>
      </c>
      <c r="G21945" s="26">
        <v>4.0000000000000002E-4</v>
      </c>
      <c r="H21945" s="26">
        <v>0</v>
      </c>
      <c r="I21945">
        <v>2813</v>
      </c>
    </row>
    <row r="21947" spans="1:9" x14ac:dyDescent="0.35">
      <c r="A21947" s="1" t="s">
        <v>2119</v>
      </c>
    </row>
    <row r="21948" spans="1:9" x14ac:dyDescent="0.35">
      <c r="A21948" t="s">
        <v>219</v>
      </c>
      <c r="B21948" t="s">
        <v>305</v>
      </c>
      <c r="C21948" t="s">
        <v>2106</v>
      </c>
      <c r="D21948" t="s">
        <v>2107</v>
      </c>
      <c r="E21948" t="s">
        <v>2108</v>
      </c>
      <c r="F21948" t="s">
        <v>2109</v>
      </c>
      <c r="G21948" t="s">
        <v>286</v>
      </c>
      <c r="H21948" t="s">
        <v>281</v>
      </c>
      <c r="I21948" t="s">
        <v>226</v>
      </c>
    </row>
    <row r="21949" spans="1:9" x14ac:dyDescent="0.35">
      <c r="A21949" t="s">
        <v>227</v>
      </c>
      <c r="B21949" t="s">
        <v>371</v>
      </c>
      <c r="C21949" s="26">
        <v>0.92549999999999999</v>
      </c>
      <c r="D21949" s="26">
        <v>4.9700000000000001E-2</v>
      </c>
      <c r="E21949" s="26">
        <v>2.4799999999999999E-2</v>
      </c>
      <c r="I21949">
        <v>161</v>
      </c>
    </row>
    <row r="21950" spans="1:9" x14ac:dyDescent="0.35">
      <c r="A21950" t="s">
        <v>228</v>
      </c>
      <c r="B21950" t="s">
        <v>371</v>
      </c>
      <c r="C21950" s="26">
        <v>0.95950000000000002</v>
      </c>
      <c r="D21950" s="26">
        <v>1.8200000000000001E-2</v>
      </c>
      <c r="E21950" s="26">
        <v>1.5900000000000001E-2</v>
      </c>
      <c r="F21950" s="26">
        <v>6.4000000000000003E-3</v>
      </c>
      <c r="I21950">
        <v>292</v>
      </c>
    </row>
    <row r="21951" spans="1:9" x14ac:dyDescent="0.35">
      <c r="A21951" t="s">
        <v>228</v>
      </c>
      <c r="B21951" t="s">
        <v>372</v>
      </c>
      <c r="C21951" s="26">
        <v>0.86880000000000002</v>
      </c>
      <c r="D21951" s="26">
        <v>7.4499999999999997E-2</v>
      </c>
      <c r="E21951" s="26">
        <v>4.5400000000000003E-2</v>
      </c>
      <c r="F21951" s="26">
        <v>6.4000000000000003E-3</v>
      </c>
      <c r="G21951" s="26">
        <v>4.8999999999999998E-3</v>
      </c>
      <c r="I21951">
        <v>218</v>
      </c>
    </row>
    <row r="21952" spans="1:9" x14ac:dyDescent="0.35">
      <c r="A21952" t="s">
        <v>228</v>
      </c>
      <c r="B21952" t="s">
        <v>373</v>
      </c>
      <c r="C21952" s="26">
        <v>0.96819999999999995</v>
      </c>
      <c r="D21952" s="26">
        <v>1.2699999999999999E-2</v>
      </c>
      <c r="E21952" s="26">
        <v>1.9099999999999999E-2</v>
      </c>
      <c r="I21952">
        <v>523</v>
      </c>
    </row>
    <row r="21953" spans="1:9" x14ac:dyDescent="0.35">
      <c r="A21953" t="s">
        <v>229</v>
      </c>
      <c r="B21953" t="s">
        <v>371</v>
      </c>
      <c r="C21953" s="26">
        <v>0.95709999999999995</v>
      </c>
      <c r="D21953" s="26">
        <v>2.1399999999999999E-2</v>
      </c>
      <c r="E21953" s="26">
        <v>2.07E-2</v>
      </c>
      <c r="G21953" s="26">
        <v>6.9999999999999999E-4</v>
      </c>
      <c r="I21953">
        <v>584</v>
      </c>
    </row>
    <row r="21954" spans="1:9" x14ac:dyDescent="0.35">
      <c r="A21954" t="s">
        <v>229</v>
      </c>
      <c r="B21954" t="s">
        <v>372</v>
      </c>
      <c r="C21954" s="26">
        <v>0.89639999999999997</v>
      </c>
      <c r="D21954" s="26">
        <v>3.1099999999999999E-2</v>
      </c>
      <c r="E21954" s="26">
        <v>6.4000000000000001E-2</v>
      </c>
      <c r="G21954" s="26">
        <v>6.6E-3</v>
      </c>
      <c r="H21954" s="26">
        <v>1.9E-3</v>
      </c>
      <c r="I21954">
        <v>221</v>
      </c>
    </row>
    <row r="21955" spans="1:9" x14ac:dyDescent="0.35">
      <c r="A21955" t="s">
        <v>229</v>
      </c>
      <c r="B21955" t="s">
        <v>373</v>
      </c>
      <c r="C21955" s="26">
        <v>0.90739999999999998</v>
      </c>
      <c r="D21955" s="26">
        <v>3.1E-2</v>
      </c>
      <c r="E21955" s="26">
        <v>6.1600000000000002E-2</v>
      </c>
      <c r="I21955">
        <v>90</v>
      </c>
    </row>
    <row r="21956" spans="1:9" x14ac:dyDescent="0.35">
      <c r="A21956" t="s">
        <v>230</v>
      </c>
      <c r="B21956" t="s">
        <v>371</v>
      </c>
      <c r="C21956" s="26">
        <v>0.93589999999999995</v>
      </c>
      <c r="D21956" s="26">
        <v>3.6499999999999998E-2</v>
      </c>
      <c r="E21956" s="26">
        <v>2.76E-2</v>
      </c>
      <c r="I21956">
        <v>262</v>
      </c>
    </row>
    <row r="21957" spans="1:9" x14ac:dyDescent="0.35">
      <c r="A21957" t="s">
        <v>230</v>
      </c>
      <c r="B21957" t="s">
        <v>372</v>
      </c>
      <c r="C21957" s="26">
        <v>0.8911</v>
      </c>
      <c r="D21957" s="26">
        <v>7.9299999999999995E-2</v>
      </c>
      <c r="E21957" s="26">
        <v>2.9600000000000001E-2</v>
      </c>
      <c r="I21957">
        <v>146</v>
      </c>
    </row>
    <row r="21958" spans="1:9" x14ac:dyDescent="0.35">
      <c r="A21958" t="s">
        <v>230</v>
      </c>
      <c r="B21958" t="s">
        <v>373</v>
      </c>
      <c r="C21958" s="26">
        <v>0.96789999999999998</v>
      </c>
      <c r="D21958" s="26">
        <v>1.8200000000000001E-2</v>
      </c>
      <c r="E21958" s="26">
        <v>1.3899999999999999E-2</v>
      </c>
      <c r="I21958">
        <v>152</v>
      </c>
    </row>
    <row r="21959" spans="1:9" x14ac:dyDescent="0.35">
      <c r="A21959" t="s">
        <v>231</v>
      </c>
      <c r="B21959" t="s">
        <v>371</v>
      </c>
      <c r="C21959" s="26">
        <v>0.92069999999999996</v>
      </c>
      <c r="D21959" s="26">
        <v>3.6600000000000001E-2</v>
      </c>
      <c r="E21959" s="26">
        <v>3.6600000000000001E-2</v>
      </c>
      <c r="F21959" s="26">
        <v>6.1000000000000004E-3</v>
      </c>
      <c r="I21959">
        <v>164</v>
      </c>
    </row>
    <row r="21960" spans="1:9" x14ac:dyDescent="0.35">
      <c r="A21960" t="s">
        <v>232</v>
      </c>
      <c r="B21960" t="s">
        <v>232</v>
      </c>
      <c r="C21960" s="26">
        <v>0.93879999999999997</v>
      </c>
      <c r="D21960" s="26">
        <v>3.1399999999999997E-2</v>
      </c>
      <c r="E21960" s="26">
        <v>2.69E-2</v>
      </c>
      <c r="F21960" s="26">
        <v>2.3999999999999998E-3</v>
      </c>
      <c r="G21960" s="26">
        <v>4.0000000000000002E-4</v>
      </c>
      <c r="H21960" s="26">
        <v>0</v>
      </c>
      <c r="I21960">
        <v>2813</v>
      </c>
    </row>
    <row r="21962" spans="1:9" x14ac:dyDescent="0.35">
      <c r="A21962" s="1" t="s">
        <v>2120</v>
      </c>
    </row>
    <row r="21963" spans="1:9" x14ac:dyDescent="0.35">
      <c r="A21963" t="s">
        <v>219</v>
      </c>
      <c r="B21963" t="s">
        <v>305</v>
      </c>
      <c r="C21963" t="s">
        <v>2106</v>
      </c>
      <c r="D21963" t="s">
        <v>2107</v>
      </c>
      <c r="E21963" t="s">
        <v>2108</v>
      </c>
      <c r="F21963" t="s">
        <v>2109</v>
      </c>
      <c r="G21963" t="s">
        <v>286</v>
      </c>
      <c r="H21963" t="s">
        <v>281</v>
      </c>
      <c r="I21963" t="s">
        <v>226</v>
      </c>
    </row>
    <row r="21964" spans="1:9" x14ac:dyDescent="0.35">
      <c r="A21964" t="s">
        <v>227</v>
      </c>
      <c r="B21964" t="s">
        <v>255</v>
      </c>
      <c r="C21964" s="26">
        <v>0.91449999999999998</v>
      </c>
      <c r="D21964" s="26">
        <v>6.8400000000000002E-2</v>
      </c>
      <c r="E21964" s="26">
        <v>1.7100000000000001E-2</v>
      </c>
      <c r="I21964">
        <v>117</v>
      </c>
    </row>
    <row r="21965" spans="1:9" x14ac:dyDescent="0.35">
      <c r="A21965" s="27" t="s">
        <v>227</v>
      </c>
      <c r="B21965" s="27" t="s">
        <v>257</v>
      </c>
      <c r="C21965" s="28">
        <v>0.88890000000000002</v>
      </c>
      <c r="D21965" s="29"/>
      <c r="E21965" s="28">
        <v>0.1111</v>
      </c>
      <c r="F21965" s="29"/>
      <c r="G21965" s="29"/>
      <c r="H21965" s="29"/>
      <c r="I21965" s="29" t="s">
        <v>334</v>
      </c>
    </row>
    <row r="21966" spans="1:9" x14ac:dyDescent="0.35">
      <c r="A21966" t="s">
        <v>227</v>
      </c>
      <c r="B21966" t="s">
        <v>256</v>
      </c>
      <c r="C21966" s="26">
        <v>0.97140000000000004</v>
      </c>
      <c r="E21966" s="26">
        <v>2.86E-2</v>
      </c>
      <c r="I21966">
        <v>35</v>
      </c>
    </row>
    <row r="21967" spans="1:9" x14ac:dyDescent="0.35">
      <c r="A21967" t="s">
        <v>228</v>
      </c>
      <c r="B21967" t="s">
        <v>257</v>
      </c>
      <c r="C21967" s="26">
        <v>0.95079999999999998</v>
      </c>
      <c r="D21967" s="26">
        <v>3.3399999999999999E-2</v>
      </c>
      <c r="E21967" s="26">
        <v>1.5900000000000001E-2</v>
      </c>
      <c r="I21967">
        <v>49</v>
      </c>
    </row>
    <row r="21968" spans="1:9" x14ac:dyDescent="0.35">
      <c r="A21968" s="27" t="s">
        <v>228</v>
      </c>
      <c r="B21968" s="27" t="s">
        <v>258</v>
      </c>
      <c r="C21968" s="28">
        <v>1</v>
      </c>
      <c r="D21968" s="29"/>
      <c r="E21968" s="29"/>
      <c r="F21968" s="29"/>
      <c r="G21968" s="29"/>
      <c r="H21968" s="29"/>
      <c r="I21968" s="29" t="s">
        <v>337</v>
      </c>
    </row>
    <row r="21969" spans="1:9" x14ac:dyDescent="0.35">
      <c r="A21969" t="s">
        <v>228</v>
      </c>
      <c r="B21969" t="s">
        <v>256</v>
      </c>
      <c r="C21969" s="26">
        <v>0.97589999999999999</v>
      </c>
      <c r="D21969" s="26">
        <v>7.1999999999999998E-3</v>
      </c>
      <c r="E21969" s="26">
        <v>1.7000000000000001E-2</v>
      </c>
      <c r="I21969">
        <v>221</v>
      </c>
    </row>
    <row r="21970" spans="1:9" x14ac:dyDescent="0.35">
      <c r="A21970" t="s">
        <v>228</v>
      </c>
      <c r="B21970" t="s">
        <v>255</v>
      </c>
      <c r="C21970" s="26">
        <v>0.94799999999999995</v>
      </c>
      <c r="D21970" s="26">
        <v>2.4799999999999999E-2</v>
      </c>
      <c r="E21970" s="26">
        <v>2.1100000000000001E-2</v>
      </c>
      <c r="F21970" s="26">
        <v>5.4999999999999997E-3</v>
      </c>
      <c r="G21970" s="26">
        <v>5.9999999999999995E-4</v>
      </c>
      <c r="I21970">
        <v>759</v>
      </c>
    </row>
    <row r="21971" spans="1:9" x14ac:dyDescent="0.35">
      <c r="A21971" t="s">
        <v>229</v>
      </c>
      <c r="B21971" t="s">
        <v>256</v>
      </c>
      <c r="C21971" s="26">
        <v>0.98750000000000004</v>
      </c>
      <c r="D21971" s="26">
        <v>1.1299999999999999E-2</v>
      </c>
      <c r="E21971" s="26">
        <v>1.1999999999999999E-3</v>
      </c>
      <c r="I21971">
        <v>207</v>
      </c>
    </row>
    <row r="21972" spans="1:9" x14ac:dyDescent="0.35">
      <c r="A21972" t="s">
        <v>229</v>
      </c>
      <c r="B21972" t="s">
        <v>255</v>
      </c>
      <c r="C21972" s="26">
        <v>0.93479999999999996</v>
      </c>
      <c r="D21972" s="26">
        <v>2.8400000000000002E-2</v>
      </c>
      <c r="E21972" s="26">
        <v>3.5200000000000002E-2</v>
      </c>
      <c r="G21972" s="26">
        <v>1.5E-3</v>
      </c>
      <c r="H21972" s="26">
        <v>1E-4</v>
      </c>
      <c r="I21972">
        <v>636</v>
      </c>
    </row>
    <row r="21973" spans="1:9" x14ac:dyDescent="0.35">
      <c r="A21973" t="s">
        <v>229</v>
      </c>
      <c r="B21973" t="s">
        <v>257</v>
      </c>
      <c r="C21973" s="26">
        <v>1</v>
      </c>
      <c r="I21973">
        <v>50</v>
      </c>
    </row>
    <row r="21974" spans="1:9" x14ac:dyDescent="0.35">
      <c r="A21974" s="27" t="s">
        <v>229</v>
      </c>
      <c r="B21974" s="27" t="s">
        <v>258</v>
      </c>
      <c r="C21974" s="28">
        <v>1</v>
      </c>
      <c r="D21974" s="29"/>
      <c r="E21974" s="29"/>
      <c r="F21974" s="29"/>
      <c r="G21974" s="29"/>
      <c r="H21974" s="29"/>
      <c r="I21974" s="29" t="s">
        <v>314</v>
      </c>
    </row>
    <row r="21975" spans="1:9" x14ac:dyDescent="0.35">
      <c r="A21975" t="s">
        <v>230</v>
      </c>
      <c r="B21975" t="s">
        <v>256</v>
      </c>
      <c r="C21975" s="26">
        <v>0.8931</v>
      </c>
      <c r="D21975" s="26">
        <v>6.0900000000000003E-2</v>
      </c>
      <c r="E21975" s="26">
        <v>4.5999999999999999E-2</v>
      </c>
      <c r="I21975">
        <v>130</v>
      </c>
    </row>
    <row r="21976" spans="1:9" x14ac:dyDescent="0.35">
      <c r="A21976" t="s">
        <v>230</v>
      </c>
      <c r="B21976" t="s">
        <v>255</v>
      </c>
      <c r="C21976" s="26">
        <v>0.95230000000000004</v>
      </c>
      <c r="D21976" s="26">
        <v>2.93E-2</v>
      </c>
      <c r="E21976" s="26">
        <v>1.84E-2</v>
      </c>
      <c r="I21976">
        <v>389</v>
      </c>
    </row>
    <row r="21977" spans="1:9" x14ac:dyDescent="0.35">
      <c r="A21977" t="s">
        <v>230</v>
      </c>
      <c r="B21977" t="s">
        <v>257</v>
      </c>
      <c r="C21977" s="26">
        <v>0.95820000000000005</v>
      </c>
      <c r="D21977" s="26">
        <v>1.6400000000000001E-2</v>
      </c>
      <c r="E21977" s="26">
        <v>2.5399999999999999E-2</v>
      </c>
      <c r="I21977">
        <v>38</v>
      </c>
    </row>
    <row r="21978" spans="1:9" x14ac:dyDescent="0.35">
      <c r="A21978" s="27" t="s">
        <v>230</v>
      </c>
      <c r="B21978" s="27" t="s">
        <v>258</v>
      </c>
      <c r="C21978" s="28">
        <v>0.95830000000000004</v>
      </c>
      <c r="D21978" s="28">
        <v>4.1700000000000001E-2</v>
      </c>
      <c r="E21978" s="29"/>
      <c r="F21978" s="29"/>
      <c r="G21978" s="29"/>
      <c r="H21978" s="29"/>
      <c r="I21978" s="29" t="s">
        <v>315</v>
      </c>
    </row>
    <row r="21979" spans="1:9" x14ac:dyDescent="0.35">
      <c r="A21979" s="27" t="s">
        <v>231</v>
      </c>
      <c r="B21979" s="27" t="s">
        <v>257</v>
      </c>
      <c r="C21979" s="28">
        <v>1</v>
      </c>
      <c r="D21979" s="29"/>
      <c r="E21979" s="29"/>
      <c r="F21979" s="29"/>
      <c r="G21979" s="29"/>
      <c r="H21979" s="29"/>
      <c r="I21979" s="29" t="s">
        <v>339</v>
      </c>
    </row>
    <row r="21980" spans="1:9" x14ac:dyDescent="0.35">
      <c r="A21980" t="s">
        <v>231</v>
      </c>
      <c r="B21980" t="s">
        <v>255</v>
      </c>
      <c r="C21980" s="26">
        <v>0.90700000000000003</v>
      </c>
      <c r="D21980" s="26">
        <v>4.65E-2</v>
      </c>
      <c r="E21980" s="26">
        <v>3.8800000000000001E-2</v>
      </c>
      <c r="F21980" s="26">
        <v>7.7999999999999996E-3</v>
      </c>
      <c r="I21980">
        <v>129</v>
      </c>
    </row>
    <row r="21981" spans="1:9" x14ac:dyDescent="0.35">
      <c r="A21981" s="27" t="s">
        <v>231</v>
      </c>
      <c r="B21981" s="27" t="s">
        <v>256</v>
      </c>
      <c r="C21981" s="28">
        <v>0.96430000000000005</v>
      </c>
      <c r="D21981" s="29"/>
      <c r="E21981" s="28">
        <v>3.5700000000000003E-2</v>
      </c>
      <c r="F21981" s="29"/>
      <c r="G21981" s="29"/>
      <c r="H21981" s="29"/>
      <c r="I21981" s="29" t="s">
        <v>336</v>
      </c>
    </row>
    <row r="21982" spans="1:9" x14ac:dyDescent="0.35">
      <c r="A21982" t="s">
        <v>232</v>
      </c>
      <c r="B21982" t="s">
        <v>232</v>
      </c>
      <c r="C21982" s="26">
        <v>0.93879999999999997</v>
      </c>
      <c r="D21982" s="26">
        <v>3.1399999999999997E-2</v>
      </c>
      <c r="E21982" s="26">
        <v>2.69E-2</v>
      </c>
      <c r="F21982" s="26">
        <v>2.3999999999999998E-3</v>
      </c>
      <c r="G21982" s="26">
        <v>4.0000000000000002E-4</v>
      </c>
      <c r="H21982" s="26">
        <v>0</v>
      </c>
      <c r="I21982">
        <v>2813</v>
      </c>
    </row>
    <row r="21984" spans="1:9" x14ac:dyDescent="0.35">
      <c r="A21984" s="1" t="s">
        <v>2121</v>
      </c>
    </row>
    <row r="21985" spans="1:6" x14ac:dyDescent="0.35">
      <c r="A21985" t="s">
        <v>219</v>
      </c>
      <c r="B21985" t="s">
        <v>303</v>
      </c>
      <c r="C21985" t="s">
        <v>302</v>
      </c>
      <c r="D21985" t="s">
        <v>286</v>
      </c>
      <c r="E21985" t="s">
        <v>226</v>
      </c>
    </row>
    <row r="21986" spans="1:6" x14ac:dyDescent="0.35">
      <c r="A21986" t="s">
        <v>227</v>
      </c>
      <c r="B21986" s="26">
        <v>1</v>
      </c>
      <c r="E21986">
        <v>161</v>
      </c>
    </row>
    <row r="21987" spans="1:6" x14ac:dyDescent="0.35">
      <c r="A21987" t="s">
        <v>228</v>
      </c>
      <c r="B21987" s="26">
        <v>0.99319999999999997</v>
      </c>
      <c r="C21987" s="26">
        <v>6.4000000000000003E-3</v>
      </c>
      <c r="D21987" s="26">
        <v>4.0000000000000002E-4</v>
      </c>
      <c r="E21987">
        <v>1033</v>
      </c>
    </row>
    <row r="21988" spans="1:6" x14ac:dyDescent="0.35">
      <c r="A21988" t="s">
        <v>229</v>
      </c>
      <c r="B21988" s="26">
        <v>0.99890000000000001</v>
      </c>
      <c r="C21988" s="26">
        <v>1E-4</v>
      </c>
      <c r="D21988" s="26">
        <v>1E-3</v>
      </c>
      <c r="E21988">
        <v>895</v>
      </c>
    </row>
    <row r="21989" spans="1:6" x14ac:dyDescent="0.35">
      <c r="A21989" t="s">
        <v>230</v>
      </c>
      <c r="B21989" s="26">
        <v>1</v>
      </c>
      <c r="E21989">
        <v>560</v>
      </c>
    </row>
    <row r="21990" spans="1:6" x14ac:dyDescent="0.35">
      <c r="A21990" t="s">
        <v>231</v>
      </c>
      <c r="B21990" s="26">
        <v>0.99390000000000001</v>
      </c>
      <c r="C21990" s="26">
        <v>6.1000000000000004E-3</v>
      </c>
      <c r="E21990">
        <v>164</v>
      </c>
    </row>
    <row r="21991" spans="1:6" x14ac:dyDescent="0.35">
      <c r="A21991" t="s">
        <v>232</v>
      </c>
      <c r="B21991" s="26">
        <v>0.99670000000000003</v>
      </c>
      <c r="C21991" s="26">
        <v>2.8999999999999998E-3</v>
      </c>
      <c r="D21991" s="26">
        <v>4.0000000000000002E-4</v>
      </c>
      <c r="E21991">
        <v>2813</v>
      </c>
    </row>
    <row r="21993" spans="1:6" x14ac:dyDescent="0.35">
      <c r="A21993" s="1" t="s">
        <v>2122</v>
      </c>
    </row>
    <row r="21994" spans="1:6" x14ac:dyDescent="0.35">
      <c r="A21994" t="s">
        <v>219</v>
      </c>
      <c r="B21994" t="s">
        <v>305</v>
      </c>
      <c r="C21994" t="s">
        <v>303</v>
      </c>
      <c r="D21994" t="s">
        <v>302</v>
      </c>
      <c r="E21994" t="s">
        <v>286</v>
      </c>
      <c r="F21994" t="s">
        <v>226</v>
      </c>
    </row>
    <row r="21995" spans="1:6" x14ac:dyDescent="0.35">
      <c r="A21995" t="s">
        <v>227</v>
      </c>
      <c r="B21995" t="s">
        <v>242</v>
      </c>
      <c r="C21995" s="26">
        <v>1</v>
      </c>
      <c r="F21995">
        <v>68</v>
      </c>
    </row>
    <row r="21996" spans="1:6" x14ac:dyDescent="0.35">
      <c r="A21996" t="s">
        <v>227</v>
      </c>
      <c r="B21996" t="s">
        <v>241</v>
      </c>
      <c r="C21996" s="26">
        <v>1</v>
      </c>
      <c r="F21996">
        <v>93</v>
      </c>
    </row>
    <row r="21997" spans="1:6" x14ac:dyDescent="0.35">
      <c r="A21997" t="s">
        <v>228</v>
      </c>
      <c r="B21997" t="s">
        <v>242</v>
      </c>
      <c r="C21997" s="26">
        <v>0.98770000000000002</v>
      </c>
      <c r="D21997" s="26">
        <v>1.23E-2</v>
      </c>
      <c r="F21997">
        <v>402</v>
      </c>
    </row>
    <row r="21998" spans="1:6" x14ac:dyDescent="0.35">
      <c r="A21998" t="s">
        <v>228</v>
      </c>
      <c r="B21998" t="s">
        <v>241</v>
      </c>
      <c r="C21998" s="26">
        <v>0.99629999999999996</v>
      </c>
      <c r="D21998" s="26">
        <v>3.0000000000000001E-3</v>
      </c>
      <c r="E21998" s="26">
        <v>5.9999999999999995E-4</v>
      </c>
      <c r="F21998">
        <v>631</v>
      </c>
    </row>
    <row r="21999" spans="1:6" x14ac:dyDescent="0.35">
      <c r="A21999" t="s">
        <v>229</v>
      </c>
      <c r="B21999" t="s">
        <v>242</v>
      </c>
      <c r="C21999" s="26">
        <v>1</v>
      </c>
      <c r="F21999">
        <v>292</v>
      </c>
    </row>
    <row r="22000" spans="1:6" x14ac:dyDescent="0.35">
      <c r="A22000" t="s">
        <v>229</v>
      </c>
      <c r="B22000" t="s">
        <v>241</v>
      </c>
      <c r="C22000" s="26">
        <v>0.99819999999999998</v>
      </c>
      <c r="D22000" s="26">
        <v>2.0000000000000001E-4</v>
      </c>
      <c r="E22000" s="26">
        <v>1.6000000000000001E-3</v>
      </c>
      <c r="F22000">
        <v>603</v>
      </c>
    </row>
    <row r="22001" spans="1:6" x14ac:dyDescent="0.35">
      <c r="A22001" t="s">
        <v>230</v>
      </c>
      <c r="B22001" t="s">
        <v>242</v>
      </c>
      <c r="C22001" s="26">
        <v>1</v>
      </c>
      <c r="F22001">
        <v>189</v>
      </c>
    </row>
    <row r="22002" spans="1:6" x14ac:dyDescent="0.35">
      <c r="A22002" t="s">
        <v>230</v>
      </c>
      <c r="B22002" t="s">
        <v>241</v>
      </c>
      <c r="C22002" s="26">
        <v>1</v>
      </c>
      <c r="F22002">
        <v>371</v>
      </c>
    </row>
    <row r="22003" spans="1:6" x14ac:dyDescent="0.35">
      <c r="A22003" t="s">
        <v>231</v>
      </c>
      <c r="B22003" t="s">
        <v>242</v>
      </c>
      <c r="C22003" s="26">
        <v>0.98150000000000004</v>
      </c>
      <c r="D22003" s="26">
        <v>1.8499999999999999E-2</v>
      </c>
      <c r="F22003">
        <v>54</v>
      </c>
    </row>
    <row r="22004" spans="1:6" x14ac:dyDescent="0.35">
      <c r="A22004" t="s">
        <v>231</v>
      </c>
      <c r="B22004" t="s">
        <v>241</v>
      </c>
      <c r="C22004" s="26">
        <v>1</v>
      </c>
      <c r="F22004">
        <v>110</v>
      </c>
    </row>
    <row r="22005" spans="1:6" x14ac:dyDescent="0.35">
      <c r="A22005" t="s">
        <v>232</v>
      </c>
      <c r="B22005" t="s">
        <v>232</v>
      </c>
      <c r="C22005" s="26">
        <v>0.99670000000000003</v>
      </c>
      <c r="D22005" s="26">
        <v>2.8999999999999998E-3</v>
      </c>
      <c r="E22005" s="26">
        <v>4.0000000000000002E-4</v>
      </c>
      <c r="F22005">
        <v>2813</v>
      </c>
    </row>
    <row r="22007" spans="1:6" x14ac:dyDescent="0.35">
      <c r="A22007" s="1" t="s">
        <v>2123</v>
      </c>
    </row>
    <row r="22008" spans="1:6" x14ac:dyDescent="0.35">
      <c r="A22008" t="s">
        <v>219</v>
      </c>
      <c r="B22008" t="s">
        <v>305</v>
      </c>
      <c r="C22008" t="s">
        <v>303</v>
      </c>
      <c r="D22008" t="s">
        <v>302</v>
      </c>
      <c r="E22008" t="s">
        <v>286</v>
      </c>
      <c r="F22008" t="s">
        <v>226</v>
      </c>
    </row>
    <row r="22009" spans="1:6" x14ac:dyDescent="0.35">
      <c r="A22009" t="s">
        <v>227</v>
      </c>
      <c r="B22009" t="s">
        <v>239</v>
      </c>
      <c r="C22009" s="26">
        <v>1</v>
      </c>
      <c r="F22009">
        <v>62</v>
      </c>
    </row>
    <row r="22010" spans="1:6" x14ac:dyDescent="0.35">
      <c r="A22010" t="s">
        <v>227</v>
      </c>
      <c r="B22010" t="s">
        <v>238</v>
      </c>
      <c r="C22010" s="26">
        <v>1</v>
      </c>
      <c r="F22010">
        <v>99</v>
      </c>
    </row>
    <row r="22011" spans="1:6" x14ac:dyDescent="0.35">
      <c r="A22011" t="s">
        <v>228</v>
      </c>
      <c r="B22011" t="s">
        <v>239</v>
      </c>
      <c r="C22011" s="26">
        <v>0.99680000000000002</v>
      </c>
      <c r="D22011" s="26">
        <v>3.2000000000000002E-3</v>
      </c>
      <c r="F22011">
        <v>330</v>
      </c>
    </row>
    <row r="22012" spans="1:6" x14ac:dyDescent="0.35">
      <c r="A22012" t="s">
        <v>228</v>
      </c>
      <c r="B22012" t="s">
        <v>238</v>
      </c>
      <c r="C22012" s="26">
        <v>0.99219999999999997</v>
      </c>
      <c r="D22012" s="26">
        <v>7.1999999999999998E-3</v>
      </c>
      <c r="E22012" s="26">
        <v>5.0000000000000001E-4</v>
      </c>
      <c r="F22012">
        <v>703</v>
      </c>
    </row>
    <row r="22013" spans="1:6" x14ac:dyDescent="0.35">
      <c r="A22013" t="s">
        <v>229</v>
      </c>
      <c r="B22013" t="s">
        <v>239</v>
      </c>
      <c r="C22013" s="26">
        <v>0.99739999999999995</v>
      </c>
      <c r="E22013" s="26">
        <v>2.5999999999999999E-3</v>
      </c>
      <c r="F22013">
        <v>332</v>
      </c>
    </row>
    <row r="22014" spans="1:6" x14ac:dyDescent="0.35">
      <c r="A22014" t="s">
        <v>229</v>
      </c>
      <c r="B22014" t="s">
        <v>238</v>
      </c>
      <c r="C22014" s="26">
        <v>0.99939999999999996</v>
      </c>
      <c r="D22014" s="26">
        <v>1E-4</v>
      </c>
      <c r="E22014" s="26">
        <v>4.0000000000000002E-4</v>
      </c>
      <c r="F22014">
        <v>563</v>
      </c>
    </row>
    <row r="22015" spans="1:6" x14ac:dyDescent="0.35">
      <c r="A22015" t="s">
        <v>230</v>
      </c>
      <c r="B22015" t="s">
        <v>239</v>
      </c>
      <c r="C22015" s="26">
        <v>1</v>
      </c>
      <c r="F22015">
        <v>211</v>
      </c>
    </row>
    <row r="22016" spans="1:6" x14ac:dyDescent="0.35">
      <c r="A22016" t="s">
        <v>230</v>
      </c>
      <c r="B22016" t="s">
        <v>238</v>
      </c>
      <c r="C22016" s="26">
        <v>1</v>
      </c>
      <c r="F22016">
        <v>349</v>
      </c>
    </row>
    <row r="22017" spans="1:6" x14ac:dyDescent="0.35">
      <c r="A22017" t="s">
        <v>231</v>
      </c>
      <c r="B22017" t="s">
        <v>239</v>
      </c>
      <c r="C22017" s="26">
        <v>0.98250000000000004</v>
      </c>
      <c r="D22017" s="26">
        <v>1.7500000000000002E-2</v>
      </c>
      <c r="F22017">
        <v>57</v>
      </c>
    </row>
    <row r="22018" spans="1:6" x14ac:dyDescent="0.35">
      <c r="A22018" t="s">
        <v>231</v>
      </c>
      <c r="B22018" t="s">
        <v>238</v>
      </c>
      <c r="C22018" s="26">
        <v>1</v>
      </c>
      <c r="F22018">
        <v>107</v>
      </c>
    </row>
    <row r="22019" spans="1:6" x14ac:dyDescent="0.35">
      <c r="A22019" t="s">
        <v>232</v>
      </c>
      <c r="B22019" t="s">
        <v>232</v>
      </c>
      <c r="C22019" s="26">
        <v>0.99670000000000003</v>
      </c>
      <c r="D22019" s="26">
        <v>2.8999999999999998E-3</v>
      </c>
      <c r="E22019" s="26">
        <v>4.0000000000000002E-4</v>
      </c>
      <c r="F22019">
        <v>2813</v>
      </c>
    </row>
    <row r="22021" spans="1:6" x14ac:dyDescent="0.35">
      <c r="A22021" s="1" t="s">
        <v>2124</v>
      </c>
    </row>
    <row r="22022" spans="1:6" x14ac:dyDescent="0.35">
      <c r="A22022" t="s">
        <v>219</v>
      </c>
      <c r="B22022" t="s">
        <v>305</v>
      </c>
      <c r="C22022" t="s">
        <v>303</v>
      </c>
      <c r="D22022" t="s">
        <v>302</v>
      </c>
      <c r="E22022" t="s">
        <v>286</v>
      </c>
      <c r="F22022" t="s">
        <v>226</v>
      </c>
    </row>
    <row r="22023" spans="1:6" x14ac:dyDescent="0.35">
      <c r="A22023" t="s">
        <v>227</v>
      </c>
      <c r="B22023" t="s">
        <v>244</v>
      </c>
      <c r="C22023" s="26">
        <v>1</v>
      </c>
      <c r="F22023">
        <v>96</v>
      </c>
    </row>
    <row r="22024" spans="1:6" x14ac:dyDescent="0.35">
      <c r="A22024" t="s">
        <v>227</v>
      </c>
      <c r="B22024" t="s">
        <v>245</v>
      </c>
      <c r="C22024" s="26">
        <v>1</v>
      </c>
      <c r="F22024">
        <v>53</v>
      </c>
    </row>
    <row r="22025" spans="1:6" x14ac:dyDescent="0.35">
      <c r="A22025" s="27" t="s">
        <v>227</v>
      </c>
      <c r="B22025" s="27" t="s">
        <v>246</v>
      </c>
      <c r="C22025" s="28">
        <v>1</v>
      </c>
      <c r="D22025" s="29"/>
      <c r="E22025" s="29"/>
      <c r="F22025" s="29" t="s">
        <v>342</v>
      </c>
    </row>
    <row r="22026" spans="1:6" x14ac:dyDescent="0.35">
      <c r="A22026" t="s">
        <v>228</v>
      </c>
      <c r="B22026" t="s">
        <v>244</v>
      </c>
      <c r="C22026" s="26">
        <v>0.99160000000000004</v>
      </c>
      <c r="D22026" s="26">
        <v>7.7999999999999996E-3</v>
      </c>
      <c r="E22026" s="26">
        <v>5.9999999999999995E-4</v>
      </c>
      <c r="F22026">
        <v>638</v>
      </c>
    </row>
    <row r="22027" spans="1:6" x14ac:dyDescent="0.35">
      <c r="A22027" t="s">
        <v>228</v>
      </c>
      <c r="B22027" t="s">
        <v>245</v>
      </c>
      <c r="C22027" s="26">
        <v>0.99529999999999996</v>
      </c>
      <c r="D22027" s="26">
        <v>4.7000000000000002E-3</v>
      </c>
      <c r="F22027">
        <v>328</v>
      </c>
    </row>
    <row r="22028" spans="1:6" x14ac:dyDescent="0.35">
      <c r="A22028" t="s">
        <v>228</v>
      </c>
      <c r="B22028" t="s">
        <v>246</v>
      </c>
      <c r="C22028" s="26">
        <v>1</v>
      </c>
      <c r="F22028">
        <v>67</v>
      </c>
    </row>
    <row r="22029" spans="1:6" x14ac:dyDescent="0.35">
      <c r="A22029" t="s">
        <v>229</v>
      </c>
      <c r="B22029" t="s">
        <v>244</v>
      </c>
      <c r="C22029" s="26">
        <v>0.99839999999999995</v>
      </c>
      <c r="D22029" s="26">
        <v>1E-4</v>
      </c>
      <c r="E22029" s="26">
        <v>1.4E-3</v>
      </c>
      <c r="F22029">
        <v>557</v>
      </c>
    </row>
    <row r="22030" spans="1:6" x14ac:dyDescent="0.35">
      <c r="A22030" t="s">
        <v>229</v>
      </c>
      <c r="B22030" t="s">
        <v>245</v>
      </c>
      <c r="C22030" s="26">
        <v>1</v>
      </c>
      <c r="F22030">
        <v>293</v>
      </c>
    </row>
    <row r="22031" spans="1:6" x14ac:dyDescent="0.35">
      <c r="A22031" t="s">
        <v>229</v>
      </c>
      <c r="B22031" t="s">
        <v>246</v>
      </c>
      <c r="C22031" s="26">
        <v>1</v>
      </c>
      <c r="F22031">
        <v>45</v>
      </c>
    </row>
    <row r="22032" spans="1:6" x14ac:dyDescent="0.35">
      <c r="A22032" t="s">
        <v>230</v>
      </c>
      <c r="B22032" t="s">
        <v>244</v>
      </c>
      <c r="C22032" s="26">
        <v>1</v>
      </c>
      <c r="F22032">
        <v>370</v>
      </c>
    </row>
    <row r="22033" spans="1:6" x14ac:dyDescent="0.35">
      <c r="A22033" t="s">
        <v>230</v>
      </c>
      <c r="B22033" t="s">
        <v>245</v>
      </c>
      <c r="C22033" s="26">
        <v>1</v>
      </c>
      <c r="F22033">
        <v>161</v>
      </c>
    </row>
    <row r="22034" spans="1:6" x14ac:dyDescent="0.35">
      <c r="A22034" s="27" t="s">
        <v>230</v>
      </c>
      <c r="B22034" s="27" t="s">
        <v>246</v>
      </c>
      <c r="C22034" s="28">
        <v>1</v>
      </c>
      <c r="D22034" s="29"/>
      <c r="E22034" s="29"/>
      <c r="F22034" s="29" t="s">
        <v>329</v>
      </c>
    </row>
    <row r="22035" spans="1:6" x14ac:dyDescent="0.35">
      <c r="A22035" t="s">
        <v>231</v>
      </c>
      <c r="B22035" t="s">
        <v>244</v>
      </c>
      <c r="C22035" s="26">
        <v>0.98950000000000005</v>
      </c>
      <c r="D22035" s="26">
        <v>1.0500000000000001E-2</v>
      </c>
      <c r="F22035">
        <v>95</v>
      </c>
    </row>
    <row r="22036" spans="1:6" x14ac:dyDescent="0.35">
      <c r="A22036" t="s">
        <v>231</v>
      </c>
      <c r="B22036" t="s">
        <v>245</v>
      </c>
      <c r="C22036" s="26">
        <v>1</v>
      </c>
      <c r="F22036">
        <v>56</v>
      </c>
    </row>
    <row r="22037" spans="1:6" x14ac:dyDescent="0.35">
      <c r="A22037" s="27" t="s">
        <v>231</v>
      </c>
      <c r="B22037" s="27" t="s">
        <v>246</v>
      </c>
      <c r="C22037" s="28">
        <v>1</v>
      </c>
      <c r="D22037" s="29"/>
      <c r="E22037" s="29"/>
      <c r="F22037" s="29" t="s">
        <v>341</v>
      </c>
    </row>
    <row r="22038" spans="1:6" x14ac:dyDescent="0.35">
      <c r="A22038" t="s">
        <v>232</v>
      </c>
      <c r="B22038" t="s">
        <v>232</v>
      </c>
      <c r="C22038" s="26">
        <v>0.99670000000000003</v>
      </c>
      <c r="D22038" s="26">
        <v>2.8999999999999998E-3</v>
      </c>
      <c r="E22038" s="26">
        <v>4.0000000000000002E-4</v>
      </c>
      <c r="F22038">
        <v>2813</v>
      </c>
    </row>
    <row r="22040" spans="1:6" x14ac:dyDescent="0.35">
      <c r="A22040" s="1" t="s">
        <v>2125</v>
      </c>
    </row>
    <row r="22041" spans="1:6" x14ac:dyDescent="0.35">
      <c r="A22041" t="s">
        <v>219</v>
      </c>
      <c r="B22041" t="s">
        <v>305</v>
      </c>
      <c r="C22041" t="s">
        <v>303</v>
      </c>
      <c r="D22041" t="s">
        <v>302</v>
      </c>
      <c r="E22041" t="s">
        <v>286</v>
      </c>
      <c r="F22041" t="s">
        <v>226</v>
      </c>
    </row>
    <row r="22042" spans="1:6" x14ac:dyDescent="0.35">
      <c r="A22042" t="s">
        <v>227</v>
      </c>
      <c r="B22042" t="s">
        <v>360</v>
      </c>
      <c r="C22042" s="26">
        <v>1</v>
      </c>
      <c r="F22042">
        <v>39</v>
      </c>
    </row>
    <row r="22043" spans="1:6" x14ac:dyDescent="0.35">
      <c r="A22043" t="s">
        <v>227</v>
      </c>
      <c r="B22043" t="s">
        <v>361</v>
      </c>
      <c r="C22043" s="26">
        <v>1</v>
      </c>
      <c r="F22043">
        <v>32</v>
      </c>
    </row>
    <row r="22044" spans="1:6" x14ac:dyDescent="0.35">
      <c r="A22044" t="s">
        <v>227</v>
      </c>
      <c r="B22044" t="s">
        <v>362</v>
      </c>
      <c r="C22044" s="26">
        <v>1</v>
      </c>
      <c r="F22044">
        <v>37</v>
      </c>
    </row>
    <row r="22045" spans="1:6" x14ac:dyDescent="0.35">
      <c r="A22045" t="s">
        <v>227</v>
      </c>
      <c r="B22045" t="s">
        <v>363</v>
      </c>
      <c r="C22045" s="26">
        <v>1</v>
      </c>
      <c r="F22045">
        <v>45</v>
      </c>
    </row>
    <row r="22046" spans="1:6" x14ac:dyDescent="0.35">
      <c r="A22046" t="s">
        <v>228</v>
      </c>
      <c r="B22046" t="s">
        <v>360</v>
      </c>
      <c r="C22046" s="26">
        <v>0.99419999999999997</v>
      </c>
      <c r="D22046" s="26">
        <v>5.7999999999999996E-3</v>
      </c>
      <c r="F22046">
        <v>258</v>
      </c>
    </row>
    <row r="22047" spans="1:6" x14ac:dyDescent="0.35">
      <c r="A22047" t="s">
        <v>228</v>
      </c>
      <c r="B22047" t="s">
        <v>361</v>
      </c>
      <c r="C22047" s="26">
        <v>1</v>
      </c>
      <c r="F22047">
        <v>194</v>
      </c>
    </row>
    <row r="22048" spans="1:6" x14ac:dyDescent="0.35">
      <c r="A22048" t="s">
        <v>228</v>
      </c>
      <c r="B22048" t="s">
        <v>363</v>
      </c>
      <c r="C22048" s="26">
        <v>0.99339999999999995</v>
      </c>
      <c r="D22048" s="26">
        <v>6.6E-3</v>
      </c>
      <c r="F22048">
        <v>212</v>
      </c>
    </row>
    <row r="22049" spans="1:6" x14ac:dyDescent="0.35">
      <c r="A22049" t="s">
        <v>228</v>
      </c>
      <c r="B22049" t="s">
        <v>362</v>
      </c>
      <c r="C22049" s="26">
        <v>0.98570000000000002</v>
      </c>
      <c r="D22049" s="26">
        <v>1.43E-2</v>
      </c>
      <c r="F22049">
        <v>236</v>
      </c>
    </row>
    <row r="22050" spans="1:6" x14ac:dyDescent="0.35">
      <c r="A22050" t="s">
        <v>229</v>
      </c>
      <c r="B22050" t="s">
        <v>363</v>
      </c>
      <c r="C22050" s="26">
        <v>1</v>
      </c>
      <c r="F22050">
        <v>191</v>
      </c>
    </row>
    <row r="22051" spans="1:6" x14ac:dyDescent="0.35">
      <c r="A22051" t="s">
        <v>229</v>
      </c>
      <c r="B22051" t="s">
        <v>360</v>
      </c>
      <c r="C22051" s="26">
        <v>0.99509999999999998</v>
      </c>
      <c r="D22051" s="26">
        <v>5.9999999999999995E-4</v>
      </c>
      <c r="E22051" s="26">
        <v>4.3E-3</v>
      </c>
      <c r="F22051">
        <v>164</v>
      </c>
    </row>
    <row r="22052" spans="1:6" x14ac:dyDescent="0.35">
      <c r="A22052" t="s">
        <v>229</v>
      </c>
      <c r="B22052" t="s">
        <v>361</v>
      </c>
      <c r="C22052" s="26">
        <v>1</v>
      </c>
      <c r="F22052">
        <v>243</v>
      </c>
    </row>
    <row r="22053" spans="1:6" x14ac:dyDescent="0.35">
      <c r="A22053" t="s">
        <v>229</v>
      </c>
      <c r="B22053" t="s">
        <v>362</v>
      </c>
      <c r="C22053" s="26">
        <v>1</v>
      </c>
      <c r="F22053">
        <v>171</v>
      </c>
    </row>
    <row r="22054" spans="1:6" x14ac:dyDescent="0.35">
      <c r="A22054" t="s">
        <v>230</v>
      </c>
      <c r="B22054" t="s">
        <v>360</v>
      </c>
      <c r="C22054" s="26">
        <v>1</v>
      </c>
      <c r="F22054">
        <v>120</v>
      </c>
    </row>
    <row r="22055" spans="1:6" x14ac:dyDescent="0.35">
      <c r="A22055" t="s">
        <v>230</v>
      </c>
      <c r="B22055" t="s">
        <v>363</v>
      </c>
      <c r="C22055" s="26">
        <v>1</v>
      </c>
      <c r="F22055">
        <v>127</v>
      </c>
    </row>
    <row r="22056" spans="1:6" x14ac:dyDescent="0.35">
      <c r="A22056" t="s">
        <v>230</v>
      </c>
      <c r="B22056" t="s">
        <v>361</v>
      </c>
      <c r="C22056" s="26">
        <v>1</v>
      </c>
      <c r="F22056">
        <v>109</v>
      </c>
    </row>
    <row r="22057" spans="1:6" x14ac:dyDescent="0.35">
      <c r="A22057" t="s">
        <v>230</v>
      </c>
      <c r="B22057" t="s">
        <v>362</v>
      </c>
      <c r="C22057" s="26">
        <v>1</v>
      </c>
      <c r="F22057">
        <v>148</v>
      </c>
    </row>
    <row r="22058" spans="1:6" x14ac:dyDescent="0.35">
      <c r="A22058" s="27" t="s">
        <v>231</v>
      </c>
      <c r="B22058" s="27" t="s">
        <v>362</v>
      </c>
      <c r="C22058" s="28">
        <v>0.96550000000000002</v>
      </c>
      <c r="D22058" s="28">
        <v>3.4500000000000003E-2</v>
      </c>
      <c r="E22058" s="29"/>
      <c r="F22058" s="29" t="s">
        <v>329</v>
      </c>
    </row>
    <row r="22059" spans="1:6" x14ac:dyDescent="0.35">
      <c r="A22059" t="s">
        <v>231</v>
      </c>
      <c r="B22059" t="s">
        <v>361</v>
      </c>
      <c r="C22059" s="26">
        <v>1</v>
      </c>
      <c r="F22059">
        <v>50</v>
      </c>
    </row>
    <row r="22060" spans="1:6" x14ac:dyDescent="0.35">
      <c r="A22060" t="s">
        <v>231</v>
      </c>
      <c r="B22060" t="s">
        <v>360</v>
      </c>
      <c r="C22060" s="26">
        <v>1</v>
      </c>
      <c r="F22060">
        <v>44</v>
      </c>
    </row>
    <row r="22061" spans="1:6" x14ac:dyDescent="0.35">
      <c r="A22061" s="27" t="s">
        <v>231</v>
      </c>
      <c r="B22061" s="27" t="s">
        <v>363</v>
      </c>
      <c r="C22061" s="28">
        <v>1</v>
      </c>
      <c r="D22061" s="29"/>
      <c r="E22061" s="29"/>
      <c r="F22061" s="29" t="s">
        <v>338</v>
      </c>
    </row>
    <row r="22062" spans="1:6" x14ac:dyDescent="0.35">
      <c r="A22062" t="s">
        <v>232</v>
      </c>
      <c r="B22062" t="s">
        <v>232</v>
      </c>
      <c r="C22062" s="26">
        <v>0.99670000000000003</v>
      </c>
      <c r="D22062" s="26">
        <v>2.8999999999999998E-3</v>
      </c>
      <c r="E22062" s="26">
        <v>4.0000000000000002E-4</v>
      </c>
      <c r="F22062">
        <v>2476</v>
      </c>
    </row>
    <row r="22064" spans="1:6" x14ac:dyDescent="0.35">
      <c r="A22064" s="1" t="s">
        <v>2126</v>
      </c>
    </row>
    <row r="22065" spans="1:6" x14ac:dyDescent="0.35">
      <c r="A22065" t="s">
        <v>219</v>
      </c>
      <c r="B22065" t="s">
        <v>305</v>
      </c>
      <c r="C22065" t="s">
        <v>303</v>
      </c>
      <c r="D22065" t="s">
        <v>302</v>
      </c>
      <c r="E22065" t="s">
        <v>286</v>
      </c>
      <c r="F22065" t="s">
        <v>226</v>
      </c>
    </row>
    <row r="22066" spans="1:6" x14ac:dyDescent="0.35">
      <c r="A22066" t="s">
        <v>227</v>
      </c>
      <c r="B22066" t="s">
        <v>267</v>
      </c>
      <c r="C22066" s="26">
        <v>1</v>
      </c>
      <c r="F22066">
        <v>36</v>
      </c>
    </row>
    <row r="22067" spans="1:6" x14ac:dyDescent="0.35">
      <c r="A22067" t="s">
        <v>227</v>
      </c>
      <c r="B22067" t="s">
        <v>266</v>
      </c>
      <c r="C22067" s="26">
        <v>1</v>
      </c>
      <c r="F22067">
        <v>59</v>
      </c>
    </row>
    <row r="22068" spans="1:6" x14ac:dyDescent="0.35">
      <c r="A22068" t="s">
        <v>227</v>
      </c>
      <c r="B22068" t="s">
        <v>265</v>
      </c>
      <c r="C22068" s="26">
        <v>1</v>
      </c>
      <c r="F22068">
        <v>66</v>
      </c>
    </row>
    <row r="22069" spans="1:6" x14ac:dyDescent="0.35">
      <c r="A22069" t="s">
        <v>228</v>
      </c>
      <c r="B22069" t="s">
        <v>267</v>
      </c>
      <c r="C22069" s="26">
        <v>0.96889999999999998</v>
      </c>
      <c r="D22069" s="26">
        <v>3.1099999999999999E-2</v>
      </c>
      <c r="F22069">
        <v>199</v>
      </c>
    </row>
    <row r="22070" spans="1:6" x14ac:dyDescent="0.35">
      <c r="A22070" t="s">
        <v>228</v>
      </c>
      <c r="B22070" t="s">
        <v>265</v>
      </c>
      <c r="C22070" s="26">
        <v>0.999</v>
      </c>
      <c r="E22070" s="26">
        <v>1E-3</v>
      </c>
      <c r="F22070">
        <v>384</v>
      </c>
    </row>
    <row r="22071" spans="1:6" x14ac:dyDescent="0.35">
      <c r="A22071" s="27" t="s">
        <v>228</v>
      </c>
      <c r="B22071" s="27" t="s">
        <v>236</v>
      </c>
      <c r="C22071" s="28">
        <v>1</v>
      </c>
      <c r="D22071" s="29"/>
      <c r="E22071" s="29"/>
      <c r="F22071" s="29" t="s">
        <v>314</v>
      </c>
    </row>
    <row r="22072" spans="1:6" x14ac:dyDescent="0.35">
      <c r="A22072" t="s">
        <v>228</v>
      </c>
      <c r="B22072" t="s">
        <v>266</v>
      </c>
      <c r="C22072" s="26">
        <v>0.99719999999999998</v>
      </c>
      <c r="D22072" s="26">
        <v>2.8E-3</v>
      </c>
      <c r="F22072">
        <v>448</v>
      </c>
    </row>
    <row r="22073" spans="1:6" x14ac:dyDescent="0.35">
      <c r="A22073" t="s">
        <v>229</v>
      </c>
      <c r="B22073" t="s">
        <v>266</v>
      </c>
      <c r="C22073" s="26">
        <v>1</v>
      </c>
      <c r="F22073">
        <v>359</v>
      </c>
    </row>
    <row r="22074" spans="1:6" x14ac:dyDescent="0.35">
      <c r="A22074" t="s">
        <v>229</v>
      </c>
      <c r="B22074" t="s">
        <v>267</v>
      </c>
      <c r="C22074" s="26">
        <v>1</v>
      </c>
      <c r="F22074">
        <v>201</v>
      </c>
    </row>
    <row r="22075" spans="1:6" x14ac:dyDescent="0.35">
      <c r="A22075" t="s">
        <v>229</v>
      </c>
      <c r="B22075" t="s">
        <v>265</v>
      </c>
      <c r="C22075" s="26">
        <v>0.99760000000000004</v>
      </c>
      <c r="D22075" s="26">
        <v>2.0000000000000001E-4</v>
      </c>
      <c r="E22075" s="26">
        <v>2.2000000000000001E-3</v>
      </c>
      <c r="F22075">
        <v>335</v>
      </c>
    </row>
    <row r="22076" spans="1:6" x14ac:dyDescent="0.35">
      <c r="A22076" t="s">
        <v>230</v>
      </c>
      <c r="B22076" t="s">
        <v>267</v>
      </c>
      <c r="C22076" s="26">
        <v>1</v>
      </c>
      <c r="F22076">
        <v>119</v>
      </c>
    </row>
    <row r="22077" spans="1:6" x14ac:dyDescent="0.35">
      <c r="A22077" t="s">
        <v>230</v>
      </c>
      <c r="B22077" t="s">
        <v>266</v>
      </c>
      <c r="C22077" s="26">
        <v>1</v>
      </c>
      <c r="F22077">
        <v>232</v>
      </c>
    </row>
    <row r="22078" spans="1:6" x14ac:dyDescent="0.35">
      <c r="A22078" t="s">
        <v>230</v>
      </c>
      <c r="B22078" t="s">
        <v>265</v>
      </c>
      <c r="C22078" s="26">
        <v>1</v>
      </c>
      <c r="F22078">
        <v>209</v>
      </c>
    </row>
    <row r="22079" spans="1:6" x14ac:dyDescent="0.35">
      <c r="A22079" t="s">
        <v>231</v>
      </c>
      <c r="B22079" t="s">
        <v>267</v>
      </c>
      <c r="C22079" s="26">
        <v>1</v>
      </c>
      <c r="F22079">
        <v>34</v>
      </c>
    </row>
    <row r="22080" spans="1:6" x14ac:dyDescent="0.35">
      <c r="A22080" t="s">
        <v>231</v>
      </c>
      <c r="B22080" t="s">
        <v>266</v>
      </c>
      <c r="C22080" s="26">
        <v>1</v>
      </c>
      <c r="F22080">
        <v>62</v>
      </c>
    </row>
    <row r="22081" spans="1:6" x14ac:dyDescent="0.35">
      <c r="A22081" t="s">
        <v>231</v>
      </c>
      <c r="B22081" t="s">
        <v>265</v>
      </c>
      <c r="C22081" s="26">
        <v>0.98529999999999995</v>
      </c>
      <c r="D22081" s="26">
        <v>1.47E-2</v>
      </c>
      <c r="F22081">
        <v>68</v>
      </c>
    </row>
    <row r="22082" spans="1:6" x14ac:dyDescent="0.35">
      <c r="A22082" t="s">
        <v>232</v>
      </c>
      <c r="B22082" t="s">
        <v>232</v>
      </c>
      <c r="C22082" s="26">
        <v>0.99670000000000003</v>
      </c>
      <c r="D22082" s="26">
        <v>2.8999999999999998E-3</v>
      </c>
      <c r="E22082" s="26">
        <v>4.0000000000000002E-4</v>
      </c>
      <c r="F22082">
        <v>2813</v>
      </c>
    </row>
    <row r="22084" spans="1:6" x14ac:dyDescent="0.35">
      <c r="A22084" s="1" t="s">
        <v>2127</v>
      </c>
    </row>
    <row r="22085" spans="1:6" x14ac:dyDescent="0.35">
      <c r="A22085" t="s">
        <v>219</v>
      </c>
      <c r="B22085" t="s">
        <v>305</v>
      </c>
      <c r="C22085" t="s">
        <v>303</v>
      </c>
      <c r="D22085" t="s">
        <v>302</v>
      </c>
      <c r="E22085" t="s">
        <v>286</v>
      </c>
      <c r="F22085" t="s">
        <v>226</v>
      </c>
    </row>
    <row r="22086" spans="1:6" x14ac:dyDescent="0.35">
      <c r="A22086" t="s">
        <v>227</v>
      </c>
      <c r="B22086" t="s">
        <v>252</v>
      </c>
      <c r="C22086" s="26">
        <v>1</v>
      </c>
      <c r="F22086">
        <v>45</v>
      </c>
    </row>
    <row r="22087" spans="1:6" x14ac:dyDescent="0.35">
      <c r="A22087" t="s">
        <v>227</v>
      </c>
      <c r="B22087" t="s">
        <v>253</v>
      </c>
      <c r="C22087" s="26">
        <v>1</v>
      </c>
      <c r="F22087">
        <v>34</v>
      </c>
    </row>
    <row r="22088" spans="1:6" x14ac:dyDescent="0.35">
      <c r="A22088" t="s">
        <v>227</v>
      </c>
      <c r="B22088" t="s">
        <v>251</v>
      </c>
      <c r="C22088" s="26">
        <v>1</v>
      </c>
      <c r="F22088">
        <v>82</v>
      </c>
    </row>
    <row r="22089" spans="1:6" x14ac:dyDescent="0.35">
      <c r="A22089" t="s">
        <v>228</v>
      </c>
      <c r="B22089" t="s">
        <v>252</v>
      </c>
      <c r="C22089" s="26">
        <v>0.99509999999999998</v>
      </c>
      <c r="D22089" s="26">
        <v>3.5999999999999999E-3</v>
      </c>
      <c r="E22089" s="26">
        <v>1.2999999999999999E-3</v>
      </c>
      <c r="F22089">
        <v>344</v>
      </c>
    </row>
    <row r="22090" spans="1:6" x14ac:dyDescent="0.35">
      <c r="A22090" t="s">
        <v>228</v>
      </c>
      <c r="B22090" t="s">
        <v>253</v>
      </c>
      <c r="C22090" s="26">
        <v>0.97809999999999997</v>
      </c>
      <c r="D22090" s="26">
        <v>2.1899999999999999E-2</v>
      </c>
      <c r="F22090">
        <v>222</v>
      </c>
    </row>
    <row r="22091" spans="1:6" x14ac:dyDescent="0.35">
      <c r="A22091" t="s">
        <v>228</v>
      </c>
      <c r="B22091" t="s">
        <v>251</v>
      </c>
      <c r="C22091" s="26">
        <v>0.99839999999999995</v>
      </c>
      <c r="D22091" s="26">
        <v>1.6000000000000001E-3</v>
      </c>
      <c r="F22091">
        <v>467</v>
      </c>
    </row>
    <row r="22092" spans="1:6" x14ac:dyDescent="0.35">
      <c r="A22092" t="s">
        <v>229</v>
      </c>
      <c r="B22092" t="s">
        <v>252</v>
      </c>
      <c r="C22092" s="26">
        <v>0.99960000000000004</v>
      </c>
      <c r="D22092" s="26">
        <v>4.0000000000000002E-4</v>
      </c>
      <c r="F22092">
        <v>199</v>
      </c>
    </row>
    <row r="22093" spans="1:6" x14ac:dyDescent="0.35">
      <c r="A22093" t="s">
        <v>229</v>
      </c>
      <c r="B22093" t="s">
        <v>253</v>
      </c>
      <c r="C22093" s="26">
        <v>0.99650000000000005</v>
      </c>
      <c r="E22093" s="26">
        <v>3.5000000000000001E-3</v>
      </c>
      <c r="F22093">
        <v>145</v>
      </c>
    </row>
    <row r="22094" spans="1:6" x14ac:dyDescent="0.35">
      <c r="A22094" t="s">
        <v>229</v>
      </c>
      <c r="B22094" t="s">
        <v>251</v>
      </c>
      <c r="C22094" s="26">
        <v>0.99939999999999996</v>
      </c>
      <c r="E22094" s="26">
        <v>5.9999999999999995E-4</v>
      </c>
      <c r="F22094">
        <v>551</v>
      </c>
    </row>
    <row r="22095" spans="1:6" x14ac:dyDescent="0.35">
      <c r="A22095" t="s">
        <v>230</v>
      </c>
      <c r="B22095" t="s">
        <v>252</v>
      </c>
      <c r="C22095" s="26">
        <v>1</v>
      </c>
      <c r="F22095">
        <v>159</v>
      </c>
    </row>
    <row r="22096" spans="1:6" x14ac:dyDescent="0.35">
      <c r="A22096" t="s">
        <v>230</v>
      </c>
      <c r="B22096" t="s">
        <v>253</v>
      </c>
      <c r="C22096" s="26">
        <v>1</v>
      </c>
      <c r="F22096">
        <v>110</v>
      </c>
    </row>
    <row r="22097" spans="1:6" x14ac:dyDescent="0.35">
      <c r="A22097" t="s">
        <v>230</v>
      </c>
      <c r="B22097" t="s">
        <v>251</v>
      </c>
      <c r="C22097" s="26">
        <v>1</v>
      </c>
      <c r="F22097">
        <v>291</v>
      </c>
    </row>
    <row r="22098" spans="1:6" x14ac:dyDescent="0.35">
      <c r="A22098" t="s">
        <v>231</v>
      </c>
      <c r="B22098" t="s">
        <v>252</v>
      </c>
      <c r="C22098" s="26">
        <v>0.97960000000000003</v>
      </c>
      <c r="D22098" s="26">
        <v>2.0400000000000001E-2</v>
      </c>
      <c r="F22098">
        <v>49</v>
      </c>
    </row>
    <row r="22099" spans="1:6" x14ac:dyDescent="0.35">
      <c r="A22099" t="s">
        <v>231</v>
      </c>
      <c r="B22099" t="s">
        <v>253</v>
      </c>
      <c r="C22099" s="26">
        <v>1</v>
      </c>
      <c r="F22099">
        <v>30</v>
      </c>
    </row>
    <row r="22100" spans="1:6" x14ac:dyDescent="0.35">
      <c r="A22100" t="s">
        <v>231</v>
      </c>
      <c r="B22100" t="s">
        <v>251</v>
      </c>
      <c r="C22100" s="26">
        <v>1</v>
      </c>
      <c r="F22100">
        <v>85</v>
      </c>
    </row>
    <row r="22101" spans="1:6" x14ac:dyDescent="0.35">
      <c r="A22101" t="s">
        <v>232</v>
      </c>
      <c r="B22101" t="s">
        <v>232</v>
      </c>
      <c r="C22101" s="26">
        <v>0.99670000000000003</v>
      </c>
      <c r="D22101" s="26">
        <v>2.8999999999999998E-3</v>
      </c>
      <c r="E22101" s="26">
        <v>4.0000000000000002E-4</v>
      </c>
      <c r="F22101">
        <v>2813</v>
      </c>
    </row>
    <row r="22103" spans="1:6" x14ac:dyDescent="0.35">
      <c r="A22103" s="1" t="s">
        <v>2128</v>
      </c>
    </row>
    <row r="22104" spans="1:6" x14ac:dyDescent="0.35">
      <c r="A22104" t="s">
        <v>219</v>
      </c>
      <c r="B22104" t="s">
        <v>305</v>
      </c>
      <c r="C22104" t="s">
        <v>303</v>
      </c>
      <c r="D22104" t="s">
        <v>302</v>
      </c>
      <c r="E22104" t="s">
        <v>286</v>
      </c>
      <c r="F22104" t="s">
        <v>226</v>
      </c>
    </row>
    <row r="22105" spans="1:6" x14ac:dyDescent="0.35">
      <c r="A22105" t="s">
        <v>227</v>
      </c>
      <c r="B22105" t="s">
        <v>249</v>
      </c>
      <c r="C22105" s="26">
        <v>1</v>
      </c>
      <c r="F22105">
        <v>44</v>
      </c>
    </row>
    <row r="22106" spans="1:6" x14ac:dyDescent="0.35">
      <c r="A22106" t="s">
        <v>227</v>
      </c>
      <c r="B22106" t="s">
        <v>248</v>
      </c>
      <c r="C22106" s="26">
        <v>1</v>
      </c>
      <c r="F22106">
        <v>117</v>
      </c>
    </row>
    <row r="22107" spans="1:6" x14ac:dyDescent="0.35">
      <c r="A22107" t="s">
        <v>228</v>
      </c>
      <c r="B22107" t="s">
        <v>249</v>
      </c>
      <c r="C22107" s="26">
        <v>1</v>
      </c>
      <c r="F22107">
        <v>274</v>
      </c>
    </row>
    <row r="22108" spans="1:6" x14ac:dyDescent="0.35">
      <c r="A22108" t="s">
        <v>228</v>
      </c>
      <c r="B22108" t="s">
        <v>248</v>
      </c>
      <c r="C22108" s="26">
        <v>0.99029999999999996</v>
      </c>
      <c r="D22108" s="26">
        <v>9.1000000000000004E-3</v>
      </c>
      <c r="E22108" s="26">
        <v>5.9999999999999995E-4</v>
      </c>
      <c r="F22108">
        <v>759</v>
      </c>
    </row>
    <row r="22109" spans="1:6" x14ac:dyDescent="0.35">
      <c r="A22109" t="s">
        <v>229</v>
      </c>
      <c r="B22109" t="s">
        <v>249</v>
      </c>
      <c r="C22109" s="26">
        <v>1</v>
      </c>
      <c r="F22109">
        <v>259</v>
      </c>
    </row>
    <row r="22110" spans="1:6" x14ac:dyDescent="0.35">
      <c r="A22110" t="s">
        <v>229</v>
      </c>
      <c r="B22110" t="s">
        <v>248</v>
      </c>
      <c r="C22110" s="26">
        <v>0.99839999999999995</v>
      </c>
      <c r="D22110" s="26">
        <v>1E-4</v>
      </c>
      <c r="E22110" s="26">
        <v>1.5E-3</v>
      </c>
      <c r="F22110">
        <v>636</v>
      </c>
    </row>
    <row r="22111" spans="1:6" x14ac:dyDescent="0.35">
      <c r="A22111" t="s">
        <v>230</v>
      </c>
      <c r="B22111" t="s">
        <v>249</v>
      </c>
      <c r="C22111" s="26">
        <v>1</v>
      </c>
      <c r="F22111">
        <v>171</v>
      </c>
    </row>
    <row r="22112" spans="1:6" x14ac:dyDescent="0.35">
      <c r="A22112" t="s">
        <v>230</v>
      </c>
      <c r="B22112" t="s">
        <v>248</v>
      </c>
      <c r="C22112" s="26">
        <v>1</v>
      </c>
      <c r="F22112">
        <v>389</v>
      </c>
    </row>
    <row r="22113" spans="1:6" x14ac:dyDescent="0.35">
      <c r="A22113" t="s">
        <v>231</v>
      </c>
      <c r="B22113" t="s">
        <v>249</v>
      </c>
      <c r="C22113" s="26">
        <v>1</v>
      </c>
      <c r="F22113">
        <v>35</v>
      </c>
    </row>
    <row r="22114" spans="1:6" x14ac:dyDescent="0.35">
      <c r="A22114" t="s">
        <v>231</v>
      </c>
      <c r="B22114" t="s">
        <v>248</v>
      </c>
      <c r="C22114" s="26">
        <v>0.99219999999999997</v>
      </c>
      <c r="D22114" s="26">
        <v>7.7999999999999996E-3</v>
      </c>
      <c r="F22114">
        <v>129</v>
      </c>
    </row>
    <row r="22115" spans="1:6" x14ac:dyDescent="0.35">
      <c r="A22115" t="s">
        <v>232</v>
      </c>
      <c r="B22115" t="s">
        <v>232</v>
      </c>
      <c r="C22115" s="26">
        <v>0.99670000000000003</v>
      </c>
      <c r="D22115" s="26">
        <v>2.8999999999999998E-3</v>
      </c>
      <c r="E22115" s="26">
        <v>4.0000000000000002E-4</v>
      </c>
      <c r="F22115">
        <v>2813</v>
      </c>
    </row>
    <row r="22117" spans="1:6" x14ac:dyDescent="0.35">
      <c r="A22117" s="1" t="s">
        <v>2129</v>
      </c>
    </row>
    <row r="22118" spans="1:6" x14ac:dyDescent="0.35">
      <c r="A22118" t="s">
        <v>219</v>
      </c>
      <c r="B22118" t="s">
        <v>305</v>
      </c>
      <c r="C22118" t="s">
        <v>303</v>
      </c>
      <c r="D22118" t="s">
        <v>302</v>
      </c>
      <c r="E22118" t="s">
        <v>286</v>
      </c>
      <c r="F22118" t="s">
        <v>226</v>
      </c>
    </row>
    <row r="22119" spans="1:6" x14ac:dyDescent="0.35">
      <c r="A22119" s="27" t="s">
        <v>227</v>
      </c>
      <c r="B22119" s="27" t="s">
        <v>263</v>
      </c>
      <c r="C22119" s="28">
        <v>1</v>
      </c>
      <c r="D22119" s="29"/>
      <c r="E22119" s="29"/>
      <c r="F22119" s="29" t="s">
        <v>315</v>
      </c>
    </row>
    <row r="22120" spans="1:6" x14ac:dyDescent="0.35">
      <c r="A22120" t="s">
        <v>227</v>
      </c>
      <c r="B22120" t="s">
        <v>261</v>
      </c>
      <c r="C22120" s="26">
        <v>1</v>
      </c>
      <c r="F22120">
        <v>33</v>
      </c>
    </row>
    <row r="22121" spans="1:6" x14ac:dyDescent="0.35">
      <c r="A22121" s="27" t="s">
        <v>227</v>
      </c>
      <c r="B22121" s="27" t="s">
        <v>262</v>
      </c>
      <c r="C22121" s="28">
        <v>1</v>
      </c>
      <c r="D22121" s="29"/>
      <c r="E22121" s="29"/>
      <c r="F22121" s="29" t="s">
        <v>315</v>
      </c>
    </row>
    <row r="22122" spans="1:6" x14ac:dyDescent="0.35">
      <c r="A22122" t="s">
        <v>227</v>
      </c>
      <c r="B22122" t="s">
        <v>260</v>
      </c>
      <c r="C22122" s="26">
        <v>1</v>
      </c>
      <c r="F22122">
        <v>122</v>
      </c>
    </row>
    <row r="22123" spans="1:6" x14ac:dyDescent="0.35">
      <c r="A22123" t="s">
        <v>228</v>
      </c>
      <c r="B22123" t="s">
        <v>261</v>
      </c>
      <c r="C22123" s="26">
        <v>0.99790000000000001</v>
      </c>
      <c r="D22123" s="26">
        <v>2.0999999999999999E-3</v>
      </c>
      <c r="F22123">
        <v>192</v>
      </c>
    </row>
    <row r="22124" spans="1:6" x14ac:dyDescent="0.35">
      <c r="A22124" s="27" t="s">
        <v>228</v>
      </c>
      <c r="B22124" s="27" t="s">
        <v>263</v>
      </c>
      <c r="C22124" s="28">
        <v>1</v>
      </c>
      <c r="D22124" s="29"/>
      <c r="E22124" s="29"/>
      <c r="F22124" s="29" t="s">
        <v>312</v>
      </c>
    </row>
    <row r="22125" spans="1:6" x14ac:dyDescent="0.35">
      <c r="A22125" s="27" t="s">
        <v>228</v>
      </c>
      <c r="B22125" s="27" t="s">
        <v>236</v>
      </c>
      <c r="C22125" s="28">
        <v>1</v>
      </c>
      <c r="D22125" s="29"/>
      <c r="E22125" s="29"/>
      <c r="F22125" s="29" t="s">
        <v>335</v>
      </c>
    </row>
    <row r="22126" spans="1:6" x14ac:dyDescent="0.35">
      <c r="A22126" t="s">
        <v>228</v>
      </c>
      <c r="B22126" t="s">
        <v>262</v>
      </c>
      <c r="C22126" s="26">
        <v>0.99050000000000005</v>
      </c>
      <c r="D22126" s="26">
        <v>7.0000000000000001E-3</v>
      </c>
      <c r="E22126" s="26">
        <v>2.5000000000000001E-3</v>
      </c>
      <c r="F22126">
        <v>201</v>
      </c>
    </row>
    <row r="22127" spans="1:6" x14ac:dyDescent="0.35">
      <c r="A22127" t="s">
        <v>228</v>
      </c>
      <c r="B22127" t="s">
        <v>260</v>
      </c>
      <c r="C22127" s="26">
        <v>0.99219999999999997</v>
      </c>
      <c r="D22127" s="26">
        <v>7.7999999999999996E-3</v>
      </c>
      <c r="F22127">
        <v>609</v>
      </c>
    </row>
    <row r="22128" spans="1:6" x14ac:dyDescent="0.35">
      <c r="A22128" s="27" t="s">
        <v>229</v>
      </c>
      <c r="B22128" s="27" t="s">
        <v>263</v>
      </c>
      <c r="C22128" s="28">
        <v>1</v>
      </c>
      <c r="D22128" s="29"/>
      <c r="E22128" s="29"/>
      <c r="F22128" s="29" t="s">
        <v>379</v>
      </c>
    </row>
    <row r="22129" spans="1:6" x14ac:dyDescent="0.35">
      <c r="A22129" t="s">
        <v>229</v>
      </c>
      <c r="B22129" t="s">
        <v>262</v>
      </c>
      <c r="C22129" s="26">
        <v>0.99880000000000002</v>
      </c>
      <c r="E22129" s="26">
        <v>1.1999999999999999E-3</v>
      </c>
      <c r="F22129">
        <v>188</v>
      </c>
    </row>
    <row r="22130" spans="1:6" x14ac:dyDescent="0.35">
      <c r="A22130" t="s">
        <v>229</v>
      </c>
      <c r="B22130" t="s">
        <v>261</v>
      </c>
      <c r="C22130" s="26">
        <v>1</v>
      </c>
      <c r="F22130">
        <v>96</v>
      </c>
    </row>
    <row r="22131" spans="1:6" x14ac:dyDescent="0.35">
      <c r="A22131" s="27" t="s">
        <v>229</v>
      </c>
      <c r="B22131" s="27" t="s">
        <v>236</v>
      </c>
      <c r="C22131" s="28">
        <v>1</v>
      </c>
      <c r="D22131" s="29"/>
      <c r="E22131" s="29"/>
      <c r="F22131" s="29" t="s">
        <v>331</v>
      </c>
    </row>
    <row r="22132" spans="1:6" x14ac:dyDescent="0.35">
      <c r="A22132" t="s">
        <v>229</v>
      </c>
      <c r="B22132" t="s">
        <v>260</v>
      </c>
      <c r="C22132" s="26">
        <v>0.99860000000000004</v>
      </c>
      <c r="D22132" s="26">
        <v>2.0000000000000001E-4</v>
      </c>
      <c r="E22132" s="26">
        <v>1.1999999999999999E-3</v>
      </c>
      <c r="F22132">
        <v>596</v>
      </c>
    </row>
    <row r="22133" spans="1:6" x14ac:dyDescent="0.35">
      <c r="A22133" s="27" t="s">
        <v>230</v>
      </c>
      <c r="B22133" s="27" t="s">
        <v>236</v>
      </c>
      <c r="C22133" s="28">
        <v>1</v>
      </c>
      <c r="D22133" s="29"/>
      <c r="E22133" s="29"/>
      <c r="F22133" s="29" t="s">
        <v>337</v>
      </c>
    </row>
    <row r="22134" spans="1:6" x14ac:dyDescent="0.35">
      <c r="A22134" t="s">
        <v>230</v>
      </c>
      <c r="B22134" t="s">
        <v>262</v>
      </c>
      <c r="C22134" s="26">
        <v>1</v>
      </c>
      <c r="F22134">
        <v>122</v>
      </c>
    </row>
    <row r="22135" spans="1:6" x14ac:dyDescent="0.35">
      <c r="A22135" t="s">
        <v>230</v>
      </c>
      <c r="B22135" t="s">
        <v>261</v>
      </c>
      <c r="C22135" s="26">
        <v>1</v>
      </c>
      <c r="F22135">
        <v>57</v>
      </c>
    </row>
    <row r="22136" spans="1:6" x14ac:dyDescent="0.35">
      <c r="A22136" s="27" t="s">
        <v>230</v>
      </c>
      <c r="B22136" s="27" t="s">
        <v>263</v>
      </c>
      <c r="C22136" s="28">
        <v>1</v>
      </c>
      <c r="D22136" s="29"/>
      <c r="E22136" s="29"/>
      <c r="F22136" s="29" t="s">
        <v>312</v>
      </c>
    </row>
    <row r="22137" spans="1:6" x14ac:dyDescent="0.35">
      <c r="A22137" t="s">
        <v>230</v>
      </c>
      <c r="B22137" t="s">
        <v>260</v>
      </c>
      <c r="C22137" s="26">
        <v>1</v>
      </c>
      <c r="F22137">
        <v>352</v>
      </c>
    </row>
    <row r="22138" spans="1:6" x14ac:dyDescent="0.35">
      <c r="A22138" s="27" t="s">
        <v>231</v>
      </c>
      <c r="B22138" s="27" t="s">
        <v>263</v>
      </c>
      <c r="C22138" s="28">
        <v>1</v>
      </c>
      <c r="D22138" s="29"/>
      <c r="E22138" s="29"/>
      <c r="F22138" s="29" t="s">
        <v>314</v>
      </c>
    </row>
    <row r="22139" spans="1:6" x14ac:dyDescent="0.35">
      <c r="A22139" t="s">
        <v>231</v>
      </c>
      <c r="B22139" t="s">
        <v>260</v>
      </c>
      <c r="C22139" s="26">
        <v>0.9919</v>
      </c>
      <c r="D22139" s="26">
        <v>8.0999999999999996E-3</v>
      </c>
      <c r="F22139">
        <v>124</v>
      </c>
    </row>
    <row r="22140" spans="1:6" x14ac:dyDescent="0.35">
      <c r="A22140" s="27" t="s">
        <v>231</v>
      </c>
      <c r="B22140" s="27" t="s">
        <v>261</v>
      </c>
      <c r="C22140" s="28">
        <v>1</v>
      </c>
      <c r="D22140" s="29"/>
      <c r="E22140" s="29"/>
      <c r="F22140" s="29" t="s">
        <v>338</v>
      </c>
    </row>
    <row r="22141" spans="1:6" x14ac:dyDescent="0.35">
      <c r="A22141" s="27" t="s">
        <v>231</v>
      </c>
      <c r="B22141" s="27" t="s">
        <v>262</v>
      </c>
      <c r="C22141" s="28">
        <v>1</v>
      </c>
      <c r="D22141" s="29"/>
      <c r="E22141" s="29"/>
      <c r="F22141" s="29" t="s">
        <v>352</v>
      </c>
    </row>
    <row r="22142" spans="1:6" x14ac:dyDescent="0.35">
      <c r="A22142" t="s">
        <v>232</v>
      </c>
      <c r="B22142" t="s">
        <v>232</v>
      </c>
      <c r="C22142" s="26">
        <v>0.99670000000000003</v>
      </c>
      <c r="D22142" s="26">
        <v>2.8999999999999998E-3</v>
      </c>
      <c r="E22142" s="26">
        <v>4.0000000000000002E-4</v>
      </c>
      <c r="F22142">
        <v>2813</v>
      </c>
    </row>
    <row r="22144" spans="1:6" x14ac:dyDescent="0.35">
      <c r="A22144" s="1" t="s">
        <v>2130</v>
      </c>
    </row>
    <row r="22145" spans="1:6" x14ac:dyDescent="0.35">
      <c r="A22145" t="s">
        <v>219</v>
      </c>
      <c r="B22145" t="s">
        <v>305</v>
      </c>
      <c r="C22145" t="s">
        <v>303</v>
      </c>
      <c r="D22145" t="s">
        <v>302</v>
      </c>
      <c r="E22145" t="s">
        <v>286</v>
      </c>
      <c r="F22145" t="s">
        <v>226</v>
      </c>
    </row>
    <row r="22146" spans="1:6" x14ac:dyDescent="0.35">
      <c r="A22146" t="s">
        <v>227</v>
      </c>
      <c r="B22146" t="s">
        <v>368</v>
      </c>
      <c r="C22146" s="26">
        <v>1</v>
      </c>
      <c r="F22146">
        <v>33</v>
      </c>
    </row>
    <row r="22147" spans="1:6" x14ac:dyDescent="0.35">
      <c r="A22147" t="s">
        <v>227</v>
      </c>
      <c r="B22147" t="s">
        <v>369</v>
      </c>
      <c r="C22147" s="26">
        <v>1</v>
      </c>
      <c r="F22147">
        <v>128</v>
      </c>
    </row>
    <row r="22148" spans="1:6" x14ac:dyDescent="0.35">
      <c r="A22148" t="s">
        <v>228</v>
      </c>
      <c r="B22148" t="s">
        <v>368</v>
      </c>
      <c r="C22148" s="26">
        <v>0.99790000000000001</v>
      </c>
      <c r="D22148" s="26">
        <v>2.0999999999999999E-3</v>
      </c>
      <c r="F22148">
        <v>192</v>
      </c>
    </row>
    <row r="22149" spans="1:6" x14ac:dyDescent="0.35">
      <c r="A22149" t="s">
        <v>228</v>
      </c>
      <c r="B22149" t="s">
        <v>369</v>
      </c>
      <c r="C22149" s="26">
        <v>0.99209999999999998</v>
      </c>
      <c r="D22149" s="26">
        <v>7.4000000000000003E-3</v>
      </c>
      <c r="E22149" s="26">
        <v>5.0000000000000001E-4</v>
      </c>
      <c r="F22149">
        <v>841</v>
      </c>
    </row>
    <row r="22150" spans="1:6" x14ac:dyDescent="0.35">
      <c r="A22150" t="s">
        <v>229</v>
      </c>
      <c r="B22150" t="s">
        <v>368</v>
      </c>
      <c r="C22150" s="26">
        <v>1</v>
      </c>
      <c r="F22150">
        <v>96</v>
      </c>
    </row>
    <row r="22151" spans="1:6" x14ac:dyDescent="0.35">
      <c r="A22151" t="s">
        <v>229</v>
      </c>
      <c r="B22151" t="s">
        <v>369</v>
      </c>
      <c r="C22151" s="26">
        <v>0.99870000000000003</v>
      </c>
      <c r="D22151" s="26">
        <v>1E-4</v>
      </c>
      <c r="E22151" s="26">
        <v>1.1999999999999999E-3</v>
      </c>
      <c r="F22151">
        <v>799</v>
      </c>
    </row>
    <row r="22152" spans="1:6" x14ac:dyDescent="0.35">
      <c r="A22152" t="s">
        <v>230</v>
      </c>
      <c r="B22152" t="s">
        <v>368</v>
      </c>
      <c r="C22152" s="26">
        <v>1</v>
      </c>
      <c r="F22152">
        <v>57</v>
      </c>
    </row>
    <row r="22153" spans="1:6" x14ac:dyDescent="0.35">
      <c r="A22153" t="s">
        <v>230</v>
      </c>
      <c r="B22153" t="s">
        <v>369</v>
      </c>
      <c r="C22153" s="26">
        <v>1</v>
      </c>
      <c r="F22153">
        <v>503</v>
      </c>
    </row>
    <row r="22154" spans="1:6" x14ac:dyDescent="0.35">
      <c r="A22154" s="27" t="s">
        <v>231</v>
      </c>
      <c r="B22154" s="27" t="s">
        <v>368</v>
      </c>
      <c r="C22154" s="28">
        <v>1</v>
      </c>
      <c r="D22154" s="29"/>
      <c r="E22154" s="29"/>
      <c r="F22154" s="29" t="s">
        <v>338</v>
      </c>
    </row>
    <row r="22155" spans="1:6" x14ac:dyDescent="0.35">
      <c r="A22155" t="s">
        <v>231</v>
      </c>
      <c r="B22155" t="s">
        <v>369</v>
      </c>
      <c r="C22155" s="26">
        <v>0.99270000000000003</v>
      </c>
      <c r="D22155" s="26">
        <v>7.3000000000000001E-3</v>
      </c>
      <c r="F22155">
        <v>137</v>
      </c>
    </row>
    <row r="22156" spans="1:6" x14ac:dyDescent="0.35">
      <c r="A22156" t="s">
        <v>232</v>
      </c>
      <c r="B22156" t="s">
        <v>232</v>
      </c>
      <c r="C22156" s="26">
        <v>0.99670000000000003</v>
      </c>
      <c r="D22156" s="26">
        <v>2.8999999999999998E-3</v>
      </c>
      <c r="E22156" s="26">
        <v>4.0000000000000002E-4</v>
      </c>
      <c r="F22156">
        <v>2813</v>
      </c>
    </row>
    <row r="22158" spans="1:6" x14ac:dyDescent="0.35">
      <c r="A22158" s="1" t="s">
        <v>2131</v>
      </c>
    </row>
    <row r="22159" spans="1:6" x14ac:dyDescent="0.35">
      <c r="A22159" t="s">
        <v>219</v>
      </c>
      <c r="B22159" t="s">
        <v>305</v>
      </c>
      <c r="C22159" t="s">
        <v>303</v>
      </c>
      <c r="D22159" t="s">
        <v>302</v>
      </c>
      <c r="E22159" t="s">
        <v>286</v>
      </c>
      <c r="F22159" t="s">
        <v>226</v>
      </c>
    </row>
    <row r="22160" spans="1:6" x14ac:dyDescent="0.35">
      <c r="A22160" t="s">
        <v>227</v>
      </c>
      <c r="B22160" t="s">
        <v>371</v>
      </c>
      <c r="C22160" s="26">
        <v>1</v>
      </c>
      <c r="F22160">
        <v>161</v>
      </c>
    </row>
    <row r="22161" spans="1:6" x14ac:dyDescent="0.35">
      <c r="A22161" t="s">
        <v>228</v>
      </c>
      <c r="B22161" t="s">
        <v>371</v>
      </c>
      <c r="C22161" s="26">
        <v>0.99219999999999997</v>
      </c>
      <c r="D22161" s="26">
        <v>7.7999999999999996E-3</v>
      </c>
      <c r="F22161">
        <v>292</v>
      </c>
    </row>
    <row r="22162" spans="1:6" x14ac:dyDescent="0.35">
      <c r="A22162" t="s">
        <v>228</v>
      </c>
      <c r="B22162" t="s">
        <v>372</v>
      </c>
      <c r="C22162" s="26">
        <v>0.98460000000000003</v>
      </c>
      <c r="D22162" s="26">
        <v>1.0500000000000001E-2</v>
      </c>
      <c r="E22162" s="26">
        <v>4.8999999999999998E-3</v>
      </c>
      <c r="F22162">
        <v>218</v>
      </c>
    </row>
    <row r="22163" spans="1:6" x14ac:dyDescent="0.35">
      <c r="A22163" t="s">
        <v>228</v>
      </c>
      <c r="B22163" t="s">
        <v>373</v>
      </c>
      <c r="C22163" s="26">
        <v>0.99639999999999995</v>
      </c>
      <c r="D22163" s="26">
        <v>3.5999999999999999E-3</v>
      </c>
      <c r="F22163">
        <v>523</v>
      </c>
    </row>
    <row r="22164" spans="1:6" x14ac:dyDescent="0.35">
      <c r="A22164" t="s">
        <v>229</v>
      </c>
      <c r="B22164" t="s">
        <v>371</v>
      </c>
      <c r="C22164" s="26">
        <v>0.99929999999999997</v>
      </c>
      <c r="E22164" s="26">
        <v>6.9999999999999999E-4</v>
      </c>
      <c r="F22164">
        <v>584</v>
      </c>
    </row>
    <row r="22165" spans="1:6" x14ac:dyDescent="0.35">
      <c r="A22165" t="s">
        <v>229</v>
      </c>
      <c r="B22165" t="s">
        <v>372</v>
      </c>
      <c r="C22165" s="26">
        <v>0.99150000000000005</v>
      </c>
      <c r="D22165" s="26">
        <v>1.9E-3</v>
      </c>
      <c r="E22165" s="26">
        <v>6.6E-3</v>
      </c>
      <c r="F22165">
        <v>221</v>
      </c>
    </row>
    <row r="22166" spans="1:6" x14ac:dyDescent="0.35">
      <c r="A22166" t="s">
        <v>229</v>
      </c>
      <c r="B22166" t="s">
        <v>373</v>
      </c>
      <c r="C22166" s="26">
        <v>1</v>
      </c>
      <c r="F22166">
        <v>90</v>
      </c>
    </row>
    <row r="22167" spans="1:6" x14ac:dyDescent="0.35">
      <c r="A22167" t="s">
        <v>230</v>
      </c>
      <c r="B22167" t="s">
        <v>371</v>
      </c>
      <c r="C22167" s="26">
        <v>1</v>
      </c>
      <c r="F22167">
        <v>262</v>
      </c>
    </row>
    <row r="22168" spans="1:6" x14ac:dyDescent="0.35">
      <c r="A22168" t="s">
        <v>230</v>
      </c>
      <c r="B22168" t="s">
        <v>372</v>
      </c>
      <c r="C22168" s="26">
        <v>1</v>
      </c>
      <c r="F22168">
        <v>146</v>
      </c>
    </row>
    <row r="22169" spans="1:6" x14ac:dyDescent="0.35">
      <c r="A22169" t="s">
        <v>230</v>
      </c>
      <c r="B22169" t="s">
        <v>373</v>
      </c>
      <c r="C22169" s="26">
        <v>1</v>
      </c>
      <c r="F22169">
        <v>152</v>
      </c>
    </row>
    <row r="22170" spans="1:6" x14ac:dyDescent="0.35">
      <c r="A22170" t="s">
        <v>231</v>
      </c>
      <c r="B22170" t="s">
        <v>371</v>
      </c>
      <c r="C22170" s="26">
        <v>0.99390000000000001</v>
      </c>
      <c r="D22170" s="26">
        <v>6.1000000000000004E-3</v>
      </c>
      <c r="F22170">
        <v>164</v>
      </c>
    </row>
    <row r="22171" spans="1:6" x14ac:dyDescent="0.35">
      <c r="A22171" t="s">
        <v>232</v>
      </c>
      <c r="B22171" t="s">
        <v>232</v>
      </c>
      <c r="C22171" s="26">
        <v>0.99670000000000003</v>
      </c>
      <c r="D22171" s="26">
        <v>2.8999999999999998E-3</v>
      </c>
      <c r="E22171" s="26">
        <v>4.0000000000000002E-4</v>
      </c>
      <c r="F22171">
        <v>2813</v>
      </c>
    </row>
    <row r="22173" spans="1:6" x14ac:dyDescent="0.35">
      <c r="A22173" s="1" t="s">
        <v>2132</v>
      </c>
    </row>
    <row r="22174" spans="1:6" x14ac:dyDescent="0.35">
      <c r="A22174" t="s">
        <v>219</v>
      </c>
      <c r="B22174" t="s">
        <v>305</v>
      </c>
      <c r="C22174" t="s">
        <v>303</v>
      </c>
      <c r="D22174" t="s">
        <v>302</v>
      </c>
      <c r="E22174" t="s">
        <v>286</v>
      </c>
      <c r="F22174" t="s">
        <v>226</v>
      </c>
    </row>
    <row r="22175" spans="1:6" x14ac:dyDescent="0.35">
      <c r="A22175" t="s">
        <v>227</v>
      </c>
      <c r="B22175" t="s">
        <v>255</v>
      </c>
      <c r="C22175" s="26">
        <v>1</v>
      </c>
      <c r="F22175">
        <v>117</v>
      </c>
    </row>
    <row r="22176" spans="1:6" x14ac:dyDescent="0.35">
      <c r="A22176" s="27" t="s">
        <v>227</v>
      </c>
      <c r="B22176" s="27" t="s">
        <v>257</v>
      </c>
      <c r="C22176" s="28">
        <v>1</v>
      </c>
      <c r="D22176" s="29"/>
      <c r="E22176" s="29"/>
      <c r="F22176" s="29" t="s">
        <v>334</v>
      </c>
    </row>
    <row r="22177" spans="1:6" x14ac:dyDescent="0.35">
      <c r="A22177" t="s">
        <v>227</v>
      </c>
      <c r="B22177" t="s">
        <v>256</v>
      </c>
      <c r="C22177" s="26">
        <v>1</v>
      </c>
      <c r="F22177">
        <v>35</v>
      </c>
    </row>
    <row r="22178" spans="1:6" x14ac:dyDescent="0.35">
      <c r="A22178" t="s">
        <v>228</v>
      </c>
      <c r="B22178" t="s">
        <v>257</v>
      </c>
      <c r="C22178" s="26">
        <v>1</v>
      </c>
      <c r="F22178">
        <v>49</v>
      </c>
    </row>
    <row r="22179" spans="1:6" x14ac:dyDescent="0.35">
      <c r="A22179" s="27" t="s">
        <v>228</v>
      </c>
      <c r="B22179" s="27" t="s">
        <v>258</v>
      </c>
      <c r="C22179" s="28">
        <v>1</v>
      </c>
      <c r="D22179" s="29"/>
      <c r="E22179" s="29"/>
      <c r="F22179" s="29" t="s">
        <v>337</v>
      </c>
    </row>
    <row r="22180" spans="1:6" x14ac:dyDescent="0.35">
      <c r="A22180" t="s">
        <v>228</v>
      </c>
      <c r="B22180" t="s">
        <v>256</v>
      </c>
      <c r="C22180" s="26">
        <v>1</v>
      </c>
      <c r="F22180">
        <v>221</v>
      </c>
    </row>
    <row r="22181" spans="1:6" x14ac:dyDescent="0.35">
      <c r="A22181" t="s">
        <v>228</v>
      </c>
      <c r="B22181" t="s">
        <v>255</v>
      </c>
      <c r="C22181" s="26">
        <v>0.99029999999999996</v>
      </c>
      <c r="D22181" s="26">
        <v>9.1000000000000004E-3</v>
      </c>
      <c r="E22181" s="26">
        <v>5.9999999999999995E-4</v>
      </c>
      <c r="F22181">
        <v>759</v>
      </c>
    </row>
    <row r="22182" spans="1:6" x14ac:dyDescent="0.35">
      <c r="A22182" t="s">
        <v>229</v>
      </c>
      <c r="B22182" t="s">
        <v>256</v>
      </c>
      <c r="C22182" s="26">
        <v>1</v>
      </c>
      <c r="F22182">
        <v>207</v>
      </c>
    </row>
    <row r="22183" spans="1:6" x14ac:dyDescent="0.35">
      <c r="A22183" t="s">
        <v>229</v>
      </c>
      <c r="B22183" t="s">
        <v>255</v>
      </c>
      <c r="C22183" s="26">
        <v>0.99839999999999995</v>
      </c>
      <c r="D22183" s="26">
        <v>1E-4</v>
      </c>
      <c r="E22183" s="26">
        <v>1.5E-3</v>
      </c>
      <c r="F22183">
        <v>636</v>
      </c>
    </row>
    <row r="22184" spans="1:6" x14ac:dyDescent="0.35">
      <c r="A22184" t="s">
        <v>229</v>
      </c>
      <c r="B22184" t="s">
        <v>257</v>
      </c>
      <c r="C22184" s="26">
        <v>1</v>
      </c>
      <c r="F22184">
        <v>50</v>
      </c>
    </row>
    <row r="22185" spans="1:6" x14ac:dyDescent="0.35">
      <c r="A22185" s="27" t="s">
        <v>229</v>
      </c>
      <c r="B22185" s="27" t="s">
        <v>258</v>
      </c>
      <c r="C22185" s="28">
        <v>1</v>
      </c>
      <c r="D22185" s="29"/>
      <c r="E22185" s="29"/>
      <c r="F22185" s="29" t="s">
        <v>314</v>
      </c>
    </row>
    <row r="22186" spans="1:6" x14ac:dyDescent="0.35">
      <c r="A22186" t="s">
        <v>230</v>
      </c>
      <c r="B22186" t="s">
        <v>256</v>
      </c>
      <c r="C22186" s="26">
        <v>1</v>
      </c>
      <c r="F22186">
        <v>130</v>
      </c>
    </row>
    <row r="22187" spans="1:6" x14ac:dyDescent="0.35">
      <c r="A22187" t="s">
        <v>230</v>
      </c>
      <c r="B22187" t="s">
        <v>255</v>
      </c>
      <c r="C22187" s="26">
        <v>1</v>
      </c>
      <c r="F22187">
        <v>389</v>
      </c>
    </row>
    <row r="22188" spans="1:6" x14ac:dyDescent="0.35">
      <c r="A22188" t="s">
        <v>230</v>
      </c>
      <c r="B22188" t="s">
        <v>257</v>
      </c>
      <c r="C22188" s="26">
        <v>1</v>
      </c>
      <c r="F22188">
        <v>38</v>
      </c>
    </row>
    <row r="22189" spans="1:6" x14ac:dyDescent="0.35">
      <c r="A22189" s="27" t="s">
        <v>230</v>
      </c>
      <c r="B22189" s="27" t="s">
        <v>258</v>
      </c>
      <c r="C22189" s="28">
        <v>1</v>
      </c>
      <c r="D22189" s="29"/>
      <c r="E22189" s="29"/>
      <c r="F22189" s="29" t="s">
        <v>315</v>
      </c>
    </row>
    <row r="22190" spans="1:6" x14ac:dyDescent="0.35">
      <c r="A22190" s="27" t="s">
        <v>231</v>
      </c>
      <c r="B22190" s="27" t="s">
        <v>257</v>
      </c>
      <c r="C22190" s="28">
        <v>1</v>
      </c>
      <c r="D22190" s="29"/>
      <c r="E22190" s="29"/>
      <c r="F22190" s="29" t="s">
        <v>339</v>
      </c>
    </row>
    <row r="22191" spans="1:6" x14ac:dyDescent="0.35">
      <c r="A22191" t="s">
        <v>231</v>
      </c>
      <c r="B22191" t="s">
        <v>255</v>
      </c>
      <c r="C22191" s="26">
        <v>0.99219999999999997</v>
      </c>
      <c r="D22191" s="26">
        <v>7.7999999999999996E-3</v>
      </c>
      <c r="F22191">
        <v>129</v>
      </c>
    </row>
    <row r="22192" spans="1:6" x14ac:dyDescent="0.35">
      <c r="A22192" s="27" t="s">
        <v>231</v>
      </c>
      <c r="B22192" s="27" t="s">
        <v>256</v>
      </c>
      <c r="C22192" s="28">
        <v>1</v>
      </c>
      <c r="D22192" s="29"/>
      <c r="E22192" s="29"/>
      <c r="F22192" s="29" t="s">
        <v>336</v>
      </c>
    </row>
    <row r="22193" spans="1:14" x14ac:dyDescent="0.35">
      <c r="A22193" t="s">
        <v>232</v>
      </c>
      <c r="B22193" t="s">
        <v>232</v>
      </c>
      <c r="C22193" s="26">
        <v>0.99670000000000003</v>
      </c>
      <c r="D22193" s="26">
        <v>2.8999999999999998E-3</v>
      </c>
      <c r="E22193" s="26">
        <v>4.0000000000000002E-4</v>
      </c>
      <c r="F22193">
        <v>2813</v>
      </c>
    </row>
    <row r="22195" spans="1:14" x14ac:dyDescent="0.35">
      <c r="A22195" s="1" t="s">
        <v>2133</v>
      </c>
    </row>
    <row r="22196" spans="1:14" x14ac:dyDescent="0.35">
      <c r="A22196" t="s">
        <v>219</v>
      </c>
      <c r="B22196" t="s">
        <v>2134</v>
      </c>
      <c r="C22196" t="s">
        <v>2135</v>
      </c>
      <c r="D22196" t="s">
        <v>2136</v>
      </c>
      <c r="E22196" t="s">
        <v>2137</v>
      </c>
      <c r="F22196" t="s">
        <v>2138</v>
      </c>
      <c r="G22196" t="s">
        <v>2139</v>
      </c>
      <c r="H22196" t="s">
        <v>281</v>
      </c>
      <c r="I22196" t="s">
        <v>2140</v>
      </c>
      <c r="J22196" t="s">
        <v>2141</v>
      </c>
      <c r="K22196" t="s">
        <v>286</v>
      </c>
      <c r="L22196" t="s">
        <v>2142</v>
      </c>
      <c r="M22196" t="s">
        <v>226</v>
      </c>
    </row>
    <row r="22197" spans="1:14" x14ac:dyDescent="0.35">
      <c r="A22197" t="s">
        <v>227</v>
      </c>
      <c r="B22197" s="26">
        <v>0.49070000000000003</v>
      </c>
      <c r="C22197" s="26">
        <v>0.27950000000000003</v>
      </c>
      <c r="D22197" s="26">
        <v>0.14910000000000001</v>
      </c>
      <c r="E22197" s="26">
        <v>4.9700000000000001E-2</v>
      </c>
      <c r="F22197" s="26">
        <v>6.1999999999999998E-3</v>
      </c>
      <c r="G22197" s="26">
        <v>6.1999999999999998E-3</v>
      </c>
      <c r="I22197" s="26">
        <v>1.8599999999999998E-2</v>
      </c>
      <c r="M22197">
        <v>161</v>
      </c>
    </row>
    <row r="22198" spans="1:14" x14ac:dyDescent="0.35">
      <c r="A22198" t="s">
        <v>228</v>
      </c>
      <c r="B22198" s="26">
        <v>0.71499999999999997</v>
      </c>
      <c r="C22198" s="26">
        <v>0.123</v>
      </c>
      <c r="D22198" s="26">
        <v>9.1700000000000004E-2</v>
      </c>
      <c r="E22198" s="26">
        <v>4.7600000000000003E-2</v>
      </c>
      <c r="F22198" s="26">
        <v>4.1999999999999997E-3</v>
      </c>
      <c r="G22198" s="26">
        <v>4.1999999999999997E-3</v>
      </c>
      <c r="H22198" s="26">
        <v>1.6999999999999999E-3</v>
      </c>
      <c r="I22198" s="26">
        <v>1.2999999999999999E-3</v>
      </c>
      <c r="J22198" s="26">
        <v>5.0000000000000001E-3</v>
      </c>
      <c r="K22198" s="26">
        <v>2.8999999999999998E-3</v>
      </c>
      <c r="L22198" s="26">
        <v>3.3E-3</v>
      </c>
      <c r="M22198">
        <v>1033</v>
      </c>
    </row>
    <row r="22199" spans="1:14" x14ac:dyDescent="0.35">
      <c r="A22199" t="s">
        <v>229</v>
      </c>
      <c r="B22199" s="26">
        <v>0.70579999999999998</v>
      </c>
      <c r="C22199" s="26">
        <v>0.12330000000000001</v>
      </c>
      <c r="D22199" s="26">
        <v>8.9700000000000002E-2</v>
      </c>
      <c r="E22199" s="26">
        <v>5.8400000000000001E-2</v>
      </c>
      <c r="F22199" s="26">
        <v>7.4999999999999997E-3</v>
      </c>
      <c r="G22199" s="26">
        <v>7.0000000000000001E-3</v>
      </c>
      <c r="H22199" s="26">
        <v>3.2000000000000002E-3</v>
      </c>
      <c r="I22199" s="26">
        <v>4.1000000000000003E-3</v>
      </c>
      <c r="K22199" s="26">
        <v>1E-3</v>
      </c>
      <c r="M22199">
        <v>895</v>
      </c>
    </row>
    <row r="22200" spans="1:14" x14ac:dyDescent="0.35">
      <c r="A22200" t="s">
        <v>230</v>
      </c>
      <c r="B22200" s="26">
        <v>0.6028</v>
      </c>
      <c r="C22200" s="26">
        <v>0.2049</v>
      </c>
      <c r="D22200" s="26">
        <v>0.11310000000000001</v>
      </c>
      <c r="E22200" s="26">
        <v>6.2E-2</v>
      </c>
      <c r="F22200" s="26">
        <v>2.9999999999999997E-4</v>
      </c>
      <c r="G22200" s="26">
        <v>1.0200000000000001E-2</v>
      </c>
      <c r="H22200" s="26">
        <v>2.9999999999999997E-4</v>
      </c>
      <c r="I22200" s="26">
        <v>1.1999999999999999E-3</v>
      </c>
      <c r="J22200" s="26">
        <v>5.4000000000000003E-3</v>
      </c>
      <c r="M22200">
        <v>560</v>
      </c>
    </row>
    <row r="22201" spans="1:14" x14ac:dyDescent="0.35">
      <c r="A22201" t="s">
        <v>231</v>
      </c>
      <c r="B22201" s="26">
        <v>0.57320000000000004</v>
      </c>
      <c r="C22201" s="26">
        <v>9.1499999999999998E-2</v>
      </c>
      <c r="D22201" s="26">
        <v>0.17680000000000001</v>
      </c>
      <c r="E22201" s="26">
        <v>0.1159</v>
      </c>
      <c r="F22201" s="26">
        <v>2.4400000000000002E-2</v>
      </c>
      <c r="G22201" s="26">
        <v>6.1000000000000004E-3</v>
      </c>
      <c r="H22201" s="26">
        <v>1.2200000000000001E-2</v>
      </c>
      <c r="M22201">
        <v>164</v>
      </c>
    </row>
    <row r="22202" spans="1:14" x14ac:dyDescent="0.35">
      <c r="A22202" t="s">
        <v>232</v>
      </c>
      <c r="B22202" s="26">
        <v>0.62880000000000003</v>
      </c>
      <c r="C22202" s="26">
        <v>0.14599999999999999</v>
      </c>
      <c r="D22202" s="26">
        <v>0.12520000000000001</v>
      </c>
      <c r="E22202" s="26">
        <v>7.1099999999999997E-2</v>
      </c>
      <c r="F22202" s="26">
        <v>1.06E-2</v>
      </c>
      <c r="G22202" s="26">
        <v>6.4000000000000003E-3</v>
      </c>
      <c r="H22202" s="26">
        <v>4.5999999999999999E-3</v>
      </c>
      <c r="I22202" s="26">
        <v>4.3E-3</v>
      </c>
      <c r="J22202" s="26">
        <v>1.5E-3</v>
      </c>
      <c r="K22202" s="26">
        <v>8.0000000000000004E-4</v>
      </c>
      <c r="L22202" s="26">
        <v>5.9999999999999995E-4</v>
      </c>
      <c r="M22202">
        <v>2813</v>
      </c>
    </row>
    <row r="22204" spans="1:14" x14ac:dyDescent="0.35">
      <c r="A22204" s="1" t="s">
        <v>2143</v>
      </c>
    </row>
    <row r="22205" spans="1:14" x14ac:dyDescent="0.35">
      <c r="A22205" t="s">
        <v>219</v>
      </c>
      <c r="B22205" t="s">
        <v>305</v>
      </c>
      <c r="C22205" t="s">
        <v>2134</v>
      </c>
      <c r="D22205" t="s">
        <v>2135</v>
      </c>
      <c r="E22205" t="s">
        <v>2136</v>
      </c>
      <c r="F22205" t="s">
        <v>2137</v>
      </c>
      <c r="G22205" t="s">
        <v>2138</v>
      </c>
      <c r="H22205" t="s">
        <v>2139</v>
      </c>
      <c r="I22205" t="s">
        <v>281</v>
      </c>
      <c r="J22205" t="s">
        <v>2140</v>
      </c>
      <c r="K22205" t="s">
        <v>2141</v>
      </c>
      <c r="L22205" t="s">
        <v>286</v>
      </c>
      <c r="M22205" t="s">
        <v>2142</v>
      </c>
      <c r="N22205" t="s">
        <v>226</v>
      </c>
    </row>
    <row r="22206" spans="1:14" x14ac:dyDescent="0.35">
      <c r="A22206" t="s">
        <v>227</v>
      </c>
      <c r="B22206" t="s">
        <v>242</v>
      </c>
      <c r="C22206" s="26">
        <v>0.39710000000000001</v>
      </c>
      <c r="D22206" s="26">
        <v>0.29409999999999997</v>
      </c>
      <c r="E22206" s="26">
        <v>0.17649999999999999</v>
      </c>
      <c r="F22206" s="26">
        <v>8.8200000000000001E-2</v>
      </c>
      <c r="G22206" s="26">
        <v>1.47E-2</v>
      </c>
      <c r="H22206" s="26">
        <v>1.47E-2</v>
      </c>
      <c r="J22206" s="26">
        <v>1.47E-2</v>
      </c>
      <c r="N22206">
        <v>68</v>
      </c>
    </row>
    <row r="22207" spans="1:14" x14ac:dyDescent="0.35">
      <c r="A22207" t="s">
        <v>227</v>
      </c>
      <c r="B22207" t="s">
        <v>241</v>
      </c>
      <c r="C22207" s="26">
        <v>0.55910000000000004</v>
      </c>
      <c r="D22207" s="26">
        <v>0.26879999999999998</v>
      </c>
      <c r="E22207" s="26">
        <v>0.129</v>
      </c>
      <c r="F22207" s="26">
        <v>2.1499999999999998E-2</v>
      </c>
      <c r="J22207" s="26">
        <v>2.1499999999999998E-2</v>
      </c>
      <c r="N22207">
        <v>93</v>
      </c>
    </row>
    <row r="22208" spans="1:14" x14ac:dyDescent="0.35">
      <c r="A22208" t="s">
        <v>228</v>
      </c>
      <c r="B22208" t="s">
        <v>242</v>
      </c>
      <c r="C22208" s="26">
        <v>0.69689999999999996</v>
      </c>
      <c r="D22208" s="26">
        <v>0.1321</v>
      </c>
      <c r="E22208" s="26">
        <v>8.8900000000000007E-2</v>
      </c>
      <c r="F22208" s="26">
        <v>4.9799999999999997E-2</v>
      </c>
      <c r="G22208" s="26">
        <v>9.1000000000000004E-3</v>
      </c>
      <c r="H22208" s="26">
        <v>3.3999999999999998E-3</v>
      </c>
      <c r="I22208" s="26">
        <v>4.7999999999999996E-3</v>
      </c>
      <c r="J22208" s="26">
        <v>1.5E-3</v>
      </c>
      <c r="K22208" s="26">
        <v>1.2999999999999999E-3</v>
      </c>
      <c r="L22208" s="26">
        <v>3.0000000000000001E-3</v>
      </c>
      <c r="M22208" s="26">
        <v>9.1000000000000004E-3</v>
      </c>
      <c r="N22208">
        <v>402</v>
      </c>
    </row>
    <row r="22209" spans="1:14" x14ac:dyDescent="0.35">
      <c r="A22209" t="s">
        <v>228</v>
      </c>
      <c r="B22209" t="s">
        <v>241</v>
      </c>
      <c r="C22209" s="26">
        <v>0.72540000000000004</v>
      </c>
      <c r="D22209" s="26">
        <v>0.1178</v>
      </c>
      <c r="E22209" s="26">
        <v>9.3299999999999994E-2</v>
      </c>
      <c r="F22209" s="26">
        <v>4.6399999999999997E-2</v>
      </c>
      <c r="G22209" s="26">
        <v>1.4E-3</v>
      </c>
      <c r="H22209" s="26">
        <v>4.5999999999999999E-3</v>
      </c>
      <c r="J22209" s="26">
        <v>1.1000000000000001E-3</v>
      </c>
      <c r="K22209" s="26">
        <v>7.1000000000000004E-3</v>
      </c>
      <c r="L22209" s="26">
        <v>2.8E-3</v>
      </c>
      <c r="N22209">
        <v>631</v>
      </c>
    </row>
    <row r="22210" spans="1:14" x14ac:dyDescent="0.35">
      <c r="A22210" t="s">
        <v>229</v>
      </c>
      <c r="B22210" t="s">
        <v>242</v>
      </c>
      <c r="C22210" s="26">
        <v>0.66049999999999998</v>
      </c>
      <c r="D22210" s="26">
        <v>0.1578</v>
      </c>
      <c r="E22210" s="26">
        <v>0.12529999999999999</v>
      </c>
      <c r="F22210" s="26">
        <v>3.2399999999999998E-2</v>
      </c>
      <c r="G22210" s="26">
        <v>6.4000000000000003E-3</v>
      </c>
      <c r="H22210" s="26">
        <v>1.4999999999999999E-2</v>
      </c>
      <c r="J22210" s="26">
        <v>2.5999999999999999E-3</v>
      </c>
      <c r="N22210">
        <v>292</v>
      </c>
    </row>
    <row r="22211" spans="1:14" x14ac:dyDescent="0.35">
      <c r="A22211" t="s">
        <v>229</v>
      </c>
      <c r="B22211" t="s">
        <v>241</v>
      </c>
      <c r="C22211" s="26">
        <v>0.73480000000000001</v>
      </c>
      <c r="D22211" s="26">
        <v>0.1013</v>
      </c>
      <c r="E22211" s="26">
        <v>6.6799999999999998E-2</v>
      </c>
      <c r="F22211" s="26">
        <v>7.4999999999999997E-2</v>
      </c>
      <c r="G22211" s="26">
        <v>8.2000000000000007E-3</v>
      </c>
      <c r="H22211" s="26">
        <v>1.9E-3</v>
      </c>
      <c r="I22211" s="26">
        <v>5.1999999999999998E-3</v>
      </c>
      <c r="J22211" s="26">
        <v>5.1000000000000004E-3</v>
      </c>
      <c r="L22211" s="26">
        <v>1.6000000000000001E-3</v>
      </c>
      <c r="N22211">
        <v>603</v>
      </c>
    </row>
    <row r="22212" spans="1:14" x14ac:dyDescent="0.35">
      <c r="A22212" t="s">
        <v>230</v>
      </c>
      <c r="B22212" t="s">
        <v>242</v>
      </c>
      <c r="C22212" s="26">
        <v>0.5464</v>
      </c>
      <c r="D22212" s="26">
        <v>0.2472</v>
      </c>
      <c r="E22212" s="26">
        <v>9.3600000000000003E-2</v>
      </c>
      <c r="F22212" s="26">
        <v>8.5500000000000007E-2</v>
      </c>
      <c r="G22212" s="26">
        <v>8.0000000000000004E-4</v>
      </c>
      <c r="H22212" s="26">
        <v>7.9000000000000008E-3</v>
      </c>
      <c r="J22212" s="26">
        <v>2.7000000000000001E-3</v>
      </c>
      <c r="K22212" s="26">
        <v>1.5900000000000001E-2</v>
      </c>
      <c r="N22212">
        <v>189</v>
      </c>
    </row>
    <row r="22213" spans="1:14" x14ac:dyDescent="0.35">
      <c r="A22213" t="s">
        <v>230</v>
      </c>
      <c r="B22213" t="s">
        <v>241</v>
      </c>
      <c r="C22213" s="26">
        <v>0.63170000000000004</v>
      </c>
      <c r="D22213" s="26">
        <v>0.18329999999999999</v>
      </c>
      <c r="E22213" s="26">
        <v>0.123</v>
      </c>
      <c r="F22213" s="26">
        <v>0.05</v>
      </c>
      <c r="H22213" s="26">
        <v>1.1299999999999999E-2</v>
      </c>
      <c r="I22213" s="26">
        <v>4.0000000000000002E-4</v>
      </c>
      <c r="J22213" s="26">
        <v>4.0000000000000002E-4</v>
      </c>
      <c r="N22213">
        <v>371</v>
      </c>
    </row>
    <row r="22214" spans="1:14" x14ac:dyDescent="0.35">
      <c r="A22214" t="s">
        <v>231</v>
      </c>
      <c r="B22214" t="s">
        <v>242</v>
      </c>
      <c r="C22214" s="26">
        <v>0.48149999999999998</v>
      </c>
      <c r="D22214" s="26">
        <v>0.16669999999999999</v>
      </c>
      <c r="E22214" s="26">
        <v>0.1852</v>
      </c>
      <c r="F22214" s="26">
        <v>7.4099999999999999E-2</v>
      </c>
      <c r="G22214" s="26">
        <v>7.4099999999999999E-2</v>
      </c>
      <c r="I22214" s="26">
        <v>1.8499999999999999E-2</v>
      </c>
      <c r="N22214">
        <v>54</v>
      </c>
    </row>
    <row r="22215" spans="1:14" x14ac:dyDescent="0.35">
      <c r="A22215" t="s">
        <v>231</v>
      </c>
      <c r="B22215" t="s">
        <v>241</v>
      </c>
      <c r="C22215" s="26">
        <v>0.61819999999999997</v>
      </c>
      <c r="D22215" s="26">
        <v>5.45E-2</v>
      </c>
      <c r="E22215" s="26">
        <v>0.17269999999999999</v>
      </c>
      <c r="F22215" s="26">
        <v>0.13639999999999999</v>
      </c>
      <c r="H22215" s="26">
        <v>9.1000000000000004E-3</v>
      </c>
      <c r="I22215" s="26">
        <v>9.1000000000000004E-3</v>
      </c>
      <c r="N22215">
        <v>110</v>
      </c>
    </row>
    <row r="22216" spans="1:14" x14ac:dyDescent="0.35">
      <c r="A22216" t="s">
        <v>232</v>
      </c>
      <c r="B22216" t="s">
        <v>232</v>
      </c>
      <c r="C22216" s="26">
        <v>0.62880000000000003</v>
      </c>
      <c r="D22216" s="26">
        <v>0.14599999999999999</v>
      </c>
      <c r="E22216" s="26">
        <v>0.12520000000000001</v>
      </c>
      <c r="F22216" s="26">
        <v>7.1099999999999997E-2</v>
      </c>
      <c r="G22216" s="26">
        <v>1.06E-2</v>
      </c>
      <c r="H22216" s="26">
        <v>6.4000000000000003E-3</v>
      </c>
      <c r="I22216" s="26">
        <v>4.5999999999999999E-3</v>
      </c>
      <c r="J22216" s="26">
        <v>4.3E-3</v>
      </c>
      <c r="K22216" s="26">
        <v>1.5E-3</v>
      </c>
      <c r="L22216" s="26">
        <v>8.0000000000000004E-4</v>
      </c>
      <c r="M22216" s="26">
        <v>5.9999999999999995E-4</v>
      </c>
      <c r="N22216">
        <v>2813</v>
      </c>
    </row>
    <row r="22218" spans="1:14" x14ac:dyDescent="0.35">
      <c r="A22218" s="1" t="s">
        <v>2144</v>
      </c>
    </row>
    <row r="22219" spans="1:14" x14ac:dyDescent="0.35">
      <c r="A22219" t="s">
        <v>219</v>
      </c>
      <c r="B22219" t="s">
        <v>305</v>
      </c>
      <c r="C22219" t="s">
        <v>2134</v>
      </c>
      <c r="D22219" t="s">
        <v>2135</v>
      </c>
      <c r="E22219" t="s">
        <v>2136</v>
      </c>
      <c r="F22219" t="s">
        <v>2137</v>
      </c>
      <c r="G22219" t="s">
        <v>2138</v>
      </c>
      <c r="H22219" t="s">
        <v>2139</v>
      </c>
      <c r="I22219" t="s">
        <v>281</v>
      </c>
      <c r="J22219" t="s">
        <v>2140</v>
      </c>
      <c r="K22219" t="s">
        <v>2141</v>
      </c>
      <c r="L22219" t="s">
        <v>286</v>
      </c>
      <c r="M22219" t="s">
        <v>2142</v>
      </c>
      <c r="N22219" t="s">
        <v>226</v>
      </c>
    </row>
    <row r="22220" spans="1:14" x14ac:dyDescent="0.35">
      <c r="A22220" t="s">
        <v>227</v>
      </c>
      <c r="B22220" t="s">
        <v>239</v>
      </c>
      <c r="C22220" s="26">
        <v>0.2258</v>
      </c>
      <c r="D22220" s="26">
        <v>0.3871</v>
      </c>
      <c r="E22220" s="26">
        <v>0.2742</v>
      </c>
      <c r="F22220" s="26">
        <v>4.8399999999999999E-2</v>
      </c>
      <c r="G22220" s="26">
        <v>1.61E-2</v>
      </c>
      <c r="J22220" s="26">
        <v>4.8399999999999999E-2</v>
      </c>
      <c r="N22220">
        <v>62</v>
      </c>
    </row>
    <row r="22221" spans="1:14" x14ac:dyDescent="0.35">
      <c r="A22221" t="s">
        <v>227</v>
      </c>
      <c r="B22221" t="s">
        <v>238</v>
      </c>
      <c r="C22221" s="26">
        <v>0.65659999999999996</v>
      </c>
      <c r="D22221" s="26">
        <v>0.21210000000000001</v>
      </c>
      <c r="E22221" s="26">
        <v>7.0699999999999999E-2</v>
      </c>
      <c r="F22221" s="26">
        <v>5.0500000000000003E-2</v>
      </c>
      <c r="H22221" s="26">
        <v>1.01E-2</v>
      </c>
      <c r="N22221">
        <v>99</v>
      </c>
    </row>
    <row r="22222" spans="1:14" x14ac:dyDescent="0.35">
      <c r="A22222" t="s">
        <v>228</v>
      </c>
      <c r="B22222" t="s">
        <v>239</v>
      </c>
      <c r="C22222" s="26">
        <v>0.35360000000000003</v>
      </c>
      <c r="D22222" s="26">
        <v>0.19700000000000001</v>
      </c>
      <c r="E22222" s="26">
        <v>0.28720000000000001</v>
      </c>
      <c r="F22222" s="26">
        <v>0.12239999999999999</v>
      </c>
      <c r="G22222" s="26">
        <v>1.9300000000000001E-2</v>
      </c>
      <c r="H22222" s="26">
        <v>0.01</v>
      </c>
      <c r="J22222" s="26">
        <v>6.1000000000000004E-3</v>
      </c>
      <c r="K22222" s="26">
        <v>2.3E-3</v>
      </c>
      <c r="L22222" s="26">
        <v>2E-3</v>
      </c>
      <c r="N22222">
        <v>330</v>
      </c>
    </row>
    <row r="22223" spans="1:14" x14ac:dyDescent="0.35">
      <c r="A22223" t="s">
        <v>228</v>
      </c>
      <c r="B22223" t="s">
        <v>238</v>
      </c>
      <c r="C22223" s="26">
        <v>0.80910000000000004</v>
      </c>
      <c r="D22223" s="26">
        <v>0.1037</v>
      </c>
      <c r="E22223" s="26">
        <v>4.0800000000000003E-2</v>
      </c>
      <c r="F22223" s="26">
        <v>2.8199999999999999E-2</v>
      </c>
      <c r="G22223" s="26">
        <v>2.9999999999999997E-4</v>
      </c>
      <c r="H22223" s="26">
        <v>2.7000000000000001E-3</v>
      </c>
      <c r="I22223" s="26">
        <v>2.2000000000000001E-3</v>
      </c>
      <c r="K22223" s="26">
        <v>5.7000000000000002E-3</v>
      </c>
      <c r="L22223" s="26">
        <v>3.0999999999999999E-3</v>
      </c>
      <c r="M22223" s="26">
        <v>4.1999999999999997E-3</v>
      </c>
      <c r="N22223">
        <v>703</v>
      </c>
    </row>
    <row r="22224" spans="1:14" x14ac:dyDescent="0.35">
      <c r="A22224" t="s">
        <v>229</v>
      </c>
      <c r="B22224" t="s">
        <v>239</v>
      </c>
      <c r="C22224" s="26">
        <v>0.25969999999999999</v>
      </c>
      <c r="D22224" s="26">
        <v>0.2636</v>
      </c>
      <c r="E22224" s="26">
        <v>0.26919999999999999</v>
      </c>
      <c r="F22224" s="26">
        <v>0.15160000000000001</v>
      </c>
      <c r="H22224" s="26">
        <v>2.7199999999999998E-2</v>
      </c>
      <c r="I22224" s="26">
        <v>9.7999999999999997E-3</v>
      </c>
      <c r="J22224" s="26">
        <v>1.61E-2</v>
      </c>
      <c r="L22224" s="26">
        <v>2.5999999999999999E-3</v>
      </c>
      <c r="N22224">
        <v>332</v>
      </c>
    </row>
    <row r="22225" spans="1:14" x14ac:dyDescent="0.35">
      <c r="A22225" t="s">
        <v>229</v>
      </c>
      <c r="B22225" t="s">
        <v>238</v>
      </c>
      <c r="C22225" s="26">
        <v>0.85809999999999997</v>
      </c>
      <c r="D22225" s="26">
        <v>7.5399999999999995E-2</v>
      </c>
      <c r="E22225" s="26">
        <v>2.8299999999999999E-2</v>
      </c>
      <c r="F22225" s="26">
        <v>2.6499999999999999E-2</v>
      </c>
      <c r="G22225" s="26">
        <v>1.01E-2</v>
      </c>
      <c r="H22225" s="26">
        <v>1E-4</v>
      </c>
      <c r="I22225" s="26">
        <v>8.9999999999999998E-4</v>
      </c>
      <c r="L22225" s="26">
        <v>4.0000000000000002E-4</v>
      </c>
      <c r="N22225">
        <v>563</v>
      </c>
    </row>
    <row r="22226" spans="1:14" x14ac:dyDescent="0.35">
      <c r="A22226" t="s">
        <v>230</v>
      </c>
      <c r="B22226" t="s">
        <v>239</v>
      </c>
      <c r="C22226" s="26">
        <v>0.1623</v>
      </c>
      <c r="D22226" s="26">
        <v>0.38600000000000001</v>
      </c>
      <c r="E22226" s="26">
        <v>0.27339999999999998</v>
      </c>
      <c r="F22226" s="26">
        <v>0.15840000000000001</v>
      </c>
      <c r="G22226" s="26">
        <v>8.9999999999999998E-4</v>
      </c>
      <c r="H22226" s="26">
        <v>1.5800000000000002E-2</v>
      </c>
      <c r="J22226" s="26">
        <v>3.0000000000000001E-3</v>
      </c>
      <c r="N22226">
        <v>211</v>
      </c>
    </row>
    <row r="22227" spans="1:14" x14ac:dyDescent="0.35">
      <c r="A22227" t="s">
        <v>230</v>
      </c>
      <c r="B22227" t="s">
        <v>238</v>
      </c>
      <c r="C22227" s="26">
        <v>0.79269999999999996</v>
      </c>
      <c r="D22227" s="26">
        <v>0.1268</v>
      </c>
      <c r="E22227" s="26">
        <v>4.3900000000000002E-2</v>
      </c>
      <c r="F22227" s="26">
        <v>2.0400000000000001E-2</v>
      </c>
      <c r="H22227" s="26">
        <v>7.7000000000000002E-3</v>
      </c>
      <c r="I22227" s="26">
        <v>4.0000000000000002E-4</v>
      </c>
      <c r="J22227" s="26">
        <v>4.0000000000000002E-4</v>
      </c>
      <c r="K22227" s="26">
        <v>7.7000000000000002E-3</v>
      </c>
      <c r="N22227">
        <v>349</v>
      </c>
    </row>
    <row r="22228" spans="1:14" x14ac:dyDescent="0.35">
      <c r="A22228" t="s">
        <v>231</v>
      </c>
      <c r="B22228" t="s">
        <v>239</v>
      </c>
      <c r="C22228" s="26">
        <v>0.193</v>
      </c>
      <c r="D22228" s="26">
        <v>0.12280000000000001</v>
      </c>
      <c r="E22228" s="26">
        <v>0.43859999999999999</v>
      </c>
      <c r="F22228" s="26">
        <v>0.193</v>
      </c>
      <c r="G22228" s="26">
        <v>3.5099999999999999E-2</v>
      </c>
      <c r="H22228" s="26">
        <v>1.7500000000000002E-2</v>
      </c>
      <c r="N22228">
        <v>57</v>
      </c>
    </row>
    <row r="22229" spans="1:14" x14ac:dyDescent="0.35">
      <c r="A22229" t="s">
        <v>231</v>
      </c>
      <c r="B22229" t="s">
        <v>238</v>
      </c>
      <c r="C22229" s="26">
        <v>0.77569999999999995</v>
      </c>
      <c r="D22229" s="26">
        <v>7.4800000000000005E-2</v>
      </c>
      <c r="E22229" s="26">
        <v>3.7400000000000003E-2</v>
      </c>
      <c r="F22229" s="26">
        <v>7.4800000000000005E-2</v>
      </c>
      <c r="G22229" s="26">
        <v>1.8700000000000001E-2</v>
      </c>
      <c r="I22229" s="26">
        <v>1.8700000000000001E-2</v>
      </c>
      <c r="N22229">
        <v>107</v>
      </c>
    </row>
    <row r="22230" spans="1:14" x14ac:dyDescent="0.35">
      <c r="A22230" t="s">
        <v>232</v>
      </c>
      <c r="B22230" t="s">
        <v>232</v>
      </c>
      <c r="C22230" s="26">
        <v>0.62880000000000003</v>
      </c>
      <c r="D22230" s="26">
        <v>0.14599999999999999</v>
      </c>
      <c r="E22230" s="26">
        <v>0.12520000000000001</v>
      </c>
      <c r="F22230" s="26">
        <v>7.1099999999999997E-2</v>
      </c>
      <c r="G22230" s="26">
        <v>1.06E-2</v>
      </c>
      <c r="H22230" s="26">
        <v>6.4000000000000003E-3</v>
      </c>
      <c r="I22230" s="26">
        <v>4.5999999999999999E-3</v>
      </c>
      <c r="J22230" s="26">
        <v>4.3E-3</v>
      </c>
      <c r="K22230" s="26">
        <v>1.5E-3</v>
      </c>
      <c r="L22230" s="26">
        <v>8.0000000000000004E-4</v>
      </c>
      <c r="M22230" s="26">
        <v>5.9999999999999995E-4</v>
      </c>
      <c r="N22230">
        <v>2813</v>
      </c>
    </row>
    <row r="22232" spans="1:14" x14ac:dyDescent="0.35">
      <c r="A22232" s="1" t="s">
        <v>2145</v>
      </c>
    </row>
    <row r="22233" spans="1:14" x14ac:dyDescent="0.35">
      <c r="A22233" t="s">
        <v>219</v>
      </c>
      <c r="B22233" t="s">
        <v>305</v>
      </c>
      <c r="C22233" t="s">
        <v>2134</v>
      </c>
      <c r="D22233" t="s">
        <v>2135</v>
      </c>
      <c r="E22233" t="s">
        <v>2136</v>
      </c>
      <c r="F22233" t="s">
        <v>2137</v>
      </c>
      <c r="G22233" t="s">
        <v>2138</v>
      </c>
      <c r="H22233" t="s">
        <v>2139</v>
      </c>
      <c r="I22233" t="s">
        <v>281</v>
      </c>
      <c r="J22233" t="s">
        <v>2140</v>
      </c>
      <c r="K22233" t="s">
        <v>2141</v>
      </c>
      <c r="L22233" t="s">
        <v>286</v>
      </c>
      <c r="M22233" t="s">
        <v>2142</v>
      </c>
      <c r="N22233" t="s">
        <v>226</v>
      </c>
    </row>
    <row r="22234" spans="1:14" x14ac:dyDescent="0.35">
      <c r="A22234" t="s">
        <v>227</v>
      </c>
      <c r="B22234" t="s">
        <v>244</v>
      </c>
      <c r="C22234" s="26">
        <v>0.5</v>
      </c>
      <c r="D22234" s="26">
        <v>0.28120000000000001</v>
      </c>
      <c r="E22234" s="26">
        <v>0.16669999999999999</v>
      </c>
      <c r="F22234" s="26">
        <v>5.21E-2</v>
      </c>
      <c r="N22234">
        <v>96</v>
      </c>
    </row>
    <row r="22235" spans="1:14" x14ac:dyDescent="0.35">
      <c r="A22235" t="s">
        <v>227</v>
      </c>
      <c r="B22235" t="s">
        <v>245</v>
      </c>
      <c r="C22235" s="26">
        <v>0.50939999999999996</v>
      </c>
      <c r="D22235" s="26">
        <v>0.24529999999999999</v>
      </c>
      <c r="E22235" s="26">
        <v>0.1321</v>
      </c>
      <c r="F22235" s="26">
        <v>3.7699999999999997E-2</v>
      </c>
      <c r="G22235" s="26">
        <v>1.89E-2</v>
      </c>
      <c r="J22235" s="26">
        <v>5.6599999999999998E-2</v>
      </c>
      <c r="N22235">
        <v>53</v>
      </c>
    </row>
    <row r="22236" spans="1:14" x14ac:dyDescent="0.35">
      <c r="A22236" s="27" t="s">
        <v>227</v>
      </c>
      <c r="B22236" s="27" t="s">
        <v>246</v>
      </c>
      <c r="C22236" s="28">
        <v>0.33329999999999999</v>
      </c>
      <c r="D22236" s="28">
        <v>0.41670000000000001</v>
      </c>
      <c r="E22236" s="28">
        <v>8.3299999999999999E-2</v>
      </c>
      <c r="F22236" s="28">
        <v>8.3299999999999999E-2</v>
      </c>
      <c r="G22236" s="29"/>
      <c r="H22236" s="28">
        <v>8.3299999999999999E-2</v>
      </c>
      <c r="I22236" s="29"/>
      <c r="J22236" s="29"/>
      <c r="K22236" s="29"/>
      <c r="L22236" s="29"/>
      <c r="M22236" s="29"/>
      <c r="N22236" s="29" t="s">
        <v>342</v>
      </c>
    </row>
    <row r="22237" spans="1:14" x14ac:dyDescent="0.35">
      <c r="A22237" t="s">
        <v>228</v>
      </c>
      <c r="B22237" t="s">
        <v>244</v>
      </c>
      <c r="C22237" s="26">
        <v>0.70889999999999997</v>
      </c>
      <c r="D22237" s="26">
        <v>0.12690000000000001</v>
      </c>
      <c r="E22237" s="26">
        <v>9.6600000000000005E-2</v>
      </c>
      <c r="F22237" s="26">
        <v>5.67E-2</v>
      </c>
      <c r="G22237" s="26">
        <v>4.0000000000000002E-4</v>
      </c>
      <c r="H22237" s="26">
        <v>4.3E-3</v>
      </c>
      <c r="I22237" s="26">
        <v>1.2999999999999999E-3</v>
      </c>
      <c r="J22237" s="26">
        <v>5.0000000000000001E-4</v>
      </c>
      <c r="K22237" s="26">
        <v>1.1000000000000001E-3</v>
      </c>
      <c r="L22237" s="26">
        <v>3.3999999999999998E-3</v>
      </c>
      <c r="N22237">
        <v>638</v>
      </c>
    </row>
    <row r="22238" spans="1:14" x14ac:dyDescent="0.35">
      <c r="A22238" t="s">
        <v>228</v>
      </c>
      <c r="B22238" t="s">
        <v>245</v>
      </c>
      <c r="C22238" s="26">
        <v>0.79549999999999998</v>
      </c>
      <c r="D22238" s="26">
        <v>5.6599999999999998E-2</v>
      </c>
      <c r="E22238" s="26">
        <v>7.6799999999999993E-2</v>
      </c>
      <c r="F22238" s="26">
        <v>1.6500000000000001E-2</v>
      </c>
      <c r="G22238" s="26">
        <v>1.43E-2</v>
      </c>
      <c r="H22238" s="26">
        <v>4.8999999999999998E-3</v>
      </c>
      <c r="I22238" s="26">
        <v>3.3E-3</v>
      </c>
      <c r="J22238" s="26">
        <v>3.3E-3</v>
      </c>
      <c r="K22238" s="26">
        <v>1.4500000000000001E-2</v>
      </c>
      <c r="L22238" s="26">
        <v>2.3999999999999998E-3</v>
      </c>
      <c r="M22238" s="26">
        <v>1.1900000000000001E-2</v>
      </c>
      <c r="N22238">
        <v>328</v>
      </c>
    </row>
    <row r="22239" spans="1:14" x14ac:dyDescent="0.35">
      <c r="A22239" t="s">
        <v>228</v>
      </c>
      <c r="B22239" t="s">
        <v>246</v>
      </c>
      <c r="C22239" s="26">
        <v>0.44629999999999997</v>
      </c>
      <c r="D22239" s="26">
        <v>0.35589999999999999</v>
      </c>
      <c r="E22239" s="26">
        <v>0.1062</v>
      </c>
      <c r="F22239" s="26">
        <v>8.8099999999999998E-2</v>
      </c>
      <c r="K22239" s="26">
        <v>3.5000000000000001E-3</v>
      </c>
      <c r="N22239">
        <v>67</v>
      </c>
    </row>
    <row r="22240" spans="1:14" x14ac:dyDescent="0.35">
      <c r="A22240" t="s">
        <v>229</v>
      </c>
      <c r="B22240" t="s">
        <v>244</v>
      </c>
      <c r="C22240" s="26">
        <v>0.70330000000000004</v>
      </c>
      <c r="D22240" s="26">
        <v>0.12470000000000001</v>
      </c>
      <c r="E22240" s="26">
        <v>8.6099999999999996E-2</v>
      </c>
      <c r="F22240" s="26">
        <v>6.1499999999999999E-2</v>
      </c>
      <c r="G22240" s="26">
        <v>7.1999999999999998E-3</v>
      </c>
      <c r="H22240" s="26">
        <v>9.7999999999999997E-3</v>
      </c>
      <c r="I22240" s="26">
        <v>4.5999999999999999E-3</v>
      </c>
      <c r="J22240" s="26">
        <v>1.4E-3</v>
      </c>
      <c r="L22240" s="26">
        <v>1.4E-3</v>
      </c>
      <c r="N22240">
        <v>557</v>
      </c>
    </row>
    <row r="22241" spans="1:14" x14ac:dyDescent="0.35">
      <c r="A22241" t="s">
        <v>229</v>
      </c>
      <c r="B22241" t="s">
        <v>245</v>
      </c>
      <c r="C22241" s="26">
        <v>0.75</v>
      </c>
      <c r="D22241" s="26">
        <v>8.9099999999999999E-2</v>
      </c>
      <c r="E22241" s="26">
        <v>8.2000000000000003E-2</v>
      </c>
      <c r="F22241" s="26">
        <v>5.6500000000000002E-2</v>
      </c>
      <c r="G22241" s="26">
        <v>9.9000000000000008E-3</v>
      </c>
      <c r="H22241" s="26">
        <v>4.0000000000000002E-4</v>
      </c>
      <c r="J22241" s="26">
        <v>1.2200000000000001E-2</v>
      </c>
      <c r="N22241">
        <v>293</v>
      </c>
    </row>
    <row r="22242" spans="1:14" x14ac:dyDescent="0.35">
      <c r="A22242" t="s">
        <v>229</v>
      </c>
      <c r="B22242" t="s">
        <v>246</v>
      </c>
      <c r="C22242" s="26">
        <v>0.52839999999999998</v>
      </c>
      <c r="D22242" s="26">
        <v>0.26860000000000001</v>
      </c>
      <c r="E22242" s="26">
        <v>0.1731</v>
      </c>
      <c r="F22242" s="26">
        <v>2.6700000000000002E-2</v>
      </c>
      <c r="H22242" s="26">
        <v>3.2000000000000002E-3</v>
      </c>
      <c r="N22242">
        <v>45</v>
      </c>
    </row>
    <row r="22243" spans="1:14" x14ac:dyDescent="0.35">
      <c r="A22243" t="s">
        <v>230</v>
      </c>
      <c r="B22243" t="s">
        <v>244</v>
      </c>
      <c r="C22243" s="26">
        <v>0.63180000000000003</v>
      </c>
      <c r="D22243" s="26">
        <v>0.19980000000000001</v>
      </c>
      <c r="E22243" s="26">
        <v>8.4000000000000005E-2</v>
      </c>
      <c r="F22243" s="26">
        <v>6.3299999999999995E-2</v>
      </c>
      <c r="H22243" s="26">
        <v>1.17E-2</v>
      </c>
      <c r="J22243" s="26">
        <v>1.6999999999999999E-3</v>
      </c>
      <c r="K22243" s="26">
        <v>7.7999999999999996E-3</v>
      </c>
      <c r="N22243">
        <v>370</v>
      </c>
    </row>
    <row r="22244" spans="1:14" x14ac:dyDescent="0.35">
      <c r="A22244" t="s">
        <v>230</v>
      </c>
      <c r="B22244" t="s">
        <v>245</v>
      </c>
      <c r="C22244" s="26">
        <v>0.60729999999999995</v>
      </c>
      <c r="D22244" s="26">
        <v>0.21460000000000001</v>
      </c>
      <c r="E22244" s="26">
        <v>0.13009999999999999</v>
      </c>
      <c r="F22244" s="26">
        <v>4.1300000000000003E-2</v>
      </c>
      <c r="G22244" s="26">
        <v>1.1000000000000001E-3</v>
      </c>
      <c r="H22244" s="26">
        <v>4.4999999999999997E-3</v>
      </c>
      <c r="I22244" s="26">
        <v>1.1000000000000001E-3</v>
      </c>
      <c r="N22244">
        <v>161</v>
      </c>
    </row>
    <row r="22245" spans="1:14" x14ac:dyDescent="0.35">
      <c r="A22245" s="27" t="s">
        <v>230</v>
      </c>
      <c r="B22245" s="27" t="s">
        <v>246</v>
      </c>
      <c r="C22245" s="28">
        <v>0.16639999999999999</v>
      </c>
      <c r="D22245" s="28">
        <v>0.22539999999999999</v>
      </c>
      <c r="E22245" s="28">
        <v>0.43619999999999998</v>
      </c>
      <c r="F22245" s="28">
        <v>0.15329999999999999</v>
      </c>
      <c r="G22245" s="29"/>
      <c r="H22245" s="28">
        <v>1.8700000000000001E-2</v>
      </c>
      <c r="I22245" s="29"/>
      <c r="J22245" s="29"/>
      <c r="K22245" s="29"/>
      <c r="L22245" s="29"/>
      <c r="M22245" s="29"/>
      <c r="N22245" s="29" t="s">
        <v>329</v>
      </c>
    </row>
    <row r="22246" spans="1:14" x14ac:dyDescent="0.35">
      <c r="A22246" t="s">
        <v>231</v>
      </c>
      <c r="B22246" t="s">
        <v>244</v>
      </c>
      <c r="C22246" s="26">
        <v>0.53680000000000005</v>
      </c>
      <c r="D22246" s="26">
        <v>0.1158</v>
      </c>
      <c r="E22246" s="26">
        <v>0.1789</v>
      </c>
      <c r="F22246" s="26">
        <v>0.1263</v>
      </c>
      <c r="G22246" s="26">
        <v>2.1100000000000001E-2</v>
      </c>
      <c r="H22246" s="26">
        <v>1.0500000000000001E-2</v>
      </c>
      <c r="I22246" s="26">
        <v>1.0500000000000001E-2</v>
      </c>
      <c r="N22246">
        <v>95</v>
      </c>
    </row>
    <row r="22247" spans="1:14" x14ac:dyDescent="0.35">
      <c r="A22247" t="s">
        <v>231</v>
      </c>
      <c r="B22247" t="s">
        <v>245</v>
      </c>
      <c r="C22247" s="26">
        <v>0.69640000000000002</v>
      </c>
      <c r="D22247" s="26">
        <v>3.5700000000000003E-2</v>
      </c>
      <c r="E22247" s="26">
        <v>0.1429</v>
      </c>
      <c r="F22247" s="26">
        <v>7.1400000000000005E-2</v>
      </c>
      <c r="G22247" s="26">
        <v>3.5700000000000003E-2</v>
      </c>
      <c r="I22247" s="26">
        <v>1.7899999999999999E-2</v>
      </c>
      <c r="N22247">
        <v>56</v>
      </c>
    </row>
    <row r="22248" spans="1:14" x14ac:dyDescent="0.35">
      <c r="A22248" s="27" t="s">
        <v>231</v>
      </c>
      <c r="B22248" s="27" t="s">
        <v>246</v>
      </c>
      <c r="C22248" s="28">
        <v>0.30769999999999997</v>
      </c>
      <c r="D22248" s="28">
        <v>0.15379999999999999</v>
      </c>
      <c r="E22248" s="28">
        <v>0.30769999999999997</v>
      </c>
      <c r="F22248" s="28">
        <v>0.23080000000000001</v>
      </c>
      <c r="G22248" s="29"/>
      <c r="H22248" s="29"/>
      <c r="I22248" s="29"/>
      <c r="J22248" s="29"/>
      <c r="K22248" s="29"/>
      <c r="L22248" s="29"/>
      <c r="M22248" s="29"/>
      <c r="N22248" s="29" t="s">
        <v>341</v>
      </c>
    </row>
    <row r="22249" spans="1:14" x14ac:dyDescent="0.35">
      <c r="A22249" t="s">
        <v>232</v>
      </c>
      <c r="B22249" t="s">
        <v>232</v>
      </c>
      <c r="C22249" s="26">
        <v>0.62880000000000003</v>
      </c>
      <c r="D22249" s="26">
        <v>0.14599999999999999</v>
      </c>
      <c r="E22249" s="26">
        <v>0.12520000000000001</v>
      </c>
      <c r="F22249" s="26">
        <v>7.1099999999999997E-2</v>
      </c>
      <c r="G22249" s="26">
        <v>1.06E-2</v>
      </c>
      <c r="H22249" s="26">
        <v>6.4000000000000003E-3</v>
      </c>
      <c r="I22249" s="26">
        <v>4.5999999999999999E-3</v>
      </c>
      <c r="J22249" s="26">
        <v>4.3E-3</v>
      </c>
      <c r="K22249" s="26">
        <v>1.5E-3</v>
      </c>
      <c r="L22249" s="26">
        <v>8.0000000000000004E-4</v>
      </c>
      <c r="M22249" s="26">
        <v>5.9999999999999995E-4</v>
      </c>
      <c r="N22249">
        <v>2813</v>
      </c>
    </row>
    <row r="22251" spans="1:14" x14ac:dyDescent="0.35">
      <c r="A22251" s="1" t="s">
        <v>2146</v>
      </c>
    </row>
    <row r="22252" spans="1:14" x14ac:dyDescent="0.35">
      <c r="A22252" t="s">
        <v>219</v>
      </c>
      <c r="B22252" t="s">
        <v>305</v>
      </c>
      <c r="C22252" t="s">
        <v>2134</v>
      </c>
      <c r="D22252" t="s">
        <v>2135</v>
      </c>
      <c r="E22252" t="s">
        <v>2136</v>
      </c>
      <c r="F22252" t="s">
        <v>2137</v>
      </c>
      <c r="G22252" t="s">
        <v>2138</v>
      </c>
      <c r="H22252" t="s">
        <v>2139</v>
      </c>
      <c r="I22252" t="s">
        <v>281</v>
      </c>
      <c r="J22252" t="s">
        <v>2140</v>
      </c>
      <c r="K22252" t="s">
        <v>2141</v>
      </c>
      <c r="L22252" t="s">
        <v>286</v>
      </c>
      <c r="M22252" t="s">
        <v>2142</v>
      </c>
      <c r="N22252" t="s">
        <v>226</v>
      </c>
    </row>
    <row r="22253" spans="1:14" x14ac:dyDescent="0.35">
      <c r="A22253" t="s">
        <v>227</v>
      </c>
      <c r="B22253" t="s">
        <v>360</v>
      </c>
      <c r="C22253" s="26">
        <v>0.28210000000000002</v>
      </c>
      <c r="D22253" s="26">
        <v>0.46150000000000002</v>
      </c>
      <c r="E22253" s="26">
        <v>0.23080000000000001</v>
      </c>
      <c r="J22253" s="26">
        <v>2.5600000000000001E-2</v>
      </c>
      <c r="N22253">
        <v>39</v>
      </c>
    </row>
    <row r="22254" spans="1:14" x14ac:dyDescent="0.35">
      <c r="A22254" t="s">
        <v>227</v>
      </c>
      <c r="B22254" t="s">
        <v>361</v>
      </c>
      <c r="C22254" s="26">
        <v>0.65620000000000001</v>
      </c>
      <c r="D22254" s="26">
        <v>0.21879999999999999</v>
      </c>
      <c r="E22254" s="26">
        <v>6.25E-2</v>
      </c>
      <c r="F22254" s="26">
        <v>6.25E-2</v>
      </c>
      <c r="N22254">
        <v>32</v>
      </c>
    </row>
    <row r="22255" spans="1:14" x14ac:dyDescent="0.35">
      <c r="A22255" t="s">
        <v>227</v>
      </c>
      <c r="B22255" t="s">
        <v>362</v>
      </c>
      <c r="C22255" s="26">
        <v>0.43240000000000001</v>
      </c>
      <c r="D22255" s="26">
        <v>0.2432</v>
      </c>
      <c r="E22255" s="26">
        <v>0.2162</v>
      </c>
      <c r="F22255" s="26">
        <v>5.4100000000000002E-2</v>
      </c>
      <c r="H22255" s="26">
        <v>2.7E-2</v>
      </c>
      <c r="J22255" s="26">
        <v>2.7E-2</v>
      </c>
      <c r="N22255">
        <v>37</v>
      </c>
    </row>
    <row r="22256" spans="1:14" x14ac:dyDescent="0.35">
      <c r="A22256" t="s">
        <v>227</v>
      </c>
      <c r="B22256" t="s">
        <v>363</v>
      </c>
      <c r="C22256" s="26">
        <v>0.6</v>
      </c>
      <c r="D22256" s="26">
        <v>0.2</v>
      </c>
      <c r="E22256" s="26">
        <v>8.8900000000000007E-2</v>
      </c>
      <c r="F22256" s="26">
        <v>6.6699999999999995E-2</v>
      </c>
      <c r="G22256" s="26">
        <v>2.2200000000000001E-2</v>
      </c>
      <c r="J22256" s="26">
        <v>2.2200000000000001E-2</v>
      </c>
      <c r="N22256">
        <v>45</v>
      </c>
    </row>
    <row r="22257" spans="1:14" x14ac:dyDescent="0.35">
      <c r="A22257" t="s">
        <v>228</v>
      </c>
      <c r="B22257" t="s">
        <v>360</v>
      </c>
      <c r="C22257" s="26">
        <v>0.54390000000000005</v>
      </c>
      <c r="D22257" s="26">
        <v>0.18290000000000001</v>
      </c>
      <c r="E22257" s="26">
        <v>0.16489999999999999</v>
      </c>
      <c r="F22257" s="26">
        <v>4.8599999999999997E-2</v>
      </c>
      <c r="G22257" s="26">
        <v>1.7999999999999999E-2</v>
      </c>
      <c r="H22257" s="26">
        <v>4.1999999999999997E-3</v>
      </c>
      <c r="I22257" s="26">
        <v>6.0000000000000001E-3</v>
      </c>
      <c r="J22257" s="26">
        <v>4.5999999999999999E-3</v>
      </c>
      <c r="K22257" s="26">
        <v>3.7000000000000002E-3</v>
      </c>
      <c r="L22257" s="26">
        <v>6.3E-3</v>
      </c>
      <c r="M22257" s="26">
        <v>1.6799999999999999E-2</v>
      </c>
      <c r="N22257">
        <v>258</v>
      </c>
    </row>
    <row r="22258" spans="1:14" x14ac:dyDescent="0.35">
      <c r="A22258" t="s">
        <v>228</v>
      </c>
      <c r="B22258" t="s">
        <v>361</v>
      </c>
      <c r="C22258" s="26">
        <v>0.85389999999999999</v>
      </c>
      <c r="D22258" s="26">
        <v>6.4399999999999999E-2</v>
      </c>
      <c r="E22258" s="26">
        <v>3.0499999999999999E-2</v>
      </c>
      <c r="F22258" s="26">
        <v>4.9500000000000002E-2</v>
      </c>
      <c r="H22258" s="26">
        <v>1.6999999999999999E-3</v>
      </c>
      <c r="N22258">
        <v>194</v>
      </c>
    </row>
    <row r="22259" spans="1:14" x14ac:dyDescent="0.35">
      <c r="A22259" t="s">
        <v>228</v>
      </c>
      <c r="B22259" t="s">
        <v>363</v>
      </c>
      <c r="C22259" s="26">
        <v>0.69979999999999998</v>
      </c>
      <c r="D22259" s="26">
        <v>0.1545</v>
      </c>
      <c r="E22259" s="26">
        <v>7.8799999999999995E-2</v>
      </c>
      <c r="F22259" s="26">
        <v>5.96E-2</v>
      </c>
      <c r="G22259" s="26">
        <v>1.6999999999999999E-3</v>
      </c>
      <c r="H22259" s="26">
        <v>4.0000000000000001E-3</v>
      </c>
      <c r="J22259" s="26">
        <v>1.5E-3</v>
      </c>
      <c r="N22259">
        <v>212</v>
      </c>
    </row>
    <row r="22260" spans="1:14" x14ac:dyDescent="0.35">
      <c r="A22260" t="s">
        <v>228</v>
      </c>
      <c r="B22260" t="s">
        <v>362</v>
      </c>
      <c r="C22260" s="26">
        <v>0.74299999999999999</v>
      </c>
      <c r="D22260" s="26">
        <v>0.1042</v>
      </c>
      <c r="E22260" s="26">
        <v>0.1101</v>
      </c>
      <c r="F22260" s="26">
        <v>3.04E-2</v>
      </c>
      <c r="G22260" s="26">
        <v>1E-3</v>
      </c>
      <c r="H22260" s="26">
        <v>6.7999999999999996E-3</v>
      </c>
      <c r="I22260" s="26">
        <v>2.3999999999999998E-3</v>
      </c>
      <c r="K22260" s="26">
        <v>1E-3</v>
      </c>
      <c r="L22260" s="26">
        <v>1E-3</v>
      </c>
      <c r="N22260">
        <v>236</v>
      </c>
    </row>
    <row r="22261" spans="1:14" x14ac:dyDescent="0.35">
      <c r="A22261" t="s">
        <v>229</v>
      </c>
      <c r="B22261" t="s">
        <v>363</v>
      </c>
      <c r="C22261" s="26">
        <v>0.72599999999999998</v>
      </c>
      <c r="D22261" s="26">
        <v>0.1429</v>
      </c>
      <c r="E22261" s="26">
        <v>6.83E-2</v>
      </c>
      <c r="F22261" s="26">
        <v>4.7300000000000002E-2</v>
      </c>
      <c r="H22261" s="26">
        <v>1.55E-2</v>
      </c>
      <c r="N22261">
        <v>191</v>
      </c>
    </row>
    <row r="22262" spans="1:14" x14ac:dyDescent="0.35">
      <c r="A22262" t="s">
        <v>229</v>
      </c>
      <c r="B22262" t="s">
        <v>360</v>
      </c>
      <c r="C22262" s="26">
        <v>0.4642</v>
      </c>
      <c r="D22262" s="26">
        <v>0.20399999999999999</v>
      </c>
      <c r="E22262" s="26">
        <v>0.2273</v>
      </c>
      <c r="F22262" s="26">
        <v>5.6399999999999999E-2</v>
      </c>
      <c r="H22262" s="26">
        <v>2.4400000000000002E-2</v>
      </c>
      <c r="I22262" s="26">
        <v>1.6199999999999999E-2</v>
      </c>
      <c r="J22262" s="26">
        <v>3.2000000000000002E-3</v>
      </c>
      <c r="L22262" s="26">
        <v>4.3E-3</v>
      </c>
      <c r="N22262">
        <v>164</v>
      </c>
    </row>
    <row r="22263" spans="1:14" x14ac:dyDescent="0.35">
      <c r="A22263" t="s">
        <v>229</v>
      </c>
      <c r="B22263" t="s">
        <v>361</v>
      </c>
      <c r="C22263" s="26">
        <v>0.79990000000000006</v>
      </c>
      <c r="D22263" s="26">
        <v>7.9000000000000001E-2</v>
      </c>
      <c r="E22263" s="26">
        <v>2.8199999999999999E-2</v>
      </c>
      <c r="F22263" s="26">
        <v>7.9699999999999993E-2</v>
      </c>
      <c r="G22263" s="26">
        <v>6.6E-3</v>
      </c>
      <c r="J22263" s="26">
        <v>6.6E-3</v>
      </c>
      <c r="N22263">
        <v>243</v>
      </c>
    </row>
    <row r="22264" spans="1:14" x14ac:dyDescent="0.35">
      <c r="A22264" t="s">
        <v>229</v>
      </c>
      <c r="B22264" t="s">
        <v>362</v>
      </c>
      <c r="C22264" s="26">
        <v>0.58730000000000004</v>
      </c>
      <c r="D22264" s="26">
        <v>0.16769999999999999</v>
      </c>
      <c r="E22264" s="26">
        <v>0.16800000000000001</v>
      </c>
      <c r="F22264" s="26">
        <v>5.2600000000000001E-2</v>
      </c>
      <c r="G22264" s="26">
        <v>1.55E-2</v>
      </c>
      <c r="H22264" s="26">
        <v>2E-3</v>
      </c>
      <c r="J22264" s="26">
        <v>6.7999999999999996E-3</v>
      </c>
      <c r="N22264">
        <v>171</v>
      </c>
    </row>
    <row r="22265" spans="1:14" x14ac:dyDescent="0.35">
      <c r="A22265" t="s">
        <v>230</v>
      </c>
      <c r="B22265" t="s">
        <v>360</v>
      </c>
      <c r="C22265" s="26">
        <v>0.42580000000000001</v>
      </c>
      <c r="D22265" s="26">
        <v>0.21290000000000001</v>
      </c>
      <c r="E22265" s="26">
        <v>0.20660000000000001</v>
      </c>
      <c r="F22265" s="26">
        <v>0.1434</v>
      </c>
      <c r="H22265" s="26">
        <v>9.7000000000000003E-3</v>
      </c>
      <c r="J22265" s="26">
        <v>1.5E-3</v>
      </c>
      <c r="N22265">
        <v>120</v>
      </c>
    </row>
    <row r="22266" spans="1:14" x14ac:dyDescent="0.35">
      <c r="A22266" t="s">
        <v>230</v>
      </c>
      <c r="B22266" t="s">
        <v>363</v>
      </c>
      <c r="C22266" s="26">
        <v>0.67920000000000003</v>
      </c>
      <c r="D22266" s="26">
        <v>0.24030000000000001</v>
      </c>
      <c r="E22266" s="26">
        <v>2.0500000000000001E-2</v>
      </c>
      <c r="F22266" s="26">
        <v>5.2299999999999999E-2</v>
      </c>
      <c r="H22266" s="26">
        <v>3.8E-3</v>
      </c>
      <c r="J22266" s="26">
        <v>3.8999999999999998E-3</v>
      </c>
      <c r="N22266">
        <v>127</v>
      </c>
    </row>
    <row r="22267" spans="1:14" x14ac:dyDescent="0.35">
      <c r="A22267" t="s">
        <v>230</v>
      </c>
      <c r="B22267" t="s">
        <v>361</v>
      </c>
      <c r="C22267" s="26">
        <v>0.71020000000000005</v>
      </c>
      <c r="D22267" s="26">
        <v>0.18740000000000001</v>
      </c>
      <c r="E22267" s="26">
        <v>5.4199999999999998E-2</v>
      </c>
      <c r="F22267" s="26">
        <v>4.7100000000000003E-2</v>
      </c>
      <c r="G22267" s="26">
        <v>1.1000000000000001E-3</v>
      </c>
      <c r="N22267">
        <v>109</v>
      </c>
    </row>
    <row r="22268" spans="1:14" x14ac:dyDescent="0.35">
      <c r="A22268" t="s">
        <v>230</v>
      </c>
      <c r="B22268" t="s">
        <v>362</v>
      </c>
      <c r="C22268" s="26">
        <v>0.48820000000000002</v>
      </c>
      <c r="D22268" s="26">
        <v>0.23680000000000001</v>
      </c>
      <c r="E22268" s="26">
        <v>0.18709999999999999</v>
      </c>
      <c r="F22268" s="26">
        <v>3.9199999999999999E-2</v>
      </c>
      <c r="H22268" s="26">
        <v>2.6100000000000002E-2</v>
      </c>
      <c r="I22268" s="26">
        <v>1.1000000000000001E-3</v>
      </c>
      <c r="K22268" s="26">
        <v>2.1499999999999998E-2</v>
      </c>
      <c r="N22268">
        <v>148</v>
      </c>
    </row>
    <row r="22269" spans="1:14" x14ac:dyDescent="0.35">
      <c r="A22269" s="27" t="s">
        <v>231</v>
      </c>
      <c r="B22269" s="27" t="s">
        <v>362</v>
      </c>
      <c r="C22269" s="28">
        <v>0.48280000000000001</v>
      </c>
      <c r="D22269" s="28">
        <v>0.10340000000000001</v>
      </c>
      <c r="E22269" s="28">
        <v>0.27589999999999998</v>
      </c>
      <c r="F22269" s="28">
        <v>0.13789999999999999</v>
      </c>
      <c r="G22269" s="29"/>
      <c r="H22269" s="29"/>
      <c r="I22269" s="29"/>
      <c r="J22269" s="29"/>
      <c r="K22269" s="29"/>
      <c r="L22269" s="29"/>
      <c r="M22269" s="29"/>
      <c r="N22269" s="29" t="s">
        <v>329</v>
      </c>
    </row>
    <row r="22270" spans="1:14" x14ac:dyDescent="0.35">
      <c r="A22270" t="s">
        <v>231</v>
      </c>
      <c r="B22270" t="s">
        <v>361</v>
      </c>
      <c r="C22270" s="26">
        <v>0.76</v>
      </c>
      <c r="D22270" s="26">
        <v>0.08</v>
      </c>
      <c r="E22270" s="26">
        <v>0.02</v>
      </c>
      <c r="F22270" s="26">
        <v>0.12</v>
      </c>
      <c r="I22270" s="26">
        <v>0.02</v>
      </c>
      <c r="N22270">
        <v>50</v>
      </c>
    </row>
    <row r="22271" spans="1:14" x14ac:dyDescent="0.35">
      <c r="A22271" t="s">
        <v>231</v>
      </c>
      <c r="B22271" t="s">
        <v>360</v>
      </c>
      <c r="C22271" s="26">
        <v>0.38640000000000002</v>
      </c>
      <c r="D22271" s="26">
        <v>0.13639999999999999</v>
      </c>
      <c r="E22271" s="26">
        <v>0.2727</v>
      </c>
      <c r="F22271" s="26">
        <v>0.11360000000000001</v>
      </c>
      <c r="G22271" s="26">
        <v>6.8199999999999997E-2</v>
      </c>
      <c r="I22271" s="26">
        <v>2.2700000000000001E-2</v>
      </c>
      <c r="N22271">
        <v>44</v>
      </c>
    </row>
    <row r="22272" spans="1:14" x14ac:dyDescent="0.35">
      <c r="A22272" s="27" t="s">
        <v>231</v>
      </c>
      <c r="B22272" s="27" t="s">
        <v>363</v>
      </c>
      <c r="C22272" s="28">
        <v>0.55559999999999998</v>
      </c>
      <c r="D22272" s="28">
        <v>7.4099999999999999E-2</v>
      </c>
      <c r="E22272" s="28">
        <v>0.22220000000000001</v>
      </c>
      <c r="F22272" s="28">
        <v>0.1111</v>
      </c>
      <c r="G22272" s="28">
        <v>3.6999999999999998E-2</v>
      </c>
      <c r="H22272" s="29"/>
      <c r="I22272" s="29"/>
      <c r="J22272" s="29"/>
      <c r="K22272" s="29"/>
      <c r="L22272" s="29"/>
      <c r="M22272" s="29"/>
      <c r="N22272" s="29" t="s">
        <v>338</v>
      </c>
    </row>
    <row r="22273" spans="1:14" x14ac:dyDescent="0.35">
      <c r="A22273" t="s">
        <v>232</v>
      </c>
      <c r="B22273" t="s">
        <v>232</v>
      </c>
      <c r="C22273" s="26">
        <v>0.62880000000000003</v>
      </c>
      <c r="D22273" s="26">
        <v>0.14599999999999999</v>
      </c>
      <c r="E22273" s="26">
        <v>0.12520000000000001</v>
      </c>
      <c r="F22273" s="26">
        <v>7.1099999999999997E-2</v>
      </c>
      <c r="G22273" s="26">
        <v>1.06E-2</v>
      </c>
      <c r="H22273" s="26">
        <v>6.4000000000000003E-3</v>
      </c>
      <c r="I22273" s="26">
        <v>4.5999999999999999E-3</v>
      </c>
      <c r="J22273" s="26">
        <v>4.3E-3</v>
      </c>
      <c r="K22273" s="26">
        <v>1.5E-3</v>
      </c>
      <c r="L22273" s="26">
        <v>8.0000000000000004E-4</v>
      </c>
      <c r="M22273" s="26">
        <v>5.9999999999999995E-4</v>
      </c>
      <c r="N22273">
        <v>2476</v>
      </c>
    </row>
    <row r="22275" spans="1:14" x14ac:dyDescent="0.35">
      <c r="A22275" s="1" t="s">
        <v>2147</v>
      </c>
    </row>
    <row r="22276" spans="1:14" x14ac:dyDescent="0.35">
      <c r="A22276" t="s">
        <v>219</v>
      </c>
      <c r="B22276" t="s">
        <v>305</v>
      </c>
      <c r="C22276" t="s">
        <v>2134</v>
      </c>
      <c r="D22276" t="s">
        <v>2135</v>
      </c>
      <c r="E22276" t="s">
        <v>2136</v>
      </c>
      <c r="F22276" t="s">
        <v>2137</v>
      </c>
      <c r="G22276" t="s">
        <v>2138</v>
      </c>
      <c r="H22276" t="s">
        <v>2139</v>
      </c>
      <c r="I22276" t="s">
        <v>281</v>
      </c>
      <c r="J22276" t="s">
        <v>2140</v>
      </c>
      <c r="K22276" t="s">
        <v>2141</v>
      </c>
      <c r="L22276" t="s">
        <v>286</v>
      </c>
      <c r="M22276" t="s">
        <v>2142</v>
      </c>
      <c r="N22276" t="s">
        <v>226</v>
      </c>
    </row>
    <row r="22277" spans="1:14" x14ac:dyDescent="0.35">
      <c r="A22277" t="s">
        <v>227</v>
      </c>
      <c r="B22277" t="s">
        <v>267</v>
      </c>
      <c r="C22277" s="26">
        <v>0.5</v>
      </c>
      <c r="D22277" s="26">
        <v>0.19439999999999999</v>
      </c>
      <c r="E22277" s="26">
        <v>0.19439999999999999</v>
      </c>
      <c r="F22277" s="26">
        <v>8.3299999999999999E-2</v>
      </c>
      <c r="J22277" s="26">
        <v>2.7799999999999998E-2</v>
      </c>
      <c r="N22277">
        <v>36</v>
      </c>
    </row>
    <row r="22278" spans="1:14" x14ac:dyDescent="0.35">
      <c r="A22278" t="s">
        <v>227</v>
      </c>
      <c r="B22278" t="s">
        <v>266</v>
      </c>
      <c r="C22278" s="26">
        <v>0.52539999999999998</v>
      </c>
      <c r="D22278" s="26">
        <v>0.23730000000000001</v>
      </c>
      <c r="E22278" s="26">
        <v>0.16950000000000001</v>
      </c>
      <c r="F22278" s="26">
        <v>1.6899999999999998E-2</v>
      </c>
      <c r="G22278" s="26">
        <v>1.6899999999999998E-2</v>
      </c>
      <c r="J22278" s="26">
        <v>3.39E-2</v>
      </c>
      <c r="N22278">
        <v>59</v>
      </c>
    </row>
    <row r="22279" spans="1:14" x14ac:dyDescent="0.35">
      <c r="A22279" t="s">
        <v>227</v>
      </c>
      <c r="B22279" t="s">
        <v>265</v>
      </c>
      <c r="C22279" s="26">
        <v>0.45450000000000002</v>
      </c>
      <c r="D22279" s="26">
        <v>0.36359999999999998</v>
      </c>
      <c r="E22279" s="26">
        <v>0.1061</v>
      </c>
      <c r="F22279" s="26">
        <v>6.0600000000000001E-2</v>
      </c>
      <c r="H22279" s="26">
        <v>1.52E-2</v>
      </c>
      <c r="N22279">
        <v>66</v>
      </c>
    </row>
    <row r="22280" spans="1:14" x14ac:dyDescent="0.35">
      <c r="A22280" t="s">
        <v>228</v>
      </c>
      <c r="B22280" t="s">
        <v>267</v>
      </c>
      <c r="C22280" s="26">
        <v>0.74539999999999995</v>
      </c>
      <c r="D22280" s="26">
        <v>8.14E-2</v>
      </c>
      <c r="E22280" s="26">
        <v>8.6900000000000005E-2</v>
      </c>
      <c r="F22280" s="26">
        <v>6.3899999999999998E-2</v>
      </c>
      <c r="H22280" s="26">
        <v>1.18E-2</v>
      </c>
      <c r="I22280" s="26">
        <v>3.2000000000000002E-3</v>
      </c>
      <c r="J22280" s="26">
        <v>2.0999999999999999E-3</v>
      </c>
      <c r="K22280" s="26">
        <v>2.8999999999999998E-3</v>
      </c>
      <c r="L22280" s="26">
        <v>2.3999999999999998E-3</v>
      </c>
      <c r="N22280">
        <v>199</v>
      </c>
    </row>
    <row r="22281" spans="1:14" x14ac:dyDescent="0.35">
      <c r="A22281" t="s">
        <v>228</v>
      </c>
      <c r="B22281" t="s">
        <v>265</v>
      </c>
      <c r="C22281" s="26">
        <v>0.66700000000000004</v>
      </c>
      <c r="D22281" s="26">
        <v>0.17929999999999999</v>
      </c>
      <c r="E22281" s="26">
        <v>7.8200000000000006E-2</v>
      </c>
      <c r="F22281" s="26">
        <v>6.7599999999999993E-2</v>
      </c>
      <c r="G22281" s="26">
        <v>5.9999999999999995E-4</v>
      </c>
      <c r="H22281" s="26">
        <v>3.0000000000000001E-3</v>
      </c>
      <c r="L22281" s="26">
        <v>4.3E-3</v>
      </c>
      <c r="N22281">
        <v>384</v>
      </c>
    </row>
    <row r="22282" spans="1:14" x14ac:dyDescent="0.35">
      <c r="A22282" s="27" t="s">
        <v>228</v>
      </c>
      <c r="B22282" s="27" t="s">
        <v>236</v>
      </c>
      <c r="C22282" s="28">
        <v>0.5</v>
      </c>
      <c r="D22282" s="29"/>
      <c r="E22282" s="28">
        <v>0.5</v>
      </c>
      <c r="F22282" s="29"/>
      <c r="G22282" s="29"/>
      <c r="H22282" s="29"/>
      <c r="I22282" s="29"/>
      <c r="J22282" s="29"/>
      <c r="K22282" s="29"/>
      <c r="L22282" s="29"/>
      <c r="M22282" s="29"/>
      <c r="N22282" s="29" t="s">
        <v>314</v>
      </c>
    </row>
    <row r="22283" spans="1:14" x14ac:dyDescent="0.35">
      <c r="A22283" t="s">
        <v>228</v>
      </c>
      <c r="B22283" t="s">
        <v>266</v>
      </c>
      <c r="C22283" s="26">
        <v>0.75439999999999996</v>
      </c>
      <c r="D22283" s="26">
        <v>8.5400000000000004E-2</v>
      </c>
      <c r="E22283" s="26">
        <v>0.1007</v>
      </c>
      <c r="F22283" s="26">
        <v>2.1600000000000001E-2</v>
      </c>
      <c r="G22283" s="26">
        <v>9.7000000000000003E-3</v>
      </c>
      <c r="H22283" s="26">
        <v>2.3E-3</v>
      </c>
      <c r="I22283" s="26">
        <v>2.8999999999999998E-3</v>
      </c>
      <c r="J22283" s="26">
        <v>2.2000000000000001E-3</v>
      </c>
      <c r="K22283" s="26">
        <v>1.0999999999999999E-2</v>
      </c>
      <c r="L22283" s="26">
        <v>1.6000000000000001E-3</v>
      </c>
      <c r="M22283" s="26">
        <v>8.0999999999999996E-3</v>
      </c>
      <c r="N22283">
        <v>448</v>
      </c>
    </row>
    <row r="22284" spans="1:14" x14ac:dyDescent="0.35">
      <c r="A22284" t="s">
        <v>229</v>
      </c>
      <c r="B22284" t="s">
        <v>266</v>
      </c>
      <c r="C22284" s="26">
        <v>0.74509999999999998</v>
      </c>
      <c r="D22284" s="26">
        <v>0.1215</v>
      </c>
      <c r="E22284" s="26">
        <v>8.9499999999999996E-2</v>
      </c>
      <c r="F22284" s="26">
        <v>2.53E-2</v>
      </c>
      <c r="G22284" s="26">
        <v>7.6E-3</v>
      </c>
      <c r="H22284" s="26">
        <v>2.9999999999999997E-4</v>
      </c>
      <c r="J22284" s="26">
        <v>1.0699999999999999E-2</v>
      </c>
      <c r="N22284">
        <v>359</v>
      </c>
    </row>
    <row r="22285" spans="1:14" x14ac:dyDescent="0.35">
      <c r="A22285" t="s">
        <v>229</v>
      </c>
      <c r="B22285" t="s">
        <v>267</v>
      </c>
      <c r="C22285" s="26">
        <v>0.70489999999999997</v>
      </c>
      <c r="D22285" s="26">
        <v>8.7400000000000005E-2</v>
      </c>
      <c r="E22285" s="26">
        <v>0.1075</v>
      </c>
      <c r="F22285" s="26">
        <v>7.6399999999999996E-2</v>
      </c>
      <c r="G22285" s="26">
        <v>1.1299999999999999E-2</v>
      </c>
      <c r="H22285" s="26">
        <v>1.1299999999999999E-2</v>
      </c>
      <c r="J22285" s="26">
        <v>1.1999999999999999E-3</v>
      </c>
      <c r="N22285">
        <v>201</v>
      </c>
    </row>
    <row r="22286" spans="1:14" x14ac:dyDescent="0.35">
      <c r="A22286" t="s">
        <v>229</v>
      </c>
      <c r="B22286" t="s">
        <v>265</v>
      </c>
      <c r="C22286" s="26">
        <v>0.67759999999999998</v>
      </c>
      <c r="D22286" s="26">
        <v>0.1424</v>
      </c>
      <c r="E22286" s="26">
        <v>8.1000000000000003E-2</v>
      </c>
      <c r="F22286" s="26">
        <v>7.3599999999999999E-2</v>
      </c>
      <c r="G22286" s="26">
        <v>5.5999999999999999E-3</v>
      </c>
      <c r="H22286" s="26">
        <v>9.7999999999999997E-3</v>
      </c>
      <c r="I22286" s="26">
        <v>7.1000000000000004E-3</v>
      </c>
      <c r="J22286" s="26">
        <v>6.9999999999999999E-4</v>
      </c>
      <c r="L22286" s="26">
        <v>2.2000000000000001E-3</v>
      </c>
      <c r="N22286">
        <v>335</v>
      </c>
    </row>
    <row r="22287" spans="1:14" x14ac:dyDescent="0.35">
      <c r="A22287" t="s">
        <v>230</v>
      </c>
      <c r="B22287" t="s">
        <v>267</v>
      </c>
      <c r="C22287" s="26">
        <v>0.66190000000000004</v>
      </c>
      <c r="D22287" s="26">
        <v>0.13420000000000001</v>
      </c>
      <c r="E22287" s="26">
        <v>0.1198</v>
      </c>
      <c r="F22287" s="26">
        <v>3.5099999999999999E-2</v>
      </c>
      <c r="H22287" s="26">
        <v>2.4500000000000001E-2</v>
      </c>
      <c r="K22287" s="26">
        <v>2.4500000000000001E-2</v>
      </c>
      <c r="N22287">
        <v>119</v>
      </c>
    </row>
    <row r="22288" spans="1:14" x14ac:dyDescent="0.35">
      <c r="A22288" t="s">
        <v>230</v>
      </c>
      <c r="B22288" t="s">
        <v>266</v>
      </c>
      <c r="C22288" s="26">
        <v>0.59670000000000001</v>
      </c>
      <c r="D22288" s="26">
        <v>0.17730000000000001</v>
      </c>
      <c r="E22288" s="26">
        <v>0.13950000000000001</v>
      </c>
      <c r="F22288" s="26">
        <v>7.6799999999999993E-2</v>
      </c>
      <c r="G22288" s="26">
        <v>8.0000000000000004E-4</v>
      </c>
      <c r="H22288" s="26">
        <v>8.2000000000000007E-3</v>
      </c>
      <c r="I22288" s="26">
        <v>8.0000000000000004E-4</v>
      </c>
      <c r="N22288">
        <v>232</v>
      </c>
    </row>
    <row r="22289" spans="1:14" x14ac:dyDescent="0.35">
      <c r="A22289" t="s">
        <v>230</v>
      </c>
      <c r="B22289" t="s">
        <v>265</v>
      </c>
      <c r="C22289" s="26">
        <v>0.57709999999999995</v>
      </c>
      <c r="D22289" s="26">
        <v>0.26579999999999998</v>
      </c>
      <c r="E22289" s="26">
        <v>8.6699999999999999E-2</v>
      </c>
      <c r="F22289" s="26">
        <v>6.3299999999999995E-2</v>
      </c>
      <c r="H22289" s="26">
        <v>4.3E-3</v>
      </c>
      <c r="J22289" s="26">
        <v>2.8E-3</v>
      </c>
      <c r="N22289">
        <v>209</v>
      </c>
    </row>
    <row r="22290" spans="1:14" x14ac:dyDescent="0.35">
      <c r="A22290" t="s">
        <v>231</v>
      </c>
      <c r="B22290" t="s">
        <v>267</v>
      </c>
      <c r="C22290" s="26">
        <v>0.52939999999999998</v>
      </c>
      <c r="D22290" s="26">
        <v>2.9399999999999999E-2</v>
      </c>
      <c r="E22290" s="26">
        <v>0.17649999999999999</v>
      </c>
      <c r="F22290" s="26">
        <v>0.17649999999999999</v>
      </c>
      <c r="G22290" s="26">
        <v>5.8799999999999998E-2</v>
      </c>
      <c r="H22290" s="26">
        <v>2.9399999999999999E-2</v>
      </c>
      <c r="N22290">
        <v>34</v>
      </c>
    </row>
    <row r="22291" spans="1:14" x14ac:dyDescent="0.35">
      <c r="A22291" t="s">
        <v>231</v>
      </c>
      <c r="B22291" t="s">
        <v>266</v>
      </c>
      <c r="C22291" s="26">
        <v>0.6613</v>
      </c>
      <c r="D22291" s="26">
        <v>6.4500000000000002E-2</v>
      </c>
      <c r="E22291" s="26">
        <v>0.19350000000000001</v>
      </c>
      <c r="F22291" s="26">
        <v>6.4500000000000002E-2</v>
      </c>
      <c r="I22291" s="26">
        <v>1.61E-2</v>
      </c>
      <c r="N22291">
        <v>62</v>
      </c>
    </row>
    <row r="22292" spans="1:14" x14ac:dyDescent="0.35">
      <c r="A22292" t="s">
        <v>231</v>
      </c>
      <c r="B22292" t="s">
        <v>265</v>
      </c>
      <c r="C22292" s="26">
        <v>0.51470000000000005</v>
      </c>
      <c r="D22292" s="26">
        <v>0.14710000000000001</v>
      </c>
      <c r="E22292" s="26">
        <v>0.1618</v>
      </c>
      <c r="F22292" s="26">
        <v>0.13239999999999999</v>
      </c>
      <c r="G22292" s="26">
        <v>2.9399999999999999E-2</v>
      </c>
      <c r="I22292" s="26">
        <v>1.47E-2</v>
      </c>
      <c r="N22292">
        <v>68</v>
      </c>
    </row>
    <row r="22293" spans="1:14" x14ac:dyDescent="0.35">
      <c r="A22293" t="s">
        <v>232</v>
      </c>
      <c r="B22293" t="s">
        <v>232</v>
      </c>
      <c r="C22293" s="26">
        <v>0.62880000000000003</v>
      </c>
      <c r="D22293" s="26">
        <v>0.14599999999999999</v>
      </c>
      <c r="E22293" s="26">
        <v>0.12520000000000001</v>
      </c>
      <c r="F22293" s="26">
        <v>7.1099999999999997E-2</v>
      </c>
      <c r="G22293" s="26">
        <v>1.06E-2</v>
      </c>
      <c r="H22293" s="26">
        <v>6.4000000000000003E-3</v>
      </c>
      <c r="I22293" s="26">
        <v>4.5999999999999999E-3</v>
      </c>
      <c r="J22293" s="26">
        <v>4.3E-3</v>
      </c>
      <c r="K22293" s="26">
        <v>1.5E-3</v>
      </c>
      <c r="L22293" s="26">
        <v>8.0000000000000004E-4</v>
      </c>
      <c r="M22293" s="26">
        <v>5.9999999999999995E-4</v>
      </c>
      <c r="N22293">
        <v>2813</v>
      </c>
    </row>
    <row r="22295" spans="1:14" x14ac:dyDescent="0.35">
      <c r="A22295" s="1" t="s">
        <v>2148</v>
      </c>
    </row>
    <row r="22296" spans="1:14" x14ac:dyDescent="0.35">
      <c r="A22296" t="s">
        <v>219</v>
      </c>
      <c r="B22296" t="s">
        <v>305</v>
      </c>
      <c r="C22296" t="s">
        <v>2134</v>
      </c>
      <c r="D22296" t="s">
        <v>2135</v>
      </c>
      <c r="E22296" t="s">
        <v>2136</v>
      </c>
      <c r="F22296" t="s">
        <v>2137</v>
      </c>
      <c r="G22296" t="s">
        <v>2138</v>
      </c>
      <c r="H22296" t="s">
        <v>2139</v>
      </c>
      <c r="I22296" t="s">
        <v>281</v>
      </c>
      <c r="J22296" t="s">
        <v>2140</v>
      </c>
      <c r="K22296" t="s">
        <v>2141</v>
      </c>
      <c r="L22296" t="s">
        <v>286</v>
      </c>
      <c r="M22296" t="s">
        <v>2142</v>
      </c>
      <c r="N22296" t="s">
        <v>226</v>
      </c>
    </row>
    <row r="22297" spans="1:14" x14ac:dyDescent="0.35">
      <c r="A22297" t="s">
        <v>227</v>
      </c>
      <c r="B22297" t="s">
        <v>252</v>
      </c>
      <c r="C22297" s="26">
        <v>0.42220000000000002</v>
      </c>
      <c r="D22297" s="26">
        <v>0.22220000000000001</v>
      </c>
      <c r="E22297" s="26">
        <v>0.24440000000000001</v>
      </c>
      <c r="F22297" s="26">
        <v>6.6699999999999995E-2</v>
      </c>
      <c r="J22297" s="26">
        <v>4.4400000000000002E-2</v>
      </c>
      <c r="N22297">
        <v>45</v>
      </c>
    </row>
    <row r="22298" spans="1:14" x14ac:dyDescent="0.35">
      <c r="A22298" t="s">
        <v>227</v>
      </c>
      <c r="B22298" t="s">
        <v>253</v>
      </c>
      <c r="C22298" s="26">
        <v>0.4118</v>
      </c>
      <c r="D22298" s="26">
        <v>0.32350000000000001</v>
      </c>
      <c r="E22298" s="26">
        <v>0.14710000000000001</v>
      </c>
      <c r="F22298" s="26">
        <v>0.1176</v>
      </c>
      <c r="N22298">
        <v>34</v>
      </c>
    </row>
    <row r="22299" spans="1:14" x14ac:dyDescent="0.35">
      <c r="A22299" t="s">
        <v>227</v>
      </c>
      <c r="B22299" t="s">
        <v>251</v>
      </c>
      <c r="C22299" s="26">
        <v>0.56100000000000005</v>
      </c>
      <c r="D22299" s="26">
        <v>0.29270000000000002</v>
      </c>
      <c r="E22299" s="26">
        <v>9.7600000000000006E-2</v>
      </c>
      <c r="F22299" s="26">
        <v>1.2200000000000001E-2</v>
      </c>
      <c r="G22299" s="26">
        <v>1.2200000000000001E-2</v>
      </c>
      <c r="H22299" s="26">
        <v>1.2200000000000001E-2</v>
      </c>
      <c r="J22299" s="26">
        <v>1.2200000000000001E-2</v>
      </c>
      <c r="N22299">
        <v>82</v>
      </c>
    </row>
    <row r="22300" spans="1:14" x14ac:dyDescent="0.35">
      <c r="A22300" t="s">
        <v>228</v>
      </c>
      <c r="B22300" t="s">
        <v>252</v>
      </c>
      <c r="C22300" s="26">
        <v>0.74570000000000003</v>
      </c>
      <c r="D22300" s="26">
        <v>9.3100000000000002E-2</v>
      </c>
      <c r="E22300" s="26">
        <v>9.9000000000000005E-2</v>
      </c>
      <c r="F22300" s="26">
        <v>2.2700000000000001E-2</v>
      </c>
      <c r="G22300" s="26">
        <v>1.24E-2</v>
      </c>
      <c r="H22300" s="26">
        <v>7.9000000000000008E-3</v>
      </c>
      <c r="I22300" s="26">
        <v>1.1000000000000001E-3</v>
      </c>
      <c r="J22300" s="26">
        <v>4.0000000000000001E-3</v>
      </c>
      <c r="K22300" s="26">
        <v>1.5E-3</v>
      </c>
      <c r="L22300" s="26">
        <v>2E-3</v>
      </c>
      <c r="M22300" s="26">
        <v>1.04E-2</v>
      </c>
      <c r="N22300">
        <v>344</v>
      </c>
    </row>
    <row r="22301" spans="1:14" x14ac:dyDescent="0.35">
      <c r="A22301" t="s">
        <v>228</v>
      </c>
      <c r="B22301" t="s">
        <v>253</v>
      </c>
      <c r="C22301" s="26">
        <v>0.65900000000000003</v>
      </c>
      <c r="D22301" s="26">
        <v>0.16650000000000001</v>
      </c>
      <c r="E22301" s="26">
        <v>0.1017</v>
      </c>
      <c r="F22301" s="26">
        <v>6.0299999999999999E-2</v>
      </c>
      <c r="G22301" s="26">
        <v>1.1999999999999999E-3</v>
      </c>
      <c r="H22301" s="26">
        <v>6.1000000000000004E-3</v>
      </c>
      <c r="K22301" s="26">
        <v>1.1999999999999999E-3</v>
      </c>
      <c r="L22301" s="26">
        <v>4.1000000000000003E-3</v>
      </c>
      <c r="N22301">
        <v>222</v>
      </c>
    </row>
    <row r="22302" spans="1:14" x14ac:dyDescent="0.35">
      <c r="A22302" t="s">
        <v>228</v>
      </c>
      <c r="B22302" t="s">
        <v>251</v>
      </c>
      <c r="C22302" s="26">
        <v>0.71840000000000004</v>
      </c>
      <c r="D22302" s="26">
        <v>0.1244</v>
      </c>
      <c r="E22302" s="26">
        <v>8.2500000000000004E-2</v>
      </c>
      <c r="F22302" s="26">
        <v>5.8999999999999997E-2</v>
      </c>
      <c r="H22302" s="26">
        <v>8.9999999999999998E-4</v>
      </c>
      <c r="I22302" s="26">
        <v>2.8999999999999998E-3</v>
      </c>
      <c r="K22302" s="26">
        <v>8.9999999999999993E-3</v>
      </c>
      <c r="L22302" s="26">
        <v>2.8999999999999998E-3</v>
      </c>
      <c r="N22302">
        <v>467</v>
      </c>
    </row>
    <row r="22303" spans="1:14" x14ac:dyDescent="0.35">
      <c r="A22303" t="s">
        <v>229</v>
      </c>
      <c r="B22303" t="s">
        <v>252</v>
      </c>
      <c r="C22303" s="26">
        <v>0.59260000000000002</v>
      </c>
      <c r="D22303" s="26">
        <v>0.1278</v>
      </c>
      <c r="E22303" s="26">
        <v>0.19059999999999999</v>
      </c>
      <c r="F22303" s="26">
        <v>6.25E-2</v>
      </c>
      <c r="G22303" s="26">
        <v>1.12E-2</v>
      </c>
      <c r="H22303" s="26">
        <v>1.9E-3</v>
      </c>
      <c r="J22303" s="26">
        <v>1.34E-2</v>
      </c>
      <c r="N22303">
        <v>199</v>
      </c>
    </row>
    <row r="22304" spans="1:14" x14ac:dyDescent="0.35">
      <c r="A22304" t="s">
        <v>229</v>
      </c>
      <c r="B22304" t="s">
        <v>253</v>
      </c>
      <c r="C22304" s="26">
        <v>0.5534</v>
      </c>
      <c r="D22304" s="26">
        <v>0.2485</v>
      </c>
      <c r="E22304" s="26">
        <v>9.8199999999999996E-2</v>
      </c>
      <c r="F22304" s="26">
        <v>5.1299999999999998E-2</v>
      </c>
      <c r="G22304" s="26">
        <v>1.3299999999999999E-2</v>
      </c>
      <c r="H22304" s="26">
        <v>1.4999999999999999E-2</v>
      </c>
      <c r="I22304" s="26">
        <v>1.3299999999999999E-2</v>
      </c>
      <c r="J22304" s="26">
        <v>3.5000000000000001E-3</v>
      </c>
      <c r="L22304" s="26">
        <v>3.5000000000000001E-3</v>
      </c>
      <c r="N22304">
        <v>145</v>
      </c>
    </row>
    <row r="22305" spans="1:14" x14ac:dyDescent="0.35">
      <c r="A22305" t="s">
        <v>229</v>
      </c>
      <c r="B22305" t="s">
        <v>251</v>
      </c>
      <c r="C22305" s="26">
        <v>0.79820000000000002</v>
      </c>
      <c r="D22305" s="26">
        <v>8.1299999999999997E-2</v>
      </c>
      <c r="E22305" s="26">
        <v>4.8399999999999999E-2</v>
      </c>
      <c r="F22305" s="26">
        <v>5.8999999999999997E-2</v>
      </c>
      <c r="G22305" s="26">
        <v>4.3E-3</v>
      </c>
      <c r="H22305" s="26">
        <v>6.4000000000000003E-3</v>
      </c>
      <c r="I22305" s="26">
        <v>1.1000000000000001E-3</v>
      </c>
      <c r="J22305" s="26">
        <v>6.9999999999999999E-4</v>
      </c>
      <c r="L22305" s="26">
        <v>5.9999999999999995E-4</v>
      </c>
      <c r="N22305">
        <v>551</v>
      </c>
    </row>
    <row r="22306" spans="1:14" x14ac:dyDescent="0.35">
      <c r="A22306" t="s">
        <v>230</v>
      </c>
      <c r="B22306" t="s">
        <v>252</v>
      </c>
      <c r="C22306" s="26">
        <v>0.58099999999999996</v>
      </c>
      <c r="D22306" s="26">
        <v>0.2923</v>
      </c>
      <c r="E22306" s="26">
        <v>0.1003</v>
      </c>
      <c r="F22306" s="26">
        <v>1.6199999999999999E-2</v>
      </c>
      <c r="G22306" s="26">
        <v>1.1000000000000001E-3</v>
      </c>
      <c r="H22306" s="26">
        <v>8.0999999999999996E-3</v>
      </c>
      <c r="I22306" s="26">
        <v>1.1000000000000001E-3</v>
      </c>
      <c r="N22306">
        <v>159</v>
      </c>
    </row>
    <row r="22307" spans="1:14" x14ac:dyDescent="0.35">
      <c r="A22307" t="s">
        <v>230</v>
      </c>
      <c r="B22307" t="s">
        <v>253</v>
      </c>
      <c r="C22307" s="26">
        <v>0.57899999999999996</v>
      </c>
      <c r="D22307" s="26">
        <v>0.18140000000000001</v>
      </c>
      <c r="E22307" s="26">
        <v>8.1799999999999998E-2</v>
      </c>
      <c r="F22307" s="26">
        <v>0.153</v>
      </c>
      <c r="J22307" s="26">
        <v>4.7999999999999996E-3</v>
      </c>
      <c r="N22307">
        <v>110</v>
      </c>
    </row>
    <row r="22308" spans="1:14" x14ac:dyDescent="0.35">
      <c r="A22308" t="s">
        <v>230</v>
      </c>
      <c r="B22308" t="s">
        <v>251</v>
      </c>
      <c r="C22308" s="26">
        <v>0.621</v>
      </c>
      <c r="D22308" s="26">
        <v>0.1726</v>
      </c>
      <c r="E22308" s="26">
        <v>0.12959999999999999</v>
      </c>
      <c r="F22308" s="26">
        <v>5.21E-2</v>
      </c>
      <c r="H22308" s="26">
        <v>1.46E-2</v>
      </c>
      <c r="J22308" s="26">
        <v>5.0000000000000001E-4</v>
      </c>
      <c r="K22308" s="26">
        <v>9.7000000000000003E-3</v>
      </c>
      <c r="N22308">
        <v>291</v>
      </c>
    </row>
    <row r="22309" spans="1:14" x14ac:dyDescent="0.35">
      <c r="A22309" t="s">
        <v>231</v>
      </c>
      <c r="B22309" t="s">
        <v>252</v>
      </c>
      <c r="C22309" s="26">
        <v>0.51019999999999999</v>
      </c>
      <c r="D22309" s="26">
        <v>0.10199999999999999</v>
      </c>
      <c r="E22309" s="26">
        <v>0.1633</v>
      </c>
      <c r="F22309" s="26">
        <v>0.12239999999999999</v>
      </c>
      <c r="G22309" s="26">
        <v>6.1199999999999997E-2</v>
      </c>
      <c r="H22309" s="26">
        <v>2.0400000000000001E-2</v>
      </c>
      <c r="I22309" s="26">
        <v>2.0400000000000001E-2</v>
      </c>
      <c r="N22309">
        <v>49</v>
      </c>
    </row>
    <row r="22310" spans="1:14" x14ac:dyDescent="0.35">
      <c r="A22310" t="s">
        <v>231</v>
      </c>
      <c r="B22310" t="s">
        <v>253</v>
      </c>
      <c r="C22310" s="26">
        <v>0.4667</v>
      </c>
      <c r="D22310" s="26">
        <v>0.16669999999999999</v>
      </c>
      <c r="E22310" s="26">
        <v>0.2</v>
      </c>
      <c r="F22310" s="26">
        <v>0.1333</v>
      </c>
      <c r="G22310" s="26">
        <v>3.3300000000000003E-2</v>
      </c>
      <c r="N22310">
        <v>30</v>
      </c>
    </row>
    <row r="22311" spans="1:14" x14ac:dyDescent="0.35">
      <c r="A22311" t="s">
        <v>231</v>
      </c>
      <c r="B22311" t="s">
        <v>251</v>
      </c>
      <c r="C22311" s="26">
        <v>0.64710000000000001</v>
      </c>
      <c r="D22311" s="26">
        <v>5.8799999999999998E-2</v>
      </c>
      <c r="E22311" s="26">
        <v>0.17649999999999999</v>
      </c>
      <c r="F22311" s="26">
        <v>0.10589999999999999</v>
      </c>
      <c r="I22311" s="26">
        <v>1.18E-2</v>
      </c>
      <c r="N22311">
        <v>85</v>
      </c>
    </row>
    <row r="22312" spans="1:14" x14ac:dyDescent="0.35">
      <c r="A22312" t="s">
        <v>232</v>
      </c>
      <c r="B22312" t="s">
        <v>232</v>
      </c>
      <c r="C22312" s="26">
        <v>0.62880000000000003</v>
      </c>
      <c r="D22312" s="26">
        <v>0.14599999999999999</v>
      </c>
      <c r="E22312" s="26">
        <v>0.12520000000000001</v>
      </c>
      <c r="F22312" s="26">
        <v>7.1099999999999997E-2</v>
      </c>
      <c r="G22312" s="26">
        <v>1.06E-2</v>
      </c>
      <c r="H22312" s="26">
        <v>6.4000000000000003E-3</v>
      </c>
      <c r="I22312" s="26">
        <v>4.5999999999999999E-3</v>
      </c>
      <c r="J22312" s="26">
        <v>4.3E-3</v>
      </c>
      <c r="K22312" s="26">
        <v>1.5E-3</v>
      </c>
      <c r="L22312" s="26">
        <v>8.0000000000000004E-4</v>
      </c>
      <c r="M22312" s="26">
        <v>5.9999999999999995E-4</v>
      </c>
      <c r="N22312">
        <v>2813</v>
      </c>
    </row>
    <row r="22314" spans="1:14" x14ac:dyDescent="0.35">
      <c r="A22314" s="1" t="s">
        <v>2149</v>
      </c>
    </row>
    <row r="22315" spans="1:14" x14ac:dyDescent="0.35">
      <c r="A22315" t="s">
        <v>219</v>
      </c>
      <c r="B22315" t="s">
        <v>305</v>
      </c>
      <c r="C22315" t="s">
        <v>2134</v>
      </c>
      <c r="D22315" t="s">
        <v>2135</v>
      </c>
      <c r="E22315" t="s">
        <v>2136</v>
      </c>
      <c r="F22315" t="s">
        <v>2137</v>
      </c>
      <c r="G22315" t="s">
        <v>2138</v>
      </c>
      <c r="H22315" t="s">
        <v>2139</v>
      </c>
      <c r="I22315" t="s">
        <v>281</v>
      </c>
      <c r="J22315" t="s">
        <v>2140</v>
      </c>
      <c r="K22315" t="s">
        <v>2141</v>
      </c>
      <c r="L22315" t="s">
        <v>286</v>
      </c>
      <c r="M22315" t="s">
        <v>2142</v>
      </c>
      <c r="N22315" t="s">
        <v>226</v>
      </c>
    </row>
    <row r="22316" spans="1:14" x14ac:dyDescent="0.35">
      <c r="A22316" t="s">
        <v>227</v>
      </c>
      <c r="B22316" t="s">
        <v>249</v>
      </c>
      <c r="C22316" s="26">
        <v>0.4773</v>
      </c>
      <c r="D22316" s="26">
        <v>0.29549999999999998</v>
      </c>
      <c r="E22316" s="26">
        <v>0.13639999999999999</v>
      </c>
      <c r="F22316" s="26">
        <v>6.8199999999999997E-2</v>
      </c>
      <c r="H22316" s="26">
        <v>2.2700000000000001E-2</v>
      </c>
      <c r="N22316">
        <v>44</v>
      </c>
    </row>
    <row r="22317" spans="1:14" x14ac:dyDescent="0.35">
      <c r="A22317" t="s">
        <v>227</v>
      </c>
      <c r="B22317" t="s">
        <v>248</v>
      </c>
      <c r="C22317" s="26">
        <v>0.49569999999999997</v>
      </c>
      <c r="D22317" s="26">
        <v>0.27350000000000002</v>
      </c>
      <c r="E22317" s="26">
        <v>0.15379999999999999</v>
      </c>
      <c r="F22317" s="26">
        <v>4.2700000000000002E-2</v>
      </c>
      <c r="G22317" s="26">
        <v>8.5000000000000006E-3</v>
      </c>
      <c r="J22317" s="26">
        <v>2.5600000000000001E-2</v>
      </c>
      <c r="N22317">
        <v>117</v>
      </c>
    </row>
    <row r="22318" spans="1:14" x14ac:dyDescent="0.35">
      <c r="A22318" t="s">
        <v>228</v>
      </c>
      <c r="B22318" t="s">
        <v>249</v>
      </c>
      <c r="C22318" s="26">
        <v>0.66149999999999998</v>
      </c>
      <c r="D22318" s="26">
        <v>0.16589999999999999</v>
      </c>
      <c r="E22318" s="26">
        <v>9.3700000000000006E-2</v>
      </c>
      <c r="F22318" s="26">
        <v>7.1800000000000003E-2</v>
      </c>
      <c r="G22318" s="26">
        <v>8.0000000000000004E-4</v>
      </c>
      <c r="I22318" s="26">
        <v>2.8E-3</v>
      </c>
      <c r="K22318" s="26">
        <v>1.6000000000000001E-3</v>
      </c>
      <c r="L22318" s="26">
        <v>1.8E-3</v>
      </c>
      <c r="N22318">
        <v>274</v>
      </c>
    </row>
    <row r="22319" spans="1:14" x14ac:dyDescent="0.35">
      <c r="A22319" t="s">
        <v>228</v>
      </c>
      <c r="B22319" t="s">
        <v>248</v>
      </c>
      <c r="C22319" s="26">
        <v>0.73780000000000001</v>
      </c>
      <c r="D22319" s="26">
        <v>0.1047</v>
      </c>
      <c r="E22319" s="26">
        <v>9.0899999999999995E-2</v>
      </c>
      <c r="F22319" s="26">
        <v>3.73E-2</v>
      </c>
      <c r="G22319" s="26">
        <v>5.7000000000000002E-3</v>
      </c>
      <c r="H22319" s="26">
        <v>6.0000000000000001E-3</v>
      </c>
      <c r="I22319" s="26">
        <v>1.2999999999999999E-3</v>
      </c>
      <c r="J22319" s="26">
        <v>1.8E-3</v>
      </c>
      <c r="K22319" s="26">
        <v>6.4999999999999997E-3</v>
      </c>
      <c r="L22319" s="26">
        <v>3.3E-3</v>
      </c>
      <c r="M22319" s="26">
        <v>4.7000000000000002E-3</v>
      </c>
      <c r="N22319">
        <v>759</v>
      </c>
    </row>
    <row r="22320" spans="1:14" x14ac:dyDescent="0.35">
      <c r="A22320" t="s">
        <v>229</v>
      </c>
      <c r="B22320" t="s">
        <v>249</v>
      </c>
      <c r="C22320" s="26">
        <v>0.74719999999999998</v>
      </c>
      <c r="D22320" s="26">
        <v>0.14580000000000001</v>
      </c>
      <c r="E22320" s="26">
        <v>4.4200000000000003E-2</v>
      </c>
      <c r="F22320" s="26">
        <v>5.2699999999999997E-2</v>
      </c>
      <c r="H22320" s="26">
        <v>1.5E-3</v>
      </c>
      <c r="I22320" s="26">
        <v>7.6E-3</v>
      </c>
      <c r="J22320" s="26">
        <v>1E-3</v>
      </c>
      <c r="N22320">
        <v>259</v>
      </c>
    </row>
    <row r="22321" spans="1:14" x14ac:dyDescent="0.35">
      <c r="A22321" t="s">
        <v>229</v>
      </c>
      <c r="B22321" t="s">
        <v>248</v>
      </c>
      <c r="C22321" s="26">
        <v>0.68559999999999999</v>
      </c>
      <c r="D22321" s="26">
        <v>0.1124</v>
      </c>
      <c r="E22321" s="26">
        <v>0.1119</v>
      </c>
      <c r="F22321" s="26">
        <v>6.1100000000000002E-2</v>
      </c>
      <c r="G22321" s="26">
        <v>1.12E-2</v>
      </c>
      <c r="H22321" s="26">
        <v>9.7000000000000003E-3</v>
      </c>
      <c r="I22321" s="26">
        <v>1E-3</v>
      </c>
      <c r="J22321" s="26">
        <v>5.5999999999999999E-3</v>
      </c>
      <c r="L22321" s="26">
        <v>1.5E-3</v>
      </c>
      <c r="N22321">
        <v>636</v>
      </c>
    </row>
    <row r="22322" spans="1:14" x14ac:dyDescent="0.35">
      <c r="A22322" t="s">
        <v>230</v>
      </c>
      <c r="B22322" t="s">
        <v>249</v>
      </c>
      <c r="C22322" s="26">
        <v>0.53090000000000004</v>
      </c>
      <c r="D22322" s="26">
        <v>0.18060000000000001</v>
      </c>
      <c r="E22322" s="26">
        <v>0.1762</v>
      </c>
      <c r="F22322" s="26">
        <v>9.3700000000000006E-2</v>
      </c>
      <c r="H22322" s="26">
        <v>1.8700000000000001E-2</v>
      </c>
      <c r="N22322">
        <v>171</v>
      </c>
    </row>
    <row r="22323" spans="1:14" x14ac:dyDescent="0.35">
      <c r="A22323" t="s">
        <v>230</v>
      </c>
      <c r="B22323" t="s">
        <v>248</v>
      </c>
      <c r="C22323" s="26">
        <v>0.63939999999999997</v>
      </c>
      <c r="D22323" s="26">
        <v>0.21729999999999999</v>
      </c>
      <c r="E22323" s="26">
        <v>8.09E-2</v>
      </c>
      <c r="F22323" s="26">
        <v>4.5900000000000003E-2</v>
      </c>
      <c r="G22323" s="26">
        <v>4.0000000000000002E-4</v>
      </c>
      <c r="H22323" s="26">
        <v>5.7999999999999996E-3</v>
      </c>
      <c r="I22323" s="26">
        <v>4.0000000000000002E-4</v>
      </c>
      <c r="J22323" s="26">
        <v>1.8E-3</v>
      </c>
      <c r="K22323" s="26">
        <v>8.0999999999999996E-3</v>
      </c>
      <c r="N22323">
        <v>389</v>
      </c>
    </row>
    <row r="22324" spans="1:14" x14ac:dyDescent="0.35">
      <c r="A22324" t="s">
        <v>231</v>
      </c>
      <c r="B22324" t="s">
        <v>249</v>
      </c>
      <c r="C22324" s="26">
        <v>0.54290000000000005</v>
      </c>
      <c r="D22324" s="26">
        <v>8.5699999999999998E-2</v>
      </c>
      <c r="E22324" s="26">
        <v>0.2286</v>
      </c>
      <c r="F22324" s="26">
        <v>0.1429</v>
      </c>
      <c r="N22324">
        <v>35</v>
      </c>
    </row>
    <row r="22325" spans="1:14" x14ac:dyDescent="0.35">
      <c r="A22325" t="s">
        <v>231</v>
      </c>
      <c r="B22325" t="s">
        <v>248</v>
      </c>
      <c r="C22325" s="26">
        <v>0.58140000000000003</v>
      </c>
      <c r="D22325" s="26">
        <v>9.2999999999999999E-2</v>
      </c>
      <c r="E22325" s="26">
        <v>0.1628</v>
      </c>
      <c r="F22325" s="26">
        <v>0.1085</v>
      </c>
      <c r="G22325" s="26">
        <v>3.1E-2</v>
      </c>
      <c r="H22325" s="26">
        <v>7.7999999999999996E-3</v>
      </c>
      <c r="I22325" s="26">
        <v>1.55E-2</v>
      </c>
      <c r="N22325">
        <v>129</v>
      </c>
    </row>
    <row r="22326" spans="1:14" x14ac:dyDescent="0.35">
      <c r="A22326" t="s">
        <v>232</v>
      </c>
      <c r="B22326" t="s">
        <v>232</v>
      </c>
      <c r="C22326" s="26">
        <v>0.62880000000000003</v>
      </c>
      <c r="D22326" s="26">
        <v>0.14599999999999999</v>
      </c>
      <c r="E22326" s="26">
        <v>0.12520000000000001</v>
      </c>
      <c r="F22326" s="26">
        <v>7.1099999999999997E-2</v>
      </c>
      <c r="G22326" s="26">
        <v>1.06E-2</v>
      </c>
      <c r="H22326" s="26">
        <v>6.4000000000000003E-3</v>
      </c>
      <c r="I22326" s="26">
        <v>4.5999999999999999E-3</v>
      </c>
      <c r="J22326" s="26">
        <v>4.3E-3</v>
      </c>
      <c r="K22326" s="26">
        <v>1.5E-3</v>
      </c>
      <c r="L22326" s="26">
        <v>8.0000000000000004E-4</v>
      </c>
      <c r="M22326" s="26">
        <v>5.9999999999999995E-4</v>
      </c>
      <c r="N22326">
        <v>2813</v>
      </c>
    </row>
    <row r="22328" spans="1:14" x14ac:dyDescent="0.35">
      <c r="A22328" s="1" t="s">
        <v>2150</v>
      </c>
    </row>
    <row r="22329" spans="1:14" x14ac:dyDescent="0.35">
      <c r="A22329" t="s">
        <v>219</v>
      </c>
      <c r="B22329" t="s">
        <v>305</v>
      </c>
      <c r="C22329" t="s">
        <v>2134</v>
      </c>
      <c r="D22329" t="s">
        <v>2135</v>
      </c>
      <c r="E22329" t="s">
        <v>2136</v>
      </c>
      <c r="F22329" t="s">
        <v>2137</v>
      </c>
      <c r="G22329" t="s">
        <v>2138</v>
      </c>
      <c r="H22329" t="s">
        <v>2139</v>
      </c>
      <c r="I22329" t="s">
        <v>281</v>
      </c>
      <c r="J22329" t="s">
        <v>2140</v>
      </c>
      <c r="K22329" t="s">
        <v>2141</v>
      </c>
      <c r="L22329" t="s">
        <v>286</v>
      </c>
      <c r="M22329" t="s">
        <v>2142</v>
      </c>
      <c r="N22329" t="s">
        <v>226</v>
      </c>
    </row>
    <row r="22330" spans="1:14" x14ac:dyDescent="0.35">
      <c r="A22330" s="27" t="s">
        <v>227</v>
      </c>
      <c r="B22330" s="27" t="s">
        <v>263</v>
      </c>
      <c r="C22330" s="28">
        <v>0.66669999999999996</v>
      </c>
      <c r="D22330" s="28">
        <v>0.33329999999999999</v>
      </c>
      <c r="E22330" s="29"/>
      <c r="F22330" s="29"/>
      <c r="G22330" s="29"/>
      <c r="H22330" s="29"/>
      <c r="I22330" s="29"/>
      <c r="J22330" s="29"/>
      <c r="K22330" s="29"/>
      <c r="L22330" s="29"/>
      <c r="M22330" s="29"/>
      <c r="N22330" s="29" t="s">
        <v>315</v>
      </c>
    </row>
    <row r="22331" spans="1:14" x14ac:dyDescent="0.35">
      <c r="A22331" t="s">
        <v>227</v>
      </c>
      <c r="B22331" t="s">
        <v>261</v>
      </c>
      <c r="C22331" s="26">
        <v>0.42420000000000002</v>
      </c>
      <c r="D22331" s="26">
        <v>0.30299999999999999</v>
      </c>
      <c r="E22331" s="26">
        <v>0.21210000000000001</v>
      </c>
      <c r="F22331" s="26">
        <v>3.0300000000000001E-2</v>
      </c>
      <c r="H22331" s="26">
        <v>3.0300000000000001E-2</v>
      </c>
      <c r="N22331">
        <v>33</v>
      </c>
    </row>
    <row r="22332" spans="1:14" x14ac:dyDescent="0.35">
      <c r="A22332" s="27" t="s">
        <v>227</v>
      </c>
      <c r="B22332" s="27" t="s">
        <v>262</v>
      </c>
      <c r="C22332" s="28">
        <v>1</v>
      </c>
      <c r="D22332" s="29"/>
      <c r="E22332" s="29"/>
      <c r="F22332" s="29"/>
      <c r="G22332" s="29"/>
      <c r="H22332" s="29"/>
      <c r="I22332" s="29"/>
      <c r="J22332" s="29"/>
      <c r="K22332" s="29"/>
      <c r="L22332" s="29"/>
      <c r="M22332" s="29"/>
      <c r="N22332" s="29" t="s">
        <v>315</v>
      </c>
    </row>
    <row r="22333" spans="1:14" x14ac:dyDescent="0.35">
      <c r="A22333" t="s">
        <v>227</v>
      </c>
      <c r="B22333" t="s">
        <v>260</v>
      </c>
      <c r="C22333" s="26">
        <v>0.49180000000000001</v>
      </c>
      <c r="D22333" s="26">
        <v>0.2787</v>
      </c>
      <c r="E22333" s="26">
        <v>0.13930000000000001</v>
      </c>
      <c r="F22333" s="26">
        <v>5.74E-2</v>
      </c>
      <c r="G22333" s="26">
        <v>8.2000000000000007E-3</v>
      </c>
      <c r="J22333" s="26">
        <v>2.46E-2</v>
      </c>
      <c r="N22333">
        <v>122</v>
      </c>
    </row>
    <row r="22334" spans="1:14" x14ac:dyDescent="0.35">
      <c r="A22334" t="s">
        <v>228</v>
      </c>
      <c r="B22334" t="s">
        <v>261</v>
      </c>
      <c r="C22334" s="26">
        <v>0.70350000000000001</v>
      </c>
      <c r="D22334" s="26">
        <v>0.1203</v>
      </c>
      <c r="E22334" s="26">
        <v>0.13070000000000001</v>
      </c>
      <c r="F22334" s="26">
        <v>1.2999999999999999E-2</v>
      </c>
      <c r="G22334" s="26">
        <v>1.1999999999999999E-3</v>
      </c>
      <c r="H22334" s="26">
        <v>2.8E-3</v>
      </c>
      <c r="I22334" s="26">
        <v>4.3E-3</v>
      </c>
      <c r="J22334" s="26">
        <v>1.8E-3</v>
      </c>
      <c r="K22334" s="26">
        <v>1.83E-2</v>
      </c>
      <c r="L22334" s="26">
        <v>4.1000000000000003E-3</v>
      </c>
      <c r="N22334">
        <v>192</v>
      </c>
    </row>
    <row r="22335" spans="1:14" x14ac:dyDescent="0.35">
      <c r="A22335" s="27" t="s">
        <v>228</v>
      </c>
      <c r="B22335" s="27" t="s">
        <v>263</v>
      </c>
      <c r="C22335" s="28">
        <v>0.64300000000000002</v>
      </c>
      <c r="D22335" s="28">
        <v>6.7799999999999999E-2</v>
      </c>
      <c r="E22335" s="28">
        <v>0.12189999999999999</v>
      </c>
      <c r="F22335" s="28">
        <v>6.25E-2</v>
      </c>
      <c r="G22335" s="29"/>
      <c r="H22335" s="28">
        <v>6.25E-2</v>
      </c>
      <c r="I22335" s="29"/>
      <c r="J22335" s="28">
        <v>2.93E-2</v>
      </c>
      <c r="K22335" s="28">
        <v>1.2999999999999999E-2</v>
      </c>
      <c r="L22335" s="29"/>
      <c r="M22335" s="29"/>
      <c r="N22335" s="29" t="s">
        <v>312</v>
      </c>
    </row>
    <row r="22336" spans="1:14" x14ac:dyDescent="0.35">
      <c r="A22336" s="27" t="s">
        <v>228</v>
      </c>
      <c r="B22336" s="27" t="s">
        <v>236</v>
      </c>
      <c r="C22336" s="28">
        <v>0.85560000000000003</v>
      </c>
      <c r="D22336" s="28">
        <v>3.9E-2</v>
      </c>
      <c r="E22336" s="28">
        <v>0.10539999999999999</v>
      </c>
      <c r="F22336" s="29"/>
      <c r="G22336" s="29"/>
      <c r="H22336" s="29"/>
      <c r="I22336" s="29"/>
      <c r="J22336" s="29"/>
      <c r="K22336" s="29"/>
      <c r="L22336" s="29"/>
      <c r="M22336" s="29"/>
      <c r="N22336" s="29" t="s">
        <v>335</v>
      </c>
    </row>
    <row r="22337" spans="1:14" x14ac:dyDescent="0.35">
      <c r="A22337" t="s">
        <v>228</v>
      </c>
      <c r="B22337" t="s">
        <v>262</v>
      </c>
      <c r="C22337" s="26">
        <v>0.80810000000000004</v>
      </c>
      <c r="D22337" s="26">
        <v>0.1052</v>
      </c>
      <c r="E22337" s="26">
        <v>2.52E-2</v>
      </c>
      <c r="F22337" s="26">
        <v>5.3999999999999999E-2</v>
      </c>
      <c r="I22337" s="26">
        <v>2.2000000000000001E-3</v>
      </c>
      <c r="K22337" s="26">
        <v>2.8999999999999998E-3</v>
      </c>
      <c r="L22337" s="26">
        <v>2.5000000000000001E-3</v>
      </c>
      <c r="N22337">
        <v>201</v>
      </c>
    </row>
    <row r="22338" spans="1:14" x14ac:dyDescent="0.35">
      <c r="A22338" t="s">
        <v>228</v>
      </c>
      <c r="B22338" t="s">
        <v>260</v>
      </c>
      <c r="C22338" s="26">
        <v>0.69420000000000004</v>
      </c>
      <c r="D22338" s="26">
        <v>0.13120000000000001</v>
      </c>
      <c r="E22338" s="26">
        <v>9.6299999999999997E-2</v>
      </c>
      <c r="F22338" s="26">
        <v>5.7000000000000002E-2</v>
      </c>
      <c r="G22338" s="26">
        <v>6.4999999999999997E-3</v>
      </c>
      <c r="H22338" s="26">
        <v>4.0000000000000001E-3</v>
      </c>
      <c r="I22338" s="26">
        <v>8.9999999999999998E-4</v>
      </c>
      <c r="J22338" s="26">
        <v>5.9999999999999995E-4</v>
      </c>
      <c r="K22338" s="26">
        <v>1.1999999999999999E-3</v>
      </c>
      <c r="L22338" s="26">
        <v>2.7000000000000001E-3</v>
      </c>
      <c r="M22338" s="26">
        <v>5.4000000000000003E-3</v>
      </c>
      <c r="N22338">
        <v>609</v>
      </c>
    </row>
    <row r="22339" spans="1:14" x14ac:dyDescent="0.35">
      <c r="A22339" s="27" t="s">
        <v>229</v>
      </c>
      <c r="B22339" s="27" t="s">
        <v>263</v>
      </c>
      <c r="C22339" s="28">
        <v>0.96040000000000003</v>
      </c>
      <c r="D22339" s="28">
        <v>3.9600000000000003E-2</v>
      </c>
      <c r="E22339" s="29"/>
      <c r="F22339" s="29"/>
      <c r="G22339" s="29"/>
      <c r="H22339" s="29"/>
      <c r="I22339" s="29"/>
      <c r="J22339" s="29"/>
      <c r="K22339" s="29"/>
      <c r="L22339" s="29"/>
      <c r="M22339" s="29"/>
      <c r="N22339" s="29" t="s">
        <v>379</v>
      </c>
    </row>
    <row r="22340" spans="1:14" x14ac:dyDescent="0.35">
      <c r="A22340" t="s">
        <v>229</v>
      </c>
      <c r="B22340" t="s">
        <v>262</v>
      </c>
      <c r="C22340" s="26">
        <v>0.85150000000000003</v>
      </c>
      <c r="D22340" s="26">
        <v>0.08</v>
      </c>
      <c r="E22340" s="26">
        <v>2.1100000000000001E-2</v>
      </c>
      <c r="F22340" s="26">
        <v>4.4999999999999998E-2</v>
      </c>
      <c r="J22340" s="26">
        <v>1.1999999999999999E-3</v>
      </c>
      <c r="L22340" s="26">
        <v>1.1999999999999999E-3</v>
      </c>
      <c r="N22340">
        <v>188</v>
      </c>
    </row>
    <row r="22341" spans="1:14" x14ac:dyDescent="0.35">
      <c r="A22341" t="s">
        <v>229</v>
      </c>
      <c r="B22341" t="s">
        <v>261</v>
      </c>
      <c r="C22341" s="26">
        <v>0.73880000000000001</v>
      </c>
      <c r="D22341" s="26">
        <v>4.1000000000000002E-2</v>
      </c>
      <c r="E22341" s="26">
        <v>0.1196</v>
      </c>
      <c r="F22341" s="26">
        <v>7.3599999999999999E-2</v>
      </c>
      <c r="G22341" s="26">
        <v>1.6899999999999998E-2</v>
      </c>
      <c r="H22341" s="26">
        <v>1.01E-2</v>
      </c>
      <c r="N22341">
        <v>96</v>
      </c>
    </row>
    <row r="22342" spans="1:14" x14ac:dyDescent="0.35">
      <c r="A22342" s="27" t="s">
        <v>229</v>
      </c>
      <c r="B22342" s="27" t="s">
        <v>236</v>
      </c>
      <c r="C22342" s="28">
        <v>1</v>
      </c>
      <c r="D22342" s="29"/>
      <c r="E22342" s="29"/>
      <c r="F22342" s="29"/>
      <c r="G22342" s="29"/>
      <c r="H22342" s="29"/>
      <c r="I22342" s="29"/>
      <c r="J22342" s="29"/>
      <c r="K22342" s="29"/>
      <c r="L22342" s="29"/>
      <c r="M22342" s="29"/>
      <c r="N22342" s="29" t="s">
        <v>331</v>
      </c>
    </row>
    <row r="22343" spans="1:14" x14ac:dyDescent="0.35">
      <c r="A22343" t="s">
        <v>229</v>
      </c>
      <c r="B22343" t="s">
        <v>260</v>
      </c>
      <c r="C22343" s="26">
        <v>0.61439999999999995</v>
      </c>
      <c r="D22343" s="26">
        <v>0.17030000000000001</v>
      </c>
      <c r="E22343" s="26">
        <v>0.11940000000000001</v>
      </c>
      <c r="F22343" s="26">
        <v>6.3100000000000003E-2</v>
      </c>
      <c r="G22343" s="26">
        <v>9.1000000000000004E-3</v>
      </c>
      <c r="H22343" s="26">
        <v>0.01</v>
      </c>
      <c r="I22343" s="26">
        <v>5.7000000000000002E-3</v>
      </c>
      <c r="J22343" s="26">
        <v>6.7999999999999996E-3</v>
      </c>
      <c r="L22343" s="26">
        <v>1.1999999999999999E-3</v>
      </c>
      <c r="N22343">
        <v>596</v>
      </c>
    </row>
    <row r="22344" spans="1:14" x14ac:dyDescent="0.35">
      <c r="A22344" s="27" t="s">
        <v>230</v>
      </c>
      <c r="B22344" s="27" t="s">
        <v>236</v>
      </c>
      <c r="C22344" s="29"/>
      <c r="D22344" s="28">
        <v>0.88100000000000001</v>
      </c>
      <c r="E22344" s="28">
        <v>0.11899999999999999</v>
      </c>
      <c r="F22344" s="29"/>
      <c r="G22344" s="29"/>
      <c r="H22344" s="29"/>
      <c r="I22344" s="29"/>
      <c r="J22344" s="29"/>
      <c r="K22344" s="29"/>
      <c r="L22344" s="29"/>
      <c r="M22344" s="29"/>
      <c r="N22344" s="29" t="s">
        <v>337</v>
      </c>
    </row>
    <row r="22345" spans="1:14" x14ac:dyDescent="0.35">
      <c r="A22345" t="s">
        <v>230</v>
      </c>
      <c r="B22345" t="s">
        <v>262</v>
      </c>
      <c r="C22345" s="26">
        <v>0.67200000000000004</v>
      </c>
      <c r="D22345" s="26">
        <v>0.22159999999999999</v>
      </c>
      <c r="E22345" s="26">
        <v>7.7499999999999999E-2</v>
      </c>
      <c r="F22345" s="26">
        <v>1.7399999999999999E-2</v>
      </c>
      <c r="G22345" s="26">
        <v>1.8E-3</v>
      </c>
      <c r="H22345" s="26">
        <v>7.9000000000000008E-3</v>
      </c>
      <c r="I22345" s="26">
        <v>1.8E-3</v>
      </c>
      <c r="N22345">
        <v>122</v>
      </c>
    </row>
    <row r="22346" spans="1:14" x14ac:dyDescent="0.35">
      <c r="A22346" t="s">
        <v>230</v>
      </c>
      <c r="B22346" t="s">
        <v>261</v>
      </c>
      <c r="C22346" s="26">
        <v>0.78090000000000004</v>
      </c>
      <c r="D22346" s="26">
        <v>0.1159</v>
      </c>
      <c r="E22346" s="26">
        <v>4.0500000000000001E-2</v>
      </c>
      <c r="F22346" s="26">
        <v>4.9200000000000001E-2</v>
      </c>
      <c r="H22346" s="26">
        <v>1.35E-2</v>
      </c>
      <c r="N22346">
        <v>57</v>
      </c>
    </row>
    <row r="22347" spans="1:14" x14ac:dyDescent="0.35">
      <c r="A22347" s="27" t="s">
        <v>230</v>
      </c>
      <c r="B22347" s="27" t="s">
        <v>263</v>
      </c>
      <c r="C22347" s="28">
        <v>0.45479999999999998</v>
      </c>
      <c r="D22347" s="28">
        <v>0.1424</v>
      </c>
      <c r="E22347" s="28">
        <v>0.40279999999999999</v>
      </c>
      <c r="F22347" s="29"/>
      <c r="G22347" s="29"/>
      <c r="H22347" s="29"/>
      <c r="I22347" s="29"/>
      <c r="J22347" s="29"/>
      <c r="K22347" s="29"/>
      <c r="L22347" s="29"/>
      <c r="M22347" s="29"/>
      <c r="N22347" s="29" t="s">
        <v>312</v>
      </c>
    </row>
    <row r="22348" spans="1:14" x14ac:dyDescent="0.35">
      <c r="A22348" t="s">
        <v>230</v>
      </c>
      <c r="B22348" t="s">
        <v>260</v>
      </c>
      <c r="C22348" s="26">
        <v>0.5635</v>
      </c>
      <c r="D22348" s="26">
        <v>0.21260000000000001</v>
      </c>
      <c r="E22348" s="26">
        <v>0.1278</v>
      </c>
      <c r="F22348" s="26">
        <v>7.6200000000000004E-2</v>
      </c>
      <c r="H22348" s="26">
        <v>1.04E-2</v>
      </c>
      <c r="J22348" s="26">
        <v>1.6999999999999999E-3</v>
      </c>
      <c r="K22348" s="26">
        <v>7.7999999999999996E-3</v>
      </c>
      <c r="N22348">
        <v>352</v>
      </c>
    </row>
    <row r="22349" spans="1:14" x14ac:dyDescent="0.35">
      <c r="A22349" s="27" t="s">
        <v>231</v>
      </c>
      <c r="B22349" s="27" t="s">
        <v>263</v>
      </c>
      <c r="C22349" s="28">
        <v>0.5</v>
      </c>
      <c r="D22349" s="28">
        <v>0.5</v>
      </c>
      <c r="E22349" s="29"/>
      <c r="F22349" s="29"/>
      <c r="G22349" s="29"/>
      <c r="H22349" s="29"/>
      <c r="I22349" s="29"/>
      <c r="J22349" s="29"/>
      <c r="K22349" s="29"/>
      <c r="L22349" s="29"/>
      <c r="M22349" s="29"/>
      <c r="N22349" s="29" t="s">
        <v>314</v>
      </c>
    </row>
    <row r="22350" spans="1:14" x14ac:dyDescent="0.35">
      <c r="A22350" t="s">
        <v>231</v>
      </c>
      <c r="B22350" t="s">
        <v>260</v>
      </c>
      <c r="C22350" s="26">
        <v>0.4919</v>
      </c>
      <c r="D22350" s="26">
        <v>0.1129</v>
      </c>
      <c r="E22350" s="26">
        <v>0.2177</v>
      </c>
      <c r="F22350" s="26">
        <v>0.129</v>
      </c>
      <c r="G22350" s="26">
        <v>3.2300000000000002E-2</v>
      </c>
      <c r="I22350" s="26">
        <v>1.61E-2</v>
      </c>
      <c r="N22350">
        <v>124</v>
      </c>
    </row>
    <row r="22351" spans="1:14" x14ac:dyDescent="0.35">
      <c r="A22351" s="27" t="s">
        <v>231</v>
      </c>
      <c r="B22351" s="27" t="s">
        <v>261</v>
      </c>
      <c r="C22351" s="28">
        <v>0.85189999999999999</v>
      </c>
      <c r="D22351" s="29"/>
      <c r="E22351" s="28">
        <v>3.6999999999999998E-2</v>
      </c>
      <c r="F22351" s="28">
        <v>7.4099999999999999E-2</v>
      </c>
      <c r="G22351" s="29"/>
      <c r="H22351" s="28">
        <v>3.6999999999999998E-2</v>
      </c>
      <c r="I22351" s="29"/>
      <c r="J22351" s="29"/>
      <c r="K22351" s="29"/>
      <c r="L22351" s="29"/>
      <c r="M22351" s="29"/>
      <c r="N22351" s="29" t="s">
        <v>338</v>
      </c>
    </row>
    <row r="22352" spans="1:14" x14ac:dyDescent="0.35">
      <c r="A22352" s="27" t="s">
        <v>231</v>
      </c>
      <c r="B22352" s="27" t="s">
        <v>262</v>
      </c>
      <c r="C22352" s="28">
        <v>0.81820000000000004</v>
      </c>
      <c r="D22352" s="29"/>
      <c r="E22352" s="28">
        <v>9.0899999999999995E-2</v>
      </c>
      <c r="F22352" s="28">
        <v>9.0899999999999995E-2</v>
      </c>
      <c r="G22352" s="29"/>
      <c r="H22352" s="29"/>
      <c r="I22352" s="29"/>
      <c r="J22352" s="29"/>
      <c r="K22352" s="29"/>
      <c r="L22352" s="29"/>
      <c r="M22352" s="29"/>
      <c r="N22352" s="29" t="s">
        <v>352</v>
      </c>
    </row>
    <row r="22353" spans="1:14" x14ac:dyDescent="0.35">
      <c r="A22353" t="s">
        <v>232</v>
      </c>
      <c r="B22353" t="s">
        <v>232</v>
      </c>
      <c r="C22353" s="26">
        <v>0.62880000000000003</v>
      </c>
      <c r="D22353" s="26">
        <v>0.14599999999999999</v>
      </c>
      <c r="E22353" s="26">
        <v>0.12520000000000001</v>
      </c>
      <c r="F22353" s="26">
        <v>7.1099999999999997E-2</v>
      </c>
      <c r="G22353" s="26">
        <v>1.06E-2</v>
      </c>
      <c r="H22353" s="26">
        <v>6.4000000000000003E-3</v>
      </c>
      <c r="I22353" s="26">
        <v>4.5999999999999999E-3</v>
      </c>
      <c r="J22353" s="26">
        <v>4.3E-3</v>
      </c>
      <c r="K22353" s="26">
        <v>1.5E-3</v>
      </c>
      <c r="L22353" s="26">
        <v>8.0000000000000004E-4</v>
      </c>
      <c r="M22353" s="26">
        <v>5.9999999999999995E-4</v>
      </c>
      <c r="N22353">
        <v>2813</v>
      </c>
    </row>
    <row r="22355" spans="1:14" x14ac:dyDescent="0.35">
      <c r="A22355" s="1" t="s">
        <v>2151</v>
      </c>
    </row>
    <row r="22356" spans="1:14" x14ac:dyDescent="0.35">
      <c r="A22356" t="s">
        <v>219</v>
      </c>
      <c r="B22356" t="s">
        <v>305</v>
      </c>
      <c r="C22356" t="s">
        <v>2134</v>
      </c>
      <c r="D22356" t="s">
        <v>2135</v>
      </c>
      <c r="E22356" t="s">
        <v>2136</v>
      </c>
      <c r="F22356" t="s">
        <v>2137</v>
      </c>
      <c r="G22356" t="s">
        <v>2138</v>
      </c>
      <c r="H22356" t="s">
        <v>2139</v>
      </c>
      <c r="I22356" t="s">
        <v>281</v>
      </c>
      <c r="J22356" t="s">
        <v>2140</v>
      </c>
      <c r="K22356" t="s">
        <v>2141</v>
      </c>
      <c r="L22356" t="s">
        <v>286</v>
      </c>
      <c r="M22356" t="s">
        <v>2142</v>
      </c>
      <c r="N22356" t="s">
        <v>226</v>
      </c>
    </row>
    <row r="22357" spans="1:14" x14ac:dyDescent="0.35">
      <c r="A22357" t="s">
        <v>227</v>
      </c>
      <c r="B22357" t="s">
        <v>368</v>
      </c>
      <c r="C22357" s="26">
        <v>0.42420000000000002</v>
      </c>
      <c r="D22357" s="26">
        <v>0.30299999999999999</v>
      </c>
      <c r="E22357" s="26">
        <v>0.21210000000000001</v>
      </c>
      <c r="F22357" s="26">
        <v>3.0300000000000001E-2</v>
      </c>
      <c r="H22357" s="26">
        <v>3.0300000000000001E-2</v>
      </c>
      <c r="N22357">
        <v>33</v>
      </c>
    </row>
    <row r="22358" spans="1:14" x14ac:dyDescent="0.35">
      <c r="A22358" t="s">
        <v>227</v>
      </c>
      <c r="B22358" t="s">
        <v>369</v>
      </c>
      <c r="C22358" s="26">
        <v>0.50780000000000003</v>
      </c>
      <c r="D22358" s="26">
        <v>0.27339999999999998</v>
      </c>
      <c r="E22358" s="26">
        <v>0.1328</v>
      </c>
      <c r="F22358" s="26">
        <v>5.4699999999999999E-2</v>
      </c>
      <c r="G22358" s="26">
        <v>7.7999999999999996E-3</v>
      </c>
      <c r="J22358" s="26">
        <v>2.3400000000000001E-2</v>
      </c>
      <c r="N22358">
        <v>128</v>
      </c>
    </row>
    <row r="22359" spans="1:14" x14ac:dyDescent="0.35">
      <c r="A22359" t="s">
        <v>228</v>
      </c>
      <c r="B22359" t="s">
        <v>368</v>
      </c>
      <c r="C22359" s="26">
        <v>0.70350000000000001</v>
      </c>
      <c r="D22359" s="26">
        <v>0.1203</v>
      </c>
      <c r="E22359" s="26">
        <v>0.13070000000000001</v>
      </c>
      <c r="F22359" s="26">
        <v>1.2999999999999999E-2</v>
      </c>
      <c r="G22359" s="26">
        <v>1.1999999999999999E-3</v>
      </c>
      <c r="H22359" s="26">
        <v>2.8E-3</v>
      </c>
      <c r="I22359" s="26">
        <v>4.3E-3</v>
      </c>
      <c r="J22359" s="26">
        <v>1.8E-3</v>
      </c>
      <c r="K22359" s="26">
        <v>1.83E-2</v>
      </c>
      <c r="L22359" s="26">
        <v>4.1000000000000003E-3</v>
      </c>
      <c r="N22359">
        <v>192</v>
      </c>
    </row>
    <row r="22360" spans="1:14" x14ac:dyDescent="0.35">
      <c r="A22360" t="s">
        <v>228</v>
      </c>
      <c r="B22360" t="s">
        <v>369</v>
      </c>
      <c r="C22360" s="26">
        <v>0.71779999999999999</v>
      </c>
      <c r="D22360" s="26">
        <v>0.1237</v>
      </c>
      <c r="E22360" s="26">
        <v>8.2299999999999998E-2</v>
      </c>
      <c r="F22360" s="26">
        <v>5.6000000000000001E-2</v>
      </c>
      <c r="G22360" s="26">
        <v>4.8999999999999998E-3</v>
      </c>
      <c r="H22360" s="26">
        <v>4.4999999999999997E-3</v>
      </c>
      <c r="I22360" s="26">
        <v>1.1000000000000001E-3</v>
      </c>
      <c r="J22360" s="26">
        <v>1.1000000000000001E-3</v>
      </c>
      <c r="K22360" s="26">
        <v>1.8E-3</v>
      </c>
      <c r="L22360" s="26">
        <v>2.5999999999999999E-3</v>
      </c>
      <c r="M22360" s="26">
        <v>4.1000000000000003E-3</v>
      </c>
      <c r="N22360">
        <v>841</v>
      </c>
    </row>
    <row r="22361" spans="1:14" x14ac:dyDescent="0.35">
      <c r="A22361" t="s">
        <v>229</v>
      </c>
      <c r="B22361" t="s">
        <v>368</v>
      </c>
      <c r="C22361" s="26">
        <v>0.73880000000000001</v>
      </c>
      <c r="D22361" s="26">
        <v>4.1000000000000002E-2</v>
      </c>
      <c r="E22361" s="26">
        <v>0.1196</v>
      </c>
      <c r="F22361" s="26">
        <v>7.3599999999999999E-2</v>
      </c>
      <c r="G22361" s="26">
        <v>1.6899999999999998E-2</v>
      </c>
      <c r="H22361" s="26">
        <v>1.01E-2</v>
      </c>
      <c r="N22361">
        <v>96</v>
      </c>
    </row>
    <row r="22362" spans="1:14" x14ac:dyDescent="0.35">
      <c r="A22362" t="s">
        <v>229</v>
      </c>
      <c r="B22362" t="s">
        <v>369</v>
      </c>
      <c r="C22362" s="26">
        <v>0.70009999999999994</v>
      </c>
      <c r="D22362" s="26">
        <v>0.13769999999999999</v>
      </c>
      <c r="E22362" s="26">
        <v>8.4400000000000003E-2</v>
      </c>
      <c r="F22362" s="26">
        <v>5.57E-2</v>
      </c>
      <c r="G22362" s="26">
        <v>5.8999999999999999E-3</v>
      </c>
      <c r="H22362" s="26">
        <v>6.4999999999999997E-3</v>
      </c>
      <c r="I22362" s="26">
        <v>3.7000000000000002E-3</v>
      </c>
      <c r="J22362" s="26">
        <v>4.7999999999999996E-3</v>
      </c>
      <c r="L22362" s="26">
        <v>1.1999999999999999E-3</v>
      </c>
      <c r="N22362">
        <v>799</v>
      </c>
    </row>
    <row r="22363" spans="1:14" x14ac:dyDescent="0.35">
      <c r="A22363" t="s">
        <v>230</v>
      </c>
      <c r="B22363" t="s">
        <v>368</v>
      </c>
      <c r="C22363" s="26">
        <v>0.78090000000000004</v>
      </c>
      <c r="D22363" s="26">
        <v>0.1159</v>
      </c>
      <c r="E22363" s="26">
        <v>4.0500000000000001E-2</v>
      </c>
      <c r="F22363" s="26">
        <v>4.9200000000000001E-2</v>
      </c>
      <c r="H22363" s="26">
        <v>1.35E-2</v>
      </c>
      <c r="N22363">
        <v>57</v>
      </c>
    </row>
    <row r="22364" spans="1:14" x14ac:dyDescent="0.35">
      <c r="A22364" t="s">
        <v>230</v>
      </c>
      <c r="B22364" t="s">
        <v>369</v>
      </c>
      <c r="C22364" s="26">
        <v>0.57540000000000002</v>
      </c>
      <c r="D22364" s="26">
        <v>0.21859999999999999</v>
      </c>
      <c r="E22364" s="26">
        <v>0.1242</v>
      </c>
      <c r="F22364" s="26">
        <v>6.3899999999999998E-2</v>
      </c>
      <c r="G22364" s="26">
        <v>2.9999999999999997E-4</v>
      </c>
      <c r="H22364" s="26">
        <v>9.5999999999999992E-3</v>
      </c>
      <c r="I22364" s="26">
        <v>2.9999999999999997E-4</v>
      </c>
      <c r="J22364" s="26">
        <v>1.4E-3</v>
      </c>
      <c r="K22364" s="26">
        <v>6.1999999999999998E-3</v>
      </c>
      <c r="N22364">
        <v>503</v>
      </c>
    </row>
    <row r="22365" spans="1:14" x14ac:dyDescent="0.35">
      <c r="A22365" s="27" t="s">
        <v>231</v>
      </c>
      <c r="B22365" s="27" t="s">
        <v>368</v>
      </c>
      <c r="C22365" s="28">
        <v>0.85189999999999999</v>
      </c>
      <c r="D22365" s="29"/>
      <c r="E22365" s="28">
        <v>3.6999999999999998E-2</v>
      </c>
      <c r="F22365" s="28">
        <v>7.4099999999999999E-2</v>
      </c>
      <c r="G22365" s="29"/>
      <c r="H22365" s="28">
        <v>3.6999999999999998E-2</v>
      </c>
      <c r="I22365" s="29"/>
      <c r="J22365" s="29"/>
      <c r="K22365" s="29"/>
      <c r="L22365" s="29"/>
      <c r="M22365" s="29"/>
      <c r="N22365" s="29" t="s">
        <v>338</v>
      </c>
    </row>
    <row r="22366" spans="1:14" x14ac:dyDescent="0.35">
      <c r="A22366" t="s">
        <v>231</v>
      </c>
      <c r="B22366" t="s">
        <v>369</v>
      </c>
      <c r="C22366" s="26">
        <v>0.51819999999999999</v>
      </c>
      <c r="D22366" s="26">
        <v>0.1095</v>
      </c>
      <c r="E22366" s="26">
        <v>0.2044</v>
      </c>
      <c r="F22366" s="26">
        <v>0.1241</v>
      </c>
      <c r="G22366" s="26">
        <v>2.92E-2</v>
      </c>
      <c r="I22366" s="26">
        <v>1.46E-2</v>
      </c>
      <c r="N22366">
        <v>137</v>
      </c>
    </row>
    <row r="22367" spans="1:14" x14ac:dyDescent="0.35">
      <c r="A22367" t="s">
        <v>232</v>
      </c>
      <c r="B22367" t="s">
        <v>232</v>
      </c>
      <c r="C22367" s="26">
        <v>0.62880000000000003</v>
      </c>
      <c r="D22367" s="26">
        <v>0.14599999999999999</v>
      </c>
      <c r="E22367" s="26">
        <v>0.12520000000000001</v>
      </c>
      <c r="F22367" s="26">
        <v>7.1099999999999997E-2</v>
      </c>
      <c r="G22367" s="26">
        <v>1.06E-2</v>
      </c>
      <c r="H22367" s="26">
        <v>6.4000000000000003E-3</v>
      </c>
      <c r="I22367" s="26">
        <v>4.5999999999999999E-3</v>
      </c>
      <c r="J22367" s="26">
        <v>4.3E-3</v>
      </c>
      <c r="K22367" s="26">
        <v>1.5E-3</v>
      </c>
      <c r="L22367" s="26">
        <v>8.0000000000000004E-4</v>
      </c>
      <c r="M22367" s="26">
        <v>5.9999999999999995E-4</v>
      </c>
      <c r="N22367">
        <v>2813</v>
      </c>
    </row>
    <row r="22369" spans="1:14" x14ac:dyDescent="0.35">
      <c r="A22369" s="1" t="s">
        <v>2152</v>
      </c>
    </row>
    <row r="22370" spans="1:14" x14ac:dyDescent="0.35">
      <c r="A22370" t="s">
        <v>219</v>
      </c>
      <c r="B22370" t="s">
        <v>305</v>
      </c>
      <c r="C22370" t="s">
        <v>2134</v>
      </c>
      <c r="D22370" t="s">
        <v>2135</v>
      </c>
      <c r="E22370" t="s">
        <v>2136</v>
      </c>
      <c r="F22370" t="s">
        <v>2137</v>
      </c>
      <c r="G22370" t="s">
        <v>2138</v>
      </c>
      <c r="H22370" t="s">
        <v>2139</v>
      </c>
      <c r="I22370" t="s">
        <v>281</v>
      </c>
      <c r="J22370" t="s">
        <v>2140</v>
      </c>
      <c r="K22370" t="s">
        <v>2141</v>
      </c>
      <c r="L22370" t="s">
        <v>286</v>
      </c>
      <c r="M22370" t="s">
        <v>2142</v>
      </c>
      <c r="N22370" t="s">
        <v>226</v>
      </c>
    </row>
    <row r="22371" spans="1:14" x14ac:dyDescent="0.35">
      <c r="A22371" t="s">
        <v>227</v>
      </c>
      <c r="B22371" t="s">
        <v>371</v>
      </c>
      <c r="C22371" s="26">
        <v>0.49070000000000003</v>
      </c>
      <c r="D22371" s="26">
        <v>0.27950000000000003</v>
      </c>
      <c r="E22371" s="26">
        <v>0.14910000000000001</v>
      </c>
      <c r="F22371" s="26">
        <v>4.9700000000000001E-2</v>
      </c>
      <c r="G22371" s="26">
        <v>6.1999999999999998E-3</v>
      </c>
      <c r="H22371" s="26">
        <v>6.1999999999999998E-3</v>
      </c>
      <c r="J22371" s="26">
        <v>1.8599999999999998E-2</v>
      </c>
      <c r="N22371">
        <v>161</v>
      </c>
    </row>
    <row r="22372" spans="1:14" x14ac:dyDescent="0.35">
      <c r="A22372" t="s">
        <v>228</v>
      </c>
      <c r="B22372" t="s">
        <v>371</v>
      </c>
      <c r="C22372" s="26">
        <v>0.71089999999999998</v>
      </c>
      <c r="D22372" s="26">
        <v>0.12759999999999999</v>
      </c>
      <c r="E22372" s="26">
        <v>0.09</v>
      </c>
      <c r="F22372" s="26">
        <v>5.11E-2</v>
      </c>
      <c r="G22372" s="26">
        <v>6.4000000000000003E-3</v>
      </c>
      <c r="I22372" s="26">
        <v>6.9999999999999999E-4</v>
      </c>
      <c r="J22372" s="26">
        <v>6.9999999999999999E-4</v>
      </c>
      <c r="K22372" s="26">
        <v>6.4000000000000003E-3</v>
      </c>
      <c r="M22372" s="26">
        <v>6.4000000000000003E-3</v>
      </c>
      <c r="N22372">
        <v>292</v>
      </c>
    </row>
    <row r="22373" spans="1:14" x14ac:dyDescent="0.35">
      <c r="A22373" t="s">
        <v>228</v>
      </c>
      <c r="B22373" t="s">
        <v>372</v>
      </c>
      <c r="C22373" s="26">
        <v>0.46210000000000001</v>
      </c>
      <c r="D22373" s="26">
        <v>0.18590000000000001</v>
      </c>
      <c r="E22373" s="26">
        <v>0.23280000000000001</v>
      </c>
      <c r="F22373" s="26">
        <v>6.5000000000000002E-2</v>
      </c>
      <c r="H22373" s="26">
        <v>1.46E-2</v>
      </c>
      <c r="J22373" s="26">
        <v>6.4000000000000003E-3</v>
      </c>
      <c r="K22373" s="26">
        <v>1.4200000000000001E-2</v>
      </c>
      <c r="L22373" s="26">
        <v>1.9E-2</v>
      </c>
      <c r="N22373">
        <v>218</v>
      </c>
    </row>
    <row r="22374" spans="1:14" x14ac:dyDescent="0.35">
      <c r="A22374" t="s">
        <v>228</v>
      </c>
      <c r="B22374" t="s">
        <v>373</v>
      </c>
      <c r="C22374" s="26">
        <v>0.77539999999999998</v>
      </c>
      <c r="D22374" s="26">
        <v>0.1033</v>
      </c>
      <c r="E22374" s="26">
        <v>6.3399999999999998E-2</v>
      </c>
      <c r="F22374" s="26">
        <v>3.9300000000000002E-2</v>
      </c>
      <c r="G22374" s="26">
        <v>2.3E-3</v>
      </c>
      <c r="H22374" s="26">
        <v>7.4999999999999997E-3</v>
      </c>
      <c r="I22374" s="26">
        <v>3.5000000000000001E-3</v>
      </c>
      <c r="J22374" s="26">
        <v>8.9999999999999998E-4</v>
      </c>
      <c r="K22374" s="26">
        <v>1.1999999999999999E-3</v>
      </c>
      <c r="L22374" s="26">
        <v>3.2000000000000002E-3</v>
      </c>
      <c r="N22374">
        <v>523</v>
      </c>
    </row>
    <row r="22375" spans="1:14" x14ac:dyDescent="0.35">
      <c r="A22375" t="s">
        <v>229</v>
      </c>
      <c r="B22375" t="s">
        <v>371</v>
      </c>
      <c r="C22375" s="26">
        <v>0.71909999999999996</v>
      </c>
      <c r="D22375" s="26">
        <v>0.121</v>
      </c>
      <c r="E22375" s="26">
        <v>8.1500000000000003E-2</v>
      </c>
      <c r="F22375" s="26">
        <v>5.62E-2</v>
      </c>
      <c r="G22375" s="26">
        <v>8.0999999999999996E-3</v>
      </c>
      <c r="H22375" s="26">
        <v>6.4000000000000003E-3</v>
      </c>
      <c r="I22375" s="26">
        <v>3.3999999999999998E-3</v>
      </c>
      <c r="J22375" s="26">
        <v>3.3999999999999998E-3</v>
      </c>
      <c r="L22375" s="26">
        <v>6.9999999999999999E-4</v>
      </c>
      <c r="N22375">
        <v>584</v>
      </c>
    </row>
    <row r="22376" spans="1:14" x14ac:dyDescent="0.35">
      <c r="A22376" t="s">
        <v>229</v>
      </c>
      <c r="B22376" t="s">
        <v>372</v>
      </c>
      <c r="C22376" s="26">
        <v>0.62290000000000001</v>
      </c>
      <c r="D22376" s="26">
        <v>0.1057</v>
      </c>
      <c r="E22376" s="26">
        <v>0.18390000000000001</v>
      </c>
      <c r="F22376" s="26">
        <v>5.74E-2</v>
      </c>
      <c r="H22376" s="26">
        <v>1.5100000000000001E-2</v>
      </c>
      <c r="J22376" s="26">
        <v>8.5000000000000006E-3</v>
      </c>
      <c r="L22376" s="26">
        <v>6.6E-3</v>
      </c>
      <c r="N22376">
        <v>221</v>
      </c>
    </row>
    <row r="22377" spans="1:14" x14ac:dyDescent="0.35">
      <c r="A22377" t="s">
        <v>229</v>
      </c>
      <c r="B22377" t="s">
        <v>373</v>
      </c>
      <c r="C22377" s="26">
        <v>0.40189999999999998</v>
      </c>
      <c r="D22377" s="26">
        <v>0.23810000000000001</v>
      </c>
      <c r="E22377" s="26">
        <v>0.1948</v>
      </c>
      <c r="F22377" s="26">
        <v>0.1343</v>
      </c>
      <c r="H22377" s="26">
        <v>1.23E-2</v>
      </c>
      <c r="J22377" s="26">
        <v>1.8700000000000001E-2</v>
      </c>
      <c r="N22377">
        <v>90</v>
      </c>
    </row>
    <row r="22378" spans="1:14" x14ac:dyDescent="0.35">
      <c r="A22378" t="s">
        <v>230</v>
      </c>
      <c r="B22378" t="s">
        <v>371</v>
      </c>
      <c r="C22378" s="26">
        <v>0.58499999999999996</v>
      </c>
      <c r="D22378" s="26">
        <v>0.21729999999999999</v>
      </c>
      <c r="E22378" s="26">
        <v>0.1128</v>
      </c>
      <c r="F22378" s="26">
        <v>6.7199999999999996E-2</v>
      </c>
      <c r="H22378" s="26">
        <v>9.9000000000000008E-3</v>
      </c>
      <c r="J22378" s="26">
        <v>1.1000000000000001E-3</v>
      </c>
      <c r="K22378" s="26">
        <v>6.6E-3</v>
      </c>
      <c r="N22378">
        <v>262</v>
      </c>
    </row>
    <row r="22379" spans="1:14" x14ac:dyDescent="0.35">
      <c r="A22379" t="s">
        <v>230</v>
      </c>
      <c r="B22379" t="s">
        <v>372</v>
      </c>
      <c r="C22379" s="26">
        <v>0.46510000000000001</v>
      </c>
      <c r="D22379" s="26">
        <v>0.27929999999999999</v>
      </c>
      <c r="E22379" s="26">
        <v>0.1633</v>
      </c>
      <c r="F22379" s="26">
        <v>5.8000000000000003E-2</v>
      </c>
      <c r="G22379" s="26">
        <v>4.7000000000000002E-3</v>
      </c>
      <c r="H22379" s="26">
        <v>2.01E-2</v>
      </c>
      <c r="I22379" s="26">
        <v>4.7000000000000002E-3</v>
      </c>
      <c r="J22379" s="26">
        <v>4.7000000000000002E-3</v>
      </c>
      <c r="N22379">
        <v>146</v>
      </c>
    </row>
    <row r="22380" spans="1:14" x14ac:dyDescent="0.35">
      <c r="A22380" t="s">
        <v>230</v>
      </c>
      <c r="B22380" t="s">
        <v>373</v>
      </c>
      <c r="C22380" s="26">
        <v>0.77880000000000005</v>
      </c>
      <c r="D22380" s="26">
        <v>9.1999999999999998E-2</v>
      </c>
      <c r="E22380" s="26">
        <v>9.1999999999999998E-2</v>
      </c>
      <c r="F22380" s="26">
        <v>3.0099999999999998E-2</v>
      </c>
      <c r="H22380" s="26">
        <v>7.0000000000000001E-3</v>
      </c>
      <c r="N22380">
        <v>152</v>
      </c>
    </row>
    <row r="22381" spans="1:14" x14ac:dyDescent="0.35">
      <c r="A22381" t="s">
        <v>231</v>
      </c>
      <c r="B22381" t="s">
        <v>371</v>
      </c>
      <c r="C22381" s="26">
        <v>0.57320000000000004</v>
      </c>
      <c r="D22381" s="26">
        <v>9.1499999999999998E-2</v>
      </c>
      <c r="E22381" s="26">
        <v>0.17680000000000001</v>
      </c>
      <c r="F22381" s="26">
        <v>0.1159</v>
      </c>
      <c r="G22381" s="26">
        <v>2.4400000000000002E-2</v>
      </c>
      <c r="H22381" s="26">
        <v>6.1000000000000004E-3</v>
      </c>
      <c r="I22381" s="26">
        <v>1.2200000000000001E-2</v>
      </c>
      <c r="N22381">
        <v>164</v>
      </c>
    </row>
    <row r="22382" spans="1:14" x14ac:dyDescent="0.35">
      <c r="A22382" t="s">
        <v>232</v>
      </c>
      <c r="B22382" t="s">
        <v>232</v>
      </c>
      <c r="C22382" s="26">
        <v>0.62880000000000003</v>
      </c>
      <c r="D22382" s="26">
        <v>0.14599999999999999</v>
      </c>
      <c r="E22382" s="26">
        <v>0.12520000000000001</v>
      </c>
      <c r="F22382" s="26">
        <v>7.1099999999999997E-2</v>
      </c>
      <c r="G22382" s="26">
        <v>1.06E-2</v>
      </c>
      <c r="H22382" s="26">
        <v>6.4000000000000003E-3</v>
      </c>
      <c r="I22382" s="26">
        <v>4.5999999999999999E-3</v>
      </c>
      <c r="J22382" s="26">
        <v>4.3E-3</v>
      </c>
      <c r="K22382" s="26">
        <v>1.5E-3</v>
      </c>
      <c r="L22382" s="26">
        <v>8.0000000000000004E-4</v>
      </c>
      <c r="M22382" s="26">
        <v>5.9999999999999995E-4</v>
      </c>
      <c r="N22382">
        <v>2813</v>
      </c>
    </row>
    <row r="22384" spans="1:14" x14ac:dyDescent="0.35">
      <c r="A22384" s="1" t="s">
        <v>2153</v>
      </c>
    </row>
    <row r="22385" spans="1:14" x14ac:dyDescent="0.35">
      <c r="A22385" t="s">
        <v>219</v>
      </c>
      <c r="B22385" t="s">
        <v>305</v>
      </c>
      <c r="C22385" t="s">
        <v>2134</v>
      </c>
      <c r="D22385" t="s">
        <v>2135</v>
      </c>
      <c r="E22385" t="s">
        <v>2136</v>
      </c>
      <c r="F22385" t="s">
        <v>2137</v>
      </c>
      <c r="G22385" t="s">
        <v>2138</v>
      </c>
      <c r="H22385" t="s">
        <v>2139</v>
      </c>
      <c r="I22385" t="s">
        <v>281</v>
      </c>
      <c r="J22385" t="s">
        <v>2140</v>
      </c>
      <c r="K22385" t="s">
        <v>2141</v>
      </c>
      <c r="L22385" t="s">
        <v>286</v>
      </c>
      <c r="M22385" t="s">
        <v>2142</v>
      </c>
      <c r="N22385" t="s">
        <v>226</v>
      </c>
    </row>
    <row r="22386" spans="1:14" x14ac:dyDescent="0.35">
      <c r="A22386" t="s">
        <v>227</v>
      </c>
      <c r="B22386" t="s">
        <v>255</v>
      </c>
      <c r="C22386" s="26">
        <v>0.49569999999999997</v>
      </c>
      <c r="D22386" s="26">
        <v>0.27350000000000002</v>
      </c>
      <c r="E22386" s="26">
        <v>0.15379999999999999</v>
      </c>
      <c r="F22386" s="26">
        <v>4.2700000000000002E-2</v>
      </c>
      <c r="G22386" s="26">
        <v>8.5000000000000006E-3</v>
      </c>
      <c r="J22386" s="26">
        <v>2.5600000000000001E-2</v>
      </c>
      <c r="N22386">
        <v>117</v>
      </c>
    </row>
    <row r="22387" spans="1:14" x14ac:dyDescent="0.35">
      <c r="A22387" s="27" t="s">
        <v>227</v>
      </c>
      <c r="B22387" s="27" t="s">
        <v>257</v>
      </c>
      <c r="C22387" s="28">
        <v>0.55559999999999998</v>
      </c>
      <c r="D22387" s="28">
        <v>0.1111</v>
      </c>
      <c r="E22387" s="28">
        <v>0.33329999999999999</v>
      </c>
      <c r="F22387" s="29"/>
      <c r="G22387" s="29"/>
      <c r="H22387" s="29"/>
      <c r="I22387" s="29"/>
      <c r="J22387" s="29"/>
      <c r="K22387" s="29"/>
      <c r="L22387" s="29"/>
      <c r="M22387" s="29"/>
      <c r="N22387" s="29" t="s">
        <v>334</v>
      </c>
    </row>
    <row r="22388" spans="1:14" x14ac:dyDescent="0.35">
      <c r="A22388" t="s">
        <v>227</v>
      </c>
      <c r="B22388" t="s">
        <v>256</v>
      </c>
      <c r="C22388" s="26">
        <v>0.45710000000000001</v>
      </c>
      <c r="D22388" s="26">
        <v>0.34289999999999998</v>
      </c>
      <c r="E22388" s="26">
        <v>8.5699999999999998E-2</v>
      </c>
      <c r="F22388" s="26">
        <v>8.5699999999999998E-2</v>
      </c>
      <c r="H22388" s="26">
        <v>2.86E-2</v>
      </c>
      <c r="N22388">
        <v>35</v>
      </c>
    </row>
    <row r="22389" spans="1:14" x14ac:dyDescent="0.35">
      <c r="A22389" t="s">
        <v>228</v>
      </c>
      <c r="B22389" t="s">
        <v>257</v>
      </c>
      <c r="C22389" s="26">
        <v>0.76139999999999997</v>
      </c>
      <c r="D22389" s="26">
        <v>6.0900000000000003E-2</v>
      </c>
      <c r="E22389" s="26">
        <v>0.13070000000000001</v>
      </c>
      <c r="F22389" s="26">
        <v>4.7E-2</v>
      </c>
      <c r="N22389">
        <v>49</v>
      </c>
    </row>
    <row r="22390" spans="1:14" x14ac:dyDescent="0.35">
      <c r="A22390" s="27" t="s">
        <v>228</v>
      </c>
      <c r="B22390" s="27" t="s">
        <v>258</v>
      </c>
      <c r="C22390" s="28">
        <v>0.90190000000000003</v>
      </c>
      <c r="D22390" s="28">
        <v>9.8100000000000007E-2</v>
      </c>
      <c r="E22390" s="29"/>
      <c r="F22390" s="29"/>
      <c r="G22390" s="29"/>
      <c r="H22390" s="29"/>
      <c r="I22390" s="29"/>
      <c r="J22390" s="29"/>
      <c r="K22390" s="29"/>
      <c r="L22390" s="29"/>
      <c r="M22390" s="29"/>
      <c r="N22390" s="29" t="s">
        <v>337</v>
      </c>
    </row>
    <row r="22391" spans="1:14" x14ac:dyDescent="0.35">
      <c r="A22391" t="s">
        <v>228</v>
      </c>
      <c r="B22391" t="s">
        <v>256</v>
      </c>
      <c r="C22391" s="26">
        <v>0.63439999999999996</v>
      </c>
      <c r="D22391" s="26">
        <v>0.19020000000000001</v>
      </c>
      <c r="E22391" s="26">
        <v>8.7900000000000006E-2</v>
      </c>
      <c r="F22391" s="26">
        <v>7.8899999999999998E-2</v>
      </c>
      <c r="G22391" s="26">
        <v>1E-3</v>
      </c>
      <c r="I22391" s="26">
        <v>3.3999999999999998E-3</v>
      </c>
      <c r="K22391" s="26">
        <v>2E-3</v>
      </c>
      <c r="L22391" s="26">
        <v>2.3E-3</v>
      </c>
      <c r="N22391">
        <v>221</v>
      </c>
    </row>
    <row r="22392" spans="1:14" x14ac:dyDescent="0.35">
      <c r="A22392" t="s">
        <v>228</v>
      </c>
      <c r="B22392" t="s">
        <v>255</v>
      </c>
      <c r="C22392" s="26">
        <v>0.73780000000000001</v>
      </c>
      <c r="D22392" s="26">
        <v>0.1047</v>
      </c>
      <c r="E22392" s="26">
        <v>9.0899999999999995E-2</v>
      </c>
      <c r="F22392" s="26">
        <v>3.73E-2</v>
      </c>
      <c r="G22392" s="26">
        <v>5.7000000000000002E-3</v>
      </c>
      <c r="H22392" s="26">
        <v>6.0000000000000001E-3</v>
      </c>
      <c r="I22392" s="26">
        <v>1.2999999999999999E-3</v>
      </c>
      <c r="J22392" s="26">
        <v>1.8E-3</v>
      </c>
      <c r="K22392" s="26">
        <v>6.4999999999999997E-3</v>
      </c>
      <c r="L22392" s="26">
        <v>3.3E-3</v>
      </c>
      <c r="M22392" s="26">
        <v>4.7000000000000002E-3</v>
      </c>
      <c r="N22392">
        <v>759</v>
      </c>
    </row>
    <row r="22393" spans="1:14" x14ac:dyDescent="0.35">
      <c r="A22393" t="s">
        <v>229</v>
      </c>
      <c r="B22393" t="s">
        <v>256</v>
      </c>
      <c r="C22393" s="26">
        <v>0.73109999999999997</v>
      </c>
      <c r="D22393" s="26">
        <v>0.14760000000000001</v>
      </c>
      <c r="E22393" s="26">
        <v>4.5900000000000003E-2</v>
      </c>
      <c r="F22393" s="26">
        <v>6.3200000000000006E-2</v>
      </c>
      <c r="H22393" s="26">
        <v>1.8E-3</v>
      </c>
      <c r="I22393" s="26">
        <v>9.1000000000000004E-3</v>
      </c>
      <c r="J22393" s="26">
        <v>1.1999999999999999E-3</v>
      </c>
      <c r="N22393">
        <v>207</v>
      </c>
    </row>
    <row r="22394" spans="1:14" x14ac:dyDescent="0.35">
      <c r="A22394" t="s">
        <v>229</v>
      </c>
      <c r="B22394" t="s">
        <v>255</v>
      </c>
      <c r="C22394" s="26">
        <v>0.68559999999999999</v>
      </c>
      <c r="D22394" s="26">
        <v>0.1124</v>
      </c>
      <c r="E22394" s="26">
        <v>0.1119</v>
      </c>
      <c r="F22394" s="26">
        <v>6.1100000000000002E-2</v>
      </c>
      <c r="G22394" s="26">
        <v>1.12E-2</v>
      </c>
      <c r="H22394" s="26">
        <v>9.7000000000000003E-3</v>
      </c>
      <c r="I22394" s="26">
        <v>1E-3</v>
      </c>
      <c r="J22394" s="26">
        <v>5.5999999999999999E-3</v>
      </c>
      <c r="L22394" s="26">
        <v>1.5E-3</v>
      </c>
      <c r="N22394">
        <v>636</v>
      </c>
    </row>
    <row r="22395" spans="1:14" x14ac:dyDescent="0.35">
      <c r="A22395" t="s">
        <v>229</v>
      </c>
      <c r="B22395" t="s">
        <v>257</v>
      </c>
      <c r="C22395" s="26">
        <v>0.83440000000000003</v>
      </c>
      <c r="D22395" s="26">
        <v>0.1358</v>
      </c>
      <c r="E22395" s="26">
        <v>2.98E-2</v>
      </c>
      <c r="N22395">
        <v>50</v>
      </c>
    </row>
    <row r="22396" spans="1:14" x14ac:dyDescent="0.35">
      <c r="A22396" s="27" t="s">
        <v>229</v>
      </c>
      <c r="B22396" s="27" t="s">
        <v>258</v>
      </c>
      <c r="C22396" s="29"/>
      <c r="D22396" s="28">
        <v>0.22409999999999999</v>
      </c>
      <c r="E22396" s="28">
        <v>0.77590000000000003</v>
      </c>
      <c r="F22396" s="29"/>
      <c r="G22396" s="29"/>
      <c r="H22396" s="29"/>
      <c r="I22396" s="29"/>
      <c r="J22396" s="29"/>
      <c r="K22396" s="29"/>
      <c r="L22396" s="29"/>
      <c r="M22396" s="29"/>
      <c r="N22396" s="29" t="s">
        <v>314</v>
      </c>
    </row>
    <row r="22397" spans="1:14" x14ac:dyDescent="0.35">
      <c r="A22397" t="s">
        <v>230</v>
      </c>
      <c r="B22397" t="s">
        <v>256</v>
      </c>
      <c r="C22397" s="26">
        <v>0.52329999999999999</v>
      </c>
      <c r="D22397" s="26">
        <v>0.21249999999999999</v>
      </c>
      <c r="E22397" s="26">
        <v>0.18410000000000001</v>
      </c>
      <c r="F22397" s="26">
        <v>7.6700000000000004E-2</v>
      </c>
      <c r="H22397" s="26">
        <v>3.5000000000000001E-3</v>
      </c>
      <c r="N22397">
        <v>130</v>
      </c>
    </row>
    <row r="22398" spans="1:14" x14ac:dyDescent="0.35">
      <c r="A22398" t="s">
        <v>230</v>
      </c>
      <c r="B22398" t="s">
        <v>255</v>
      </c>
      <c r="C22398" s="26">
        <v>0.63939999999999997</v>
      </c>
      <c r="D22398" s="26">
        <v>0.21729999999999999</v>
      </c>
      <c r="E22398" s="26">
        <v>8.09E-2</v>
      </c>
      <c r="F22398" s="26">
        <v>4.5900000000000003E-2</v>
      </c>
      <c r="G22398" s="26">
        <v>4.0000000000000002E-4</v>
      </c>
      <c r="H22398" s="26">
        <v>5.7999999999999996E-3</v>
      </c>
      <c r="I22398" s="26">
        <v>4.0000000000000002E-4</v>
      </c>
      <c r="J22398" s="26">
        <v>1.8E-3</v>
      </c>
      <c r="K22398" s="26">
        <v>8.0999999999999996E-3</v>
      </c>
      <c r="N22398">
        <v>389</v>
      </c>
    </row>
    <row r="22399" spans="1:14" x14ac:dyDescent="0.35">
      <c r="A22399" t="s">
        <v>230</v>
      </c>
      <c r="B22399" t="s">
        <v>257</v>
      </c>
      <c r="C22399" s="26">
        <v>0.59519999999999995</v>
      </c>
      <c r="D22399" s="26">
        <v>0.08</v>
      </c>
      <c r="E22399" s="26">
        <v>0.16</v>
      </c>
      <c r="F22399" s="26">
        <v>0.1648</v>
      </c>
      <c r="N22399">
        <v>38</v>
      </c>
    </row>
    <row r="22400" spans="1:14" x14ac:dyDescent="0.35">
      <c r="A22400" s="27" t="s">
        <v>230</v>
      </c>
      <c r="B22400" s="27" t="s">
        <v>258</v>
      </c>
      <c r="C22400" s="28">
        <v>0.1356</v>
      </c>
      <c r="D22400" s="29"/>
      <c r="E22400" s="28">
        <v>4.1700000000000001E-2</v>
      </c>
      <c r="F22400" s="29"/>
      <c r="G22400" s="29"/>
      <c r="H22400" s="28">
        <v>0.82269999999999999</v>
      </c>
      <c r="I22400" s="29"/>
      <c r="J22400" s="29"/>
      <c r="K22400" s="29"/>
      <c r="L22400" s="29"/>
      <c r="M22400" s="29"/>
      <c r="N22400" s="29" t="s">
        <v>315</v>
      </c>
    </row>
    <row r="22401" spans="1:14" x14ac:dyDescent="0.35">
      <c r="A22401" s="27" t="s">
        <v>231</v>
      </c>
      <c r="B22401" s="27" t="s">
        <v>257</v>
      </c>
      <c r="C22401" s="28">
        <v>0.85709999999999997</v>
      </c>
      <c r="D22401" s="29"/>
      <c r="E22401" s="28">
        <v>0.1429</v>
      </c>
      <c r="F22401" s="29"/>
      <c r="G22401" s="29"/>
      <c r="H22401" s="29"/>
      <c r="I22401" s="29"/>
      <c r="J22401" s="29"/>
      <c r="K22401" s="29"/>
      <c r="L22401" s="29"/>
      <c r="M22401" s="29"/>
      <c r="N22401" s="29" t="s">
        <v>339</v>
      </c>
    </row>
    <row r="22402" spans="1:14" x14ac:dyDescent="0.35">
      <c r="A22402" t="s">
        <v>231</v>
      </c>
      <c r="B22402" t="s">
        <v>255</v>
      </c>
      <c r="C22402" s="26">
        <v>0.58140000000000003</v>
      </c>
      <c r="D22402" s="26">
        <v>9.2999999999999999E-2</v>
      </c>
      <c r="E22402" s="26">
        <v>0.1628</v>
      </c>
      <c r="F22402" s="26">
        <v>0.1085</v>
      </c>
      <c r="G22402" s="26">
        <v>3.1E-2</v>
      </c>
      <c r="H22402" s="26">
        <v>7.7999999999999996E-3</v>
      </c>
      <c r="I22402" s="26">
        <v>1.55E-2</v>
      </c>
      <c r="N22402">
        <v>129</v>
      </c>
    </row>
    <row r="22403" spans="1:14" x14ac:dyDescent="0.35">
      <c r="A22403" s="27" t="s">
        <v>231</v>
      </c>
      <c r="B22403" s="27" t="s">
        <v>256</v>
      </c>
      <c r="C22403" s="28">
        <v>0.46429999999999999</v>
      </c>
      <c r="D22403" s="28">
        <v>0.1071</v>
      </c>
      <c r="E22403" s="28">
        <v>0.25</v>
      </c>
      <c r="F22403" s="28">
        <v>0.17860000000000001</v>
      </c>
      <c r="G22403" s="29"/>
      <c r="H22403" s="29"/>
      <c r="I22403" s="29"/>
      <c r="J22403" s="29"/>
      <c r="K22403" s="29"/>
      <c r="L22403" s="29"/>
      <c r="M22403" s="29"/>
      <c r="N22403" s="29" t="s">
        <v>336</v>
      </c>
    </row>
    <row r="22404" spans="1:14" x14ac:dyDescent="0.35">
      <c r="A22404" t="s">
        <v>232</v>
      </c>
      <c r="B22404" t="s">
        <v>232</v>
      </c>
      <c r="C22404" s="26">
        <v>0.62880000000000003</v>
      </c>
      <c r="D22404" s="26">
        <v>0.14599999999999999</v>
      </c>
      <c r="E22404" s="26">
        <v>0.12520000000000001</v>
      </c>
      <c r="F22404" s="26">
        <v>7.1099999999999997E-2</v>
      </c>
      <c r="G22404" s="26">
        <v>1.06E-2</v>
      </c>
      <c r="H22404" s="26">
        <v>6.4000000000000003E-3</v>
      </c>
      <c r="I22404" s="26">
        <v>4.5999999999999999E-3</v>
      </c>
      <c r="J22404" s="26">
        <v>4.3E-3</v>
      </c>
      <c r="K22404" s="26">
        <v>1.5E-3</v>
      </c>
      <c r="L22404" s="26">
        <v>8.0000000000000004E-4</v>
      </c>
      <c r="M22404" s="26">
        <v>5.9999999999999995E-4</v>
      </c>
      <c r="N22404">
        <v>2813</v>
      </c>
    </row>
    <row r="22406" spans="1:14" x14ac:dyDescent="0.35">
      <c r="A22406" s="1" t="s">
        <v>2154</v>
      </c>
    </row>
    <row r="22407" spans="1:14" x14ac:dyDescent="0.35">
      <c r="A22407" t="s">
        <v>219</v>
      </c>
      <c r="B22407" t="s">
        <v>302</v>
      </c>
      <c r="C22407" t="s">
        <v>303</v>
      </c>
      <c r="D22407" t="s">
        <v>281</v>
      </c>
      <c r="E22407" t="s">
        <v>286</v>
      </c>
      <c r="F22407" t="s">
        <v>226</v>
      </c>
    </row>
    <row r="22408" spans="1:14" x14ac:dyDescent="0.35">
      <c r="A22408" t="s">
        <v>227</v>
      </c>
      <c r="B22408" s="26">
        <v>0.95</v>
      </c>
      <c r="C22408" s="26">
        <v>0.05</v>
      </c>
      <c r="F22408">
        <v>160</v>
      </c>
    </row>
    <row r="22409" spans="1:14" x14ac:dyDescent="0.35">
      <c r="A22409" t="s">
        <v>228</v>
      </c>
      <c r="B22409" s="26">
        <v>0.96150000000000002</v>
      </c>
      <c r="C22409" s="26">
        <v>3.8300000000000001E-2</v>
      </c>
      <c r="E22409" s="26">
        <v>2.0000000000000001E-4</v>
      </c>
      <c r="F22409">
        <v>1019</v>
      </c>
    </row>
    <row r="22410" spans="1:14" x14ac:dyDescent="0.35">
      <c r="A22410" t="s">
        <v>229</v>
      </c>
      <c r="B22410" s="26">
        <v>0.98009999999999997</v>
      </c>
      <c r="C22410" s="26">
        <v>1.9800000000000002E-2</v>
      </c>
      <c r="D22410" s="26">
        <v>1E-4</v>
      </c>
      <c r="F22410">
        <v>888</v>
      </c>
    </row>
    <row r="22411" spans="1:14" x14ac:dyDescent="0.35">
      <c r="A22411" t="s">
        <v>230</v>
      </c>
      <c r="B22411" s="26">
        <v>0.9839</v>
      </c>
      <c r="C22411" s="26">
        <v>1.61E-2</v>
      </c>
      <c r="F22411">
        <v>558</v>
      </c>
    </row>
    <row r="22412" spans="1:14" x14ac:dyDescent="0.35">
      <c r="A22412" t="s">
        <v>231</v>
      </c>
      <c r="B22412" s="26">
        <v>0.89239999999999997</v>
      </c>
      <c r="C22412" s="26">
        <v>0.1013</v>
      </c>
      <c r="D22412" s="26">
        <v>6.3E-3</v>
      </c>
      <c r="F22412">
        <v>158</v>
      </c>
    </row>
    <row r="22413" spans="1:14" x14ac:dyDescent="0.35">
      <c r="A22413" t="s">
        <v>232</v>
      </c>
      <c r="B22413" s="26">
        <v>0.94869999999999999</v>
      </c>
      <c r="C22413" s="26">
        <v>4.9500000000000002E-2</v>
      </c>
      <c r="D22413" s="26">
        <v>1.6999999999999999E-3</v>
      </c>
      <c r="E22413" s="26">
        <v>0</v>
      </c>
      <c r="F22413">
        <v>2783</v>
      </c>
    </row>
    <row r="22415" spans="1:14" x14ac:dyDescent="0.35">
      <c r="A22415" s="1" t="s">
        <v>2155</v>
      </c>
    </row>
    <row r="22416" spans="1:14" x14ac:dyDescent="0.35">
      <c r="A22416" t="s">
        <v>219</v>
      </c>
      <c r="B22416" t="s">
        <v>305</v>
      </c>
      <c r="C22416" t="s">
        <v>302</v>
      </c>
      <c r="D22416" t="s">
        <v>303</v>
      </c>
      <c r="E22416" t="s">
        <v>281</v>
      </c>
      <c r="F22416" t="s">
        <v>286</v>
      </c>
      <c r="G22416" t="s">
        <v>226</v>
      </c>
    </row>
    <row r="22417" spans="1:7" x14ac:dyDescent="0.35">
      <c r="A22417" t="s">
        <v>227</v>
      </c>
      <c r="B22417" t="s">
        <v>242</v>
      </c>
      <c r="C22417" s="26">
        <v>0.98509999999999998</v>
      </c>
      <c r="D22417" s="26">
        <v>1.49E-2</v>
      </c>
      <c r="G22417">
        <v>67</v>
      </c>
    </row>
    <row r="22418" spans="1:7" x14ac:dyDescent="0.35">
      <c r="A22418" t="s">
        <v>227</v>
      </c>
      <c r="B22418" t="s">
        <v>241</v>
      </c>
      <c r="C22418" s="26">
        <v>0.92469999999999997</v>
      </c>
      <c r="D22418" s="26">
        <v>7.5300000000000006E-2</v>
      </c>
      <c r="G22418">
        <v>93</v>
      </c>
    </row>
    <row r="22419" spans="1:7" x14ac:dyDescent="0.35">
      <c r="A22419" t="s">
        <v>228</v>
      </c>
      <c r="B22419" t="s">
        <v>242</v>
      </c>
      <c r="C22419" s="26">
        <v>0.96060000000000001</v>
      </c>
      <c r="D22419" s="26">
        <v>3.8800000000000001E-2</v>
      </c>
      <c r="F22419" s="26">
        <v>6.9999999999999999E-4</v>
      </c>
      <c r="G22419">
        <v>395</v>
      </c>
    </row>
    <row r="22420" spans="1:7" x14ac:dyDescent="0.35">
      <c r="A22420" t="s">
        <v>228</v>
      </c>
      <c r="B22420" t="s">
        <v>241</v>
      </c>
      <c r="C22420" s="26">
        <v>0.96199999999999997</v>
      </c>
      <c r="D22420" s="26">
        <v>3.7999999999999999E-2</v>
      </c>
      <c r="G22420">
        <v>624</v>
      </c>
    </row>
    <row r="22421" spans="1:7" x14ac:dyDescent="0.35">
      <c r="A22421" t="s">
        <v>229</v>
      </c>
      <c r="B22421" t="s">
        <v>242</v>
      </c>
      <c r="C22421" s="26">
        <v>0.97899999999999998</v>
      </c>
      <c r="D22421" s="26">
        <v>2.1000000000000001E-2</v>
      </c>
      <c r="G22421">
        <v>291</v>
      </c>
    </row>
    <row r="22422" spans="1:7" x14ac:dyDescent="0.35">
      <c r="A22422" t="s">
        <v>229</v>
      </c>
      <c r="B22422" t="s">
        <v>241</v>
      </c>
      <c r="C22422" s="26">
        <v>0.98080000000000001</v>
      </c>
      <c r="D22422" s="26">
        <v>1.9E-2</v>
      </c>
      <c r="E22422" s="26">
        <v>2.0000000000000001E-4</v>
      </c>
      <c r="G22422">
        <v>597</v>
      </c>
    </row>
    <row r="22423" spans="1:7" x14ac:dyDescent="0.35">
      <c r="A22423" t="s">
        <v>230</v>
      </c>
      <c r="B22423" t="s">
        <v>242</v>
      </c>
      <c r="C22423" s="26">
        <v>0.96199999999999997</v>
      </c>
      <c r="D22423" s="26">
        <v>3.7999999999999999E-2</v>
      </c>
      <c r="G22423">
        <v>188</v>
      </c>
    </row>
    <row r="22424" spans="1:7" x14ac:dyDescent="0.35">
      <c r="A22424" t="s">
        <v>230</v>
      </c>
      <c r="B22424" t="s">
        <v>241</v>
      </c>
      <c r="C22424" s="26">
        <v>0.99509999999999998</v>
      </c>
      <c r="D22424" s="26">
        <v>4.8999999999999998E-3</v>
      </c>
      <c r="G22424">
        <v>370</v>
      </c>
    </row>
    <row r="22425" spans="1:7" x14ac:dyDescent="0.35">
      <c r="A22425" t="s">
        <v>231</v>
      </c>
      <c r="B22425" t="s">
        <v>242</v>
      </c>
      <c r="C22425" s="26">
        <v>0.95920000000000005</v>
      </c>
      <c r="D22425" s="26">
        <v>4.0800000000000003E-2</v>
      </c>
      <c r="G22425">
        <v>49</v>
      </c>
    </row>
    <row r="22426" spans="1:7" x14ac:dyDescent="0.35">
      <c r="A22426" t="s">
        <v>231</v>
      </c>
      <c r="B22426" t="s">
        <v>241</v>
      </c>
      <c r="C22426" s="26">
        <v>0.86240000000000006</v>
      </c>
      <c r="D22426" s="26">
        <v>0.12839999999999999</v>
      </c>
      <c r="E22426" s="26">
        <v>9.1999999999999998E-3</v>
      </c>
      <c r="G22426">
        <v>109</v>
      </c>
    </row>
    <row r="22427" spans="1:7" x14ac:dyDescent="0.35">
      <c r="A22427" t="s">
        <v>232</v>
      </c>
      <c r="B22427" t="s">
        <v>232</v>
      </c>
      <c r="C22427" s="26">
        <v>0.94869999999999999</v>
      </c>
      <c r="D22427" s="26">
        <v>4.9500000000000002E-2</v>
      </c>
      <c r="E22427" s="26">
        <v>1.6999999999999999E-3</v>
      </c>
      <c r="F22427" s="26">
        <v>0</v>
      </c>
      <c r="G22427">
        <v>2783</v>
      </c>
    </row>
    <row r="22429" spans="1:7" x14ac:dyDescent="0.35">
      <c r="A22429" s="1" t="s">
        <v>2156</v>
      </c>
    </row>
    <row r="22430" spans="1:7" x14ac:dyDescent="0.35">
      <c r="A22430" t="s">
        <v>219</v>
      </c>
      <c r="B22430" t="s">
        <v>305</v>
      </c>
      <c r="C22430" t="s">
        <v>302</v>
      </c>
      <c r="D22430" t="s">
        <v>303</v>
      </c>
      <c r="E22430" t="s">
        <v>281</v>
      </c>
      <c r="F22430" t="s">
        <v>286</v>
      </c>
      <c r="G22430" t="s">
        <v>226</v>
      </c>
    </row>
    <row r="22431" spans="1:7" x14ac:dyDescent="0.35">
      <c r="A22431" t="s">
        <v>227</v>
      </c>
      <c r="B22431" t="s">
        <v>239</v>
      </c>
      <c r="C22431" s="26">
        <v>0.96719999999999995</v>
      </c>
      <c r="D22431" s="26">
        <v>3.2800000000000003E-2</v>
      </c>
      <c r="G22431">
        <v>61</v>
      </c>
    </row>
    <row r="22432" spans="1:7" x14ac:dyDescent="0.35">
      <c r="A22432" t="s">
        <v>227</v>
      </c>
      <c r="B22432" t="s">
        <v>238</v>
      </c>
      <c r="C22432" s="26">
        <v>0.93940000000000001</v>
      </c>
      <c r="D22432" s="26">
        <v>6.0600000000000001E-2</v>
      </c>
      <c r="G22432">
        <v>99</v>
      </c>
    </row>
    <row r="22433" spans="1:7" x14ac:dyDescent="0.35">
      <c r="A22433" t="s">
        <v>228</v>
      </c>
      <c r="B22433" t="s">
        <v>239</v>
      </c>
      <c r="C22433" s="26">
        <v>0.93830000000000002</v>
      </c>
      <c r="D22433" s="26">
        <v>6.0499999999999998E-2</v>
      </c>
      <c r="F22433" s="26">
        <v>1.1999999999999999E-3</v>
      </c>
      <c r="G22433">
        <v>326</v>
      </c>
    </row>
    <row r="22434" spans="1:7" x14ac:dyDescent="0.35">
      <c r="A22434" t="s">
        <v>228</v>
      </c>
      <c r="B22434" t="s">
        <v>238</v>
      </c>
      <c r="C22434" s="26">
        <v>0.96740000000000004</v>
      </c>
      <c r="D22434" s="26">
        <v>3.2599999999999997E-2</v>
      </c>
      <c r="G22434">
        <v>693</v>
      </c>
    </row>
    <row r="22435" spans="1:7" x14ac:dyDescent="0.35">
      <c r="A22435" t="s">
        <v>229</v>
      </c>
      <c r="B22435" t="s">
        <v>239</v>
      </c>
      <c r="C22435" s="26">
        <v>0.98370000000000002</v>
      </c>
      <c r="D22435" s="26">
        <v>1.6299999999999999E-2</v>
      </c>
      <c r="G22435">
        <v>330</v>
      </c>
    </row>
    <row r="22436" spans="1:7" x14ac:dyDescent="0.35">
      <c r="A22436" t="s">
        <v>229</v>
      </c>
      <c r="B22436" t="s">
        <v>238</v>
      </c>
      <c r="C22436" s="26">
        <v>0.97889999999999999</v>
      </c>
      <c r="D22436" s="26">
        <v>2.1000000000000001E-2</v>
      </c>
      <c r="E22436" s="26">
        <v>1E-4</v>
      </c>
      <c r="G22436">
        <v>558</v>
      </c>
    </row>
    <row r="22437" spans="1:7" x14ac:dyDescent="0.35">
      <c r="A22437" t="s">
        <v>230</v>
      </c>
      <c r="B22437" t="s">
        <v>239</v>
      </c>
      <c r="C22437" s="26">
        <v>0.99609999999999999</v>
      </c>
      <c r="D22437" s="26">
        <v>3.8999999999999998E-3</v>
      </c>
      <c r="G22437">
        <v>210</v>
      </c>
    </row>
    <row r="22438" spans="1:7" x14ac:dyDescent="0.35">
      <c r="A22438" t="s">
        <v>230</v>
      </c>
      <c r="B22438" t="s">
        <v>238</v>
      </c>
      <c r="C22438" s="26">
        <v>0.97870000000000001</v>
      </c>
      <c r="D22438" s="26">
        <v>2.1299999999999999E-2</v>
      </c>
      <c r="G22438">
        <v>348</v>
      </c>
    </row>
    <row r="22439" spans="1:7" x14ac:dyDescent="0.35">
      <c r="A22439" t="s">
        <v>231</v>
      </c>
      <c r="B22439" t="s">
        <v>239</v>
      </c>
      <c r="C22439" s="26">
        <v>0.94550000000000001</v>
      </c>
      <c r="D22439" s="26">
        <v>5.45E-2</v>
      </c>
      <c r="G22439">
        <v>55</v>
      </c>
    </row>
    <row r="22440" spans="1:7" x14ac:dyDescent="0.35">
      <c r="A22440" t="s">
        <v>231</v>
      </c>
      <c r="B22440" t="s">
        <v>238</v>
      </c>
      <c r="C22440" s="26">
        <v>0.86409999999999998</v>
      </c>
      <c r="D22440" s="26">
        <v>0.12620000000000001</v>
      </c>
      <c r="E22440" s="26">
        <v>9.7000000000000003E-3</v>
      </c>
      <c r="G22440">
        <v>103</v>
      </c>
    </row>
    <row r="22441" spans="1:7" x14ac:dyDescent="0.35">
      <c r="A22441" t="s">
        <v>232</v>
      </c>
      <c r="B22441" t="s">
        <v>232</v>
      </c>
      <c r="C22441" s="26">
        <v>0.94869999999999999</v>
      </c>
      <c r="D22441" s="26">
        <v>4.9500000000000002E-2</v>
      </c>
      <c r="E22441" s="26">
        <v>1.6999999999999999E-3</v>
      </c>
      <c r="F22441" s="26">
        <v>0</v>
      </c>
      <c r="G22441">
        <v>2783</v>
      </c>
    </row>
    <row r="22443" spans="1:7" x14ac:dyDescent="0.35">
      <c r="A22443" s="1" t="s">
        <v>2157</v>
      </c>
    </row>
    <row r="22444" spans="1:7" x14ac:dyDescent="0.35">
      <c r="A22444" t="s">
        <v>219</v>
      </c>
      <c r="B22444" t="s">
        <v>305</v>
      </c>
      <c r="C22444" t="s">
        <v>302</v>
      </c>
      <c r="D22444" t="s">
        <v>303</v>
      </c>
      <c r="E22444" t="s">
        <v>281</v>
      </c>
      <c r="F22444" t="s">
        <v>286</v>
      </c>
      <c r="G22444" t="s">
        <v>226</v>
      </c>
    </row>
    <row r="22445" spans="1:7" x14ac:dyDescent="0.35">
      <c r="A22445" t="s">
        <v>227</v>
      </c>
      <c r="B22445" t="s">
        <v>244</v>
      </c>
      <c r="C22445" s="26">
        <v>0.96879999999999999</v>
      </c>
      <c r="D22445" s="26">
        <v>3.1199999999999999E-2</v>
      </c>
      <c r="G22445">
        <v>96</v>
      </c>
    </row>
    <row r="22446" spans="1:7" x14ac:dyDescent="0.35">
      <c r="A22446" t="s">
        <v>227</v>
      </c>
      <c r="B22446" t="s">
        <v>245</v>
      </c>
      <c r="C22446" s="26">
        <v>0.92310000000000003</v>
      </c>
      <c r="D22446" s="26">
        <v>7.6899999999999996E-2</v>
      </c>
      <c r="G22446">
        <v>52</v>
      </c>
    </row>
    <row r="22447" spans="1:7" x14ac:dyDescent="0.35">
      <c r="A22447" s="27" t="s">
        <v>227</v>
      </c>
      <c r="B22447" s="27" t="s">
        <v>246</v>
      </c>
      <c r="C22447" s="28">
        <v>0.91669999999999996</v>
      </c>
      <c r="D22447" s="28">
        <v>8.3299999999999999E-2</v>
      </c>
      <c r="E22447" s="29"/>
      <c r="F22447" s="29"/>
      <c r="G22447" s="29" t="s">
        <v>342</v>
      </c>
    </row>
    <row r="22448" spans="1:7" x14ac:dyDescent="0.35">
      <c r="A22448" t="s">
        <v>228</v>
      </c>
      <c r="B22448" t="s">
        <v>244</v>
      </c>
      <c r="C22448" s="26">
        <v>0.97399999999999998</v>
      </c>
      <c r="D22448" s="26">
        <v>2.5999999999999999E-2</v>
      </c>
      <c r="G22448">
        <v>632</v>
      </c>
    </row>
    <row r="22449" spans="1:7" x14ac:dyDescent="0.35">
      <c r="A22449" t="s">
        <v>228</v>
      </c>
      <c r="B22449" t="s">
        <v>245</v>
      </c>
      <c r="C22449" s="26">
        <v>0.93530000000000002</v>
      </c>
      <c r="D22449" s="26">
        <v>6.3799999999999996E-2</v>
      </c>
      <c r="F22449" s="26">
        <v>8.9999999999999998E-4</v>
      </c>
      <c r="G22449">
        <v>320</v>
      </c>
    </row>
    <row r="22450" spans="1:7" x14ac:dyDescent="0.35">
      <c r="A22450" t="s">
        <v>228</v>
      </c>
      <c r="B22450" t="s">
        <v>246</v>
      </c>
      <c r="C22450" s="26">
        <v>0.94550000000000001</v>
      </c>
      <c r="D22450" s="26">
        <v>5.45E-2</v>
      </c>
      <c r="G22450">
        <v>67</v>
      </c>
    </row>
    <row r="22451" spans="1:7" x14ac:dyDescent="0.35">
      <c r="A22451" t="s">
        <v>229</v>
      </c>
      <c r="B22451" t="s">
        <v>244</v>
      </c>
      <c r="C22451" s="26">
        <v>0.98760000000000003</v>
      </c>
      <c r="D22451" s="26">
        <v>1.24E-2</v>
      </c>
      <c r="G22451">
        <v>551</v>
      </c>
    </row>
    <row r="22452" spans="1:7" x14ac:dyDescent="0.35">
      <c r="A22452" t="s">
        <v>229</v>
      </c>
      <c r="B22452" t="s">
        <v>245</v>
      </c>
      <c r="C22452" s="26">
        <v>0.95589999999999997</v>
      </c>
      <c r="D22452" s="26">
        <v>4.3700000000000003E-2</v>
      </c>
      <c r="E22452" s="26">
        <v>4.0000000000000002E-4</v>
      </c>
      <c r="G22452">
        <v>292</v>
      </c>
    </row>
    <row r="22453" spans="1:7" x14ac:dyDescent="0.35">
      <c r="A22453" t="s">
        <v>229</v>
      </c>
      <c r="B22453" t="s">
        <v>246</v>
      </c>
      <c r="C22453" s="26">
        <v>0.99819999999999998</v>
      </c>
      <c r="D22453" s="26">
        <v>1.8E-3</v>
      </c>
      <c r="G22453">
        <v>45</v>
      </c>
    </row>
    <row r="22454" spans="1:7" x14ac:dyDescent="0.35">
      <c r="A22454" t="s">
        <v>230</v>
      </c>
      <c r="B22454" t="s">
        <v>244</v>
      </c>
      <c r="C22454" s="26">
        <v>0.9879</v>
      </c>
      <c r="D22454" s="26">
        <v>1.21E-2</v>
      </c>
      <c r="G22454">
        <v>370</v>
      </c>
    </row>
    <row r="22455" spans="1:7" x14ac:dyDescent="0.35">
      <c r="A22455" t="s">
        <v>230</v>
      </c>
      <c r="B22455" t="s">
        <v>245</v>
      </c>
      <c r="C22455" s="26">
        <v>0.97030000000000005</v>
      </c>
      <c r="D22455" s="26">
        <v>2.9700000000000001E-2</v>
      </c>
      <c r="G22455">
        <v>159</v>
      </c>
    </row>
    <row r="22456" spans="1:7" x14ac:dyDescent="0.35">
      <c r="A22456" s="27" t="s">
        <v>230</v>
      </c>
      <c r="B22456" s="27" t="s">
        <v>246</v>
      </c>
      <c r="C22456" s="28">
        <v>1</v>
      </c>
      <c r="D22456" s="29"/>
      <c r="E22456" s="29"/>
      <c r="F22456" s="29"/>
      <c r="G22456" s="29" t="s">
        <v>329</v>
      </c>
    </row>
    <row r="22457" spans="1:7" x14ac:dyDescent="0.35">
      <c r="A22457" t="s">
        <v>231</v>
      </c>
      <c r="B22457" t="s">
        <v>244</v>
      </c>
      <c r="C22457" s="26">
        <v>0.9022</v>
      </c>
      <c r="D22457" s="26">
        <v>8.6999999999999994E-2</v>
      </c>
      <c r="E22457" s="26">
        <v>1.09E-2</v>
      </c>
      <c r="G22457">
        <v>92</v>
      </c>
    </row>
    <row r="22458" spans="1:7" x14ac:dyDescent="0.35">
      <c r="A22458" t="s">
        <v>231</v>
      </c>
      <c r="B22458" t="s">
        <v>245</v>
      </c>
      <c r="C22458" s="26">
        <v>0.84909999999999997</v>
      </c>
      <c r="D22458" s="26">
        <v>0.15090000000000001</v>
      </c>
      <c r="G22458">
        <v>53</v>
      </c>
    </row>
    <row r="22459" spans="1:7" x14ac:dyDescent="0.35">
      <c r="A22459" s="27" t="s">
        <v>231</v>
      </c>
      <c r="B22459" s="27" t="s">
        <v>246</v>
      </c>
      <c r="C22459" s="28">
        <v>1</v>
      </c>
      <c r="D22459" s="29"/>
      <c r="E22459" s="29"/>
      <c r="F22459" s="29"/>
      <c r="G22459" s="29" t="s">
        <v>341</v>
      </c>
    </row>
    <row r="22460" spans="1:7" x14ac:dyDescent="0.35">
      <c r="A22460" t="s">
        <v>232</v>
      </c>
      <c r="B22460" t="s">
        <v>232</v>
      </c>
      <c r="C22460" s="26">
        <v>0.94869999999999999</v>
      </c>
      <c r="D22460" s="26">
        <v>4.9500000000000002E-2</v>
      </c>
      <c r="E22460" s="26">
        <v>1.6999999999999999E-3</v>
      </c>
      <c r="F22460" s="26">
        <v>0</v>
      </c>
      <c r="G22460">
        <v>2783</v>
      </c>
    </row>
    <row r="22462" spans="1:7" x14ac:dyDescent="0.35">
      <c r="A22462" s="1" t="s">
        <v>2158</v>
      </c>
    </row>
    <row r="22463" spans="1:7" x14ac:dyDescent="0.35">
      <c r="A22463" t="s">
        <v>219</v>
      </c>
      <c r="B22463" t="s">
        <v>305</v>
      </c>
      <c r="C22463" t="s">
        <v>302</v>
      </c>
      <c r="D22463" t="s">
        <v>303</v>
      </c>
      <c r="E22463" t="s">
        <v>281</v>
      </c>
      <c r="F22463" t="s">
        <v>286</v>
      </c>
      <c r="G22463" t="s">
        <v>226</v>
      </c>
    </row>
    <row r="22464" spans="1:7" x14ac:dyDescent="0.35">
      <c r="A22464" t="s">
        <v>227</v>
      </c>
      <c r="B22464" t="s">
        <v>360</v>
      </c>
      <c r="C22464" s="26">
        <v>0.94869999999999999</v>
      </c>
      <c r="D22464" s="26">
        <v>5.1299999999999998E-2</v>
      </c>
      <c r="G22464">
        <v>39</v>
      </c>
    </row>
    <row r="22465" spans="1:7" x14ac:dyDescent="0.35">
      <c r="A22465" t="s">
        <v>227</v>
      </c>
      <c r="B22465" t="s">
        <v>361</v>
      </c>
      <c r="C22465" s="26">
        <v>0.96879999999999999</v>
      </c>
      <c r="D22465" s="26">
        <v>3.1199999999999999E-2</v>
      </c>
      <c r="G22465">
        <v>32</v>
      </c>
    </row>
    <row r="22466" spans="1:7" x14ac:dyDescent="0.35">
      <c r="A22466" t="s">
        <v>227</v>
      </c>
      <c r="B22466" t="s">
        <v>362</v>
      </c>
      <c r="C22466" s="26">
        <v>0.97299999999999998</v>
      </c>
      <c r="D22466" s="26">
        <v>2.7E-2</v>
      </c>
      <c r="G22466">
        <v>37</v>
      </c>
    </row>
    <row r="22467" spans="1:7" x14ac:dyDescent="0.35">
      <c r="A22467" t="s">
        <v>227</v>
      </c>
      <c r="B22467" t="s">
        <v>363</v>
      </c>
      <c r="C22467" s="26">
        <v>0.90910000000000002</v>
      </c>
      <c r="D22467" s="26">
        <v>9.0899999999999995E-2</v>
      </c>
      <c r="G22467">
        <v>44</v>
      </c>
    </row>
    <row r="22468" spans="1:7" x14ac:dyDescent="0.35">
      <c r="A22468" t="s">
        <v>228</v>
      </c>
      <c r="B22468" t="s">
        <v>360</v>
      </c>
      <c r="C22468" s="26">
        <v>0.9556</v>
      </c>
      <c r="D22468" s="26">
        <v>4.4400000000000002E-2</v>
      </c>
      <c r="G22468">
        <v>251</v>
      </c>
    </row>
    <row r="22469" spans="1:7" x14ac:dyDescent="0.35">
      <c r="A22469" t="s">
        <v>228</v>
      </c>
      <c r="B22469" t="s">
        <v>361</v>
      </c>
      <c r="C22469" s="26">
        <v>0.93830000000000002</v>
      </c>
      <c r="D22469" s="26">
        <v>6.1699999999999998E-2</v>
      </c>
      <c r="G22469">
        <v>194</v>
      </c>
    </row>
    <row r="22470" spans="1:7" x14ac:dyDescent="0.35">
      <c r="A22470" t="s">
        <v>228</v>
      </c>
      <c r="B22470" t="s">
        <v>363</v>
      </c>
      <c r="C22470" s="26">
        <v>0.96460000000000001</v>
      </c>
      <c r="D22470" s="26">
        <v>3.5400000000000001E-2</v>
      </c>
      <c r="G22470">
        <v>211</v>
      </c>
    </row>
    <row r="22471" spans="1:7" x14ac:dyDescent="0.35">
      <c r="A22471" t="s">
        <v>228</v>
      </c>
      <c r="B22471" t="s">
        <v>362</v>
      </c>
      <c r="C22471" s="26">
        <v>0.97240000000000004</v>
      </c>
      <c r="D22471" s="26">
        <v>2.6499999999999999E-2</v>
      </c>
      <c r="F22471" s="26">
        <v>1E-3</v>
      </c>
      <c r="G22471">
        <v>233</v>
      </c>
    </row>
    <row r="22472" spans="1:7" x14ac:dyDescent="0.35">
      <c r="A22472" t="s">
        <v>229</v>
      </c>
      <c r="B22472" t="s">
        <v>363</v>
      </c>
      <c r="C22472" s="26">
        <v>0.99399999999999999</v>
      </c>
      <c r="D22472" s="26">
        <v>5.4999999999999997E-3</v>
      </c>
      <c r="E22472" s="26">
        <v>5.0000000000000001E-4</v>
      </c>
      <c r="G22472">
        <v>191</v>
      </c>
    </row>
    <row r="22473" spans="1:7" x14ac:dyDescent="0.35">
      <c r="A22473" t="s">
        <v>229</v>
      </c>
      <c r="B22473" t="s">
        <v>360</v>
      </c>
      <c r="C22473" s="26">
        <v>0.99939999999999996</v>
      </c>
      <c r="D22473" s="26">
        <v>5.9999999999999995E-4</v>
      </c>
      <c r="G22473">
        <v>162</v>
      </c>
    </row>
    <row r="22474" spans="1:7" x14ac:dyDescent="0.35">
      <c r="A22474" t="s">
        <v>229</v>
      </c>
      <c r="B22474" t="s">
        <v>361</v>
      </c>
      <c r="C22474" s="26">
        <v>0.97319999999999995</v>
      </c>
      <c r="D22474" s="26">
        <v>2.6800000000000001E-2</v>
      </c>
      <c r="G22474">
        <v>242</v>
      </c>
    </row>
    <row r="22475" spans="1:7" x14ac:dyDescent="0.35">
      <c r="A22475" t="s">
        <v>229</v>
      </c>
      <c r="B22475" t="s">
        <v>362</v>
      </c>
      <c r="C22475" s="26">
        <v>0.97289999999999999</v>
      </c>
      <c r="D22475" s="26">
        <v>2.7099999999999999E-2</v>
      </c>
      <c r="G22475">
        <v>170</v>
      </c>
    </row>
    <row r="22476" spans="1:7" x14ac:dyDescent="0.35">
      <c r="A22476" t="s">
        <v>230</v>
      </c>
      <c r="B22476" t="s">
        <v>360</v>
      </c>
      <c r="C22476" s="26">
        <v>0.99219999999999997</v>
      </c>
      <c r="D22476" s="26">
        <v>7.7999999999999996E-3</v>
      </c>
      <c r="G22476">
        <v>120</v>
      </c>
    </row>
    <row r="22477" spans="1:7" x14ac:dyDescent="0.35">
      <c r="A22477" t="s">
        <v>230</v>
      </c>
      <c r="B22477" t="s">
        <v>363</v>
      </c>
      <c r="C22477" s="26">
        <v>1</v>
      </c>
      <c r="G22477">
        <v>127</v>
      </c>
    </row>
    <row r="22478" spans="1:7" x14ac:dyDescent="0.35">
      <c r="A22478" t="s">
        <v>230</v>
      </c>
      <c r="B22478" t="s">
        <v>361</v>
      </c>
      <c r="C22478" s="26">
        <v>0.99650000000000005</v>
      </c>
      <c r="D22478" s="26">
        <v>3.5000000000000001E-3</v>
      </c>
      <c r="G22478">
        <v>108</v>
      </c>
    </row>
    <row r="22479" spans="1:7" x14ac:dyDescent="0.35">
      <c r="A22479" t="s">
        <v>230</v>
      </c>
      <c r="B22479" t="s">
        <v>362</v>
      </c>
      <c r="C22479" s="26">
        <v>0.97489999999999999</v>
      </c>
      <c r="D22479" s="26">
        <v>2.5100000000000001E-2</v>
      </c>
      <c r="G22479">
        <v>147</v>
      </c>
    </row>
    <row r="22480" spans="1:7" x14ac:dyDescent="0.35">
      <c r="A22480" s="27" t="s">
        <v>231</v>
      </c>
      <c r="B22480" s="27" t="s">
        <v>362</v>
      </c>
      <c r="C22480" s="28">
        <v>0.86209999999999998</v>
      </c>
      <c r="D22480" s="28">
        <v>0.13789999999999999</v>
      </c>
      <c r="E22480" s="29"/>
      <c r="F22480" s="29"/>
      <c r="G22480" s="29" t="s">
        <v>329</v>
      </c>
    </row>
    <row r="22481" spans="1:7" x14ac:dyDescent="0.35">
      <c r="A22481" t="s">
        <v>231</v>
      </c>
      <c r="B22481" t="s">
        <v>361</v>
      </c>
      <c r="C22481" s="26">
        <v>0.89800000000000002</v>
      </c>
      <c r="D22481" s="26">
        <v>0.10199999999999999</v>
      </c>
      <c r="G22481">
        <v>49</v>
      </c>
    </row>
    <row r="22482" spans="1:7" x14ac:dyDescent="0.35">
      <c r="A22482" t="s">
        <v>231</v>
      </c>
      <c r="B22482" t="s">
        <v>360</v>
      </c>
      <c r="C22482" s="26">
        <v>0.9</v>
      </c>
      <c r="D22482" s="26">
        <v>7.4999999999999997E-2</v>
      </c>
      <c r="E22482" s="26">
        <v>2.5000000000000001E-2</v>
      </c>
      <c r="G22482">
        <v>40</v>
      </c>
    </row>
    <row r="22483" spans="1:7" x14ac:dyDescent="0.35">
      <c r="A22483" s="27" t="s">
        <v>231</v>
      </c>
      <c r="B22483" s="27" t="s">
        <v>363</v>
      </c>
      <c r="C22483" s="28">
        <v>0.88460000000000005</v>
      </c>
      <c r="D22483" s="28">
        <v>0.1154</v>
      </c>
      <c r="E22483" s="29"/>
      <c r="F22483" s="29"/>
      <c r="G22483" s="29" t="s">
        <v>357</v>
      </c>
    </row>
    <row r="22484" spans="1:7" x14ac:dyDescent="0.35">
      <c r="A22484" t="s">
        <v>232</v>
      </c>
      <c r="B22484" t="s">
        <v>232</v>
      </c>
      <c r="C22484" s="26">
        <v>0.94869999999999999</v>
      </c>
      <c r="D22484" s="26">
        <v>4.9500000000000002E-2</v>
      </c>
      <c r="E22484" s="26">
        <v>1.6999999999999999E-3</v>
      </c>
      <c r="F22484" s="26">
        <v>0</v>
      </c>
      <c r="G22484">
        <v>2452</v>
      </c>
    </row>
    <row r="22486" spans="1:7" x14ac:dyDescent="0.35">
      <c r="A22486" s="1" t="s">
        <v>2159</v>
      </c>
    </row>
    <row r="22487" spans="1:7" x14ac:dyDescent="0.35">
      <c r="A22487" t="s">
        <v>219</v>
      </c>
      <c r="B22487" t="s">
        <v>305</v>
      </c>
      <c r="C22487" t="s">
        <v>302</v>
      </c>
      <c r="D22487" t="s">
        <v>303</v>
      </c>
      <c r="E22487" t="s">
        <v>281</v>
      </c>
      <c r="F22487" t="s">
        <v>286</v>
      </c>
      <c r="G22487" t="s">
        <v>226</v>
      </c>
    </row>
    <row r="22488" spans="1:7" x14ac:dyDescent="0.35">
      <c r="A22488" t="s">
        <v>227</v>
      </c>
      <c r="B22488" t="s">
        <v>267</v>
      </c>
      <c r="C22488" s="26">
        <v>1</v>
      </c>
      <c r="G22488">
        <v>36</v>
      </c>
    </row>
    <row r="22489" spans="1:7" x14ac:dyDescent="0.35">
      <c r="A22489" t="s">
        <v>227</v>
      </c>
      <c r="B22489" t="s">
        <v>266</v>
      </c>
      <c r="C22489" s="26">
        <v>0.91379999999999995</v>
      </c>
      <c r="D22489" s="26">
        <v>8.6199999999999999E-2</v>
      </c>
      <c r="G22489">
        <v>58</v>
      </c>
    </row>
    <row r="22490" spans="1:7" x14ac:dyDescent="0.35">
      <c r="A22490" t="s">
        <v>227</v>
      </c>
      <c r="B22490" t="s">
        <v>265</v>
      </c>
      <c r="C22490" s="26">
        <v>0.95450000000000002</v>
      </c>
      <c r="D22490" s="26">
        <v>4.5499999999999999E-2</v>
      </c>
      <c r="G22490">
        <v>66</v>
      </c>
    </row>
    <row r="22491" spans="1:7" x14ac:dyDescent="0.35">
      <c r="A22491" t="s">
        <v>228</v>
      </c>
      <c r="B22491" t="s">
        <v>267</v>
      </c>
      <c r="C22491" s="26">
        <v>0.95950000000000002</v>
      </c>
      <c r="D22491" s="26">
        <v>3.9E-2</v>
      </c>
      <c r="F22491" s="26">
        <v>1.4E-3</v>
      </c>
      <c r="G22491">
        <v>197</v>
      </c>
    </row>
    <row r="22492" spans="1:7" x14ac:dyDescent="0.35">
      <c r="A22492" t="s">
        <v>228</v>
      </c>
      <c r="B22492" t="s">
        <v>265</v>
      </c>
      <c r="C22492" s="26">
        <v>0.97709999999999997</v>
      </c>
      <c r="D22492" s="26">
        <v>2.29E-2</v>
      </c>
      <c r="G22492">
        <v>380</v>
      </c>
    </row>
    <row r="22493" spans="1:7" x14ac:dyDescent="0.35">
      <c r="A22493" s="27" t="s">
        <v>228</v>
      </c>
      <c r="B22493" s="27" t="s">
        <v>236</v>
      </c>
      <c r="C22493" s="28">
        <v>1</v>
      </c>
      <c r="D22493" s="29"/>
      <c r="E22493" s="29"/>
      <c r="F22493" s="29"/>
      <c r="G22493" s="29" t="s">
        <v>314</v>
      </c>
    </row>
    <row r="22494" spans="1:7" x14ac:dyDescent="0.35">
      <c r="A22494" t="s">
        <v>228</v>
      </c>
      <c r="B22494" t="s">
        <v>266</v>
      </c>
      <c r="C22494" s="26">
        <v>0.9456</v>
      </c>
      <c r="D22494" s="26">
        <v>5.4399999999999997E-2</v>
      </c>
      <c r="G22494">
        <v>440</v>
      </c>
    </row>
    <row r="22495" spans="1:7" x14ac:dyDescent="0.35">
      <c r="A22495" t="s">
        <v>229</v>
      </c>
      <c r="B22495" t="s">
        <v>266</v>
      </c>
      <c r="C22495" s="26">
        <v>0.97170000000000001</v>
      </c>
      <c r="D22495" s="26">
        <v>2.8000000000000001E-2</v>
      </c>
      <c r="E22495" s="26">
        <v>2.9999999999999997E-4</v>
      </c>
      <c r="G22495">
        <v>358</v>
      </c>
    </row>
    <row r="22496" spans="1:7" x14ac:dyDescent="0.35">
      <c r="A22496" t="s">
        <v>229</v>
      </c>
      <c r="B22496" t="s">
        <v>267</v>
      </c>
      <c r="C22496" s="26">
        <v>0.98560000000000003</v>
      </c>
      <c r="D22496" s="26">
        <v>1.44E-2</v>
      </c>
      <c r="G22496">
        <v>200</v>
      </c>
    </row>
    <row r="22497" spans="1:7" x14ac:dyDescent="0.35">
      <c r="A22497" t="s">
        <v>229</v>
      </c>
      <c r="B22497" t="s">
        <v>265</v>
      </c>
      <c r="C22497" s="26">
        <v>0.98360000000000003</v>
      </c>
      <c r="D22497" s="26">
        <v>1.6400000000000001E-2</v>
      </c>
      <c r="G22497">
        <v>330</v>
      </c>
    </row>
    <row r="22498" spans="1:7" x14ac:dyDescent="0.35">
      <c r="A22498" t="s">
        <v>230</v>
      </c>
      <c r="B22498" t="s">
        <v>267</v>
      </c>
      <c r="C22498" s="26">
        <v>0.98380000000000001</v>
      </c>
      <c r="D22498" s="26">
        <v>1.6199999999999999E-2</v>
      </c>
      <c r="G22498">
        <v>119</v>
      </c>
    </row>
    <row r="22499" spans="1:7" x14ac:dyDescent="0.35">
      <c r="A22499" t="s">
        <v>230</v>
      </c>
      <c r="B22499" t="s">
        <v>266</v>
      </c>
      <c r="C22499" s="26">
        <v>0.98109999999999997</v>
      </c>
      <c r="D22499" s="26">
        <v>1.89E-2</v>
      </c>
      <c r="G22499">
        <v>230</v>
      </c>
    </row>
    <row r="22500" spans="1:7" x14ac:dyDescent="0.35">
      <c r="A22500" t="s">
        <v>230</v>
      </c>
      <c r="B22500" t="s">
        <v>265</v>
      </c>
      <c r="C22500" s="26">
        <v>0.98650000000000004</v>
      </c>
      <c r="D22500" s="26">
        <v>1.35E-2</v>
      </c>
      <c r="G22500">
        <v>209</v>
      </c>
    </row>
    <row r="22501" spans="1:7" x14ac:dyDescent="0.35">
      <c r="A22501" t="s">
        <v>231</v>
      </c>
      <c r="B22501" t="s">
        <v>267</v>
      </c>
      <c r="C22501" s="26">
        <v>0.78120000000000001</v>
      </c>
      <c r="D22501" s="26">
        <v>0.21879999999999999</v>
      </c>
      <c r="G22501">
        <v>32</v>
      </c>
    </row>
    <row r="22502" spans="1:7" x14ac:dyDescent="0.35">
      <c r="A22502" t="s">
        <v>231</v>
      </c>
      <c r="B22502" t="s">
        <v>266</v>
      </c>
      <c r="C22502" s="26">
        <v>0.93440000000000001</v>
      </c>
      <c r="D22502" s="26">
        <v>6.5600000000000006E-2</v>
      </c>
      <c r="G22502">
        <v>61</v>
      </c>
    </row>
    <row r="22503" spans="1:7" x14ac:dyDescent="0.35">
      <c r="A22503" t="s">
        <v>231</v>
      </c>
      <c r="B22503" t="s">
        <v>265</v>
      </c>
      <c r="C22503" s="26">
        <v>0.90769999999999995</v>
      </c>
      <c r="D22503" s="26">
        <v>7.6899999999999996E-2</v>
      </c>
      <c r="E22503" s="26">
        <v>1.54E-2</v>
      </c>
      <c r="G22503">
        <v>65</v>
      </c>
    </row>
    <row r="22504" spans="1:7" x14ac:dyDescent="0.35">
      <c r="A22504" t="s">
        <v>232</v>
      </c>
      <c r="B22504" t="s">
        <v>232</v>
      </c>
      <c r="C22504" s="26">
        <v>0.94869999999999999</v>
      </c>
      <c r="D22504" s="26">
        <v>4.9500000000000002E-2</v>
      </c>
      <c r="E22504" s="26">
        <v>1.6999999999999999E-3</v>
      </c>
      <c r="F22504" s="26">
        <v>0</v>
      </c>
      <c r="G22504">
        <v>2783</v>
      </c>
    </row>
    <row r="22506" spans="1:7" x14ac:dyDescent="0.35">
      <c r="A22506" s="1" t="s">
        <v>2160</v>
      </c>
    </row>
    <row r="22507" spans="1:7" x14ac:dyDescent="0.35">
      <c r="A22507" t="s">
        <v>219</v>
      </c>
      <c r="B22507" t="s">
        <v>305</v>
      </c>
      <c r="C22507" t="s">
        <v>302</v>
      </c>
      <c r="D22507" t="s">
        <v>303</v>
      </c>
      <c r="E22507" t="s">
        <v>281</v>
      </c>
      <c r="F22507" t="s">
        <v>286</v>
      </c>
      <c r="G22507" t="s">
        <v>226</v>
      </c>
    </row>
    <row r="22508" spans="1:7" x14ac:dyDescent="0.35">
      <c r="A22508" t="s">
        <v>227</v>
      </c>
      <c r="B22508" t="s">
        <v>252</v>
      </c>
      <c r="C22508" s="26">
        <v>0.93330000000000002</v>
      </c>
      <c r="D22508" s="26">
        <v>6.6699999999999995E-2</v>
      </c>
      <c r="G22508">
        <v>45</v>
      </c>
    </row>
    <row r="22509" spans="1:7" x14ac:dyDescent="0.35">
      <c r="A22509" t="s">
        <v>227</v>
      </c>
      <c r="B22509" t="s">
        <v>253</v>
      </c>
      <c r="C22509" s="26">
        <v>1</v>
      </c>
      <c r="G22509">
        <v>34</v>
      </c>
    </row>
    <row r="22510" spans="1:7" x14ac:dyDescent="0.35">
      <c r="A22510" t="s">
        <v>227</v>
      </c>
      <c r="B22510" t="s">
        <v>251</v>
      </c>
      <c r="C22510" s="26">
        <v>0.93830000000000002</v>
      </c>
      <c r="D22510" s="26">
        <v>6.1699999999999998E-2</v>
      </c>
      <c r="G22510">
        <v>81</v>
      </c>
    </row>
    <row r="22511" spans="1:7" x14ac:dyDescent="0.35">
      <c r="A22511" t="s">
        <v>228</v>
      </c>
      <c r="B22511" t="s">
        <v>252</v>
      </c>
      <c r="C22511" s="26">
        <v>0.9587</v>
      </c>
      <c r="D22511" s="26">
        <v>4.0599999999999997E-2</v>
      </c>
      <c r="F22511" s="26">
        <v>8.0000000000000004E-4</v>
      </c>
      <c r="G22511">
        <v>337</v>
      </c>
    </row>
    <row r="22512" spans="1:7" x14ac:dyDescent="0.35">
      <c r="A22512" t="s">
        <v>228</v>
      </c>
      <c r="B22512" t="s">
        <v>253</v>
      </c>
      <c r="C22512" s="26">
        <v>0.9819</v>
      </c>
      <c r="D22512" s="26">
        <v>1.8100000000000002E-2</v>
      </c>
      <c r="G22512">
        <v>220</v>
      </c>
    </row>
    <row r="22513" spans="1:7" x14ac:dyDescent="0.35">
      <c r="A22513" t="s">
        <v>228</v>
      </c>
      <c r="B22513" t="s">
        <v>251</v>
      </c>
      <c r="C22513" s="26">
        <v>0.9546</v>
      </c>
      <c r="D22513" s="26">
        <v>4.5400000000000003E-2</v>
      </c>
      <c r="G22513">
        <v>462</v>
      </c>
    </row>
    <row r="22514" spans="1:7" x14ac:dyDescent="0.35">
      <c r="A22514" t="s">
        <v>229</v>
      </c>
      <c r="B22514" t="s">
        <v>252</v>
      </c>
      <c r="C22514" s="26">
        <v>0.98199999999999998</v>
      </c>
      <c r="D22514" s="26">
        <v>1.7999999999999999E-2</v>
      </c>
      <c r="G22514">
        <v>198</v>
      </c>
    </row>
    <row r="22515" spans="1:7" x14ac:dyDescent="0.35">
      <c r="A22515" t="s">
        <v>229</v>
      </c>
      <c r="B22515" t="s">
        <v>253</v>
      </c>
      <c r="C22515" s="26">
        <v>0.97860000000000003</v>
      </c>
      <c r="D22515" s="26">
        <v>2.1399999999999999E-2</v>
      </c>
      <c r="G22515">
        <v>142</v>
      </c>
    </row>
    <row r="22516" spans="1:7" x14ac:dyDescent="0.35">
      <c r="A22516" t="s">
        <v>229</v>
      </c>
      <c r="B22516" t="s">
        <v>251</v>
      </c>
      <c r="C22516" s="26">
        <v>0.97989999999999999</v>
      </c>
      <c r="D22516" s="26">
        <v>0.02</v>
      </c>
      <c r="E22516" s="26">
        <v>2.0000000000000001E-4</v>
      </c>
      <c r="G22516">
        <v>548</v>
      </c>
    </row>
    <row r="22517" spans="1:7" x14ac:dyDescent="0.35">
      <c r="A22517" t="s">
        <v>230</v>
      </c>
      <c r="B22517" t="s">
        <v>252</v>
      </c>
      <c r="C22517" s="26">
        <v>0.95320000000000005</v>
      </c>
      <c r="D22517" s="26">
        <v>4.6800000000000001E-2</v>
      </c>
      <c r="G22517">
        <v>157</v>
      </c>
    </row>
    <row r="22518" spans="1:7" x14ac:dyDescent="0.35">
      <c r="A22518" t="s">
        <v>230</v>
      </c>
      <c r="B22518" t="s">
        <v>253</v>
      </c>
      <c r="C22518" s="26">
        <v>0.99519999999999997</v>
      </c>
      <c r="D22518" s="26">
        <v>4.7999999999999996E-3</v>
      </c>
      <c r="G22518">
        <v>110</v>
      </c>
    </row>
    <row r="22519" spans="1:7" x14ac:dyDescent="0.35">
      <c r="A22519" t="s">
        <v>230</v>
      </c>
      <c r="B22519" t="s">
        <v>251</v>
      </c>
      <c r="C22519" s="26">
        <v>0.99419999999999997</v>
      </c>
      <c r="D22519" s="26">
        <v>5.7999999999999996E-3</v>
      </c>
      <c r="G22519">
        <v>291</v>
      </c>
    </row>
    <row r="22520" spans="1:7" x14ac:dyDescent="0.35">
      <c r="A22520" t="s">
        <v>231</v>
      </c>
      <c r="B22520" t="s">
        <v>252</v>
      </c>
      <c r="C22520" s="26">
        <v>0.88890000000000002</v>
      </c>
      <c r="D22520" s="26">
        <v>0.1111</v>
      </c>
      <c r="G22520">
        <v>45</v>
      </c>
    </row>
    <row r="22521" spans="1:7" x14ac:dyDescent="0.35">
      <c r="A22521" s="27" t="s">
        <v>231</v>
      </c>
      <c r="B22521" s="27" t="s">
        <v>253</v>
      </c>
      <c r="C22521" s="28">
        <v>0.96550000000000002</v>
      </c>
      <c r="D22521" s="28">
        <v>3.4500000000000003E-2</v>
      </c>
      <c r="E22521" s="29"/>
      <c r="F22521" s="29"/>
      <c r="G22521" s="29" t="s">
        <v>329</v>
      </c>
    </row>
    <row r="22522" spans="1:7" x14ac:dyDescent="0.35">
      <c r="A22522" t="s">
        <v>231</v>
      </c>
      <c r="B22522" t="s">
        <v>251</v>
      </c>
      <c r="C22522" s="26">
        <v>0.86899999999999999</v>
      </c>
      <c r="D22522" s="26">
        <v>0.11899999999999999</v>
      </c>
      <c r="E22522" s="26">
        <v>1.1900000000000001E-2</v>
      </c>
      <c r="G22522">
        <v>84</v>
      </c>
    </row>
    <row r="22523" spans="1:7" x14ac:dyDescent="0.35">
      <c r="A22523" t="s">
        <v>232</v>
      </c>
      <c r="B22523" t="s">
        <v>232</v>
      </c>
      <c r="C22523" s="26">
        <v>0.94869999999999999</v>
      </c>
      <c r="D22523" s="26">
        <v>4.9500000000000002E-2</v>
      </c>
      <c r="E22523" s="26">
        <v>1.6999999999999999E-3</v>
      </c>
      <c r="F22523" s="26">
        <v>0</v>
      </c>
      <c r="G22523">
        <v>2783</v>
      </c>
    </row>
    <row r="22525" spans="1:7" x14ac:dyDescent="0.35">
      <c r="A22525" s="1" t="s">
        <v>2161</v>
      </c>
    </row>
    <row r="22526" spans="1:7" x14ac:dyDescent="0.35">
      <c r="A22526" t="s">
        <v>219</v>
      </c>
      <c r="B22526" t="s">
        <v>305</v>
      </c>
      <c r="C22526" t="s">
        <v>302</v>
      </c>
      <c r="D22526" t="s">
        <v>303</v>
      </c>
      <c r="E22526" t="s">
        <v>281</v>
      </c>
      <c r="F22526" t="s">
        <v>286</v>
      </c>
      <c r="G22526" t="s">
        <v>226</v>
      </c>
    </row>
    <row r="22527" spans="1:7" x14ac:dyDescent="0.35">
      <c r="A22527" t="s">
        <v>227</v>
      </c>
      <c r="B22527" t="s">
        <v>249</v>
      </c>
      <c r="C22527" s="26">
        <v>0.90910000000000002</v>
      </c>
      <c r="D22527" s="26">
        <v>9.0899999999999995E-2</v>
      </c>
      <c r="G22527">
        <v>44</v>
      </c>
    </row>
    <row r="22528" spans="1:7" x14ac:dyDescent="0.35">
      <c r="A22528" t="s">
        <v>227</v>
      </c>
      <c r="B22528" t="s">
        <v>248</v>
      </c>
      <c r="C22528" s="26">
        <v>0.96550000000000002</v>
      </c>
      <c r="D22528" s="26">
        <v>3.4500000000000003E-2</v>
      </c>
      <c r="G22528">
        <v>116</v>
      </c>
    </row>
    <row r="22529" spans="1:7" x14ac:dyDescent="0.35">
      <c r="A22529" t="s">
        <v>228</v>
      </c>
      <c r="B22529" t="s">
        <v>249</v>
      </c>
      <c r="C22529" s="26">
        <v>0.97699999999999998</v>
      </c>
      <c r="D22529" s="26">
        <v>2.3E-2</v>
      </c>
      <c r="G22529">
        <v>271</v>
      </c>
    </row>
    <row r="22530" spans="1:7" x14ac:dyDescent="0.35">
      <c r="A22530" t="s">
        <v>228</v>
      </c>
      <c r="B22530" t="s">
        <v>248</v>
      </c>
      <c r="C22530" s="26">
        <v>0.95479999999999998</v>
      </c>
      <c r="D22530" s="26">
        <v>4.4900000000000002E-2</v>
      </c>
      <c r="F22530" s="26">
        <v>4.0000000000000002E-4</v>
      </c>
      <c r="G22530">
        <v>748</v>
      </c>
    </row>
    <row r="22531" spans="1:7" x14ac:dyDescent="0.35">
      <c r="A22531" t="s">
        <v>229</v>
      </c>
      <c r="B22531" t="s">
        <v>249</v>
      </c>
      <c r="C22531" s="26">
        <v>0.98540000000000005</v>
      </c>
      <c r="D22531" s="26">
        <v>1.46E-2</v>
      </c>
      <c r="G22531">
        <v>258</v>
      </c>
    </row>
    <row r="22532" spans="1:7" x14ac:dyDescent="0.35">
      <c r="A22532" t="s">
        <v>229</v>
      </c>
      <c r="B22532" t="s">
        <v>248</v>
      </c>
      <c r="C22532" s="26">
        <v>0.97750000000000004</v>
      </c>
      <c r="D22532" s="26">
        <v>2.24E-2</v>
      </c>
      <c r="E22532" s="26">
        <v>1E-4</v>
      </c>
      <c r="G22532">
        <v>630</v>
      </c>
    </row>
    <row r="22533" spans="1:7" x14ac:dyDescent="0.35">
      <c r="A22533" t="s">
        <v>230</v>
      </c>
      <c r="B22533" t="s">
        <v>249</v>
      </c>
      <c r="C22533" s="26">
        <v>0.99660000000000004</v>
      </c>
      <c r="D22533" s="26">
        <v>3.3999999999999998E-3</v>
      </c>
      <c r="G22533">
        <v>171</v>
      </c>
    </row>
    <row r="22534" spans="1:7" x14ac:dyDescent="0.35">
      <c r="A22534" t="s">
        <v>230</v>
      </c>
      <c r="B22534" t="s">
        <v>248</v>
      </c>
      <c r="C22534" s="26">
        <v>0.97750000000000004</v>
      </c>
      <c r="D22534" s="26">
        <v>2.2499999999999999E-2</v>
      </c>
      <c r="G22534">
        <v>387</v>
      </c>
    </row>
    <row r="22535" spans="1:7" x14ac:dyDescent="0.35">
      <c r="A22535" t="s">
        <v>231</v>
      </c>
      <c r="B22535" t="s">
        <v>249</v>
      </c>
      <c r="C22535" s="26">
        <v>0.94289999999999996</v>
      </c>
      <c r="D22535" s="26">
        <v>2.86E-2</v>
      </c>
      <c r="E22535" s="26">
        <v>2.86E-2</v>
      </c>
      <c r="G22535">
        <v>35</v>
      </c>
    </row>
    <row r="22536" spans="1:7" x14ac:dyDescent="0.35">
      <c r="A22536" t="s">
        <v>231</v>
      </c>
      <c r="B22536" t="s">
        <v>248</v>
      </c>
      <c r="C22536" s="26">
        <v>0.878</v>
      </c>
      <c r="D22536" s="26">
        <v>0.122</v>
      </c>
      <c r="G22536">
        <v>123</v>
      </c>
    </row>
    <row r="22537" spans="1:7" x14ac:dyDescent="0.35">
      <c r="A22537" t="s">
        <v>232</v>
      </c>
      <c r="B22537" t="s">
        <v>232</v>
      </c>
      <c r="C22537" s="26">
        <v>0.94869999999999999</v>
      </c>
      <c r="D22537" s="26">
        <v>4.9500000000000002E-2</v>
      </c>
      <c r="E22537" s="26">
        <v>1.6999999999999999E-3</v>
      </c>
      <c r="F22537" s="26">
        <v>0</v>
      </c>
      <c r="G22537">
        <v>2783</v>
      </c>
    </row>
    <row r="22539" spans="1:7" x14ac:dyDescent="0.35">
      <c r="A22539" s="1" t="s">
        <v>2162</v>
      </c>
    </row>
    <row r="22540" spans="1:7" x14ac:dyDescent="0.35">
      <c r="A22540" t="s">
        <v>219</v>
      </c>
      <c r="B22540" t="s">
        <v>305</v>
      </c>
      <c r="C22540" t="s">
        <v>302</v>
      </c>
      <c r="D22540" t="s">
        <v>303</v>
      </c>
      <c r="E22540" t="s">
        <v>281</v>
      </c>
      <c r="F22540" t="s">
        <v>286</v>
      </c>
      <c r="G22540" t="s">
        <v>226</v>
      </c>
    </row>
    <row r="22541" spans="1:7" x14ac:dyDescent="0.35">
      <c r="A22541" t="s">
        <v>227</v>
      </c>
      <c r="B22541" t="s">
        <v>260</v>
      </c>
      <c r="C22541" s="26">
        <v>0.97519999999999996</v>
      </c>
      <c r="D22541" s="26">
        <v>2.4799999999999999E-2</v>
      </c>
      <c r="G22541">
        <v>121</v>
      </c>
    </row>
    <row r="22542" spans="1:7" x14ac:dyDescent="0.35">
      <c r="A22542" t="s">
        <v>227</v>
      </c>
      <c r="B22542" t="s">
        <v>261</v>
      </c>
      <c r="C22542" s="26">
        <v>0.84850000000000003</v>
      </c>
      <c r="D22542" s="26">
        <v>0.1515</v>
      </c>
      <c r="G22542">
        <v>33</v>
      </c>
    </row>
    <row r="22543" spans="1:7" x14ac:dyDescent="0.35">
      <c r="A22543" s="27" t="s">
        <v>227</v>
      </c>
      <c r="B22543" s="27" t="s">
        <v>262</v>
      </c>
      <c r="C22543" s="28">
        <v>1</v>
      </c>
      <c r="D22543" s="29"/>
      <c r="E22543" s="29"/>
      <c r="F22543" s="29"/>
      <c r="G22543" s="29" t="s">
        <v>315</v>
      </c>
    </row>
    <row r="22544" spans="1:7" x14ac:dyDescent="0.35">
      <c r="A22544" s="27" t="s">
        <v>227</v>
      </c>
      <c r="B22544" s="27" t="s">
        <v>263</v>
      </c>
      <c r="C22544" s="28">
        <v>1</v>
      </c>
      <c r="D22544" s="29"/>
      <c r="E22544" s="29"/>
      <c r="F22544" s="29"/>
      <c r="G22544" s="29" t="s">
        <v>315</v>
      </c>
    </row>
    <row r="22545" spans="1:7" x14ac:dyDescent="0.35">
      <c r="A22545" s="27" t="s">
        <v>228</v>
      </c>
      <c r="B22545" s="27" t="s">
        <v>263</v>
      </c>
      <c r="C22545" s="28">
        <v>0.98080000000000001</v>
      </c>
      <c r="D22545" s="28">
        <v>1.9199999999999998E-2</v>
      </c>
      <c r="E22545" s="29"/>
      <c r="F22545" s="29"/>
      <c r="G22545" s="29" t="s">
        <v>312</v>
      </c>
    </row>
    <row r="22546" spans="1:7" x14ac:dyDescent="0.35">
      <c r="A22546" s="27" t="s">
        <v>228</v>
      </c>
      <c r="B22546" s="27" t="s">
        <v>236</v>
      </c>
      <c r="C22546" s="28">
        <v>1</v>
      </c>
      <c r="D22546" s="29"/>
      <c r="E22546" s="29"/>
      <c r="F22546" s="29"/>
      <c r="G22546" s="29" t="s">
        <v>335</v>
      </c>
    </row>
    <row r="22547" spans="1:7" x14ac:dyDescent="0.35">
      <c r="A22547" t="s">
        <v>228</v>
      </c>
      <c r="B22547" t="s">
        <v>262</v>
      </c>
      <c r="C22547" s="26">
        <v>0.98350000000000004</v>
      </c>
      <c r="D22547" s="26">
        <v>1.6500000000000001E-2</v>
      </c>
      <c r="G22547">
        <v>199</v>
      </c>
    </row>
    <row r="22548" spans="1:7" x14ac:dyDescent="0.35">
      <c r="A22548" t="s">
        <v>228</v>
      </c>
      <c r="B22548" t="s">
        <v>260</v>
      </c>
      <c r="C22548" s="26">
        <v>0.98819999999999997</v>
      </c>
      <c r="D22548" s="26">
        <v>1.18E-2</v>
      </c>
      <c r="G22548">
        <v>601</v>
      </c>
    </row>
    <row r="22549" spans="1:7" x14ac:dyDescent="0.35">
      <c r="A22549" t="s">
        <v>228</v>
      </c>
      <c r="B22549" t="s">
        <v>261</v>
      </c>
      <c r="C22549" s="26">
        <v>0.85580000000000001</v>
      </c>
      <c r="D22549" s="26">
        <v>0.1429</v>
      </c>
      <c r="F22549" s="26">
        <v>1.2999999999999999E-3</v>
      </c>
      <c r="G22549">
        <v>188</v>
      </c>
    </row>
    <row r="22550" spans="1:7" x14ac:dyDescent="0.35">
      <c r="A22550" t="s">
        <v>229</v>
      </c>
      <c r="B22550" t="s">
        <v>262</v>
      </c>
      <c r="C22550" s="26">
        <v>0.97260000000000002</v>
      </c>
      <c r="D22550" s="26">
        <v>2.7400000000000001E-2</v>
      </c>
      <c r="G22550">
        <v>187</v>
      </c>
    </row>
    <row r="22551" spans="1:7" x14ac:dyDescent="0.35">
      <c r="A22551" t="s">
        <v>229</v>
      </c>
      <c r="B22551" t="s">
        <v>261</v>
      </c>
      <c r="C22551" s="26">
        <v>0.9476</v>
      </c>
      <c r="D22551" s="26">
        <v>5.2400000000000002E-2</v>
      </c>
      <c r="G22551">
        <v>95</v>
      </c>
    </row>
    <row r="22552" spans="1:7" x14ac:dyDescent="0.35">
      <c r="A22552" t="s">
        <v>229</v>
      </c>
      <c r="B22552" t="s">
        <v>260</v>
      </c>
      <c r="C22552" s="26">
        <v>0.99199999999999999</v>
      </c>
      <c r="D22552" s="26">
        <v>7.7999999999999996E-3</v>
      </c>
      <c r="E22552" s="26">
        <v>2.0000000000000001E-4</v>
      </c>
      <c r="G22552">
        <v>591</v>
      </c>
    </row>
    <row r="22553" spans="1:7" x14ac:dyDescent="0.35">
      <c r="A22553" s="27" t="s">
        <v>229</v>
      </c>
      <c r="B22553" s="27" t="s">
        <v>236</v>
      </c>
      <c r="C22553" s="28">
        <v>1</v>
      </c>
      <c r="D22553" s="29"/>
      <c r="E22553" s="29"/>
      <c r="F22553" s="29"/>
      <c r="G22553" s="29" t="s">
        <v>331</v>
      </c>
    </row>
    <row r="22554" spans="1:7" x14ac:dyDescent="0.35">
      <c r="A22554" s="27" t="s">
        <v>229</v>
      </c>
      <c r="B22554" s="27" t="s">
        <v>263</v>
      </c>
      <c r="C22554" s="28">
        <v>1</v>
      </c>
      <c r="D22554" s="29"/>
      <c r="E22554" s="29"/>
      <c r="F22554" s="29"/>
      <c r="G22554" s="29" t="s">
        <v>379</v>
      </c>
    </row>
    <row r="22555" spans="1:7" x14ac:dyDescent="0.35">
      <c r="A22555" s="27" t="s">
        <v>230</v>
      </c>
      <c r="B22555" s="27" t="s">
        <v>263</v>
      </c>
      <c r="C22555" s="28">
        <v>1</v>
      </c>
      <c r="D22555" s="29"/>
      <c r="E22555" s="29"/>
      <c r="F22555" s="29"/>
      <c r="G22555" s="29" t="s">
        <v>312</v>
      </c>
    </row>
    <row r="22556" spans="1:7" x14ac:dyDescent="0.35">
      <c r="A22556" t="s">
        <v>230</v>
      </c>
      <c r="B22556" t="s">
        <v>261</v>
      </c>
      <c r="C22556" s="26">
        <v>0.94399999999999995</v>
      </c>
      <c r="D22556" s="26">
        <v>5.6000000000000001E-2</v>
      </c>
      <c r="G22556">
        <v>57</v>
      </c>
    </row>
    <row r="22557" spans="1:7" x14ac:dyDescent="0.35">
      <c r="A22557" t="s">
        <v>230</v>
      </c>
      <c r="B22557" t="s">
        <v>262</v>
      </c>
      <c r="C22557" s="26">
        <v>1</v>
      </c>
      <c r="G22557">
        <v>120</v>
      </c>
    </row>
    <row r="22558" spans="1:7" x14ac:dyDescent="0.35">
      <c r="A22558" t="s">
        <v>230</v>
      </c>
      <c r="B22558" t="s">
        <v>260</v>
      </c>
      <c r="C22558" s="26">
        <v>0.98760000000000003</v>
      </c>
      <c r="D22558" s="26">
        <v>1.24E-2</v>
      </c>
      <c r="G22558">
        <v>352</v>
      </c>
    </row>
    <row r="22559" spans="1:7" x14ac:dyDescent="0.35">
      <c r="A22559" s="27" t="s">
        <v>230</v>
      </c>
      <c r="B22559" s="27" t="s">
        <v>236</v>
      </c>
      <c r="C22559" s="28">
        <v>1</v>
      </c>
      <c r="D22559" s="29"/>
      <c r="E22559" s="29"/>
      <c r="F22559" s="29"/>
      <c r="G22559" s="29" t="s">
        <v>337</v>
      </c>
    </row>
    <row r="22560" spans="1:7" x14ac:dyDescent="0.35">
      <c r="A22560" s="27" t="s">
        <v>231</v>
      </c>
      <c r="B22560" s="27" t="s">
        <v>263</v>
      </c>
      <c r="C22560" s="28">
        <v>1</v>
      </c>
      <c r="D22560" s="29"/>
      <c r="E22560" s="29"/>
      <c r="F22560" s="29"/>
      <c r="G22560" s="29" t="s">
        <v>314</v>
      </c>
    </row>
    <row r="22561" spans="1:7" x14ac:dyDescent="0.35">
      <c r="A22561" t="s">
        <v>231</v>
      </c>
      <c r="B22561" t="s">
        <v>260</v>
      </c>
      <c r="C22561" s="26">
        <v>0.95760000000000001</v>
      </c>
      <c r="D22561" s="26">
        <v>3.39E-2</v>
      </c>
      <c r="E22561" s="26">
        <v>8.5000000000000006E-3</v>
      </c>
      <c r="G22561">
        <v>118</v>
      </c>
    </row>
    <row r="22562" spans="1:7" x14ac:dyDescent="0.35">
      <c r="A22562" s="27" t="s">
        <v>231</v>
      </c>
      <c r="B22562" s="27" t="s">
        <v>261</v>
      </c>
      <c r="C22562" s="28">
        <v>0.66669999999999996</v>
      </c>
      <c r="D22562" s="28">
        <v>0.33329999999999999</v>
      </c>
      <c r="E22562" s="29"/>
      <c r="F22562" s="29"/>
      <c r="G22562" s="29" t="s">
        <v>338</v>
      </c>
    </row>
    <row r="22563" spans="1:7" x14ac:dyDescent="0.35">
      <c r="A22563" s="27" t="s">
        <v>231</v>
      </c>
      <c r="B22563" s="27" t="s">
        <v>262</v>
      </c>
      <c r="C22563" s="28">
        <v>0.72729999999999995</v>
      </c>
      <c r="D22563" s="28">
        <v>0.2727</v>
      </c>
      <c r="E22563" s="29"/>
      <c r="F22563" s="29"/>
      <c r="G22563" s="29" t="s">
        <v>352</v>
      </c>
    </row>
    <row r="22564" spans="1:7" x14ac:dyDescent="0.35">
      <c r="A22564" t="s">
        <v>232</v>
      </c>
      <c r="B22564" t="s">
        <v>232</v>
      </c>
      <c r="C22564" s="26">
        <v>0.94869999999999999</v>
      </c>
      <c r="D22564" s="26">
        <v>4.9500000000000002E-2</v>
      </c>
      <c r="E22564" s="26">
        <v>1.6999999999999999E-3</v>
      </c>
      <c r="F22564" s="26">
        <v>0</v>
      </c>
      <c r="G22564">
        <v>2783</v>
      </c>
    </row>
    <row r="22566" spans="1:7" x14ac:dyDescent="0.35">
      <c r="A22566" s="1" t="s">
        <v>2163</v>
      </c>
    </row>
    <row r="22567" spans="1:7" x14ac:dyDescent="0.35">
      <c r="A22567" t="s">
        <v>219</v>
      </c>
      <c r="B22567" t="s">
        <v>305</v>
      </c>
      <c r="C22567" t="s">
        <v>302</v>
      </c>
      <c r="D22567" t="s">
        <v>303</v>
      </c>
      <c r="E22567" t="s">
        <v>281</v>
      </c>
      <c r="F22567" t="s">
        <v>286</v>
      </c>
      <c r="G22567" t="s">
        <v>226</v>
      </c>
    </row>
    <row r="22568" spans="1:7" x14ac:dyDescent="0.35">
      <c r="A22568" t="s">
        <v>227</v>
      </c>
      <c r="B22568" t="s">
        <v>368</v>
      </c>
      <c r="C22568" s="26">
        <v>0.84850000000000003</v>
      </c>
      <c r="D22568" s="26">
        <v>0.1515</v>
      </c>
      <c r="G22568">
        <v>33</v>
      </c>
    </row>
    <row r="22569" spans="1:7" x14ac:dyDescent="0.35">
      <c r="A22569" t="s">
        <v>227</v>
      </c>
      <c r="B22569" t="s">
        <v>369</v>
      </c>
      <c r="C22569" s="26">
        <v>0.97640000000000005</v>
      </c>
      <c r="D22569" s="26">
        <v>2.3599999999999999E-2</v>
      </c>
      <c r="G22569">
        <v>127</v>
      </c>
    </row>
    <row r="22570" spans="1:7" x14ac:dyDescent="0.35">
      <c r="A22570" t="s">
        <v>228</v>
      </c>
      <c r="B22570" t="s">
        <v>368</v>
      </c>
      <c r="C22570" s="26">
        <v>0.85580000000000001</v>
      </c>
      <c r="D22570" s="26">
        <v>0.1429</v>
      </c>
      <c r="F22570" s="26">
        <v>1.2999999999999999E-3</v>
      </c>
      <c r="G22570">
        <v>188</v>
      </c>
    </row>
    <row r="22571" spans="1:7" x14ac:dyDescent="0.35">
      <c r="A22571" t="s">
        <v>228</v>
      </c>
      <c r="B22571" t="s">
        <v>369</v>
      </c>
      <c r="C22571" s="26">
        <v>0.98709999999999998</v>
      </c>
      <c r="D22571" s="26">
        <v>1.29E-2</v>
      </c>
      <c r="G22571">
        <v>831</v>
      </c>
    </row>
    <row r="22572" spans="1:7" x14ac:dyDescent="0.35">
      <c r="A22572" t="s">
        <v>229</v>
      </c>
      <c r="B22572" t="s">
        <v>368</v>
      </c>
      <c r="C22572" s="26">
        <v>0.9476</v>
      </c>
      <c r="D22572" s="26">
        <v>5.2400000000000002E-2</v>
      </c>
      <c r="G22572">
        <v>95</v>
      </c>
    </row>
    <row r="22573" spans="1:7" x14ac:dyDescent="0.35">
      <c r="A22573" t="s">
        <v>229</v>
      </c>
      <c r="B22573" t="s">
        <v>369</v>
      </c>
      <c r="C22573" s="26">
        <v>0.98570000000000002</v>
      </c>
      <c r="D22573" s="26">
        <v>1.41E-2</v>
      </c>
      <c r="E22573" s="26">
        <v>1E-4</v>
      </c>
      <c r="G22573">
        <v>793</v>
      </c>
    </row>
    <row r="22574" spans="1:7" x14ac:dyDescent="0.35">
      <c r="A22574" t="s">
        <v>230</v>
      </c>
      <c r="B22574" t="s">
        <v>368</v>
      </c>
      <c r="C22574" s="26">
        <v>0.94399999999999995</v>
      </c>
      <c r="D22574" s="26">
        <v>5.6000000000000001E-2</v>
      </c>
      <c r="G22574">
        <v>57</v>
      </c>
    </row>
    <row r="22575" spans="1:7" x14ac:dyDescent="0.35">
      <c r="A22575" t="s">
        <v>230</v>
      </c>
      <c r="B22575" t="s">
        <v>369</v>
      </c>
      <c r="C22575" s="26">
        <v>0.99009999999999998</v>
      </c>
      <c r="D22575" s="26">
        <v>9.9000000000000008E-3</v>
      </c>
      <c r="G22575">
        <v>501</v>
      </c>
    </row>
    <row r="22576" spans="1:7" x14ac:dyDescent="0.35">
      <c r="A22576" s="27" t="s">
        <v>231</v>
      </c>
      <c r="B22576" s="27" t="s">
        <v>368</v>
      </c>
      <c r="C22576" s="28">
        <v>0.66669999999999996</v>
      </c>
      <c r="D22576" s="28">
        <v>0.33329999999999999</v>
      </c>
      <c r="E22576" s="29"/>
      <c r="F22576" s="29"/>
      <c r="G22576" s="29" t="s">
        <v>338</v>
      </c>
    </row>
    <row r="22577" spans="1:7" x14ac:dyDescent="0.35">
      <c r="A22577" t="s">
        <v>231</v>
      </c>
      <c r="B22577" t="s">
        <v>369</v>
      </c>
      <c r="C22577" s="26">
        <v>0.93889999999999996</v>
      </c>
      <c r="D22577" s="26">
        <v>5.3400000000000003E-2</v>
      </c>
      <c r="E22577" s="26">
        <v>7.6E-3</v>
      </c>
      <c r="G22577">
        <v>131</v>
      </c>
    </row>
    <row r="22578" spans="1:7" x14ac:dyDescent="0.35">
      <c r="A22578" t="s">
        <v>232</v>
      </c>
      <c r="B22578" t="s">
        <v>232</v>
      </c>
      <c r="C22578" s="26">
        <v>0.94869999999999999</v>
      </c>
      <c r="D22578" s="26">
        <v>4.9500000000000002E-2</v>
      </c>
      <c r="E22578" s="26">
        <v>1.6999999999999999E-3</v>
      </c>
      <c r="F22578" s="26">
        <v>0</v>
      </c>
      <c r="G22578">
        <v>2783</v>
      </c>
    </row>
    <row r="22580" spans="1:7" x14ac:dyDescent="0.35">
      <c r="A22580" s="1" t="s">
        <v>2164</v>
      </c>
    </row>
    <row r="22581" spans="1:7" x14ac:dyDescent="0.35">
      <c r="A22581" t="s">
        <v>219</v>
      </c>
      <c r="B22581" t="s">
        <v>305</v>
      </c>
      <c r="C22581" t="s">
        <v>302</v>
      </c>
      <c r="D22581" t="s">
        <v>303</v>
      </c>
      <c r="E22581" t="s">
        <v>281</v>
      </c>
      <c r="F22581" t="s">
        <v>286</v>
      </c>
      <c r="G22581" t="s">
        <v>226</v>
      </c>
    </row>
    <row r="22582" spans="1:7" x14ac:dyDescent="0.35">
      <c r="A22582" t="s">
        <v>227</v>
      </c>
      <c r="B22582" t="s">
        <v>371</v>
      </c>
      <c r="C22582" s="26">
        <v>0.95</v>
      </c>
      <c r="D22582" s="26">
        <v>0.05</v>
      </c>
      <c r="G22582">
        <v>160</v>
      </c>
    </row>
    <row r="22583" spans="1:7" x14ac:dyDescent="0.35">
      <c r="A22583" t="s">
        <v>228</v>
      </c>
      <c r="B22583" t="s">
        <v>371</v>
      </c>
      <c r="C22583" s="26">
        <v>0.95520000000000005</v>
      </c>
      <c r="D22583" s="26">
        <v>4.48E-2</v>
      </c>
      <c r="G22583">
        <v>289</v>
      </c>
    </row>
    <row r="22584" spans="1:7" x14ac:dyDescent="0.35">
      <c r="A22584" t="s">
        <v>228</v>
      </c>
      <c r="B22584" t="s">
        <v>372</v>
      </c>
      <c r="C22584" s="26">
        <v>0.9647</v>
      </c>
      <c r="D22584" s="26">
        <v>3.5299999999999998E-2</v>
      </c>
      <c r="G22584">
        <v>214</v>
      </c>
    </row>
    <row r="22585" spans="1:7" x14ac:dyDescent="0.35">
      <c r="A22585" t="s">
        <v>228</v>
      </c>
      <c r="B22585" t="s">
        <v>373</v>
      </c>
      <c r="C22585" s="26">
        <v>0.96919999999999995</v>
      </c>
      <c r="D22585" s="26">
        <v>3.0200000000000001E-2</v>
      </c>
      <c r="F22585" s="26">
        <v>5.9999999999999995E-4</v>
      </c>
      <c r="G22585">
        <v>516</v>
      </c>
    </row>
    <row r="22586" spans="1:7" x14ac:dyDescent="0.35">
      <c r="A22586" t="s">
        <v>229</v>
      </c>
      <c r="B22586" t="s">
        <v>371</v>
      </c>
      <c r="C22586" s="26">
        <v>0.98150000000000004</v>
      </c>
      <c r="D22586" s="26">
        <v>1.8499999999999999E-2</v>
      </c>
      <c r="G22586">
        <v>578</v>
      </c>
    </row>
    <row r="22587" spans="1:7" x14ac:dyDescent="0.35">
      <c r="A22587" t="s">
        <v>229</v>
      </c>
      <c r="B22587" t="s">
        <v>372</v>
      </c>
      <c r="C22587" s="26">
        <v>0.95840000000000003</v>
      </c>
      <c r="D22587" s="26">
        <v>3.9699999999999999E-2</v>
      </c>
      <c r="E22587" s="26">
        <v>1.9E-3</v>
      </c>
      <c r="G22587">
        <v>220</v>
      </c>
    </row>
    <row r="22588" spans="1:7" x14ac:dyDescent="0.35">
      <c r="A22588" t="s">
        <v>229</v>
      </c>
      <c r="B22588" t="s">
        <v>373</v>
      </c>
      <c r="C22588" s="26">
        <v>0.9718</v>
      </c>
      <c r="D22588" s="26">
        <v>2.8199999999999999E-2</v>
      </c>
      <c r="G22588">
        <v>90</v>
      </c>
    </row>
    <row r="22589" spans="1:7" x14ac:dyDescent="0.35">
      <c r="A22589" t="s">
        <v>230</v>
      </c>
      <c r="B22589" t="s">
        <v>371</v>
      </c>
      <c r="C22589" s="26">
        <v>0.98460000000000003</v>
      </c>
      <c r="D22589" s="26">
        <v>1.54E-2</v>
      </c>
      <c r="G22589">
        <v>262</v>
      </c>
    </row>
    <row r="22590" spans="1:7" x14ac:dyDescent="0.35">
      <c r="A22590" t="s">
        <v>230</v>
      </c>
      <c r="B22590" t="s">
        <v>372</v>
      </c>
      <c r="C22590" s="26">
        <v>0.98570000000000002</v>
      </c>
      <c r="D22590" s="26">
        <v>1.43E-2</v>
      </c>
      <c r="G22590">
        <v>144</v>
      </c>
    </row>
    <row r="22591" spans="1:7" x14ac:dyDescent="0.35">
      <c r="A22591" t="s">
        <v>230</v>
      </c>
      <c r="B22591" t="s">
        <v>373</v>
      </c>
      <c r="C22591" s="26">
        <v>0.97909999999999997</v>
      </c>
      <c r="D22591" s="26">
        <v>2.0899999999999998E-2</v>
      </c>
      <c r="G22591">
        <v>152</v>
      </c>
    </row>
    <row r="22592" spans="1:7" x14ac:dyDescent="0.35">
      <c r="A22592" t="s">
        <v>231</v>
      </c>
      <c r="B22592" t="s">
        <v>371</v>
      </c>
      <c r="C22592" s="26">
        <v>0.89239999999999997</v>
      </c>
      <c r="D22592" s="26">
        <v>0.1013</v>
      </c>
      <c r="E22592" s="26">
        <v>6.3E-3</v>
      </c>
      <c r="G22592">
        <v>158</v>
      </c>
    </row>
    <row r="22593" spans="1:7" x14ac:dyDescent="0.35">
      <c r="A22593" t="s">
        <v>232</v>
      </c>
      <c r="B22593" t="s">
        <v>232</v>
      </c>
      <c r="C22593" s="26">
        <v>0.94869999999999999</v>
      </c>
      <c r="D22593" s="26">
        <v>4.9500000000000002E-2</v>
      </c>
      <c r="E22593" s="26">
        <v>1.6999999999999999E-3</v>
      </c>
      <c r="F22593" s="26">
        <v>0</v>
      </c>
      <c r="G22593">
        <v>2783</v>
      </c>
    </row>
    <row r="22595" spans="1:7" x14ac:dyDescent="0.35">
      <c r="A22595" s="1" t="s">
        <v>2165</v>
      </c>
    </row>
    <row r="22596" spans="1:7" x14ac:dyDescent="0.35">
      <c r="A22596" t="s">
        <v>219</v>
      </c>
      <c r="B22596" t="s">
        <v>305</v>
      </c>
      <c r="C22596" t="s">
        <v>302</v>
      </c>
      <c r="D22596" t="s">
        <v>303</v>
      </c>
      <c r="E22596" t="s">
        <v>281</v>
      </c>
      <c r="F22596" t="s">
        <v>286</v>
      </c>
      <c r="G22596" t="s">
        <v>226</v>
      </c>
    </row>
    <row r="22597" spans="1:7" x14ac:dyDescent="0.35">
      <c r="A22597" t="s">
        <v>227</v>
      </c>
      <c r="B22597" t="s">
        <v>255</v>
      </c>
      <c r="C22597" s="26">
        <v>0.96550000000000002</v>
      </c>
      <c r="D22597" s="26">
        <v>3.4500000000000003E-2</v>
      </c>
      <c r="G22597">
        <v>116</v>
      </c>
    </row>
    <row r="22598" spans="1:7" x14ac:dyDescent="0.35">
      <c r="A22598" s="27" t="s">
        <v>227</v>
      </c>
      <c r="B22598" s="27" t="s">
        <v>257</v>
      </c>
      <c r="C22598" s="28">
        <v>0.88890000000000002</v>
      </c>
      <c r="D22598" s="28">
        <v>0.1111</v>
      </c>
      <c r="E22598" s="29"/>
      <c r="F22598" s="29"/>
      <c r="G22598" s="29" t="s">
        <v>334</v>
      </c>
    </row>
    <row r="22599" spans="1:7" x14ac:dyDescent="0.35">
      <c r="A22599" t="s">
        <v>227</v>
      </c>
      <c r="B22599" t="s">
        <v>256</v>
      </c>
      <c r="C22599" s="26">
        <v>0.9143</v>
      </c>
      <c r="D22599" s="26">
        <v>8.5699999999999998E-2</v>
      </c>
      <c r="G22599">
        <v>35</v>
      </c>
    </row>
    <row r="22600" spans="1:7" x14ac:dyDescent="0.35">
      <c r="A22600" t="s">
        <v>228</v>
      </c>
      <c r="B22600" t="s">
        <v>257</v>
      </c>
      <c r="C22600" s="26">
        <v>0.90980000000000005</v>
      </c>
      <c r="D22600" s="26">
        <v>9.0200000000000002E-2</v>
      </c>
      <c r="G22600">
        <v>49</v>
      </c>
    </row>
    <row r="22601" spans="1:7" x14ac:dyDescent="0.35">
      <c r="A22601" s="27" t="s">
        <v>228</v>
      </c>
      <c r="B22601" s="27" t="s">
        <v>258</v>
      </c>
      <c r="C22601" s="28">
        <v>1</v>
      </c>
      <c r="D22601" s="29"/>
      <c r="E22601" s="29"/>
      <c r="F22601" s="29"/>
      <c r="G22601" s="29" t="s">
        <v>337</v>
      </c>
    </row>
    <row r="22602" spans="1:7" x14ac:dyDescent="0.35">
      <c r="A22602" t="s">
        <v>228</v>
      </c>
      <c r="B22602" t="s">
        <v>256</v>
      </c>
      <c r="C22602" s="26">
        <v>0.99109999999999998</v>
      </c>
      <c r="D22602" s="26">
        <v>8.8999999999999999E-3</v>
      </c>
      <c r="G22602">
        <v>218</v>
      </c>
    </row>
    <row r="22603" spans="1:7" x14ac:dyDescent="0.35">
      <c r="A22603" t="s">
        <v>228</v>
      </c>
      <c r="B22603" t="s">
        <v>255</v>
      </c>
      <c r="C22603" s="26">
        <v>0.95479999999999998</v>
      </c>
      <c r="D22603" s="26">
        <v>4.4900000000000002E-2</v>
      </c>
      <c r="F22603" s="26">
        <v>4.0000000000000002E-4</v>
      </c>
      <c r="G22603">
        <v>748</v>
      </c>
    </row>
    <row r="22604" spans="1:7" x14ac:dyDescent="0.35">
      <c r="A22604" t="s">
        <v>229</v>
      </c>
      <c r="B22604" t="s">
        <v>256</v>
      </c>
      <c r="C22604" s="26">
        <v>0.98619999999999997</v>
      </c>
      <c r="D22604" s="26">
        <v>1.38E-2</v>
      </c>
      <c r="G22604">
        <v>206</v>
      </c>
    </row>
    <row r="22605" spans="1:7" x14ac:dyDescent="0.35">
      <c r="A22605" t="s">
        <v>229</v>
      </c>
      <c r="B22605" t="s">
        <v>255</v>
      </c>
      <c r="C22605" s="26">
        <v>0.97750000000000004</v>
      </c>
      <c r="D22605" s="26">
        <v>2.24E-2</v>
      </c>
      <c r="E22605" s="26">
        <v>1E-4</v>
      </c>
      <c r="G22605">
        <v>630</v>
      </c>
    </row>
    <row r="22606" spans="1:7" x14ac:dyDescent="0.35">
      <c r="A22606" t="s">
        <v>229</v>
      </c>
      <c r="B22606" t="s">
        <v>257</v>
      </c>
      <c r="C22606" s="26">
        <v>0.98160000000000003</v>
      </c>
      <c r="D22606" s="26">
        <v>1.84E-2</v>
      </c>
      <c r="G22606">
        <v>50</v>
      </c>
    </row>
    <row r="22607" spans="1:7" x14ac:dyDescent="0.35">
      <c r="A22607" s="27" t="s">
        <v>229</v>
      </c>
      <c r="B22607" s="27" t="s">
        <v>258</v>
      </c>
      <c r="C22607" s="28">
        <v>1</v>
      </c>
      <c r="D22607" s="29"/>
      <c r="E22607" s="29"/>
      <c r="F22607" s="29"/>
      <c r="G22607" s="29" t="s">
        <v>314</v>
      </c>
    </row>
    <row r="22608" spans="1:7" x14ac:dyDescent="0.35">
      <c r="A22608" t="s">
        <v>230</v>
      </c>
      <c r="B22608" t="s">
        <v>256</v>
      </c>
      <c r="C22608" s="26">
        <v>0.99550000000000005</v>
      </c>
      <c r="D22608" s="26">
        <v>4.4999999999999997E-3</v>
      </c>
      <c r="G22608">
        <v>130</v>
      </c>
    </row>
    <row r="22609" spans="1:7" x14ac:dyDescent="0.35">
      <c r="A22609" t="s">
        <v>230</v>
      </c>
      <c r="B22609" t="s">
        <v>255</v>
      </c>
      <c r="C22609" s="26">
        <v>0.97750000000000004</v>
      </c>
      <c r="D22609" s="26">
        <v>2.2499999999999999E-2</v>
      </c>
      <c r="G22609">
        <v>387</v>
      </c>
    </row>
    <row r="22610" spans="1:7" x14ac:dyDescent="0.35">
      <c r="A22610" t="s">
        <v>230</v>
      </c>
      <c r="B22610" t="s">
        <v>257</v>
      </c>
      <c r="C22610" s="26">
        <v>1</v>
      </c>
      <c r="G22610">
        <v>38</v>
      </c>
    </row>
    <row r="22611" spans="1:7" x14ac:dyDescent="0.35">
      <c r="A22611" s="27" t="s">
        <v>230</v>
      </c>
      <c r="B22611" s="27" t="s">
        <v>258</v>
      </c>
      <c r="C22611" s="28">
        <v>1</v>
      </c>
      <c r="D22611" s="29"/>
      <c r="E22611" s="29"/>
      <c r="F22611" s="29"/>
      <c r="G22611" s="29" t="s">
        <v>315</v>
      </c>
    </row>
    <row r="22612" spans="1:7" x14ac:dyDescent="0.35">
      <c r="A22612" s="27" t="s">
        <v>231</v>
      </c>
      <c r="B22612" s="27" t="s">
        <v>257</v>
      </c>
      <c r="C22612" s="28">
        <v>0.85709999999999997</v>
      </c>
      <c r="D22612" s="28">
        <v>0.1429</v>
      </c>
      <c r="E22612" s="29"/>
      <c r="F22612" s="29"/>
      <c r="G22612" s="29" t="s">
        <v>339</v>
      </c>
    </row>
    <row r="22613" spans="1:7" x14ac:dyDescent="0.35">
      <c r="A22613" t="s">
        <v>231</v>
      </c>
      <c r="B22613" t="s">
        <v>255</v>
      </c>
      <c r="C22613" s="26">
        <v>0.878</v>
      </c>
      <c r="D22613" s="26">
        <v>0.122</v>
      </c>
      <c r="G22613">
        <v>123</v>
      </c>
    </row>
    <row r="22614" spans="1:7" x14ac:dyDescent="0.35">
      <c r="A22614" s="27" t="s">
        <v>231</v>
      </c>
      <c r="B22614" s="27" t="s">
        <v>256</v>
      </c>
      <c r="C22614" s="28">
        <v>0.96430000000000005</v>
      </c>
      <c r="D22614" s="29"/>
      <c r="E22614" s="28">
        <v>3.5700000000000003E-2</v>
      </c>
      <c r="F22614" s="29"/>
      <c r="G22614" s="29" t="s">
        <v>336</v>
      </c>
    </row>
    <row r="22615" spans="1:7" x14ac:dyDescent="0.35">
      <c r="A22615" t="s">
        <v>232</v>
      </c>
      <c r="B22615" t="s">
        <v>232</v>
      </c>
      <c r="C22615" s="26">
        <v>0.94869999999999999</v>
      </c>
      <c r="D22615" s="26">
        <v>4.9500000000000002E-2</v>
      </c>
      <c r="E22615" s="26">
        <v>1.6999999999999999E-3</v>
      </c>
      <c r="F22615" s="26">
        <v>0</v>
      </c>
      <c r="G22615">
        <v>2783</v>
      </c>
    </row>
    <row r="22617" spans="1:7" x14ac:dyDescent="0.35">
      <c r="A22617" s="1" t="s">
        <v>2166</v>
      </c>
    </row>
    <row r="22618" spans="1:7" x14ac:dyDescent="0.35">
      <c r="A22618" t="s">
        <v>219</v>
      </c>
      <c r="B22618" t="s">
        <v>534</v>
      </c>
      <c r="C22618" t="s">
        <v>535</v>
      </c>
      <c r="D22618" t="s">
        <v>536</v>
      </c>
      <c r="E22618" t="s">
        <v>537</v>
      </c>
      <c r="F22618" t="s">
        <v>226</v>
      </c>
    </row>
    <row r="22619" spans="1:7" x14ac:dyDescent="0.35">
      <c r="A22619" s="27" t="s">
        <v>227</v>
      </c>
      <c r="B22619" s="29">
        <v>4.71</v>
      </c>
      <c r="C22619" s="29">
        <v>4</v>
      </c>
      <c r="D22619" s="29">
        <v>2</v>
      </c>
      <c r="E22619" s="29">
        <v>15</v>
      </c>
      <c r="F22619" s="29">
        <v>7</v>
      </c>
    </row>
    <row r="22620" spans="1:7" x14ac:dyDescent="0.35">
      <c r="A22620" t="s">
        <v>228</v>
      </c>
      <c r="B22620">
        <v>6.45</v>
      </c>
      <c r="C22620">
        <v>5</v>
      </c>
      <c r="D22620">
        <v>1</v>
      </c>
      <c r="E22620">
        <v>35</v>
      </c>
      <c r="F22620">
        <v>32</v>
      </c>
    </row>
    <row r="22621" spans="1:7" x14ac:dyDescent="0.35">
      <c r="A22621" s="27" t="s">
        <v>229</v>
      </c>
      <c r="B22621" s="29">
        <v>3.1</v>
      </c>
      <c r="C22621" s="29">
        <v>3</v>
      </c>
      <c r="D22621" s="29">
        <v>1</v>
      </c>
      <c r="E22621" s="29">
        <v>9</v>
      </c>
      <c r="F22621" s="29">
        <v>16</v>
      </c>
    </row>
    <row r="22622" spans="1:7" x14ac:dyDescent="0.35">
      <c r="A22622" s="27" t="s">
        <v>230</v>
      </c>
      <c r="B22622" s="29">
        <v>2.23</v>
      </c>
      <c r="C22622" s="29">
        <v>2</v>
      </c>
      <c r="D22622" s="29">
        <v>1</v>
      </c>
      <c r="E22622" s="29">
        <v>8</v>
      </c>
      <c r="F22622" s="29">
        <v>8</v>
      </c>
    </row>
    <row r="22623" spans="1:7" x14ac:dyDescent="0.35">
      <c r="A22623" s="27" t="s">
        <v>231</v>
      </c>
      <c r="B22623" s="29">
        <v>4.2699999999999996</v>
      </c>
      <c r="C22623" s="29">
        <v>3</v>
      </c>
      <c r="D22623" s="29">
        <v>1</v>
      </c>
      <c r="E22623" s="29">
        <v>15</v>
      </c>
      <c r="F22623" s="29">
        <v>15</v>
      </c>
    </row>
    <row r="22624" spans="1:7" x14ac:dyDescent="0.35">
      <c r="A22624" t="s">
        <v>232</v>
      </c>
      <c r="B22624">
        <v>4.47</v>
      </c>
      <c r="C22624">
        <v>3</v>
      </c>
      <c r="D22624">
        <v>1</v>
      </c>
      <c r="E22624">
        <v>35</v>
      </c>
      <c r="F22624">
        <v>78</v>
      </c>
    </row>
    <row r="22626" spans="1:7" x14ac:dyDescent="0.35">
      <c r="A22626" s="1" t="s">
        <v>2167</v>
      </c>
    </row>
    <row r="22627" spans="1:7" x14ac:dyDescent="0.35">
      <c r="A22627" t="s">
        <v>219</v>
      </c>
      <c r="B22627" t="s">
        <v>305</v>
      </c>
      <c r="C22627" t="s">
        <v>534</v>
      </c>
      <c r="D22627" t="s">
        <v>535</v>
      </c>
      <c r="E22627" t="s">
        <v>536</v>
      </c>
      <c r="F22627" t="s">
        <v>537</v>
      </c>
      <c r="G22627" t="s">
        <v>226</v>
      </c>
    </row>
    <row r="22628" spans="1:7" x14ac:dyDescent="0.35">
      <c r="A22628" s="27" t="s">
        <v>227</v>
      </c>
      <c r="B22628" s="27" t="s">
        <v>242</v>
      </c>
      <c r="C22628" s="29">
        <v>2</v>
      </c>
      <c r="D22628" s="29">
        <v>2</v>
      </c>
      <c r="E22628" s="29">
        <v>2</v>
      </c>
      <c r="F22628" s="29">
        <v>2</v>
      </c>
      <c r="G22628" s="29">
        <v>1</v>
      </c>
    </row>
    <row r="22629" spans="1:7" x14ac:dyDescent="0.35">
      <c r="A22629" s="27" t="s">
        <v>227</v>
      </c>
      <c r="B22629" s="27" t="s">
        <v>241</v>
      </c>
      <c r="C22629" s="29">
        <v>5.17</v>
      </c>
      <c r="D22629" s="29">
        <v>4</v>
      </c>
      <c r="E22629" s="29">
        <v>2</v>
      </c>
      <c r="F22629" s="29">
        <v>15</v>
      </c>
      <c r="G22629" s="29">
        <v>6</v>
      </c>
    </row>
    <row r="22630" spans="1:7" x14ac:dyDescent="0.35">
      <c r="A22630" s="27" t="s">
        <v>228</v>
      </c>
      <c r="B22630" s="27" t="s">
        <v>242</v>
      </c>
      <c r="C22630" s="29">
        <v>6.91</v>
      </c>
      <c r="D22630" s="29">
        <v>6</v>
      </c>
      <c r="E22630" s="29">
        <v>2</v>
      </c>
      <c r="F22630" s="29">
        <v>35</v>
      </c>
      <c r="G22630" s="29">
        <v>13</v>
      </c>
    </row>
    <row r="22631" spans="1:7" x14ac:dyDescent="0.35">
      <c r="A22631" s="27" t="s">
        <v>228</v>
      </c>
      <c r="B22631" s="27" t="s">
        <v>241</v>
      </c>
      <c r="C22631" s="29">
        <v>6.15</v>
      </c>
      <c r="D22631" s="29">
        <v>5</v>
      </c>
      <c r="E22631" s="29">
        <v>1</v>
      </c>
      <c r="F22631" s="29">
        <v>24</v>
      </c>
      <c r="G22631" s="29">
        <v>19</v>
      </c>
    </row>
    <row r="22632" spans="1:7" x14ac:dyDescent="0.35">
      <c r="A22632" s="27" t="s">
        <v>229</v>
      </c>
      <c r="B22632" s="27" t="s">
        <v>242</v>
      </c>
      <c r="C22632" s="29">
        <v>3.81</v>
      </c>
      <c r="D22632" s="29">
        <v>5</v>
      </c>
      <c r="E22632" s="29">
        <v>1</v>
      </c>
      <c r="F22632" s="29">
        <v>5</v>
      </c>
      <c r="G22632" s="29">
        <v>6</v>
      </c>
    </row>
    <row r="22633" spans="1:7" x14ac:dyDescent="0.35">
      <c r="A22633" s="27" t="s">
        <v>229</v>
      </c>
      <c r="B22633" s="27" t="s">
        <v>241</v>
      </c>
      <c r="C22633" s="29">
        <v>2.77</v>
      </c>
      <c r="D22633" s="29">
        <v>2</v>
      </c>
      <c r="E22633" s="29">
        <v>1</v>
      </c>
      <c r="F22633" s="29">
        <v>9</v>
      </c>
      <c r="G22633" s="29">
        <v>10</v>
      </c>
    </row>
    <row r="22634" spans="1:7" x14ac:dyDescent="0.35">
      <c r="A22634" s="27" t="s">
        <v>230</v>
      </c>
      <c r="B22634" s="27" t="s">
        <v>242</v>
      </c>
      <c r="C22634" s="29">
        <v>1.93</v>
      </c>
      <c r="D22634" s="29">
        <v>2</v>
      </c>
      <c r="E22634" s="29">
        <v>1</v>
      </c>
      <c r="F22634" s="29">
        <v>2</v>
      </c>
      <c r="G22634" s="29">
        <v>5</v>
      </c>
    </row>
    <row r="22635" spans="1:7" x14ac:dyDescent="0.35">
      <c r="A22635" s="27" t="s">
        <v>230</v>
      </c>
      <c r="B22635" s="27" t="s">
        <v>241</v>
      </c>
      <c r="C22635" s="29">
        <v>4.08</v>
      </c>
      <c r="D22635" s="29">
        <v>8</v>
      </c>
      <c r="E22635" s="29">
        <v>2</v>
      </c>
      <c r="F22635" s="29">
        <v>8</v>
      </c>
      <c r="G22635" s="29">
        <v>3</v>
      </c>
    </row>
    <row r="22636" spans="1:7" x14ac:dyDescent="0.35">
      <c r="A22636" s="27" t="s">
        <v>231</v>
      </c>
      <c r="B22636" s="27" t="s">
        <v>242</v>
      </c>
      <c r="C22636" s="29">
        <v>2</v>
      </c>
      <c r="D22636" s="29">
        <v>2</v>
      </c>
      <c r="E22636" s="29">
        <v>2</v>
      </c>
      <c r="F22636" s="29">
        <v>2</v>
      </c>
      <c r="G22636" s="29">
        <v>2</v>
      </c>
    </row>
    <row r="22637" spans="1:7" x14ac:dyDescent="0.35">
      <c r="A22637" s="27" t="s">
        <v>231</v>
      </c>
      <c r="B22637" s="27" t="s">
        <v>241</v>
      </c>
      <c r="C22637" s="29">
        <v>4.62</v>
      </c>
      <c r="D22637" s="29">
        <v>3</v>
      </c>
      <c r="E22637" s="29">
        <v>1</v>
      </c>
      <c r="F22637" s="29">
        <v>15</v>
      </c>
      <c r="G22637" s="29">
        <v>13</v>
      </c>
    </row>
    <row r="22638" spans="1:7" x14ac:dyDescent="0.35">
      <c r="A22638" t="s">
        <v>232</v>
      </c>
      <c r="B22638" t="s">
        <v>232</v>
      </c>
      <c r="C22638">
        <v>4.47</v>
      </c>
      <c r="D22638">
        <v>3</v>
      </c>
      <c r="E22638">
        <v>1</v>
      </c>
      <c r="F22638">
        <v>35</v>
      </c>
      <c r="G22638">
        <v>78</v>
      </c>
    </row>
    <row r="22640" spans="1:7" x14ac:dyDescent="0.35">
      <c r="A22640" s="1" t="s">
        <v>2168</v>
      </c>
    </row>
    <row r="22641" spans="1:7" x14ac:dyDescent="0.35">
      <c r="A22641" t="s">
        <v>219</v>
      </c>
      <c r="B22641" t="s">
        <v>305</v>
      </c>
      <c r="C22641" t="s">
        <v>534</v>
      </c>
      <c r="D22641" t="s">
        <v>535</v>
      </c>
      <c r="E22641" t="s">
        <v>536</v>
      </c>
      <c r="F22641" t="s">
        <v>537</v>
      </c>
      <c r="G22641" t="s">
        <v>226</v>
      </c>
    </row>
    <row r="22642" spans="1:7" x14ac:dyDescent="0.35">
      <c r="A22642" s="27" t="s">
        <v>227</v>
      </c>
      <c r="B22642" s="27" t="s">
        <v>239</v>
      </c>
      <c r="C22642" s="29">
        <v>3</v>
      </c>
      <c r="D22642" s="29">
        <v>2</v>
      </c>
      <c r="E22642" s="29">
        <v>2</v>
      </c>
      <c r="F22642" s="29">
        <v>4</v>
      </c>
      <c r="G22642" s="29">
        <v>2</v>
      </c>
    </row>
    <row r="22643" spans="1:7" x14ac:dyDescent="0.35">
      <c r="A22643" s="27" t="s">
        <v>227</v>
      </c>
      <c r="B22643" s="27" t="s">
        <v>238</v>
      </c>
      <c r="C22643" s="29">
        <v>5.4</v>
      </c>
      <c r="D22643" s="29">
        <v>4</v>
      </c>
      <c r="E22643" s="29">
        <v>2</v>
      </c>
      <c r="F22643" s="29">
        <v>15</v>
      </c>
      <c r="G22643" s="29">
        <v>5</v>
      </c>
    </row>
    <row r="22644" spans="1:7" x14ac:dyDescent="0.35">
      <c r="A22644" s="27" t="s">
        <v>228</v>
      </c>
      <c r="B22644" s="27" t="s">
        <v>239</v>
      </c>
      <c r="C22644" s="29">
        <v>6.83</v>
      </c>
      <c r="D22644" s="29">
        <v>7</v>
      </c>
      <c r="E22644" s="29">
        <v>2</v>
      </c>
      <c r="F22644" s="29">
        <v>24</v>
      </c>
      <c r="G22644" s="29">
        <v>13</v>
      </c>
    </row>
    <row r="22645" spans="1:7" x14ac:dyDescent="0.35">
      <c r="A22645" s="27" t="s">
        <v>228</v>
      </c>
      <c r="B22645" s="27" t="s">
        <v>238</v>
      </c>
      <c r="C22645" s="29">
        <v>6.33</v>
      </c>
      <c r="D22645" s="29">
        <v>5</v>
      </c>
      <c r="E22645" s="29">
        <v>1</v>
      </c>
      <c r="F22645" s="29">
        <v>35</v>
      </c>
      <c r="G22645" s="29">
        <v>19</v>
      </c>
    </row>
    <row r="22646" spans="1:7" x14ac:dyDescent="0.35">
      <c r="A22646" s="27" t="s">
        <v>229</v>
      </c>
      <c r="B22646" s="27" t="s">
        <v>239</v>
      </c>
      <c r="C22646" s="29">
        <v>2.25</v>
      </c>
      <c r="D22646" s="29">
        <v>2</v>
      </c>
      <c r="E22646" s="29">
        <v>2</v>
      </c>
      <c r="F22646" s="29">
        <v>4</v>
      </c>
      <c r="G22646" s="29">
        <v>5</v>
      </c>
    </row>
    <row r="22647" spans="1:7" x14ac:dyDescent="0.35">
      <c r="A22647" s="27" t="s">
        <v>229</v>
      </c>
      <c r="B22647" s="27" t="s">
        <v>238</v>
      </c>
      <c r="C22647" s="29">
        <v>3.39</v>
      </c>
      <c r="D22647" s="29">
        <v>5</v>
      </c>
      <c r="E22647" s="29">
        <v>1</v>
      </c>
      <c r="F22647" s="29">
        <v>9</v>
      </c>
      <c r="G22647" s="29">
        <v>11</v>
      </c>
    </row>
    <row r="22648" spans="1:7" x14ac:dyDescent="0.35">
      <c r="A22648" s="27" t="s">
        <v>230</v>
      </c>
      <c r="B22648" s="27" t="s">
        <v>239</v>
      </c>
      <c r="C22648" s="29">
        <v>3.39</v>
      </c>
      <c r="D22648" s="29">
        <v>2</v>
      </c>
      <c r="E22648" s="29">
        <v>2</v>
      </c>
      <c r="F22648" s="29">
        <v>8</v>
      </c>
      <c r="G22648" s="29">
        <v>2</v>
      </c>
    </row>
    <row r="22649" spans="1:7" x14ac:dyDescent="0.35">
      <c r="A22649" s="27" t="s">
        <v>230</v>
      </c>
      <c r="B22649" s="27" t="s">
        <v>238</v>
      </c>
      <c r="C22649" s="29">
        <v>2.13</v>
      </c>
      <c r="D22649" s="29">
        <v>2</v>
      </c>
      <c r="E22649" s="29">
        <v>1</v>
      </c>
      <c r="F22649" s="29">
        <v>5</v>
      </c>
      <c r="G22649" s="29">
        <v>6</v>
      </c>
    </row>
    <row r="22650" spans="1:7" x14ac:dyDescent="0.35">
      <c r="A22650" s="27" t="s">
        <v>231</v>
      </c>
      <c r="B22650" s="27" t="s">
        <v>239</v>
      </c>
      <c r="C22650" s="29">
        <v>6.67</v>
      </c>
      <c r="D22650" s="29">
        <v>15</v>
      </c>
      <c r="E22650" s="29">
        <v>2</v>
      </c>
      <c r="F22650" s="29">
        <v>15</v>
      </c>
      <c r="G22650" s="29">
        <v>3</v>
      </c>
    </row>
    <row r="22651" spans="1:7" x14ac:dyDescent="0.35">
      <c r="A22651" s="27" t="s">
        <v>231</v>
      </c>
      <c r="B22651" s="27" t="s">
        <v>238</v>
      </c>
      <c r="C22651" s="29">
        <v>3.67</v>
      </c>
      <c r="D22651" s="29">
        <v>2</v>
      </c>
      <c r="E22651" s="29">
        <v>1</v>
      </c>
      <c r="F22651" s="29">
        <v>10</v>
      </c>
      <c r="G22651" s="29">
        <v>12</v>
      </c>
    </row>
    <row r="22652" spans="1:7" x14ac:dyDescent="0.35">
      <c r="A22652" t="s">
        <v>232</v>
      </c>
      <c r="B22652" t="s">
        <v>232</v>
      </c>
      <c r="C22652">
        <v>4.47</v>
      </c>
      <c r="D22652">
        <v>3</v>
      </c>
      <c r="E22652">
        <v>1</v>
      </c>
      <c r="F22652">
        <v>35</v>
      </c>
      <c r="G22652">
        <v>78</v>
      </c>
    </row>
    <row r="22654" spans="1:7" x14ac:dyDescent="0.35">
      <c r="A22654" s="1" t="s">
        <v>2169</v>
      </c>
    </row>
    <row r="22655" spans="1:7" x14ac:dyDescent="0.35">
      <c r="A22655" t="s">
        <v>219</v>
      </c>
      <c r="B22655" t="s">
        <v>305</v>
      </c>
      <c r="C22655" t="s">
        <v>534</v>
      </c>
      <c r="D22655" t="s">
        <v>535</v>
      </c>
      <c r="E22655" t="s">
        <v>536</v>
      </c>
      <c r="F22655" t="s">
        <v>537</v>
      </c>
      <c r="G22655" t="s">
        <v>226</v>
      </c>
    </row>
    <row r="22656" spans="1:7" x14ac:dyDescent="0.35">
      <c r="A22656" s="27" t="s">
        <v>227</v>
      </c>
      <c r="B22656" s="27" t="s">
        <v>244</v>
      </c>
      <c r="C22656" s="29">
        <v>8.5</v>
      </c>
      <c r="D22656" s="29">
        <v>2</v>
      </c>
      <c r="E22656" s="29">
        <v>2</v>
      </c>
      <c r="F22656" s="29">
        <v>15</v>
      </c>
      <c r="G22656" s="29">
        <v>2</v>
      </c>
    </row>
    <row r="22657" spans="1:7" x14ac:dyDescent="0.35">
      <c r="A22657" s="27" t="s">
        <v>227</v>
      </c>
      <c r="B22657" s="27" t="s">
        <v>245</v>
      </c>
      <c r="C22657" s="29">
        <v>3.25</v>
      </c>
      <c r="D22657" s="29">
        <v>3</v>
      </c>
      <c r="E22657" s="29">
        <v>2</v>
      </c>
      <c r="F22657" s="29">
        <v>4</v>
      </c>
      <c r="G22657" s="29">
        <v>4</v>
      </c>
    </row>
    <row r="22658" spans="1:7" x14ac:dyDescent="0.35">
      <c r="A22658" s="27" t="s">
        <v>227</v>
      </c>
      <c r="B22658" s="27" t="s">
        <v>246</v>
      </c>
      <c r="C22658" s="29">
        <v>3</v>
      </c>
      <c r="D22658" s="29">
        <v>3</v>
      </c>
      <c r="E22658" s="29">
        <v>3</v>
      </c>
      <c r="F22658" s="29">
        <v>3</v>
      </c>
      <c r="G22658" s="29">
        <v>1</v>
      </c>
    </row>
    <row r="22659" spans="1:7" x14ac:dyDescent="0.35">
      <c r="A22659" s="27" t="s">
        <v>228</v>
      </c>
      <c r="B22659" s="27" t="s">
        <v>244</v>
      </c>
      <c r="C22659" s="29">
        <v>6.87</v>
      </c>
      <c r="D22659" s="29">
        <v>5</v>
      </c>
      <c r="E22659" s="29">
        <v>2</v>
      </c>
      <c r="F22659" s="29">
        <v>35</v>
      </c>
      <c r="G22659" s="29">
        <v>17</v>
      </c>
    </row>
    <row r="22660" spans="1:7" x14ac:dyDescent="0.35">
      <c r="A22660" s="27" t="s">
        <v>228</v>
      </c>
      <c r="B22660" s="27" t="s">
        <v>245</v>
      </c>
      <c r="C22660" s="29">
        <v>6.01</v>
      </c>
      <c r="D22660" s="29">
        <v>5</v>
      </c>
      <c r="E22660" s="29">
        <v>1</v>
      </c>
      <c r="F22660" s="29">
        <v>14</v>
      </c>
      <c r="G22660" s="29">
        <v>14</v>
      </c>
    </row>
    <row r="22661" spans="1:7" x14ac:dyDescent="0.35">
      <c r="A22661" s="27" t="s">
        <v>228</v>
      </c>
      <c r="B22661" s="27" t="s">
        <v>246</v>
      </c>
      <c r="C22661" s="29">
        <v>7</v>
      </c>
      <c r="D22661" s="29">
        <v>7</v>
      </c>
      <c r="E22661" s="29">
        <v>7</v>
      </c>
      <c r="F22661" s="29">
        <v>7</v>
      </c>
      <c r="G22661" s="29">
        <v>1</v>
      </c>
    </row>
    <row r="22662" spans="1:7" x14ac:dyDescent="0.35">
      <c r="A22662" s="27" t="s">
        <v>229</v>
      </c>
      <c r="B22662" s="27" t="s">
        <v>244</v>
      </c>
      <c r="C22662" s="29">
        <v>2.9</v>
      </c>
      <c r="D22662" s="29">
        <v>3</v>
      </c>
      <c r="E22662" s="29">
        <v>1</v>
      </c>
      <c r="F22662" s="29">
        <v>5</v>
      </c>
      <c r="G22662" s="29">
        <v>8</v>
      </c>
    </row>
    <row r="22663" spans="1:7" x14ac:dyDescent="0.35">
      <c r="A22663" s="27" t="s">
        <v>229</v>
      </c>
      <c r="B22663" s="27" t="s">
        <v>245</v>
      </c>
      <c r="C22663" s="29">
        <v>3.33</v>
      </c>
      <c r="D22663" s="29">
        <v>4</v>
      </c>
      <c r="E22663" s="29">
        <v>1</v>
      </c>
      <c r="F22663" s="29">
        <v>9</v>
      </c>
      <c r="G22663" s="29">
        <v>8</v>
      </c>
    </row>
    <row r="22664" spans="1:7" x14ac:dyDescent="0.35">
      <c r="A22664" s="27" t="s">
        <v>230</v>
      </c>
      <c r="B22664" s="27" t="s">
        <v>244</v>
      </c>
      <c r="C22664" s="29">
        <v>1.89</v>
      </c>
      <c r="D22664" s="29">
        <v>2</v>
      </c>
      <c r="E22664" s="29">
        <v>1</v>
      </c>
      <c r="F22664" s="29">
        <v>2</v>
      </c>
      <c r="G22664" s="29">
        <v>4</v>
      </c>
    </row>
    <row r="22665" spans="1:7" x14ac:dyDescent="0.35">
      <c r="A22665" s="27" t="s">
        <v>230</v>
      </c>
      <c r="B22665" s="27" t="s">
        <v>245</v>
      </c>
      <c r="C22665" s="29">
        <v>2.63</v>
      </c>
      <c r="D22665" s="29">
        <v>2</v>
      </c>
      <c r="E22665" s="29">
        <v>2</v>
      </c>
      <c r="F22665" s="29">
        <v>8</v>
      </c>
      <c r="G22665" s="29">
        <v>4</v>
      </c>
    </row>
    <row r="22666" spans="1:7" x14ac:dyDescent="0.35">
      <c r="A22666" s="27" t="s">
        <v>231</v>
      </c>
      <c r="B22666" s="27" t="s">
        <v>244</v>
      </c>
      <c r="C22666" s="29">
        <v>2.5</v>
      </c>
      <c r="D22666" s="29">
        <v>2</v>
      </c>
      <c r="E22666" s="29">
        <v>1</v>
      </c>
      <c r="F22666" s="29">
        <v>6</v>
      </c>
      <c r="G22666" s="29">
        <v>8</v>
      </c>
    </row>
    <row r="22667" spans="1:7" x14ac:dyDescent="0.35">
      <c r="A22667" s="27" t="s">
        <v>231</v>
      </c>
      <c r="B22667" s="27" t="s">
        <v>245</v>
      </c>
      <c r="C22667" s="29">
        <v>6.29</v>
      </c>
      <c r="D22667" s="29">
        <v>8</v>
      </c>
      <c r="E22667" s="29">
        <v>2</v>
      </c>
      <c r="F22667" s="29">
        <v>15</v>
      </c>
      <c r="G22667" s="29">
        <v>7</v>
      </c>
    </row>
    <row r="22668" spans="1:7" x14ac:dyDescent="0.35">
      <c r="A22668" t="s">
        <v>232</v>
      </c>
      <c r="B22668" t="s">
        <v>232</v>
      </c>
      <c r="C22668">
        <v>4.47</v>
      </c>
      <c r="D22668">
        <v>3</v>
      </c>
      <c r="E22668">
        <v>1</v>
      </c>
      <c r="F22668">
        <v>35</v>
      </c>
      <c r="G22668">
        <v>78</v>
      </c>
    </row>
    <row r="22670" spans="1:7" x14ac:dyDescent="0.35">
      <c r="A22670" s="1" t="s">
        <v>2170</v>
      </c>
    </row>
    <row r="22671" spans="1:7" x14ac:dyDescent="0.35">
      <c r="A22671" t="s">
        <v>219</v>
      </c>
      <c r="B22671" t="s">
        <v>305</v>
      </c>
      <c r="C22671" t="s">
        <v>534</v>
      </c>
      <c r="D22671" t="s">
        <v>535</v>
      </c>
      <c r="E22671" t="s">
        <v>536</v>
      </c>
      <c r="F22671" t="s">
        <v>537</v>
      </c>
      <c r="G22671" t="s">
        <v>226</v>
      </c>
    </row>
    <row r="22672" spans="1:7" x14ac:dyDescent="0.35">
      <c r="A22672" s="27" t="s">
        <v>227</v>
      </c>
      <c r="B22672" s="27" t="s">
        <v>360</v>
      </c>
      <c r="C22672" s="29">
        <v>3</v>
      </c>
      <c r="D22672" s="29">
        <v>3</v>
      </c>
      <c r="E22672" s="29">
        <v>3</v>
      </c>
      <c r="F22672" s="29">
        <v>3</v>
      </c>
      <c r="G22672" s="29">
        <v>2</v>
      </c>
    </row>
    <row r="22673" spans="1:7" x14ac:dyDescent="0.35">
      <c r="A22673" s="27" t="s">
        <v>227</v>
      </c>
      <c r="B22673" s="27" t="s">
        <v>363</v>
      </c>
      <c r="C22673" s="29">
        <v>3</v>
      </c>
      <c r="D22673" s="29">
        <v>2</v>
      </c>
      <c r="E22673" s="29">
        <v>2</v>
      </c>
      <c r="F22673" s="29">
        <v>4</v>
      </c>
      <c r="G22673" s="29">
        <v>4</v>
      </c>
    </row>
    <row r="22674" spans="1:7" x14ac:dyDescent="0.35">
      <c r="A22674" s="27" t="s">
        <v>227</v>
      </c>
      <c r="B22674" s="27" t="s">
        <v>362</v>
      </c>
      <c r="C22674" s="29">
        <v>15</v>
      </c>
      <c r="D22674" s="29">
        <v>15</v>
      </c>
      <c r="E22674" s="29">
        <v>15</v>
      </c>
      <c r="F22674" s="29">
        <v>15</v>
      </c>
      <c r="G22674" s="29">
        <v>1</v>
      </c>
    </row>
    <row r="22675" spans="1:7" x14ac:dyDescent="0.35">
      <c r="A22675" s="27" t="s">
        <v>228</v>
      </c>
      <c r="B22675" s="27" t="s">
        <v>361</v>
      </c>
      <c r="C22675" s="29">
        <v>7.56</v>
      </c>
      <c r="D22675" s="29">
        <v>14</v>
      </c>
      <c r="E22675" s="29">
        <v>1</v>
      </c>
      <c r="F22675" s="29">
        <v>35</v>
      </c>
      <c r="G22675" s="29">
        <v>9</v>
      </c>
    </row>
    <row r="22676" spans="1:7" x14ac:dyDescent="0.35">
      <c r="A22676" s="27" t="s">
        <v>228</v>
      </c>
      <c r="B22676" s="27" t="s">
        <v>362</v>
      </c>
      <c r="C22676" s="29">
        <v>3.23</v>
      </c>
      <c r="D22676" s="29">
        <v>2</v>
      </c>
      <c r="E22676" s="29">
        <v>1</v>
      </c>
      <c r="F22676" s="29">
        <v>11</v>
      </c>
      <c r="G22676" s="29">
        <v>10</v>
      </c>
    </row>
    <row r="22677" spans="1:7" x14ac:dyDescent="0.35">
      <c r="A22677" s="27" t="s">
        <v>228</v>
      </c>
      <c r="B22677" s="27" t="s">
        <v>360</v>
      </c>
      <c r="C22677" s="29">
        <v>8.4600000000000009</v>
      </c>
      <c r="D22677" s="29">
        <v>7</v>
      </c>
      <c r="E22677" s="29">
        <v>2</v>
      </c>
      <c r="F22677" s="29">
        <v>24</v>
      </c>
      <c r="G22677" s="29">
        <v>10</v>
      </c>
    </row>
    <row r="22678" spans="1:7" x14ac:dyDescent="0.35">
      <c r="A22678" s="27" t="s">
        <v>228</v>
      </c>
      <c r="B22678" s="27" t="s">
        <v>363</v>
      </c>
      <c r="C22678" s="29">
        <v>5.56</v>
      </c>
      <c r="D22678" s="29">
        <v>7</v>
      </c>
      <c r="E22678" s="29">
        <v>2</v>
      </c>
      <c r="F22678" s="29">
        <v>7</v>
      </c>
      <c r="G22678" s="29">
        <v>3</v>
      </c>
    </row>
    <row r="22679" spans="1:7" x14ac:dyDescent="0.35">
      <c r="A22679" s="27" t="s">
        <v>229</v>
      </c>
      <c r="B22679" s="27" t="s">
        <v>361</v>
      </c>
      <c r="C22679" s="29">
        <v>2.76</v>
      </c>
      <c r="D22679" s="29">
        <v>2</v>
      </c>
      <c r="E22679" s="29">
        <v>1</v>
      </c>
      <c r="F22679" s="29">
        <v>9</v>
      </c>
      <c r="G22679" s="29">
        <v>7</v>
      </c>
    </row>
    <row r="22680" spans="1:7" x14ac:dyDescent="0.35">
      <c r="A22680" s="27" t="s">
        <v>229</v>
      </c>
      <c r="B22680" s="27" t="s">
        <v>362</v>
      </c>
      <c r="C22680" s="29">
        <v>2.25</v>
      </c>
      <c r="D22680" s="29">
        <v>2</v>
      </c>
      <c r="E22680" s="29">
        <v>1</v>
      </c>
      <c r="F22680" s="29">
        <v>4</v>
      </c>
      <c r="G22680" s="29">
        <v>4</v>
      </c>
    </row>
    <row r="22681" spans="1:7" x14ac:dyDescent="0.35">
      <c r="A22681" s="27" t="s">
        <v>229</v>
      </c>
      <c r="B22681" s="27" t="s">
        <v>363</v>
      </c>
      <c r="C22681" s="29">
        <v>2</v>
      </c>
      <c r="D22681" s="29">
        <v>2</v>
      </c>
      <c r="E22681" s="29">
        <v>2</v>
      </c>
      <c r="F22681" s="29">
        <v>2</v>
      </c>
      <c r="G22681" s="29">
        <v>2</v>
      </c>
    </row>
    <row r="22682" spans="1:7" x14ac:dyDescent="0.35">
      <c r="A22682" s="27" t="s">
        <v>230</v>
      </c>
      <c r="B22682" s="27" t="s">
        <v>361</v>
      </c>
      <c r="C22682" s="29">
        <v>1</v>
      </c>
      <c r="D22682" s="29">
        <v>1</v>
      </c>
      <c r="E22682" s="29">
        <v>1</v>
      </c>
      <c r="F22682" s="29">
        <v>1</v>
      </c>
      <c r="G22682" s="29">
        <v>1</v>
      </c>
    </row>
    <row r="22683" spans="1:7" x14ac:dyDescent="0.35">
      <c r="A22683" s="27" t="s">
        <v>230</v>
      </c>
      <c r="B22683" s="27" t="s">
        <v>362</v>
      </c>
      <c r="C22683" s="29">
        <v>2</v>
      </c>
      <c r="D22683" s="29">
        <v>2</v>
      </c>
      <c r="E22683" s="29">
        <v>2</v>
      </c>
      <c r="F22683" s="29">
        <v>2</v>
      </c>
      <c r="G22683" s="29">
        <v>2</v>
      </c>
    </row>
    <row r="22684" spans="1:7" x14ac:dyDescent="0.35">
      <c r="A22684" s="27" t="s">
        <v>230</v>
      </c>
      <c r="B22684" s="27" t="s">
        <v>360</v>
      </c>
      <c r="C22684" s="29">
        <v>3.13</v>
      </c>
      <c r="D22684" s="29">
        <v>8</v>
      </c>
      <c r="E22684" s="29">
        <v>2</v>
      </c>
      <c r="F22684" s="29">
        <v>8</v>
      </c>
      <c r="G22684" s="29">
        <v>3</v>
      </c>
    </row>
    <row r="22685" spans="1:7" x14ac:dyDescent="0.35">
      <c r="A22685" s="27" t="s">
        <v>231</v>
      </c>
      <c r="B22685" s="27" t="s">
        <v>360</v>
      </c>
      <c r="C22685" s="29">
        <v>4</v>
      </c>
      <c r="D22685" s="29">
        <v>6</v>
      </c>
      <c r="E22685" s="29">
        <v>3</v>
      </c>
      <c r="F22685" s="29">
        <v>6</v>
      </c>
      <c r="G22685" s="29">
        <v>3</v>
      </c>
    </row>
    <row r="22686" spans="1:7" x14ac:dyDescent="0.35">
      <c r="A22686" s="27" t="s">
        <v>231</v>
      </c>
      <c r="B22686" s="27" t="s">
        <v>361</v>
      </c>
      <c r="C22686" s="29">
        <v>5.5</v>
      </c>
      <c r="D22686" s="29">
        <v>2</v>
      </c>
      <c r="E22686" s="29">
        <v>2</v>
      </c>
      <c r="F22686" s="29">
        <v>10</v>
      </c>
      <c r="G22686" s="29">
        <v>4</v>
      </c>
    </row>
    <row r="22687" spans="1:7" x14ac:dyDescent="0.35">
      <c r="A22687" s="27" t="s">
        <v>231</v>
      </c>
      <c r="B22687" s="27" t="s">
        <v>363</v>
      </c>
      <c r="C22687" s="29">
        <v>2</v>
      </c>
      <c r="D22687" s="29">
        <v>2</v>
      </c>
      <c r="E22687" s="29">
        <v>2</v>
      </c>
      <c r="F22687" s="29">
        <v>2</v>
      </c>
      <c r="G22687" s="29">
        <v>3</v>
      </c>
    </row>
    <row r="22688" spans="1:7" x14ac:dyDescent="0.35">
      <c r="A22688" s="27" t="s">
        <v>231</v>
      </c>
      <c r="B22688" s="27" t="s">
        <v>362</v>
      </c>
      <c r="C22688" s="29">
        <v>5.5</v>
      </c>
      <c r="D22688" s="29">
        <v>3</v>
      </c>
      <c r="E22688" s="29">
        <v>1</v>
      </c>
      <c r="F22688" s="29">
        <v>15</v>
      </c>
      <c r="G22688" s="29">
        <v>4</v>
      </c>
    </row>
    <row r="22689" spans="1:7" x14ac:dyDescent="0.35">
      <c r="A22689" t="s">
        <v>232</v>
      </c>
      <c r="B22689" t="s">
        <v>232</v>
      </c>
      <c r="C22689">
        <v>4.47</v>
      </c>
      <c r="D22689">
        <v>3</v>
      </c>
      <c r="E22689">
        <v>1</v>
      </c>
      <c r="F22689">
        <v>35</v>
      </c>
      <c r="G22689">
        <v>78</v>
      </c>
    </row>
    <row r="22691" spans="1:7" x14ac:dyDescent="0.35">
      <c r="A22691" s="1" t="s">
        <v>2171</v>
      </c>
    </row>
    <row r="22692" spans="1:7" x14ac:dyDescent="0.35">
      <c r="A22692" t="s">
        <v>219</v>
      </c>
      <c r="B22692" t="s">
        <v>305</v>
      </c>
      <c r="C22692" t="s">
        <v>534</v>
      </c>
      <c r="D22692" t="s">
        <v>535</v>
      </c>
      <c r="E22692" t="s">
        <v>536</v>
      </c>
      <c r="F22692" t="s">
        <v>537</v>
      </c>
      <c r="G22692" t="s">
        <v>226</v>
      </c>
    </row>
    <row r="22693" spans="1:7" x14ac:dyDescent="0.35">
      <c r="A22693" s="27" t="s">
        <v>227</v>
      </c>
      <c r="B22693" s="27" t="s">
        <v>266</v>
      </c>
      <c r="C22693" s="29">
        <v>5.6</v>
      </c>
      <c r="D22693" s="29">
        <v>4</v>
      </c>
      <c r="E22693" s="29">
        <v>2</v>
      </c>
      <c r="F22693" s="29">
        <v>15</v>
      </c>
      <c r="G22693" s="29">
        <v>5</v>
      </c>
    </row>
    <row r="22694" spans="1:7" x14ac:dyDescent="0.35">
      <c r="A22694" s="27" t="s">
        <v>227</v>
      </c>
      <c r="B22694" s="27" t="s">
        <v>265</v>
      </c>
      <c r="C22694" s="29">
        <v>2.5</v>
      </c>
      <c r="D22694" s="29">
        <v>2</v>
      </c>
      <c r="E22694" s="29">
        <v>2</v>
      </c>
      <c r="F22694" s="29">
        <v>3</v>
      </c>
      <c r="G22694" s="29">
        <v>2</v>
      </c>
    </row>
    <row r="22695" spans="1:7" x14ac:dyDescent="0.35">
      <c r="A22695" s="27" t="s">
        <v>228</v>
      </c>
      <c r="B22695" s="27" t="s">
        <v>267</v>
      </c>
      <c r="C22695" s="29">
        <v>5.84</v>
      </c>
      <c r="D22695" s="29">
        <v>24</v>
      </c>
      <c r="E22695" s="29">
        <v>2</v>
      </c>
      <c r="F22695" s="29">
        <v>24</v>
      </c>
      <c r="G22695" s="29">
        <v>6</v>
      </c>
    </row>
    <row r="22696" spans="1:7" x14ac:dyDescent="0.35">
      <c r="A22696" s="27" t="s">
        <v>228</v>
      </c>
      <c r="B22696" s="27" t="s">
        <v>266</v>
      </c>
      <c r="C22696" s="29">
        <v>7.22</v>
      </c>
      <c r="D22696" s="29">
        <v>5</v>
      </c>
      <c r="E22696" s="29">
        <v>1</v>
      </c>
      <c r="F22696" s="29">
        <v>35</v>
      </c>
      <c r="G22696" s="29">
        <v>16</v>
      </c>
    </row>
    <row r="22697" spans="1:7" x14ac:dyDescent="0.35">
      <c r="A22697" s="27" t="s">
        <v>228</v>
      </c>
      <c r="B22697" s="27" t="s">
        <v>265</v>
      </c>
      <c r="C22697" s="29">
        <v>5.4</v>
      </c>
      <c r="D22697" s="29">
        <v>6</v>
      </c>
      <c r="E22697" s="29">
        <v>2</v>
      </c>
      <c r="F22697" s="29">
        <v>24</v>
      </c>
      <c r="G22697" s="29">
        <v>10</v>
      </c>
    </row>
    <row r="22698" spans="1:7" x14ac:dyDescent="0.35">
      <c r="A22698" s="27" t="s">
        <v>229</v>
      </c>
      <c r="B22698" s="27" t="s">
        <v>267</v>
      </c>
      <c r="C22698" s="29">
        <v>2</v>
      </c>
      <c r="D22698" s="29">
        <v>2</v>
      </c>
      <c r="E22698" s="29">
        <v>2</v>
      </c>
      <c r="F22698" s="29">
        <v>2</v>
      </c>
      <c r="G22698" s="29">
        <v>3</v>
      </c>
    </row>
    <row r="22699" spans="1:7" x14ac:dyDescent="0.35">
      <c r="A22699" s="27" t="s">
        <v>229</v>
      </c>
      <c r="B22699" s="27" t="s">
        <v>266</v>
      </c>
      <c r="C22699" s="29">
        <v>3.92</v>
      </c>
      <c r="D22699" s="29">
        <v>9</v>
      </c>
      <c r="E22699" s="29">
        <v>1</v>
      </c>
      <c r="F22699" s="29">
        <v>9</v>
      </c>
      <c r="G22699" s="29">
        <v>8</v>
      </c>
    </row>
    <row r="22700" spans="1:7" x14ac:dyDescent="0.35">
      <c r="A22700" s="27" t="s">
        <v>229</v>
      </c>
      <c r="B22700" s="27" t="s">
        <v>265</v>
      </c>
      <c r="C22700" s="29">
        <v>2.93</v>
      </c>
      <c r="D22700" s="29">
        <v>2</v>
      </c>
      <c r="E22700" s="29">
        <v>1</v>
      </c>
      <c r="F22700" s="29">
        <v>5</v>
      </c>
      <c r="G22700" s="29">
        <v>5</v>
      </c>
    </row>
    <row r="22701" spans="1:7" x14ac:dyDescent="0.35">
      <c r="A22701" s="27" t="s">
        <v>230</v>
      </c>
      <c r="B22701" s="27" t="s">
        <v>267</v>
      </c>
      <c r="C22701" s="29">
        <v>2.66</v>
      </c>
      <c r="D22701" s="29">
        <v>5</v>
      </c>
      <c r="E22701" s="29">
        <v>1</v>
      </c>
      <c r="F22701" s="29">
        <v>5</v>
      </c>
      <c r="G22701" s="29">
        <v>3</v>
      </c>
    </row>
    <row r="22702" spans="1:7" x14ac:dyDescent="0.35">
      <c r="A22702" s="27" t="s">
        <v>230</v>
      </c>
      <c r="B22702" s="27" t="s">
        <v>266</v>
      </c>
      <c r="C22702" s="29">
        <v>2.2400000000000002</v>
      </c>
      <c r="D22702" s="29">
        <v>8</v>
      </c>
      <c r="E22702" s="29">
        <v>2</v>
      </c>
      <c r="F22702" s="29">
        <v>8</v>
      </c>
      <c r="G22702" s="29">
        <v>4</v>
      </c>
    </row>
    <row r="22703" spans="1:7" x14ac:dyDescent="0.35">
      <c r="A22703" s="27" t="s">
        <v>230</v>
      </c>
      <c r="B22703" s="27" t="s">
        <v>265</v>
      </c>
      <c r="C22703" s="29">
        <v>2</v>
      </c>
      <c r="D22703" s="29">
        <v>2</v>
      </c>
      <c r="E22703" s="29">
        <v>2</v>
      </c>
      <c r="F22703" s="29">
        <v>2</v>
      </c>
      <c r="G22703" s="29">
        <v>1</v>
      </c>
    </row>
    <row r="22704" spans="1:7" x14ac:dyDescent="0.35">
      <c r="A22704" s="27" t="s">
        <v>231</v>
      </c>
      <c r="B22704" s="27" t="s">
        <v>267</v>
      </c>
      <c r="C22704" s="29">
        <v>4.67</v>
      </c>
      <c r="D22704" s="29">
        <v>3</v>
      </c>
      <c r="E22704" s="29">
        <v>2</v>
      </c>
      <c r="F22704" s="29">
        <v>10</v>
      </c>
      <c r="G22704" s="29">
        <v>6</v>
      </c>
    </row>
    <row r="22705" spans="1:7" x14ac:dyDescent="0.35">
      <c r="A22705" s="27" t="s">
        <v>231</v>
      </c>
      <c r="B22705" s="27" t="s">
        <v>266</v>
      </c>
      <c r="C22705" s="29">
        <v>6.5</v>
      </c>
      <c r="D22705" s="29">
        <v>3</v>
      </c>
      <c r="E22705" s="29">
        <v>2</v>
      </c>
      <c r="F22705" s="29">
        <v>15</v>
      </c>
      <c r="G22705" s="29">
        <v>4</v>
      </c>
    </row>
    <row r="22706" spans="1:7" x14ac:dyDescent="0.35">
      <c r="A22706" s="27" t="s">
        <v>231</v>
      </c>
      <c r="B22706" s="27" t="s">
        <v>265</v>
      </c>
      <c r="C22706" s="29">
        <v>2</v>
      </c>
      <c r="D22706" s="29">
        <v>2</v>
      </c>
      <c r="E22706" s="29">
        <v>1</v>
      </c>
      <c r="F22706" s="29">
        <v>3</v>
      </c>
      <c r="G22706" s="29">
        <v>5</v>
      </c>
    </row>
    <row r="22707" spans="1:7" x14ac:dyDescent="0.35">
      <c r="A22707" t="s">
        <v>232</v>
      </c>
      <c r="B22707" t="s">
        <v>232</v>
      </c>
      <c r="C22707">
        <v>4.47</v>
      </c>
      <c r="D22707">
        <v>3</v>
      </c>
      <c r="E22707">
        <v>1</v>
      </c>
      <c r="F22707">
        <v>35</v>
      </c>
      <c r="G22707">
        <v>78</v>
      </c>
    </row>
    <row r="22709" spans="1:7" x14ac:dyDescent="0.35">
      <c r="A22709" s="1" t="s">
        <v>2172</v>
      </c>
    </row>
    <row r="22710" spans="1:7" x14ac:dyDescent="0.35">
      <c r="A22710" t="s">
        <v>219</v>
      </c>
      <c r="B22710" t="s">
        <v>305</v>
      </c>
      <c r="C22710" t="s">
        <v>534</v>
      </c>
      <c r="D22710" t="s">
        <v>535</v>
      </c>
      <c r="E22710" t="s">
        <v>536</v>
      </c>
      <c r="F22710" t="s">
        <v>537</v>
      </c>
      <c r="G22710" t="s">
        <v>226</v>
      </c>
    </row>
    <row r="22711" spans="1:7" x14ac:dyDescent="0.35">
      <c r="A22711" s="27" t="s">
        <v>227</v>
      </c>
      <c r="B22711" s="27" t="s">
        <v>252</v>
      </c>
      <c r="C22711" s="29">
        <v>3</v>
      </c>
      <c r="D22711" s="29">
        <v>4</v>
      </c>
      <c r="E22711" s="29">
        <v>2</v>
      </c>
      <c r="F22711" s="29">
        <v>4</v>
      </c>
      <c r="G22711" s="29">
        <v>3</v>
      </c>
    </row>
    <row r="22712" spans="1:7" x14ac:dyDescent="0.35">
      <c r="A22712" s="27" t="s">
        <v>227</v>
      </c>
      <c r="B22712" s="27" t="s">
        <v>251</v>
      </c>
      <c r="C22712" s="29">
        <v>6</v>
      </c>
      <c r="D22712" s="29">
        <v>3</v>
      </c>
      <c r="E22712" s="29">
        <v>2</v>
      </c>
      <c r="F22712" s="29">
        <v>15</v>
      </c>
      <c r="G22712" s="29">
        <v>4</v>
      </c>
    </row>
    <row r="22713" spans="1:7" x14ac:dyDescent="0.35">
      <c r="A22713" s="27" t="s">
        <v>228</v>
      </c>
      <c r="B22713" s="27" t="s">
        <v>252</v>
      </c>
      <c r="C22713" s="29">
        <v>6.15</v>
      </c>
      <c r="D22713" s="29">
        <v>6</v>
      </c>
      <c r="E22713" s="29">
        <v>1</v>
      </c>
      <c r="F22713" s="29">
        <v>24</v>
      </c>
      <c r="G22713" s="29">
        <v>15</v>
      </c>
    </row>
    <row r="22714" spans="1:7" x14ac:dyDescent="0.35">
      <c r="A22714" s="27" t="s">
        <v>228</v>
      </c>
      <c r="B22714" s="27" t="s">
        <v>253</v>
      </c>
      <c r="C22714" s="29">
        <v>4.71</v>
      </c>
      <c r="D22714" s="29">
        <v>5</v>
      </c>
      <c r="E22714" s="29">
        <v>2</v>
      </c>
      <c r="F22714" s="29">
        <v>5</v>
      </c>
      <c r="G22714" s="29">
        <v>2</v>
      </c>
    </row>
    <row r="22715" spans="1:7" x14ac:dyDescent="0.35">
      <c r="A22715" s="27" t="s">
        <v>228</v>
      </c>
      <c r="B22715" s="27" t="s">
        <v>251</v>
      </c>
      <c r="C22715" s="29">
        <v>7.01</v>
      </c>
      <c r="D22715" s="29">
        <v>5</v>
      </c>
      <c r="E22715" s="29">
        <v>1</v>
      </c>
      <c r="F22715" s="29">
        <v>35</v>
      </c>
      <c r="G22715" s="29">
        <v>15</v>
      </c>
    </row>
    <row r="22716" spans="1:7" x14ac:dyDescent="0.35">
      <c r="A22716" s="27" t="s">
        <v>229</v>
      </c>
      <c r="B22716" s="27" t="s">
        <v>252</v>
      </c>
      <c r="C22716" s="29">
        <v>1.67</v>
      </c>
      <c r="D22716" s="29">
        <v>2</v>
      </c>
      <c r="E22716" s="29">
        <v>1</v>
      </c>
      <c r="F22716" s="29">
        <v>2</v>
      </c>
      <c r="G22716" s="29">
        <v>3</v>
      </c>
    </row>
    <row r="22717" spans="1:7" x14ac:dyDescent="0.35">
      <c r="A22717" s="27" t="s">
        <v>229</v>
      </c>
      <c r="B22717" s="27" t="s">
        <v>253</v>
      </c>
      <c r="C22717" s="29">
        <v>4.3499999999999996</v>
      </c>
      <c r="D22717" s="29">
        <v>5</v>
      </c>
      <c r="E22717" s="29">
        <v>2</v>
      </c>
      <c r="F22717" s="29">
        <v>5</v>
      </c>
      <c r="G22717" s="29">
        <v>3</v>
      </c>
    </row>
    <row r="22718" spans="1:7" x14ac:dyDescent="0.35">
      <c r="A22718" s="27" t="s">
        <v>229</v>
      </c>
      <c r="B22718" s="27" t="s">
        <v>251</v>
      </c>
      <c r="C22718" s="29">
        <v>2.81</v>
      </c>
      <c r="D22718" s="29">
        <v>2</v>
      </c>
      <c r="E22718" s="29">
        <v>1</v>
      </c>
      <c r="F22718" s="29">
        <v>9</v>
      </c>
      <c r="G22718" s="29">
        <v>10</v>
      </c>
    </row>
    <row r="22719" spans="1:7" x14ac:dyDescent="0.35">
      <c r="A22719" s="27" t="s">
        <v>230</v>
      </c>
      <c r="B22719" s="27" t="s">
        <v>252</v>
      </c>
      <c r="C22719" s="29">
        <v>2</v>
      </c>
      <c r="D22719" s="29">
        <v>2</v>
      </c>
      <c r="E22719" s="29">
        <v>2</v>
      </c>
      <c r="F22719" s="29">
        <v>2</v>
      </c>
      <c r="G22719" s="29">
        <v>4</v>
      </c>
    </row>
    <row r="22720" spans="1:7" x14ac:dyDescent="0.35">
      <c r="A22720" s="27" t="s">
        <v>230</v>
      </c>
      <c r="B22720" s="27" t="s">
        <v>253</v>
      </c>
      <c r="C22720" s="29">
        <v>2</v>
      </c>
      <c r="D22720" s="29">
        <v>2</v>
      </c>
      <c r="E22720" s="29">
        <v>2</v>
      </c>
      <c r="F22720" s="29">
        <v>2</v>
      </c>
      <c r="G22720" s="29">
        <v>1</v>
      </c>
    </row>
    <row r="22721" spans="1:7" x14ac:dyDescent="0.35">
      <c r="A22721" s="27" t="s">
        <v>230</v>
      </c>
      <c r="B22721" s="27" t="s">
        <v>251</v>
      </c>
      <c r="C22721" s="29">
        <v>3.67</v>
      </c>
      <c r="D22721" s="29">
        <v>8</v>
      </c>
      <c r="E22721" s="29">
        <v>1</v>
      </c>
      <c r="F22721" s="29">
        <v>8</v>
      </c>
      <c r="G22721" s="29">
        <v>3</v>
      </c>
    </row>
    <row r="22722" spans="1:7" x14ac:dyDescent="0.35">
      <c r="A22722" s="27" t="s">
        <v>231</v>
      </c>
      <c r="B22722" s="27" t="s">
        <v>252</v>
      </c>
      <c r="C22722" s="29">
        <v>3.4</v>
      </c>
      <c r="D22722" s="29">
        <v>3</v>
      </c>
      <c r="E22722" s="29">
        <v>2</v>
      </c>
      <c r="F22722" s="29">
        <v>6</v>
      </c>
      <c r="G22722" s="29">
        <v>5</v>
      </c>
    </row>
    <row r="22723" spans="1:7" x14ac:dyDescent="0.35">
      <c r="A22723" s="27" t="s">
        <v>231</v>
      </c>
      <c r="B22723" s="27" t="s">
        <v>253</v>
      </c>
      <c r="C22723" s="29">
        <v>2</v>
      </c>
      <c r="D22723" s="29">
        <v>2</v>
      </c>
      <c r="E22723" s="29">
        <v>2</v>
      </c>
      <c r="F22723" s="29">
        <v>2</v>
      </c>
      <c r="G22723" s="29">
        <v>1</v>
      </c>
    </row>
    <row r="22724" spans="1:7" x14ac:dyDescent="0.35">
      <c r="A22724" s="27" t="s">
        <v>231</v>
      </c>
      <c r="B22724" s="27" t="s">
        <v>251</v>
      </c>
      <c r="C22724" s="29">
        <v>5</v>
      </c>
      <c r="D22724" s="29">
        <v>3</v>
      </c>
      <c r="E22724" s="29">
        <v>1</v>
      </c>
      <c r="F22724" s="29">
        <v>15</v>
      </c>
      <c r="G22724" s="29">
        <v>9</v>
      </c>
    </row>
    <row r="22725" spans="1:7" x14ac:dyDescent="0.35">
      <c r="A22725" t="s">
        <v>232</v>
      </c>
      <c r="B22725" t="s">
        <v>232</v>
      </c>
      <c r="C22725">
        <v>4.47</v>
      </c>
      <c r="D22725">
        <v>3</v>
      </c>
      <c r="E22725">
        <v>1</v>
      </c>
      <c r="F22725">
        <v>35</v>
      </c>
      <c r="G22725">
        <v>78</v>
      </c>
    </row>
    <row r="22727" spans="1:7" x14ac:dyDescent="0.35">
      <c r="A22727" s="1" t="s">
        <v>2173</v>
      </c>
    </row>
    <row r="22728" spans="1:7" x14ac:dyDescent="0.35">
      <c r="A22728" t="s">
        <v>219</v>
      </c>
      <c r="B22728" t="s">
        <v>305</v>
      </c>
      <c r="C22728" t="s">
        <v>534</v>
      </c>
      <c r="D22728" t="s">
        <v>535</v>
      </c>
      <c r="E22728" t="s">
        <v>536</v>
      </c>
      <c r="F22728" t="s">
        <v>537</v>
      </c>
      <c r="G22728" t="s">
        <v>226</v>
      </c>
    </row>
    <row r="22729" spans="1:7" x14ac:dyDescent="0.35">
      <c r="A22729" s="27" t="s">
        <v>227</v>
      </c>
      <c r="B22729" s="27" t="s">
        <v>249</v>
      </c>
      <c r="C22729" s="29">
        <v>6.67</v>
      </c>
      <c r="D22729" s="29">
        <v>15</v>
      </c>
      <c r="E22729" s="29">
        <v>2</v>
      </c>
      <c r="F22729" s="29">
        <v>15</v>
      </c>
      <c r="G22729" s="29">
        <v>3</v>
      </c>
    </row>
    <row r="22730" spans="1:7" x14ac:dyDescent="0.35">
      <c r="A22730" s="27" t="s">
        <v>227</v>
      </c>
      <c r="B22730" s="27" t="s">
        <v>248</v>
      </c>
      <c r="C22730" s="29">
        <v>3.25</v>
      </c>
      <c r="D22730" s="29">
        <v>3</v>
      </c>
      <c r="E22730" s="29">
        <v>2</v>
      </c>
      <c r="F22730" s="29">
        <v>4</v>
      </c>
      <c r="G22730" s="29">
        <v>4</v>
      </c>
    </row>
    <row r="22731" spans="1:7" x14ac:dyDescent="0.35">
      <c r="A22731" s="27" t="s">
        <v>228</v>
      </c>
      <c r="B22731" s="27" t="s">
        <v>249</v>
      </c>
      <c r="C22731" s="29">
        <v>11.21</v>
      </c>
      <c r="D22731" s="29">
        <v>7</v>
      </c>
      <c r="E22731" s="29">
        <v>2</v>
      </c>
      <c r="F22731" s="29">
        <v>35</v>
      </c>
      <c r="G22731" s="29">
        <v>5</v>
      </c>
    </row>
    <row r="22732" spans="1:7" x14ac:dyDescent="0.35">
      <c r="A22732" s="27" t="s">
        <v>228</v>
      </c>
      <c r="B22732" s="27" t="s">
        <v>248</v>
      </c>
      <c r="C22732" s="29">
        <v>5.9</v>
      </c>
      <c r="D22732" s="29">
        <v>5</v>
      </c>
      <c r="E22732" s="29">
        <v>1</v>
      </c>
      <c r="F22732" s="29">
        <v>24</v>
      </c>
      <c r="G22732" s="29">
        <v>27</v>
      </c>
    </row>
    <row r="22733" spans="1:7" x14ac:dyDescent="0.35">
      <c r="A22733" s="27" t="s">
        <v>229</v>
      </c>
      <c r="B22733" s="27" t="s">
        <v>249</v>
      </c>
      <c r="C22733" s="29">
        <v>1.71</v>
      </c>
      <c r="D22733" s="29">
        <v>2</v>
      </c>
      <c r="E22733" s="29">
        <v>1</v>
      </c>
      <c r="F22733" s="29">
        <v>4</v>
      </c>
      <c r="G22733" s="29">
        <v>5</v>
      </c>
    </row>
    <row r="22734" spans="1:7" x14ac:dyDescent="0.35">
      <c r="A22734" s="27" t="s">
        <v>229</v>
      </c>
      <c r="B22734" s="27" t="s">
        <v>248</v>
      </c>
      <c r="C22734" s="29">
        <v>3.67</v>
      </c>
      <c r="D22734" s="29">
        <v>5</v>
      </c>
      <c r="E22734" s="29">
        <v>1</v>
      </c>
      <c r="F22734" s="29">
        <v>9</v>
      </c>
      <c r="G22734" s="29">
        <v>11</v>
      </c>
    </row>
    <row r="22735" spans="1:7" x14ac:dyDescent="0.35">
      <c r="A22735" s="27" t="s">
        <v>230</v>
      </c>
      <c r="B22735" s="27" t="s">
        <v>249</v>
      </c>
      <c r="C22735" s="29">
        <v>1</v>
      </c>
      <c r="D22735" s="29">
        <v>1</v>
      </c>
      <c r="E22735" s="29">
        <v>1</v>
      </c>
      <c r="F22735" s="29">
        <v>1</v>
      </c>
      <c r="G22735" s="29">
        <v>1</v>
      </c>
    </row>
    <row r="22736" spans="1:7" x14ac:dyDescent="0.35">
      <c r="A22736" s="27" t="s">
        <v>230</v>
      </c>
      <c r="B22736" s="27" t="s">
        <v>248</v>
      </c>
      <c r="C22736" s="29">
        <v>2.31</v>
      </c>
      <c r="D22736" s="29">
        <v>2</v>
      </c>
      <c r="E22736" s="29">
        <v>2</v>
      </c>
      <c r="F22736" s="29">
        <v>8</v>
      </c>
      <c r="G22736" s="29">
        <v>7</v>
      </c>
    </row>
    <row r="22737" spans="1:7" x14ac:dyDescent="0.35">
      <c r="A22737" s="27" t="s">
        <v>231</v>
      </c>
      <c r="B22737" s="27" t="s">
        <v>249</v>
      </c>
      <c r="C22737" s="29">
        <v>6</v>
      </c>
      <c r="D22737" s="29">
        <v>6</v>
      </c>
      <c r="E22737" s="29">
        <v>6</v>
      </c>
      <c r="F22737" s="29">
        <v>6</v>
      </c>
      <c r="G22737" s="29">
        <v>1</v>
      </c>
    </row>
    <row r="22738" spans="1:7" x14ac:dyDescent="0.35">
      <c r="A22738" s="27" t="s">
        <v>231</v>
      </c>
      <c r="B22738" s="27" t="s">
        <v>248</v>
      </c>
      <c r="C22738" s="29">
        <v>4.1399999999999997</v>
      </c>
      <c r="D22738" s="29">
        <v>2</v>
      </c>
      <c r="E22738" s="29">
        <v>1</v>
      </c>
      <c r="F22738" s="29">
        <v>15</v>
      </c>
      <c r="G22738" s="29">
        <v>14</v>
      </c>
    </row>
    <row r="22739" spans="1:7" x14ac:dyDescent="0.35">
      <c r="A22739" t="s">
        <v>232</v>
      </c>
      <c r="B22739" t="s">
        <v>232</v>
      </c>
      <c r="C22739">
        <v>4.47</v>
      </c>
      <c r="D22739">
        <v>3</v>
      </c>
      <c r="E22739">
        <v>1</v>
      </c>
      <c r="F22739">
        <v>35</v>
      </c>
      <c r="G22739">
        <v>78</v>
      </c>
    </row>
    <row r="22741" spans="1:7" x14ac:dyDescent="0.35">
      <c r="A22741" s="1" t="s">
        <v>2174</v>
      </c>
    </row>
    <row r="22742" spans="1:7" x14ac:dyDescent="0.35">
      <c r="A22742" t="s">
        <v>219</v>
      </c>
      <c r="B22742" t="s">
        <v>305</v>
      </c>
      <c r="C22742" t="s">
        <v>534</v>
      </c>
      <c r="D22742" t="s">
        <v>535</v>
      </c>
      <c r="E22742" t="s">
        <v>536</v>
      </c>
      <c r="F22742" t="s">
        <v>537</v>
      </c>
      <c r="G22742" t="s">
        <v>226</v>
      </c>
    </row>
    <row r="22743" spans="1:7" x14ac:dyDescent="0.35">
      <c r="A22743" s="27" t="s">
        <v>227</v>
      </c>
      <c r="B22743" s="27" t="s">
        <v>261</v>
      </c>
      <c r="C22743" s="29">
        <v>6</v>
      </c>
      <c r="D22743" s="29">
        <v>3</v>
      </c>
      <c r="E22743" s="29">
        <v>2</v>
      </c>
      <c r="F22743" s="29">
        <v>15</v>
      </c>
      <c r="G22743" s="29">
        <v>4</v>
      </c>
    </row>
    <row r="22744" spans="1:7" x14ac:dyDescent="0.35">
      <c r="A22744" s="27" t="s">
        <v>227</v>
      </c>
      <c r="B22744" s="27" t="s">
        <v>260</v>
      </c>
      <c r="C22744" s="29">
        <v>3</v>
      </c>
      <c r="D22744" s="29">
        <v>4</v>
      </c>
      <c r="E22744" s="29">
        <v>2</v>
      </c>
      <c r="F22744" s="29">
        <v>4</v>
      </c>
      <c r="G22744" s="29">
        <v>3</v>
      </c>
    </row>
    <row r="22745" spans="1:7" x14ac:dyDescent="0.35">
      <c r="A22745" s="27" t="s">
        <v>228</v>
      </c>
      <c r="B22745" s="27" t="s">
        <v>263</v>
      </c>
      <c r="C22745" s="29">
        <v>2</v>
      </c>
      <c r="D22745" s="29">
        <v>2</v>
      </c>
      <c r="E22745" s="29">
        <v>2</v>
      </c>
      <c r="F22745" s="29">
        <v>2</v>
      </c>
      <c r="G22745" s="29">
        <v>1</v>
      </c>
    </row>
    <row r="22746" spans="1:7" x14ac:dyDescent="0.35">
      <c r="A22746" s="27" t="s">
        <v>228</v>
      </c>
      <c r="B22746" s="27" t="s">
        <v>261</v>
      </c>
      <c r="C22746" s="29">
        <v>6.65</v>
      </c>
      <c r="D22746" s="29">
        <v>5</v>
      </c>
      <c r="E22746" s="29">
        <v>1</v>
      </c>
      <c r="F22746" s="29">
        <v>24</v>
      </c>
      <c r="G22746" s="29">
        <v>17</v>
      </c>
    </row>
    <row r="22747" spans="1:7" x14ac:dyDescent="0.35">
      <c r="A22747" s="27" t="s">
        <v>228</v>
      </c>
      <c r="B22747" s="27" t="s">
        <v>260</v>
      </c>
      <c r="C22747" s="29">
        <v>3.91</v>
      </c>
      <c r="D22747" s="29">
        <v>5</v>
      </c>
      <c r="E22747" s="29">
        <v>2</v>
      </c>
      <c r="F22747" s="29">
        <v>7</v>
      </c>
      <c r="G22747" s="29">
        <v>10</v>
      </c>
    </row>
    <row r="22748" spans="1:7" x14ac:dyDescent="0.35">
      <c r="A22748" s="27" t="s">
        <v>228</v>
      </c>
      <c r="B22748" s="27" t="s">
        <v>262</v>
      </c>
      <c r="C22748" s="29">
        <v>12.03</v>
      </c>
      <c r="D22748" s="29">
        <v>2</v>
      </c>
      <c r="E22748" s="29">
        <v>2</v>
      </c>
      <c r="F22748" s="29">
        <v>35</v>
      </c>
      <c r="G22748" s="29">
        <v>4</v>
      </c>
    </row>
    <row r="22749" spans="1:7" x14ac:dyDescent="0.35">
      <c r="A22749" s="27" t="s">
        <v>229</v>
      </c>
      <c r="B22749" s="27" t="s">
        <v>261</v>
      </c>
      <c r="C22749" s="29">
        <v>3.29</v>
      </c>
      <c r="D22749" s="29">
        <v>4</v>
      </c>
      <c r="E22749" s="29">
        <v>1</v>
      </c>
      <c r="F22749" s="29">
        <v>4</v>
      </c>
      <c r="G22749" s="29">
        <v>5</v>
      </c>
    </row>
    <row r="22750" spans="1:7" x14ac:dyDescent="0.35">
      <c r="A22750" s="27" t="s">
        <v>229</v>
      </c>
      <c r="B22750" s="27" t="s">
        <v>260</v>
      </c>
      <c r="C22750" s="29">
        <v>3.17</v>
      </c>
      <c r="D22750" s="29">
        <v>2</v>
      </c>
      <c r="E22750" s="29">
        <v>1</v>
      </c>
      <c r="F22750" s="29">
        <v>9</v>
      </c>
      <c r="G22750" s="29">
        <v>5</v>
      </c>
    </row>
    <row r="22751" spans="1:7" x14ac:dyDescent="0.35">
      <c r="A22751" s="27" t="s">
        <v>229</v>
      </c>
      <c r="B22751" s="27" t="s">
        <v>262</v>
      </c>
      <c r="C22751" s="29">
        <v>2.96</v>
      </c>
      <c r="D22751" s="29">
        <v>4</v>
      </c>
      <c r="E22751" s="29">
        <v>1</v>
      </c>
      <c r="F22751" s="29">
        <v>5</v>
      </c>
      <c r="G22751" s="29">
        <v>6</v>
      </c>
    </row>
    <row r="22752" spans="1:7" x14ac:dyDescent="0.35">
      <c r="A22752" s="27" t="s">
        <v>230</v>
      </c>
      <c r="B22752" s="27" t="s">
        <v>261</v>
      </c>
      <c r="C22752" s="29">
        <v>2.2200000000000002</v>
      </c>
      <c r="D22752" s="29">
        <v>8</v>
      </c>
      <c r="E22752" s="29">
        <v>2</v>
      </c>
      <c r="F22752" s="29">
        <v>8</v>
      </c>
      <c r="G22752" s="29">
        <v>4</v>
      </c>
    </row>
    <row r="22753" spans="1:7" x14ac:dyDescent="0.35">
      <c r="A22753" s="27" t="s">
        <v>230</v>
      </c>
      <c r="B22753" s="27" t="s">
        <v>260</v>
      </c>
      <c r="C22753" s="29">
        <v>2.2400000000000002</v>
      </c>
      <c r="D22753" s="29">
        <v>2</v>
      </c>
      <c r="E22753" s="29">
        <v>1</v>
      </c>
      <c r="F22753" s="29">
        <v>5</v>
      </c>
      <c r="G22753" s="29">
        <v>4</v>
      </c>
    </row>
    <row r="22754" spans="1:7" x14ac:dyDescent="0.35">
      <c r="A22754" s="27" t="s">
        <v>231</v>
      </c>
      <c r="B22754" s="27" t="s">
        <v>261</v>
      </c>
      <c r="C22754" s="29">
        <v>5</v>
      </c>
      <c r="D22754" s="29">
        <v>2</v>
      </c>
      <c r="E22754" s="29">
        <v>2</v>
      </c>
      <c r="F22754" s="29">
        <v>15</v>
      </c>
      <c r="G22754" s="29">
        <v>8</v>
      </c>
    </row>
    <row r="22755" spans="1:7" x14ac:dyDescent="0.35">
      <c r="A22755" s="27" t="s">
        <v>231</v>
      </c>
      <c r="B22755" s="27" t="s">
        <v>260</v>
      </c>
      <c r="C22755" s="29">
        <v>2.5</v>
      </c>
      <c r="D22755" s="29">
        <v>2</v>
      </c>
      <c r="E22755" s="29">
        <v>2</v>
      </c>
      <c r="F22755" s="29">
        <v>3</v>
      </c>
      <c r="G22755" s="29">
        <v>4</v>
      </c>
    </row>
    <row r="22756" spans="1:7" x14ac:dyDescent="0.35">
      <c r="A22756" s="27" t="s">
        <v>231</v>
      </c>
      <c r="B22756" s="27" t="s">
        <v>262</v>
      </c>
      <c r="C22756" s="29">
        <v>4.67</v>
      </c>
      <c r="D22756" s="29">
        <v>10</v>
      </c>
      <c r="E22756" s="29">
        <v>1</v>
      </c>
      <c r="F22756" s="29">
        <v>10</v>
      </c>
      <c r="G22756" s="29">
        <v>3</v>
      </c>
    </row>
    <row r="22757" spans="1:7" x14ac:dyDescent="0.35">
      <c r="A22757" t="s">
        <v>232</v>
      </c>
      <c r="B22757" t="s">
        <v>232</v>
      </c>
      <c r="C22757">
        <v>4.47</v>
      </c>
      <c r="D22757">
        <v>3</v>
      </c>
      <c r="E22757">
        <v>1</v>
      </c>
      <c r="F22757">
        <v>35</v>
      </c>
      <c r="G22757">
        <v>78</v>
      </c>
    </row>
    <row r="22759" spans="1:7" x14ac:dyDescent="0.35">
      <c r="A22759" s="1" t="s">
        <v>2175</v>
      </c>
    </row>
    <row r="22760" spans="1:7" x14ac:dyDescent="0.35">
      <c r="A22760" t="s">
        <v>219</v>
      </c>
      <c r="B22760" t="s">
        <v>305</v>
      </c>
      <c r="C22760" t="s">
        <v>534</v>
      </c>
      <c r="D22760" t="s">
        <v>535</v>
      </c>
      <c r="E22760" t="s">
        <v>536</v>
      </c>
      <c r="F22760" t="s">
        <v>537</v>
      </c>
      <c r="G22760" t="s">
        <v>226</v>
      </c>
    </row>
    <row r="22761" spans="1:7" x14ac:dyDescent="0.35">
      <c r="A22761" s="27" t="s">
        <v>227</v>
      </c>
      <c r="B22761" s="27" t="s">
        <v>368</v>
      </c>
      <c r="C22761" s="29">
        <v>6</v>
      </c>
      <c r="D22761" s="29">
        <v>3</v>
      </c>
      <c r="E22761" s="29">
        <v>2</v>
      </c>
      <c r="F22761" s="29">
        <v>15</v>
      </c>
      <c r="G22761" s="29">
        <v>4</v>
      </c>
    </row>
    <row r="22762" spans="1:7" x14ac:dyDescent="0.35">
      <c r="A22762" s="27" t="s">
        <v>227</v>
      </c>
      <c r="B22762" s="27" t="s">
        <v>369</v>
      </c>
      <c r="C22762" s="29">
        <v>3</v>
      </c>
      <c r="D22762" s="29">
        <v>4</v>
      </c>
      <c r="E22762" s="29">
        <v>2</v>
      </c>
      <c r="F22762" s="29">
        <v>4</v>
      </c>
      <c r="G22762" s="29">
        <v>3</v>
      </c>
    </row>
    <row r="22763" spans="1:7" x14ac:dyDescent="0.35">
      <c r="A22763" s="27" t="s">
        <v>228</v>
      </c>
      <c r="B22763" s="27" t="s">
        <v>368</v>
      </c>
      <c r="C22763" s="29">
        <v>6.65</v>
      </c>
      <c r="D22763" s="29">
        <v>5</v>
      </c>
      <c r="E22763" s="29">
        <v>1</v>
      </c>
      <c r="F22763" s="29">
        <v>24</v>
      </c>
      <c r="G22763" s="29">
        <v>17</v>
      </c>
    </row>
    <row r="22764" spans="1:7" x14ac:dyDescent="0.35">
      <c r="A22764" s="27" t="s">
        <v>228</v>
      </c>
      <c r="B22764" s="27" t="s">
        <v>369</v>
      </c>
      <c r="C22764" s="29">
        <v>6.01</v>
      </c>
      <c r="D22764" s="29">
        <v>5</v>
      </c>
      <c r="E22764" s="29">
        <v>2</v>
      </c>
      <c r="F22764" s="29">
        <v>35</v>
      </c>
      <c r="G22764" s="29">
        <v>15</v>
      </c>
    </row>
    <row r="22765" spans="1:7" x14ac:dyDescent="0.35">
      <c r="A22765" s="27" t="s">
        <v>229</v>
      </c>
      <c r="B22765" s="27" t="s">
        <v>368</v>
      </c>
      <c r="C22765" s="29">
        <v>3.29</v>
      </c>
      <c r="D22765" s="29">
        <v>4</v>
      </c>
      <c r="E22765" s="29">
        <v>1</v>
      </c>
      <c r="F22765" s="29">
        <v>4</v>
      </c>
      <c r="G22765" s="29">
        <v>5</v>
      </c>
    </row>
    <row r="22766" spans="1:7" x14ac:dyDescent="0.35">
      <c r="A22766" s="27" t="s">
        <v>229</v>
      </c>
      <c r="B22766" s="27" t="s">
        <v>369</v>
      </c>
      <c r="C22766" s="29">
        <v>3.03</v>
      </c>
      <c r="D22766" s="29">
        <v>2</v>
      </c>
      <c r="E22766" s="29">
        <v>1</v>
      </c>
      <c r="F22766" s="29">
        <v>9</v>
      </c>
      <c r="G22766" s="29">
        <v>11</v>
      </c>
    </row>
    <row r="22767" spans="1:7" x14ac:dyDescent="0.35">
      <c r="A22767" s="27" t="s">
        <v>230</v>
      </c>
      <c r="B22767" s="27" t="s">
        <v>368</v>
      </c>
      <c r="C22767" s="29">
        <v>2.2200000000000002</v>
      </c>
      <c r="D22767" s="29">
        <v>8</v>
      </c>
      <c r="E22767" s="29">
        <v>2</v>
      </c>
      <c r="F22767" s="29">
        <v>8</v>
      </c>
      <c r="G22767" s="29">
        <v>4</v>
      </c>
    </row>
    <row r="22768" spans="1:7" x14ac:dyDescent="0.35">
      <c r="A22768" s="27" t="s">
        <v>230</v>
      </c>
      <c r="B22768" s="27" t="s">
        <v>369</v>
      </c>
      <c r="C22768" s="29">
        <v>2.2400000000000002</v>
      </c>
      <c r="D22768" s="29">
        <v>2</v>
      </c>
      <c r="E22768" s="29">
        <v>1</v>
      </c>
      <c r="F22768" s="29">
        <v>5</v>
      </c>
      <c r="G22768" s="29">
        <v>4</v>
      </c>
    </row>
    <row r="22769" spans="1:7" x14ac:dyDescent="0.35">
      <c r="A22769" s="27" t="s">
        <v>231</v>
      </c>
      <c r="B22769" s="27" t="s">
        <v>368</v>
      </c>
      <c r="C22769" s="29">
        <v>5</v>
      </c>
      <c r="D22769" s="29">
        <v>2</v>
      </c>
      <c r="E22769" s="29">
        <v>2</v>
      </c>
      <c r="F22769" s="29">
        <v>15</v>
      </c>
      <c r="G22769" s="29">
        <v>8</v>
      </c>
    </row>
    <row r="22770" spans="1:7" x14ac:dyDescent="0.35">
      <c r="A22770" s="27" t="s">
        <v>231</v>
      </c>
      <c r="B22770" s="27" t="s">
        <v>369</v>
      </c>
      <c r="C22770" s="29">
        <v>3.43</v>
      </c>
      <c r="D22770" s="29">
        <v>3</v>
      </c>
      <c r="E22770" s="29">
        <v>1</v>
      </c>
      <c r="F22770" s="29">
        <v>10</v>
      </c>
      <c r="G22770" s="29">
        <v>7</v>
      </c>
    </row>
    <row r="22771" spans="1:7" x14ac:dyDescent="0.35">
      <c r="A22771" t="s">
        <v>232</v>
      </c>
      <c r="B22771" t="s">
        <v>232</v>
      </c>
      <c r="C22771">
        <v>4.47</v>
      </c>
      <c r="D22771">
        <v>3</v>
      </c>
      <c r="E22771">
        <v>1</v>
      </c>
      <c r="F22771">
        <v>35</v>
      </c>
      <c r="G22771">
        <v>78</v>
      </c>
    </row>
    <row r="22773" spans="1:7" x14ac:dyDescent="0.35">
      <c r="A22773" s="1" t="s">
        <v>2176</v>
      </c>
    </row>
    <row r="22774" spans="1:7" x14ac:dyDescent="0.35">
      <c r="A22774" t="s">
        <v>219</v>
      </c>
      <c r="B22774" t="s">
        <v>305</v>
      </c>
      <c r="C22774" t="s">
        <v>534</v>
      </c>
      <c r="D22774" t="s">
        <v>535</v>
      </c>
      <c r="E22774" t="s">
        <v>536</v>
      </c>
      <c r="F22774" t="s">
        <v>537</v>
      </c>
      <c r="G22774" t="s">
        <v>226</v>
      </c>
    </row>
    <row r="22775" spans="1:7" x14ac:dyDescent="0.35">
      <c r="A22775" s="27" t="s">
        <v>227</v>
      </c>
      <c r="B22775" s="27" t="s">
        <v>371</v>
      </c>
      <c r="C22775" s="29">
        <v>4.71</v>
      </c>
      <c r="D22775" s="29">
        <v>4</v>
      </c>
      <c r="E22775" s="29">
        <v>2</v>
      </c>
      <c r="F22775" s="29">
        <v>15</v>
      </c>
      <c r="G22775" s="29">
        <v>7</v>
      </c>
    </row>
    <row r="22776" spans="1:7" x14ac:dyDescent="0.35">
      <c r="A22776" s="27" t="s">
        <v>228</v>
      </c>
      <c r="B22776" s="27" t="s">
        <v>371</v>
      </c>
      <c r="C22776" s="29">
        <v>6.44</v>
      </c>
      <c r="D22776" s="29">
        <v>7</v>
      </c>
      <c r="E22776" s="29">
        <v>1</v>
      </c>
      <c r="F22776" s="29">
        <v>14</v>
      </c>
      <c r="G22776" s="29">
        <v>12</v>
      </c>
    </row>
    <row r="22777" spans="1:7" x14ac:dyDescent="0.35">
      <c r="A22777" s="27" t="s">
        <v>228</v>
      </c>
      <c r="B22777" s="27" t="s">
        <v>372</v>
      </c>
      <c r="C22777" s="29">
        <v>10.86</v>
      </c>
      <c r="D22777" s="29">
        <v>24</v>
      </c>
      <c r="E22777" s="29">
        <v>2</v>
      </c>
      <c r="F22777" s="29">
        <v>24</v>
      </c>
      <c r="G22777" s="29">
        <v>7</v>
      </c>
    </row>
    <row r="22778" spans="1:7" x14ac:dyDescent="0.35">
      <c r="A22778" s="27" t="s">
        <v>228</v>
      </c>
      <c r="B22778" s="27" t="s">
        <v>373</v>
      </c>
      <c r="C22778" s="29">
        <v>5.33</v>
      </c>
      <c r="D22778" s="29">
        <v>3</v>
      </c>
      <c r="E22778" s="29">
        <v>1</v>
      </c>
      <c r="F22778" s="29">
        <v>35</v>
      </c>
      <c r="G22778" s="29">
        <v>13</v>
      </c>
    </row>
    <row r="22779" spans="1:7" x14ac:dyDescent="0.35">
      <c r="A22779" s="27" t="s">
        <v>229</v>
      </c>
      <c r="B22779" s="27" t="s">
        <v>371</v>
      </c>
      <c r="C22779" s="29">
        <v>3.24</v>
      </c>
      <c r="D22779" s="29">
        <v>4</v>
      </c>
      <c r="E22779" s="29">
        <v>1</v>
      </c>
      <c r="F22779" s="29">
        <v>9</v>
      </c>
      <c r="G22779" s="29">
        <v>9</v>
      </c>
    </row>
    <row r="22780" spans="1:7" x14ac:dyDescent="0.35">
      <c r="A22780" s="27" t="s">
        <v>229</v>
      </c>
      <c r="B22780" s="27" t="s">
        <v>372</v>
      </c>
      <c r="C22780" s="29">
        <v>2</v>
      </c>
      <c r="D22780" s="29">
        <v>2</v>
      </c>
      <c r="E22780" s="29">
        <v>1</v>
      </c>
      <c r="F22780" s="29">
        <v>3</v>
      </c>
      <c r="G22780" s="29">
        <v>5</v>
      </c>
    </row>
    <row r="22781" spans="1:7" x14ac:dyDescent="0.35">
      <c r="A22781" s="27" t="s">
        <v>229</v>
      </c>
      <c r="B22781" s="27" t="s">
        <v>373</v>
      </c>
      <c r="C22781" s="29">
        <v>3</v>
      </c>
      <c r="D22781" s="29">
        <v>2</v>
      </c>
      <c r="E22781" s="29">
        <v>2</v>
      </c>
      <c r="F22781" s="29">
        <v>4</v>
      </c>
      <c r="G22781" s="29">
        <v>2</v>
      </c>
    </row>
    <row r="22782" spans="1:7" x14ac:dyDescent="0.35">
      <c r="A22782" s="27" t="s">
        <v>230</v>
      </c>
      <c r="B22782" s="27" t="s">
        <v>371</v>
      </c>
      <c r="C22782" s="29">
        <v>2</v>
      </c>
      <c r="D22782" s="29">
        <v>2</v>
      </c>
      <c r="E22782" s="29">
        <v>2</v>
      </c>
      <c r="F22782" s="29">
        <v>2</v>
      </c>
      <c r="G22782" s="29">
        <v>4</v>
      </c>
    </row>
    <row r="22783" spans="1:7" x14ac:dyDescent="0.35">
      <c r="A22783" s="27" t="s">
        <v>230</v>
      </c>
      <c r="B22783" s="27" t="s">
        <v>372</v>
      </c>
      <c r="C22783" s="29">
        <v>5</v>
      </c>
      <c r="D22783" s="29">
        <v>2</v>
      </c>
      <c r="E22783" s="29">
        <v>2</v>
      </c>
      <c r="F22783" s="29">
        <v>8</v>
      </c>
      <c r="G22783" s="29">
        <v>2</v>
      </c>
    </row>
    <row r="22784" spans="1:7" x14ac:dyDescent="0.35">
      <c r="A22784" s="27" t="s">
        <v>230</v>
      </c>
      <c r="B22784" s="27" t="s">
        <v>373</v>
      </c>
      <c r="C22784" s="29">
        <v>3</v>
      </c>
      <c r="D22784" s="29">
        <v>1</v>
      </c>
      <c r="E22784" s="29">
        <v>1</v>
      </c>
      <c r="F22784" s="29">
        <v>5</v>
      </c>
      <c r="G22784" s="29">
        <v>2</v>
      </c>
    </row>
    <row r="22785" spans="1:7" x14ac:dyDescent="0.35">
      <c r="A22785" s="27" t="s">
        <v>231</v>
      </c>
      <c r="B22785" s="27" t="s">
        <v>371</v>
      </c>
      <c r="C22785" s="29">
        <v>4.2699999999999996</v>
      </c>
      <c r="D22785" s="29">
        <v>3</v>
      </c>
      <c r="E22785" s="29">
        <v>1</v>
      </c>
      <c r="F22785" s="29">
        <v>15</v>
      </c>
      <c r="G22785" s="29">
        <v>15</v>
      </c>
    </row>
    <row r="22786" spans="1:7" x14ac:dyDescent="0.35">
      <c r="A22786" t="s">
        <v>232</v>
      </c>
      <c r="B22786" t="s">
        <v>232</v>
      </c>
      <c r="C22786">
        <v>4.47</v>
      </c>
      <c r="D22786">
        <v>3</v>
      </c>
      <c r="E22786">
        <v>1</v>
      </c>
      <c r="F22786">
        <v>35</v>
      </c>
      <c r="G22786">
        <v>78</v>
      </c>
    </row>
    <row r="22788" spans="1:7" x14ac:dyDescent="0.35">
      <c r="A22788" s="1" t="s">
        <v>2177</v>
      </c>
    </row>
    <row r="22789" spans="1:7" x14ac:dyDescent="0.35">
      <c r="A22789" t="s">
        <v>219</v>
      </c>
      <c r="B22789" t="s">
        <v>305</v>
      </c>
      <c r="C22789" t="s">
        <v>534</v>
      </c>
      <c r="D22789" t="s">
        <v>535</v>
      </c>
      <c r="E22789" t="s">
        <v>536</v>
      </c>
      <c r="F22789" t="s">
        <v>537</v>
      </c>
      <c r="G22789" t="s">
        <v>226</v>
      </c>
    </row>
    <row r="22790" spans="1:7" x14ac:dyDescent="0.35">
      <c r="A22790" s="27" t="s">
        <v>227</v>
      </c>
      <c r="B22790" s="27" t="s">
        <v>255</v>
      </c>
      <c r="C22790" s="29">
        <v>3.25</v>
      </c>
      <c r="D22790" s="29">
        <v>3</v>
      </c>
      <c r="E22790" s="29">
        <v>2</v>
      </c>
      <c r="F22790" s="29">
        <v>4</v>
      </c>
      <c r="G22790" s="29">
        <v>4</v>
      </c>
    </row>
    <row r="22791" spans="1:7" x14ac:dyDescent="0.35">
      <c r="A22791" s="27" t="s">
        <v>227</v>
      </c>
      <c r="B22791" s="27" t="s">
        <v>256</v>
      </c>
      <c r="C22791" s="29">
        <v>2.5</v>
      </c>
      <c r="D22791" s="29">
        <v>2</v>
      </c>
      <c r="E22791" s="29">
        <v>2</v>
      </c>
      <c r="F22791" s="29">
        <v>3</v>
      </c>
      <c r="G22791" s="29">
        <v>2</v>
      </c>
    </row>
    <row r="22792" spans="1:7" x14ac:dyDescent="0.35">
      <c r="A22792" s="27" t="s">
        <v>227</v>
      </c>
      <c r="B22792" s="27" t="s">
        <v>257</v>
      </c>
      <c r="C22792" s="29">
        <v>15</v>
      </c>
      <c r="D22792" s="29">
        <v>15</v>
      </c>
      <c r="E22792" s="29">
        <v>15</v>
      </c>
      <c r="F22792" s="29">
        <v>15</v>
      </c>
      <c r="G22792" s="29">
        <v>1</v>
      </c>
    </row>
    <row r="22793" spans="1:7" x14ac:dyDescent="0.35">
      <c r="A22793" s="27" t="s">
        <v>228</v>
      </c>
      <c r="B22793" s="27" t="s">
        <v>255</v>
      </c>
      <c r="C22793" s="29">
        <v>5.9</v>
      </c>
      <c r="D22793" s="29">
        <v>5</v>
      </c>
      <c r="E22793" s="29">
        <v>1</v>
      </c>
      <c r="F22793" s="29">
        <v>24</v>
      </c>
      <c r="G22793" s="29">
        <v>27</v>
      </c>
    </row>
    <row r="22794" spans="1:7" x14ac:dyDescent="0.35">
      <c r="A22794" s="27" t="s">
        <v>228</v>
      </c>
      <c r="B22794" s="27" t="s">
        <v>256</v>
      </c>
      <c r="C22794" s="29">
        <v>4.29</v>
      </c>
      <c r="D22794" s="29">
        <v>5</v>
      </c>
      <c r="E22794" s="29">
        <v>3</v>
      </c>
      <c r="F22794" s="29">
        <v>7</v>
      </c>
      <c r="G22794" s="29">
        <v>3</v>
      </c>
    </row>
    <row r="22795" spans="1:7" x14ac:dyDescent="0.35">
      <c r="A22795" s="27" t="s">
        <v>228</v>
      </c>
      <c r="B22795" s="27" t="s">
        <v>257</v>
      </c>
      <c r="C22795" s="29">
        <v>21.9</v>
      </c>
      <c r="D22795" s="29">
        <v>35</v>
      </c>
      <c r="E22795" s="29">
        <v>2</v>
      </c>
      <c r="F22795" s="29">
        <v>35</v>
      </c>
      <c r="G22795" s="29">
        <v>2</v>
      </c>
    </row>
    <row r="22796" spans="1:7" x14ac:dyDescent="0.35">
      <c r="A22796" s="27" t="s">
        <v>229</v>
      </c>
      <c r="B22796" s="27" t="s">
        <v>255</v>
      </c>
      <c r="C22796" s="29">
        <v>3.67</v>
      </c>
      <c r="D22796" s="29">
        <v>5</v>
      </c>
      <c r="E22796" s="29">
        <v>1</v>
      </c>
      <c r="F22796" s="29">
        <v>9</v>
      </c>
      <c r="G22796" s="29">
        <v>11</v>
      </c>
    </row>
    <row r="22797" spans="1:7" x14ac:dyDescent="0.35">
      <c r="A22797" s="27" t="s">
        <v>229</v>
      </c>
      <c r="B22797" s="27" t="s">
        <v>256</v>
      </c>
      <c r="C22797" s="29">
        <v>1.36</v>
      </c>
      <c r="D22797" s="29">
        <v>2</v>
      </c>
      <c r="E22797" s="29">
        <v>1</v>
      </c>
      <c r="F22797" s="29">
        <v>4</v>
      </c>
      <c r="G22797" s="29">
        <v>3</v>
      </c>
    </row>
    <row r="22798" spans="1:7" x14ac:dyDescent="0.35">
      <c r="A22798" s="27" t="s">
        <v>229</v>
      </c>
      <c r="B22798" s="27" t="s">
        <v>257</v>
      </c>
      <c r="C22798" s="29">
        <v>3</v>
      </c>
      <c r="D22798" s="29">
        <v>3</v>
      </c>
      <c r="E22798" s="29">
        <v>3</v>
      </c>
      <c r="F22798" s="29">
        <v>3</v>
      </c>
      <c r="G22798" s="29">
        <v>2</v>
      </c>
    </row>
    <row r="22799" spans="1:7" x14ac:dyDescent="0.35">
      <c r="A22799" s="27" t="s">
        <v>230</v>
      </c>
      <c r="B22799" s="27" t="s">
        <v>255</v>
      </c>
      <c r="C22799" s="29">
        <v>2.31</v>
      </c>
      <c r="D22799" s="29">
        <v>2</v>
      </c>
      <c r="E22799" s="29">
        <v>2</v>
      </c>
      <c r="F22799" s="29">
        <v>8</v>
      </c>
      <c r="G22799" s="29">
        <v>7</v>
      </c>
    </row>
    <row r="22800" spans="1:7" x14ac:dyDescent="0.35">
      <c r="A22800" s="27" t="s">
        <v>230</v>
      </c>
      <c r="B22800" s="27" t="s">
        <v>256</v>
      </c>
      <c r="C22800" s="29">
        <v>1</v>
      </c>
      <c r="D22800" s="29">
        <v>1</v>
      </c>
      <c r="E22800" s="29">
        <v>1</v>
      </c>
      <c r="F22800" s="29">
        <v>1</v>
      </c>
      <c r="G22800" s="29">
        <v>1</v>
      </c>
    </row>
    <row r="22801" spans="1:13" x14ac:dyDescent="0.35">
      <c r="A22801" s="27" t="s">
        <v>231</v>
      </c>
      <c r="B22801" s="27" t="s">
        <v>255</v>
      </c>
      <c r="C22801" s="29">
        <v>4.1399999999999997</v>
      </c>
      <c r="D22801" s="29">
        <v>2</v>
      </c>
      <c r="E22801" s="29">
        <v>1</v>
      </c>
      <c r="F22801" s="29">
        <v>15</v>
      </c>
      <c r="G22801" s="29">
        <v>14</v>
      </c>
    </row>
    <row r="22802" spans="1:13" x14ac:dyDescent="0.35">
      <c r="A22802" s="27" t="s">
        <v>231</v>
      </c>
      <c r="B22802" s="27" t="s">
        <v>257</v>
      </c>
      <c r="C22802" s="29">
        <v>6</v>
      </c>
      <c r="D22802" s="29">
        <v>6</v>
      </c>
      <c r="E22802" s="29">
        <v>6</v>
      </c>
      <c r="F22802" s="29">
        <v>6</v>
      </c>
      <c r="G22802" s="29">
        <v>1</v>
      </c>
    </row>
    <row r="22803" spans="1:13" x14ac:dyDescent="0.35">
      <c r="A22803" t="s">
        <v>232</v>
      </c>
      <c r="B22803" t="s">
        <v>232</v>
      </c>
      <c r="C22803">
        <v>4.47</v>
      </c>
      <c r="D22803">
        <v>3</v>
      </c>
      <c r="E22803">
        <v>1</v>
      </c>
      <c r="F22803">
        <v>35</v>
      </c>
      <c r="G22803">
        <v>78</v>
      </c>
    </row>
    <row r="22805" spans="1:13" x14ac:dyDescent="0.35">
      <c r="A22805" s="1" t="s">
        <v>2178</v>
      </c>
    </row>
    <row r="22806" spans="1:13" x14ac:dyDescent="0.35">
      <c r="A22806" t="s">
        <v>219</v>
      </c>
      <c r="B22806" t="s">
        <v>2179</v>
      </c>
      <c r="C22806" t="s">
        <v>2180</v>
      </c>
      <c r="D22806" t="s">
        <v>2181</v>
      </c>
      <c r="E22806" t="s">
        <v>2182</v>
      </c>
      <c r="F22806" t="s">
        <v>2183</v>
      </c>
      <c r="G22806" t="s">
        <v>2184</v>
      </c>
      <c r="H22806" t="s">
        <v>2185</v>
      </c>
      <c r="I22806" t="s">
        <v>2186</v>
      </c>
      <c r="J22806" t="s">
        <v>281</v>
      </c>
      <c r="K22806" t="s">
        <v>286</v>
      </c>
      <c r="L22806" t="s">
        <v>226</v>
      </c>
    </row>
    <row r="22807" spans="1:13" x14ac:dyDescent="0.35">
      <c r="A22807" t="s">
        <v>227</v>
      </c>
      <c r="B22807" s="26">
        <v>0.75639999999999996</v>
      </c>
      <c r="C22807" s="26">
        <v>0.12820000000000001</v>
      </c>
      <c r="D22807" s="26">
        <v>7.6899999999999996E-2</v>
      </c>
      <c r="F22807" s="26">
        <v>1.2800000000000001E-2</v>
      </c>
      <c r="G22807" s="26">
        <v>1.2800000000000001E-2</v>
      </c>
      <c r="I22807" s="26">
        <v>1.2800000000000001E-2</v>
      </c>
      <c r="L22807">
        <v>78</v>
      </c>
    </row>
    <row r="22808" spans="1:13" x14ac:dyDescent="0.35">
      <c r="A22808" t="s">
        <v>228</v>
      </c>
      <c r="B22808" s="26">
        <v>0.72819999999999996</v>
      </c>
      <c r="C22808" s="26">
        <v>0.15390000000000001</v>
      </c>
      <c r="D22808" s="26">
        <v>7.5499999999999998E-2</v>
      </c>
      <c r="E22808" s="26">
        <v>9.1000000000000004E-3</v>
      </c>
      <c r="F22808" s="26">
        <v>2.5000000000000001E-3</v>
      </c>
      <c r="G22808" s="26">
        <v>1.4999999999999999E-2</v>
      </c>
      <c r="H22808" s="26">
        <v>8.8000000000000005E-3</v>
      </c>
      <c r="I22808" s="26">
        <v>3.0999999999999999E-3</v>
      </c>
      <c r="J22808" s="26">
        <v>2.8999999999999998E-3</v>
      </c>
      <c r="K22808" s="26">
        <v>8.9999999999999998E-4</v>
      </c>
      <c r="L22808">
        <v>371</v>
      </c>
    </row>
    <row r="22809" spans="1:13" x14ac:dyDescent="0.35">
      <c r="A22809" t="s">
        <v>229</v>
      </c>
      <c r="B22809" s="26">
        <v>0.67169999999999996</v>
      </c>
      <c r="C22809" s="26">
        <v>0.1462</v>
      </c>
      <c r="D22809" s="26">
        <v>8.8599999999999998E-2</v>
      </c>
      <c r="E22809" s="26">
        <v>3.5900000000000001E-2</v>
      </c>
      <c r="F22809" s="26">
        <v>1.8100000000000002E-2</v>
      </c>
      <c r="G22809" s="26">
        <v>1.3899999999999999E-2</v>
      </c>
      <c r="H22809" s="26">
        <v>8.0999999999999996E-3</v>
      </c>
      <c r="I22809" s="26">
        <v>4.8999999999999998E-3</v>
      </c>
      <c r="J22809" s="26">
        <v>1.15E-2</v>
      </c>
      <c r="K22809" s="26">
        <v>1.1999999999999999E-3</v>
      </c>
      <c r="L22809">
        <v>344</v>
      </c>
    </row>
    <row r="22810" spans="1:13" x14ac:dyDescent="0.35">
      <c r="A22810" t="s">
        <v>230</v>
      </c>
      <c r="B22810" s="26">
        <v>0.6825</v>
      </c>
      <c r="C22810" s="26">
        <v>0.16289999999999999</v>
      </c>
      <c r="D22810" s="26">
        <v>9.4399999999999998E-2</v>
      </c>
      <c r="E22810" s="26">
        <v>2.1499999999999998E-2</v>
      </c>
      <c r="F22810" s="26">
        <v>1.6199999999999999E-2</v>
      </c>
      <c r="G22810" s="26">
        <v>6.9999999999999999E-4</v>
      </c>
      <c r="H22810" s="26">
        <v>1.89E-2</v>
      </c>
      <c r="J22810" s="26">
        <v>3.0000000000000001E-3</v>
      </c>
      <c r="L22810">
        <v>236</v>
      </c>
    </row>
    <row r="22811" spans="1:13" x14ac:dyDescent="0.35">
      <c r="A22811" t="s">
        <v>231</v>
      </c>
      <c r="B22811" s="26">
        <v>0.625</v>
      </c>
      <c r="C22811" s="26">
        <v>0.25</v>
      </c>
      <c r="D22811" s="26">
        <v>4.6899999999999997E-2</v>
      </c>
      <c r="E22811" s="26">
        <v>7.8100000000000003E-2</v>
      </c>
      <c r="L22811">
        <v>64</v>
      </c>
    </row>
    <row r="22812" spans="1:13" x14ac:dyDescent="0.35">
      <c r="A22812" t="s">
        <v>232</v>
      </c>
      <c r="B22812" s="26">
        <v>0.68469999999999998</v>
      </c>
      <c r="C22812" s="26">
        <v>0.17730000000000001</v>
      </c>
      <c r="D22812" s="26">
        <v>7.1999999999999995E-2</v>
      </c>
      <c r="E22812" s="26">
        <v>3.5799999999999998E-2</v>
      </c>
      <c r="F22812" s="26">
        <v>8.8999999999999999E-3</v>
      </c>
      <c r="G22812" s="26">
        <v>8.0999999999999996E-3</v>
      </c>
      <c r="H22812" s="26">
        <v>5.1999999999999998E-3</v>
      </c>
      <c r="I22812" s="26">
        <v>4.3E-3</v>
      </c>
      <c r="J22812" s="26">
        <v>3.3999999999999998E-3</v>
      </c>
      <c r="K22812" s="26">
        <v>4.0000000000000002E-4</v>
      </c>
      <c r="L22812">
        <v>1093</v>
      </c>
    </row>
    <row r="22814" spans="1:13" x14ac:dyDescent="0.35">
      <c r="A22814" s="1" t="s">
        <v>2187</v>
      </c>
    </row>
    <row r="22815" spans="1:13" x14ac:dyDescent="0.35">
      <c r="A22815" t="s">
        <v>219</v>
      </c>
      <c r="B22815" t="s">
        <v>305</v>
      </c>
      <c r="C22815" t="s">
        <v>2179</v>
      </c>
      <c r="D22815" t="s">
        <v>2180</v>
      </c>
      <c r="E22815" t="s">
        <v>2181</v>
      </c>
      <c r="F22815" t="s">
        <v>2182</v>
      </c>
      <c r="G22815" t="s">
        <v>2183</v>
      </c>
      <c r="H22815" t="s">
        <v>2184</v>
      </c>
      <c r="I22815" t="s">
        <v>2185</v>
      </c>
      <c r="J22815" t="s">
        <v>2186</v>
      </c>
      <c r="K22815" t="s">
        <v>281</v>
      </c>
      <c r="L22815" t="s">
        <v>286</v>
      </c>
      <c r="M22815" t="s">
        <v>226</v>
      </c>
    </row>
    <row r="22816" spans="1:13" x14ac:dyDescent="0.35">
      <c r="A22816" t="s">
        <v>227</v>
      </c>
      <c r="B22816" t="s">
        <v>242</v>
      </c>
      <c r="C22816" s="26">
        <v>0.71789999999999998</v>
      </c>
      <c r="D22816" s="26">
        <v>0.15379999999999999</v>
      </c>
      <c r="E22816" s="26">
        <v>0.12820000000000001</v>
      </c>
      <c r="M22816">
        <v>39</v>
      </c>
    </row>
    <row r="22817" spans="1:13" x14ac:dyDescent="0.35">
      <c r="A22817" t="s">
        <v>227</v>
      </c>
      <c r="B22817" t="s">
        <v>241</v>
      </c>
      <c r="C22817" s="26">
        <v>0.79490000000000005</v>
      </c>
      <c r="D22817" s="26">
        <v>0.1026</v>
      </c>
      <c r="E22817" s="26">
        <v>2.5600000000000001E-2</v>
      </c>
      <c r="G22817" s="26">
        <v>2.5600000000000001E-2</v>
      </c>
      <c r="H22817" s="26">
        <v>2.5600000000000001E-2</v>
      </c>
      <c r="J22817" s="26">
        <v>2.5600000000000001E-2</v>
      </c>
      <c r="M22817">
        <v>39</v>
      </c>
    </row>
    <row r="22818" spans="1:13" x14ac:dyDescent="0.35">
      <c r="A22818" t="s">
        <v>228</v>
      </c>
      <c r="B22818" t="s">
        <v>242</v>
      </c>
      <c r="C22818" s="26">
        <v>0.74960000000000004</v>
      </c>
      <c r="D22818" s="26">
        <v>0.1135</v>
      </c>
      <c r="E22818" s="26">
        <v>0.1051</v>
      </c>
      <c r="F22818" s="26">
        <v>6.1999999999999998E-3</v>
      </c>
      <c r="G22818" s="26">
        <v>6.7000000000000002E-3</v>
      </c>
      <c r="H22818" s="26">
        <v>2.5000000000000001E-3</v>
      </c>
      <c r="I22818" s="26">
        <v>5.5999999999999999E-3</v>
      </c>
      <c r="J22818" s="26">
        <v>8.5000000000000006E-3</v>
      </c>
      <c r="L22818" s="26">
        <v>2.5000000000000001E-3</v>
      </c>
      <c r="M22818">
        <v>152</v>
      </c>
    </row>
    <row r="22819" spans="1:13" x14ac:dyDescent="0.35">
      <c r="A22819" t="s">
        <v>228</v>
      </c>
      <c r="B22819" t="s">
        <v>241</v>
      </c>
      <c r="C22819" s="26">
        <v>0.71560000000000001</v>
      </c>
      <c r="D22819" s="26">
        <v>0.1777</v>
      </c>
      <c r="E22819" s="26">
        <v>5.8099999999999999E-2</v>
      </c>
      <c r="F22819" s="26">
        <v>1.0800000000000001E-2</v>
      </c>
      <c r="H22819" s="26">
        <v>2.24E-2</v>
      </c>
      <c r="I22819" s="26">
        <v>1.0699999999999999E-2</v>
      </c>
      <c r="K22819" s="26">
        <v>4.5999999999999999E-3</v>
      </c>
      <c r="M22819">
        <v>219</v>
      </c>
    </row>
    <row r="22820" spans="1:13" x14ac:dyDescent="0.35">
      <c r="A22820" t="s">
        <v>229</v>
      </c>
      <c r="B22820" t="s">
        <v>242</v>
      </c>
      <c r="C22820" s="26">
        <v>0.67310000000000003</v>
      </c>
      <c r="D22820" s="26">
        <v>0.1552</v>
      </c>
      <c r="E22820" s="26">
        <v>0.10970000000000001</v>
      </c>
      <c r="F22820" s="26">
        <v>8.5000000000000006E-3</v>
      </c>
      <c r="G22820" s="26">
        <v>1.95E-2</v>
      </c>
      <c r="H22820" s="26">
        <v>1.95E-2</v>
      </c>
      <c r="I22820" s="26">
        <v>7.1999999999999998E-3</v>
      </c>
      <c r="J22820" s="26">
        <v>2.0999999999999999E-3</v>
      </c>
      <c r="K22820" s="26">
        <v>5.1999999999999998E-3</v>
      </c>
      <c r="M22820">
        <v>118</v>
      </c>
    </row>
    <row r="22821" spans="1:13" x14ac:dyDescent="0.35">
      <c r="A22821" t="s">
        <v>229</v>
      </c>
      <c r="B22821" t="s">
        <v>241</v>
      </c>
      <c r="C22821" s="26">
        <v>0.6704</v>
      </c>
      <c r="D22821" s="26">
        <v>0.1384</v>
      </c>
      <c r="E22821" s="26">
        <v>7.0400000000000004E-2</v>
      </c>
      <c r="F22821" s="26">
        <v>5.9700000000000003E-2</v>
      </c>
      <c r="G22821" s="26">
        <v>1.6899999999999998E-2</v>
      </c>
      <c r="H22821" s="26">
        <v>8.9999999999999993E-3</v>
      </c>
      <c r="I22821" s="26">
        <v>8.8999999999999999E-3</v>
      </c>
      <c r="J22821" s="26">
        <v>7.3000000000000001E-3</v>
      </c>
      <c r="K22821" s="26">
        <v>1.6899999999999998E-2</v>
      </c>
      <c r="L22821" s="26">
        <v>2.2000000000000001E-3</v>
      </c>
      <c r="M22821">
        <v>226</v>
      </c>
    </row>
    <row r="22822" spans="1:13" x14ac:dyDescent="0.35">
      <c r="A22822" t="s">
        <v>230</v>
      </c>
      <c r="B22822" t="s">
        <v>242</v>
      </c>
      <c r="C22822" s="26">
        <v>0.65259999999999996</v>
      </c>
      <c r="D22822" s="26">
        <v>0.12620000000000001</v>
      </c>
      <c r="E22822" s="26">
        <v>0.15579999999999999</v>
      </c>
      <c r="F22822" s="26">
        <v>1.24E-2</v>
      </c>
      <c r="G22822" s="26">
        <v>4.3099999999999999E-2</v>
      </c>
      <c r="I22822" s="26">
        <v>9.7999999999999997E-3</v>
      </c>
      <c r="M22822">
        <v>85</v>
      </c>
    </row>
    <row r="22823" spans="1:13" x14ac:dyDescent="0.35">
      <c r="A22823" t="s">
        <v>230</v>
      </c>
      <c r="B22823" t="s">
        <v>241</v>
      </c>
      <c r="C22823" s="26">
        <v>0.70040000000000002</v>
      </c>
      <c r="D22823" s="26">
        <v>0.18490000000000001</v>
      </c>
      <c r="E22823" s="26">
        <v>5.7500000000000002E-2</v>
      </c>
      <c r="F22823" s="26">
        <v>2.69E-2</v>
      </c>
      <c r="H22823" s="26">
        <v>1.1000000000000001E-3</v>
      </c>
      <c r="I22823" s="26">
        <v>2.4400000000000002E-2</v>
      </c>
      <c r="K22823" s="26">
        <v>4.8999999999999998E-3</v>
      </c>
      <c r="M22823">
        <v>151</v>
      </c>
    </row>
    <row r="22824" spans="1:13" x14ac:dyDescent="0.35">
      <c r="A22824" s="27" t="s">
        <v>231</v>
      </c>
      <c r="B22824" s="27" t="s">
        <v>242</v>
      </c>
      <c r="C22824" s="28">
        <v>0.6522</v>
      </c>
      <c r="D22824" s="28">
        <v>0.1739</v>
      </c>
      <c r="E22824" s="29"/>
      <c r="F22824" s="28">
        <v>0.1739</v>
      </c>
      <c r="G22824" s="29"/>
      <c r="H22824" s="29"/>
      <c r="I22824" s="29"/>
      <c r="J22824" s="29"/>
      <c r="K22824" s="29"/>
      <c r="L22824" s="29"/>
      <c r="M22824" s="29" t="s">
        <v>328</v>
      </c>
    </row>
    <row r="22825" spans="1:13" x14ac:dyDescent="0.35">
      <c r="A22825" t="s">
        <v>231</v>
      </c>
      <c r="B22825" t="s">
        <v>241</v>
      </c>
      <c r="C22825" s="26">
        <v>0.60980000000000001</v>
      </c>
      <c r="D22825" s="26">
        <v>0.29270000000000002</v>
      </c>
      <c r="E22825" s="26">
        <v>7.3200000000000001E-2</v>
      </c>
      <c r="F22825" s="26">
        <v>2.4400000000000002E-2</v>
      </c>
      <c r="M22825">
        <v>41</v>
      </c>
    </row>
    <row r="22826" spans="1:13" x14ac:dyDescent="0.35">
      <c r="A22826" t="s">
        <v>232</v>
      </c>
      <c r="B22826" t="s">
        <v>232</v>
      </c>
      <c r="C22826" s="26">
        <v>0.68469999999999998</v>
      </c>
      <c r="D22826" s="26">
        <v>0.17730000000000001</v>
      </c>
      <c r="E22826" s="26">
        <v>7.1999999999999995E-2</v>
      </c>
      <c r="F22826" s="26">
        <v>3.5799999999999998E-2</v>
      </c>
      <c r="G22826" s="26">
        <v>8.8999999999999999E-3</v>
      </c>
      <c r="H22826" s="26">
        <v>8.0999999999999996E-3</v>
      </c>
      <c r="I22826" s="26">
        <v>5.1999999999999998E-3</v>
      </c>
      <c r="J22826" s="26">
        <v>4.3E-3</v>
      </c>
      <c r="K22826" s="26">
        <v>3.3999999999999998E-3</v>
      </c>
      <c r="L22826" s="26">
        <v>4.0000000000000002E-4</v>
      </c>
      <c r="M22826">
        <v>1093</v>
      </c>
    </row>
    <row r="22828" spans="1:13" x14ac:dyDescent="0.35">
      <c r="A22828" s="1" t="s">
        <v>2188</v>
      </c>
    </row>
    <row r="22829" spans="1:13" x14ac:dyDescent="0.35">
      <c r="A22829" t="s">
        <v>219</v>
      </c>
      <c r="B22829" t="s">
        <v>305</v>
      </c>
      <c r="C22829" t="s">
        <v>2179</v>
      </c>
      <c r="D22829" t="s">
        <v>2180</v>
      </c>
      <c r="E22829" t="s">
        <v>2181</v>
      </c>
      <c r="F22829" t="s">
        <v>2182</v>
      </c>
      <c r="G22829" t="s">
        <v>2183</v>
      </c>
      <c r="H22829" t="s">
        <v>2184</v>
      </c>
      <c r="I22829" t="s">
        <v>2185</v>
      </c>
      <c r="J22829" t="s">
        <v>2186</v>
      </c>
      <c r="K22829" t="s">
        <v>281</v>
      </c>
      <c r="L22829" t="s">
        <v>286</v>
      </c>
      <c r="M22829" t="s">
        <v>226</v>
      </c>
    </row>
    <row r="22830" spans="1:13" x14ac:dyDescent="0.35">
      <c r="A22830" t="s">
        <v>227</v>
      </c>
      <c r="B22830" t="s">
        <v>239</v>
      </c>
      <c r="C22830" s="26">
        <v>0.77270000000000005</v>
      </c>
      <c r="D22830" s="26">
        <v>0.13639999999999999</v>
      </c>
      <c r="E22830" s="26">
        <v>4.5499999999999999E-2</v>
      </c>
      <c r="G22830" s="26">
        <v>2.2700000000000001E-2</v>
      </c>
      <c r="J22830" s="26">
        <v>2.2700000000000001E-2</v>
      </c>
      <c r="M22830">
        <v>44</v>
      </c>
    </row>
    <row r="22831" spans="1:13" x14ac:dyDescent="0.35">
      <c r="A22831" t="s">
        <v>227</v>
      </c>
      <c r="B22831" t="s">
        <v>238</v>
      </c>
      <c r="C22831" s="26">
        <v>0.73529999999999995</v>
      </c>
      <c r="D22831" s="26">
        <v>0.1176</v>
      </c>
      <c r="E22831" s="26">
        <v>0.1176</v>
      </c>
      <c r="H22831" s="26">
        <v>2.9399999999999999E-2</v>
      </c>
      <c r="M22831">
        <v>34</v>
      </c>
    </row>
    <row r="22832" spans="1:13" x14ac:dyDescent="0.35">
      <c r="A22832" t="s">
        <v>228</v>
      </c>
      <c r="B22832" t="s">
        <v>239</v>
      </c>
      <c r="C22832" s="26">
        <v>0.67730000000000001</v>
      </c>
      <c r="D22832" s="26">
        <v>0.2079</v>
      </c>
      <c r="E22832" s="26">
        <v>8.4599999999999995E-2</v>
      </c>
      <c r="H22832" s="26">
        <v>3.3E-3</v>
      </c>
      <c r="I22832" s="26">
        <v>1.4200000000000001E-2</v>
      </c>
      <c r="J22832" s="26">
        <v>6.6E-3</v>
      </c>
      <c r="K22832" s="26">
        <v>6.1000000000000004E-3</v>
      </c>
      <c r="M22832">
        <v>206</v>
      </c>
    </row>
    <row r="22833" spans="1:13" x14ac:dyDescent="0.35">
      <c r="A22833" t="s">
        <v>228</v>
      </c>
      <c r="B22833" t="s">
        <v>238</v>
      </c>
      <c r="C22833" s="26">
        <v>0.77429999999999999</v>
      </c>
      <c r="D22833" s="26">
        <v>0.1051</v>
      </c>
      <c r="E22833" s="26">
        <v>6.7199999999999996E-2</v>
      </c>
      <c r="F22833" s="26">
        <v>1.7299999999999999E-2</v>
      </c>
      <c r="G22833" s="26">
        <v>4.7000000000000002E-3</v>
      </c>
      <c r="H22833" s="26">
        <v>2.5700000000000001E-2</v>
      </c>
      <c r="I22833" s="26">
        <v>3.8999999999999998E-3</v>
      </c>
      <c r="L22833" s="26">
        <v>1.6999999999999999E-3</v>
      </c>
      <c r="M22833">
        <v>165</v>
      </c>
    </row>
    <row r="22834" spans="1:13" x14ac:dyDescent="0.35">
      <c r="A22834" t="s">
        <v>229</v>
      </c>
      <c r="B22834" t="s">
        <v>239</v>
      </c>
      <c r="C22834" s="26">
        <v>0.61350000000000005</v>
      </c>
      <c r="D22834" s="26">
        <v>0.17780000000000001</v>
      </c>
      <c r="E22834" s="26">
        <v>0.10580000000000001</v>
      </c>
      <c r="F22834" s="26">
        <v>2.1899999999999999E-2</v>
      </c>
      <c r="G22834" s="26">
        <v>2.7799999999999998E-2</v>
      </c>
      <c r="H22834" s="26">
        <v>2.1299999999999999E-2</v>
      </c>
      <c r="I22834" s="26">
        <v>1.1599999999999999E-2</v>
      </c>
      <c r="J22834" s="26">
        <v>4.5999999999999999E-3</v>
      </c>
      <c r="K22834" s="26">
        <v>1.3899999999999999E-2</v>
      </c>
      <c r="L22834" s="26">
        <v>1.8E-3</v>
      </c>
      <c r="M22834">
        <v>218</v>
      </c>
    </row>
    <row r="22835" spans="1:13" x14ac:dyDescent="0.35">
      <c r="A22835" t="s">
        <v>229</v>
      </c>
      <c r="B22835" t="s">
        <v>238</v>
      </c>
      <c r="C22835" s="26">
        <v>0.77980000000000005</v>
      </c>
      <c r="D22835" s="26">
        <v>8.7400000000000005E-2</v>
      </c>
      <c r="E22835" s="26">
        <v>5.6800000000000003E-2</v>
      </c>
      <c r="F22835" s="26">
        <v>6.2100000000000002E-2</v>
      </c>
      <c r="I22835" s="26">
        <v>1.6999999999999999E-3</v>
      </c>
      <c r="J22835" s="26">
        <v>5.4000000000000003E-3</v>
      </c>
      <c r="K22835" s="26">
        <v>6.8999999999999999E-3</v>
      </c>
      <c r="M22835">
        <v>126</v>
      </c>
    </row>
    <row r="22836" spans="1:13" x14ac:dyDescent="0.35">
      <c r="A22836" t="s">
        <v>230</v>
      </c>
      <c r="B22836" t="s">
        <v>239</v>
      </c>
      <c r="C22836" s="26">
        <v>0.61780000000000002</v>
      </c>
      <c r="D22836" s="26">
        <v>0.2117</v>
      </c>
      <c r="E22836" s="26">
        <v>8.4699999999999998E-2</v>
      </c>
      <c r="F22836" s="26">
        <v>3.3399999999999999E-2</v>
      </c>
      <c r="G22836" s="26">
        <v>2.5100000000000001E-2</v>
      </c>
      <c r="H22836" s="26">
        <v>1.1000000000000001E-3</v>
      </c>
      <c r="I22836" s="26">
        <v>2.2599999999999999E-2</v>
      </c>
      <c r="K22836" s="26">
        <v>3.5999999999999999E-3</v>
      </c>
      <c r="M22836">
        <v>163</v>
      </c>
    </row>
    <row r="22837" spans="1:13" x14ac:dyDescent="0.35">
      <c r="A22837" t="s">
        <v>230</v>
      </c>
      <c r="B22837" t="s">
        <v>238</v>
      </c>
      <c r="C22837" s="26">
        <v>0.79900000000000004</v>
      </c>
      <c r="D22837" s="26">
        <v>7.4899999999999994E-2</v>
      </c>
      <c r="E22837" s="26">
        <v>0.1118</v>
      </c>
      <c r="I22837" s="26">
        <v>1.23E-2</v>
      </c>
      <c r="K22837" s="26">
        <v>2E-3</v>
      </c>
      <c r="M22837">
        <v>73</v>
      </c>
    </row>
    <row r="22838" spans="1:13" x14ac:dyDescent="0.35">
      <c r="A22838" t="s">
        <v>231</v>
      </c>
      <c r="B22838" t="s">
        <v>239</v>
      </c>
      <c r="C22838" s="26">
        <v>0.61360000000000003</v>
      </c>
      <c r="D22838" s="26">
        <v>0.2727</v>
      </c>
      <c r="E22838" s="26">
        <v>4.5499999999999999E-2</v>
      </c>
      <c r="F22838" s="26">
        <v>6.8199999999999997E-2</v>
      </c>
      <c r="M22838">
        <v>44</v>
      </c>
    </row>
    <row r="22839" spans="1:13" x14ac:dyDescent="0.35">
      <c r="A22839" s="27" t="s">
        <v>231</v>
      </c>
      <c r="B22839" s="27" t="s">
        <v>238</v>
      </c>
      <c r="C22839" s="28">
        <v>0.65</v>
      </c>
      <c r="D22839" s="28">
        <v>0.2</v>
      </c>
      <c r="E22839" s="28">
        <v>0.05</v>
      </c>
      <c r="F22839" s="28">
        <v>0.1</v>
      </c>
      <c r="G22839" s="29"/>
      <c r="H22839" s="29"/>
      <c r="I22839" s="29"/>
      <c r="J22839" s="29"/>
      <c r="K22839" s="29"/>
      <c r="L22839" s="29"/>
      <c r="M22839" s="29" t="s">
        <v>350</v>
      </c>
    </row>
    <row r="22840" spans="1:13" x14ac:dyDescent="0.35">
      <c r="A22840" t="s">
        <v>232</v>
      </c>
      <c r="B22840" t="s">
        <v>232</v>
      </c>
      <c r="C22840" s="26">
        <v>0.68469999999999998</v>
      </c>
      <c r="D22840" s="26">
        <v>0.17730000000000001</v>
      </c>
      <c r="E22840" s="26">
        <v>7.1999999999999995E-2</v>
      </c>
      <c r="F22840" s="26">
        <v>3.5799999999999998E-2</v>
      </c>
      <c r="G22840" s="26">
        <v>8.8999999999999999E-3</v>
      </c>
      <c r="H22840" s="26">
        <v>8.0999999999999996E-3</v>
      </c>
      <c r="I22840" s="26">
        <v>5.1999999999999998E-3</v>
      </c>
      <c r="J22840" s="26">
        <v>4.3E-3</v>
      </c>
      <c r="K22840" s="26">
        <v>3.3999999999999998E-3</v>
      </c>
      <c r="L22840" s="26">
        <v>4.0000000000000002E-4</v>
      </c>
      <c r="M22840">
        <v>1093</v>
      </c>
    </row>
    <row r="22842" spans="1:13" x14ac:dyDescent="0.35">
      <c r="A22842" s="1" t="s">
        <v>2189</v>
      </c>
    </row>
    <row r="22843" spans="1:13" x14ac:dyDescent="0.35">
      <c r="A22843" t="s">
        <v>219</v>
      </c>
      <c r="B22843" t="s">
        <v>305</v>
      </c>
      <c r="C22843" t="s">
        <v>2179</v>
      </c>
      <c r="D22843" t="s">
        <v>2180</v>
      </c>
      <c r="E22843" t="s">
        <v>2181</v>
      </c>
      <c r="F22843" t="s">
        <v>2182</v>
      </c>
      <c r="G22843" t="s">
        <v>2183</v>
      </c>
      <c r="H22843" t="s">
        <v>2184</v>
      </c>
      <c r="I22843" t="s">
        <v>2185</v>
      </c>
      <c r="J22843" t="s">
        <v>2186</v>
      </c>
      <c r="K22843" t="s">
        <v>281</v>
      </c>
      <c r="L22843" t="s">
        <v>286</v>
      </c>
      <c r="M22843" t="s">
        <v>226</v>
      </c>
    </row>
    <row r="22844" spans="1:13" x14ac:dyDescent="0.35">
      <c r="A22844" t="s">
        <v>227</v>
      </c>
      <c r="B22844" t="s">
        <v>244</v>
      </c>
      <c r="C22844" s="26">
        <v>0.79169999999999996</v>
      </c>
      <c r="D22844" s="26">
        <v>0.1042</v>
      </c>
      <c r="E22844" s="26">
        <v>6.25E-2</v>
      </c>
      <c r="G22844" s="26">
        <v>2.0799999999999999E-2</v>
      </c>
      <c r="H22844" s="26">
        <v>2.0799999999999999E-2</v>
      </c>
      <c r="M22844">
        <v>48</v>
      </c>
    </row>
    <row r="22845" spans="1:13" x14ac:dyDescent="0.35">
      <c r="A22845" s="27" t="s">
        <v>227</v>
      </c>
      <c r="B22845" s="27" t="s">
        <v>245</v>
      </c>
      <c r="C22845" s="28">
        <v>0.72729999999999995</v>
      </c>
      <c r="D22845" s="28">
        <v>0.18179999999999999</v>
      </c>
      <c r="E22845" s="28">
        <v>4.5499999999999999E-2</v>
      </c>
      <c r="F22845" s="29"/>
      <c r="G22845" s="29"/>
      <c r="H22845" s="29"/>
      <c r="I22845" s="29"/>
      <c r="J22845" s="28">
        <v>4.5499999999999999E-2</v>
      </c>
      <c r="K22845" s="29"/>
      <c r="L22845" s="29"/>
      <c r="M22845" s="29" t="s">
        <v>347</v>
      </c>
    </row>
    <row r="22846" spans="1:13" x14ac:dyDescent="0.35">
      <c r="A22846" s="27" t="s">
        <v>227</v>
      </c>
      <c r="B22846" s="27" t="s">
        <v>246</v>
      </c>
      <c r="C22846" s="28">
        <v>0.625</v>
      </c>
      <c r="D22846" s="28">
        <v>0.125</v>
      </c>
      <c r="E22846" s="28">
        <v>0.25</v>
      </c>
      <c r="F22846" s="29"/>
      <c r="G22846" s="29"/>
      <c r="H22846" s="29"/>
      <c r="I22846" s="29"/>
      <c r="J22846" s="29"/>
      <c r="K22846" s="29"/>
      <c r="L22846" s="29"/>
      <c r="M22846" s="29" t="s">
        <v>333</v>
      </c>
    </row>
    <row r="22847" spans="1:13" x14ac:dyDescent="0.35">
      <c r="A22847" t="s">
        <v>228</v>
      </c>
      <c r="B22847" t="s">
        <v>244</v>
      </c>
      <c r="C22847" s="26">
        <v>0.71579999999999999</v>
      </c>
      <c r="D22847" s="26">
        <v>0.15</v>
      </c>
      <c r="E22847" s="26">
        <v>8.8599999999999998E-2</v>
      </c>
      <c r="F22847" s="26">
        <v>7.7999999999999996E-3</v>
      </c>
      <c r="G22847" s="26">
        <v>3.5999999999999999E-3</v>
      </c>
      <c r="H22847" s="26">
        <v>1.9300000000000001E-2</v>
      </c>
      <c r="I22847" s="26">
        <v>1.04E-2</v>
      </c>
      <c r="J22847" s="26">
        <v>2.2000000000000001E-3</v>
      </c>
      <c r="K22847" s="26">
        <v>2.2000000000000001E-3</v>
      </c>
      <c r="M22847">
        <v>242</v>
      </c>
    </row>
    <row r="22848" spans="1:13" x14ac:dyDescent="0.35">
      <c r="A22848" t="s">
        <v>228</v>
      </c>
      <c r="B22848" t="s">
        <v>245</v>
      </c>
      <c r="C22848" s="26">
        <v>0.64370000000000005</v>
      </c>
      <c r="D22848" s="26">
        <v>0.25969999999999999</v>
      </c>
      <c r="E22848" s="26">
        <v>4.9200000000000001E-2</v>
      </c>
      <c r="F22848" s="26">
        <v>1.4E-2</v>
      </c>
      <c r="H22848" s="26">
        <v>9.5999999999999992E-3</v>
      </c>
      <c r="J22848" s="26">
        <v>9.5999999999999992E-3</v>
      </c>
      <c r="K22848" s="26">
        <v>8.3999999999999995E-3</v>
      </c>
      <c r="L22848" s="26">
        <v>5.7000000000000002E-3</v>
      </c>
      <c r="M22848">
        <v>92</v>
      </c>
    </row>
    <row r="22849" spans="1:13" x14ac:dyDescent="0.35">
      <c r="A22849" t="s">
        <v>228</v>
      </c>
      <c r="B22849" t="s">
        <v>246</v>
      </c>
      <c r="C22849" s="26">
        <v>0.88670000000000004</v>
      </c>
      <c r="D22849" s="26">
        <v>5.21E-2</v>
      </c>
      <c r="E22849" s="26">
        <v>4.0500000000000001E-2</v>
      </c>
      <c r="F22849" s="26">
        <v>9.5999999999999992E-3</v>
      </c>
      <c r="I22849" s="26">
        <v>1.11E-2</v>
      </c>
      <c r="M22849">
        <v>37</v>
      </c>
    </row>
    <row r="22850" spans="1:13" x14ac:dyDescent="0.35">
      <c r="A22850" t="s">
        <v>229</v>
      </c>
      <c r="B22850" t="s">
        <v>244</v>
      </c>
      <c r="C22850" s="26">
        <v>0.6976</v>
      </c>
      <c r="D22850" s="26">
        <v>0.15079999999999999</v>
      </c>
      <c r="E22850" s="26">
        <v>7.7299999999999994E-2</v>
      </c>
      <c r="F22850" s="26">
        <v>2.2800000000000001E-2</v>
      </c>
      <c r="G22850" s="26">
        <v>1.29E-2</v>
      </c>
      <c r="H22850" s="26">
        <v>6.8999999999999999E-3</v>
      </c>
      <c r="I22850" s="26">
        <v>8.6E-3</v>
      </c>
      <c r="J22850" s="26">
        <v>5.1999999999999998E-3</v>
      </c>
      <c r="K22850" s="26">
        <v>1.6299999999999999E-2</v>
      </c>
      <c r="L22850" s="26">
        <v>1.6999999999999999E-3</v>
      </c>
      <c r="M22850">
        <v>211</v>
      </c>
    </row>
    <row r="22851" spans="1:13" x14ac:dyDescent="0.35">
      <c r="A22851" t="s">
        <v>229</v>
      </c>
      <c r="B22851" t="s">
        <v>245</v>
      </c>
      <c r="C22851" s="26">
        <v>0.72140000000000004</v>
      </c>
      <c r="D22851" s="26">
        <v>0.15090000000000001</v>
      </c>
      <c r="E22851" s="26">
        <v>3.0300000000000001E-2</v>
      </c>
      <c r="F22851" s="26">
        <v>4.65E-2</v>
      </c>
      <c r="G22851" s="26">
        <v>4.36E-2</v>
      </c>
      <c r="I22851" s="26">
        <v>7.4000000000000003E-3</v>
      </c>
      <c r="M22851">
        <v>107</v>
      </c>
    </row>
    <row r="22852" spans="1:13" x14ac:dyDescent="0.35">
      <c r="A22852" s="27" t="s">
        <v>229</v>
      </c>
      <c r="B22852" s="27" t="s">
        <v>246</v>
      </c>
      <c r="C22852" s="28">
        <v>0.3569</v>
      </c>
      <c r="D22852" s="28">
        <v>9.9900000000000003E-2</v>
      </c>
      <c r="E22852" s="28">
        <v>0.31019999999999998</v>
      </c>
      <c r="F22852" s="28">
        <v>0.1133</v>
      </c>
      <c r="G22852" s="29"/>
      <c r="H22852" s="28">
        <v>9.9900000000000003E-2</v>
      </c>
      <c r="I22852" s="28">
        <v>6.7000000000000002E-3</v>
      </c>
      <c r="J22852" s="28">
        <v>1.3100000000000001E-2</v>
      </c>
      <c r="K22852" s="29"/>
      <c r="L22852" s="29"/>
      <c r="M22852" s="29" t="s">
        <v>357</v>
      </c>
    </row>
    <row r="22853" spans="1:13" x14ac:dyDescent="0.35">
      <c r="A22853" t="s">
        <v>230</v>
      </c>
      <c r="B22853" t="s">
        <v>244</v>
      </c>
      <c r="C22853" s="26">
        <v>0.70589999999999997</v>
      </c>
      <c r="D22853" s="26">
        <v>0.14269999999999999</v>
      </c>
      <c r="E22853" s="26">
        <v>8.5500000000000007E-2</v>
      </c>
      <c r="F22853" s="26">
        <v>1.2E-2</v>
      </c>
      <c r="G22853" s="26">
        <v>2.53E-2</v>
      </c>
      <c r="H22853" s="26">
        <v>1.1000000000000001E-3</v>
      </c>
      <c r="I22853" s="26">
        <v>2.2800000000000001E-2</v>
      </c>
      <c r="K22853" s="26">
        <v>4.7999999999999996E-3</v>
      </c>
      <c r="M22853">
        <v>143</v>
      </c>
    </row>
    <row r="22854" spans="1:13" x14ac:dyDescent="0.35">
      <c r="A22854" t="s">
        <v>230</v>
      </c>
      <c r="B22854" t="s">
        <v>245</v>
      </c>
      <c r="C22854" s="26">
        <v>0.65080000000000005</v>
      </c>
      <c r="D22854" s="26">
        <v>0.2581</v>
      </c>
      <c r="E22854" s="26">
        <v>8.3000000000000004E-2</v>
      </c>
      <c r="I22854" s="26">
        <v>8.0999999999999996E-3</v>
      </c>
      <c r="M22854">
        <v>68</v>
      </c>
    </row>
    <row r="22855" spans="1:13" x14ac:dyDescent="0.35">
      <c r="A22855" s="27" t="s">
        <v>230</v>
      </c>
      <c r="B22855" s="27" t="s">
        <v>246</v>
      </c>
      <c r="C22855" s="28">
        <v>0.61750000000000005</v>
      </c>
      <c r="D22855" s="28">
        <v>5.0500000000000003E-2</v>
      </c>
      <c r="E22855" s="28">
        <v>0.1772</v>
      </c>
      <c r="F22855" s="28">
        <v>0.13289999999999999</v>
      </c>
      <c r="G22855" s="29"/>
      <c r="H22855" s="29"/>
      <c r="I22855" s="28">
        <v>2.1899999999999999E-2</v>
      </c>
      <c r="J22855" s="29"/>
      <c r="K22855" s="29"/>
      <c r="L22855" s="29"/>
      <c r="M22855" s="29" t="s">
        <v>312</v>
      </c>
    </row>
    <row r="22856" spans="1:13" x14ac:dyDescent="0.35">
      <c r="A22856" t="s">
        <v>231</v>
      </c>
      <c r="B22856" t="s">
        <v>244</v>
      </c>
      <c r="C22856" s="26">
        <v>0.60980000000000001</v>
      </c>
      <c r="D22856" s="26">
        <v>0.24390000000000001</v>
      </c>
      <c r="E22856" s="26">
        <v>7.3200000000000001E-2</v>
      </c>
      <c r="F22856" s="26">
        <v>7.3200000000000001E-2</v>
      </c>
      <c r="M22856">
        <v>41</v>
      </c>
    </row>
    <row r="22857" spans="1:13" x14ac:dyDescent="0.35">
      <c r="A22857" s="27" t="s">
        <v>231</v>
      </c>
      <c r="B22857" s="27" t="s">
        <v>245</v>
      </c>
      <c r="C22857" s="28">
        <v>0.64290000000000003</v>
      </c>
      <c r="D22857" s="28">
        <v>0.28570000000000001</v>
      </c>
      <c r="E22857" s="29"/>
      <c r="F22857" s="28">
        <v>7.1400000000000005E-2</v>
      </c>
      <c r="G22857" s="29"/>
      <c r="H22857" s="29"/>
      <c r="I22857" s="29"/>
      <c r="J22857" s="29"/>
      <c r="K22857" s="29"/>
      <c r="L22857" s="29"/>
      <c r="M22857" s="29" t="s">
        <v>379</v>
      </c>
    </row>
    <row r="22858" spans="1:13" x14ac:dyDescent="0.35">
      <c r="A22858" s="27" t="s">
        <v>231</v>
      </c>
      <c r="B22858" s="27" t="s">
        <v>246</v>
      </c>
      <c r="C22858" s="28">
        <v>0.66669999999999996</v>
      </c>
      <c r="D22858" s="28">
        <v>0.22220000000000001</v>
      </c>
      <c r="E22858" s="29"/>
      <c r="F22858" s="28">
        <v>0.1111</v>
      </c>
      <c r="G22858" s="29"/>
      <c r="H22858" s="29"/>
      <c r="I22858" s="29"/>
      <c r="J22858" s="29"/>
      <c r="K22858" s="29"/>
      <c r="L22858" s="29"/>
      <c r="M22858" s="29" t="s">
        <v>334</v>
      </c>
    </row>
    <row r="22859" spans="1:13" x14ac:dyDescent="0.35">
      <c r="A22859" t="s">
        <v>232</v>
      </c>
      <c r="B22859" t="s">
        <v>232</v>
      </c>
      <c r="C22859" s="26">
        <v>0.68469999999999998</v>
      </c>
      <c r="D22859" s="26">
        <v>0.17730000000000001</v>
      </c>
      <c r="E22859" s="26">
        <v>7.1999999999999995E-2</v>
      </c>
      <c r="F22859" s="26">
        <v>3.5799999999999998E-2</v>
      </c>
      <c r="G22859" s="26">
        <v>8.8999999999999999E-3</v>
      </c>
      <c r="H22859" s="26">
        <v>8.0999999999999996E-3</v>
      </c>
      <c r="I22859" s="26">
        <v>5.1999999999999998E-3</v>
      </c>
      <c r="J22859" s="26">
        <v>4.3E-3</v>
      </c>
      <c r="K22859" s="26">
        <v>3.3999999999999998E-3</v>
      </c>
      <c r="L22859" s="26">
        <v>4.0000000000000002E-4</v>
      </c>
      <c r="M22859">
        <v>1093</v>
      </c>
    </row>
    <row r="22861" spans="1:13" x14ac:dyDescent="0.35">
      <c r="A22861" s="1" t="s">
        <v>2190</v>
      </c>
    </row>
    <row r="22862" spans="1:13" x14ac:dyDescent="0.35">
      <c r="A22862" t="s">
        <v>219</v>
      </c>
      <c r="B22862" t="s">
        <v>305</v>
      </c>
      <c r="C22862" t="s">
        <v>2179</v>
      </c>
      <c r="D22862" t="s">
        <v>2180</v>
      </c>
      <c r="E22862" t="s">
        <v>2181</v>
      </c>
      <c r="F22862" t="s">
        <v>2182</v>
      </c>
      <c r="G22862" t="s">
        <v>2183</v>
      </c>
      <c r="H22862" t="s">
        <v>2184</v>
      </c>
      <c r="I22862" t="s">
        <v>2185</v>
      </c>
      <c r="J22862" t="s">
        <v>2186</v>
      </c>
      <c r="K22862" t="s">
        <v>281</v>
      </c>
      <c r="L22862" t="s">
        <v>286</v>
      </c>
      <c r="M22862" t="s">
        <v>226</v>
      </c>
    </row>
    <row r="22863" spans="1:13" x14ac:dyDescent="0.35">
      <c r="A22863" s="27" t="s">
        <v>227</v>
      </c>
      <c r="B22863" s="27" t="s">
        <v>363</v>
      </c>
      <c r="C22863" s="28">
        <v>0.6875</v>
      </c>
      <c r="D22863" s="28">
        <v>0.25</v>
      </c>
      <c r="E22863" s="29"/>
      <c r="F22863" s="29"/>
      <c r="G22863" s="29"/>
      <c r="H22863" s="28">
        <v>6.25E-2</v>
      </c>
      <c r="I22863" s="29"/>
      <c r="J22863" s="29"/>
      <c r="K22863" s="29"/>
      <c r="L22863" s="29"/>
      <c r="M22863" s="29" t="s">
        <v>348</v>
      </c>
    </row>
    <row r="22864" spans="1:13" x14ac:dyDescent="0.35">
      <c r="A22864" s="27" t="s">
        <v>227</v>
      </c>
      <c r="B22864" s="27" t="s">
        <v>360</v>
      </c>
      <c r="C22864" s="28">
        <v>0.74070000000000003</v>
      </c>
      <c r="D22864" s="28">
        <v>0.1111</v>
      </c>
      <c r="E22864" s="28">
        <v>0.14810000000000001</v>
      </c>
      <c r="F22864" s="29"/>
      <c r="G22864" s="29"/>
      <c r="H22864" s="29"/>
      <c r="I22864" s="29"/>
      <c r="J22864" s="29"/>
      <c r="K22864" s="29"/>
      <c r="L22864" s="29"/>
      <c r="M22864" s="29" t="s">
        <v>338</v>
      </c>
    </row>
    <row r="22865" spans="1:13" x14ac:dyDescent="0.35">
      <c r="A22865" s="27" t="s">
        <v>227</v>
      </c>
      <c r="B22865" s="27" t="s">
        <v>362</v>
      </c>
      <c r="C22865" s="28">
        <v>0.85</v>
      </c>
      <c r="D22865" s="28">
        <v>0.05</v>
      </c>
      <c r="E22865" s="28">
        <v>0.05</v>
      </c>
      <c r="F22865" s="29"/>
      <c r="G22865" s="28">
        <v>0.05</v>
      </c>
      <c r="H22865" s="29"/>
      <c r="I22865" s="29"/>
      <c r="J22865" s="29"/>
      <c r="K22865" s="29"/>
      <c r="L22865" s="29"/>
      <c r="M22865" s="29" t="s">
        <v>350</v>
      </c>
    </row>
    <row r="22866" spans="1:13" x14ac:dyDescent="0.35">
      <c r="A22866" s="27" t="s">
        <v>227</v>
      </c>
      <c r="B22866" s="27" t="s">
        <v>361</v>
      </c>
      <c r="C22866" s="28">
        <v>0.81820000000000004</v>
      </c>
      <c r="D22866" s="28">
        <v>9.0899999999999995E-2</v>
      </c>
      <c r="E22866" s="29"/>
      <c r="F22866" s="29"/>
      <c r="G22866" s="29"/>
      <c r="H22866" s="29"/>
      <c r="I22866" s="29"/>
      <c r="J22866" s="28">
        <v>9.0899999999999995E-2</v>
      </c>
      <c r="K22866" s="29"/>
      <c r="L22866" s="29"/>
      <c r="M22866" s="29" t="s">
        <v>352</v>
      </c>
    </row>
    <row r="22867" spans="1:13" x14ac:dyDescent="0.35">
      <c r="A22867" t="s">
        <v>228</v>
      </c>
      <c r="B22867" t="s">
        <v>362</v>
      </c>
      <c r="C22867" s="26">
        <v>0.62060000000000004</v>
      </c>
      <c r="D22867" s="26">
        <v>0.25030000000000002</v>
      </c>
      <c r="E22867" s="26">
        <v>0.1002</v>
      </c>
      <c r="F22867" s="26">
        <v>1.24E-2</v>
      </c>
      <c r="I22867" s="26">
        <v>9.4000000000000004E-3</v>
      </c>
      <c r="J22867" s="26">
        <v>7.1000000000000004E-3</v>
      </c>
      <c r="M22867">
        <v>78</v>
      </c>
    </row>
    <row r="22868" spans="1:13" x14ac:dyDescent="0.35">
      <c r="A22868" t="s">
        <v>228</v>
      </c>
      <c r="B22868" t="s">
        <v>363</v>
      </c>
      <c r="C22868" s="26">
        <v>0.76849999999999996</v>
      </c>
      <c r="D22868" s="26">
        <v>7.0400000000000004E-2</v>
      </c>
      <c r="E22868" s="26">
        <v>9.9500000000000005E-2</v>
      </c>
      <c r="G22868" s="26">
        <v>3.3999999999999998E-3</v>
      </c>
      <c r="H22868" s="26">
        <v>4.7199999999999999E-2</v>
      </c>
      <c r="J22868" s="26">
        <v>5.8999999999999999E-3</v>
      </c>
      <c r="K22868" s="26">
        <v>5.1000000000000004E-3</v>
      </c>
      <c r="M22868">
        <v>85</v>
      </c>
    </row>
    <row r="22869" spans="1:13" x14ac:dyDescent="0.35">
      <c r="A22869" t="s">
        <v>228</v>
      </c>
      <c r="B22869" t="s">
        <v>361</v>
      </c>
      <c r="C22869" s="26">
        <v>0.86209999999999998</v>
      </c>
      <c r="D22869" s="26">
        <v>8.8099999999999998E-2</v>
      </c>
      <c r="E22869" s="26">
        <v>3.1099999999999999E-2</v>
      </c>
      <c r="F22869" s="26">
        <v>6.8999999999999999E-3</v>
      </c>
      <c r="K22869" s="26">
        <v>1.17E-2</v>
      </c>
      <c r="M22869">
        <v>40</v>
      </c>
    </row>
    <row r="22870" spans="1:13" x14ac:dyDescent="0.35">
      <c r="A22870" t="s">
        <v>228</v>
      </c>
      <c r="B22870" t="s">
        <v>360</v>
      </c>
      <c r="C22870" s="26">
        <v>0.78239999999999998</v>
      </c>
      <c r="D22870" s="26">
        <v>0.1166</v>
      </c>
      <c r="E22870" s="26">
        <v>5.9900000000000002E-2</v>
      </c>
      <c r="F22870" s="26">
        <v>8.3999999999999995E-3</v>
      </c>
      <c r="G22870" s="26">
        <v>5.3E-3</v>
      </c>
      <c r="H22870" s="26">
        <v>8.3999999999999995E-3</v>
      </c>
      <c r="I22870" s="26">
        <v>1.6E-2</v>
      </c>
      <c r="L22870" s="26">
        <v>3.0999999999999999E-3</v>
      </c>
      <c r="M22870">
        <v>119</v>
      </c>
    </row>
    <row r="22871" spans="1:13" x14ac:dyDescent="0.35">
      <c r="A22871" t="s">
        <v>229</v>
      </c>
      <c r="B22871" t="s">
        <v>361</v>
      </c>
      <c r="C22871" s="26">
        <v>0.69120000000000004</v>
      </c>
      <c r="D22871" s="26">
        <v>0.1099</v>
      </c>
      <c r="E22871" s="26">
        <v>0.15179999999999999</v>
      </c>
      <c r="F22871" s="26">
        <v>4.4699999999999997E-2</v>
      </c>
      <c r="J22871" s="26">
        <v>2.3999999999999998E-3</v>
      </c>
      <c r="M22871">
        <v>65</v>
      </c>
    </row>
    <row r="22872" spans="1:13" x14ac:dyDescent="0.35">
      <c r="A22872" t="s">
        <v>229</v>
      </c>
      <c r="B22872" t="s">
        <v>360</v>
      </c>
      <c r="C22872" s="26">
        <v>0.69030000000000002</v>
      </c>
      <c r="D22872" s="26">
        <v>0.11849999999999999</v>
      </c>
      <c r="E22872" s="26">
        <v>4.9599999999999998E-2</v>
      </c>
      <c r="F22872" s="26">
        <v>3.8100000000000002E-2</v>
      </c>
      <c r="G22872" s="26">
        <v>3.1699999999999999E-2</v>
      </c>
      <c r="H22872" s="26">
        <v>4.8599999999999997E-2</v>
      </c>
      <c r="I22872" s="26">
        <v>1.9E-2</v>
      </c>
      <c r="J22872" s="26">
        <v>4.1999999999999997E-3</v>
      </c>
      <c r="M22872">
        <v>101</v>
      </c>
    </row>
    <row r="22873" spans="1:13" x14ac:dyDescent="0.35">
      <c r="A22873" t="s">
        <v>229</v>
      </c>
      <c r="B22873" t="s">
        <v>362</v>
      </c>
      <c r="C22873" s="26">
        <v>0.53900000000000003</v>
      </c>
      <c r="D22873" s="26">
        <v>0.25829999999999997</v>
      </c>
      <c r="E22873" s="26">
        <v>5.8400000000000001E-2</v>
      </c>
      <c r="F22873" s="26">
        <v>5.2900000000000003E-2</v>
      </c>
      <c r="G22873" s="26">
        <v>3.9699999999999999E-2</v>
      </c>
      <c r="I22873" s="26">
        <v>5.1999999999999998E-3</v>
      </c>
      <c r="J22873" s="26">
        <v>6.7000000000000002E-3</v>
      </c>
      <c r="K22873" s="26">
        <v>3.9699999999999999E-2</v>
      </c>
      <c r="M22873">
        <v>76</v>
      </c>
    </row>
    <row r="22874" spans="1:13" x14ac:dyDescent="0.35">
      <c r="A22874" t="s">
        <v>229</v>
      </c>
      <c r="B22874" t="s">
        <v>363</v>
      </c>
      <c r="C22874" s="26">
        <v>0.75819999999999999</v>
      </c>
      <c r="D22874" s="26">
        <v>0.107</v>
      </c>
      <c r="E22874" s="26">
        <v>0.12239999999999999</v>
      </c>
      <c r="F22874" s="26">
        <v>1.9E-3</v>
      </c>
      <c r="I22874" s="26">
        <v>1.9E-3</v>
      </c>
      <c r="J22874" s="26">
        <v>1.9E-3</v>
      </c>
      <c r="L22874" s="26">
        <v>6.7000000000000002E-3</v>
      </c>
      <c r="M22874">
        <v>66</v>
      </c>
    </row>
    <row r="22875" spans="1:13" x14ac:dyDescent="0.35">
      <c r="A22875" t="s">
        <v>230</v>
      </c>
      <c r="B22875" t="s">
        <v>361</v>
      </c>
      <c r="C22875" s="26">
        <v>0.84940000000000004</v>
      </c>
      <c r="D22875" s="26">
        <v>6.4600000000000005E-2</v>
      </c>
      <c r="E22875" s="26">
        <v>8.5999999999999993E-2</v>
      </c>
      <c r="M22875">
        <v>30</v>
      </c>
    </row>
    <row r="22876" spans="1:13" x14ac:dyDescent="0.35">
      <c r="A22876" t="s">
        <v>230</v>
      </c>
      <c r="B22876" t="s">
        <v>363</v>
      </c>
      <c r="C22876" s="26">
        <v>0.74150000000000005</v>
      </c>
      <c r="D22876" s="26">
        <v>0.1615</v>
      </c>
      <c r="E22876" s="26">
        <v>9.7000000000000003E-2</v>
      </c>
      <c r="M22876">
        <v>43</v>
      </c>
    </row>
    <row r="22877" spans="1:13" x14ac:dyDescent="0.35">
      <c r="A22877" t="s">
        <v>230</v>
      </c>
      <c r="B22877" t="s">
        <v>362</v>
      </c>
      <c r="C22877" s="26">
        <v>0.57630000000000003</v>
      </c>
      <c r="D22877" s="26">
        <v>0.21049999999999999</v>
      </c>
      <c r="E22877" s="26">
        <v>0.15709999999999999</v>
      </c>
      <c r="F22877" s="26">
        <v>2.2000000000000001E-3</v>
      </c>
      <c r="G22877" s="26">
        <v>7.4999999999999997E-3</v>
      </c>
      <c r="I22877" s="26">
        <v>4.4200000000000003E-2</v>
      </c>
      <c r="K22877" s="26">
        <v>2.2000000000000001E-3</v>
      </c>
      <c r="M22877">
        <v>71</v>
      </c>
    </row>
    <row r="22878" spans="1:13" x14ac:dyDescent="0.35">
      <c r="A22878" t="s">
        <v>230</v>
      </c>
      <c r="B22878" t="s">
        <v>360</v>
      </c>
      <c r="C22878" s="26">
        <v>0.66510000000000002</v>
      </c>
      <c r="D22878" s="26">
        <v>0.1716</v>
      </c>
      <c r="E22878" s="26">
        <v>2.7400000000000001E-2</v>
      </c>
      <c r="F22878" s="26">
        <v>6.7199999999999996E-2</v>
      </c>
      <c r="G22878" s="26">
        <v>5.0299999999999997E-2</v>
      </c>
      <c r="I22878" s="26">
        <v>1.8499999999999999E-2</v>
      </c>
      <c r="M22878">
        <v>74</v>
      </c>
    </row>
    <row r="22879" spans="1:13" x14ac:dyDescent="0.35">
      <c r="A22879" s="27" t="s">
        <v>231</v>
      </c>
      <c r="B22879" s="27" t="s">
        <v>360</v>
      </c>
      <c r="C22879" s="28">
        <v>0.60870000000000002</v>
      </c>
      <c r="D22879" s="28">
        <v>0.1739</v>
      </c>
      <c r="E22879" s="28">
        <v>4.3499999999999997E-2</v>
      </c>
      <c r="F22879" s="28">
        <v>0.1739</v>
      </c>
      <c r="G22879" s="29"/>
      <c r="H22879" s="29"/>
      <c r="I22879" s="29"/>
      <c r="J22879" s="29"/>
      <c r="K22879" s="29"/>
      <c r="L22879" s="29"/>
      <c r="M22879" s="29" t="s">
        <v>328</v>
      </c>
    </row>
    <row r="22880" spans="1:13" x14ac:dyDescent="0.35">
      <c r="A22880" s="27" t="s">
        <v>231</v>
      </c>
      <c r="B22880" s="27" t="s">
        <v>362</v>
      </c>
      <c r="C22880" s="28">
        <v>0.5333</v>
      </c>
      <c r="D22880" s="28">
        <v>0.33329999999999999</v>
      </c>
      <c r="E22880" s="28">
        <v>6.6699999999999995E-2</v>
      </c>
      <c r="F22880" s="28">
        <v>6.6699999999999995E-2</v>
      </c>
      <c r="G22880" s="29"/>
      <c r="H22880" s="29"/>
      <c r="I22880" s="29"/>
      <c r="J22880" s="29"/>
      <c r="K22880" s="29"/>
      <c r="L22880" s="29"/>
      <c r="M22880" s="29" t="s">
        <v>346</v>
      </c>
    </row>
    <row r="22881" spans="1:13" x14ac:dyDescent="0.35">
      <c r="A22881" s="27" t="s">
        <v>231</v>
      </c>
      <c r="B22881" s="27" t="s">
        <v>361</v>
      </c>
      <c r="C22881" s="28">
        <v>0.90910000000000002</v>
      </c>
      <c r="D22881" s="28">
        <v>9.0899999999999995E-2</v>
      </c>
      <c r="E22881" s="29"/>
      <c r="F22881" s="29"/>
      <c r="G22881" s="29"/>
      <c r="H22881" s="29"/>
      <c r="I22881" s="29"/>
      <c r="J22881" s="29"/>
      <c r="K22881" s="29"/>
      <c r="L22881" s="29"/>
      <c r="M22881" s="29" t="s">
        <v>352</v>
      </c>
    </row>
    <row r="22882" spans="1:13" x14ac:dyDescent="0.35">
      <c r="A22882" s="27" t="s">
        <v>231</v>
      </c>
      <c r="B22882" s="27" t="s">
        <v>363</v>
      </c>
      <c r="C22882" s="28">
        <v>0.63639999999999997</v>
      </c>
      <c r="D22882" s="28">
        <v>0.36359999999999998</v>
      </c>
      <c r="E22882" s="29"/>
      <c r="F22882" s="29"/>
      <c r="G22882" s="29"/>
      <c r="H22882" s="29"/>
      <c r="I22882" s="29"/>
      <c r="J22882" s="29"/>
      <c r="K22882" s="29"/>
      <c r="L22882" s="29"/>
      <c r="M22882" s="29" t="s">
        <v>352</v>
      </c>
    </row>
    <row r="22883" spans="1:13" x14ac:dyDescent="0.35">
      <c r="A22883" t="s">
        <v>232</v>
      </c>
      <c r="B22883" t="s">
        <v>232</v>
      </c>
      <c r="C22883" s="26">
        <v>0.68469999999999998</v>
      </c>
      <c r="D22883" s="26">
        <v>0.17730000000000001</v>
      </c>
      <c r="E22883" s="26">
        <v>7.1999999999999995E-2</v>
      </c>
      <c r="F22883" s="26">
        <v>3.5799999999999998E-2</v>
      </c>
      <c r="G22883" s="26">
        <v>8.8999999999999999E-3</v>
      </c>
      <c r="H22883" s="26">
        <v>8.0999999999999996E-3</v>
      </c>
      <c r="I22883" s="26">
        <v>5.1999999999999998E-3</v>
      </c>
      <c r="J22883" s="26">
        <v>4.3E-3</v>
      </c>
      <c r="K22883" s="26">
        <v>3.3999999999999998E-3</v>
      </c>
      <c r="L22883" s="26">
        <v>4.0000000000000002E-4</v>
      </c>
      <c r="M22883">
        <v>982</v>
      </c>
    </row>
    <row r="22885" spans="1:13" x14ac:dyDescent="0.35">
      <c r="A22885" s="1" t="s">
        <v>2191</v>
      </c>
    </row>
    <row r="22886" spans="1:13" x14ac:dyDescent="0.35">
      <c r="A22886" t="s">
        <v>219</v>
      </c>
      <c r="B22886" t="s">
        <v>305</v>
      </c>
      <c r="C22886" t="s">
        <v>2179</v>
      </c>
      <c r="D22886" t="s">
        <v>2180</v>
      </c>
      <c r="E22886" t="s">
        <v>2181</v>
      </c>
      <c r="F22886" t="s">
        <v>2182</v>
      </c>
      <c r="G22886" t="s">
        <v>2183</v>
      </c>
      <c r="H22886" t="s">
        <v>2184</v>
      </c>
      <c r="I22886" t="s">
        <v>2185</v>
      </c>
      <c r="J22886" t="s">
        <v>2186</v>
      </c>
      <c r="K22886" t="s">
        <v>281</v>
      </c>
      <c r="L22886" t="s">
        <v>286</v>
      </c>
      <c r="M22886" t="s">
        <v>226</v>
      </c>
    </row>
    <row r="22887" spans="1:13" x14ac:dyDescent="0.35">
      <c r="A22887" s="27" t="s">
        <v>227</v>
      </c>
      <c r="B22887" s="27" t="s">
        <v>267</v>
      </c>
      <c r="C22887" s="28">
        <v>0.82350000000000001</v>
      </c>
      <c r="D22887" s="28">
        <v>5.8799999999999998E-2</v>
      </c>
      <c r="E22887" s="28">
        <v>0.1176</v>
      </c>
      <c r="F22887" s="29"/>
      <c r="G22887" s="29"/>
      <c r="H22887" s="29"/>
      <c r="I22887" s="29"/>
      <c r="J22887" s="29"/>
      <c r="K22887" s="29"/>
      <c r="L22887" s="29"/>
      <c r="M22887" s="29" t="s">
        <v>343</v>
      </c>
    </row>
    <row r="22888" spans="1:13" x14ac:dyDescent="0.35">
      <c r="A22888" s="27" t="s">
        <v>227</v>
      </c>
      <c r="B22888" s="27" t="s">
        <v>266</v>
      </c>
      <c r="C22888" s="28">
        <v>0.56000000000000005</v>
      </c>
      <c r="D22888" s="28">
        <v>0.28000000000000003</v>
      </c>
      <c r="E22888" s="28">
        <v>0.08</v>
      </c>
      <c r="F22888" s="29"/>
      <c r="G22888" s="28">
        <v>0.04</v>
      </c>
      <c r="H22888" s="29"/>
      <c r="I22888" s="29"/>
      <c r="J22888" s="28">
        <v>0.04</v>
      </c>
      <c r="K22888" s="29"/>
      <c r="L22888" s="29"/>
      <c r="M22888" s="29" t="s">
        <v>312</v>
      </c>
    </row>
    <row r="22889" spans="1:13" x14ac:dyDescent="0.35">
      <c r="A22889" t="s">
        <v>227</v>
      </c>
      <c r="B22889" t="s">
        <v>265</v>
      </c>
      <c r="C22889" s="26">
        <v>0.86109999999999998</v>
      </c>
      <c r="D22889" s="26">
        <v>5.5599999999999997E-2</v>
      </c>
      <c r="E22889" s="26">
        <v>5.5599999999999997E-2</v>
      </c>
      <c r="H22889" s="26">
        <v>2.7799999999999998E-2</v>
      </c>
      <c r="M22889">
        <v>36</v>
      </c>
    </row>
    <row r="22890" spans="1:13" x14ac:dyDescent="0.35">
      <c r="A22890" t="s">
        <v>228</v>
      </c>
      <c r="B22890" t="s">
        <v>267</v>
      </c>
      <c r="C22890" s="26">
        <v>0.77829999999999999</v>
      </c>
      <c r="D22890" s="26">
        <v>0.1116</v>
      </c>
      <c r="E22890" s="26">
        <v>6.1800000000000001E-2</v>
      </c>
      <c r="F22890" s="26">
        <v>1.9300000000000001E-2</v>
      </c>
      <c r="J22890" s="26">
        <v>1.01E-2</v>
      </c>
      <c r="K22890" s="26">
        <v>1.89E-2</v>
      </c>
      <c r="M22890">
        <v>70</v>
      </c>
    </row>
    <row r="22891" spans="1:13" x14ac:dyDescent="0.35">
      <c r="A22891" t="s">
        <v>228</v>
      </c>
      <c r="B22891" t="s">
        <v>265</v>
      </c>
      <c r="C22891" s="26">
        <v>0.74760000000000004</v>
      </c>
      <c r="D22891" s="26">
        <v>0.13950000000000001</v>
      </c>
      <c r="E22891" s="26">
        <v>7.3700000000000002E-2</v>
      </c>
      <c r="F22891" s="26">
        <v>2.7000000000000001E-3</v>
      </c>
      <c r="H22891" s="26">
        <v>2.63E-2</v>
      </c>
      <c r="I22891" s="26">
        <v>1.0200000000000001E-2</v>
      </c>
      <c r="M22891">
        <v>153</v>
      </c>
    </row>
    <row r="22892" spans="1:13" x14ac:dyDescent="0.35">
      <c r="A22892" s="27" t="s">
        <v>228</v>
      </c>
      <c r="B22892" s="27" t="s">
        <v>236</v>
      </c>
      <c r="C22892" s="29"/>
      <c r="D22892" s="29"/>
      <c r="E22892" s="28">
        <v>1</v>
      </c>
      <c r="F22892" s="29"/>
      <c r="G22892" s="29"/>
      <c r="H22892" s="29"/>
      <c r="I22892" s="29"/>
      <c r="J22892" s="29"/>
      <c r="K22892" s="29"/>
      <c r="L22892" s="29"/>
      <c r="M22892" s="29" t="s">
        <v>331</v>
      </c>
    </row>
    <row r="22893" spans="1:13" x14ac:dyDescent="0.35">
      <c r="A22893" t="s">
        <v>228</v>
      </c>
      <c r="B22893" t="s">
        <v>266</v>
      </c>
      <c r="C22893" s="26">
        <v>0.7016</v>
      </c>
      <c r="D22893" s="26">
        <v>0.2034</v>
      </c>
      <c r="E22893" s="26">
        <v>4.87E-2</v>
      </c>
      <c r="F22893" s="26">
        <v>1.4800000000000001E-2</v>
      </c>
      <c r="G22893" s="26">
        <v>7.7000000000000002E-3</v>
      </c>
      <c r="H22893" s="26">
        <v>4.8999999999999998E-3</v>
      </c>
      <c r="I22893" s="26">
        <v>1.1299999999999999E-2</v>
      </c>
      <c r="J22893" s="26">
        <v>4.8999999999999998E-3</v>
      </c>
      <c r="L22893" s="26">
        <v>2.8E-3</v>
      </c>
      <c r="M22893">
        <v>147</v>
      </c>
    </row>
    <row r="22894" spans="1:13" x14ac:dyDescent="0.35">
      <c r="A22894" t="s">
        <v>229</v>
      </c>
      <c r="B22894" t="s">
        <v>266</v>
      </c>
      <c r="C22894" s="26">
        <v>0.64939999999999998</v>
      </c>
      <c r="D22894" s="26">
        <v>0.1452</v>
      </c>
      <c r="E22894" s="26">
        <v>8.2100000000000006E-2</v>
      </c>
      <c r="F22894" s="26">
        <v>6.6900000000000001E-2</v>
      </c>
      <c r="G22894" s="26">
        <v>3.2399999999999998E-2</v>
      </c>
      <c r="I22894" s="26">
        <v>1.41E-2</v>
      </c>
      <c r="J22894" s="26">
        <v>1.1999999999999999E-3</v>
      </c>
      <c r="K22894" s="26">
        <v>8.6E-3</v>
      </c>
      <c r="M22894">
        <v>123</v>
      </c>
    </row>
    <row r="22895" spans="1:13" x14ac:dyDescent="0.35">
      <c r="A22895" t="s">
        <v>229</v>
      </c>
      <c r="B22895" t="s">
        <v>267</v>
      </c>
      <c r="C22895" s="26">
        <v>0.61680000000000001</v>
      </c>
      <c r="D22895" s="26">
        <v>0.18140000000000001</v>
      </c>
      <c r="E22895" s="26">
        <v>0.17860000000000001</v>
      </c>
      <c r="F22895" s="26">
        <v>7.0000000000000001E-3</v>
      </c>
      <c r="I22895" s="26">
        <v>1.61E-2</v>
      </c>
      <c r="M22895">
        <v>79</v>
      </c>
    </row>
    <row r="22896" spans="1:13" x14ac:dyDescent="0.35">
      <c r="A22896" t="s">
        <v>229</v>
      </c>
      <c r="B22896" t="s">
        <v>265</v>
      </c>
      <c r="C22896" s="26">
        <v>0.70860000000000001</v>
      </c>
      <c r="D22896" s="26">
        <v>0.13100000000000001</v>
      </c>
      <c r="E22896" s="26">
        <v>5.21E-2</v>
      </c>
      <c r="F22896" s="26">
        <v>3.15E-2</v>
      </c>
      <c r="G22896" s="26">
        <v>1.8200000000000001E-2</v>
      </c>
      <c r="H22896" s="26">
        <v>2.7799999999999998E-2</v>
      </c>
      <c r="I22896" s="26">
        <v>1.1999999999999999E-3</v>
      </c>
      <c r="J22896" s="26">
        <v>9.1000000000000004E-3</v>
      </c>
      <c r="K22896" s="26">
        <v>1.8200000000000001E-2</v>
      </c>
      <c r="L22896" s="26">
        <v>2.3999999999999998E-3</v>
      </c>
      <c r="M22896">
        <v>142</v>
      </c>
    </row>
    <row r="22897" spans="1:13" x14ac:dyDescent="0.35">
      <c r="A22897" t="s">
        <v>230</v>
      </c>
      <c r="B22897" t="s">
        <v>267</v>
      </c>
      <c r="C22897" s="26">
        <v>0.66349999999999998</v>
      </c>
      <c r="D22897" s="26">
        <v>0.2802</v>
      </c>
      <c r="E22897" s="26">
        <v>2.63E-2</v>
      </c>
      <c r="F22897" s="26">
        <v>1.32E-2</v>
      </c>
      <c r="I22897" s="26">
        <v>1.6799999999999999E-2</v>
      </c>
      <c r="M22897">
        <v>48</v>
      </c>
    </row>
    <row r="22898" spans="1:13" x14ac:dyDescent="0.35">
      <c r="A22898" t="s">
        <v>230</v>
      </c>
      <c r="B22898" t="s">
        <v>266</v>
      </c>
      <c r="C22898" s="26">
        <v>0.60970000000000002</v>
      </c>
      <c r="D22898" s="26">
        <v>0.18590000000000001</v>
      </c>
      <c r="E22898" s="26">
        <v>0.1077</v>
      </c>
      <c r="F22898" s="26">
        <v>8.2000000000000007E-3</v>
      </c>
      <c r="G22898" s="26">
        <v>3.73E-2</v>
      </c>
      <c r="I22898" s="26">
        <v>4.2999999999999997E-2</v>
      </c>
      <c r="K22898" s="26">
        <v>8.2000000000000007E-3</v>
      </c>
      <c r="M22898">
        <v>96</v>
      </c>
    </row>
    <row r="22899" spans="1:13" x14ac:dyDescent="0.35">
      <c r="A22899" t="s">
        <v>230</v>
      </c>
      <c r="B22899" t="s">
        <v>265</v>
      </c>
      <c r="C22899" s="26">
        <v>0.74960000000000004</v>
      </c>
      <c r="D22899" s="26">
        <v>9.8000000000000004E-2</v>
      </c>
      <c r="E22899" s="26">
        <v>0.1101</v>
      </c>
      <c r="F22899" s="26">
        <v>3.56E-2</v>
      </c>
      <c r="G22899" s="26">
        <v>5.1999999999999998E-3</v>
      </c>
      <c r="H22899" s="26">
        <v>1.6000000000000001E-3</v>
      </c>
      <c r="M22899">
        <v>92</v>
      </c>
    </row>
    <row r="22900" spans="1:13" x14ac:dyDescent="0.35">
      <c r="A22900" s="27" t="s">
        <v>231</v>
      </c>
      <c r="B22900" s="27" t="s">
        <v>267</v>
      </c>
      <c r="C22900" s="28">
        <v>0.57140000000000002</v>
      </c>
      <c r="D22900" s="28">
        <v>0.42859999999999998</v>
      </c>
      <c r="E22900" s="29"/>
      <c r="F22900" s="29"/>
      <c r="G22900" s="29"/>
      <c r="H22900" s="29"/>
      <c r="I22900" s="29"/>
      <c r="J22900" s="29"/>
      <c r="K22900" s="29"/>
      <c r="L22900" s="29"/>
      <c r="M22900" s="29" t="s">
        <v>379</v>
      </c>
    </row>
    <row r="22901" spans="1:13" x14ac:dyDescent="0.35">
      <c r="A22901" s="27" t="s">
        <v>231</v>
      </c>
      <c r="B22901" s="27" t="s">
        <v>266</v>
      </c>
      <c r="C22901" s="28">
        <v>0.65</v>
      </c>
      <c r="D22901" s="28">
        <v>0.15</v>
      </c>
      <c r="E22901" s="28">
        <v>0.05</v>
      </c>
      <c r="F22901" s="28">
        <v>0.15</v>
      </c>
      <c r="G22901" s="29"/>
      <c r="H22901" s="29"/>
      <c r="I22901" s="29"/>
      <c r="J22901" s="29"/>
      <c r="K22901" s="29"/>
      <c r="L22901" s="29"/>
      <c r="M22901" s="29" t="s">
        <v>350</v>
      </c>
    </row>
    <row r="22902" spans="1:13" x14ac:dyDescent="0.35">
      <c r="A22902" t="s">
        <v>231</v>
      </c>
      <c r="B22902" t="s">
        <v>265</v>
      </c>
      <c r="C22902" s="26">
        <v>0.63329999999999997</v>
      </c>
      <c r="D22902" s="26">
        <v>0.23330000000000001</v>
      </c>
      <c r="E22902" s="26">
        <v>6.6699999999999995E-2</v>
      </c>
      <c r="F22902" s="26">
        <v>6.6699999999999995E-2</v>
      </c>
      <c r="M22902">
        <v>30</v>
      </c>
    </row>
    <row r="22903" spans="1:13" x14ac:dyDescent="0.35">
      <c r="A22903" t="s">
        <v>232</v>
      </c>
      <c r="B22903" t="s">
        <v>232</v>
      </c>
      <c r="C22903" s="26">
        <v>0.68469999999999998</v>
      </c>
      <c r="D22903" s="26">
        <v>0.17730000000000001</v>
      </c>
      <c r="E22903" s="26">
        <v>7.1999999999999995E-2</v>
      </c>
      <c r="F22903" s="26">
        <v>3.5799999999999998E-2</v>
      </c>
      <c r="G22903" s="26">
        <v>8.8999999999999999E-3</v>
      </c>
      <c r="H22903" s="26">
        <v>8.0999999999999996E-3</v>
      </c>
      <c r="I22903" s="26">
        <v>5.1999999999999998E-3</v>
      </c>
      <c r="J22903" s="26">
        <v>4.3E-3</v>
      </c>
      <c r="K22903" s="26">
        <v>3.3999999999999998E-3</v>
      </c>
      <c r="L22903" s="26">
        <v>4.0000000000000002E-4</v>
      </c>
      <c r="M22903">
        <v>1093</v>
      </c>
    </row>
    <row r="22905" spans="1:13" x14ac:dyDescent="0.35">
      <c r="A22905" s="1" t="s">
        <v>2192</v>
      </c>
    </row>
    <row r="22906" spans="1:13" x14ac:dyDescent="0.35">
      <c r="A22906" t="s">
        <v>219</v>
      </c>
      <c r="B22906" t="s">
        <v>305</v>
      </c>
      <c r="C22906" t="s">
        <v>2179</v>
      </c>
      <c r="D22906" t="s">
        <v>2180</v>
      </c>
      <c r="E22906" t="s">
        <v>2181</v>
      </c>
      <c r="F22906" t="s">
        <v>2182</v>
      </c>
      <c r="G22906" t="s">
        <v>2183</v>
      </c>
      <c r="H22906" t="s">
        <v>2184</v>
      </c>
      <c r="I22906" t="s">
        <v>2185</v>
      </c>
      <c r="J22906" t="s">
        <v>2186</v>
      </c>
      <c r="K22906" t="s">
        <v>281</v>
      </c>
      <c r="L22906" t="s">
        <v>286</v>
      </c>
      <c r="M22906" t="s">
        <v>226</v>
      </c>
    </row>
    <row r="22907" spans="1:13" x14ac:dyDescent="0.35">
      <c r="A22907" s="27" t="s">
        <v>227</v>
      </c>
      <c r="B22907" s="27" t="s">
        <v>252</v>
      </c>
      <c r="C22907" s="28">
        <v>0.70830000000000004</v>
      </c>
      <c r="D22907" s="28">
        <v>0.16669999999999999</v>
      </c>
      <c r="E22907" s="28">
        <v>8.3299999999999999E-2</v>
      </c>
      <c r="F22907" s="29"/>
      <c r="G22907" s="29"/>
      <c r="H22907" s="29"/>
      <c r="I22907" s="29"/>
      <c r="J22907" s="28">
        <v>4.1700000000000001E-2</v>
      </c>
      <c r="K22907" s="29"/>
      <c r="L22907" s="29"/>
      <c r="M22907" s="29" t="s">
        <v>310</v>
      </c>
    </row>
    <row r="22908" spans="1:13" x14ac:dyDescent="0.35">
      <c r="A22908" s="27" t="s">
        <v>227</v>
      </c>
      <c r="B22908" s="27" t="s">
        <v>253</v>
      </c>
      <c r="C22908" s="28">
        <v>0.75</v>
      </c>
      <c r="D22908" s="28">
        <v>0.1</v>
      </c>
      <c r="E22908" s="28">
        <v>0.15</v>
      </c>
      <c r="F22908" s="29"/>
      <c r="G22908" s="29"/>
      <c r="H22908" s="29"/>
      <c r="I22908" s="29"/>
      <c r="J22908" s="29"/>
      <c r="K22908" s="29"/>
      <c r="L22908" s="29"/>
      <c r="M22908" s="29" t="s">
        <v>350</v>
      </c>
    </row>
    <row r="22909" spans="1:13" x14ac:dyDescent="0.35">
      <c r="A22909" t="s">
        <v>227</v>
      </c>
      <c r="B22909" t="s">
        <v>251</v>
      </c>
      <c r="C22909" s="26">
        <v>0.79410000000000003</v>
      </c>
      <c r="D22909" s="26">
        <v>0.1176</v>
      </c>
      <c r="E22909" s="26">
        <v>2.9399999999999999E-2</v>
      </c>
      <c r="G22909" s="26">
        <v>2.9399999999999999E-2</v>
      </c>
      <c r="H22909" s="26">
        <v>2.9399999999999999E-2</v>
      </c>
      <c r="M22909">
        <v>34</v>
      </c>
    </row>
    <row r="22910" spans="1:13" x14ac:dyDescent="0.35">
      <c r="A22910" t="s">
        <v>228</v>
      </c>
      <c r="B22910" t="s">
        <v>252</v>
      </c>
      <c r="C22910" s="26">
        <v>0.72540000000000004</v>
      </c>
      <c r="D22910" s="26">
        <v>0.21329999999999999</v>
      </c>
      <c r="E22910" s="26">
        <v>2.23E-2</v>
      </c>
      <c r="G22910" s="26">
        <v>3.5000000000000001E-3</v>
      </c>
      <c r="H22910" s="26">
        <v>3.5000000000000001E-3</v>
      </c>
      <c r="I22910" s="26">
        <v>1.18E-2</v>
      </c>
      <c r="J22910" s="26">
        <v>1.18E-2</v>
      </c>
      <c r="K22910" s="26">
        <v>5.1000000000000004E-3</v>
      </c>
      <c r="L22910" s="26">
        <v>3.5000000000000001E-3</v>
      </c>
      <c r="M22910">
        <v>117</v>
      </c>
    </row>
    <row r="22911" spans="1:13" x14ac:dyDescent="0.35">
      <c r="A22911" t="s">
        <v>228</v>
      </c>
      <c r="B22911" t="s">
        <v>253</v>
      </c>
      <c r="C22911" s="26">
        <v>0.69910000000000005</v>
      </c>
      <c r="D22911" s="26">
        <v>9.7900000000000001E-2</v>
      </c>
      <c r="E22911" s="26">
        <v>0.1792</v>
      </c>
      <c r="F22911" s="26">
        <v>3.5999999999999999E-3</v>
      </c>
      <c r="G22911" s="26">
        <v>6.1000000000000004E-3</v>
      </c>
      <c r="I22911" s="26">
        <v>1.4200000000000001E-2</v>
      </c>
      <c r="M22911">
        <v>97</v>
      </c>
    </row>
    <row r="22912" spans="1:13" x14ac:dyDescent="0.35">
      <c r="A22912" t="s">
        <v>228</v>
      </c>
      <c r="B22912" t="s">
        <v>251</v>
      </c>
      <c r="C22912" s="26">
        <v>0.74529999999999996</v>
      </c>
      <c r="D22912" s="26">
        <v>0.15110000000000001</v>
      </c>
      <c r="E22912" s="26">
        <v>4.9599999999999998E-2</v>
      </c>
      <c r="F22912" s="26">
        <v>1.7100000000000001E-2</v>
      </c>
      <c r="H22912" s="26">
        <v>2.9499999999999998E-2</v>
      </c>
      <c r="I22912" s="26">
        <v>4.3E-3</v>
      </c>
      <c r="K22912" s="26">
        <v>3.3E-3</v>
      </c>
      <c r="M22912">
        <v>157</v>
      </c>
    </row>
    <row r="22913" spans="1:13" x14ac:dyDescent="0.35">
      <c r="A22913" t="s">
        <v>229</v>
      </c>
      <c r="B22913" t="s">
        <v>252</v>
      </c>
      <c r="C22913" s="26">
        <v>0.70809999999999995</v>
      </c>
      <c r="D22913" s="26">
        <v>0.20430000000000001</v>
      </c>
      <c r="E22913" s="26">
        <v>2.5100000000000001E-2</v>
      </c>
      <c r="F22913" s="26">
        <v>3.8999999999999998E-3</v>
      </c>
      <c r="G22913" s="26">
        <v>2.93E-2</v>
      </c>
      <c r="K22913" s="26">
        <v>2.93E-2</v>
      </c>
      <c r="M22913">
        <v>93</v>
      </c>
    </row>
    <row r="22914" spans="1:13" x14ac:dyDescent="0.35">
      <c r="A22914" t="s">
        <v>229</v>
      </c>
      <c r="B22914" t="s">
        <v>253</v>
      </c>
      <c r="C22914" s="26">
        <v>0.69699999999999995</v>
      </c>
      <c r="D22914" s="26">
        <v>5.5599999999999997E-2</v>
      </c>
      <c r="E22914" s="26">
        <v>0.1348</v>
      </c>
      <c r="F22914" s="26">
        <v>4.2799999999999998E-2</v>
      </c>
      <c r="G22914" s="26">
        <v>3.2099999999999997E-2</v>
      </c>
      <c r="H22914" s="26">
        <v>3.2099999999999997E-2</v>
      </c>
      <c r="I22914" s="26">
        <v>2.2000000000000001E-3</v>
      </c>
      <c r="J22914" s="26">
        <v>3.3999999999999998E-3</v>
      </c>
      <c r="M22914">
        <v>67</v>
      </c>
    </row>
    <row r="22915" spans="1:13" x14ac:dyDescent="0.35">
      <c r="A22915" t="s">
        <v>229</v>
      </c>
      <c r="B22915" t="s">
        <v>251</v>
      </c>
      <c r="C22915" s="26">
        <v>0.62680000000000002</v>
      </c>
      <c r="D22915" s="26">
        <v>0.16470000000000001</v>
      </c>
      <c r="E22915" s="26">
        <v>0.1048</v>
      </c>
      <c r="F22915" s="26">
        <v>5.5300000000000002E-2</v>
      </c>
      <c r="H22915" s="26">
        <v>1.18E-2</v>
      </c>
      <c r="I22915" s="26">
        <v>1.84E-2</v>
      </c>
      <c r="J22915" s="26">
        <v>9.4999999999999998E-3</v>
      </c>
      <c r="K22915" s="26">
        <v>5.8999999999999999E-3</v>
      </c>
      <c r="L22915" s="26">
        <v>2.8999999999999998E-3</v>
      </c>
      <c r="M22915">
        <v>184</v>
      </c>
    </row>
    <row r="22916" spans="1:13" x14ac:dyDescent="0.35">
      <c r="A22916" t="s">
        <v>230</v>
      </c>
      <c r="B22916" t="s">
        <v>252</v>
      </c>
      <c r="C22916" s="26">
        <v>0.70779999999999998</v>
      </c>
      <c r="D22916" s="26">
        <v>0.1827</v>
      </c>
      <c r="E22916" s="26">
        <v>9.5799999999999996E-2</v>
      </c>
      <c r="F22916" s="26">
        <v>8.6E-3</v>
      </c>
      <c r="I22916" s="26">
        <v>5.1999999999999998E-3</v>
      </c>
      <c r="M22916">
        <v>74</v>
      </c>
    </row>
    <row r="22917" spans="1:13" x14ac:dyDescent="0.35">
      <c r="A22917" t="s">
        <v>230</v>
      </c>
      <c r="B22917" t="s">
        <v>253</v>
      </c>
      <c r="C22917" s="26">
        <v>0.76949999999999996</v>
      </c>
      <c r="D22917" s="26">
        <v>3.3000000000000002E-2</v>
      </c>
      <c r="E22917" s="26">
        <v>0.17469999999999999</v>
      </c>
      <c r="F22917" s="26">
        <v>1.1299999999999999E-2</v>
      </c>
      <c r="G22917" s="26">
        <v>1.15E-2</v>
      </c>
      <c r="M22917">
        <v>48</v>
      </c>
    </row>
    <row r="22918" spans="1:13" x14ac:dyDescent="0.35">
      <c r="A22918" t="s">
        <v>230</v>
      </c>
      <c r="B22918" t="s">
        <v>251</v>
      </c>
      <c r="C22918" s="26">
        <v>0.63600000000000001</v>
      </c>
      <c r="D22918" s="26">
        <v>0.20250000000000001</v>
      </c>
      <c r="E22918" s="26">
        <v>6.2799999999999995E-2</v>
      </c>
      <c r="F22918" s="26">
        <v>3.2099999999999997E-2</v>
      </c>
      <c r="G22918" s="26">
        <v>2.63E-2</v>
      </c>
      <c r="H22918" s="26">
        <v>1.2999999999999999E-3</v>
      </c>
      <c r="I22918" s="26">
        <v>3.3300000000000003E-2</v>
      </c>
      <c r="K22918" s="26">
        <v>5.7999999999999996E-3</v>
      </c>
      <c r="M22918">
        <v>114</v>
      </c>
    </row>
    <row r="22919" spans="1:13" x14ac:dyDescent="0.35">
      <c r="A22919" s="27" t="s">
        <v>231</v>
      </c>
      <c r="B22919" s="27" t="s">
        <v>252</v>
      </c>
      <c r="C22919" s="28">
        <v>0.6</v>
      </c>
      <c r="D22919" s="28">
        <v>0.35</v>
      </c>
      <c r="E22919" s="29"/>
      <c r="F22919" s="28">
        <v>0.05</v>
      </c>
      <c r="G22919" s="29"/>
      <c r="H22919" s="29"/>
      <c r="I22919" s="29"/>
      <c r="J22919" s="29"/>
      <c r="K22919" s="29"/>
      <c r="L22919" s="29"/>
      <c r="M22919" s="29" t="s">
        <v>350</v>
      </c>
    </row>
    <row r="22920" spans="1:13" x14ac:dyDescent="0.35">
      <c r="A22920" s="27" t="s">
        <v>231</v>
      </c>
      <c r="B22920" s="27" t="s">
        <v>253</v>
      </c>
      <c r="C22920" s="28">
        <v>0.6</v>
      </c>
      <c r="D22920" s="28">
        <v>0.26669999999999999</v>
      </c>
      <c r="E22920" s="29"/>
      <c r="F22920" s="28">
        <v>0.1333</v>
      </c>
      <c r="G22920" s="29"/>
      <c r="H22920" s="29"/>
      <c r="I22920" s="29"/>
      <c r="J22920" s="29"/>
      <c r="K22920" s="29"/>
      <c r="L22920" s="29"/>
      <c r="M22920" s="29" t="s">
        <v>346</v>
      </c>
    </row>
    <row r="22921" spans="1:13" x14ac:dyDescent="0.35">
      <c r="A22921" s="27" t="s">
        <v>231</v>
      </c>
      <c r="B22921" s="27" t="s">
        <v>251</v>
      </c>
      <c r="C22921" s="28">
        <v>0.6552</v>
      </c>
      <c r="D22921" s="28">
        <v>0.1724</v>
      </c>
      <c r="E22921" s="28">
        <v>0.10340000000000001</v>
      </c>
      <c r="F22921" s="28">
        <v>6.9000000000000006E-2</v>
      </c>
      <c r="G22921" s="29"/>
      <c r="H22921" s="29"/>
      <c r="I22921" s="29"/>
      <c r="J22921" s="29"/>
      <c r="K22921" s="29"/>
      <c r="L22921" s="29"/>
      <c r="M22921" s="29" t="s">
        <v>329</v>
      </c>
    </row>
    <row r="22922" spans="1:13" x14ac:dyDescent="0.35">
      <c r="A22922" t="s">
        <v>232</v>
      </c>
      <c r="B22922" t="s">
        <v>232</v>
      </c>
      <c r="C22922" s="26">
        <v>0.68469999999999998</v>
      </c>
      <c r="D22922" s="26">
        <v>0.17730000000000001</v>
      </c>
      <c r="E22922" s="26">
        <v>7.1999999999999995E-2</v>
      </c>
      <c r="F22922" s="26">
        <v>3.5799999999999998E-2</v>
      </c>
      <c r="G22922" s="26">
        <v>8.8999999999999999E-3</v>
      </c>
      <c r="H22922" s="26">
        <v>8.0999999999999996E-3</v>
      </c>
      <c r="I22922" s="26">
        <v>5.1999999999999998E-3</v>
      </c>
      <c r="J22922" s="26">
        <v>4.3E-3</v>
      </c>
      <c r="K22922" s="26">
        <v>3.3999999999999998E-3</v>
      </c>
      <c r="L22922" s="26">
        <v>4.0000000000000002E-4</v>
      </c>
      <c r="M22922">
        <v>1093</v>
      </c>
    </row>
    <row r="22924" spans="1:13" x14ac:dyDescent="0.35">
      <c r="A22924" s="1" t="s">
        <v>2193</v>
      </c>
    </row>
    <row r="22925" spans="1:13" x14ac:dyDescent="0.35">
      <c r="A22925" t="s">
        <v>219</v>
      </c>
      <c r="B22925" t="s">
        <v>305</v>
      </c>
      <c r="C22925" t="s">
        <v>2179</v>
      </c>
      <c r="D22925" t="s">
        <v>2180</v>
      </c>
      <c r="E22925" t="s">
        <v>2181</v>
      </c>
      <c r="F22925" t="s">
        <v>2182</v>
      </c>
      <c r="G22925" t="s">
        <v>2183</v>
      </c>
      <c r="H22925" t="s">
        <v>2184</v>
      </c>
      <c r="I22925" t="s">
        <v>2185</v>
      </c>
      <c r="J22925" t="s">
        <v>2186</v>
      </c>
      <c r="K22925" t="s">
        <v>281</v>
      </c>
      <c r="L22925" t="s">
        <v>286</v>
      </c>
      <c r="M22925" t="s">
        <v>226</v>
      </c>
    </row>
    <row r="22926" spans="1:13" x14ac:dyDescent="0.35">
      <c r="A22926" s="27" t="s">
        <v>227</v>
      </c>
      <c r="B22926" s="27" t="s">
        <v>249</v>
      </c>
      <c r="C22926" s="28">
        <v>0.73909999999999998</v>
      </c>
      <c r="D22926" s="28">
        <v>8.6999999999999994E-2</v>
      </c>
      <c r="E22926" s="28">
        <v>8.6999999999999994E-2</v>
      </c>
      <c r="F22926" s="29"/>
      <c r="G22926" s="28">
        <v>4.3499999999999997E-2</v>
      </c>
      <c r="H22926" s="28">
        <v>4.3499999999999997E-2</v>
      </c>
      <c r="I22926" s="29"/>
      <c r="J22926" s="29"/>
      <c r="K22926" s="29"/>
      <c r="L22926" s="29"/>
      <c r="M22926" s="29" t="s">
        <v>328</v>
      </c>
    </row>
    <row r="22927" spans="1:13" x14ac:dyDescent="0.35">
      <c r="A22927" t="s">
        <v>227</v>
      </c>
      <c r="B22927" t="s">
        <v>248</v>
      </c>
      <c r="C22927" s="26">
        <v>0.76359999999999995</v>
      </c>
      <c r="D22927" s="26">
        <v>0.14549999999999999</v>
      </c>
      <c r="E22927" s="26">
        <v>7.2700000000000001E-2</v>
      </c>
      <c r="J22927" s="26">
        <v>1.8200000000000001E-2</v>
      </c>
      <c r="M22927">
        <v>55</v>
      </c>
    </row>
    <row r="22928" spans="1:13" x14ac:dyDescent="0.35">
      <c r="A22928" t="s">
        <v>228</v>
      </c>
      <c r="B22928" t="s">
        <v>249</v>
      </c>
      <c r="C22928" s="26">
        <v>0.77280000000000004</v>
      </c>
      <c r="D22928" s="26">
        <v>9.4500000000000001E-2</v>
      </c>
      <c r="E22928" s="26">
        <v>7.2400000000000006E-2</v>
      </c>
      <c r="F22928" s="26">
        <v>1.83E-2</v>
      </c>
      <c r="H22928" s="26">
        <v>3.3599999999999998E-2</v>
      </c>
      <c r="I22928" s="26">
        <v>4.1999999999999997E-3</v>
      </c>
      <c r="K22928" s="26">
        <v>4.1999999999999997E-3</v>
      </c>
      <c r="M22928">
        <v>111</v>
      </c>
    </row>
    <row r="22929" spans="1:13" x14ac:dyDescent="0.35">
      <c r="A22929" t="s">
        <v>228</v>
      </c>
      <c r="B22929" t="s">
        <v>248</v>
      </c>
      <c r="C22929" s="26">
        <v>0.70169999999999999</v>
      </c>
      <c r="D22929" s="26">
        <v>0.1893</v>
      </c>
      <c r="E22929" s="26">
        <v>7.7299999999999994E-2</v>
      </c>
      <c r="F22929" s="26">
        <v>3.5999999999999999E-3</v>
      </c>
      <c r="G22929" s="26">
        <v>4.0000000000000001E-3</v>
      </c>
      <c r="H22929" s="26">
        <v>4.0000000000000001E-3</v>
      </c>
      <c r="I22929" s="26">
        <v>1.1599999999999999E-2</v>
      </c>
      <c r="J22929" s="26">
        <v>5.0000000000000001E-3</v>
      </c>
      <c r="K22929" s="26">
        <v>2.2000000000000001E-3</v>
      </c>
      <c r="L22929" s="26">
        <v>1.5E-3</v>
      </c>
      <c r="M22929">
        <v>260</v>
      </c>
    </row>
    <row r="22930" spans="1:13" x14ac:dyDescent="0.35">
      <c r="A22930" t="s">
        <v>229</v>
      </c>
      <c r="B22930" t="s">
        <v>249</v>
      </c>
      <c r="C22930" s="26">
        <v>0.54559999999999997</v>
      </c>
      <c r="D22930" s="26">
        <v>0.14829999999999999</v>
      </c>
      <c r="E22930" s="26">
        <v>0.13350000000000001</v>
      </c>
      <c r="F22930" s="26">
        <v>7.4999999999999997E-2</v>
      </c>
      <c r="G22930" s="26">
        <v>3.1199999999999999E-2</v>
      </c>
      <c r="H22930" s="26">
        <v>3.95E-2</v>
      </c>
      <c r="I22930" s="26">
        <v>1.04E-2</v>
      </c>
      <c r="J22930" s="26">
        <v>8.2000000000000007E-3</v>
      </c>
      <c r="K22930" s="26">
        <v>8.3000000000000001E-3</v>
      </c>
      <c r="M22930">
        <v>94</v>
      </c>
    </row>
    <row r="22931" spans="1:13" x14ac:dyDescent="0.35">
      <c r="A22931" t="s">
        <v>229</v>
      </c>
      <c r="B22931" t="s">
        <v>248</v>
      </c>
      <c r="C22931" s="26">
        <v>0.72299999999999998</v>
      </c>
      <c r="D22931" s="26">
        <v>0.14530000000000001</v>
      </c>
      <c r="E22931" s="26">
        <v>7.0400000000000004E-2</v>
      </c>
      <c r="F22931" s="26">
        <v>0.02</v>
      </c>
      <c r="G22931" s="26">
        <v>1.2699999999999999E-2</v>
      </c>
      <c r="H22931" s="26">
        <v>3.3999999999999998E-3</v>
      </c>
      <c r="I22931" s="26">
        <v>7.1999999999999998E-3</v>
      </c>
      <c r="J22931" s="26">
        <v>3.5000000000000001E-3</v>
      </c>
      <c r="K22931" s="26">
        <v>1.2699999999999999E-2</v>
      </c>
      <c r="L22931" s="26">
        <v>1.6999999999999999E-3</v>
      </c>
      <c r="M22931">
        <v>250</v>
      </c>
    </row>
    <row r="22932" spans="1:13" x14ac:dyDescent="0.35">
      <c r="A22932" t="s">
        <v>230</v>
      </c>
      <c r="B22932" t="s">
        <v>249</v>
      </c>
      <c r="C22932" s="26">
        <v>0.64370000000000005</v>
      </c>
      <c r="D22932" s="26">
        <v>0.13930000000000001</v>
      </c>
      <c r="E22932" s="26">
        <v>9.2600000000000002E-2</v>
      </c>
      <c r="F22932" s="26">
        <v>3.5799999999999998E-2</v>
      </c>
      <c r="G22932" s="26">
        <v>3.9800000000000002E-2</v>
      </c>
      <c r="H22932" s="26">
        <v>1.6999999999999999E-3</v>
      </c>
      <c r="I22932" s="26">
        <v>4.1399999999999999E-2</v>
      </c>
      <c r="K22932" s="26">
        <v>5.7000000000000002E-3</v>
      </c>
      <c r="M22932">
        <v>83</v>
      </c>
    </row>
    <row r="22933" spans="1:13" x14ac:dyDescent="0.35">
      <c r="A22933" t="s">
        <v>230</v>
      </c>
      <c r="B22933" t="s">
        <v>248</v>
      </c>
      <c r="C22933" s="26">
        <v>0.70899999999999996</v>
      </c>
      <c r="D22933" s="26">
        <v>0.17899999999999999</v>
      </c>
      <c r="E22933" s="26">
        <v>9.5500000000000002E-2</v>
      </c>
      <c r="F22933" s="26">
        <v>1.17E-2</v>
      </c>
      <c r="I22933" s="26">
        <v>3.5000000000000001E-3</v>
      </c>
      <c r="K22933" s="26">
        <v>1.1999999999999999E-3</v>
      </c>
      <c r="M22933">
        <v>153</v>
      </c>
    </row>
    <row r="22934" spans="1:13" x14ac:dyDescent="0.35">
      <c r="A22934" s="27" t="s">
        <v>231</v>
      </c>
      <c r="B22934" s="27" t="s">
        <v>249</v>
      </c>
      <c r="C22934" s="28">
        <v>0.5</v>
      </c>
      <c r="D22934" s="28">
        <v>0.125</v>
      </c>
      <c r="E22934" s="28">
        <v>0.1875</v>
      </c>
      <c r="F22934" s="28">
        <v>0.1875</v>
      </c>
      <c r="G22934" s="29"/>
      <c r="H22934" s="29"/>
      <c r="I22934" s="29"/>
      <c r="J22934" s="29"/>
      <c r="K22934" s="29"/>
      <c r="L22934" s="29"/>
      <c r="M22934" s="29" t="s">
        <v>348</v>
      </c>
    </row>
    <row r="22935" spans="1:13" x14ac:dyDescent="0.35">
      <c r="A22935" t="s">
        <v>231</v>
      </c>
      <c r="B22935" t="s">
        <v>248</v>
      </c>
      <c r="C22935" s="26">
        <v>0.66669999999999996</v>
      </c>
      <c r="D22935" s="26">
        <v>0.29170000000000001</v>
      </c>
      <c r="F22935" s="26">
        <v>4.1700000000000001E-2</v>
      </c>
      <c r="M22935">
        <v>48</v>
      </c>
    </row>
    <row r="22936" spans="1:13" x14ac:dyDescent="0.35">
      <c r="A22936" t="s">
        <v>232</v>
      </c>
      <c r="B22936" t="s">
        <v>232</v>
      </c>
      <c r="C22936" s="26">
        <v>0.68469999999999998</v>
      </c>
      <c r="D22936" s="26">
        <v>0.17730000000000001</v>
      </c>
      <c r="E22936" s="26">
        <v>7.1999999999999995E-2</v>
      </c>
      <c r="F22936" s="26">
        <v>3.5799999999999998E-2</v>
      </c>
      <c r="G22936" s="26">
        <v>8.8999999999999999E-3</v>
      </c>
      <c r="H22936" s="26">
        <v>8.0999999999999996E-3</v>
      </c>
      <c r="I22936" s="26">
        <v>5.1999999999999998E-3</v>
      </c>
      <c r="J22936" s="26">
        <v>4.3E-3</v>
      </c>
      <c r="K22936" s="26">
        <v>3.3999999999999998E-3</v>
      </c>
      <c r="L22936" s="26">
        <v>4.0000000000000002E-4</v>
      </c>
      <c r="M22936">
        <v>1093</v>
      </c>
    </row>
    <row r="22938" spans="1:13" x14ac:dyDescent="0.35">
      <c r="A22938" s="1" t="s">
        <v>2194</v>
      </c>
    </row>
    <row r="22939" spans="1:13" x14ac:dyDescent="0.35">
      <c r="A22939" t="s">
        <v>219</v>
      </c>
      <c r="B22939" t="s">
        <v>305</v>
      </c>
      <c r="C22939" t="s">
        <v>2179</v>
      </c>
      <c r="D22939" t="s">
        <v>2180</v>
      </c>
      <c r="E22939" t="s">
        <v>2181</v>
      </c>
      <c r="F22939" t="s">
        <v>2182</v>
      </c>
      <c r="G22939" t="s">
        <v>2183</v>
      </c>
      <c r="H22939" t="s">
        <v>2184</v>
      </c>
      <c r="I22939" t="s">
        <v>2185</v>
      </c>
      <c r="J22939" t="s">
        <v>2186</v>
      </c>
      <c r="K22939" t="s">
        <v>281</v>
      </c>
      <c r="L22939" t="s">
        <v>286</v>
      </c>
      <c r="M22939" t="s">
        <v>226</v>
      </c>
    </row>
    <row r="22940" spans="1:13" x14ac:dyDescent="0.35">
      <c r="A22940" s="27" t="s">
        <v>227</v>
      </c>
      <c r="B22940" s="27" t="s">
        <v>263</v>
      </c>
      <c r="C22940" s="29"/>
      <c r="D22940" s="28">
        <v>1</v>
      </c>
      <c r="E22940" s="29"/>
      <c r="F22940" s="29"/>
      <c r="G22940" s="29"/>
      <c r="H22940" s="29"/>
      <c r="I22940" s="29"/>
      <c r="J22940" s="29"/>
      <c r="K22940" s="29"/>
      <c r="L22940" s="29"/>
      <c r="M22940" s="29" t="s">
        <v>331</v>
      </c>
    </row>
    <row r="22941" spans="1:13" x14ac:dyDescent="0.35">
      <c r="A22941" t="s">
        <v>227</v>
      </c>
      <c r="B22941" t="s">
        <v>260</v>
      </c>
      <c r="C22941" s="26">
        <v>0.77590000000000003</v>
      </c>
      <c r="D22941" s="26">
        <v>0.1207</v>
      </c>
      <c r="E22941" s="26">
        <v>6.9000000000000006E-2</v>
      </c>
      <c r="G22941" s="26">
        <v>1.72E-2</v>
      </c>
      <c r="H22941" s="26">
        <v>1.72E-2</v>
      </c>
      <c r="M22941">
        <v>58</v>
      </c>
    </row>
    <row r="22942" spans="1:13" x14ac:dyDescent="0.35">
      <c r="A22942" s="27" t="s">
        <v>227</v>
      </c>
      <c r="B22942" s="27" t="s">
        <v>261</v>
      </c>
      <c r="C22942" s="28">
        <v>0.73680000000000001</v>
      </c>
      <c r="D22942" s="28">
        <v>0.1053</v>
      </c>
      <c r="E22942" s="28">
        <v>0.1053</v>
      </c>
      <c r="F22942" s="29"/>
      <c r="G22942" s="29"/>
      <c r="H22942" s="29"/>
      <c r="I22942" s="29"/>
      <c r="J22942" s="28">
        <v>5.2600000000000001E-2</v>
      </c>
      <c r="K22942" s="29"/>
      <c r="L22942" s="29"/>
      <c r="M22942" s="29" t="s">
        <v>349</v>
      </c>
    </row>
    <row r="22943" spans="1:13" x14ac:dyDescent="0.35">
      <c r="A22943" t="s">
        <v>228</v>
      </c>
      <c r="B22943" t="s">
        <v>260</v>
      </c>
      <c r="C22943" s="26">
        <v>0.72629999999999995</v>
      </c>
      <c r="D22943" s="26">
        <v>0.15129999999999999</v>
      </c>
      <c r="E22943" s="26">
        <v>7.4999999999999997E-2</v>
      </c>
      <c r="F22943" s="26">
        <v>1.09E-2</v>
      </c>
      <c r="G22943" s="26">
        <v>2.3E-3</v>
      </c>
      <c r="H22943" s="26">
        <v>2.2599999999999999E-2</v>
      </c>
      <c r="I22943" s="26">
        <v>1.0200000000000001E-2</v>
      </c>
      <c r="L22943" s="26">
        <v>1.4E-3</v>
      </c>
      <c r="M22943">
        <v>232</v>
      </c>
    </row>
    <row r="22944" spans="1:13" x14ac:dyDescent="0.35">
      <c r="A22944" s="27" t="s">
        <v>228</v>
      </c>
      <c r="B22944" s="27" t="s">
        <v>263</v>
      </c>
      <c r="C22944" s="28">
        <v>0.59289999999999998</v>
      </c>
      <c r="D22944" s="28">
        <v>0.20250000000000001</v>
      </c>
      <c r="E22944" s="28">
        <v>0.16339999999999999</v>
      </c>
      <c r="F22944" s="29"/>
      <c r="G22944" s="28">
        <v>4.1200000000000001E-2</v>
      </c>
      <c r="H22944" s="29"/>
      <c r="I22944" s="29"/>
      <c r="J22944" s="29"/>
      <c r="K22944" s="29"/>
      <c r="L22944" s="29"/>
      <c r="M22944" s="29" t="s">
        <v>307</v>
      </c>
    </row>
    <row r="22945" spans="1:13" x14ac:dyDescent="0.35">
      <c r="A22945" t="s">
        <v>228</v>
      </c>
      <c r="B22945" t="s">
        <v>262</v>
      </c>
      <c r="C22945" s="26">
        <v>0.67789999999999995</v>
      </c>
      <c r="D22945" s="26">
        <v>0.2114</v>
      </c>
      <c r="E22945" s="26">
        <v>0.1027</v>
      </c>
      <c r="F22945" s="26">
        <v>8.0999999999999996E-3</v>
      </c>
      <c r="M22945">
        <v>55</v>
      </c>
    </row>
    <row r="22946" spans="1:13" x14ac:dyDescent="0.35">
      <c r="A22946" t="s">
        <v>228</v>
      </c>
      <c r="B22946" t="s">
        <v>261</v>
      </c>
      <c r="C22946" s="26">
        <v>0.78410000000000002</v>
      </c>
      <c r="D22946" s="26">
        <v>0.122</v>
      </c>
      <c r="E22946" s="26">
        <v>5.2299999999999999E-2</v>
      </c>
      <c r="I22946" s="26">
        <v>1.06E-2</v>
      </c>
      <c r="J22946" s="26">
        <v>1.6E-2</v>
      </c>
      <c r="K22946" s="26">
        <v>1.4999999999999999E-2</v>
      </c>
      <c r="M22946">
        <v>71</v>
      </c>
    </row>
    <row r="22947" spans="1:13" x14ac:dyDescent="0.35">
      <c r="A22947" s="27" t="s">
        <v>228</v>
      </c>
      <c r="B22947" s="27" t="s">
        <v>236</v>
      </c>
      <c r="C22947" s="28">
        <v>0.46029999999999999</v>
      </c>
      <c r="D22947" s="28">
        <v>0.26979999999999998</v>
      </c>
      <c r="E22947" s="29"/>
      <c r="F22947" s="28">
        <v>0.26979999999999998</v>
      </c>
      <c r="G22947" s="29"/>
      <c r="H22947" s="29"/>
      <c r="I22947" s="29"/>
      <c r="J22947" s="29"/>
      <c r="K22947" s="29"/>
      <c r="L22947" s="29"/>
      <c r="M22947" s="29" t="s">
        <v>315</v>
      </c>
    </row>
    <row r="22948" spans="1:13" x14ac:dyDescent="0.35">
      <c r="A22948" t="s">
        <v>229</v>
      </c>
      <c r="B22948" t="s">
        <v>260</v>
      </c>
      <c r="C22948" s="26">
        <v>0.7218</v>
      </c>
      <c r="D22948" s="26">
        <v>0.1206</v>
      </c>
      <c r="E22948" s="26">
        <v>8.0799999999999997E-2</v>
      </c>
      <c r="F22948" s="26">
        <v>3.7400000000000003E-2</v>
      </c>
      <c r="G22948" s="26">
        <v>1.26E-2</v>
      </c>
      <c r="I22948" s="26">
        <v>9.7000000000000003E-3</v>
      </c>
      <c r="J22948" s="26">
        <v>3.0000000000000001E-3</v>
      </c>
      <c r="K22948" s="26">
        <v>1.26E-2</v>
      </c>
      <c r="L22948" s="26">
        <v>1.6000000000000001E-3</v>
      </c>
      <c r="M22948">
        <v>259</v>
      </c>
    </row>
    <row r="22949" spans="1:13" x14ac:dyDescent="0.35">
      <c r="A22949" t="s">
        <v>229</v>
      </c>
      <c r="B22949" t="s">
        <v>261</v>
      </c>
      <c r="C22949" s="26">
        <v>0.36330000000000001</v>
      </c>
      <c r="D22949" s="26">
        <v>0.32150000000000001</v>
      </c>
      <c r="E22949" s="26">
        <v>0.14710000000000001</v>
      </c>
      <c r="G22949" s="26">
        <v>6.9000000000000006E-2</v>
      </c>
      <c r="H22949" s="26">
        <v>8.7400000000000005E-2</v>
      </c>
      <c r="J22949" s="26">
        <v>1.17E-2</v>
      </c>
      <c r="M22949">
        <v>30</v>
      </c>
    </row>
    <row r="22950" spans="1:13" x14ac:dyDescent="0.35">
      <c r="A22950" s="27" t="s">
        <v>229</v>
      </c>
      <c r="B22950" s="27" t="s">
        <v>263</v>
      </c>
      <c r="C22950" s="28">
        <v>1</v>
      </c>
      <c r="D22950" s="29"/>
      <c r="E22950" s="29"/>
      <c r="F22950" s="29"/>
      <c r="G22950" s="29"/>
      <c r="H22950" s="29"/>
      <c r="I22950" s="29"/>
      <c r="J22950" s="29"/>
      <c r="K22950" s="29"/>
      <c r="L22950" s="29"/>
      <c r="M22950" s="29" t="s">
        <v>314</v>
      </c>
    </row>
    <row r="22951" spans="1:13" x14ac:dyDescent="0.35">
      <c r="A22951" t="s">
        <v>229</v>
      </c>
      <c r="B22951" t="s">
        <v>262</v>
      </c>
      <c r="C22951" s="26">
        <v>0.6946</v>
      </c>
      <c r="D22951" s="26">
        <v>0.1177</v>
      </c>
      <c r="E22951" s="26">
        <v>7.6600000000000001E-2</v>
      </c>
      <c r="F22951" s="26">
        <v>6.1899999999999997E-2</v>
      </c>
      <c r="H22951" s="26">
        <v>1.6500000000000001E-2</v>
      </c>
      <c r="I22951" s="26">
        <v>8.0999999999999996E-3</v>
      </c>
      <c r="J22951" s="26">
        <v>8.0999999999999996E-3</v>
      </c>
      <c r="K22951" s="26">
        <v>1.6500000000000001E-2</v>
      </c>
      <c r="M22951">
        <v>53</v>
      </c>
    </row>
    <row r="22952" spans="1:13" x14ac:dyDescent="0.35">
      <c r="A22952" t="s">
        <v>230</v>
      </c>
      <c r="B22952" t="s">
        <v>262</v>
      </c>
      <c r="C22952" s="26">
        <v>0.64129999999999998</v>
      </c>
      <c r="D22952" s="26">
        <v>0.1628</v>
      </c>
      <c r="E22952" s="26">
        <v>4.2900000000000001E-2</v>
      </c>
      <c r="F22952" s="26">
        <v>0.12870000000000001</v>
      </c>
      <c r="G22952" s="26">
        <v>1.8599999999999998E-2</v>
      </c>
      <c r="K22952" s="26">
        <v>5.5999999999999999E-3</v>
      </c>
      <c r="M22952">
        <v>44</v>
      </c>
    </row>
    <row r="22953" spans="1:13" x14ac:dyDescent="0.35">
      <c r="A22953" s="27" t="s">
        <v>230</v>
      </c>
      <c r="B22953" s="27" t="s">
        <v>263</v>
      </c>
      <c r="C22953" s="28">
        <v>0.16370000000000001</v>
      </c>
      <c r="D22953" s="28">
        <v>0.19969999999999999</v>
      </c>
      <c r="E22953" s="28">
        <v>0.60589999999999999</v>
      </c>
      <c r="F22953" s="29"/>
      <c r="G22953" s="29"/>
      <c r="H22953" s="29"/>
      <c r="I22953" s="28">
        <v>3.0700000000000002E-2</v>
      </c>
      <c r="J22953" s="29"/>
      <c r="K22953" s="29"/>
      <c r="L22953" s="29"/>
      <c r="M22953" s="29" t="s">
        <v>339</v>
      </c>
    </row>
    <row r="22954" spans="1:13" x14ac:dyDescent="0.35">
      <c r="A22954" t="s">
        <v>230</v>
      </c>
      <c r="B22954" t="s">
        <v>260</v>
      </c>
      <c r="C22954" s="26">
        <v>0.7016</v>
      </c>
      <c r="D22954" s="26">
        <v>0.1507</v>
      </c>
      <c r="E22954" s="26">
        <v>9.5200000000000007E-2</v>
      </c>
      <c r="F22954" s="26">
        <v>6.1999999999999998E-3</v>
      </c>
      <c r="G22954" s="26">
        <v>1.8200000000000001E-2</v>
      </c>
      <c r="H22954" s="26">
        <v>8.9999999999999998E-4</v>
      </c>
      <c r="I22954" s="26">
        <v>2.4E-2</v>
      </c>
      <c r="K22954" s="26">
        <v>3.0999999999999999E-3</v>
      </c>
      <c r="M22954">
        <v>160</v>
      </c>
    </row>
    <row r="22955" spans="1:13" x14ac:dyDescent="0.35">
      <c r="A22955" s="27" t="s">
        <v>230</v>
      </c>
      <c r="B22955" s="27" t="s">
        <v>261</v>
      </c>
      <c r="C22955" s="28">
        <v>0.70520000000000005</v>
      </c>
      <c r="D22955" s="28">
        <v>0.2457</v>
      </c>
      <c r="E22955" s="28">
        <v>3.9699999999999999E-2</v>
      </c>
      <c r="F22955" s="28">
        <v>9.2999999999999992E-3</v>
      </c>
      <c r="G22955" s="29"/>
      <c r="H22955" s="29"/>
      <c r="I22955" s="29"/>
      <c r="J22955" s="29"/>
      <c r="K22955" s="29"/>
      <c r="L22955" s="29"/>
      <c r="M22955" s="29" t="s">
        <v>351</v>
      </c>
    </row>
    <row r="22956" spans="1:13" x14ac:dyDescent="0.35">
      <c r="A22956" s="27" t="s">
        <v>230</v>
      </c>
      <c r="B22956" s="27" t="s">
        <v>236</v>
      </c>
      <c r="C22956" s="28">
        <v>0.72240000000000004</v>
      </c>
      <c r="D22956" s="28">
        <v>0.27760000000000001</v>
      </c>
      <c r="E22956" s="29"/>
      <c r="F22956" s="29"/>
      <c r="G22956" s="29"/>
      <c r="H22956" s="29"/>
      <c r="I22956" s="29"/>
      <c r="J22956" s="29"/>
      <c r="K22956" s="29"/>
      <c r="L22956" s="29"/>
      <c r="M22956" s="29" t="s">
        <v>337</v>
      </c>
    </row>
    <row r="22957" spans="1:13" x14ac:dyDescent="0.35">
      <c r="A22957" t="s">
        <v>231</v>
      </c>
      <c r="B22957" t="s">
        <v>260</v>
      </c>
      <c r="C22957" s="26">
        <v>0.64910000000000001</v>
      </c>
      <c r="D22957" s="26">
        <v>0.2281</v>
      </c>
      <c r="E22957" s="26">
        <v>5.2600000000000001E-2</v>
      </c>
      <c r="F22957" s="26">
        <v>7.0199999999999999E-2</v>
      </c>
      <c r="M22957">
        <v>57</v>
      </c>
    </row>
    <row r="22958" spans="1:13" x14ac:dyDescent="0.35">
      <c r="A22958" s="27" t="s">
        <v>231</v>
      </c>
      <c r="B22958" s="27" t="s">
        <v>261</v>
      </c>
      <c r="C22958" s="28">
        <v>0.25</v>
      </c>
      <c r="D22958" s="28">
        <v>0.75</v>
      </c>
      <c r="E22958" s="29"/>
      <c r="F22958" s="29"/>
      <c r="G22958" s="29"/>
      <c r="H22958" s="29"/>
      <c r="I22958" s="29"/>
      <c r="J22958" s="29"/>
      <c r="K22958" s="29"/>
      <c r="L22958" s="29"/>
      <c r="M22958" s="29" t="s">
        <v>337</v>
      </c>
    </row>
    <row r="22959" spans="1:13" x14ac:dyDescent="0.35">
      <c r="A22959" s="27" t="s">
        <v>231</v>
      </c>
      <c r="B22959" s="27" t="s">
        <v>263</v>
      </c>
      <c r="C22959" s="29"/>
      <c r="D22959" s="29"/>
      <c r="E22959" s="29"/>
      <c r="F22959" s="28">
        <v>1</v>
      </c>
      <c r="G22959" s="29"/>
      <c r="H22959" s="29"/>
      <c r="I22959" s="29"/>
      <c r="J22959" s="29"/>
      <c r="K22959" s="29"/>
      <c r="L22959" s="29"/>
      <c r="M22959" s="29" t="s">
        <v>331</v>
      </c>
    </row>
    <row r="22960" spans="1:13" x14ac:dyDescent="0.35">
      <c r="A22960" s="27" t="s">
        <v>231</v>
      </c>
      <c r="B22960" s="27" t="s">
        <v>262</v>
      </c>
      <c r="C22960" s="28">
        <v>1</v>
      </c>
      <c r="D22960" s="29"/>
      <c r="E22960" s="29"/>
      <c r="F22960" s="29"/>
      <c r="G22960" s="29"/>
      <c r="H22960" s="29"/>
      <c r="I22960" s="29"/>
      <c r="J22960" s="29"/>
      <c r="K22960" s="29"/>
      <c r="L22960" s="29"/>
      <c r="M22960" s="29" t="s">
        <v>314</v>
      </c>
    </row>
    <row r="22961" spans="1:13" x14ac:dyDescent="0.35">
      <c r="A22961" t="s">
        <v>232</v>
      </c>
      <c r="B22961" t="s">
        <v>232</v>
      </c>
      <c r="C22961" s="26">
        <v>0.68469999999999998</v>
      </c>
      <c r="D22961" s="26">
        <v>0.17730000000000001</v>
      </c>
      <c r="E22961" s="26">
        <v>7.1999999999999995E-2</v>
      </c>
      <c r="F22961" s="26">
        <v>3.5799999999999998E-2</v>
      </c>
      <c r="G22961" s="26">
        <v>8.8999999999999999E-3</v>
      </c>
      <c r="H22961" s="26">
        <v>8.0999999999999996E-3</v>
      </c>
      <c r="I22961" s="26">
        <v>5.1999999999999998E-3</v>
      </c>
      <c r="J22961" s="26">
        <v>4.3E-3</v>
      </c>
      <c r="K22961" s="26">
        <v>3.3999999999999998E-3</v>
      </c>
      <c r="L22961" s="26">
        <v>4.0000000000000002E-4</v>
      </c>
      <c r="M22961">
        <v>1093</v>
      </c>
    </row>
    <row r="22963" spans="1:13" x14ac:dyDescent="0.35">
      <c r="A22963" s="1" t="s">
        <v>2195</v>
      </c>
    </row>
    <row r="22964" spans="1:13" x14ac:dyDescent="0.35">
      <c r="A22964" t="s">
        <v>219</v>
      </c>
      <c r="B22964" t="s">
        <v>305</v>
      </c>
      <c r="C22964" t="s">
        <v>2179</v>
      </c>
      <c r="D22964" t="s">
        <v>2180</v>
      </c>
      <c r="E22964" t="s">
        <v>2181</v>
      </c>
      <c r="F22964" t="s">
        <v>2182</v>
      </c>
      <c r="G22964" t="s">
        <v>2183</v>
      </c>
      <c r="H22964" t="s">
        <v>2184</v>
      </c>
      <c r="I22964" t="s">
        <v>2185</v>
      </c>
      <c r="J22964" t="s">
        <v>2186</v>
      </c>
      <c r="K22964" t="s">
        <v>281</v>
      </c>
      <c r="L22964" t="s">
        <v>286</v>
      </c>
      <c r="M22964" t="s">
        <v>226</v>
      </c>
    </row>
    <row r="22965" spans="1:13" x14ac:dyDescent="0.35">
      <c r="A22965" s="27" t="s">
        <v>227</v>
      </c>
      <c r="B22965" s="27" t="s">
        <v>368</v>
      </c>
      <c r="C22965" s="28">
        <v>0.73680000000000001</v>
      </c>
      <c r="D22965" s="28">
        <v>0.1053</v>
      </c>
      <c r="E22965" s="28">
        <v>0.1053</v>
      </c>
      <c r="F22965" s="29"/>
      <c r="G22965" s="29"/>
      <c r="H22965" s="29"/>
      <c r="I22965" s="29"/>
      <c r="J22965" s="28">
        <v>5.2600000000000001E-2</v>
      </c>
      <c r="K22965" s="29"/>
      <c r="L22965" s="29"/>
      <c r="M22965" s="29" t="s">
        <v>349</v>
      </c>
    </row>
    <row r="22966" spans="1:13" x14ac:dyDescent="0.35">
      <c r="A22966" t="s">
        <v>227</v>
      </c>
      <c r="B22966" t="s">
        <v>369</v>
      </c>
      <c r="C22966" s="26">
        <v>0.76270000000000004</v>
      </c>
      <c r="D22966" s="26">
        <v>0.1356</v>
      </c>
      <c r="E22966" s="26">
        <v>6.7799999999999999E-2</v>
      </c>
      <c r="G22966" s="26">
        <v>1.6899999999999998E-2</v>
      </c>
      <c r="H22966" s="26">
        <v>1.6899999999999998E-2</v>
      </c>
      <c r="M22966">
        <v>59</v>
      </c>
    </row>
    <row r="22967" spans="1:13" x14ac:dyDescent="0.35">
      <c r="A22967" t="s">
        <v>228</v>
      </c>
      <c r="B22967" t="s">
        <v>368</v>
      </c>
      <c r="C22967" s="26">
        <v>0.78410000000000002</v>
      </c>
      <c r="D22967" s="26">
        <v>0.122</v>
      </c>
      <c r="E22967" s="26">
        <v>5.2299999999999999E-2</v>
      </c>
      <c r="I22967" s="26">
        <v>1.06E-2</v>
      </c>
      <c r="J22967" s="26">
        <v>1.6E-2</v>
      </c>
      <c r="K22967" s="26">
        <v>1.4999999999999999E-2</v>
      </c>
      <c r="M22967">
        <v>71</v>
      </c>
    </row>
    <row r="22968" spans="1:13" x14ac:dyDescent="0.35">
      <c r="A22968" t="s">
        <v>228</v>
      </c>
      <c r="B22968" t="s">
        <v>369</v>
      </c>
      <c r="C22968" s="26">
        <v>0.7147</v>
      </c>
      <c r="D22968" s="26">
        <v>0.16170000000000001</v>
      </c>
      <c r="E22968" s="26">
        <v>8.1100000000000005E-2</v>
      </c>
      <c r="F22968" s="26">
        <v>1.1299999999999999E-2</v>
      </c>
      <c r="G22968" s="26">
        <v>3.0999999999999999E-3</v>
      </c>
      <c r="H22968" s="26">
        <v>1.8700000000000001E-2</v>
      </c>
      <c r="I22968" s="26">
        <v>8.3999999999999995E-3</v>
      </c>
      <c r="L22968" s="26">
        <v>1.1000000000000001E-3</v>
      </c>
      <c r="M22968">
        <v>300</v>
      </c>
    </row>
    <row r="22969" spans="1:13" x14ac:dyDescent="0.35">
      <c r="A22969" t="s">
        <v>229</v>
      </c>
      <c r="B22969" t="s">
        <v>368</v>
      </c>
      <c r="C22969" s="26">
        <v>0.36330000000000001</v>
      </c>
      <c r="D22969" s="26">
        <v>0.32150000000000001</v>
      </c>
      <c r="E22969" s="26">
        <v>0.14710000000000001</v>
      </c>
      <c r="G22969" s="26">
        <v>6.9000000000000006E-2</v>
      </c>
      <c r="H22969" s="26">
        <v>8.7400000000000005E-2</v>
      </c>
      <c r="J22969" s="26">
        <v>1.17E-2</v>
      </c>
      <c r="M22969">
        <v>30</v>
      </c>
    </row>
    <row r="22970" spans="1:13" x14ac:dyDescent="0.35">
      <c r="A22970" t="s">
        <v>229</v>
      </c>
      <c r="B22970" t="s">
        <v>369</v>
      </c>
      <c r="C22970" s="26">
        <v>0.71809999999999996</v>
      </c>
      <c r="D22970" s="26">
        <v>0.1198</v>
      </c>
      <c r="E22970" s="26">
        <v>7.9799999999999996E-2</v>
      </c>
      <c r="F22970" s="26">
        <v>4.1399999999999999E-2</v>
      </c>
      <c r="G22970" s="26">
        <v>1.04E-2</v>
      </c>
      <c r="H22970" s="26">
        <v>2.8E-3</v>
      </c>
      <c r="I22970" s="26">
        <v>9.4000000000000004E-3</v>
      </c>
      <c r="J22970" s="26">
        <v>3.8E-3</v>
      </c>
      <c r="K22970" s="26">
        <v>1.32E-2</v>
      </c>
      <c r="L22970" s="26">
        <v>1.4E-3</v>
      </c>
      <c r="M22970">
        <v>314</v>
      </c>
    </row>
    <row r="22971" spans="1:13" x14ac:dyDescent="0.35">
      <c r="A22971" s="27" t="s">
        <v>230</v>
      </c>
      <c r="B22971" s="27" t="s">
        <v>368</v>
      </c>
      <c r="C22971" s="28">
        <v>0.70520000000000005</v>
      </c>
      <c r="D22971" s="28">
        <v>0.2457</v>
      </c>
      <c r="E22971" s="28">
        <v>3.9699999999999999E-2</v>
      </c>
      <c r="F22971" s="28">
        <v>9.2999999999999992E-3</v>
      </c>
      <c r="G22971" s="29"/>
      <c r="H22971" s="29"/>
      <c r="I22971" s="29"/>
      <c r="J22971" s="29"/>
      <c r="K22971" s="29"/>
      <c r="L22971" s="29"/>
      <c r="M22971" s="29" t="s">
        <v>351</v>
      </c>
    </row>
    <row r="22972" spans="1:13" x14ac:dyDescent="0.35">
      <c r="A22972" t="s">
        <v>230</v>
      </c>
      <c r="B22972" t="s">
        <v>369</v>
      </c>
      <c r="C22972" s="26">
        <v>0.68059999999999998</v>
      </c>
      <c r="D22972" s="26">
        <v>0.15620000000000001</v>
      </c>
      <c r="E22972" s="26">
        <v>9.8799999999999999E-2</v>
      </c>
      <c r="F22972" s="26">
        <v>2.2499999999999999E-2</v>
      </c>
      <c r="G22972" s="26">
        <v>1.7500000000000002E-2</v>
      </c>
      <c r="H22972" s="26">
        <v>8.0000000000000004E-4</v>
      </c>
      <c r="I22972" s="26">
        <v>2.0400000000000001E-2</v>
      </c>
      <c r="K22972" s="26">
        <v>3.3E-3</v>
      </c>
      <c r="M22972">
        <v>215</v>
      </c>
    </row>
    <row r="22973" spans="1:13" x14ac:dyDescent="0.35">
      <c r="A22973" s="27" t="s">
        <v>231</v>
      </c>
      <c r="B22973" s="27" t="s">
        <v>368</v>
      </c>
      <c r="C22973" s="28">
        <v>0.25</v>
      </c>
      <c r="D22973" s="28">
        <v>0.75</v>
      </c>
      <c r="E22973" s="29"/>
      <c r="F22973" s="29"/>
      <c r="G22973" s="29"/>
      <c r="H22973" s="29"/>
      <c r="I22973" s="29"/>
      <c r="J22973" s="29"/>
      <c r="K22973" s="29"/>
      <c r="L22973" s="29"/>
      <c r="M22973" s="29" t="s">
        <v>337</v>
      </c>
    </row>
    <row r="22974" spans="1:13" x14ac:dyDescent="0.35">
      <c r="A22974" t="s">
        <v>231</v>
      </c>
      <c r="B22974" t="s">
        <v>369</v>
      </c>
      <c r="C22974" s="26">
        <v>0.65</v>
      </c>
      <c r="D22974" s="26">
        <v>0.2167</v>
      </c>
      <c r="E22974" s="26">
        <v>0.05</v>
      </c>
      <c r="F22974" s="26">
        <v>8.3299999999999999E-2</v>
      </c>
      <c r="M22974">
        <v>60</v>
      </c>
    </row>
    <row r="22975" spans="1:13" x14ac:dyDescent="0.35">
      <c r="A22975" t="s">
        <v>232</v>
      </c>
      <c r="B22975" t="s">
        <v>232</v>
      </c>
      <c r="C22975" s="26">
        <v>0.68469999999999998</v>
      </c>
      <c r="D22975" s="26">
        <v>0.17730000000000001</v>
      </c>
      <c r="E22975" s="26">
        <v>7.1999999999999995E-2</v>
      </c>
      <c r="F22975" s="26">
        <v>3.5799999999999998E-2</v>
      </c>
      <c r="G22975" s="26">
        <v>8.8999999999999999E-3</v>
      </c>
      <c r="H22975" s="26">
        <v>8.0999999999999996E-3</v>
      </c>
      <c r="I22975" s="26">
        <v>5.1999999999999998E-3</v>
      </c>
      <c r="J22975" s="26">
        <v>4.3E-3</v>
      </c>
      <c r="K22975" s="26">
        <v>3.3999999999999998E-3</v>
      </c>
      <c r="L22975" s="26">
        <v>4.0000000000000002E-4</v>
      </c>
      <c r="M22975">
        <v>1093</v>
      </c>
    </row>
    <row r="22977" spans="1:13" x14ac:dyDescent="0.35">
      <c r="A22977" s="1" t="s">
        <v>2196</v>
      </c>
    </row>
    <row r="22978" spans="1:13" x14ac:dyDescent="0.35">
      <c r="A22978" t="s">
        <v>219</v>
      </c>
      <c r="B22978" t="s">
        <v>305</v>
      </c>
      <c r="C22978" t="s">
        <v>2179</v>
      </c>
      <c r="D22978" t="s">
        <v>2180</v>
      </c>
      <c r="E22978" t="s">
        <v>2181</v>
      </c>
      <c r="F22978" t="s">
        <v>2182</v>
      </c>
      <c r="G22978" t="s">
        <v>2183</v>
      </c>
      <c r="H22978" t="s">
        <v>2184</v>
      </c>
      <c r="I22978" t="s">
        <v>2185</v>
      </c>
      <c r="J22978" t="s">
        <v>2186</v>
      </c>
      <c r="K22978" t="s">
        <v>281</v>
      </c>
      <c r="L22978" t="s">
        <v>286</v>
      </c>
      <c r="M22978" t="s">
        <v>226</v>
      </c>
    </row>
    <row r="22979" spans="1:13" x14ac:dyDescent="0.35">
      <c r="A22979" t="s">
        <v>227</v>
      </c>
      <c r="B22979" t="s">
        <v>371</v>
      </c>
      <c r="C22979" s="26">
        <v>0.75639999999999996</v>
      </c>
      <c r="D22979" s="26">
        <v>0.12820000000000001</v>
      </c>
      <c r="E22979" s="26">
        <v>7.6899999999999996E-2</v>
      </c>
      <c r="G22979" s="26">
        <v>1.2800000000000001E-2</v>
      </c>
      <c r="H22979" s="26">
        <v>1.2800000000000001E-2</v>
      </c>
      <c r="J22979" s="26">
        <v>1.2800000000000001E-2</v>
      </c>
      <c r="M22979">
        <v>78</v>
      </c>
    </row>
    <row r="22980" spans="1:13" x14ac:dyDescent="0.35">
      <c r="A22980" t="s">
        <v>228</v>
      </c>
      <c r="B22980" t="s">
        <v>371</v>
      </c>
      <c r="C22980" s="26">
        <v>0.81940000000000002</v>
      </c>
      <c r="D22980" s="26">
        <v>9.1399999999999995E-2</v>
      </c>
      <c r="E22980" s="26">
        <v>5.1900000000000002E-2</v>
      </c>
      <c r="F22980" s="26">
        <v>5.1000000000000004E-3</v>
      </c>
      <c r="H22980" s="26">
        <v>2.3699999999999999E-2</v>
      </c>
      <c r="J22980" s="26">
        <v>3.0000000000000001E-3</v>
      </c>
      <c r="K22980" s="26">
        <v>5.4999999999999997E-3</v>
      </c>
      <c r="M22980">
        <v>121</v>
      </c>
    </row>
    <row r="22981" spans="1:13" x14ac:dyDescent="0.35">
      <c r="A22981" t="s">
        <v>228</v>
      </c>
      <c r="B22981" t="s">
        <v>372</v>
      </c>
      <c r="C22981" s="26">
        <v>0.54679999999999995</v>
      </c>
      <c r="D22981" s="26">
        <v>0.27700000000000002</v>
      </c>
      <c r="E22981" s="26">
        <v>7.2499999999999995E-2</v>
      </c>
      <c r="F22981" s="26">
        <v>2.4500000000000001E-2</v>
      </c>
      <c r="G22981" s="26">
        <v>1.55E-2</v>
      </c>
      <c r="H22981" s="26">
        <v>1.55E-2</v>
      </c>
      <c r="I22981" s="26">
        <v>4.2500000000000003E-2</v>
      </c>
      <c r="L22981" s="26">
        <v>5.7000000000000002E-3</v>
      </c>
      <c r="M22981">
        <v>98</v>
      </c>
    </row>
    <row r="22982" spans="1:13" x14ac:dyDescent="0.35">
      <c r="A22982" t="s">
        <v>228</v>
      </c>
      <c r="B22982" t="s">
        <v>373</v>
      </c>
      <c r="C22982" s="26">
        <v>0.6663</v>
      </c>
      <c r="D22982" s="26">
        <v>0.1971</v>
      </c>
      <c r="E22982" s="26">
        <v>0.11700000000000001</v>
      </c>
      <c r="F22982" s="26">
        <v>8.0000000000000002E-3</v>
      </c>
      <c r="I22982" s="26">
        <v>6.6E-3</v>
      </c>
      <c r="J22982" s="26">
        <v>5.0000000000000001E-3</v>
      </c>
      <c r="M22982">
        <v>152</v>
      </c>
    </row>
    <row r="22983" spans="1:13" x14ac:dyDescent="0.35">
      <c r="A22983" t="s">
        <v>229</v>
      </c>
      <c r="B22983" t="s">
        <v>371</v>
      </c>
      <c r="C22983" s="26">
        <v>0.67910000000000004</v>
      </c>
      <c r="D22983" s="26">
        <v>0.13800000000000001</v>
      </c>
      <c r="E22983" s="26">
        <v>8.6699999999999999E-2</v>
      </c>
      <c r="F22983" s="26">
        <v>4.0300000000000002E-2</v>
      </c>
      <c r="G22983" s="26">
        <v>2.0500000000000001E-2</v>
      </c>
      <c r="H22983" s="26">
        <v>1.5699999999999999E-2</v>
      </c>
      <c r="I22983" s="26">
        <v>6.1000000000000004E-3</v>
      </c>
      <c r="J22983" s="26">
        <v>6.9999999999999999E-4</v>
      </c>
      <c r="K22983" s="26">
        <v>1.2999999999999999E-2</v>
      </c>
      <c r="M22983">
        <v>198</v>
      </c>
    </row>
    <row r="22984" spans="1:13" x14ac:dyDescent="0.35">
      <c r="A22984" t="s">
        <v>229</v>
      </c>
      <c r="B22984" t="s">
        <v>372</v>
      </c>
      <c r="C22984" s="26">
        <v>0.65010000000000001</v>
      </c>
      <c r="D22984" s="26">
        <v>0.17760000000000001</v>
      </c>
      <c r="E22984" s="26">
        <v>9.5399999999999999E-2</v>
      </c>
      <c r="F22984" s="26">
        <v>5.3E-3</v>
      </c>
      <c r="I22984" s="26">
        <v>5.3E-3</v>
      </c>
      <c r="J22984" s="26">
        <v>4.7699999999999999E-2</v>
      </c>
      <c r="L22984" s="26">
        <v>1.8499999999999999E-2</v>
      </c>
      <c r="M22984">
        <v>96</v>
      </c>
    </row>
    <row r="22985" spans="1:13" x14ac:dyDescent="0.35">
      <c r="A22985" t="s">
        <v>229</v>
      </c>
      <c r="B22985" t="s">
        <v>373</v>
      </c>
      <c r="C22985" s="26">
        <v>0.57279999999999998</v>
      </c>
      <c r="D22985" s="26">
        <v>0.24540000000000001</v>
      </c>
      <c r="E22985" s="26">
        <v>0.11360000000000001</v>
      </c>
      <c r="I22985" s="26">
        <v>4.5400000000000003E-2</v>
      </c>
      <c r="J22985" s="26">
        <v>2.2700000000000001E-2</v>
      </c>
      <c r="M22985">
        <v>50</v>
      </c>
    </row>
    <row r="22986" spans="1:13" x14ac:dyDescent="0.35">
      <c r="A22986" t="s">
        <v>230</v>
      </c>
      <c r="B22986" t="s">
        <v>371</v>
      </c>
      <c r="C22986" s="26">
        <v>0.68759999999999999</v>
      </c>
      <c r="D22986" s="26">
        <v>0.1522</v>
      </c>
      <c r="E22986" s="26">
        <v>0.1004</v>
      </c>
      <c r="F22986" s="26">
        <v>2.1700000000000001E-2</v>
      </c>
      <c r="G22986" s="26">
        <v>1.9E-2</v>
      </c>
      <c r="I22986" s="26">
        <v>1.6299999999999999E-2</v>
      </c>
      <c r="K22986" s="26">
        <v>2.7000000000000001E-3</v>
      </c>
      <c r="M22986">
        <v>133</v>
      </c>
    </row>
    <row r="22987" spans="1:13" x14ac:dyDescent="0.35">
      <c r="A22987" t="s">
        <v>230</v>
      </c>
      <c r="B22987" t="s">
        <v>372</v>
      </c>
      <c r="C22987" s="26">
        <v>0.6</v>
      </c>
      <c r="D22987" s="26">
        <v>0.26819999999999999</v>
      </c>
      <c r="E22987" s="26">
        <v>6.8199999999999997E-2</v>
      </c>
      <c r="F22987" s="26">
        <v>9.1000000000000004E-3</v>
      </c>
      <c r="H22987" s="26">
        <v>9.1000000000000004E-3</v>
      </c>
      <c r="I22987" s="26">
        <v>3.6400000000000002E-2</v>
      </c>
      <c r="K22987" s="26">
        <v>9.1000000000000004E-3</v>
      </c>
      <c r="M22987">
        <v>65</v>
      </c>
    </row>
    <row r="22988" spans="1:13" x14ac:dyDescent="0.35">
      <c r="A22988" t="s">
        <v>230</v>
      </c>
      <c r="B22988" t="s">
        <v>373</v>
      </c>
      <c r="C22988" s="26">
        <v>0.7097</v>
      </c>
      <c r="D22988" s="26">
        <v>0.17660000000000001</v>
      </c>
      <c r="E22988" s="26">
        <v>5.0799999999999998E-2</v>
      </c>
      <c r="F22988" s="26">
        <v>3.15E-2</v>
      </c>
      <c r="I22988" s="26">
        <v>3.15E-2</v>
      </c>
      <c r="M22988">
        <v>38</v>
      </c>
    </row>
    <row r="22989" spans="1:13" x14ac:dyDescent="0.35">
      <c r="A22989" t="s">
        <v>231</v>
      </c>
      <c r="B22989" t="s">
        <v>371</v>
      </c>
      <c r="C22989" s="26">
        <v>0.625</v>
      </c>
      <c r="D22989" s="26">
        <v>0.25</v>
      </c>
      <c r="E22989" s="26">
        <v>4.6899999999999997E-2</v>
      </c>
      <c r="F22989" s="26">
        <v>7.8100000000000003E-2</v>
      </c>
      <c r="M22989">
        <v>64</v>
      </c>
    </row>
    <row r="22990" spans="1:13" x14ac:dyDescent="0.35">
      <c r="A22990" t="s">
        <v>232</v>
      </c>
      <c r="B22990" t="s">
        <v>232</v>
      </c>
      <c r="C22990" s="26">
        <v>0.68469999999999998</v>
      </c>
      <c r="D22990" s="26">
        <v>0.17730000000000001</v>
      </c>
      <c r="E22990" s="26">
        <v>7.1999999999999995E-2</v>
      </c>
      <c r="F22990" s="26">
        <v>3.5799999999999998E-2</v>
      </c>
      <c r="G22990" s="26">
        <v>8.8999999999999999E-3</v>
      </c>
      <c r="H22990" s="26">
        <v>8.0999999999999996E-3</v>
      </c>
      <c r="I22990" s="26">
        <v>5.1999999999999998E-3</v>
      </c>
      <c r="J22990" s="26">
        <v>4.3E-3</v>
      </c>
      <c r="K22990" s="26">
        <v>3.3999999999999998E-3</v>
      </c>
      <c r="L22990" s="26">
        <v>4.0000000000000002E-4</v>
      </c>
      <c r="M22990">
        <v>1093</v>
      </c>
    </row>
    <row r="22992" spans="1:13" x14ac:dyDescent="0.35">
      <c r="A22992" s="1" t="s">
        <v>2197</v>
      </c>
    </row>
    <row r="22993" spans="1:13" x14ac:dyDescent="0.35">
      <c r="A22993" t="s">
        <v>219</v>
      </c>
      <c r="B22993" t="s">
        <v>305</v>
      </c>
      <c r="C22993" t="s">
        <v>2179</v>
      </c>
      <c r="D22993" t="s">
        <v>2180</v>
      </c>
      <c r="E22993" t="s">
        <v>2181</v>
      </c>
      <c r="F22993" t="s">
        <v>2182</v>
      </c>
      <c r="G22993" t="s">
        <v>2183</v>
      </c>
      <c r="H22993" t="s">
        <v>2184</v>
      </c>
      <c r="I22993" t="s">
        <v>2185</v>
      </c>
      <c r="J22993" t="s">
        <v>2186</v>
      </c>
      <c r="K22993" t="s">
        <v>281</v>
      </c>
      <c r="L22993" t="s">
        <v>286</v>
      </c>
      <c r="M22993" t="s">
        <v>226</v>
      </c>
    </row>
    <row r="22994" spans="1:13" x14ac:dyDescent="0.35">
      <c r="A22994" t="s">
        <v>227</v>
      </c>
      <c r="B22994" t="s">
        <v>255</v>
      </c>
      <c r="C22994" s="26">
        <v>0.76359999999999995</v>
      </c>
      <c r="D22994" s="26">
        <v>0.14549999999999999</v>
      </c>
      <c r="E22994" s="26">
        <v>7.2700000000000001E-2</v>
      </c>
      <c r="J22994" s="26">
        <v>1.8200000000000001E-2</v>
      </c>
      <c r="M22994">
        <v>55</v>
      </c>
    </row>
    <row r="22995" spans="1:13" x14ac:dyDescent="0.35">
      <c r="A22995" s="27" t="s">
        <v>227</v>
      </c>
      <c r="B22995" s="27" t="s">
        <v>256</v>
      </c>
      <c r="C22995" s="28">
        <v>0.78949999999999998</v>
      </c>
      <c r="D22995" s="28">
        <v>5.2600000000000001E-2</v>
      </c>
      <c r="E22995" s="28">
        <v>0.1053</v>
      </c>
      <c r="F22995" s="29"/>
      <c r="G22995" s="29"/>
      <c r="H22995" s="28">
        <v>5.2600000000000001E-2</v>
      </c>
      <c r="I22995" s="29"/>
      <c r="J22995" s="29"/>
      <c r="K22995" s="29"/>
      <c r="L22995" s="29"/>
      <c r="M22995" s="29" t="s">
        <v>349</v>
      </c>
    </row>
    <row r="22996" spans="1:13" x14ac:dyDescent="0.35">
      <c r="A22996" s="27" t="s">
        <v>227</v>
      </c>
      <c r="B22996" s="27" t="s">
        <v>257</v>
      </c>
      <c r="C22996" s="28">
        <v>0.5</v>
      </c>
      <c r="D22996" s="28">
        <v>0.25</v>
      </c>
      <c r="E22996" s="29"/>
      <c r="F22996" s="29"/>
      <c r="G22996" s="28">
        <v>0.25</v>
      </c>
      <c r="H22996" s="29"/>
      <c r="I22996" s="29"/>
      <c r="J22996" s="29"/>
      <c r="K22996" s="29"/>
      <c r="L22996" s="29"/>
      <c r="M22996" s="29" t="s">
        <v>337</v>
      </c>
    </row>
    <row r="22997" spans="1:13" x14ac:dyDescent="0.35">
      <c r="A22997" t="s">
        <v>228</v>
      </c>
      <c r="B22997" t="s">
        <v>256</v>
      </c>
      <c r="C22997" s="26">
        <v>0.79749999999999999</v>
      </c>
      <c r="D22997" s="26">
        <v>7.9699999999999993E-2</v>
      </c>
      <c r="E22997" s="26">
        <v>6.7299999999999999E-2</v>
      </c>
      <c r="F22997" s="26">
        <v>7.0000000000000001E-3</v>
      </c>
      <c r="H22997" s="26">
        <v>3.8699999999999998E-2</v>
      </c>
      <c r="I22997" s="26">
        <v>4.7999999999999996E-3</v>
      </c>
      <c r="K22997" s="26">
        <v>4.7999999999999996E-3</v>
      </c>
      <c r="M22997">
        <v>92</v>
      </c>
    </row>
    <row r="22998" spans="1:13" x14ac:dyDescent="0.35">
      <c r="A22998" t="s">
        <v>228</v>
      </c>
      <c r="B22998" t="s">
        <v>255</v>
      </c>
      <c r="C22998" s="26">
        <v>0.70169999999999999</v>
      </c>
      <c r="D22998" s="26">
        <v>0.1893</v>
      </c>
      <c r="E22998" s="26">
        <v>7.7299999999999994E-2</v>
      </c>
      <c r="F22998" s="26">
        <v>3.5999999999999999E-3</v>
      </c>
      <c r="G22998" s="26">
        <v>4.0000000000000001E-3</v>
      </c>
      <c r="H22998" s="26">
        <v>4.0000000000000001E-3</v>
      </c>
      <c r="I22998" s="26">
        <v>1.1599999999999999E-2</v>
      </c>
      <c r="J22998" s="26">
        <v>5.0000000000000001E-3</v>
      </c>
      <c r="K22998" s="26">
        <v>2.2000000000000001E-3</v>
      </c>
      <c r="L22998" s="26">
        <v>1.5E-3</v>
      </c>
      <c r="M22998">
        <v>260</v>
      </c>
    </row>
    <row r="22999" spans="1:13" x14ac:dyDescent="0.35">
      <c r="A22999" s="27" t="s">
        <v>228</v>
      </c>
      <c r="B22999" s="27" t="s">
        <v>258</v>
      </c>
      <c r="C22999" s="29"/>
      <c r="D22999" s="29"/>
      <c r="E22999" s="29"/>
      <c r="F22999" s="28">
        <v>1</v>
      </c>
      <c r="G22999" s="29"/>
      <c r="H22999" s="29"/>
      <c r="I22999" s="29"/>
      <c r="J22999" s="29"/>
      <c r="K22999" s="29"/>
      <c r="L22999" s="29"/>
      <c r="M22999" s="29" t="s">
        <v>331</v>
      </c>
    </row>
    <row r="23000" spans="1:13" x14ac:dyDescent="0.35">
      <c r="A23000" s="27" t="s">
        <v>228</v>
      </c>
      <c r="B23000" s="27" t="s">
        <v>257</v>
      </c>
      <c r="C23000" s="28">
        <v>0.63600000000000001</v>
      </c>
      <c r="D23000" s="28">
        <v>0.20030000000000001</v>
      </c>
      <c r="E23000" s="28">
        <v>0.1109</v>
      </c>
      <c r="F23000" s="28">
        <v>5.28E-2</v>
      </c>
      <c r="G23000" s="29"/>
      <c r="H23000" s="29"/>
      <c r="I23000" s="29"/>
      <c r="J23000" s="29"/>
      <c r="K23000" s="29"/>
      <c r="L23000" s="29"/>
      <c r="M23000" s="29" t="s">
        <v>353</v>
      </c>
    </row>
    <row r="23001" spans="1:13" x14ac:dyDescent="0.35">
      <c r="A23001" t="s">
        <v>229</v>
      </c>
      <c r="B23001" t="s">
        <v>255</v>
      </c>
      <c r="C23001" s="26">
        <v>0.72299999999999998</v>
      </c>
      <c r="D23001" s="26">
        <v>0.14530000000000001</v>
      </c>
      <c r="E23001" s="26">
        <v>7.0400000000000004E-2</v>
      </c>
      <c r="F23001" s="26">
        <v>0.02</v>
      </c>
      <c r="G23001" s="26">
        <v>1.2699999999999999E-2</v>
      </c>
      <c r="H23001" s="26">
        <v>3.3999999999999998E-3</v>
      </c>
      <c r="I23001" s="26">
        <v>7.1999999999999998E-3</v>
      </c>
      <c r="J23001" s="26">
        <v>3.5000000000000001E-3</v>
      </c>
      <c r="K23001" s="26">
        <v>1.2699999999999999E-2</v>
      </c>
      <c r="L23001" s="26">
        <v>1.6999999999999999E-3</v>
      </c>
      <c r="M23001">
        <v>250</v>
      </c>
    </row>
    <row r="23002" spans="1:13" x14ac:dyDescent="0.35">
      <c r="A23002" s="27" t="s">
        <v>229</v>
      </c>
      <c r="B23002" s="27" t="s">
        <v>258</v>
      </c>
      <c r="C23002" s="28">
        <v>0.77590000000000003</v>
      </c>
      <c r="D23002" s="28">
        <v>0.22409999999999999</v>
      </c>
      <c r="E23002" s="29"/>
      <c r="F23002" s="29"/>
      <c r="G23002" s="29"/>
      <c r="H23002" s="29"/>
      <c r="I23002" s="29"/>
      <c r="J23002" s="29"/>
      <c r="K23002" s="29"/>
      <c r="L23002" s="29"/>
      <c r="M23002" s="29" t="s">
        <v>314</v>
      </c>
    </row>
    <row r="23003" spans="1:13" x14ac:dyDescent="0.35">
      <c r="A23003" t="s">
        <v>229</v>
      </c>
      <c r="B23003" t="s">
        <v>256</v>
      </c>
      <c r="C23003" s="26">
        <v>0.54559999999999997</v>
      </c>
      <c r="D23003" s="26">
        <v>0.16189999999999999</v>
      </c>
      <c r="E23003" s="26">
        <v>0.15110000000000001</v>
      </c>
      <c r="F23003" s="26">
        <v>4.9500000000000002E-2</v>
      </c>
      <c r="G23003" s="26">
        <v>3.5400000000000001E-2</v>
      </c>
      <c r="H23003" s="26">
        <v>4.48E-2</v>
      </c>
      <c r="I23003" s="26">
        <v>2.3999999999999998E-3</v>
      </c>
      <c r="J23003" s="26">
        <v>9.2999999999999992E-3</v>
      </c>
      <c r="M23003">
        <v>79</v>
      </c>
    </row>
    <row r="23004" spans="1:13" x14ac:dyDescent="0.35">
      <c r="A23004" s="27" t="s">
        <v>229</v>
      </c>
      <c r="B23004" s="27" t="s">
        <v>257</v>
      </c>
      <c r="C23004" s="28">
        <v>0.53469999999999995</v>
      </c>
      <c r="D23004" s="28">
        <v>3.6700000000000003E-2</v>
      </c>
      <c r="E23004" s="29"/>
      <c r="F23004" s="28">
        <v>0.27960000000000002</v>
      </c>
      <c r="G23004" s="29"/>
      <c r="H23004" s="29"/>
      <c r="I23004" s="28">
        <v>7.4499999999999997E-2</v>
      </c>
      <c r="J23004" s="29"/>
      <c r="K23004" s="28">
        <v>7.4499999999999997E-2</v>
      </c>
      <c r="L23004" s="29"/>
      <c r="M23004" s="29" t="s">
        <v>341</v>
      </c>
    </row>
    <row r="23005" spans="1:13" x14ac:dyDescent="0.35">
      <c r="A23005" t="s">
        <v>230</v>
      </c>
      <c r="B23005" t="s">
        <v>255</v>
      </c>
      <c r="C23005" s="26">
        <v>0.70899999999999996</v>
      </c>
      <c r="D23005" s="26">
        <v>0.17899999999999999</v>
      </c>
      <c r="E23005" s="26">
        <v>9.5500000000000002E-2</v>
      </c>
      <c r="F23005" s="26">
        <v>1.17E-2</v>
      </c>
      <c r="I23005" s="26">
        <v>3.5000000000000001E-3</v>
      </c>
      <c r="K23005" s="26">
        <v>1.1999999999999999E-3</v>
      </c>
      <c r="M23005">
        <v>153</v>
      </c>
    </row>
    <row r="23006" spans="1:13" x14ac:dyDescent="0.35">
      <c r="A23006" t="s">
        <v>230</v>
      </c>
      <c r="B23006" t="s">
        <v>256</v>
      </c>
      <c r="C23006" s="26">
        <v>0.65310000000000001</v>
      </c>
      <c r="D23006" s="26">
        <v>0.16850000000000001</v>
      </c>
      <c r="E23006" s="26">
        <v>0.1109</v>
      </c>
      <c r="F23006" s="26">
        <v>4.3499999999999997E-2</v>
      </c>
      <c r="G23006" s="26">
        <v>7.3000000000000001E-3</v>
      </c>
      <c r="H23006" s="26">
        <v>2.2000000000000001E-3</v>
      </c>
      <c r="I23006" s="26">
        <v>7.1999999999999998E-3</v>
      </c>
      <c r="K23006" s="26">
        <v>7.3000000000000001E-3</v>
      </c>
      <c r="M23006">
        <v>67</v>
      </c>
    </row>
    <row r="23007" spans="1:13" x14ac:dyDescent="0.35">
      <c r="A23007" s="27" t="s">
        <v>230</v>
      </c>
      <c r="B23007" s="27" t="s">
        <v>258</v>
      </c>
      <c r="C23007" s="28">
        <v>0.95169999999999999</v>
      </c>
      <c r="D23007" s="28">
        <v>4.8300000000000003E-2</v>
      </c>
      <c r="E23007" s="29"/>
      <c r="F23007" s="29"/>
      <c r="G23007" s="29"/>
      <c r="H23007" s="29"/>
      <c r="I23007" s="29"/>
      <c r="J23007" s="29"/>
      <c r="K23007" s="29"/>
      <c r="L23007" s="29"/>
      <c r="M23007" s="29" t="s">
        <v>314</v>
      </c>
    </row>
    <row r="23008" spans="1:13" x14ac:dyDescent="0.35">
      <c r="A23008" s="27" t="s">
        <v>230</v>
      </c>
      <c r="B23008" s="27" t="s">
        <v>257</v>
      </c>
      <c r="C23008" s="28">
        <v>0.54210000000000003</v>
      </c>
      <c r="D23008" s="28">
        <v>3.1E-2</v>
      </c>
      <c r="E23008" s="28">
        <v>3.1699999999999999E-2</v>
      </c>
      <c r="F23008" s="28">
        <v>9.4999999999999998E-3</v>
      </c>
      <c r="G23008" s="28">
        <v>0.18809999999999999</v>
      </c>
      <c r="H23008" s="29"/>
      <c r="I23008" s="28">
        <v>0.1976</v>
      </c>
      <c r="J23008" s="29"/>
      <c r="K23008" s="29"/>
      <c r="L23008" s="29"/>
      <c r="M23008" s="29" t="s">
        <v>379</v>
      </c>
    </row>
    <row r="23009" spans="1:13" x14ac:dyDescent="0.35">
      <c r="A23009" t="s">
        <v>231</v>
      </c>
      <c r="B23009" t="s">
        <v>255</v>
      </c>
      <c r="C23009" s="26">
        <v>0.66669999999999996</v>
      </c>
      <c r="D23009" s="26">
        <v>0.29170000000000001</v>
      </c>
      <c r="F23009" s="26">
        <v>4.1700000000000001E-2</v>
      </c>
      <c r="M23009">
        <v>48</v>
      </c>
    </row>
    <row r="23010" spans="1:13" x14ac:dyDescent="0.35">
      <c r="A23010" s="27" t="s">
        <v>231</v>
      </c>
      <c r="B23010" s="27" t="s">
        <v>256</v>
      </c>
      <c r="C23010" s="28">
        <v>0.4667</v>
      </c>
      <c r="D23010" s="28">
        <v>0.1333</v>
      </c>
      <c r="E23010" s="28">
        <v>0.2</v>
      </c>
      <c r="F23010" s="28">
        <v>0.2</v>
      </c>
      <c r="G23010" s="29"/>
      <c r="H23010" s="29"/>
      <c r="I23010" s="29"/>
      <c r="J23010" s="29"/>
      <c r="K23010" s="29"/>
      <c r="L23010" s="29"/>
      <c r="M23010" s="29" t="s">
        <v>346</v>
      </c>
    </row>
    <row r="23011" spans="1:13" x14ac:dyDescent="0.35">
      <c r="A23011" s="27" t="s">
        <v>231</v>
      </c>
      <c r="B23011" s="27" t="s">
        <v>257</v>
      </c>
      <c r="C23011" s="28">
        <v>1</v>
      </c>
      <c r="D23011" s="29"/>
      <c r="E23011" s="29"/>
      <c r="F23011" s="29"/>
      <c r="G23011" s="29"/>
      <c r="H23011" s="29"/>
      <c r="I23011" s="29"/>
      <c r="J23011" s="29"/>
      <c r="K23011" s="29"/>
      <c r="L23011" s="29"/>
      <c r="M23011" s="29" t="s">
        <v>331</v>
      </c>
    </row>
    <row r="23012" spans="1:13" x14ac:dyDescent="0.35">
      <c r="A23012" t="s">
        <v>232</v>
      </c>
      <c r="B23012" t="s">
        <v>232</v>
      </c>
      <c r="C23012" s="26">
        <v>0.68469999999999998</v>
      </c>
      <c r="D23012" s="26">
        <v>0.17730000000000001</v>
      </c>
      <c r="E23012" s="26">
        <v>7.1999999999999995E-2</v>
      </c>
      <c r="F23012" s="26">
        <v>3.5799999999999998E-2</v>
      </c>
      <c r="G23012" s="26">
        <v>8.8999999999999999E-3</v>
      </c>
      <c r="H23012" s="26">
        <v>8.0999999999999996E-3</v>
      </c>
      <c r="I23012" s="26">
        <v>5.1999999999999998E-3</v>
      </c>
      <c r="J23012" s="26">
        <v>4.3E-3</v>
      </c>
      <c r="K23012" s="26">
        <v>3.3999999999999998E-3</v>
      </c>
      <c r="L23012" s="26">
        <v>4.0000000000000002E-4</v>
      </c>
      <c r="M23012">
        <v>1093</v>
      </c>
    </row>
    <row r="23014" spans="1:13" x14ac:dyDescent="0.35">
      <c r="A23014" s="1" t="s">
        <v>2198</v>
      </c>
    </row>
    <row r="23015" spans="1:13" x14ac:dyDescent="0.35">
      <c r="A23015" t="s">
        <v>219</v>
      </c>
      <c r="B23015" t="s">
        <v>2051</v>
      </c>
      <c r="C23015" t="s">
        <v>2052</v>
      </c>
      <c r="D23015" t="s">
        <v>2053</v>
      </c>
      <c r="E23015" t="s">
        <v>281</v>
      </c>
      <c r="F23015" t="s">
        <v>2054</v>
      </c>
      <c r="G23015" t="s">
        <v>2055</v>
      </c>
      <c r="H23015" t="s">
        <v>286</v>
      </c>
      <c r="I23015" t="s">
        <v>226</v>
      </c>
    </row>
    <row r="23016" spans="1:13" x14ac:dyDescent="0.35">
      <c r="A23016" t="s">
        <v>227</v>
      </c>
      <c r="B23016" s="26">
        <v>0.96889999999999998</v>
      </c>
      <c r="C23016" s="26">
        <v>2.4799999999999999E-2</v>
      </c>
      <c r="D23016" s="26">
        <v>6.1999999999999998E-3</v>
      </c>
      <c r="I23016">
        <v>161</v>
      </c>
    </row>
    <row r="23017" spans="1:13" x14ac:dyDescent="0.35">
      <c r="A23017" t="s">
        <v>228</v>
      </c>
      <c r="B23017" s="26">
        <v>0.97570000000000001</v>
      </c>
      <c r="C23017" s="26">
        <v>8.6E-3</v>
      </c>
      <c r="D23017" s="26">
        <v>6.3E-3</v>
      </c>
      <c r="F23017" s="26">
        <v>4.1000000000000003E-3</v>
      </c>
      <c r="G23017" s="26">
        <v>4.0000000000000001E-3</v>
      </c>
      <c r="H23017" s="26">
        <v>1.4E-3</v>
      </c>
      <c r="I23017">
        <v>1033</v>
      </c>
    </row>
    <row r="23018" spans="1:13" x14ac:dyDescent="0.35">
      <c r="A23018" t="s">
        <v>229</v>
      </c>
      <c r="B23018" s="26">
        <v>0.96099999999999997</v>
      </c>
      <c r="C23018" s="26">
        <v>2.9600000000000001E-2</v>
      </c>
      <c r="D23018" s="26">
        <v>8.3000000000000001E-3</v>
      </c>
      <c r="H23018" s="26">
        <v>1E-3</v>
      </c>
      <c r="I23018">
        <v>895</v>
      </c>
    </row>
    <row r="23019" spans="1:13" x14ac:dyDescent="0.35">
      <c r="A23019" t="s">
        <v>230</v>
      </c>
      <c r="B23019" s="26">
        <v>0.95779999999999998</v>
      </c>
      <c r="C23019" s="26">
        <v>2.58E-2</v>
      </c>
      <c r="D23019" s="26">
        <v>7.4000000000000003E-3</v>
      </c>
      <c r="E23019" s="26">
        <v>8.9999999999999998E-4</v>
      </c>
      <c r="F23019" s="26">
        <v>7.1999999999999998E-3</v>
      </c>
      <c r="G23019" s="26">
        <v>8.9999999999999998E-4</v>
      </c>
      <c r="I23019">
        <v>560</v>
      </c>
    </row>
    <row r="23020" spans="1:13" x14ac:dyDescent="0.35">
      <c r="A23020" t="s">
        <v>231</v>
      </c>
      <c r="B23020" s="26">
        <v>0.96340000000000003</v>
      </c>
      <c r="C23020" s="26">
        <v>2.4400000000000002E-2</v>
      </c>
      <c r="E23020" s="26">
        <v>1.2200000000000001E-2</v>
      </c>
      <c r="I23020">
        <v>164</v>
      </c>
    </row>
    <row r="23021" spans="1:13" x14ac:dyDescent="0.35">
      <c r="A23021" t="s">
        <v>232</v>
      </c>
      <c r="B23021" s="26">
        <v>0.96540000000000004</v>
      </c>
      <c r="C23021" s="26">
        <v>2.3E-2</v>
      </c>
      <c r="D23021" s="26">
        <v>5.1999999999999998E-3</v>
      </c>
      <c r="E23021" s="26">
        <v>3.3999999999999998E-3</v>
      </c>
      <c r="F23021" s="26">
        <v>1.5E-3</v>
      </c>
      <c r="G23021" s="26">
        <v>8.9999999999999998E-4</v>
      </c>
      <c r="H23021" s="26">
        <v>5.9999999999999995E-4</v>
      </c>
      <c r="I23021">
        <v>2813</v>
      </c>
    </row>
    <row r="23023" spans="1:13" x14ac:dyDescent="0.35">
      <c r="A23023" s="1" t="s">
        <v>2199</v>
      </c>
    </row>
    <row r="23024" spans="1:13" x14ac:dyDescent="0.35">
      <c r="A23024" t="s">
        <v>219</v>
      </c>
      <c r="B23024" t="s">
        <v>305</v>
      </c>
      <c r="C23024" t="s">
        <v>2051</v>
      </c>
      <c r="D23024" t="s">
        <v>2052</v>
      </c>
      <c r="E23024" t="s">
        <v>2053</v>
      </c>
      <c r="F23024" t="s">
        <v>281</v>
      </c>
      <c r="G23024" t="s">
        <v>2054</v>
      </c>
      <c r="H23024" t="s">
        <v>2055</v>
      </c>
      <c r="I23024" t="s">
        <v>286</v>
      </c>
      <c r="J23024" t="s">
        <v>226</v>
      </c>
    </row>
    <row r="23025" spans="1:10" x14ac:dyDescent="0.35">
      <c r="A23025" t="s">
        <v>227</v>
      </c>
      <c r="B23025" t="s">
        <v>242</v>
      </c>
      <c r="C23025" s="26">
        <v>0.97060000000000002</v>
      </c>
      <c r="D23025" s="26">
        <v>1.47E-2</v>
      </c>
      <c r="E23025" s="26">
        <v>1.47E-2</v>
      </c>
      <c r="J23025">
        <v>68</v>
      </c>
    </row>
    <row r="23026" spans="1:10" x14ac:dyDescent="0.35">
      <c r="A23026" t="s">
        <v>227</v>
      </c>
      <c r="B23026" t="s">
        <v>241</v>
      </c>
      <c r="C23026" s="26">
        <v>0.9677</v>
      </c>
      <c r="D23026" s="26">
        <v>3.2300000000000002E-2</v>
      </c>
      <c r="J23026">
        <v>93</v>
      </c>
    </row>
    <row r="23027" spans="1:10" x14ac:dyDescent="0.35">
      <c r="A23027" t="s">
        <v>228</v>
      </c>
      <c r="B23027" t="s">
        <v>242</v>
      </c>
      <c r="C23027" s="26">
        <v>0.96719999999999995</v>
      </c>
      <c r="D23027" s="26">
        <v>1.0999999999999999E-2</v>
      </c>
      <c r="E23027" s="26">
        <v>1.15E-2</v>
      </c>
      <c r="G23027" s="26">
        <v>1.1000000000000001E-3</v>
      </c>
      <c r="H23027" s="26">
        <v>9.1000000000000004E-3</v>
      </c>
      <c r="J23027">
        <v>402</v>
      </c>
    </row>
    <row r="23028" spans="1:10" x14ac:dyDescent="0.35">
      <c r="A23028" t="s">
        <v>228</v>
      </c>
      <c r="B23028" t="s">
        <v>241</v>
      </c>
      <c r="C23028" s="26">
        <v>0.98050000000000004</v>
      </c>
      <c r="D23028" s="26">
        <v>7.1999999999999998E-3</v>
      </c>
      <c r="E23028" s="26">
        <v>3.3E-3</v>
      </c>
      <c r="G23028" s="26">
        <v>5.8999999999999999E-3</v>
      </c>
      <c r="H23028" s="26">
        <v>1E-3</v>
      </c>
      <c r="I23028" s="26">
        <v>2.2000000000000001E-3</v>
      </c>
      <c r="J23028">
        <v>631</v>
      </c>
    </row>
    <row r="23029" spans="1:10" x14ac:dyDescent="0.35">
      <c r="A23029" t="s">
        <v>229</v>
      </c>
      <c r="B23029" t="s">
        <v>242</v>
      </c>
      <c r="C23029" s="26">
        <v>0.96199999999999997</v>
      </c>
      <c r="D23029" s="26">
        <v>3.7100000000000001E-2</v>
      </c>
      <c r="E23029" s="26">
        <v>8.0000000000000004E-4</v>
      </c>
      <c r="J23029">
        <v>292</v>
      </c>
    </row>
    <row r="23030" spans="1:10" x14ac:dyDescent="0.35">
      <c r="A23030" t="s">
        <v>229</v>
      </c>
      <c r="B23030" t="s">
        <v>241</v>
      </c>
      <c r="C23030" s="26">
        <v>0.96040000000000003</v>
      </c>
      <c r="D23030" s="26">
        <v>2.4899999999999999E-2</v>
      </c>
      <c r="E23030" s="26">
        <v>1.3100000000000001E-2</v>
      </c>
      <c r="I23030" s="26">
        <v>1.6000000000000001E-3</v>
      </c>
      <c r="J23030">
        <v>603</v>
      </c>
    </row>
    <row r="23031" spans="1:10" x14ac:dyDescent="0.35">
      <c r="A23031" t="s">
        <v>230</v>
      </c>
      <c r="B23031" t="s">
        <v>242</v>
      </c>
      <c r="C23031" s="26">
        <v>0.95699999999999996</v>
      </c>
      <c r="D23031" s="26">
        <v>1.83E-2</v>
      </c>
      <c r="E23031" s="26">
        <v>6.1000000000000004E-3</v>
      </c>
      <c r="G23031" s="26">
        <v>1.8599999999999998E-2</v>
      </c>
      <c r="J23031">
        <v>189</v>
      </c>
    </row>
    <row r="23032" spans="1:10" x14ac:dyDescent="0.35">
      <c r="A23032" t="s">
        <v>230</v>
      </c>
      <c r="B23032" t="s">
        <v>241</v>
      </c>
      <c r="C23032" s="26">
        <v>0.95820000000000005</v>
      </c>
      <c r="D23032" s="26">
        <v>2.9700000000000001E-2</v>
      </c>
      <c r="E23032" s="26">
        <v>8.0999999999999996E-3</v>
      </c>
      <c r="F23032" s="26">
        <v>1.2999999999999999E-3</v>
      </c>
      <c r="G23032" s="26">
        <v>1.2999999999999999E-3</v>
      </c>
      <c r="H23032" s="26">
        <v>1.4E-3</v>
      </c>
      <c r="J23032">
        <v>371</v>
      </c>
    </row>
    <row r="23033" spans="1:10" x14ac:dyDescent="0.35">
      <c r="A23033" t="s">
        <v>231</v>
      </c>
      <c r="B23033" t="s">
        <v>242</v>
      </c>
      <c r="C23033" s="26">
        <v>1</v>
      </c>
      <c r="J23033">
        <v>54</v>
      </c>
    </row>
    <row r="23034" spans="1:10" x14ac:dyDescent="0.35">
      <c r="A23034" t="s">
        <v>231</v>
      </c>
      <c r="B23034" t="s">
        <v>241</v>
      </c>
      <c r="C23034" s="26">
        <v>0.94550000000000001</v>
      </c>
      <c r="D23034" s="26">
        <v>3.6400000000000002E-2</v>
      </c>
      <c r="F23034" s="26">
        <v>1.8200000000000001E-2</v>
      </c>
      <c r="J23034">
        <v>110</v>
      </c>
    </row>
    <row r="23035" spans="1:10" x14ac:dyDescent="0.35">
      <c r="A23035" t="s">
        <v>232</v>
      </c>
      <c r="B23035" t="s">
        <v>232</v>
      </c>
      <c r="C23035" s="26">
        <v>0.96540000000000004</v>
      </c>
      <c r="D23035" s="26">
        <v>2.3E-2</v>
      </c>
      <c r="E23035" s="26">
        <v>5.1999999999999998E-3</v>
      </c>
      <c r="F23035" s="26">
        <v>3.3999999999999998E-3</v>
      </c>
      <c r="G23035" s="26">
        <v>1.5E-3</v>
      </c>
      <c r="H23035" s="26">
        <v>8.9999999999999998E-4</v>
      </c>
      <c r="I23035" s="26">
        <v>5.9999999999999995E-4</v>
      </c>
      <c r="J23035">
        <v>2813</v>
      </c>
    </row>
    <row r="23037" spans="1:10" x14ac:dyDescent="0.35">
      <c r="A23037" s="1" t="s">
        <v>2200</v>
      </c>
    </row>
    <row r="23038" spans="1:10" x14ac:dyDescent="0.35">
      <c r="A23038" t="s">
        <v>219</v>
      </c>
      <c r="B23038" t="s">
        <v>305</v>
      </c>
      <c r="C23038" t="s">
        <v>2051</v>
      </c>
      <c r="D23038" t="s">
        <v>2052</v>
      </c>
      <c r="E23038" t="s">
        <v>2053</v>
      </c>
      <c r="F23038" t="s">
        <v>281</v>
      </c>
      <c r="G23038" t="s">
        <v>2054</v>
      </c>
      <c r="H23038" t="s">
        <v>2055</v>
      </c>
      <c r="I23038" t="s">
        <v>286</v>
      </c>
      <c r="J23038" t="s">
        <v>226</v>
      </c>
    </row>
    <row r="23039" spans="1:10" x14ac:dyDescent="0.35">
      <c r="A23039" t="s">
        <v>227</v>
      </c>
      <c r="B23039" t="s">
        <v>239</v>
      </c>
      <c r="C23039" s="26">
        <v>0.9839</v>
      </c>
      <c r="D23039" s="26">
        <v>1.61E-2</v>
      </c>
      <c r="J23039">
        <v>62</v>
      </c>
    </row>
    <row r="23040" spans="1:10" x14ac:dyDescent="0.35">
      <c r="A23040" t="s">
        <v>227</v>
      </c>
      <c r="B23040" t="s">
        <v>238</v>
      </c>
      <c r="C23040" s="26">
        <v>0.95960000000000001</v>
      </c>
      <c r="D23040" s="26">
        <v>3.0300000000000001E-2</v>
      </c>
      <c r="E23040" s="26">
        <v>1.01E-2</v>
      </c>
      <c r="J23040">
        <v>99</v>
      </c>
    </row>
    <row r="23041" spans="1:10" x14ac:dyDescent="0.35">
      <c r="A23041" t="s">
        <v>228</v>
      </c>
      <c r="B23041" t="s">
        <v>239</v>
      </c>
      <c r="C23041" s="26">
        <v>0.96709999999999996</v>
      </c>
      <c r="D23041" s="26">
        <v>1.38E-2</v>
      </c>
      <c r="E23041" s="26">
        <v>1.3100000000000001E-2</v>
      </c>
      <c r="G23041" s="26">
        <v>4.0000000000000001E-3</v>
      </c>
      <c r="H23041" s="26">
        <v>2E-3</v>
      </c>
      <c r="J23041">
        <v>330</v>
      </c>
    </row>
    <row r="23042" spans="1:10" x14ac:dyDescent="0.35">
      <c r="A23042" t="s">
        <v>228</v>
      </c>
      <c r="B23042" t="s">
        <v>238</v>
      </c>
      <c r="C23042" s="26">
        <v>0.97789999999999999</v>
      </c>
      <c r="D23042" s="26">
        <v>7.1999999999999998E-3</v>
      </c>
      <c r="E23042" s="26">
        <v>4.4999999999999997E-3</v>
      </c>
      <c r="G23042" s="26">
        <v>4.1999999999999997E-3</v>
      </c>
      <c r="H23042" s="26">
        <v>4.4999999999999997E-3</v>
      </c>
      <c r="I23042" s="26">
        <v>1.6999999999999999E-3</v>
      </c>
      <c r="J23042">
        <v>703</v>
      </c>
    </row>
    <row r="23043" spans="1:10" x14ac:dyDescent="0.35">
      <c r="A23043" t="s">
        <v>229</v>
      </c>
      <c r="B23043" t="s">
        <v>239</v>
      </c>
      <c r="C23043" s="26">
        <v>0.96589999999999998</v>
      </c>
      <c r="D23043" s="26">
        <v>1.18E-2</v>
      </c>
      <c r="E23043" s="26">
        <v>1.9699999999999999E-2</v>
      </c>
      <c r="I23043" s="26">
        <v>2.5999999999999999E-3</v>
      </c>
      <c r="J23043">
        <v>332</v>
      </c>
    </row>
    <row r="23044" spans="1:10" x14ac:dyDescent="0.35">
      <c r="A23044" t="s">
        <v>229</v>
      </c>
      <c r="B23044" t="s">
        <v>238</v>
      </c>
      <c r="C23044" s="26">
        <v>0.95940000000000003</v>
      </c>
      <c r="D23044" s="26">
        <v>3.5700000000000003E-2</v>
      </c>
      <c r="E23044" s="26">
        <v>4.4999999999999997E-3</v>
      </c>
      <c r="I23044" s="26">
        <v>4.0000000000000002E-4</v>
      </c>
      <c r="J23044">
        <v>563</v>
      </c>
    </row>
    <row r="23045" spans="1:10" x14ac:dyDescent="0.35">
      <c r="A23045" t="s">
        <v>230</v>
      </c>
      <c r="B23045" t="s">
        <v>239</v>
      </c>
      <c r="C23045" s="26">
        <v>0.96840000000000004</v>
      </c>
      <c r="D23045" s="26">
        <v>1.8E-3</v>
      </c>
      <c r="E23045" s="26">
        <v>3.0000000000000001E-3</v>
      </c>
      <c r="F23045" s="26">
        <v>2.8999999999999998E-3</v>
      </c>
      <c r="G23045" s="26">
        <v>2.3800000000000002E-2</v>
      </c>
      <c r="J23045">
        <v>211</v>
      </c>
    </row>
    <row r="23046" spans="1:10" x14ac:dyDescent="0.35">
      <c r="A23046" t="s">
        <v>230</v>
      </c>
      <c r="B23046" t="s">
        <v>238</v>
      </c>
      <c r="C23046" s="26">
        <v>0.95320000000000005</v>
      </c>
      <c r="D23046" s="26">
        <v>3.6200000000000003E-2</v>
      </c>
      <c r="E23046" s="26">
        <v>9.2999999999999992E-3</v>
      </c>
      <c r="H23046" s="26">
        <v>1.2999999999999999E-3</v>
      </c>
      <c r="J23046">
        <v>349</v>
      </c>
    </row>
    <row r="23047" spans="1:10" x14ac:dyDescent="0.35">
      <c r="A23047" t="s">
        <v>231</v>
      </c>
      <c r="B23047" t="s">
        <v>239</v>
      </c>
      <c r="C23047" s="26">
        <v>0.96489999999999998</v>
      </c>
      <c r="D23047" s="26">
        <v>3.5099999999999999E-2</v>
      </c>
      <c r="J23047">
        <v>57</v>
      </c>
    </row>
    <row r="23048" spans="1:10" x14ac:dyDescent="0.35">
      <c r="A23048" t="s">
        <v>231</v>
      </c>
      <c r="B23048" t="s">
        <v>238</v>
      </c>
      <c r="C23048" s="26">
        <v>0.96260000000000001</v>
      </c>
      <c r="D23048" s="26">
        <v>1.8700000000000001E-2</v>
      </c>
      <c r="F23048" s="26">
        <v>1.8700000000000001E-2</v>
      </c>
      <c r="J23048">
        <v>107</v>
      </c>
    </row>
    <row r="23049" spans="1:10" x14ac:dyDescent="0.35">
      <c r="A23049" t="s">
        <v>232</v>
      </c>
      <c r="B23049" t="s">
        <v>232</v>
      </c>
      <c r="C23049" s="26">
        <v>0.96540000000000004</v>
      </c>
      <c r="D23049" s="26">
        <v>2.3E-2</v>
      </c>
      <c r="E23049" s="26">
        <v>5.1999999999999998E-3</v>
      </c>
      <c r="F23049" s="26">
        <v>3.3999999999999998E-3</v>
      </c>
      <c r="G23049" s="26">
        <v>1.5E-3</v>
      </c>
      <c r="H23049" s="26">
        <v>8.9999999999999998E-4</v>
      </c>
      <c r="I23049" s="26">
        <v>5.9999999999999995E-4</v>
      </c>
      <c r="J23049">
        <v>2813</v>
      </c>
    </row>
    <row r="23051" spans="1:10" x14ac:dyDescent="0.35">
      <c r="A23051" s="1" t="s">
        <v>2201</v>
      </c>
    </row>
    <row r="23052" spans="1:10" x14ac:dyDescent="0.35">
      <c r="A23052" t="s">
        <v>219</v>
      </c>
      <c r="B23052" t="s">
        <v>305</v>
      </c>
      <c r="C23052" t="s">
        <v>2051</v>
      </c>
      <c r="D23052" t="s">
        <v>2052</v>
      </c>
      <c r="E23052" t="s">
        <v>2053</v>
      </c>
      <c r="F23052" t="s">
        <v>281</v>
      </c>
      <c r="G23052" t="s">
        <v>2054</v>
      </c>
      <c r="H23052" t="s">
        <v>2055</v>
      </c>
      <c r="I23052" t="s">
        <v>286</v>
      </c>
      <c r="J23052" t="s">
        <v>226</v>
      </c>
    </row>
    <row r="23053" spans="1:10" x14ac:dyDescent="0.35">
      <c r="A23053" t="s">
        <v>227</v>
      </c>
      <c r="B23053" t="s">
        <v>244</v>
      </c>
      <c r="C23053" s="26">
        <v>0.95830000000000004</v>
      </c>
      <c r="D23053" s="26">
        <v>3.1199999999999999E-2</v>
      </c>
      <c r="E23053" s="26">
        <v>1.04E-2</v>
      </c>
      <c r="J23053">
        <v>96</v>
      </c>
    </row>
    <row r="23054" spans="1:10" x14ac:dyDescent="0.35">
      <c r="A23054" t="s">
        <v>227</v>
      </c>
      <c r="B23054" t="s">
        <v>245</v>
      </c>
      <c r="C23054" s="26">
        <v>0.98109999999999997</v>
      </c>
      <c r="D23054" s="26">
        <v>1.89E-2</v>
      </c>
      <c r="J23054">
        <v>53</v>
      </c>
    </row>
    <row r="23055" spans="1:10" x14ac:dyDescent="0.35">
      <c r="A23055" s="27" t="s">
        <v>227</v>
      </c>
      <c r="B23055" s="27" t="s">
        <v>246</v>
      </c>
      <c r="C23055" s="28">
        <v>1</v>
      </c>
      <c r="D23055" s="29"/>
      <c r="E23055" s="29"/>
      <c r="F23055" s="29"/>
      <c r="G23055" s="29"/>
      <c r="H23055" s="29"/>
      <c r="I23055" s="29"/>
      <c r="J23055" s="29" t="s">
        <v>342</v>
      </c>
    </row>
    <row r="23056" spans="1:10" x14ac:dyDescent="0.35">
      <c r="A23056" t="s">
        <v>228</v>
      </c>
      <c r="B23056" t="s">
        <v>244</v>
      </c>
      <c r="C23056" s="26">
        <v>0.9798</v>
      </c>
      <c r="D23056" s="26">
        <v>8.0000000000000002E-3</v>
      </c>
      <c r="E23056" s="26">
        <v>4.1000000000000003E-3</v>
      </c>
      <c r="G23056" s="26">
        <v>6.3E-3</v>
      </c>
      <c r="H23056" s="26">
        <v>1E-3</v>
      </c>
      <c r="I23056" s="26">
        <v>5.9999999999999995E-4</v>
      </c>
      <c r="J23056">
        <v>638</v>
      </c>
    </row>
    <row r="23057" spans="1:10" x14ac:dyDescent="0.35">
      <c r="A23057" t="s">
        <v>228</v>
      </c>
      <c r="B23057" t="s">
        <v>245</v>
      </c>
      <c r="C23057" s="26">
        <v>0.97250000000000003</v>
      </c>
      <c r="D23057" s="26">
        <v>7.4000000000000003E-3</v>
      </c>
      <c r="E23057" s="26">
        <v>6.7000000000000002E-3</v>
      </c>
      <c r="H23057" s="26">
        <v>1.1900000000000001E-2</v>
      </c>
      <c r="I23057" s="26">
        <v>1.5E-3</v>
      </c>
      <c r="J23057">
        <v>328</v>
      </c>
    </row>
    <row r="23058" spans="1:10" x14ac:dyDescent="0.35">
      <c r="A23058" t="s">
        <v>228</v>
      </c>
      <c r="B23058" t="s">
        <v>246</v>
      </c>
      <c r="C23058" s="26">
        <v>0.94879999999999998</v>
      </c>
      <c r="D23058" s="26">
        <v>1.8100000000000002E-2</v>
      </c>
      <c r="E23058" s="26">
        <v>2.5100000000000001E-2</v>
      </c>
      <c r="I23058" s="26">
        <v>8.0000000000000002E-3</v>
      </c>
      <c r="J23058">
        <v>67</v>
      </c>
    </row>
    <row r="23059" spans="1:10" x14ac:dyDescent="0.35">
      <c r="A23059" t="s">
        <v>229</v>
      </c>
      <c r="B23059" t="s">
        <v>244</v>
      </c>
      <c r="C23059" s="26">
        <v>0.9647</v>
      </c>
      <c r="D23059" s="26">
        <v>2.98E-2</v>
      </c>
      <c r="E23059" s="26">
        <v>4.1000000000000003E-3</v>
      </c>
      <c r="I23059" s="26">
        <v>1.4E-3</v>
      </c>
      <c r="J23059">
        <v>557</v>
      </c>
    </row>
    <row r="23060" spans="1:10" x14ac:dyDescent="0.35">
      <c r="A23060" t="s">
        <v>229</v>
      </c>
      <c r="B23060" t="s">
        <v>245</v>
      </c>
      <c r="C23060" s="26">
        <v>0.9546</v>
      </c>
      <c r="D23060" s="26">
        <v>3.5499999999999997E-2</v>
      </c>
      <c r="E23060" s="26">
        <v>9.9000000000000008E-3</v>
      </c>
      <c r="J23060">
        <v>293</v>
      </c>
    </row>
    <row r="23061" spans="1:10" x14ac:dyDescent="0.35">
      <c r="A23061" t="s">
        <v>229</v>
      </c>
      <c r="B23061" t="s">
        <v>246</v>
      </c>
      <c r="C23061" s="26">
        <v>0.94359999999999999</v>
      </c>
      <c r="E23061" s="26">
        <v>5.6399999999999999E-2</v>
      </c>
      <c r="J23061">
        <v>45</v>
      </c>
    </row>
    <row r="23062" spans="1:10" x14ac:dyDescent="0.35">
      <c r="A23062" t="s">
        <v>230</v>
      </c>
      <c r="B23062" t="s">
        <v>244</v>
      </c>
      <c r="C23062" s="26">
        <v>0.94450000000000001</v>
      </c>
      <c r="D23062" s="26">
        <v>3.6999999999999998E-2</v>
      </c>
      <c r="E23062" s="26">
        <v>6.7999999999999996E-3</v>
      </c>
      <c r="F23062" s="26">
        <v>1.2999999999999999E-3</v>
      </c>
      <c r="G23062" s="26">
        <v>9.1000000000000004E-3</v>
      </c>
      <c r="H23062" s="26">
        <v>1.2999999999999999E-3</v>
      </c>
      <c r="J23062">
        <v>370</v>
      </c>
    </row>
    <row r="23063" spans="1:10" x14ac:dyDescent="0.35">
      <c r="A23063" t="s">
        <v>230</v>
      </c>
      <c r="B23063" t="s">
        <v>245</v>
      </c>
      <c r="C23063" s="26">
        <v>0.99209999999999998</v>
      </c>
      <c r="D23063" s="26">
        <v>1.1000000000000001E-3</v>
      </c>
      <c r="E23063" s="26">
        <v>6.7999999999999996E-3</v>
      </c>
      <c r="J23063">
        <v>161</v>
      </c>
    </row>
    <row r="23064" spans="1:10" x14ac:dyDescent="0.35">
      <c r="A23064" s="27" t="s">
        <v>230</v>
      </c>
      <c r="B23064" s="27" t="s">
        <v>246</v>
      </c>
      <c r="C23064" s="28">
        <v>0.96350000000000002</v>
      </c>
      <c r="D23064" s="29"/>
      <c r="E23064" s="28">
        <v>1.83E-2</v>
      </c>
      <c r="F23064" s="29"/>
      <c r="G23064" s="28">
        <v>1.83E-2</v>
      </c>
      <c r="H23064" s="29"/>
      <c r="I23064" s="29"/>
      <c r="J23064" s="29" t="s">
        <v>329</v>
      </c>
    </row>
    <row r="23065" spans="1:10" x14ac:dyDescent="0.35">
      <c r="A23065" t="s">
        <v>231</v>
      </c>
      <c r="B23065" t="s">
        <v>244</v>
      </c>
      <c r="C23065" s="26">
        <v>0.97889999999999999</v>
      </c>
      <c r="D23065" s="26">
        <v>1.0500000000000001E-2</v>
      </c>
      <c r="F23065" s="26">
        <v>1.0500000000000001E-2</v>
      </c>
      <c r="J23065">
        <v>95</v>
      </c>
    </row>
    <row r="23066" spans="1:10" x14ac:dyDescent="0.35">
      <c r="A23066" t="s">
        <v>231</v>
      </c>
      <c r="B23066" t="s">
        <v>245</v>
      </c>
      <c r="C23066" s="26">
        <v>0.94640000000000002</v>
      </c>
      <c r="D23066" s="26">
        <v>3.5700000000000003E-2</v>
      </c>
      <c r="F23066" s="26">
        <v>1.7899999999999999E-2</v>
      </c>
      <c r="J23066">
        <v>56</v>
      </c>
    </row>
    <row r="23067" spans="1:10" x14ac:dyDescent="0.35">
      <c r="A23067" s="27" t="s">
        <v>231</v>
      </c>
      <c r="B23067" s="27" t="s">
        <v>246</v>
      </c>
      <c r="C23067" s="28">
        <v>0.92310000000000003</v>
      </c>
      <c r="D23067" s="28">
        <v>7.6899999999999996E-2</v>
      </c>
      <c r="E23067" s="29"/>
      <c r="F23067" s="29"/>
      <c r="G23067" s="29"/>
      <c r="H23067" s="29"/>
      <c r="I23067" s="29"/>
      <c r="J23067" s="29" t="s">
        <v>341</v>
      </c>
    </row>
    <row r="23068" spans="1:10" x14ac:dyDescent="0.35">
      <c r="A23068" t="s">
        <v>232</v>
      </c>
      <c r="B23068" t="s">
        <v>232</v>
      </c>
      <c r="C23068" s="26">
        <v>0.96540000000000004</v>
      </c>
      <c r="D23068" s="26">
        <v>2.3E-2</v>
      </c>
      <c r="E23068" s="26">
        <v>5.1999999999999998E-3</v>
      </c>
      <c r="F23068" s="26">
        <v>3.3999999999999998E-3</v>
      </c>
      <c r="G23068" s="26">
        <v>1.5E-3</v>
      </c>
      <c r="H23068" s="26">
        <v>8.9999999999999998E-4</v>
      </c>
      <c r="I23068" s="26">
        <v>5.9999999999999995E-4</v>
      </c>
      <c r="J23068">
        <v>2813</v>
      </c>
    </row>
    <row r="23070" spans="1:10" x14ac:dyDescent="0.35">
      <c r="A23070" s="1" t="s">
        <v>2202</v>
      </c>
    </row>
    <row r="23071" spans="1:10" x14ac:dyDescent="0.35">
      <c r="A23071" t="s">
        <v>219</v>
      </c>
      <c r="B23071" t="s">
        <v>305</v>
      </c>
      <c r="C23071" t="s">
        <v>2051</v>
      </c>
      <c r="D23071" t="s">
        <v>2052</v>
      </c>
      <c r="E23071" t="s">
        <v>2053</v>
      </c>
      <c r="F23071" t="s">
        <v>281</v>
      </c>
      <c r="G23071" t="s">
        <v>2054</v>
      </c>
      <c r="H23071" t="s">
        <v>2055</v>
      </c>
      <c r="I23071" t="s">
        <v>286</v>
      </c>
      <c r="J23071" t="s">
        <v>226</v>
      </c>
    </row>
    <row r="23072" spans="1:10" x14ac:dyDescent="0.35">
      <c r="A23072" t="s">
        <v>227</v>
      </c>
      <c r="B23072" t="s">
        <v>360</v>
      </c>
      <c r="C23072" s="26">
        <v>1</v>
      </c>
      <c r="J23072">
        <v>39</v>
      </c>
    </row>
    <row r="23073" spans="1:10" x14ac:dyDescent="0.35">
      <c r="A23073" t="s">
        <v>227</v>
      </c>
      <c r="B23073" t="s">
        <v>361</v>
      </c>
      <c r="C23073" s="26">
        <v>0.96879999999999999</v>
      </c>
      <c r="D23073" s="26">
        <v>3.1199999999999999E-2</v>
      </c>
      <c r="J23073">
        <v>32</v>
      </c>
    </row>
    <row r="23074" spans="1:10" x14ac:dyDescent="0.35">
      <c r="A23074" t="s">
        <v>227</v>
      </c>
      <c r="B23074" t="s">
        <v>362</v>
      </c>
      <c r="C23074" s="26">
        <v>0.91890000000000005</v>
      </c>
      <c r="D23074" s="26">
        <v>5.4100000000000002E-2</v>
      </c>
      <c r="E23074" s="26">
        <v>2.7E-2</v>
      </c>
      <c r="J23074">
        <v>37</v>
      </c>
    </row>
    <row r="23075" spans="1:10" x14ac:dyDescent="0.35">
      <c r="A23075" t="s">
        <v>227</v>
      </c>
      <c r="B23075" t="s">
        <v>363</v>
      </c>
      <c r="C23075" s="26">
        <v>0.9778</v>
      </c>
      <c r="D23075" s="26">
        <v>2.2200000000000001E-2</v>
      </c>
      <c r="J23075">
        <v>45</v>
      </c>
    </row>
    <row r="23076" spans="1:10" x14ac:dyDescent="0.35">
      <c r="A23076" t="s">
        <v>228</v>
      </c>
      <c r="B23076" t="s">
        <v>360</v>
      </c>
      <c r="C23076" s="26">
        <v>0.95230000000000004</v>
      </c>
      <c r="D23076" s="26">
        <v>1.29E-2</v>
      </c>
      <c r="E23076" s="26">
        <v>1.1900000000000001E-2</v>
      </c>
      <c r="H23076" s="26">
        <v>2.01E-2</v>
      </c>
      <c r="I23076" s="26">
        <v>2.8E-3</v>
      </c>
      <c r="J23076">
        <v>258</v>
      </c>
    </row>
    <row r="23077" spans="1:10" x14ac:dyDescent="0.35">
      <c r="A23077" t="s">
        <v>228</v>
      </c>
      <c r="B23077" t="s">
        <v>361</v>
      </c>
      <c r="C23077" s="26">
        <v>0.97209999999999996</v>
      </c>
      <c r="D23077" s="26">
        <v>1.0699999999999999E-2</v>
      </c>
      <c r="E23077" s="26">
        <v>1.6999999999999999E-3</v>
      </c>
      <c r="G23077" s="26">
        <v>1.55E-2</v>
      </c>
      <c r="J23077">
        <v>194</v>
      </c>
    </row>
    <row r="23078" spans="1:10" x14ac:dyDescent="0.35">
      <c r="A23078" t="s">
        <v>228</v>
      </c>
      <c r="B23078" t="s">
        <v>363</v>
      </c>
      <c r="C23078" s="26">
        <v>0.98899999999999999</v>
      </c>
      <c r="D23078" s="26">
        <v>4.8999999999999998E-3</v>
      </c>
      <c r="E23078" s="26">
        <v>6.1000000000000004E-3</v>
      </c>
      <c r="J23078">
        <v>212</v>
      </c>
    </row>
    <row r="23079" spans="1:10" x14ac:dyDescent="0.35">
      <c r="A23079" t="s">
        <v>228</v>
      </c>
      <c r="B23079" t="s">
        <v>362</v>
      </c>
      <c r="C23079" s="26">
        <v>0.98219999999999996</v>
      </c>
      <c r="D23079" s="26">
        <v>8.2000000000000007E-3</v>
      </c>
      <c r="E23079" s="26">
        <v>6.1000000000000004E-3</v>
      </c>
      <c r="G23079" s="26">
        <v>1.8E-3</v>
      </c>
      <c r="I23079" s="26">
        <v>1.8E-3</v>
      </c>
      <c r="J23079">
        <v>236</v>
      </c>
    </row>
    <row r="23080" spans="1:10" x14ac:dyDescent="0.35">
      <c r="A23080" t="s">
        <v>229</v>
      </c>
      <c r="B23080" t="s">
        <v>363</v>
      </c>
      <c r="C23080" s="26">
        <v>0.97719999999999996</v>
      </c>
      <c r="D23080" s="26">
        <v>9.1000000000000004E-3</v>
      </c>
      <c r="E23080" s="26">
        <v>1.37E-2</v>
      </c>
      <c r="J23080">
        <v>191</v>
      </c>
    </row>
    <row r="23081" spans="1:10" x14ac:dyDescent="0.35">
      <c r="A23081" t="s">
        <v>229</v>
      </c>
      <c r="B23081" t="s">
        <v>360</v>
      </c>
      <c r="C23081" s="26">
        <v>0.93320000000000003</v>
      </c>
      <c r="D23081" s="26">
        <v>4.1000000000000002E-2</v>
      </c>
      <c r="E23081" s="26">
        <v>2.1499999999999998E-2</v>
      </c>
      <c r="I23081" s="26">
        <v>4.3E-3</v>
      </c>
      <c r="J23081">
        <v>164</v>
      </c>
    </row>
    <row r="23082" spans="1:10" x14ac:dyDescent="0.35">
      <c r="A23082" t="s">
        <v>229</v>
      </c>
      <c r="B23082" t="s">
        <v>361</v>
      </c>
      <c r="C23082" s="26">
        <v>0.94579999999999997</v>
      </c>
      <c r="D23082" s="26">
        <v>4.7600000000000003E-2</v>
      </c>
      <c r="E23082" s="26">
        <v>6.6E-3</v>
      </c>
      <c r="J23082">
        <v>243</v>
      </c>
    </row>
    <row r="23083" spans="1:10" x14ac:dyDescent="0.35">
      <c r="A23083" t="s">
        <v>229</v>
      </c>
      <c r="B23083" t="s">
        <v>362</v>
      </c>
      <c r="C23083" s="26">
        <v>0.98450000000000004</v>
      </c>
      <c r="D23083" s="26">
        <v>1.55E-2</v>
      </c>
      <c r="J23083">
        <v>171</v>
      </c>
    </row>
    <row r="23084" spans="1:10" x14ac:dyDescent="0.35">
      <c r="A23084" t="s">
        <v>230</v>
      </c>
      <c r="B23084" t="s">
        <v>360</v>
      </c>
      <c r="C23084" s="26">
        <v>0.96209999999999996</v>
      </c>
      <c r="D23084" s="26">
        <v>3.1699999999999999E-2</v>
      </c>
      <c r="E23084" s="26">
        <v>6.1999999999999998E-3</v>
      </c>
      <c r="J23084">
        <v>120</v>
      </c>
    </row>
    <row r="23085" spans="1:10" x14ac:dyDescent="0.35">
      <c r="A23085" t="s">
        <v>230</v>
      </c>
      <c r="B23085" t="s">
        <v>363</v>
      </c>
      <c r="C23085" s="26">
        <v>0.96040000000000003</v>
      </c>
      <c r="D23085" s="26">
        <v>2.81E-2</v>
      </c>
      <c r="E23085" s="26">
        <v>1.15E-2</v>
      </c>
      <c r="J23085">
        <v>127</v>
      </c>
    </row>
    <row r="23086" spans="1:10" x14ac:dyDescent="0.35">
      <c r="A23086" t="s">
        <v>230</v>
      </c>
      <c r="B23086" t="s">
        <v>361</v>
      </c>
      <c r="C23086" s="26">
        <v>0.93889999999999996</v>
      </c>
      <c r="D23086" s="26">
        <v>5.0500000000000003E-2</v>
      </c>
      <c r="E23086" s="26">
        <v>7.0000000000000001E-3</v>
      </c>
      <c r="G23086" s="26">
        <v>3.5999999999999999E-3</v>
      </c>
      <c r="J23086">
        <v>109</v>
      </c>
    </row>
    <row r="23087" spans="1:10" x14ac:dyDescent="0.35">
      <c r="A23087" t="s">
        <v>230</v>
      </c>
      <c r="B23087" t="s">
        <v>362</v>
      </c>
      <c r="C23087" s="26">
        <v>0.96679999999999999</v>
      </c>
      <c r="D23087" s="26">
        <v>1.1000000000000001E-3</v>
      </c>
      <c r="E23087" s="26">
        <v>3.5000000000000001E-3</v>
      </c>
      <c r="G23087" s="26">
        <v>2.5000000000000001E-2</v>
      </c>
      <c r="H23087" s="26">
        <v>3.5999999999999999E-3</v>
      </c>
      <c r="J23087">
        <v>148</v>
      </c>
    </row>
    <row r="23088" spans="1:10" x14ac:dyDescent="0.35">
      <c r="A23088" s="27" t="s">
        <v>231</v>
      </c>
      <c r="B23088" s="27" t="s">
        <v>362</v>
      </c>
      <c r="C23088" s="28">
        <v>0.96550000000000002</v>
      </c>
      <c r="D23088" s="28">
        <v>3.4500000000000003E-2</v>
      </c>
      <c r="E23088" s="29"/>
      <c r="F23088" s="29"/>
      <c r="G23088" s="29"/>
      <c r="H23088" s="29"/>
      <c r="I23088" s="29"/>
      <c r="J23088" s="29" t="s">
        <v>329</v>
      </c>
    </row>
    <row r="23089" spans="1:10" x14ac:dyDescent="0.35">
      <c r="A23089" t="s">
        <v>231</v>
      </c>
      <c r="B23089" t="s">
        <v>361</v>
      </c>
      <c r="C23089" s="26">
        <v>0.94</v>
      </c>
      <c r="D23089" s="26">
        <v>0.02</v>
      </c>
      <c r="F23089" s="26">
        <v>0.04</v>
      </c>
      <c r="J23089">
        <v>50</v>
      </c>
    </row>
    <row r="23090" spans="1:10" x14ac:dyDescent="0.35">
      <c r="A23090" t="s">
        <v>231</v>
      </c>
      <c r="B23090" t="s">
        <v>360</v>
      </c>
      <c r="C23090" s="26">
        <v>0.95450000000000002</v>
      </c>
      <c r="D23090" s="26">
        <v>4.5499999999999999E-2</v>
      </c>
      <c r="J23090">
        <v>44</v>
      </c>
    </row>
    <row r="23091" spans="1:10" x14ac:dyDescent="0.35">
      <c r="A23091" s="27" t="s">
        <v>231</v>
      </c>
      <c r="B23091" s="27" t="s">
        <v>363</v>
      </c>
      <c r="C23091" s="28">
        <v>1</v>
      </c>
      <c r="D23091" s="29"/>
      <c r="E23091" s="29"/>
      <c r="F23091" s="29"/>
      <c r="G23091" s="29"/>
      <c r="H23091" s="29"/>
      <c r="I23091" s="29"/>
      <c r="J23091" s="29" t="s">
        <v>338</v>
      </c>
    </row>
    <row r="23092" spans="1:10" x14ac:dyDescent="0.35">
      <c r="A23092" t="s">
        <v>232</v>
      </c>
      <c r="B23092" t="s">
        <v>232</v>
      </c>
      <c r="C23092" s="26">
        <v>0.96540000000000004</v>
      </c>
      <c r="D23092" s="26">
        <v>2.3E-2</v>
      </c>
      <c r="E23092" s="26">
        <v>5.1999999999999998E-3</v>
      </c>
      <c r="F23092" s="26">
        <v>3.3999999999999998E-3</v>
      </c>
      <c r="G23092" s="26">
        <v>1.5E-3</v>
      </c>
      <c r="H23092" s="26">
        <v>8.9999999999999998E-4</v>
      </c>
      <c r="I23092" s="26">
        <v>5.9999999999999995E-4</v>
      </c>
      <c r="J23092">
        <v>2476</v>
      </c>
    </row>
    <row r="23094" spans="1:10" x14ac:dyDescent="0.35">
      <c r="A23094" s="1" t="s">
        <v>2203</v>
      </c>
    </row>
    <row r="23095" spans="1:10" x14ac:dyDescent="0.35">
      <c r="A23095" t="s">
        <v>219</v>
      </c>
      <c r="B23095" t="s">
        <v>305</v>
      </c>
      <c r="C23095" t="s">
        <v>2051</v>
      </c>
      <c r="D23095" t="s">
        <v>2052</v>
      </c>
      <c r="E23095" t="s">
        <v>2053</v>
      </c>
      <c r="F23095" t="s">
        <v>281</v>
      </c>
      <c r="G23095" t="s">
        <v>2054</v>
      </c>
      <c r="H23095" t="s">
        <v>2055</v>
      </c>
      <c r="I23095" t="s">
        <v>286</v>
      </c>
      <c r="J23095" t="s">
        <v>226</v>
      </c>
    </row>
    <row r="23096" spans="1:10" x14ac:dyDescent="0.35">
      <c r="A23096" t="s">
        <v>227</v>
      </c>
      <c r="B23096" t="s">
        <v>267</v>
      </c>
      <c r="C23096" s="26">
        <v>0.97219999999999995</v>
      </c>
      <c r="E23096" s="26">
        <v>2.7799999999999998E-2</v>
      </c>
      <c r="J23096">
        <v>36</v>
      </c>
    </row>
    <row r="23097" spans="1:10" x14ac:dyDescent="0.35">
      <c r="A23097" t="s">
        <v>227</v>
      </c>
      <c r="B23097" t="s">
        <v>266</v>
      </c>
      <c r="C23097" s="26">
        <v>0.96609999999999996</v>
      </c>
      <c r="D23097" s="26">
        <v>3.39E-2</v>
      </c>
      <c r="J23097">
        <v>59</v>
      </c>
    </row>
    <row r="23098" spans="1:10" x14ac:dyDescent="0.35">
      <c r="A23098" t="s">
        <v>227</v>
      </c>
      <c r="B23098" t="s">
        <v>265</v>
      </c>
      <c r="C23098" s="26">
        <v>0.96970000000000001</v>
      </c>
      <c r="D23098" s="26">
        <v>3.0300000000000001E-2</v>
      </c>
      <c r="J23098">
        <v>66</v>
      </c>
    </row>
    <row r="23099" spans="1:10" x14ac:dyDescent="0.35">
      <c r="A23099" t="s">
        <v>228</v>
      </c>
      <c r="B23099" t="s">
        <v>267</v>
      </c>
      <c r="C23099" s="26">
        <v>0.98250000000000004</v>
      </c>
      <c r="D23099" s="26">
        <v>6.8999999999999999E-3</v>
      </c>
      <c r="E23099" s="26">
        <v>1.06E-2</v>
      </c>
      <c r="J23099">
        <v>199</v>
      </c>
    </row>
    <row r="23100" spans="1:10" x14ac:dyDescent="0.35">
      <c r="A23100" t="s">
        <v>228</v>
      </c>
      <c r="B23100" t="s">
        <v>265</v>
      </c>
      <c r="C23100" s="26">
        <v>0.98270000000000002</v>
      </c>
      <c r="D23100" s="26">
        <v>1.0800000000000001E-2</v>
      </c>
      <c r="E23100" s="26">
        <v>2.2000000000000001E-3</v>
      </c>
      <c r="G23100" s="26">
        <v>2E-3</v>
      </c>
      <c r="I23100" s="26">
        <v>2.3E-3</v>
      </c>
      <c r="J23100">
        <v>384</v>
      </c>
    </row>
    <row r="23101" spans="1:10" x14ac:dyDescent="0.35">
      <c r="A23101" s="27" t="s">
        <v>228</v>
      </c>
      <c r="B23101" s="27" t="s">
        <v>236</v>
      </c>
      <c r="C23101" s="28">
        <v>1</v>
      </c>
      <c r="D23101" s="29"/>
      <c r="E23101" s="29"/>
      <c r="F23101" s="29"/>
      <c r="G23101" s="29"/>
      <c r="H23101" s="29"/>
      <c r="I23101" s="29"/>
      <c r="J23101" s="29" t="s">
        <v>314</v>
      </c>
    </row>
    <row r="23102" spans="1:10" x14ac:dyDescent="0.35">
      <c r="A23102" t="s">
        <v>228</v>
      </c>
      <c r="B23102" t="s">
        <v>266</v>
      </c>
      <c r="C23102" s="26">
        <v>0.96540000000000004</v>
      </c>
      <c r="D23102" s="26">
        <v>7.1000000000000004E-3</v>
      </c>
      <c r="E23102" s="26">
        <v>8.6999999999999994E-3</v>
      </c>
      <c r="G23102" s="26">
        <v>8.0999999999999996E-3</v>
      </c>
      <c r="H23102" s="26">
        <v>9.7000000000000003E-3</v>
      </c>
      <c r="I23102" s="26">
        <v>1E-3</v>
      </c>
      <c r="J23102">
        <v>448</v>
      </c>
    </row>
    <row r="23103" spans="1:10" x14ac:dyDescent="0.35">
      <c r="A23103" t="s">
        <v>229</v>
      </c>
      <c r="B23103" t="s">
        <v>266</v>
      </c>
      <c r="C23103" s="26">
        <v>0.96750000000000003</v>
      </c>
      <c r="D23103" s="26">
        <v>2.3800000000000002E-2</v>
      </c>
      <c r="E23103" s="26">
        <v>8.6E-3</v>
      </c>
      <c r="J23103">
        <v>359</v>
      </c>
    </row>
    <row r="23104" spans="1:10" x14ac:dyDescent="0.35">
      <c r="A23104" t="s">
        <v>229</v>
      </c>
      <c r="B23104" t="s">
        <v>267</v>
      </c>
      <c r="C23104" s="26">
        <v>0.96309999999999996</v>
      </c>
      <c r="D23104" s="26">
        <v>2.5600000000000001E-2</v>
      </c>
      <c r="E23104" s="26">
        <v>1.1299999999999999E-2</v>
      </c>
      <c r="J23104">
        <v>201</v>
      </c>
    </row>
    <row r="23105" spans="1:10" x14ac:dyDescent="0.35">
      <c r="A23105" t="s">
        <v>229</v>
      </c>
      <c r="B23105" t="s">
        <v>265</v>
      </c>
      <c r="C23105" s="26">
        <v>0.95520000000000005</v>
      </c>
      <c r="D23105" s="26">
        <v>3.5900000000000001E-2</v>
      </c>
      <c r="E23105" s="26">
        <v>6.7000000000000002E-3</v>
      </c>
      <c r="I23105" s="26">
        <v>2.2000000000000001E-3</v>
      </c>
      <c r="J23105">
        <v>335</v>
      </c>
    </row>
    <row r="23106" spans="1:10" x14ac:dyDescent="0.35">
      <c r="A23106" t="s">
        <v>230</v>
      </c>
      <c r="B23106" t="s">
        <v>267</v>
      </c>
      <c r="C23106" s="26">
        <v>0.98819999999999997</v>
      </c>
      <c r="D23106" s="26">
        <v>7.7999999999999996E-3</v>
      </c>
      <c r="E23106" s="26">
        <v>4.0000000000000001E-3</v>
      </c>
      <c r="J23106">
        <v>119</v>
      </c>
    </row>
    <row r="23107" spans="1:10" x14ac:dyDescent="0.35">
      <c r="A23107" t="s">
        <v>230</v>
      </c>
      <c r="B23107" t="s">
        <v>266</v>
      </c>
      <c r="C23107" s="26">
        <v>0.95199999999999996</v>
      </c>
      <c r="D23107" s="26">
        <v>1.7399999999999999E-2</v>
      </c>
      <c r="E23107" s="26">
        <v>8.2000000000000007E-3</v>
      </c>
      <c r="F23107" s="26">
        <v>2.5000000000000001E-3</v>
      </c>
      <c r="G23107" s="26">
        <v>1.7399999999999999E-2</v>
      </c>
      <c r="H23107" s="26">
        <v>2.5000000000000001E-3</v>
      </c>
      <c r="J23107">
        <v>232</v>
      </c>
    </row>
    <row r="23108" spans="1:10" x14ac:dyDescent="0.35">
      <c r="A23108" t="s">
        <v>230</v>
      </c>
      <c r="B23108" t="s">
        <v>265</v>
      </c>
      <c r="C23108" s="26">
        <v>0.94679999999999997</v>
      </c>
      <c r="D23108" s="26">
        <v>4.2599999999999999E-2</v>
      </c>
      <c r="E23108" s="26">
        <v>8.5000000000000006E-3</v>
      </c>
      <c r="G23108" s="26">
        <v>2.0999999999999999E-3</v>
      </c>
      <c r="J23108">
        <v>209</v>
      </c>
    </row>
    <row r="23109" spans="1:10" x14ac:dyDescent="0.35">
      <c r="A23109" t="s">
        <v>231</v>
      </c>
      <c r="B23109" t="s">
        <v>267</v>
      </c>
      <c r="C23109" s="26">
        <v>0.97060000000000002</v>
      </c>
      <c r="F23109" s="26">
        <v>2.9399999999999999E-2</v>
      </c>
      <c r="J23109">
        <v>34</v>
      </c>
    </row>
    <row r="23110" spans="1:10" x14ac:dyDescent="0.35">
      <c r="A23110" t="s">
        <v>231</v>
      </c>
      <c r="B23110" t="s">
        <v>266</v>
      </c>
      <c r="C23110" s="26">
        <v>0.9677</v>
      </c>
      <c r="D23110" s="26">
        <v>3.2300000000000002E-2</v>
      </c>
      <c r="J23110">
        <v>62</v>
      </c>
    </row>
    <row r="23111" spans="1:10" x14ac:dyDescent="0.35">
      <c r="A23111" t="s">
        <v>231</v>
      </c>
      <c r="B23111" t="s">
        <v>265</v>
      </c>
      <c r="C23111" s="26">
        <v>0.95589999999999997</v>
      </c>
      <c r="D23111" s="26">
        <v>2.9399999999999999E-2</v>
      </c>
      <c r="F23111" s="26">
        <v>1.47E-2</v>
      </c>
      <c r="J23111">
        <v>68</v>
      </c>
    </row>
    <row r="23112" spans="1:10" x14ac:dyDescent="0.35">
      <c r="A23112" t="s">
        <v>232</v>
      </c>
      <c r="B23112" t="s">
        <v>232</v>
      </c>
      <c r="C23112" s="26">
        <v>0.96540000000000004</v>
      </c>
      <c r="D23112" s="26">
        <v>2.3E-2</v>
      </c>
      <c r="E23112" s="26">
        <v>5.1999999999999998E-3</v>
      </c>
      <c r="F23112" s="26">
        <v>3.3999999999999998E-3</v>
      </c>
      <c r="G23112" s="26">
        <v>1.5E-3</v>
      </c>
      <c r="H23112" s="26">
        <v>8.9999999999999998E-4</v>
      </c>
      <c r="I23112" s="26">
        <v>5.9999999999999995E-4</v>
      </c>
      <c r="J23112">
        <v>2813</v>
      </c>
    </row>
    <row r="23114" spans="1:10" x14ac:dyDescent="0.35">
      <c r="A23114" s="1" t="s">
        <v>2204</v>
      </c>
    </row>
    <row r="23115" spans="1:10" x14ac:dyDescent="0.35">
      <c r="A23115" t="s">
        <v>219</v>
      </c>
      <c r="B23115" t="s">
        <v>305</v>
      </c>
      <c r="C23115" t="s">
        <v>2051</v>
      </c>
      <c r="D23115" t="s">
        <v>2052</v>
      </c>
      <c r="E23115" t="s">
        <v>2053</v>
      </c>
      <c r="F23115" t="s">
        <v>281</v>
      </c>
      <c r="G23115" t="s">
        <v>2054</v>
      </c>
      <c r="H23115" t="s">
        <v>2055</v>
      </c>
      <c r="I23115" t="s">
        <v>286</v>
      </c>
      <c r="J23115" t="s">
        <v>226</v>
      </c>
    </row>
    <row r="23116" spans="1:10" x14ac:dyDescent="0.35">
      <c r="A23116" t="s">
        <v>227</v>
      </c>
      <c r="B23116" t="s">
        <v>252</v>
      </c>
      <c r="C23116" s="26">
        <v>0.9556</v>
      </c>
      <c r="D23116" s="26">
        <v>2.2200000000000001E-2</v>
      </c>
      <c r="E23116" s="26">
        <v>2.2200000000000001E-2</v>
      </c>
      <c r="J23116">
        <v>45</v>
      </c>
    </row>
    <row r="23117" spans="1:10" x14ac:dyDescent="0.35">
      <c r="A23117" t="s">
        <v>227</v>
      </c>
      <c r="B23117" t="s">
        <v>253</v>
      </c>
      <c r="C23117" s="26">
        <v>0.94120000000000004</v>
      </c>
      <c r="D23117" s="26">
        <v>5.8799999999999998E-2</v>
      </c>
      <c r="J23117">
        <v>34</v>
      </c>
    </row>
    <row r="23118" spans="1:10" x14ac:dyDescent="0.35">
      <c r="A23118" t="s">
        <v>227</v>
      </c>
      <c r="B23118" t="s">
        <v>251</v>
      </c>
      <c r="C23118" s="26">
        <v>0.98780000000000001</v>
      </c>
      <c r="D23118" s="26">
        <v>1.2200000000000001E-2</v>
      </c>
      <c r="J23118">
        <v>82</v>
      </c>
    </row>
    <row r="23119" spans="1:10" x14ac:dyDescent="0.35">
      <c r="A23119" t="s">
        <v>228</v>
      </c>
      <c r="B23119" t="s">
        <v>252</v>
      </c>
      <c r="C23119" s="26">
        <v>0.98250000000000004</v>
      </c>
      <c r="D23119" s="26">
        <v>2.8E-3</v>
      </c>
      <c r="E23119" s="26">
        <v>1.6999999999999999E-3</v>
      </c>
      <c r="H23119" s="26">
        <v>1.04E-2</v>
      </c>
      <c r="I23119" s="26">
        <v>2.5999999999999999E-3</v>
      </c>
      <c r="J23119">
        <v>344</v>
      </c>
    </row>
    <row r="23120" spans="1:10" x14ac:dyDescent="0.35">
      <c r="A23120" t="s">
        <v>228</v>
      </c>
      <c r="B23120" t="s">
        <v>253</v>
      </c>
      <c r="C23120" s="26">
        <v>0.96689999999999998</v>
      </c>
      <c r="D23120" s="26">
        <v>1.54E-2</v>
      </c>
      <c r="E23120" s="26">
        <v>1.3899999999999999E-2</v>
      </c>
      <c r="H23120" s="26">
        <v>1.1999999999999999E-3</v>
      </c>
      <c r="I23120" s="26">
        <v>2.7000000000000001E-3</v>
      </c>
      <c r="J23120">
        <v>222</v>
      </c>
    </row>
    <row r="23121" spans="1:10" x14ac:dyDescent="0.35">
      <c r="A23121" t="s">
        <v>228</v>
      </c>
      <c r="B23121" t="s">
        <v>251</v>
      </c>
      <c r="C23121" s="26">
        <v>0.9748</v>
      </c>
      <c r="D23121" s="26">
        <v>9.4999999999999998E-3</v>
      </c>
      <c r="E23121" s="26">
        <v>6.1000000000000004E-3</v>
      </c>
      <c r="G23121" s="26">
        <v>8.6999999999999994E-3</v>
      </c>
      <c r="H23121" s="26">
        <v>8.9999999999999998E-4</v>
      </c>
      <c r="J23121">
        <v>467</v>
      </c>
    </row>
    <row r="23122" spans="1:10" x14ac:dyDescent="0.35">
      <c r="A23122" t="s">
        <v>229</v>
      </c>
      <c r="B23122" t="s">
        <v>252</v>
      </c>
      <c r="C23122" s="26">
        <v>0.98880000000000001</v>
      </c>
      <c r="D23122" s="26">
        <v>1.12E-2</v>
      </c>
      <c r="J23122">
        <v>199</v>
      </c>
    </row>
    <row r="23123" spans="1:10" x14ac:dyDescent="0.35">
      <c r="A23123" t="s">
        <v>229</v>
      </c>
      <c r="B23123" t="s">
        <v>253</v>
      </c>
      <c r="C23123" s="26">
        <v>0.94710000000000005</v>
      </c>
      <c r="D23123" s="26">
        <v>3.3500000000000002E-2</v>
      </c>
      <c r="E23123" s="26">
        <v>1.5900000000000001E-2</v>
      </c>
      <c r="I23123" s="26">
        <v>3.5000000000000001E-3</v>
      </c>
      <c r="J23123">
        <v>145</v>
      </c>
    </row>
    <row r="23124" spans="1:10" x14ac:dyDescent="0.35">
      <c r="A23124" t="s">
        <v>229</v>
      </c>
      <c r="B23124" t="s">
        <v>251</v>
      </c>
      <c r="C23124" s="26">
        <v>0.95489999999999997</v>
      </c>
      <c r="D23124" s="26">
        <v>3.5499999999999997E-2</v>
      </c>
      <c r="E23124" s="26">
        <v>9.1000000000000004E-3</v>
      </c>
      <c r="I23124" s="26">
        <v>5.9999999999999995E-4</v>
      </c>
      <c r="J23124">
        <v>551</v>
      </c>
    </row>
    <row r="23125" spans="1:10" x14ac:dyDescent="0.35">
      <c r="A23125" t="s">
        <v>230</v>
      </c>
      <c r="B23125" t="s">
        <v>252</v>
      </c>
      <c r="C23125" s="26">
        <v>0.99199999999999999</v>
      </c>
      <c r="D23125" s="26">
        <v>1.1000000000000001E-3</v>
      </c>
      <c r="E23125" s="26">
        <v>6.8999999999999999E-3</v>
      </c>
      <c r="J23125">
        <v>159</v>
      </c>
    </row>
    <row r="23126" spans="1:10" x14ac:dyDescent="0.35">
      <c r="A23126" t="s">
        <v>230</v>
      </c>
      <c r="B23126" t="s">
        <v>253</v>
      </c>
      <c r="C23126" s="26">
        <v>0.9577</v>
      </c>
      <c r="D23126" s="26">
        <v>3.1399999999999997E-2</v>
      </c>
      <c r="E23126" s="26">
        <v>6.1000000000000004E-3</v>
      </c>
      <c r="H23126" s="26">
        <v>4.7999999999999996E-3</v>
      </c>
      <c r="J23126">
        <v>110</v>
      </c>
    </row>
    <row r="23127" spans="1:10" x14ac:dyDescent="0.35">
      <c r="A23127" t="s">
        <v>230</v>
      </c>
      <c r="B23127" t="s">
        <v>251</v>
      </c>
      <c r="C23127" s="26">
        <v>0.94210000000000005</v>
      </c>
      <c r="D23127" s="26">
        <v>3.5400000000000001E-2</v>
      </c>
      <c r="E23127" s="26">
        <v>8.0000000000000002E-3</v>
      </c>
      <c r="F23127" s="26">
        <v>1.6000000000000001E-3</v>
      </c>
      <c r="G23127" s="26">
        <v>1.29E-2</v>
      </c>
      <c r="J23127">
        <v>291</v>
      </c>
    </row>
    <row r="23128" spans="1:10" x14ac:dyDescent="0.35">
      <c r="A23128" t="s">
        <v>231</v>
      </c>
      <c r="B23128" t="s">
        <v>252</v>
      </c>
      <c r="C23128" s="26">
        <v>0.95920000000000005</v>
      </c>
      <c r="D23128" s="26">
        <v>2.0400000000000001E-2</v>
      </c>
      <c r="F23128" s="26">
        <v>2.0400000000000001E-2</v>
      </c>
      <c r="J23128">
        <v>49</v>
      </c>
    </row>
    <row r="23129" spans="1:10" x14ac:dyDescent="0.35">
      <c r="A23129" t="s">
        <v>231</v>
      </c>
      <c r="B23129" t="s">
        <v>253</v>
      </c>
      <c r="C23129" s="26">
        <v>1</v>
      </c>
      <c r="J23129">
        <v>30</v>
      </c>
    </row>
    <row r="23130" spans="1:10" x14ac:dyDescent="0.35">
      <c r="A23130" t="s">
        <v>231</v>
      </c>
      <c r="B23130" t="s">
        <v>251</v>
      </c>
      <c r="C23130" s="26">
        <v>0.95289999999999997</v>
      </c>
      <c r="D23130" s="26">
        <v>3.5299999999999998E-2</v>
      </c>
      <c r="F23130" s="26">
        <v>1.18E-2</v>
      </c>
      <c r="J23130">
        <v>85</v>
      </c>
    </row>
    <row r="23131" spans="1:10" x14ac:dyDescent="0.35">
      <c r="A23131" t="s">
        <v>232</v>
      </c>
      <c r="B23131" t="s">
        <v>232</v>
      </c>
      <c r="C23131" s="26">
        <v>0.96540000000000004</v>
      </c>
      <c r="D23131" s="26">
        <v>2.3E-2</v>
      </c>
      <c r="E23131" s="26">
        <v>5.1999999999999998E-3</v>
      </c>
      <c r="F23131" s="26">
        <v>3.3999999999999998E-3</v>
      </c>
      <c r="G23131" s="26">
        <v>1.5E-3</v>
      </c>
      <c r="H23131" s="26">
        <v>8.9999999999999998E-4</v>
      </c>
      <c r="I23131" s="26">
        <v>5.9999999999999995E-4</v>
      </c>
      <c r="J23131">
        <v>2813</v>
      </c>
    </row>
    <row r="23133" spans="1:10" x14ac:dyDescent="0.35">
      <c r="A23133" s="1" t="s">
        <v>2205</v>
      </c>
    </row>
    <row r="23134" spans="1:10" x14ac:dyDescent="0.35">
      <c r="A23134" t="s">
        <v>219</v>
      </c>
      <c r="B23134" t="s">
        <v>305</v>
      </c>
      <c r="C23134" t="s">
        <v>2051</v>
      </c>
      <c r="D23134" t="s">
        <v>2052</v>
      </c>
      <c r="E23134" t="s">
        <v>2053</v>
      </c>
      <c r="F23134" t="s">
        <v>281</v>
      </c>
      <c r="G23134" t="s">
        <v>2054</v>
      </c>
      <c r="H23134" t="s">
        <v>2055</v>
      </c>
      <c r="I23134" t="s">
        <v>286</v>
      </c>
      <c r="J23134" t="s">
        <v>226</v>
      </c>
    </row>
    <row r="23135" spans="1:10" x14ac:dyDescent="0.35">
      <c r="A23135" t="s">
        <v>227</v>
      </c>
      <c r="B23135" t="s">
        <v>249</v>
      </c>
      <c r="C23135" s="26">
        <v>0.97729999999999995</v>
      </c>
      <c r="D23135" s="26">
        <v>2.2700000000000001E-2</v>
      </c>
      <c r="J23135">
        <v>44</v>
      </c>
    </row>
    <row r="23136" spans="1:10" x14ac:dyDescent="0.35">
      <c r="A23136" t="s">
        <v>227</v>
      </c>
      <c r="B23136" t="s">
        <v>248</v>
      </c>
      <c r="C23136" s="26">
        <v>0.96579999999999999</v>
      </c>
      <c r="D23136" s="26">
        <v>2.5600000000000001E-2</v>
      </c>
      <c r="E23136" s="26">
        <v>8.5000000000000006E-3</v>
      </c>
      <c r="J23136">
        <v>117</v>
      </c>
    </row>
    <row r="23137" spans="1:10" x14ac:dyDescent="0.35">
      <c r="A23137" t="s">
        <v>228</v>
      </c>
      <c r="B23137" t="s">
        <v>249</v>
      </c>
      <c r="C23137" s="26">
        <v>0.98080000000000001</v>
      </c>
      <c r="D23137" s="26">
        <v>8.0999999999999996E-3</v>
      </c>
      <c r="E23137" s="26">
        <v>5.7000000000000002E-3</v>
      </c>
      <c r="G23137" s="26">
        <v>1.4E-3</v>
      </c>
      <c r="H23137" s="26">
        <v>2.2000000000000001E-3</v>
      </c>
      <c r="I23137" s="26">
        <v>1.8E-3</v>
      </c>
      <c r="J23137">
        <v>274</v>
      </c>
    </row>
    <row r="23138" spans="1:10" x14ac:dyDescent="0.35">
      <c r="A23138" t="s">
        <v>228</v>
      </c>
      <c r="B23138" t="s">
        <v>248</v>
      </c>
      <c r="C23138" s="26">
        <v>0.97350000000000003</v>
      </c>
      <c r="D23138" s="26">
        <v>8.8000000000000005E-3</v>
      </c>
      <c r="E23138" s="26">
        <v>6.4999999999999997E-3</v>
      </c>
      <c r="G23138" s="26">
        <v>5.3E-3</v>
      </c>
      <c r="H23138" s="26">
        <v>4.7000000000000002E-3</v>
      </c>
      <c r="I23138" s="26">
        <v>1.1999999999999999E-3</v>
      </c>
      <c r="J23138">
        <v>759</v>
      </c>
    </row>
    <row r="23139" spans="1:10" x14ac:dyDescent="0.35">
      <c r="A23139" t="s">
        <v>229</v>
      </c>
      <c r="B23139" t="s">
        <v>249</v>
      </c>
      <c r="C23139" s="26">
        <v>0.94830000000000003</v>
      </c>
      <c r="D23139" s="26">
        <v>3.39E-2</v>
      </c>
      <c r="E23139" s="26">
        <v>1.77E-2</v>
      </c>
      <c r="J23139">
        <v>259</v>
      </c>
    </row>
    <row r="23140" spans="1:10" x14ac:dyDescent="0.35">
      <c r="A23140" t="s">
        <v>229</v>
      </c>
      <c r="B23140" t="s">
        <v>248</v>
      </c>
      <c r="C23140" s="26">
        <v>0.96719999999999995</v>
      </c>
      <c r="D23140" s="26">
        <v>2.75E-2</v>
      </c>
      <c r="E23140" s="26">
        <v>3.7000000000000002E-3</v>
      </c>
      <c r="I23140" s="26">
        <v>1.5E-3</v>
      </c>
      <c r="J23140">
        <v>636</v>
      </c>
    </row>
    <row r="23141" spans="1:10" x14ac:dyDescent="0.35">
      <c r="A23141" t="s">
        <v>230</v>
      </c>
      <c r="B23141" t="s">
        <v>249</v>
      </c>
      <c r="C23141" s="26">
        <v>0.9365</v>
      </c>
      <c r="D23141" s="26">
        <v>2.29E-2</v>
      </c>
      <c r="E23141" s="26">
        <v>1.4E-2</v>
      </c>
      <c r="F23141" s="26">
        <v>2.5999999999999999E-3</v>
      </c>
      <c r="G23141" s="26">
        <v>2.1299999999999999E-2</v>
      </c>
      <c r="H23141" s="26">
        <v>2.7000000000000001E-3</v>
      </c>
      <c r="J23141">
        <v>171</v>
      </c>
    </row>
    <row r="23142" spans="1:10" x14ac:dyDescent="0.35">
      <c r="A23142" t="s">
        <v>230</v>
      </c>
      <c r="B23142" t="s">
        <v>248</v>
      </c>
      <c r="C23142" s="26">
        <v>0.96870000000000001</v>
      </c>
      <c r="D23142" s="26">
        <v>2.7300000000000001E-2</v>
      </c>
      <c r="E23142" s="26">
        <v>4.0000000000000001E-3</v>
      </c>
      <c r="J23142">
        <v>389</v>
      </c>
    </row>
    <row r="23143" spans="1:10" x14ac:dyDescent="0.35">
      <c r="A23143" t="s">
        <v>231</v>
      </c>
      <c r="B23143" t="s">
        <v>249</v>
      </c>
      <c r="C23143" s="26">
        <v>0.94289999999999996</v>
      </c>
      <c r="D23143" s="26">
        <v>5.7099999999999998E-2</v>
      </c>
      <c r="J23143">
        <v>35</v>
      </c>
    </row>
    <row r="23144" spans="1:10" x14ac:dyDescent="0.35">
      <c r="A23144" t="s">
        <v>231</v>
      </c>
      <c r="B23144" t="s">
        <v>248</v>
      </c>
      <c r="C23144" s="26">
        <v>0.96899999999999997</v>
      </c>
      <c r="D23144" s="26">
        <v>1.55E-2</v>
      </c>
      <c r="F23144" s="26">
        <v>1.55E-2</v>
      </c>
      <c r="J23144">
        <v>129</v>
      </c>
    </row>
    <row r="23145" spans="1:10" x14ac:dyDescent="0.35">
      <c r="A23145" t="s">
        <v>232</v>
      </c>
      <c r="B23145" t="s">
        <v>232</v>
      </c>
      <c r="C23145" s="26">
        <v>0.96540000000000004</v>
      </c>
      <c r="D23145" s="26">
        <v>2.3E-2</v>
      </c>
      <c r="E23145" s="26">
        <v>5.1999999999999998E-3</v>
      </c>
      <c r="F23145" s="26">
        <v>3.3999999999999998E-3</v>
      </c>
      <c r="G23145" s="26">
        <v>1.5E-3</v>
      </c>
      <c r="H23145" s="26">
        <v>8.9999999999999998E-4</v>
      </c>
      <c r="I23145" s="26">
        <v>5.9999999999999995E-4</v>
      </c>
      <c r="J23145">
        <v>2813</v>
      </c>
    </row>
    <row r="23147" spans="1:10" x14ac:dyDescent="0.35">
      <c r="A23147" s="1" t="s">
        <v>2206</v>
      </c>
    </row>
    <row r="23148" spans="1:10" x14ac:dyDescent="0.35">
      <c r="A23148" t="s">
        <v>219</v>
      </c>
      <c r="B23148" t="s">
        <v>305</v>
      </c>
      <c r="C23148" t="s">
        <v>2051</v>
      </c>
      <c r="D23148" t="s">
        <v>2052</v>
      </c>
      <c r="E23148" t="s">
        <v>2053</v>
      </c>
      <c r="F23148" t="s">
        <v>281</v>
      </c>
      <c r="G23148" t="s">
        <v>2054</v>
      </c>
      <c r="H23148" t="s">
        <v>2055</v>
      </c>
      <c r="I23148" t="s">
        <v>286</v>
      </c>
      <c r="J23148" t="s">
        <v>226</v>
      </c>
    </row>
    <row r="23149" spans="1:10" x14ac:dyDescent="0.35">
      <c r="A23149" s="27" t="s">
        <v>227</v>
      </c>
      <c r="B23149" s="27" t="s">
        <v>263</v>
      </c>
      <c r="C23149" s="28">
        <v>1</v>
      </c>
      <c r="D23149" s="29"/>
      <c r="E23149" s="29"/>
      <c r="F23149" s="29"/>
      <c r="G23149" s="29"/>
      <c r="H23149" s="29"/>
      <c r="I23149" s="29"/>
      <c r="J23149" s="29" t="s">
        <v>315</v>
      </c>
    </row>
    <row r="23150" spans="1:10" x14ac:dyDescent="0.35">
      <c r="A23150" t="s">
        <v>227</v>
      </c>
      <c r="B23150" t="s">
        <v>261</v>
      </c>
      <c r="C23150" s="26">
        <v>0.93940000000000001</v>
      </c>
      <c r="D23150" s="26">
        <v>6.0600000000000001E-2</v>
      </c>
      <c r="J23150">
        <v>33</v>
      </c>
    </row>
    <row r="23151" spans="1:10" x14ac:dyDescent="0.35">
      <c r="A23151" s="27" t="s">
        <v>227</v>
      </c>
      <c r="B23151" s="27" t="s">
        <v>262</v>
      </c>
      <c r="C23151" s="28">
        <v>1</v>
      </c>
      <c r="D23151" s="29"/>
      <c r="E23151" s="29"/>
      <c r="F23151" s="29"/>
      <c r="G23151" s="29"/>
      <c r="H23151" s="29"/>
      <c r="I23151" s="29"/>
      <c r="J23151" s="29" t="s">
        <v>315</v>
      </c>
    </row>
    <row r="23152" spans="1:10" x14ac:dyDescent="0.35">
      <c r="A23152" t="s">
        <v>227</v>
      </c>
      <c r="B23152" t="s">
        <v>260</v>
      </c>
      <c r="C23152" s="26">
        <v>0.97540000000000004</v>
      </c>
      <c r="D23152" s="26">
        <v>1.6400000000000001E-2</v>
      </c>
      <c r="E23152" s="26">
        <v>8.2000000000000007E-3</v>
      </c>
      <c r="J23152">
        <v>122</v>
      </c>
    </row>
    <row r="23153" spans="1:10" x14ac:dyDescent="0.35">
      <c r="A23153" t="s">
        <v>228</v>
      </c>
      <c r="B23153" t="s">
        <v>261</v>
      </c>
      <c r="C23153" s="26">
        <v>0.98070000000000002</v>
      </c>
      <c r="D23153" s="26">
        <v>1.41E-2</v>
      </c>
      <c r="E23153" s="26">
        <v>3.0999999999999999E-3</v>
      </c>
      <c r="I23153" s="26">
        <v>2.0999999999999999E-3</v>
      </c>
      <c r="J23153">
        <v>192</v>
      </c>
    </row>
    <row r="23154" spans="1:10" x14ac:dyDescent="0.35">
      <c r="A23154" s="27" t="s">
        <v>228</v>
      </c>
      <c r="B23154" s="27" t="s">
        <v>263</v>
      </c>
      <c r="C23154" s="28">
        <v>0.94140000000000001</v>
      </c>
      <c r="D23154" s="29"/>
      <c r="E23154" s="28">
        <v>5.8599999999999999E-2</v>
      </c>
      <c r="F23154" s="29"/>
      <c r="G23154" s="29"/>
      <c r="H23154" s="29"/>
      <c r="I23154" s="29"/>
      <c r="J23154" s="29" t="s">
        <v>312</v>
      </c>
    </row>
    <row r="23155" spans="1:10" x14ac:dyDescent="0.35">
      <c r="A23155" s="27" t="s">
        <v>228</v>
      </c>
      <c r="B23155" s="27" t="s">
        <v>236</v>
      </c>
      <c r="C23155" s="28">
        <v>1</v>
      </c>
      <c r="D23155" s="29"/>
      <c r="E23155" s="29"/>
      <c r="F23155" s="29"/>
      <c r="G23155" s="29"/>
      <c r="H23155" s="29"/>
      <c r="I23155" s="29"/>
      <c r="J23155" s="29" t="s">
        <v>335</v>
      </c>
    </row>
    <row r="23156" spans="1:10" x14ac:dyDescent="0.35">
      <c r="A23156" t="s">
        <v>228</v>
      </c>
      <c r="B23156" t="s">
        <v>262</v>
      </c>
      <c r="C23156" s="26">
        <v>0.97350000000000003</v>
      </c>
      <c r="D23156" s="26">
        <v>5.4000000000000003E-3</v>
      </c>
      <c r="E23156" s="26">
        <v>1.72E-2</v>
      </c>
      <c r="H23156" s="26">
        <v>1.5E-3</v>
      </c>
      <c r="I23156" s="26">
        <v>2.5000000000000001E-3</v>
      </c>
      <c r="J23156">
        <v>201</v>
      </c>
    </row>
    <row r="23157" spans="1:10" x14ac:dyDescent="0.35">
      <c r="A23157" t="s">
        <v>228</v>
      </c>
      <c r="B23157" t="s">
        <v>260</v>
      </c>
      <c r="C23157" s="26">
        <v>0.97550000000000003</v>
      </c>
      <c r="D23157" s="26">
        <v>8.0000000000000002E-3</v>
      </c>
      <c r="E23157" s="26">
        <v>2.8E-3</v>
      </c>
      <c r="G23157" s="26">
        <v>6.7999999999999996E-3</v>
      </c>
      <c r="H23157" s="26">
        <v>6.1000000000000004E-3</v>
      </c>
      <c r="I23157" s="26">
        <v>8.9999999999999998E-4</v>
      </c>
      <c r="J23157">
        <v>609</v>
      </c>
    </row>
    <row r="23158" spans="1:10" x14ac:dyDescent="0.35">
      <c r="A23158" s="27" t="s">
        <v>229</v>
      </c>
      <c r="B23158" s="27" t="s">
        <v>263</v>
      </c>
      <c r="C23158" s="28">
        <v>0.84430000000000005</v>
      </c>
      <c r="D23158" s="28">
        <v>0.15570000000000001</v>
      </c>
      <c r="E23158" s="29"/>
      <c r="F23158" s="29"/>
      <c r="G23158" s="29"/>
      <c r="H23158" s="29"/>
      <c r="I23158" s="29"/>
      <c r="J23158" s="29" t="s">
        <v>379</v>
      </c>
    </row>
    <row r="23159" spans="1:10" x14ac:dyDescent="0.35">
      <c r="A23159" t="s">
        <v>229</v>
      </c>
      <c r="B23159" t="s">
        <v>262</v>
      </c>
      <c r="C23159" s="26">
        <v>0.96240000000000003</v>
      </c>
      <c r="D23159" s="26">
        <v>3.5200000000000002E-2</v>
      </c>
      <c r="E23159" s="26">
        <v>1.1999999999999999E-3</v>
      </c>
      <c r="I23159" s="26">
        <v>1.1999999999999999E-3</v>
      </c>
      <c r="J23159">
        <v>188</v>
      </c>
    </row>
    <row r="23160" spans="1:10" x14ac:dyDescent="0.35">
      <c r="A23160" t="s">
        <v>229</v>
      </c>
      <c r="B23160" t="s">
        <v>261</v>
      </c>
      <c r="C23160" s="26">
        <v>0.95960000000000001</v>
      </c>
      <c r="D23160" s="26">
        <v>4.0399999999999998E-2</v>
      </c>
      <c r="J23160">
        <v>96</v>
      </c>
    </row>
    <row r="23161" spans="1:10" x14ac:dyDescent="0.35">
      <c r="A23161" s="27" t="s">
        <v>229</v>
      </c>
      <c r="B23161" s="27" t="s">
        <v>236</v>
      </c>
      <c r="C23161" s="28">
        <v>1</v>
      </c>
      <c r="D23161" s="29"/>
      <c r="E23161" s="29"/>
      <c r="F23161" s="29"/>
      <c r="G23161" s="29"/>
      <c r="H23161" s="29"/>
      <c r="I23161" s="29"/>
      <c r="J23161" s="29" t="s">
        <v>331</v>
      </c>
    </row>
    <row r="23162" spans="1:10" x14ac:dyDescent="0.35">
      <c r="A23162" t="s">
        <v>229</v>
      </c>
      <c r="B23162" t="s">
        <v>260</v>
      </c>
      <c r="C23162" s="26">
        <v>0.9647</v>
      </c>
      <c r="D23162" s="26">
        <v>1.9599999999999999E-2</v>
      </c>
      <c r="E23162" s="26">
        <v>1.4500000000000001E-2</v>
      </c>
      <c r="I23162" s="26">
        <v>1.1999999999999999E-3</v>
      </c>
      <c r="J23162">
        <v>596</v>
      </c>
    </row>
    <row r="23163" spans="1:10" x14ac:dyDescent="0.35">
      <c r="A23163" s="27" t="s">
        <v>230</v>
      </c>
      <c r="B23163" s="27" t="s">
        <v>236</v>
      </c>
      <c r="C23163" s="28">
        <v>1</v>
      </c>
      <c r="D23163" s="29"/>
      <c r="E23163" s="29"/>
      <c r="F23163" s="29"/>
      <c r="G23163" s="29"/>
      <c r="H23163" s="29"/>
      <c r="I23163" s="29"/>
      <c r="J23163" s="29" t="s">
        <v>337</v>
      </c>
    </row>
    <row r="23164" spans="1:10" x14ac:dyDescent="0.35">
      <c r="A23164" t="s">
        <v>230</v>
      </c>
      <c r="B23164" t="s">
        <v>262</v>
      </c>
      <c r="C23164" s="26">
        <v>0.92090000000000005</v>
      </c>
      <c r="D23164" s="26">
        <v>4.36E-2</v>
      </c>
      <c r="E23164" s="26">
        <v>2.9499999999999998E-2</v>
      </c>
      <c r="G23164" s="26">
        <v>6.0000000000000001E-3</v>
      </c>
      <c r="J23164">
        <v>122</v>
      </c>
    </row>
    <row r="23165" spans="1:10" x14ac:dyDescent="0.35">
      <c r="A23165" t="s">
        <v>230</v>
      </c>
      <c r="B23165" t="s">
        <v>261</v>
      </c>
      <c r="C23165" s="26">
        <v>0.94620000000000004</v>
      </c>
      <c r="D23165" s="26">
        <v>4.0399999999999998E-2</v>
      </c>
      <c r="E23165" s="26">
        <v>6.7000000000000002E-3</v>
      </c>
      <c r="H23165" s="26">
        <v>6.7999999999999996E-3</v>
      </c>
      <c r="J23165">
        <v>57</v>
      </c>
    </row>
    <row r="23166" spans="1:10" x14ac:dyDescent="0.35">
      <c r="A23166" s="27" t="s">
        <v>230</v>
      </c>
      <c r="B23166" s="27" t="s">
        <v>263</v>
      </c>
      <c r="C23166" s="28">
        <v>0.92749999999999999</v>
      </c>
      <c r="D23166" s="28">
        <v>7.2499999999999995E-2</v>
      </c>
      <c r="E23166" s="29"/>
      <c r="F23166" s="29"/>
      <c r="G23166" s="29"/>
      <c r="H23166" s="29"/>
      <c r="I23166" s="29"/>
      <c r="J23166" s="29" t="s">
        <v>312</v>
      </c>
    </row>
    <row r="23167" spans="1:10" x14ac:dyDescent="0.35">
      <c r="A23167" t="s">
        <v>230</v>
      </c>
      <c r="B23167" t="s">
        <v>260</v>
      </c>
      <c r="C23167" s="26">
        <v>0.96830000000000005</v>
      </c>
      <c r="D23167" s="26">
        <v>1.84E-2</v>
      </c>
      <c r="E23167" s="26">
        <v>3.0000000000000001E-3</v>
      </c>
      <c r="F23167" s="26">
        <v>1.2999999999999999E-3</v>
      </c>
      <c r="G23167" s="26">
        <v>8.9999999999999993E-3</v>
      </c>
      <c r="J23167">
        <v>352</v>
      </c>
    </row>
    <row r="23168" spans="1:10" x14ac:dyDescent="0.35">
      <c r="A23168" s="27" t="s">
        <v>231</v>
      </c>
      <c r="B23168" s="27" t="s">
        <v>263</v>
      </c>
      <c r="C23168" s="28">
        <v>1</v>
      </c>
      <c r="D23168" s="29"/>
      <c r="E23168" s="29"/>
      <c r="F23168" s="29"/>
      <c r="G23168" s="29"/>
      <c r="H23168" s="29"/>
      <c r="I23168" s="29"/>
      <c r="J23168" s="29" t="s">
        <v>314</v>
      </c>
    </row>
    <row r="23169" spans="1:10" x14ac:dyDescent="0.35">
      <c r="A23169" t="s">
        <v>231</v>
      </c>
      <c r="B23169" t="s">
        <v>260</v>
      </c>
      <c r="C23169" s="26">
        <v>0.9677</v>
      </c>
      <c r="D23169" s="26">
        <v>2.4199999999999999E-2</v>
      </c>
      <c r="F23169" s="26">
        <v>8.0999999999999996E-3</v>
      </c>
      <c r="J23169">
        <v>124</v>
      </c>
    </row>
    <row r="23170" spans="1:10" x14ac:dyDescent="0.35">
      <c r="A23170" s="27" t="s">
        <v>231</v>
      </c>
      <c r="B23170" s="27" t="s">
        <v>261</v>
      </c>
      <c r="C23170" s="28">
        <v>0.92589999999999995</v>
      </c>
      <c r="D23170" s="28">
        <v>3.6999999999999998E-2</v>
      </c>
      <c r="E23170" s="29"/>
      <c r="F23170" s="28">
        <v>3.6999999999999998E-2</v>
      </c>
      <c r="G23170" s="29"/>
      <c r="H23170" s="29"/>
      <c r="I23170" s="29"/>
      <c r="J23170" s="29" t="s">
        <v>338</v>
      </c>
    </row>
    <row r="23171" spans="1:10" x14ac:dyDescent="0.35">
      <c r="A23171" s="27" t="s">
        <v>231</v>
      </c>
      <c r="B23171" s="27" t="s">
        <v>262</v>
      </c>
      <c r="C23171" s="28">
        <v>1</v>
      </c>
      <c r="D23171" s="29"/>
      <c r="E23171" s="29"/>
      <c r="F23171" s="29"/>
      <c r="G23171" s="29"/>
      <c r="H23171" s="29"/>
      <c r="I23171" s="29"/>
      <c r="J23171" s="29" t="s">
        <v>352</v>
      </c>
    </row>
    <row r="23172" spans="1:10" x14ac:dyDescent="0.35">
      <c r="A23172" t="s">
        <v>232</v>
      </c>
      <c r="B23172" t="s">
        <v>232</v>
      </c>
      <c r="C23172" s="26">
        <v>0.96540000000000004</v>
      </c>
      <c r="D23172" s="26">
        <v>2.3E-2</v>
      </c>
      <c r="E23172" s="26">
        <v>5.1999999999999998E-3</v>
      </c>
      <c r="F23172" s="26">
        <v>3.3999999999999998E-3</v>
      </c>
      <c r="G23172" s="26">
        <v>1.5E-3</v>
      </c>
      <c r="H23172" s="26">
        <v>8.9999999999999998E-4</v>
      </c>
      <c r="I23172" s="26">
        <v>5.9999999999999995E-4</v>
      </c>
      <c r="J23172">
        <v>2813</v>
      </c>
    </row>
    <row r="23174" spans="1:10" x14ac:dyDescent="0.35">
      <c r="A23174" s="1" t="s">
        <v>2207</v>
      </c>
    </row>
    <row r="23175" spans="1:10" x14ac:dyDescent="0.35">
      <c r="A23175" t="s">
        <v>219</v>
      </c>
      <c r="B23175" t="s">
        <v>305</v>
      </c>
      <c r="C23175" t="s">
        <v>2051</v>
      </c>
      <c r="D23175" t="s">
        <v>2052</v>
      </c>
      <c r="E23175" t="s">
        <v>2053</v>
      </c>
      <c r="F23175" t="s">
        <v>281</v>
      </c>
      <c r="G23175" t="s">
        <v>2054</v>
      </c>
      <c r="H23175" t="s">
        <v>2055</v>
      </c>
      <c r="I23175" t="s">
        <v>286</v>
      </c>
      <c r="J23175" t="s">
        <v>226</v>
      </c>
    </row>
    <row r="23176" spans="1:10" x14ac:dyDescent="0.35">
      <c r="A23176" t="s">
        <v>227</v>
      </c>
      <c r="B23176" t="s">
        <v>368</v>
      </c>
      <c r="C23176" s="26">
        <v>0.93940000000000001</v>
      </c>
      <c r="D23176" s="26">
        <v>6.0600000000000001E-2</v>
      </c>
      <c r="J23176">
        <v>33</v>
      </c>
    </row>
    <row r="23177" spans="1:10" x14ac:dyDescent="0.35">
      <c r="A23177" t="s">
        <v>227</v>
      </c>
      <c r="B23177" t="s">
        <v>369</v>
      </c>
      <c r="C23177" s="26">
        <v>0.97660000000000002</v>
      </c>
      <c r="D23177" s="26">
        <v>1.5599999999999999E-2</v>
      </c>
      <c r="E23177" s="26">
        <v>7.7999999999999996E-3</v>
      </c>
      <c r="J23177">
        <v>128</v>
      </c>
    </row>
    <row r="23178" spans="1:10" x14ac:dyDescent="0.35">
      <c r="A23178" t="s">
        <v>228</v>
      </c>
      <c r="B23178" t="s">
        <v>368</v>
      </c>
      <c r="C23178" s="26">
        <v>0.98070000000000002</v>
      </c>
      <c r="D23178" s="26">
        <v>1.41E-2</v>
      </c>
      <c r="E23178" s="26">
        <v>3.0999999999999999E-3</v>
      </c>
      <c r="I23178" s="26">
        <v>2.0999999999999999E-3</v>
      </c>
      <c r="J23178">
        <v>192</v>
      </c>
    </row>
    <row r="23179" spans="1:10" x14ac:dyDescent="0.35">
      <c r="A23179" t="s">
        <v>228</v>
      </c>
      <c r="B23179" t="s">
        <v>369</v>
      </c>
      <c r="C23179" s="26">
        <v>0.97450000000000003</v>
      </c>
      <c r="D23179" s="26">
        <v>7.1999999999999998E-3</v>
      </c>
      <c r="E23179" s="26">
        <v>7.0000000000000001E-3</v>
      </c>
      <c r="G23179" s="26">
        <v>5.1999999999999998E-3</v>
      </c>
      <c r="H23179" s="26">
        <v>4.8999999999999998E-3</v>
      </c>
      <c r="I23179" s="26">
        <v>1.1999999999999999E-3</v>
      </c>
      <c r="J23179">
        <v>841</v>
      </c>
    </row>
    <row r="23180" spans="1:10" x14ac:dyDescent="0.35">
      <c r="A23180" t="s">
        <v>229</v>
      </c>
      <c r="B23180" t="s">
        <v>368</v>
      </c>
      <c r="C23180" s="26">
        <v>0.95960000000000001</v>
      </c>
      <c r="D23180" s="26">
        <v>4.0399999999999998E-2</v>
      </c>
      <c r="J23180">
        <v>96</v>
      </c>
    </row>
    <row r="23181" spans="1:10" x14ac:dyDescent="0.35">
      <c r="A23181" t="s">
        <v>229</v>
      </c>
      <c r="B23181" t="s">
        <v>369</v>
      </c>
      <c r="C23181" s="26">
        <v>0.96130000000000004</v>
      </c>
      <c r="D23181" s="26">
        <v>2.7799999999999998E-2</v>
      </c>
      <c r="E23181" s="26">
        <v>9.7999999999999997E-3</v>
      </c>
      <c r="I23181" s="26">
        <v>1.1999999999999999E-3</v>
      </c>
      <c r="J23181">
        <v>799</v>
      </c>
    </row>
    <row r="23182" spans="1:10" x14ac:dyDescent="0.35">
      <c r="A23182" t="s">
        <v>230</v>
      </c>
      <c r="B23182" t="s">
        <v>368</v>
      </c>
      <c r="C23182" s="26">
        <v>0.94620000000000004</v>
      </c>
      <c r="D23182" s="26">
        <v>4.0399999999999998E-2</v>
      </c>
      <c r="E23182" s="26">
        <v>6.7000000000000002E-3</v>
      </c>
      <c r="H23182" s="26">
        <v>6.7999999999999996E-3</v>
      </c>
      <c r="J23182">
        <v>57</v>
      </c>
    </row>
    <row r="23183" spans="1:10" x14ac:dyDescent="0.35">
      <c r="A23183" t="s">
        <v>230</v>
      </c>
      <c r="B23183" t="s">
        <v>369</v>
      </c>
      <c r="C23183" s="26">
        <v>0.95960000000000001</v>
      </c>
      <c r="D23183" s="26">
        <v>2.3599999999999999E-2</v>
      </c>
      <c r="E23183" s="26">
        <v>7.4999999999999997E-3</v>
      </c>
      <c r="F23183" s="26">
        <v>1E-3</v>
      </c>
      <c r="G23183" s="26">
        <v>8.3000000000000001E-3</v>
      </c>
      <c r="J23183">
        <v>503</v>
      </c>
    </row>
    <row r="23184" spans="1:10" x14ac:dyDescent="0.35">
      <c r="A23184" s="27" t="s">
        <v>231</v>
      </c>
      <c r="B23184" s="27" t="s">
        <v>368</v>
      </c>
      <c r="C23184" s="28">
        <v>0.92589999999999995</v>
      </c>
      <c r="D23184" s="28">
        <v>3.6999999999999998E-2</v>
      </c>
      <c r="E23184" s="29"/>
      <c r="F23184" s="28">
        <v>3.6999999999999998E-2</v>
      </c>
      <c r="G23184" s="29"/>
      <c r="H23184" s="29"/>
      <c r="I23184" s="29"/>
      <c r="J23184" s="29" t="s">
        <v>338</v>
      </c>
    </row>
    <row r="23185" spans="1:10" x14ac:dyDescent="0.35">
      <c r="A23185" t="s">
        <v>231</v>
      </c>
      <c r="B23185" t="s">
        <v>369</v>
      </c>
      <c r="C23185" s="26">
        <v>0.9708</v>
      </c>
      <c r="D23185" s="26">
        <v>2.1899999999999999E-2</v>
      </c>
      <c r="F23185" s="26">
        <v>7.3000000000000001E-3</v>
      </c>
      <c r="J23185">
        <v>137</v>
      </c>
    </row>
    <row r="23186" spans="1:10" x14ac:dyDescent="0.35">
      <c r="A23186" t="s">
        <v>232</v>
      </c>
      <c r="B23186" t="s">
        <v>232</v>
      </c>
      <c r="C23186" s="26">
        <v>0.96540000000000004</v>
      </c>
      <c r="D23186" s="26">
        <v>2.3E-2</v>
      </c>
      <c r="E23186" s="26">
        <v>5.1999999999999998E-3</v>
      </c>
      <c r="F23186" s="26">
        <v>3.3999999999999998E-3</v>
      </c>
      <c r="G23186" s="26">
        <v>1.5E-3</v>
      </c>
      <c r="H23186" s="26">
        <v>8.9999999999999998E-4</v>
      </c>
      <c r="I23186" s="26">
        <v>5.9999999999999995E-4</v>
      </c>
      <c r="J23186">
        <v>2813</v>
      </c>
    </row>
    <row r="23188" spans="1:10" x14ac:dyDescent="0.35">
      <c r="A23188" s="1" t="s">
        <v>2208</v>
      </c>
    </row>
    <row r="23189" spans="1:10" x14ac:dyDescent="0.35">
      <c r="A23189" t="s">
        <v>219</v>
      </c>
      <c r="B23189" t="s">
        <v>305</v>
      </c>
      <c r="C23189" t="s">
        <v>2051</v>
      </c>
      <c r="D23189" t="s">
        <v>2052</v>
      </c>
      <c r="E23189" t="s">
        <v>2053</v>
      </c>
      <c r="F23189" t="s">
        <v>281</v>
      </c>
      <c r="G23189" t="s">
        <v>2054</v>
      </c>
      <c r="H23189" t="s">
        <v>2055</v>
      </c>
      <c r="I23189" t="s">
        <v>286</v>
      </c>
      <c r="J23189" t="s">
        <v>226</v>
      </c>
    </row>
    <row r="23190" spans="1:10" x14ac:dyDescent="0.35">
      <c r="A23190" t="s">
        <v>227</v>
      </c>
      <c r="B23190" t="s">
        <v>371</v>
      </c>
      <c r="C23190" s="26">
        <v>0.96889999999999998</v>
      </c>
      <c r="D23190" s="26">
        <v>2.4799999999999999E-2</v>
      </c>
      <c r="E23190" s="26">
        <v>6.1999999999999998E-3</v>
      </c>
      <c r="J23190">
        <v>161</v>
      </c>
    </row>
    <row r="23191" spans="1:10" x14ac:dyDescent="0.35">
      <c r="A23191" t="s">
        <v>228</v>
      </c>
      <c r="B23191" t="s">
        <v>371</v>
      </c>
      <c r="C23191" s="26">
        <v>0.98429999999999995</v>
      </c>
      <c r="D23191" s="26">
        <v>6.9999999999999999E-4</v>
      </c>
      <c r="E23191" s="26">
        <v>1.5E-3</v>
      </c>
      <c r="G23191" s="26">
        <v>7.1000000000000004E-3</v>
      </c>
      <c r="H23191" s="26">
        <v>6.4000000000000003E-3</v>
      </c>
      <c r="J23191">
        <v>292</v>
      </c>
    </row>
    <row r="23192" spans="1:10" x14ac:dyDescent="0.35">
      <c r="A23192" t="s">
        <v>228</v>
      </c>
      <c r="B23192" t="s">
        <v>372</v>
      </c>
      <c r="C23192" s="26">
        <v>0.90610000000000002</v>
      </c>
      <c r="D23192" s="26">
        <v>4.2599999999999999E-2</v>
      </c>
      <c r="E23192" s="26">
        <v>3.39E-2</v>
      </c>
      <c r="G23192" s="26">
        <v>4.8999999999999998E-3</v>
      </c>
      <c r="H23192" s="26">
        <v>7.7000000000000002E-3</v>
      </c>
      <c r="I23192" s="26">
        <v>4.8999999999999998E-3</v>
      </c>
      <c r="J23192">
        <v>218</v>
      </c>
    </row>
    <row r="23193" spans="1:10" x14ac:dyDescent="0.35">
      <c r="A23193" t="s">
        <v>228</v>
      </c>
      <c r="B23193" t="s">
        <v>373</v>
      </c>
      <c r="C23193" s="26">
        <v>0.97919999999999996</v>
      </c>
      <c r="D23193" s="26">
        <v>1.17E-2</v>
      </c>
      <c r="E23193" s="26">
        <v>6.7000000000000002E-3</v>
      </c>
      <c r="I23193" s="26">
        <v>2.3999999999999998E-3</v>
      </c>
      <c r="J23193">
        <v>523</v>
      </c>
    </row>
    <row r="23194" spans="1:10" x14ac:dyDescent="0.35">
      <c r="A23194" t="s">
        <v>229</v>
      </c>
      <c r="B23194" t="s">
        <v>371</v>
      </c>
      <c r="C23194" s="26">
        <v>0.95989999999999998</v>
      </c>
      <c r="D23194" s="26">
        <v>3.0700000000000002E-2</v>
      </c>
      <c r="E23194" s="26">
        <v>8.6999999999999994E-3</v>
      </c>
      <c r="I23194" s="26">
        <v>6.9999999999999999E-4</v>
      </c>
      <c r="J23194">
        <v>584</v>
      </c>
    </row>
    <row r="23195" spans="1:10" x14ac:dyDescent="0.35">
      <c r="A23195" t="s">
        <v>229</v>
      </c>
      <c r="B23195" t="s">
        <v>372</v>
      </c>
      <c r="C23195" s="26">
        <v>0.96709999999999996</v>
      </c>
      <c r="D23195" s="26">
        <v>1.9699999999999999E-2</v>
      </c>
      <c r="E23195" s="26">
        <v>6.6E-3</v>
      </c>
      <c r="I23195" s="26">
        <v>6.6E-3</v>
      </c>
      <c r="J23195">
        <v>221</v>
      </c>
    </row>
    <row r="23196" spans="1:10" x14ac:dyDescent="0.35">
      <c r="A23196" t="s">
        <v>229</v>
      </c>
      <c r="B23196" t="s">
        <v>373</v>
      </c>
      <c r="C23196" s="26">
        <v>0.98770000000000002</v>
      </c>
      <c r="D23196" s="26">
        <v>1.23E-2</v>
      </c>
      <c r="J23196">
        <v>90</v>
      </c>
    </row>
    <row r="23197" spans="1:10" x14ac:dyDescent="0.35">
      <c r="A23197" t="s">
        <v>230</v>
      </c>
      <c r="B23197" t="s">
        <v>371</v>
      </c>
      <c r="C23197" s="26">
        <v>0.96250000000000002</v>
      </c>
      <c r="D23197" s="26">
        <v>2.75E-2</v>
      </c>
      <c r="E23197" s="26">
        <v>1.1000000000000001E-3</v>
      </c>
      <c r="G23197" s="26">
        <v>7.7000000000000002E-3</v>
      </c>
      <c r="H23197" s="26">
        <v>1.1000000000000001E-3</v>
      </c>
      <c r="J23197">
        <v>262</v>
      </c>
    </row>
    <row r="23198" spans="1:10" x14ac:dyDescent="0.35">
      <c r="A23198" t="s">
        <v>230</v>
      </c>
      <c r="B23198" t="s">
        <v>372</v>
      </c>
      <c r="C23198" s="26">
        <v>0.95620000000000005</v>
      </c>
      <c r="D23198" s="26">
        <v>2.3699999999999999E-2</v>
      </c>
      <c r="E23198" s="26">
        <v>4.7000000000000002E-3</v>
      </c>
      <c r="F23198" s="26">
        <v>1.54E-2</v>
      </c>
      <c r="J23198">
        <v>146</v>
      </c>
    </row>
    <row r="23199" spans="1:10" x14ac:dyDescent="0.35">
      <c r="A23199" t="s">
        <v>230</v>
      </c>
      <c r="B23199" t="s">
        <v>373</v>
      </c>
      <c r="C23199" s="26">
        <v>0.92830000000000001</v>
      </c>
      <c r="D23199" s="26">
        <v>1.61E-2</v>
      </c>
      <c r="E23199" s="26">
        <v>4.87E-2</v>
      </c>
      <c r="G23199" s="26">
        <v>7.0000000000000001E-3</v>
      </c>
      <c r="J23199">
        <v>152</v>
      </c>
    </row>
    <row r="23200" spans="1:10" x14ac:dyDescent="0.35">
      <c r="A23200" t="s">
        <v>231</v>
      </c>
      <c r="B23200" t="s">
        <v>371</v>
      </c>
      <c r="C23200" s="26">
        <v>0.96340000000000003</v>
      </c>
      <c r="D23200" s="26">
        <v>2.4400000000000002E-2</v>
      </c>
      <c r="F23200" s="26">
        <v>1.2200000000000001E-2</v>
      </c>
      <c r="J23200">
        <v>164</v>
      </c>
    </row>
    <row r="23201" spans="1:10" x14ac:dyDescent="0.35">
      <c r="A23201" t="s">
        <v>232</v>
      </c>
      <c r="B23201" t="s">
        <v>232</v>
      </c>
      <c r="C23201" s="26">
        <v>0.96540000000000004</v>
      </c>
      <c r="D23201" s="26">
        <v>2.3E-2</v>
      </c>
      <c r="E23201" s="26">
        <v>5.1999999999999998E-3</v>
      </c>
      <c r="F23201" s="26">
        <v>3.3999999999999998E-3</v>
      </c>
      <c r="G23201" s="26">
        <v>1.5E-3</v>
      </c>
      <c r="H23201" s="26">
        <v>8.9999999999999998E-4</v>
      </c>
      <c r="I23201" s="26">
        <v>5.9999999999999995E-4</v>
      </c>
      <c r="J23201">
        <v>2813</v>
      </c>
    </row>
    <row r="23203" spans="1:10" x14ac:dyDescent="0.35">
      <c r="A23203" s="1" t="s">
        <v>2209</v>
      </c>
    </row>
    <row r="23204" spans="1:10" x14ac:dyDescent="0.35">
      <c r="A23204" t="s">
        <v>219</v>
      </c>
      <c r="B23204" t="s">
        <v>305</v>
      </c>
      <c r="C23204" t="s">
        <v>2051</v>
      </c>
      <c r="D23204" t="s">
        <v>2052</v>
      </c>
      <c r="E23204" t="s">
        <v>2053</v>
      </c>
      <c r="F23204" t="s">
        <v>281</v>
      </c>
      <c r="G23204" t="s">
        <v>2054</v>
      </c>
      <c r="H23204" t="s">
        <v>2055</v>
      </c>
      <c r="I23204" t="s">
        <v>286</v>
      </c>
      <c r="J23204" t="s">
        <v>226</v>
      </c>
    </row>
    <row r="23205" spans="1:10" x14ac:dyDescent="0.35">
      <c r="A23205" t="s">
        <v>227</v>
      </c>
      <c r="B23205" t="s">
        <v>255</v>
      </c>
      <c r="C23205" s="26">
        <v>0.96579999999999999</v>
      </c>
      <c r="D23205" s="26">
        <v>2.5600000000000001E-2</v>
      </c>
      <c r="E23205" s="26">
        <v>8.5000000000000006E-3</v>
      </c>
      <c r="J23205">
        <v>117</v>
      </c>
    </row>
    <row r="23206" spans="1:10" x14ac:dyDescent="0.35">
      <c r="A23206" s="27" t="s">
        <v>227</v>
      </c>
      <c r="B23206" s="27" t="s">
        <v>257</v>
      </c>
      <c r="C23206" s="28">
        <v>0.88890000000000002</v>
      </c>
      <c r="D23206" s="28">
        <v>0.1111</v>
      </c>
      <c r="E23206" s="29"/>
      <c r="F23206" s="29"/>
      <c r="G23206" s="29"/>
      <c r="H23206" s="29"/>
      <c r="I23206" s="29"/>
      <c r="J23206" s="29" t="s">
        <v>334</v>
      </c>
    </row>
    <row r="23207" spans="1:10" x14ac:dyDescent="0.35">
      <c r="A23207" t="s">
        <v>227</v>
      </c>
      <c r="B23207" t="s">
        <v>256</v>
      </c>
      <c r="C23207" s="26">
        <v>1</v>
      </c>
      <c r="J23207">
        <v>35</v>
      </c>
    </row>
    <row r="23208" spans="1:10" x14ac:dyDescent="0.35">
      <c r="A23208" t="s">
        <v>228</v>
      </c>
      <c r="B23208" t="s">
        <v>257</v>
      </c>
      <c r="C23208" s="26">
        <v>0.99209999999999998</v>
      </c>
      <c r="H23208" s="26">
        <v>7.9000000000000008E-3</v>
      </c>
      <c r="J23208">
        <v>49</v>
      </c>
    </row>
    <row r="23209" spans="1:10" x14ac:dyDescent="0.35">
      <c r="A23209" s="27" t="s">
        <v>228</v>
      </c>
      <c r="B23209" s="27" t="s">
        <v>258</v>
      </c>
      <c r="C23209" s="28">
        <v>1</v>
      </c>
      <c r="D23209" s="29"/>
      <c r="E23209" s="29"/>
      <c r="F23209" s="29"/>
      <c r="G23209" s="29"/>
      <c r="H23209" s="29"/>
      <c r="I23209" s="29"/>
      <c r="J23209" s="29" t="s">
        <v>337</v>
      </c>
    </row>
    <row r="23210" spans="1:10" x14ac:dyDescent="0.35">
      <c r="A23210" t="s">
        <v>228</v>
      </c>
      <c r="B23210" t="s">
        <v>256</v>
      </c>
      <c r="C23210" s="26">
        <v>0.97789999999999999</v>
      </c>
      <c r="D23210" s="26">
        <v>0.01</v>
      </c>
      <c r="E23210" s="26">
        <v>7.1000000000000004E-3</v>
      </c>
      <c r="G23210" s="26">
        <v>1.6999999999999999E-3</v>
      </c>
      <c r="H23210" s="26">
        <v>1E-3</v>
      </c>
      <c r="I23210" s="26">
        <v>2.3E-3</v>
      </c>
      <c r="J23210">
        <v>221</v>
      </c>
    </row>
    <row r="23211" spans="1:10" x14ac:dyDescent="0.35">
      <c r="A23211" t="s">
        <v>228</v>
      </c>
      <c r="B23211" t="s">
        <v>255</v>
      </c>
      <c r="C23211" s="26">
        <v>0.97350000000000003</v>
      </c>
      <c r="D23211" s="26">
        <v>8.8000000000000005E-3</v>
      </c>
      <c r="E23211" s="26">
        <v>6.4999999999999997E-3</v>
      </c>
      <c r="G23211" s="26">
        <v>5.3E-3</v>
      </c>
      <c r="H23211" s="26">
        <v>4.7000000000000002E-3</v>
      </c>
      <c r="I23211" s="26">
        <v>1.1999999999999999E-3</v>
      </c>
      <c r="J23211">
        <v>759</v>
      </c>
    </row>
    <row r="23212" spans="1:10" x14ac:dyDescent="0.35">
      <c r="A23212" t="s">
        <v>229</v>
      </c>
      <c r="B23212" t="s">
        <v>256</v>
      </c>
      <c r="C23212" s="26">
        <v>0.94289999999999996</v>
      </c>
      <c r="D23212" s="26">
        <v>3.5799999999999998E-2</v>
      </c>
      <c r="E23212" s="26">
        <v>2.1299999999999999E-2</v>
      </c>
      <c r="J23212">
        <v>207</v>
      </c>
    </row>
    <row r="23213" spans="1:10" x14ac:dyDescent="0.35">
      <c r="A23213" t="s">
        <v>229</v>
      </c>
      <c r="B23213" t="s">
        <v>255</v>
      </c>
      <c r="C23213" s="26">
        <v>0.96719999999999995</v>
      </c>
      <c r="D23213" s="26">
        <v>2.75E-2</v>
      </c>
      <c r="E23213" s="26">
        <v>3.7000000000000002E-3</v>
      </c>
      <c r="I23213" s="26">
        <v>1.5E-3</v>
      </c>
      <c r="J23213">
        <v>636</v>
      </c>
    </row>
    <row r="23214" spans="1:10" x14ac:dyDescent="0.35">
      <c r="A23214" t="s">
        <v>229</v>
      </c>
      <c r="B23214" t="s">
        <v>257</v>
      </c>
      <c r="C23214" s="26">
        <v>0.97529999999999994</v>
      </c>
      <c r="D23214" s="26">
        <v>2.47E-2</v>
      </c>
      <c r="J23214">
        <v>50</v>
      </c>
    </row>
    <row r="23215" spans="1:10" x14ac:dyDescent="0.35">
      <c r="A23215" s="27" t="s">
        <v>229</v>
      </c>
      <c r="B23215" s="27" t="s">
        <v>258</v>
      </c>
      <c r="C23215" s="28">
        <v>1</v>
      </c>
      <c r="D23215" s="29"/>
      <c r="E23215" s="29"/>
      <c r="F23215" s="29"/>
      <c r="G23215" s="29"/>
      <c r="H23215" s="29"/>
      <c r="I23215" s="29"/>
      <c r="J23215" s="29" t="s">
        <v>314</v>
      </c>
    </row>
    <row r="23216" spans="1:10" x14ac:dyDescent="0.35">
      <c r="A23216" t="s">
        <v>230</v>
      </c>
      <c r="B23216" t="s">
        <v>256</v>
      </c>
      <c r="C23216" s="26">
        <v>0.95220000000000005</v>
      </c>
      <c r="D23216" s="26">
        <v>2.6200000000000001E-2</v>
      </c>
      <c r="E23216" s="26">
        <v>1.47E-2</v>
      </c>
      <c r="G23216" s="26">
        <v>3.3999999999999998E-3</v>
      </c>
      <c r="H23216" s="26">
        <v>3.5000000000000001E-3</v>
      </c>
      <c r="J23216">
        <v>130</v>
      </c>
    </row>
    <row r="23217" spans="1:10" x14ac:dyDescent="0.35">
      <c r="A23217" t="s">
        <v>230</v>
      </c>
      <c r="B23217" t="s">
        <v>255</v>
      </c>
      <c r="C23217" s="26">
        <v>0.96870000000000001</v>
      </c>
      <c r="D23217" s="26">
        <v>2.7300000000000001E-2</v>
      </c>
      <c r="E23217" s="26">
        <v>4.0000000000000001E-3</v>
      </c>
      <c r="J23217">
        <v>389</v>
      </c>
    </row>
    <row r="23218" spans="1:10" x14ac:dyDescent="0.35">
      <c r="A23218" t="s">
        <v>230</v>
      </c>
      <c r="B23218" t="s">
        <v>257</v>
      </c>
      <c r="C23218" s="26">
        <v>0.87280000000000002</v>
      </c>
      <c r="D23218" s="26">
        <v>1.2800000000000001E-2</v>
      </c>
      <c r="E23218" s="26">
        <v>1.2800000000000001E-2</v>
      </c>
      <c r="F23218" s="26">
        <v>1.2500000000000001E-2</v>
      </c>
      <c r="G23218" s="26">
        <v>8.8999999999999996E-2</v>
      </c>
      <c r="J23218">
        <v>38</v>
      </c>
    </row>
    <row r="23219" spans="1:10" x14ac:dyDescent="0.35">
      <c r="A23219" s="27" t="s">
        <v>230</v>
      </c>
      <c r="B23219" s="27" t="s">
        <v>258</v>
      </c>
      <c r="C23219" s="28">
        <v>1</v>
      </c>
      <c r="D23219" s="29"/>
      <c r="E23219" s="29"/>
      <c r="F23219" s="29"/>
      <c r="G23219" s="29"/>
      <c r="H23219" s="29"/>
      <c r="I23219" s="29"/>
      <c r="J23219" s="29" t="s">
        <v>315</v>
      </c>
    </row>
    <row r="23220" spans="1:10" x14ac:dyDescent="0.35">
      <c r="A23220" s="27" t="s">
        <v>231</v>
      </c>
      <c r="B23220" s="27" t="s">
        <v>257</v>
      </c>
      <c r="C23220" s="28">
        <v>1</v>
      </c>
      <c r="D23220" s="29"/>
      <c r="E23220" s="29"/>
      <c r="F23220" s="29"/>
      <c r="G23220" s="29"/>
      <c r="H23220" s="29"/>
      <c r="I23220" s="29"/>
      <c r="J23220" s="29" t="s">
        <v>339</v>
      </c>
    </row>
    <row r="23221" spans="1:10" x14ac:dyDescent="0.35">
      <c r="A23221" t="s">
        <v>231</v>
      </c>
      <c r="B23221" t="s">
        <v>255</v>
      </c>
      <c r="C23221" s="26">
        <v>0.96899999999999997</v>
      </c>
      <c r="D23221" s="26">
        <v>1.55E-2</v>
      </c>
      <c r="F23221" s="26">
        <v>1.55E-2</v>
      </c>
      <c r="J23221">
        <v>129</v>
      </c>
    </row>
    <row r="23222" spans="1:10" x14ac:dyDescent="0.35">
      <c r="A23222" s="27" t="s">
        <v>231</v>
      </c>
      <c r="B23222" s="27" t="s">
        <v>256</v>
      </c>
      <c r="C23222" s="28">
        <v>0.92859999999999998</v>
      </c>
      <c r="D23222" s="28">
        <v>7.1400000000000005E-2</v>
      </c>
      <c r="E23222" s="29"/>
      <c r="F23222" s="29"/>
      <c r="G23222" s="29"/>
      <c r="H23222" s="29"/>
      <c r="I23222" s="29"/>
      <c r="J23222" s="29" t="s">
        <v>336</v>
      </c>
    </row>
    <row r="23223" spans="1:10" x14ac:dyDescent="0.35">
      <c r="A23223" t="s">
        <v>232</v>
      </c>
      <c r="B23223" t="s">
        <v>232</v>
      </c>
      <c r="C23223" s="26">
        <v>0.96540000000000004</v>
      </c>
      <c r="D23223" s="26">
        <v>2.3E-2</v>
      </c>
      <c r="E23223" s="26">
        <v>5.1999999999999998E-3</v>
      </c>
      <c r="F23223" s="26">
        <v>3.3999999999999998E-3</v>
      </c>
      <c r="G23223" s="26">
        <v>1.5E-3</v>
      </c>
      <c r="H23223" s="26">
        <v>8.9999999999999998E-4</v>
      </c>
      <c r="I23223" s="26">
        <v>5.9999999999999995E-4</v>
      </c>
      <c r="J23223">
        <v>2813</v>
      </c>
    </row>
    <row r="23225" spans="1:10" x14ac:dyDescent="0.35">
      <c r="A23225" s="1" t="s">
        <v>2210</v>
      </c>
    </row>
    <row r="23226" spans="1:10" x14ac:dyDescent="0.35">
      <c r="A23226" t="s">
        <v>219</v>
      </c>
      <c r="B23226" t="s">
        <v>2051</v>
      </c>
      <c r="C23226" t="s">
        <v>2052</v>
      </c>
      <c r="D23226" t="s">
        <v>2053</v>
      </c>
      <c r="E23226" t="s">
        <v>2055</v>
      </c>
      <c r="F23226" t="s">
        <v>2054</v>
      </c>
      <c r="G23226" t="s">
        <v>281</v>
      </c>
      <c r="H23226" t="s">
        <v>286</v>
      </c>
      <c r="I23226" t="s">
        <v>226</v>
      </c>
    </row>
    <row r="23227" spans="1:10" x14ac:dyDescent="0.35">
      <c r="A23227" t="s">
        <v>227</v>
      </c>
      <c r="B23227" s="26">
        <v>0.94410000000000005</v>
      </c>
      <c r="C23227" s="26">
        <v>2.4799999999999999E-2</v>
      </c>
      <c r="D23227" s="26">
        <v>1.24E-2</v>
      </c>
      <c r="E23227" s="26">
        <v>6.1999999999999998E-3</v>
      </c>
      <c r="F23227" s="26">
        <v>6.1999999999999998E-3</v>
      </c>
      <c r="G23227" s="26">
        <v>6.1999999999999998E-3</v>
      </c>
      <c r="I23227">
        <v>161</v>
      </c>
    </row>
    <row r="23228" spans="1:10" x14ac:dyDescent="0.35">
      <c r="A23228" t="s">
        <v>228</v>
      </c>
      <c r="B23228" s="26">
        <v>0.91300000000000003</v>
      </c>
      <c r="C23228" s="26">
        <v>3.44E-2</v>
      </c>
      <c r="D23228" s="26">
        <v>3.04E-2</v>
      </c>
      <c r="E23228" s="26">
        <v>1.0200000000000001E-2</v>
      </c>
      <c r="F23228" s="26">
        <v>7.7999999999999996E-3</v>
      </c>
      <c r="G23228" s="26">
        <v>2.8999999999999998E-3</v>
      </c>
      <c r="H23228" s="26">
        <v>1.4E-3</v>
      </c>
      <c r="I23228">
        <v>1033</v>
      </c>
    </row>
    <row r="23229" spans="1:10" x14ac:dyDescent="0.35">
      <c r="A23229" t="s">
        <v>229</v>
      </c>
      <c r="B23229" s="26">
        <v>0.90269999999999995</v>
      </c>
      <c r="C23229" s="26">
        <v>6.3399999999999998E-2</v>
      </c>
      <c r="D23229" s="26">
        <v>2.0400000000000001E-2</v>
      </c>
      <c r="E23229" s="26">
        <v>5.7000000000000002E-3</v>
      </c>
      <c r="F23229" s="26">
        <v>2.8E-3</v>
      </c>
      <c r="G23229" s="26">
        <v>2.9999999999999997E-4</v>
      </c>
      <c r="H23229" s="26">
        <v>4.7000000000000002E-3</v>
      </c>
      <c r="I23229">
        <v>895</v>
      </c>
    </row>
    <row r="23230" spans="1:10" x14ac:dyDescent="0.35">
      <c r="A23230" t="s">
        <v>230</v>
      </c>
      <c r="B23230" s="26">
        <v>0.90359999999999996</v>
      </c>
      <c r="C23230" s="26">
        <v>4.58E-2</v>
      </c>
      <c r="D23230" s="26">
        <v>2.1700000000000001E-2</v>
      </c>
      <c r="E23230" s="26">
        <v>1.2E-2</v>
      </c>
      <c r="F23230" s="26">
        <v>1.61E-2</v>
      </c>
      <c r="G23230" s="26">
        <v>8.9999999999999998E-4</v>
      </c>
      <c r="I23230">
        <v>560</v>
      </c>
    </row>
    <row r="23231" spans="1:10" x14ac:dyDescent="0.35">
      <c r="A23231" t="s">
        <v>231</v>
      </c>
      <c r="B23231" s="26">
        <v>0.95120000000000005</v>
      </c>
      <c r="C23231" s="26">
        <v>3.6600000000000001E-2</v>
      </c>
      <c r="D23231" s="26">
        <v>6.1000000000000004E-3</v>
      </c>
      <c r="G23231" s="26">
        <v>6.1000000000000004E-3</v>
      </c>
      <c r="I23231">
        <v>164</v>
      </c>
    </row>
    <row r="23232" spans="1:10" x14ac:dyDescent="0.35">
      <c r="A23232" t="s">
        <v>232</v>
      </c>
      <c r="B23232" s="26">
        <v>0.92430000000000001</v>
      </c>
      <c r="C23232" s="26">
        <v>4.2900000000000001E-2</v>
      </c>
      <c r="D23232" s="26">
        <v>1.7299999999999999E-2</v>
      </c>
      <c r="E23232" s="26">
        <v>5.7000000000000002E-3</v>
      </c>
      <c r="F23232" s="26">
        <v>4.7999999999999996E-3</v>
      </c>
      <c r="G23232" s="26">
        <v>3.3999999999999998E-3</v>
      </c>
      <c r="H23232" s="26">
        <v>1.6000000000000001E-3</v>
      </c>
      <c r="I23232">
        <v>2813</v>
      </c>
    </row>
    <row r="23234" spans="1:10" x14ac:dyDescent="0.35">
      <c r="A23234" s="1" t="s">
        <v>2211</v>
      </c>
    </row>
    <row r="23235" spans="1:10" x14ac:dyDescent="0.35">
      <c r="A23235" t="s">
        <v>219</v>
      </c>
      <c r="B23235" t="s">
        <v>305</v>
      </c>
      <c r="C23235" t="s">
        <v>2051</v>
      </c>
      <c r="D23235" t="s">
        <v>2052</v>
      </c>
      <c r="E23235" t="s">
        <v>2053</v>
      </c>
      <c r="F23235" t="s">
        <v>2055</v>
      </c>
      <c r="G23235" t="s">
        <v>2054</v>
      </c>
      <c r="H23235" t="s">
        <v>281</v>
      </c>
      <c r="I23235" t="s">
        <v>286</v>
      </c>
      <c r="J23235" t="s">
        <v>226</v>
      </c>
    </row>
    <row r="23236" spans="1:10" x14ac:dyDescent="0.35">
      <c r="A23236" t="s">
        <v>227</v>
      </c>
      <c r="B23236" t="s">
        <v>242</v>
      </c>
      <c r="C23236" s="26">
        <v>0.94120000000000004</v>
      </c>
      <c r="D23236" s="26">
        <v>2.9399999999999999E-2</v>
      </c>
      <c r="F23236" s="26">
        <v>1.47E-2</v>
      </c>
      <c r="G23236" s="26">
        <v>1.47E-2</v>
      </c>
      <c r="J23236">
        <v>68</v>
      </c>
    </row>
    <row r="23237" spans="1:10" x14ac:dyDescent="0.35">
      <c r="A23237" t="s">
        <v>227</v>
      </c>
      <c r="B23237" t="s">
        <v>241</v>
      </c>
      <c r="C23237" s="26">
        <v>0.94620000000000004</v>
      </c>
      <c r="D23237" s="26">
        <v>2.1499999999999998E-2</v>
      </c>
      <c r="E23237" s="26">
        <v>2.1499999999999998E-2</v>
      </c>
      <c r="H23237" s="26">
        <v>1.0800000000000001E-2</v>
      </c>
      <c r="J23237">
        <v>93</v>
      </c>
    </row>
    <row r="23238" spans="1:10" x14ac:dyDescent="0.35">
      <c r="A23238" t="s">
        <v>228</v>
      </c>
      <c r="B23238" t="s">
        <v>242</v>
      </c>
      <c r="C23238" s="26">
        <v>0.90329999999999999</v>
      </c>
      <c r="D23238" s="26">
        <v>4.5900000000000003E-2</v>
      </c>
      <c r="E23238" s="26">
        <v>2.64E-2</v>
      </c>
      <c r="F23238" s="26">
        <v>1.9300000000000001E-2</v>
      </c>
      <c r="G23238" s="26">
        <v>3.8E-3</v>
      </c>
      <c r="H23238" s="26">
        <v>1.2999999999999999E-3</v>
      </c>
      <c r="J23238">
        <v>402</v>
      </c>
    </row>
    <row r="23239" spans="1:10" x14ac:dyDescent="0.35">
      <c r="A23239" t="s">
        <v>228</v>
      </c>
      <c r="B23239" t="s">
        <v>241</v>
      </c>
      <c r="C23239" s="26">
        <v>0.91849999999999998</v>
      </c>
      <c r="D23239" s="26">
        <v>2.7799999999999998E-2</v>
      </c>
      <c r="E23239" s="26">
        <v>3.2599999999999997E-2</v>
      </c>
      <c r="F23239" s="26">
        <v>5.0000000000000001E-3</v>
      </c>
      <c r="G23239" s="26">
        <v>0.01</v>
      </c>
      <c r="H23239" s="26">
        <v>3.8E-3</v>
      </c>
      <c r="I23239" s="26">
        <v>2.2000000000000001E-3</v>
      </c>
      <c r="J23239">
        <v>631</v>
      </c>
    </row>
    <row r="23240" spans="1:10" x14ac:dyDescent="0.35">
      <c r="A23240" t="s">
        <v>229</v>
      </c>
      <c r="B23240" t="s">
        <v>242</v>
      </c>
      <c r="C23240" s="26">
        <v>0.88649999999999995</v>
      </c>
      <c r="D23240" s="26">
        <v>6.7400000000000002E-2</v>
      </c>
      <c r="E23240" s="26">
        <v>1.54E-2</v>
      </c>
      <c r="F23240" s="26">
        <v>1.3299999999999999E-2</v>
      </c>
      <c r="G23240" s="26">
        <v>7.3000000000000001E-3</v>
      </c>
      <c r="H23240" s="26">
        <v>8.0000000000000004E-4</v>
      </c>
      <c r="I23240" s="26">
        <v>9.4000000000000004E-3</v>
      </c>
      <c r="J23240">
        <v>292</v>
      </c>
    </row>
    <row r="23241" spans="1:10" x14ac:dyDescent="0.35">
      <c r="A23241" t="s">
        <v>229</v>
      </c>
      <c r="B23241" t="s">
        <v>241</v>
      </c>
      <c r="C23241" s="26">
        <v>0.91310000000000002</v>
      </c>
      <c r="D23241" s="26">
        <v>6.0900000000000003E-2</v>
      </c>
      <c r="E23241" s="26">
        <v>2.3599999999999999E-2</v>
      </c>
      <c r="F23241" s="26">
        <v>8.0000000000000004E-4</v>
      </c>
      <c r="I23241" s="26">
        <v>1.6000000000000001E-3</v>
      </c>
      <c r="J23241">
        <v>603</v>
      </c>
    </row>
    <row r="23242" spans="1:10" x14ac:dyDescent="0.35">
      <c r="A23242" t="s">
        <v>230</v>
      </c>
      <c r="B23242" t="s">
        <v>242</v>
      </c>
      <c r="C23242" s="26">
        <v>0.8629</v>
      </c>
      <c r="D23242" s="26">
        <v>4.3799999999999999E-2</v>
      </c>
      <c r="E23242" s="26">
        <v>4.4900000000000002E-2</v>
      </c>
      <c r="F23242" s="26">
        <v>8.8999999999999999E-3</v>
      </c>
      <c r="G23242" s="26">
        <v>3.9600000000000003E-2</v>
      </c>
      <c r="J23242">
        <v>189</v>
      </c>
    </row>
    <row r="23243" spans="1:10" x14ac:dyDescent="0.35">
      <c r="A23243" t="s">
        <v>230</v>
      </c>
      <c r="B23243" t="s">
        <v>241</v>
      </c>
      <c r="C23243" s="26">
        <v>0.9244</v>
      </c>
      <c r="D23243" s="26">
        <v>4.6800000000000001E-2</v>
      </c>
      <c r="E23243" s="26">
        <v>9.9000000000000008E-3</v>
      </c>
      <c r="F23243" s="26">
        <v>1.3599999999999999E-2</v>
      </c>
      <c r="G23243" s="26">
        <v>4.1000000000000003E-3</v>
      </c>
      <c r="H23243" s="26">
        <v>1.2999999999999999E-3</v>
      </c>
      <c r="J23243">
        <v>371</v>
      </c>
    </row>
    <row r="23244" spans="1:10" x14ac:dyDescent="0.35">
      <c r="A23244" t="s">
        <v>231</v>
      </c>
      <c r="B23244" t="s">
        <v>242</v>
      </c>
      <c r="C23244" s="26">
        <v>0.94440000000000002</v>
      </c>
      <c r="D23244" s="26">
        <v>5.5599999999999997E-2</v>
      </c>
      <c r="J23244">
        <v>54</v>
      </c>
    </row>
    <row r="23245" spans="1:10" x14ac:dyDescent="0.35">
      <c r="A23245" t="s">
        <v>231</v>
      </c>
      <c r="B23245" t="s">
        <v>241</v>
      </c>
      <c r="C23245" s="26">
        <v>0.95450000000000002</v>
      </c>
      <c r="D23245" s="26">
        <v>2.7300000000000001E-2</v>
      </c>
      <c r="E23245" s="26">
        <v>9.1000000000000004E-3</v>
      </c>
      <c r="H23245" s="26">
        <v>9.1000000000000004E-3</v>
      </c>
      <c r="J23245">
        <v>110</v>
      </c>
    </row>
    <row r="23246" spans="1:10" x14ac:dyDescent="0.35">
      <c r="A23246" t="s">
        <v>232</v>
      </c>
      <c r="B23246" t="s">
        <v>232</v>
      </c>
      <c r="C23246" s="26">
        <v>0.92430000000000001</v>
      </c>
      <c r="D23246" s="26">
        <v>4.2900000000000001E-2</v>
      </c>
      <c r="E23246" s="26">
        <v>1.7299999999999999E-2</v>
      </c>
      <c r="F23246" s="26">
        <v>5.7000000000000002E-3</v>
      </c>
      <c r="G23246" s="26">
        <v>4.7999999999999996E-3</v>
      </c>
      <c r="H23246" s="26">
        <v>3.3999999999999998E-3</v>
      </c>
      <c r="I23246" s="26">
        <v>1.6000000000000001E-3</v>
      </c>
      <c r="J23246">
        <v>2813</v>
      </c>
    </row>
    <row r="23248" spans="1:10" x14ac:dyDescent="0.35">
      <c r="A23248" s="1" t="s">
        <v>2212</v>
      </c>
    </row>
    <row r="23249" spans="1:10" x14ac:dyDescent="0.35">
      <c r="A23249" t="s">
        <v>219</v>
      </c>
      <c r="B23249" t="s">
        <v>305</v>
      </c>
      <c r="C23249" t="s">
        <v>2051</v>
      </c>
      <c r="D23249" t="s">
        <v>2052</v>
      </c>
      <c r="E23249" t="s">
        <v>2053</v>
      </c>
      <c r="F23249" t="s">
        <v>2055</v>
      </c>
      <c r="G23249" t="s">
        <v>2054</v>
      </c>
      <c r="H23249" t="s">
        <v>281</v>
      </c>
      <c r="I23249" t="s">
        <v>286</v>
      </c>
      <c r="J23249" t="s">
        <v>226</v>
      </c>
    </row>
    <row r="23250" spans="1:10" x14ac:dyDescent="0.35">
      <c r="A23250" t="s">
        <v>227</v>
      </c>
      <c r="B23250" t="s">
        <v>239</v>
      </c>
      <c r="C23250" s="26">
        <v>0.9355</v>
      </c>
      <c r="D23250" s="26">
        <v>4.8399999999999999E-2</v>
      </c>
      <c r="G23250" s="26">
        <v>1.61E-2</v>
      </c>
      <c r="J23250">
        <v>62</v>
      </c>
    </row>
    <row r="23251" spans="1:10" x14ac:dyDescent="0.35">
      <c r="A23251" t="s">
        <v>227</v>
      </c>
      <c r="B23251" t="s">
        <v>238</v>
      </c>
      <c r="C23251" s="26">
        <v>0.94950000000000001</v>
      </c>
      <c r="D23251" s="26">
        <v>1.01E-2</v>
      </c>
      <c r="E23251" s="26">
        <v>2.0199999999999999E-2</v>
      </c>
      <c r="F23251" s="26">
        <v>1.01E-2</v>
      </c>
      <c r="H23251" s="26">
        <v>1.01E-2</v>
      </c>
      <c r="J23251">
        <v>99</v>
      </c>
    </row>
    <row r="23252" spans="1:10" x14ac:dyDescent="0.35">
      <c r="A23252" t="s">
        <v>228</v>
      </c>
      <c r="B23252" t="s">
        <v>239</v>
      </c>
      <c r="C23252" s="26">
        <v>0.89180000000000004</v>
      </c>
      <c r="D23252" s="26">
        <v>5.5500000000000001E-2</v>
      </c>
      <c r="E23252" s="26">
        <v>2.8000000000000001E-2</v>
      </c>
      <c r="F23252" s="26">
        <v>2.0400000000000001E-2</v>
      </c>
      <c r="G23252" s="26">
        <v>3.2000000000000002E-3</v>
      </c>
      <c r="H23252" s="26">
        <v>1.1999999999999999E-3</v>
      </c>
      <c r="J23252">
        <v>330</v>
      </c>
    </row>
    <row r="23253" spans="1:10" x14ac:dyDescent="0.35">
      <c r="A23253" t="s">
        <v>228</v>
      </c>
      <c r="B23253" t="s">
        <v>238</v>
      </c>
      <c r="C23253" s="26">
        <v>0.91849999999999998</v>
      </c>
      <c r="D23253" s="26">
        <v>2.8899999999999999E-2</v>
      </c>
      <c r="E23253" s="26">
        <v>3.1E-2</v>
      </c>
      <c r="F23253" s="26">
        <v>7.6E-3</v>
      </c>
      <c r="G23253" s="26">
        <v>8.9999999999999993E-3</v>
      </c>
      <c r="H23253" s="26">
        <v>3.3E-3</v>
      </c>
      <c r="I23253" s="26">
        <v>1.6999999999999999E-3</v>
      </c>
      <c r="J23253">
        <v>703</v>
      </c>
    </row>
    <row r="23254" spans="1:10" x14ac:dyDescent="0.35">
      <c r="A23254" t="s">
        <v>229</v>
      </c>
      <c r="B23254" t="s">
        <v>239</v>
      </c>
      <c r="C23254" s="26">
        <v>0.87450000000000006</v>
      </c>
      <c r="D23254" s="26">
        <v>7.8100000000000003E-2</v>
      </c>
      <c r="E23254" s="26">
        <v>2.0400000000000001E-2</v>
      </c>
      <c r="F23254" s="26">
        <v>2.1600000000000001E-2</v>
      </c>
      <c r="I23254" s="26">
        <v>5.1999999999999998E-3</v>
      </c>
      <c r="J23254">
        <v>332</v>
      </c>
    </row>
    <row r="23255" spans="1:10" x14ac:dyDescent="0.35">
      <c r="A23255" t="s">
        <v>229</v>
      </c>
      <c r="B23255" t="s">
        <v>238</v>
      </c>
      <c r="C23255" s="26">
        <v>0.9123</v>
      </c>
      <c r="D23255" s="26">
        <v>5.8400000000000001E-2</v>
      </c>
      <c r="E23255" s="26">
        <v>2.0400000000000001E-2</v>
      </c>
      <c r="F23255" s="26">
        <v>2.0000000000000001E-4</v>
      </c>
      <c r="G23255" s="26">
        <v>3.8E-3</v>
      </c>
      <c r="H23255" s="26">
        <v>4.0000000000000002E-4</v>
      </c>
      <c r="I23255" s="26">
        <v>4.4999999999999997E-3</v>
      </c>
      <c r="J23255">
        <v>563</v>
      </c>
    </row>
    <row r="23256" spans="1:10" x14ac:dyDescent="0.35">
      <c r="A23256" t="s">
        <v>230</v>
      </c>
      <c r="B23256" t="s">
        <v>239</v>
      </c>
      <c r="C23256" s="26">
        <v>0.86909999999999998</v>
      </c>
      <c r="D23256" s="26">
        <v>1.8599999999999998E-2</v>
      </c>
      <c r="E23256" s="26">
        <v>5.1700000000000003E-2</v>
      </c>
      <c r="F23256" s="26">
        <v>1.21E-2</v>
      </c>
      <c r="G23256" s="26">
        <v>4.5600000000000002E-2</v>
      </c>
      <c r="H23256" s="26">
        <v>2.8999999999999998E-3</v>
      </c>
      <c r="J23256">
        <v>211</v>
      </c>
    </row>
    <row r="23257" spans="1:10" x14ac:dyDescent="0.35">
      <c r="A23257" t="s">
        <v>230</v>
      </c>
      <c r="B23257" t="s">
        <v>238</v>
      </c>
      <c r="C23257" s="26">
        <v>0.91839999999999999</v>
      </c>
      <c r="D23257" s="26">
        <v>5.7500000000000002E-2</v>
      </c>
      <c r="E23257" s="26">
        <v>8.8000000000000005E-3</v>
      </c>
      <c r="F23257" s="26">
        <v>1.2E-2</v>
      </c>
      <c r="G23257" s="26">
        <v>3.3E-3</v>
      </c>
      <c r="J23257">
        <v>349</v>
      </c>
    </row>
    <row r="23258" spans="1:10" x14ac:dyDescent="0.35">
      <c r="A23258" t="s">
        <v>231</v>
      </c>
      <c r="B23258" t="s">
        <v>239</v>
      </c>
      <c r="C23258" s="26">
        <v>0.92979999999999996</v>
      </c>
      <c r="D23258" s="26">
        <v>5.2600000000000001E-2</v>
      </c>
      <c r="E23258" s="26">
        <v>1.7500000000000002E-2</v>
      </c>
      <c r="J23258">
        <v>57</v>
      </c>
    </row>
    <row r="23259" spans="1:10" x14ac:dyDescent="0.35">
      <c r="A23259" t="s">
        <v>231</v>
      </c>
      <c r="B23259" t="s">
        <v>238</v>
      </c>
      <c r="C23259" s="26">
        <v>0.96260000000000001</v>
      </c>
      <c r="D23259" s="26">
        <v>2.8000000000000001E-2</v>
      </c>
      <c r="H23259" s="26">
        <v>9.2999999999999992E-3</v>
      </c>
      <c r="J23259">
        <v>107</v>
      </c>
    </row>
    <row r="23260" spans="1:10" x14ac:dyDescent="0.35">
      <c r="A23260" t="s">
        <v>232</v>
      </c>
      <c r="B23260" t="s">
        <v>232</v>
      </c>
      <c r="C23260" s="26">
        <v>0.92430000000000001</v>
      </c>
      <c r="D23260" s="26">
        <v>4.2900000000000001E-2</v>
      </c>
      <c r="E23260" s="26">
        <v>1.7299999999999999E-2</v>
      </c>
      <c r="F23260" s="26">
        <v>5.7000000000000002E-3</v>
      </c>
      <c r="G23260" s="26">
        <v>4.7999999999999996E-3</v>
      </c>
      <c r="H23260" s="26">
        <v>3.3999999999999998E-3</v>
      </c>
      <c r="I23260" s="26">
        <v>1.6000000000000001E-3</v>
      </c>
      <c r="J23260">
        <v>2813</v>
      </c>
    </row>
    <row r="23262" spans="1:10" x14ac:dyDescent="0.35">
      <c r="A23262" s="1" t="s">
        <v>2213</v>
      </c>
    </row>
    <row r="23263" spans="1:10" x14ac:dyDescent="0.35">
      <c r="A23263" t="s">
        <v>219</v>
      </c>
      <c r="B23263" t="s">
        <v>305</v>
      </c>
      <c r="C23263" t="s">
        <v>2051</v>
      </c>
      <c r="D23263" t="s">
        <v>2052</v>
      </c>
      <c r="E23263" t="s">
        <v>2053</v>
      </c>
      <c r="F23263" t="s">
        <v>2055</v>
      </c>
      <c r="G23263" t="s">
        <v>2054</v>
      </c>
      <c r="H23263" t="s">
        <v>281</v>
      </c>
      <c r="I23263" t="s">
        <v>286</v>
      </c>
      <c r="J23263" t="s">
        <v>226</v>
      </c>
    </row>
    <row r="23264" spans="1:10" x14ac:dyDescent="0.35">
      <c r="A23264" t="s">
        <v>227</v>
      </c>
      <c r="B23264" t="s">
        <v>244</v>
      </c>
      <c r="C23264" s="26">
        <v>0.94789999999999996</v>
      </c>
      <c r="D23264" s="26">
        <v>2.0799999999999999E-2</v>
      </c>
      <c r="E23264" s="26">
        <v>1.04E-2</v>
      </c>
      <c r="F23264" s="26">
        <v>1.04E-2</v>
      </c>
      <c r="G23264" s="26">
        <v>1.04E-2</v>
      </c>
      <c r="J23264">
        <v>96</v>
      </c>
    </row>
    <row r="23265" spans="1:10" x14ac:dyDescent="0.35">
      <c r="A23265" t="s">
        <v>227</v>
      </c>
      <c r="B23265" t="s">
        <v>245</v>
      </c>
      <c r="C23265" s="26">
        <v>0.94340000000000002</v>
      </c>
      <c r="D23265" s="26">
        <v>3.7699999999999997E-2</v>
      </c>
      <c r="H23265" s="26">
        <v>1.89E-2</v>
      </c>
      <c r="J23265">
        <v>53</v>
      </c>
    </row>
    <row r="23266" spans="1:10" x14ac:dyDescent="0.35">
      <c r="A23266" s="27" t="s">
        <v>227</v>
      </c>
      <c r="B23266" s="27" t="s">
        <v>246</v>
      </c>
      <c r="C23266" s="28">
        <v>0.91669999999999996</v>
      </c>
      <c r="D23266" s="29"/>
      <c r="E23266" s="28">
        <v>8.3299999999999999E-2</v>
      </c>
      <c r="F23266" s="29"/>
      <c r="G23266" s="29"/>
      <c r="H23266" s="29"/>
      <c r="I23266" s="29"/>
      <c r="J23266" s="29" t="s">
        <v>342</v>
      </c>
    </row>
    <row r="23267" spans="1:10" x14ac:dyDescent="0.35">
      <c r="A23267" t="s">
        <v>228</v>
      </c>
      <c r="B23267" t="s">
        <v>244</v>
      </c>
      <c r="C23267" s="26">
        <v>0.92369999999999997</v>
      </c>
      <c r="D23267" s="26">
        <v>3.3599999999999998E-2</v>
      </c>
      <c r="E23267" s="26">
        <v>2.53E-2</v>
      </c>
      <c r="F23267" s="26">
        <v>7.1999999999999998E-3</v>
      </c>
      <c r="G23267" s="26">
        <v>7.4999999999999997E-3</v>
      </c>
      <c r="H23267" s="26">
        <v>2.2000000000000001E-3</v>
      </c>
      <c r="I23267" s="26">
        <v>5.9999999999999995E-4</v>
      </c>
      <c r="J23267">
        <v>638</v>
      </c>
    </row>
    <row r="23268" spans="1:10" x14ac:dyDescent="0.35">
      <c r="A23268" t="s">
        <v>228</v>
      </c>
      <c r="B23268" t="s">
        <v>245</v>
      </c>
      <c r="C23268" s="26">
        <v>0.88890000000000002</v>
      </c>
      <c r="D23268" s="26">
        <v>3.8600000000000002E-2</v>
      </c>
      <c r="E23268" s="26">
        <v>4.2500000000000003E-2</v>
      </c>
      <c r="F23268" s="26">
        <v>1.84E-2</v>
      </c>
      <c r="G23268" s="26">
        <v>4.7000000000000002E-3</v>
      </c>
      <c r="H23268" s="26">
        <v>5.3E-3</v>
      </c>
      <c r="I23268" s="26">
        <v>1.5E-3</v>
      </c>
      <c r="J23268">
        <v>328</v>
      </c>
    </row>
    <row r="23269" spans="1:10" x14ac:dyDescent="0.35">
      <c r="A23269" t="s">
        <v>228</v>
      </c>
      <c r="B23269" t="s">
        <v>246</v>
      </c>
      <c r="C23269" s="26">
        <v>0.90839999999999999</v>
      </c>
      <c r="D23269" s="26">
        <v>2.53E-2</v>
      </c>
      <c r="E23269" s="26">
        <v>2.9100000000000001E-2</v>
      </c>
      <c r="F23269" s="26">
        <v>6.0000000000000001E-3</v>
      </c>
      <c r="G23269" s="26">
        <v>2.3099999999999999E-2</v>
      </c>
      <c r="I23269" s="26">
        <v>8.0000000000000002E-3</v>
      </c>
      <c r="J23269">
        <v>67</v>
      </c>
    </row>
    <row r="23270" spans="1:10" x14ac:dyDescent="0.35">
      <c r="A23270" t="s">
        <v>229</v>
      </c>
      <c r="B23270" t="s">
        <v>244</v>
      </c>
      <c r="C23270" s="26">
        <v>0.90190000000000003</v>
      </c>
      <c r="D23270" s="26">
        <v>7.0300000000000001E-2</v>
      </c>
      <c r="E23270" s="26">
        <v>1.6E-2</v>
      </c>
      <c r="F23270" s="26">
        <v>4.1000000000000003E-3</v>
      </c>
      <c r="G23270" s="26">
        <v>5.0000000000000001E-4</v>
      </c>
      <c r="H23270" s="26">
        <v>5.0000000000000001E-4</v>
      </c>
      <c r="I23270" s="26">
        <v>6.7000000000000002E-3</v>
      </c>
      <c r="J23270">
        <v>557</v>
      </c>
    </row>
    <row r="23271" spans="1:10" x14ac:dyDescent="0.35">
      <c r="A23271" t="s">
        <v>229</v>
      </c>
      <c r="B23271" t="s">
        <v>245</v>
      </c>
      <c r="C23271" s="26">
        <v>0.91820000000000002</v>
      </c>
      <c r="D23271" s="26">
        <v>4.7800000000000002E-2</v>
      </c>
      <c r="E23271" s="26">
        <v>2.41E-2</v>
      </c>
      <c r="G23271" s="26">
        <v>9.9000000000000008E-3</v>
      </c>
      <c r="J23271">
        <v>293</v>
      </c>
    </row>
    <row r="23272" spans="1:10" x14ac:dyDescent="0.35">
      <c r="A23272" t="s">
        <v>229</v>
      </c>
      <c r="B23272" t="s">
        <v>246</v>
      </c>
      <c r="C23272" s="26">
        <v>0.84009999999999996</v>
      </c>
      <c r="D23272" s="26">
        <v>4.7100000000000003E-2</v>
      </c>
      <c r="E23272" s="26">
        <v>5.9499999999999997E-2</v>
      </c>
      <c r="F23272" s="26">
        <v>5.33E-2</v>
      </c>
      <c r="J23272">
        <v>45</v>
      </c>
    </row>
    <row r="23273" spans="1:10" x14ac:dyDescent="0.35">
      <c r="A23273" t="s">
        <v>230</v>
      </c>
      <c r="B23273" t="s">
        <v>244</v>
      </c>
      <c r="C23273" s="26">
        <v>0.90800000000000003</v>
      </c>
      <c r="D23273" s="26">
        <v>4.3299999999999998E-2</v>
      </c>
      <c r="E23273" s="26">
        <v>2.06E-2</v>
      </c>
      <c r="F23273" s="26">
        <v>6.8999999999999999E-3</v>
      </c>
      <c r="G23273" s="26">
        <v>2.1100000000000001E-2</v>
      </c>
      <c r="J23273">
        <v>370</v>
      </c>
    </row>
    <row r="23274" spans="1:10" x14ac:dyDescent="0.35">
      <c r="A23274" t="s">
        <v>230</v>
      </c>
      <c r="B23274" t="s">
        <v>245</v>
      </c>
      <c r="C23274" s="26">
        <v>0.90469999999999995</v>
      </c>
      <c r="D23274" s="26">
        <v>6.0999999999999999E-2</v>
      </c>
      <c r="E23274" s="26">
        <v>8.0000000000000002E-3</v>
      </c>
      <c r="F23274" s="26">
        <v>2.4199999999999999E-2</v>
      </c>
      <c r="G23274" s="26">
        <v>2.0999999999999999E-3</v>
      </c>
      <c r="J23274">
        <v>161</v>
      </c>
    </row>
    <row r="23275" spans="1:10" x14ac:dyDescent="0.35">
      <c r="A23275" s="27" t="s">
        <v>230</v>
      </c>
      <c r="B23275" s="27" t="s">
        <v>246</v>
      </c>
      <c r="C23275" s="28">
        <v>0.83399999999999996</v>
      </c>
      <c r="D23275" s="29"/>
      <c r="E23275" s="28">
        <v>0.1108</v>
      </c>
      <c r="F23275" s="28">
        <v>1.8700000000000001E-2</v>
      </c>
      <c r="G23275" s="28">
        <v>1.83E-2</v>
      </c>
      <c r="H23275" s="28">
        <v>1.83E-2</v>
      </c>
      <c r="I23275" s="29"/>
      <c r="J23275" s="29" t="s">
        <v>329</v>
      </c>
    </row>
    <row r="23276" spans="1:10" x14ac:dyDescent="0.35">
      <c r="A23276" t="s">
        <v>231</v>
      </c>
      <c r="B23276" t="s">
        <v>244</v>
      </c>
      <c r="C23276" s="26">
        <v>0.94740000000000002</v>
      </c>
      <c r="D23276" s="26">
        <v>3.1600000000000003E-2</v>
      </c>
      <c r="E23276" s="26">
        <v>1.0500000000000001E-2</v>
      </c>
      <c r="H23276" s="26">
        <v>1.0500000000000001E-2</v>
      </c>
      <c r="J23276">
        <v>95</v>
      </c>
    </row>
    <row r="23277" spans="1:10" x14ac:dyDescent="0.35">
      <c r="A23277" t="s">
        <v>231</v>
      </c>
      <c r="B23277" t="s">
        <v>245</v>
      </c>
      <c r="C23277" s="26">
        <v>0.96430000000000005</v>
      </c>
      <c r="D23277" s="26">
        <v>3.5700000000000003E-2</v>
      </c>
      <c r="J23277">
        <v>56</v>
      </c>
    </row>
    <row r="23278" spans="1:10" x14ac:dyDescent="0.35">
      <c r="A23278" s="27" t="s">
        <v>231</v>
      </c>
      <c r="B23278" s="27" t="s">
        <v>246</v>
      </c>
      <c r="C23278" s="28">
        <v>0.92310000000000003</v>
      </c>
      <c r="D23278" s="28">
        <v>7.6899999999999996E-2</v>
      </c>
      <c r="E23278" s="29"/>
      <c r="F23278" s="29"/>
      <c r="G23278" s="29"/>
      <c r="H23278" s="29"/>
      <c r="I23278" s="29"/>
      <c r="J23278" s="29" t="s">
        <v>341</v>
      </c>
    </row>
    <row r="23279" spans="1:10" x14ac:dyDescent="0.35">
      <c r="A23279" t="s">
        <v>232</v>
      </c>
      <c r="B23279" t="s">
        <v>232</v>
      </c>
      <c r="C23279" s="26">
        <v>0.92430000000000001</v>
      </c>
      <c r="D23279" s="26">
        <v>4.2900000000000001E-2</v>
      </c>
      <c r="E23279" s="26">
        <v>1.7299999999999999E-2</v>
      </c>
      <c r="F23279" s="26">
        <v>5.7000000000000002E-3</v>
      </c>
      <c r="G23279" s="26">
        <v>4.7999999999999996E-3</v>
      </c>
      <c r="H23279" s="26">
        <v>3.3999999999999998E-3</v>
      </c>
      <c r="I23279" s="26">
        <v>1.6000000000000001E-3</v>
      </c>
      <c r="J23279">
        <v>2813</v>
      </c>
    </row>
    <row r="23281" spans="1:10" x14ac:dyDescent="0.35">
      <c r="A23281" s="1" t="s">
        <v>2214</v>
      </c>
    </row>
    <row r="23282" spans="1:10" x14ac:dyDescent="0.35">
      <c r="A23282" t="s">
        <v>219</v>
      </c>
      <c r="B23282" t="s">
        <v>305</v>
      </c>
      <c r="C23282" t="s">
        <v>2051</v>
      </c>
      <c r="D23282" t="s">
        <v>2052</v>
      </c>
      <c r="E23282" t="s">
        <v>2053</v>
      </c>
      <c r="F23282" t="s">
        <v>2055</v>
      </c>
      <c r="G23282" t="s">
        <v>2054</v>
      </c>
      <c r="H23282" t="s">
        <v>281</v>
      </c>
      <c r="I23282" t="s">
        <v>286</v>
      </c>
      <c r="J23282" t="s">
        <v>226</v>
      </c>
    </row>
    <row r="23283" spans="1:10" x14ac:dyDescent="0.35">
      <c r="A23283" t="s">
        <v>227</v>
      </c>
      <c r="B23283" t="s">
        <v>360</v>
      </c>
      <c r="C23283" s="26">
        <v>0.92310000000000003</v>
      </c>
      <c r="E23283" s="26">
        <v>2.5600000000000001E-2</v>
      </c>
      <c r="G23283" s="26">
        <v>2.5600000000000001E-2</v>
      </c>
      <c r="H23283" s="26">
        <v>2.5600000000000001E-2</v>
      </c>
      <c r="J23283">
        <v>39</v>
      </c>
    </row>
    <row r="23284" spans="1:10" x14ac:dyDescent="0.35">
      <c r="A23284" t="s">
        <v>227</v>
      </c>
      <c r="B23284" t="s">
        <v>361</v>
      </c>
      <c r="C23284" s="26">
        <v>1</v>
      </c>
      <c r="J23284">
        <v>32</v>
      </c>
    </row>
    <row r="23285" spans="1:10" x14ac:dyDescent="0.35">
      <c r="A23285" t="s">
        <v>227</v>
      </c>
      <c r="B23285" t="s">
        <v>362</v>
      </c>
      <c r="C23285" s="26">
        <v>0.89190000000000003</v>
      </c>
      <c r="D23285" s="26">
        <v>8.1100000000000005E-2</v>
      </c>
      <c r="F23285" s="26">
        <v>2.7E-2</v>
      </c>
      <c r="J23285">
        <v>37</v>
      </c>
    </row>
    <row r="23286" spans="1:10" x14ac:dyDescent="0.35">
      <c r="A23286" t="s">
        <v>227</v>
      </c>
      <c r="B23286" t="s">
        <v>363</v>
      </c>
      <c r="C23286" s="26">
        <v>0.9556</v>
      </c>
      <c r="D23286" s="26">
        <v>2.2200000000000001E-2</v>
      </c>
      <c r="E23286" s="26">
        <v>2.2200000000000001E-2</v>
      </c>
      <c r="J23286">
        <v>45</v>
      </c>
    </row>
    <row r="23287" spans="1:10" x14ac:dyDescent="0.35">
      <c r="A23287" t="s">
        <v>228</v>
      </c>
      <c r="B23287" t="s">
        <v>360</v>
      </c>
      <c r="C23287" s="26">
        <v>0.86819999999999997</v>
      </c>
      <c r="D23287" s="26">
        <v>3.8300000000000001E-2</v>
      </c>
      <c r="E23287" s="26">
        <v>4.2599999999999999E-2</v>
      </c>
      <c r="F23287" s="26">
        <v>3.4299999999999997E-2</v>
      </c>
      <c r="G23287" s="26">
        <v>1.1999999999999999E-3</v>
      </c>
      <c r="H23287" s="26">
        <v>1.26E-2</v>
      </c>
      <c r="I23287" s="26">
        <v>2.8E-3</v>
      </c>
      <c r="J23287">
        <v>258</v>
      </c>
    </row>
    <row r="23288" spans="1:10" x14ac:dyDescent="0.35">
      <c r="A23288" t="s">
        <v>228</v>
      </c>
      <c r="B23288" t="s">
        <v>361</v>
      </c>
      <c r="C23288" s="26">
        <v>0.93700000000000006</v>
      </c>
      <c r="D23288" s="26">
        <v>1.72E-2</v>
      </c>
      <c r="E23288" s="26">
        <v>1.89E-2</v>
      </c>
      <c r="F23288" s="26">
        <v>6.1999999999999998E-3</v>
      </c>
      <c r="G23288" s="26">
        <v>2.07E-2</v>
      </c>
      <c r="J23288">
        <v>194</v>
      </c>
    </row>
    <row r="23289" spans="1:10" x14ac:dyDescent="0.35">
      <c r="A23289" t="s">
        <v>228</v>
      </c>
      <c r="B23289" t="s">
        <v>363</v>
      </c>
      <c r="C23289" s="26">
        <v>0.90549999999999997</v>
      </c>
      <c r="D23289" s="26">
        <v>3.1600000000000003E-2</v>
      </c>
      <c r="E23289" s="26">
        <v>5.4199999999999998E-2</v>
      </c>
      <c r="F23289" s="26">
        <v>2.8E-3</v>
      </c>
      <c r="G23289" s="26">
        <v>5.8999999999999999E-3</v>
      </c>
      <c r="J23289">
        <v>212</v>
      </c>
    </row>
    <row r="23290" spans="1:10" x14ac:dyDescent="0.35">
      <c r="A23290" t="s">
        <v>228</v>
      </c>
      <c r="B23290" t="s">
        <v>362</v>
      </c>
      <c r="C23290" s="26">
        <v>0.94030000000000002</v>
      </c>
      <c r="D23290" s="26">
        <v>3.8800000000000001E-2</v>
      </c>
      <c r="E23290" s="26">
        <v>1.17E-2</v>
      </c>
      <c r="F23290" s="26">
        <v>4.5999999999999999E-3</v>
      </c>
      <c r="G23290" s="26">
        <v>2.8E-3</v>
      </c>
      <c r="I23290" s="26">
        <v>1.8E-3</v>
      </c>
      <c r="J23290">
        <v>236</v>
      </c>
    </row>
    <row r="23291" spans="1:10" x14ac:dyDescent="0.35">
      <c r="A23291" t="s">
        <v>229</v>
      </c>
      <c r="B23291" t="s">
        <v>363</v>
      </c>
      <c r="C23291" s="26">
        <v>0.93559999999999999</v>
      </c>
      <c r="D23291" s="26">
        <v>4.7399999999999998E-2</v>
      </c>
      <c r="E23291" s="26">
        <v>5.0000000000000001E-4</v>
      </c>
      <c r="I23291" s="26">
        <v>1.6400000000000001E-2</v>
      </c>
      <c r="J23291">
        <v>191</v>
      </c>
    </row>
    <row r="23292" spans="1:10" x14ac:dyDescent="0.35">
      <c r="A23292" t="s">
        <v>229</v>
      </c>
      <c r="B23292" t="s">
        <v>360</v>
      </c>
      <c r="C23292" s="26">
        <v>0.80400000000000005</v>
      </c>
      <c r="D23292" s="26">
        <v>0.11119999999999999</v>
      </c>
      <c r="E23292" s="26">
        <v>3.73E-2</v>
      </c>
      <c r="F23292" s="26">
        <v>1.84E-2</v>
      </c>
      <c r="G23292" s="26">
        <v>1.84E-2</v>
      </c>
      <c r="H23292" s="26">
        <v>2.0999999999999999E-3</v>
      </c>
      <c r="I23292" s="26">
        <v>8.6E-3</v>
      </c>
      <c r="J23292">
        <v>164</v>
      </c>
    </row>
    <row r="23293" spans="1:10" x14ac:dyDescent="0.35">
      <c r="A23293" t="s">
        <v>229</v>
      </c>
      <c r="B23293" t="s">
        <v>361</v>
      </c>
      <c r="C23293" s="26">
        <v>0.90690000000000004</v>
      </c>
      <c r="D23293" s="26">
        <v>5.7500000000000002E-2</v>
      </c>
      <c r="E23293" s="26">
        <v>2.9100000000000001E-2</v>
      </c>
      <c r="F23293" s="26">
        <v>6.6E-3</v>
      </c>
      <c r="J23293">
        <v>243</v>
      </c>
    </row>
    <row r="23294" spans="1:10" x14ac:dyDescent="0.35">
      <c r="A23294" t="s">
        <v>229</v>
      </c>
      <c r="B23294" t="s">
        <v>362</v>
      </c>
      <c r="C23294" s="26">
        <v>0.93840000000000001</v>
      </c>
      <c r="D23294" s="26">
        <v>3.8300000000000001E-2</v>
      </c>
      <c r="E23294" s="26">
        <v>2.12E-2</v>
      </c>
      <c r="F23294" s="26">
        <v>2.0999999999999999E-3</v>
      </c>
      <c r="J23294">
        <v>171</v>
      </c>
    </row>
    <row r="23295" spans="1:10" x14ac:dyDescent="0.35">
      <c r="A23295" t="s">
        <v>230</v>
      </c>
      <c r="B23295" t="s">
        <v>360</v>
      </c>
      <c r="C23295" s="26">
        <v>0.93210000000000004</v>
      </c>
      <c r="D23295" s="26">
        <v>1.3899999999999999E-2</v>
      </c>
      <c r="E23295" s="26">
        <v>1.6E-2</v>
      </c>
      <c r="F23295" s="26">
        <v>6.3E-3</v>
      </c>
      <c r="G23295" s="26">
        <v>3.1699999999999999E-2</v>
      </c>
      <c r="J23295">
        <v>120</v>
      </c>
    </row>
    <row r="23296" spans="1:10" x14ac:dyDescent="0.35">
      <c r="A23296" t="s">
        <v>230</v>
      </c>
      <c r="B23296" t="s">
        <v>363</v>
      </c>
      <c r="C23296" s="26">
        <v>0.88649999999999995</v>
      </c>
      <c r="D23296" s="26">
        <v>6.8900000000000003E-2</v>
      </c>
      <c r="E23296" s="26">
        <v>3.56E-2</v>
      </c>
      <c r="F23296" s="26">
        <v>3.8999999999999998E-3</v>
      </c>
      <c r="G23296" s="26">
        <v>5.1000000000000004E-3</v>
      </c>
      <c r="J23296">
        <v>127</v>
      </c>
    </row>
    <row r="23297" spans="1:10" x14ac:dyDescent="0.35">
      <c r="A23297" t="s">
        <v>230</v>
      </c>
      <c r="B23297" t="s">
        <v>361</v>
      </c>
      <c r="C23297" s="26">
        <v>0.94369999999999998</v>
      </c>
      <c r="D23297" s="26">
        <v>3.4000000000000002E-2</v>
      </c>
      <c r="E23297" s="26">
        <v>1.17E-2</v>
      </c>
      <c r="F23297" s="26">
        <v>7.1000000000000004E-3</v>
      </c>
      <c r="G23297" s="26">
        <v>3.5999999999999999E-3</v>
      </c>
      <c r="J23297">
        <v>109</v>
      </c>
    </row>
    <row r="23298" spans="1:10" x14ac:dyDescent="0.35">
      <c r="A23298" t="s">
        <v>230</v>
      </c>
      <c r="B23298" t="s">
        <v>362</v>
      </c>
      <c r="C23298" s="26">
        <v>0.86439999999999995</v>
      </c>
      <c r="D23298" s="26">
        <v>4.5199999999999997E-2</v>
      </c>
      <c r="E23298" s="26">
        <v>2.9700000000000001E-2</v>
      </c>
      <c r="F23298" s="26">
        <v>2.87E-2</v>
      </c>
      <c r="G23298" s="26">
        <v>2.8500000000000001E-2</v>
      </c>
      <c r="H23298" s="26">
        <v>3.5000000000000001E-3</v>
      </c>
      <c r="J23298">
        <v>148</v>
      </c>
    </row>
    <row r="23299" spans="1:10" x14ac:dyDescent="0.35">
      <c r="A23299" s="27" t="s">
        <v>231</v>
      </c>
      <c r="B23299" s="27" t="s">
        <v>362</v>
      </c>
      <c r="C23299" s="28">
        <v>1</v>
      </c>
      <c r="D23299" s="29"/>
      <c r="E23299" s="29"/>
      <c r="F23299" s="29"/>
      <c r="G23299" s="29"/>
      <c r="H23299" s="29"/>
      <c r="I23299" s="29"/>
      <c r="J23299" s="29" t="s">
        <v>329</v>
      </c>
    </row>
    <row r="23300" spans="1:10" x14ac:dyDescent="0.35">
      <c r="A23300" t="s">
        <v>231</v>
      </c>
      <c r="B23300" t="s">
        <v>361</v>
      </c>
      <c r="C23300" s="26">
        <v>0.98</v>
      </c>
      <c r="D23300" s="26">
        <v>0.02</v>
      </c>
      <c r="J23300">
        <v>50</v>
      </c>
    </row>
    <row r="23301" spans="1:10" x14ac:dyDescent="0.35">
      <c r="A23301" t="s">
        <v>231</v>
      </c>
      <c r="B23301" t="s">
        <v>360</v>
      </c>
      <c r="C23301" s="26">
        <v>0.86360000000000003</v>
      </c>
      <c r="D23301" s="26">
        <v>9.0899999999999995E-2</v>
      </c>
      <c r="E23301" s="26">
        <v>2.2700000000000001E-2</v>
      </c>
      <c r="H23301" s="26">
        <v>2.2700000000000001E-2</v>
      </c>
      <c r="J23301">
        <v>44</v>
      </c>
    </row>
    <row r="23302" spans="1:10" x14ac:dyDescent="0.35">
      <c r="A23302" s="27" t="s">
        <v>231</v>
      </c>
      <c r="B23302" s="27" t="s">
        <v>363</v>
      </c>
      <c r="C23302" s="28">
        <v>0.96299999999999997</v>
      </c>
      <c r="D23302" s="28">
        <v>3.6999999999999998E-2</v>
      </c>
      <c r="E23302" s="29"/>
      <c r="F23302" s="29"/>
      <c r="G23302" s="29"/>
      <c r="H23302" s="29"/>
      <c r="I23302" s="29"/>
      <c r="J23302" s="29" t="s">
        <v>338</v>
      </c>
    </row>
    <row r="23303" spans="1:10" x14ac:dyDescent="0.35">
      <c r="A23303" t="s">
        <v>232</v>
      </c>
      <c r="B23303" t="s">
        <v>232</v>
      </c>
      <c r="C23303" s="26">
        <v>0.92430000000000001</v>
      </c>
      <c r="D23303" s="26">
        <v>4.2900000000000001E-2</v>
      </c>
      <c r="E23303" s="26">
        <v>1.7299999999999999E-2</v>
      </c>
      <c r="F23303" s="26">
        <v>5.7000000000000002E-3</v>
      </c>
      <c r="G23303" s="26">
        <v>4.7999999999999996E-3</v>
      </c>
      <c r="H23303" s="26">
        <v>3.3999999999999998E-3</v>
      </c>
      <c r="I23303" s="26">
        <v>1.6000000000000001E-3</v>
      </c>
      <c r="J23303">
        <v>2476</v>
      </c>
    </row>
    <row r="23305" spans="1:10" x14ac:dyDescent="0.35">
      <c r="A23305" s="1" t="s">
        <v>2215</v>
      </c>
    </row>
    <row r="23306" spans="1:10" x14ac:dyDescent="0.35">
      <c r="A23306" t="s">
        <v>219</v>
      </c>
      <c r="B23306" t="s">
        <v>305</v>
      </c>
      <c r="C23306" t="s">
        <v>2051</v>
      </c>
      <c r="D23306" t="s">
        <v>2052</v>
      </c>
      <c r="E23306" t="s">
        <v>2053</v>
      </c>
      <c r="F23306" t="s">
        <v>2055</v>
      </c>
      <c r="G23306" t="s">
        <v>2054</v>
      </c>
      <c r="H23306" t="s">
        <v>281</v>
      </c>
      <c r="I23306" t="s">
        <v>286</v>
      </c>
      <c r="J23306" t="s">
        <v>226</v>
      </c>
    </row>
    <row r="23307" spans="1:10" x14ac:dyDescent="0.35">
      <c r="A23307" t="s">
        <v>227</v>
      </c>
      <c r="B23307" t="s">
        <v>267</v>
      </c>
      <c r="C23307" s="26">
        <v>0.91669999999999996</v>
      </c>
      <c r="D23307" s="26">
        <v>2.7799999999999998E-2</v>
      </c>
      <c r="F23307" s="26">
        <v>2.7799999999999998E-2</v>
      </c>
      <c r="H23307" s="26">
        <v>2.7799999999999998E-2</v>
      </c>
      <c r="J23307">
        <v>36</v>
      </c>
    </row>
    <row r="23308" spans="1:10" x14ac:dyDescent="0.35">
      <c r="A23308" t="s">
        <v>227</v>
      </c>
      <c r="B23308" t="s">
        <v>266</v>
      </c>
      <c r="C23308" s="26">
        <v>0.96609999999999996</v>
      </c>
      <c r="D23308" s="26">
        <v>3.39E-2</v>
      </c>
      <c r="J23308">
        <v>59</v>
      </c>
    </row>
    <row r="23309" spans="1:10" x14ac:dyDescent="0.35">
      <c r="A23309" t="s">
        <v>227</v>
      </c>
      <c r="B23309" t="s">
        <v>265</v>
      </c>
      <c r="C23309" s="26">
        <v>0.93940000000000001</v>
      </c>
      <c r="D23309" s="26">
        <v>1.52E-2</v>
      </c>
      <c r="E23309" s="26">
        <v>3.0300000000000001E-2</v>
      </c>
      <c r="G23309" s="26">
        <v>1.52E-2</v>
      </c>
      <c r="J23309">
        <v>66</v>
      </c>
    </row>
    <row r="23310" spans="1:10" x14ac:dyDescent="0.35">
      <c r="A23310" t="s">
        <v>228</v>
      </c>
      <c r="B23310" t="s">
        <v>267</v>
      </c>
      <c r="C23310" s="26">
        <v>0.94789999999999996</v>
      </c>
      <c r="D23310" s="26">
        <v>1.49E-2</v>
      </c>
      <c r="E23310" s="26">
        <v>3.1899999999999998E-2</v>
      </c>
      <c r="F23310" s="26">
        <v>5.3E-3</v>
      </c>
      <c r="J23310">
        <v>199</v>
      </c>
    </row>
    <row r="23311" spans="1:10" x14ac:dyDescent="0.35">
      <c r="A23311" t="s">
        <v>228</v>
      </c>
      <c r="B23311" t="s">
        <v>265</v>
      </c>
      <c r="C23311" s="26">
        <v>0.93049999999999999</v>
      </c>
      <c r="D23311" s="26">
        <v>3.3300000000000003E-2</v>
      </c>
      <c r="E23311" s="26">
        <v>2.06E-2</v>
      </c>
      <c r="F23311" s="26">
        <v>4.5999999999999999E-3</v>
      </c>
      <c r="G23311" s="26">
        <v>5.4000000000000003E-3</v>
      </c>
      <c r="H23311" s="26">
        <v>3.3999999999999998E-3</v>
      </c>
      <c r="I23311" s="26">
        <v>2.3E-3</v>
      </c>
      <c r="J23311">
        <v>384</v>
      </c>
    </row>
    <row r="23312" spans="1:10" x14ac:dyDescent="0.35">
      <c r="A23312" s="27" t="s">
        <v>228</v>
      </c>
      <c r="B23312" s="27" t="s">
        <v>236</v>
      </c>
      <c r="C23312" s="28">
        <v>1</v>
      </c>
      <c r="D23312" s="29"/>
      <c r="E23312" s="29"/>
      <c r="F23312" s="29"/>
      <c r="G23312" s="29"/>
      <c r="H23312" s="29"/>
      <c r="I23312" s="29"/>
      <c r="J23312" s="29" t="s">
        <v>314</v>
      </c>
    </row>
    <row r="23313" spans="1:10" x14ac:dyDescent="0.35">
      <c r="A23313" t="s">
        <v>228</v>
      </c>
      <c r="B23313" t="s">
        <v>266</v>
      </c>
      <c r="C23313" s="26">
        <v>0.87949999999999995</v>
      </c>
      <c r="D23313" s="26">
        <v>4.4200000000000003E-2</v>
      </c>
      <c r="E23313" s="26">
        <v>4.0099999999999997E-2</v>
      </c>
      <c r="F23313" s="26">
        <v>1.8100000000000002E-2</v>
      </c>
      <c r="G23313" s="26">
        <v>1.35E-2</v>
      </c>
      <c r="H23313" s="26">
        <v>3.5999999999999999E-3</v>
      </c>
      <c r="I23313" s="26">
        <v>1E-3</v>
      </c>
      <c r="J23313">
        <v>448</v>
      </c>
    </row>
    <row r="23314" spans="1:10" x14ac:dyDescent="0.35">
      <c r="A23314" t="s">
        <v>229</v>
      </c>
      <c r="B23314" t="s">
        <v>266</v>
      </c>
      <c r="C23314" s="26">
        <v>0.87360000000000004</v>
      </c>
      <c r="D23314" s="26">
        <v>6.3899999999999998E-2</v>
      </c>
      <c r="E23314" s="26">
        <v>3.5099999999999999E-2</v>
      </c>
      <c r="F23314" s="26">
        <v>7.6E-3</v>
      </c>
      <c r="G23314" s="26">
        <v>7.6E-3</v>
      </c>
      <c r="H23314" s="26">
        <v>1E-3</v>
      </c>
      <c r="I23314" s="26">
        <v>1.12E-2</v>
      </c>
      <c r="J23314">
        <v>359</v>
      </c>
    </row>
    <row r="23315" spans="1:10" x14ac:dyDescent="0.35">
      <c r="A23315" t="s">
        <v>229</v>
      </c>
      <c r="B23315" t="s">
        <v>267</v>
      </c>
      <c r="C23315" s="26">
        <v>0.92249999999999999</v>
      </c>
      <c r="D23315" s="26">
        <v>6.3200000000000006E-2</v>
      </c>
      <c r="E23315" s="26">
        <v>1.44E-2</v>
      </c>
      <c r="J23315">
        <v>201</v>
      </c>
    </row>
    <row r="23316" spans="1:10" x14ac:dyDescent="0.35">
      <c r="A23316" t="s">
        <v>229</v>
      </c>
      <c r="B23316" t="s">
        <v>265</v>
      </c>
      <c r="C23316" s="26">
        <v>0.91420000000000001</v>
      </c>
      <c r="D23316" s="26">
        <v>6.3200000000000006E-2</v>
      </c>
      <c r="E23316" s="26">
        <v>1.26E-2</v>
      </c>
      <c r="F23316" s="26">
        <v>7.1000000000000004E-3</v>
      </c>
      <c r="G23316" s="26">
        <v>6.9999999999999999E-4</v>
      </c>
      <c r="I23316" s="26">
        <v>2.2000000000000001E-3</v>
      </c>
      <c r="J23316">
        <v>335</v>
      </c>
    </row>
    <row r="23317" spans="1:10" x14ac:dyDescent="0.35">
      <c r="A23317" t="s">
        <v>230</v>
      </c>
      <c r="B23317" t="s">
        <v>267</v>
      </c>
      <c r="C23317" s="26">
        <v>0.96389999999999998</v>
      </c>
      <c r="D23317" s="26">
        <v>2.1299999999999999E-2</v>
      </c>
      <c r="E23317" s="26">
        <v>4.1000000000000003E-3</v>
      </c>
      <c r="F23317" s="26">
        <v>4.1000000000000003E-3</v>
      </c>
      <c r="G23317" s="26">
        <v>6.4999999999999997E-3</v>
      </c>
      <c r="J23317">
        <v>119</v>
      </c>
    </row>
    <row r="23318" spans="1:10" x14ac:dyDescent="0.35">
      <c r="A23318" t="s">
        <v>230</v>
      </c>
      <c r="B23318" t="s">
        <v>266</v>
      </c>
      <c r="C23318" s="26">
        <v>0.87470000000000003</v>
      </c>
      <c r="D23318" s="26">
        <v>5.4399999999999997E-2</v>
      </c>
      <c r="E23318" s="26">
        <v>1.47E-2</v>
      </c>
      <c r="F23318" s="26">
        <v>2.07E-2</v>
      </c>
      <c r="G23318" s="26">
        <v>3.56E-2</v>
      </c>
      <c r="J23318">
        <v>232</v>
      </c>
    </row>
    <row r="23319" spans="1:10" x14ac:dyDescent="0.35">
      <c r="A23319" t="s">
        <v>230</v>
      </c>
      <c r="B23319" t="s">
        <v>265</v>
      </c>
      <c r="C23319" s="26">
        <v>0.89680000000000004</v>
      </c>
      <c r="D23319" s="26">
        <v>5.11E-2</v>
      </c>
      <c r="E23319" s="26">
        <v>3.6999999999999998E-2</v>
      </c>
      <c r="F23319" s="26">
        <v>8.6E-3</v>
      </c>
      <c r="G23319" s="26">
        <v>4.1999999999999997E-3</v>
      </c>
      <c r="H23319" s="26">
        <v>2.0999999999999999E-3</v>
      </c>
      <c r="J23319">
        <v>209</v>
      </c>
    </row>
    <row r="23320" spans="1:10" x14ac:dyDescent="0.35">
      <c r="A23320" t="s">
        <v>231</v>
      </c>
      <c r="B23320" t="s">
        <v>267</v>
      </c>
      <c r="C23320" s="26">
        <v>0.94120000000000004</v>
      </c>
      <c r="D23320" s="26">
        <v>5.8799999999999998E-2</v>
      </c>
      <c r="J23320">
        <v>34</v>
      </c>
    </row>
    <row r="23321" spans="1:10" x14ac:dyDescent="0.35">
      <c r="A23321" t="s">
        <v>231</v>
      </c>
      <c r="B23321" t="s">
        <v>266</v>
      </c>
      <c r="C23321" s="26">
        <v>0.9839</v>
      </c>
      <c r="D23321" s="26">
        <v>1.61E-2</v>
      </c>
      <c r="J23321">
        <v>62</v>
      </c>
    </row>
    <row r="23322" spans="1:10" x14ac:dyDescent="0.35">
      <c r="A23322" t="s">
        <v>231</v>
      </c>
      <c r="B23322" t="s">
        <v>265</v>
      </c>
      <c r="C23322" s="26">
        <v>0.92649999999999999</v>
      </c>
      <c r="D23322" s="26">
        <v>4.41E-2</v>
      </c>
      <c r="E23322" s="26">
        <v>1.47E-2</v>
      </c>
      <c r="H23322" s="26">
        <v>1.47E-2</v>
      </c>
      <c r="J23322">
        <v>68</v>
      </c>
    </row>
    <row r="23323" spans="1:10" x14ac:dyDescent="0.35">
      <c r="A23323" t="s">
        <v>232</v>
      </c>
      <c r="B23323" t="s">
        <v>232</v>
      </c>
      <c r="C23323" s="26">
        <v>0.92430000000000001</v>
      </c>
      <c r="D23323" s="26">
        <v>4.2900000000000001E-2</v>
      </c>
      <c r="E23323" s="26">
        <v>1.7299999999999999E-2</v>
      </c>
      <c r="F23323" s="26">
        <v>5.7000000000000002E-3</v>
      </c>
      <c r="G23323" s="26">
        <v>4.7999999999999996E-3</v>
      </c>
      <c r="H23323" s="26">
        <v>3.3999999999999998E-3</v>
      </c>
      <c r="I23323" s="26">
        <v>1.6000000000000001E-3</v>
      </c>
      <c r="J23323">
        <v>2813</v>
      </c>
    </row>
    <row r="23325" spans="1:10" x14ac:dyDescent="0.35">
      <c r="A23325" s="1" t="s">
        <v>2216</v>
      </c>
    </row>
    <row r="23326" spans="1:10" x14ac:dyDescent="0.35">
      <c r="A23326" t="s">
        <v>219</v>
      </c>
      <c r="B23326" t="s">
        <v>305</v>
      </c>
      <c r="C23326" t="s">
        <v>2051</v>
      </c>
      <c r="D23326" t="s">
        <v>2052</v>
      </c>
      <c r="E23326" t="s">
        <v>2053</v>
      </c>
      <c r="F23326" t="s">
        <v>2055</v>
      </c>
      <c r="G23326" t="s">
        <v>2054</v>
      </c>
      <c r="H23326" t="s">
        <v>281</v>
      </c>
      <c r="I23326" t="s">
        <v>286</v>
      </c>
      <c r="J23326" t="s">
        <v>226</v>
      </c>
    </row>
    <row r="23327" spans="1:10" x14ac:dyDescent="0.35">
      <c r="A23327" t="s">
        <v>227</v>
      </c>
      <c r="B23327" t="s">
        <v>252</v>
      </c>
      <c r="C23327" s="26">
        <v>0.9556</v>
      </c>
      <c r="D23327" s="26">
        <v>2.2200000000000001E-2</v>
      </c>
      <c r="F23327" s="26">
        <v>2.2200000000000001E-2</v>
      </c>
      <c r="J23327">
        <v>45</v>
      </c>
    </row>
    <row r="23328" spans="1:10" x14ac:dyDescent="0.35">
      <c r="A23328" t="s">
        <v>227</v>
      </c>
      <c r="B23328" t="s">
        <v>253</v>
      </c>
      <c r="C23328" s="26">
        <v>1</v>
      </c>
      <c r="J23328">
        <v>34</v>
      </c>
    </row>
    <row r="23329" spans="1:10" x14ac:dyDescent="0.35">
      <c r="A23329" t="s">
        <v>227</v>
      </c>
      <c r="B23329" t="s">
        <v>251</v>
      </c>
      <c r="C23329" s="26">
        <v>0.91459999999999997</v>
      </c>
      <c r="D23329" s="26">
        <v>3.6600000000000001E-2</v>
      </c>
      <c r="E23329" s="26">
        <v>2.4400000000000002E-2</v>
      </c>
      <c r="G23329" s="26">
        <v>1.2200000000000001E-2</v>
      </c>
      <c r="H23329" s="26">
        <v>1.2200000000000001E-2</v>
      </c>
      <c r="J23329">
        <v>82</v>
      </c>
    </row>
    <row r="23330" spans="1:10" x14ac:dyDescent="0.35">
      <c r="A23330" t="s">
        <v>228</v>
      </c>
      <c r="B23330" t="s">
        <v>252</v>
      </c>
      <c r="C23330" s="26">
        <v>0.91539999999999999</v>
      </c>
      <c r="D23330" s="26">
        <v>3.3399999999999999E-2</v>
      </c>
      <c r="E23330" s="26">
        <v>1.9699999999999999E-2</v>
      </c>
      <c r="F23330" s="26">
        <v>1.8599999999999998E-2</v>
      </c>
      <c r="G23330" s="26">
        <v>4.8999999999999998E-3</v>
      </c>
      <c r="H23330" s="26">
        <v>5.4000000000000003E-3</v>
      </c>
      <c r="I23330" s="26">
        <v>2.5999999999999999E-3</v>
      </c>
      <c r="J23330">
        <v>344</v>
      </c>
    </row>
    <row r="23331" spans="1:10" x14ac:dyDescent="0.35">
      <c r="A23331" t="s">
        <v>228</v>
      </c>
      <c r="B23331" t="s">
        <v>253</v>
      </c>
      <c r="C23331" s="26">
        <v>0.86080000000000001</v>
      </c>
      <c r="D23331" s="26">
        <v>5.8999999999999997E-2</v>
      </c>
      <c r="E23331" s="26">
        <v>5.21E-2</v>
      </c>
      <c r="F23331" s="26">
        <v>9.5999999999999992E-3</v>
      </c>
      <c r="G23331" s="26">
        <v>1.01E-2</v>
      </c>
      <c r="H23331" s="26">
        <v>5.7000000000000002E-3</v>
      </c>
      <c r="I23331" s="26">
        <v>2.7000000000000001E-3</v>
      </c>
      <c r="J23331">
        <v>222</v>
      </c>
    </row>
    <row r="23332" spans="1:10" x14ac:dyDescent="0.35">
      <c r="A23332" t="s">
        <v>228</v>
      </c>
      <c r="B23332" t="s">
        <v>251</v>
      </c>
      <c r="C23332" s="26">
        <v>0.93369999999999997</v>
      </c>
      <c r="D23332" s="26">
        <v>2.4500000000000001E-2</v>
      </c>
      <c r="E23332" s="26">
        <v>2.8199999999999999E-2</v>
      </c>
      <c r="F23332" s="26">
        <v>4.8999999999999998E-3</v>
      </c>
      <c r="G23332" s="26">
        <v>8.6999999999999994E-3</v>
      </c>
      <c r="J23332">
        <v>467</v>
      </c>
    </row>
    <row r="23333" spans="1:10" x14ac:dyDescent="0.35">
      <c r="A23333" t="s">
        <v>229</v>
      </c>
      <c r="B23333" t="s">
        <v>252</v>
      </c>
      <c r="C23333" s="26">
        <v>0.96120000000000005</v>
      </c>
      <c r="D23333" s="26">
        <v>2.7199999999999998E-2</v>
      </c>
      <c r="E23333" s="26">
        <v>4.0000000000000002E-4</v>
      </c>
      <c r="G23333" s="26">
        <v>1.12E-2</v>
      </c>
      <c r="J23333">
        <v>199</v>
      </c>
    </row>
    <row r="23334" spans="1:10" x14ac:dyDescent="0.35">
      <c r="A23334" t="s">
        <v>229</v>
      </c>
      <c r="B23334" t="s">
        <v>253</v>
      </c>
      <c r="C23334" s="26">
        <v>0.83489999999999998</v>
      </c>
      <c r="D23334" s="26">
        <v>9.1800000000000007E-2</v>
      </c>
      <c r="E23334" s="26">
        <v>4.3299999999999998E-2</v>
      </c>
      <c r="F23334" s="26">
        <v>2.6499999999999999E-2</v>
      </c>
      <c r="I23334" s="26">
        <v>3.5000000000000001E-3</v>
      </c>
      <c r="J23334">
        <v>145</v>
      </c>
    </row>
    <row r="23335" spans="1:10" x14ac:dyDescent="0.35">
      <c r="A23335" t="s">
        <v>229</v>
      </c>
      <c r="B23335" t="s">
        <v>251</v>
      </c>
      <c r="C23335" s="26">
        <v>0.9022</v>
      </c>
      <c r="D23335" s="26">
        <v>6.8099999999999994E-2</v>
      </c>
      <c r="E23335" s="26">
        <v>2.06E-2</v>
      </c>
      <c r="F23335" s="26">
        <v>1.1000000000000001E-3</v>
      </c>
      <c r="G23335" s="26">
        <v>5.9999999999999995E-4</v>
      </c>
      <c r="H23335" s="26">
        <v>5.9999999999999995E-4</v>
      </c>
      <c r="I23335" s="26">
        <v>6.7999999999999996E-3</v>
      </c>
      <c r="J23335">
        <v>551</v>
      </c>
    </row>
    <row r="23336" spans="1:10" x14ac:dyDescent="0.35">
      <c r="A23336" t="s">
        <v>230</v>
      </c>
      <c r="B23336" t="s">
        <v>252</v>
      </c>
      <c r="C23336" s="26">
        <v>0.89859999999999995</v>
      </c>
      <c r="D23336" s="26">
        <v>6.0699999999999997E-2</v>
      </c>
      <c r="E23336" s="26">
        <v>1.7600000000000001E-2</v>
      </c>
      <c r="F23336" s="26">
        <v>2.1000000000000001E-2</v>
      </c>
      <c r="G23336" s="26">
        <v>2.0999999999999999E-3</v>
      </c>
      <c r="J23336">
        <v>159</v>
      </c>
    </row>
    <row r="23337" spans="1:10" x14ac:dyDescent="0.35">
      <c r="A23337" t="s">
        <v>230</v>
      </c>
      <c r="B23337" t="s">
        <v>253</v>
      </c>
      <c r="C23337" s="26">
        <v>0.88119999999999998</v>
      </c>
      <c r="D23337" s="26">
        <v>5.6000000000000001E-2</v>
      </c>
      <c r="E23337" s="26">
        <v>4.0800000000000003E-2</v>
      </c>
      <c r="F23337" s="26">
        <v>1.5900000000000001E-2</v>
      </c>
      <c r="G23337" s="26">
        <v>6.1000000000000004E-3</v>
      </c>
      <c r="J23337">
        <v>110</v>
      </c>
    </row>
    <row r="23338" spans="1:10" x14ac:dyDescent="0.35">
      <c r="A23338" t="s">
        <v>230</v>
      </c>
      <c r="B23338" t="s">
        <v>251</v>
      </c>
      <c r="C23338" s="26">
        <v>0.91349999999999998</v>
      </c>
      <c r="D23338" s="26">
        <v>3.5400000000000001E-2</v>
      </c>
      <c r="E23338" s="26">
        <v>1.7100000000000001E-2</v>
      </c>
      <c r="F23338" s="26">
        <v>6.4999999999999997E-3</v>
      </c>
      <c r="G23338" s="26">
        <v>2.5899999999999999E-2</v>
      </c>
      <c r="H23338" s="26">
        <v>1.6000000000000001E-3</v>
      </c>
      <c r="J23338">
        <v>291</v>
      </c>
    </row>
    <row r="23339" spans="1:10" x14ac:dyDescent="0.35">
      <c r="A23339" t="s">
        <v>231</v>
      </c>
      <c r="B23339" t="s">
        <v>252</v>
      </c>
      <c r="C23339" s="26">
        <v>0.97960000000000003</v>
      </c>
      <c r="D23339" s="26">
        <v>2.0400000000000001E-2</v>
      </c>
      <c r="J23339">
        <v>49</v>
      </c>
    </row>
    <row r="23340" spans="1:10" x14ac:dyDescent="0.35">
      <c r="A23340" t="s">
        <v>231</v>
      </c>
      <c r="B23340" t="s">
        <v>253</v>
      </c>
      <c r="C23340" s="26">
        <v>0.9</v>
      </c>
      <c r="D23340" s="26">
        <v>6.6699999999999995E-2</v>
      </c>
      <c r="E23340" s="26">
        <v>3.3300000000000003E-2</v>
      </c>
      <c r="J23340">
        <v>30</v>
      </c>
    </row>
    <row r="23341" spans="1:10" x14ac:dyDescent="0.35">
      <c r="A23341" t="s">
        <v>231</v>
      </c>
      <c r="B23341" t="s">
        <v>251</v>
      </c>
      <c r="C23341" s="26">
        <v>0.95289999999999997</v>
      </c>
      <c r="D23341" s="26">
        <v>3.5299999999999998E-2</v>
      </c>
      <c r="H23341" s="26">
        <v>1.18E-2</v>
      </c>
      <c r="J23341">
        <v>85</v>
      </c>
    </row>
    <row r="23342" spans="1:10" x14ac:dyDescent="0.35">
      <c r="A23342" t="s">
        <v>232</v>
      </c>
      <c r="B23342" t="s">
        <v>232</v>
      </c>
      <c r="C23342" s="26">
        <v>0.92430000000000001</v>
      </c>
      <c r="D23342" s="26">
        <v>4.2900000000000001E-2</v>
      </c>
      <c r="E23342" s="26">
        <v>1.7299999999999999E-2</v>
      </c>
      <c r="F23342" s="26">
        <v>5.7000000000000002E-3</v>
      </c>
      <c r="G23342" s="26">
        <v>4.7999999999999996E-3</v>
      </c>
      <c r="H23342" s="26">
        <v>3.3999999999999998E-3</v>
      </c>
      <c r="I23342" s="26">
        <v>1.6000000000000001E-3</v>
      </c>
      <c r="J23342">
        <v>2813</v>
      </c>
    </row>
    <row r="23344" spans="1:10" x14ac:dyDescent="0.35">
      <c r="A23344" s="1" t="s">
        <v>2217</v>
      </c>
    </row>
    <row r="23345" spans="1:10" x14ac:dyDescent="0.35">
      <c r="A23345" t="s">
        <v>219</v>
      </c>
      <c r="B23345" t="s">
        <v>305</v>
      </c>
      <c r="C23345" t="s">
        <v>2051</v>
      </c>
      <c r="D23345" t="s">
        <v>2052</v>
      </c>
      <c r="E23345" t="s">
        <v>2053</v>
      </c>
      <c r="F23345" t="s">
        <v>2055</v>
      </c>
      <c r="G23345" t="s">
        <v>2054</v>
      </c>
      <c r="H23345" t="s">
        <v>281</v>
      </c>
      <c r="I23345" t="s">
        <v>286</v>
      </c>
      <c r="J23345" t="s">
        <v>226</v>
      </c>
    </row>
    <row r="23346" spans="1:10" x14ac:dyDescent="0.35">
      <c r="A23346" t="s">
        <v>227</v>
      </c>
      <c r="B23346" t="s">
        <v>249</v>
      </c>
      <c r="C23346" s="26">
        <v>0.90910000000000002</v>
      </c>
      <c r="D23346" s="26">
        <v>4.5499999999999999E-2</v>
      </c>
      <c r="E23346" s="26">
        <v>4.5499999999999999E-2</v>
      </c>
      <c r="J23346">
        <v>44</v>
      </c>
    </row>
    <row r="23347" spans="1:10" x14ac:dyDescent="0.35">
      <c r="A23347" t="s">
        <v>227</v>
      </c>
      <c r="B23347" t="s">
        <v>248</v>
      </c>
      <c r="C23347" s="26">
        <v>0.95730000000000004</v>
      </c>
      <c r="D23347" s="26">
        <v>1.7100000000000001E-2</v>
      </c>
      <c r="F23347" s="26">
        <v>8.5000000000000006E-3</v>
      </c>
      <c r="G23347" s="26">
        <v>8.5000000000000006E-3</v>
      </c>
      <c r="H23347" s="26">
        <v>8.5000000000000006E-3</v>
      </c>
      <c r="J23347">
        <v>117</v>
      </c>
    </row>
    <row r="23348" spans="1:10" x14ac:dyDescent="0.35">
      <c r="A23348" t="s">
        <v>228</v>
      </c>
      <c r="B23348" t="s">
        <v>249</v>
      </c>
      <c r="C23348" s="26">
        <v>0.92479999999999996</v>
      </c>
      <c r="D23348" s="26">
        <v>3.6499999999999998E-2</v>
      </c>
      <c r="E23348" s="26">
        <v>1.6799999999999999E-2</v>
      </c>
      <c r="F23348" s="26">
        <v>9.4000000000000004E-3</v>
      </c>
      <c r="G23348" s="26">
        <v>6.7000000000000002E-3</v>
      </c>
      <c r="H23348" s="26">
        <v>3.8999999999999998E-3</v>
      </c>
      <c r="I23348" s="26">
        <v>1.8E-3</v>
      </c>
      <c r="J23348">
        <v>274</v>
      </c>
    </row>
    <row r="23349" spans="1:10" x14ac:dyDescent="0.35">
      <c r="A23349" t="s">
        <v>228</v>
      </c>
      <c r="B23349" t="s">
        <v>248</v>
      </c>
      <c r="C23349" s="26">
        <v>0.90790000000000004</v>
      </c>
      <c r="D23349" s="26">
        <v>3.3500000000000002E-2</v>
      </c>
      <c r="E23349" s="26">
        <v>3.61E-2</v>
      </c>
      <c r="F23349" s="26">
        <v>1.06E-2</v>
      </c>
      <c r="G23349" s="26">
        <v>8.2000000000000007E-3</v>
      </c>
      <c r="H23349" s="26">
        <v>2.5000000000000001E-3</v>
      </c>
      <c r="I23349" s="26">
        <v>1.1999999999999999E-3</v>
      </c>
      <c r="J23349">
        <v>759</v>
      </c>
    </row>
    <row r="23350" spans="1:10" x14ac:dyDescent="0.35">
      <c r="A23350" t="s">
        <v>229</v>
      </c>
      <c r="B23350" t="s">
        <v>249</v>
      </c>
      <c r="C23350" s="26">
        <v>0.84519999999999995</v>
      </c>
      <c r="D23350" s="26">
        <v>0.1145</v>
      </c>
      <c r="E23350" s="26">
        <v>2.8199999999999999E-2</v>
      </c>
      <c r="F23350" s="26">
        <v>9.1000000000000004E-3</v>
      </c>
      <c r="H23350" s="26">
        <v>1E-3</v>
      </c>
      <c r="I23350" s="26">
        <v>2E-3</v>
      </c>
      <c r="J23350">
        <v>259</v>
      </c>
    </row>
    <row r="23351" spans="1:10" x14ac:dyDescent="0.35">
      <c r="A23351" t="s">
        <v>229</v>
      </c>
      <c r="B23351" t="s">
        <v>248</v>
      </c>
      <c r="C23351" s="26">
        <v>0.93089999999999995</v>
      </c>
      <c r="D23351" s="26">
        <v>3.8399999999999997E-2</v>
      </c>
      <c r="E23351" s="26">
        <v>1.66E-2</v>
      </c>
      <c r="F23351" s="26">
        <v>4.0000000000000001E-3</v>
      </c>
      <c r="G23351" s="26">
        <v>4.1999999999999997E-3</v>
      </c>
      <c r="I23351" s="26">
        <v>5.8999999999999999E-3</v>
      </c>
      <c r="J23351">
        <v>636</v>
      </c>
    </row>
    <row r="23352" spans="1:10" x14ac:dyDescent="0.35">
      <c r="A23352" t="s">
        <v>230</v>
      </c>
      <c r="B23352" t="s">
        <v>249</v>
      </c>
      <c r="C23352" s="26">
        <v>0.88490000000000002</v>
      </c>
      <c r="D23352" s="26">
        <v>3.4299999999999997E-2</v>
      </c>
      <c r="E23352" s="26">
        <v>2.4799999999999999E-2</v>
      </c>
      <c r="F23352" s="26">
        <v>1.0800000000000001E-2</v>
      </c>
      <c r="G23352" s="26">
        <v>4.2599999999999999E-2</v>
      </c>
      <c r="H23352" s="26">
        <v>2.5999999999999999E-3</v>
      </c>
      <c r="J23352">
        <v>171</v>
      </c>
    </row>
    <row r="23353" spans="1:10" x14ac:dyDescent="0.35">
      <c r="A23353" t="s">
        <v>230</v>
      </c>
      <c r="B23353" t="s">
        <v>248</v>
      </c>
      <c r="C23353" s="26">
        <v>0.91310000000000002</v>
      </c>
      <c r="D23353" s="26">
        <v>5.16E-2</v>
      </c>
      <c r="E23353" s="26">
        <v>2.01E-2</v>
      </c>
      <c r="F23353" s="26">
        <v>1.26E-2</v>
      </c>
      <c r="G23353" s="26">
        <v>2.5999999999999999E-3</v>
      </c>
      <c r="J23353">
        <v>389</v>
      </c>
    </row>
    <row r="23354" spans="1:10" x14ac:dyDescent="0.35">
      <c r="A23354" t="s">
        <v>231</v>
      </c>
      <c r="B23354" t="s">
        <v>249</v>
      </c>
      <c r="C23354" s="26">
        <v>0.88570000000000004</v>
      </c>
      <c r="D23354" s="26">
        <v>8.5699999999999998E-2</v>
      </c>
      <c r="H23354" s="26">
        <v>2.86E-2</v>
      </c>
      <c r="J23354">
        <v>35</v>
      </c>
    </row>
    <row r="23355" spans="1:10" x14ac:dyDescent="0.35">
      <c r="A23355" t="s">
        <v>231</v>
      </c>
      <c r="B23355" t="s">
        <v>248</v>
      </c>
      <c r="C23355" s="26">
        <v>0.96899999999999997</v>
      </c>
      <c r="D23355" s="26">
        <v>2.3300000000000001E-2</v>
      </c>
      <c r="E23355" s="26">
        <v>7.7999999999999996E-3</v>
      </c>
      <c r="J23355">
        <v>129</v>
      </c>
    </row>
    <row r="23356" spans="1:10" x14ac:dyDescent="0.35">
      <c r="A23356" t="s">
        <v>232</v>
      </c>
      <c r="B23356" t="s">
        <v>232</v>
      </c>
      <c r="C23356" s="26">
        <v>0.92430000000000001</v>
      </c>
      <c r="D23356" s="26">
        <v>4.2900000000000001E-2</v>
      </c>
      <c r="E23356" s="26">
        <v>1.7299999999999999E-2</v>
      </c>
      <c r="F23356" s="26">
        <v>5.7000000000000002E-3</v>
      </c>
      <c r="G23356" s="26">
        <v>4.7999999999999996E-3</v>
      </c>
      <c r="H23356" s="26">
        <v>3.3999999999999998E-3</v>
      </c>
      <c r="I23356" s="26">
        <v>1.6000000000000001E-3</v>
      </c>
      <c r="J23356">
        <v>2813</v>
      </c>
    </row>
    <row r="23358" spans="1:10" x14ac:dyDescent="0.35">
      <c r="A23358" s="1" t="s">
        <v>2218</v>
      </c>
    </row>
    <row r="23359" spans="1:10" x14ac:dyDescent="0.35">
      <c r="A23359" t="s">
        <v>219</v>
      </c>
      <c r="B23359" t="s">
        <v>305</v>
      </c>
      <c r="C23359" t="s">
        <v>2051</v>
      </c>
      <c r="D23359" t="s">
        <v>2052</v>
      </c>
      <c r="E23359" t="s">
        <v>2053</v>
      </c>
      <c r="F23359" t="s">
        <v>2055</v>
      </c>
      <c r="G23359" t="s">
        <v>2054</v>
      </c>
      <c r="H23359" t="s">
        <v>281</v>
      </c>
      <c r="I23359" t="s">
        <v>286</v>
      </c>
      <c r="J23359" t="s">
        <v>226</v>
      </c>
    </row>
    <row r="23360" spans="1:10" x14ac:dyDescent="0.35">
      <c r="A23360" s="27" t="s">
        <v>227</v>
      </c>
      <c r="B23360" s="27" t="s">
        <v>263</v>
      </c>
      <c r="C23360" s="28">
        <v>1</v>
      </c>
      <c r="D23360" s="29"/>
      <c r="E23360" s="29"/>
      <c r="F23360" s="29"/>
      <c r="G23360" s="29"/>
      <c r="H23360" s="29"/>
      <c r="I23360" s="29"/>
      <c r="J23360" s="29" t="s">
        <v>315</v>
      </c>
    </row>
    <row r="23361" spans="1:10" x14ac:dyDescent="0.35">
      <c r="A23361" t="s">
        <v>227</v>
      </c>
      <c r="B23361" t="s">
        <v>261</v>
      </c>
      <c r="C23361" s="26">
        <v>0.93940000000000001</v>
      </c>
      <c r="E23361" s="26">
        <v>3.0300000000000001E-2</v>
      </c>
      <c r="G23361" s="26">
        <v>3.0300000000000001E-2</v>
      </c>
      <c r="J23361">
        <v>33</v>
      </c>
    </row>
    <row r="23362" spans="1:10" x14ac:dyDescent="0.35">
      <c r="A23362" s="27" t="s">
        <v>227</v>
      </c>
      <c r="B23362" s="27" t="s">
        <v>262</v>
      </c>
      <c r="C23362" s="28">
        <v>1</v>
      </c>
      <c r="D23362" s="29"/>
      <c r="E23362" s="29"/>
      <c r="F23362" s="29"/>
      <c r="G23362" s="29"/>
      <c r="H23362" s="29"/>
      <c r="I23362" s="29"/>
      <c r="J23362" s="29" t="s">
        <v>315</v>
      </c>
    </row>
    <row r="23363" spans="1:10" x14ac:dyDescent="0.35">
      <c r="A23363" t="s">
        <v>227</v>
      </c>
      <c r="B23363" t="s">
        <v>260</v>
      </c>
      <c r="C23363" s="26">
        <v>0.94259999999999999</v>
      </c>
      <c r="D23363" s="26">
        <v>3.2800000000000003E-2</v>
      </c>
      <c r="E23363" s="26">
        <v>8.2000000000000007E-3</v>
      </c>
      <c r="F23363" s="26">
        <v>8.2000000000000007E-3</v>
      </c>
      <c r="H23363" s="26">
        <v>8.2000000000000007E-3</v>
      </c>
      <c r="J23363">
        <v>122</v>
      </c>
    </row>
    <row r="23364" spans="1:10" x14ac:dyDescent="0.35">
      <c r="A23364" t="s">
        <v>228</v>
      </c>
      <c r="B23364" t="s">
        <v>261</v>
      </c>
      <c r="C23364" s="26">
        <v>0.95020000000000004</v>
      </c>
      <c r="D23364" s="26">
        <v>2.5000000000000001E-2</v>
      </c>
      <c r="E23364" s="26">
        <v>1.8100000000000002E-2</v>
      </c>
      <c r="F23364" s="26">
        <v>3.3999999999999998E-3</v>
      </c>
      <c r="G23364" s="26">
        <v>1.1999999999999999E-3</v>
      </c>
      <c r="I23364" s="26">
        <v>2.0999999999999999E-3</v>
      </c>
      <c r="J23364">
        <v>192</v>
      </c>
    </row>
    <row r="23365" spans="1:10" x14ac:dyDescent="0.35">
      <c r="A23365" s="27" t="s">
        <v>228</v>
      </c>
      <c r="B23365" s="27" t="s">
        <v>263</v>
      </c>
      <c r="C23365" s="28">
        <v>0.92259999999999998</v>
      </c>
      <c r="D23365" s="28">
        <v>1.2999999999999999E-2</v>
      </c>
      <c r="E23365" s="28">
        <v>5.1400000000000001E-2</v>
      </c>
      <c r="F23365" s="28">
        <v>1.2999999999999999E-2</v>
      </c>
      <c r="G23365" s="29"/>
      <c r="H23365" s="29"/>
      <c r="I23365" s="29"/>
      <c r="J23365" s="29" t="s">
        <v>312</v>
      </c>
    </row>
    <row r="23366" spans="1:10" x14ac:dyDescent="0.35">
      <c r="A23366" s="27" t="s">
        <v>228</v>
      </c>
      <c r="B23366" s="27" t="s">
        <v>236</v>
      </c>
      <c r="C23366" s="28">
        <v>0.9335</v>
      </c>
      <c r="D23366" s="29"/>
      <c r="E23366" s="28">
        <v>6.6500000000000004E-2</v>
      </c>
      <c r="F23366" s="29"/>
      <c r="G23366" s="29"/>
      <c r="H23366" s="29"/>
      <c r="I23366" s="29"/>
      <c r="J23366" s="29" t="s">
        <v>335</v>
      </c>
    </row>
    <row r="23367" spans="1:10" x14ac:dyDescent="0.35">
      <c r="A23367" t="s">
        <v>228</v>
      </c>
      <c r="B23367" t="s">
        <v>262</v>
      </c>
      <c r="C23367" s="26">
        <v>0.88500000000000001</v>
      </c>
      <c r="D23367" s="26">
        <v>6.7500000000000004E-2</v>
      </c>
      <c r="E23367" s="26">
        <v>2.47E-2</v>
      </c>
      <c r="F23367" s="26">
        <v>5.4000000000000003E-3</v>
      </c>
      <c r="G23367" s="26">
        <v>1.35E-2</v>
      </c>
      <c r="H23367" s="26">
        <v>1.5E-3</v>
      </c>
      <c r="I23367" s="26">
        <v>2.5000000000000001E-3</v>
      </c>
      <c r="J23367">
        <v>201</v>
      </c>
    </row>
    <row r="23368" spans="1:10" x14ac:dyDescent="0.35">
      <c r="A23368" t="s">
        <v>228</v>
      </c>
      <c r="B23368" t="s">
        <v>260</v>
      </c>
      <c r="C23368" s="26">
        <v>0.90820000000000001</v>
      </c>
      <c r="D23368" s="26">
        <v>2.9399999999999999E-2</v>
      </c>
      <c r="E23368" s="26">
        <v>3.4799999999999998E-2</v>
      </c>
      <c r="F23368" s="26">
        <v>1.37E-2</v>
      </c>
      <c r="G23368" s="26">
        <v>8.6E-3</v>
      </c>
      <c r="H23368" s="26">
        <v>4.3E-3</v>
      </c>
      <c r="I23368" s="26">
        <v>8.9999999999999998E-4</v>
      </c>
      <c r="J23368">
        <v>609</v>
      </c>
    </row>
    <row r="23369" spans="1:10" x14ac:dyDescent="0.35">
      <c r="A23369" s="27" t="s">
        <v>229</v>
      </c>
      <c r="B23369" s="27" t="s">
        <v>263</v>
      </c>
      <c r="C23369" s="28">
        <v>0.84430000000000005</v>
      </c>
      <c r="D23369" s="28">
        <v>0.15570000000000001</v>
      </c>
      <c r="E23369" s="29"/>
      <c r="F23369" s="29"/>
      <c r="G23369" s="29"/>
      <c r="H23369" s="29"/>
      <c r="I23369" s="29"/>
      <c r="J23369" s="29" t="s">
        <v>379</v>
      </c>
    </row>
    <row r="23370" spans="1:10" x14ac:dyDescent="0.35">
      <c r="A23370" t="s">
        <v>229</v>
      </c>
      <c r="B23370" t="s">
        <v>262</v>
      </c>
      <c r="C23370" s="26">
        <v>0.87729999999999997</v>
      </c>
      <c r="D23370" s="26">
        <v>6.6600000000000006E-2</v>
      </c>
      <c r="E23370" s="26">
        <v>3.2899999999999999E-2</v>
      </c>
      <c r="F23370" s="26">
        <v>1.0200000000000001E-2</v>
      </c>
      <c r="H23370" s="26">
        <v>1.1999999999999999E-3</v>
      </c>
      <c r="I23370" s="26">
        <v>1.1900000000000001E-2</v>
      </c>
      <c r="J23370">
        <v>188</v>
      </c>
    </row>
    <row r="23371" spans="1:10" x14ac:dyDescent="0.35">
      <c r="A23371" t="s">
        <v>229</v>
      </c>
      <c r="B23371" t="s">
        <v>261</v>
      </c>
      <c r="C23371" s="26">
        <v>0.90349999999999997</v>
      </c>
      <c r="D23371" s="26">
        <v>5.8400000000000001E-2</v>
      </c>
      <c r="E23371" s="26">
        <v>1.9099999999999999E-2</v>
      </c>
      <c r="F23371" s="26">
        <v>1.6899999999999998E-2</v>
      </c>
      <c r="G23371" s="26">
        <v>2.2000000000000001E-3</v>
      </c>
      <c r="J23371">
        <v>96</v>
      </c>
    </row>
    <row r="23372" spans="1:10" x14ac:dyDescent="0.35">
      <c r="A23372" s="27" t="s">
        <v>229</v>
      </c>
      <c r="B23372" s="27" t="s">
        <v>236</v>
      </c>
      <c r="C23372" s="28">
        <v>1</v>
      </c>
      <c r="D23372" s="29"/>
      <c r="E23372" s="29"/>
      <c r="F23372" s="29"/>
      <c r="G23372" s="29"/>
      <c r="H23372" s="29"/>
      <c r="I23372" s="29"/>
      <c r="J23372" s="29" t="s">
        <v>331</v>
      </c>
    </row>
    <row r="23373" spans="1:10" x14ac:dyDescent="0.35">
      <c r="A23373" t="s">
        <v>229</v>
      </c>
      <c r="B23373" t="s">
        <v>260</v>
      </c>
      <c r="C23373" s="26">
        <v>0.91739999999999999</v>
      </c>
      <c r="D23373" s="26">
        <v>5.9900000000000002E-2</v>
      </c>
      <c r="E23373" s="26">
        <v>1.5100000000000001E-2</v>
      </c>
      <c r="F23373" s="26">
        <v>5.9999999999999995E-4</v>
      </c>
      <c r="G23373" s="26">
        <v>4.4999999999999997E-3</v>
      </c>
      <c r="I23373" s="26">
        <v>2.3999999999999998E-3</v>
      </c>
      <c r="J23373">
        <v>596</v>
      </c>
    </row>
    <row r="23374" spans="1:10" x14ac:dyDescent="0.35">
      <c r="A23374" s="27" t="s">
        <v>230</v>
      </c>
      <c r="B23374" s="27" t="s">
        <v>236</v>
      </c>
      <c r="C23374" s="28">
        <v>1</v>
      </c>
      <c r="D23374" s="29"/>
      <c r="E23374" s="29"/>
      <c r="F23374" s="29"/>
      <c r="G23374" s="29"/>
      <c r="H23374" s="29"/>
      <c r="I23374" s="29"/>
      <c r="J23374" s="29" t="s">
        <v>337</v>
      </c>
    </row>
    <row r="23375" spans="1:10" x14ac:dyDescent="0.35">
      <c r="A23375" t="s">
        <v>230</v>
      </c>
      <c r="B23375" t="s">
        <v>262</v>
      </c>
      <c r="C23375" s="26">
        <v>0.87539999999999996</v>
      </c>
      <c r="D23375" s="26">
        <v>6.9000000000000006E-2</v>
      </c>
      <c r="E23375" s="26">
        <v>2.3900000000000001E-2</v>
      </c>
      <c r="F23375" s="26">
        <v>1.2E-2</v>
      </c>
      <c r="G23375" s="26">
        <v>1.38E-2</v>
      </c>
      <c r="H23375" s="26">
        <v>5.8999999999999999E-3</v>
      </c>
      <c r="J23375">
        <v>122</v>
      </c>
    </row>
    <row r="23376" spans="1:10" x14ac:dyDescent="0.35">
      <c r="A23376" t="s">
        <v>230</v>
      </c>
      <c r="B23376" t="s">
        <v>261</v>
      </c>
      <c r="C23376" s="26">
        <v>0.97070000000000001</v>
      </c>
      <c r="D23376" s="26">
        <v>6.7999999999999996E-3</v>
      </c>
      <c r="F23376" s="26">
        <v>2.0400000000000001E-2</v>
      </c>
      <c r="G23376" s="26">
        <v>2E-3</v>
      </c>
      <c r="J23376">
        <v>57</v>
      </c>
    </row>
    <row r="23377" spans="1:10" x14ac:dyDescent="0.35">
      <c r="A23377" s="27" t="s">
        <v>230</v>
      </c>
      <c r="B23377" s="27" t="s">
        <v>263</v>
      </c>
      <c r="C23377" s="28">
        <v>0.50929999999999997</v>
      </c>
      <c r="D23377" s="28">
        <v>0.14369999999999999</v>
      </c>
      <c r="E23377" s="28">
        <v>0.34710000000000002</v>
      </c>
      <c r="F23377" s="29"/>
      <c r="G23377" s="29"/>
      <c r="H23377" s="29"/>
      <c r="I23377" s="29"/>
      <c r="J23377" s="29" t="s">
        <v>312</v>
      </c>
    </row>
    <row r="23378" spans="1:10" x14ac:dyDescent="0.35">
      <c r="A23378" t="s">
        <v>230</v>
      </c>
      <c r="B23378" t="s">
        <v>260</v>
      </c>
      <c r="C23378" s="26">
        <v>0.90500000000000003</v>
      </c>
      <c r="D23378" s="26">
        <v>4.6399999999999997E-2</v>
      </c>
      <c r="E23378" s="26">
        <v>1.7999999999999999E-2</v>
      </c>
      <c r="F23378" s="26">
        <v>1.0800000000000001E-2</v>
      </c>
      <c r="G23378" s="26">
        <v>1.9800000000000002E-2</v>
      </c>
      <c r="J23378">
        <v>352</v>
      </c>
    </row>
    <row r="23379" spans="1:10" x14ac:dyDescent="0.35">
      <c r="A23379" s="27" t="s">
        <v>231</v>
      </c>
      <c r="B23379" s="27" t="s">
        <v>263</v>
      </c>
      <c r="C23379" s="28">
        <v>1</v>
      </c>
      <c r="D23379" s="29"/>
      <c r="E23379" s="29"/>
      <c r="F23379" s="29"/>
      <c r="G23379" s="29"/>
      <c r="H23379" s="29"/>
      <c r="I23379" s="29"/>
      <c r="J23379" s="29" t="s">
        <v>314</v>
      </c>
    </row>
    <row r="23380" spans="1:10" x14ac:dyDescent="0.35">
      <c r="A23380" t="s">
        <v>231</v>
      </c>
      <c r="B23380" t="s">
        <v>260</v>
      </c>
      <c r="C23380" s="26">
        <v>0.9355</v>
      </c>
      <c r="D23380" s="26">
        <v>4.8399999999999999E-2</v>
      </c>
      <c r="E23380" s="26">
        <v>8.0999999999999996E-3</v>
      </c>
      <c r="H23380" s="26">
        <v>8.0999999999999996E-3</v>
      </c>
      <c r="J23380">
        <v>124</v>
      </c>
    </row>
    <row r="23381" spans="1:10" x14ac:dyDescent="0.35">
      <c r="A23381" s="27" t="s">
        <v>231</v>
      </c>
      <c r="B23381" s="27" t="s">
        <v>261</v>
      </c>
      <c r="C23381" s="28">
        <v>1</v>
      </c>
      <c r="D23381" s="29"/>
      <c r="E23381" s="29"/>
      <c r="F23381" s="29"/>
      <c r="G23381" s="29"/>
      <c r="H23381" s="29"/>
      <c r="I23381" s="29"/>
      <c r="J23381" s="29" t="s">
        <v>338</v>
      </c>
    </row>
    <row r="23382" spans="1:10" x14ac:dyDescent="0.35">
      <c r="A23382" s="27" t="s">
        <v>231</v>
      </c>
      <c r="B23382" s="27" t="s">
        <v>262</v>
      </c>
      <c r="C23382" s="28">
        <v>1</v>
      </c>
      <c r="D23382" s="29"/>
      <c r="E23382" s="29"/>
      <c r="F23382" s="29"/>
      <c r="G23382" s="29"/>
      <c r="H23382" s="29"/>
      <c r="I23382" s="29"/>
      <c r="J23382" s="29" t="s">
        <v>352</v>
      </c>
    </row>
    <row r="23383" spans="1:10" x14ac:dyDescent="0.35">
      <c r="A23383" t="s">
        <v>232</v>
      </c>
      <c r="B23383" t="s">
        <v>232</v>
      </c>
      <c r="C23383" s="26">
        <v>0.92430000000000001</v>
      </c>
      <c r="D23383" s="26">
        <v>4.2900000000000001E-2</v>
      </c>
      <c r="E23383" s="26">
        <v>1.7299999999999999E-2</v>
      </c>
      <c r="F23383" s="26">
        <v>5.7000000000000002E-3</v>
      </c>
      <c r="G23383" s="26">
        <v>4.7999999999999996E-3</v>
      </c>
      <c r="H23383" s="26">
        <v>3.3999999999999998E-3</v>
      </c>
      <c r="I23383" s="26">
        <v>1.6000000000000001E-3</v>
      </c>
      <c r="J23383">
        <v>2813</v>
      </c>
    </row>
    <row r="23385" spans="1:10" x14ac:dyDescent="0.35">
      <c r="A23385" s="1" t="s">
        <v>2219</v>
      </c>
    </row>
    <row r="23386" spans="1:10" x14ac:dyDescent="0.35">
      <c r="A23386" t="s">
        <v>219</v>
      </c>
      <c r="B23386" t="s">
        <v>305</v>
      </c>
      <c r="C23386" t="s">
        <v>2051</v>
      </c>
      <c r="D23386" t="s">
        <v>2052</v>
      </c>
      <c r="E23386" t="s">
        <v>2053</v>
      </c>
      <c r="F23386" t="s">
        <v>2055</v>
      </c>
      <c r="G23386" t="s">
        <v>2054</v>
      </c>
      <c r="H23386" t="s">
        <v>281</v>
      </c>
      <c r="I23386" t="s">
        <v>286</v>
      </c>
      <c r="J23386" t="s">
        <v>226</v>
      </c>
    </row>
    <row r="23387" spans="1:10" x14ac:dyDescent="0.35">
      <c r="A23387" t="s">
        <v>227</v>
      </c>
      <c r="B23387" t="s">
        <v>368</v>
      </c>
      <c r="C23387" s="26">
        <v>0.93940000000000001</v>
      </c>
      <c r="E23387" s="26">
        <v>3.0300000000000001E-2</v>
      </c>
      <c r="G23387" s="26">
        <v>3.0300000000000001E-2</v>
      </c>
      <c r="J23387">
        <v>33</v>
      </c>
    </row>
    <row r="23388" spans="1:10" x14ac:dyDescent="0.35">
      <c r="A23388" t="s">
        <v>227</v>
      </c>
      <c r="B23388" t="s">
        <v>369</v>
      </c>
      <c r="C23388" s="26">
        <v>0.94530000000000003</v>
      </c>
      <c r="D23388" s="26">
        <v>3.1199999999999999E-2</v>
      </c>
      <c r="E23388" s="26">
        <v>7.7999999999999996E-3</v>
      </c>
      <c r="F23388" s="26">
        <v>7.7999999999999996E-3</v>
      </c>
      <c r="H23388" s="26">
        <v>7.7999999999999996E-3</v>
      </c>
      <c r="J23388">
        <v>128</v>
      </c>
    </row>
    <row r="23389" spans="1:10" x14ac:dyDescent="0.35">
      <c r="A23389" t="s">
        <v>228</v>
      </c>
      <c r="B23389" t="s">
        <v>368</v>
      </c>
      <c r="C23389" s="26">
        <v>0.95020000000000004</v>
      </c>
      <c r="D23389" s="26">
        <v>2.5000000000000001E-2</v>
      </c>
      <c r="E23389" s="26">
        <v>1.8100000000000002E-2</v>
      </c>
      <c r="F23389" s="26">
        <v>3.3999999999999998E-3</v>
      </c>
      <c r="G23389" s="26">
        <v>1.1999999999999999E-3</v>
      </c>
      <c r="I23389" s="26">
        <v>2.0999999999999999E-3</v>
      </c>
      <c r="J23389">
        <v>192</v>
      </c>
    </row>
    <row r="23390" spans="1:10" x14ac:dyDescent="0.35">
      <c r="A23390" t="s">
        <v>228</v>
      </c>
      <c r="B23390" t="s">
        <v>369</v>
      </c>
      <c r="C23390" s="26">
        <v>0.90400000000000003</v>
      </c>
      <c r="D23390" s="26">
        <v>3.6700000000000003E-2</v>
      </c>
      <c r="E23390" s="26">
        <v>3.3300000000000003E-2</v>
      </c>
      <c r="F23390" s="26">
        <v>1.1900000000000001E-2</v>
      </c>
      <c r="G23390" s="26">
        <v>9.4000000000000004E-3</v>
      </c>
      <c r="H23390" s="26">
        <v>3.5999999999999999E-3</v>
      </c>
      <c r="I23390" s="26">
        <v>1.1999999999999999E-3</v>
      </c>
      <c r="J23390">
        <v>841</v>
      </c>
    </row>
    <row r="23391" spans="1:10" x14ac:dyDescent="0.35">
      <c r="A23391" t="s">
        <v>229</v>
      </c>
      <c r="B23391" t="s">
        <v>368</v>
      </c>
      <c r="C23391" s="26">
        <v>0.90349999999999997</v>
      </c>
      <c r="D23391" s="26">
        <v>5.8400000000000001E-2</v>
      </c>
      <c r="E23391" s="26">
        <v>1.9099999999999999E-2</v>
      </c>
      <c r="F23391" s="26">
        <v>1.6899999999999998E-2</v>
      </c>
      <c r="G23391" s="26">
        <v>2.2000000000000001E-3</v>
      </c>
      <c r="J23391">
        <v>96</v>
      </c>
    </row>
    <row r="23392" spans="1:10" x14ac:dyDescent="0.35">
      <c r="A23392" t="s">
        <v>229</v>
      </c>
      <c r="B23392" t="s">
        <v>369</v>
      </c>
      <c r="C23392" s="26">
        <v>0.90259999999999996</v>
      </c>
      <c r="D23392" s="26">
        <v>6.4299999999999996E-2</v>
      </c>
      <c r="E23392" s="26">
        <v>2.06E-2</v>
      </c>
      <c r="F23392" s="26">
        <v>3.7000000000000002E-3</v>
      </c>
      <c r="G23392" s="26">
        <v>2.8999999999999998E-3</v>
      </c>
      <c r="H23392" s="26">
        <v>4.0000000000000002E-4</v>
      </c>
      <c r="I23392" s="26">
        <v>5.4999999999999997E-3</v>
      </c>
      <c r="J23392">
        <v>799</v>
      </c>
    </row>
    <row r="23393" spans="1:10" x14ac:dyDescent="0.35">
      <c r="A23393" t="s">
        <v>230</v>
      </c>
      <c r="B23393" t="s">
        <v>368</v>
      </c>
      <c r="C23393" s="26">
        <v>0.97070000000000001</v>
      </c>
      <c r="D23393" s="26">
        <v>6.7999999999999996E-3</v>
      </c>
      <c r="F23393" s="26">
        <v>2.0400000000000001E-2</v>
      </c>
      <c r="G23393" s="26">
        <v>2E-3</v>
      </c>
      <c r="J23393">
        <v>57</v>
      </c>
    </row>
    <row r="23394" spans="1:10" x14ac:dyDescent="0.35">
      <c r="A23394" t="s">
        <v>230</v>
      </c>
      <c r="B23394" t="s">
        <v>369</v>
      </c>
      <c r="C23394" s="26">
        <v>0.89329999999999998</v>
      </c>
      <c r="D23394" s="26">
        <v>5.1799999999999999E-2</v>
      </c>
      <c r="E23394" s="26">
        <v>2.5100000000000001E-2</v>
      </c>
      <c r="F23394" s="26">
        <v>1.0699999999999999E-2</v>
      </c>
      <c r="G23394" s="26">
        <v>1.8200000000000001E-2</v>
      </c>
      <c r="H23394" s="26">
        <v>1E-3</v>
      </c>
      <c r="J23394">
        <v>503</v>
      </c>
    </row>
    <row r="23395" spans="1:10" x14ac:dyDescent="0.35">
      <c r="A23395" s="27" t="s">
        <v>231</v>
      </c>
      <c r="B23395" s="27" t="s">
        <v>368</v>
      </c>
      <c r="C23395" s="28">
        <v>1</v>
      </c>
      <c r="D23395" s="29"/>
      <c r="E23395" s="29"/>
      <c r="F23395" s="29"/>
      <c r="G23395" s="29"/>
      <c r="H23395" s="29"/>
      <c r="I23395" s="29"/>
      <c r="J23395" s="29" t="s">
        <v>338</v>
      </c>
    </row>
    <row r="23396" spans="1:10" x14ac:dyDescent="0.35">
      <c r="A23396" t="s">
        <v>231</v>
      </c>
      <c r="B23396" t="s">
        <v>369</v>
      </c>
      <c r="C23396" s="26">
        <v>0.94159999999999999</v>
      </c>
      <c r="D23396" s="26">
        <v>4.3799999999999999E-2</v>
      </c>
      <c r="E23396" s="26">
        <v>7.3000000000000001E-3</v>
      </c>
      <c r="H23396" s="26">
        <v>7.3000000000000001E-3</v>
      </c>
      <c r="J23396">
        <v>137</v>
      </c>
    </row>
    <row r="23397" spans="1:10" x14ac:dyDescent="0.35">
      <c r="A23397" t="s">
        <v>232</v>
      </c>
      <c r="B23397" t="s">
        <v>232</v>
      </c>
      <c r="C23397" s="26">
        <v>0.92430000000000001</v>
      </c>
      <c r="D23397" s="26">
        <v>4.2900000000000001E-2</v>
      </c>
      <c r="E23397" s="26">
        <v>1.7299999999999999E-2</v>
      </c>
      <c r="F23397" s="26">
        <v>5.7000000000000002E-3</v>
      </c>
      <c r="G23397" s="26">
        <v>4.7999999999999996E-3</v>
      </c>
      <c r="H23397" s="26">
        <v>3.3999999999999998E-3</v>
      </c>
      <c r="I23397" s="26">
        <v>1.6000000000000001E-3</v>
      </c>
      <c r="J23397">
        <v>2813</v>
      </c>
    </row>
    <row r="23399" spans="1:10" x14ac:dyDescent="0.35">
      <c r="A23399" s="1" t="s">
        <v>2220</v>
      </c>
    </row>
    <row r="23400" spans="1:10" x14ac:dyDescent="0.35">
      <c r="A23400" t="s">
        <v>219</v>
      </c>
      <c r="B23400" t="s">
        <v>305</v>
      </c>
      <c r="C23400" t="s">
        <v>2051</v>
      </c>
      <c r="D23400" t="s">
        <v>2052</v>
      </c>
      <c r="E23400" t="s">
        <v>2053</v>
      </c>
      <c r="F23400" t="s">
        <v>2055</v>
      </c>
      <c r="G23400" t="s">
        <v>2054</v>
      </c>
      <c r="H23400" t="s">
        <v>281</v>
      </c>
      <c r="I23400" t="s">
        <v>286</v>
      </c>
      <c r="J23400" t="s">
        <v>226</v>
      </c>
    </row>
    <row r="23401" spans="1:10" x14ac:dyDescent="0.35">
      <c r="A23401" t="s">
        <v>227</v>
      </c>
      <c r="B23401" t="s">
        <v>371</v>
      </c>
      <c r="C23401" s="26">
        <v>0.94410000000000005</v>
      </c>
      <c r="D23401" s="26">
        <v>2.4799999999999999E-2</v>
      </c>
      <c r="E23401" s="26">
        <v>1.24E-2</v>
      </c>
      <c r="F23401" s="26">
        <v>6.1999999999999998E-3</v>
      </c>
      <c r="G23401" s="26">
        <v>6.1999999999999998E-3</v>
      </c>
      <c r="H23401" s="26">
        <v>6.1999999999999998E-3</v>
      </c>
      <c r="J23401">
        <v>161</v>
      </c>
    </row>
    <row r="23402" spans="1:10" x14ac:dyDescent="0.35">
      <c r="A23402" t="s">
        <v>228</v>
      </c>
      <c r="B23402" t="s">
        <v>371</v>
      </c>
      <c r="C23402" s="26">
        <v>0.92559999999999998</v>
      </c>
      <c r="D23402" s="26">
        <v>2.6800000000000001E-2</v>
      </c>
      <c r="E23402" s="26">
        <v>3.49E-2</v>
      </c>
      <c r="F23402" s="26">
        <v>6.4000000000000003E-3</v>
      </c>
      <c r="G23402" s="26">
        <v>6.4000000000000003E-3</v>
      </c>
      <c r="J23402">
        <v>292</v>
      </c>
    </row>
    <row r="23403" spans="1:10" x14ac:dyDescent="0.35">
      <c r="A23403" t="s">
        <v>228</v>
      </c>
      <c r="B23403" t="s">
        <v>372</v>
      </c>
      <c r="C23403" s="26">
        <v>0.79179999999999995</v>
      </c>
      <c r="D23403" s="26">
        <v>6.2399999999999997E-2</v>
      </c>
      <c r="E23403" s="26">
        <v>7.0000000000000007E-2</v>
      </c>
      <c r="F23403" s="26">
        <v>4.4200000000000003E-2</v>
      </c>
      <c r="G23403" s="26">
        <v>1.6199999999999999E-2</v>
      </c>
      <c r="H23403" s="26">
        <v>1.0500000000000001E-2</v>
      </c>
      <c r="I23403" s="26">
        <v>4.8999999999999998E-3</v>
      </c>
      <c r="J23403">
        <v>218</v>
      </c>
    </row>
    <row r="23404" spans="1:10" x14ac:dyDescent="0.35">
      <c r="A23404" t="s">
        <v>228</v>
      </c>
      <c r="B23404" t="s">
        <v>373</v>
      </c>
      <c r="C23404" s="26">
        <v>0.9224</v>
      </c>
      <c r="D23404" s="26">
        <v>3.8399999999999997E-2</v>
      </c>
      <c r="E23404" s="26">
        <v>1.5800000000000002E-2</v>
      </c>
      <c r="F23404" s="26">
        <v>8.0000000000000002E-3</v>
      </c>
      <c r="G23404" s="26">
        <v>7.7999999999999996E-3</v>
      </c>
      <c r="H23404" s="26">
        <v>5.1000000000000004E-3</v>
      </c>
      <c r="I23404" s="26">
        <v>2.3999999999999998E-3</v>
      </c>
      <c r="J23404">
        <v>523</v>
      </c>
    </row>
    <row r="23405" spans="1:10" x14ac:dyDescent="0.35">
      <c r="A23405" t="s">
        <v>229</v>
      </c>
      <c r="B23405" t="s">
        <v>371</v>
      </c>
      <c r="C23405" s="26">
        <v>0.9012</v>
      </c>
      <c r="D23405" s="26">
        <v>6.4299999999999996E-2</v>
      </c>
      <c r="E23405" s="26">
        <v>2.1299999999999999E-2</v>
      </c>
      <c r="F23405" s="26">
        <v>5.7999999999999996E-3</v>
      </c>
      <c r="G23405" s="26">
        <v>2.7000000000000001E-3</v>
      </c>
      <c r="I23405" s="26">
        <v>4.7000000000000002E-3</v>
      </c>
      <c r="J23405">
        <v>584</v>
      </c>
    </row>
    <row r="23406" spans="1:10" x14ac:dyDescent="0.35">
      <c r="A23406" t="s">
        <v>229</v>
      </c>
      <c r="B23406" t="s">
        <v>372</v>
      </c>
      <c r="C23406" s="26">
        <v>0.9012</v>
      </c>
      <c r="D23406" s="26">
        <v>6.4899999999999999E-2</v>
      </c>
      <c r="E23406" s="26">
        <v>1.4200000000000001E-2</v>
      </c>
      <c r="F23406" s="26">
        <v>6.6E-3</v>
      </c>
      <c r="H23406" s="26">
        <v>6.6E-3</v>
      </c>
      <c r="I23406" s="26">
        <v>6.6E-3</v>
      </c>
      <c r="J23406">
        <v>221</v>
      </c>
    </row>
    <row r="23407" spans="1:10" x14ac:dyDescent="0.35">
      <c r="A23407" t="s">
        <v>229</v>
      </c>
      <c r="B23407" t="s">
        <v>373</v>
      </c>
      <c r="C23407" s="26">
        <v>0.95669999999999999</v>
      </c>
      <c r="D23407" s="26">
        <v>3.1E-2</v>
      </c>
      <c r="G23407" s="26">
        <v>1.23E-2</v>
      </c>
      <c r="J23407">
        <v>90</v>
      </c>
    </row>
    <row r="23408" spans="1:10" x14ac:dyDescent="0.35">
      <c r="A23408" t="s">
        <v>230</v>
      </c>
      <c r="B23408" t="s">
        <v>371</v>
      </c>
      <c r="C23408" s="26">
        <v>0.91059999999999997</v>
      </c>
      <c r="D23408" s="26">
        <v>4.19E-2</v>
      </c>
      <c r="E23408" s="26">
        <v>1.8800000000000001E-2</v>
      </c>
      <c r="F23408" s="26">
        <v>1.3299999999999999E-2</v>
      </c>
      <c r="G23408" s="26">
        <v>1.54E-2</v>
      </c>
      <c r="J23408">
        <v>262</v>
      </c>
    </row>
    <row r="23409" spans="1:10" x14ac:dyDescent="0.35">
      <c r="A23409" t="s">
        <v>230</v>
      </c>
      <c r="B23409" t="s">
        <v>372</v>
      </c>
      <c r="C23409" s="26">
        <v>0.91949999999999998</v>
      </c>
      <c r="D23409" s="26">
        <v>4.2599999999999999E-2</v>
      </c>
      <c r="E23409" s="26">
        <v>1.89E-2</v>
      </c>
      <c r="F23409" s="26">
        <v>4.7000000000000002E-3</v>
      </c>
      <c r="G23409" s="26">
        <v>1.4200000000000001E-2</v>
      </c>
      <c r="J23409">
        <v>146</v>
      </c>
    </row>
    <row r="23410" spans="1:10" x14ac:dyDescent="0.35">
      <c r="A23410" t="s">
        <v>230</v>
      </c>
      <c r="B23410" t="s">
        <v>373</v>
      </c>
      <c r="C23410" s="26">
        <v>0.8518</v>
      </c>
      <c r="D23410" s="26">
        <v>7.17E-2</v>
      </c>
      <c r="E23410" s="26">
        <v>4.1700000000000001E-2</v>
      </c>
      <c r="F23410" s="26">
        <v>7.0000000000000001E-3</v>
      </c>
      <c r="G23410" s="26">
        <v>2.0899999999999998E-2</v>
      </c>
      <c r="H23410" s="26">
        <v>7.0000000000000001E-3</v>
      </c>
      <c r="J23410">
        <v>152</v>
      </c>
    </row>
    <row r="23411" spans="1:10" x14ac:dyDescent="0.35">
      <c r="A23411" t="s">
        <v>231</v>
      </c>
      <c r="B23411" t="s">
        <v>371</v>
      </c>
      <c r="C23411" s="26">
        <v>0.95120000000000005</v>
      </c>
      <c r="D23411" s="26">
        <v>3.6600000000000001E-2</v>
      </c>
      <c r="E23411" s="26">
        <v>6.1000000000000004E-3</v>
      </c>
      <c r="H23411" s="26">
        <v>6.1000000000000004E-3</v>
      </c>
      <c r="J23411">
        <v>164</v>
      </c>
    </row>
    <row r="23412" spans="1:10" x14ac:dyDescent="0.35">
      <c r="A23412" t="s">
        <v>232</v>
      </c>
      <c r="B23412" t="s">
        <v>232</v>
      </c>
      <c r="C23412" s="26">
        <v>0.92430000000000001</v>
      </c>
      <c r="D23412" s="26">
        <v>4.2900000000000001E-2</v>
      </c>
      <c r="E23412" s="26">
        <v>1.7299999999999999E-2</v>
      </c>
      <c r="F23412" s="26">
        <v>5.7000000000000002E-3</v>
      </c>
      <c r="G23412" s="26">
        <v>4.7999999999999996E-3</v>
      </c>
      <c r="H23412" s="26">
        <v>3.3999999999999998E-3</v>
      </c>
      <c r="I23412" s="26">
        <v>1.6000000000000001E-3</v>
      </c>
      <c r="J23412">
        <v>2813</v>
      </c>
    </row>
    <row r="23414" spans="1:10" x14ac:dyDescent="0.35">
      <c r="A23414" s="1" t="s">
        <v>2221</v>
      </c>
    </row>
    <row r="23415" spans="1:10" x14ac:dyDescent="0.35">
      <c r="A23415" t="s">
        <v>219</v>
      </c>
      <c r="B23415" t="s">
        <v>305</v>
      </c>
      <c r="C23415" t="s">
        <v>2051</v>
      </c>
      <c r="D23415" t="s">
        <v>2052</v>
      </c>
      <c r="E23415" t="s">
        <v>2053</v>
      </c>
      <c r="F23415" t="s">
        <v>2055</v>
      </c>
      <c r="G23415" t="s">
        <v>2054</v>
      </c>
      <c r="H23415" t="s">
        <v>281</v>
      </c>
      <c r="I23415" t="s">
        <v>286</v>
      </c>
      <c r="J23415" t="s">
        <v>226</v>
      </c>
    </row>
    <row r="23416" spans="1:10" x14ac:dyDescent="0.35">
      <c r="A23416" t="s">
        <v>227</v>
      </c>
      <c r="B23416" t="s">
        <v>255</v>
      </c>
      <c r="C23416" s="26">
        <v>0.95730000000000004</v>
      </c>
      <c r="D23416" s="26">
        <v>1.7100000000000001E-2</v>
      </c>
      <c r="F23416" s="26">
        <v>8.5000000000000006E-3</v>
      </c>
      <c r="G23416" s="26">
        <v>8.5000000000000006E-3</v>
      </c>
      <c r="H23416" s="26">
        <v>8.5000000000000006E-3</v>
      </c>
      <c r="J23416">
        <v>117</v>
      </c>
    </row>
    <row r="23417" spans="1:10" x14ac:dyDescent="0.35">
      <c r="A23417" s="27" t="s">
        <v>227</v>
      </c>
      <c r="B23417" s="27" t="s">
        <v>257</v>
      </c>
      <c r="C23417" s="28">
        <v>1</v>
      </c>
      <c r="D23417" s="29"/>
      <c r="E23417" s="29"/>
      <c r="F23417" s="29"/>
      <c r="G23417" s="29"/>
      <c r="H23417" s="29"/>
      <c r="I23417" s="29"/>
      <c r="J23417" s="29" t="s">
        <v>334</v>
      </c>
    </row>
    <row r="23418" spans="1:10" x14ac:dyDescent="0.35">
      <c r="A23418" t="s">
        <v>227</v>
      </c>
      <c r="B23418" t="s">
        <v>256</v>
      </c>
      <c r="C23418" s="26">
        <v>0.88570000000000004</v>
      </c>
      <c r="D23418" s="26">
        <v>5.7099999999999998E-2</v>
      </c>
      <c r="E23418" s="26">
        <v>5.7099999999999998E-2</v>
      </c>
      <c r="J23418">
        <v>35</v>
      </c>
    </row>
    <row r="23419" spans="1:10" x14ac:dyDescent="0.35">
      <c r="A23419" t="s">
        <v>228</v>
      </c>
      <c r="B23419" t="s">
        <v>257</v>
      </c>
      <c r="C23419" s="26">
        <v>0.96819999999999995</v>
      </c>
      <c r="E23419" s="26">
        <v>7.9000000000000008E-3</v>
      </c>
      <c r="F23419" s="26">
        <v>2.3900000000000001E-2</v>
      </c>
      <c r="J23419">
        <v>49</v>
      </c>
    </row>
    <row r="23420" spans="1:10" x14ac:dyDescent="0.35">
      <c r="A23420" s="27" t="s">
        <v>228</v>
      </c>
      <c r="B23420" s="27" t="s">
        <v>258</v>
      </c>
      <c r="C23420" s="28">
        <v>1</v>
      </c>
      <c r="D23420" s="29"/>
      <c r="E23420" s="29"/>
      <c r="F23420" s="29"/>
      <c r="G23420" s="29"/>
      <c r="H23420" s="29"/>
      <c r="I23420" s="29"/>
      <c r="J23420" s="29" t="s">
        <v>337</v>
      </c>
    </row>
    <row r="23421" spans="1:10" x14ac:dyDescent="0.35">
      <c r="A23421" t="s">
        <v>228</v>
      </c>
      <c r="B23421" t="s">
        <v>256</v>
      </c>
      <c r="C23421" s="26">
        <v>0.91379999999999995</v>
      </c>
      <c r="D23421" s="26">
        <v>4.53E-2</v>
      </c>
      <c r="E23421" s="26">
        <v>1.9199999999999998E-2</v>
      </c>
      <c r="F23421" s="26">
        <v>6.4000000000000003E-3</v>
      </c>
      <c r="G23421" s="26">
        <v>8.3000000000000001E-3</v>
      </c>
      <c r="H23421" s="26">
        <v>4.7999999999999996E-3</v>
      </c>
      <c r="I23421" s="26">
        <v>2.3E-3</v>
      </c>
      <c r="J23421">
        <v>221</v>
      </c>
    </row>
    <row r="23422" spans="1:10" x14ac:dyDescent="0.35">
      <c r="A23422" t="s">
        <v>228</v>
      </c>
      <c r="B23422" t="s">
        <v>255</v>
      </c>
      <c r="C23422" s="26">
        <v>0.90790000000000004</v>
      </c>
      <c r="D23422" s="26">
        <v>3.3500000000000002E-2</v>
      </c>
      <c r="E23422" s="26">
        <v>3.61E-2</v>
      </c>
      <c r="F23422" s="26">
        <v>1.06E-2</v>
      </c>
      <c r="G23422" s="26">
        <v>8.2000000000000007E-3</v>
      </c>
      <c r="H23422" s="26">
        <v>2.5000000000000001E-3</v>
      </c>
      <c r="I23422" s="26">
        <v>1.1999999999999999E-3</v>
      </c>
      <c r="J23422">
        <v>759</v>
      </c>
    </row>
    <row r="23423" spans="1:10" x14ac:dyDescent="0.35">
      <c r="A23423" t="s">
        <v>229</v>
      </c>
      <c r="B23423" t="s">
        <v>256</v>
      </c>
      <c r="C23423" s="26">
        <v>0.84089999999999998</v>
      </c>
      <c r="D23423" s="26">
        <v>0.1244</v>
      </c>
      <c r="E23423" s="26">
        <v>2.2499999999999999E-2</v>
      </c>
      <c r="F23423" s="26">
        <v>1.0999999999999999E-2</v>
      </c>
      <c r="H23423" s="26">
        <v>1.1999999999999999E-3</v>
      </c>
      <c r="J23423">
        <v>207</v>
      </c>
    </row>
    <row r="23424" spans="1:10" x14ac:dyDescent="0.35">
      <c r="A23424" t="s">
        <v>229</v>
      </c>
      <c r="B23424" t="s">
        <v>255</v>
      </c>
      <c r="C23424" s="26">
        <v>0.93089999999999995</v>
      </c>
      <c r="D23424" s="26">
        <v>3.8399999999999997E-2</v>
      </c>
      <c r="E23424" s="26">
        <v>1.66E-2</v>
      </c>
      <c r="F23424" s="26">
        <v>4.0000000000000001E-3</v>
      </c>
      <c r="G23424" s="26">
        <v>4.1999999999999997E-3</v>
      </c>
      <c r="I23424" s="26">
        <v>5.8999999999999999E-3</v>
      </c>
      <c r="J23424">
        <v>636</v>
      </c>
    </row>
    <row r="23425" spans="1:10" x14ac:dyDescent="0.35">
      <c r="A23425" t="s">
        <v>229</v>
      </c>
      <c r="B23425" t="s">
        <v>257</v>
      </c>
      <c r="C23425" s="26">
        <v>0.86570000000000003</v>
      </c>
      <c r="D23425" s="26">
        <v>6.4899999999999999E-2</v>
      </c>
      <c r="E23425" s="26">
        <v>5.7099999999999998E-2</v>
      </c>
      <c r="I23425" s="26">
        <v>1.23E-2</v>
      </c>
      <c r="J23425">
        <v>50</v>
      </c>
    </row>
    <row r="23426" spans="1:10" x14ac:dyDescent="0.35">
      <c r="A23426" s="27" t="s">
        <v>229</v>
      </c>
      <c r="B23426" s="27" t="s">
        <v>258</v>
      </c>
      <c r="C23426" s="28">
        <v>1</v>
      </c>
      <c r="D23426" s="29"/>
      <c r="E23426" s="29"/>
      <c r="F23426" s="29"/>
      <c r="G23426" s="29"/>
      <c r="H23426" s="29"/>
      <c r="I23426" s="29"/>
      <c r="J23426" s="29" t="s">
        <v>314</v>
      </c>
    </row>
    <row r="23427" spans="1:10" x14ac:dyDescent="0.35">
      <c r="A23427" t="s">
        <v>230</v>
      </c>
      <c r="B23427" t="s">
        <v>256</v>
      </c>
      <c r="C23427" s="26">
        <v>0.91059999999999997</v>
      </c>
      <c r="D23427" s="26">
        <v>3.6499999999999998E-2</v>
      </c>
      <c r="E23427" s="26">
        <v>2.87E-2</v>
      </c>
      <c r="F23427" s="26">
        <v>1.4E-2</v>
      </c>
      <c r="G23427" s="26">
        <v>6.7999999999999996E-3</v>
      </c>
      <c r="H23427" s="26">
        <v>3.3999999999999998E-3</v>
      </c>
      <c r="J23427">
        <v>130</v>
      </c>
    </row>
    <row r="23428" spans="1:10" x14ac:dyDescent="0.35">
      <c r="A23428" t="s">
        <v>230</v>
      </c>
      <c r="B23428" t="s">
        <v>255</v>
      </c>
      <c r="C23428" s="26">
        <v>0.91310000000000002</v>
      </c>
      <c r="D23428" s="26">
        <v>5.16E-2</v>
      </c>
      <c r="E23428" s="26">
        <v>2.01E-2</v>
      </c>
      <c r="F23428" s="26">
        <v>1.26E-2</v>
      </c>
      <c r="G23428" s="26">
        <v>2.5999999999999999E-3</v>
      </c>
      <c r="J23428">
        <v>389</v>
      </c>
    </row>
    <row r="23429" spans="1:10" x14ac:dyDescent="0.35">
      <c r="A23429" t="s">
        <v>230</v>
      </c>
      <c r="B23429" t="s">
        <v>257</v>
      </c>
      <c r="C23429" s="26">
        <v>0.78</v>
      </c>
      <c r="D23429" s="26">
        <v>2.92E-2</v>
      </c>
      <c r="E23429" s="26">
        <v>1.2800000000000001E-2</v>
      </c>
      <c r="G23429" s="26">
        <v>0.1779</v>
      </c>
      <c r="J23429">
        <v>38</v>
      </c>
    </row>
    <row r="23430" spans="1:10" x14ac:dyDescent="0.35">
      <c r="A23430" s="27" t="s">
        <v>230</v>
      </c>
      <c r="B23430" s="27" t="s">
        <v>258</v>
      </c>
      <c r="C23430" s="28">
        <v>1</v>
      </c>
      <c r="D23430" s="29"/>
      <c r="E23430" s="29"/>
      <c r="F23430" s="29"/>
      <c r="G23430" s="29"/>
      <c r="H23430" s="29"/>
      <c r="I23430" s="29"/>
      <c r="J23430" s="29" t="s">
        <v>315</v>
      </c>
    </row>
    <row r="23431" spans="1:10" x14ac:dyDescent="0.35">
      <c r="A23431" s="27" t="s">
        <v>231</v>
      </c>
      <c r="B23431" s="27" t="s">
        <v>257</v>
      </c>
      <c r="C23431" s="28">
        <v>1</v>
      </c>
      <c r="D23431" s="29"/>
      <c r="E23431" s="29"/>
      <c r="F23431" s="29"/>
      <c r="G23431" s="29"/>
      <c r="H23431" s="29"/>
      <c r="I23431" s="29"/>
      <c r="J23431" s="29" t="s">
        <v>339</v>
      </c>
    </row>
    <row r="23432" spans="1:10" x14ac:dyDescent="0.35">
      <c r="A23432" t="s">
        <v>231</v>
      </c>
      <c r="B23432" t="s">
        <v>255</v>
      </c>
      <c r="C23432" s="26">
        <v>0.96899999999999997</v>
      </c>
      <c r="D23432" s="26">
        <v>2.3300000000000001E-2</v>
      </c>
      <c r="E23432" s="26">
        <v>7.7999999999999996E-3</v>
      </c>
      <c r="J23432">
        <v>129</v>
      </c>
    </row>
    <row r="23433" spans="1:10" x14ac:dyDescent="0.35">
      <c r="A23433" s="27" t="s">
        <v>231</v>
      </c>
      <c r="B23433" s="27" t="s">
        <v>256</v>
      </c>
      <c r="C23433" s="28">
        <v>0.85709999999999997</v>
      </c>
      <c r="D23433" s="28">
        <v>0.1071</v>
      </c>
      <c r="E23433" s="29"/>
      <c r="F23433" s="29"/>
      <c r="G23433" s="29"/>
      <c r="H23433" s="28">
        <v>3.5700000000000003E-2</v>
      </c>
      <c r="I23433" s="29"/>
      <c r="J23433" s="29" t="s">
        <v>336</v>
      </c>
    </row>
    <row r="23434" spans="1:10" x14ac:dyDescent="0.35">
      <c r="A23434" t="s">
        <v>232</v>
      </c>
      <c r="B23434" t="s">
        <v>232</v>
      </c>
      <c r="C23434" s="26">
        <v>0.92430000000000001</v>
      </c>
      <c r="D23434" s="26">
        <v>4.2900000000000001E-2</v>
      </c>
      <c r="E23434" s="26">
        <v>1.7299999999999999E-2</v>
      </c>
      <c r="F23434" s="26">
        <v>5.7000000000000002E-3</v>
      </c>
      <c r="G23434" s="26">
        <v>4.7999999999999996E-3</v>
      </c>
      <c r="H23434" s="26">
        <v>3.3999999999999998E-3</v>
      </c>
      <c r="I23434" s="26">
        <v>1.6000000000000001E-3</v>
      </c>
      <c r="J23434">
        <v>2813</v>
      </c>
    </row>
    <row r="23436" spans="1:10" x14ac:dyDescent="0.35">
      <c r="A23436" s="1" t="s">
        <v>2222</v>
      </c>
    </row>
    <row r="23437" spans="1:10" x14ac:dyDescent="0.35">
      <c r="A23437" t="s">
        <v>219</v>
      </c>
      <c r="B23437" t="s">
        <v>2051</v>
      </c>
      <c r="C23437" t="s">
        <v>2052</v>
      </c>
      <c r="D23437" t="s">
        <v>2053</v>
      </c>
      <c r="E23437" t="s">
        <v>2054</v>
      </c>
      <c r="F23437" t="s">
        <v>2055</v>
      </c>
      <c r="G23437" t="s">
        <v>281</v>
      </c>
      <c r="H23437" t="s">
        <v>286</v>
      </c>
      <c r="I23437" t="s">
        <v>226</v>
      </c>
    </row>
    <row r="23438" spans="1:10" x14ac:dyDescent="0.35">
      <c r="A23438" t="s">
        <v>227</v>
      </c>
      <c r="B23438" s="26">
        <v>0.92549999999999999</v>
      </c>
      <c r="C23438" s="26">
        <v>4.3499999999999997E-2</v>
      </c>
      <c r="D23438" s="26">
        <v>1.8599999999999998E-2</v>
      </c>
      <c r="E23438" s="26">
        <v>1.24E-2</v>
      </c>
      <c r="I23438">
        <v>161</v>
      </c>
    </row>
    <row r="23439" spans="1:10" x14ac:dyDescent="0.35">
      <c r="A23439" t="s">
        <v>228</v>
      </c>
      <c r="B23439" s="26">
        <v>0.89359999999999995</v>
      </c>
      <c r="C23439" s="26">
        <v>6.3E-2</v>
      </c>
      <c r="D23439" s="26">
        <v>2.5899999999999999E-2</v>
      </c>
      <c r="E23439" s="26">
        <v>2.7000000000000001E-3</v>
      </c>
      <c r="F23439" s="26">
        <v>1.15E-2</v>
      </c>
      <c r="G23439" s="26">
        <v>2.0999999999999999E-3</v>
      </c>
      <c r="H23439" s="26">
        <v>1.1999999999999999E-3</v>
      </c>
      <c r="I23439">
        <v>1033</v>
      </c>
    </row>
    <row r="23440" spans="1:10" x14ac:dyDescent="0.35">
      <c r="A23440" t="s">
        <v>229</v>
      </c>
      <c r="B23440" s="26">
        <v>0.9022</v>
      </c>
      <c r="C23440" s="26">
        <v>6.2E-2</v>
      </c>
      <c r="D23440" s="26">
        <v>2.87E-2</v>
      </c>
      <c r="E23440" s="26">
        <v>6.9999999999999999E-4</v>
      </c>
      <c r="G23440" s="26">
        <v>5.4999999999999997E-3</v>
      </c>
      <c r="H23440" s="26">
        <v>1E-3</v>
      </c>
      <c r="I23440">
        <v>895</v>
      </c>
    </row>
    <row r="23441" spans="1:10" x14ac:dyDescent="0.35">
      <c r="A23441" t="s">
        <v>230</v>
      </c>
      <c r="B23441" s="26">
        <v>0.89490000000000003</v>
      </c>
      <c r="C23441" s="26">
        <v>7.0300000000000001E-2</v>
      </c>
      <c r="D23441" s="26">
        <v>2.35E-2</v>
      </c>
      <c r="E23441" s="26">
        <v>9.2999999999999992E-3</v>
      </c>
      <c r="F23441" s="26">
        <v>1.1999999999999999E-3</v>
      </c>
      <c r="G23441" s="26">
        <v>8.9999999999999998E-4</v>
      </c>
      <c r="I23441">
        <v>560</v>
      </c>
    </row>
    <row r="23442" spans="1:10" x14ac:dyDescent="0.35">
      <c r="A23442" t="s">
        <v>231</v>
      </c>
      <c r="B23442" s="26">
        <v>0.92679999999999996</v>
      </c>
      <c r="C23442" s="26">
        <v>6.0999999999999999E-2</v>
      </c>
      <c r="D23442" s="26">
        <v>1.2200000000000001E-2</v>
      </c>
      <c r="I23442">
        <v>164</v>
      </c>
    </row>
    <row r="23443" spans="1:10" x14ac:dyDescent="0.35">
      <c r="A23443" t="s">
        <v>232</v>
      </c>
      <c r="B23443" s="26">
        <v>0.91010000000000002</v>
      </c>
      <c r="C23443" s="26">
        <v>5.9900000000000002E-2</v>
      </c>
      <c r="D23443" s="26">
        <v>2.1600000000000001E-2</v>
      </c>
      <c r="E23443" s="26">
        <v>3.5000000000000001E-3</v>
      </c>
      <c r="F23443" s="26">
        <v>2.3E-3</v>
      </c>
      <c r="G23443" s="26">
        <v>2.0999999999999999E-3</v>
      </c>
      <c r="H23443" s="26">
        <v>5.0000000000000001E-4</v>
      </c>
      <c r="I23443">
        <v>2813</v>
      </c>
    </row>
    <row r="23445" spans="1:10" x14ac:dyDescent="0.35">
      <c r="A23445" s="1" t="s">
        <v>2223</v>
      </c>
    </row>
    <row r="23446" spans="1:10" x14ac:dyDescent="0.35">
      <c r="A23446" t="s">
        <v>219</v>
      </c>
      <c r="B23446" t="s">
        <v>305</v>
      </c>
      <c r="C23446" t="s">
        <v>2051</v>
      </c>
      <c r="D23446" t="s">
        <v>2052</v>
      </c>
      <c r="E23446" t="s">
        <v>2053</v>
      </c>
      <c r="F23446" t="s">
        <v>2054</v>
      </c>
      <c r="G23446" t="s">
        <v>2055</v>
      </c>
      <c r="H23446" t="s">
        <v>281</v>
      </c>
      <c r="I23446" t="s">
        <v>286</v>
      </c>
      <c r="J23446" t="s">
        <v>226</v>
      </c>
    </row>
    <row r="23447" spans="1:10" x14ac:dyDescent="0.35">
      <c r="A23447" t="s">
        <v>227</v>
      </c>
      <c r="B23447" t="s">
        <v>242</v>
      </c>
      <c r="C23447" s="26">
        <v>0.89710000000000001</v>
      </c>
      <c r="D23447" s="26">
        <v>5.8799999999999998E-2</v>
      </c>
      <c r="E23447" s="26">
        <v>1.47E-2</v>
      </c>
      <c r="F23447" s="26">
        <v>2.9399999999999999E-2</v>
      </c>
      <c r="J23447">
        <v>68</v>
      </c>
    </row>
    <row r="23448" spans="1:10" x14ac:dyDescent="0.35">
      <c r="A23448" t="s">
        <v>227</v>
      </c>
      <c r="B23448" t="s">
        <v>241</v>
      </c>
      <c r="C23448" s="26">
        <v>0.94620000000000004</v>
      </c>
      <c r="D23448" s="26">
        <v>3.2300000000000002E-2</v>
      </c>
      <c r="E23448" s="26">
        <v>2.1499999999999998E-2</v>
      </c>
      <c r="J23448">
        <v>93</v>
      </c>
    </row>
    <row r="23449" spans="1:10" x14ac:dyDescent="0.35">
      <c r="A23449" t="s">
        <v>228</v>
      </c>
      <c r="B23449" t="s">
        <v>242</v>
      </c>
      <c r="C23449" s="26">
        <v>0.88539999999999996</v>
      </c>
      <c r="D23449" s="26">
        <v>6.2399999999999997E-2</v>
      </c>
      <c r="E23449" s="26">
        <v>3.2099999999999997E-2</v>
      </c>
      <c r="F23449" s="26">
        <v>6.3E-3</v>
      </c>
      <c r="G23449" s="26">
        <v>1.03E-2</v>
      </c>
      <c r="H23449" s="26">
        <v>2.5000000000000001E-3</v>
      </c>
      <c r="I23449" s="26">
        <v>1.1000000000000001E-3</v>
      </c>
      <c r="J23449">
        <v>402</v>
      </c>
    </row>
    <row r="23450" spans="1:10" x14ac:dyDescent="0.35">
      <c r="A23450" t="s">
        <v>228</v>
      </c>
      <c r="B23450" t="s">
        <v>241</v>
      </c>
      <c r="C23450" s="26">
        <v>0.89829999999999999</v>
      </c>
      <c r="D23450" s="26">
        <v>6.3299999999999995E-2</v>
      </c>
      <c r="E23450" s="26">
        <v>2.24E-2</v>
      </c>
      <c r="F23450" s="26">
        <v>5.9999999999999995E-4</v>
      </c>
      <c r="G23450" s="26">
        <v>1.2200000000000001E-2</v>
      </c>
      <c r="H23450" s="26">
        <v>1.8E-3</v>
      </c>
      <c r="I23450" s="26">
        <v>1.2999999999999999E-3</v>
      </c>
      <c r="J23450">
        <v>631</v>
      </c>
    </row>
    <row r="23451" spans="1:10" x14ac:dyDescent="0.35">
      <c r="A23451" t="s">
        <v>229</v>
      </c>
      <c r="B23451" t="s">
        <v>242</v>
      </c>
      <c r="C23451" s="26">
        <v>0.89729999999999999</v>
      </c>
      <c r="D23451" s="26">
        <v>6.7000000000000004E-2</v>
      </c>
      <c r="E23451" s="26">
        <v>2.8000000000000001E-2</v>
      </c>
      <c r="F23451" s="26">
        <v>1.2999999999999999E-3</v>
      </c>
      <c r="H23451" s="26">
        <v>6.4000000000000003E-3</v>
      </c>
      <c r="J23451">
        <v>292</v>
      </c>
    </row>
    <row r="23452" spans="1:10" x14ac:dyDescent="0.35">
      <c r="A23452" t="s">
        <v>229</v>
      </c>
      <c r="B23452" t="s">
        <v>241</v>
      </c>
      <c r="C23452" s="26">
        <v>0.90529999999999999</v>
      </c>
      <c r="D23452" s="26">
        <v>5.8700000000000002E-2</v>
      </c>
      <c r="E23452" s="26">
        <v>2.9100000000000001E-2</v>
      </c>
      <c r="F23452" s="26">
        <v>2.9999999999999997E-4</v>
      </c>
      <c r="H23452" s="26">
        <v>4.8999999999999998E-3</v>
      </c>
      <c r="I23452" s="26">
        <v>1.6000000000000001E-3</v>
      </c>
      <c r="J23452">
        <v>603</v>
      </c>
    </row>
    <row r="23453" spans="1:10" x14ac:dyDescent="0.35">
      <c r="A23453" t="s">
        <v>230</v>
      </c>
      <c r="B23453" t="s">
        <v>242</v>
      </c>
      <c r="C23453" s="26">
        <v>0.87090000000000001</v>
      </c>
      <c r="D23453" s="26">
        <v>5.6000000000000001E-2</v>
      </c>
      <c r="E23453" s="26">
        <v>5.0200000000000002E-2</v>
      </c>
      <c r="F23453" s="26">
        <v>1.9400000000000001E-2</v>
      </c>
      <c r="G23453" s="26">
        <v>3.5000000000000001E-3</v>
      </c>
      <c r="J23453">
        <v>189</v>
      </c>
    </row>
    <row r="23454" spans="1:10" x14ac:dyDescent="0.35">
      <c r="A23454" t="s">
        <v>230</v>
      </c>
      <c r="B23454" t="s">
        <v>241</v>
      </c>
      <c r="C23454" s="26">
        <v>0.90720000000000001</v>
      </c>
      <c r="D23454" s="26">
        <v>7.7600000000000002E-2</v>
      </c>
      <c r="E23454" s="26">
        <v>9.7999999999999997E-3</v>
      </c>
      <c r="F23454" s="26">
        <v>4.1000000000000003E-3</v>
      </c>
      <c r="H23454" s="26">
        <v>1.4E-3</v>
      </c>
      <c r="J23454">
        <v>371</v>
      </c>
    </row>
    <row r="23455" spans="1:10" x14ac:dyDescent="0.35">
      <c r="A23455" t="s">
        <v>231</v>
      </c>
      <c r="B23455" t="s">
        <v>242</v>
      </c>
      <c r="C23455" s="26">
        <v>0.90739999999999998</v>
      </c>
      <c r="D23455" s="26">
        <v>9.2600000000000002E-2</v>
      </c>
      <c r="J23455">
        <v>54</v>
      </c>
    </row>
    <row r="23456" spans="1:10" x14ac:dyDescent="0.35">
      <c r="A23456" t="s">
        <v>231</v>
      </c>
      <c r="B23456" t="s">
        <v>241</v>
      </c>
      <c r="C23456" s="26">
        <v>0.93640000000000001</v>
      </c>
      <c r="D23456" s="26">
        <v>4.5499999999999999E-2</v>
      </c>
      <c r="E23456" s="26">
        <v>1.8200000000000001E-2</v>
      </c>
      <c r="J23456">
        <v>110</v>
      </c>
    </row>
    <row r="23457" spans="1:10" x14ac:dyDescent="0.35">
      <c r="A23457" t="s">
        <v>232</v>
      </c>
      <c r="B23457" t="s">
        <v>232</v>
      </c>
      <c r="C23457" s="26">
        <v>0.91010000000000002</v>
      </c>
      <c r="D23457" s="26">
        <v>5.9900000000000002E-2</v>
      </c>
      <c r="E23457" s="26">
        <v>2.1600000000000001E-2</v>
      </c>
      <c r="F23457" s="26">
        <v>3.5000000000000001E-3</v>
      </c>
      <c r="G23457" s="26">
        <v>2.3E-3</v>
      </c>
      <c r="H23457" s="26">
        <v>2.0999999999999999E-3</v>
      </c>
      <c r="I23457" s="26">
        <v>5.0000000000000001E-4</v>
      </c>
      <c r="J23457">
        <v>2813</v>
      </c>
    </row>
    <row r="23459" spans="1:10" x14ac:dyDescent="0.35">
      <c r="A23459" s="1" t="s">
        <v>2224</v>
      </c>
    </row>
    <row r="23460" spans="1:10" x14ac:dyDescent="0.35">
      <c r="A23460" t="s">
        <v>219</v>
      </c>
      <c r="B23460" t="s">
        <v>305</v>
      </c>
      <c r="C23460" t="s">
        <v>2051</v>
      </c>
      <c r="D23460" t="s">
        <v>2052</v>
      </c>
      <c r="E23460" t="s">
        <v>2053</v>
      </c>
      <c r="F23460" t="s">
        <v>2054</v>
      </c>
      <c r="G23460" t="s">
        <v>2055</v>
      </c>
      <c r="H23460" t="s">
        <v>281</v>
      </c>
      <c r="I23460" t="s">
        <v>286</v>
      </c>
      <c r="J23460" t="s">
        <v>226</v>
      </c>
    </row>
    <row r="23461" spans="1:10" x14ac:dyDescent="0.35">
      <c r="A23461" t="s">
        <v>227</v>
      </c>
      <c r="B23461" t="s">
        <v>239</v>
      </c>
      <c r="C23461" s="26">
        <v>0.9032</v>
      </c>
      <c r="D23461" s="26">
        <v>6.4500000000000002E-2</v>
      </c>
      <c r="E23461" s="26">
        <v>1.61E-2</v>
      </c>
      <c r="F23461" s="26">
        <v>1.61E-2</v>
      </c>
      <c r="J23461">
        <v>62</v>
      </c>
    </row>
    <row r="23462" spans="1:10" x14ac:dyDescent="0.35">
      <c r="A23462" t="s">
        <v>227</v>
      </c>
      <c r="B23462" t="s">
        <v>238</v>
      </c>
      <c r="C23462" s="26">
        <v>0.93940000000000001</v>
      </c>
      <c r="D23462" s="26">
        <v>3.0300000000000001E-2</v>
      </c>
      <c r="E23462" s="26">
        <v>2.0199999999999999E-2</v>
      </c>
      <c r="F23462" s="26">
        <v>1.01E-2</v>
      </c>
      <c r="J23462">
        <v>99</v>
      </c>
    </row>
    <row r="23463" spans="1:10" x14ac:dyDescent="0.35">
      <c r="A23463" t="s">
        <v>228</v>
      </c>
      <c r="B23463" t="s">
        <v>239</v>
      </c>
      <c r="C23463" s="26">
        <v>0.87329999999999997</v>
      </c>
      <c r="D23463" s="26">
        <v>8.5900000000000004E-2</v>
      </c>
      <c r="E23463" s="26">
        <v>2.8500000000000001E-2</v>
      </c>
      <c r="F23463" s="26">
        <v>5.1999999999999998E-3</v>
      </c>
      <c r="G23463" s="26">
        <v>3.2000000000000002E-3</v>
      </c>
      <c r="H23463" s="26">
        <v>2E-3</v>
      </c>
      <c r="I23463" s="26">
        <v>2E-3</v>
      </c>
      <c r="J23463">
        <v>330</v>
      </c>
    </row>
    <row r="23464" spans="1:10" x14ac:dyDescent="0.35">
      <c r="A23464" t="s">
        <v>228</v>
      </c>
      <c r="B23464" t="s">
        <v>238</v>
      </c>
      <c r="C23464" s="26">
        <v>0.89890000000000003</v>
      </c>
      <c r="D23464" s="26">
        <v>5.7000000000000002E-2</v>
      </c>
      <c r="E23464" s="26">
        <v>2.52E-2</v>
      </c>
      <c r="F23464" s="26">
        <v>2E-3</v>
      </c>
      <c r="G23464" s="26">
        <v>1.37E-2</v>
      </c>
      <c r="H23464" s="26">
        <v>2.0999999999999999E-3</v>
      </c>
      <c r="I23464" s="26">
        <v>1E-3</v>
      </c>
      <c r="J23464">
        <v>703</v>
      </c>
    </row>
    <row r="23465" spans="1:10" x14ac:dyDescent="0.35">
      <c r="A23465" t="s">
        <v>229</v>
      </c>
      <c r="B23465" t="s">
        <v>239</v>
      </c>
      <c r="C23465" s="26">
        <v>0.89339999999999997</v>
      </c>
      <c r="D23465" s="26">
        <v>5.1499999999999997E-2</v>
      </c>
      <c r="E23465" s="26">
        <v>3.2099999999999997E-2</v>
      </c>
      <c r="F23465" s="26">
        <v>6.9999999999999999E-4</v>
      </c>
      <c r="H23465" s="26">
        <v>1.9699999999999999E-2</v>
      </c>
      <c r="I23465" s="26">
        <v>2.5999999999999999E-3</v>
      </c>
      <c r="J23465">
        <v>332</v>
      </c>
    </row>
    <row r="23466" spans="1:10" x14ac:dyDescent="0.35">
      <c r="A23466" t="s">
        <v>229</v>
      </c>
      <c r="B23466" t="s">
        <v>238</v>
      </c>
      <c r="C23466" s="26">
        <v>0.9052</v>
      </c>
      <c r="D23466" s="26">
        <v>6.5500000000000003E-2</v>
      </c>
      <c r="E23466" s="26">
        <v>2.75E-2</v>
      </c>
      <c r="F23466" s="26">
        <v>6.9999999999999999E-4</v>
      </c>
      <c r="H23466" s="26">
        <v>6.9999999999999999E-4</v>
      </c>
      <c r="I23466" s="26">
        <v>4.0000000000000002E-4</v>
      </c>
      <c r="J23466">
        <v>563</v>
      </c>
    </row>
    <row r="23467" spans="1:10" x14ac:dyDescent="0.35">
      <c r="A23467" t="s">
        <v>230</v>
      </c>
      <c r="B23467" t="s">
        <v>239</v>
      </c>
      <c r="C23467" s="26">
        <v>0.92310000000000003</v>
      </c>
      <c r="D23467" s="26">
        <v>1.35E-2</v>
      </c>
      <c r="E23467" s="26">
        <v>3.2599999999999997E-2</v>
      </c>
      <c r="F23467" s="26">
        <v>2.7699999999999999E-2</v>
      </c>
      <c r="G23467" s="26">
        <v>3.0000000000000001E-3</v>
      </c>
      <c r="J23467">
        <v>211</v>
      </c>
    </row>
    <row r="23468" spans="1:10" x14ac:dyDescent="0.35">
      <c r="A23468" t="s">
        <v>230</v>
      </c>
      <c r="B23468" t="s">
        <v>238</v>
      </c>
      <c r="C23468" s="26">
        <v>0.88270000000000004</v>
      </c>
      <c r="D23468" s="26">
        <v>9.4799999999999995E-2</v>
      </c>
      <c r="E23468" s="26">
        <v>1.95E-2</v>
      </c>
      <c r="F23468" s="26">
        <v>1.2999999999999999E-3</v>
      </c>
      <c r="G23468" s="26">
        <v>4.0000000000000002E-4</v>
      </c>
      <c r="H23468" s="26">
        <v>1.2999999999999999E-3</v>
      </c>
      <c r="J23468">
        <v>349</v>
      </c>
    </row>
    <row r="23469" spans="1:10" x14ac:dyDescent="0.35">
      <c r="A23469" t="s">
        <v>231</v>
      </c>
      <c r="B23469" t="s">
        <v>239</v>
      </c>
      <c r="C23469" s="26">
        <v>0.94740000000000002</v>
      </c>
      <c r="D23469" s="26">
        <v>5.2600000000000001E-2</v>
      </c>
      <c r="J23469">
        <v>57</v>
      </c>
    </row>
    <row r="23470" spans="1:10" x14ac:dyDescent="0.35">
      <c r="A23470" t="s">
        <v>231</v>
      </c>
      <c r="B23470" t="s">
        <v>238</v>
      </c>
      <c r="C23470" s="26">
        <v>0.91590000000000005</v>
      </c>
      <c r="D23470" s="26">
        <v>6.54E-2</v>
      </c>
      <c r="E23470" s="26">
        <v>1.8700000000000001E-2</v>
      </c>
      <c r="J23470">
        <v>107</v>
      </c>
    </row>
    <row r="23471" spans="1:10" x14ac:dyDescent="0.35">
      <c r="A23471" t="s">
        <v>232</v>
      </c>
      <c r="B23471" t="s">
        <v>232</v>
      </c>
      <c r="C23471" s="26">
        <v>0.91010000000000002</v>
      </c>
      <c r="D23471" s="26">
        <v>5.9900000000000002E-2</v>
      </c>
      <c r="E23471" s="26">
        <v>2.1600000000000001E-2</v>
      </c>
      <c r="F23471" s="26">
        <v>3.5000000000000001E-3</v>
      </c>
      <c r="G23471" s="26">
        <v>2.3E-3</v>
      </c>
      <c r="H23471" s="26">
        <v>2.0999999999999999E-3</v>
      </c>
      <c r="I23471" s="26">
        <v>5.0000000000000001E-4</v>
      </c>
      <c r="J23471">
        <v>2813</v>
      </c>
    </row>
    <row r="23473" spans="1:10" x14ac:dyDescent="0.35">
      <c r="A23473" s="1" t="s">
        <v>2225</v>
      </c>
    </row>
    <row r="23474" spans="1:10" x14ac:dyDescent="0.35">
      <c r="A23474" t="s">
        <v>219</v>
      </c>
      <c r="B23474" t="s">
        <v>305</v>
      </c>
      <c r="C23474" t="s">
        <v>2051</v>
      </c>
      <c r="D23474" t="s">
        <v>2052</v>
      </c>
      <c r="E23474" t="s">
        <v>2053</v>
      </c>
      <c r="F23474" t="s">
        <v>2054</v>
      </c>
      <c r="G23474" t="s">
        <v>2055</v>
      </c>
      <c r="H23474" t="s">
        <v>281</v>
      </c>
      <c r="I23474" t="s">
        <v>286</v>
      </c>
      <c r="J23474" t="s">
        <v>226</v>
      </c>
    </row>
    <row r="23475" spans="1:10" x14ac:dyDescent="0.35">
      <c r="A23475" t="s">
        <v>227</v>
      </c>
      <c r="B23475" t="s">
        <v>244</v>
      </c>
      <c r="C23475" s="26">
        <v>0.90620000000000001</v>
      </c>
      <c r="D23475" s="26">
        <v>5.21E-2</v>
      </c>
      <c r="E23475" s="26">
        <v>2.0799999999999999E-2</v>
      </c>
      <c r="F23475" s="26">
        <v>2.0799999999999999E-2</v>
      </c>
      <c r="J23475">
        <v>96</v>
      </c>
    </row>
    <row r="23476" spans="1:10" x14ac:dyDescent="0.35">
      <c r="A23476" t="s">
        <v>227</v>
      </c>
      <c r="B23476" t="s">
        <v>245</v>
      </c>
      <c r="C23476" s="26">
        <v>0.98109999999999997</v>
      </c>
      <c r="D23476" s="26">
        <v>1.89E-2</v>
      </c>
      <c r="J23476">
        <v>53</v>
      </c>
    </row>
    <row r="23477" spans="1:10" x14ac:dyDescent="0.35">
      <c r="A23477" s="27" t="s">
        <v>227</v>
      </c>
      <c r="B23477" s="27" t="s">
        <v>246</v>
      </c>
      <c r="C23477" s="28">
        <v>0.83330000000000004</v>
      </c>
      <c r="D23477" s="28">
        <v>8.3299999999999999E-2</v>
      </c>
      <c r="E23477" s="28">
        <v>8.3299999999999999E-2</v>
      </c>
      <c r="F23477" s="29"/>
      <c r="G23477" s="29"/>
      <c r="H23477" s="29"/>
      <c r="I23477" s="29"/>
      <c r="J23477" s="29" t="s">
        <v>342</v>
      </c>
    </row>
    <row r="23478" spans="1:10" x14ac:dyDescent="0.35">
      <c r="A23478" t="s">
        <v>228</v>
      </c>
      <c r="B23478" t="s">
        <v>244</v>
      </c>
      <c r="C23478" s="26">
        <v>0.89019999999999999</v>
      </c>
      <c r="D23478" s="26">
        <v>7.6499999999999999E-2</v>
      </c>
      <c r="E23478" s="26">
        <v>2.7699999999999999E-2</v>
      </c>
      <c r="F23478" s="26">
        <v>1.5E-3</v>
      </c>
      <c r="G23478" s="26">
        <v>1.6000000000000001E-3</v>
      </c>
      <c r="H23478" s="26">
        <v>1.8E-3</v>
      </c>
      <c r="I23478" s="26">
        <v>5.9999999999999995E-4</v>
      </c>
      <c r="J23478">
        <v>638</v>
      </c>
    </row>
    <row r="23479" spans="1:10" x14ac:dyDescent="0.35">
      <c r="A23479" t="s">
        <v>228</v>
      </c>
      <c r="B23479" t="s">
        <v>245</v>
      </c>
      <c r="C23479" s="26">
        <v>0.91</v>
      </c>
      <c r="D23479" s="26">
        <v>3.8899999999999997E-2</v>
      </c>
      <c r="E23479" s="26">
        <v>1.7600000000000001E-2</v>
      </c>
      <c r="F23479" s="26">
        <v>3.2000000000000002E-3</v>
      </c>
      <c r="G23479" s="26">
        <v>2.5600000000000001E-2</v>
      </c>
      <c r="H23479" s="26">
        <v>3.2000000000000002E-3</v>
      </c>
      <c r="I23479" s="26">
        <v>1.5E-3</v>
      </c>
      <c r="J23479">
        <v>328</v>
      </c>
    </row>
    <row r="23480" spans="1:10" x14ac:dyDescent="0.35">
      <c r="A23480" t="s">
        <v>228</v>
      </c>
      <c r="B23480" t="s">
        <v>246</v>
      </c>
      <c r="C23480" s="26">
        <v>0.8589</v>
      </c>
      <c r="D23480" s="26">
        <v>3.1899999999999998E-2</v>
      </c>
      <c r="E23480" s="26">
        <v>4.2599999999999999E-2</v>
      </c>
      <c r="F23480" s="26">
        <v>1.21E-2</v>
      </c>
      <c r="G23480" s="26">
        <v>4.8500000000000001E-2</v>
      </c>
      <c r="I23480" s="26">
        <v>6.0000000000000001E-3</v>
      </c>
      <c r="J23480">
        <v>67</v>
      </c>
    </row>
    <row r="23481" spans="1:10" x14ac:dyDescent="0.35">
      <c r="A23481" t="s">
        <v>229</v>
      </c>
      <c r="B23481" t="s">
        <v>244</v>
      </c>
      <c r="C23481" s="26">
        <v>0.90610000000000002</v>
      </c>
      <c r="D23481" s="26">
        <v>6.2899999999999998E-2</v>
      </c>
      <c r="E23481" s="26">
        <v>2.5000000000000001E-2</v>
      </c>
      <c r="F23481" s="26">
        <v>5.0000000000000001E-4</v>
      </c>
      <c r="H23481" s="26">
        <v>4.1000000000000003E-3</v>
      </c>
      <c r="I23481" s="26">
        <v>1.4E-3</v>
      </c>
      <c r="J23481">
        <v>557</v>
      </c>
    </row>
    <row r="23482" spans="1:10" x14ac:dyDescent="0.35">
      <c r="A23482" t="s">
        <v>229</v>
      </c>
      <c r="B23482" t="s">
        <v>245</v>
      </c>
      <c r="C23482" s="26">
        <v>0.9163</v>
      </c>
      <c r="D23482" s="26">
        <v>4.9299999999999997E-2</v>
      </c>
      <c r="E23482" s="26">
        <v>2.3099999999999999E-2</v>
      </c>
      <c r="F23482" s="26">
        <v>6.9999999999999999E-4</v>
      </c>
      <c r="H23482" s="26">
        <v>1.0500000000000001E-2</v>
      </c>
      <c r="J23482">
        <v>293</v>
      </c>
    </row>
    <row r="23483" spans="1:10" x14ac:dyDescent="0.35">
      <c r="A23483" t="s">
        <v>229</v>
      </c>
      <c r="B23483" t="s">
        <v>246</v>
      </c>
      <c r="C23483" s="26">
        <v>0.78369999999999995</v>
      </c>
      <c r="D23483" s="26">
        <v>0.1096</v>
      </c>
      <c r="E23483" s="26">
        <v>0.10349999999999999</v>
      </c>
      <c r="F23483" s="26">
        <v>3.2000000000000002E-3</v>
      </c>
      <c r="J23483">
        <v>45</v>
      </c>
    </row>
    <row r="23484" spans="1:10" x14ac:dyDescent="0.35">
      <c r="A23484" t="s">
        <v>230</v>
      </c>
      <c r="B23484" t="s">
        <v>244</v>
      </c>
      <c r="C23484" s="26">
        <v>0.8871</v>
      </c>
      <c r="D23484" s="26">
        <v>7.8E-2</v>
      </c>
      <c r="E23484" s="26">
        <v>2.1899999999999999E-2</v>
      </c>
      <c r="F23484" s="26">
        <v>1.04E-2</v>
      </c>
      <c r="G23484" s="26">
        <v>1.2999999999999999E-3</v>
      </c>
      <c r="H23484" s="26">
        <v>1.2999999999999999E-3</v>
      </c>
      <c r="J23484">
        <v>370</v>
      </c>
    </row>
    <row r="23485" spans="1:10" x14ac:dyDescent="0.35">
      <c r="A23485" t="s">
        <v>230</v>
      </c>
      <c r="B23485" t="s">
        <v>245</v>
      </c>
      <c r="C23485" s="26">
        <v>0.92579999999999996</v>
      </c>
      <c r="D23485" s="26">
        <v>6.0699999999999997E-2</v>
      </c>
      <c r="E23485" s="26">
        <v>1.14E-2</v>
      </c>
      <c r="F23485" s="26">
        <v>1.1000000000000001E-3</v>
      </c>
      <c r="G23485" s="26">
        <v>1.1000000000000001E-3</v>
      </c>
      <c r="J23485">
        <v>161</v>
      </c>
    </row>
    <row r="23486" spans="1:10" x14ac:dyDescent="0.35">
      <c r="A23486" s="27" t="s">
        <v>230</v>
      </c>
      <c r="B23486" s="27" t="s">
        <v>246</v>
      </c>
      <c r="C23486" s="28">
        <v>0.84099999999999997</v>
      </c>
      <c r="D23486" s="28">
        <v>1.12E-2</v>
      </c>
      <c r="E23486" s="28">
        <v>0.1108</v>
      </c>
      <c r="F23486" s="28">
        <v>3.6900000000000002E-2</v>
      </c>
      <c r="G23486" s="29"/>
      <c r="H23486" s="29"/>
      <c r="I23486" s="29"/>
      <c r="J23486" s="29" t="s">
        <v>329</v>
      </c>
    </row>
    <row r="23487" spans="1:10" x14ac:dyDescent="0.35">
      <c r="A23487" t="s">
        <v>231</v>
      </c>
      <c r="B23487" t="s">
        <v>244</v>
      </c>
      <c r="C23487" s="26">
        <v>0.93679999999999997</v>
      </c>
      <c r="D23487" s="26">
        <v>6.3200000000000006E-2</v>
      </c>
      <c r="J23487">
        <v>95</v>
      </c>
    </row>
    <row r="23488" spans="1:10" x14ac:dyDescent="0.35">
      <c r="A23488" t="s">
        <v>231</v>
      </c>
      <c r="B23488" t="s">
        <v>245</v>
      </c>
      <c r="C23488" s="26">
        <v>0.89290000000000003</v>
      </c>
      <c r="D23488" s="26">
        <v>7.1400000000000005E-2</v>
      </c>
      <c r="E23488" s="26">
        <v>3.5700000000000003E-2</v>
      </c>
      <c r="J23488">
        <v>56</v>
      </c>
    </row>
    <row r="23489" spans="1:10" x14ac:dyDescent="0.35">
      <c r="A23489" s="27" t="s">
        <v>231</v>
      </c>
      <c r="B23489" s="27" t="s">
        <v>246</v>
      </c>
      <c r="C23489" s="28">
        <v>1</v>
      </c>
      <c r="D23489" s="29"/>
      <c r="E23489" s="29"/>
      <c r="F23489" s="29"/>
      <c r="G23489" s="29"/>
      <c r="H23489" s="29"/>
      <c r="I23489" s="29"/>
      <c r="J23489" s="29" t="s">
        <v>341</v>
      </c>
    </row>
    <row r="23490" spans="1:10" x14ac:dyDescent="0.35">
      <c r="A23490" t="s">
        <v>232</v>
      </c>
      <c r="B23490" t="s">
        <v>232</v>
      </c>
      <c r="C23490" s="26">
        <v>0.91010000000000002</v>
      </c>
      <c r="D23490" s="26">
        <v>5.9900000000000002E-2</v>
      </c>
      <c r="E23490" s="26">
        <v>2.1600000000000001E-2</v>
      </c>
      <c r="F23490" s="26">
        <v>3.5000000000000001E-3</v>
      </c>
      <c r="G23490" s="26">
        <v>2.3E-3</v>
      </c>
      <c r="H23490" s="26">
        <v>2.0999999999999999E-3</v>
      </c>
      <c r="I23490" s="26">
        <v>5.0000000000000001E-4</v>
      </c>
      <c r="J23490">
        <v>2813</v>
      </c>
    </row>
    <row r="23492" spans="1:10" x14ac:dyDescent="0.35">
      <c r="A23492" s="1" t="s">
        <v>2226</v>
      </c>
    </row>
    <row r="23493" spans="1:10" x14ac:dyDescent="0.35">
      <c r="A23493" t="s">
        <v>219</v>
      </c>
      <c r="B23493" t="s">
        <v>305</v>
      </c>
      <c r="C23493" t="s">
        <v>2051</v>
      </c>
      <c r="D23493" t="s">
        <v>2052</v>
      </c>
      <c r="E23493" t="s">
        <v>2053</v>
      </c>
      <c r="F23493" t="s">
        <v>2054</v>
      </c>
      <c r="G23493" t="s">
        <v>2055</v>
      </c>
      <c r="H23493" t="s">
        <v>281</v>
      </c>
      <c r="I23493" t="s">
        <v>286</v>
      </c>
      <c r="J23493" t="s">
        <v>226</v>
      </c>
    </row>
    <row r="23494" spans="1:10" x14ac:dyDescent="0.35">
      <c r="A23494" t="s">
        <v>227</v>
      </c>
      <c r="B23494" t="s">
        <v>360</v>
      </c>
      <c r="C23494" s="26">
        <v>0.89739999999999998</v>
      </c>
      <c r="D23494" s="26">
        <v>5.1299999999999998E-2</v>
      </c>
      <c r="E23494" s="26">
        <v>2.5600000000000001E-2</v>
      </c>
      <c r="F23494" s="26">
        <v>2.5600000000000001E-2</v>
      </c>
      <c r="J23494">
        <v>39</v>
      </c>
    </row>
    <row r="23495" spans="1:10" x14ac:dyDescent="0.35">
      <c r="A23495" t="s">
        <v>227</v>
      </c>
      <c r="B23495" t="s">
        <v>361</v>
      </c>
      <c r="C23495" s="26">
        <v>0.96879999999999999</v>
      </c>
      <c r="D23495" s="26">
        <v>3.1199999999999999E-2</v>
      </c>
      <c r="J23495">
        <v>32</v>
      </c>
    </row>
    <row r="23496" spans="1:10" x14ac:dyDescent="0.35">
      <c r="A23496" t="s">
        <v>227</v>
      </c>
      <c r="B23496" t="s">
        <v>362</v>
      </c>
      <c r="C23496" s="26">
        <v>0.89190000000000003</v>
      </c>
      <c r="D23496" s="26">
        <v>8.1100000000000005E-2</v>
      </c>
      <c r="F23496" s="26">
        <v>2.7E-2</v>
      </c>
      <c r="J23496">
        <v>37</v>
      </c>
    </row>
    <row r="23497" spans="1:10" x14ac:dyDescent="0.35">
      <c r="A23497" t="s">
        <v>227</v>
      </c>
      <c r="B23497" t="s">
        <v>363</v>
      </c>
      <c r="C23497" s="26">
        <v>0.93330000000000002</v>
      </c>
      <c r="D23497" s="26">
        <v>2.2200000000000001E-2</v>
      </c>
      <c r="E23497" s="26">
        <v>4.4400000000000002E-2</v>
      </c>
      <c r="J23497">
        <v>45</v>
      </c>
    </row>
    <row r="23498" spans="1:10" x14ac:dyDescent="0.35">
      <c r="A23498" t="s">
        <v>228</v>
      </c>
      <c r="B23498" t="s">
        <v>360</v>
      </c>
      <c r="C23498" s="26">
        <v>0.8115</v>
      </c>
      <c r="D23498" s="26">
        <v>7.7499999999999999E-2</v>
      </c>
      <c r="E23498" s="26">
        <v>3.5900000000000001E-2</v>
      </c>
      <c r="F23498" s="26">
        <v>5.4000000000000003E-3</v>
      </c>
      <c r="G23498" s="26">
        <v>5.7099999999999998E-2</v>
      </c>
      <c r="H23498" s="26">
        <v>1.0500000000000001E-2</v>
      </c>
      <c r="I23498" s="26">
        <v>2.0999999999999999E-3</v>
      </c>
      <c r="J23498">
        <v>258</v>
      </c>
    </row>
    <row r="23499" spans="1:10" x14ac:dyDescent="0.35">
      <c r="A23499" t="s">
        <v>228</v>
      </c>
      <c r="B23499" t="s">
        <v>361</v>
      </c>
      <c r="C23499" s="26">
        <v>0.91220000000000001</v>
      </c>
      <c r="D23499" s="26">
        <v>6.2199999999999998E-2</v>
      </c>
      <c r="E23499" s="26">
        <v>2.46E-2</v>
      </c>
      <c r="F23499" s="26">
        <v>1E-3</v>
      </c>
      <c r="J23499">
        <v>194</v>
      </c>
    </row>
    <row r="23500" spans="1:10" x14ac:dyDescent="0.35">
      <c r="A23500" t="s">
        <v>228</v>
      </c>
      <c r="B23500" t="s">
        <v>363</v>
      </c>
      <c r="C23500" s="26">
        <v>0.88619999999999999</v>
      </c>
      <c r="D23500" s="26">
        <v>7.85E-2</v>
      </c>
      <c r="E23500" s="26">
        <v>3.3300000000000003E-2</v>
      </c>
      <c r="F23500" s="26">
        <v>2E-3</v>
      </c>
      <c r="J23500">
        <v>212</v>
      </c>
    </row>
    <row r="23501" spans="1:10" x14ac:dyDescent="0.35">
      <c r="A23501" t="s">
        <v>228</v>
      </c>
      <c r="B23501" t="s">
        <v>362</v>
      </c>
      <c r="C23501" s="26">
        <v>0.94550000000000001</v>
      </c>
      <c r="D23501" s="26">
        <v>3.5099999999999999E-2</v>
      </c>
      <c r="E23501" s="26">
        <v>1.4800000000000001E-2</v>
      </c>
      <c r="F23501" s="26">
        <v>2.8E-3</v>
      </c>
      <c r="I23501" s="26">
        <v>1.8E-3</v>
      </c>
      <c r="J23501">
        <v>236</v>
      </c>
    </row>
    <row r="23502" spans="1:10" x14ac:dyDescent="0.35">
      <c r="A23502" t="s">
        <v>229</v>
      </c>
      <c r="B23502" t="s">
        <v>363</v>
      </c>
      <c r="C23502" s="26">
        <v>0.93279999999999996</v>
      </c>
      <c r="D23502" s="26">
        <v>3.5700000000000003E-2</v>
      </c>
      <c r="E23502" s="26">
        <v>3.0700000000000002E-2</v>
      </c>
      <c r="F23502" s="26">
        <v>8.9999999999999998E-4</v>
      </c>
      <c r="J23502">
        <v>191</v>
      </c>
    </row>
    <row r="23503" spans="1:10" x14ac:dyDescent="0.35">
      <c r="A23503" t="s">
        <v>229</v>
      </c>
      <c r="B23503" t="s">
        <v>360</v>
      </c>
      <c r="C23503" s="26">
        <v>0.83530000000000004</v>
      </c>
      <c r="D23503" s="26">
        <v>0.10100000000000001</v>
      </c>
      <c r="E23503" s="26">
        <v>5.3999999999999999E-2</v>
      </c>
      <c r="F23503" s="26">
        <v>3.2000000000000002E-3</v>
      </c>
      <c r="H23503" s="26">
        <v>2.0999999999999999E-3</v>
      </c>
      <c r="I23503" s="26">
        <v>4.3E-3</v>
      </c>
      <c r="J23503">
        <v>164</v>
      </c>
    </row>
    <row r="23504" spans="1:10" x14ac:dyDescent="0.35">
      <c r="A23504" t="s">
        <v>229</v>
      </c>
      <c r="B23504" t="s">
        <v>361</v>
      </c>
      <c r="C23504" s="26">
        <v>0.87350000000000005</v>
      </c>
      <c r="D23504" s="26">
        <v>8.43E-2</v>
      </c>
      <c r="E23504" s="26">
        <v>2.9100000000000001E-2</v>
      </c>
      <c r="H23504" s="26">
        <v>1.3100000000000001E-2</v>
      </c>
      <c r="J23504">
        <v>243</v>
      </c>
    </row>
    <row r="23505" spans="1:10" x14ac:dyDescent="0.35">
      <c r="A23505" t="s">
        <v>229</v>
      </c>
      <c r="B23505" t="s">
        <v>362</v>
      </c>
      <c r="C23505" s="26">
        <v>0.95040000000000002</v>
      </c>
      <c r="D23505" s="26">
        <v>2.7E-2</v>
      </c>
      <c r="E23505" s="26">
        <v>2.2599999999999999E-2</v>
      </c>
      <c r="J23505">
        <v>171</v>
      </c>
    </row>
    <row r="23506" spans="1:10" x14ac:dyDescent="0.35">
      <c r="A23506" t="s">
        <v>230</v>
      </c>
      <c r="B23506" t="s">
        <v>360</v>
      </c>
      <c r="C23506" s="26">
        <v>0.89739999999999998</v>
      </c>
      <c r="D23506" s="26">
        <v>7.3999999999999996E-2</v>
      </c>
      <c r="E23506" s="26">
        <v>1.6E-2</v>
      </c>
      <c r="F23506" s="26">
        <v>1.12E-2</v>
      </c>
      <c r="G23506" s="26">
        <v>1.5E-3</v>
      </c>
      <c r="J23506">
        <v>120</v>
      </c>
    </row>
    <row r="23507" spans="1:10" x14ac:dyDescent="0.35">
      <c r="A23507" t="s">
        <v>230</v>
      </c>
      <c r="B23507" t="s">
        <v>363</v>
      </c>
      <c r="C23507" s="26">
        <v>0.8367</v>
      </c>
      <c r="D23507" s="26">
        <v>0.1237</v>
      </c>
      <c r="E23507" s="26">
        <v>3.5700000000000003E-2</v>
      </c>
      <c r="G23507" s="26">
        <v>3.8999999999999998E-3</v>
      </c>
      <c r="J23507">
        <v>127</v>
      </c>
    </row>
    <row r="23508" spans="1:10" x14ac:dyDescent="0.35">
      <c r="A23508" t="s">
        <v>230</v>
      </c>
      <c r="B23508" t="s">
        <v>361</v>
      </c>
      <c r="C23508" s="26">
        <v>0.92369999999999997</v>
      </c>
      <c r="D23508" s="26">
        <v>6.93E-2</v>
      </c>
      <c r="E23508" s="26">
        <v>7.0000000000000001E-3</v>
      </c>
      <c r="J23508">
        <v>109</v>
      </c>
    </row>
    <row r="23509" spans="1:10" x14ac:dyDescent="0.35">
      <c r="A23509" t="s">
        <v>230</v>
      </c>
      <c r="B23509" t="s">
        <v>362</v>
      </c>
      <c r="C23509" s="26">
        <v>0.91990000000000005</v>
      </c>
      <c r="D23509" s="26">
        <v>1.7399999999999999E-2</v>
      </c>
      <c r="E23509" s="26">
        <v>3.4099999999999998E-2</v>
      </c>
      <c r="F23509" s="26">
        <v>2.86E-2</v>
      </c>
      <c r="J23509">
        <v>148</v>
      </c>
    </row>
    <row r="23510" spans="1:10" x14ac:dyDescent="0.35">
      <c r="A23510" s="27" t="s">
        <v>231</v>
      </c>
      <c r="B23510" s="27" t="s">
        <v>362</v>
      </c>
      <c r="C23510" s="28">
        <v>0.93100000000000005</v>
      </c>
      <c r="D23510" s="28">
        <v>3.4500000000000003E-2</v>
      </c>
      <c r="E23510" s="28">
        <v>3.4500000000000003E-2</v>
      </c>
      <c r="F23510" s="29"/>
      <c r="G23510" s="29"/>
      <c r="H23510" s="29"/>
      <c r="I23510" s="29"/>
      <c r="J23510" s="29" t="s">
        <v>329</v>
      </c>
    </row>
    <row r="23511" spans="1:10" x14ac:dyDescent="0.35">
      <c r="A23511" t="s">
        <v>231</v>
      </c>
      <c r="B23511" t="s">
        <v>361</v>
      </c>
      <c r="C23511" s="26">
        <v>0.92</v>
      </c>
      <c r="D23511" s="26">
        <v>0.06</v>
      </c>
      <c r="E23511" s="26">
        <v>0.02</v>
      </c>
      <c r="J23511">
        <v>50</v>
      </c>
    </row>
    <row r="23512" spans="1:10" x14ac:dyDescent="0.35">
      <c r="A23512" t="s">
        <v>231</v>
      </c>
      <c r="B23512" t="s">
        <v>360</v>
      </c>
      <c r="C23512" s="26">
        <v>0.93179999999999996</v>
      </c>
      <c r="D23512" s="26">
        <v>6.8199999999999997E-2</v>
      </c>
      <c r="J23512">
        <v>44</v>
      </c>
    </row>
    <row r="23513" spans="1:10" x14ac:dyDescent="0.35">
      <c r="A23513" s="27" t="s">
        <v>231</v>
      </c>
      <c r="B23513" s="27" t="s">
        <v>363</v>
      </c>
      <c r="C23513" s="28">
        <v>0.92589999999999995</v>
      </c>
      <c r="D23513" s="28">
        <v>7.4099999999999999E-2</v>
      </c>
      <c r="E23513" s="29"/>
      <c r="F23513" s="29"/>
      <c r="G23513" s="29"/>
      <c r="H23513" s="29"/>
      <c r="I23513" s="29"/>
      <c r="J23513" s="29" t="s">
        <v>338</v>
      </c>
    </row>
    <row r="23514" spans="1:10" x14ac:dyDescent="0.35">
      <c r="A23514" t="s">
        <v>232</v>
      </c>
      <c r="B23514" t="s">
        <v>232</v>
      </c>
      <c r="C23514" s="26">
        <v>0.91010000000000002</v>
      </c>
      <c r="D23514" s="26">
        <v>5.9900000000000002E-2</v>
      </c>
      <c r="E23514" s="26">
        <v>2.1600000000000001E-2</v>
      </c>
      <c r="F23514" s="26">
        <v>3.5000000000000001E-3</v>
      </c>
      <c r="G23514" s="26">
        <v>2.3E-3</v>
      </c>
      <c r="H23514" s="26">
        <v>2.0999999999999999E-3</v>
      </c>
      <c r="I23514" s="26">
        <v>5.0000000000000001E-4</v>
      </c>
      <c r="J23514">
        <v>2476</v>
      </c>
    </row>
    <row r="23516" spans="1:10" x14ac:dyDescent="0.35">
      <c r="A23516" s="1" t="s">
        <v>2227</v>
      </c>
    </row>
    <row r="23517" spans="1:10" x14ac:dyDescent="0.35">
      <c r="A23517" t="s">
        <v>219</v>
      </c>
      <c r="B23517" t="s">
        <v>305</v>
      </c>
      <c r="C23517" t="s">
        <v>2051</v>
      </c>
      <c r="D23517" t="s">
        <v>2052</v>
      </c>
      <c r="E23517" t="s">
        <v>2053</v>
      </c>
      <c r="F23517" t="s">
        <v>2054</v>
      </c>
      <c r="G23517" t="s">
        <v>2055</v>
      </c>
      <c r="H23517" t="s">
        <v>281</v>
      </c>
      <c r="I23517" t="s">
        <v>286</v>
      </c>
      <c r="J23517" t="s">
        <v>226</v>
      </c>
    </row>
    <row r="23518" spans="1:10" x14ac:dyDescent="0.35">
      <c r="A23518" t="s">
        <v>227</v>
      </c>
      <c r="B23518" t="s">
        <v>267</v>
      </c>
      <c r="C23518" s="26">
        <v>0.94440000000000002</v>
      </c>
      <c r="D23518" s="26">
        <v>2.7799999999999998E-2</v>
      </c>
      <c r="F23518" s="26">
        <v>2.7799999999999998E-2</v>
      </c>
      <c r="J23518">
        <v>36</v>
      </c>
    </row>
    <row r="23519" spans="1:10" x14ac:dyDescent="0.35">
      <c r="A23519" t="s">
        <v>227</v>
      </c>
      <c r="B23519" t="s">
        <v>266</v>
      </c>
      <c r="C23519" s="26">
        <v>0.96609999999999996</v>
      </c>
      <c r="D23519" s="26">
        <v>3.39E-2</v>
      </c>
      <c r="J23519">
        <v>59</v>
      </c>
    </row>
    <row r="23520" spans="1:10" x14ac:dyDescent="0.35">
      <c r="A23520" t="s">
        <v>227</v>
      </c>
      <c r="B23520" t="s">
        <v>265</v>
      </c>
      <c r="C23520" s="26">
        <v>0.87880000000000003</v>
      </c>
      <c r="D23520" s="26">
        <v>6.0600000000000001E-2</v>
      </c>
      <c r="E23520" s="26">
        <v>4.5499999999999999E-2</v>
      </c>
      <c r="F23520" s="26">
        <v>1.52E-2</v>
      </c>
      <c r="J23520">
        <v>66</v>
      </c>
    </row>
    <row r="23521" spans="1:10" x14ac:dyDescent="0.35">
      <c r="A23521" t="s">
        <v>228</v>
      </c>
      <c r="B23521" t="s">
        <v>267</v>
      </c>
      <c r="C23521" s="26">
        <v>0.93289999999999995</v>
      </c>
      <c r="D23521" s="26">
        <v>3.8600000000000002E-2</v>
      </c>
      <c r="E23521" s="26">
        <v>2.5600000000000001E-2</v>
      </c>
      <c r="F23521" s="26">
        <v>1.4E-3</v>
      </c>
      <c r="G23521" s="26">
        <v>1.4E-3</v>
      </c>
      <c r="J23521">
        <v>199</v>
      </c>
    </row>
    <row r="23522" spans="1:10" x14ac:dyDescent="0.35">
      <c r="A23522" t="s">
        <v>228</v>
      </c>
      <c r="B23522" t="s">
        <v>265</v>
      </c>
      <c r="C23522" s="26">
        <v>0.8931</v>
      </c>
      <c r="D23522" s="26">
        <v>7.4999999999999997E-2</v>
      </c>
      <c r="E23522" s="26">
        <v>1.7100000000000001E-2</v>
      </c>
      <c r="F23522" s="26">
        <v>1E-3</v>
      </c>
      <c r="G23522" s="26">
        <v>8.9999999999999993E-3</v>
      </c>
      <c r="H23522" s="26">
        <v>2.8E-3</v>
      </c>
      <c r="I23522" s="26">
        <v>2E-3</v>
      </c>
      <c r="J23522">
        <v>384</v>
      </c>
    </row>
    <row r="23523" spans="1:10" x14ac:dyDescent="0.35">
      <c r="A23523" s="27" t="s">
        <v>228</v>
      </c>
      <c r="B23523" s="27" t="s">
        <v>236</v>
      </c>
      <c r="C23523" s="28">
        <v>1</v>
      </c>
      <c r="D23523" s="29"/>
      <c r="E23523" s="29"/>
      <c r="F23523" s="29"/>
      <c r="G23523" s="29"/>
      <c r="H23523" s="29"/>
      <c r="I23523" s="29"/>
      <c r="J23523" s="29" t="s">
        <v>314</v>
      </c>
    </row>
    <row r="23524" spans="1:10" x14ac:dyDescent="0.35">
      <c r="A23524" t="s">
        <v>228</v>
      </c>
      <c r="B23524" t="s">
        <v>266</v>
      </c>
      <c r="C23524" s="26">
        <v>0.87619999999999998</v>
      </c>
      <c r="D23524" s="26">
        <v>6.1899999999999997E-2</v>
      </c>
      <c r="E23524" s="26">
        <v>3.5400000000000001E-2</v>
      </c>
      <c r="F23524" s="26">
        <v>5.0000000000000001E-3</v>
      </c>
      <c r="G23524" s="26">
        <v>1.84E-2</v>
      </c>
      <c r="H23524" s="26">
        <v>2.2000000000000001E-3</v>
      </c>
      <c r="I23524" s="26">
        <v>1E-3</v>
      </c>
      <c r="J23524">
        <v>448</v>
      </c>
    </row>
    <row r="23525" spans="1:10" x14ac:dyDescent="0.35">
      <c r="A23525" t="s">
        <v>229</v>
      </c>
      <c r="B23525" t="s">
        <v>266</v>
      </c>
      <c r="C23525" s="26">
        <v>0.88519999999999999</v>
      </c>
      <c r="D23525" s="26">
        <v>6.0199999999999997E-2</v>
      </c>
      <c r="E23525" s="26">
        <v>4.4900000000000002E-2</v>
      </c>
      <c r="F23525" s="26">
        <v>5.0000000000000001E-4</v>
      </c>
      <c r="H23525" s="26">
        <v>9.1000000000000004E-3</v>
      </c>
      <c r="J23525">
        <v>359</v>
      </c>
    </row>
    <row r="23526" spans="1:10" x14ac:dyDescent="0.35">
      <c r="A23526" t="s">
        <v>229</v>
      </c>
      <c r="B23526" t="s">
        <v>267</v>
      </c>
      <c r="C23526" s="26">
        <v>0.92100000000000004</v>
      </c>
      <c r="D23526" s="26">
        <v>5.45E-2</v>
      </c>
      <c r="E23526" s="26">
        <v>1.32E-2</v>
      </c>
      <c r="H23526" s="26">
        <v>1.1299999999999999E-2</v>
      </c>
      <c r="J23526">
        <v>201</v>
      </c>
    </row>
    <row r="23527" spans="1:10" x14ac:dyDescent="0.35">
      <c r="A23527" t="s">
        <v>229</v>
      </c>
      <c r="B23527" t="s">
        <v>265</v>
      </c>
      <c r="C23527" s="26">
        <v>0.90529999999999999</v>
      </c>
      <c r="D23527" s="26">
        <v>6.6900000000000001E-2</v>
      </c>
      <c r="E23527" s="26">
        <v>2.4500000000000001E-2</v>
      </c>
      <c r="F23527" s="26">
        <v>1.1000000000000001E-3</v>
      </c>
      <c r="I23527" s="26">
        <v>2.2000000000000001E-3</v>
      </c>
      <c r="J23527">
        <v>335</v>
      </c>
    </row>
    <row r="23528" spans="1:10" x14ac:dyDescent="0.35">
      <c r="A23528" t="s">
        <v>230</v>
      </c>
      <c r="B23528" t="s">
        <v>267</v>
      </c>
      <c r="C23528" s="26">
        <v>0.9667</v>
      </c>
      <c r="D23528" s="26">
        <v>2.2599999999999999E-2</v>
      </c>
      <c r="E23528" s="26">
        <v>5.3E-3</v>
      </c>
      <c r="F23528" s="26">
        <v>5.4000000000000003E-3</v>
      </c>
      <c r="J23528">
        <v>119</v>
      </c>
    </row>
    <row r="23529" spans="1:10" x14ac:dyDescent="0.35">
      <c r="A23529" t="s">
        <v>230</v>
      </c>
      <c r="B23529" t="s">
        <v>266</v>
      </c>
      <c r="C23529" s="26">
        <v>0.89239999999999997</v>
      </c>
      <c r="D23529" s="26">
        <v>7.7200000000000005E-2</v>
      </c>
      <c r="E23529" s="26">
        <v>9.7000000000000003E-3</v>
      </c>
      <c r="F23529" s="26">
        <v>1.9900000000000001E-2</v>
      </c>
      <c r="G23529" s="26">
        <v>8.0000000000000004E-4</v>
      </c>
      <c r="J23529">
        <v>232</v>
      </c>
    </row>
    <row r="23530" spans="1:10" x14ac:dyDescent="0.35">
      <c r="A23530" t="s">
        <v>230</v>
      </c>
      <c r="B23530" t="s">
        <v>265</v>
      </c>
      <c r="C23530" s="26">
        <v>0.85940000000000005</v>
      </c>
      <c r="D23530" s="26">
        <v>8.9300000000000004E-2</v>
      </c>
      <c r="E23530" s="26">
        <v>4.48E-2</v>
      </c>
      <c r="F23530" s="26">
        <v>2.0999999999999999E-3</v>
      </c>
      <c r="G23530" s="26">
        <v>2.2000000000000001E-3</v>
      </c>
      <c r="H23530" s="26">
        <v>2.2000000000000001E-3</v>
      </c>
      <c r="J23530">
        <v>209</v>
      </c>
    </row>
    <row r="23531" spans="1:10" x14ac:dyDescent="0.35">
      <c r="A23531" t="s">
        <v>231</v>
      </c>
      <c r="B23531" t="s">
        <v>267</v>
      </c>
      <c r="C23531" s="26">
        <v>0.85289999999999999</v>
      </c>
      <c r="D23531" s="26">
        <v>0.1176</v>
      </c>
      <c r="E23531" s="26">
        <v>2.9399999999999999E-2</v>
      </c>
      <c r="J23531">
        <v>34</v>
      </c>
    </row>
    <row r="23532" spans="1:10" x14ac:dyDescent="0.35">
      <c r="A23532" t="s">
        <v>231</v>
      </c>
      <c r="B23532" t="s">
        <v>266</v>
      </c>
      <c r="C23532" s="26">
        <v>0.9355</v>
      </c>
      <c r="D23532" s="26">
        <v>4.8399999999999999E-2</v>
      </c>
      <c r="E23532" s="26">
        <v>1.61E-2</v>
      </c>
      <c r="J23532">
        <v>62</v>
      </c>
    </row>
    <row r="23533" spans="1:10" x14ac:dyDescent="0.35">
      <c r="A23533" t="s">
        <v>231</v>
      </c>
      <c r="B23533" t="s">
        <v>265</v>
      </c>
      <c r="C23533" s="26">
        <v>0.95589999999999997</v>
      </c>
      <c r="D23533" s="26">
        <v>4.41E-2</v>
      </c>
      <c r="J23533">
        <v>68</v>
      </c>
    </row>
    <row r="23534" spans="1:10" x14ac:dyDescent="0.35">
      <c r="A23534" t="s">
        <v>232</v>
      </c>
      <c r="B23534" t="s">
        <v>232</v>
      </c>
      <c r="C23534" s="26">
        <v>0.91010000000000002</v>
      </c>
      <c r="D23534" s="26">
        <v>5.9900000000000002E-2</v>
      </c>
      <c r="E23534" s="26">
        <v>2.1600000000000001E-2</v>
      </c>
      <c r="F23534" s="26">
        <v>3.5000000000000001E-3</v>
      </c>
      <c r="G23534" s="26">
        <v>2.3E-3</v>
      </c>
      <c r="H23534" s="26">
        <v>2.0999999999999999E-3</v>
      </c>
      <c r="I23534" s="26">
        <v>5.0000000000000001E-4</v>
      </c>
      <c r="J23534">
        <v>2813</v>
      </c>
    </row>
    <row r="23536" spans="1:10" x14ac:dyDescent="0.35">
      <c r="A23536" s="1" t="s">
        <v>2228</v>
      </c>
    </row>
    <row r="23537" spans="1:10" x14ac:dyDescent="0.35">
      <c r="A23537" t="s">
        <v>219</v>
      </c>
      <c r="B23537" t="s">
        <v>305</v>
      </c>
      <c r="C23537" t="s">
        <v>2051</v>
      </c>
      <c r="D23537" t="s">
        <v>2052</v>
      </c>
      <c r="E23537" t="s">
        <v>2053</v>
      </c>
      <c r="F23537" t="s">
        <v>2054</v>
      </c>
      <c r="G23537" t="s">
        <v>2055</v>
      </c>
      <c r="H23537" t="s">
        <v>281</v>
      </c>
      <c r="I23537" t="s">
        <v>286</v>
      </c>
      <c r="J23537" t="s">
        <v>226</v>
      </c>
    </row>
    <row r="23538" spans="1:10" x14ac:dyDescent="0.35">
      <c r="A23538" t="s">
        <v>227</v>
      </c>
      <c r="B23538" t="s">
        <v>252</v>
      </c>
      <c r="C23538" s="26">
        <v>0.93330000000000002</v>
      </c>
      <c r="D23538" s="26">
        <v>4.4400000000000002E-2</v>
      </c>
      <c r="F23538" s="26">
        <v>2.2200000000000001E-2</v>
      </c>
      <c r="J23538">
        <v>45</v>
      </c>
    </row>
    <row r="23539" spans="1:10" x14ac:dyDescent="0.35">
      <c r="A23539" t="s">
        <v>227</v>
      </c>
      <c r="B23539" t="s">
        <v>253</v>
      </c>
      <c r="C23539" s="26">
        <v>0.94120000000000004</v>
      </c>
      <c r="D23539" s="26">
        <v>5.8799999999999998E-2</v>
      </c>
      <c r="J23539">
        <v>34</v>
      </c>
    </row>
    <row r="23540" spans="1:10" x14ac:dyDescent="0.35">
      <c r="A23540" t="s">
        <v>227</v>
      </c>
      <c r="B23540" t="s">
        <v>251</v>
      </c>
      <c r="C23540" s="26">
        <v>0.91459999999999997</v>
      </c>
      <c r="D23540" s="26">
        <v>3.6600000000000001E-2</v>
      </c>
      <c r="E23540" s="26">
        <v>3.6600000000000001E-2</v>
      </c>
      <c r="F23540" s="26">
        <v>1.2200000000000001E-2</v>
      </c>
      <c r="J23540">
        <v>82</v>
      </c>
    </row>
    <row r="23541" spans="1:10" x14ac:dyDescent="0.35">
      <c r="A23541" t="s">
        <v>228</v>
      </c>
      <c r="B23541" t="s">
        <v>252</v>
      </c>
      <c r="C23541" s="26">
        <v>0.93540000000000001</v>
      </c>
      <c r="D23541" s="26">
        <v>3.6799999999999999E-2</v>
      </c>
      <c r="E23541" s="26">
        <v>7.7000000000000002E-3</v>
      </c>
      <c r="F23541" s="26">
        <v>3.5999999999999999E-3</v>
      </c>
      <c r="G23541" s="26">
        <v>1.11E-2</v>
      </c>
      <c r="H23541" s="26">
        <v>2.8E-3</v>
      </c>
      <c r="I23541" s="26">
        <v>2.5999999999999999E-3</v>
      </c>
      <c r="J23541">
        <v>344</v>
      </c>
    </row>
    <row r="23542" spans="1:10" x14ac:dyDescent="0.35">
      <c r="A23542" t="s">
        <v>228</v>
      </c>
      <c r="B23542" t="s">
        <v>253</v>
      </c>
      <c r="C23542" s="26">
        <v>0.80630000000000002</v>
      </c>
      <c r="D23542" s="26">
        <v>9.5600000000000004E-2</v>
      </c>
      <c r="E23542" s="26">
        <v>6.3299999999999995E-2</v>
      </c>
      <c r="F23542" s="26">
        <v>7.6E-3</v>
      </c>
      <c r="G23542" s="26">
        <v>1.9400000000000001E-2</v>
      </c>
      <c r="H23542" s="26">
        <v>5.7000000000000002E-3</v>
      </c>
      <c r="I23542" s="26">
        <v>2E-3</v>
      </c>
      <c r="J23542">
        <v>222</v>
      </c>
    </row>
    <row r="23543" spans="1:10" x14ac:dyDescent="0.35">
      <c r="A23543" t="s">
        <v>228</v>
      </c>
      <c r="B23543" t="s">
        <v>251</v>
      </c>
      <c r="C23543" s="26">
        <v>0.90310000000000001</v>
      </c>
      <c r="D23543" s="26">
        <v>6.6500000000000004E-2</v>
      </c>
      <c r="E23543" s="26">
        <v>2.1999999999999999E-2</v>
      </c>
      <c r="G23543" s="26">
        <v>8.3999999999999995E-3</v>
      </c>
      <c r="J23543">
        <v>467</v>
      </c>
    </row>
    <row r="23544" spans="1:10" x14ac:dyDescent="0.35">
      <c r="A23544" t="s">
        <v>229</v>
      </c>
      <c r="B23544" t="s">
        <v>252</v>
      </c>
      <c r="C23544" s="26">
        <v>0.94899999999999995</v>
      </c>
      <c r="D23544" s="26">
        <v>3.6900000000000002E-2</v>
      </c>
      <c r="E23544" s="26">
        <v>1.41E-2</v>
      </c>
      <c r="J23544">
        <v>199</v>
      </c>
    </row>
    <row r="23545" spans="1:10" x14ac:dyDescent="0.35">
      <c r="A23545" t="s">
        <v>229</v>
      </c>
      <c r="B23545" t="s">
        <v>253</v>
      </c>
      <c r="C23545" s="26">
        <v>0.84030000000000005</v>
      </c>
      <c r="D23545" s="26">
        <v>9.9599999999999994E-2</v>
      </c>
      <c r="E23545" s="26">
        <v>4.24E-2</v>
      </c>
      <c r="F23545" s="26">
        <v>8.9999999999999998E-4</v>
      </c>
      <c r="H23545" s="26">
        <v>1.3299999999999999E-2</v>
      </c>
      <c r="I23545" s="26">
        <v>3.5000000000000001E-3</v>
      </c>
      <c r="J23545">
        <v>145</v>
      </c>
    </row>
    <row r="23546" spans="1:10" x14ac:dyDescent="0.35">
      <c r="A23546" t="s">
        <v>229</v>
      </c>
      <c r="B23546" t="s">
        <v>251</v>
      </c>
      <c r="C23546" s="26">
        <v>0.9042</v>
      </c>
      <c r="D23546" s="26">
        <v>5.9400000000000001E-2</v>
      </c>
      <c r="E23546" s="26">
        <v>2.9899999999999999E-2</v>
      </c>
      <c r="F23546" s="26">
        <v>8.0000000000000004E-4</v>
      </c>
      <c r="H23546" s="26">
        <v>5.1000000000000004E-3</v>
      </c>
      <c r="I23546" s="26">
        <v>5.9999999999999995E-4</v>
      </c>
      <c r="J23546">
        <v>551</v>
      </c>
    </row>
    <row r="23547" spans="1:10" x14ac:dyDescent="0.35">
      <c r="A23547" t="s">
        <v>230</v>
      </c>
      <c r="B23547" t="s">
        <v>252</v>
      </c>
      <c r="C23547" s="26">
        <v>0.91900000000000004</v>
      </c>
      <c r="D23547" s="26">
        <v>3.8100000000000002E-2</v>
      </c>
      <c r="E23547" s="26">
        <v>4.07E-2</v>
      </c>
      <c r="F23547" s="26">
        <v>1.1000000000000001E-3</v>
      </c>
      <c r="G23547" s="26">
        <v>1.1000000000000001E-3</v>
      </c>
      <c r="J23547">
        <v>159</v>
      </c>
    </row>
    <row r="23548" spans="1:10" x14ac:dyDescent="0.35">
      <c r="A23548" t="s">
        <v>230</v>
      </c>
      <c r="B23548" t="s">
        <v>253</v>
      </c>
      <c r="C23548" s="26">
        <v>0.86829999999999996</v>
      </c>
      <c r="D23548" s="26">
        <v>0.1177</v>
      </c>
      <c r="E23548" s="26">
        <v>4.3E-3</v>
      </c>
      <c r="F23548" s="26">
        <v>4.7999999999999996E-3</v>
      </c>
      <c r="G23548" s="26">
        <v>4.7999999999999996E-3</v>
      </c>
      <c r="J23548">
        <v>110</v>
      </c>
    </row>
    <row r="23549" spans="1:10" x14ac:dyDescent="0.35">
      <c r="A23549" t="s">
        <v>230</v>
      </c>
      <c r="B23549" t="s">
        <v>251</v>
      </c>
      <c r="C23549" s="26">
        <v>0.89280000000000004</v>
      </c>
      <c r="D23549" s="26">
        <v>6.9000000000000006E-2</v>
      </c>
      <c r="E23549" s="26">
        <v>2.1999999999999999E-2</v>
      </c>
      <c r="F23549" s="26">
        <v>1.46E-2</v>
      </c>
      <c r="H23549" s="26">
        <v>1.6000000000000001E-3</v>
      </c>
      <c r="J23549">
        <v>291</v>
      </c>
    </row>
    <row r="23550" spans="1:10" x14ac:dyDescent="0.35">
      <c r="A23550" t="s">
        <v>231</v>
      </c>
      <c r="B23550" t="s">
        <v>252</v>
      </c>
      <c r="C23550" s="26">
        <v>0.91839999999999999</v>
      </c>
      <c r="D23550" s="26">
        <v>6.1199999999999997E-2</v>
      </c>
      <c r="E23550" s="26">
        <v>2.0400000000000001E-2</v>
      </c>
      <c r="J23550">
        <v>49</v>
      </c>
    </row>
    <row r="23551" spans="1:10" x14ac:dyDescent="0.35">
      <c r="A23551" t="s">
        <v>231</v>
      </c>
      <c r="B23551" t="s">
        <v>253</v>
      </c>
      <c r="C23551" s="26">
        <v>0.9</v>
      </c>
      <c r="D23551" s="26">
        <v>0.1</v>
      </c>
      <c r="J23551">
        <v>30</v>
      </c>
    </row>
    <row r="23552" spans="1:10" x14ac:dyDescent="0.35">
      <c r="A23552" t="s">
        <v>231</v>
      </c>
      <c r="B23552" t="s">
        <v>251</v>
      </c>
      <c r="C23552" s="26">
        <v>0.94120000000000004</v>
      </c>
      <c r="D23552" s="26">
        <v>4.7100000000000003E-2</v>
      </c>
      <c r="E23552" s="26">
        <v>1.18E-2</v>
      </c>
      <c r="J23552">
        <v>85</v>
      </c>
    </row>
    <row r="23553" spans="1:10" x14ac:dyDescent="0.35">
      <c r="A23553" t="s">
        <v>232</v>
      </c>
      <c r="B23553" t="s">
        <v>232</v>
      </c>
      <c r="C23553" s="26">
        <v>0.91010000000000002</v>
      </c>
      <c r="D23553" s="26">
        <v>5.9900000000000002E-2</v>
      </c>
      <c r="E23553" s="26">
        <v>2.1600000000000001E-2</v>
      </c>
      <c r="F23553" s="26">
        <v>3.5000000000000001E-3</v>
      </c>
      <c r="G23553" s="26">
        <v>2.3E-3</v>
      </c>
      <c r="H23553" s="26">
        <v>2.0999999999999999E-3</v>
      </c>
      <c r="I23553" s="26">
        <v>5.0000000000000001E-4</v>
      </c>
      <c r="J23553">
        <v>2813</v>
      </c>
    </row>
    <row r="23555" spans="1:10" x14ac:dyDescent="0.35">
      <c r="A23555" s="1" t="s">
        <v>2229</v>
      </c>
    </row>
    <row r="23556" spans="1:10" x14ac:dyDescent="0.35">
      <c r="A23556" t="s">
        <v>219</v>
      </c>
      <c r="B23556" t="s">
        <v>305</v>
      </c>
      <c r="C23556" t="s">
        <v>2051</v>
      </c>
      <c r="D23556" t="s">
        <v>2052</v>
      </c>
      <c r="E23556" t="s">
        <v>2053</v>
      </c>
      <c r="F23556" t="s">
        <v>2054</v>
      </c>
      <c r="G23556" t="s">
        <v>2055</v>
      </c>
      <c r="H23556" t="s">
        <v>281</v>
      </c>
      <c r="I23556" t="s">
        <v>286</v>
      </c>
      <c r="J23556" t="s">
        <v>226</v>
      </c>
    </row>
    <row r="23557" spans="1:10" x14ac:dyDescent="0.35">
      <c r="A23557" t="s">
        <v>227</v>
      </c>
      <c r="B23557" t="s">
        <v>249</v>
      </c>
      <c r="C23557" s="26">
        <v>0.86360000000000003</v>
      </c>
      <c r="D23557" s="26">
        <v>6.8199999999999997E-2</v>
      </c>
      <c r="E23557" s="26">
        <v>6.8199999999999997E-2</v>
      </c>
      <c r="J23557">
        <v>44</v>
      </c>
    </row>
    <row r="23558" spans="1:10" x14ac:dyDescent="0.35">
      <c r="A23558" t="s">
        <v>227</v>
      </c>
      <c r="B23558" t="s">
        <v>248</v>
      </c>
      <c r="C23558" s="26">
        <v>0.94869999999999999</v>
      </c>
      <c r="D23558" s="26">
        <v>3.4200000000000001E-2</v>
      </c>
      <c r="F23558" s="26">
        <v>1.7100000000000001E-2</v>
      </c>
      <c r="J23558">
        <v>117</v>
      </c>
    </row>
    <row r="23559" spans="1:10" x14ac:dyDescent="0.35">
      <c r="A23559" t="s">
        <v>228</v>
      </c>
      <c r="B23559" t="s">
        <v>249</v>
      </c>
      <c r="C23559" s="26">
        <v>0.8649</v>
      </c>
      <c r="D23559" s="26">
        <v>8.3299999999999999E-2</v>
      </c>
      <c r="E23559" s="26">
        <v>2.75E-2</v>
      </c>
      <c r="F23559" s="26">
        <v>4.4000000000000003E-3</v>
      </c>
      <c r="G23559" s="26">
        <v>1.47E-2</v>
      </c>
      <c r="H23559" s="26">
        <v>3.8999999999999998E-3</v>
      </c>
      <c r="I23559" s="26">
        <v>1.4E-3</v>
      </c>
      <c r="J23559">
        <v>274</v>
      </c>
    </row>
    <row r="23560" spans="1:10" x14ac:dyDescent="0.35">
      <c r="A23560" t="s">
        <v>228</v>
      </c>
      <c r="B23560" t="s">
        <v>248</v>
      </c>
      <c r="C23560" s="26">
        <v>0.90580000000000005</v>
      </c>
      <c r="D23560" s="26">
        <v>5.4300000000000001E-2</v>
      </c>
      <c r="E23560" s="26">
        <v>2.52E-2</v>
      </c>
      <c r="F23560" s="26">
        <v>2E-3</v>
      </c>
      <c r="G23560" s="26">
        <v>1.0200000000000001E-2</v>
      </c>
      <c r="H23560" s="26">
        <v>1.2999999999999999E-3</v>
      </c>
      <c r="I23560" s="26">
        <v>1.1999999999999999E-3</v>
      </c>
      <c r="J23560">
        <v>759</v>
      </c>
    </row>
    <row r="23561" spans="1:10" x14ac:dyDescent="0.35">
      <c r="A23561" t="s">
        <v>229</v>
      </c>
      <c r="B23561" t="s">
        <v>249</v>
      </c>
      <c r="C23561" s="26">
        <v>0.84699999999999998</v>
      </c>
      <c r="D23561" s="26">
        <v>0.1007</v>
      </c>
      <c r="E23561" s="26">
        <v>5.0799999999999998E-2</v>
      </c>
      <c r="F23561" s="26">
        <v>5.0000000000000001E-4</v>
      </c>
      <c r="H23561" s="26">
        <v>1E-3</v>
      </c>
      <c r="J23561">
        <v>259</v>
      </c>
    </row>
    <row r="23562" spans="1:10" x14ac:dyDescent="0.35">
      <c r="A23562" t="s">
        <v>229</v>
      </c>
      <c r="B23562" t="s">
        <v>248</v>
      </c>
      <c r="C23562" s="26">
        <v>0.92920000000000003</v>
      </c>
      <c r="D23562" s="26">
        <v>4.2999999999999997E-2</v>
      </c>
      <c r="E23562" s="26">
        <v>1.7899999999999999E-2</v>
      </c>
      <c r="F23562" s="26">
        <v>6.9999999999999999E-4</v>
      </c>
      <c r="H23562" s="26">
        <v>7.7000000000000002E-3</v>
      </c>
      <c r="I23562" s="26">
        <v>1.5E-3</v>
      </c>
      <c r="J23562">
        <v>636</v>
      </c>
    </row>
    <row r="23563" spans="1:10" x14ac:dyDescent="0.35">
      <c r="A23563" t="s">
        <v>230</v>
      </c>
      <c r="B23563" t="s">
        <v>249</v>
      </c>
      <c r="C23563" s="26">
        <v>0.88719999999999999</v>
      </c>
      <c r="D23563" s="26">
        <v>5.33E-2</v>
      </c>
      <c r="E23563" s="26">
        <v>3.0099999999999998E-2</v>
      </c>
      <c r="F23563" s="26">
        <v>2.6700000000000002E-2</v>
      </c>
      <c r="H23563" s="26">
        <v>2.7000000000000001E-3</v>
      </c>
      <c r="J23563">
        <v>171</v>
      </c>
    </row>
    <row r="23564" spans="1:10" x14ac:dyDescent="0.35">
      <c r="A23564" t="s">
        <v>230</v>
      </c>
      <c r="B23564" t="s">
        <v>248</v>
      </c>
      <c r="C23564" s="26">
        <v>0.89880000000000004</v>
      </c>
      <c r="D23564" s="26">
        <v>7.8899999999999998E-2</v>
      </c>
      <c r="E23564" s="26">
        <v>2.01E-2</v>
      </c>
      <c r="F23564" s="26">
        <v>4.0000000000000002E-4</v>
      </c>
      <c r="G23564" s="26">
        <v>1.8E-3</v>
      </c>
      <c r="J23564">
        <v>389</v>
      </c>
    </row>
    <row r="23565" spans="1:10" x14ac:dyDescent="0.35">
      <c r="A23565" t="s">
        <v>231</v>
      </c>
      <c r="B23565" t="s">
        <v>249</v>
      </c>
      <c r="C23565" s="26">
        <v>0.94289999999999996</v>
      </c>
      <c r="D23565" s="26">
        <v>5.7099999999999998E-2</v>
      </c>
      <c r="J23565">
        <v>35</v>
      </c>
    </row>
    <row r="23566" spans="1:10" x14ac:dyDescent="0.35">
      <c r="A23566" t="s">
        <v>231</v>
      </c>
      <c r="B23566" t="s">
        <v>248</v>
      </c>
      <c r="C23566" s="26">
        <v>0.92249999999999999</v>
      </c>
      <c r="D23566" s="26">
        <v>6.2E-2</v>
      </c>
      <c r="E23566" s="26">
        <v>1.55E-2</v>
      </c>
      <c r="J23566">
        <v>129</v>
      </c>
    </row>
    <row r="23567" spans="1:10" x14ac:dyDescent="0.35">
      <c r="A23567" t="s">
        <v>232</v>
      </c>
      <c r="B23567" t="s">
        <v>232</v>
      </c>
      <c r="C23567" s="26">
        <v>0.91010000000000002</v>
      </c>
      <c r="D23567" s="26">
        <v>5.9900000000000002E-2</v>
      </c>
      <c r="E23567" s="26">
        <v>2.1600000000000001E-2</v>
      </c>
      <c r="F23567" s="26">
        <v>3.5000000000000001E-3</v>
      </c>
      <c r="G23567" s="26">
        <v>2.3E-3</v>
      </c>
      <c r="H23567" s="26">
        <v>2.0999999999999999E-3</v>
      </c>
      <c r="I23567" s="26">
        <v>5.0000000000000001E-4</v>
      </c>
      <c r="J23567">
        <v>2813</v>
      </c>
    </row>
    <row r="23569" spans="1:10" x14ac:dyDescent="0.35">
      <c r="A23569" s="1" t="s">
        <v>2230</v>
      </c>
    </row>
    <row r="23570" spans="1:10" x14ac:dyDescent="0.35">
      <c r="A23570" t="s">
        <v>219</v>
      </c>
      <c r="B23570" t="s">
        <v>305</v>
      </c>
      <c r="C23570" t="s">
        <v>2051</v>
      </c>
      <c r="D23570" t="s">
        <v>2052</v>
      </c>
      <c r="E23570" t="s">
        <v>2053</v>
      </c>
      <c r="F23570" t="s">
        <v>2054</v>
      </c>
      <c r="G23570" t="s">
        <v>2055</v>
      </c>
      <c r="H23570" t="s">
        <v>281</v>
      </c>
      <c r="I23570" t="s">
        <v>286</v>
      </c>
      <c r="J23570" t="s">
        <v>226</v>
      </c>
    </row>
    <row r="23571" spans="1:10" x14ac:dyDescent="0.35">
      <c r="A23571" s="27" t="s">
        <v>227</v>
      </c>
      <c r="B23571" s="27" t="s">
        <v>263</v>
      </c>
      <c r="C23571" s="28">
        <v>1</v>
      </c>
      <c r="D23571" s="29"/>
      <c r="E23571" s="29"/>
      <c r="F23571" s="29"/>
      <c r="G23571" s="29"/>
      <c r="H23571" s="29"/>
      <c r="I23571" s="29"/>
      <c r="J23571" s="29" t="s">
        <v>315</v>
      </c>
    </row>
    <row r="23572" spans="1:10" x14ac:dyDescent="0.35">
      <c r="A23572" t="s">
        <v>227</v>
      </c>
      <c r="B23572" t="s">
        <v>261</v>
      </c>
      <c r="C23572" s="26">
        <v>0.84850000000000003</v>
      </c>
      <c r="D23572" s="26">
        <v>9.0899999999999995E-2</v>
      </c>
      <c r="E23572" s="26">
        <v>3.0300000000000001E-2</v>
      </c>
      <c r="F23572" s="26">
        <v>3.0300000000000001E-2</v>
      </c>
      <c r="J23572">
        <v>33</v>
      </c>
    </row>
    <row r="23573" spans="1:10" x14ac:dyDescent="0.35">
      <c r="A23573" s="27" t="s">
        <v>227</v>
      </c>
      <c r="B23573" s="27" t="s">
        <v>262</v>
      </c>
      <c r="C23573" s="28">
        <v>1</v>
      </c>
      <c r="D23573" s="29"/>
      <c r="E23573" s="29"/>
      <c r="F23573" s="29"/>
      <c r="G23573" s="29"/>
      <c r="H23573" s="29"/>
      <c r="I23573" s="29"/>
      <c r="J23573" s="29" t="s">
        <v>315</v>
      </c>
    </row>
    <row r="23574" spans="1:10" x14ac:dyDescent="0.35">
      <c r="A23574" t="s">
        <v>227</v>
      </c>
      <c r="B23574" t="s">
        <v>260</v>
      </c>
      <c r="C23574" s="26">
        <v>0.94259999999999999</v>
      </c>
      <c r="D23574" s="26">
        <v>3.2800000000000003E-2</v>
      </c>
      <c r="E23574" s="26">
        <v>1.6400000000000001E-2</v>
      </c>
      <c r="F23574" s="26">
        <v>8.2000000000000007E-3</v>
      </c>
      <c r="J23574">
        <v>122</v>
      </c>
    </row>
    <row r="23575" spans="1:10" x14ac:dyDescent="0.35">
      <c r="A23575" t="s">
        <v>228</v>
      </c>
      <c r="B23575" t="s">
        <v>261</v>
      </c>
      <c r="C23575" s="26">
        <v>0.92769999999999997</v>
      </c>
      <c r="D23575" s="26">
        <v>4.9200000000000001E-2</v>
      </c>
      <c r="E23575" s="26">
        <v>1.8599999999999998E-2</v>
      </c>
      <c r="F23575" s="26">
        <v>1.1999999999999999E-3</v>
      </c>
      <c r="G23575" s="26">
        <v>1.1999999999999999E-3</v>
      </c>
      <c r="I23575" s="26">
        <v>2.0999999999999999E-3</v>
      </c>
      <c r="J23575">
        <v>192</v>
      </c>
    </row>
    <row r="23576" spans="1:10" x14ac:dyDescent="0.35">
      <c r="A23576" s="27" t="s">
        <v>228</v>
      </c>
      <c r="B23576" s="27" t="s">
        <v>263</v>
      </c>
      <c r="C23576" s="28">
        <v>0.93559999999999999</v>
      </c>
      <c r="D23576" s="29"/>
      <c r="E23576" s="28">
        <v>2.93E-2</v>
      </c>
      <c r="F23576" s="28">
        <v>1.2999999999999999E-2</v>
      </c>
      <c r="G23576" s="28">
        <v>2.2100000000000002E-2</v>
      </c>
      <c r="H23576" s="29"/>
      <c r="I23576" s="29"/>
      <c r="J23576" s="29" t="s">
        <v>312</v>
      </c>
    </row>
    <row r="23577" spans="1:10" x14ac:dyDescent="0.35">
      <c r="A23577" s="27" t="s">
        <v>228</v>
      </c>
      <c r="B23577" s="27" t="s">
        <v>236</v>
      </c>
      <c r="C23577" s="28">
        <v>1</v>
      </c>
      <c r="D23577" s="29"/>
      <c r="E23577" s="29"/>
      <c r="F23577" s="29"/>
      <c r="G23577" s="29"/>
      <c r="H23577" s="29"/>
      <c r="I23577" s="29"/>
      <c r="J23577" s="29" t="s">
        <v>335</v>
      </c>
    </row>
    <row r="23578" spans="1:10" x14ac:dyDescent="0.35">
      <c r="A23578" t="s">
        <v>228</v>
      </c>
      <c r="B23578" t="s">
        <v>262</v>
      </c>
      <c r="C23578" s="26">
        <v>0.85129999999999995</v>
      </c>
      <c r="D23578" s="26">
        <v>9.4100000000000003E-2</v>
      </c>
      <c r="E23578" s="26">
        <v>4.6699999999999998E-2</v>
      </c>
      <c r="F23578" s="26">
        <v>3.8999999999999998E-3</v>
      </c>
      <c r="G23578" s="26">
        <v>1.5E-3</v>
      </c>
      <c r="I23578" s="26">
        <v>2.5000000000000001E-3</v>
      </c>
      <c r="J23578">
        <v>201</v>
      </c>
    </row>
    <row r="23579" spans="1:10" x14ac:dyDescent="0.35">
      <c r="A23579" t="s">
        <v>228</v>
      </c>
      <c r="B23579" t="s">
        <v>260</v>
      </c>
      <c r="C23579" s="26">
        <v>0.89190000000000003</v>
      </c>
      <c r="D23579" s="26">
        <v>6.1499999999999999E-2</v>
      </c>
      <c r="E23579" s="26">
        <v>2.2800000000000001E-2</v>
      </c>
      <c r="F23579" s="26">
        <v>2.5000000000000001E-3</v>
      </c>
      <c r="G23579" s="26">
        <v>1.7299999999999999E-2</v>
      </c>
      <c r="H23579" s="26">
        <v>3.3999999999999998E-3</v>
      </c>
      <c r="I23579" s="26">
        <v>6.9999999999999999E-4</v>
      </c>
      <c r="J23579">
        <v>609</v>
      </c>
    </row>
    <row r="23580" spans="1:10" x14ac:dyDescent="0.35">
      <c r="A23580" s="27" t="s">
        <v>229</v>
      </c>
      <c r="B23580" s="27" t="s">
        <v>263</v>
      </c>
      <c r="C23580" s="28">
        <v>0.9829</v>
      </c>
      <c r="D23580" s="28">
        <v>1.7100000000000001E-2</v>
      </c>
      <c r="E23580" s="29"/>
      <c r="F23580" s="29"/>
      <c r="G23580" s="29"/>
      <c r="H23580" s="29"/>
      <c r="I23580" s="29"/>
      <c r="J23580" s="29" t="s">
        <v>379</v>
      </c>
    </row>
    <row r="23581" spans="1:10" x14ac:dyDescent="0.35">
      <c r="A23581" t="s">
        <v>229</v>
      </c>
      <c r="B23581" t="s">
        <v>262</v>
      </c>
      <c r="C23581" s="26">
        <v>0.85070000000000001</v>
      </c>
      <c r="D23581" s="26">
        <v>9.4700000000000006E-2</v>
      </c>
      <c r="E23581" s="26">
        <v>4.3900000000000002E-2</v>
      </c>
      <c r="H23581" s="26">
        <v>9.5999999999999992E-3</v>
      </c>
      <c r="I23581" s="26">
        <v>1.1999999999999999E-3</v>
      </c>
      <c r="J23581">
        <v>188</v>
      </c>
    </row>
    <row r="23582" spans="1:10" x14ac:dyDescent="0.35">
      <c r="A23582" t="s">
        <v>229</v>
      </c>
      <c r="B23582" t="s">
        <v>261</v>
      </c>
      <c r="C23582" s="26">
        <v>0.88439999999999996</v>
      </c>
      <c r="D23582" s="26">
        <v>9.3200000000000005E-2</v>
      </c>
      <c r="E23582" s="26">
        <v>1.9099999999999999E-2</v>
      </c>
      <c r="F23582" s="26">
        <v>3.3999999999999998E-3</v>
      </c>
      <c r="J23582">
        <v>96</v>
      </c>
    </row>
    <row r="23583" spans="1:10" x14ac:dyDescent="0.35">
      <c r="A23583" s="27" t="s">
        <v>229</v>
      </c>
      <c r="B23583" s="27" t="s">
        <v>236</v>
      </c>
      <c r="C23583" s="28">
        <v>1</v>
      </c>
      <c r="D23583" s="29"/>
      <c r="E23583" s="29"/>
      <c r="F23583" s="29"/>
      <c r="G23583" s="29"/>
      <c r="H23583" s="29"/>
      <c r="I23583" s="29"/>
      <c r="J23583" s="29" t="s">
        <v>331</v>
      </c>
    </row>
    <row r="23584" spans="1:10" x14ac:dyDescent="0.35">
      <c r="A23584" t="s">
        <v>229</v>
      </c>
      <c r="B23584" t="s">
        <v>260</v>
      </c>
      <c r="C23584" s="26">
        <v>0.93010000000000004</v>
      </c>
      <c r="D23584" s="26">
        <v>3.8600000000000002E-2</v>
      </c>
      <c r="E23584" s="26">
        <v>2.46E-2</v>
      </c>
      <c r="F23584" s="26">
        <v>2.9999999999999997E-4</v>
      </c>
      <c r="H23584" s="26">
        <v>5.1000000000000004E-3</v>
      </c>
      <c r="I23584" s="26">
        <v>1.1999999999999999E-3</v>
      </c>
      <c r="J23584">
        <v>596</v>
      </c>
    </row>
    <row r="23585" spans="1:10" x14ac:dyDescent="0.35">
      <c r="A23585" s="27" t="s">
        <v>230</v>
      </c>
      <c r="B23585" s="27" t="s">
        <v>236</v>
      </c>
      <c r="C23585" s="28">
        <v>1</v>
      </c>
      <c r="D23585" s="29"/>
      <c r="E23585" s="29"/>
      <c r="F23585" s="29"/>
      <c r="G23585" s="29"/>
      <c r="H23585" s="29"/>
      <c r="I23585" s="29"/>
      <c r="J23585" s="29" t="s">
        <v>337</v>
      </c>
    </row>
    <row r="23586" spans="1:10" x14ac:dyDescent="0.35">
      <c r="A23586" t="s">
        <v>230</v>
      </c>
      <c r="B23586" t="s">
        <v>262</v>
      </c>
      <c r="C23586" s="26">
        <v>0.84009999999999996</v>
      </c>
      <c r="D23586" s="26">
        <v>0.12039999999999999</v>
      </c>
      <c r="E23586" s="26">
        <v>3.1600000000000003E-2</v>
      </c>
      <c r="F23586" s="26">
        <v>7.9000000000000008E-3</v>
      </c>
      <c r="J23586">
        <v>122</v>
      </c>
    </row>
    <row r="23587" spans="1:10" x14ac:dyDescent="0.35">
      <c r="A23587" t="s">
        <v>230</v>
      </c>
      <c r="B23587" t="s">
        <v>261</v>
      </c>
      <c r="C23587" s="26">
        <v>0.91290000000000004</v>
      </c>
      <c r="D23587" s="26">
        <v>5.7799999999999997E-2</v>
      </c>
      <c r="E23587" s="26">
        <v>8.8999999999999999E-3</v>
      </c>
      <c r="F23587" s="26">
        <v>1.3599999999999999E-2</v>
      </c>
      <c r="H23587" s="26">
        <v>6.7999999999999996E-3</v>
      </c>
      <c r="J23587">
        <v>57</v>
      </c>
    </row>
    <row r="23588" spans="1:10" x14ac:dyDescent="0.35">
      <c r="A23588" s="27" t="s">
        <v>230</v>
      </c>
      <c r="B23588" s="27" t="s">
        <v>263</v>
      </c>
      <c r="C23588" s="28">
        <v>0.5302</v>
      </c>
      <c r="D23588" s="28">
        <v>0.1227</v>
      </c>
      <c r="E23588" s="28">
        <v>0.34710000000000002</v>
      </c>
      <c r="F23588" s="29"/>
      <c r="G23588" s="29"/>
      <c r="H23588" s="29"/>
      <c r="I23588" s="29"/>
      <c r="J23588" s="29" t="s">
        <v>312</v>
      </c>
    </row>
    <row r="23589" spans="1:10" x14ac:dyDescent="0.35">
      <c r="A23589" t="s">
        <v>230</v>
      </c>
      <c r="B23589" t="s">
        <v>260</v>
      </c>
      <c r="C23589" s="26">
        <v>0.91080000000000005</v>
      </c>
      <c r="D23589" s="26">
        <v>6.13E-2</v>
      </c>
      <c r="E23589" s="26">
        <v>1.7100000000000001E-2</v>
      </c>
      <c r="F23589" s="26">
        <v>8.9999999999999993E-3</v>
      </c>
      <c r="G23589" s="26">
        <v>1.6999999999999999E-3</v>
      </c>
      <c r="J23589">
        <v>352</v>
      </c>
    </row>
    <row r="23590" spans="1:10" x14ac:dyDescent="0.35">
      <c r="A23590" s="27" t="s">
        <v>231</v>
      </c>
      <c r="B23590" s="27" t="s">
        <v>263</v>
      </c>
      <c r="C23590" s="28">
        <v>1</v>
      </c>
      <c r="D23590" s="29"/>
      <c r="E23590" s="29"/>
      <c r="F23590" s="29"/>
      <c r="G23590" s="29"/>
      <c r="H23590" s="29"/>
      <c r="I23590" s="29"/>
      <c r="J23590" s="29" t="s">
        <v>314</v>
      </c>
    </row>
    <row r="23591" spans="1:10" x14ac:dyDescent="0.35">
      <c r="A23591" t="s">
        <v>231</v>
      </c>
      <c r="B23591" t="s">
        <v>260</v>
      </c>
      <c r="C23591" s="26">
        <v>0.9355</v>
      </c>
      <c r="D23591" s="26">
        <v>5.6500000000000002E-2</v>
      </c>
      <c r="E23591" s="26">
        <v>8.0999999999999996E-3</v>
      </c>
      <c r="J23591">
        <v>124</v>
      </c>
    </row>
    <row r="23592" spans="1:10" x14ac:dyDescent="0.35">
      <c r="A23592" s="27" t="s">
        <v>231</v>
      </c>
      <c r="B23592" s="27" t="s">
        <v>261</v>
      </c>
      <c r="C23592" s="28">
        <v>0.85189999999999999</v>
      </c>
      <c r="D23592" s="28">
        <v>0.1111</v>
      </c>
      <c r="E23592" s="28">
        <v>3.6999999999999998E-2</v>
      </c>
      <c r="F23592" s="29"/>
      <c r="G23592" s="29"/>
      <c r="H23592" s="29"/>
      <c r="I23592" s="29"/>
      <c r="J23592" s="29" t="s">
        <v>338</v>
      </c>
    </row>
    <row r="23593" spans="1:10" x14ac:dyDescent="0.35">
      <c r="A23593" s="27" t="s">
        <v>231</v>
      </c>
      <c r="B23593" s="27" t="s">
        <v>262</v>
      </c>
      <c r="C23593" s="28">
        <v>1</v>
      </c>
      <c r="D23593" s="29"/>
      <c r="E23593" s="29"/>
      <c r="F23593" s="29"/>
      <c r="G23593" s="29"/>
      <c r="H23593" s="29"/>
      <c r="I23593" s="29"/>
      <c r="J23593" s="29" t="s">
        <v>352</v>
      </c>
    </row>
    <row r="23594" spans="1:10" x14ac:dyDescent="0.35">
      <c r="A23594" t="s">
        <v>232</v>
      </c>
      <c r="B23594" t="s">
        <v>232</v>
      </c>
      <c r="C23594" s="26">
        <v>0.91010000000000002</v>
      </c>
      <c r="D23594" s="26">
        <v>5.9900000000000002E-2</v>
      </c>
      <c r="E23594" s="26">
        <v>2.1600000000000001E-2</v>
      </c>
      <c r="F23594" s="26">
        <v>3.5000000000000001E-3</v>
      </c>
      <c r="G23594" s="26">
        <v>2.3E-3</v>
      </c>
      <c r="H23594" s="26">
        <v>2.0999999999999999E-3</v>
      </c>
      <c r="I23594" s="26">
        <v>5.0000000000000001E-4</v>
      </c>
      <c r="J23594">
        <v>2813</v>
      </c>
    </row>
    <row r="23596" spans="1:10" x14ac:dyDescent="0.35">
      <c r="A23596" s="1" t="s">
        <v>2231</v>
      </c>
    </row>
    <row r="23597" spans="1:10" x14ac:dyDescent="0.35">
      <c r="A23597" t="s">
        <v>219</v>
      </c>
      <c r="B23597" t="s">
        <v>305</v>
      </c>
      <c r="C23597" t="s">
        <v>2051</v>
      </c>
      <c r="D23597" t="s">
        <v>2052</v>
      </c>
      <c r="E23597" t="s">
        <v>2053</v>
      </c>
      <c r="F23597" t="s">
        <v>2054</v>
      </c>
      <c r="G23597" t="s">
        <v>2055</v>
      </c>
      <c r="H23597" t="s">
        <v>281</v>
      </c>
      <c r="I23597" t="s">
        <v>286</v>
      </c>
      <c r="J23597" t="s">
        <v>226</v>
      </c>
    </row>
    <row r="23598" spans="1:10" x14ac:dyDescent="0.35">
      <c r="A23598" t="s">
        <v>227</v>
      </c>
      <c r="B23598" t="s">
        <v>368</v>
      </c>
      <c r="C23598" s="26">
        <v>0.84850000000000003</v>
      </c>
      <c r="D23598" s="26">
        <v>9.0899999999999995E-2</v>
      </c>
      <c r="E23598" s="26">
        <v>3.0300000000000001E-2</v>
      </c>
      <c r="F23598" s="26">
        <v>3.0300000000000001E-2</v>
      </c>
      <c r="J23598">
        <v>33</v>
      </c>
    </row>
    <row r="23599" spans="1:10" x14ac:dyDescent="0.35">
      <c r="A23599" t="s">
        <v>227</v>
      </c>
      <c r="B23599" t="s">
        <v>369</v>
      </c>
      <c r="C23599" s="26">
        <v>0.94530000000000003</v>
      </c>
      <c r="D23599" s="26">
        <v>3.1199999999999999E-2</v>
      </c>
      <c r="E23599" s="26">
        <v>1.5599999999999999E-2</v>
      </c>
      <c r="F23599" s="26">
        <v>7.7999999999999996E-3</v>
      </c>
      <c r="J23599">
        <v>128</v>
      </c>
    </row>
    <row r="23600" spans="1:10" x14ac:dyDescent="0.35">
      <c r="A23600" t="s">
        <v>228</v>
      </c>
      <c r="B23600" t="s">
        <v>368</v>
      </c>
      <c r="C23600" s="26">
        <v>0.92769999999999997</v>
      </c>
      <c r="D23600" s="26">
        <v>4.9200000000000001E-2</v>
      </c>
      <c r="E23600" s="26">
        <v>1.8599999999999998E-2</v>
      </c>
      <c r="F23600" s="26">
        <v>1.1999999999999999E-3</v>
      </c>
      <c r="G23600" s="26">
        <v>1.1999999999999999E-3</v>
      </c>
      <c r="I23600" s="26">
        <v>2.0999999999999999E-3</v>
      </c>
      <c r="J23600">
        <v>192</v>
      </c>
    </row>
    <row r="23601" spans="1:10" x14ac:dyDescent="0.35">
      <c r="A23601" t="s">
        <v>228</v>
      </c>
      <c r="B23601" t="s">
        <v>369</v>
      </c>
      <c r="C23601" s="26">
        <v>0.88539999999999996</v>
      </c>
      <c r="D23601" s="26">
        <v>6.6299999999999998E-2</v>
      </c>
      <c r="E23601" s="26">
        <v>2.7699999999999999E-2</v>
      </c>
      <c r="F23601" s="26">
        <v>3.0000000000000001E-3</v>
      </c>
      <c r="G23601" s="26">
        <v>1.4E-2</v>
      </c>
      <c r="H23601" s="26">
        <v>2.5999999999999999E-3</v>
      </c>
      <c r="I23601" s="26">
        <v>1E-3</v>
      </c>
      <c r="J23601">
        <v>841</v>
      </c>
    </row>
    <row r="23602" spans="1:10" x14ac:dyDescent="0.35">
      <c r="A23602" t="s">
        <v>229</v>
      </c>
      <c r="B23602" t="s">
        <v>368</v>
      </c>
      <c r="C23602" s="26">
        <v>0.88439999999999996</v>
      </c>
      <c r="D23602" s="26">
        <v>9.3200000000000005E-2</v>
      </c>
      <c r="E23602" s="26">
        <v>1.9099999999999999E-2</v>
      </c>
      <c r="F23602" s="26">
        <v>3.3999999999999998E-3</v>
      </c>
      <c r="J23602">
        <v>96</v>
      </c>
    </row>
    <row r="23603" spans="1:10" x14ac:dyDescent="0.35">
      <c r="A23603" t="s">
        <v>229</v>
      </c>
      <c r="B23603" t="s">
        <v>369</v>
      </c>
      <c r="C23603" s="26">
        <v>0.90529999999999999</v>
      </c>
      <c r="D23603" s="26">
        <v>5.6500000000000002E-2</v>
      </c>
      <c r="E23603" s="26">
        <v>3.04E-2</v>
      </c>
      <c r="F23603" s="26">
        <v>2.0000000000000001E-4</v>
      </c>
      <c r="H23603" s="26">
        <v>6.4999999999999997E-3</v>
      </c>
      <c r="I23603" s="26">
        <v>1.1999999999999999E-3</v>
      </c>
      <c r="J23603">
        <v>799</v>
      </c>
    </row>
    <row r="23604" spans="1:10" x14ac:dyDescent="0.35">
      <c r="A23604" t="s">
        <v>230</v>
      </c>
      <c r="B23604" t="s">
        <v>368</v>
      </c>
      <c r="C23604" s="26">
        <v>0.91290000000000004</v>
      </c>
      <c r="D23604" s="26">
        <v>5.7799999999999997E-2</v>
      </c>
      <c r="E23604" s="26">
        <v>8.8999999999999999E-3</v>
      </c>
      <c r="F23604" s="26">
        <v>1.3599999999999999E-2</v>
      </c>
      <c r="H23604" s="26">
        <v>6.7999999999999996E-3</v>
      </c>
      <c r="J23604">
        <v>57</v>
      </c>
    </row>
    <row r="23605" spans="1:10" x14ac:dyDescent="0.35">
      <c r="A23605" t="s">
        <v>230</v>
      </c>
      <c r="B23605" t="s">
        <v>369</v>
      </c>
      <c r="C23605" s="26">
        <v>0.8921</v>
      </c>
      <c r="D23605" s="26">
        <v>7.22E-2</v>
      </c>
      <c r="E23605" s="26">
        <v>2.5700000000000001E-2</v>
      </c>
      <c r="F23605" s="26">
        <v>8.6E-3</v>
      </c>
      <c r="G23605" s="26">
        <v>1.4E-3</v>
      </c>
      <c r="J23605">
        <v>503</v>
      </c>
    </row>
    <row r="23606" spans="1:10" x14ac:dyDescent="0.35">
      <c r="A23606" s="27" t="s">
        <v>231</v>
      </c>
      <c r="B23606" s="27" t="s">
        <v>368</v>
      </c>
      <c r="C23606" s="28">
        <v>0.85189999999999999</v>
      </c>
      <c r="D23606" s="28">
        <v>0.1111</v>
      </c>
      <c r="E23606" s="28">
        <v>3.6999999999999998E-2</v>
      </c>
      <c r="F23606" s="29"/>
      <c r="G23606" s="29"/>
      <c r="H23606" s="29"/>
      <c r="I23606" s="29"/>
      <c r="J23606" s="29" t="s">
        <v>338</v>
      </c>
    </row>
    <row r="23607" spans="1:10" x14ac:dyDescent="0.35">
      <c r="A23607" t="s">
        <v>231</v>
      </c>
      <c r="B23607" t="s">
        <v>369</v>
      </c>
      <c r="C23607" s="26">
        <v>0.94159999999999999</v>
      </c>
      <c r="D23607" s="26">
        <v>5.11E-2</v>
      </c>
      <c r="E23607" s="26">
        <v>7.3000000000000001E-3</v>
      </c>
      <c r="J23607">
        <v>137</v>
      </c>
    </row>
    <row r="23608" spans="1:10" x14ac:dyDescent="0.35">
      <c r="A23608" t="s">
        <v>232</v>
      </c>
      <c r="B23608" t="s">
        <v>232</v>
      </c>
      <c r="C23608" s="26">
        <v>0.91010000000000002</v>
      </c>
      <c r="D23608" s="26">
        <v>5.9900000000000002E-2</v>
      </c>
      <c r="E23608" s="26">
        <v>2.1600000000000001E-2</v>
      </c>
      <c r="F23608" s="26">
        <v>3.5000000000000001E-3</v>
      </c>
      <c r="G23608" s="26">
        <v>2.3E-3</v>
      </c>
      <c r="H23608" s="26">
        <v>2.0999999999999999E-3</v>
      </c>
      <c r="I23608" s="26">
        <v>5.0000000000000001E-4</v>
      </c>
      <c r="J23608">
        <v>2813</v>
      </c>
    </row>
    <row r="23610" spans="1:10" x14ac:dyDescent="0.35">
      <c r="A23610" s="1" t="s">
        <v>2232</v>
      </c>
    </row>
    <row r="23611" spans="1:10" x14ac:dyDescent="0.35">
      <c r="A23611" t="s">
        <v>219</v>
      </c>
      <c r="B23611" t="s">
        <v>305</v>
      </c>
      <c r="C23611" t="s">
        <v>2051</v>
      </c>
      <c r="D23611" t="s">
        <v>2052</v>
      </c>
      <c r="E23611" t="s">
        <v>2053</v>
      </c>
      <c r="F23611" t="s">
        <v>2054</v>
      </c>
      <c r="G23611" t="s">
        <v>2055</v>
      </c>
      <c r="H23611" t="s">
        <v>281</v>
      </c>
      <c r="I23611" t="s">
        <v>286</v>
      </c>
      <c r="J23611" t="s">
        <v>226</v>
      </c>
    </row>
    <row r="23612" spans="1:10" x14ac:dyDescent="0.35">
      <c r="A23612" t="s">
        <v>227</v>
      </c>
      <c r="B23612" t="s">
        <v>371</v>
      </c>
      <c r="C23612" s="26">
        <v>0.92549999999999999</v>
      </c>
      <c r="D23612" s="26">
        <v>4.3499999999999997E-2</v>
      </c>
      <c r="E23612" s="26">
        <v>1.8599999999999998E-2</v>
      </c>
      <c r="F23612" s="26">
        <v>1.24E-2</v>
      </c>
      <c r="J23612">
        <v>161</v>
      </c>
    </row>
    <row r="23613" spans="1:10" x14ac:dyDescent="0.35">
      <c r="A23613" t="s">
        <v>228</v>
      </c>
      <c r="B23613" t="s">
        <v>371</v>
      </c>
      <c r="C23613" s="26">
        <v>0.89080000000000004</v>
      </c>
      <c r="D23613" s="26">
        <v>7.4399999999999994E-2</v>
      </c>
      <c r="E23613" s="26">
        <v>1.5800000000000002E-2</v>
      </c>
      <c r="G23613" s="26">
        <v>1.9099999999999999E-2</v>
      </c>
      <c r="J23613">
        <v>292</v>
      </c>
    </row>
    <row r="23614" spans="1:10" x14ac:dyDescent="0.35">
      <c r="A23614" t="s">
        <v>228</v>
      </c>
      <c r="B23614" t="s">
        <v>372</v>
      </c>
      <c r="C23614" s="26">
        <v>0.81620000000000004</v>
      </c>
      <c r="D23614" s="26">
        <v>6.8000000000000005E-2</v>
      </c>
      <c r="E23614" s="26">
        <v>7.3700000000000002E-2</v>
      </c>
      <c r="F23614" s="26">
        <v>1.34E-2</v>
      </c>
      <c r="G23614" s="26">
        <v>1.34E-2</v>
      </c>
      <c r="H23614" s="26">
        <v>5.7000000000000002E-3</v>
      </c>
      <c r="I23614" s="26">
        <v>9.7000000000000003E-3</v>
      </c>
      <c r="J23614">
        <v>218</v>
      </c>
    </row>
    <row r="23615" spans="1:10" x14ac:dyDescent="0.35">
      <c r="A23615" t="s">
        <v>228</v>
      </c>
      <c r="B23615" t="s">
        <v>373</v>
      </c>
      <c r="C23615" s="26">
        <v>0.91420000000000001</v>
      </c>
      <c r="D23615" s="26">
        <v>4.6699999999999998E-2</v>
      </c>
      <c r="E23615" s="26">
        <v>2.9000000000000001E-2</v>
      </c>
      <c r="F23615" s="26">
        <v>4.0000000000000001E-3</v>
      </c>
      <c r="G23615" s="26">
        <v>1.1000000000000001E-3</v>
      </c>
      <c r="H23615" s="26">
        <v>4.0000000000000001E-3</v>
      </c>
      <c r="I23615" s="26">
        <v>1.1000000000000001E-3</v>
      </c>
      <c r="J23615">
        <v>523</v>
      </c>
    </row>
    <row r="23616" spans="1:10" x14ac:dyDescent="0.35">
      <c r="A23616" t="s">
        <v>229</v>
      </c>
      <c r="B23616" t="s">
        <v>371</v>
      </c>
      <c r="C23616" s="26">
        <v>0.90210000000000001</v>
      </c>
      <c r="D23616" s="26">
        <v>6.1800000000000001E-2</v>
      </c>
      <c r="E23616" s="26">
        <v>2.9499999999999998E-2</v>
      </c>
      <c r="F23616" s="26">
        <v>4.0000000000000002E-4</v>
      </c>
      <c r="H23616" s="26">
        <v>5.5999999999999999E-3</v>
      </c>
      <c r="I23616" s="26">
        <v>6.9999999999999999E-4</v>
      </c>
      <c r="J23616">
        <v>584</v>
      </c>
    </row>
    <row r="23617" spans="1:10" x14ac:dyDescent="0.35">
      <c r="A23617" t="s">
        <v>229</v>
      </c>
      <c r="B23617" t="s">
        <v>372</v>
      </c>
      <c r="C23617" s="26">
        <v>0.87019999999999997</v>
      </c>
      <c r="D23617" s="26">
        <v>8.6499999999999994E-2</v>
      </c>
      <c r="E23617" s="26">
        <v>3.0099999999999998E-2</v>
      </c>
      <c r="H23617" s="26">
        <v>6.6E-3</v>
      </c>
      <c r="I23617" s="26">
        <v>6.6E-3</v>
      </c>
      <c r="J23617">
        <v>221</v>
      </c>
    </row>
    <row r="23618" spans="1:10" x14ac:dyDescent="0.35">
      <c r="A23618" t="s">
        <v>229</v>
      </c>
      <c r="B23618" t="s">
        <v>373</v>
      </c>
      <c r="C23618" s="26">
        <v>0.96550000000000002</v>
      </c>
      <c r="D23618" s="26">
        <v>2.2200000000000001E-2</v>
      </c>
      <c r="F23618" s="26">
        <v>1.23E-2</v>
      </c>
      <c r="J23618">
        <v>90</v>
      </c>
    </row>
    <row r="23619" spans="1:10" x14ac:dyDescent="0.35">
      <c r="A23619" t="s">
        <v>230</v>
      </c>
      <c r="B23619" t="s">
        <v>371</v>
      </c>
      <c r="C23619" s="26">
        <v>0.90290000000000004</v>
      </c>
      <c r="D23619" s="26">
        <v>6.3899999999999998E-2</v>
      </c>
      <c r="E23619" s="26">
        <v>2.1000000000000001E-2</v>
      </c>
      <c r="F23619" s="26">
        <v>9.9000000000000008E-3</v>
      </c>
      <c r="G23619" s="26">
        <v>1.1000000000000001E-3</v>
      </c>
      <c r="H23619" s="26">
        <v>1.1000000000000001E-3</v>
      </c>
      <c r="J23619">
        <v>262</v>
      </c>
    </row>
    <row r="23620" spans="1:10" x14ac:dyDescent="0.35">
      <c r="A23620" t="s">
        <v>230</v>
      </c>
      <c r="B23620" t="s">
        <v>372</v>
      </c>
      <c r="C23620" s="26">
        <v>0.87570000000000003</v>
      </c>
      <c r="D23620" s="26">
        <v>8.6400000000000005E-2</v>
      </c>
      <c r="E23620" s="26">
        <v>2.8400000000000002E-2</v>
      </c>
      <c r="F23620" s="26">
        <v>4.7000000000000002E-3</v>
      </c>
      <c r="G23620" s="26">
        <v>4.7000000000000002E-3</v>
      </c>
      <c r="J23620">
        <v>146</v>
      </c>
    </row>
    <row r="23621" spans="1:10" x14ac:dyDescent="0.35">
      <c r="A23621" t="s">
        <v>230</v>
      </c>
      <c r="B23621" t="s">
        <v>373</v>
      </c>
      <c r="C23621" s="26">
        <v>0.85229999999999995</v>
      </c>
      <c r="D23621" s="26">
        <v>0.1038</v>
      </c>
      <c r="E23621" s="26">
        <v>3.6900000000000002E-2</v>
      </c>
      <c r="F23621" s="26">
        <v>7.0000000000000001E-3</v>
      </c>
      <c r="J23621">
        <v>152</v>
      </c>
    </row>
    <row r="23622" spans="1:10" x14ac:dyDescent="0.35">
      <c r="A23622" t="s">
        <v>231</v>
      </c>
      <c r="B23622" t="s">
        <v>371</v>
      </c>
      <c r="C23622" s="26">
        <v>0.92679999999999996</v>
      </c>
      <c r="D23622" s="26">
        <v>6.0999999999999999E-2</v>
      </c>
      <c r="E23622" s="26">
        <v>1.2200000000000001E-2</v>
      </c>
      <c r="J23622">
        <v>164</v>
      </c>
    </row>
    <row r="23623" spans="1:10" x14ac:dyDescent="0.35">
      <c r="A23623" t="s">
        <v>232</v>
      </c>
      <c r="B23623" t="s">
        <v>232</v>
      </c>
      <c r="C23623" s="26">
        <v>0.91010000000000002</v>
      </c>
      <c r="D23623" s="26">
        <v>5.9900000000000002E-2</v>
      </c>
      <c r="E23623" s="26">
        <v>2.1600000000000001E-2</v>
      </c>
      <c r="F23623" s="26">
        <v>3.5000000000000001E-3</v>
      </c>
      <c r="G23623" s="26">
        <v>2.3E-3</v>
      </c>
      <c r="H23623" s="26">
        <v>2.0999999999999999E-3</v>
      </c>
      <c r="I23623" s="26">
        <v>5.0000000000000001E-4</v>
      </c>
      <c r="J23623">
        <v>2813</v>
      </c>
    </row>
    <row r="23625" spans="1:10" x14ac:dyDescent="0.35">
      <c r="A23625" s="1" t="s">
        <v>2233</v>
      </c>
    </row>
    <row r="23626" spans="1:10" x14ac:dyDescent="0.35">
      <c r="A23626" t="s">
        <v>219</v>
      </c>
      <c r="B23626" t="s">
        <v>305</v>
      </c>
      <c r="C23626" t="s">
        <v>2051</v>
      </c>
      <c r="D23626" t="s">
        <v>2052</v>
      </c>
      <c r="E23626" t="s">
        <v>2053</v>
      </c>
      <c r="F23626" t="s">
        <v>2054</v>
      </c>
      <c r="G23626" t="s">
        <v>2055</v>
      </c>
      <c r="H23626" t="s">
        <v>281</v>
      </c>
      <c r="I23626" t="s">
        <v>286</v>
      </c>
      <c r="J23626" t="s">
        <v>226</v>
      </c>
    </row>
    <row r="23627" spans="1:10" x14ac:dyDescent="0.35">
      <c r="A23627" t="s">
        <v>227</v>
      </c>
      <c r="B23627" t="s">
        <v>255</v>
      </c>
      <c r="C23627" s="26">
        <v>0.94869999999999999</v>
      </c>
      <c r="D23627" s="26">
        <v>3.4200000000000001E-2</v>
      </c>
      <c r="F23627" s="26">
        <v>1.7100000000000001E-2</v>
      </c>
      <c r="J23627">
        <v>117</v>
      </c>
    </row>
    <row r="23628" spans="1:10" x14ac:dyDescent="0.35">
      <c r="A23628" s="27" t="s">
        <v>227</v>
      </c>
      <c r="B23628" s="27" t="s">
        <v>257</v>
      </c>
      <c r="C23628" s="28">
        <v>0.88890000000000002</v>
      </c>
      <c r="D23628" s="28">
        <v>0.1111</v>
      </c>
      <c r="E23628" s="29"/>
      <c r="F23628" s="29"/>
      <c r="G23628" s="29"/>
      <c r="H23628" s="29"/>
      <c r="I23628" s="29"/>
      <c r="J23628" s="29" t="s">
        <v>334</v>
      </c>
    </row>
    <row r="23629" spans="1:10" x14ac:dyDescent="0.35">
      <c r="A23629" t="s">
        <v>227</v>
      </c>
      <c r="B23629" t="s">
        <v>256</v>
      </c>
      <c r="C23629" s="26">
        <v>0.85709999999999997</v>
      </c>
      <c r="D23629" s="26">
        <v>5.7099999999999998E-2</v>
      </c>
      <c r="E23629" s="26">
        <v>8.5699999999999998E-2</v>
      </c>
      <c r="J23629">
        <v>35</v>
      </c>
    </row>
    <row r="23630" spans="1:10" x14ac:dyDescent="0.35">
      <c r="A23630" t="s">
        <v>228</v>
      </c>
      <c r="B23630" t="s">
        <v>257</v>
      </c>
      <c r="C23630" s="26">
        <v>0.81969999999999998</v>
      </c>
      <c r="D23630" s="26">
        <v>0.14599999999999999</v>
      </c>
      <c r="E23630" s="26">
        <v>2.64E-2</v>
      </c>
      <c r="G23630" s="26">
        <v>7.9000000000000008E-3</v>
      </c>
      <c r="J23630">
        <v>49</v>
      </c>
    </row>
    <row r="23631" spans="1:10" x14ac:dyDescent="0.35">
      <c r="A23631" s="27" t="s">
        <v>228</v>
      </c>
      <c r="B23631" s="27" t="s">
        <v>258</v>
      </c>
      <c r="C23631" s="28">
        <v>1</v>
      </c>
      <c r="D23631" s="29"/>
      <c r="E23631" s="29"/>
      <c r="F23631" s="29"/>
      <c r="G23631" s="29"/>
      <c r="H23631" s="29"/>
      <c r="I23631" s="29"/>
      <c r="J23631" s="29" t="s">
        <v>337</v>
      </c>
    </row>
    <row r="23632" spans="1:10" x14ac:dyDescent="0.35">
      <c r="A23632" t="s">
        <v>228</v>
      </c>
      <c r="B23632" t="s">
        <v>256</v>
      </c>
      <c r="C23632" s="26">
        <v>0.87150000000000005</v>
      </c>
      <c r="D23632" s="26">
        <v>7.17E-2</v>
      </c>
      <c r="E23632" s="26">
        <v>2.8400000000000002E-2</v>
      </c>
      <c r="F23632" s="26">
        <v>5.4000000000000003E-3</v>
      </c>
      <c r="G23632" s="26">
        <v>1.6500000000000001E-2</v>
      </c>
      <c r="H23632" s="26">
        <v>4.7999999999999996E-3</v>
      </c>
      <c r="I23632" s="26">
        <v>1.6999999999999999E-3</v>
      </c>
      <c r="J23632">
        <v>221</v>
      </c>
    </row>
    <row r="23633" spans="1:10" x14ac:dyDescent="0.35">
      <c r="A23633" t="s">
        <v>228</v>
      </c>
      <c r="B23633" t="s">
        <v>255</v>
      </c>
      <c r="C23633" s="26">
        <v>0.90580000000000005</v>
      </c>
      <c r="D23633" s="26">
        <v>5.4300000000000001E-2</v>
      </c>
      <c r="E23633" s="26">
        <v>2.52E-2</v>
      </c>
      <c r="F23633" s="26">
        <v>2E-3</v>
      </c>
      <c r="G23633" s="26">
        <v>1.0200000000000001E-2</v>
      </c>
      <c r="H23633" s="26">
        <v>1.2999999999999999E-3</v>
      </c>
      <c r="I23633" s="26">
        <v>1.1999999999999999E-3</v>
      </c>
      <c r="J23633">
        <v>759</v>
      </c>
    </row>
    <row r="23634" spans="1:10" x14ac:dyDescent="0.35">
      <c r="A23634" t="s">
        <v>229</v>
      </c>
      <c r="B23634" t="s">
        <v>256</v>
      </c>
      <c r="C23634" s="26">
        <v>0.84550000000000003</v>
      </c>
      <c r="D23634" s="26">
        <v>0.1144</v>
      </c>
      <c r="E23634" s="26">
        <v>3.8399999999999997E-2</v>
      </c>
      <c r="F23634" s="26">
        <v>5.9999999999999995E-4</v>
      </c>
      <c r="H23634" s="26">
        <v>1.1999999999999999E-3</v>
      </c>
      <c r="J23634">
        <v>207</v>
      </c>
    </row>
    <row r="23635" spans="1:10" x14ac:dyDescent="0.35">
      <c r="A23635" t="s">
        <v>229</v>
      </c>
      <c r="B23635" t="s">
        <v>255</v>
      </c>
      <c r="C23635" s="26">
        <v>0.92920000000000003</v>
      </c>
      <c r="D23635" s="26">
        <v>4.2999999999999997E-2</v>
      </c>
      <c r="E23635" s="26">
        <v>1.7899999999999999E-2</v>
      </c>
      <c r="F23635" s="26">
        <v>6.9999999999999999E-4</v>
      </c>
      <c r="H23635" s="26">
        <v>7.7000000000000002E-3</v>
      </c>
      <c r="I23635" s="26">
        <v>1.5E-3</v>
      </c>
      <c r="J23635">
        <v>636</v>
      </c>
    </row>
    <row r="23636" spans="1:10" x14ac:dyDescent="0.35">
      <c r="A23636" t="s">
        <v>229</v>
      </c>
      <c r="B23636" t="s">
        <v>257</v>
      </c>
      <c r="C23636" s="26">
        <v>0.85360000000000003</v>
      </c>
      <c r="D23636" s="26">
        <v>3.2500000000000001E-2</v>
      </c>
      <c r="E23636" s="26">
        <v>0.1139</v>
      </c>
      <c r="J23636">
        <v>50</v>
      </c>
    </row>
    <row r="23637" spans="1:10" x14ac:dyDescent="0.35">
      <c r="A23637" s="27" t="s">
        <v>229</v>
      </c>
      <c r="B23637" s="27" t="s">
        <v>258</v>
      </c>
      <c r="C23637" s="28">
        <v>1</v>
      </c>
      <c r="D23637" s="29"/>
      <c r="E23637" s="29"/>
      <c r="F23637" s="29"/>
      <c r="G23637" s="29"/>
      <c r="H23637" s="29"/>
      <c r="I23637" s="29"/>
      <c r="J23637" s="29" t="s">
        <v>314</v>
      </c>
    </row>
    <row r="23638" spans="1:10" x14ac:dyDescent="0.35">
      <c r="A23638" t="s">
        <v>230</v>
      </c>
      <c r="B23638" t="s">
        <v>256</v>
      </c>
      <c r="C23638" s="26">
        <v>0.89139999999999997</v>
      </c>
      <c r="D23638" s="26">
        <v>5.67E-2</v>
      </c>
      <c r="E23638" s="26">
        <v>3.7999999999999999E-2</v>
      </c>
      <c r="F23638" s="26">
        <v>1.04E-2</v>
      </c>
      <c r="H23638" s="26">
        <v>3.5000000000000001E-3</v>
      </c>
      <c r="J23638">
        <v>130</v>
      </c>
    </row>
    <row r="23639" spans="1:10" x14ac:dyDescent="0.35">
      <c r="A23639" t="s">
        <v>230</v>
      </c>
      <c r="B23639" t="s">
        <v>255</v>
      </c>
      <c r="C23639" s="26">
        <v>0.89880000000000004</v>
      </c>
      <c r="D23639" s="26">
        <v>7.8899999999999998E-2</v>
      </c>
      <c r="E23639" s="26">
        <v>2.01E-2</v>
      </c>
      <c r="F23639" s="26">
        <v>4.0000000000000002E-4</v>
      </c>
      <c r="G23639" s="26">
        <v>1.8E-3</v>
      </c>
      <c r="J23639">
        <v>389</v>
      </c>
    </row>
    <row r="23640" spans="1:10" x14ac:dyDescent="0.35">
      <c r="A23640" t="s">
        <v>230</v>
      </c>
      <c r="B23640" t="s">
        <v>257</v>
      </c>
      <c r="C23640" s="26">
        <v>0.86119999999999997</v>
      </c>
      <c r="D23640" s="26">
        <v>4.5900000000000003E-2</v>
      </c>
      <c r="E23640" s="26">
        <v>3.8999999999999998E-3</v>
      </c>
      <c r="F23640" s="26">
        <v>8.8999999999999996E-2</v>
      </c>
      <c r="J23640">
        <v>38</v>
      </c>
    </row>
    <row r="23641" spans="1:10" x14ac:dyDescent="0.35">
      <c r="A23641" s="27" t="s">
        <v>230</v>
      </c>
      <c r="B23641" s="27" t="s">
        <v>258</v>
      </c>
      <c r="C23641" s="28">
        <v>1</v>
      </c>
      <c r="D23641" s="29"/>
      <c r="E23641" s="29"/>
      <c r="F23641" s="29"/>
      <c r="G23641" s="29"/>
      <c r="H23641" s="29"/>
      <c r="I23641" s="29"/>
      <c r="J23641" s="29" t="s">
        <v>315</v>
      </c>
    </row>
    <row r="23642" spans="1:10" x14ac:dyDescent="0.35">
      <c r="A23642" s="27" t="s">
        <v>231</v>
      </c>
      <c r="B23642" s="27" t="s">
        <v>257</v>
      </c>
      <c r="C23642" s="28">
        <v>1</v>
      </c>
      <c r="D23642" s="29"/>
      <c r="E23642" s="29"/>
      <c r="F23642" s="29"/>
      <c r="G23642" s="29"/>
      <c r="H23642" s="29"/>
      <c r="I23642" s="29"/>
      <c r="J23642" s="29" t="s">
        <v>339</v>
      </c>
    </row>
    <row r="23643" spans="1:10" x14ac:dyDescent="0.35">
      <c r="A23643" t="s">
        <v>231</v>
      </c>
      <c r="B23643" t="s">
        <v>255</v>
      </c>
      <c r="C23643" s="26">
        <v>0.92249999999999999</v>
      </c>
      <c r="D23643" s="26">
        <v>6.2E-2</v>
      </c>
      <c r="E23643" s="26">
        <v>1.55E-2</v>
      </c>
      <c r="J23643">
        <v>129</v>
      </c>
    </row>
    <row r="23644" spans="1:10" x14ac:dyDescent="0.35">
      <c r="A23644" s="27" t="s">
        <v>231</v>
      </c>
      <c r="B23644" s="27" t="s">
        <v>256</v>
      </c>
      <c r="C23644" s="28">
        <v>0.92859999999999998</v>
      </c>
      <c r="D23644" s="28">
        <v>7.1400000000000005E-2</v>
      </c>
      <c r="E23644" s="29"/>
      <c r="F23644" s="29"/>
      <c r="G23644" s="29"/>
      <c r="H23644" s="29"/>
      <c r="I23644" s="29"/>
      <c r="J23644" s="29" t="s">
        <v>336</v>
      </c>
    </row>
    <row r="23645" spans="1:10" x14ac:dyDescent="0.35">
      <c r="A23645" t="s">
        <v>232</v>
      </c>
      <c r="B23645" t="s">
        <v>232</v>
      </c>
      <c r="C23645" s="26">
        <v>0.91010000000000002</v>
      </c>
      <c r="D23645" s="26">
        <v>5.9900000000000002E-2</v>
      </c>
      <c r="E23645" s="26">
        <v>2.1600000000000001E-2</v>
      </c>
      <c r="F23645" s="26">
        <v>3.5000000000000001E-3</v>
      </c>
      <c r="G23645" s="26">
        <v>2.3E-3</v>
      </c>
      <c r="H23645" s="26">
        <v>2.0999999999999999E-3</v>
      </c>
      <c r="I23645" s="26">
        <v>5.0000000000000001E-4</v>
      </c>
      <c r="J23645">
        <v>2813</v>
      </c>
    </row>
    <row r="23647" spans="1:10" x14ac:dyDescent="0.35">
      <c r="A23647" s="1" t="s">
        <v>2234</v>
      </c>
    </row>
    <row r="23648" spans="1:10" x14ac:dyDescent="0.35">
      <c r="A23648" t="s">
        <v>219</v>
      </c>
      <c r="B23648" t="s">
        <v>2235</v>
      </c>
      <c r="C23648" t="s">
        <v>2236</v>
      </c>
      <c r="D23648" t="s">
        <v>2237</v>
      </c>
      <c r="E23648" t="s">
        <v>226</v>
      </c>
    </row>
    <row r="23649" spans="1:6" x14ac:dyDescent="0.35">
      <c r="A23649" t="s">
        <v>227</v>
      </c>
      <c r="B23649" s="26">
        <v>0.76400000000000001</v>
      </c>
      <c r="C23649" s="26">
        <v>0.1925</v>
      </c>
      <c r="D23649" s="26">
        <v>4.3499999999999997E-2</v>
      </c>
      <c r="E23649">
        <v>161</v>
      </c>
    </row>
    <row r="23650" spans="1:6" x14ac:dyDescent="0.35">
      <c r="A23650" t="s">
        <v>228</v>
      </c>
      <c r="B23650" s="26">
        <v>0.70509999999999995</v>
      </c>
      <c r="C23650" s="26">
        <v>0.24079999999999999</v>
      </c>
      <c r="D23650" s="26">
        <v>5.4100000000000002E-2</v>
      </c>
      <c r="E23650">
        <v>1033</v>
      </c>
    </row>
    <row r="23651" spans="1:6" x14ac:dyDescent="0.35">
      <c r="A23651" t="s">
        <v>229</v>
      </c>
      <c r="B23651" s="26">
        <v>0.74580000000000002</v>
      </c>
      <c r="C23651" s="26">
        <v>0.21199999999999999</v>
      </c>
      <c r="D23651" s="26">
        <v>4.2200000000000001E-2</v>
      </c>
      <c r="E23651">
        <v>895</v>
      </c>
    </row>
    <row r="23652" spans="1:6" x14ac:dyDescent="0.35">
      <c r="A23652" t="s">
        <v>230</v>
      </c>
      <c r="B23652" s="26">
        <v>0.72130000000000005</v>
      </c>
      <c r="C23652" s="26">
        <v>0.22040000000000001</v>
      </c>
      <c r="D23652" s="26">
        <v>5.8299999999999998E-2</v>
      </c>
      <c r="E23652">
        <v>560</v>
      </c>
    </row>
    <row r="23653" spans="1:6" x14ac:dyDescent="0.35">
      <c r="A23653" t="s">
        <v>231</v>
      </c>
      <c r="B23653" s="26">
        <v>0.69510000000000005</v>
      </c>
      <c r="C23653" s="26">
        <v>0.2195</v>
      </c>
      <c r="D23653" s="26">
        <v>8.5400000000000004E-2</v>
      </c>
      <c r="E23653">
        <v>164</v>
      </c>
    </row>
    <row r="23654" spans="1:6" x14ac:dyDescent="0.35">
      <c r="A23654" t="s">
        <v>232</v>
      </c>
      <c r="B23654" s="26">
        <v>0.72440000000000004</v>
      </c>
      <c r="C23654" s="26">
        <v>0.2175</v>
      </c>
      <c r="D23654" s="26">
        <v>5.8099999999999999E-2</v>
      </c>
      <c r="E23654">
        <v>2813</v>
      </c>
    </row>
    <row r="23656" spans="1:6" x14ac:dyDescent="0.35">
      <c r="A23656" s="1" t="s">
        <v>2238</v>
      </c>
    </row>
    <row r="23657" spans="1:6" x14ac:dyDescent="0.35">
      <c r="A23657" t="s">
        <v>219</v>
      </c>
      <c r="B23657" t="s">
        <v>305</v>
      </c>
      <c r="C23657" t="s">
        <v>2235</v>
      </c>
      <c r="D23657" t="s">
        <v>2236</v>
      </c>
      <c r="E23657" t="s">
        <v>2237</v>
      </c>
      <c r="F23657" t="s">
        <v>226</v>
      </c>
    </row>
    <row r="23658" spans="1:6" x14ac:dyDescent="0.35">
      <c r="A23658" t="s">
        <v>227</v>
      </c>
      <c r="B23658" t="s">
        <v>242</v>
      </c>
      <c r="C23658" s="26">
        <v>0.72060000000000002</v>
      </c>
      <c r="D23658" s="26">
        <v>0.23530000000000001</v>
      </c>
      <c r="E23658" s="26">
        <v>4.41E-2</v>
      </c>
      <c r="F23658">
        <v>68</v>
      </c>
    </row>
    <row r="23659" spans="1:6" x14ac:dyDescent="0.35">
      <c r="A23659" t="s">
        <v>227</v>
      </c>
      <c r="B23659" t="s">
        <v>241</v>
      </c>
      <c r="C23659" s="26">
        <v>0.79569999999999996</v>
      </c>
      <c r="D23659" s="26">
        <v>0.1613</v>
      </c>
      <c r="E23659" s="26">
        <v>4.2999999999999997E-2</v>
      </c>
      <c r="F23659">
        <v>93</v>
      </c>
    </row>
    <row r="23660" spans="1:6" x14ac:dyDescent="0.35">
      <c r="A23660" t="s">
        <v>228</v>
      </c>
      <c r="B23660" t="s">
        <v>242</v>
      </c>
      <c r="C23660" s="26">
        <v>0.60570000000000002</v>
      </c>
      <c r="D23660" s="26">
        <v>0.3231</v>
      </c>
      <c r="E23660" s="26">
        <v>7.1099999999999997E-2</v>
      </c>
      <c r="F23660">
        <v>402</v>
      </c>
    </row>
    <row r="23661" spans="1:6" x14ac:dyDescent="0.35">
      <c r="A23661" t="s">
        <v>228</v>
      </c>
      <c r="B23661" t="s">
        <v>241</v>
      </c>
      <c r="C23661" s="26">
        <v>0.76190000000000002</v>
      </c>
      <c r="D23661" s="26">
        <v>0.19370000000000001</v>
      </c>
      <c r="E23661" s="26">
        <v>4.4400000000000002E-2</v>
      </c>
      <c r="F23661">
        <v>631</v>
      </c>
    </row>
    <row r="23662" spans="1:6" x14ac:dyDescent="0.35">
      <c r="A23662" t="s">
        <v>229</v>
      </c>
      <c r="B23662" t="s">
        <v>242</v>
      </c>
      <c r="C23662" s="26">
        <v>0.59289999999999998</v>
      </c>
      <c r="D23662" s="26">
        <v>0.32400000000000001</v>
      </c>
      <c r="E23662" s="26">
        <v>8.3099999999999993E-2</v>
      </c>
      <c r="F23662">
        <v>292</v>
      </c>
    </row>
    <row r="23663" spans="1:6" x14ac:dyDescent="0.35">
      <c r="A23663" t="s">
        <v>229</v>
      </c>
      <c r="B23663" t="s">
        <v>241</v>
      </c>
      <c r="C23663" s="26">
        <v>0.84370000000000001</v>
      </c>
      <c r="D23663" s="26">
        <v>0.14030000000000001</v>
      </c>
      <c r="E23663" s="26">
        <v>1.6E-2</v>
      </c>
      <c r="F23663">
        <v>603</v>
      </c>
    </row>
    <row r="23664" spans="1:6" x14ac:dyDescent="0.35">
      <c r="A23664" t="s">
        <v>230</v>
      </c>
      <c r="B23664" t="s">
        <v>242</v>
      </c>
      <c r="C23664" s="26">
        <v>0.57830000000000004</v>
      </c>
      <c r="D23664" s="26">
        <v>0.36890000000000001</v>
      </c>
      <c r="E23664" s="26">
        <v>5.28E-2</v>
      </c>
      <c r="F23664">
        <v>189</v>
      </c>
    </row>
    <row r="23665" spans="1:6" x14ac:dyDescent="0.35">
      <c r="A23665" t="s">
        <v>230</v>
      </c>
      <c r="B23665" t="s">
        <v>241</v>
      </c>
      <c r="C23665" s="26">
        <v>0.79430000000000001</v>
      </c>
      <c r="D23665" s="26">
        <v>0.14449999999999999</v>
      </c>
      <c r="E23665" s="26">
        <v>6.1199999999999997E-2</v>
      </c>
      <c r="F23665">
        <v>371</v>
      </c>
    </row>
    <row r="23666" spans="1:6" x14ac:dyDescent="0.35">
      <c r="A23666" t="s">
        <v>231</v>
      </c>
      <c r="B23666" t="s">
        <v>242</v>
      </c>
      <c r="C23666" s="26">
        <v>0.64810000000000001</v>
      </c>
      <c r="D23666" s="26">
        <v>0.2407</v>
      </c>
      <c r="E23666" s="26">
        <v>0.1111</v>
      </c>
      <c r="F23666">
        <v>54</v>
      </c>
    </row>
    <row r="23667" spans="1:6" x14ac:dyDescent="0.35">
      <c r="A23667" t="s">
        <v>231</v>
      </c>
      <c r="B23667" t="s">
        <v>241</v>
      </c>
      <c r="C23667" s="26">
        <v>0.71819999999999995</v>
      </c>
      <c r="D23667" s="26">
        <v>0.20910000000000001</v>
      </c>
      <c r="E23667" s="26">
        <v>7.2700000000000001E-2</v>
      </c>
      <c r="F23667">
        <v>110</v>
      </c>
    </row>
    <row r="23668" spans="1:6" x14ac:dyDescent="0.35">
      <c r="A23668" t="s">
        <v>232</v>
      </c>
      <c r="B23668" t="s">
        <v>232</v>
      </c>
      <c r="C23668" s="26">
        <v>0.72440000000000004</v>
      </c>
      <c r="D23668" s="26">
        <v>0.2175</v>
      </c>
      <c r="E23668" s="26">
        <v>5.8099999999999999E-2</v>
      </c>
      <c r="F23668">
        <v>2813</v>
      </c>
    </row>
    <row r="23670" spans="1:6" x14ac:dyDescent="0.35">
      <c r="A23670" s="1" t="s">
        <v>2239</v>
      </c>
    </row>
    <row r="23671" spans="1:6" x14ac:dyDescent="0.35">
      <c r="A23671" t="s">
        <v>219</v>
      </c>
      <c r="B23671" t="s">
        <v>305</v>
      </c>
      <c r="C23671" t="s">
        <v>2235</v>
      </c>
      <c r="D23671" t="s">
        <v>2236</v>
      </c>
      <c r="E23671" t="s">
        <v>2237</v>
      </c>
      <c r="F23671" t="s">
        <v>226</v>
      </c>
    </row>
    <row r="23672" spans="1:6" x14ac:dyDescent="0.35">
      <c r="A23672" t="s">
        <v>227</v>
      </c>
      <c r="B23672" t="s">
        <v>239</v>
      </c>
      <c r="C23672" s="26">
        <v>0.7903</v>
      </c>
      <c r="D23672" s="26">
        <v>0.1774</v>
      </c>
      <c r="E23672" s="26">
        <v>3.2300000000000002E-2</v>
      </c>
      <c r="F23672">
        <v>62</v>
      </c>
    </row>
    <row r="23673" spans="1:6" x14ac:dyDescent="0.35">
      <c r="A23673" t="s">
        <v>227</v>
      </c>
      <c r="B23673" t="s">
        <v>238</v>
      </c>
      <c r="C23673" s="26">
        <v>0.74750000000000005</v>
      </c>
      <c r="D23673" s="26">
        <v>0.20200000000000001</v>
      </c>
      <c r="E23673" s="26">
        <v>5.0500000000000003E-2</v>
      </c>
      <c r="F23673">
        <v>99</v>
      </c>
    </row>
    <row r="23674" spans="1:6" x14ac:dyDescent="0.35">
      <c r="A23674" t="s">
        <v>228</v>
      </c>
      <c r="B23674" t="s">
        <v>239</v>
      </c>
      <c r="C23674" s="26">
        <v>0.70930000000000004</v>
      </c>
      <c r="D23674" s="26">
        <v>0.2094</v>
      </c>
      <c r="E23674" s="26">
        <v>8.1199999999999994E-2</v>
      </c>
      <c r="F23674">
        <v>330</v>
      </c>
    </row>
    <row r="23675" spans="1:6" x14ac:dyDescent="0.35">
      <c r="A23675" t="s">
        <v>228</v>
      </c>
      <c r="B23675" t="s">
        <v>238</v>
      </c>
      <c r="C23675" s="26">
        <v>0.70399999999999996</v>
      </c>
      <c r="D23675" s="26">
        <v>0.24890000000000001</v>
      </c>
      <c r="E23675" s="26">
        <v>4.7100000000000003E-2</v>
      </c>
      <c r="F23675">
        <v>703</v>
      </c>
    </row>
    <row r="23676" spans="1:6" x14ac:dyDescent="0.35">
      <c r="A23676" t="s">
        <v>229</v>
      </c>
      <c r="B23676" t="s">
        <v>239</v>
      </c>
      <c r="C23676" s="26">
        <v>0.75900000000000001</v>
      </c>
      <c r="D23676" s="26">
        <v>0.21460000000000001</v>
      </c>
      <c r="E23676" s="26">
        <v>2.63E-2</v>
      </c>
      <c r="F23676">
        <v>332</v>
      </c>
    </row>
    <row r="23677" spans="1:6" x14ac:dyDescent="0.35">
      <c r="A23677" t="s">
        <v>229</v>
      </c>
      <c r="B23677" t="s">
        <v>238</v>
      </c>
      <c r="C23677" s="26">
        <v>0.74129999999999996</v>
      </c>
      <c r="D23677" s="26">
        <v>0.21110000000000001</v>
      </c>
      <c r="E23677" s="26">
        <v>4.7600000000000003E-2</v>
      </c>
      <c r="F23677">
        <v>563</v>
      </c>
    </row>
    <row r="23678" spans="1:6" x14ac:dyDescent="0.35">
      <c r="A23678" t="s">
        <v>230</v>
      </c>
      <c r="B23678" t="s">
        <v>239</v>
      </c>
      <c r="C23678" s="26">
        <v>0.68289999999999995</v>
      </c>
      <c r="D23678" s="26">
        <v>0.217</v>
      </c>
      <c r="E23678" s="26">
        <v>0.1002</v>
      </c>
      <c r="F23678">
        <v>211</v>
      </c>
    </row>
    <row r="23679" spans="1:6" x14ac:dyDescent="0.35">
      <c r="A23679" t="s">
        <v>230</v>
      </c>
      <c r="B23679" t="s">
        <v>238</v>
      </c>
      <c r="C23679" s="26">
        <v>0.7379</v>
      </c>
      <c r="D23679" s="26">
        <v>0.2218</v>
      </c>
      <c r="E23679" s="26">
        <v>4.0300000000000002E-2</v>
      </c>
      <c r="F23679">
        <v>349</v>
      </c>
    </row>
    <row r="23680" spans="1:6" x14ac:dyDescent="0.35">
      <c r="A23680" t="s">
        <v>231</v>
      </c>
      <c r="B23680" t="s">
        <v>239</v>
      </c>
      <c r="C23680" s="26">
        <v>0.75439999999999996</v>
      </c>
      <c r="D23680" s="26">
        <v>0.12280000000000001</v>
      </c>
      <c r="E23680" s="26">
        <v>0.12280000000000001</v>
      </c>
      <c r="F23680">
        <v>57</v>
      </c>
    </row>
    <row r="23681" spans="1:6" x14ac:dyDescent="0.35">
      <c r="A23681" t="s">
        <v>231</v>
      </c>
      <c r="B23681" t="s">
        <v>238</v>
      </c>
      <c r="C23681" s="26">
        <v>0.66359999999999997</v>
      </c>
      <c r="D23681" s="26">
        <v>0.27100000000000002</v>
      </c>
      <c r="E23681" s="26">
        <v>6.54E-2</v>
      </c>
      <c r="F23681">
        <v>107</v>
      </c>
    </row>
    <row r="23682" spans="1:6" x14ac:dyDescent="0.35">
      <c r="A23682" t="s">
        <v>232</v>
      </c>
      <c r="B23682" t="s">
        <v>232</v>
      </c>
      <c r="C23682" s="26">
        <v>0.72440000000000004</v>
      </c>
      <c r="D23682" s="26">
        <v>0.2175</v>
      </c>
      <c r="E23682" s="26">
        <v>5.8099999999999999E-2</v>
      </c>
      <c r="F23682">
        <v>2813</v>
      </c>
    </row>
    <row r="23684" spans="1:6" x14ac:dyDescent="0.35">
      <c r="A23684" s="1" t="s">
        <v>2240</v>
      </c>
    </row>
    <row r="23685" spans="1:6" x14ac:dyDescent="0.35">
      <c r="A23685" t="s">
        <v>219</v>
      </c>
      <c r="B23685" t="s">
        <v>305</v>
      </c>
      <c r="C23685" t="s">
        <v>2235</v>
      </c>
      <c r="D23685" t="s">
        <v>2236</v>
      </c>
      <c r="E23685" t="s">
        <v>2237</v>
      </c>
      <c r="F23685" t="s">
        <v>226</v>
      </c>
    </row>
    <row r="23686" spans="1:6" x14ac:dyDescent="0.35">
      <c r="A23686" t="s">
        <v>227</v>
      </c>
      <c r="B23686" t="s">
        <v>244</v>
      </c>
      <c r="C23686" s="26">
        <v>0.79169999999999996</v>
      </c>
      <c r="D23686" s="26">
        <v>0.17710000000000001</v>
      </c>
      <c r="E23686" s="26">
        <v>3.1199999999999999E-2</v>
      </c>
      <c r="F23686">
        <v>96</v>
      </c>
    </row>
    <row r="23687" spans="1:6" x14ac:dyDescent="0.35">
      <c r="A23687" t="s">
        <v>227</v>
      </c>
      <c r="B23687" t="s">
        <v>245</v>
      </c>
      <c r="C23687" s="26">
        <v>0.71699999999999997</v>
      </c>
      <c r="D23687" s="26">
        <v>0.22639999999999999</v>
      </c>
      <c r="E23687" s="26">
        <v>5.6599999999999998E-2</v>
      </c>
      <c r="F23687">
        <v>53</v>
      </c>
    </row>
    <row r="23688" spans="1:6" x14ac:dyDescent="0.35">
      <c r="A23688" s="27" t="s">
        <v>227</v>
      </c>
      <c r="B23688" s="27" t="s">
        <v>246</v>
      </c>
      <c r="C23688" s="28">
        <v>0.75</v>
      </c>
      <c r="D23688" s="28">
        <v>0.16669999999999999</v>
      </c>
      <c r="E23688" s="28">
        <v>8.3299999999999999E-2</v>
      </c>
      <c r="F23688" s="29" t="s">
        <v>342</v>
      </c>
    </row>
    <row r="23689" spans="1:6" x14ac:dyDescent="0.35">
      <c r="A23689" t="s">
        <v>228</v>
      </c>
      <c r="B23689" t="s">
        <v>244</v>
      </c>
      <c r="C23689" s="26">
        <v>0.75229999999999997</v>
      </c>
      <c r="D23689" s="26">
        <v>0.20449999999999999</v>
      </c>
      <c r="E23689" s="26">
        <v>4.3200000000000002E-2</v>
      </c>
      <c r="F23689">
        <v>638</v>
      </c>
    </row>
    <row r="23690" spans="1:6" x14ac:dyDescent="0.35">
      <c r="A23690" t="s">
        <v>228</v>
      </c>
      <c r="B23690" t="s">
        <v>245</v>
      </c>
      <c r="C23690" s="26">
        <v>0.61760000000000004</v>
      </c>
      <c r="D23690" s="26">
        <v>0.32900000000000001</v>
      </c>
      <c r="E23690" s="26">
        <v>5.3400000000000003E-2</v>
      </c>
      <c r="F23690">
        <v>328</v>
      </c>
    </row>
    <row r="23691" spans="1:6" x14ac:dyDescent="0.35">
      <c r="A23691" t="s">
        <v>228</v>
      </c>
      <c r="B23691" t="s">
        <v>246</v>
      </c>
      <c r="C23691" s="26">
        <v>0.61040000000000005</v>
      </c>
      <c r="D23691" s="26">
        <v>0.2283</v>
      </c>
      <c r="E23691" s="26">
        <v>0.16139999999999999</v>
      </c>
      <c r="F23691">
        <v>67</v>
      </c>
    </row>
    <row r="23692" spans="1:6" x14ac:dyDescent="0.35">
      <c r="A23692" t="s">
        <v>229</v>
      </c>
      <c r="B23692" t="s">
        <v>244</v>
      </c>
      <c r="C23692" s="26">
        <v>0.76590000000000003</v>
      </c>
      <c r="D23692" s="26">
        <v>0.19089999999999999</v>
      </c>
      <c r="E23692" s="26">
        <v>4.3200000000000002E-2</v>
      </c>
      <c r="F23692">
        <v>557</v>
      </c>
    </row>
    <row r="23693" spans="1:6" x14ac:dyDescent="0.35">
      <c r="A23693" t="s">
        <v>229</v>
      </c>
      <c r="B23693" t="s">
        <v>245</v>
      </c>
      <c r="C23693" s="26">
        <v>0.71619999999999995</v>
      </c>
      <c r="D23693" s="26">
        <v>0.248</v>
      </c>
      <c r="E23693" s="26">
        <v>3.5799999999999998E-2</v>
      </c>
      <c r="F23693">
        <v>293</v>
      </c>
    </row>
    <row r="23694" spans="1:6" x14ac:dyDescent="0.35">
      <c r="A23694" t="s">
        <v>229</v>
      </c>
      <c r="B23694" t="s">
        <v>246</v>
      </c>
      <c r="C23694" s="26">
        <v>0.62490000000000001</v>
      </c>
      <c r="D23694" s="26">
        <v>0.31540000000000001</v>
      </c>
      <c r="E23694" s="26">
        <v>5.96E-2</v>
      </c>
      <c r="F23694">
        <v>45</v>
      </c>
    </row>
    <row r="23695" spans="1:6" x14ac:dyDescent="0.35">
      <c r="A23695" t="s">
        <v>230</v>
      </c>
      <c r="B23695" t="s">
        <v>244</v>
      </c>
      <c r="C23695" s="26">
        <v>0.74439999999999995</v>
      </c>
      <c r="D23695" s="26">
        <v>0.21609999999999999</v>
      </c>
      <c r="E23695" s="26">
        <v>3.95E-2</v>
      </c>
      <c r="F23695">
        <v>370</v>
      </c>
    </row>
    <row r="23696" spans="1:6" x14ac:dyDescent="0.35">
      <c r="A23696" t="s">
        <v>230</v>
      </c>
      <c r="B23696" t="s">
        <v>245</v>
      </c>
      <c r="C23696" s="26">
        <v>0.66279999999999994</v>
      </c>
      <c r="D23696" s="26">
        <v>0.25919999999999999</v>
      </c>
      <c r="E23696" s="26">
        <v>7.8E-2</v>
      </c>
      <c r="F23696">
        <v>161</v>
      </c>
    </row>
    <row r="23697" spans="1:6" x14ac:dyDescent="0.35">
      <c r="A23697" s="27" t="s">
        <v>230</v>
      </c>
      <c r="B23697" s="27" t="s">
        <v>246</v>
      </c>
      <c r="C23697" s="28">
        <v>0.70450000000000002</v>
      </c>
      <c r="D23697" s="28">
        <v>7.3899999999999993E-2</v>
      </c>
      <c r="E23697" s="28">
        <v>0.22159999999999999</v>
      </c>
      <c r="F23697" s="29" t="s">
        <v>329</v>
      </c>
    </row>
    <row r="23698" spans="1:6" x14ac:dyDescent="0.35">
      <c r="A23698" t="s">
        <v>231</v>
      </c>
      <c r="B23698" t="s">
        <v>244</v>
      </c>
      <c r="C23698" s="26">
        <v>0.73680000000000001</v>
      </c>
      <c r="D23698" s="26">
        <v>0.1789</v>
      </c>
      <c r="E23698" s="26">
        <v>8.4199999999999997E-2</v>
      </c>
      <c r="F23698">
        <v>95</v>
      </c>
    </row>
    <row r="23699" spans="1:6" x14ac:dyDescent="0.35">
      <c r="A23699" t="s">
        <v>231</v>
      </c>
      <c r="B23699" t="s">
        <v>245</v>
      </c>
      <c r="C23699" s="26">
        <v>0.58930000000000005</v>
      </c>
      <c r="D23699" s="26">
        <v>0.33929999999999999</v>
      </c>
      <c r="E23699" s="26">
        <v>7.1400000000000005E-2</v>
      </c>
      <c r="F23699">
        <v>56</v>
      </c>
    </row>
    <row r="23700" spans="1:6" x14ac:dyDescent="0.35">
      <c r="A23700" s="27" t="s">
        <v>231</v>
      </c>
      <c r="B23700" s="27" t="s">
        <v>246</v>
      </c>
      <c r="C23700" s="28">
        <v>0.84619999999999995</v>
      </c>
      <c r="D23700" s="29"/>
      <c r="E23700" s="28">
        <v>0.15379999999999999</v>
      </c>
      <c r="F23700" s="29" t="s">
        <v>341</v>
      </c>
    </row>
    <row r="23701" spans="1:6" x14ac:dyDescent="0.35">
      <c r="A23701" t="s">
        <v>232</v>
      </c>
      <c r="B23701" t="s">
        <v>232</v>
      </c>
      <c r="C23701" s="26">
        <v>0.72440000000000004</v>
      </c>
      <c r="D23701" s="26">
        <v>0.2175</v>
      </c>
      <c r="E23701" s="26">
        <v>5.8099999999999999E-2</v>
      </c>
      <c r="F23701">
        <v>2813</v>
      </c>
    </row>
    <row r="23703" spans="1:6" x14ac:dyDescent="0.35">
      <c r="A23703" s="1" t="s">
        <v>2241</v>
      </c>
    </row>
    <row r="23704" spans="1:6" x14ac:dyDescent="0.35">
      <c r="A23704" t="s">
        <v>219</v>
      </c>
      <c r="B23704" t="s">
        <v>305</v>
      </c>
      <c r="C23704" t="s">
        <v>2235</v>
      </c>
      <c r="D23704" t="s">
        <v>2236</v>
      </c>
      <c r="E23704" t="s">
        <v>2237</v>
      </c>
      <c r="F23704" t="s">
        <v>226</v>
      </c>
    </row>
    <row r="23705" spans="1:6" x14ac:dyDescent="0.35">
      <c r="A23705" t="s">
        <v>227</v>
      </c>
      <c r="B23705" t="s">
        <v>360</v>
      </c>
      <c r="C23705" s="26">
        <v>0.5897</v>
      </c>
      <c r="D23705" s="26">
        <v>0.35899999999999999</v>
      </c>
      <c r="E23705" s="26">
        <v>5.1299999999999998E-2</v>
      </c>
      <c r="F23705">
        <v>39</v>
      </c>
    </row>
    <row r="23706" spans="1:6" x14ac:dyDescent="0.35">
      <c r="A23706" t="s">
        <v>227</v>
      </c>
      <c r="B23706" t="s">
        <v>361</v>
      </c>
      <c r="C23706" s="26">
        <v>0.9375</v>
      </c>
      <c r="D23706" s="26">
        <v>3.1199999999999999E-2</v>
      </c>
      <c r="E23706" s="26">
        <v>3.1199999999999999E-2</v>
      </c>
      <c r="F23706">
        <v>32</v>
      </c>
    </row>
    <row r="23707" spans="1:6" x14ac:dyDescent="0.35">
      <c r="A23707" t="s">
        <v>227</v>
      </c>
      <c r="B23707" t="s">
        <v>362</v>
      </c>
      <c r="C23707" s="26">
        <v>0.70269999999999999</v>
      </c>
      <c r="D23707" s="26">
        <v>0.2432</v>
      </c>
      <c r="E23707" s="26">
        <v>5.4100000000000002E-2</v>
      </c>
      <c r="F23707">
        <v>37</v>
      </c>
    </row>
    <row r="23708" spans="1:6" x14ac:dyDescent="0.35">
      <c r="A23708" t="s">
        <v>227</v>
      </c>
      <c r="B23708" t="s">
        <v>363</v>
      </c>
      <c r="C23708" s="26">
        <v>0.84440000000000004</v>
      </c>
      <c r="D23708" s="26">
        <v>0.1111</v>
      </c>
      <c r="E23708" s="26">
        <v>4.4400000000000002E-2</v>
      </c>
      <c r="F23708">
        <v>45</v>
      </c>
    </row>
    <row r="23709" spans="1:6" x14ac:dyDescent="0.35">
      <c r="A23709" t="s">
        <v>228</v>
      </c>
      <c r="B23709" t="s">
        <v>360</v>
      </c>
      <c r="C23709" s="26">
        <v>0.53969999999999996</v>
      </c>
      <c r="D23709" s="26">
        <v>0.30730000000000002</v>
      </c>
      <c r="E23709" s="26">
        <v>0.153</v>
      </c>
      <c r="F23709">
        <v>258</v>
      </c>
    </row>
    <row r="23710" spans="1:6" x14ac:dyDescent="0.35">
      <c r="A23710" t="s">
        <v>228</v>
      </c>
      <c r="B23710" t="s">
        <v>361</v>
      </c>
      <c r="C23710" s="26">
        <v>0.86929999999999996</v>
      </c>
      <c r="D23710" s="26">
        <v>0.1135</v>
      </c>
      <c r="E23710" s="26">
        <v>1.72E-2</v>
      </c>
      <c r="F23710">
        <v>194</v>
      </c>
    </row>
    <row r="23711" spans="1:6" x14ac:dyDescent="0.35">
      <c r="A23711" t="s">
        <v>228</v>
      </c>
      <c r="B23711" t="s">
        <v>363</v>
      </c>
      <c r="C23711" s="26">
        <v>0.75</v>
      </c>
      <c r="D23711" s="26">
        <v>0.223</v>
      </c>
      <c r="E23711" s="26">
        <v>2.7E-2</v>
      </c>
      <c r="F23711">
        <v>212</v>
      </c>
    </row>
    <row r="23712" spans="1:6" x14ac:dyDescent="0.35">
      <c r="A23712" t="s">
        <v>228</v>
      </c>
      <c r="B23712" t="s">
        <v>362</v>
      </c>
      <c r="C23712" s="26">
        <v>0.63870000000000005</v>
      </c>
      <c r="D23712" s="26">
        <v>0.30659999999999998</v>
      </c>
      <c r="E23712" s="26">
        <v>5.4699999999999999E-2</v>
      </c>
      <c r="F23712">
        <v>236</v>
      </c>
    </row>
    <row r="23713" spans="1:6" x14ac:dyDescent="0.35">
      <c r="A23713" t="s">
        <v>229</v>
      </c>
      <c r="B23713" t="s">
        <v>363</v>
      </c>
      <c r="C23713" s="26">
        <v>0.69969999999999999</v>
      </c>
      <c r="D23713" s="26">
        <v>0.27429999999999999</v>
      </c>
      <c r="E23713" s="26">
        <v>2.5999999999999999E-2</v>
      </c>
      <c r="F23713">
        <v>191</v>
      </c>
    </row>
    <row r="23714" spans="1:6" x14ac:dyDescent="0.35">
      <c r="A23714" t="s">
        <v>229</v>
      </c>
      <c r="B23714" t="s">
        <v>360</v>
      </c>
      <c r="C23714" s="26">
        <v>0.53990000000000005</v>
      </c>
      <c r="D23714" s="26">
        <v>0.35899999999999999</v>
      </c>
      <c r="E23714" s="26">
        <v>0.1011</v>
      </c>
      <c r="F23714">
        <v>164</v>
      </c>
    </row>
    <row r="23715" spans="1:6" x14ac:dyDescent="0.35">
      <c r="A23715" t="s">
        <v>229</v>
      </c>
      <c r="B23715" t="s">
        <v>361</v>
      </c>
      <c r="C23715" s="26">
        <v>0.88400000000000001</v>
      </c>
      <c r="D23715" s="26">
        <v>9.9400000000000002E-2</v>
      </c>
      <c r="E23715" s="26">
        <v>1.66E-2</v>
      </c>
      <c r="F23715">
        <v>243</v>
      </c>
    </row>
    <row r="23716" spans="1:6" x14ac:dyDescent="0.35">
      <c r="A23716" t="s">
        <v>229</v>
      </c>
      <c r="B23716" t="s">
        <v>362</v>
      </c>
      <c r="C23716" s="26">
        <v>0.62870000000000004</v>
      </c>
      <c r="D23716" s="26">
        <v>0.29399999999999998</v>
      </c>
      <c r="E23716" s="26">
        <v>7.7299999999999994E-2</v>
      </c>
      <c r="F23716">
        <v>171</v>
      </c>
    </row>
    <row r="23717" spans="1:6" x14ac:dyDescent="0.35">
      <c r="A23717" t="s">
        <v>230</v>
      </c>
      <c r="B23717" t="s">
        <v>360</v>
      </c>
      <c r="C23717" s="26">
        <v>0.54310000000000003</v>
      </c>
      <c r="D23717" s="26">
        <v>0.38729999999999998</v>
      </c>
      <c r="E23717" s="26">
        <v>6.9599999999999995E-2</v>
      </c>
      <c r="F23717">
        <v>120</v>
      </c>
    </row>
    <row r="23718" spans="1:6" x14ac:dyDescent="0.35">
      <c r="A23718" t="s">
        <v>230</v>
      </c>
      <c r="B23718" t="s">
        <v>363</v>
      </c>
      <c r="C23718" s="26">
        <v>0.71009999999999995</v>
      </c>
      <c r="D23718" s="26">
        <v>0.27329999999999999</v>
      </c>
      <c r="E23718" s="26">
        <v>1.6500000000000001E-2</v>
      </c>
      <c r="F23718">
        <v>127</v>
      </c>
    </row>
    <row r="23719" spans="1:6" x14ac:dyDescent="0.35">
      <c r="A23719" t="s">
        <v>230</v>
      </c>
      <c r="B23719" t="s">
        <v>361</v>
      </c>
      <c r="C23719" s="26">
        <v>0.93410000000000004</v>
      </c>
      <c r="D23719" s="26">
        <v>4.1099999999999998E-2</v>
      </c>
      <c r="E23719" s="26">
        <v>2.47E-2</v>
      </c>
      <c r="F23719">
        <v>109</v>
      </c>
    </row>
    <row r="23720" spans="1:6" x14ac:dyDescent="0.35">
      <c r="A23720" t="s">
        <v>230</v>
      </c>
      <c r="B23720" t="s">
        <v>362</v>
      </c>
      <c r="C23720" s="26">
        <v>0.59419999999999995</v>
      </c>
      <c r="D23720" s="26">
        <v>0.26550000000000001</v>
      </c>
      <c r="E23720" s="26">
        <v>0.14030000000000001</v>
      </c>
      <c r="F23720">
        <v>148</v>
      </c>
    </row>
    <row r="23721" spans="1:6" x14ac:dyDescent="0.35">
      <c r="A23721" s="27" t="s">
        <v>231</v>
      </c>
      <c r="B23721" s="27" t="s">
        <v>362</v>
      </c>
      <c r="C23721" s="28">
        <v>0.72409999999999997</v>
      </c>
      <c r="D23721" s="28">
        <v>0.2069</v>
      </c>
      <c r="E23721" s="28">
        <v>6.9000000000000006E-2</v>
      </c>
      <c r="F23721" s="29" t="s">
        <v>329</v>
      </c>
    </row>
    <row r="23722" spans="1:6" x14ac:dyDescent="0.35">
      <c r="A23722" t="s">
        <v>231</v>
      </c>
      <c r="B23722" t="s">
        <v>361</v>
      </c>
      <c r="C23722" s="26">
        <v>0.82</v>
      </c>
      <c r="D23722" s="26">
        <v>0.1</v>
      </c>
      <c r="E23722" s="26">
        <v>0.08</v>
      </c>
      <c r="F23722">
        <v>50</v>
      </c>
    </row>
    <row r="23723" spans="1:6" x14ac:dyDescent="0.35">
      <c r="A23723" t="s">
        <v>231</v>
      </c>
      <c r="B23723" t="s">
        <v>360</v>
      </c>
      <c r="C23723" s="26">
        <v>0.52270000000000005</v>
      </c>
      <c r="D23723" s="26">
        <v>0.29549999999999998</v>
      </c>
      <c r="E23723" s="26">
        <v>0.18179999999999999</v>
      </c>
      <c r="F23723">
        <v>44</v>
      </c>
    </row>
    <row r="23724" spans="1:6" x14ac:dyDescent="0.35">
      <c r="A23724" s="27" t="s">
        <v>231</v>
      </c>
      <c r="B23724" s="27" t="s">
        <v>363</v>
      </c>
      <c r="C23724" s="28">
        <v>0.74070000000000003</v>
      </c>
      <c r="D23724" s="28">
        <v>0.25929999999999997</v>
      </c>
      <c r="E23724" s="29"/>
      <c r="F23724" s="29" t="s">
        <v>338</v>
      </c>
    </row>
    <row r="23725" spans="1:6" x14ac:dyDescent="0.35">
      <c r="A23725" t="s">
        <v>232</v>
      </c>
      <c r="B23725" t="s">
        <v>232</v>
      </c>
      <c r="C23725" s="26">
        <v>0.72440000000000004</v>
      </c>
      <c r="D23725" s="26">
        <v>0.2175</v>
      </c>
      <c r="E23725" s="26">
        <v>5.8099999999999999E-2</v>
      </c>
      <c r="F23725">
        <v>2476</v>
      </c>
    </row>
    <row r="23727" spans="1:6" x14ac:dyDescent="0.35">
      <c r="A23727" s="1" t="s">
        <v>2242</v>
      </c>
    </row>
    <row r="23728" spans="1:6" x14ac:dyDescent="0.35">
      <c r="A23728" t="s">
        <v>219</v>
      </c>
      <c r="B23728" t="s">
        <v>305</v>
      </c>
      <c r="C23728" t="s">
        <v>2235</v>
      </c>
      <c r="D23728" t="s">
        <v>2236</v>
      </c>
      <c r="E23728" t="s">
        <v>2237</v>
      </c>
      <c r="F23728" t="s">
        <v>226</v>
      </c>
    </row>
    <row r="23729" spans="1:6" x14ac:dyDescent="0.35">
      <c r="A23729" t="s">
        <v>227</v>
      </c>
      <c r="B23729" t="s">
        <v>267</v>
      </c>
      <c r="C23729" s="26">
        <v>0.69440000000000002</v>
      </c>
      <c r="D23729" s="26">
        <v>0.27779999999999999</v>
      </c>
      <c r="E23729" s="26">
        <v>2.7799999999999998E-2</v>
      </c>
      <c r="F23729">
        <v>36</v>
      </c>
    </row>
    <row r="23730" spans="1:6" x14ac:dyDescent="0.35">
      <c r="A23730" t="s">
        <v>227</v>
      </c>
      <c r="B23730" t="s">
        <v>266</v>
      </c>
      <c r="C23730" s="26">
        <v>0.71189999999999998</v>
      </c>
      <c r="D23730" s="26">
        <v>0.23730000000000001</v>
      </c>
      <c r="E23730" s="26">
        <v>5.0799999999999998E-2</v>
      </c>
      <c r="F23730">
        <v>59</v>
      </c>
    </row>
    <row r="23731" spans="1:6" x14ac:dyDescent="0.35">
      <c r="A23731" t="s">
        <v>227</v>
      </c>
      <c r="B23731" t="s">
        <v>265</v>
      </c>
      <c r="C23731" s="26">
        <v>0.84850000000000003</v>
      </c>
      <c r="D23731" s="26">
        <v>0.1061</v>
      </c>
      <c r="E23731" s="26">
        <v>4.5499999999999999E-2</v>
      </c>
      <c r="F23731">
        <v>66</v>
      </c>
    </row>
    <row r="23732" spans="1:6" x14ac:dyDescent="0.35">
      <c r="A23732" t="s">
        <v>228</v>
      </c>
      <c r="B23732" t="s">
        <v>267</v>
      </c>
      <c r="C23732" s="26">
        <v>0.7601</v>
      </c>
      <c r="D23732" s="26">
        <v>0.20449999999999999</v>
      </c>
      <c r="E23732" s="26">
        <v>3.5400000000000001E-2</v>
      </c>
      <c r="F23732">
        <v>199</v>
      </c>
    </row>
    <row r="23733" spans="1:6" x14ac:dyDescent="0.35">
      <c r="A23733" t="s">
        <v>228</v>
      </c>
      <c r="B23733" t="s">
        <v>265</v>
      </c>
      <c r="C23733" s="26">
        <v>0.76400000000000001</v>
      </c>
      <c r="D23733" s="26">
        <v>0.21010000000000001</v>
      </c>
      <c r="E23733" s="26">
        <v>2.5899999999999999E-2</v>
      </c>
      <c r="F23733">
        <v>384</v>
      </c>
    </row>
    <row r="23734" spans="1:6" x14ac:dyDescent="0.35">
      <c r="A23734" s="27" t="s">
        <v>228</v>
      </c>
      <c r="B23734" s="27" t="s">
        <v>236</v>
      </c>
      <c r="C23734" s="28">
        <v>0.5</v>
      </c>
      <c r="D23734" s="28">
        <v>0.5</v>
      </c>
      <c r="E23734" s="29"/>
      <c r="F23734" s="29" t="s">
        <v>314</v>
      </c>
    </row>
    <row r="23735" spans="1:6" x14ac:dyDescent="0.35">
      <c r="A23735" t="s">
        <v>228</v>
      </c>
      <c r="B23735" t="s">
        <v>266</v>
      </c>
      <c r="C23735" s="26">
        <v>0.62629999999999997</v>
      </c>
      <c r="D23735" s="26">
        <v>0.28239999999999998</v>
      </c>
      <c r="E23735" s="26">
        <v>9.1300000000000006E-2</v>
      </c>
      <c r="F23735">
        <v>448</v>
      </c>
    </row>
    <row r="23736" spans="1:6" x14ac:dyDescent="0.35">
      <c r="A23736" t="s">
        <v>229</v>
      </c>
      <c r="B23736" t="s">
        <v>266</v>
      </c>
      <c r="C23736" s="26">
        <v>0.69440000000000002</v>
      </c>
      <c r="D23736" s="26">
        <v>0.24390000000000001</v>
      </c>
      <c r="E23736" s="26">
        <v>6.1699999999999998E-2</v>
      </c>
      <c r="F23736">
        <v>359</v>
      </c>
    </row>
    <row r="23737" spans="1:6" x14ac:dyDescent="0.35">
      <c r="A23737" t="s">
        <v>229</v>
      </c>
      <c r="B23737" t="s">
        <v>267</v>
      </c>
      <c r="C23737" s="26">
        <v>0.76519999999999999</v>
      </c>
      <c r="D23737" s="26">
        <v>0.2006</v>
      </c>
      <c r="E23737" s="26">
        <v>3.4200000000000001E-2</v>
      </c>
      <c r="F23737">
        <v>201</v>
      </c>
    </row>
    <row r="23738" spans="1:6" x14ac:dyDescent="0.35">
      <c r="A23738" t="s">
        <v>229</v>
      </c>
      <c r="B23738" t="s">
        <v>265</v>
      </c>
      <c r="C23738" s="26">
        <v>0.77380000000000004</v>
      </c>
      <c r="D23738" s="26">
        <v>0.1943</v>
      </c>
      <c r="E23738" s="26">
        <v>3.1899999999999998E-2</v>
      </c>
      <c r="F23738">
        <v>335</v>
      </c>
    </row>
    <row r="23739" spans="1:6" x14ac:dyDescent="0.35">
      <c r="A23739" t="s">
        <v>230</v>
      </c>
      <c r="B23739" t="s">
        <v>267</v>
      </c>
      <c r="C23739" s="26">
        <v>0.84830000000000005</v>
      </c>
      <c r="D23739" s="26">
        <v>0.14630000000000001</v>
      </c>
      <c r="E23739" s="26">
        <v>5.4000000000000003E-3</v>
      </c>
      <c r="F23739">
        <v>119</v>
      </c>
    </row>
    <row r="23740" spans="1:6" x14ac:dyDescent="0.35">
      <c r="A23740" t="s">
        <v>230</v>
      </c>
      <c r="B23740" t="s">
        <v>266</v>
      </c>
      <c r="C23740" s="26">
        <v>0.57210000000000005</v>
      </c>
      <c r="D23740" s="26">
        <v>0.32890000000000003</v>
      </c>
      <c r="E23740" s="26">
        <v>9.9000000000000005E-2</v>
      </c>
      <c r="F23740">
        <v>232</v>
      </c>
    </row>
    <row r="23741" spans="1:6" x14ac:dyDescent="0.35">
      <c r="A23741" t="s">
        <v>230</v>
      </c>
      <c r="B23741" t="s">
        <v>265</v>
      </c>
      <c r="C23741" s="26">
        <v>0.7833</v>
      </c>
      <c r="D23741" s="26">
        <v>0.1656</v>
      </c>
      <c r="E23741" s="26">
        <v>5.11E-2</v>
      </c>
      <c r="F23741">
        <v>209</v>
      </c>
    </row>
    <row r="23742" spans="1:6" x14ac:dyDescent="0.35">
      <c r="A23742" t="s">
        <v>231</v>
      </c>
      <c r="B23742" t="s">
        <v>267</v>
      </c>
      <c r="C23742" s="26">
        <v>0.73529999999999995</v>
      </c>
      <c r="D23742" s="26">
        <v>0.2059</v>
      </c>
      <c r="E23742" s="26">
        <v>5.8799999999999998E-2</v>
      </c>
      <c r="F23742">
        <v>34</v>
      </c>
    </row>
    <row r="23743" spans="1:6" x14ac:dyDescent="0.35">
      <c r="A23743" t="s">
        <v>231</v>
      </c>
      <c r="B23743" t="s">
        <v>266</v>
      </c>
      <c r="C23743" s="26">
        <v>0.5806</v>
      </c>
      <c r="D23743" s="26">
        <v>0.3387</v>
      </c>
      <c r="E23743" s="26">
        <v>8.0600000000000005E-2</v>
      </c>
      <c r="F23743">
        <v>62</v>
      </c>
    </row>
    <row r="23744" spans="1:6" x14ac:dyDescent="0.35">
      <c r="A23744" t="s">
        <v>231</v>
      </c>
      <c r="B23744" t="s">
        <v>265</v>
      </c>
      <c r="C23744" s="26">
        <v>0.77939999999999998</v>
      </c>
      <c r="D23744" s="26">
        <v>0.1176</v>
      </c>
      <c r="E23744" s="26">
        <v>0.10290000000000001</v>
      </c>
      <c r="F23744">
        <v>68</v>
      </c>
    </row>
    <row r="23745" spans="1:6" x14ac:dyDescent="0.35">
      <c r="A23745" t="s">
        <v>232</v>
      </c>
      <c r="B23745" t="s">
        <v>232</v>
      </c>
      <c r="C23745" s="26">
        <v>0.72440000000000004</v>
      </c>
      <c r="D23745" s="26">
        <v>0.2175</v>
      </c>
      <c r="E23745" s="26">
        <v>5.8099999999999999E-2</v>
      </c>
      <c r="F23745">
        <v>2813</v>
      </c>
    </row>
    <row r="23747" spans="1:6" x14ac:dyDescent="0.35">
      <c r="A23747" s="1" t="s">
        <v>2243</v>
      </c>
    </row>
    <row r="23748" spans="1:6" x14ac:dyDescent="0.35">
      <c r="A23748" t="s">
        <v>219</v>
      </c>
      <c r="B23748" t="s">
        <v>305</v>
      </c>
      <c r="C23748" t="s">
        <v>2235</v>
      </c>
      <c r="D23748" t="s">
        <v>2236</v>
      </c>
      <c r="E23748" t="s">
        <v>2237</v>
      </c>
      <c r="F23748" t="s">
        <v>226</v>
      </c>
    </row>
    <row r="23749" spans="1:6" x14ac:dyDescent="0.35">
      <c r="A23749" t="s">
        <v>227</v>
      </c>
      <c r="B23749" t="s">
        <v>252</v>
      </c>
      <c r="C23749" s="26">
        <v>0.71109999999999995</v>
      </c>
      <c r="D23749" s="26">
        <v>0.24440000000000001</v>
      </c>
      <c r="E23749" s="26">
        <v>4.4400000000000002E-2</v>
      </c>
      <c r="F23749">
        <v>45</v>
      </c>
    </row>
    <row r="23750" spans="1:6" x14ac:dyDescent="0.35">
      <c r="A23750" t="s">
        <v>227</v>
      </c>
      <c r="B23750" t="s">
        <v>253</v>
      </c>
      <c r="C23750" s="26">
        <v>0.82350000000000001</v>
      </c>
      <c r="D23750" s="26">
        <v>0.14710000000000001</v>
      </c>
      <c r="E23750" s="26">
        <v>2.9399999999999999E-2</v>
      </c>
      <c r="F23750">
        <v>34</v>
      </c>
    </row>
    <row r="23751" spans="1:6" x14ac:dyDescent="0.35">
      <c r="A23751" t="s">
        <v>227</v>
      </c>
      <c r="B23751" t="s">
        <v>251</v>
      </c>
      <c r="C23751" s="26">
        <v>0.76829999999999998</v>
      </c>
      <c r="D23751" s="26">
        <v>0.18290000000000001</v>
      </c>
      <c r="E23751" s="26">
        <v>4.8800000000000003E-2</v>
      </c>
      <c r="F23751">
        <v>82</v>
      </c>
    </row>
    <row r="23752" spans="1:6" x14ac:dyDescent="0.35">
      <c r="A23752" t="s">
        <v>228</v>
      </c>
      <c r="B23752" t="s">
        <v>252</v>
      </c>
      <c r="C23752" s="26">
        <v>0.64600000000000002</v>
      </c>
      <c r="D23752" s="26">
        <v>0.30590000000000001</v>
      </c>
      <c r="E23752" s="26">
        <v>4.8099999999999997E-2</v>
      </c>
      <c r="F23752">
        <v>344</v>
      </c>
    </row>
    <row r="23753" spans="1:6" x14ac:dyDescent="0.35">
      <c r="A23753" t="s">
        <v>228</v>
      </c>
      <c r="B23753" t="s">
        <v>253</v>
      </c>
      <c r="C23753" s="26">
        <v>0.68110000000000004</v>
      </c>
      <c r="D23753" s="26">
        <v>0.25180000000000002</v>
      </c>
      <c r="E23753" s="26">
        <v>6.7100000000000007E-2</v>
      </c>
      <c r="F23753">
        <v>222</v>
      </c>
    </row>
    <row r="23754" spans="1:6" x14ac:dyDescent="0.35">
      <c r="A23754" t="s">
        <v>228</v>
      </c>
      <c r="B23754" t="s">
        <v>251</v>
      </c>
      <c r="C23754" s="26">
        <v>0.75529999999999997</v>
      </c>
      <c r="D23754" s="26">
        <v>0.19209999999999999</v>
      </c>
      <c r="E23754" s="26">
        <v>5.2600000000000001E-2</v>
      </c>
      <c r="F23754">
        <v>467</v>
      </c>
    </row>
    <row r="23755" spans="1:6" x14ac:dyDescent="0.35">
      <c r="A23755" t="s">
        <v>229</v>
      </c>
      <c r="B23755" t="s">
        <v>252</v>
      </c>
      <c r="C23755" s="26">
        <v>0.66180000000000005</v>
      </c>
      <c r="D23755" s="26">
        <v>0.30209999999999998</v>
      </c>
      <c r="E23755" s="26">
        <v>3.5999999999999997E-2</v>
      </c>
      <c r="F23755">
        <v>199</v>
      </c>
    </row>
    <row r="23756" spans="1:6" x14ac:dyDescent="0.35">
      <c r="A23756" t="s">
        <v>229</v>
      </c>
      <c r="B23756" t="s">
        <v>253</v>
      </c>
      <c r="C23756" s="26">
        <v>0.58640000000000003</v>
      </c>
      <c r="D23756" s="26">
        <v>0.29880000000000001</v>
      </c>
      <c r="E23756" s="26">
        <v>0.1148</v>
      </c>
      <c r="F23756">
        <v>145</v>
      </c>
    </row>
    <row r="23757" spans="1:6" x14ac:dyDescent="0.35">
      <c r="A23757" t="s">
        <v>229</v>
      </c>
      <c r="B23757" t="s">
        <v>251</v>
      </c>
      <c r="C23757" s="26">
        <v>0.82920000000000005</v>
      </c>
      <c r="D23757" s="26">
        <v>0.14960000000000001</v>
      </c>
      <c r="E23757" s="26">
        <v>2.12E-2</v>
      </c>
      <c r="F23757">
        <v>551</v>
      </c>
    </row>
    <row r="23758" spans="1:6" x14ac:dyDescent="0.35">
      <c r="A23758" t="s">
        <v>230</v>
      </c>
      <c r="B23758" t="s">
        <v>252</v>
      </c>
      <c r="C23758" s="26">
        <v>0.55330000000000001</v>
      </c>
      <c r="D23758" s="26">
        <v>0.36749999999999999</v>
      </c>
      <c r="E23758" s="26">
        <v>7.9200000000000007E-2</v>
      </c>
      <c r="F23758">
        <v>159</v>
      </c>
    </row>
    <row r="23759" spans="1:6" x14ac:dyDescent="0.35">
      <c r="A23759" t="s">
        <v>230</v>
      </c>
      <c r="B23759" t="s">
        <v>253</v>
      </c>
      <c r="C23759" s="26">
        <v>0.81759999999999999</v>
      </c>
      <c r="D23759" s="26">
        <v>0.17</v>
      </c>
      <c r="E23759" s="26">
        <v>1.24E-2</v>
      </c>
      <c r="F23759">
        <v>110</v>
      </c>
    </row>
    <row r="23760" spans="1:6" x14ac:dyDescent="0.35">
      <c r="A23760" t="s">
        <v>230</v>
      </c>
      <c r="B23760" t="s">
        <v>251</v>
      </c>
      <c r="C23760" s="26">
        <v>0.76590000000000003</v>
      </c>
      <c r="D23760" s="26">
        <v>0.16969999999999999</v>
      </c>
      <c r="E23760" s="26">
        <v>6.4399999999999999E-2</v>
      </c>
      <c r="F23760">
        <v>291</v>
      </c>
    </row>
    <row r="23761" spans="1:6" x14ac:dyDescent="0.35">
      <c r="A23761" t="s">
        <v>231</v>
      </c>
      <c r="B23761" t="s">
        <v>252</v>
      </c>
      <c r="C23761" s="26">
        <v>0.51019999999999999</v>
      </c>
      <c r="D23761" s="26">
        <v>0.38779999999999998</v>
      </c>
      <c r="E23761" s="26">
        <v>0.10199999999999999</v>
      </c>
      <c r="F23761">
        <v>49</v>
      </c>
    </row>
    <row r="23762" spans="1:6" x14ac:dyDescent="0.35">
      <c r="A23762" t="s">
        <v>231</v>
      </c>
      <c r="B23762" t="s">
        <v>253</v>
      </c>
      <c r="C23762" s="26">
        <v>0.76670000000000005</v>
      </c>
      <c r="D23762" s="26">
        <v>0.1333</v>
      </c>
      <c r="E23762" s="26">
        <v>0.1</v>
      </c>
      <c r="F23762">
        <v>30</v>
      </c>
    </row>
    <row r="23763" spans="1:6" x14ac:dyDescent="0.35">
      <c r="A23763" t="s">
        <v>231</v>
      </c>
      <c r="B23763" t="s">
        <v>251</v>
      </c>
      <c r="C23763" s="26">
        <v>0.77649999999999997</v>
      </c>
      <c r="D23763" s="26">
        <v>0.15290000000000001</v>
      </c>
      <c r="E23763" s="26">
        <v>7.0599999999999996E-2</v>
      </c>
      <c r="F23763">
        <v>85</v>
      </c>
    </row>
    <row r="23764" spans="1:6" x14ac:dyDescent="0.35">
      <c r="A23764" t="s">
        <v>232</v>
      </c>
      <c r="B23764" t="s">
        <v>232</v>
      </c>
      <c r="C23764" s="26">
        <v>0.72440000000000004</v>
      </c>
      <c r="D23764" s="26">
        <v>0.2175</v>
      </c>
      <c r="E23764" s="26">
        <v>5.8099999999999999E-2</v>
      </c>
      <c r="F23764">
        <v>2813</v>
      </c>
    </row>
    <row r="23766" spans="1:6" x14ac:dyDescent="0.35">
      <c r="A23766" s="1" t="s">
        <v>2244</v>
      </c>
    </row>
    <row r="23767" spans="1:6" x14ac:dyDescent="0.35">
      <c r="A23767" t="s">
        <v>219</v>
      </c>
      <c r="B23767" t="s">
        <v>305</v>
      </c>
      <c r="C23767" t="s">
        <v>2235</v>
      </c>
      <c r="D23767" t="s">
        <v>2236</v>
      </c>
      <c r="E23767" t="s">
        <v>2237</v>
      </c>
      <c r="F23767" t="s">
        <v>226</v>
      </c>
    </row>
    <row r="23768" spans="1:6" x14ac:dyDescent="0.35">
      <c r="A23768" t="s">
        <v>227</v>
      </c>
      <c r="B23768" t="s">
        <v>249</v>
      </c>
      <c r="C23768" s="26">
        <v>0.77270000000000005</v>
      </c>
      <c r="D23768" s="26">
        <v>0.15909999999999999</v>
      </c>
      <c r="E23768" s="26">
        <v>6.8199999999999997E-2</v>
      </c>
      <c r="F23768">
        <v>44</v>
      </c>
    </row>
    <row r="23769" spans="1:6" x14ac:dyDescent="0.35">
      <c r="A23769" t="s">
        <v>227</v>
      </c>
      <c r="B23769" t="s">
        <v>248</v>
      </c>
      <c r="C23769" s="26">
        <v>0.76070000000000004</v>
      </c>
      <c r="D23769" s="26">
        <v>0.2051</v>
      </c>
      <c r="E23769" s="26">
        <v>3.4200000000000001E-2</v>
      </c>
      <c r="F23769">
        <v>117</v>
      </c>
    </row>
    <row r="23770" spans="1:6" x14ac:dyDescent="0.35">
      <c r="A23770" t="s">
        <v>228</v>
      </c>
      <c r="B23770" t="s">
        <v>249</v>
      </c>
      <c r="C23770" s="26">
        <v>0.74539999999999995</v>
      </c>
      <c r="D23770" s="26">
        <v>0.16700000000000001</v>
      </c>
      <c r="E23770" s="26">
        <v>8.7599999999999997E-2</v>
      </c>
      <c r="F23770">
        <v>274</v>
      </c>
    </row>
    <row r="23771" spans="1:6" x14ac:dyDescent="0.35">
      <c r="A23771" t="s">
        <v>228</v>
      </c>
      <c r="B23771" t="s">
        <v>248</v>
      </c>
      <c r="C23771" s="26">
        <v>0.68789999999999996</v>
      </c>
      <c r="D23771" s="26">
        <v>0.2722</v>
      </c>
      <c r="E23771" s="26">
        <v>3.9899999999999998E-2</v>
      </c>
      <c r="F23771">
        <v>759</v>
      </c>
    </row>
    <row r="23772" spans="1:6" x14ac:dyDescent="0.35">
      <c r="A23772" t="s">
        <v>229</v>
      </c>
      <c r="B23772" t="s">
        <v>249</v>
      </c>
      <c r="C23772" s="26">
        <v>0.77790000000000004</v>
      </c>
      <c r="D23772" s="26">
        <v>0.16470000000000001</v>
      </c>
      <c r="E23772" s="26">
        <v>5.74E-2</v>
      </c>
      <c r="F23772">
        <v>259</v>
      </c>
    </row>
    <row r="23773" spans="1:6" x14ac:dyDescent="0.35">
      <c r="A23773" t="s">
        <v>229</v>
      </c>
      <c r="B23773" t="s">
        <v>248</v>
      </c>
      <c r="C23773" s="26">
        <v>0.73009999999999997</v>
      </c>
      <c r="D23773" s="26">
        <v>0.2351</v>
      </c>
      <c r="E23773" s="26">
        <v>3.4799999999999998E-2</v>
      </c>
      <c r="F23773">
        <v>636</v>
      </c>
    </row>
    <row r="23774" spans="1:6" x14ac:dyDescent="0.35">
      <c r="A23774" t="s">
        <v>230</v>
      </c>
      <c r="B23774" t="s">
        <v>249</v>
      </c>
      <c r="C23774" s="26">
        <v>0.68400000000000005</v>
      </c>
      <c r="D23774" s="26">
        <v>0.2107</v>
      </c>
      <c r="E23774" s="26">
        <v>0.1053</v>
      </c>
      <c r="F23774">
        <v>171</v>
      </c>
    </row>
    <row r="23775" spans="1:6" x14ac:dyDescent="0.35">
      <c r="A23775" t="s">
        <v>230</v>
      </c>
      <c r="B23775" t="s">
        <v>248</v>
      </c>
      <c r="C23775" s="26">
        <v>0.74019999999999997</v>
      </c>
      <c r="D23775" s="26">
        <v>0.2253</v>
      </c>
      <c r="E23775" s="26">
        <v>3.4500000000000003E-2</v>
      </c>
      <c r="F23775">
        <v>389</v>
      </c>
    </row>
    <row r="23776" spans="1:6" x14ac:dyDescent="0.35">
      <c r="A23776" t="s">
        <v>231</v>
      </c>
      <c r="B23776" t="s">
        <v>249</v>
      </c>
      <c r="C23776" s="26">
        <v>0.62860000000000005</v>
      </c>
      <c r="D23776" s="26">
        <v>0.2</v>
      </c>
      <c r="E23776" s="26">
        <v>0.1714</v>
      </c>
      <c r="F23776">
        <v>35</v>
      </c>
    </row>
    <row r="23777" spans="1:6" x14ac:dyDescent="0.35">
      <c r="A23777" t="s">
        <v>231</v>
      </c>
      <c r="B23777" t="s">
        <v>248</v>
      </c>
      <c r="C23777" s="26">
        <v>0.71319999999999995</v>
      </c>
      <c r="D23777" s="26">
        <v>0.2248</v>
      </c>
      <c r="E23777" s="26">
        <v>6.2E-2</v>
      </c>
      <c r="F23777">
        <v>129</v>
      </c>
    </row>
    <row r="23778" spans="1:6" x14ac:dyDescent="0.35">
      <c r="A23778" t="s">
        <v>232</v>
      </c>
      <c r="B23778" t="s">
        <v>232</v>
      </c>
      <c r="C23778" s="26">
        <v>0.72440000000000004</v>
      </c>
      <c r="D23778" s="26">
        <v>0.2175</v>
      </c>
      <c r="E23778" s="26">
        <v>5.8099999999999999E-2</v>
      </c>
      <c r="F23778">
        <v>2813</v>
      </c>
    </row>
    <row r="23780" spans="1:6" x14ac:dyDescent="0.35">
      <c r="A23780" s="1" t="s">
        <v>2245</v>
      </c>
    </row>
    <row r="23781" spans="1:6" x14ac:dyDescent="0.35">
      <c r="A23781" t="s">
        <v>219</v>
      </c>
      <c r="B23781" t="s">
        <v>305</v>
      </c>
      <c r="C23781" t="s">
        <v>2235</v>
      </c>
      <c r="D23781" t="s">
        <v>2236</v>
      </c>
      <c r="E23781" t="s">
        <v>2237</v>
      </c>
      <c r="F23781" t="s">
        <v>226</v>
      </c>
    </row>
    <row r="23782" spans="1:6" x14ac:dyDescent="0.35">
      <c r="A23782" s="27" t="s">
        <v>227</v>
      </c>
      <c r="B23782" s="27" t="s">
        <v>263</v>
      </c>
      <c r="C23782" s="28">
        <v>1</v>
      </c>
      <c r="D23782" s="29"/>
      <c r="E23782" s="29"/>
      <c r="F23782" s="29" t="s">
        <v>315</v>
      </c>
    </row>
    <row r="23783" spans="1:6" x14ac:dyDescent="0.35">
      <c r="A23783" t="s">
        <v>227</v>
      </c>
      <c r="B23783" t="s">
        <v>261</v>
      </c>
      <c r="C23783" s="26">
        <v>0.75760000000000005</v>
      </c>
      <c r="D23783" s="26">
        <v>0.2424</v>
      </c>
      <c r="F23783">
        <v>33</v>
      </c>
    </row>
    <row r="23784" spans="1:6" x14ac:dyDescent="0.35">
      <c r="A23784" s="27" t="s">
        <v>227</v>
      </c>
      <c r="B23784" s="27" t="s">
        <v>262</v>
      </c>
      <c r="C23784" s="28">
        <v>0.66669999999999996</v>
      </c>
      <c r="D23784" s="28">
        <v>0.33329999999999999</v>
      </c>
      <c r="E23784" s="29"/>
      <c r="F23784" s="29" t="s">
        <v>315</v>
      </c>
    </row>
    <row r="23785" spans="1:6" x14ac:dyDescent="0.35">
      <c r="A23785" t="s">
        <v>227</v>
      </c>
      <c r="B23785" t="s">
        <v>260</v>
      </c>
      <c r="C23785" s="26">
        <v>0.76229999999999998</v>
      </c>
      <c r="D23785" s="26">
        <v>0.18029999999999999</v>
      </c>
      <c r="E23785" s="26">
        <v>5.74E-2</v>
      </c>
      <c r="F23785">
        <v>122</v>
      </c>
    </row>
    <row r="23786" spans="1:6" x14ac:dyDescent="0.35">
      <c r="A23786" t="s">
        <v>228</v>
      </c>
      <c r="B23786" t="s">
        <v>261</v>
      </c>
      <c r="C23786" s="26">
        <v>0.61319999999999997</v>
      </c>
      <c r="D23786" s="26">
        <v>0.27310000000000001</v>
      </c>
      <c r="E23786" s="26">
        <v>0.1137</v>
      </c>
      <c r="F23786">
        <v>192</v>
      </c>
    </row>
    <row r="23787" spans="1:6" x14ac:dyDescent="0.35">
      <c r="A23787" s="27" t="s">
        <v>228</v>
      </c>
      <c r="B23787" s="27" t="s">
        <v>263</v>
      </c>
      <c r="C23787" s="28">
        <v>0.71960000000000002</v>
      </c>
      <c r="D23787" s="28">
        <v>0.28039999999999998</v>
      </c>
      <c r="E23787" s="29"/>
      <c r="F23787" s="29" t="s">
        <v>312</v>
      </c>
    </row>
    <row r="23788" spans="1:6" x14ac:dyDescent="0.35">
      <c r="A23788" s="27" t="s">
        <v>228</v>
      </c>
      <c r="B23788" s="27" t="s">
        <v>236</v>
      </c>
      <c r="C23788" s="28">
        <v>0.29330000000000001</v>
      </c>
      <c r="D23788" s="28">
        <v>0.53400000000000003</v>
      </c>
      <c r="E23788" s="28">
        <v>0.17269999999999999</v>
      </c>
      <c r="F23788" s="29" t="s">
        <v>335</v>
      </c>
    </row>
    <row r="23789" spans="1:6" x14ac:dyDescent="0.35">
      <c r="A23789" t="s">
        <v>228</v>
      </c>
      <c r="B23789" t="s">
        <v>262</v>
      </c>
      <c r="C23789" s="26">
        <v>0.70079999999999998</v>
      </c>
      <c r="D23789" s="26">
        <v>0.2671</v>
      </c>
      <c r="E23789" s="26">
        <v>3.2099999999999997E-2</v>
      </c>
      <c r="F23789">
        <v>201</v>
      </c>
    </row>
    <row r="23790" spans="1:6" x14ac:dyDescent="0.35">
      <c r="A23790" t="s">
        <v>228</v>
      </c>
      <c r="B23790" t="s">
        <v>260</v>
      </c>
      <c r="C23790" s="26">
        <v>0.73909999999999998</v>
      </c>
      <c r="D23790" s="26">
        <v>0.21920000000000001</v>
      </c>
      <c r="E23790" s="26">
        <v>4.1700000000000001E-2</v>
      </c>
      <c r="F23790">
        <v>609</v>
      </c>
    </row>
    <row r="23791" spans="1:6" x14ac:dyDescent="0.35">
      <c r="A23791" s="27" t="s">
        <v>229</v>
      </c>
      <c r="B23791" s="27" t="s">
        <v>263</v>
      </c>
      <c r="C23791" s="28">
        <v>0.77500000000000002</v>
      </c>
      <c r="D23791" s="28">
        <v>0.15570000000000001</v>
      </c>
      <c r="E23791" s="28">
        <v>6.93E-2</v>
      </c>
      <c r="F23791" s="29" t="s">
        <v>379</v>
      </c>
    </row>
    <row r="23792" spans="1:6" x14ac:dyDescent="0.35">
      <c r="A23792" t="s">
        <v>229</v>
      </c>
      <c r="B23792" t="s">
        <v>262</v>
      </c>
      <c r="C23792" s="26">
        <v>0.77539999999999998</v>
      </c>
      <c r="D23792" s="26">
        <v>0.2145</v>
      </c>
      <c r="E23792" s="26">
        <v>1.0200000000000001E-2</v>
      </c>
      <c r="F23792">
        <v>188</v>
      </c>
    </row>
    <row r="23793" spans="1:6" x14ac:dyDescent="0.35">
      <c r="A23793" t="s">
        <v>229</v>
      </c>
      <c r="B23793" t="s">
        <v>261</v>
      </c>
      <c r="C23793" s="26">
        <v>0.64439999999999997</v>
      </c>
      <c r="D23793" s="26">
        <v>0.25240000000000001</v>
      </c>
      <c r="E23793" s="26">
        <v>0.1032</v>
      </c>
      <c r="F23793">
        <v>96</v>
      </c>
    </row>
    <row r="23794" spans="1:6" x14ac:dyDescent="0.35">
      <c r="A23794" s="27" t="s">
        <v>229</v>
      </c>
      <c r="B23794" s="27" t="s">
        <v>236</v>
      </c>
      <c r="C23794" s="28">
        <v>1</v>
      </c>
      <c r="D23794" s="29"/>
      <c r="E23794" s="29"/>
      <c r="F23794" s="29" t="s">
        <v>331</v>
      </c>
    </row>
    <row r="23795" spans="1:6" x14ac:dyDescent="0.35">
      <c r="A23795" t="s">
        <v>229</v>
      </c>
      <c r="B23795" t="s">
        <v>260</v>
      </c>
      <c r="C23795" s="26">
        <v>0.75700000000000001</v>
      </c>
      <c r="D23795" s="26">
        <v>0.2019</v>
      </c>
      <c r="E23795" s="26">
        <v>4.1099999999999998E-2</v>
      </c>
      <c r="F23795">
        <v>596</v>
      </c>
    </row>
    <row r="23796" spans="1:6" x14ac:dyDescent="0.35">
      <c r="A23796" s="27" t="s">
        <v>230</v>
      </c>
      <c r="B23796" s="27" t="s">
        <v>236</v>
      </c>
      <c r="C23796" s="28">
        <v>0.27760000000000001</v>
      </c>
      <c r="D23796" s="28">
        <v>0.72240000000000004</v>
      </c>
      <c r="E23796" s="29"/>
      <c r="F23796" s="29" t="s">
        <v>337</v>
      </c>
    </row>
    <row r="23797" spans="1:6" x14ac:dyDescent="0.35">
      <c r="A23797" t="s">
        <v>230</v>
      </c>
      <c r="B23797" t="s">
        <v>262</v>
      </c>
      <c r="C23797" s="26">
        <v>0.6915</v>
      </c>
      <c r="D23797" s="26">
        <v>0.19969999999999999</v>
      </c>
      <c r="E23797" s="26">
        <v>0.10879999999999999</v>
      </c>
      <c r="F23797">
        <v>122</v>
      </c>
    </row>
    <row r="23798" spans="1:6" x14ac:dyDescent="0.35">
      <c r="A23798" t="s">
        <v>230</v>
      </c>
      <c r="B23798" t="s">
        <v>261</v>
      </c>
      <c r="C23798" s="26">
        <v>0.65410000000000001</v>
      </c>
      <c r="D23798" s="26">
        <v>0.33050000000000002</v>
      </c>
      <c r="E23798" s="26">
        <v>1.54E-2</v>
      </c>
      <c r="F23798">
        <v>57</v>
      </c>
    </row>
    <row r="23799" spans="1:6" x14ac:dyDescent="0.35">
      <c r="A23799" s="27" t="s">
        <v>230</v>
      </c>
      <c r="B23799" s="27" t="s">
        <v>263</v>
      </c>
      <c r="C23799" s="28">
        <v>0.38650000000000001</v>
      </c>
      <c r="D23799" s="28">
        <v>0.26640000000000003</v>
      </c>
      <c r="E23799" s="28">
        <v>0.34710000000000002</v>
      </c>
      <c r="F23799" s="29" t="s">
        <v>312</v>
      </c>
    </row>
    <row r="23800" spans="1:6" x14ac:dyDescent="0.35">
      <c r="A23800" t="s">
        <v>230</v>
      </c>
      <c r="B23800" t="s">
        <v>260</v>
      </c>
      <c r="C23800" s="26">
        <v>0.75329999999999997</v>
      </c>
      <c r="D23800" s="26">
        <v>0.19719999999999999</v>
      </c>
      <c r="E23800" s="26">
        <v>4.9500000000000002E-2</v>
      </c>
      <c r="F23800">
        <v>352</v>
      </c>
    </row>
    <row r="23801" spans="1:6" x14ac:dyDescent="0.35">
      <c r="A23801" s="27" t="s">
        <v>231</v>
      </c>
      <c r="B23801" s="27" t="s">
        <v>263</v>
      </c>
      <c r="C23801" s="29"/>
      <c r="D23801" s="28">
        <v>1</v>
      </c>
      <c r="E23801" s="29"/>
      <c r="F23801" s="29" t="s">
        <v>314</v>
      </c>
    </row>
    <row r="23802" spans="1:6" x14ac:dyDescent="0.35">
      <c r="A23802" t="s">
        <v>231</v>
      </c>
      <c r="B23802" t="s">
        <v>260</v>
      </c>
      <c r="C23802" s="26">
        <v>0.75</v>
      </c>
      <c r="D23802" s="26">
        <v>0.1613</v>
      </c>
      <c r="E23802" s="26">
        <v>8.8700000000000001E-2</v>
      </c>
      <c r="F23802">
        <v>124</v>
      </c>
    </row>
    <row r="23803" spans="1:6" x14ac:dyDescent="0.35">
      <c r="A23803" s="27" t="s">
        <v>231</v>
      </c>
      <c r="B23803" s="27" t="s">
        <v>261</v>
      </c>
      <c r="C23803" s="28">
        <v>0.44440000000000002</v>
      </c>
      <c r="D23803" s="28">
        <v>0.44440000000000002</v>
      </c>
      <c r="E23803" s="28">
        <v>0.1111</v>
      </c>
      <c r="F23803" s="29" t="s">
        <v>338</v>
      </c>
    </row>
    <row r="23804" spans="1:6" x14ac:dyDescent="0.35">
      <c r="A23804" s="27" t="s">
        <v>231</v>
      </c>
      <c r="B23804" s="27" t="s">
        <v>262</v>
      </c>
      <c r="C23804" s="28">
        <v>0.81820000000000004</v>
      </c>
      <c r="D23804" s="28">
        <v>0.18179999999999999</v>
      </c>
      <c r="E23804" s="29"/>
      <c r="F23804" s="29" t="s">
        <v>352</v>
      </c>
    </row>
    <row r="23805" spans="1:6" x14ac:dyDescent="0.35">
      <c r="A23805" t="s">
        <v>232</v>
      </c>
      <c r="B23805" t="s">
        <v>232</v>
      </c>
      <c r="C23805" s="26">
        <v>0.72440000000000004</v>
      </c>
      <c r="D23805" s="26">
        <v>0.2175</v>
      </c>
      <c r="E23805" s="26">
        <v>5.8099999999999999E-2</v>
      </c>
      <c r="F23805">
        <v>2813</v>
      </c>
    </row>
    <row r="23807" spans="1:6" x14ac:dyDescent="0.35">
      <c r="A23807" s="1" t="s">
        <v>2246</v>
      </c>
    </row>
    <row r="23808" spans="1:6" x14ac:dyDescent="0.35">
      <c r="A23808" t="s">
        <v>219</v>
      </c>
      <c r="B23808" t="s">
        <v>305</v>
      </c>
      <c r="C23808" t="s">
        <v>2235</v>
      </c>
      <c r="D23808" t="s">
        <v>2236</v>
      </c>
      <c r="E23808" t="s">
        <v>2237</v>
      </c>
      <c r="F23808" t="s">
        <v>226</v>
      </c>
    </row>
    <row r="23809" spans="1:6" x14ac:dyDescent="0.35">
      <c r="A23809" t="s">
        <v>227</v>
      </c>
      <c r="B23809" t="s">
        <v>368</v>
      </c>
      <c r="C23809" s="26">
        <v>0.75760000000000005</v>
      </c>
      <c r="D23809" s="26">
        <v>0.2424</v>
      </c>
      <c r="F23809">
        <v>33</v>
      </c>
    </row>
    <row r="23810" spans="1:6" x14ac:dyDescent="0.35">
      <c r="A23810" t="s">
        <v>227</v>
      </c>
      <c r="B23810" t="s">
        <v>369</v>
      </c>
      <c r="C23810" s="26">
        <v>0.76559999999999995</v>
      </c>
      <c r="D23810" s="26">
        <v>0.1797</v>
      </c>
      <c r="E23810" s="26">
        <v>5.4699999999999999E-2</v>
      </c>
      <c r="F23810">
        <v>128</v>
      </c>
    </row>
    <row r="23811" spans="1:6" x14ac:dyDescent="0.35">
      <c r="A23811" t="s">
        <v>228</v>
      </c>
      <c r="B23811" t="s">
        <v>368</v>
      </c>
      <c r="C23811" s="26">
        <v>0.61319999999999997</v>
      </c>
      <c r="D23811" s="26">
        <v>0.27310000000000001</v>
      </c>
      <c r="E23811" s="26">
        <v>0.1137</v>
      </c>
      <c r="F23811">
        <v>192</v>
      </c>
    </row>
    <row r="23812" spans="1:6" x14ac:dyDescent="0.35">
      <c r="A23812" t="s">
        <v>228</v>
      </c>
      <c r="B23812" t="s">
        <v>369</v>
      </c>
      <c r="C23812" s="26">
        <v>0.72729999999999995</v>
      </c>
      <c r="D23812" s="26">
        <v>0.2329</v>
      </c>
      <c r="E23812" s="26">
        <v>3.9800000000000002E-2</v>
      </c>
      <c r="F23812">
        <v>841</v>
      </c>
    </row>
    <row r="23813" spans="1:6" x14ac:dyDescent="0.35">
      <c r="A23813" t="s">
        <v>229</v>
      </c>
      <c r="B23813" t="s">
        <v>368</v>
      </c>
      <c r="C23813" s="26">
        <v>0.64439999999999997</v>
      </c>
      <c r="D23813" s="26">
        <v>0.25240000000000001</v>
      </c>
      <c r="E23813" s="26">
        <v>0.1032</v>
      </c>
      <c r="F23813">
        <v>96</v>
      </c>
    </row>
    <row r="23814" spans="1:6" x14ac:dyDescent="0.35">
      <c r="A23814" t="s">
        <v>229</v>
      </c>
      <c r="B23814" t="s">
        <v>369</v>
      </c>
      <c r="C23814" s="26">
        <v>0.76349999999999996</v>
      </c>
      <c r="D23814" s="26">
        <v>0.2049</v>
      </c>
      <c r="E23814" s="26">
        <v>3.1600000000000003E-2</v>
      </c>
      <c r="F23814">
        <v>799</v>
      </c>
    </row>
    <row r="23815" spans="1:6" x14ac:dyDescent="0.35">
      <c r="A23815" t="s">
        <v>230</v>
      </c>
      <c r="B23815" t="s">
        <v>368</v>
      </c>
      <c r="C23815" s="26">
        <v>0.65410000000000001</v>
      </c>
      <c r="D23815" s="26">
        <v>0.33050000000000002</v>
      </c>
      <c r="E23815" s="26">
        <v>1.54E-2</v>
      </c>
      <c r="F23815">
        <v>57</v>
      </c>
    </row>
    <row r="23816" spans="1:6" x14ac:dyDescent="0.35">
      <c r="A23816" t="s">
        <v>230</v>
      </c>
      <c r="B23816" t="s">
        <v>369</v>
      </c>
      <c r="C23816" s="26">
        <v>0.73160000000000003</v>
      </c>
      <c r="D23816" s="26">
        <v>0.2034</v>
      </c>
      <c r="E23816" s="26">
        <v>6.5000000000000002E-2</v>
      </c>
      <c r="F23816">
        <v>503</v>
      </c>
    </row>
    <row r="23817" spans="1:6" x14ac:dyDescent="0.35">
      <c r="A23817" s="27" t="s">
        <v>231</v>
      </c>
      <c r="B23817" s="27" t="s">
        <v>368</v>
      </c>
      <c r="C23817" s="28">
        <v>0.44440000000000002</v>
      </c>
      <c r="D23817" s="28">
        <v>0.44440000000000002</v>
      </c>
      <c r="E23817" s="28">
        <v>0.1111</v>
      </c>
      <c r="F23817" s="29" t="s">
        <v>338</v>
      </c>
    </row>
    <row r="23818" spans="1:6" x14ac:dyDescent="0.35">
      <c r="A23818" t="s">
        <v>231</v>
      </c>
      <c r="B23818" t="s">
        <v>369</v>
      </c>
      <c r="C23818" s="26">
        <v>0.74450000000000005</v>
      </c>
      <c r="D23818" s="26">
        <v>0.17519999999999999</v>
      </c>
      <c r="E23818" s="26">
        <v>8.0299999999999996E-2</v>
      </c>
      <c r="F23818">
        <v>137</v>
      </c>
    </row>
    <row r="23819" spans="1:6" x14ac:dyDescent="0.35">
      <c r="A23819" t="s">
        <v>232</v>
      </c>
      <c r="B23819" t="s">
        <v>232</v>
      </c>
      <c r="C23819" s="26">
        <v>0.72440000000000004</v>
      </c>
      <c r="D23819" s="26">
        <v>0.2175</v>
      </c>
      <c r="E23819" s="26">
        <v>5.8099999999999999E-2</v>
      </c>
      <c r="F23819">
        <v>2813</v>
      </c>
    </row>
    <row r="23821" spans="1:6" x14ac:dyDescent="0.35">
      <c r="A23821" s="1" t="s">
        <v>2247</v>
      </c>
    </row>
    <row r="23822" spans="1:6" x14ac:dyDescent="0.35">
      <c r="A23822" t="s">
        <v>219</v>
      </c>
      <c r="B23822" t="s">
        <v>305</v>
      </c>
      <c r="C23822" t="s">
        <v>2235</v>
      </c>
      <c r="D23822" t="s">
        <v>2236</v>
      </c>
      <c r="E23822" t="s">
        <v>2237</v>
      </c>
      <c r="F23822" t="s">
        <v>226</v>
      </c>
    </row>
    <row r="23823" spans="1:6" x14ac:dyDescent="0.35">
      <c r="A23823" t="s">
        <v>227</v>
      </c>
      <c r="B23823" t="s">
        <v>371</v>
      </c>
      <c r="C23823" s="26">
        <v>0.76400000000000001</v>
      </c>
      <c r="D23823" s="26">
        <v>0.1925</v>
      </c>
      <c r="E23823" s="26">
        <v>4.3499999999999997E-2</v>
      </c>
      <c r="F23823">
        <v>161</v>
      </c>
    </row>
    <row r="23824" spans="1:6" x14ac:dyDescent="0.35">
      <c r="A23824" t="s">
        <v>228</v>
      </c>
      <c r="B23824" t="s">
        <v>371</v>
      </c>
      <c r="C23824" s="26">
        <v>0.73360000000000003</v>
      </c>
      <c r="D23824" s="26">
        <v>0.21940000000000001</v>
      </c>
      <c r="E23824" s="26">
        <v>4.7100000000000003E-2</v>
      </c>
      <c r="F23824">
        <v>292</v>
      </c>
    </row>
    <row r="23825" spans="1:6" x14ac:dyDescent="0.35">
      <c r="A23825" t="s">
        <v>228</v>
      </c>
      <c r="B23825" t="s">
        <v>372</v>
      </c>
      <c r="C23825" s="26">
        <v>0.62709999999999999</v>
      </c>
      <c r="D23825" s="26">
        <v>0.28060000000000002</v>
      </c>
      <c r="E23825" s="26">
        <v>9.2200000000000004E-2</v>
      </c>
      <c r="F23825">
        <v>218</v>
      </c>
    </row>
    <row r="23826" spans="1:6" x14ac:dyDescent="0.35">
      <c r="A23826" t="s">
        <v>228</v>
      </c>
      <c r="B23826" t="s">
        <v>373</v>
      </c>
      <c r="C23826" s="26">
        <v>0.68410000000000004</v>
      </c>
      <c r="D23826" s="26">
        <v>0.2606</v>
      </c>
      <c r="E23826" s="26">
        <v>5.5300000000000002E-2</v>
      </c>
      <c r="F23826">
        <v>523</v>
      </c>
    </row>
    <row r="23827" spans="1:6" x14ac:dyDescent="0.35">
      <c r="A23827" t="s">
        <v>229</v>
      </c>
      <c r="B23827" t="s">
        <v>371</v>
      </c>
      <c r="C23827" s="26">
        <v>0.745</v>
      </c>
      <c r="D23827" s="26">
        <v>0.21229999999999999</v>
      </c>
      <c r="E23827" s="26">
        <v>4.2700000000000002E-2</v>
      </c>
      <c r="F23827">
        <v>584</v>
      </c>
    </row>
    <row r="23828" spans="1:6" x14ac:dyDescent="0.35">
      <c r="A23828" t="s">
        <v>229</v>
      </c>
      <c r="B23828" t="s">
        <v>372</v>
      </c>
      <c r="C23828" s="26">
        <v>0.73540000000000005</v>
      </c>
      <c r="D23828" s="26">
        <v>0.2147</v>
      </c>
      <c r="E23828" s="26">
        <v>4.9799999999999997E-2</v>
      </c>
      <c r="F23828">
        <v>221</v>
      </c>
    </row>
    <row r="23829" spans="1:6" x14ac:dyDescent="0.35">
      <c r="A23829" t="s">
        <v>229</v>
      </c>
      <c r="B23829" t="s">
        <v>373</v>
      </c>
      <c r="C23829" s="26">
        <v>0.79290000000000005</v>
      </c>
      <c r="D23829" s="26">
        <v>0.1948</v>
      </c>
      <c r="E23829" s="26">
        <v>1.23E-2</v>
      </c>
      <c r="F23829">
        <v>90</v>
      </c>
    </row>
    <row r="23830" spans="1:6" x14ac:dyDescent="0.35">
      <c r="A23830" t="s">
        <v>230</v>
      </c>
      <c r="B23830" t="s">
        <v>371</v>
      </c>
      <c r="C23830" s="26">
        <v>0.71760000000000002</v>
      </c>
      <c r="D23830" s="26">
        <v>0.2218</v>
      </c>
      <c r="E23830" s="26">
        <v>6.0600000000000001E-2</v>
      </c>
      <c r="F23830">
        <v>262</v>
      </c>
    </row>
    <row r="23831" spans="1:6" x14ac:dyDescent="0.35">
      <c r="A23831" t="s">
        <v>230</v>
      </c>
      <c r="B23831" t="s">
        <v>372</v>
      </c>
      <c r="C23831" s="26">
        <v>0.67930000000000001</v>
      </c>
      <c r="D23831" s="26">
        <v>0.24729999999999999</v>
      </c>
      <c r="E23831" s="26">
        <v>7.3400000000000007E-2</v>
      </c>
      <c r="F23831">
        <v>146</v>
      </c>
    </row>
    <row r="23832" spans="1:6" x14ac:dyDescent="0.35">
      <c r="A23832" t="s">
        <v>230</v>
      </c>
      <c r="B23832" t="s">
        <v>373</v>
      </c>
      <c r="C23832" s="26">
        <v>0.76380000000000003</v>
      </c>
      <c r="D23832" s="26">
        <v>0.19919999999999999</v>
      </c>
      <c r="E23832" s="26">
        <v>3.6900000000000002E-2</v>
      </c>
      <c r="F23832">
        <v>152</v>
      </c>
    </row>
    <row r="23833" spans="1:6" x14ac:dyDescent="0.35">
      <c r="A23833" t="s">
        <v>231</v>
      </c>
      <c r="B23833" t="s">
        <v>371</v>
      </c>
      <c r="C23833" s="26">
        <v>0.69510000000000005</v>
      </c>
      <c r="D23833" s="26">
        <v>0.2195</v>
      </c>
      <c r="E23833" s="26">
        <v>8.5400000000000004E-2</v>
      </c>
      <c r="F23833">
        <v>164</v>
      </c>
    </row>
    <row r="23834" spans="1:6" x14ac:dyDescent="0.35">
      <c r="A23834" t="s">
        <v>232</v>
      </c>
      <c r="B23834" t="s">
        <v>232</v>
      </c>
      <c r="C23834" s="26">
        <v>0.72440000000000004</v>
      </c>
      <c r="D23834" s="26">
        <v>0.2175</v>
      </c>
      <c r="E23834" s="26">
        <v>5.8099999999999999E-2</v>
      </c>
      <c r="F23834">
        <v>2813</v>
      </c>
    </row>
    <row r="23836" spans="1:6" x14ac:dyDescent="0.35">
      <c r="A23836" s="1" t="s">
        <v>2248</v>
      </c>
    </row>
    <row r="23837" spans="1:6" x14ac:dyDescent="0.35">
      <c r="A23837" t="s">
        <v>219</v>
      </c>
      <c r="B23837" t="s">
        <v>305</v>
      </c>
      <c r="C23837" t="s">
        <v>2235</v>
      </c>
      <c r="D23837" t="s">
        <v>2236</v>
      </c>
      <c r="E23837" t="s">
        <v>2237</v>
      </c>
      <c r="F23837" t="s">
        <v>226</v>
      </c>
    </row>
    <row r="23838" spans="1:6" x14ac:dyDescent="0.35">
      <c r="A23838" t="s">
        <v>227</v>
      </c>
      <c r="B23838" t="s">
        <v>255</v>
      </c>
      <c r="C23838" s="26">
        <v>0.76070000000000004</v>
      </c>
      <c r="D23838" s="26">
        <v>0.2051</v>
      </c>
      <c r="E23838" s="26">
        <v>3.4200000000000001E-2</v>
      </c>
      <c r="F23838">
        <v>117</v>
      </c>
    </row>
    <row r="23839" spans="1:6" x14ac:dyDescent="0.35">
      <c r="A23839" s="27" t="s">
        <v>227</v>
      </c>
      <c r="B23839" s="27" t="s">
        <v>257</v>
      </c>
      <c r="C23839" s="28">
        <v>0.55559999999999998</v>
      </c>
      <c r="D23839" s="28">
        <v>0.44440000000000002</v>
      </c>
      <c r="E23839" s="29"/>
      <c r="F23839" s="29" t="s">
        <v>334</v>
      </c>
    </row>
    <row r="23840" spans="1:6" x14ac:dyDescent="0.35">
      <c r="A23840" t="s">
        <v>227</v>
      </c>
      <c r="B23840" t="s">
        <v>256</v>
      </c>
      <c r="C23840" s="26">
        <v>0.8286</v>
      </c>
      <c r="D23840" s="26">
        <v>8.5699999999999998E-2</v>
      </c>
      <c r="E23840" s="26">
        <v>8.5699999999999998E-2</v>
      </c>
      <c r="F23840">
        <v>35</v>
      </c>
    </row>
    <row r="23841" spans="1:6" x14ac:dyDescent="0.35">
      <c r="A23841" t="s">
        <v>228</v>
      </c>
      <c r="B23841" t="s">
        <v>257</v>
      </c>
      <c r="C23841" s="26">
        <v>0.60899999999999999</v>
      </c>
      <c r="D23841" s="26">
        <v>0.1416</v>
      </c>
      <c r="E23841" s="26">
        <v>0.24940000000000001</v>
      </c>
      <c r="F23841">
        <v>49</v>
      </c>
    </row>
    <row r="23842" spans="1:6" x14ac:dyDescent="0.35">
      <c r="A23842" s="27" t="s">
        <v>228</v>
      </c>
      <c r="B23842" s="27" t="s">
        <v>258</v>
      </c>
      <c r="C23842" s="28">
        <v>0.90190000000000003</v>
      </c>
      <c r="D23842" s="28">
        <v>9.8100000000000007E-2</v>
      </c>
      <c r="E23842" s="29"/>
      <c r="F23842" s="29" t="s">
        <v>337</v>
      </c>
    </row>
    <row r="23843" spans="1:6" x14ac:dyDescent="0.35">
      <c r="A23843" t="s">
        <v>228</v>
      </c>
      <c r="B23843" t="s">
        <v>256</v>
      </c>
      <c r="C23843" s="26">
        <v>0.7712</v>
      </c>
      <c r="D23843" s="26">
        <v>0.1741</v>
      </c>
      <c r="E23843" s="26">
        <v>5.4699999999999999E-2</v>
      </c>
      <c r="F23843">
        <v>221</v>
      </c>
    </row>
    <row r="23844" spans="1:6" x14ac:dyDescent="0.35">
      <c r="A23844" t="s">
        <v>228</v>
      </c>
      <c r="B23844" t="s">
        <v>255</v>
      </c>
      <c r="C23844" s="26">
        <v>0.68789999999999996</v>
      </c>
      <c r="D23844" s="26">
        <v>0.2722</v>
      </c>
      <c r="E23844" s="26">
        <v>3.9899999999999998E-2</v>
      </c>
      <c r="F23844">
        <v>759</v>
      </c>
    </row>
    <row r="23845" spans="1:6" x14ac:dyDescent="0.35">
      <c r="A23845" t="s">
        <v>229</v>
      </c>
      <c r="B23845" t="s">
        <v>256</v>
      </c>
      <c r="C23845" s="26">
        <v>0.80400000000000005</v>
      </c>
      <c r="D23845" s="26">
        <v>0.15029999999999999</v>
      </c>
      <c r="E23845" s="26">
        <v>4.5699999999999998E-2</v>
      </c>
      <c r="F23845">
        <v>207</v>
      </c>
    </row>
    <row r="23846" spans="1:6" x14ac:dyDescent="0.35">
      <c r="A23846" t="s">
        <v>229</v>
      </c>
      <c r="B23846" t="s">
        <v>255</v>
      </c>
      <c r="C23846" s="26">
        <v>0.73009999999999997</v>
      </c>
      <c r="D23846" s="26">
        <v>0.2351</v>
      </c>
      <c r="E23846" s="26">
        <v>3.4799999999999998E-2</v>
      </c>
      <c r="F23846">
        <v>636</v>
      </c>
    </row>
    <row r="23847" spans="1:6" x14ac:dyDescent="0.35">
      <c r="A23847" t="s">
        <v>229</v>
      </c>
      <c r="B23847" t="s">
        <v>257</v>
      </c>
      <c r="C23847" s="26">
        <v>0.65010000000000001</v>
      </c>
      <c r="D23847" s="26">
        <v>0.2389</v>
      </c>
      <c r="E23847" s="26">
        <v>0.111</v>
      </c>
      <c r="F23847">
        <v>50</v>
      </c>
    </row>
    <row r="23848" spans="1:6" x14ac:dyDescent="0.35">
      <c r="A23848" s="27" t="s">
        <v>229</v>
      </c>
      <c r="B23848" s="27" t="s">
        <v>258</v>
      </c>
      <c r="C23848" s="28">
        <v>0.22409999999999999</v>
      </c>
      <c r="D23848" s="29"/>
      <c r="E23848" s="28">
        <v>0.77590000000000003</v>
      </c>
      <c r="F23848" s="29" t="s">
        <v>314</v>
      </c>
    </row>
    <row r="23849" spans="1:6" x14ac:dyDescent="0.35">
      <c r="A23849" t="s">
        <v>230</v>
      </c>
      <c r="B23849" t="s">
        <v>256</v>
      </c>
      <c r="C23849" s="26">
        <v>0.74180000000000001</v>
      </c>
      <c r="D23849" s="26">
        <v>0.1537</v>
      </c>
      <c r="E23849" s="26">
        <v>0.10440000000000001</v>
      </c>
      <c r="F23849">
        <v>130</v>
      </c>
    </row>
    <row r="23850" spans="1:6" x14ac:dyDescent="0.35">
      <c r="A23850" t="s">
        <v>230</v>
      </c>
      <c r="B23850" t="s">
        <v>255</v>
      </c>
      <c r="C23850" s="26">
        <v>0.74019999999999997</v>
      </c>
      <c r="D23850" s="26">
        <v>0.2253</v>
      </c>
      <c r="E23850" s="26">
        <v>3.4500000000000003E-2</v>
      </c>
      <c r="F23850">
        <v>389</v>
      </c>
    </row>
    <row r="23851" spans="1:6" x14ac:dyDescent="0.35">
      <c r="A23851" t="s">
        <v>230</v>
      </c>
      <c r="B23851" t="s">
        <v>257</v>
      </c>
      <c r="C23851" s="26">
        <v>0.51849999999999996</v>
      </c>
      <c r="D23851" s="26">
        <v>0.36330000000000001</v>
      </c>
      <c r="E23851" s="26">
        <v>0.1182</v>
      </c>
      <c r="F23851">
        <v>38</v>
      </c>
    </row>
    <row r="23852" spans="1:6" x14ac:dyDescent="0.35">
      <c r="A23852" s="27" t="s">
        <v>230</v>
      </c>
      <c r="B23852" s="27" t="s">
        <v>258</v>
      </c>
      <c r="C23852" s="28">
        <v>0.17730000000000001</v>
      </c>
      <c r="D23852" s="28">
        <v>0.82269999999999999</v>
      </c>
      <c r="E23852" s="29"/>
      <c r="F23852" s="29" t="s">
        <v>315</v>
      </c>
    </row>
    <row r="23853" spans="1:6" x14ac:dyDescent="0.35">
      <c r="A23853" s="27" t="s">
        <v>231</v>
      </c>
      <c r="B23853" s="27" t="s">
        <v>257</v>
      </c>
      <c r="C23853" s="28">
        <v>0.57140000000000002</v>
      </c>
      <c r="D23853" s="28">
        <v>0.42859999999999998</v>
      </c>
      <c r="E23853" s="29"/>
      <c r="F23853" s="29" t="s">
        <v>339</v>
      </c>
    </row>
    <row r="23854" spans="1:6" x14ac:dyDescent="0.35">
      <c r="A23854" t="s">
        <v>231</v>
      </c>
      <c r="B23854" t="s">
        <v>255</v>
      </c>
      <c r="C23854" s="26">
        <v>0.71319999999999995</v>
      </c>
      <c r="D23854" s="26">
        <v>0.2248</v>
      </c>
      <c r="E23854" s="26">
        <v>6.2E-2</v>
      </c>
      <c r="F23854">
        <v>129</v>
      </c>
    </row>
    <row r="23855" spans="1:6" x14ac:dyDescent="0.35">
      <c r="A23855" s="27" t="s">
        <v>231</v>
      </c>
      <c r="B23855" s="27" t="s">
        <v>256</v>
      </c>
      <c r="C23855" s="28">
        <v>0.64290000000000003</v>
      </c>
      <c r="D23855" s="28">
        <v>0.1429</v>
      </c>
      <c r="E23855" s="28">
        <v>0.21429999999999999</v>
      </c>
      <c r="F23855" s="29" t="s">
        <v>336</v>
      </c>
    </row>
    <row r="23856" spans="1:6" x14ac:dyDescent="0.35">
      <c r="A23856" t="s">
        <v>232</v>
      </c>
      <c r="B23856" t="s">
        <v>232</v>
      </c>
      <c r="C23856" s="26">
        <v>0.72440000000000004</v>
      </c>
      <c r="D23856" s="26">
        <v>0.2175</v>
      </c>
      <c r="E23856" s="26">
        <v>5.8099999999999999E-2</v>
      </c>
      <c r="F23856">
        <v>2813</v>
      </c>
    </row>
    <row r="23858" spans="1:6" x14ac:dyDescent="0.35">
      <c r="A23858" s="1" t="s">
        <v>2249</v>
      </c>
    </row>
    <row r="23859" spans="1:6" x14ac:dyDescent="0.35">
      <c r="A23859" t="s">
        <v>219</v>
      </c>
      <c r="B23859" t="s">
        <v>2250</v>
      </c>
      <c r="C23859" t="s">
        <v>2251</v>
      </c>
      <c r="D23859" t="s">
        <v>2252</v>
      </c>
      <c r="E23859" t="s">
        <v>226</v>
      </c>
    </row>
    <row r="23860" spans="1:6" x14ac:dyDescent="0.35">
      <c r="A23860" t="s">
        <v>227</v>
      </c>
      <c r="B23860" s="26">
        <v>0.93789999999999996</v>
      </c>
      <c r="C23860" s="26">
        <v>6.2100000000000002E-2</v>
      </c>
      <c r="E23860">
        <v>161</v>
      </c>
    </row>
    <row r="23861" spans="1:6" x14ac:dyDescent="0.35">
      <c r="A23861" t="s">
        <v>228</v>
      </c>
      <c r="B23861" s="26">
        <v>0.91720000000000002</v>
      </c>
      <c r="C23861" s="26">
        <v>6.7199999999999996E-2</v>
      </c>
      <c r="D23861" s="26">
        <v>1.5599999999999999E-2</v>
      </c>
      <c r="E23861">
        <v>1028</v>
      </c>
    </row>
    <row r="23862" spans="1:6" x14ac:dyDescent="0.35">
      <c r="A23862" t="s">
        <v>229</v>
      </c>
      <c r="B23862" s="26">
        <v>0.92589999999999995</v>
      </c>
      <c r="C23862" s="26">
        <v>5.0299999999999997E-2</v>
      </c>
      <c r="D23862" s="26">
        <v>2.3800000000000002E-2</v>
      </c>
      <c r="E23862">
        <v>889</v>
      </c>
    </row>
    <row r="23863" spans="1:6" x14ac:dyDescent="0.35">
      <c r="A23863" t="s">
        <v>230</v>
      </c>
      <c r="B23863" s="26">
        <v>0.92379999999999995</v>
      </c>
      <c r="C23863" s="26">
        <v>5.8299999999999998E-2</v>
      </c>
      <c r="D23863" s="26">
        <v>1.7899999999999999E-2</v>
      </c>
      <c r="E23863">
        <v>559</v>
      </c>
    </row>
    <row r="23864" spans="1:6" x14ac:dyDescent="0.35">
      <c r="A23864" t="s">
        <v>231</v>
      </c>
      <c r="B23864" s="26">
        <v>0.90849999999999997</v>
      </c>
      <c r="C23864" s="26">
        <v>7.9299999999999995E-2</v>
      </c>
      <c r="D23864" s="26">
        <v>1.2200000000000001E-2</v>
      </c>
      <c r="E23864">
        <v>164</v>
      </c>
    </row>
    <row r="23865" spans="1:6" x14ac:dyDescent="0.35">
      <c r="A23865" t="s">
        <v>232</v>
      </c>
      <c r="B23865" s="26">
        <v>0.92110000000000003</v>
      </c>
      <c r="C23865" s="26">
        <v>6.4100000000000004E-2</v>
      </c>
      <c r="D23865" s="26">
        <v>1.49E-2</v>
      </c>
      <c r="E23865">
        <v>2801</v>
      </c>
    </row>
    <row r="23867" spans="1:6" x14ac:dyDescent="0.35">
      <c r="A23867" s="1" t="s">
        <v>2253</v>
      </c>
    </row>
    <row r="23868" spans="1:6" x14ac:dyDescent="0.35">
      <c r="A23868" t="s">
        <v>219</v>
      </c>
      <c r="B23868" t="s">
        <v>305</v>
      </c>
      <c r="C23868" t="s">
        <v>2250</v>
      </c>
      <c r="D23868" t="s">
        <v>2251</v>
      </c>
      <c r="E23868" t="s">
        <v>2252</v>
      </c>
      <c r="F23868" t="s">
        <v>226</v>
      </c>
    </row>
    <row r="23869" spans="1:6" x14ac:dyDescent="0.35">
      <c r="A23869" t="s">
        <v>227</v>
      </c>
      <c r="B23869" t="s">
        <v>242</v>
      </c>
      <c r="C23869" s="26">
        <v>0.92649999999999999</v>
      </c>
      <c r="D23869" s="26">
        <v>7.3499999999999996E-2</v>
      </c>
      <c r="F23869">
        <v>68</v>
      </c>
    </row>
    <row r="23870" spans="1:6" x14ac:dyDescent="0.35">
      <c r="A23870" t="s">
        <v>227</v>
      </c>
      <c r="B23870" t="s">
        <v>241</v>
      </c>
      <c r="C23870" s="26">
        <v>0.94620000000000004</v>
      </c>
      <c r="D23870" s="26">
        <v>5.3800000000000001E-2</v>
      </c>
      <c r="F23870">
        <v>93</v>
      </c>
    </row>
    <row r="23871" spans="1:6" x14ac:dyDescent="0.35">
      <c r="A23871" t="s">
        <v>228</v>
      </c>
      <c r="B23871" t="s">
        <v>242</v>
      </c>
      <c r="C23871" s="26">
        <v>0.87439999999999996</v>
      </c>
      <c r="D23871" s="26">
        <v>0.1023</v>
      </c>
      <c r="E23871" s="26">
        <v>2.3300000000000001E-2</v>
      </c>
      <c r="F23871">
        <v>401</v>
      </c>
    </row>
    <row r="23872" spans="1:6" x14ac:dyDescent="0.35">
      <c r="A23872" t="s">
        <v>228</v>
      </c>
      <c r="B23872" t="s">
        <v>241</v>
      </c>
      <c r="C23872" s="26">
        <v>0.94169999999999998</v>
      </c>
      <c r="D23872" s="26">
        <v>4.7E-2</v>
      </c>
      <c r="E23872" s="26">
        <v>1.1299999999999999E-2</v>
      </c>
      <c r="F23872">
        <v>627</v>
      </c>
    </row>
    <row r="23873" spans="1:6" x14ac:dyDescent="0.35">
      <c r="A23873" t="s">
        <v>229</v>
      </c>
      <c r="B23873" t="s">
        <v>242</v>
      </c>
      <c r="C23873" s="26">
        <v>0.89490000000000003</v>
      </c>
      <c r="D23873" s="26">
        <v>6.1499999999999999E-2</v>
      </c>
      <c r="E23873" s="26">
        <v>4.36E-2</v>
      </c>
      <c r="F23873">
        <v>290</v>
      </c>
    </row>
    <row r="23874" spans="1:6" x14ac:dyDescent="0.35">
      <c r="A23874" t="s">
        <v>229</v>
      </c>
      <c r="B23874" t="s">
        <v>241</v>
      </c>
      <c r="C23874" s="26">
        <v>0.94579999999999997</v>
      </c>
      <c r="D23874" s="26">
        <v>4.3099999999999999E-2</v>
      </c>
      <c r="E23874" s="26">
        <v>1.11E-2</v>
      </c>
      <c r="F23874">
        <v>599</v>
      </c>
    </row>
    <row r="23875" spans="1:6" x14ac:dyDescent="0.35">
      <c r="A23875" t="s">
        <v>230</v>
      </c>
      <c r="B23875" t="s">
        <v>242</v>
      </c>
      <c r="C23875" s="26">
        <v>0.90400000000000003</v>
      </c>
      <c r="D23875" s="26">
        <v>6.0699999999999997E-2</v>
      </c>
      <c r="E23875" s="26">
        <v>3.5299999999999998E-2</v>
      </c>
      <c r="F23875">
        <v>189</v>
      </c>
    </row>
    <row r="23876" spans="1:6" x14ac:dyDescent="0.35">
      <c r="A23876" t="s">
        <v>230</v>
      </c>
      <c r="B23876" t="s">
        <v>241</v>
      </c>
      <c r="C23876" s="26">
        <v>0.93389999999999995</v>
      </c>
      <c r="D23876" s="26">
        <v>5.7099999999999998E-2</v>
      </c>
      <c r="E23876" s="26">
        <v>8.9999999999999993E-3</v>
      </c>
      <c r="F23876">
        <v>370</v>
      </c>
    </row>
    <row r="23877" spans="1:6" x14ac:dyDescent="0.35">
      <c r="A23877" t="s">
        <v>231</v>
      </c>
      <c r="B23877" t="s">
        <v>242</v>
      </c>
      <c r="C23877" s="26">
        <v>0.88890000000000002</v>
      </c>
      <c r="D23877" s="26">
        <v>0.1111</v>
      </c>
      <c r="F23877">
        <v>54</v>
      </c>
    </row>
    <row r="23878" spans="1:6" x14ac:dyDescent="0.35">
      <c r="A23878" t="s">
        <v>231</v>
      </c>
      <c r="B23878" t="s">
        <v>241</v>
      </c>
      <c r="C23878" s="26">
        <v>0.91820000000000002</v>
      </c>
      <c r="D23878" s="26">
        <v>6.3600000000000004E-2</v>
      </c>
      <c r="E23878" s="26">
        <v>1.8200000000000001E-2</v>
      </c>
      <c r="F23878">
        <v>110</v>
      </c>
    </row>
    <row r="23879" spans="1:6" x14ac:dyDescent="0.35">
      <c r="A23879" t="s">
        <v>232</v>
      </c>
      <c r="B23879" t="s">
        <v>232</v>
      </c>
      <c r="C23879" s="26">
        <v>0.92110000000000003</v>
      </c>
      <c r="D23879" s="26">
        <v>6.4100000000000004E-2</v>
      </c>
      <c r="E23879" s="26">
        <v>1.49E-2</v>
      </c>
      <c r="F23879">
        <v>2801</v>
      </c>
    </row>
    <row r="23881" spans="1:6" x14ac:dyDescent="0.35">
      <c r="A23881" s="1" t="s">
        <v>2254</v>
      </c>
    </row>
    <row r="23882" spans="1:6" x14ac:dyDescent="0.35">
      <c r="A23882" t="s">
        <v>219</v>
      </c>
      <c r="B23882" t="s">
        <v>305</v>
      </c>
      <c r="C23882" t="s">
        <v>2250</v>
      </c>
      <c r="D23882" t="s">
        <v>2251</v>
      </c>
      <c r="E23882" t="s">
        <v>2252</v>
      </c>
      <c r="F23882" t="s">
        <v>226</v>
      </c>
    </row>
    <row r="23883" spans="1:6" x14ac:dyDescent="0.35">
      <c r="A23883" t="s">
        <v>227</v>
      </c>
      <c r="B23883" t="s">
        <v>239</v>
      </c>
      <c r="C23883" s="26">
        <v>0.9677</v>
      </c>
      <c r="D23883" s="26">
        <v>3.2300000000000002E-2</v>
      </c>
      <c r="F23883">
        <v>62</v>
      </c>
    </row>
    <row r="23884" spans="1:6" x14ac:dyDescent="0.35">
      <c r="A23884" t="s">
        <v>227</v>
      </c>
      <c r="B23884" t="s">
        <v>238</v>
      </c>
      <c r="C23884" s="26">
        <v>0.91920000000000002</v>
      </c>
      <c r="D23884" s="26">
        <v>8.0799999999999997E-2</v>
      </c>
      <c r="F23884">
        <v>99</v>
      </c>
    </row>
    <row r="23885" spans="1:6" x14ac:dyDescent="0.35">
      <c r="A23885" t="s">
        <v>228</v>
      </c>
      <c r="B23885" t="s">
        <v>239</v>
      </c>
      <c r="C23885" s="26">
        <v>0.9194</v>
      </c>
      <c r="D23885" s="26">
        <v>7.51E-2</v>
      </c>
      <c r="E23885" s="26">
        <v>5.4999999999999997E-3</v>
      </c>
      <c r="F23885">
        <v>328</v>
      </c>
    </row>
    <row r="23886" spans="1:6" x14ac:dyDescent="0.35">
      <c r="A23886" t="s">
        <v>228</v>
      </c>
      <c r="B23886" t="s">
        <v>238</v>
      </c>
      <c r="C23886" s="26">
        <v>0.91659999999999997</v>
      </c>
      <c r="D23886" s="26">
        <v>6.5100000000000005E-2</v>
      </c>
      <c r="E23886" s="26">
        <v>1.83E-2</v>
      </c>
      <c r="F23886">
        <v>700</v>
      </c>
    </row>
    <row r="23887" spans="1:6" x14ac:dyDescent="0.35">
      <c r="A23887" t="s">
        <v>229</v>
      </c>
      <c r="B23887" t="s">
        <v>239</v>
      </c>
      <c r="C23887" s="26">
        <v>0.91949999999999998</v>
      </c>
      <c r="D23887" s="26">
        <v>5.5800000000000002E-2</v>
      </c>
      <c r="E23887" s="26">
        <v>2.47E-2</v>
      </c>
      <c r="F23887">
        <v>328</v>
      </c>
    </row>
    <row r="23888" spans="1:6" x14ac:dyDescent="0.35">
      <c r="A23888" t="s">
        <v>229</v>
      </c>
      <c r="B23888" t="s">
        <v>238</v>
      </c>
      <c r="C23888" s="26">
        <v>0.92810000000000004</v>
      </c>
      <c r="D23888" s="26">
        <v>4.8399999999999999E-2</v>
      </c>
      <c r="E23888" s="26">
        <v>2.35E-2</v>
      </c>
      <c r="F23888">
        <v>561</v>
      </c>
    </row>
    <row r="23889" spans="1:6" x14ac:dyDescent="0.35">
      <c r="A23889" t="s">
        <v>230</v>
      </c>
      <c r="B23889" t="s">
        <v>239</v>
      </c>
      <c r="C23889" s="26">
        <v>0.93389999999999995</v>
      </c>
      <c r="D23889" s="26">
        <v>6.5199999999999994E-2</v>
      </c>
      <c r="E23889" s="26">
        <v>8.9999999999999998E-4</v>
      </c>
      <c r="F23889">
        <v>211</v>
      </c>
    </row>
    <row r="23890" spans="1:6" x14ac:dyDescent="0.35">
      <c r="A23890" t="s">
        <v>230</v>
      </c>
      <c r="B23890" t="s">
        <v>238</v>
      </c>
      <c r="C23890" s="26">
        <v>0.9194</v>
      </c>
      <c r="D23890" s="26">
        <v>5.5399999999999998E-2</v>
      </c>
      <c r="E23890" s="26">
        <v>2.52E-2</v>
      </c>
      <c r="F23890">
        <v>348</v>
      </c>
    </row>
    <row r="23891" spans="1:6" x14ac:dyDescent="0.35">
      <c r="A23891" t="s">
        <v>231</v>
      </c>
      <c r="B23891" t="s">
        <v>239</v>
      </c>
      <c r="C23891" s="26">
        <v>0.94740000000000002</v>
      </c>
      <c r="D23891" s="26">
        <v>5.2600000000000001E-2</v>
      </c>
      <c r="F23891">
        <v>57</v>
      </c>
    </row>
    <row r="23892" spans="1:6" x14ac:dyDescent="0.35">
      <c r="A23892" t="s">
        <v>231</v>
      </c>
      <c r="B23892" t="s">
        <v>238</v>
      </c>
      <c r="C23892" s="26">
        <v>0.88790000000000002</v>
      </c>
      <c r="D23892" s="26">
        <v>9.35E-2</v>
      </c>
      <c r="E23892" s="26">
        <v>1.8700000000000001E-2</v>
      </c>
      <c r="F23892">
        <v>107</v>
      </c>
    </row>
    <row r="23893" spans="1:6" x14ac:dyDescent="0.35">
      <c r="A23893" t="s">
        <v>232</v>
      </c>
      <c r="B23893" t="s">
        <v>232</v>
      </c>
      <c r="C23893" s="26">
        <v>0.92110000000000003</v>
      </c>
      <c r="D23893" s="26">
        <v>6.4100000000000004E-2</v>
      </c>
      <c r="E23893" s="26">
        <v>1.49E-2</v>
      </c>
      <c r="F23893">
        <v>2801</v>
      </c>
    </row>
    <row r="23895" spans="1:6" x14ac:dyDescent="0.35">
      <c r="A23895" s="1" t="s">
        <v>2255</v>
      </c>
    </row>
    <row r="23896" spans="1:6" x14ac:dyDescent="0.35">
      <c r="A23896" t="s">
        <v>219</v>
      </c>
      <c r="B23896" t="s">
        <v>305</v>
      </c>
      <c r="C23896" t="s">
        <v>2250</v>
      </c>
      <c r="D23896" t="s">
        <v>2251</v>
      </c>
      <c r="E23896" t="s">
        <v>2252</v>
      </c>
      <c r="F23896" t="s">
        <v>226</v>
      </c>
    </row>
    <row r="23897" spans="1:6" x14ac:dyDescent="0.35">
      <c r="A23897" t="s">
        <v>227</v>
      </c>
      <c r="B23897" t="s">
        <v>244</v>
      </c>
      <c r="C23897" s="26">
        <v>0.95830000000000004</v>
      </c>
      <c r="D23897" s="26">
        <v>4.1700000000000001E-2</v>
      </c>
      <c r="F23897">
        <v>96</v>
      </c>
    </row>
    <row r="23898" spans="1:6" x14ac:dyDescent="0.35">
      <c r="A23898" t="s">
        <v>227</v>
      </c>
      <c r="B23898" t="s">
        <v>245</v>
      </c>
      <c r="C23898" s="26">
        <v>0.88680000000000003</v>
      </c>
      <c r="D23898" s="26">
        <v>0.1132</v>
      </c>
      <c r="F23898">
        <v>53</v>
      </c>
    </row>
    <row r="23899" spans="1:6" x14ac:dyDescent="0.35">
      <c r="A23899" s="27" t="s">
        <v>227</v>
      </c>
      <c r="B23899" s="27" t="s">
        <v>246</v>
      </c>
      <c r="C23899" s="28">
        <v>1</v>
      </c>
      <c r="D23899" s="29"/>
      <c r="E23899" s="29"/>
      <c r="F23899" s="29" t="s">
        <v>342</v>
      </c>
    </row>
    <row r="23900" spans="1:6" x14ac:dyDescent="0.35">
      <c r="A23900" t="s">
        <v>228</v>
      </c>
      <c r="B23900" t="s">
        <v>244</v>
      </c>
      <c r="C23900" s="26">
        <v>0.93220000000000003</v>
      </c>
      <c r="D23900" s="26">
        <v>5.6599999999999998E-2</v>
      </c>
      <c r="E23900" s="26">
        <v>1.12E-2</v>
      </c>
      <c r="F23900">
        <v>636</v>
      </c>
    </row>
    <row r="23901" spans="1:6" x14ac:dyDescent="0.35">
      <c r="A23901" t="s">
        <v>228</v>
      </c>
      <c r="B23901" t="s">
        <v>245</v>
      </c>
      <c r="C23901" s="26">
        <v>0.86950000000000005</v>
      </c>
      <c r="D23901" s="26">
        <v>0.10050000000000001</v>
      </c>
      <c r="E23901" s="26">
        <v>0.03</v>
      </c>
      <c r="F23901">
        <v>325</v>
      </c>
    </row>
    <row r="23902" spans="1:6" x14ac:dyDescent="0.35">
      <c r="A23902" t="s">
        <v>228</v>
      </c>
      <c r="B23902" t="s">
        <v>246</v>
      </c>
      <c r="C23902" s="26">
        <v>0.96730000000000005</v>
      </c>
      <c r="D23902" s="26">
        <v>3.27E-2</v>
      </c>
      <c r="F23902">
        <v>67</v>
      </c>
    </row>
    <row r="23903" spans="1:6" x14ac:dyDescent="0.35">
      <c r="A23903" t="s">
        <v>229</v>
      </c>
      <c r="B23903" t="s">
        <v>244</v>
      </c>
      <c r="C23903" s="26">
        <v>0.95179999999999998</v>
      </c>
      <c r="D23903" s="26">
        <v>3.2899999999999999E-2</v>
      </c>
      <c r="E23903" s="26">
        <v>1.5299999999999999E-2</v>
      </c>
      <c r="F23903">
        <v>553</v>
      </c>
    </row>
    <row r="23904" spans="1:6" x14ac:dyDescent="0.35">
      <c r="A23904" t="s">
        <v>229</v>
      </c>
      <c r="B23904" t="s">
        <v>245</v>
      </c>
      <c r="C23904" s="26">
        <v>0.88190000000000002</v>
      </c>
      <c r="D23904" s="26">
        <v>8.8499999999999995E-2</v>
      </c>
      <c r="E23904" s="26">
        <v>2.9600000000000001E-2</v>
      </c>
      <c r="F23904">
        <v>291</v>
      </c>
    </row>
    <row r="23905" spans="1:6" x14ac:dyDescent="0.35">
      <c r="A23905" t="s">
        <v>229</v>
      </c>
      <c r="B23905" t="s">
        <v>246</v>
      </c>
      <c r="C23905" s="26">
        <v>0.79920000000000002</v>
      </c>
      <c r="D23905" s="26">
        <v>9.4200000000000006E-2</v>
      </c>
      <c r="E23905" s="26">
        <v>0.1066</v>
      </c>
      <c r="F23905">
        <v>45</v>
      </c>
    </row>
    <row r="23906" spans="1:6" x14ac:dyDescent="0.35">
      <c r="A23906" t="s">
        <v>230</v>
      </c>
      <c r="B23906" t="s">
        <v>244</v>
      </c>
      <c r="C23906" s="26">
        <v>0.94369999999999998</v>
      </c>
      <c r="D23906" s="26">
        <v>4.6399999999999997E-2</v>
      </c>
      <c r="E23906" s="26">
        <v>9.9000000000000008E-3</v>
      </c>
      <c r="F23906">
        <v>369</v>
      </c>
    </row>
    <row r="23907" spans="1:6" x14ac:dyDescent="0.35">
      <c r="A23907" t="s">
        <v>230</v>
      </c>
      <c r="B23907" t="s">
        <v>245</v>
      </c>
      <c r="C23907" s="26">
        <v>0.90249999999999997</v>
      </c>
      <c r="D23907" s="26">
        <v>5.6000000000000001E-2</v>
      </c>
      <c r="E23907" s="26">
        <v>4.1500000000000002E-2</v>
      </c>
      <c r="F23907">
        <v>161</v>
      </c>
    </row>
    <row r="23908" spans="1:6" x14ac:dyDescent="0.35">
      <c r="A23908" s="27" t="s">
        <v>230</v>
      </c>
      <c r="B23908" s="27" t="s">
        <v>246</v>
      </c>
      <c r="C23908" s="28">
        <v>0.75409999999999999</v>
      </c>
      <c r="D23908" s="28">
        <v>0.24030000000000001</v>
      </c>
      <c r="E23908" s="28">
        <v>5.5999999999999999E-3</v>
      </c>
      <c r="F23908" s="29" t="s">
        <v>329</v>
      </c>
    </row>
    <row r="23909" spans="1:6" x14ac:dyDescent="0.35">
      <c r="A23909" t="s">
        <v>231</v>
      </c>
      <c r="B23909" t="s">
        <v>244</v>
      </c>
      <c r="C23909" s="26">
        <v>0.92630000000000001</v>
      </c>
      <c r="D23909" s="26">
        <v>7.3700000000000002E-2</v>
      </c>
      <c r="F23909">
        <v>95</v>
      </c>
    </row>
    <row r="23910" spans="1:6" x14ac:dyDescent="0.35">
      <c r="A23910" t="s">
        <v>231</v>
      </c>
      <c r="B23910" t="s">
        <v>245</v>
      </c>
      <c r="C23910" s="26">
        <v>0.85709999999999997</v>
      </c>
      <c r="D23910" s="26">
        <v>0.1071</v>
      </c>
      <c r="E23910" s="26">
        <v>3.5700000000000003E-2</v>
      </c>
      <c r="F23910">
        <v>56</v>
      </c>
    </row>
    <row r="23911" spans="1:6" x14ac:dyDescent="0.35">
      <c r="A23911" s="27" t="s">
        <v>231</v>
      </c>
      <c r="B23911" s="27" t="s">
        <v>246</v>
      </c>
      <c r="C23911" s="28">
        <v>1</v>
      </c>
      <c r="D23911" s="29"/>
      <c r="E23911" s="29"/>
      <c r="F23911" s="29" t="s">
        <v>341</v>
      </c>
    </row>
    <row r="23912" spans="1:6" x14ac:dyDescent="0.35">
      <c r="A23912" t="s">
        <v>232</v>
      </c>
      <c r="B23912" t="s">
        <v>232</v>
      </c>
      <c r="C23912" s="26">
        <v>0.92110000000000003</v>
      </c>
      <c r="D23912" s="26">
        <v>6.4100000000000004E-2</v>
      </c>
      <c r="E23912" s="26">
        <v>1.49E-2</v>
      </c>
      <c r="F23912">
        <v>2801</v>
      </c>
    </row>
    <row r="23914" spans="1:6" x14ac:dyDescent="0.35">
      <c r="A23914" s="1" t="s">
        <v>2256</v>
      </c>
    </row>
    <row r="23915" spans="1:6" x14ac:dyDescent="0.35">
      <c r="A23915" t="s">
        <v>219</v>
      </c>
      <c r="B23915" t="s">
        <v>305</v>
      </c>
      <c r="C23915" t="s">
        <v>2250</v>
      </c>
      <c r="D23915" t="s">
        <v>2251</v>
      </c>
      <c r="E23915" t="s">
        <v>2252</v>
      </c>
      <c r="F23915" t="s">
        <v>226</v>
      </c>
    </row>
    <row r="23916" spans="1:6" x14ac:dyDescent="0.35">
      <c r="A23916" t="s">
        <v>227</v>
      </c>
      <c r="B23916" t="s">
        <v>360</v>
      </c>
      <c r="C23916" s="26">
        <v>0.92310000000000003</v>
      </c>
      <c r="D23916" s="26">
        <v>7.6899999999999996E-2</v>
      </c>
      <c r="F23916">
        <v>39</v>
      </c>
    </row>
    <row r="23917" spans="1:6" x14ac:dyDescent="0.35">
      <c r="A23917" t="s">
        <v>227</v>
      </c>
      <c r="B23917" t="s">
        <v>361</v>
      </c>
      <c r="C23917" s="26">
        <v>0.96879999999999999</v>
      </c>
      <c r="D23917" s="26">
        <v>3.1199999999999999E-2</v>
      </c>
      <c r="F23917">
        <v>32</v>
      </c>
    </row>
    <row r="23918" spans="1:6" x14ac:dyDescent="0.35">
      <c r="A23918" t="s">
        <v>227</v>
      </c>
      <c r="B23918" t="s">
        <v>362</v>
      </c>
      <c r="C23918" s="26">
        <v>0.91890000000000005</v>
      </c>
      <c r="D23918" s="26">
        <v>8.1100000000000005E-2</v>
      </c>
      <c r="F23918">
        <v>37</v>
      </c>
    </row>
    <row r="23919" spans="1:6" x14ac:dyDescent="0.35">
      <c r="A23919" t="s">
        <v>227</v>
      </c>
      <c r="B23919" t="s">
        <v>363</v>
      </c>
      <c r="C23919" s="26">
        <v>0.93330000000000002</v>
      </c>
      <c r="D23919" s="26">
        <v>6.6699999999999995E-2</v>
      </c>
      <c r="F23919">
        <v>45</v>
      </c>
    </row>
    <row r="23920" spans="1:6" x14ac:dyDescent="0.35">
      <c r="A23920" t="s">
        <v>228</v>
      </c>
      <c r="B23920" t="s">
        <v>360</v>
      </c>
      <c r="C23920" s="26">
        <v>0.84650000000000003</v>
      </c>
      <c r="D23920" s="26">
        <v>0.11070000000000001</v>
      </c>
      <c r="E23920" s="26">
        <v>4.2799999999999998E-2</v>
      </c>
      <c r="F23920">
        <v>256</v>
      </c>
    </row>
    <row r="23921" spans="1:6" x14ac:dyDescent="0.35">
      <c r="A23921" t="s">
        <v>228</v>
      </c>
      <c r="B23921" t="s">
        <v>361</v>
      </c>
      <c r="C23921" s="26">
        <v>0.9264</v>
      </c>
      <c r="D23921" s="26">
        <v>7.0099999999999996E-2</v>
      </c>
      <c r="E23921" s="26">
        <v>3.5000000000000001E-3</v>
      </c>
      <c r="F23921">
        <v>193</v>
      </c>
    </row>
    <row r="23922" spans="1:6" x14ac:dyDescent="0.35">
      <c r="A23922" t="s">
        <v>228</v>
      </c>
      <c r="B23922" t="s">
        <v>363</v>
      </c>
      <c r="C23922" s="26">
        <v>0.93759999999999999</v>
      </c>
      <c r="D23922" s="26">
        <v>5.8900000000000001E-2</v>
      </c>
      <c r="E23922" s="26">
        <v>3.5000000000000001E-3</v>
      </c>
      <c r="F23922">
        <v>211</v>
      </c>
    </row>
    <row r="23923" spans="1:6" x14ac:dyDescent="0.35">
      <c r="A23923" t="s">
        <v>228</v>
      </c>
      <c r="B23923" t="s">
        <v>362</v>
      </c>
      <c r="C23923" s="26">
        <v>0.92589999999999995</v>
      </c>
      <c r="D23923" s="26">
        <v>5.5E-2</v>
      </c>
      <c r="E23923" s="26">
        <v>1.9099999999999999E-2</v>
      </c>
      <c r="F23923">
        <v>236</v>
      </c>
    </row>
    <row r="23924" spans="1:6" x14ac:dyDescent="0.35">
      <c r="A23924" t="s">
        <v>229</v>
      </c>
      <c r="B23924" t="s">
        <v>363</v>
      </c>
      <c r="C23924" s="26">
        <v>0.93089999999999995</v>
      </c>
      <c r="D23924" s="26">
        <v>6.9099999999999995E-2</v>
      </c>
      <c r="F23924">
        <v>190</v>
      </c>
    </row>
    <row r="23925" spans="1:6" x14ac:dyDescent="0.35">
      <c r="A23925" t="s">
        <v>229</v>
      </c>
      <c r="B23925" t="s">
        <v>360</v>
      </c>
      <c r="C23925" s="26">
        <v>0.8498</v>
      </c>
      <c r="D23925" s="26">
        <v>9.7100000000000006E-2</v>
      </c>
      <c r="E23925" s="26">
        <v>5.3100000000000001E-2</v>
      </c>
      <c r="F23925">
        <v>162</v>
      </c>
    </row>
    <row r="23926" spans="1:6" x14ac:dyDescent="0.35">
      <c r="A23926" t="s">
        <v>229</v>
      </c>
      <c r="B23926" t="s">
        <v>361</v>
      </c>
      <c r="C23926" s="26">
        <v>0.93379999999999996</v>
      </c>
      <c r="D23926" s="26">
        <v>4.24E-2</v>
      </c>
      <c r="E23926" s="26">
        <v>2.3800000000000002E-2</v>
      </c>
      <c r="F23926">
        <v>243</v>
      </c>
    </row>
    <row r="23927" spans="1:6" x14ac:dyDescent="0.35">
      <c r="A23927" t="s">
        <v>229</v>
      </c>
      <c r="B23927" t="s">
        <v>362</v>
      </c>
      <c r="C23927" s="26">
        <v>0.92579999999999996</v>
      </c>
      <c r="D23927" s="26">
        <v>3.5900000000000001E-2</v>
      </c>
      <c r="E23927" s="26">
        <v>3.8300000000000001E-2</v>
      </c>
      <c r="F23927">
        <v>170</v>
      </c>
    </row>
    <row r="23928" spans="1:6" x14ac:dyDescent="0.35">
      <c r="A23928" t="s">
        <v>230</v>
      </c>
      <c r="B23928" t="s">
        <v>360</v>
      </c>
      <c r="C23928" s="26">
        <v>0.84240000000000004</v>
      </c>
      <c r="D23928" s="26">
        <v>0.1227</v>
      </c>
      <c r="E23928" s="26">
        <v>3.5000000000000003E-2</v>
      </c>
      <c r="F23928">
        <v>120</v>
      </c>
    </row>
    <row r="23929" spans="1:6" x14ac:dyDescent="0.35">
      <c r="A23929" t="s">
        <v>230</v>
      </c>
      <c r="B23929" t="s">
        <v>363</v>
      </c>
      <c r="C23929" s="26">
        <v>0.96409999999999996</v>
      </c>
      <c r="D23929" s="26">
        <v>3.5900000000000001E-2</v>
      </c>
      <c r="F23929">
        <v>126</v>
      </c>
    </row>
    <row r="23930" spans="1:6" x14ac:dyDescent="0.35">
      <c r="A23930" t="s">
        <v>230</v>
      </c>
      <c r="B23930" t="s">
        <v>361</v>
      </c>
      <c r="C23930" s="26">
        <v>0.96609999999999996</v>
      </c>
      <c r="D23930" s="26">
        <v>1.26E-2</v>
      </c>
      <c r="E23930" s="26">
        <v>2.12E-2</v>
      </c>
      <c r="F23930">
        <v>109</v>
      </c>
    </row>
    <row r="23931" spans="1:6" x14ac:dyDescent="0.35">
      <c r="A23931" t="s">
        <v>230</v>
      </c>
      <c r="B23931" t="s">
        <v>362</v>
      </c>
      <c r="C23931" s="26">
        <v>0.89800000000000002</v>
      </c>
      <c r="D23931" s="26">
        <v>8.0600000000000005E-2</v>
      </c>
      <c r="E23931" s="26">
        <v>2.1499999999999998E-2</v>
      </c>
      <c r="F23931">
        <v>148</v>
      </c>
    </row>
    <row r="23932" spans="1:6" x14ac:dyDescent="0.35">
      <c r="A23932" s="27" t="s">
        <v>231</v>
      </c>
      <c r="B23932" s="27" t="s">
        <v>362</v>
      </c>
      <c r="C23932" s="28">
        <v>0.89659999999999995</v>
      </c>
      <c r="D23932" s="28">
        <v>0.10340000000000001</v>
      </c>
      <c r="E23932" s="29"/>
      <c r="F23932" s="29" t="s">
        <v>329</v>
      </c>
    </row>
    <row r="23933" spans="1:6" x14ac:dyDescent="0.35">
      <c r="A23933" t="s">
        <v>231</v>
      </c>
      <c r="B23933" t="s">
        <v>361</v>
      </c>
      <c r="C23933" s="26">
        <v>0.92</v>
      </c>
      <c r="D23933" s="26">
        <v>0.06</v>
      </c>
      <c r="E23933" s="26">
        <v>0.02</v>
      </c>
      <c r="F23933">
        <v>50</v>
      </c>
    </row>
    <row r="23934" spans="1:6" x14ac:dyDescent="0.35">
      <c r="A23934" t="s">
        <v>231</v>
      </c>
      <c r="B23934" t="s">
        <v>360</v>
      </c>
      <c r="C23934" s="26">
        <v>0.90910000000000002</v>
      </c>
      <c r="D23934" s="26">
        <v>9.0899999999999995E-2</v>
      </c>
      <c r="F23934">
        <v>44</v>
      </c>
    </row>
    <row r="23935" spans="1:6" x14ac:dyDescent="0.35">
      <c r="A23935" s="27" t="s">
        <v>231</v>
      </c>
      <c r="B23935" s="27" t="s">
        <v>363</v>
      </c>
      <c r="C23935" s="28">
        <v>1</v>
      </c>
      <c r="D23935" s="29"/>
      <c r="E23935" s="29"/>
      <c r="F23935" s="29" t="s">
        <v>338</v>
      </c>
    </row>
    <row r="23936" spans="1:6" x14ac:dyDescent="0.35">
      <c r="A23936" t="s">
        <v>232</v>
      </c>
      <c r="B23936" t="s">
        <v>232</v>
      </c>
      <c r="C23936" s="26">
        <v>0.92110000000000003</v>
      </c>
      <c r="D23936" s="26">
        <v>6.4100000000000004E-2</v>
      </c>
      <c r="E23936" s="26">
        <v>1.49E-2</v>
      </c>
      <c r="F23936">
        <v>2467</v>
      </c>
    </row>
    <row r="23938" spans="1:6" x14ac:dyDescent="0.35">
      <c r="A23938" s="1" t="s">
        <v>2257</v>
      </c>
    </row>
    <row r="23939" spans="1:6" x14ac:dyDescent="0.35">
      <c r="A23939" t="s">
        <v>219</v>
      </c>
      <c r="B23939" t="s">
        <v>305</v>
      </c>
      <c r="C23939" t="s">
        <v>2250</v>
      </c>
      <c r="D23939" t="s">
        <v>2251</v>
      </c>
      <c r="E23939" t="s">
        <v>2252</v>
      </c>
      <c r="F23939" t="s">
        <v>226</v>
      </c>
    </row>
    <row r="23940" spans="1:6" x14ac:dyDescent="0.35">
      <c r="A23940" t="s">
        <v>227</v>
      </c>
      <c r="B23940" t="s">
        <v>267</v>
      </c>
      <c r="C23940" s="26">
        <v>0.94440000000000002</v>
      </c>
      <c r="D23940" s="26">
        <v>5.5599999999999997E-2</v>
      </c>
      <c r="F23940">
        <v>36</v>
      </c>
    </row>
    <row r="23941" spans="1:6" x14ac:dyDescent="0.35">
      <c r="A23941" t="s">
        <v>227</v>
      </c>
      <c r="B23941" t="s">
        <v>266</v>
      </c>
      <c r="C23941" s="26">
        <v>0.93220000000000003</v>
      </c>
      <c r="D23941" s="26">
        <v>6.7799999999999999E-2</v>
      </c>
      <c r="F23941">
        <v>59</v>
      </c>
    </row>
    <row r="23942" spans="1:6" x14ac:dyDescent="0.35">
      <c r="A23942" t="s">
        <v>227</v>
      </c>
      <c r="B23942" t="s">
        <v>265</v>
      </c>
      <c r="C23942" s="26">
        <v>0.93940000000000001</v>
      </c>
      <c r="D23942" s="26">
        <v>6.0600000000000001E-2</v>
      </c>
      <c r="F23942">
        <v>66</v>
      </c>
    </row>
    <row r="23943" spans="1:6" x14ac:dyDescent="0.35">
      <c r="A23943" t="s">
        <v>228</v>
      </c>
      <c r="B23943" t="s">
        <v>267</v>
      </c>
      <c r="C23943" s="26">
        <v>0.94610000000000005</v>
      </c>
      <c r="D23943" s="26">
        <v>5.3900000000000003E-2</v>
      </c>
      <c r="F23943">
        <v>196</v>
      </c>
    </row>
    <row r="23944" spans="1:6" x14ac:dyDescent="0.35">
      <c r="A23944" t="s">
        <v>228</v>
      </c>
      <c r="B23944" t="s">
        <v>265</v>
      </c>
      <c r="C23944" s="26">
        <v>0.92889999999999995</v>
      </c>
      <c r="D23944" s="26">
        <v>6.3E-2</v>
      </c>
      <c r="E23944" s="26">
        <v>8.0000000000000002E-3</v>
      </c>
      <c r="F23944">
        <v>383</v>
      </c>
    </row>
    <row r="23945" spans="1:6" x14ac:dyDescent="0.35">
      <c r="A23945" s="27" t="s">
        <v>228</v>
      </c>
      <c r="B23945" s="27" t="s">
        <v>236</v>
      </c>
      <c r="C23945" s="28">
        <v>1</v>
      </c>
      <c r="D23945" s="29"/>
      <c r="E23945" s="29"/>
      <c r="F23945" s="29" t="s">
        <v>314</v>
      </c>
    </row>
    <row r="23946" spans="1:6" x14ac:dyDescent="0.35">
      <c r="A23946" t="s">
        <v>228</v>
      </c>
      <c r="B23946" t="s">
        <v>266</v>
      </c>
      <c r="C23946" s="26">
        <v>0.89219999999999999</v>
      </c>
      <c r="D23946" s="26">
        <v>7.7899999999999997E-2</v>
      </c>
      <c r="E23946" s="26">
        <v>0.03</v>
      </c>
      <c r="F23946">
        <v>447</v>
      </c>
    </row>
    <row r="23947" spans="1:6" x14ac:dyDescent="0.35">
      <c r="A23947" t="s">
        <v>229</v>
      </c>
      <c r="B23947" t="s">
        <v>266</v>
      </c>
      <c r="C23947" s="26">
        <v>0.92859999999999998</v>
      </c>
      <c r="D23947" s="26">
        <v>5.8200000000000002E-2</v>
      </c>
      <c r="E23947" s="26">
        <v>1.32E-2</v>
      </c>
      <c r="F23947">
        <v>357</v>
      </c>
    </row>
    <row r="23948" spans="1:6" x14ac:dyDescent="0.35">
      <c r="A23948" t="s">
        <v>229</v>
      </c>
      <c r="B23948" t="s">
        <v>267</v>
      </c>
      <c r="C23948" s="26">
        <v>0.91269999999999996</v>
      </c>
      <c r="D23948" s="26">
        <v>5.9499999999999997E-2</v>
      </c>
      <c r="E23948" s="26">
        <v>2.7900000000000001E-2</v>
      </c>
      <c r="F23948">
        <v>199</v>
      </c>
    </row>
    <row r="23949" spans="1:6" x14ac:dyDescent="0.35">
      <c r="A23949" t="s">
        <v>229</v>
      </c>
      <c r="B23949" t="s">
        <v>265</v>
      </c>
      <c r="C23949" s="26">
        <v>0.93049999999999999</v>
      </c>
      <c r="D23949" s="26">
        <v>0.04</v>
      </c>
      <c r="E23949" s="26">
        <v>2.9600000000000001E-2</v>
      </c>
      <c r="F23949">
        <v>333</v>
      </c>
    </row>
    <row r="23950" spans="1:6" x14ac:dyDescent="0.35">
      <c r="A23950" t="s">
        <v>230</v>
      </c>
      <c r="B23950" t="s">
        <v>267</v>
      </c>
      <c r="C23950" s="26">
        <v>0.96230000000000004</v>
      </c>
      <c r="D23950" s="26">
        <v>3.7699999999999997E-2</v>
      </c>
      <c r="F23950">
        <v>118</v>
      </c>
    </row>
    <row r="23951" spans="1:6" x14ac:dyDescent="0.35">
      <c r="A23951" t="s">
        <v>230</v>
      </c>
      <c r="B23951" t="s">
        <v>266</v>
      </c>
      <c r="C23951" s="26">
        <v>0.87629999999999997</v>
      </c>
      <c r="D23951" s="26">
        <v>7.6600000000000001E-2</v>
      </c>
      <c r="E23951" s="26">
        <v>4.7100000000000003E-2</v>
      </c>
      <c r="F23951">
        <v>232</v>
      </c>
    </row>
    <row r="23952" spans="1:6" x14ac:dyDescent="0.35">
      <c r="A23952" t="s">
        <v>230</v>
      </c>
      <c r="B23952" t="s">
        <v>265</v>
      </c>
      <c r="C23952" s="26">
        <v>0.9446</v>
      </c>
      <c r="D23952" s="26">
        <v>5.3400000000000003E-2</v>
      </c>
      <c r="E23952" s="26">
        <v>2E-3</v>
      </c>
      <c r="F23952">
        <v>209</v>
      </c>
    </row>
    <row r="23953" spans="1:6" x14ac:dyDescent="0.35">
      <c r="A23953" t="s">
        <v>231</v>
      </c>
      <c r="B23953" t="s">
        <v>267</v>
      </c>
      <c r="C23953" s="26">
        <v>0.97060000000000002</v>
      </c>
      <c r="D23953" s="26">
        <v>2.9399999999999999E-2</v>
      </c>
      <c r="F23953">
        <v>34</v>
      </c>
    </row>
    <row r="23954" spans="1:6" x14ac:dyDescent="0.35">
      <c r="A23954" t="s">
        <v>231</v>
      </c>
      <c r="B23954" t="s">
        <v>266</v>
      </c>
      <c r="C23954" s="26">
        <v>0.8387</v>
      </c>
      <c r="D23954" s="26">
        <v>0.129</v>
      </c>
      <c r="E23954" s="26">
        <v>3.2300000000000002E-2</v>
      </c>
      <c r="F23954">
        <v>62</v>
      </c>
    </row>
    <row r="23955" spans="1:6" x14ac:dyDescent="0.35">
      <c r="A23955" t="s">
        <v>231</v>
      </c>
      <c r="B23955" t="s">
        <v>265</v>
      </c>
      <c r="C23955" s="26">
        <v>0.94120000000000004</v>
      </c>
      <c r="D23955" s="26">
        <v>5.8799999999999998E-2</v>
      </c>
      <c r="F23955">
        <v>68</v>
      </c>
    </row>
    <row r="23956" spans="1:6" x14ac:dyDescent="0.35">
      <c r="A23956" t="s">
        <v>232</v>
      </c>
      <c r="B23956" t="s">
        <v>232</v>
      </c>
      <c r="C23956" s="26">
        <v>0.92110000000000003</v>
      </c>
      <c r="D23956" s="26">
        <v>6.4100000000000004E-2</v>
      </c>
      <c r="E23956" s="26">
        <v>1.49E-2</v>
      </c>
      <c r="F23956">
        <v>2801</v>
      </c>
    </row>
    <row r="23958" spans="1:6" x14ac:dyDescent="0.35">
      <c r="A23958" s="1" t="s">
        <v>2258</v>
      </c>
    </row>
    <row r="23959" spans="1:6" x14ac:dyDescent="0.35">
      <c r="A23959" t="s">
        <v>219</v>
      </c>
      <c r="B23959" t="s">
        <v>305</v>
      </c>
      <c r="C23959" t="s">
        <v>2250</v>
      </c>
      <c r="D23959" t="s">
        <v>2251</v>
      </c>
      <c r="E23959" t="s">
        <v>2252</v>
      </c>
      <c r="F23959" t="s">
        <v>226</v>
      </c>
    </row>
    <row r="23960" spans="1:6" x14ac:dyDescent="0.35">
      <c r="A23960" t="s">
        <v>227</v>
      </c>
      <c r="B23960" t="s">
        <v>252</v>
      </c>
      <c r="C23960" s="26">
        <v>0.9778</v>
      </c>
      <c r="D23960" s="26">
        <v>2.2200000000000001E-2</v>
      </c>
      <c r="F23960">
        <v>45</v>
      </c>
    </row>
    <row r="23961" spans="1:6" x14ac:dyDescent="0.35">
      <c r="A23961" t="s">
        <v>227</v>
      </c>
      <c r="B23961" t="s">
        <v>253</v>
      </c>
      <c r="C23961" s="26">
        <v>0.94120000000000004</v>
      </c>
      <c r="D23961" s="26">
        <v>5.8799999999999998E-2</v>
      </c>
      <c r="F23961">
        <v>34</v>
      </c>
    </row>
    <row r="23962" spans="1:6" x14ac:dyDescent="0.35">
      <c r="A23962" t="s">
        <v>227</v>
      </c>
      <c r="B23962" t="s">
        <v>251</v>
      </c>
      <c r="C23962" s="26">
        <v>0.91459999999999997</v>
      </c>
      <c r="D23962" s="26">
        <v>8.5400000000000004E-2</v>
      </c>
      <c r="F23962">
        <v>82</v>
      </c>
    </row>
    <row r="23963" spans="1:6" x14ac:dyDescent="0.35">
      <c r="A23963" t="s">
        <v>228</v>
      </c>
      <c r="B23963" t="s">
        <v>252</v>
      </c>
      <c r="C23963" s="26">
        <v>0.88180000000000003</v>
      </c>
      <c r="D23963" s="26">
        <v>8.48E-2</v>
      </c>
      <c r="E23963" s="26">
        <v>3.3300000000000003E-2</v>
      </c>
      <c r="F23963">
        <v>342</v>
      </c>
    </row>
    <row r="23964" spans="1:6" x14ac:dyDescent="0.35">
      <c r="A23964" t="s">
        <v>228</v>
      </c>
      <c r="B23964" t="s">
        <v>253</v>
      </c>
      <c r="C23964" s="26">
        <v>0.94310000000000005</v>
      </c>
      <c r="D23964" s="26">
        <v>5.1999999999999998E-2</v>
      </c>
      <c r="E23964" s="26">
        <v>5.0000000000000001E-3</v>
      </c>
      <c r="F23964">
        <v>222</v>
      </c>
    </row>
    <row r="23965" spans="1:6" x14ac:dyDescent="0.35">
      <c r="A23965" t="s">
        <v>228</v>
      </c>
      <c r="B23965" t="s">
        <v>251</v>
      </c>
      <c r="C23965" s="26">
        <v>0.92979999999999996</v>
      </c>
      <c r="D23965" s="26">
        <v>6.1800000000000001E-2</v>
      </c>
      <c r="E23965" s="26">
        <v>8.3000000000000001E-3</v>
      </c>
      <c r="F23965">
        <v>464</v>
      </c>
    </row>
    <row r="23966" spans="1:6" x14ac:dyDescent="0.35">
      <c r="A23966" t="s">
        <v>229</v>
      </c>
      <c r="B23966" t="s">
        <v>252</v>
      </c>
      <c r="C23966" s="26">
        <v>0.92869999999999997</v>
      </c>
      <c r="D23966" s="26">
        <v>5.57E-2</v>
      </c>
      <c r="E23966" s="26">
        <v>1.5599999999999999E-2</v>
      </c>
      <c r="F23966">
        <v>196</v>
      </c>
    </row>
    <row r="23967" spans="1:6" x14ac:dyDescent="0.35">
      <c r="A23967" t="s">
        <v>229</v>
      </c>
      <c r="B23967" t="s">
        <v>253</v>
      </c>
      <c r="C23967" s="26">
        <v>0.88890000000000002</v>
      </c>
      <c r="D23967" s="26">
        <v>5.8000000000000003E-2</v>
      </c>
      <c r="E23967" s="26">
        <v>5.3100000000000001E-2</v>
      </c>
      <c r="F23967">
        <v>144</v>
      </c>
    </row>
    <row r="23968" spans="1:6" x14ac:dyDescent="0.35">
      <c r="A23968" t="s">
        <v>229</v>
      </c>
      <c r="B23968" t="s">
        <v>251</v>
      </c>
      <c r="C23968" s="26">
        <v>0.93679999999999997</v>
      </c>
      <c r="D23968" s="26">
        <v>4.5699999999999998E-2</v>
      </c>
      <c r="E23968" s="26">
        <v>1.7500000000000002E-2</v>
      </c>
      <c r="F23968">
        <v>549</v>
      </c>
    </row>
    <row r="23969" spans="1:6" x14ac:dyDescent="0.35">
      <c r="A23969" t="s">
        <v>230</v>
      </c>
      <c r="B23969" t="s">
        <v>252</v>
      </c>
      <c r="C23969" s="26">
        <v>0.94289999999999996</v>
      </c>
      <c r="D23969" s="26">
        <v>1.1599999999999999E-2</v>
      </c>
      <c r="E23969" s="26">
        <v>4.5499999999999999E-2</v>
      </c>
      <c r="F23969">
        <v>159</v>
      </c>
    </row>
    <row r="23970" spans="1:6" x14ac:dyDescent="0.35">
      <c r="A23970" t="s">
        <v>230</v>
      </c>
      <c r="B23970" t="s">
        <v>253</v>
      </c>
      <c r="C23970" s="26">
        <v>0.95189999999999997</v>
      </c>
      <c r="D23970" s="26">
        <v>4.5199999999999997E-2</v>
      </c>
      <c r="E23970" s="26">
        <v>2.8999999999999998E-3</v>
      </c>
      <c r="F23970">
        <v>110</v>
      </c>
    </row>
    <row r="23971" spans="1:6" x14ac:dyDescent="0.35">
      <c r="A23971" t="s">
        <v>230</v>
      </c>
      <c r="B23971" t="s">
        <v>251</v>
      </c>
      <c r="C23971" s="26">
        <v>0.90539999999999998</v>
      </c>
      <c r="D23971" s="26">
        <v>8.4400000000000003E-2</v>
      </c>
      <c r="E23971" s="26">
        <v>1.0200000000000001E-2</v>
      </c>
      <c r="F23971">
        <v>290</v>
      </c>
    </row>
    <row r="23972" spans="1:6" x14ac:dyDescent="0.35">
      <c r="A23972" t="s">
        <v>231</v>
      </c>
      <c r="B23972" t="s">
        <v>252</v>
      </c>
      <c r="C23972" s="26">
        <v>0.91839999999999999</v>
      </c>
      <c r="D23972" s="26">
        <v>8.1600000000000006E-2</v>
      </c>
      <c r="F23972">
        <v>49</v>
      </c>
    </row>
    <row r="23973" spans="1:6" x14ac:dyDescent="0.35">
      <c r="A23973" t="s">
        <v>231</v>
      </c>
      <c r="B23973" t="s">
        <v>253</v>
      </c>
      <c r="C23973" s="26">
        <v>0.9667</v>
      </c>
      <c r="D23973" s="26">
        <v>3.3300000000000003E-2</v>
      </c>
      <c r="F23973">
        <v>30</v>
      </c>
    </row>
    <row r="23974" spans="1:6" x14ac:dyDescent="0.35">
      <c r="A23974" t="s">
        <v>231</v>
      </c>
      <c r="B23974" t="s">
        <v>251</v>
      </c>
      <c r="C23974" s="26">
        <v>0.88239999999999996</v>
      </c>
      <c r="D23974" s="26">
        <v>9.4100000000000003E-2</v>
      </c>
      <c r="E23974" s="26">
        <v>2.35E-2</v>
      </c>
      <c r="F23974">
        <v>85</v>
      </c>
    </row>
    <row r="23975" spans="1:6" x14ac:dyDescent="0.35">
      <c r="A23975" t="s">
        <v>232</v>
      </c>
      <c r="B23975" t="s">
        <v>232</v>
      </c>
      <c r="C23975" s="26">
        <v>0.92110000000000003</v>
      </c>
      <c r="D23975" s="26">
        <v>6.4100000000000004E-2</v>
      </c>
      <c r="E23975" s="26">
        <v>1.49E-2</v>
      </c>
      <c r="F23975">
        <v>2801</v>
      </c>
    </row>
    <row r="23977" spans="1:6" x14ac:dyDescent="0.35">
      <c r="A23977" s="1" t="s">
        <v>2259</v>
      </c>
    </row>
    <row r="23978" spans="1:6" x14ac:dyDescent="0.35">
      <c r="A23978" t="s">
        <v>219</v>
      </c>
      <c r="B23978" t="s">
        <v>305</v>
      </c>
      <c r="C23978" t="s">
        <v>2250</v>
      </c>
      <c r="D23978" t="s">
        <v>2251</v>
      </c>
      <c r="E23978" t="s">
        <v>2252</v>
      </c>
      <c r="F23978" t="s">
        <v>226</v>
      </c>
    </row>
    <row r="23979" spans="1:6" x14ac:dyDescent="0.35">
      <c r="A23979" t="s">
        <v>227</v>
      </c>
      <c r="B23979" t="s">
        <v>249</v>
      </c>
      <c r="C23979" s="26">
        <v>0.97729999999999995</v>
      </c>
      <c r="D23979" s="26">
        <v>2.2700000000000001E-2</v>
      </c>
      <c r="F23979">
        <v>44</v>
      </c>
    </row>
    <row r="23980" spans="1:6" x14ac:dyDescent="0.35">
      <c r="A23980" t="s">
        <v>227</v>
      </c>
      <c r="B23980" t="s">
        <v>248</v>
      </c>
      <c r="C23980" s="26">
        <v>0.92310000000000003</v>
      </c>
      <c r="D23980" s="26">
        <v>7.6899999999999996E-2</v>
      </c>
      <c r="F23980">
        <v>117</v>
      </c>
    </row>
    <row r="23981" spans="1:6" x14ac:dyDescent="0.35">
      <c r="A23981" t="s">
        <v>228</v>
      </c>
      <c r="B23981" t="s">
        <v>249</v>
      </c>
      <c r="C23981" s="26">
        <v>0.95030000000000003</v>
      </c>
      <c r="D23981" s="26">
        <v>4.7E-2</v>
      </c>
      <c r="E23981" s="26">
        <v>2.8E-3</v>
      </c>
      <c r="F23981">
        <v>274</v>
      </c>
    </row>
    <row r="23982" spans="1:6" x14ac:dyDescent="0.35">
      <c r="A23982" t="s">
        <v>228</v>
      </c>
      <c r="B23982" t="s">
        <v>248</v>
      </c>
      <c r="C23982" s="26">
        <v>0.90300000000000002</v>
      </c>
      <c r="D23982" s="26">
        <v>7.5800000000000006E-2</v>
      </c>
      <c r="E23982" s="26">
        <v>2.12E-2</v>
      </c>
      <c r="F23982">
        <v>754</v>
      </c>
    </row>
    <row r="23983" spans="1:6" x14ac:dyDescent="0.35">
      <c r="A23983" t="s">
        <v>229</v>
      </c>
      <c r="B23983" t="s">
        <v>249</v>
      </c>
      <c r="C23983" s="26">
        <v>0.9294</v>
      </c>
      <c r="D23983" s="26">
        <v>3.6499999999999998E-2</v>
      </c>
      <c r="E23983" s="26">
        <v>3.4000000000000002E-2</v>
      </c>
      <c r="F23983">
        <v>258</v>
      </c>
    </row>
    <row r="23984" spans="1:6" x14ac:dyDescent="0.35">
      <c r="A23984" t="s">
        <v>229</v>
      </c>
      <c r="B23984" t="s">
        <v>248</v>
      </c>
      <c r="C23984" s="26">
        <v>0.92420000000000002</v>
      </c>
      <c r="D23984" s="26">
        <v>5.7000000000000002E-2</v>
      </c>
      <c r="E23984" s="26">
        <v>1.8800000000000001E-2</v>
      </c>
      <c r="F23984">
        <v>631</v>
      </c>
    </row>
    <row r="23985" spans="1:6" x14ac:dyDescent="0.35">
      <c r="A23985" t="s">
        <v>230</v>
      </c>
      <c r="B23985" t="s">
        <v>249</v>
      </c>
      <c r="C23985" s="26">
        <v>0.92410000000000003</v>
      </c>
      <c r="D23985" s="26">
        <v>7.4300000000000005E-2</v>
      </c>
      <c r="E23985" s="26">
        <v>1.6000000000000001E-3</v>
      </c>
      <c r="F23985">
        <v>171</v>
      </c>
    </row>
    <row r="23986" spans="1:6" x14ac:dyDescent="0.35">
      <c r="A23986" t="s">
        <v>230</v>
      </c>
      <c r="B23986" t="s">
        <v>248</v>
      </c>
      <c r="C23986" s="26">
        <v>0.92369999999999997</v>
      </c>
      <c r="D23986" s="26">
        <v>5.0200000000000002E-2</v>
      </c>
      <c r="E23986" s="26">
        <v>2.6100000000000002E-2</v>
      </c>
      <c r="F23986">
        <v>388</v>
      </c>
    </row>
    <row r="23987" spans="1:6" x14ac:dyDescent="0.35">
      <c r="A23987" t="s">
        <v>231</v>
      </c>
      <c r="B23987" t="s">
        <v>249</v>
      </c>
      <c r="C23987" s="26">
        <v>0.94289999999999996</v>
      </c>
      <c r="D23987" s="26">
        <v>5.7099999999999998E-2</v>
      </c>
      <c r="F23987">
        <v>35</v>
      </c>
    </row>
    <row r="23988" spans="1:6" x14ac:dyDescent="0.35">
      <c r="A23988" t="s">
        <v>231</v>
      </c>
      <c r="B23988" t="s">
        <v>248</v>
      </c>
      <c r="C23988" s="26">
        <v>0.8992</v>
      </c>
      <c r="D23988" s="26">
        <v>8.5300000000000001E-2</v>
      </c>
      <c r="E23988" s="26">
        <v>1.55E-2</v>
      </c>
      <c r="F23988">
        <v>129</v>
      </c>
    </row>
    <row r="23989" spans="1:6" x14ac:dyDescent="0.35">
      <c r="A23989" t="s">
        <v>232</v>
      </c>
      <c r="B23989" t="s">
        <v>232</v>
      </c>
      <c r="C23989" s="26">
        <v>0.92110000000000003</v>
      </c>
      <c r="D23989" s="26">
        <v>6.4100000000000004E-2</v>
      </c>
      <c r="E23989" s="26">
        <v>1.49E-2</v>
      </c>
      <c r="F23989">
        <v>2801</v>
      </c>
    </row>
    <row r="23991" spans="1:6" x14ac:dyDescent="0.35">
      <c r="A23991" s="1" t="s">
        <v>2260</v>
      </c>
    </row>
    <row r="23992" spans="1:6" x14ac:dyDescent="0.35">
      <c r="A23992" t="s">
        <v>219</v>
      </c>
      <c r="B23992" t="s">
        <v>305</v>
      </c>
      <c r="C23992" t="s">
        <v>2250</v>
      </c>
      <c r="D23992" t="s">
        <v>2251</v>
      </c>
      <c r="E23992" t="s">
        <v>2252</v>
      </c>
      <c r="F23992" t="s">
        <v>226</v>
      </c>
    </row>
    <row r="23993" spans="1:6" x14ac:dyDescent="0.35">
      <c r="A23993" s="27" t="s">
        <v>227</v>
      </c>
      <c r="B23993" s="27" t="s">
        <v>263</v>
      </c>
      <c r="C23993" s="28">
        <v>1</v>
      </c>
      <c r="D23993" s="29"/>
      <c r="E23993" s="29"/>
      <c r="F23993" s="29" t="s">
        <v>315</v>
      </c>
    </row>
    <row r="23994" spans="1:6" x14ac:dyDescent="0.35">
      <c r="A23994" t="s">
        <v>227</v>
      </c>
      <c r="B23994" t="s">
        <v>261</v>
      </c>
      <c r="C23994" s="26">
        <v>0.93940000000000001</v>
      </c>
      <c r="D23994" s="26">
        <v>6.0600000000000001E-2</v>
      </c>
      <c r="F23994">
        <v>33</v>
      </c>
    </row>
    <row r="23995" spans="1:6" x14ac:dyDescent="0.35">
      <c r="A23995" s="27" t="s">
        <v>227</v>
      </c>
      <c r="B23995" s="27" t="s">
        <v>262</v>
      </c>
      <c r="C23995" s="28">
        <v>1</v>
      </c>
      <c r="D23995" s="29"/>
      <c r="E23995" s="29"/>
      <c r="F23995" s="29" t="s">
        <v>315</v>
      </c>
    </row>
    <row r="23996" spans="1:6" x14ac:dyDescent="0.35">
      <c r="A23996" t="s">
        <v>227</v>
      </c>
      <c r="B23996" t="s">
        <v>260</v>
      </c>
      <c r="C23996" s="26">
        <v>0.93440000000000001</v>
      </c>
      <c r="D23996" s="26">
        <v>6.5600000000000006E-2</v>
      </c>
      <c r="F23996">
        <v>122</v>
      </c>
    </row>
    <row r="23997" spans="1:6" x14ac:dyDescent="0.35">
      <c r="A23997" t="s">
        <v>228</v>
      </c>
      <c r="B23997" t="s">
        <v>261</v>
      </c>
      <c r="C23997" s="26">
        <v>0.88849999999999996</v>
      </c>
      <c r="D23997" s="26">
        <v>0.1057</v>
      </c>
      <c r="E23997" s="26">
        <v>5.7999999999999996E-3</v>
      </c>
      <c r="F23997">
        <v>192</v>
      </c>
    </row>
    <row r="23998" spans="1:6" x14ac:dyDescent="0.35">
      <c r="A23998" s="27" t="s">
        <v>228</v>
      </c>
      <c r="B23998" s="27" t="s">
        <v>263</v>
      </c>
      <c r="C23998" s="28">
        <v>0.9425</v>
      </c>
      <c r="D23998" s="28">
        <v>5.7500000000000002E-2</v>
      </c>
      <c r="E23998" s="29"/>
      <c r="F23998" s="29" t="s">
        <v>312</v>
      </c>
    </row>
    <row r="23999" spans="1:6" x14ac:dyDescent="0.35">
      <c r="A23999" s="27" t="s">
        <v>228</v>
      </c>
      <c r="B23999" s="27" t="s">
        <v>236</v>
      </c>
      <c r="C23999" s="28">
        <v>1</v>
      </c>
      <c r="D23999" s="29"/>
      <c r="E23999" s="29"/>
      <c r="F23999" s="29" t="s">
        <v>335</v>
      </c>
    </row>
    <row r="24000" spans="1:6" x14ac:dyDescent="0.35">
      <c r="A24000" t="s">
        <v>228</v>
      </c>
      <c r="B24000" t="s">
        <v>262</v>
      </c>
      <c r="C24000" s="26">
        <v>0.94079999999999997</v>
      </c>
      <c r="D24000" s="26">
        <v>4.9200000000000001E-2</v>
      </c>
      <c r="E24000" s="26">
        <v>0.01</v>
      </c>
      <c r="F24000">
        <v>200</v>
      </c>
    </row>
    <row r="24001" spans="1:6" x14ac:dyDescent="0.35">
      <c r="A24001" t="s">
        <v>228</v>
      </c>
      <c r="B24001" t="s">
        <v>260</v>
      </c>
      <c r="C24001" s="26">
        <v>0.91830000000000001</v>
      </c>
      <c r="D24001" s="26">
        <v>6.0699999999999997E-2</v>
      </c>
      <c r="E24001" s="26">
        <v>2.0899999999999998E-2</v>
      </c>
      <c r="F24001">
        <v>605</v>
      </c>
    </row>
    <row r="24002" spans="1:6" x14ac:dyDescent="0.35">
      <c r="A24002" s="27" t="s">
        <v>229</v>
      </c>
      <c r="B24002" s="27" t="s">
        <v>263</v>
      </c>
      <c r="C24002" s="28">
        <v>0.83940000000000003</v>
      </c>
      <c r="D24002" s="28">
        <v>4.8999999999999998E-3</v>
      </c>
      <c r="E24002" s="28">
        <v>0.15570000000000001</v>
      </c>
      <c r="F24002" s="29" t="s">
        <v>379</v>
      </c>
    </row>
    <row r="24003" spans="1:6" x14ac:dyDescent="0.35">
      <c r="A24003" t="s">
        <v>229</v>
      </c>
      <c r="B24003" t="s">
        <v>262</v>
      </c>
      <c r="C24003" s="26">
        <v>0.91759999999999997</v>
      </c>
      <c r="D24003" s="26">
        <v>6.0900000000000003E-2</v>
      </c>
      <c r="E24003" s="26">
        <v>2.1499999999999998E-2</v>
      </c>
      <c r="F24003">
        <v>187</v>
      </c>
    </row>
    <row r="24004" spans="1:6" x14ac:dyDescent="0.35">
      <c r="A24004" t="s">
        <v>229</v>
      </c>
      <c r="B24004" t="s">
        <v>261</v>
      </c>
      <c r="C24004" s="26">
        <v>0.92700000000000005</v>
      </c>
      <c r="D24004" s="26">
        <v>3.8199999999999998E-2</v>
      </c>
      <c r="E24004" s="26">
        <v>3.49E-2</v>
      </c>
      <c r="F24004">
        <v>96</v>
      </c>
    </row>
    <row r="24005" spans="1:6" x14ac:dyDescent="0.35">
      <c r="A24005" s="27" t="s">
        <v>229</v>
      </c>
      <c r="B24005" s="27" t="s">
        <v>236</v>
      </c>
      <c r="C24005" s="28">
        <v>1</v>
      </c>
      <c r="D24005" s="29"/>
      <c r="E24005" s="29"/>
      <c r="F24005" s="29" t="s">
        <v>331</v>
      </c>
    </row>
    <row r="24006" spans="1:6" x14ac:dyDescent="0.35">
      <c r="A24006" t="s">
        <v>229</v>
      </c>
      <c r="B24006" t="s">
        <v>260</v>
      </c>
      <c r="C24006" s="26">
        <v>0.93279999999999996</v>
      </c>
      <c r="D24006" s="26">
        <v>4.9799999999999997E-2</v>
      </c>
      <c r="E24006" s="26">
        <v>1.7399999999999999E-2</v>
      </c>
      <c r="F24006">
        <v>591</v>
      </c>
    </row>
    <row r="24007" spans="1:6" x14ac:dyDescent="0.35">
      <c r="A24007" s="27" t="s">
        <v>230</v>
      </c>
      <c r="B24007" s="27" t="s">
        <v>236</v>
      </c>
      <c r="C24007" s="28">
        <v>1</v>
      </c>
      <c r="D24007" s="29"/>
      <c r="E24007" s="29"/>
      <c r="F24007" s="29" t="s">
        <v>337</v>
      </c>
    </row>
    <row r="24008" spans="1:6" x14ac:dyDescent="0.35">
      <c r="A24008" t="s">
        <v>230</v>
      </c>
      <c r="B24008" t="s">
        <v>262</v>
      </c>
      <c r="C24008" s="26">
        <v>0.87660000000000005</v>
      </c>
      <c r="D24008" s="26">
        <v>0.1234</v>
      </c>
      <c r="F24008">
        <v>121</v>
      </c>
    </row>
    <row r="24009" spans="1:6" x14ac:dyDescent="0.35">
      <c r="A24009" t="s">
        <v>230</v>
      </c>
      <c r="B24009" t="s">
        <v>261</v>
      </c>
      <c r="C24009" s="26">
        <v>0.90580000000000005</v>
      </c>
      <c r="D24009" s="26">
        <v>9.4200000000000006E-2</v>
      </c>
      <c r="F24009">
        <v>57</v>
      </c>
    </row>
    <row r="24010" spans="1:6" x14ac:dyDescent="0.35">
      <c r="A24010" s="27" t="s">
        <v>230</v>
      </c>
      <c r="B24010" s="27" t="s">
        <v>263</v>
      </c>
      <c r="C24010" s="28">
        <v>0.96650000000000003</v>
      </c>
      <c r="D24010" s="28">
        <v>3.3500000000000002E-2</v>
      </c>
      <c r="E24010" s="29"/>
      <c r="F24010" s="29" t="s">
        <v>312</v>
      </c>
    </row>
    <row r="24011" spans="1:6" x14ac:dyDescent="0.35">
      <c r="A24011" t="s">
        <v>230</v>
      </c>
      <c r="B24011" t="s">
        <v>260</v>
      </c>
      <c r="C24011" s="26">
        <v>0.93559999999999999</v>
      </c>
      <c r="D24011" s="26">
        <v>3.8600000000000002E-2</v>
      </c>
      <c r="E24011" s="26">
        <v>2.58E-2</v>
      </c>
      <c r="F24011">
        <v>352</v>
      </c>
    </row>
    <row r="24012" spans="1:6" x14ac:dyDescent="0.35">
      <c r="A24012" s="27" t="s">
        <v>231</v>
      </c>
      <c r="B24012" s="27" t="s">
        <v>263</v>
      </c>
      <c r="C24012" s="28">
        <v>0.5</v>
      </c>
      <c r="D24012" s="28">
        <v>0.5</v>
      </c>
      <c r="E24012" s="29"/>
      <c r="F24012" s="29" t="s">
        <v>314</v>
      </c>
    </row>
    <row r="24013" spans="1:6" x14ac:dyDescent="0.35">
      <c r="A24013" t="s">
        <v>231</v>
      </c>
      <c r="B24013" t="s">
        <v>260</v>
      </c>
      <c r="C24013" s="26">
        <v>0.9355</v>
      </c>
      <c r="D24013" s="26">
        <v>5.6500000000000002E-2</v>
      </c>
      <c r="E24013" s="26">
        <v>8.0999999999999996E-3</v>
      </c>
      <c r="F24013">
        <v>124</v>
      </c>
    </row>
    <row r="24014" spans="1:6" x14ac:dyDescent="0.35">
      <c r="A24014" s="27" t="s">
        <v>231</v>
      </c>
      <c r="B24014" s="27" t="s">
        <v>261</v>
      </c>
      <c r="C24014" s="28">
        <v>0.81479999999999997</v>
      </c>
      <c r="D24014" s="28">
        <v>0.14810000000000001</v>
      </c>
      <c r="E24014" s="28">
        <v>3.6999999999999998E-2</v>
      </c>
      <c r="F24014" s="29" t="s">
        <v>338</v>
      </c>
    </row>
    <row r="24015" spans="1:6" x14ac:dyDescent="0.35">
      <c r="A24015" s="27" t="s">
        <v>231</v>
      </c>
      <c r="B24015" s="27" t="s">
        <v>262</v>
      </c>
      <c r="C24015" s="28">
        <v>0.90910000000000002</v>
      </c>
      <c r="D24015" s="28">
        <v>9.0899999999999995E-2</v>
      </c>
      <c r="E24015" s="29"/>
      <c r="F24015" s="29" t="s">
        <v>352</v>
      </c>
    </row>
    <row r="24016" spans="1:6" x14ac:dyDescent="0.35">
      <c r="A24016" t="s">
        <v>232</v>
      </c>
      <c r="B24016" t="s">
        <v>232</v>
      </c>
      <c r="C24016" s="26">
        <v>0.92110000000000003</v>
      </c>
      <c r="D24016" s="26">
        <v>6.4100000000000004E-2</v>
      </c>
      <c r="E24016" s="26">
        <v>1.49E-2</v>
      </c>
      <c r="F24016">
        <v>2801</v>
      </c>
    </row>
    <row r="24018" spans="1:6" x14ac:dyDescent="0.35">
      <c r="A24018" s="1" t="s">
        <v>2261</v>
      </c>
    </row>
    <row r="24019" spans="1:6" x14ac:dyDescent="0.35">
      <c r="A24019" t="s">
        <v>219</v>
      </c>
      <c r="B24019" t="s">
        <v>305</v>
      </c>
      <c r="C24019" t="s">
        <v>2250</v>
      </c>
      <c r="D24019" t="s">
        <v>2251</v>
      </c>
      <c r="E24019" t="s">
        <v>2252</v>
      </c>
      <c r="F24019" t="s">
        <v>226</v>
      </c>
    </row>
    <row r="24020" spans="1:6" x14ac:dyDescent="0.35">
      <c r="A24020" t="s">
        <v>227</v>
      </c>
      <c r="B24020" t="s">
        <v>368</v>
      </c>
      <c r="C24020" s="26">
        <v>0.93940000000000001</v>
      </c>
      <c r="D24020" s="26">
        <v>6.0600000000000001E-2</v>
      </c>
      <c r="F24020">
        <v>33</v>
      </c>
    </row>
    <row r="24021" spans="1:6" x14ac:dyDescent="0.35">
      <c r="A24021" t="s">
        <v>227</v>
      </c>
      <c r="B24021" t="s">
        <v>369</v>
      </c>
      <c r="C24021" s="26">
        <v>0.9375</v>
      </c>
      <c r="D24021" s="26">
        <v>6.25E-2</v>
      </c>
      <c r="F24021">
        <v>128</v>
      </c>
    </row>
    <row r="24022" spans="1:6" x14ac:dyDescent="0.35">
      <c r="A24022" t="s">
        <v>228</v>
      </c>
      <c r="B24022" t="s">
        <v>368</v>
      </c>
      <c r="C24022" s="26">
        <v>0.88849999999999996</v>
      </c>
      <c r="D24022" s="26">
        <v>0.1057</v>
      </c>
      <c r="E24022" s="26">
        <v>5.7999999999999996E-3</v>
      </c>
      <c r="F24022">
        <v>192</v>
      </c>
    </row>
    <row r="24023" spans="1:6" x14ac:dyDescent="0.35">
      <c r="A24023" t="s">
        <v>228</v>
      </c>
      <c r="B24023" t="s">
        <v>369</v>
      </c>
      <c r="C24023" s="26">
        <v>0.92410000000000003</v>
      </c>
      <c r="D24023" s="26">
        <v>5.7799999999999997E-2</v>
      </c>
      <c r="E24023" s="26">
        <v>1.7999999999999999E-2</v>
      </c>
      <c r="F24023">
        <v>836</v>
      </c>
    </row>
    <row r="24024" spans="1:6" x14ac:dyDescent="0.35">
      <c r="A24024" t="s">
        <v>229</v>
      </c>
      <c r="B24024" t="s">
        <v>368</v>
      </c>
      <c r="C24024" s="26">
        <v>0.92700000000000005</v>
      </c>
      <c r="D24024" s="26">
        <v>3.8199999999999998E-2</v>
      </c>
      <c r="E24024" s="26">
        <v>3.49E-2</v>
      </c>
      <c r="F24024">
        <v>96</v>
      </c>
    </row>
    <row r="24025" spans="1:6" x14ac:dyDescent="0.35">
      <c r="A24025" t="s">
        <v>229</v>
      </c>
      <c r="B24025" t="s">
        <v>369</v>
      </c>
      <c r="C24025" s="26">
        <v>0.92569999999999997</v>
      </c>
      <c r="D24025" s="26">
        <v>5.2400000000000002E-2</v>
      </c>
      <c r="E24025" s="26">
        <v>2.1899999999999999E-2</v>
      </c>
      <c r="F24025">
        <v>793</v>
      </c>
    </row>
    <row r="24026" spans="1:6" x14ac:dyDescent="0.35">
      <c r="A24026" t="s">
        <v>230</v>
      </c>
      <c r="B24026" t="s">
        <v>368</v>
      </c>
      <c r="C24026" s="26">
        <v>0.90580000000000005</v>
      </c>
      <c r="D24026" s="26">
        <v>9.4200000000000006E-2</v>
      </c>
      <c r="F24026">
        <v>57</v>
      </c>
    </row>
    <row r="24027" spans="1:6" x14ac:dyDescent="0.35">
      <c r="A24027" t="s">
        <v>230</v>
      </c>
      <c r="B24027" t="s">
        <v>369</v>
      </c>
      <c r="C24027" s="26">
        <v>0.92659999999999998</v>
      </c>
      <c r="D24027" s="26">
        <v>5.28E-2</v>
      </c>
      <c r="E24027" s="26">
        <v>2.06E-2</v>
      </c>
      <c r="F24027">
        <v>502</v>
      </c>
    </row>
    <row r="24028" spans="1:6" x14ac:dyDescent="0.35">
      <c r="A24028" s="27" t="s">
        <v>231</v>
      </c>
      <c r="B24028" s="27" t="s">
        <v>368</v>
      </c>
      <c r="C24028" s="28">
        <v>0.81479999999999997</v>
      </c>
      <c r="D24028" s="28">
        <v>0.14810000000000001</v>
      </c>
      <c r="E24028" s="28">
        <v>3.6999999999999998E-2</v>
      </c>
      <c r="F24028" s="29" t="s">
        <v>338</v>
      </c>
    </row>
    <row r="24029" spans="1:6" x14ac:dyDescent="0.35">
      <c r="A24029" t="s">
        <v>231</v>
      </c>
      <c r="B24029" t="s">
        <v>369</v>
      </c>
      <c r="C24029" s="26">
        <v>0.92700000000000005</v>
      </c>
      <c r="D24029" s="26">
        <v>6.5699999999999995E-2</v>
      </c>
      <c r="E24029" s="26">
        <v>7.3000000000000001E-3</v>
      </c>
      <c r="F24029">
        <v>137</v>
      </c>
    </row>
    <row r="24030" spans="1:6" x14ac:dyDescent="0.35">
      <c r="A24030" t="s">
        <v>232</v>
      </c>
      <c r="B24030" t="s">
        <v>232</v>
      </c>
      <c r="C24030" s="26">
        <v>0.92110000000000003</v>
      </c>
      <c r="D24030" s="26">
        <v>6.4100000000000004E-2</v>
      </c>
      <c r="E24030" s="26">
        <v>1.49E-2</v>
      </c>
      <c r="F24030">
        <v>2801</v>
      </c>
    </row>
    <row r="24032" spans="1:6" x14ac:dyDescent="0.35">
      <c r="A24032" s="1" t="s">
        <v>2262</v>
      </c>
    </row>
    <row r="24033" spans="1:6" x14ac:dyDescent="0.35">
      <c r="A24033" t="s">
        <v>219</v>
      </c>
      <c r="B24033" t="s">
        <v>305</v>
      </c>
      <c r="C24033" t="s">
        <v>2250</v>
      </c>
      <c r="D24033" t="s">
        <v>2251</v>
      </c>
      <c r="E24033" t="s">
        <v>2252</v>
      </c>
      <c r="F24033" t="s">
        <v>226</v>
      </c>
    </row>
    <row r="24034" spans="1:6" x14ac:dyDescent="0.35">
      <c r="A24034" t="s">
        <v>227</v>
      </c>
      <c r="B24034" t="s">
        <v>371</v>
      </c>
      <c r="C24034" s="26">
        <v>0.93789999999999996</v>
      </c>
      <c r="D24034" s="26">
        <v>6.2100000000000002E-2</v>
      </c>
      <c r="F24034">
        <v>161</v>
      </c>
    </row>
    <row r="24035" spans="1:6" x14ac:dyDescent="0.35">
      <c r="A24035" t="s">
        <v>228</v>
      </c>
      <c r="B24035" t="s">
        <v>371</v>
      </c>
      <c r="C24035" s="26">
        <v>0.91710000000000003</v>
      </c>
      <c r="D24035" s="26">
        <v>6.7400000000000002E-2</v>
      </c>
      <c r="E24035" s="26">
        <v>1.55E-2</v>
      </c>
      <c r="F24035">
        <v>292</v>
      </c>
    </row>
    <row r="24036" spans="1:6" x14ac:dyDescent="0.35">
      <c r="A24036" t="s">
        <v>228</v>
      </c>
      <c r="B24036" t="s">
        <v>372</v>
      </c>
      <c r="C24036" s="26">
        <v>0.89510000000000001</v>
      </c>
      <c r="D24036" s="26">
        <v>8.3599999999999994E-2</v>
      </c>
      <c r="E24036" s="26">
        <v>2.12E-2</v>
      </c>
      <c r="F24036">
        <v>216</v>
      </c>
    </row>
    <row r="24037" spans="1:6" x14ac:dyDescent="0.35">
      <c r="A24037" t="s">
        <v>228</v>
      </c>
      <c r="B24037" t="s">
        <v>373</v>
      </c>
      <c r="C24037" s="26">
        <v>0.92200000000000004</v>
      </c>
      <c r="D24037" s="26">
        <v>6.3299999999999995E-2</v>
      </c>
      <c r="E24037" s="26">
        <v>1.47E-2</v>
      </c>
      <c r="F24037">
        <v>520</v>
      </c>
    </row>
    <row r="24038" spans="1:6" x14ac:dyDescent="0.35">
      <c r="A24038" t="s">
        <v>229</v>
      </c>
      <c r="B24038" t="s">
        <v>371</v>
      </c>
      <c r="C24038" s="26">
        <v>0.92569999999999997</v>
      </c>
      <c r="D24038" s="26">
        <v>4.9399999999999999E-2</v>
      </c>
      <c r="E24038" s="26">
        <v>2.4899999999999999E-2</v>
      </c>
      <c r="F24038">
        <v>582</v>
      </c>
    </row>
    <row r="24039" spans="1:6" x14ac:dyDescent="0.35">
      <c r="A24039" t="s">
        <v>229</v>
      </c>
      <c r="B24039" t="s">
        <v>372</v>
      </c>
      <c r="C24039" s="26">
        <v>0.93640000000000001</v>
      </c>
      <c r="D24039" s="26">
        <v>5.6899999999999999E-2</v>
      </c>
      <c r="E24039" s="26">
        <v>6.6E-3</v>
      </c>
      <c r="F24039">
        <v>220</v>
      </c>
    </row>
    <row r="24040" spans="1:6" x14ac:dyDescent="0.35">
      <c r="A24040" t="s">
        <v>229</v>
      </c>
      <c r="B24040" t="s">
        <v>373</v>
      </c>
      <c r="C24040" s="26">
        <v>0.91400000000000003</v>
      </c>
      <c r="D24040" s="26">
        <v>6.9699999999999998E-2</v>
      </c>
      <c r="E24040" s="26">
        <v>1.6299999999999999E-2</v>
      </c>
      <c r="F24040">
        <v>87</v>
      </c>
    </row>
    <row r="24041" spans="1:6" x14ac:dyDescent="0.35">
      <c r="A24041" t="s">
        <v>230</v>
      </c>
      <c r="B24041" t="s">
        <v>371</v>
      </c>
      <c r="C24041" s="26">
        <v>0.92269999999999996</v>
      </c>
      <c r="D24041" s="26">
        <v>5.74E-2</v>
      </c>
      <c r="E24041" s="26">
        <v>1.9800000000000002E-2</v>
      </c>
      <c r="F24041">
        <v>261</v>
      </c>
    </row>
    <row r="24042" spans="1:6" x14ac:dyDescent="0.35">
      <c r="A24042" t="s">
        <v>230</v>
      </c>
      <c r="B24042" t="s">
        <v>372</v>
      </c>
      <c r="C24042" s="26">
        <v>0.90890000000000004</v>
      </c>
      <c r="D24042" s="26">
        <v>7.6899999999999996E-2</v>
      </c>
      <c r="E24042" s="26">
        <v>1.4200000000000001E-2</v>
      </c>
      <c r="F24042">
        <v>146</v>
      </c>
    </row>
    <row r="24043" spans="1:6" x14ac:dyDescent="0.35">
      <c r="A24043" t="s">
        <v>230</v>
      </c>
      <c r="B24043" t="s">
        <v>373</v>
      </c>
      <c r="C24043" s="26">
        <v>0.93740000000000001</v>
      </c>
      <c r="D24043" s="26">
        <v>5.57E-2</v>
      </c>
      <c r="E24043" s="26">
        <v>7.0000000000000001E-3</v>
      </c>
      <c r="F24043">
        <v>152</v>
      </c>
    </row>
    <row r="24044" spans="1:6" x14ac:dyDescent="0.35">
      <c r="A24044" t="s">
        <v>231</v>
      </c>
      <c r="B24044" t="s">
        <v>371</v>
      </c>
      <c r="C24044" s="26">
        <v>0.90849999999999997</v>
      </c>
      <c r="D24044" s="26">
        <v>7.9299999999999995E-2</v>
      </c>
      <c r="E24044" s="26">
        <v>1.2200000000000001E-2</v>
      </c>
      <c r="F24044">
        <v>164</v>
      </c>
    </row>
    <row r="24045" spans="1:6" x14ac:dyDescent="0.35">
      <c r="A24045" t="s">
        <v>232</v>
      </c>
      <c r="B24045" t="s">
        <v>232</v>
      </c>
      <c r="C24045" s="26">
        <v>0.92110000000000003</v>
      </c>
      <c r="D24045" s="26">
        <v>6.4100000000000004E-2</v>
      </c>
      <c r="E24045" s="26">
        <v>1.49E-2</v>
      </c>
      <c r="F24045">
        <v>2801</v>
      </c>
    </row>
    <row r="24047" spans="1:6" x14ac:dyDescent="0.35">
      <c r="A24047" s="1" t="s">
        <v>2263</v>
      </c>
    </row>
    <row r="24048" spans="1:6" x14ac:dyDescent="0.35">
      <c r="A24048" t="s">
        <v>219</v>
      </c>
      <c r="B24048" t="s">
        <v>305</v>
      </c>
      <c r="C24048" t="s">
        <v>2250</v>
      </c>
      <c r="D24048" t="s">
        <v>2251</v>
      </c>
      <c r="E24048" t="s">
        <v>2252</v>
      </c>
      <c r="F24048" t="s">
        <v>226</v>
      </c>
    </row>
    <row r="24049" spans="1:6" x14ac:dyDescent="0.35">
      <c r="A24049" t="s">
        <v>227</v>
      </c>
      <c r="B24049" t="s">
        <v>255</v>
      </c>
      <c r="C24049" s="26">
        <v>0.92310000000000003</v>
      </c>
      <c r="D24049" s="26">
        <v>7.6899999999999996E-2</v>
      </c>
      <c r="F24049">
        <v>117</v>
      </c>
    </row>
    <row r="24050" spans="1:6" x14ac:dyDescent="0.35">
      <c r="A24050" s="27" t="s">
        <v>227</v>
      </c>
      <c r="B24050" s="27" t="s">
        <v>257</v>
      </c>
      <c r="C24050" s="28">
        <v>1</v>
      </c>
      <c r="D24050" s="29"/>
      <c r="E24050" s="29"/>
      <c r="F24050" s="29" t="s">
        <v>334</v>
      </c>
    </row>
    <row r="24051" spans="1:6" x14ac:dyDescent="0.35">
      <c r="A24051" t="s">
        <v>227</v>
      </c>
      <c r="B24051" t="s">
        <v>256</v>
      </c>
      <c r="C24051" s="26">
        <v>0.97140000000000004</v>
      </c>
      <c r="D24051" s="26">
        <v>2.86E-2</v>
      </c>
      <c r="F24051">
        <v>35</v>
      </c>
    </row>
    <row r="24052" spans="1:6" x14ac:dyDescent="0.35">
      <c r="A24052" t="s">
        <v>228</v>
      </c>
      <c r="B24052" t="s">
        <v>257</v>
      </c>
      <c r="C24052" s="26">
        <v>0.96599999999999997</v>
      </c>
      <c r="D24052" s="26">
        <v>3.4000000000000002E-2</v>
      </c>
      <c r="F24052">
        <v>49</v>
      </c>
    </row>
    <row r="24053" spans="1:6" x14ac:dyDescent="0.35">
      <c r="A24053" s="27" t="s">
        <v>228</v>
      </c>
      <c r="B24053" s="27" t="s">
        <v>258</v>
      </c>
      <c r="C24053" s="28">
        <v>1</v>
      </c>
      <c r="D24053" s="29"/>
      <c r="E24053" s="29"/>
      <c r="F24053" s="29" t="s">
        <v>337</v>
      </c>
    </row>
    <row r="24054" spans="1:6" x14ac:dyDescent="0.35">
      <c r="A24054" t="s">
        <v>228</v>
      </c>
      <c r="B24054" t="s">
        <v>256</v>
      </c>
      <c r="C24054" s="26">
        <v>0.94569999999999999</v>
      </c>
      <c r="D24054" s="26">
        <v>5.0799999999999998E-2</v>
      </c>
      <c r="E24054" s="26">
        <v>3.3999999999999998E-3</v>
      </c>
      <c r="F24054">
        <v>221</v>
      </c>
    </row>
    <row r="24055" spans="1:6" x14ac:dyDescent="0.35">
      <c r="A24055" t="s">
        <v>228</v>
      </c>
      <c r="B24055" t="s">
        <v>255</v>
      </c>
      <c r="C24055" s="26">
        <v>0.90300000000000002</v>
      </c>
      <c r="D24055" s="26">
        <v>7.5800000000000006E-2</v>
      </c>
      <c r="E24055" s="26">
        <v>2.12E-2</v>
      </c>
      <c r="F24055">
        <v>754</v>
      </c>
    </row>
    <row r="24056" spans="1:6" x14ac:dyDescent="0.35">
      <c r="A24056" t="s">
        <v>229</v>
      </c>
      <c r="B24056" t="s">
        <v>256</v>
      </c>
      <c r="C24056" s="26">
        <v>0.91659999999999997</v>
      </c>
      <c r="D24056" s="26">
        <v>4.2599999999999999E-2</v>
      </c>
      <c r="E24056" s="26">
        <v>4.0800000000000003E-2</v>
      </c>
      <c r="F24056">
        <v>206</v>
      </c>
    </row>
    <row r="24057" spans="1:6" x14ac:dyDescent="0.35">
      <c r="A24057" t="s">
        <v>229</v>
      </c>
      <c r="B24057" t="s">
        <v>255</v>
      </c>
      <c r="C24057" s="26">
        <v>0.92420000000000002</v>
      </c>
      <c r="D24057" s="26">
        <v>5.7000000000000002E-2</v>
      </c>
      <c r="E24057" s="26">
        <v>1.8800000000000001E-2</v>
      </c>
      <c r="F24057">
        <v>631</v>
      </c>
    </row>
    <row r="24058" spans="1:6" x14ac:dyDescent="0.35">
      <c r="A24058" t="s">
        <v>229</v>
      </c>
      <c r="B24058" t="s">
        <v>257</v>
      </c>
      <c r="C24058" s="26">
        <v>1</v>
      </c>
      <c r="F24058">
        <v>50</v>
      </c>
    </row>
    <row r="24059" spans="1:6" x14ac:dyDescent="0.35">
      <c r="A24059" s="27" t="s">
        <v>229</v>
      </c>
      <c r="B24059" s="27" t="s">
        <v>258</v>
      </c>
      <c r="C24059" s="28">
        <v>0.22409999999999999</v>
      </c>
      <c r="D24059" s="28">
        <v>0.77590000000000003</v>
      </c>
      <c r="E24059" s="29"/>
      <c r="F24059" s="29" t="s">
        <v>314</v>
      </c>
    </row>
    <row r="24060" spans="1:6" x14ac:dyDescent="0.35">
      <c r="A24060" t="s">
        <v>230</v>
      </c>
      <c r="B24060" t="s">
        <v>256</v>
      </c>
      <c r="C24060" s="26">
        <v>0.94399999999999995</v>
      </c>
      <c r="D24060" s="26">
        <v>5.3900000000000003E-2</v>
      </c>
      <c r="E24060" s="26">
        <v>2.0999999999999999E-3</v>
      </c>
      <c r="F24060">
        <v>130</v>
      </c>
    </row>
    <row r="24061" spans="1:6" x14ac:dyDescent="0.35">
      <c r="A24061" t="s">
        <v>230</v>
      </c>
      <c r="B24061" t="s">
        <v>255</v>
      </c>
      <c r="C24061" s="26">
        <v>0.92369999999999997</v>
      </c>
      <c r="D24061" s="26">
        <v>5.0200000000000002E-2</v>
      </c>
      <c r="E24061" s="26">
        <v>2.6100000000000002E-2</v>
      </c>
      <c r="F24061">
        <v>388</v>
      </c>
    </row>
    <row r="24062" spans="1:6" x14ac:dyDescent="0.35">
      <c r="A24062" t="s">
        <v>230</v>
      </c>
      <c r="B24062" t="s">
        <v>257</v>
      </c>
      <c r="C24062" s="26">
        <v>0.8478</v>
      </c>
      <c r="D24062" s="26">
        <v>0.1522</v>
      </c>
      <c r="F24062">
        <v>38</v>
      </c>
    </row>
    <row r="24063" spans="1:6" x14ac:dyDescent="0.35">
      <c r="A24063" s="27" t="s">
        <v>230</v>
      </c>
      <c r="B24063" s="27" t="s">
        <v>258</v>
      </c>
      <c r="C24063" s="28">
        <v>0.95830000000000004</v>
      </c>
      <c r="D24063" s="28">
        <v>4.1700000000000001E-2</v>
      </c>
      <c r="E24063" s="29"/>
      <c r="F24063" s="29" t="s">
        <v>315</v>
      </c>
    </row>
    <row r="24064" spans="1:6" x14ac:dyDescent="0.35">
      <c r="A24064" s="27" t="s">
        <v>231</v>
      </c>
      <c r="B24064" s="27" t="s">
        <v>257</v>
      </c>
      <c r="C24064" s="28">
        <v>0.85709999999999997</v>
      </c>
      <c r="D24064" s="28">
        <v>0.1429</v>
      </c>
      <c r="E24064" s="29"/>
      <c r="F24064" s="29" t="s">
        <v>339</v>
      </c>
    </row>
    <row r="24065" spans="1:8" x14ac:dyDescent="0.35">
      <c r="A24065" t="s">
        <v>231</v>
      </c>
      <c r="B24065" t="s">
        <v>255</v>
      </c>
      <c r="C24065" s="26">
        <v>0.8992</v>
      </c>
      <c r="D24065" s="26">
        <v>8.5300000000000001E-2</v>
      </c>
      <c r="E24065" s="26">
        <v>1.55E-2</v>
      </c>
      <c r="F24065">
        <v>129</v>
      </c>
    </row>
    <row r="24066" spans="1:8" x14ac:dyDescent="0.35">
      <c r="A24066" s="27" t="s">
        <v>231</v>
      </c>
      <c r="B24066" s="27" t="s">
        <v>256</v>
      </c>
      <c r="C24066" s="28">
        <v>0.96430000000000005</v>
      </c>
      <c r="D24066" s="28">
        <v>3.5700000000000003E-2</v>
      </c>
      <c r="E24066" s="29"/>
      <c r="F24066" s="29" t="s">
        <v>336</v>
      </c>
    </row>
    <row r="24067" spans="1:8" x14ac:dyDescent="0.35">
      <c r="A24067" t="s">
        <v>232</v>
      </c>
      <c r="B24067" t="s">
        <v>232</v>
      </c>
      <c r="C24067" s="26">
        <v>0.92110000000000003</v>
      </c>
      <c r="D24067" s="26">
        <v>6.4100000000000004E-2</v>
      </c>
      <c r="E24067" s="26">
        <v>1.49E-2</v>
      </c>
      <c r="F24067">
        <v>2801</v>
      </c>
    </row>
    <row r="24069" spans="1:8" x14ac:dyDescent="0.35">
      <c r="A24069" s="1" t="s">
        <v>194</v>
      </c>
    </row>
    <row r="24070" spans="1:8" x14ac:dyDescent="0.35">
      <c r="A24070" t="s">
        <v>219</v>
      </c>
      <c r="B24070" t="s">
        <v>1270</v>
      </c>
      <c r="C24070" t="s">
        <v>2264</v>
      </c>
      <c r="D24070" t="s">
        <v>2265</v>
      </c>
      <c r="E24070" t="s">
        <v>2266</v>
      </c>
      <c r="F24070" t="s">
        <v>2267</v>
      </c>
      <c r="G24070" t="s">
        <v>2268</v>
      </c>
      <c r="H24070" t="s">
        <v>964</v>
      </c>
    </row>
    <row r="24071" spans="1:8" x14ac:dyDescent="0.35">
      <c r="A24071" t="s">
        <v>227</v>
      </c>
      <c r="B24071">
        <v>0</v>
      </c>
      <c r="C24071" s="26">
        <v>0.68940000000000001</v>
      </c>
      <c r="D24071" s="26">
        <v>0.91300000000000003</v>
      </c>
      <c r="E24071" s="26">
        <v>0.87580000000000002</v>
      </c>
      <c r="F24071" s="26">
        <v>0.95650000000000002</v>
      </c>
      <c r="G24071" s="26">
        <v>0.91300000000000003</v>
      </c>
      <c r="H24071">
        <v>161</v>
      </c>
    </row>
    <row r="24072" spans="1:8" x14ac:dyDescent="0.35">
      <c r="A24072" t="s">
        <v>227</v>
      </c>
      <c r="B24072">
        <v>1</v>
      </c>
      <c r="C24072" s="26">
        <v>3.1099999999999999E-2</v>
      </c>
      <c r="D24072" s="26">
        <v>3.73E-2</v>
      </c>
      <c r="E24072" s="26">
        <v>2.4799999999999999E-2</v>
      </c>
      <c r="F24072" s="26">
        <v>6.1999999999999998E-3</v>
      </c>
      <c r="G24072" s="26">
        <v>6.1999999999999998E-3</v>
      </c>
      <c r="H24072">
        <v>161</v>
      </c>
    </row>
    <row r="24073" spans="1:8" x14ac:dyDescent="0.35">
      <c r="A24073" t="s">
        <v>227</v>
      </c>
      <c r="B24073">
        <v>2</v>
      </c>
      <c r="C24073" s="26">
        <v>8.6999999999999994E-2</v>
      </c>
      <c r="D24073" s="26">
        <v>3.73E-2</v>
      </c>
      <c r="E24073" s="26">
        <v>1.24E-2</v>
      </c>
      <c r="F24073" s="26">
        <v>1.24E-2</v>
      </c>
      <c r="G24073" s="26">
        <v>1.24E-2</v>
      </c>
      <c r="H24073">
        <v>161</v>
      </c>
    </row>
    <row r="24074" spans="1:8" x14ac:dyDescent="0.35">
      <c r="A24074" t="s">
        <v>227</v>
      </c>
      <c r="B24074">
        <v>3</v>
      </c>
      <c r="C24074" s="26">
        <v>8.0699999999999994E-2</v>
      </c>
      <c r="D24074" s="26">
        <v>6.1999999999999998E-3</v>
      </c>
      <c r="E24074" s="26">
        <v>1.8599999999999998E-2</v>
      </c>
      <c r="F24074" s="26">
        <v>6.1999999999999998E-3</v>
      </c>
      <c r="G24074" s="26">
        <v>6.1999999999999998E-3</v>
      </c>
      <c r="H24074">
        <v>161</v>
      </c>
    </row>
    <row r="24075" spans="1:8" x14ac:dyDescent="0.35">
      <c r="A24075" t="s">
        <v>227</v>
      </c>
      <c r="B24075">
        <v>4</v>
      </c>
      <c r="C24075" s="26">
        <v>6.1999999999999998E-3</v>
      </c>
      <c r="E24075" s="26">
        <v>1.24E-2</v>
      </c>
      <c r="F24075" s="26">
        <v>1.24E-2</v>
      </c>
      <c r="G24075" s="26">
        <v>2.4799999999999999E-2</v>
      </c>
      <c r="H24075">
        <v>161</v>
      </c>
    </row>
    <row r="24076" spans="1:8" x14ac:dyDescent="0.35">
      <c r="A24076" t="s">
        <v>227</v>
      </c>
      <c r="B24076">
        <v>7</v>
      </c>
      <c r="C24076" s="26">
        <v>0.1056</v>
      </c>
      <c r="D24076" s="26">
        <v>6.1999999999999998E-3</v>
      </c>
      <c r="E24076" s="26">
        <v>5.5899999999999998E-2</v>
      </c>
      <c r="F24076" s="26">
        <v>6.1999999999999998E-3</v>
      </c>
      <c r="G24076" s="26">
        <v>3.1099999999999999E-2</v>
      </c>
      <c r="H24076">
        <v>161</v>
      </c>
    </row>
    <row r="24077" spans="1:8" x14ac:dyDescent="0.35">
      <c r="A24077" t="s">
        <v>228</v>
      </c>
      <c r="B24077">
        <v>7</v>
      </c>
      <c r="C24077" s="26">
        <v>0.1409</v>
      </c>
      <c r="D24077" s="26">
        <v>1.2200000000000001E-2</v>
      </c>
      <c r="E24077" s="26">
        <v>4.8899999999999999E-2</v>
      </c>
      <c r="F24077" s="26">
        <v>0.02</v>
      </c>
      <c r="G24077" s="26">
        <v>4.1200000000000001E-2</v>
      </c>
      <c r="H24077">
        <v>1033</v>
      </c>
    </row>
    <row r="24078" spans="1:8" x14ac:dyDescent="0.35">
      <c r="A24078" t="s">
        <v>228</v>
      </c>
      <c r="B24078">
        <v>5</v>
      </c>
      <c r="C24078" s="26">
        <v>1.83E-2</v>
      </c>
      <c r="D24078" s="26">
        <v>1.5E-3</v>
      </c>
      <c r="E24078" s="26">
        <v>2.0999999999999999E-3</v>
      </c>
      <c r="F24078" s="26">
        <v>3.8999999999999998E-3</v>
      </c>
      <c r="G24078" s="26">
        <v>4.1000000000000003E-3</v>
      </c>
      <c r="H24078">
        <v>1033</v>
      </c>
    </row>
    <row r="24079" spans="1:8" x14ac:dyDescent="0.35">
      <c r="A24079" t="s">
        <v>228</v>
      </c>
      <c r="B24079">
        <v>4</v>
      </c>
      <c r="C24079" s="26">
        <v>2.1299999999999999E-2</v>
      </c>
      <c r="D24079" s="26">
        <v>6.3E-3</v>
      </c>
      <c r="E24079" s="26">
        <v>6.7999999999999996E-3</v>
      </c>
      <c r="F24079" s="26">
        <v>1.1999999999999999E-3</v>
      </c>
      <c r="G24079" s="26">
        <v>8.3000000000000001E-3</v>
      </c>
      <c r="H24079">
        <v>1033</v>
      </c>
    </row>
    <row r="24080" spans="1:8" x14ac:dyDescent="0.35">
      <c r="A24080" t="s">
        <v>228</v>
      </c>
      <c r="B24080">
        <v>6</v>
      </c>
      <c r="C24080" s="26">
        <v>2.0999999999999999E-3</v>
      </c>
      <c r="E24080" s="26">
        <v>1.1999999999999999E-3</v>
      </c>
      <c r="H24080">
        <v>1033</v>
      </c>
    </row>
    <row r="24081" spans="1:8" x14ac:dyDescent="0.35">
      <c r="A24081" t="s">
        <v>228</v>
      </c>
      <c r="B24081">
        <v>2</v>
      </c>
      <c r="C24081" s="26">
        <v>7.2300000000000003E-2</v>
      </c>
      <c r="D24081" s="26">
        <v>2.1100000000000001E-2</v>
      </c>
      <c r="E24081" s="26">
        <v>2.6599999999999999E-2</v>
      </c>
      <c r="F24081" s="26">
        <v>1.5900000000000001E-2</v>
      </c>
      <c r="G24081" s="26">
        <v>2.4799999999999999E-2</v>
      </c>
      <c r="H24081">
        <v>1033</v>
      </c>
    </row>
    <row r="24082" spans="1:8" x14ac:dyDescent="0.35">
      <c r="A24082" t="s">
        <v>228</v>
      </c>
      <c r="B24082">
        <v>1</v>
      </c>
      <c r="C24082" s="26">
        <v>3.4500000000000003E-2</v>
      </c>
      <c r="D24082" s="26">
        <v>4.0500000000000001E-2</v>
      </c>
      <c r="E24082" s="26">
        <v>1.5699999999999999E-2</v>
      </c>
      <c r="F24082" s="26">
        <v>7.4999999999999997E-3</v>
      </c>
      <c r="G24082" s="26">
        <v>1.5100000000000001E-2</v>
      </c>
      <c r="H24082">
        <v>1033</v>
      </c>
    </row>
    <row r="24083" spans="1:8" x14ac:dyDescent="0.35">
      <c r="A24083" t="s">
        <v>228</v>
      </c>
      <c r="B24083">
        <v>0</v>
      </c>
      <c r="C24083" s="26">
        <v>0.65449999999999997</v>
      </c>
      <c r="D24083" s="26">
        <v>0.90639999999999998</v>
      </c>
      <c r="E24083" s="26">
        <v>0.86650000000000005</v>
      </c>
      <c r="F24083" s="26">
        <v>0.9385</v>
      </c>
      <c r="G24083" s="26">
        <v>0.88339999999999996</v>
      </c>
      <c r="H24083">
        <v>1033</v>
      </c>
    </row>
    <row r="24084" spans="1:8" x14ac:dyDescent="0.35">
      <c r="A24084" t="s">
        <v>228</v>
      </c>
      <c r="B24084">
        <v>3</v>
      </c>
      <c r="C24084" s="26">
        <v>5.6000000000000001E-2</v>
      </c>
      <c r="D24084" s="26">
        <v>1.2E-2</v>
      </c>
      <c r="E24084" s="26">
        <v>3.2199999999999999E-2</v>
      </c>
      <c r="F24084" s="26">
        <v>1.2999999999999999E-2</v>
      </c>
      <c r="G24084" s="26">
        <v>2.3099999999999999E-2</v>
      </c>
      <c r="H24084">
        <v>1033</v>
      </c>
    </row>
    <row r="24085" spans="1:8" x14ac:dyDescent="0.35">
      <c r="A24085" t="s">
        <v>229</v>
      </c>
      <c r="B24085">
        <v>0</v>
      </c>
      <c r="C24085" s="26">
        <v>0.69910000000000005</v>
      </c>
      <c r="D24085" s="26">
        <v>0.90980000000000005</v>
      </c>
      <c r="E24085" s="26">
        <v>0.85719999999999996</v>
      </c>
      <c r="F24085" s="26">
        <v>0.95809999999999995</v>
      </c>
      <c r="G24085" s="26">
        <v>0.89359999999999995</v>
      </c>
      <c r="H24085">
        <v>895</v>
      </c>
    </row>
    <row r="24086" spans="1:8" x14ac:dyDescent="0.35">
      <c r="A24086" t="s">
        <v>229</v>
      </c>
      <c r="B24086">
        <v>1</v>
      </c>
      <c r="C24086" s="26">
        <v>1.37E-2</v>
      </c>
      <c r="D24086" s="26">
        <v>4.82E-2</v>
      </c>
      <c r="E24086" s="26">
        <v>1.43E-2</v>
      </c>
      <c r="F24086" s="26">
        <v>1.8E-3</v>
      </c>
      <c r="G24086" s="26">
        <v>1.2800000000000001E-2</v>
      </c>
      <c r="H24086">
        <v>895</v>
      </c>
    </row>
    <row r="24087" spans="1:8" x14ac:dyDescent="0.35">
      <c r="A24087" t="s">
        <v>229</v>
      </c>
      <c r="B24087">
        <v>2</v>
      </c>
      <c r="C24087" s="26">
        <v>0.10299999999999999</v>
      </c>
      <c r="D24087" s="26">
        <v>1.8599999999999998E-2</v>
      </c>
      <c r="E24087" s="26">
        <v>4.41E-2</v>
      </c>
      <c r="F24087" s="26">
        <v>1.15E-2</v>
      </c>
      <c r="G24087" s="26">
        <v>2.4500000000000001E-2</v>
      </c>
      <c r="H24087">
        <v>895</v>
      </c>
    </row>
    <row r="24088" spans="1:8" x14ac:dyDescent="0.35">
      <c r="A24088" t="s">
        <v>229</v>
      </c>
      <c r="B24088">
        <v>3</v>
      </c>
      <c r="C24088" s="26">
        <v>3.6299999999999999E-2</v>
      </c>
      <c r="D24088" s="26">
        <v>1.21E-2</v>
      </c>
      <c r="E24088" s="26">
        <v>2.75E-2</v>
      </c>
      <c r="F24088" s="26">
        <v>1.4500000000000001E-2</v>
      </c>
      <c r="G24088" s="26">
        <v>2.52E-2</v>
      </c>
      <c r="H24088">
        <v>895</v>
      </c>
    </row>
    <row r="24089" spans="1:8" x14ac:dyDescent="0.35">
      <c r="A24089" t="s">
        <v>229</v>
      </c>
      <c r="B24089">
        <v>4</v>
      </c>
      <c r="C24089" s="26">
        <v>3.6999999999999998E-2</v>
      </c>
      <c r="D24089" s="26">
        <v>2.9999999999999997E-4</v>
      </c>
      <c r="E24089" s="26">
        <v>8.2000000000000007E-3</v>
      </c>
      <c r="F24089" s="26">
        <v>1E-4</v>
      </c>
      <c r="G24089" s="26">
        <v>6.0000000000000001E-3</v>
      </c>
      <c r="H24089">
        <v>895</v>
      </c>
    </row>
    <row r="24090" spans="1:8" x14ac:dyDescent="0.35">
      <c r="A24090" t="s">
        <v>229</v>
      </c>
      <c r="B24090">
        <v>5</v>
      </c>
      <c r="C24090" s="26">
        <v>1.9699999999999999E-2</v>
      </c>
      <c r="D24090" s="26">
        <v>1E-3</v>
      </c>
      <c r="E24090" s="26">
        <v>5.3E-3</v>
      </c>
      <c r="F24090" s="26">
        <v>5.9999999999999995E-4</v>
      </c>
      <c r="G24090" s="26">
        <v>3.7000000000000002E-3</v>
      </c>
      <c r="H24090">
        <v>895</v>
      </c>
    </row>
    <row r="24091" spans="1:8" x14ac:dyDescent="0.35">
      <c r="A24091" t="s">
        <v>229</v>
      </c>
      <c r="B24091">
        <v>6</v>
      </c>
      <c r="C24091" s="26">
        <v>2.5000000000000001E-3</v>
      </c>
      <c r="F24091" s="26">
        <v>2.5000000000000001E-3</v>
      </c>
      <c r="H24091">
        <v>895</v>
      </c>
    </row>
    <row r="24092" spans="1:8" x14ac:dyDescent="0.35">
      <c r="A24092" t="s">
        <v>229</v>
      </c>
      <c r="B24092">
        <v>7</v>
      </c>
      <c r="C24092" s="26">
        <v>8.8599999999999998E-2</v>
      </c>
      <c r="D24092" s="26">
        <v>0.01</v>
      </c>
      <c r="E24092" s="26">
        <v>4.3400000000000001E-2</v>
      </c>
      <c r="F24092" s="26">
        <v>1.0800000000000001E-2</v>
      </c>
      <c r="G24092" s="26">
        <v>3.4299999999999997E-2</v>
      </c>
      <c r="H24092">
        <v>895</v>
      </c>
    </row>
    <row r="24093" spans="1:8" x14ac:dyDescent="0.35">
      <c r="A24093" t="s">
        <v>230</v>
      </c>
      <c r="B24093">
        <v>5</v>
      </c>
      <c r="C24093" s="26">
        <v>8.8999999999999999E-3</v>
      </c>
      <c r="D24093" s="26">
        <v>6.3E-3</v>
      </c>
      <c r="E24093" s="26">
        <v>1.8E-3</v>
      </c>
      <c r="G24093" s="26">
        <v>8.9999999999999998E-4</v>
      </c>
      <c r="H24093">
        <v>560</v>
      </c>
    </row>
    <row r="24094" spans="1:8" x14ac:dyDescent="0.35">
      <c r="A24094" t="s">
        <v>230</v>
      </c>
      <c r="B24094">
        <v>7</v>
      </c>
      <c r="C24094" s="26">
        <v>0.127</v>
      </c>
      <c r="D24094" s="26">
        <v>8.3000000000000001E-3</v>
      </c>
      <c r="E24094" s="26">
        <v>3.2099999999999997E-2</v>
      </c>
      <c r="F24094" s="26">
        <v>2.1499999999999998E-2</v>
      </c>
      <c r="G24094" s="26">
        <v>3.9399999999999998E-2</v>
      </c>
      <c r="H24094">
        <v>560</v>
      </c>
    </row>
    <row r="24095" spans="1:8" x14ac:dyDescent="0.35">
      <c r="A24095" t="s">
        <v>230</v>
      </c>
      <c r="B24095">
        <v>6</v>
      </c>
      <c r="C24095" s="26">
        <v>1.7100000000000001E-2</v>
      </c>
      <c r="E24095" s="26">
        <v>1.8E-3</v>
      </c>
      <c r="G24095" s="26">
        <v>8.9999999999999998E-4</v>
      </c>
      <c r="H24095">
        <v>560</v>
      </c>
    </row>
    <row r="24096" spans="1:8" x14ac:dyDescent="0.35">
      <c r="A24096" t="s">
        <v>230</v>
      </c>
      <c r="B24096">
        <v>4</v>
      </c>
      <c r="C24096" s="26">
        <v>1.78E-2</v>
      </c>
      <c r="D24096" s="26">
        <v>2.7000000000000001E-3</v>
      </c>
      <c r="E24096" s="26">
        <v>1.61E-2</v>
      </c>
      <c r="F24096" s="26">
        <v>1.3100000000000001E-2</v>
      </c>
      <c r="G24096" s="26">
        <v>1.49E-2</v>
      </c>
      <c r="H24096">
        <v>560</v>
      </c>
    </row>
    <row r="24097" spans="1:8" x14ac:dyDescent="0.35">
      <c r="A24097" t="s">
        <v>230</v>
      </c>
      <c r="B24097">
        <v>0</v>
      </c>
      <c r="C24097" s="26">
        <v>0.67559999999999998</v>
      </c>
      <c r="D24097" s="26">
        <v>0.88370000000000004</v>
      </c>
      <c r="E24097" s="26">
        <v>0.87260000000000004</v>
      </c>
      <c r="F24097" s="26">
        <v>0.9294</v>
      </c>
      <c r="G24097" s="26">
        <v>0.86939999999999995</v>
      </c>
      <c r="H24097">
        <v>560</v>
      </c>
    </row>
    <row r="24098" spans="1:8" x14ac:dyDescent="0.35">
      <c r="A24098" t="s">
        <v>230</v>
      </c>
      <c r="B24098">
        <v>2</v>
      </c>
      <c r="C24098" s="26">
        <v>5.3199999999999997E-2</v>
      </c>
      <c r="D24098" s="26">
        <v>3.2500000000000001E-2</v>
      </c>
      <c r="E24098" s="26">
        <v>6.0199999999999997E-2</v>
      </c>
      <c r="F24098" s="26">
        <v>2.12E-2</v>
      </c>
      <c r="G24098" s="26">
        <v>4.8599999999999997E-2</v>
      </c>
      <c r="H24098">
        <v>560</v>
      </c>
    </row>
    <row r="24099" spans="1:8" x14ac:dyDescent="0.35">
      <c r="A24099" t="s">
        <v>230</v>
      </c>
      <c r="B24099">
        <v>1</v>
      </c>
      <c r="C24099" s="26">
        <v>2.86E-2</v>
      </c>
      <c r="D24099" s="26">
        <v>5.7599999999999998E-2</v>
      </c>
      <c r="E24099" s="26">
        <v>8.0999999999999996E-3</v>
      </c>
      <c r="F24099" s="26">
        <v>5.4000000000000003E-3</v>
      </c>
      <c r="G24099" s="26">
        <v>5.1000000000000004E-3</v>
      </c>
      <c r="H24099">
        <v>560</v>
      </c>
    </row>
    <row r="24100" spans="1:8" x14ac:dyDescent="0.35">
      <c r="A24100" t="s">
        <v>230</v>
      </c>
      <c r="B24100">
        <v>3</v>
      </c>
      <c r="C24100" s="26">
        <v>7.1800000000000003E-2</v>
      </c>
      <c r="D24100" s="26">
        <v>8.8999999999999999E-3</v>
      </c>
      <c r="E24100" s="26">
        <v>7.4000000000000003E-3</v>
      </c>
      <c r="F24100" s="26">
        <v>9.4999999999999998E-3</v>
      </c>
      <c r="G24100" s="26">
        <v>2.0899999999999998E-2</v>
      </c>
      <c r="H24100">
        <v>560</v>
      </c>
    </row>
    <row r="24101" spans="1:8" x14ac:dyDescent="0.35">
      <c r="A24101" t="s">
        <v>231</v>
      </c>
      <c r="B24101">
        <v>7</v>
      </c>
      <c r="C24101" s="26">
        <v>0.10979999999999999</v>
      </c>
      <c r="D24101" s="26">
        <v>6.1000000000000004E-3</v>
      </c>
      <c r="E24101" s="26">
        <v>4.2700000000000002E-2</v>
      </c>
      <c r="F24101" s="26">
        <v>1.83E-2</v>
      </c>
      <c r="G24101" s="26">
        <v>6.7100000000000007E-2</v>
      </c>
      <c r="H24101">
        <v>164</v>
      </c>
    </row>
    <row r="24102" spans="1:8" x14ac:dyDescent="0.35">
      <c r="A24102" t="s">
        <v>231</v>
      </c>
      <c r="B24102">
        <v>4</v>
      </c>
      <c r="C24102" s="26">
        <v>2.4400000000000002E-2</v>
      </c>
      <c r="E24102" s="26">
        <v>2.4400000000000002E-2</v>
      </c>
      <c r="F24102" s="26">
        <v>2.4400000000000002E-2</v>
      </c>
      <c r="G24102" s="26">
        <v>6.1000000000000004E-3</v>
      </c>
      <c r="H24102">
        <v>164</v>
      </c>
    </row>
    <row r="24103" spans="1:8" x14ac:dyDescent="0.35">
      <c r="A24103" t="s">
        <v>231</v>
      </c>
      <c r="B24103">
        <v>3</v>
      </c>
      <c r="C24103" s="26">
        <v>6.7100000000000007E-2</v>
      </c>
      <c r="D24103" s="26">
        <v>4.2700000000000002E-2</v>
      </c>
      <c r="E24103" s="26">
        <v>3.0499999999999999E-2</v>
      </c>
      <c r="F24103" s="26">
        <v>6.1000000000000004E-3</v>
      </c>
      <c r="G24103" s="26">
        <v>2.4400000000000002E-2</v>
      </c>
      <c r="H24103">
        <v>164</v>
      </c>
    </row>
    <row r="24104" spans="1:8" x14ac:dyDescent="0.35">
      <c r="A24104" t="s">
        <v>231</v>
      </c>
      <c r="B24104">
        <v>5</v>
      </c>
      <c r="C24104" s="26">
        <v>4.2700000000000002E-2</v>
      </c>
      <c r="D24104" s="26">
        <v>6.1000000000000004E-3</v>
      </c>
      <c r="E24104" s="26">
        <v>2.4400000000000002E-2</v>
      </c>
      <c r="G24104" s="26">
        <v>1.83E-2</v>
      </c>
      <c r="H24104">
        <v>164</v>
      </c>
    </row>
    <row r="24105" spans="1:8" x14ac:dyDescent="0.35">
      <c r="A24105" t="s">
        <v>231</v>
      </c>
      <c r="B24105">
        <v>1</v>
      </c>
      <c r="C24105" s="26">
        <v>4.2700000000000002E-2</v>
      </c>
      <c r="D24105" s="26">
        <v>3.6600000000000001E-2</v>
      </c>
      <c r="E24105" s="26">
        <v>1.83E-2</v>
      </c>
      <c r="F24105" s="26">
        <v>6.1000000000000004E-3</v>
      </c>
      <c r="G24105" s="26">
        <v>3.6600000000000001E-2</v>
      </c>
      <c r="H24105">
        <v>164</v>
      </c>
    </row>
    <row r="24106" spans="1:8" x14ac:dyDescent="0.35">
      <c r="A24106" t="s">
        <v>231</v>
      </c>
      <c r="B24106">
        <v>0</v>
      </c>
      <c r="C24106" s="26">
        <v>0.622</v>
      </c>
      <c r="D24106" s="26">
        <v>0.878</v>
      </c>
      <c r="E24106" s="26">
        <v>0.82320000000000004</v>
      </c>
      <c r="F24106" s="26">
        <v>0.93289999999999995</v>
      </c>
      <c r="G24106" s="26">
        <v>0.81100000000000005</v>
      </c>
      <c r="H24106">
        <v>164</v>
      </c>
    </row>
    <row r="24107" spans="1:8" x14ac:dyDescent="0.35">
      <c r="A24107" t="s">
        <v>231</v>
      </c>
      <c r="B24107">
        <v>2</v>
      </c>
      <c r="C24107" s="26">
        <v>9.1499999999999998E-2</v>
      </c>
      <c r="D24107" s="26">
        <v>2.4400000000000002E-2</v>
      </c>
      <c r="E24107" s="26">
        <v>3.6600000000000001E-2</v>
      </c>
      <c r="F24107" s="26">
        <v>6.1000000000000004E-3</v>
      </c>
      <c r="G24107" s="26">
        <v>3.0499999999999999E-2</v>
      </c>
      <c r="H24107">
        <v>164</v>
      </c>
    </row>
    <row r="24108" spans="1:8" x14ac:dyDescent="0.35">
      <c r="A24108" t="s">
        <v>232</v>
      </c>
      <c r="B24108">
        <v>6</v>
      </c>
      <c r="C24108" s="26">
        <v>2.8E-3</v>
      </c>
      <c r="D24108" s="26">
        <v>1.6999999999999999E-3</v>
      </c>
      <c r="E24108" s="26">
        <v>4.0000000000000002E-4</v>
      </c>
      <c r="F24108" s="26">
        <v>2.3999999999999998E-3</v>
      </c>
      <c r="G24108" s="26">
        <v>1.8E-3</v>
      </c>
      <c r="H24108">
        <v>2813</v>
      </c>
    </row>
    <row r="24109" spans="1:8" x14ac:dyDescent="0.35">
      <c r="A24109" t="s">
        <v>232</v>
      </c>
      <c r="B24109">
        <v>0</v>
      </c>
      <c r="C24109" s="26">
        <v>0.66559999999999997</v>
      </c>
      <c r="D24109" s="26">
        <v>0.89839999999999998</v>
      </c>
      <c r="E24109" s="26">
        <v>0.85399999999999998</v>
      </c>
      <c r="F24109" s="26">
        <v>0.94440000000000002</v>
      </c>
      <c r="G24109" s="26">
        <v>0.86960000000000004</v>
      </c>
      <c r="H24109">
        <v>2813</v>
      </c>
    </row>
    <row r="24110" spans="1:8" x14ac:dyDescent="0.35">
      <c r="A24110" t="s">
        <v>232</v>
      </c>
      <c r="B24110">
        <v>1</v>
      </c>
      <c r="C24110" s="26">
        <v>2.9700000000000001E-2</v>
      </c>
      <c r="D24110" s="26">
        <v>4.2799999999999998E-2</v>
      </c>
      <c r="E24110" s="26">
        <v>1.67E-2</v>
      </c>
      <c r="F24110" s="26">
        <v>5.1000000000000004E-3</v>
      </c>
      <c r="G24110" s="26">
        <v>1.7999999999999999E-2</v>
      </c>
      <c r="H24110">
        <v>2813</v>
      </c>
    </row>
    <row r="24111" spans="1:8" x14ac:dyDescent="0.35">
      <c r="A24111" t="s">
        <v>232</v>
      </c>
      <c r="B24111">
        <v>2</v>
      </c>
      <c r="C24111" s="26">
        <v>8.6699999999999999E-2</v>
      </c>
      <c r="D24111" s="26">
        <v>2.4799999999999999E-2</v>
      </c>
      <c r="E24111" s="26">
        <v>3.5400000000000001E-2</v>
      </c>
      <c r="F24111" s="26">
        <v>1.1900000000000001E-2</v>
      </c>
      <c r="G24111" s="26">
        <v>2.6700000000000002E-2</v>
      </c>
      <c r="H24111">
        <v>2813</v>
      </c>
    </row>
    <row r="24112" spans="1:8" x14ac:dyDescent="0.35">
      <c r="A24112" t="s">
        <v>232</v>
      </c>
      <c r="B24112">
        <v>3</v>
      </c>
      <c r="C24112" s="26">
        <v>5.8700000000000002E-2</v>
      </c>
      <c r="D24112" s="26">
        <v>1.9300000000000001E-2</v>
      </c>
      <c r="E24112" s="26">
        <v>2.5999999999999999E-2</v>
      </c>
      <c r="F24112" s="26">
        <v>1.0200000000000001E-2</v>
      </c>
      <c r="G24112" s="26">
        <v>2.1299999999999999E-2</v>
      </c>
      <c r="H24112">
        <v>2813</v>
      </c>
    </row>
    <row r="24113" spans="1:9" x14ac:dyDescent="0.35">
      <c r="A24113" t="s">
        <v>232</v>
      </c>
      <c r="B24113">
        <v>4</v>
      </c>
      <c r="C24113" s="26">
        <v>2.4E-2</v>
      </c>
      <c r="D24113" s="26">
        <v>1.6000000000000001E-3</v>
      </c>
      <c r="E24113" s="26">
        <v>1.38E-2</v>
      </c>
      <c r="F24113" s="26">
        <v>1.01E-2</v>
      </c>
      <c r="G24113" s="26">
        <v>1.0200000000000001E-2</v>
      </c>
      <c r="H24113">
        <v>2813</v>
      </c>
    </row>
    <row r="24114" spans="1:9" x14ac:dyDescent="0.35">
      <c r="A24114" t="s">
        <v>232</v>
      </c>
      <c r="B24114">
        <v>5</v>
      </c>
      <c r="C24114" s="26">
        <v>2.1700000000000001E-2</v>
      </c>
      <c r="D24114" s="26">
        <v>2.8E-3</v>
      </c>
      <c r="E24114" s="26">
        <v>8.8000000000000005E-3</v>
      </c>
      <c r="F24114" s="26">
        <v>8.9999999999999998E-4</v>
      </c>
      <c r="G24114" s="26">
        <v>7.9000000000000008E-3</v>
      </c>
      <c r="H24114">
        <v>2813</v>
      </c>
    </row>
    <row r="24115" spans="1:9" x14ac:dyDescent="0.35">
      <c r="A24115" t="s">
        <v>232</v>
      </c>
      <c r="B24115">
        <v>7</v>
      </c>
      <c r="C24115" s="26">
        <v>0.1108</v>
      </c>
      <c r="D24115" s="26">
        <v>8.6E-3</v>
      </c>
      <c r="E24115" s="26">
        <v>4.5100000000000001E-2</v>
      </c>
      <c r="F24115" s="26">
        <v>1.4999999999999999E-2</v>
      </c>
      <c r="G24115" s="26">
        <v>4.4600000000000001E-2</v>
      </c>
      <c r="H24115">
        <v>2813</v>
      </c>
    </row>
    <row r="24117" spans="1:9" x14ac:dyDescent="0.35">
      <c r="A24117" s="1" t="s">
        <v>2269</v>
      </c>
    </row>
    <row r="24118" spans="1:9" x14ac:dyDescent="0.35">
      <c r="A24118" t="s">
        <v>219</v>
      </c>
      <c r="B24118" t="s">
        <v>305</v>
      </c>
      <c r="C24118" t="s">
        <v>1270</v>
      </c>
      <c r="D24118" t="s">
        <v>2264</v>
      </c>
      <c r="E24118" t="s">
        <v>2265</v>
      </c>
      <c r="F24118" t="s">
        <v>2266</v>
      </c>
      <c r="G24118" t="s">
        <v>2267</v>
      </c>
      <c r="H24118" t="s">
        <v>2268</v>
      </c>
      <c r="I24118" t="s">
        <v>964</v>
      </c>
    </row>
    <row r="24119" spans="1:9" x14ac:dyDescent="0.35">
      <c r="A24119" t="s">
        <v>227</v>
      </c>
      <c r="B24119" t="s">
        <v>242</v>
      </c>
      <c r="C24119">
        <v>0</v>
      </c>
      <c r="D24119" s="26">
        <v>0.67649999999999999</v>
      </c>
      <c r="E24119" s="26">
        <v>0.91180000000000005</v>
      </c>
      <c r="F24119" s="26">
        <v>0.88239999999999996</v>
      </c>
      <c r="G24119" s="26">
        <v>0.97060000000000002</v>
      </c>
      <c r="H24119" s="26">
        <v>0.89710000000000001</v>
      </c>
      <c r="I24119">
        <v>68</v>
      </c>
    </row>
    <row r="24120" spans="1:9" x14ac:dyDescent="0.35">
      <c r="A24120" t="s">
        <v>227</v>
      </c>
      <c r="B24120" t="s">
        <v>241</v>
      </c>
      <c r="C24120">
        <v>7</v>
      </c>
      <c r="D24120" s="26">
        <v>6.4500000000000002E-2</v>
      </c>
      <c r="F24120" s="26">
        <v>5.3800000000000001E-2</v>
      </c>
      <c r="G24120" s="26">
        <v>1.0800000000000001E-2</v>
      </c>
      <c r="H24120" s="26">
        <v>3.2300000000000002E-2</v>
      </c>
      <c r="I24120">
        <v>93</v>
      </c>
    </row>
    <row r="24121" spans="1:9" x14ac:dyDescent="0.35">
      <c r="A24121" t="s">
        <v>227</v>
      </c>
      <c r="B24121" t="s">
        <v>241</v>
      </c>
      <c r="C24121">
        <v>3</v>
      </c>
      <c r="D24121" s="26">
        <v>7.5300000000000006E-2</v>
      </c>
      <c r="H24121" s="26">
        <v>1.0800000000000001E-2</v>
      </c>
      <c r="I24121">
        <v>93</v>
      </c>
    </row>
    <row r="24122" spans="1:9" x14ac:dyDescent="0.35">
      <c r="A24122" t="s">
        <v>227</v>
      </c>
      <c r="B24122" t="s">
        <v>241</v>
      </c>
      <c r="C24122">
        <v>2</v>
      </c>
      <c r="D24122" s="26">
        <v>0.1075</v>
      </c>
      <c r="E24122" s="26">
        <v>3.2300000000000002E-2</v>
      </c>
      <c r="F24122" s="26">
        <v>1.0800000000000001E-2</v>
      </c>
      <c r="G24122" s="26">
        <v>1.0800000000000001E-2</v>
      </c>
      <c r="H24122" s="26">
        <v>1.0800000000000001E-2</v>
      </c>
      <c r="I24122">
        <v>93</v>
      </c>
    </row>
    <row r="24123" spans="1:9" x14ac:dyDescent="0.35">
      <c r="A24123" t="s">
        <v>227</v>
      </c>
      <c r="B24123" t="s">
        <v>241</v>
      </c>
      <c r="C24123">
        <v>1</v>
      </c>
      <c r="D24123" s="26">
        <v>4.2999999999999997E-2</v>
      </c>
      <c r="E24123" s="26">
        <v>5.3800000000000001E-2</v>
      </c>
      <c r="F24123" s="26">
        <v>4.2999999999999997E-2</v>
      </c>
      <c r="G24123" s="26">
        <v>1.0800000000000001E-2</v>
      </c>
      <c r="I24123">
        <v>93</v>
      </c>
    </row>
    <row r="24124" spans="1:9" x14ac:dyDescent="0.35">
      <c r="A24124" t="s">
        <v>227</v>
      </c>
      <c r="B24124" t="s">
        <v>241</v>
      </c>
      <c r="C24124">
        <v>4</v>
      </c>
      <c r="D24124" s="26">
        <v>1.0800000000000001E-2</v>
      </c>
      <c r="F24124" s="26">
        <v>2.1499999999999998E-2</v>
      </c>
      <c r="G24124" s="26">
        <v>2.1499999999999998E-2</v>
      </c>
      <c r="H24124" s="26">
        <v>1.0800000000000001E-2</v>
      </c>
      <c r="I24124">
        <v>93</v>
      </c>
    </row>
    <row r="24125" spans="1:9" x14ac:dyDescent="0.35">
      <c r="A24125" t="s">
        <v>227</v>
      </c>
      <c r="B24125" t="s">
        <v>242</v>
      </c>
      <c r="C24125">
        <v>7</v>
      </c>
      <c r="D24125" s="26">
        <v>0.1618</v>
      </c>
      <c r="E24125" s="26">
        <v>1.47E-2</v>
      </c>
      <c r="F24125" s="26">
        <v>5.8799999999999998E-2</v>
      </c>
      <c r="H24125" s="26">
        <v>2.9399999999999999E-2</v>
      </c>
      <c r="I24125">
        <v>68</v>
      </c>
    </row>
    <row r="24126" spans="1:9" x14ac:dyDescent="0.35">
      <c r="A24126" t="s">
        <v>227</v>
      </c>
      <c r="B24126" t="s">
        <v>242</v>
      </c>
      <c r="C24126">
        <v>3</v>
      </c>
      <c r="D24126" s="26">
        <v>8.8200000000000001E-2</v>
      </c>
      <c r="E24126" s="26">
        <v>1.47E-2</v>
      </c>
      <c r="F24126" s="26">
        <v>4.41E-2</v>
      </c>
      <c r="G24126" s="26">
        <v>1.47E-2</v>
      </c>
      <c r="I24126">
        <v>68</v>
      </c>
    </row>
    <row r="24127" spans="1:9" x14ac:dyDescent="0.35">
      <c r="A24127" t="s">
        <v>227</v>
      </c>
      <c r="B24127" t="s">
        <v>242</v>
      </c>
      <c r="C24127">
        <v>2</v>
      </c>
      <c r="D24127" s="26">
        <v>5.8799999999999998E-2</v>
      </c>
      <c r="E24127" s="26">
        <v>4.41E-2</v>
      </c>
      <c r="F24127" s="26">
        <v>1.47E-2</v>
      </c>
      <c r="G24127" s="26">
        <v>1.47E-2</v>
      </c>
      <c r="H24127" s="26">
        <v>1.47E-2</v>
      </c>
      <c r="I24127">
        <v>68</v>
      </c>
    </row>
    <row r="24128" spans="1:9" x14ac:dyDescent="0.35">
      <c r="A24128" t="s">
        <v>227</v>
      </c>
      <c r="B24128" t="s">
        <v>242</v>
      </c>
      <c r="C24128">
        <v>1</v>
      </c>
      <c r="D24128" s="26">
        <v>1.47E-2</v>
      </c>
      <c r="E24128" s="26">
        <v>1.47E-2</v>
      </c>
      <c r="H24128" s="26">
        <v>1.47E-2</v>
      </c>
      <c r="I24128">
        <v>68</v>
      </c>
    </row>
    <row r="24129" spans="1:9" x14ac:dyDescent="0.35">
      <c r="A24129" t="s">
        <v>227</v>
      </c>
      <c r="B24129" t="s">
        <v>241</v>
      </c>
      <c r="C24129">
        <v>0</v>
      </c>
      <c r="D24129" s="26">
        <v>0.69889999999999997</v>
      </c>
      <c r="E24129" s="26">
        <v>0.91400000000000003</v>
      </c>
      <c r="F24129" s="26">
        <v>0.871</v>
      </c>
      <c r="G24129" s="26">
        <v>0.94620000000000004</v>
      </c>
      <c r="H24129" s="26">
        <v>0.92469999999999997</v>
      </c>
      <c r="I24129">
        <v>93</v>
      </c>
    </row>
    <row r="24130" spans="1:9" x14ac:dyDescent="0.35">
      <c r="A24130" t="s">
        <v>228</v>
      </c>
      <c r="B24130" t="s">
        <v>241</v>
      </c>
      <c r="C24130">
        <v>1</v>
      </c>
      <c r="D24130" s="26">
        <v>3.3599999999999998E-2</v>
      </c>
      <c r="E24130" s="26">
        <v>4.0399999999999998E-2</v>
      </c>
      <c r="F24130" s="26">
        <v>1.84E-2</v>
      </c>
      <c r="G24130" s="26">
        <v>1.17E-2</v>
      </c>
      <c r="H24130" s="26">
        <v>2.0400000000000001E-2</v>
      </c>
      <c r="I24130">
        <v>631</v>
      </c>
    </row>
    <row r="24131" spans="1:9" x14ac:dyDescent="0.35">
      <c r="A24131" t="s">
        <v>228</v>
      </c>
      <c r="B24131" t="s">
        <v>241</v>
      </c>
      <c r="C24131">
        <v>7</v>
      </c>
      <c r="D24131" s="26">
        <v>0.1028</v>
      </c>
      <c r="E24131" s="26">
        <v>8.6E-3</v>
      </c>
      <c r="F24131" s="26">
        <v>2.7300000000000001E-2</v>
      </c>
      <c r="G24131" s="26">
        <v>1.9E-2</v>
      </c>
      <c r="H24131" s="26">
        <v>1.5299999999999999E-2</v>
      </c>
      <c r="I24131">
        <v>631</v>
      </c>
    </row>
    <row r="24132" spans="1:9" x14ac:dyDescent="0.35">
      <c r="A24132" t="s">
        <v>228</v>
      </c>
      <c r="B24132" t="s">
        <v>241</v>
      </c>
      <c r="C24132">
        <v>6</v>
      </c>
      <c r="D24132" s="26">
        <v>2E-3</v>
      </c>
      <c r="F24132" s="26">
        <v>1.8E-3</v>
      </c>
      <c r="I24132">
        <v>631</v>
      </c>
    </row>
    <row r="24133" spans="1:9" x14ac:dyDescent="0.35">
      <c r="A24133" t="s">
        <v>228</v>
      </c>
      <c r="B24133" t="s">
        <v>241</v>
      </c>
      <c r="C24133">
        <v>5</v>
      </c>
      <c r="D24133" s="26">
        <v>2.2499999999999999E-2</v>
      </c>
      <c r="E24133" s="26">
        <v>1.2999999999999999E-3</v>
      </c>
      <c r="F24133" s="26">
        <v>1.4E-3</v>
      </c>
      <c r="G24133" s="26">
        <v>5.7000000000000002E-3</v>
      </c>
      <c r="H24133" s="26">
        <v>2.7000000000000001E-3</v>
      </c>
      <c r="I24133">
        <v>631</v>
      </c>
    </row>
    <row r="24134" spans="1:9" x14ac:dyDescent="0.35">
      <c r="A24134" t="s">
        <v>228</v>
      </c>
      <c r="B24134" t="s">
        <v>241</v>
      </c>
      <c r="C24134">
        <v>4</v>
      </c>
      <c r="D24134" s="26">
        <v>1.7000000000000001E-2</v>
      </c>
      <c r="E24134" s="26">
        <v>9.4999999999999998E-3</v>
      </c>
      <c r="F24134" s="26">
        <v>4.7000000000000002E-3</v>
      </c>
      <c r="G24134" s="26">
        <v>1.1999999999999999E-3</v>
      </c>
      <c r="H24134" s="26">
        <v>8.0000000000000002E-3</v>
      </c>
      <c r="I24134">
        <v>631</v>
      </c>
    </row>
    <row r="24135" spans="1:9" x14ac:dyDescent="0.35">
      <c r="A24135" t="s">
        <v>228</v>
      </c>
      <c r="B24135" t="s">
        <v>241</v>
      </c>
      <c r="C24135">
        <v>3</v>
      </c>
      <c r="D24135" s="26">
        <v>3.8399999999999997E-2</v>
      </c>
      <c r="E24135" s="26">
        <v>3.5999999999999999E-3</v>
      </c>
      <c r="F24135" s="26">
        <v>1.72E-2</v>
      </c>
      <c r="G24135" s="26">
        <v>1.2699999999999999E-2</v>
      </c>
      <c r="H24135" s="26">
        <v>1.7299999999999999E-2</v>
      </c>
      <c r="I24135">
        <v>631</v>
      </c>
    </row>
    <row r="24136" spans="1:9" x14ac:dyDescent="0.35">
      <c r="A24136" t="s">
        <v>228</v>
      </c>
      <c r="B24136" t="s">
        <v>241</v>
      </c>
      <c r="C24136">
        <v>2</v>
      </c>
      <c r="D24136" s="26">
        <v>6.6100000000000006E-2</v>
      </c>
      <c r="E24136" s="26">
        <v>1.83E-2</v>
      </c>
      <c r="F24136" s="26">
        <v>1.78E-2</v>
      </c>
      <c r="G24136" s="26">
        <v>9.4999999999999998E-3</v>
      </c>
      <c r="H24136" s="26">
        <v>1.9E-2</v>
      </c>
      <c r="I24136">
        <v>631</v>
      </c>
    </row>
    <row r="24137" spans="1:9" x14ac:dyDescent="0.35">
      <c r="A24137" t="s">
        <v>228</v>
      </c>
      <c r="B24137" t="s">
        <v>241</v>
      </c>
      <c r="C24137">
        <v>0</v>
      </c>
      <c r="D24137" s="26">
        <v>0.71760000000000002</v>
      </c>
      <c r="E24137" s="26">
        <v>0.91839999999999999</v>
      </c>
      <c r="F24137" s="26">
        <v>0.91139999999999999</v>
      </c>
      <c r="G24137" s="26">
        <v>0.94020000000000004</v>
      </c>
      <c r="H24137" s="26">
        <v>0.91739999999999999</v>
      </c>
      <c r="I24137">
        <v>631</v>
      </c>
    </row>
    <row r="24138" spans="1:9" x14ac:dyDescent="0.35">
      <c r="A24138" t="s">
        <v>228</v>
      </c>
      <c r="B24138" t="s">
        <v>242</v>
      </c>
      <c r="C24138">
        <v>5</v>
      </c>
      <c r="D24138" s="26">
        <v>1.0999999999999999E-2</v>
      </c>
      <c r="E24138" s="26">
        <v>1.8E-3</v>
      </c>
      <c r="F24138" s="26">
        <v>3.2000000000000002E-3</v>
      </c>
      <c r="G24138" s="26">
        <v>6.9999999999999999E-4</v>
      </c>
      <c r="H24138" s="26">
        <v>6.4000000000000003E-3</v>
      </c>
      <c r="I24138">
        <v>402</v>
      </c>
    </row>
    <row r="24139" spans="1:9" x14ac:dyDescent="0.35">
      <c r="A24139" t="s">
        <v>228</v>
      </c>
      <c r="B24139" t="s">
        <v>242</v>
      </c>
      <c r="C24139">
        <v>6</v>
      </c>
      <c r="D24139" s="26">
        <v>2.5000000000000001E-3</v>
      </c>
      <c r="I24139">
        <v>402</v>
      </c>
    </row>
    <row r="24140" spans="1:9" x14ac:dyDescent="0.35">
      <c r="A24140" t="s">
        <v>228</v>
      </c>
      <c r="B24140" t="s">
        <v>242</v>
      </c>
      <c r="C24140">
        <v>4</v>
      </c>
      <c r="D24140" s="26">
        <v>2.9000000000000001E-2</v>
      </c>
      <c r="E24140" s="26">
        <v>6.9999999999999999E-4</v>
      </c>
      <c r="F24140" s="26">
        <v>1.06E-2</v>
      </c>
      <c r="G24140" s="26">
        <v>1.1000000000000001E-3</v>
      </c>
      <c r="H24140" s="26">
        <v>8.8999999999999999E-3</v>
      </c>
      <c r="I24140">
        <v>402</v>
      </c>
    </row>
    <row r="24141" spans="1:9" x14ac:dyDescent="0.35">
      <c r="A24141" t="s">
        <v>228</v>
      </c>
      <c r="B24141" t="s">
        <v>242</v>
      </c>
      <c r="C24141">
        <v>3</v>
      </c>
      <c r="D24141" s="26">
        <v>8.6800000000000002E-2</v>
      </c>
      <c r="E24141" s="26">
        <v>2.6599999999999999E-2</v>
      </c>
      <c r="F24141" s="26">
        <v>5.8500000000000003E-2</v>
      </c>
      <c r="G24141" s="26">
        <v>1.37E-2</v>
      </c>
      <c r="H24141" s="26">
        <v>3.3399999999999999E-2</v>
      </c>
      <c r="I24141">
        <v>402</v>
      </c>
    </row>
    <row r="24142" spans="1:9" x14ac:dyDescent="0.35">
      <c r="A24142" t="s">
        <v>228</v>
      </c>
      <c r="B24142" t="s">
        <v>242</v>
      </c>
      <c r="C24142">
        <v>2</v>
      </c>
      <c r="D24142" s="26">
        <v>8.3199999999999996E-2</v>
      </c>
      <c r="E24142" s="26">
        <v>2.6200000000000001E-2</v>
      </c>
      <c r="F24142" s="26">
        <v>4.19E-2</v>
      </c>
      <c r="G24142" s="26">
        <v>2.7E-2</v>
      </c>
      <c r="H24142" s="26">
        <v>3.49E-2</v>
      </c>
      <c r="I24142">
        <v>402</v>
      </c>
    </row>
    <row r="24143" spans="1:9" x14ac:dyDescent="0.35">
      <c r="A24143" t="s">
        <v>228</v>
      </c>
      <c r="B24143" t="s">
        <v>242</v>
      </c>
      <c r="C24143">
        <v>1</v>
      </c>
      <c r="D24143" s="26">
        <v>3.5999999999999997E-2</v>
      </c>
      <c r="E24143" s="26">
        <v>4.07E-2</v>
      </c>
      <c r="F24143" s="26">
        <v>1.0999999999999999E-2</v>
      </c>
      <c r="H24143" s="26">
        <v>5.8999999999999999E-3</v>
      </c>
      <c r="I24143">
        <v>402</v>
      </c>
    </row>
    <row r="24144" spans="1:9" x14ac:dyDescent="0.35">
      <c r="A24144" t="s">
        <v>228</v>
      </c>
      <c r="B24144" t="s">
        <v>242</v>
      </c>
      <c r="C24144">
        <v>0</v>
      </c>
      <c r="D24144" s="26">
        <v>0.54400000000000004</v>
      </c>
      <c r="E24144" s="26">
        <v>0.88549999999999995</v>
      </c>
      <c r="F24144" s="26">
        <v>0.78790000000000004</v>
      </c>
      <c r="G24144" s="26">
        <v>0.93569999999999998</v>
      </c>
      <c r="H24144" s="26">
        <v>0.82389999999999997</v>
      </c>
      <c r="I24144">
        <v>402</v>
      </c>
    </row>
    <row r="24145" spans="1:9" x14ac:dyDescent="0.35">
      <c r="A24145" t="s">
        <v>228</v>
      </c>
      <c r="B24145" t="s">
        <v>242</v>
      </c>
      <c r="C24145">
        <v>7</v>
      </c>
      <c r="D24145" s="26">
        <v>0.20749999999999999</v>
      </c>
      <c r="E24145" s="26">
        <v>1.8499999999999999E-2</v>
      </c>
      <c r="F24145" s="26">
        <v>8.6900000000000005E-2</v>
      </c>
      <c r="G24145" s="26">
        <v>2.18E-2</v>
      </c>
      <c r="H24145" s="26">
        <v>8.6599999999999996E-2</v>
      </c>
      <c r="I24145">
        <v>402</v>
      </c>
    </row>
    <row r="24146" spans="1:9" x14ac:dyDescent="0.35">
      <c r="A24146" t="s">
        <v>229</v>
      </c>
      <c r="B24146" t="s">
        <v>241</v>
      </c>
      <c r="C24146">
        <v>0</v>
      </c>
      <c r="D24146" s="26">
        <v>0.78159999999999996</v>
      </c>
      <c r="E24146" s="26">
        <v>0.93620000000000003</v>
      </c>
      <c r="F24146" s="26">
        <v>0.9244</v>
      </c>
      <c r="G24146" s="26">
        <v>0.97929999999999995</v>
      </c>
      <c r="H24146" s="26">
        <v>0.91579999999999995</v>
      </c>
      <c r="I24146">
        <v>603</v>
      </c>
    </row>
    <row r="24147" spans="1:9" x14ac:dyDescent="0.35">
      <c r="A24147" t="s">
        <v>229</v>
      </c>
      <c r="B24147" t="s">
        <v>241</v>
      </c>
      <c r="C24147">
        <v>7</v>
      </c>
      <c r="D24147" s="26">
        <v>4.2799999999999998E-2</v>
      </c>
      <c r="E24147" s="26">
        <v>4.7000000000000002E-3</v>
      </c>
      <c r="F24147" s="26">
        <v>2.0799999999999999E-2</v>
      </c>
      <c r="G24147" s="26">
        <v>5.7000000000000002E-3</v>
      </c>
      <c r="H24147" s="26">
        <v>1.78E-2</v>
      </c>
      <c r="I24147">
        <v>603</v>
      </c>
    </row>
    <row r="24148" spans="1:9" x14ac:dyDescent="0.35">
      <c r="A24148" t="s">
        <v>229</v>
      </c>
      <c r="B24148" t="s">
        <v>241</v>
      </c>
      <c r="C24148">
        <v>5</v>
      </c>
      <c r="D24148" s="26">
        <v>9.7000000000000003E-3</v>
      </c>
      <c r="E24148" s="26">
        <v>1.6000000000000001E-3</v>
      </c>
      <c r="F24148" s="26">
        <v>4.5999999999999999E-3</v>
      </c>
      <c r="G24148" s="26">
        <v>5.0000000000000001E-4</v>
      </c>
      <c r="H24148" s="26">
        <v>4.1000000000000003E-3</v>
      </c>
      <c r="I24148">
        <v>603</v>
      </c>
    </row>
    <row r="24149" spans="1:9" x14ac:dyDescent="0.35">
      <c r="A24149" t="s">
        <v>229</v>
      </c>
      <c r="B24149" t="s">
        <v>241</v>
      </c>
      <c r="C24149">
        <v>3</v>
      </c>
      <c r="D24149" s="26">
        <v>2.5700000000000001E-2</v>
      </c>
      <c r="E24149" s="26">
        <v>1.2800000000000001E-2</v>
      </c>
      <c r="F24149" s="26">
        <v>1.01E-2</v>
      </c>
      <c r="G24149" s="26">
        <v>1.9E-3</v>
      </c>
      <c r="H24149" s="26">
        <v>1.0500000000000001E-2</v>
      </c>
      <c r="I24149">
        <v>603</v>
      </c>
    </row>
    <row r="24150" spans="1:9" x14ac:dyDescent="0.35">
      <c r="A24150" t="s">
        <v>229</v>
      </c>
      <c r="B24150" t="s">
        <v>241</v>
      </c>
      <c r="C24150">
        <v>2</v>
      </c>
      <c r="D24150" s="26">
        <v>8.6900000000000005E-2</v>
      </c>
      <c r="E24150" s="26">
        <v>1.3899999999999999E-2</v>
      </c>
      <c r="F24150" s="26">
        <v>2.8899999999999999E-2</v>
      </c>
      <c r="G24150" s="26">
        <v>9.5999999999999992E-3</v>
      </c>
      <c r="H24150" s="26">
        <v>3.0300000000000001E-2</v>
      </c>
      <c r="I24150">
        <v>603</v>
      </c>
    </row>
    <row r="24151" spans="1:9" x14ac:dyDescent="0.35">
      <c r="A24151" t="s">
        <v>229</v>
      </c>
      <c r="B24151" t="s">
        <v>241</v>
      </c>
      <c r="C24151">
        <v>1</v>
      </c>
      <c r="D24151" s="26">
        <v>2.0899999999999998E-2</v>
      </c>
      <c r="E24151" s="26">
        <v>3.0200000000000001E-2</v>
      </c>
      <c r="F24151" s="26">
        <v>4.7999999999999996E-3</v>
      </c>
      <c r="G24151" s="26">
        <v>2.7000000000000001E-3</v>
      </c>
      <c r="H24151" s="26">
        <v>1.67E-2</v>
      </c>
      <c r="I24151">
        <v>603</v>
      </c>
    </row>
    <row r="24152" spans="1:9" x14ac:dyDescent="0.35">
      <c r="A24152" t="s">
        <v>229</v>
      </c>
      <c r="B24152" t="s">
        <v>242</v>
      </c>
      <c r="C24152">
        <v>7</v>
      </c>
      <c r="D24152" s="26">
        <v>0.16009999999999999</v>
      </c>
      <c r="E24152" s="26">
        <v>1.83E-2</v>
      </c>
      <c r="F24152" s="26">
        <v>7.8700000000000006E-2</v>
      </c>
      <c r="G24152" s="26">
        <v>1.8800000000000001E-2</v>
      </c>
      <c r="H24152" s="26">
        <v>0.06</v>
      </c>
      <c r="I24152">
        <v>292</v>
      </c>
    </row>
    <row r="24153" spans="1:9" x14ac:dyDescent="0.35">
      <c r="A24153" t="s">
        <v>229</v>
      </c>
      <c r="B24153" t="s">
        <v>241</v>
      </c>
      <c r="C24153">
        <v>4</v>
      </c>
      <c r="D24153" s="26">
        <v>3.2399999999999998E-2</v>
      </c>
      <c r="E24153" s="26">
        <v>5.0000000000000001E-4</v>
      </c>
      <c r="F24153" s="26">
        <v>6.3E-3</v>
      </c>
      <c r="G24153" s="26">
        <v>2.0000000000000001E-4</v>
      </c>
      <c r="H24153" s="26">
        <v>4.7999999999999996E-3</v>
      </c>
      <c r="I24153">
        <v>603</v>
      </c>
    </row>
    <row r="24154" spans="1:9" x14ac:dyDescent="0.35">
      <c r="A24154" t="s">
        <v>229</v>
      </c>
      <c r="B24154" t="s">
        <v>242</v>
      </c>
      <c r="C24154">
        <v>5</v>
      </c>
      <c r="D24154" s="26">
        <v>3.5299999999999998E-2</v>
      </c>
      <c r="F24154" s="26">
        <v>6.4000000000000003E-3</v>
      </c>
      <c r="G24154" s="26">
        <v>6.9999999999999999E-4</v>
      </c>
      <c r="H24154" s="26">
        <v>3.0000000000000001E-3</v>
      </c>
      <c r="I24154">
        <v>292</v>
      </c>
    </row>
    <row r="24155" spans="1:9" x14ac:dyDescent="0.35">
      <c r="A24155" t="s">
        <v>229</v>
      </c>
      <c r="B24155" t="s">
        <v>242</v>
      </c>
      <c r="C24155">
        <v>4</v>
      </c>
      <c r="D24155" s="26">
        <v>4.4200000000000003E-2</v>
      </c>
      <c r="F24155" s="26">
        <v>1.11E-2</v>
      </c>
      <c r="H24155" s="26">
        <v>7.9000000000000008E-3</v>
      </c>
      <c r="I24155">
        <v>292</v>
      </c>
    </row>
    <row r="24156" spans="1:9" x14ac:dyDescent="0.35">
      <c r="A24156" t="s">
        <v>229</v>
      </c>
      <c r="B24156" t="s">
        <v>242</v>
      </c>
      <c r="C24156">
        <v>3</v>
      </c>
      <c r="D24156" s="26">
        <v>5.2900000000000003E-2</v>
      </c>
      <c r="E24156" s="26">
        <v>1.11E-2</v>
      </c>
      <c r="F24156" s="26">
        <v>5.4800000000000001E-2</v>
      </c>
      <c r="G24156" s="26">
        <v>3.4200000000000001E-2</v>
      </c>
      <c r="H24156" s="26">
        <v>4.8099999999999997E-2</v>
      </c>
      <c r="I24156">
        <v>292</v>
      </c>
    </row>
    <row r="24157" spans="1:9" x14ac:dyDescent="0.35">
      <c r="A24157" t="s">
        <v>229</v>
      </c>
      <c r="B24157" t="s">
        <v>242</v>
      </c>
      <c r="C24157">
        <v>2</v>
      </c>
      <c r="D24157" s="26">
        <v>0.12820000000000001</v>
      </c>
      <c r="E24157" s="26">
        <v>2.5899999999999999E-2</v>
      </c>
      <c r="F24157" s="26">
        <v>6.7699999999999996E-2</v>
      </c>
      <c r="G24157" s="26">
        <v>1.4500000000000001E-2</v>
      </c>
      <c r="H24157" s="26">
        <v>1.55E-2</v>
      </c>
      <c r="I24157">
        <v>292</v>
      </c>
    </row>
    <row r="24158" spans="1:9" x14ac:dyDescent="0.35">
      <c r="A24158" t="s">
        <v>229</v>
      </c>
      <c r="B24158" t="s">
        <v>242</v>
      </c>
      <c r="C24158">
        <v>6</v>
      </c>
      <c r="D24158" s="26">
        <v>6.4000000000000003E-3</v>
      </c>
      <c r="G24158" s="26">
        <v>6.4000000000000003E-3</v>
      </c>
      <c r="I24158">
        <v>292</v>
      </c>
    </row>
    <row r="24159" spans="1:9" x14ac:dyDescent="0.35">
      <c r="A24159" t="s">
        <v>229</v>
      </c>
      <c r="B24159" t="s">
        <v>242</v>
      </c>
      <c r="C24159">
        <v>1</v>
      </c>
      <c r="D24159" s="26">
        <v>2.5999999999999999E-3</v>
      </c>
      <c r="E24159" s="26">
        <v>7.6200000000000004E-2</v>
      </c>
      <c r="F24159" s="26">
        <v>2.9000000000000001E-2</v>
      </c>
      <c r="G24159" s="26">
        <v>4.0000000000000002E-4</v>
      </c>
      <c r="H24159" s="26">
        <v>6.7000000000000002E-3</v>
      </c>
      <c r="I24159">
        <v>292</v>
      </c>
    </row>
    <row r="24160" spans="1:9" x14ac:dyDescent="0.35">
      <c r="A24160" t="s">
        <v>229</v>
      </c>
      <c r="B24160" t="s">
        <v>242</v>
      </c>
      <c r="C24160">
        <v>0</v>
      </c>
      <c r="D24160" s="26">
        <v>0.57030000000000003</v>
      </c>
      <c r="E24160" s="26">
        <v>0.86850000000000005</v>
      </c>
      <c r="F24160" s="26">
        <v>0.75229999999999997</v>
      </c>
      <c r="G24160" s="26">
        <v>0.92490000000000006</v>
      </c>
      <c r="H24160" s="26">
        <v>0.85880000000000001</v>
      </c>
      <c r="I24160">
        <v>292</v>
      </c>
    </row>
    <row r="24161" spans="1:9" x14ac:dyDescent="0.35">
      <c r="A24161" t="s">
        <v>230</v>
      </c>
      <c r="B24161" t="s">
        <v>241</v>
      </c>
      <c r="C24161">
        <v>6</v>
      </c>
      <c r="D24161" s="26">
        <v>2.4400000000000002E-2</v>
      </c>
      <c r="F24161" s="26">
        <v>1.2999999999999999E-3</v>
      </c>
      <c r="I24161">
        <v>371</v>
      </c>
    </row>
    <row r="24162" spans="1:9" x14ac:dyDescent="0.35">
      <c r="A24162" t="s">
        <v>230</v>
      </c>
      <c r="B24162" t="s">
        <v>241</v>
      </c>
      <c r="C24162">
        <v>5</v>
      </c>
      <c r="D24162" s="26">
        <v>5.4000000000000003E-3</v>
      </c>
      <c r="E24162" s="26">
        <v>1.4E-3</v>
      </c>
      <c r="F24162" s="26">
        <v>1.4E-3</v>
      </c>
      <c r="I24162">
        <v>371</v>
      </c>
    </row>
    <row r="24163" spans="1:9" x14ac:dyDescent="0.35">
      <c r="A24163" t="s">
        <v>230</v>
      </c>
      <c r="B24163" t="s">
        <v>241</v>
      </c>
      <c r="C24163">
        <v>4</v>
      </c>
      <c r="D24163" s="26">
        <v>3.3999999999999998E-3</v>
      </c>
      <c r="F24163" s="26">
        <v>1.21E-2</v>
      </c>
      <c r="G24163" s="26">
        <v>9.9000000000000008E-3</v>
      </c>
      <c r="H24163" s="26">
        <v>1.17E-2</v>
      </c>
      <c r="I24163">
        <v>371</v>
      </c>
    </row>
    <row r="24164" spans="1:9" x14ac:dyDescent="0.35">
      <c r="A24164" t="s">
        <v>230</v>
      </c>
      <c r="B24164" t="s">
        <v>241</v>
      </c>
      <c r="C24164">
        <v>3</v>
      </c>
      <c r="D24164" s="26">
        <v>6.8000000000000005E-2</v>
      </c>
      <c r="E24164" s="26">
        <v>3.8999999999999998E-3</v>
      </c>
      <c r="F24164" s="26">
        <v>6.3E-3</v>
      </c>
      <c r="G24164" s="26">
        <v>1.17E-2</v>
      </c>
      <c r="H24164" s="26">
        <v>4.8999999999999998E-3</v>
      </c>
      <c r="I24164">
        <v>371</v>
      </c>
    </row>
    <row r="24165" spans="1:9" x14ac:dyDescent="0.35">
      <c r="A24165" t="s">
        <v>230</v>
      </c>
      <c r="B24165" t="s">
        <v>241</v>
      </c>
      <c r="C24165">
        <v>2</v>
      </c>
      <c r="D24165" s="26">
        <v>4.7199999999999999E-2</v>
      </c>
      <c r="E24165" s="26">
        <v>1.29E-2</v>
      </c>
      <c r="F24165" s="26">
        <v>1.6E-2</v>
      </c>
      <c r="G24165" s="26">
        <v>1.2200000000000001E-2</v>
      </c>
      <c r="H24165" s="26">
        <v>2.8899999999999999E-2</v>
      </c>
      <c r="I24165">
        <v>371</v>
      </c>
    </row>
    <row r="24166" spans="1:9" x14ac:dyDescent="0.35">
      <c r="A24166" t="s">
        <v>230</v>
      </c>
      <c r="B24166" t="s">
        <v>241</v>
      </c>
      <c r="C24166">
        <v>1</v>
      </c>
      <c r="D24166" s="26">
        <v>4.1500000000000002E-2</v>
      </c>
      <c r="E24166" s="26">
        <v>5.33E-2</v>
      </c>
      <c r="F24166" s="26">
        <v>1.09E-2</v>
      </c>
      <c r="G24166" s="26">
        <v>8.0999999999999996E-3</v>
      </c>
      <c r="H24166" s="26">
        <v>4.8999999999999998E-3</v>
      </c>
      <c r="I24166">
        <v>371</v>
      </c>
    </row>
    <row r="24167" spans="1:9" x14ac:dyDescent="0.35">
      <c r="A24167" t="s">
        <v>230</v>
      </c>
      <c r="B24167" t="s">
        <v>241</v>
      </c>
      <c r="C24167">
        <v>0</v>
      </c>
      <c r="D24167" s="26">
        <v>0.71650000000000003</v>
      </c>
      <c r="E24167" s="26">
        <v>0.91720000000000002</v>
      </c>
      <c r="F24167" s="26">
        <v>0.92059999999999997</v>
      </c>
      <c r="G24167" s="26">
        <v>0.92969999999999997</v>
      </c>
      <c r="H24167" s="26">
        <v>0.9163</v>
      </c>
      <c r="I24167">
        <v>371</v>
      </c>
    </row>
    <row r="24168" spans="1:9" x14ac:dyDescent="0.35">
      <c r="A24168" t="s">
        <v>230</v>
      </c>
      <c r="B24168" t="s">
        <v>241</v>
      </c>
      <c r="C24168">
        <v>7</v>
      </c>
      <c r="D24168" s="26">
        <v>9.3700000000000006E-2</v>
      </c>
      <c r="E24168" s="26">
        <v>1.1299999999999999E-2</v>
      </c>
      <c r="F24168" s="26">
        <v>3.15E-2</v>
      </c>
      <c r="G24168" s="26">
        <v>2.8299999999999999E-2</v>
      </c>
      <c r="H24168" s="26">
        <v>3.3300000000000003E-2</v>
      </c>
      <c r="I24168">
        <v>371</v>
      </c>
    </row>
    <row r="24169" spans="1:9" x14ac:dyDescent="0.35">
      <c r="A24169" t="s">
        <v>230</v>
      </c>
      <c r="B24169" t="s">
        <v>242</v>
      </c>
      <c r="C24169">
        <v>6</v>
      </c>
      <c r="D24169" s="26">
        <v>2.7000000000000001E-3</v>
      </c>
      <c r="F24169" s="26">
        <v>2.7000000000000001E-3</v>
      </c>
      <c r="H24169" s="26">
        <v>2.7000000000000001E-3</v>
      </c>
      <c r="I24169">
        <v>189</v>
      </c>
    </row>
    <row r="24170" spans="1:9" x14ac:dyDescent="0.35">
      <c r="A24170" t="s">
        <v>230</v>
      </c>
      <c r="B24170" t="s">
        <v>242</v>
      </c>
      <c r="C24170">
        <v>5</v>
      </c>
      <c r="D24170" s="26">
        <v>1.5900000000000001E-2</v>
      </c>
      <c r="E24170" s="26">
        <v>1.5900000000000001E-2</v>
      </c>
      <c r="F24170" s="26">
        <v>2.7000000000000001E-3</v>
      </c>
      <c r="H24170" s="26">
        <v>2.7000000000000001E-3</v>
      </c>
      <c r="I24170">
        <v>189</v>
      </c>
    </row>
    <row r="24171" spans="1:9" x14ac:dyDescent="0.35">
      <c r="A24171" t="s">
        <v>230</v>
      </c>
      <c r="B24171" t="s">
        <v>242</v>
      </c>
      <c r="C24171">
        <v>4</v>
      </c>
      <c r="D24171" s="26">
        <v>4.5999999999999999E-2</v>
      </c>
      <c r="E24171" s="26">
        <v>8.0000000000000002E-3</v>
      </c>
      <c r="F24171" s="26">
        <v>2.3800000000000002E-2</v>
      </c>
      <c r="G24171" s="26">
        <v>1.9300000000000001E-2</v>
      </c>
      <c r="H24171" s="26">
        <v>2.12E-2</v>
      </c>
      <c r="I24171">
        <v>189</v>
      </c>
    </row>
    <row r="24172" spans="1:9" x14ac:dyDescent="0.35">
      <c r="A24172" t="s">
        <v>230</v>
      </c>
      <c r="B24172" t="s">
        <v>242</v>
      </c>
      <c r="C24172">
        <v>3</v>
      </c>
      <c r="D24172" s="26">
        <v>7.9100000000000004E-2</v>
      </c>
      <c r="E24172" s="26">
        <v>1.8499999999999999E-2</v>
      </c>
      <c r="F24172" s="26">
        <v>9.4999999999999998E-3</v>
      </c>
      <c r="G24172" s="26">
        <v>5.3E-3</v>
      </c>
      <c r="H24172" s="26">
        <v>5.21E-2</v>
      </c>
      <c r="I24172">
        <v>189</v>
      </c>
    </row>
    <row r="24173" spans="1:9" x14ac:dyDescent="0.35">
      <c r="A24173" t="s">
        <v>230</v>
      </c>
      <c r="B24173" t="s">
        <v>242</v>
      </c>
      <c r="C24173">
        <v>2</v>
      </c>
      <c r="D24173" s="26">
        <v>6.5000000000000002E-2</v>
      </c>
      <c r="E24173" s="26">
        <v>7.0800000000000002E-2</v>
      </c>
      <c r="F24173" s="26">
        <v>0.14649999999999999</v>
      </c>
      <c r="G24173" s="26">
        <v>3.8800000000000001E-2</v>
      </c>
      <c r="H24173" s="26">
        <v>8.7300000000000003E-2</v>
      </c>
      <c r="I24173">
        <v>189</v>
      </c>
    </row>
    <row r="24174" spans="1:9" x14ac:dyDescent="0.35">
      <c r="A24174" t="s">
        <v>230</v>
      </c>
      <c r="B24174" t="s">
        <v>242</v>
      </c>
      <c r="C24174">
        <v>1</v>
      </c>
      <c r="D24174" s="26">
        <v>3.3999999999999998E-3</v>
      </c>
      <c r="E24174" s="26">
        <v>6.6100000000000006E-2</v>
      </c>
      <c r="F24174" s="26">
        <v>2.7000000000000001E-3</v>
      </c>
      <c r="H24174" s="26">
        <v>5.3E-3</v>
      </c>
      <c r="I24174">
        <v>189</v>
      </c>
    </row>
    <row r="24175" spans="1:9" x14ac:dyDescent="0.35">
      <c r="A24175" t="s">
        <v>230</v>
      </c>
      <c r="B24175" t="s">
        <v>242</v>
      </c>
      <c r="C24175">
        <v>0</v>
      </c>
      <c r="D24175" s="26">
        <v>0.59560000000000002</v>
      </c>
      <c r="E24175" s="26">
        <v>0.81810000000000005</v>
      </c>
      <c r="F24175" s="26">
        <v>0.77859999999999996</v>
      </c>
      <c r="G24175" s="26">
        <v>0.92859999999999998</v>
      </c>
      <c r="H24175" s="26">
        <v>0.77749999999999997</v>
      </c>
      <c r="I24175">
        <v>189</v>
      </c>
    </row>
    <row r="24176" spans="1:9" x14ac:dyDescent="0.35">
      <c r="A24176" t="s">
        <v>230</v>
      </c>
      <c r="B24176" t="s">
        <v>242</v>
      </c>
      <c r="C24176">
        <v>7</v>
      </c>
      <c r="D24176" s="26">
        <v>0.19220000000000001</v>
      </c>
      <c r="E24176" s="26">
        <v>2.5999999999999999E-3</v>
      </c>
      <c r="F24176" s="26">
        <v>3.3500000000000002E-2</v>
      </c>
      <c r="G24176" s="26">
        <v>8.0000000000000002E-3</v>
      </c>
      <c r="H24176" s="26">
        <v>5.1200000000000002E-2</v>
      </c>
      <c r="I24176">
        <v>189</v>
      </c>
    </row>
    <row r="24177" spans="1:9" x14ac:dyDescent="0.35">
      <c r="A24177" t="s">
        <v>231</v>
      </c>
      <c r="B24177" t="s">
        <v>241</v>
      </c>
      <c r="C24177">
        <v>7</v>
      </c>
      <c r="D24177" s="26">
        <v>9.0899999999999995E-2</v>
      </c>
      <c r="E24177" s="26">
        <v>9.1000000000000004E-3</v>
      </c>
      <c r="F24177" s="26">
        <v>4.5499999999999999E-2</v>
      </c>
      <c r="G24177" s="26">
        <v>1.8200000000000001E-2</v>
      </c>
      <c r="H24177" s="26">
        <v>2.7300000000000001E-2</v>
      </c>
      <c r="I24177">
        <v>110</v>
      </c>
    </row>
    <row r="24178" spans="1:9" x14ac:dyDescent="0.35">
      <c r="A24178" t="s">
        <v>231</v>
      </c>
      <c r="B24178" t="s">
        <v>241</v>
      </c>
      <c r="C24178">
        <v>5</v>
      </c>
      <c r="D24178" s="26">
        <v>4.5499999999999999E-2</v>
      </c>
      <c r="E24178" s="26">
        <v>9.1000000000000004E-3</v>
      </c>
      <c r="F24178" s="26">
        <v>2.7300000000000001E-2</v>
      </c>
      <c r="H24178" s="26">
        <v>2.7300000000000001E-2</v>
      </c>
      <c r="I24178">
        <v>110</v>
      </c>
    </row>
    <row r="24179" spans="1:9" x14ac:dyDescent="0.35">
      <c r="A24179" t="s">
        <v>231</v>
      </c>
      <c r="B24179" t="s">
        <v>241</v>
      </c>
      <c r="C24179">
        <v>4</v>
      </c>
      <c r="D24179" s="26">
        <v>9.1000000000000004E-3</v>
      </c>
      <c r="F24179" s="26">
        <v>9.1000000000000004E-3</v>
      </c>
      <c r="G24179" s="26">
        <v>3.6400000000000002E-2</v>
      </c>
      <c r="I24179">
        <v>110</v>
      </c>
    </row>
    <row r="24180" spans="1:9" x14ac:dyDescent="0.35">
      <c r="A24180" t="s">
        <v>231</v>
      </c>
      <c r="B24180" t="s">
        <v>241</v>
      </c>
      <c r="C24180">
        <v>3</v>
      </c>
      <c r="D24180" s="26">
        <v>6.3600000000000004E-2</v>
      </c>
      <c r="E24180" s="26">
        <v>2.7300000000000001E-2</v>
      </c>
      <c r="F24180" s="26">
        <v>1.8200000000000001E-2</v>
      </c>
      <c r="H24180" s="26">
        <v>2.7300000000000001E-2</v>
      </c>
      <c r="I24180">
        <v>110</v>
      </c>
    </row>
    <row r="24181" spans="1:9" x14ac:dyDescent="0.35">
      <c r="A24181" t="s">
        <v>231</v>
      </c>
      <c r="B24181" t="s">
        <v>241</v>
      </c>
      <c r="C24181">
        <v>2</v>
      </c>
      <c r="D24181" s="26">
        <v>0.1091</v>
      </c>
      <c r="E24181" s="26">
        <v>1.8200000000000001E-2</v>
      </c>
      <c r="F24181" s="26">
        <v>3.6400000000000002E-2</v>
      </c>
      <c r="G24181" s="26">
        <v>9.1000000000000004E-3</v>
      </c>
      <c r="H24181" s="26">
        <v>4.5499999999999999E-2</v>
      </c>
      <c r="I24181">
        <v>110</v>
      </c>
    </row>
    <row r="24182" spans="1:9" x14ac:dyDescent="0.35">
      <c r="A24182" t="s">
        <v>231</v>
      </c>
      <c r="B24182" t="s">
        <v>241</v>
      </c>
      <c r="C24182">
        <v>1</v>
      </c>
      <c r="D24182" s="26">
        <v>3.6400000000000002E-2</v>
      </c>
      <c r="E24182" s="26">
        <v>3.6400000000000002E-2</v>
      </c>
      <c r="F24182" s="26">
        <v>1.8200000000000001E-2</v>
      </c>
      <c r="G24182" s="26">
        <v>9.1000000000000004E-3</v>
      </c>
      <c r="H24182" s="26">
        <v>2.7300000000000001E-2</v>
      </c>
      <c r="I24182">
        <v>110</v>
      </c>
    </row>
    <row r="24183" spans="1:9" x14ac:dyDescent="0.35">
      <c r="A24183" t="s">
        <v>231</v>
      </c>
      <c r="B24183" t="s">
        <v>241</v>
      </c>
      <c r="C24183">
        <v>0</v>
      </c>
      <c r="D24183" s="26">
        <v>0.64549999999999996</v>
      </c>
      <c r="E24183" s="26">
        <v>0.89090000000000003</v>
      </c>
      <c r="F24183" s="26">
        <v>0.84550000000000003</v>
      </c>
      <c r="G24183" s="26">
        <v>0.91820000000000002</v>
      </c>
      <c r="H24183" s="26">
        <v>0.83640000000000003</v>
      </c>
      <c r="I24183">
        <v>110</v>
      </c>
    </row>
    <row r="24184" spans="1:9" x14ac:dyDescent="0.35">
      <c r="A24184" t="s">
        <v>231</v>
      </c>
      <c r="B24184" t="s">
        <v>242</v>
      </c>
      <c r="C24184">
        <v>7</v>
      </c>
      <c r="D24184" s="26">
        <v>0.14810000000000001</v>
      </c>
      <c r="F24184" s="26">
        <v>3.6999999999999998E-2</v>
      </c>
      <c r="G24184" s="26">
        <v>1.8499999999999999E-2</v>
      </c>
      <c r="H24184" s="26">
        <v>0.14810000000000001</v>
      </c>
      <c r="I24184">
        <v>54</v>
      </c>
    </row>
    <row r="24185" spans="1:9" x14ac:dyDescent="0.35">
      <c r="A24185" t="s">
        <v>231</v>
      </c>
      <c r="B24185" t="s">
        <v>242</v>
      </c>
      <c r="C24185">
        <v>4</v>
      </c>
      <c r="D24185" s="26">
        <v>5.5599999999999997E-2</v>
      </c>
      <c r="F24185" s="26">
        <v>5.5599999999999997E-2</v>
      </c>
      <c r="H24185" s="26">
        <v>1.8499999999999999E-2</v>
      </c>
      <c r="I24185">
        <v>54</v>
      </c>
    </row>
    <row r="24186" spans="1:9" x14ac:dyDescent="0.35">
      <c r="A24186" t="s">
        <v>231</v>
      </c>
      <c r="B24186" t="s">
        <v>242</v>
      </c>
      <c r="C24186">
        <v>3</v>
      </c>
      <c r="D24186" s="26">
        <v>7.4099999999999999E-2</v>
      </c>
      <c r="E24186" s="26">
        <v>7.4099999999999999E-2</v>
      </c>
      <c r="F24186" s="26">
        <v>5.5599999999999997E-2</v>
      </c>
      <c r="G24186" s="26">
        <v>1.8499999999999999E-2</v>
      </c>
      <c r="H24186" s="26">
        <v>1.8499999999999999E-2</v>
      </c>
      <c r="I24186">
        <v>54</v>
      </c>
    </row>
    <row r="24187" spans="1:9" x14ac:dyDescent="0.35">
      <c r="A24187" t="s">
        <v>231</v>
      </c>
      <c r="B24187" t="s">
        <v>242</v>
      </c>
      <c r="C24187">
        <v>2</v>
      </c>
      <c r="D24187" s="26">
        <v>5.5599999999999997E-2</v>
      </c>
      <c r="E24187" s="26">
        <v>3.6999999999999998E-2</v>
      </c>
      <c r="F24187" s="26">
        <v>3.6999999999999998E-2</v>
      </c>
      <c r="I24187">
        <v>54</v>
      </c>
    </row>
    <row r="24188" spans="1:9" x14ac:dyDescent="0.35">
      <c r="A24188" t="s">
        <v>231</v>
      </c>
      <c r="B24188" t="s">
        <v>242</v>
      </c>
      <c r="C24188">
        <v>1</v>
      </c>
      <c r="D24188" s="26">
        <v>5.5599999999999997E-2</v>
      </c>
      <c r="E24188" s="26">
        <v>3.6999999999999998E-2</v>
      </c>
      <c r="F24188" s="26">
        <v>1.8499999999999999E-2</v>
      </c>
      <c r="H24188" s="26">
        <v>5.5599999999999997E-2</v>
      </c>
      <c r="I24188">
        <v>54</v>
      </c>
    </row>
    <row r="24189" spans="1:9" x14ac:dyDescent="0.35">
      <c r="A24189" t="s">
        <v>231</v>
      </c>
      <c r="B24189" t="s">
        <v>242</v>
      </c>
      <c r="C24189">
        <v>0</v>
      </c>
      <c r="D24189" s="26">
        <v>0.57410000000000005</v>
      </c>
      <c r="E24189" s="26">
        <v>0.85189999999999999</v>
      </c>
      <c r="F24189" s="26">
        <v>0.77780000000000005</v>
      </c>
      <c r="G24189" s="26">
        <v>0.96299999999999997</v>
      </c>
      <c r="H24189" s="26">
        <v>0.75929999999999997</v>
      </c>
      <c r="I24189">
        <v>54</v>
      </c>
    </row>
    <row r="24190" spans="1:9" x14ac:dyDescent="0.35">
      <c r="A24190" t="s">
        <v>231</v>
      </c>
      <c r="B24190" t="s">
        <v>242</v>
      </c>
      <c r="C24190">
        <v>5</v>
      </c>
      <c r="D24190" s="26">
        <v>3.6999999999999998E-2</v>
      </c>
      <c r="F24190" s="26">
        <v>1.8499999999999999E-2</v>
      </c>
      <c r="I24190">
        <v>54</v>
      </c>
    </row>
    <row r="24191" spans="1:9" x14ac:dyDescent="0.35">
      <c r="A24191" t="s">
        <v>232</v>
      </c>
      <c r="B24191" t="s">
        <v>232</v>
      </c>
      <c r="C24191">
        <v>6</v>
      </c>
      <c r="D24191" s="26">
        <v>2.8E-3</v>
      </c>
      <c r="E24191" s="26">
        <v>1.6999999999999999E-3</v>
      </c>
      <c r="F24191" s="26">
        <v>4.0000000000000002E-4</v>
      </c>
      <c r="G24191" s="26">
        <v>2.3999999999999998E-3</v>
      </c>
      <c r="H24191" s="26">
        <v>1.8E-3</v>
      </c>
      <c r="I24191">
        <v>2813</v>
      </c>
    </row>
    <row r="24192" spans="1:9" x14ac:dyDescent="0.35">
      <c r="A24192" t="s">
        <v>232</v>
      </c>
      <c r="B24192" t="s">
        <v>232</v>
      </c>
      <c r="C24192">
        <v>0</v>
      </c>
      <c r="D24192" s="26">
        <v>0.66559999999999997</v>
      </c>
      <c r="E24192" s="26">
        <v>0.89839999999999998</v>
      </c>
      <c r="F24192" s="26">
        <v>0.85399999999999998</v>
      </c>
      <c r="G24192" s="26">
        <v>0.94440000000000002</v>
      </c>
      <c r="H24192" s="26">
        <v>0.86960000000000004</v>
      </c>
      <c r="I24192">
        <v>2813</v>
      </c>
    </row>
    <row r="24193" spans="1:9" x14ac:dyDescent="0.35">
      <c r="A24193" t="s">
        <v>232</v>
      </c>
      <c r="B24193" t="s">
        <v>232</v>
      </c>
      <c r="C24193">
        <v>1</v>
      </c>
      <c r="D24193" s="26">
        <v>2.9700000000000001E-2</v>
      </c>
      <c r="E24193" s="26">
        <v>4.2799999999999998E-2</v>
      </c>
      <c r="F24193" s="26">
        <v>1.67E-2</v>
      </c>
      <c r="G24193" s="26">
        <v>5.1000000000000004E-3</v>
      </c>
      <c r="H24193" s="26">
        <v>1.7999999999999999E-2</v>
      </c>
      <c r="I24193">
        <v>2813</v>
      </c>
    </row>
    <row r="24194" spans="1:9" x14ac:dyDescent="0.35">
      <c r="A24194" t="s">
        <v>232</v>
      </c>
      <c r="B24194" t="s">
        <v>232</v>
      </c>
      <c r="C24194">
        <v>2</v>
      </c>
      <c r="D24194" s="26">
        <v>8.6699999999999999E-2</v>
      </c>
      <c r="E24194" s="26">
        <v>2.4799999999999999E-2</v>
      </c>
      <c r="F24194" s="26">
        <v>3.5400000000000001E-2</v>
      </c>
      <c r="G24194" s="26">
        <v>1.1900000000000001E-2</v>
      </c>
      <c r="H24194" s="26">
        <v>2.6700000000000002E-2</v>
      </c>
      <c r="I24194">
        <v>2813</v>
      </c>
    </row>
    <row r="24195" spans="1:9" x14ac:dyDescent="0.35">
      <c r="A24195" t="s">
        <v>232</v>
      </c>
      <c r="B24195" t="s">
        <v>232</v>
      </c>
      <c r="C24195">
        <v>3</v>
      </c>
      <c r="D24195" s="26">
        <v>5.8700000000000002E-2</v>
      </c>
      <c r="E24195" s="26">
        <v>1.9300000000000001E-2</v>
      </c>
      <c r="F24195" s="26">
        <v>2.5999999999999999E-2</v>
      </c>
      <c r="G24195" s="26">
        <v>1.0200000000000001E-2</v>
      </c>
      <c r="H24195" s="26">
        <v>2.1299999999999999E-2</v>
      </c>
      <c r="I24195">
        <v>2813</v>
      </c>
    </row>
    <row r="24196" spans="1:9" x14ac:dyDescent="0.35">
      <c r="A24196" t="s">
        <v>232</v>
      </c>
      <c r="B24196" t="s">
        <v>232</v>
      </c>
      <c r="C24196">
        <v>4</v>
      </c>
      <c r="D24196" s="26">
        <v>2.4E-2</v>
      </c>
      <c r="E24196" s="26">
        <v>1.6000000000000001E-3</v>
      </c>
      <c r="F24196" s="26">
        <v>1.38E-2</v>
      </c>
      <c r="G24196" s="26">
        <v>1.01E-2</v>
      </c>
      <c r="H24196" s="26">
        <v>1.0200000000000001E-2</v>
      </c>
      <c r="I24196">
        <v>2813</v>
      </c>
    </row>
    <row r="24197" spans="1:9" x14ac:dyDescent="0.35">
      <c r="A24197" t="s">
        <v>232</v>
      </c>
      <c r="B24197" t="s">
        <v>232</v>
      </c>
      <c r="C24197">
        <v>5</v>
      </c>
      <c r="D24197" s="26">
        <v>2.1700000000000001E-2</v>
      </c>
      <c r="E24197" s="26">
        <v>2.8E-3</v>
      </c>
      <c r="F24197" s="26">
        <v>8.8000000000000005E-3</v>
      </c>
      <c r="G24197" s="26">
        <v>8.9999999999999998E-4</v>
      </c>
      <c r="H24197" s="26">
        <v>7.9000000000000008E-3</v>
      </c>
      <c r="I24197">
        <v>2813</v>
      </c>
    </row>
    <row r="24198" spans="1:9" x14ac:dyDescent="0.35">
      <c r="A24198" t="s">
        <v>232</v>
      </c>
      <c r="B24198" t="s">
        <v>232</v>
      </c>
      <c r="C24198">
        <v>7</v>
      </c>
      <c r="D24198" s="26">
        <v>0.1108</v>
      </c>
      <c r="E24198" s="26">
        <v>8.6E-3</v>
      </c>
      <c r="F24198" s="26">
        <v>4.5100000000000001E-2</v>
      </c>
      <c r="G24198" s="26">
        <v>1.4999999999999999E-2</v>
      </c>
      <c r="H24198" s="26">
        <v>4.4600000000000001E-2</v>
      </c>
      <c r="I24198">
        <v>2813</v>
      </c>
    </row>
    <row r="24200" spans="1:9" x14ac:dyDescent="0.35">
      <c r="A24200" s="1" t="s">
        <v>2270</v>
      </c>
    </row>
    <row r="24201" spans="1:9" x14ac:dyDescent="0.35">
      <c r="A24201" t="s">
        <v>219</v>
      </c>
      <c r="B24201" t="s">
        <v>305</v>
      </c>
      <c r="C24201" t="s">
        <v>1270</v>
      </c>
      <c r="D24201" t="s">
        <v>2264</v>
      </c>
      <c r="E24201" t="s">
        <v>2265</v>
      </c>
      <c r="F24201" t="s">
        <v>2266</v>
      </c>
      <c r="G24201" t="s">
        <v>2267</v>
      </c>
      <c r="H24201" t="s">
        <v>2268</v>
      </c>
      <c r="I24201" t="s">
        <v>964</v>
      </c>
    </row>
    <row r="24202" spans="1:9" x14ac:dyDescent="0.35">
      <c r="A24202" t="s">
        <v>227</v>
      </c>
      <c r="B24202" t="s">
        <v>239</v>
      </c>
      <c r="C24202">
        <v>0</v>
      </c>
      <c r="D24202" s="26">
        <v>0.6452</v>
      </c>
      <c r="E24202" s="26">
        <v>0.9355</v>
      </c>
      <c r="F24202" s="26">
        <v>0.871</v>
      </c>
      <c r="G24202" s="26">
        <v>0.9516</v>
      </c>
      <c r="H24202" s="26">
        <v>0.9194</v>
      </c>
      <c r="I24202">
        <v>62</v>
      </c>
    </row>
    <row r="24203" spans="1:9" x14ac:dyDescent="0.35">
      <c r="A24203" t="s">
        <v>227</v>
      </c>
      <c r="B24203" t="s">
        <v>238</v>
      </c>
      <c r="C24203">
        <v>7</v>
      </c>
      <c r="D24203" s="26">
        <v>0.1515</v>
      </c>
      <c r="E24203" s="26">
        <v>1.01E-2</v>
      </c>
      <c r="F24203" s="26">
        <v>6.0600000000000001E-2</v>
      </c>
      <c r="G24203" s="26">
        <v>1.01E-2</v>
      </c>
      <c r="H24203" s="26">
        <v>3.0300000000000001E-2</v>
      </c>
      <c r="I24203">
        <v>99</v>
      </c>
    </row>
    <row r="24204" spans="1:9" x14ac:dyDescent="0.35">
      <c r="A24204" t="s">
        <v>227</v>
      </c>
      <c r="B24204" t="s">
        <v>238</v>
      </c>
      <c r="C24204">
        <v>2</v>
      </c>
      <c r="D24204" s="26">
        <v>5.0500000000000003E-2</v>
      </c>
      <c r="E24204" s="26">
        <v>4.0399999999999998E-2</v>
      </c>
      <c r="F24204" s="26">
        <v>2.0199999999999999E-2</v>
      </c>
      <c r="G24204" s="26">
        <v>1.01E-2</v>
      </c>
      <c r="H24204" s="26">
        <v>1.01E-2</v>
      </c>
      <c r="I24204">
        <v>99</v>
      </c>
    </row>
    <row r="24205" spans="1:9" x14ac:dyDescent="0.35">
      <c r="A24205" t="s">
        <v>227</v>
      </c>
      <c r="B24205" t="s">
        <v>238</v>
      </c>
      <c r="C24205">
        <v>1</v>
      </c>
      <c r="D24205" s="26">
        <v>3.0300000000000001E-2</v>
      </c>
      <c r="E24205" s="26">
        <v>4.0399999999999998E-2</v>
      </c>
      <c r="F24205" s="26">
        <v>2.0199999999999999E-2</v>
      </c>
      <c r="G24205" s="26">
        <v>1.01E-2</v>
      </c>
      <c r="H24205" s="26">
        <v>1.01E-2</v>
      </c>
      <c r="I24205">
        <v>99</v>
      </c>
    </row>
    <row r="24206" spans="1:9" x14ac:dyDescent="0.35">
      <c r="A24206" t="s">
        <v>227</v>
      </c>
      <c r="B24206" t="s">
        <v>238</v>
      </c>
      <c r="C24206">
        <v>0</v>
      </c>
      <c r="D24206" s="26">
        <v>0.71719999999999995</v>
      </c>
      <c r="E24206" s="26">
        <v>0.89900000000000002</v>
      </c>
      <c r="F24206" s="26">
        <v>0.87880000000000003</v>
      </c>
      <c r="G24206" s="26">
        <v>0.95960000000000001</v>
      </c>
      <c r="H24206" s="26">
        <v>0.90910000000000002</v>
      </c>
      <c r="I24206">
        <v>99</v>
      </c>
    </row>
    <row r="24207" spans="1:9" x14ac:dyDescent="0.35">
      <c r="A24207" t="s">
        <v>227</v>
      </c>
      <c r="B24207" t="s">
        <v>238</v>
      </c>
      <c r="C24207">
        <v>3</v>
      </c>
      <c r="D24207" s="26">
        <v>5.0500000000000003E-2</v>
      </c>
      <c r="E24207" s="26">
        <v>1.01E-2</v>
      </c>
      <c r="F24207" s="26">
        <v>1.01E-2</v>
      </c>
      <c r="I24207">
        <v>99</v>
      </c>
    </row>
    <row r="24208" spans="1:9" x14ac:dyDescent="0.35">
      <c r="A24208" t="s">
        <v>227</v>
      </c>
      <c r="B24208" t="s">
        <v>239</v>
      </c>
      <c r="C24208">
        <v>4</v>
      </c>
      <c r="D24208" s="26">
        <v>1.61E-2</v>
      </c>
      <c r="F24208" s="26">
        <v>1.61E-2</v>
      </c>
      <c r="G24208" s="26">
        <v>1.61E-2</v>
      </c>
      <c r="I24208">
        <v>62</v>
      </c>
    </row>
    <row r="24209" spans="1:9" x14ac:dyDescent="0.35">
      <c r="A24209" t="s">
        <v>227</v>
      </c>
      <c r="B24209" t="s">
        <v>239</v>
      </c>
      <c r="C24209">
        <v>3</v>
      </c>
      <c r="D24209" s="26">
        <v>0.129</v>
      </c>
      <c r="F24209" s="26">
        <v>3.2300000000000002E-2</v>
      </c>
      <c r="G24209" s="26">
        <v>1.61E-2</v>
      </c>
      <c r="H24209" s="26">
        <v>1.61E-2</v>
      </c>
      <c r="I24209">
        <v>62</v>
      </c>
    </row>
    <row r="24210" spans="1:9" x14ac:dyDescent="0.35">
      <c r="A24210" t="s">
        <v>227</v>
      </c>
      <c r="B24210" t="s">
        <v>239</v>
      </c>
      <c r="C24210">
        <v>2</v>
      </c>
      <c r="D24210" s="26">
        <v>0.1452</v>
      </c>
      <c r="E24210" s="26">
        <v>3.2300000000000002E-2</v>
      </c>
      <c r="G24210" s="26">
        <v>1.61E-2</v>
      </c>
      <c r="H24210" s="26">
        <v>1.61E-2</v>
      </c>
      <c r="I24210">
        <v>62</v>
      </c>
    </row>
    <row r="24211" spans="1:9" x14ac:dyDescent="0.35">
      <c r="A24211" t="s">
        <v>227</v>
      </c>
      <c r="B24211" t="s">
        <v>239</v>
      </c>
      <c r="C24211">
        <v>1</v>
      </c>
      <c r="D24211" s="26">
        <v>3.2300000000000002E-2</v>
      </c>
      <c r="E24211" s="26">
        <v>3.2300000000000002E-2</v>
      </c>
      <c r="F24211" s="26">
        <v>3.2300000000000002E-2</v>
      </c>
      <c r="I24211">
        <v>62</v>
      </c>
    </row>
    <row r="24212" spans="1:9" x14ac:dyDescent="0.35">
      <c r="A24212" t="s">
        <v>227</v>
      </c>
      <c r="B24212" t="s">
        <v>239</v>
      </c>
      <c r="C24212">
        <v>7</v>
      </c>
      <c r="D24212" s="26">
        <v>3.2300000000000002E-2</v>
      </c>
      <c r="F24212" s="26">
        <v>4.8399999999999999E-2</v>
      </c>
      <c r="H24212" s="26">
        <v>3.2300000000000002E-2</v>
      </c>
      <c r="I24212">
        <v>62</v>
      </c>
    </row>
    <row r="24213" spans="1:9" x14ac:dyDescent="0.35">
      <c r="A24213" t="s">
        <v>228</v>
      </c>
      <c r="B24213" t="s">
        <v>238</v>
      </c>
      <c r="C24213">
        <v>1</v>
      </c>
      <c r="D24213" s="26">
        <v>3.1199999999999999E-2</v>
      </c>
      <c r="E24213" s="26">
        <v>4.2799999999999998E-2</v>
      </c>
      <c r="F24213" s="26">
        <v>1.66E-2</v>
      </c>
      <c r="G24213" s="26">
        <v>8.0999999999999996E-3</v>
      </c>
      <c r="H24213" s="26">
        <v>1.6899999999999998E-2</v>
      </c>
      <c r="I24213">
        <v>703</v>
      </c>
    </row>
    <row r="24214" spans="1:9" x14ac:dyDescent="0.35">
      <c r="A24214" t="s">
        <v>228</v>
      </c>
      <c r="B24214" t="s">
        <v>238</v>
      </c>
      <c r="C24214">
        <v>7</v>
      </c>
      <c r="D24214" s="26">
        <v>0.14000000000000001</v>
      </c>
      <c r="E24214" s="26">
        <v>1.18E-2</v>
      </c>
      <c r="F24214" s="26">
        <v>4.7800000000000002E-2</v>
      </c>
      <c r="G24214" s="26">
        <v>1.26E-2</v>
      </c>
      <c r="H24214" s="26">
        <v>3.9199999999999999E-2</v>
      </c>
      <c r="I24214">
        <v>703</v>
      </c>
    </row>
    <row r="24215" spans="1:9" x14ac:dyDescent="0.35">
      <c r="A24215" t="s">
        <v>228</v>
      </c>
      <c r="B24215" t="s">
        <v>238</v>
      </c>
      <c r="C24215">
        <v>6</v>
      </c>
      <c r="D24215" s="26">
        <v>2.2000000000000001E-3</v>
      </c>
      <c r="F24215" s="26">
        <v>1.5E-3</v>
      </c>
      <c r="I24215">
        <v>703</v>
      </c>
    </row>
    <row r="24216" spans="1:9" x14ac:dyDescent="0.35">
      <c r="A24216" t="s">
        <v>228</v>
      </c>
      <c r="B24216" t="s">
        <v>238</v>
      </c>
      <c r="C24216">
        <v>5</v>
      </c>
      <c r="D24216" s="26">
        <v>1.72E-2</v>
      </c>
      <c r="E24216" s="26">
        <v>1.9E-3</v>
      </c>
      <c r="F24216" s="26">
        <v>1.8E-3</v>
      </c>
      <c r="G24216" s="26">
        <v>3.8E-3</v>
      </c>
      <c r="H24216" s="26">
        <v>4.4000000000000003E-3</v>
      </c>
      <c r="I24216">
        <v>703</v>
      </c>
    </row>
    <row r="24217" spans="1:9" x14ac:dyDescent="0.35">
      <c r="A24217" t="s">
        <v>228</v>
      </c>
      <c r="B24217" t="s">
        <v>238</v>
      </c>
      <c r="C24217">
        <v>4</v>
      </c>
      <c r="D24217" s="26">
        <v>2.2200000000000001E-2</v>
      </c>
      <c r="E24217" s="26">
        <v>6.7000000000000002E-3</v>
      </c>
      <c r="F24217" s="26">
        <v>7.4999999999999997E-3</v>
      </c>
      <c r="G24217" s="26">
        <v>8.0000000000000004E-4</v>
      </c>
      <c r="H24217" s="26">
        <v>8.8999999999999999E-3</v>
      </c>
      <c r="I24217">
        <v>703</v>
      </c>
    </row>
    <row r="24218" spans="1:9" x14ac:dyDescent="0.35">
      <c r="A24218" t="s">
        <v>228</v>
      </c>
      <c r="B24218" t="s">
        <v>238</v>
      </c>
      <c r="C24218">
        <v>3</v>
      </c>
      <c r="D24218" s="26">
        <v>5.67E-2</v>
      </c>
      <c r="E24218" s="26">
        <v>1.15E-2</v>
      </c>
      <c r="F24218" s="26">
        <v>3.1199999999999999E-2</v>
      </c>
      <c r="G24218" s="26">
        <v>1.43E-2</v>
      </c>
      <c r="H24218" s="26">
        <v>1.6299999999999999E-2</v>
      </c>
      <c r="I24218">
        <v>703</v>
      </c>
    </row>
    <row r="24219" spans="1:9" x14ac:dyDescent="0.35">
      <c r="A24219" t="s">
        <v>228</v>
      </c>
      <c r="B24219" t="s">
        <v>238</v>
      </c>
      <c r="C24219">
        <v>2</v>
      </c>
      <c r="D24219" s="26">
        <v>7.9000000000000001E-2</v>
      </c>
      <c r="E24219" s="26">
        <v>1.9400000000000001E-2</v>
      </c>
      <c r="F24219" s="26">
        <v>2.5000000000000001E-2</v>
      </c>
      <c r="G24219" s="26">
        <v>1.8700000000000001E-2</v>
      </c>
      <c r="H24219" s="26">
        <v>2.64E-2</v>
      </c>
      <c r="I24219">
        <v>703</v>
      </c>
    </row>
    <row r="24220" spans="1:9" x14ac:dyDescent="0.35">
      <c r="A24220" t="s">
        <v>228</v>
      </c>
      <c r="B24220" t="s">
        <v>238</v>
      </c>
      <c r="C24220">
        <v>0</v>
      </c>
      <c r="D24220" s="26">
        <v>0.65149999999999997</v>
      </c>
      <c r="E24220" s="26">
        <v>0.90590000000000004</v>
      </c>
      <c r="F24220" s="26">
        <v>0.86880000000000002</v>
      </c>
      <c r="G24220" s="26">
        <v>0.94169999999999998</v>
      </c>
      <c r="H24220" s="26">
        <v>0.88790000000000002</v>
      </c>
      <c r="I24220">
        <v>703</v>
      </c>
    </row>
    <row r="24221" spans="1:9" x14ac:dyDescent="0.35">
      <c r="A24221" t="s">
        <v>228</v>
      </c>
      <c r="B24221" t="s">
        <v>239</v>
      </c>
      <c r="C24221">
        <v>5</v>
      </c>
      <c r="D24221" s="26">
        <v>2.24E-2</v>
      </c>
      <c r="F24221" s="26">
        <v>3.2000000000000002E-3</v>
      </c>
      <c r="G24221" s="26">
        <v>4.0000000000000001E-3</v>
      </c>
      <c r="H24221" s="26">
        <v>2.7000000000000001E-3</v>
      </c>
      <c r="I24221">
        <v>330</v>
      </c>
    </row>
    <row r="24222" spans="1:9" x14ac:dyDescent="0.35">
      <c r="A24222" t="s">
        <v>228</v>
      </c>
      <c r="B24222" t="s">
        <v>239</v>
      </c>
      <c r="C24222">
        <v>6</v>
      </c>
      <c r="D24222" s="26">
        <v>2E-3</v>
      </c>
      <c r="I24222">
        <v>330</v>
      </c>
    </row>
    <row r="24223" spans="1:9" x14ac:dyDescent="0.35">
      <c r="A24223" t="s">
        <v>228</v>
      </c>
      <c r="B24223" t="s">
        <v>239</v>
      </c>
      <c r="C24223">
        <v>4</v>
      </c>
      <c r="D24223" s="26">
        <v>1.7999999999999999E-2</v>
      </c>
      <c r="E24223" s="26">
        <v>4.7000000000000002E-3</v>
      </c>
      <c r="F24223" s="26">
        <v>4.4000000000000003E-3</v>
      </c>
      <c r="G24223" s="26">
        <v>2.7000000000000001E-3</v>
      </c>
      <c r="H24223" s="26">
        <v>6.1000000000000004E-3</v>
      </c>
      <c r="I24223">
        <v>330</v>
      </c>
    </row>
    <row r="24224" spans="1:9" x14ac:dyDescent="0.35">
      <c r="A24224" t="s">
        <v>228</v>
      </c>
      <c r="B24224" t="s">
        <v>239</v>
      </c>
      <c r="C24224">
        <v>3</v>
      </c>
      <c r="D24224" s="26">
        <v>5.3600000000000002E-2</v>
      </c>
      <c r="E24224" s="26">
        <v>1.37E-2</v>
      </c>
      <c r="F24224" s="26">
        <v>3.5999999999999997E-2</v>
      </c>
      <c r="G24224" s="26">
        <v>8.3999999999999995E-3</v>
      </c>
      <c r="H24224" s="26">
        <v>4.9200000000000001E-2</v>
      </c>
      <c r="I24224">
        <v>330</v>
      </c>
    </row>
    <row r="24225" spans="1:9" x14ac:dyDescent="0.35">
      <c r="A24225" t="s">
        <v>228</v>
      </c>
      <c r="B24225" t="s">
        <v>239</v>
      </c>
      <c r="C24225">
        <v>2</v>
      </c>
      <c r="D24225" s="26">
        <v>4.6600000000000003E-2</v>
      </c>
      <c r="E24225" s="26">
        <v>2.7799999999999998E-2</v>
      </c>
      <c r="F24225" s="26">
        <v>3.27E-2</v>
      </c>
      <c r="G24225" s="26">
        <v>4.8999999999999998E-3</v>
      </c>
      <c r="H24225" s="26">
        <v>1.8599999999999998E-2</v>
      </c>
      <c r="I24225">
        <v>330</v>
      </c>
    </row>
    <row r="24226" spans="1:9" x14ac:dyDescent="0.35">
      <c r="A24226" t="s">
        <v>228</v>
      </c>
      <c r="B24226" t="s">
        <v>239</v>
      </c>
      <c r="C24226">
        <v>1</v>
      </c>
      <c r="D24226" s="26">
        <v>4.7E-2</v>
      </c>
      <c r="E24226" s="26">
        <v>3.15E-2</v>
      </c>
      <c r="F24226" s="26">
        <v>1.2500000000000001E-2</v>
      </c>
      <c r="G24226" s="26">
        <v>5.1999999999999998E-3</v>
      </c>
      <c r="H24226" s="26">
        <v>8.0999999999999996E-3</v>
      </c>
      <c r="I24226">
        <v>330</v>
      </c>
    </row>
    <row r="24227" spans="1:9" x14ac:dyDescent="0.35">
      <c r="A24227" t="s">
        <v>228</v>
      </c>
      <c r="B24227" t="s">
        <v>239</v>
      </c>
      <c r="C24227">
        <v>0</v>
      </c>
      <c r="D24227" s="26">
        <v>0.66610000000000003</v>
      </c>
      <c r="E24227" s="26">
        <v>0.90869999999999995</v>
      </c>
      <c r="F24227" s="26">
        <v>0.85770000000000002</v>
      </c>
      <c r="G24227" s="26">
        <v>0.9264</v>
      </c>
      <c r="H24227" s="26">
        <v>0.86639999999999995</v>
      </c>
      <c r="I24227">
        <v>330</v>
      </c>
    </row>
    <row r="24228" spans="1:9" x14ac:dyDescent="0.35">
      <c r="A24228" t="s">
        <v>228</v>
      </c>
      <c r="B24228" t="s">
        <v>239</v>
      </c>
      <c r="C24228">
        <v>7</v>
      </c>
      <c r="D24228" s="26">
        <v>0.14430000000000001</v>
      </c>
      <c r="E24228" s="26">
        <v>1.37E-2</v>
      </c>
      <c r="F24228" s="26">
        <v>5.3499999999999999E-2</v>
      </c>
      <c r="G24228" s="26">
        <v>4.8399999999999999E-2</v>
      </c>
      <c r="H24228" s="26">
        <v>4.9099999999999998E-2</v>
      </c>
      <c r="I24228">
        <v>330</v>
      </c>
    </row>
    <row r="24229" spans="1:9" x14ac:dyDescent="0.35">
      <c r="A24229" t="s">
        <v>229</v>
      </c>
      <c r="B24229" t="s">
        <v>238</v>
      </c>
      <c r="C24229">
        <v>1</v>
      </c>
      <c r="D24229" s="26">
        <v>1.3899999999999999E-2</v>
      </c>
      <c r="E24229" s="26">
        <v>5.62E-2</v>
      </c>
      <c r="F24229" s="26">
        <v>1.23E-2</v>
      </c>
      <c r="G24229" s="26">
        <v>2.5000000000000001E-3</v>
      </c>
      <c r="H24229" s="26">
        <v>1.3599999999999999E-2</v>
      </c>
      <c r="I24229">
        <v>563</v>
      </c>
    </row>
    <row r="24230" spans="1:9" x14ac:dyDescent="0.35">
      <c r="A24230" t="s">
        <v>229</v>
      </c>
      <c r="B24230" t="s">
        <v>238</v>
      </c>
      <c r="C24230">
        <v>7</v>
      </c>
      <c r="D24230" s="26">
        <v>0.10100000000000001</v>
      </c>
      <c r="E24230" s="26">
        <v>1.2999999999999999E-2</v>
      </c>
      <c r="F24230" s="26">
        <v>5.3699999999999998E-2</v>
      </c>
      <c r="G24230" s="26">
        <v>1.2999999999999999E-2</v>
      </c>
      <c r="H24230" s="26">
        <v>4.19E-2</v>
      </c>
      <c r="I24230">
        <v>563</v>
      </c>
    </row>
    <row r="24231" spans="1:9" x14ac:dyDescent="0.35">
      <c r="A24231" t="s">
        <v>229</v>
      </c>
      <c r="B24231" t="s">
        <v>238</v>
      </c>
      <c r="C24231">
        <v>6</v>
      </c>
      <c r="D24231" s="26">
        <v>3.3999999999999998E-3</v>
      </c>
      <c r="I24231">
        <v>563</v>
      </c>
    </row>
    <row r="24232" spans="1:9" x14ac:dyDescent="0.35">
      <c r="A24232" t="s">
        <v>229</v>
      </c>
      <c r="B24232" t="s">
        <v>238</v>
      </c>
      <c r="C24232">
        <v>4</v>
      </c>
      <c r="D24232" s="26">
        <v>3.0800000000000001E-2</v>
      </c>
      <c r="E24232" s="26">
        <v>4.0000000000000002E-4</v>
      </c>
      <c r="F24232" s="26">
        <v>9.7999999999999997E-3</v>
      </c>
      <c r="H24232" s="26">
        <v>7.6E-3</v>
      </c>
      <c r="I24232">
        <v>563</v>
      </c>
    </row>
    <row r="24233" spans="1:9" x14ac:dyDescent="0.35">
      <c r="A24233" t="s">
        <v>229</v>
      </c>
      <c r="B24233" t="s">
        <v>238</v>
      </c>
      <c r="C24233">
        <v>3</v>
      </c>
      <c r="D24233" s="26">
        <v>4.0099999999999997E-2</v>
      </c>
      <c r="E24233" s="26">
        <v>1.54E-2</v>
      </c>
      <c r="F24233" s="26">
        <v>2.5499999999999998E-2</v>
      </c>
      <c r="G24233" s="26">
        <v>8.3000000000000001E-3</v>
      </c>
      <c r="H24233" s="26">
        <v>2.87E-2</v>
      </c>
      <c r="I24233">
        <v>563</v>
      </c>
    </row>
    <row r="24234" spans="1:9" x14ac:dyDescent="0.35">
      <c r="A24234" t="s">
        <v>229</v>
      </c>
      <c r="B24234" t="s">
        <v>238</v>
      </c>
      <c r="C24234">
        <v>2</v>
      </c>
      <c r="D24234" s="26">
        <v>9.8299999999999998E-2</v>
      </c>
      <c r="E24234" s="26">
        <v>2.1499999999999998E-2</v>
      </c>
      <c r="F24234" s="26">
        <v>4.4200000000000003E-2</v>
      </c>
      <c r="G24234" s="26">
        <v>1.0999999999999999E-2</v>
      </c>
      <c r="H24234" s="26">
        <v>1.7399999999999999E-2</v>
      </c>
      <c r="I24234">
        <v>563</v>
      </c>
    </row>
    <row r="24235" spans="1:9" x14ac:dyDescent="0.35">
      <c r="A24235" t="s">
        <v>229</v>
      </c>
      <c r="B24235" t="s">
        <v>238</v>
      </c>
      <c r="C24235">
        <v>0</v>
      </c>
      <c r="D24235" s="26">
        <v>0.69010000000000005</v>
      </c>
      <c r="E24235" s="26">
        <v>0.8921</v>
      </c>
      <c r="F24235" s="26">
        <v>0.85070000000000001</v>
      </c>
      <c r="G24235" s="26">
        <v>0.96489999999999998</v>
      </c>
      <c r="H24235" s="26">
        <v>0.88600000000000001</v>
      </c>
      <c r="I24235">
        <v>563</v>
      </c>
    </row>
    <row r="24236" spans="1:9" x14ac:dyDescent="0.35">
      <c r="A24236" t="s">
        <v>229</v>
      </c>
      <c r="B24236" t="s">
        <v>238</v>
      </c>
      <c r="C24236">
        <v>5</v>
      </c>
      <c r="D24236" s="26">
        <v>2.2499999999999999E-2</v>
      </c>
      <c r="E24236" s="26">
        <v>1.2999999999999999E-3</v>
      </c>
      <c r="F24236" s="26">
        <v>3.8E-3</v>
      </c>
      <c r="G24236" s="26">
        <v>4.0000000000000002E-4</v>
      </c>
      <c r="H24236" s="26">
        <v>4.7000000000000002E-3</v>
      </c>
      <c r="I24236">
        <v>563</v>
      </c>
    </row>
    <row r="24237" spans="1:9" x14ac:dyDescent="0.35">
      <c r="A24237" t="s">
        <v>229</v>
      </c>
      <c r="B24237" t="s">
        <v>239</v>
      </c>
      <c r="C24237">
        <v>5</v>
      </c>
      <c r="D24237" s="26">
        <v>1.1599999999999999E-2</v>
      </c>
      <c r="F24237" s="26">
        <v>9.7999999999999997E-3</v>
      </c>
      <c r="G24237" s="26">
        <v>1E-3</v>
      </c>
      <c r="H24237" s="26">
        <v>6.9999999999999999E-4</v>
      </c>
      <c r="I24237">
        <v>332</v>
      </c>
    </row>
    <row r="24238" spans="1:9" x14ac:dyDescent="0.35">
      <c r="A24238" t="s">
        <v>229</v>
      </c>
      <c r="B24238" t="s">
        <v>239</v>
      </c>
      <c r="C24238">
        <v>4</v>
      </c>
      <c r="D24238" s="26">
        <v>5.5500000000000001E-2</v>
      </c>
      <c r="F24238" s="26">
        <v>3.3E-3</v>
      </c>
      <c r="G24238" s="26">
        <v>4.0000000000000002E-4</v>
      </c>
      <c r="H24238" s="26">
        <v>1.2999999999999999E-3</v>
      </c>
      <c r="I24238">
        <v>332</v>
      </c>
    </row>
    <row r="24239" spans="1:9" x14ac:dyDescent="0.35">
      <c r="A24239" t="s">
        <v>229</v>
      </c>
      <c r="B24239" t="s">
        <v>239</v>
      </c>
      <c r="C24239">
        <v>3</v>
      </c>
      <c r="D24239" s="26">
        <v>2.53E-2</v>
      </c>
      <c r="E24239" s="26">
        <v>2.5999999999999999E-3</v>
      </c>
      <c r="F24239" s="26">
        <v>3.3599999999999998E-2</v>
      </c>
      <c r="G24239" s="26">
        <v>3.2800000000000003E-2</v>
      </c>
      <c r="H24239" s="26">
        <v>1.4800000000000001E-2</v>
      </c>
      <c r="I24239">
        <v>332</v>
      </c>
    </row>
    <row r="24240" spans="1:9" x14ac:dyDescent="0.35">
      <c r="A24240" t="s">
        <v>229</v>
      </c>
      <c r="B24240" t="s">
        <v>239</v>
      </c>
      <c r="C24240">
        <v>2</v>
      </c>
      <c r="D24240" s="26">
        <v>0.1169</v>
      </c>
      <c r="E24240" s="26">
        <v>9.9000000000000008E-3</v>
      </c>
      <c r="F24240" s="26">
        <v>4.3799999999999999E-2</v>
      </c>
      <c r="G24240" s="26">
        <v>1.3100000000000001E-2</v>
      </c>
      <c r="H24240" s="26">
        <v>4.53E-2</v>
      </c>
      <c r="I24240">
        <v>332</v>
      </c>
    </row>
    <row r="24241" spans="1:9" x14ac:dyDescent="0.35">
      <c r="A24241" t="s">
        <v>229</v>
      </c>
      <c r="B24241" t="s">
        <v>239</v>
      </c>
      <c r="C24241">
        <v>7</v>
      </c>
      <c r="D24241" s="26">
        <v>5.1999999999999998E-2</v>
      </c>
      <c r="E24241" s="26">
        <v>1.2999999999999999E-3</v>
      </c>
      <c r="F24241" s="26">
        <v>1.3100000000000001E-2</v>
      </c>
      <c r="G24241" s="26">
        <v>4.5999999999999999E-3</v>
      </c>
      <c r="H24241" s="26">
        <v>1.18E-2</v>
      </c>
      <c r="I24241">
        <v>332</v>
      </c>
    </row>
    <row r="24242" spans="1:9" x14ac:dyDescent="0.35">
      <c r="A24242" t="s">
        <v>229</v>
      </c>
      <c r="B24242" t="s">
        <v>239</v>
      </c>
      <c r="C24242">
        <v>1</v>
      </c>
      <c r="D24242" s="26">
        <v>1.32E-2</v>
      </c>
      <c r="E24242" s="26">
        <v>2.46E-2</v>
      </c>
      <c r="F24242" s="26">
        <v>2.01E-2</v>
      </c>
      <c r="H24242" s="26">
        <v>1.0200000000000001E-2</v>
      </c>
      <c r="I24242">
        <v>332</v>
      </c>
    </row>
    <row r="24243" spans="1:9" x14ac:dyDescent="0.35">
      <c r="A24243" t="s">
        <v>229</v>
      </c>
      <c r="B24243" t="s">
        <v>239</v>
      </c>
      <c r="C24243">
        <v>0</v>
      </c>
      <c r="D24243" s="26">
        <v>0.72550000000000003</v>
      </c>
      <c r="E24243" s="26">
        <v>0.96150000000000002</v>
      </c>
      <c r="F24243" s="26">
        <v>0.87629999999999997</v>
      </c>
      <c r="G24243" s="26">
        <v>0.93830000000000002</v>
      </c>
      <c r="H24243" s="26">
        <v>0.91600000000000004</v>
      </c>
      <c r="I24243">
        <v>332</v>
      </c>
    </row>
    <row r="24244" spans="1:9" x14ac:dyDescent="0.35">
      <c r="A24244" t="s">
        <v>230</v>
      </c>
      <c r="B24244" t="s">
        <v>238</v>
      </c>
      <c r="C24244">
        <v>6</v>
      </c>
      <c r="D24244" s="26">
        <v>8.9999999999999993E-3</v>
      </c>
      <c r="F24244" s="26">
        <v>2.5999999999999999E-3</v>
      </c>
      <c r="H24244" s="26">
        <v>1.2999999999999999E-3</v>
      </c>
      <c r="I24244">
        <v>349</v>
      </c>
    </row>
    <row r="24245" spans="1:9" x14ac:dyDescent="0.35">
      <c r="A24245" t="s">
        <v>230</v>
      </c>
      <c r="B24245" t="s">
        <v>238</v>
      </c>
      <c r="C24245">
        <v>5</v>
      </c>
      <c r="D24245" s="26">
        <v>8.0000000000000004E-4</v>
      </c>
      <c r="E24245" s="26">
        <v>1.2999999999999999E-3</v>
      </c>
      <c r="F24245" s="26">
        <v>1.2999999999999999E-3</v>
      </c>
      <c r="H24245" s="26">
        <v>1.2999999999999999E-3</v>
      </c>
      <c r="I24245">
        <v>349</v>
      </c>
    </row>
    <row r="24246" spans="1:9" x14ac:dyDescent="0.35">
      <c r="A24246" t="s">
        <v>230</v>
      </c>
      <c r="B24246" t="s">
        <v>238</v>
      </c>
      <c r="C24246">
        <v>4</v>
      </c>
      <c r="D24246" s="26">
        <v>1.35E-2</v>
      </c>
      <c r="F24246" s="26">
        <v>1.23E-2</v>
      </c>
      <c r="G24246" s="26">
        <v>1.6199999999999999E-2</v>
      </c>
      <c r="H24246" s="26">
        <v>1.06E-2</v>
      </c>
      <c r="I24246">
        <v>349</v>
      </c>
    </row>
    <row r="24247" spans="1:9" x14ac:dyDescent="0.35">
      <c r="A24247" t="s">
        <v>230</v>
      </c>
      <c r="B24247" t="s">
        <v>238</v>
      </c>
      <c r="C24247">
        <v>3</v>
      </c>
      <c r="D24247" s="26">
        <v>9.3899999999999997E-2</v>
      </c>
      <c r="E24247" s="26">
        <v>8.9999999999999993E-3</v>
      </c>
      <c r="F24247" s="26">
        <v>5.8999999999999999E-3</v>
      </c>
      <c r="G24247" s="26">
        <v>3.0000000000000001E-3</v>
      </c>
      <c r="H24247" s="26">
        <v>1.9099999999999999E-2</v>
      </c>
      <c r="I24247">
        <v>349</v>
      </c>
    </row>
    <row r="24248" spans="1:9" x14ac:dyDescent="0.35">
      <c r="A24248" t="s">
        <v>230</v>
      </c>
      <c r="B24248" t="s">
        <v>238</v>
      </c>
      <c r="C24248">
        <v>2</v>
      </c>
      <c r="D24248" s="26">
        <v>5.3600000000000002E-2</v>
      </c>
      <c r="E24248" s="26">
        <v>1.4800000000000001E-2</v>
      </c>
      <c r="F24248" s="26">
        <v>6.3399999999999998E-2</v>
      </c>
      <c r="G24248" s="26">
        <v>0.02</v>
      </c>
      <c r="H24248" s="26">
        <v>6.6699999999999995E-2</v>
      </c>
      <c r="I24248">
        <v>349</v>
      </c>
    </row>
    <row r="24249" spans="1:9" x14ac:dyDescent="0.35">
      <c r="A24249" t="s">
        <v>230</v>
      </c>
      <c r="B24249" t="s">
        <v>238</v>
      </c>
      <c r="C24249">
        <v>1</v>
      </c>
      <c r="D24249" s="26">
        <v>3.5799999999999998E-2</v>
      </c>
      <c r="E24249" s="26">
        <v>7.0099999999999996E-2</v>
      </c>
      <c r="F24249" s="26">
        <v>8.9999999999999993E-3</v>
      </c>
      <c r="G24249" s="26">
        <v>7.7000000000000002E-3</v>
      </c>
      <c r="H24249" s="26">
        <v>3.0000000000000001E-3</v>
      </c>
      <c r="I24249">
        <v>349</v>
      </c>
    </row>
    <row r="24250" spans="1:9" x14ac:dyDescent="0.35">
      <c r="A24250" t="s">
        <v>230</v>
      </c>
      <c r="B24250" t="s">
        <v>238</v>
      </c>
      <c r="C24250">
        <v>0</v>
      </c>
      <c r="D24250" s="26">
        <v>0.67620000000000002</v>
      </c>
      <c r="E24250" s="26">
        <v>0.89419999999999999</v>
      </c>
      <c r="F24250" s="26">
        <v>0.87660000000000005</v>
      </c>
      <c r="G24250" s="26">
        <v>0.93569999999999998</v>
      </c>
      <c r="H24250" s="26">
        <v>0.8609</v>
      </c>
      <c r="I24250">
        <v>349</v>
      </c>
    </row>
    <row r="24251" spans="1:9" x14ac:dyDescent="0.35">
      <c r="A24251" t="s">
        <v>230</v>
      </c>
      <c r="B24251" t="s">
        <v>238</v>
      </c>
      <c r="C24251">
        <v>7</v>
      </c>
      <c r="D24251" s="26">
        <v>0.1173</v>
      </c>
      <c r="E24251" s="26">
        <v>1.06E-2</v>
      </c>
      <c r="F24251" s="26">
        <v>2.8899999999999999E-2</v>
      </c>
      <c r="G24251" s="26">
        <v>1.7500000000000002E-2</v>
      </c>
      <c r="H24251" s="26">
        <v>3.7100000000000001E-2</v>
      </c>
      <c r="I24251">
        <v>349</v>
      </c>
    </row>
    <row r="24252" spans="1:9" x14ac:dyDescent="0.35">
      <c r="A24252" t="s">
        <v>230</v>
      </c>
      <c r="B24252" t="s">
        <v>239</v>
      </c>
      <c r="C24252">
        <v>6</v>
      </c>
      <c r="D24252" s="26">
        <v>3.5700000000000003E-2</v>
      </c>
      <c r="I24252">
        <v>211</v>
      </c>
    </row>
    <row r="24253" spans="1:9" x14ac:dyDescent="0.35">
      <c r="A24253" t="s">
        <v>230</v>
      </c>
      <c r="B24253" t="s">
        <v>239</v>
      </c>
      <c r="C24253">
        <v>5</v>
      </c>
      <c r="D24253" s="26">
        <v>2.7799999999999998E-2</v>
      </c>
      <c r="E24253" s="26">
        <v>1.7899999999999999E-2</v>
      </c>
      <c r="F24253" s="26">
        <v>3.0000000000000001E-3</v>
      </c>
      <c r="I24253">
        <v>211</v>
      </c>
    </row>
    <row r="24254" spans="1:9" x14ac:dyDescent="0.35">
      <c r="A24254" t="s">
        <v>230</v>
      </c>
      <c r="B24254" t="s">
        <v>239</v>
      </c>
      <c r="C24254">
        <v>4</v>
      </c>
      <c r="D24254" s="26">
        <v>2.7799999999999998E-2</v>
      </c>
      <c r="E24254" s="26">
        <v>8.9999999999999993E-3</v>
      </c>
      <c r="F24254" s="26">
        <v>2.4799999999999999E-2</v>
      </c>
      <c r="G24254" s="26">
        <v>6.0000000000000001E-3</v>
      </c>
      <c r="H24254" s="26">
        <v>2.47E-2</v>
      </c>
      <c r="I24254">
        <v>211</v>
      </c>
    </row>
    <row r="24255" spans="1:9" x14ac:dyDescent="0.35">
      <c r="A24255" t="s">
        <v>230</v>
      </c>
      <c r="B24255" t="s">
        <v>239</v>
      </c>
      <c r="C24255">
        <v>3</v>
      </c>
      <c r="D24255" s="26">
        <v>2.0400000000000001E-2</v>
      </c>
      <c r="E24255" s="26">
        <v>8.6999999999999994E-3</v>
      </c>
      <c r="F24255" s="26">
        <v>1.0800000000000001E-2</v>
      </c>
      <c r="G24255" s="26">
        <v>2.4799999999999999E-2</v>
      </c>
      <c r="H24255" s="26">
        <v>2.4899999999999999E-2</v>
      </c>
      <c r="I24255">
        <v>211</v>
      </c>
    </row>
    <row r="24256" spans="1:9" x14ac:dyDescent="0.35">
      <c r="A24256" t="s">
        <v>230</v>
      </c>
      <c r="B24256" t="s">
        <v>239</v>
      </c>
      <c r="C24256">
        <v>2</v>
      </c>
      <c r="D24256" s="26">
        <v>5.2400000000000002E-2</v>
      </c>
      <c r="E24256" s="26">
        <v>7.3499999999999996E-2</v>
      </c>
      <c r="F24256" s="26">
        <v>5.2499999999999998E-2</v>
      </c>
      <c r="G24256" s="26">
        <v>2.3800000000000002E-2</v>
      </c>
      <c r="H24256" s="26">
        <v>6.7999999999999996E-3</v>
      </c>
      <c r="I24256">
        <v>211</v>
      </c>
    </row>
    <row r="24257" spans="1:9" x14ac:dyDescent="0.35">
      <c r="A24257" t="s">
        <v>230</v>
      </c>
      <c r="B24257" t="s">
        <v>239</v>
      </c>
      <c r="C24257">
        <v>1</v>
      </c>
      <c r="D24257" s="26">
        <v>1.1900000000000001E-2</v>
      </c>
      <c r="E24257" s="26">
        <v>2.87E-2</v>
      </c>
      <c r="F24257" s="26">
        <v>6.0000000000000001E-3</v>
      </c>
      <c r="H24257" s="26">
        <v>9.9000000000000008E-3</v>
      </c>
      <c r="I24257">
        <v>211</v>
      </c>
    </row>
    <row r="24258" spans="1:9" x14ac:dyDescent="0.35">
      <c r="A24258" t="s">
        <v>230</v>
      </c>
      <c r="B24258" t="s">
        <v>239</v>
      </c>
      <c r="C24258">
        <v>0</v>
      </c>
      <c r="D24258" s="26">
        <v>0.67430000000000001</v>
      </c>
      <c r="E24258" s="26">
        <v>0.85929999999999995</v>
      </c>
      <c r="F24258" s="26">
        <v>0.86309999999999998</v>
      </c>
      <c r="G24258" s="26">
        <v>0.91469999999999996</v>
      </c>
      <c r="H24258" s="26">
        <v>0.88890000000000002</v>
      </c>
      <c r="I24258">
        <v>211</v>
      </c>
    </row>
    <row r="24259" spans="1:9" x14ac:dyDescent="0.35">
      <c r="A24259" t="s">
        <v>230</v>
      </c>
      <c r="B24259" t="s">
        <v>239</v>
      </c>
      <c r="C24259">
        <v>7</v>
      </c>
      <c r="D24259" s="26">
        <v>0.14960000000000001</v>
      </c>
      <c r="E24259" s="26">
        <v>3.0000000000000001E-3</v>
      </c>
      <c r="F24259" s="26">
        <v>3.9699999999999999E-2</v>
      </c>
      <c r="G24259" s="26">
        <v>3.0800000000000001E-2</v>
      </c>
      <c r="H24259" s="26">
        <v>4.48E-2</v>
      </c>
      <c r="I24259">
        <v>211</v>
      </c>
    </row>
    <row r="24260" spans="1:9" x14ac:dyDescent="0.35">
      <c r="A24260" t="s">
        <v>231</v>
      </c>
      <c r="B24260" t="s">
        <v>238</v>
      </c>
      <c r="C24260">
        <v>7</v>
      </c>
      <c r="D24260" s="26">
        <v>0.11210000000000001</v>
      </c>
      <c r="F24260" s="26">
        <v>3.7400000000000003E-2</v>
      </c>
      <c r="G24260" s="26">
        <v>1.8700000000000001E-2</v>
      </c>
      <c r="H24260" s="26">
        <v>4.6699999999999998E-2</v>
      </c>
      <c r="I24260">
        <v>107</v>
      </c>
    </row>
    <row r="24261" spans="1:9" x14ac:dyDescent="0.35">
      <c r="A24261" t="s">
        <v>231</v>
      </c>
      <c r="B24261" t="s">
        <v>238</v>
      </c>
      <c r="C24261">
        <v>5</v>
      </c>
      <c r="D24261" s="26">
        <v>4.6699999999999998E-2</v>
      </c>
      <c r="E24261" s="26">
        <v>9.2999999999999992E-3</v>
      </c>
      <c r="F24261" s="26">
        <v>3.7400000000000003E-2</v>
      </c>
      <c r="H24261" s="26">
        <v>1.8700000000000001E-2</v>
      </c>
      <c r="I24261">
        <v>107</v>
      </c>
    </row>
    <row r="24262" spans="1:9" x14ac:dyDescent="0.35">
      <c r="A24262" t="s">
        <v>231</v>
      </c>
      <c r="B24262" t="s">
        <v>238</v>
      </c>
      <c r="C24262">
        <v>4</v>
      </c>
      <c r="D24262" s="26">
        <v>2.8000000000000001E-2</v>
      </c>
      <c r="F24262" s="26">
        <v>9.2999999999999992E-3</v>
      </c>
      <c r="H24262" s="26">
        <v>9.2999999999999992E-3</v>
      </c>
      <c r="I24262">
        <v>107</v>
      </c>
    </row>
    <row r="24263" spans="1:9" x14ac:dyDescent="0.35">
      <c r="A24263" t="s">
        <v>231</v>
      </c>
      <c r="B24263" t="s">
        <v>238</v>
      </c>
      <c r="C24263">
        <v>3</v>
      </c>
      <c r="D24263" s="26">
        <v>5.6099999999999997E-2</v>
      </c>
      <c r="E24263" s="26">
        <v>3.7400000000000003E-2</v>
      </c>
      <c r="F24263" s="26">
        <v>2.8000000000000001E-2</v>
      </c>
      <c r="H24263" s="26">
        <v>2.8000000000000001E-2</v>
      </c>
      <c r="I24263">
        <v>107</v>
      </c>
    </row>
    <row r="24264" spans="1:9" x14ac:dyDescent="0.35">
      <c r="A24264" t="s">
        <v>231</v>
      </c>
      <c r="B24264" t="s">
        <v>238</v>
      </c>
      <c r="C24264">
        <v>2</v>
      </c>
      <c r="D24264" s="26">
        <v>8.4099999999999994E-2</v>
      </c>
      <c r="E24264" s="26">
        <v>1.8700000000000001E-2</v>
      </c>
      <c r="F24264" s="26">
        <v>4.6699999999999998E-2</v>
      </c>
      <c r="G24264" s="26">
        <v>9.2999999999999992E-3</v>
      </c>
      <c r="H24264" s="26">
        <v>2.8000000000000001E-2</v>
      </c>
      <c r="I24264">
        <v>107</v>
      </c>
    </row>
    <row r="24265" spans="1:9" x14ac:dyDescent="0.35">
      <c r="A24265" t="s">
        <v>231</v>
      </c>
      <c r="B24265" t="s">
        <v>238</v>
      </c>
      <c r="C24265">
        <v>1</v>
      </c>
      <c r="D24265" s="26">
        <v>2.8000000000000001E-2</v>
      </c>
      <c r="E24265" s="26">
        <v>5.6099999999999997E-2</v>
      </c>
      <c r="F24265" s="26">
        <v>9.2999999999999992E-3</v>
      </c>
      <c r="G24265" s="26">
        <v>9.2999999999999992E-3</v>
      </c>
      <c r="H24265" s="26">
        <v>3.7400000000000003E-2</v>
      </c>
      <c r="I24265">
        <v>107</v>
      </c>
    </row>
    <row r="24266" spans="1:9" x14ac:dyDescent="0.35">
      <c r="A24266" t="s">
        <v>231</v>
      </c>
      <c r="B24266" t="s">
        <v>238</v>
      </c>
      <c r="C24266">
        <v>0</v>
      </c>
      <c r="D24266" s="26">
        <v>0.64490000000000003</v>
      </c>
      <c r="E24266" s="26">
        <v>0.86919999999999997</v>
      </c>
      <c r="F24266" s="26">
        <v>0.83179999999999998</v>
      </c>
      <c r="G24266" s="26">
        <v>0.95330000000000004</v>
      </c>
      <c r="H24266" s="26">
        <v>0.82240000000000002</v>
      </c>
      <c r="I24266">
        <v>107</v>
      </c>
    </row>
    <row r="24267" spans="1:9" x14ac:dyDescent="0.35">
      <c r="A24267" t="s">
        <v>231</v>
      </c>
      <c r="B24267" t="s">
        <v>239</v>
      </c>
      <c r="C24267">
        <v>7</v>
      </c>
      <c r="D24267" s="26">
        <v>0.1053</v>
      </c>
      <c r="E24267" s="26">
        <v>1.7500000000000002E-2</v>
      </c>
      <c r="F24267" s="26">
        <v>5.2600000000000001E-2</v>
      </c>
      <c r="G24267" s="26">
        <v>1.7500000000000002E-2</v>
      </c>
      <c r="H24267" s="26">
        <v>0.1053</v>
      </c>
      <c r="I24267">
        <v>57</v>
      </c>
    </row>
    <row r="24268" spans="1:9" x14ac:dyDescent="0.35">
      <c r="A24268" t="s">
        <v>231</v>
      </c>
      <c r="B24268" t="s">
        <v>239</v>
      </c>
      <c r="C24268">
        <v>4</v>
      </c>
      <c r="D24268" s="26">
        <v>1.7500000000000002E-2</v>
      </c>
      <c r="F24268" s="26">
        <v>5.2600000000000001E-2</v>
      </c>
      <c r="G24268" s="26">
        <v>7.0199999999999999E-2</v>
      </c>
      <c r="I24268">
        <v>57</v>
      </c>
    </row>
    <row r="24269" spans="1:9" x14ac:dyDescent="0.35">
      <c r="A24269" t="s">
        <v>231</v>
      </c>
      <c r="B24269" t="s">
        <v>239</v>
      </c>
      <c r="C24269">
        <v>3</v>
      </c>
      <c r="D24269" s="26">
        <v>8.77E-2</v>
      </c>
      <c r="E24269" s="26">
        <v>5.2600000000000001E-2</v>
      </c>
      <c r="F24269" s="26">
        <v>3.5099999999999999E-2</v>
      </c>
      <c r="G24269" s="26">
        <v>1.7500000000000002E-2</v>
      </c>
      <c r="H24269" s="26">
        <v>1.7500000000000002E-2</v>
      </c>
      <c r="I24269">
        <v>57</v>
      </c>
    </row>
    <row r="24270" spans="1:9" x14ac:dyDescent="0.35">
      <c r="A24270" t="s">
        <v>231</v>
      </c>
      <c r="B24270" t="s">
        <v>239</v>
      </c>
      <c r="C24270">
        <v>2</v>
      </c>
      <c r="D24270" s="26">
        <v>0.1053</v>
      </c>
      <c r="E24270" s="26">
        <v>3.5099999999999999E-2</v>
      </c>
      <c r="F24270" s="26">
        <v>1.7500000000000002E-2</v>
      </c>
      <c r="H24270" s="26">
        <v>3.5099999999999999E-2</v>
      </c>
      <c r="I24270">
        <v>57</v>
      </c>
    </row>
    <row r="24271" spans="1:9" x14ac:dyDescent="0.35">
      <c r="A24271" t="s">
        <v>231</v>
      </c>
      <c r="B24271" t="s">
        <v>239</v>
      </c>
      <c r="C24271">
        <v>1</v>
      </c>
      <c r="D24271" s="26">
        <v>7.0199999999999999E-2</v>
      </c>
      <c r="F24271" s="26">
        <v>3.5099999999999999E-2</v>
      </c>
      <c r="H24271" s="26">
        <v>3.5099999999999999E-2</v>
      </c>
      <c r="I24271">
        <v>57</v>
      </c>
    </row>
    <row r="24272" spans="1:9" x14ac:dyDescent="0.35">
      <c r="A24272" t="s">
        <v>231</v>
      </c>
      <c r="B24272" t="s">
        <v>239</v>
      </c>
      <c r="C24272">
        <v>0</v>
      </c>
      <c r="D24272" s="26">
        <v>0.57889999999999997</v>
      </c>
      <c r="E24272" s="26">
        <v>0.89470000000000005</v>
      </c>
      <c r="F24272" s="26">
        <v>0.80700000000000005</v>
      </c>
      <c r="G24272" s="26">
        <v>0.89470000000000005</v>
      </c>
      <c r="H24272" s="26">
        <v>0.78949999999999998</v>
      </c>
      <c r="I24272">
        <v>57</v>
      </c>
    </row>
    <row r="24273" spans="1:9" x14ac:dyDescent="0.35">
      <c r="A24273" t="s">
        <v>231</v>
      </c>
      <c r="B24273" t="s">
        <v>239</v>
      </c>
      <c r="C24273">
        <v>5</v>
      </c>
      <c r="D24273" s="26">
        <v>3.5099999999999999E-2</v>
      </c>
      <c r="H24273" s="26">
        <v>1.7500000000000002E-2</v>
      </c>
      <c r="I24273">
        <v>57</v>
      </c>
    </row>
    <row r="24274" spans="1:9" x14ac:dyDescent="0.35">
      <c r="A24274" t="s">
        <v>232</v>
      </c>
      <c r="B24274" t="s">
        <v>232</v>
      </c>
      <c r="C24274">
        <v>6</v>
      </c>
      <c r="D24274" s="26">
        <v>2.8E-3</v>
      </c>
      <c r="E24274" s="26">
        <v>1.6999999999999999E-3</v>
      </c>
      <c r="F24274" s="26">
        <v>4.0000000000000002E-4</v>
      </c>
      <c r="G24274" s="26">
        <v>2.3999999999999998E-3</v>
      </c>
      <c r="H24274" s="26">
        <v>1.8E-3</v>
      </c>
      <c r="I24274">
        <v>2813</v>
      </c>
    </row>
    <row r="24275" spans="1:9" x14ac:dyDescent="0.35">
      <c r="A24275" t="s">
        <v>232</v>
      </c>
      <c r="B24275" t="s">
        <v>232</v>
      </c>
      <c r="C24275">
        <v>0</v>
      </c>
      <c r="D24275" s="26">
        <v>0.66559999999999997</v>
      </c>
      <c r="E24275" s="26">
        <v>0.89839999999999998</v>
      </c>
      <c r="F24275" s="26">
        <v>0.85399999999999998</v>
      </c>
      <c r="G24275" s="26">
        <v>0.94440000000000002</v>
      </c>
      <c r="H24275" s="26">
        <v>0.86960000000000004</v>
      </c>
      <c r="I24275">
        <v>2813</v>
      </c>
    </row>
    <row r="24276" spans="1:9" x14ac:dyDescent="0.35">
      <c r="A24276" t="s">
        <v>232</v>
      </c>
      <c r="B24276" t="s">
        <v>232</v>
      </c>
      <c r="C24276">
        <v>1</v>
      </c>
      <c r="D24276" s="26">
        <v>2.9700000000000001E-2</v>
      </c>
      <c r="E24276" s="26">
        <v>4.2799999999999998E-2</v>
      </c>
      <c r="F24276" s="26">
        <v>1.67E-2</v>
      </c>
      <c r="G24276" s="26">
        <v>5.1000000000000004E-3</v>
      </c>
      <c r="H24276" s="26">
        <v>1.7999999999999999E-2</v>
      </c>
      <c r="I24276">
        <v>2813</v>
      </c>
    </row>
    <row r="24277" spans="1:9" x14ac:dyDescent="0.35">
      <c r="A24277" t="s">
        <v>232</v>
      </c>
      <c r="B24277" t="s">
        <v>232</v>
      </c>
      <c r="C24277">
        <v>2</v>
      </c>
      <c r="D24277" s="26">
        <v>8.6699999999999999E-2</v>
      </c>
      <c r="E24277" s="26">
        <v>2.4799999999999999E-2</v>
      </c>
      <c r="F24277" s="26">
        <v>3.5400000000000001E-2</v>
      </c>
      <c r="G24277" s="26">
        <v>1.1900000000000001E-2</v>
      </c>
      <c r="H24277" s="26">
        <v>2.6700000000000002E-2</v>
      </c>
      <c r="I24277">
        <v>2813</v>
      </c>
    </row>
    <row r="24278" spans="1:9" x14ac:dyDescent="0.35">
      <c r="A24278" t="s">
        <v>232</v>
      </c>
      <c r="B24278" t="s">
        <v>232</v>
      </c>
      <c r="C24278">
        <v>3</v>
      </c>
      <c r="D24278" s="26">
        <v>5.8700000000000002E-2</v>
      </c>
      <c r="E24278" s="26">
        <v>1.9300000000000001E-2</v>
      </c>
      <c r="F24278" s="26">
        <v>2.5999999999999999E-2</v>
      </c>
      <c r="G24278" s="26">
        <v>1.0200000000000001E-2</v>
      </c>
      <c r="H24278" s="26">
        <v>2.1299999999999999E-2</v>
      </c>
      <c r="I24278">
        <v>2813</v>
      </c>
    </row>
    <row r="24279" spans="1:9" x14ac:dyDescent="0.35">
      <c r="A24279" t="s">
        <v>232</v>
      </c>
      <c r="B24279" t="s">
        <v>232</v>
      </c>
      <c r="C24279">
        <v>4</v>
      </c>
      <c r="D24279" s="26">
        <v>2.4E-2</v>
      </c>
      <c r="E24279" s="26">
        <v>1.6000000000000001E-3</v>
      </c>
      <c r="F24279" s="26">
        <v>1.38E-2</v>
      </c>
      <c r="G24279" s="26">
        <v>1.01E-2</v>
      </c>
      <c r="H24279" s="26">
        <v>1.0200000000000001E-2</v>
      </c>
      <c r="I24279">
        <v>2813</v>
      </c>
    </row>
    <row r="24280" spans="1:9" x14ac:dyDescent="0.35">
      <c r="A24280" t="s">
        <v>232</v>
      </c>
      <c r="B24280" t="s">
        <v>232</v>
      </c>
      <c r="C24280">
        <v>5</v>
      </c>
      <c r="D24280" s="26">
        <v>2.1700000000000001E-2</v>
      </c>
      <c r="E24280" s="26">
        <v>2.8E-3</v>
      </c>
      <c r="F24280" s="26">
        <v>8.8000000000000005E-3</v>
      </c>
      <c r="G24280" s="26">
        <v>8.9999999999999998E-4</v>
      </c>
      <c r="H24280" s="26">
        <v>7.9000000000000008E-3</v>
      </c>
      <c r="I24280">
        <v>2813</v>
      </c>
    </row>
    <row r="24281" spans="1:9" x14ac:dyDescent="0.35">
      <c r="A24281" t="s">
        <v>232</v>
      </c>
      <c r="B24281" t="s">
        <v>232</v>
      </c>
      <c r="C24281">
        <v>7</v>
      </c>
      <c r="D24281" s="26">
        <v>0.1108</v>
      </c>
      <c r="E24281" s="26">
        <v>8.6E-3</v>
      </c>
      <c r="F24281" s="26">
        <v>4.5100000000000001E-2</v>
      </c>
      <c r="G24281" s="26">
        <v>1.4999999999999999E-2</v>
      </c>
      <c r="H24281" s="26">
        <v>4.4600000000000001E-2</v>
      </c>
      <c r="I24281">
        <v>2813</v>
      </c>
    </row>
    <row r="24283" spans="1:9" x14ac:dyDescent="0.35">
      <c r="A24283" s="1" t="s">
        <v>2271</v>
      </c>
    </row>
    <row r="24284" spans="1:9" x14ac:dyDescent="0.35">
      <c r="A24284" t="s">
        <v>219</v>
      </c>
      <c r="B24284" t="s">
        <v>305</v>
      </c>
      <c r="C24284" t="s">
        <v>1270</v>
      </c>
      <c r="D24284" t="s">
        <v>2264</v>
      </c>
      <c r="E24284" t="s">
        <v>2265</v>
      </c>
      <c r="F24284" t="s">
        <v>2266</v>
      </c>
      <c r="G24284" t="s">
        <v>2267</v>
      </c>
      <c r="H24284" t="s">
        <v>2268</v>
      </c>
      <c r="I24284" t="s">
        <v>964</v>
      </c>
    </row>
    <row r="24285" spans="1:9" x14ac:dyDescent="0.35">
      <c r="A24285" t="s">
        <v>227</v>
      </c>
      <c r="B24285" t="s">
        <v>244</v>
      </c>
      <c r="C24285">
        <v>0</v>
      </c>
      <c r="D24285" s="26">
        <v>0.73960000000000004</v>
      </c>
      <c r="E24285" s="26">
        <v>0.92710000000000004</v>
      </c>
      <c r="F24285" s="26">
        <v>0.89580000000000004</v>
      </c>
      <c r="G24285" s="26">
        <v>0.95830000000000004</v>
      </c>
      <c r="H24285" s="26">
        <v>0.90620000000000001</v>
      </c>
      <c r="I24285">
        <v>96</v>
      </c>
    </row>
    <row r="24286" spans="1:9" x14ac:dyDescent="0.35">
      <c r="A24286" s="27" t="s">
        <v>227</v>
      </c>
      <c r="B24286" s="27" t="s">
        <v>246</v>
      </c>
      <c r="C24286" s="29">
        <v>3</v>
      </c>
      <c r="D24286" s="28">
        <v>0.25</v>
      </c>
      <c r="E24286" s="29"/>
      <c r="F24286" s="28">
        <v>8.3299999999999999E-2</v>
      </c>
      <c r="G24286" s="28">
        <v>8.3299999999999999E-2</v>
      </c>
      <c r="H24286" s="29"/>
      <c r="I24286" s="29">
        <v>12</v>
      </c>
    </row>
    <row r="24287" spans="1:9" x14ac:dyDescent="0.35">
      <c r="A24287" s="27" t="s">
        <v>227</v>
      </c>
      <c r="B24287" s="27" t="s">
        <v>246</v>
      </c>
      <c r="C24287" s="29">
        <v>0</v>
      </c>
      <c r="D24287" s="28">
        <v>0.58330000000000004</v>
      </c>
      <c r="E24287" s="28">
        <v>1</v>
      </c>
      <c r="F24287" s="28">
        <v>0.83330000000000004</v>
      </c>
      <c r="G24287" s="28">
        <v>0.83330000000000004</v>
      </c>
      <c r="H24287" s="28">
        <v>0.91669999999999996</v>
      </c>
      <c r="I24287" s="29">
        <v>12</v>
      </c>
    </row>
    <row r="24288" spans="1:9" x14ac:dyDescent="0.35">
      <c r="A24288" t="s">
        <v>227</v>
      </c>
      <c r="B24288" t="s">
        <v>245</v>
      </c>
      <c r="C24288">
        <v>7</v>
      </c>
      <c r="D24288" s="26">
        <v>0.1321</v>
      </c>
      <c r="E24288" s="26">
        <v>1.89E-2</v>
      </c>
      <c r="F24288" s="26">
        <v>9.4299999999999995E-2</v>
      </c>
      <c r="H24288" s="26">
        <v>5.6599999999999998E-2</v>
      </c>
      <c r="I24288">
        <v>53</v>
      </c>
    </row>
    <row r="24289" spans="1:9" x14ac:dyDescent="0.35">
      <c r="A24289" t="s">
        <v>227</v>
      </c>
      <c r="B24289" t="s">
        <v>245</v>
      </c>
      <c r="C24289">
        <v>3</v>
      </c>
      <c r="D24289" s="26">
        <v>0.1321</v>
      </c>
      <c r="E24289" s="26">
        <v>1.89E-2</v>
      </c>
      <c r="F24289" s="26">
        <v>1.89E-2</v>
      </c>
      <c r="H24289" s="26">
        <v>1.89E-2</v>
      </c>
      <c r="I24289">
        <v>53</v>
      </c>
    </row>
    <row r="24290" spans="1:9" x14ac:dyDescent="0.35">
      <c r="A24290" t="s">
        <v>227</v>
      </c>
      <c r="B24290" t="s">
        <v>245</v>
      </c>
      <c r="C24290">
        <v>2</v>
      </c>
      <c r="D24290" s="26">
        <v>0.1132</v>
      </c>
      <c r="E24290" s="26">
        <v>3.7699999999999997E-2</v>
      </c>
      <c r="I24290">
        <v>53</v>
      </c>
    </row>
    <row r="24291" spans="1:9" x14ac:dyDescent="0.35">
      <c r="A24291" s="27" t="s">
        <v>227</v>
      </c>
      <c r="B24291" s="27" t="s">
        <v>246</v>
      </c>
      <c r="C24291" s="29">
        <v>2</v>
      </c>
      <c r="D24291" s="28">
        <v>0.16669999999999999</v>
      </c>
      <c r="E24291" s="29"/>
      <c r="F24291" s="29"/>
      <c r="G24291" s="29"/>
      <c r="H24291" s="29"/>
      <c r="I24291" s="29">
        <v>12</v>
      </c>
    </row>
    <row r="24292" spans="1:9" x14ac:dyDescent="0.35">
      <c r="A24292" t="s">
        <v>227</v>
      </c>
      <c r="B24292" t="s">
        <v>244</v>
      </c>
      <c r="C24292">
        <v>7</v>
      </c>
      <c r="D24292" s="26">
        <v>0.1042</v>
      </c>
      <c r="F24292" s="26">
        <v>4.1700000000000001E-2</v>
      </c>
      <c r="G24292" s="26">
        <v>1.04E-2</v>
      </c>
      <c r="H24292" s="26">
        <v>1.04E-2</v>
      </c>
      <c r="I24292">
        <v>96</v>
      </c>
    </row>
    <row r="24293" spans="1:9" x14ac:dyDescent="0.35">
      <c r="A24293" t="s">
        <v>227</v>
      </c>
      <c r="B24293" t="s">
        <v>244</v>
      </c>
      <c r="C24293">
        <v>4</v>
      </c>
      <c r="D24293" s="26">
        <v>1.04E-2</v>
      </c>
      <c r="F24293" s="26">
        <v>1.04E-2</v>
      </c>
      <c r="G24293" s="26">
        <v>1.04E-2</v>
      </c>
      <c r="H24293" s="26">
        <v>4.1700000000000001E-2</v>
      </c>
      <c r="I24293">
        <v>96</v>
      </c>
    </row>
    <row r="24294" spans="1:9" x14ac:dyDescent="0.35">
      <c r="A24294" t="s">
        <v>227</v>
      </c>
      <c r="B24294" t="s">
        <v>244</v>
      </c>
      <c r="C24294">
        <v>3</v>
      </c>
      <c r="D24294" s="26">
        <v>3.1199999999999999E-2</v>
      </c>
      <c r="F24294" s="26">
        <v>1.04E-2</v>
      </c>
      <c r="I24294">
        <v>96</v>
      </c>
    </row>
    <row r="24295" spans="1:9" x14ac:dyDescent="0.35">
      <c r="A24295" t="s">
        <v>227</v>
      </c>
      <c r="B24295" t="s">
        <v>244</v>
      </c>
      <c r="C24295">
        <v>2</v>
      </c>
      <c r="D24295" s="26">
        <v>6.25E-2</v>
      </c>
      <c r="E24295" s="26">
        <v>4.1700000000000001E-2</v>
      </c>
      <c r="F24295" s="26">
        <v>2.0799999999999999E-2</v>
      </c>
      <c r="G24295" s="26">
        <v>2.0799999999999999E-2</v>
      </c>
      <c r="H24295" s="26">
        <v>2.0799999999999999E-2</v>
      </c>
      <c r="I24295">
        <v>96</v>
      </c>
    </row>
    <row r="24296" spans="1:9" x14ac:dyDescent="0.35">
      <c r="A24296" t="s">
        <v>227</v>
      </c>
      <c r="B24296" t="s">
        <v>244</v>
      </c>
      <c r="C24296">
        <v>1</v>
      </c>
      <c r="D24296" s="26">
        <v>5.21E-2</v>
      </c>
      <c r="E24296" s="26">
        <v>3.1199999999999999E-2</v>
      </c>
      <c r="F24296" s="26">
        <v>2.0799999999999999E-2</v>
      </c>
      <c r="H24296" s="26">
        <v>1.04E-2</v>
      </c>
      <c r="I24296">
        <v>96</v>
      </c>
    </row>
    <row r="24297" spans="1:9" x14ac:dyDescent="0.35">
      <c r="A24297" t="s">
        <v>227</v>
      </c>
      <c r="B24297" t="s">
        <v>245</v>
      </c>
      <c r="C24297">
        <v>0</v>
      </c>
      <c r="D24297" s="26">
        <v>0.62260000000000004</v>
      </c>
      <c r="E24297" s="26">
        <v>0.8679</v>
      </c>
      <c r="F24297" s="26">
        <v>0.84909999999999997</v>
      </c>
      <c r="G24297" s="26">
        <v>0.98109999999999997</v>
      </c>
      <c r="H24297" s="26">
        <v>0.92449999999999999</v>
      </c>
      <c r="I24297">
        <v>53</v>
      </c>
    </row>
    <row r="24298" spans="1:9" x14ac:dyDescent="0.35">
      <c r="A24298" t="s">
        <v>228</v>
      </c>
      <c r="B24298" t="s">
        <v>245</v>
      </c>
      <c r="C24298">
        <v>5</v>
      </c>
      <c r="D24298" s="26">
        <v>2.8299999999999999E-2</v>
      </c>
      <c r="F24298" s="26">
        <v>5.8999999999999999E-3</v>
      </c>
      <c r="G24298" s="26">
        <v>8.9999999999999998E-4</v>
      </c>
      <c r="H24298" s="26">
        <v>4.1999999999999997E-3</v>
      </c>
      <c r="I24298">
        <v>328</v>
      </c>
    </row>
    <row r="24299" spans="1:9" x14ac:dyDescent="0.35">
      <c r="A24299" t="s">
        <v>228</v>
      </c>
      <c r="B24299" t="s">
        <v>245</v>
      </c>
      <c r="C24299">
        <v>6</v>
      </c>
      <c r="D24299" s="26">
        <v>3.8999999999999998E-3</v>
      </c>
      <c r="F24299" s="26">
        <v>4.1999999999999997E-3</v>
      </c>
      <c r="I24299">
        <v>328</v>
      </c>
    </row>
    <row r="24300" spans="1:9" x14ac:dyDescent="0.35">
      <c r="A24300" t="s">
        <v>228</v>
      </c>
      <c r="B24300" t="s">
        <v>245</v>
      </c>
      <c r="C24300">
        <v>7</v>
      </c>
      <c r="D24300" s="26">
        <v>0.21049999999999999</v>
      </c>
      <c r="E24300" s="26">
        <v>2.75E-2</v>
      </c>
      <c r="F24300" s="26">
        <v>8.3400000000000002E-2</v>
      </c>
      <c r="G24300" s="26">
        <v>2.3999999999999998E-3</v>
      </c>
      <c r="H24300" s="26">
        <v>9.0700000000000003E-2</v>
      </c>
      <c r="I24300">
        <v>328</v>
      </c>
    </row>
    <row r="24301" spans="1:9" x14ac:dyDescent="0.35">
      <c r="A24301" t="s">
        <v>228</v>
      </c>
      <c r="B24301" t="s">
        <v>246</v>
      </c>
      <c r="C24301">
        <v>0</v>
      </c>
      <c r="D24301" s="26">
        <v>0.63929999999999998</v>
      </c>
      <c r="E24301" s="26">
        <v>0.92190000000000005</v>
      </c>
      <c r="F24301" s="26">
        <v>0.82350000000000001</v>
      </c>
      <c r="G24301" s="26">
        <v>0.67379999999999995</v>
      </c>
      <c r="H24301" s="26">
        <v>0.88160000000000005</v>
      </c>
      <c r="I24301">
        <v>67</v>
      </c>
    </row>
    <row r="24302" spans="1:9" x14ac:dyDescent="0.35">
      <c r="A24302" t="s">
        <v>228</v>
      </c>
      <c r="B24302" t="s">
        <v>246</v>
      </c>
      <c r="C24302">
        <v>3</v>
      </c>
      <c r="D24302" s="26">
        <v>7.9000000000000001E-2</v>
      </c>
      <c r="E24302" s="26">
        <v>5.1999999999999998E-3</v>
      </c>
      <c r="F24302" s="26">
        <v>2.58E-2</v>
      </c>
      <c r="G24302" s="26">
        <v>8.7300000000000003E-2</v>
      </c>
      <c r="H24302" s="26">
        <v>6.1699999999999998E-2</v>
      </c>
      <c r="I24302">
        <v>67</v>
      </c>
    </row>
    <row r="24303" spans="1:9" x14ac:dyDescent="0.35">
      <c r="A24303" t="s">
        <v>228</v>
      </c>
      <c r="B24303" t="s">
        <v>246</v>
      </c>
      <c r="C24303">
        <v>2</v>
      </c>
      <c r="D24303" s="26">
        <v>8.9399999999999993E-2</v>
      </c>
      <c r="E24303" s="26">
        <v>5.1999999999999998E-2</v>
      </c>
      <c r="F24303" s="26">
        <v>5.45E-2</v>
      </c>
      <c r="G24303" s="26">
        <v>2.9100000000000001E-2</v>
      </c>
      <c r="I24303">
        <v>67</v>
      </c>
    </row>
    <row r="24304" spans="1:9" x14ac:dyDescent="0.35">
      <c r="A24304" t="s">
        <v>228</v>
      </c>
      <c r="B24304" t="s">
        <v>246</v>
      </c>
      <c r="C24304">
        <v>5</v>
      </c>
      <c r="D24304" s="26">
        <v>1.6500000000000001E-2</v>
      </c>
      <c r="E24304" s="26">
        <v>6.0000000000000001E-3</v>
      </c>
      <c r="G24304" s="26">
        <v>2.5100000000000001E-2</v>
      </c>
      <c r="H24304" s="26">
        <v>1.7100000000000001E-2</v>
      </c>
      <c r="I24304">
        <v>67</v>
      </c>
    </row>
    <row r="24305" spans="1:9" x14ac:dyDescent="0.35">
      <c r="A24305" t="s">
        <v>228</v>
      </c>
      <c r="B24305" t="s">
        <v>246</v>
      </c>
      <c r="C24305">
        <v>7</v>
      </c>
      <c r="D24305" s="26">
        <v>0.12720000000000001</v>
      </c>
      <c r="E24305" s="26">
        <v>8.8000000000000005E-3</v>
      </c>
      <c r="F24305" s="26">
        <v>2.01E-2</v>
      </c>
      <c r="G24305" s="26">
        <v>0.12670000000000001</v>
      </c>
      <c r="H24305" s="26">
        <v>1.1299999999999999E-2</v>
      </c>
      <c r="I24305">
        <v>67</v>
      </c>
    </row>
    <row r="24306" spans="1:9" x14ac:dyDescent="0.35">
      <c r="A24306" t="s">
        <v>228</v>
      </c>
      <c r="B24306" t="s">
        <v>245</v>
      </c>
      <c r="C24306">
        <v>4</v>
      </c>
      <c r="D24306" s="26">
        <v>2.1999999999999999E-2</v>
      </c>
      <c r="E24306" s="26">
        <v>5.0000000000000001E-3</v>
      </c>
      <c r="F24306" s="26">
        <v>9.7000000000000003E-3</v>
      </c>
      <c r="H24306" s="26">
        <v>1.0699999999999999E-2</v>
      </c>
      <c r="I24306">
        <v>328</v>
      </c>
    </row>
    <row r="24307" spans="1:9" x14ac:dyDescent="0.35">
      <c r="A24307" t="s">
        <v>228</v>
      </c>
      <c r="B24307" t="s">
        <v>246</v>
      </c>
      <c r="C24307">
        <v>1</v>
      </c>
      <c r="D24307" s="26">
        <v>4.8500000000000001E-2</v>
      </c>
      <c r="E24307" s="26">
        <v>6.0000000000000001E-3</v>
      </c>
      <c r="F24307" s="26">
        <v>6.5500000000000003E-2</v>
      </c>
      <c r="G24307" s="26">
        <v>5.8099999999999999E-2</v>
      </c>
      <c r="H24307" s="26">
        <v>6.0000000000000001E-3</v>
      </c>
      <c r="I24307">
        <v>67</v>
      </c>
    </row>
    <row r="24308" spans="1:9" x14ac:dyDescent="0.35">
      <c r="A24308" t="s">
        <v>228</v>
      </c>
      <c r="B24308" t="s">
        <v>245</v>
      </c>
      <c r="C24308">
        <v>3</v>
      </c>
      <c r="D24308" s="26">
        <v>4.8099999999999997E-2</v>
      </c>
      <c r="E24308" s="26">
        <v>2.1499999999999998E-2</v>
      </c>
      <c r="F24308" s="26">
        <v>5.6800000000000003E-2</v>
      </c>
      <c r="H24308" s="26">
        <v>3.1699999999999999E-2</v>
      </c>
      <c r="I24308">
        <v>328</v>
      </c>
    </row>
    <row r="24309" spans="1:9" x14ac:dyDescent="0.35">
      <c r="A24309" t="s">
        <v>228</v>
      </c>
      <c r="B24309" t="s">
        <v>245</v>
      </c>
      <c r="C24309">
        <v>1</v>
      </c>
      <c r="D24309" s="26">
        <v>3.0800000000000001E-2</v>
      </c>
      <c r="E24309" s="26">
        <v>7.5499999999999998E-2</v>
      </c>
      <c r="F24309" s="26">
        <v>1.23E-2</v>
      </c>
      <c r="H24309" s="26">
        <v>2.3300000000000001E-2</v>
      </c>
      <c r="I24309">
        <v>328</v>
      </c>
    </row>
    <row r="24310" spans="1:9" x14ac:dyDescent="0.35">
      <c r="A24310" t="s">
        <v>228</v>
      </c>
      <c r="B24310" t="s">
        <v>244</v>
      </c>
      <c r="C24310">
        <v>0</v>
      </c>
      <c r="D24310" s="26">
        <v>0.69259999999999999</v>
      </c>
      <c r="E24310" s="26">
        <v>0.93379999999999996</v>
      </c>
      <c r="F24310" s="26">
        <v>0.89280000000000004</v>
      </c>
      <c r="G24310" s="26">
        <v>0.9415</v>
      </c>
      <c r="H24310" s="26">
        <v>0.91349999999999998</v>
      </c>
      <c r="I24310">
        <v>638</v>
      </c>
    </row>
    <row r="24311" spans="1:9" x14ac:dyDescent="0.35">
      <c r="A24311" t="s">
        <v>228</v>
      </c>
      <c r="B24311" t="s">
        <v>245</v>
      </c>
      <c r="C24311">
        <v>0</v>
      </c>
      <c r="D24311" s="26">
        <v>0.56879999999999997</v>
      </c>
      <c r="E24311" s="26">
        <v>0.83830000000000005</v>
      </c>
      <c r="F24311" s="26">
        <v>0.81540000000000001</v>
      </c>
      <c r="G24311" s="26">
        <v>0.99680000000000002</v>
      </c>
      <c r="H24311" s="26">
        <v>0.81330000000000002</v>
      </c>
      <c r="I24311">
        <v>328</v>
      </c>
    </row>
    <row r="24312" spans="1:9" x14ac:dyDescent="0.35">
      <c r="A24312" t="s">
        <v>228</v>
      </c>
      <c r="B24312" t="s">
        <v>244</v>
      </c>
      <c r="C24312">
        <v>7</v>
      </c>
      <c r="D24312" s="26">
        <v>0.11269999999999999</v>
      </c>
      <c r="E24312" s="26">
        <v>6.1000000000000004E-3</v>
      </c>
      <c r="F24312" s="26">
        <v>3.73E-2</v>
      </c>
      <c r="G24312" s="26">
        <v>1.6299999999999999E-2</v>
      </c>
      <c r="H24312" s="26">
        <v>2.3300000000000001E-2</v>
      </c>
      <c r="I24312">
        <v>638</v>
      </c>
    </row>
    <row r="24313" spans="1:9" x14ac:dyDescent="0.35">
      <c r="A24313" t="s">
        <v>228</v>
      </c>
      <c r="B24313" t="s">
        <v>244</v>
      </c>
      <c r="C24313">
        <v>6</v>
      </c>
      <c r="D24313" s="26">
        <v>1.6000000000000001E-3</v>
      </c>
      <c r="I24313">
        <v>638</v>
      </c>
    </row>
    <row r="24314" spans="1:9" x14ac:dyDescent="0.35">
      <c r="A24314" t="s">
        <v>228</v>
      </c>
      <c r="B24314" t="s">
        <v>244</v>
      </c>
      <c r="C24314">
        <v>5</v>
      </c>
      <c r="D24314" s="26">
        <v>1.4200000000000001E-2</v>
      </c>
      <c r="E24314" s="26">
        <v>1.6000000000000001E-3</v>
      </c>
      <c r="F24314" s="26">
        <v>5.9999999999999995E-4</v>
      </c>
      <c r="G24314" s="26">
        <v>2.8999999999999998E-3</v>
      </c>
      <c r="H24314" s="26">
        <v>2.5999999999999999E-3</v>
      </c>
      <c r="I24314">
        <v>638</v>
      </c>
    </row>
    <row r="24315" spans="1:9" x14ac:dyDescent="0.35">
      <c r="A24315" t="s">
        <v>228</v>
      </c>
      <c r="B24315" t="s">
        <v>244</v>
      </c>
      <c r="C24315">
        <v>4</v>
      </c>
      <c r="D24315" s="26">
        <v>2.3300000000000001E-2</v>
      </c>
      <c r="E24315" s="26">
        <v>7.4999999999999997E-3</v>
      </c>
      <c r="F24315" s="26">
        <v>5.1999999999999998E-3</v>
      </c>
      <c r="G24315" s="26">
        <v>1.8E-3</v>
      </c>
      <c r="H24315" s="26">
        <v>5.7999999999999996E-3</v>
      </c>
      <c r="I24315">
        <v>638</v>
      </c>
    </row>
    <row r="24316" spans="1:9" x14ac:dyDescent="0.35">
      <c r="A24316" t="s">
        <v>228</v>
      </c>
      <c r="B24316" t="s">
        <v>244</v>
      </c>
      <c r="C24316">
        <v>3</v>
      </c>
      <c r="D24316" s="26">
        <v>5.7000000000000002E-2</v>
      </c>
      <c r="E24316" s="26">
        <v>8.6E-3</v>
      </c>
      <c r="F24316" s="26">
        <v>2.24E-2</v>
      </c>
      <c r="G24316" s="26">
        <v>1.0800000000000001E-2</v>
      </c>
      <c r="H24316" s="26">
        <v>1.54E-2</v>
      </c>
      <c r="I24316">
        <v>638</v>
      </c>
    </row>
    <row r="24317" spans="1:9" x14ac:dyDescent="0.35">
      <c r="A24317" t="s">
        <v>228</v>
      </c>
      <c r="B24317" t="s">
        <v>244</v>
      </c>
      <c r="C24317">
        <v>2</v>
      </c>
      <c r="D24317" s="26">
        <v>6.4000000000000001E-2</v>
      </c>
      <c r="E24317" s="26">
        <v>1.32E-2</v>
      </c>
      <c r="F24317" s="26">
        <v>2.9700000000000001E-2</v>
      </c>
      <c r="G24317" s="26">
        <v>2.1299999999999999E-2</v>
      </c>
      <c r="H24317" s="26">
        <v>2.6800000000000001E-2</v>
      </c>
      <c r="I24317">
        <v>638</v>
      </c>
    </row>
    <row r="24318" spans="1:9" x14ac:dyDescent="0.35">
      <c r="A24318" t="s">
        <v>228</v>
      </c>
      <c r="B24318" t="s">
        <v>244</v>
      </c>
      <c r="C24318">
        <v>1</v>
      </c>
      <c r="D24318" s="26">
        <v>3.4599999999999999E-2</v>
      </c>
      <c r="E24318" s="26">
        <v>2.92E-2</v>
      </c>
      <c r="F24318" s="26">
        <v>1.2E-2</v>
      </c>
      <c r="G24318" s="26">
        <v>5.3E-3</v>
      </c>
      <c r="H24318" s="26">
        <v>1.26E-2</v>
      </c>
      <c r="I24318">
        <v>638</v>
      </c>
    </row>
    <row r="24319" spans="1:9" x14ac:dyDescent="0.35">
      <c r="A24319" t="s">
        <v>228</v>
      </c>
      <c r="B24319" t="s">
        <v>245</v>
      </c>
      <c r="C24319">
        <v>2</v>
      </c>
      <c r="D24319" s="26">
        <v>8.7800000000000003E-2</v>
      </c>
      <c r="E24319" s="26">
        <v>3.2199999999999999E-2</v>
      </c>
      <c r="F24319" s="26">
        <v>1.23E-2</v>
      </c>
      <c r="H24319" s="26">
        <v>2.6100000000000002E-2</v>
      </c>
      <c r="I24319">
        <v>328</v>
      </c>
    </row>
    <row r="24320" spans="1:9" x14ac:dyDescent="0.35">
      <c r="A24320" t="s">
        <v>229</v>
      </c>
      <c r="B24320" t="s">
        <v>245</v>
      </c>
      <c r="C24320">
        <v>5</v>
      </c>
      <c r="D24320" s="26">
        <v>4.3499999999999997E-2</v>
      </c>
      <c r="F24320" s="26">
        <v>1.12E-2</v>
      </c>
      <c r="H24320" s="26">
        <v>1.2500000000000001E-2</v>
      </c>
      <c r="I24320">
        <v>293</v>
      </c>
    </row>
    <row r="24321" spans="1:9" x14ac:dyDescent="0.35">
      <c r="A24321" t="s">
        <v>229</v>
      </c>
      <c r="B24321" t="s">
        <v>245</v>
      </c>
      <c r="C24321">
        <v>7</v>
      </c>
      <c r="D24321" s="26">
        <v>8.9200000000000002E-2</v>
      </c>
      <c r="E24321" s="26">
        <v>1.5699999999999999E-2</v>
      </c>
      <c r="F24321" s="26">
        <v>3.32E-2</v>
      </c>
      <c r="G24321" s="26">
        <v>1.18E-2</v>
      </c>
      <c r="H24321" s="26">
        <v>1.8700000000000001E-2</v>
      </c>
      <c r="I24321">
        <v>293</v>
      </c>
    </row>
    <row r="24322" spans="1:9" x14ac:dyDescent="0.35">
      <c r="A24322" t="s">
        <v>229</v>
      </c>
      <c r="B24322" t="s">
        <v>246</v>
      </c>
      <c r="C24322">
        <v>0</v>
      </c>
      <c r="D24322" s="26">
        <v>0.65949999999999998</v>
      </c>
      <c r="E24322" s="26">
        <v>0.88400000000000001</v>
      </c>
      <c r="F24322" s="26">
        <v>0.70179999999999998</v>
      </c>
      <c r="G24322" s="26">
        <v>0.89329999999999998</v>
      </c>
      <c r="H24322" s="26">
        <v>0.83689999999999998</v>
      </c>
      <c r="I24322">
        <v>45</v>
      </c>
    </row>
    <row r="24323" spans="1:9" x14ac:dyDescent="0.35">
      <c r="A24323" t="s">
        <v>229</v>
      </c>
      <c r="B24323" t="s">
        <v>246</v>
      </c>
      <c r="C24323">
        <v>2</v>
      </c>
      <c r="D24323" s="26">
        <v>9.4200000000000006E-2</v>
      </c>
      <c r="E24323" s="26">
        <v>6.3E-3</v>
      </c>
      <c r="F24323" s="26">
        <v>9.4200000000000006E-2</v>
      </c>
      <c r="G24323" s="26">
        <v>4.7100000000000003E-2</v>
      </c>
      <c r="H24323" s="26">
        <v>5.6399999999999999E-2</v>
      </c>
      <c r="I24323">
        <v>45</v>
      </c>
    </row>
    <row r="24324" spans="1:9" x14ac:dyDescent="0.35">
      <c r="A24324" t="s">
        <v>229</v>
      </c>
      <c r="B24324" t="s">
        <v>245</v>
      </c>
      <c r="C24324">
        <v>4</v>
      </c>
      <c r="D24324" s="26">
        <v>4.8099999999999997E-2</v>
      </c>
      <c r="F24324" s="26">
        <v>2.7E-2</v>
      </c>
      <c r="G24324" s="26">
        <v>4.0000000000000002E-4</v>
      </c>
      <c r="H24324" s="26">
        <v>9.9000000000000008E-3</v>
      </c>
      <c r="I24324">
        <v>293</v>
      </c>
    </row>
    <row r="24325" spans="1:9" x14ac:dyDescent="0.35">
      <c r="A24325" t="s">
        <v>229</v>
      </c>
      <c r="B24325" t="s">
        <v>246</v>
      </c>
      <c r="C24325">
        <v>4</v>
      </c>
      <c r="D24325" s="26">
        <v>6.1999999999999998E-3</v>
      </c>
      <c r="F24325" s="26">
        <v>3.2000000000000002E-3</v>
      </c>
      <c r="I24325">
        <v>45</v>
      </c>
    </row>
    <row r="24326" spans="1:9" x14ac:dyDescent="0.35">
      <c r="A24326" t="s">
        <v>229</v>
      </c>
      <c r="B24326" t="s">
        <v>246</v>
      </c>
      <c r="C24326">
        <v>5</v>
      </c>
      <c r="D24326" s="26">
        <v>5.8099999999999999E-2</v>
      </c>
      <c r="E24326" s="26">
        <v>6.1999999999999998E-3</v>
      </c>
      <c r="F24326" s="26">
        <v>4.7100000000000003E-2</v>
      </c>
      <c r="G24326" s="26">
        <v>3.2000000000000002E-3</v>
      </c>
      <c r="H24326" s="26">
        <v>3.2000000000000002E-3</v>
      </c>
      <c r="I24326">
        <v>45</v>
      </c>
    </row>
    <row r="24327" spans="1:9" x14ac:dyDescent="0.35">
      <c r="A24327" t="s">
        <v>229</v>
      </c>
      <c r="B24327" t="s">
        <v>246</v>
      </c>
      <c r="C24327">
        <v>7</v>
      </c>
      <c r="D24327" s="26">
        <v>0.1099</v>
      </c>
      <c r="E24327" s="26">
        <v>4.7100000000000003E-2</v>
      </c>
      <c r="F24327" s="26">
        <v>0.1066</v>
      </c>
      <c r="G24327" s="26">
        <v>5.6500000000000002E-2</v>
      </c>
      <c r="H24327" s="26">
        <v>5.6500000000000002E-2</v>
      </c>
      <c r="I24327">
        <v>45</v>
      </c>
    </row>
    <row r="24328" spans="1:9" x14ac:dyDescent="0.35">
      <c r="A24328" t="s">
        <v>229</v>
      </c>
      <c r="B24328" t="s">
        <v>246</v>
      </c>
      <c r="C24328">
        <v>3</v>
      </c>
      <c r="D24328" s="26">
        <v>5.9499999999999997E-2</v>
      </c>
      <c r="E24328" s="26">
        <v>5.6399999999999999E-2</v>
      </c>
      <c r="H24328" s="26">
        <v>4.7100000000000003E-2</v>
      </c>
      <c r="I24328">
        <v>45</v>
      </c>
    </row>
    <row r="24329" spans="1:9" x14ac:dyDescent="0.35">
      <c r="A24329" t="s">
        <v>229</v>
      </c>
      <c r="B24329" t="s">
        <v>245</v>
      </c>
      <c r="C24329">
        <v>3</v>
      </c>
      <c r="D24329" s="26">
        <v>2.81E-2</v>
      </c>
      <c r="E24329" s="26">
        <v>1.44E-2</v>
      </c>
      <c r="F24329" s="26">
        <v>2.9499999999999998E-2</v>
      </c>
      <c r="H24329" s="26">
        <v>3.1399999999999997E-2</v>
      </c>
      <c r="I24329">
        <v>293</v>
      </c>
    </row>
    <row r="24330" spans="1:9" x14ac:dyDescent="0.35">
      <c r="A24330" t="s">
        <v>229</v>
      </c>
      <c r="B24330" t="s">
        <v>246</v>
      </c>
      <c r="C24330">
        <v>1</v>
      </c>
      <c r="D24330" s="26">
        <v>1.2500000000000001E-2</v>
      </c>
      <c r="F24330" s="26">
        <v>4.7100000000000003E-2</v>
      </c>
      <c r="I24330">
        <v>45</v>
      </c>
    </row>
    <row r="24331" spans="1:9" x14ac:dyDescent="0.35">
      <c r="A24331" t="s">
        <v>229</v>
      </c>
      <c r="B24331" t="s">
        <v>245</v>
      </c>
      <c r="C24331">
        <v>1</v>
      </c>
      <c r="D24331" s="26">
        <v>2.7099999999999999E-2</v>
      </c>
      <c r="E24331" s="26">
        <v>3.8600000000000002E-2</v>
      </c>
      <c r="F24331" s="26">
        <v>4.0000000000000002E-4</v>
      </c>
      <c r="G24331" s="26">
        <v>2.5999999999999999E-3</v>
      </c>
      <c r="H24331" s="26">
        <v>1.2500000000000001E-2</v>
      </c>
      <c r="I24331">
        <v>293</v>
      </c>
    </row>
    <row r="24332" spans="1:9" x14ac:dyDescent="0.35">
      <c r="A24332" t="s">
        <v>229</v>
      </c>
      <c r="B24332" t="s">
        <v>245</v>
      </c>
      <c r="C24332">
        <v>2</v>
      </c>
      <c r="D24332" s="26">
        <v>8.4699999999999998E-2</v>
      </c>
      <c r="E24332" s="26">
        <v>1.5299999999999999E-2</v>
      </c>
      <c r="F24332" s="26">
        <v>4.7100000000000003E-2</v>
      </c>
      <c r="H24332" s="26">
        <v>2.46E-2</v>
      </c>
      <c r="I24332">
        <v>293</v>
      </c>
    </row>
    <row r="24333" spans="1:9" x14ac:dyDescent="0.35">
      <c r="A24333" t="s">
        <v>229</v>
      </c>
      <c r="B24333" t="s">
        <v>244</v>
      </c>
      <c r="C24333">
        <v>1</v>
      </c>
      <c r="D24333" s="26">
        <v>8.9999999999999993E-3</v>
      </c>
      <c r="E24333" s="26">
        <v>5.5399999999999998E-2</v>
      </c>
      <c r="F24333" s="26">
        <v>1.6799999999999999E-2</v>
      </c>
      <c r="G24333" s="26">
        <v>1.6999999999999999E-3</v>
      </c>
      <c r="H24333" s="26">
        <v>1.38E-2</v>
      </c>
      <c r="I24333">
        <v>557</v>
      </c>
    </row>
    <row r="24334" spans="1:9" x14ac:dyDescent="0.35">
      <c r="A24334" t="s">
        <v>229</v>
      </c>
      <c r="B24334" t="s">
        <v>244</v>
      </c>
      <c r="C24334">
        <v>2</v>
      </c>
      <c r="D24334" s="26">
        <v>0.1104</v>
      </c>
      <c r="E24334" s="26">
        <v>2.07E-2</v>
      </c>
      <c r="F24334" s="26">
        <v>3.9100000000000003E-2</v>
      </c>
      <c r="G24334" s="26">
        <v>1.2999999999999999E-2</v>
      </c>
      <c r="H24334" s="26">
        <v>2.1999999999999999E-2</v>
      </c>
      <c r="I24334">
        <v>557</v>
      </c>
    </row>
    <row r="24335" spans="1:9" x14ac:dyDescent="0.35">
      <c r="A24335" t="s">
        <v>229</v>
      </c>
      <c r="B24335" t="s">
        <v>244</v>
      </c>
      <c r="C24335">
        <v>3</v>
      </c>
      <c r="D24335" s="26">
        <v>3.7499999999999999E-2</v>
      </c>
      <c r="E24335" s="26">
        <v>7.9000000000000008E-3</v>
      </c>
      <c r="F24335" s="26">
        <v>2.8899999999999999E-2</v>
      </c>
      <c r="G24335" s="26">
        <v>2.0899999999999998E-2</v>
      </c>
      <c r="H24335" s="26">
        <v>2.12E-2</v>
      </c>
      <c r="I24335">
        <v>557</v>
      </c>
    </row>
    <row r="24336" spans="1:9" x14ac:dyDescent="0.35">
      <c r="A24336" t="s">
        <v>229</v>
      </c>
      <c r="B24336" t="s">
        <v>244</v>
      </c>
      <c r="C24336">
        <v>4</v>
      </c>
      <c r="D24336" s="26">
        <v>3.5299999999999998E-2</v>
      </c>
      <c r="E24336" s="26">
        <v>5.0000000000000001E-4</v>
      </c>
      <c r="F24336" s="26">
        <v>1.6999999999999999E-3</v>
      </c>
      <c r="H24336" s="26">
        <v>5.1000000000000004E-3</v>
      </c>
      <c r="I24336">
        <v>557</v>
      </c>
    </row>
    <row r="24337" spans="1:9" x14ac:dyDescent="0.35">
      <c r="A24337" t="s">
        <v>229</v>
      </c>
      <c r="B24337" t="s">
        <v>244</v>
      </c>
      <c r="C24337">
        <v>0</v>
      </c>
      <c r="D24337" s="26">
        <v>0.70940000000000003</v>
      </c>
      <c r="E24337" s="26">
        <v>0.90949999999999998</v>
      </c>
      <c r="F24337" s="26">
        <v>0.87119999999999997</v>
      </c>
      <c r="G24337" s="26">
        <v>0.95320000000000005</v>
      </c>
      <c r="H24337" s="26">
        <v>0.89910000000000001</v>
      </c>
      <c r="I24337">
        <v>557</v>
      </c>
    </row>
    <row r="24338" spans="1:9" x14ac:dyDescent="0.35">
      <c r="A24338" t="s">
        <v>229</v>
      </c>
      <c r="B24338" t="s">
        <v>244</v>
      </c>
      <c r="C24338">
        <v>5</v>
      </c>
      <c r="D24338" s="26">
        <v>8.0999999999999996E-3</v>
      </c>
      <c r="E24338" s="26">
        <v>1E-3</v>
      </c>
      <c r="G24338" s="26">
        <v>5.9999999999999995E-4</v>
      </c>
      <c r="H24338" s="26">
        <v>5.0000000000000001E-4</v>
      </c>
      <c r="I24338">
        <v>557</v>
      </c>
    </row>
    <row r="24339" spans="1:9" x14ac:dyDescent="0.35">
      <c r="A24339" t="s">
        <v>229</v>
      </c>
      <c r="B24339" t="s">
        <v>244</v>
      </c>
      <c r="C24339">
        <v>6</v>
      </c>
      <c r="D24339" s="26">
        <v>3.5999999999999999E-3</v>
      </c>
      <c r="G24339" s="26">
        <v>3.5999999999999999E-3</v>
      </c>
      <c r="I24339">
        <v>557</v>
      </c>
    </row>
    <row r="24340" spans="1:9" x14ac:dyDescent="0.35">
      <c r="A24340" t="s">
        <v>229</v>
      </c>
      <c r="B24340" t="s">
        <v>244</v>
      </c>
      <c r="C24340">
        <v>7</v>
      </c>
      <c r="D24340" s="26">
        <v>8.6699999999999999E-2</v>
      </c>
      <c r="E24340" s="26">
        <v>5.1000000000000004E-3</v>
      </c>
      <c r="F24340" s="26">
        <v>4.2200000000000001E-2</v>
      </c>
      <c r="G24340" s="26">
        <v>7.0000000000000001E-3</v>
      </c>
      <c r="H24340" s="26">
        <v>3.8199999999999998E-2</v>
      </c>
      <c r="I24340">
        <v>557</v>
      </c>
    </row>
    <row r="24341" spans="1:9" x14ac:dyDescent="0.35">
      <c r="A24341" t="s">
        <v>229</v>
      </c>
      <c r="B24341" t="s">
        <v>245</v>
      </c>
      <c r="C24341">
        <v>0</v>
      </c>
      <c r="D24341" s="26">
        <v>0.67920000000000003</v>
      </c>
      <c r="E24341" s="26">
        <v>0.91600000000000004</v>
      </c>
      <c r="F24341" s="26">
        <v>0.85160000000000002</v>
      </c>
      <c r="G24341" s="26">
        <v>0.98519999999999996</v>
      </c>
      <c r="H24341" s="26">
        <v>0.89029999999999998</v>
      </c>
      <c r="I24341">
        <v>293</v>
      </c>
    </row>
    <row r="24342" spans="1:9" x14ac:dyDescent="0.35">
      <c r="A24342" t="s">
        <v>230</v>
      </c>
      <c r="B24342" t="s">
        <v>245</v>
      </c>
      <c r="C24342">
        <v>4</v>
      </c>
      <c r="D24342" s="26">
        <v>1.4999999999999999E-2</v>
      </c>
      <c r="E24342" s="26">
        <v>6.8999999999999999E-3</v>
      </c>
      <c r="F24342" s="26">
        <v>3.32E-2</v>
      </c>
      <c r="H24342" s="26">
        <v>7.9000000000000008E-3</v>
      </c>
      <c r="I24342">
        <v>161</v>
      </c>
    </row>
    <row r="24343" spans="1:9" x14ac:dyDescent="0.35">
      <c r="A24343" s="27" t="s">
        <v>230</v>
      </c>
      <c r="B24343" s="27" t="s">
        <v>246</v>
      </c>
      <c r="C24343" s="29">
        <v>6</v>
      </c>
      <c r="D24343" s="28">
        <v>0.1108</v>
      </c>
      <c r="E24343" s="29"/>
      <c r="F24343" s="29"/>
      <c r="G24343" s="29"/>
      <c r="H24343" s="29"/>
      <c r="I24343" s="29">
        <v>29</v>
      </c>
    </row>
    <row r="24344" spans="1:9" x14ac:dyDescent="0.35">
      <c r="A24344" s="27" t="s">
        <v>230</v>
      </c>
      <c r="B24344" s="27" t="s">
        <v>246</v>
      </c>
      <c r="C24344" s="29">
        <v>4</v>
      </c>
      <c r="D24344" s="28">
        <v>0.1108</v>
      </c>
      <c r="E24344" s="29"/>
      <c r="F24344" s="29"/>
      <c r="G24344" s="29"/>
      <c r="H24344" s="28">
        <v>0.1108</v>
      </c>
      <c r="I24344" s="29">
        <v>29</v>
      </c>
    </row>
    <row r="24345" spans="1:9" x14ac:dyDescent="0.35">
      <c r="A24345" s="27" t="s">
        <v>230</v>
      </c>
      <c r="B24345" s="27" t="s">
        <v>246</v>
      </c>
      <c r="C24345" s="29">
        <v>3</v>
      </c>
      <c r="D24345" s="28">
        <v>1.83E-2</v>
      </c>
      <c r="E24345" s="29"/>
      <c r="F24345" s="29"/>
      <c r="G24345" s="28">
        <v>1.83E-2</v>
      </c>
      <c r="H24345" s="29"/>
      <c r="I24345" s="29">
        <v>29</v>
      </c>
    </row>
    <row r="24346" spans="1:9" x14ac:dyDescent="0.35">
      <c r="A24346" s="27" t="s">
        <v>230</v>
      </c>
      <c r="B24346" s="27" t="s">
        <v>246</v>
      </c>
      <c r="C24346" s="29">
        <v>0</v>
      </c>
      <c r="D24346" s="28">
        <v>0.68630000000000002</v>
      </c>
      <c r="E24346" s="28">
        <v>0.7228</v>
      </c>
      <c r="F24346" s="28">
        <v>0.87050000000000005</v>
      </c>
      <c r="G24346" s="28">
        <v>0.7419</v>
      </c>
      <c r="H24346" s="28">
        <v>0.88919999999999999</v>
      </c>
      <c r="I24346" s="29">
        <v>29</v>
      </c>
    </row>
    <row r="24347" spans="1:9" x14ac:dyDescent="0.35">
      <c r="A24347" t="s">
        <v>230</v>
      </c>
      <c r="B24347" t="s">
        <v>245</v>
      </c>
      <c r="C24347">
        <v>7</v>
      </c>
      <c r="D24347" s="26">
        <v>0.24660000000000001</v>
      </c>
      <c r="E24347" s="26">
        <v>7.9000000000000008E-3</v>
      </c>
      <c r="F24347" s="26">
        <v>9.7799999999999998E-2</v>
      </c>
      <c r="H24347" s="26">
        <v>9.3399999999999997E-2</v>
      </c>
      <c r="I24347">
        <v>161</v>
      </c>
    </row>
    <row r="24348" spans="1:9" x14ac:dyDescent="0.35">
      <c r="A24348" t="s">
        <v>230</v>
      </c>
      <c r="B24348" t="s">
        <v>245</v>
      </c>
      <c r="C24348">
        <v>6</v>
      </c>
      <c r="D24348" s="26">
        <v>2.07E-2</v>
      </c>
      <c r="I24348">
        <v>161</v>
      </c>
    </row>
    <row r="24349" spans="1:9" x14ac:dyDescent="0.35">
      <c r="A24349" t="s">
        <v>230</v>
      </c>
      <c r="B24349" t="s">
        <v>245</v>
      </c>
      <c r="C24349">
        <v>5</v>
      </c>
      <c r="D24349" s="26">
        <v>8.0000000000000002E-3</v>
      </c>
      <c r="H24349" s="26">
        <v>3.5000000000000001E-3</v>
      </c>
      <c r="I24349">
        <v>161</v>
      </c>
    </row>
    <row r="24350" spans="1:9" x14ac:dyDescent="0.35">
      <c r="A24350" s="27" t="s">
        <v>230</v>
      </c>
      <c r="B24350" s="27" t="s">
        <v>246</v>
      </c>
      <c r="C24350" s="29">
        <v>7</v>
      </c>
      <c r="D24350" s="28">
        <v>3.7400000000000003E-2</v>
      </c>
      <c r="E24350" s="29"/>
      <c r="F24350" s="29"/>
      <c r="G24350" s="28">
        <v>0.1108</v>
      </c>
      <c r="H24350" s="29"/>
      <c r="I24350" s="29">
        <v>29</v>
      </c>
    </row>
    <row r="24351" spans="1:9" x14ac:dyDescent="0.35">
      <c r="A24351" t="s">
        <v>230</v>
      </c>
      <c r="B24351" t="s">
        <v>245</v>
      </c>
      <c r="C24351">
        <v>3</v>
      </c>
      <c r="D24351" s="26">
        <v>1.6E-2</v>
      </c>
      <c r="E24351" s="26">
        <v>1.1000000000000001E-3</v>
      </c>
      <c r="F24351" s="26">
        <v>5.5999999999999999E-3</v>
      </c>
      <c r="H24351" s="26">
        <v>3.32E-2</v>
      </c>
      <c r="I24351">
        <v>161</v>
      </c>
    </row>
    <row r="24352" spans="1:9" x14ac:dyDescent="0.35">
      <c r="A24352" s="27" t="s">
        <v>230</v>
      </c>
      <c r="B24352" s="27" t="s">
        <v>246</v>
      </c>
      <c r="C24352" s="29">
        <v>2</v>
      </c>
      <c r="D24352" s="28">
        <v>3.6499999999999998E-2</v>
      </c>
      <c r="E24352" s="28">
        <v>0.24030000000000001</v>
      </c>
      <c r="F24352" s="28">
        <v>0.1108</v>
      </c>
      <c r="G24352" s="28">
        <v>0.129</v>
      </c>
      <c r="H24352" s="29"/>
      <c r="I24352" s="29">
        <v>29</v>
      </c>
    </row>
    <row r="24353" spans="1:9" x14ac:dyDescent="0.35">
      <c r="A24353" t="s">
        <v>230</v>
      </c>
      <c r="B24353" t="s">
        <v>245</v>
      </c>
      <c r="C24353">
        <v>1</v>
      </c>
      <c r="D24353" s="26">
        <v>1.37E-2</v>
      </c>
      <c r="E24353" s="26">
        <v>0.1198</v>
      </c>
      <c r="H24353" s="26">
        <v>3.5000000000000001E-3</v>
      </c>
      <c r="I24353">
        <v>161</v>
      </c>
    </row>
    <row r="24354" spans="1:9" x14ac:dyDescent="0.35">
      <c r="A24354" t="s">
        <v>230</v>
      </c>
      <c r="B24354" t="s">
        <v>245</v>
      </c>
      <c r="C24354">
        <v>2</v>
      </c>
      <c r="D24354" s="26">
        <v>2.2800000000000001E-2</v>
      </c>
      <c r="E24354" s="26">
        <v>1.26E-2</v>
      </c>
      <c r="F24354" s="26">
        <v>8.1600000000000006E-2</v>
      </c>
      <c r="H24354" s="26">
        <v>0.1081</v>
      </c>
      <c r="I24354">
        <v>161</v>
      </c>
    </row>
    <row r="24355" spans="1:9" x14ac:dyDescent="0.35">
      <c r="A24355" t="s">
        <v>230</v>
      </c>
      <c r="B24355" t="s">
        <v>244</v>
      </c>
      <c r="C24355">
        <v>1</v>
      </c>
      <c r="D24355" s="26">
        <v>3.6200000000000003E-2</v>
      </c>
      <c r="E24355" s="26">
        <v>3.5799999999999998E-2</v>
      </c>
      <c r="F24355" s="26">
        <v>1.04E-2</v>
      </c>
      <c r="G24355" s="26">
        <v>7.7999999999999996E-3</v>
      </c>
      <c r="H24355" s="26">
        <v>6.0000000000000001E-3</v>
      </c>
      <c r="I24355">
        <v>370</v>
      </c>
    </row>
    <row r="24356" spans="1:9" x14ac:dyDescent="0.35">
      <c r="A24356" t="s">
        <v>230</v>
      </c>
      <c r="B24356" t="s">
        <v>244</v>
      </c>
      <c r="C24356">
        <v>2</v>
      </c>
      <c r="D24356" s="26">
        <v>6.5799999999999997E-2</v>
      </c>
      <c r="E24356" s="26">
        <v>2.53E-2</v>
      </c>
      <c r="F24356" s="26">
        <v>4.8500000000000001E-2</v>
      </c>
      <c r="G24356" s="26">
        <v>2.1499999999999998E-2</v>
      </c>
      <c r="H24356" s="26">
        <v>2.9700000000000001E-2</v>
      </c>
      <c r="I24356">
        <v>370</v>
      </c>
    </row>
    <row r="24357" spans="1:9" x14ac:dyDescent="0.35">
      <c r="A24357" t="s">
        <v>230</v>
      </c>
      <c r="B24357" t="s">
        <v>244</v>
      </c>
      <c r="C24357">
        <v>3</v>
      </c>
      <c r="D24357" s="26">
        <v>9.64E-2</v>
      </c>
      <c r="E24357" s="26">
        <v>1.24E-2</v>
      </c>
      <c r="F24357" s="26">
        <v>8.6E-3</v>
      </c>
      <c r="G24357" s="26">
        <v>1.2500000000000001E-2</v>
      </c>
      <c r="H24357" s="26">
        <v>1.77E-2</v>
      </c>
      <c r="I24357">
        <v>370</v>
      </c>
    </row>
    <row r="24358" spans="1:9" x14ac:dyDescent="0.35">
      <c r="A24358" t="s">
        <v>230</v>
      </c>
      <c r="B24358" t="s">
        <v>244</v>
      </c>
      <c r="C24358">
        <v>0</v>
      </c>
      <c r="D24358" s="26">
        <v>0.68179999999999996</v>
      </c>
      <c r="E24358" s="26">
        <v>0.90700000000000003</v>
      </c>
      <c r="F24358" s="26">
        <v>0.90669999999999995</v>
      </c>
      <c r="G24358" s="26">
        <v>0.91600000000000004</v>
      </c>
      <c r="H24358" s="26">
        <v>0.91259999999999997</v>
      </c>
      <c r="I24358">
        <v>370</v>
      </c>
    </row>
    <row r="24359" spans="1:9" x14ac:dyDescent="0.35">
      <c r="A24359" t="s">
        <v>230</v>
      </c>
      <c r="B24359" t="s">
        <v>244</v>
      </c>
      <c r="C24359">
        <v>5</v>
      </c>
      <c r="D24359" s="26">
        <v>9.9000000000000008E-3</v>
      </c>
      <c r="E24359" s="26">
        <v>9.1000000000000004E-3</v>
      </c>
      <c r="F24359" s="26">
        <v>2.5999999999999999E-3</v>
      </c>
      <c r="I24359">
        <v>370</v>
      </c>
    </row>
    <row r="24360" spans="1:9" x14ac:dyDescent="0.35">
      <c r="A24360" t="s">
        <v>230</v>
      </c>
      <c r="B24360" t="s">
        <v>244</v>
      </c>
      <c r="C24360">
        <v>6</v>
      </c>
      <c r="D24360" s="26">
        <v>9.1000000000000004E-3</v>
      </c>
      <c r="F24360" s="26">
        <v>2.5999999999999999E-3</v>
      </c>
      <c r="H24360" s="26">
        <v>1.2999999999999999E-3</v>
      </c>
      <c r="I24360">
        <v>370</v>
      </c>
    </row>
    <row r="24361" spans="1:9" x14ac:dyDescent="0.35">
      <c r="A24361" t="s">
        <v>230</v>
      </c>
      <c r="B24361" t="s">
        <v>244</v>
      </c>
      <c r="C24361">
        <v>7</v>
      </c>
      <c r="D24361" s="26">
        <v>8.8400000000000006E-2</v>
      </c>
      <c r="E24361" s="26">
        <v>9.1000000000000004E-3</v>
      </c>
      <c r="F24361" s="26">
        <v>9.7999999999999997E-3</v>
      </c>
      <c r="G24361" s="26">
        <v>2.3199999999999998E-2</v>
      </c>
      <c r="H24361" s="26">
        <v>2.1899999999999999E-2</v>
      </c>
      <c r="I24361">
        <v>370</v>
      </c>
    </row>
    <row r="24362" spans="1:9" x14ac:dyDescent="0.35">
      <c r="A24362" t="s">
        <v>230</v>
      </c>
      <c r="B24362" t="s">
        <v>245</v>
      </c>
      <c r="C24362">
        <v>0</v>
      </c>
      <c r="D24362" s="26">
        <v>0.65710000000000002</v>
      </c>
      <c r="E24362" s="26">
        <v>0.8518</v>
      </c>
      <c r="F24362" s="26">
        <v>0.78180000000000005</v>
      </c>
      <c r="G24362" s="26">
        <v>1</v>
      </c>
      <c r="H24362" s="26">
        <v>0.75039999999999996</v>
      </c>
      <c r="I24362">
        <v>161</v>
      </c>
    </row>
    <row r="24363" spans="1:9" x14ac:dyDescent="0.35">
      <c r="A24363" t="s">
        <v>230</v>
      </c>
      <c r="B24363" t="s">
        <v>244</v>
      </c>
      <c r="C24363">
        <v>4</v>
      </c>
      <c r="D24363" s="26">
        <v>1.24E-2</v>
      </c>
      <c r="E24363" s="26">
        <v>1.2999999999999999E-3</v>
      </c>
      <c r="F24363" s="26">
        <v>1.0800000000000001E-2</v>
      </c>
      <c r="G24363" s="26">
        <v>1.89E-2</v>
      </c>
      <c r="H24363" s="26">
        <v>1.0800000000000001E-2</v>
      </c>
      <c r="I24363">
        <v>370</v>
      </c>
    </row>
    <row r="24364" spans="1:9" x14ac:dyDescent="0.35">
      <c r="A24364" s="27" t="s">
        <v>231</v>
      </c>
      <c r="B24364" s="27" t="s">
        <v>246</v>
      </c>
      <c r="C24364" s="29">
        <v>7</v>
      </c>
      <c r="D24364" s="28">
        <v>7.6899999999999996E-2</v>
      </c>
      <c r="E24364" s="29"/>
      <c r="F24364" s="28">
        <v>7.6899999999999996E-2</v>
      </c>
      <c r="G24364" s="29"/>
      <c r="H24364" s="29"/>
      <c r="I24364" s="29">
        <v>13</v>
      </c>
    </row>
    <row r="24365" spans="1:9" x14ac:dyDescent="0.35">
      <c r="A24365" s="27" t="s">
        <v>231</v>
      </c>
      <c r="B24365" s="27" t="s">
        <v>246</v>
      </c>
      <c r="C24365" s="29">
        <v>3</v>
      </c>
      <c r="D24365" s="28">
        <v>7.6899999999999996E-2</v>
      </c>
      <c r="E24365" s="28">
        <v>7.6899999999999996E-2</v>
      </c>
      <c r="F24365" s="29"/>
      <c r="G24365" s="29"/>
      <c r="H24365" s="28">
        <v>7.6899999999999996E-2</v>
      </c>
      <c r="I24365" s="29">
        <v>13</v>
      </c>
    </row>
    <row r="24366" spans="1:9" x14ac:dyDescent="0.35">
      <c r="A24366" s="27" t="s">
        <v>231</v>
      </c>
      <c r="B24366" s="27" t="s">
        <v>246</v>
      </c>
      <c r="C24366" s="29">
        <v>2</v>
      </c>
      <c r="D24366" s="28">
        <v>0.15379999999999999</v>
      </c>
      <c r="E24366" s="29"/>
      <c r="F24366" s="29"/>
      <c r="G24366" s="29"/>
      <c r="H24366" s="29"/>
      <c r="I24366" s="29">
        <v>13</v>
      </c>
    </row>
    <row r="24367" spans="1:9" x14ac:dyDescent="0.35">
      <c r="A24367" s="27" t="s">
        <v>231</v>
      </c>
      <c r="B24367" s="27" t="s">
        <v>246</v>
      </c>
      <c r="C24367" s="29">
        <v>0</v>
      </c>
      <c r="D24367" s="28">
        <v>0.69230000000000003</v>
      </c>
      <c r="E24367" s="28">
        <v>0.92310000000000003</v>
      </c>
      <c r="F24367" s="28">
        <v>0.84619999999999995</v>
      </c>
      <c r="G24367" s="28">
        <v>0.84619999999999995</v>
      </c>
      <c r="H24367" s="28">
        <v>0.84619999999999995</v>
      </c>
      <c r="I24367" s="29">
        <v>13</v>
      </c>
    </row>
    <row r="24368" spans="1:9" x14ac:dyDescent="0.35">
      <c r="A24368" t="s">
        <v>231</v>
      </c>
      <c r="B24368" t="s">
        <v>245</v>
      </c>
      <c r="C24368">
        <v>7</v>
      </c>
      <c r="D24368" s="26">
        <v>0.17860000000000001</v>
      </c>
      <c r="E24368" s="26">
        <v>1.7899999999999999E-2</v>
      </c>
      <c r="F24368" s="26">
        <v>5.3600000000000002E-2</v>
      </c>
      <c r="G24368" s="26">
        <v>1.7899999999999999E-2</v>
      </c>
      <c r="H24368" s="26">
        <v>0.125</v>
      </c>
      <c r="I24368">
        <v>56</v>
      </c>
    </row>
    <row r="24369" spans="1:9" x14ac:dyDescent="0.35">
      <c r="A24369" t="s">
        <v>231</v>
      </c>
      <c r="B24369" t="s">
        <v>245</v>
      </c>
      <c r="C24369">
        <v>5</v>
      </c>
      <c r="D24369" s="26">
        <v>3.5700000000000003E-2</v>
      </c>
      <c r="E24369" s="26">
        <v>1.7899999999999999E-2</v>
      </c>
      <c r="F24369" s="26">
        <v>1.7899999999999999E-2</v>
      </c>
      <c r="H24369" s="26">
        <v>1.7899999999999999E-2</v>
      </c>
      <c r="I24369">
        <v>56</v>
      </c>
    </row>
    <row r="24370" spans="1:9" x14ac:dyDescent="0.35">
      <c r="A24370" t="s">
        <v>231</v>
      </c>
      <c r="B24370" t="s">
        <v>245</v>
      </c>
      <c r="C24370">
        <v>3</v>
      </c>
      <c r="D24370" s="26">
        <v>5.3600000000000002E-2</v>
      </c>
      <c r="E24370" s="26">
        <v>3.5700000000000003E-2</v>
      </c>
      <c r="F24370" s="26">
        <v>7.1400000000000005E-2</v>
      </c>
      <c r="H24370" s="26">
        <v>5.3600000000000002E-2</v>
      </c>
      <c r="I24370">
        <v>56</v>
      </c>
    </row>
    <row r="24371" spans="1:9" x14ac:dyDescent="0.35">
      <c r="A24371" t="s">
        <v>231</v>
      </c>
      <c r="B24371" t="s">
        <v>245</v>
      </c>
      <c r="C24371">
        <v>2</v>
      </c>
      <c r="D24371" s="26">
        <v>0.16070000000000001</v>
      </c>
      <c r="F24371" s="26">
        <v>5.3600000000000002E-2</v>
      </c>
      <c r="H24371" s="26">
        <v>3.5700000000000003E-2</v>
      </c>
      <c r="I24371">
        <v>56</v>
      </c>
    </row>
    <row r="24372" spans="1:9" x14ac:dyDescent="0.35">
      <c r="A24372" t="s">
        <v>231</v>
      </c>
      <c r="B24372" t="s">
        <v>244</v>
      </c>
      <c r="C24372">
        <v>7</v>
      </c>
      <c r="D24372" s="26">
        <v>7.3700000000000002E-2</v>
      </c>
      <c r="F24372" s="26">
        <v>3.1600000000000003E-2</v>
      </c>
      <c r="G24372" s="26">
        <v>2.1100000000000001E-2</v>
      </c>
      <c r="H24372" s="26">
        <v>4.2099999999999999E-2</v>
      </c>
      <c r="I24372">
        <v>95</v>
      </c>
    </row>
    <row r="24373" spans="1:9" x14ac:dyDescent="0.35">
      <c r="A24373" t="s">
        <v>231</v>
      </c>
      <c r="B24373" t="s">
        <v>245</v>
      </c>
      <c r="C24373">
        <v>0</v>
      </c>
      <c r="D24373" s="26">
        <v>0.51790000000000003</v>
      </c>
      <c r="E24373" s="26">
        <v>0.85709999999999997</v>
      </c>
      <c r="F24373" s="26">
        <v>0.75</v>
      </c>
      <c r="G24373" s="26">
        <v>0.98209999999999997</v>
      </c>
      <c r="H24373" s="26">
        <v>0.69640000000000002</v>
      </c>
      <c r="I24373">
        <v>56</v>
      </c>
    </row>
    <row r="24374" spans="1:9" x14ac:dyDescent="0.35">
      <c r="A24374" t="s">
        <v>231</v>
      </c>
      <c r="B24374" t="s">
        <v>244</v>
      </c>
      <c r="C24374">
        <v>5</v>
      </c>
      <c r="D24374" s="26">
        <v>5.2600000000000001E-2</v>
      </c>
      <c r="F24374" s="26">
        <v>3.1600000000000003E-2</v>
      </c>
      <c r="H24374" s="26">
        <v>1.0500000000000001E-2</v>
      </c>
      <c r="I24374">
        <v>95</v>
      </c>
    </row>
    <row r="24375" spans="1:9" x14ac:dyDescent="0.35">
      <c r="A24375" t="s">
        <v>231</v>
      </c>
      <c r="B24375" t="s">
        <v>244</v>
      </c>
      <c r="C24375">
        <v>4</v>
      </c>
      <c r="D24375" s="26">
        <v>4.2099999999999999E-2</v>
      </c>
      <c r="F24375" s="26">
        <v>2.1100000000000001E-2</v>
      </c>
      <c r="G24375" s="26">
        <v>2.1100000000000001E-2</v>
      </c>
      <c r="H24375" s="26">
        <v>1.0500000000000001E-2</v>
      </c>
      <c r="I24375">
        <v>95</v>
      </c>
    </row>
    <row r="24376" spans="1:9" x14ac:dyDescent="0.35">
      <c r="A24376" t="s">
        <v>231</v>
      </c>
      <c r="B24376" t="s">
        <v>244</v>
      </c>
      <c r="C24376">
        <v>3</v>
      </c>
      <c r="D24376" s="26">
        <v>7.3700000000000002E-2</v>
      </c>
      <c r="E24376" s="26">
        <v>4.2099999999999999E-2</v>
      </c>
      <c r="F24376" s="26">
        <v>1.0500000000000001E-2</v>
      </c>
      <c r="G24376" s="26">
        <v>1.0500000000000001E-2</v>
      </c>
      <c r="I24376">
        <v>95</v>
      </c>
    </row>
    <row r="24377" spans="1:9" x14ac:dyDescent="0.35">
      <c r="A24377" t="s">
        <v>231</v>
      </c>
      <c r="B24377" t="s">
        <v>244</v>
      </c>
      <c r="C24377">
        <v>2</v>
      </c>
      <c r="D24377" s="26">
        <v>4.2099999999999999E-2</v>
      </c>
      <c r="E24377" s="26">
        <v>4.2099999999999999E-2</v>
      </c>
      <c r="F24377" s="26">
        <v>3.1600000000000003E-2</v>
      </c>
      <c r="G24377" s="26">
        <v>1.0500000000000001E-2</v>
      </c>
      <c r="H24377" s="26">
        <v>3.1600000000000003E-2</v>
      </c>
      <c r="I24377">
        <v>95</v>
      </c>
    </row>
    <row r="24378" spans="1:9" x14ac:dyDescent="0.35">
      <c r="A24378" t="s">
        <v>231</v>
      </c>
      <c r="B24378" t="s">
        <v>244</v>
      </c>
      <c r="C24378">
        <v>1</v>
      </c>
      <c r="D24378" s="26">
        <v>4.2099999999999999E-2</v>
      </c>
      <c r="E24378" s="26">
        <v>2.1100000000000001E-2</v>
      </c>
      <c r="F24378" s="26">
        <v>1.0500000000000001E-2</v>
      </c>
      <c r="G24378" s="26">
        <v>1.0500000000000001E-2</v>
      </c>
      <c r="H24378" s="26">
        <v>2.1100000000000001E-2</v>
      </c>
      <c r="I24378">
        <v>95</v>
      </c>
    </row>
    <row r="24379" spans="1:9" x14ac:dyDescent="0.35">
      <c r="A24379" t="s">
        <v>231</v>
      </c>
      <c r="B24379" t="s">
        <v>244</v>
      </c>
      <c r="C24379">
        <v>0</v>
      </c>
      <c r="D24379" s="26">
        <v>0.67369999999999997</v>
      </c>
      <c r="E24379" s="26">
        <v>0.88419999999999999</v>
      </c>
      <c r="F24379" s="26">
        <v>0.86319999999999997</v>
      </c>
      <c r="G24379" s="26">
        <v>0.91579999999999995</v>
      </c>
      <c r="H24379" s="26">
        <v>0.87370000000000003</v>
      </c>
      <c r="I24379">
        <v>95</v>
      </c>
    </row>
    <row r="24380" spans="1:9" x14ac:dyDescent="0.35">
      <c r="A24380" t="s">
        <v>231</v>
      </c>
      <c r="B24380" t="s">
        <v>245</v>
      </c>
      <c r="C24380">
        <v>1</v>
      </c>
      <c r="D24380" s="26">
        <v>5.3600000000000002E-2</v>
      </c>
      <c r="E24380" s="26">
        <v>7.1400000000000005E-2</v>
      </c>
      <c r="F24380" s="26">
        <v>3.5700000000000003E-2</v>
      </c>
      <c r="H24380" s="26">
        <v>7.1400000000000005E-2</v>
      </c>
      <c r="I24380">
        <v>56</v>
      </c>
    </row>
    <row r="24381" spans="1:9" x14ac:dyDescent="0.35">
      <c r="A24381" t="s">
        <v>232</v>
      </c>
      <c r="B24381" t="s">
        <v>232</v>
      </c>
      <c r="C24381">
        <v>6</v>
      </c>
      <c r="D24381" s="26">
        <v>2.8E-3</v>
      </c>
      <c r="E24381" s="26">
        <v>1.6999999999999999E-3</v>
      </c>
      <c r="F24381" s="26">
        <v>4.0000000000000002E-4</v>
      </c>
      <c r="G24381" s="26">
        <v>2.3999999999999998E-3</v>
      </c>
      <c r="H24381" s="26">
        <v>1.8E-3</v>
      </c>
      <c r="I24381">
        <v>2813</v>
      </c>
    </row>
    <row r="24382" spans="1:9" x14ac:dyDescent="0.35">
      <c r="A24382" t="s">
        <v>232</v>
      </c>
      <c r="B24382" t="s">
        <v>232</v>
      </c>
      <c r="C24382">
        <v>0</v>
      </c>
      <c r="D24382" s="26">
        <v>0.66559999999999997</v>
      </c>
      <c r="E24382" s="26">
        <v>0.89839999999999998</v>
      </c>
      <c r="F24382" s="26">
        <v>0.85399999999999998</v>
      </c>
      <c r="G24382" s="26">
        <v>0.94440000000000002</v>
      </c>
      <c r="H24382" s="26">
        <v>0.86960000000000004</v>
      </c>
      <c r="I24382">
        <v>2813</v>
      </c>
    </row>
    <row r="24383" spans="1:9" x14ac:dyDescent="0.35">
      <c r="A24383" t="s">
        <v>232</v>
      </c>
      <c r="B24383" t="s">
        <v>232</v>
      </c>
      <c r="C24383">
        <v>1</v>
      </c>
      <c r="D24383" s="26">
        <v>2.9700000000000001E-2</v>
      </c>
      <c r="E24383" s="26">
        <v>4.2799999999999998E-2</v>
      </c>
      <c r="F24383" s="26">
        <v>1.67E-2</v>
      </c>
      <c r="G24383" s="26">
        <v>5.1000000000000004E-3</v>
      </c>
      <c r="H24383" s="26">
        <v>1.7999999999999999E-2</v>
      </c>
      <c r="I24383">
        <v>2813</v>
      </c>
    </row>
    <row r="24384" spans="1:9" x14ac:dyDescent="0.35">
      <c r="A24384" t="s">
        <v>232</v>
      </c>
      <c r="B24384" t="s">
        <v>232</v>
      </c>
      <c r="C24384">
        <v>2</v>
      </c>
      <c r="D24384" s="26">
        <v>8.6699999999999999E-2</v>
      </c>
      <c r="E24384" s="26">
        <v>2.4799999999999999E-2</v>
      </c>
      <c r="F24384" s="26">
        <v>3.5400000000000001E-2</v>
      </c>
      <c r="G24384" s="26">
        <v>1.1900000000000001E-2</v>
      </c>
      <c r="H24384" s="26">
        <v>2.6700000000000002E-2</v>
      </c>
      <c r="I24384">
        <v>2813</v>
      </c>
    </row>
    <row r="24385" spans="1:9" x14ac:dyDescent="0.35">
      <c r="A24385" t="s">
        <v>232</v>
      </c>
      <c r="B24385" t="s">
        <v>232</v>
      </c>
      <c r="C24385">
        <v>3</v>
      </c>
      <c r="D24385" s="26">
        <v>5.8700000000000002E-2</v>
      </c>
      <c r="E24385" s="26">
        <v>1.9300000000000001E-2</v>
      </c>
      <c r="F24385" s="26">
        <v>2.5999999999999999E-2</v>
      </c>
      <c r="G24385" s="26">
        <v>1.0200000000000001E-2</v>
      </c>
      <c r="H24385" s="26">
        <v>2.1299999999999999E-2</v>
      </c>
      <c r="I24385">
        <v>2813</v>
      </c>
    </row>
    <row r="24386" spans="1:9" x14ac:dyDescent="0.35">
      <c r="A24386" t="s">
        <v>232</v>
      </c>
      <c r="B24386" t="s">
        <v>232</v>
      </c>
      <c r="C24386">
        <v>4</v>
      </c>
      <c r="D24386" s="26">
        <v>2.4E-2</v>
      </c>
      <c r="E24386" s="26">
        <v>1.6000000000000001E-3</v>
      </c>
      <c r="F24386" s="26">
        <v>1.38E-2</v>
      </c>
      <c r="G24386" s="26">
        <v>1.01E-2</v>
      </c>
      <c r="H24386" s="26">
        <v>1.0200000000000001E-2</v>
      </c>
      <c r="I24386">
        <v>2813</v>
      </c>
    </row>
    <row r="24387" spans="1:9" x14ac:dyDescent="0.35">
      <c r="A24387" t="s">
        <v>232</v>
      </c>
      <c r="B24387" t="s">
        <v>232</v>
      </c>
      <c r="C24387">
        <v>5</v>
      </c>
      <c r="D24387" s="26">
        <v>2.1700000000000001E-2</v>
      </c>
      <c r="E24387" s="26">
        <v>2.8E-3</v>
      </c>
      <c r="F24387" s="26">
        <v>8.8000000000000005E-3</v>
      </c>
      <c r="G24387" s="26">
        <v>8.9999999999999998E-4</v>
      </c>
      <c r="H24387" s="26">
        <v>7.9000000000000008E-3</v>
      </c>
      <c r="I24387">
        <v>2813</v>
      </c>
    </row>
    <row r="24388" spans="1:9" x14ac:dyDescent="0.35">
      <c r="A24388" t="s">
        <v>232</v>
      </c>
      <c r="B24388" t="s">
        <v>232</v>
      </c>
      <c r="C24388">
        <v>7</v>
      </c>
      <c r="D24388" s="26">
        <v>0.1108</v>
      </c>
      <c r="E24388" s="26">
        <v>8.6E-3</v>
      </c>
      <c r="F24388" s="26">
        <v>4.5100000000000001E-2</v>
      </c>
      <c r="G24388" s="26">
        <v>1.4999999999999999E-2</v>
      </c>
      <c r="H24388" s="26">
        <v>4.4600000000000001E-2</v>
      </c>
      <c r="I24388">
        <v>2813</v>
      </c>
    </row>
    <row r="24390" spans="1:9" x14ac:dyDescent="0.35">
      <c r="A24390" s="1" t="s">
        <v>2272</v>
      </c>
    </row>
    <row r="24391" spans="1:9" x14ac:dyDescent="0.35">
      <c r="A24391" t="s">
        <v>219</v>
      </c>
      <c r="B24391" t="s">
        <v>305</v>
      </c>
      <c r="C24391" t="s">
        <v>1270</v>
      </c>
      <c r="D24391" t="s">
        <v>2264</v>
      </c>
      <c r="E24391" t="s">
        <v>2265</v>
      </c>
      <c r="F24391" t="s">
        <v>2266</v>
      </c>
      <c r="G24391" t="s">
        <v>2267</v>
      </c>
      <c r="H24391" t="s">
        <v>2268</v>
      </c>
      <c r="I24391" t="s">
        <v>964</v>
      </c>
    </row>
    <row r="24392" spans="1:9" x14ac:dyDescent="0.35">
      <c r="A24392" t="s">
        <v>227</v>
      </c>
      <c r="B24392" t="s">
        <v>360</v>
      </c>
      <c r="C24392">
        <v>0</v>
      </c>
      <c r="D24392" s="26">
        <v>0.46150000000000002</v>
      </c>
      <c r="E24392" s="26">
        <v>0.87180000000000002</v>
      </c>
      <c r="F24392" s="26">
        <v>0.84619999999999995</v>
      </c>
      <c r="G24392" s="26">
        <v>0.89739999999999998</v>
      </c>
      <c r="H24392" s="26">
        <v>0.87180000000000002</v>
      </c>
      <c r="I24392">
        <v>39</v>
      </c>
    </row>
    <row r="24393" spans="1:9" x14ac:dyDescent="0.35">
      <c r="A24393" t="s">
        <v>227</v>
      </c>
      <c r="B24393" t="s">
        <v>363</v>
      </c>
      <c r="C24393">
        <v>7</v>
      </c>
      <c r="D24393" s="26">
        <v>6.6699999999999995E-2</v>
      </c>
      <c r="E24393" s="26">
        <v>2.2200000000000001E-2</v>
      </c>
      <c r="F24393" s="26">
        <v>4.4400000000000002E-2</v>
      </c>
      <c r="H24393" s="26">
        <v>2.2200000000000001E-2</v>
      </c>
      <c r="I24393">
        <v>45</v>
      </c>
    </row>
    <row r="24394" spans="1:9" x14ac:dyDescent="0.35">
      <c r="A24394" t="s">
        <v>227</v>
      </c>
      <c r="B24394" t="s">
        <v>363</v>
      </c>
      <c r="C24394">
        <v>3</v>
      </c>
      <c r="D24394" s="26">
        <v>6.6699999999999995E-2</v>
      </c>
      <c r="I24394">
        <v>45</v>
      </c>
    </row>
    <row r="24395" spans="1:9" x14ac:dyDescent="0.35">
      <c r="A24395" t="s">
        <v>227</v>
      </c>
      <c r="B24395" t="s">
        <v>363</v>
      </c>
      <c r="C24395">
        <v>2</v>
      </c>
      <c r="D24395" s="26">
        <v>4.4400000000000002E-2</v>
      </c>
      <c r="F24395" s="26">
        <v>2.2200000000000001E-2</v>
      </c>
      <c r="I24395">
        <v>45</v>
      </c>
    </row>
    <row r="24396" spans="1:9" x14ac:dyDescent="0.35">
      <c r="A24396" t="s">
        <v>227</v>
      </c>
      <c r="B24396" t="s">
        <v>363</v>
      </c>
      <c r="C24396">
        <v>1</v>
      </c>
      <c r="D24396" s="26">
        <v>6.6699999999999995E-2</v>
      </c>
      <c r="E24396" s="26">
        <v>4.4400000000000002E-2</v>
      </c>
      <c r="F24396" s="26">
        <v>2.2200000000000001E-2</v>
      </c>
      <c r="I24396">
        <v>45</v>
      </c>
    </row>
    <row r="24397" spans="1:9" x14ac:dyDescent="0.35">
      <c r="A24397" t="s">
        <v>227</v>
      </c>
      <c r="B24397" t="s">
        <v>363</v>
      </c>
      <c r="C24397">
        <v>0</v>
      </c>
      <c r="D24397" s="26">
        <v>0.73329999999999995</v>
      </c>
      <c r="E24397" s="26">
        <v>0.93330000000000002</v>
      </c>
      <c r="F24397" s="26">
        <v>0.88890000000000002</v>
      </c>
      <c r="G24397" s="26">
        <v>0.9778</v>
      </c>
      <c r="H24397" s="26">
        <v>0.9556</v>
      </c>
      <c r="I24397">
        <v>45</v>
      </c>
    </row>
    <row r="24398" spans="1:9" x14ac:dyDescent="0.35">
      <c r="A24398" t="s">
        <v>227</v>
      </c>
      <c r="B24398" t="s">
        <v>362</v>
      </c>
      <c r="C24398">
        <v>7</v>
      </c>
      <c r="D24398" s="26">
        <v>0.1351</v>
      </c>
      <c r="F24398" s="26">
        <v>0.1081</v>
      </c>
      <c r="H24398" s="26">
        <v>5.4100000000000002E-2</v>
      </c>
      <c r="I24398">
        <v>37</v>
      </c>
    </row>
    <row r="24399" spans="1:9" x14ac:dyDescent="0.35">
      <c r="A24399" t="s">
        <v>227</v>
      </c>
      <c r="B24399" t="s">
        <v>362</v>
      </c>
      <c r="C24399">
        <v>3</v>
      </c>
      <c r="D24399" s="26">
        <v>0.1081</v>
      </c>
      <c r="F24399" s="26">
        <v>2.7E-2</v>
      </c>
      <c r="I24399">
        <v>37</v>
      </c>
    </row>
    <row r="24400" spans="1:9" x14ac:dyDescent="0.35">
      <c r="A24400" t="s">
        <v>227</v>
      </c>
      <c r="B24400" t="s">
        <v>362</v>
      </c>
      <c r="C24400">
        <v>2</v>
      </c>
      <c r="D24400" s="26">
        <v>2.7E-2</v>
      </c>
      <c r="E24400" s="26">
        <v>8.1100000000000005E-2</v>
      </c>
      <c r="F24400" s="26">
        <v>2.7E-2</v>
      </c>
      <c r="G24400" s="26">
        <v>2.7E-2</v>
      </c>
      <c r="H24400" s="26">
        <v>2.7E-2</v>
      </c>
      <c r="I24400">
        <v>37</v>
      </c>
    </row>
    <row r="24401" spans="1:9" x14ac:dyDescent="0.35">
      <c r="A24401" t="s">
        <v>227</v>
      </c>
      <c r="B24401" t="s">
        <v>363</v>
      </c>
      <c r="C24401">
        <v>4</v>
      </c>
      <c r="D24401" s="26">
        <v>2.2200000000000001E-2</v>
      </c>
      <c r="F24401" s="26">
        <v>2.2200000000000001E-2</v>
      </c>
      <c r="G24401" s="26">
        <v>2.2200000000000001E-2</v>
      </c>
      <c r="H24401" s="26">
        <v>2.2200000000000001E-2</v>
      </c>
      <c r="I24401">
        <v>45</v>
      </c>
    </row>
    <row r="24402" spans="1:9" x14ac:dyDescent="0.35">
      <c r="A24402" t="s">
        <v>227</v>
      </c>
      <c r="B24402" t="s">
        <v>362</v>
      </c>
      <c r="C24402">
        <v>0</v>
      </c>
      <c r="D24402" s="26">
        <v>0.67569999999999997</v>
      </c>
      <c r="E24402" s="26">
        <v>0.91890000000000005</v>
      </c>
      <c r="F24402" s="26">
        <v>0.81079999999999997</v>
      </c>
      <c r="G24402" s="26">
        <v>0.97299999999999998</v>
      </c>
      <c r="H24402" s="26">
        <v>0.8649</v>
      </c>
      <c r="I24402">
        <v>37</v>
      </c>
    </row>
    <row r="24403" spans="1:9" x14ac:dyDescent="0.35">
      <c r="A24403" t="s">
        <v>227</v>
      </c>
      <c r="B24403" t="s">
        <v>361</v>
      </c>
      <c r="C24403">
        <v>7</v>
      </c>
      <c r="D24403" s="26">
        <v>3.1199999999999999E-2</v>
      </c>
      <c r="F24403" s="26">
        <v>3.1199999999999999E-2</v>
      </c>
      <c r="G24403" s="26">
        <v>3.1199999999999999E-2</v>
      </c>
      <c r="H24403" s="26">
        <v>3.1199999999999999E-2</v>
      </c>
      <c r="I24403">
        <v>32</v>
      </c>
    </row>
    <row r="24404" spans="1:9" x14ac:dyDescent="0.35">
      <c r="A24404" t="s">
        <v>227</v>
      </c>
      <c r="B24404" t="s">
        <v>361</v>
      </c>
      <c r="C24404">
        <v>2</v>
      </c>
      <c r="D24404" s="26">
        <v>3.1199999999999999E-2</v>
      </c>
      <c r="E24404" s="26">
        <v>3.1199999999999999E-2</v>
      </c>
      <c r="I24404">
        <v>32</v>
      </c>
    </row>
    <row r="24405" spans="1:9" x14ac:dyDescent="0.35">
      <c r="A24405" t="s">
        <v>227</v>
      </c>
      <c r="B24405" t="s">
        <v>361</v>
      </c>
      <c r="C24405">
        <v>0</v>
      </c>
      <c r="D24405" s="26">
        <v>0.9375</v>
      </c>
      <c r="E24405" s="26">
        <v>0.90620000000000001</v>
      </c>
      <c r="F24405" s="26">
        <v>0.96879999999999999</v>
      </c>
      <c r="G24405" s="26">
        <v>0.96879999999999999</v>
      </c>
      <c r="H24405" s="26">
        <v>0.96879999999999999</v>
      </c>
      <c r="I24405">
        <v>32</v>
      </c>
    </row>
    <row r="24406" spans="1:9" x14ac:dyDescent="0.35">
      <c r="A24406" t="s">
        <v>227</v>
      </c>
      <c r="B24406" t="s">
        <v>360</v>
      </c>
      <c r="C24406">
        <v>7</v>
      </c>
      <c r="D24406" s="26">
        <v>0.15379999999999999</v>
      </c>
      <c r="F24406" s="26">
        <v>2.5600000000000001E-2</v>
      </c>
      <c r="H24406" s="26">
        <v>2.5600000000000001E-2</v>
      </c>
      <c r="I24406">
        <v>39</v>
      </c>
    </row>
    <row r="24407" spans="1:9" x14ac:dyDescent="0.35">
      <c r="A24407" t="s">
        <v>227</v>
      </c>
      <c r="B24407" t="s">
        <v>360</v>
      </c>
      <c r="C24407">
        <v>3</v>
      </c>
      <c r="D24407" s="26">
        <v>0.15379999999999999</v>
      </c>
      <c r="F24407" s="26">
        <v>5.1299999999999998E-2</v>
      </c>
      <c r="G24407" s="26">
        <v>2.5600000000000001E-2</v>
      </c>
      <c r="H24407" s="26">
        <v>2.5600000000000001E-2</v>
      </c>
      <c r="I24407">
        <v>39</v>
      </c>
    </row>
    <row r="24408" spans="1:9" x14ac:dyDescent="0.35">
      <c r="A24408" t="s">
        <v>227</v>
      </c>
      <c r="B24408" t="s">
        <v>360</v>
      </c>
      <c r="C24408">
        <v>2</v>
      </c>
      <c r="D24408" s="26">
        <v>0.23080000000000001</v>
      </c>
      <c r="E24408" s="26">
        <v>5.1299999999999998E-2</v>
      </c>
      <c r="G24408" s="26">
        <v>2.5600000000000001E-2</v>
      </c>
      <c r="H24408" s="26">
        <v>2.5600000000000001E-2</v>
      </c>
      <c r="I24408">
        <v>39</v>
      </c>
    </row>
    <row r="24409" spans="1:9" x14ac:dyDescent="0.35">
      <c r="A24409" t="s">
        <v>227</v>
      </c>
      <c r="B24409" t="s">
        <v>362</v>
      </c>
      <c r="C24409">
        <v>1</v>
      </c>
      <c r="D24409" s="26">
        <v>5.4100000000000002E-2</v>
      </c>
      <c r="F24409" s="26">
        <v>2.7E-2</v>
      </c>
      <c r="I24409">
        <v>37</v>
      </c>
    </row>
    <row r="24410" spans="1:9" x14ac:dyDescent="0.35">
      <c r="A24410" t="s">
        <v>228</v>
      </c>
      <c r="B24410" t="s">
        <v>362</v>
      </c>
      <c r="C24410">
        <v>2</v>
      </c>
      <c r="D24410" s="26">
        <v>8.5900000000000004E-2</v>
      </c>
      <c r="E24410" s="26">
        <v>1.8800000000000001E-2</v>
      </c>
      <c r="F24410" s="26">
        <v>4.19E-2</v>
      </c>
      <c r="G24410" s="26">
        <v>2.9000000000000001E-2</v>
      </c>
      <c r="H24410" s="26">
        <v>1.6500000000000001E-2</v>
      </c>
      <c r="I24410">
        <v>236</v>
      </c>
    </row>
    <row r="24411" spans="1:9" x14ac:dyDescent="0.35">
      <c r="A24411" t="s">
        <v>228</v>
      </c>
      <c r="B24411" t="s">
        <v>362</v>
      </c>
      <c r="C24411">
        <v>3</v>
      </c>
      <c r="D24411" s="26">
        <v>8.9200000000000002E-2</v>
      </c>
      <c r="E24411" s="26">
        <v>3.27E-2</v>
      </c>
      <c r="F24411" s="26">
        <v>2.2100000000000002E-2</v>
      </c>
      <c r="G24411" s="26">
        <v>6.7999999999999996E-3</v>
      </c>
      <c r="H24411" s="26">
        <v>1.9199999999999998E-2</v>
      </c>
      <c r="I24411">
        <v>236</v>
      </c>
    </row>
    <row r="24412" spans="1:9" x14ac:dyDescent="0.35">
      <c r="A24412" t="s">
        <v>228</v>
      </c>
      <c r="B24412" t="s">
        <v>362</v>
      </c>
      <c r="C24412">
        <v>4</v>
      </c>
      <c r="D24412" s="26">
        <v>1.15E-2</v>
      </c>
      <c r="E24412" s="26">
        <v>5.8999999999999999E-3</v>
      </c>
      <c r="F24412" s="26">
        <v>7.4999999999999997E-3</v>
      </c>
      <c r="G24412" s="26">
        <v>1E-3</v>
      </c>
      <c r="H24412" s="26">
        <v>1.8700000000000001E-2</v>
      </c>
      <c r="I24412">
        <v>236</v>
      </c>
    </row>
    <row r="24413" spans="1:9" x14ac:dyDescent="0.35">
      <c r="A24413" t="s">
        <v>228</v>
      </c>
      <c r="B24413" t="s">
        <v>362</v>
      </c>
      <c r="C24413">
        <v>5</v>
      </c>
      <c r="D24413" s="26">
        <v>1.2E-2</v>
      </c>
      <c r="E24413" s="26">
        <v>3.5999999999999999E-3</v>
      </c>
      <c r="G24413" s="26">
        <v>5.0000000000000001E-3</v>
      </c>
      <c r="I24413">
        <v>236</v>
      </c>
    </row>
    <row r="24414" spans="1:9" x14ac:dyDescent="0.35">
      <c r="A24414" t="s">
        <v>228</v>
      </c>
      <c r="B24414" t="s">
        <v>362</v>
      </c>
      <c r="C24414">
        <v>6</v>
      </c>
      <c r="D24414" s="26">
        <v>8.2000000000000007E-3</v>
      </c>
      <c r="F24414" s="26">
        <v>5.0000000000000001E-3</v>
      </c>
      <c r="I24414">
        <v>236</v>
      </c>
    </row>
    <row r="24415" spans="1:9" x14ac:dyDescent="0.35">
      <c r="A24415" t="s">
        <v>228</v>
      </c>
      <c r="B24415" t="s">
        <v>362</v>
      </c>
      <c r="C24415">
        <v>7</v>
      </c>
      <c r="D24415" s="26">
        <v>0.19289999999999999</v>
      </c>
      <c r="E24415" s="26">
        <v>7.1000000000000004E-3</v>
      </c>
      <c r="F24415" s="26">
        <v>6.6900000000000001E-2</v>
      </c>
      <c r="G24415" s="26">
        <v>2.47E-2</v>
      </c>
      <c r="H24415" s="26">
        <v>6.2E-2</v>
      </c>
      <c r="I24415">
        <v>236</v>
      </c>
    </row>
    <row r="24416" spans="1:9" x14ac:dyDescent="0.35">
      <c r="A24416" t="s">
        <v>228</v>
      </c>
      <c r="B24416" t="s">
        <v>363</v>
      </c>
      <c r="C24416">
        <v>3</v>
      </c>
      <c r="D24416" s="26">
        <v>4.2099999999999999E-2</v>
      </c>
      <c r="E24416" s="26">
        <v>1.5E-3</v>
      </c>
      <c r="F24416" s="26">
        <v>2.8199999999999999E-2</v>
      </c>
      <c r="G24416" s="26">
        <v>5.8999999999999999E-3</v>
      </c>
      <c r="H24416" s="26">
        <v>5.8999999999999999E-3</v>
      </c>
      <c r="I24416">
        <v>212</v>
      </c>
    </row>
    <row r="24417" spans="1:9" x14ac:dyDescent="0.35">
      <c r="A24417" t="s">
        <v>228</v>
      </c>
      <c r="B24417" t="s">
        <v>363</v>
      </c>
      <c r="C24417">
        <v>1</v>
      </c>
      <c r="D24417" s="26">
        <v>5.0299999999999997E-2</v>
      </c>
      <c r="E24417" s="26">
        <v>3.6400000000000002E-2</v>
      </c>
      <c r="F24417" s="26">
        <v>1.77E-2</v>
      </c>
      <c r="G24417" s="26">
        <v>1.9199999999999998E-2</v>
      </c>
      <c r="H24417" s="26">
        <v>1.7399999999999999E-2</v>
      </c>
      <c r="I24417">
        <v>212</v>
      </c>
    </row>
    <row r="24418" spans="1:9" x14ac:dyDescent="0.35">
      <c r="A24418" t="s">
        <v>228</v>
      </c>
      <c r="B24418" t="s">
        <v>363</v>
      </c>
      <c r="C24418">
        <v>2</v>
      </c>
      <c r="D24418" s="26">
        <v>8.2400000000000001E-2</v>
      </c>
      <c r="E24418" s="26">
        <v>2.1000000000000001E-2</v>
      </c>
      <c r="F24418" s="26">
        <v>2.1700000000000001E-2</v>
      </c>
      <c r="G24418" s="26">
        <v>1.3899999999999999E-2</v>
      </c>
      <c r="H24418" s="26">
        <v>1.5699999999999999E-2</v>
      </c>
      <c r="I24418">
        <v>212</v>
      </c>
    </row>
    <row r="24419" spans="1:9" x14ac:dyDescent="0.35">
      <c r="A24419" t="s">
        <v>228</v>
      </c>
      <c r="B24419" t="s">
        <v>363</v>
      </c>
      <c r="C24419">
        <v>4</v>
      </c>
      <c r="D24419" s="26">
        <v>1.5699999999999999E-2</v>
      </c>
      <c r="F24419" s="26">
        <v>7.3000000000000001E-3</v>
      </c>
      <c r="H24419" s="26">
        <v>4.8999999999999998E-3</v>
      </c>
      <c r="I24419">
        <v>212</v>
      </c>
    </row>
    <row r="24420" spans="1:9" x14ac:dyDescent="0.35">
      <c r="A24420" t="s">
        <v>228</v>
      </c>
      <c r="B24420" t="s">
        <v>363</v>
      </c>
      <c r="C24420">
        <v>5</v>
      </c>
      <c r="D24420" s="26">
        <v>3.2300000000000002E-2</v>
      </c>
      <c r="G24420" s="26">
        <v>1.6999999999999999E-3</v>
      </c>
      <c r="H24420" s="26">
        <v>7.1999999999999998E-3</v>
      </c>
      <c r="I24420">
        <v>212</v>
      </c>
    </row>
    <row r="24421" spans="1:9" x14ac:dyDescent="0.35">
      <c r="A24421" t="s">
        <v>228</v>
      </c>
      <c r="B24421" t="s">
        <v>363</v>
      </c>
      <c r="C24421">
        <v>7</v>
      </c>
      <c r="D24421" s="26">
        <v>0.1047</v>
      </c>
      <c r="E24421" s="26">
        <v>2.3E-3</v>
      </c>
      <c r="F24421" s="26">
        <v>3.2899999999999999E-2</v>
      </c>
      <c r="G24421" s="26">
        <v>3.2000000000000002E-3</v>
      </c>
      <c r="H24421" s="26">
        <v>2.87E-2</v>
      </c>
      <c r="I24421">
        <v>212</v>
      </c>
    </row>
    <row r="24422" spans="1:9" x14ac:dyDescent="0.35">
      <c r="A24422" t="s">
        <v>228</v>
      </c>
      <c r="B24422" t="s">
        <v>362</v>
      </c>
      <c r="C24422">
        <v>1</v>
      </c>
      <c r="D24422" s="26">
        <v>2.0999999999999999E-3</v>
      </c>
      <c r="E24422" s="26">
        <v>4.3299999999999998E-2</v>
      </c>
      <c r="F24422" s="26">
        <v>2.53E-2</v>
      </c>
      <c r="H24422" s="26">
        <v>2.5600000000000001E-2</v>
      </c>
      <c r="I24422">
        <v>236</v>
      </c>
    </row>
    <row r="24423" spans="1:9" x14ac:dyDescent="0.35">
      <c r="A24423" t="s">
        <v>228</v>
      </c>
      <c r="B24423" t="s">
        <v>363</v>
      </c>
      <c r="C24423">
        <v>0</v>
      </c>
      <c r="D24423" s="26">
        <v>0.67249999999999999</v>
      </c>
      <c r="E24423" s="26">
        <v>0.93879999999999997</v>
      </c>
      <c r="F24423" s="26">
        <v>0.89229999999999998</v>
      </c>
      <c r="G24423" s="26">
        <v>0.95599999999999996</v>
      </c>
      <c r="H24423" s="26">
        <v>0.92020000000000002</v>
      </c>
      <c r="I24423">
        <v>212</v>
      </c>
    </row>
    <row r="24424" spans="1:9" x14ac:dyDescent="0.35">
      <c r="A24424" t="s">
        <v>228</v>
      </c>
      <c r="B24424" t="s">
        <v>362</v>
      </c>
      <c r="C24424">
        <v>0</v>
      </c>
      <c r="D24424" s="26">
        <v>0.59830000000000005</v>
      </c>
      <c r="E24424" s="26">
        <v>0.88849999999999996</v>
      </c>
      <c r="F24424" s="26">
        <v>0.83140000000000003</v>
      </c>
      <c r="G24424" s="26">
        <v>0.93340000000000001</v>
      </c>
      <c r="H24424" s="26">
        <v>0.85799999999999998</v>
      </c>
      <c r="I24424">
        <v>236</v>
      </c>
    </row>
    <row r="24425" spans="1:9" x14ac:dyDescent="0.35">
      <c r="A24425" t="s">
        <v>228</v>
      </c>
      <c r="B24425" t="s">
        <v>361</v>
      </c>
      <c r="C24425">
        <v>4</v>
      </c>
      <c r="D24425" s="26">
        <v>2.98E-2</v>
      </c>
      <c r="E24425" s="26">
        <v>1.38E-2</v>
      </c>
      <c r="F24425" s="26">
        <v>2.3E-3</v>
      </c>
      <c r="H24425" s="26">
        <v>2.3E-3</v>
      </c>
      <c r="I24425">
        <v>194</v>
      </c>
    </row>
    <row r="24426" spans="1:9" x14ac:dyDescent="0.35">
      <c r="A24426" t="s">
        <v>228</v>
      </c>
      <c r="B24426" t="s">
        <v>361</v>
      </c>
      <c r="C24426">
        <v>5</v>
      </c>
      <c r="D24426" s="26">
        <v>3.2000000000000002E-3</v>
      </c>
      <c r="G24426" s="26">
        <v>3.3999999999999998E-3</v>
      </c>
      <c r="I24426">
        <v>194</v>
      </c>
    </row>
    <row r="24427" spans="1:9" x14ac:dyDescent="0.35">
      <c r="A24427" t="s">
        <v>228</v>
      </c>
      <c r="B24427" t="s">
        <v>361</v>
      </c>
      <c r="C24427">
        <v>7</v>
      </c>
      <c r="D24427" s="26">
        <v>1.8100000000000002E-2</v>
      </c>
      <c r="F24427" s="26">
        <v>1.38E-2</v>
      </c>
      <c r="H24427" s="26">
        <v>2.3E-3</v>
      </c>
      <c r="I24427">
        <v>194</v>
      </c>
    </row>
    <row r="24428" spans="1:9" x14ac:dyDescent="0.35">
      <c r="A24428" t="s">
        <v>228</v>
      </c>
      <c r="B24428" t="s">
        <v>360</v>
      </c>
      <c r="C24428">
        <v>1</v>
      </c>
      <c r="D24428" s="26">
        <v>7.8299999999999995E-2</v>
      </c>
      <c r="E24428" s="26">
        <v>6.0100000000000001E-2</v>
      </c>
      <c r="F24428" s="26">
        <v>1.9800000000000002E-2</v>
      </c>
      <c r="G24428" s="26">
        <v>9.1999999999999998E-3</v>
      </c>
      <c r="H24428" s="26">
        <v>1.61E-2</v>
      </c>
      <c r="I24428">
        <v>258</v>
      </c>
    </row>
    <row r="24429" spans="1:9" x14ac:dyDescent="0.35">
      <c r="A24429" t="s">
        <v>228</v>
      </c>
      <c r="B24429" t="s">
        <v>360</v>
      </c>
      <c r="C24429">
        <v>2</v>
      </c>
      <c r="D24429" s="26">
        <v>7.3400000000000007E-2</v>
      </c>
      <c r="E24429" s="26">
        <v>5.0599999999999999E-2</v>
      </c>
      <c r="F24429" s="26">
        <v>3.9899999999999998E-2</v>
      </c>
      <c r="G24429" s="26">
        <v>2.3099999999999999E-2</v>
      </c>
      <c r="H24429" s="26">
        <v>6.6799999999999998E-2</v>
      </c>
      <c r="I24429">
        <v>258</v>
      </c>
    </row>
    <row r="24430" spans="1:9" x14ac:dyDescent="0.35">
      <c r="A24430" t="s">
        <v>228</v>
      </c>
      <c r="B24430" t="s">
        <v>360</v>
      </c>
      <c r="C24430">
        <v>3</v>
      </c>
      <c r="D24430" s="26">
        <v>6.7699999999999996E-2</v>
      </c>
      <c r="E24430" s="26">
        <v>9.4999999999999998E-3</v>
      </c>
      <c r="F24430" s="26">
        <v>3.5900000000000001E-2</v>
      </c>
      <c r="G24430" s="26">
        <v>3.1E-2</v>
      </c>
      <c r="H24430" s="26">
        <v>4.6100000000000002E-2</v>
      </c>
      <c r="I24430">
        <v>258</v>
      </c>
    </row>
    <row r="24431" spans="1:9" x14ac:dyDescent="0.35">
      <c r="A24431" t="s">
        <v>228</v>
      </c>
      <c r="B24431" t="s">
        <v>360</v>
      </c>
      <c r="C24431">
        <v>4</v>
      </c>
      <c r="D24431" s="26">
        <v>3.0200000000000001E-2</v>
      </c>
      <c r="E24431" s="26">
        <v>7.9000000000000008E-3</v>
      </c>
      <c r="F24431" s="26">
        <v>1.14E-2</v>
      </c>
      <c r="G24431" s="26">
        <v>4.8999999999999998E-3</v>
      </c>
      <c r="H24431" s="26">
        <v>8.5000000000000006E-3</v>
      </c>
      <c r="I24431">
        <v>258</v>
      </c>
    </row>
    <row r="24432" spans="1:9" x14ac:dyDescent="0.35">
      <c r="A24432" t="s">
        <v>228</v>
      </c>
      <c r="B24432" t="s">
        <v>360</v>
      </c>
      <c r="C24432">
        <v>5</v>
      </c>
      <c r="D24432" s="26">
        <v>2.5000000000000001E-2</v>
      </c>
      <c r="E24432" s="26">
        <v>3.3E-3</v>
      </c>
      <c r="F24432" s="26">
        <v>1.0500000000000001E-2</v>
      </c>
      <c r="G24432" s="26">
        <v>7.3000000000000001E-3</v>
      </c>
      <c r="H24432" s="26">
        <v>1.18E-2</v>
      </c>
      <c r="I24432">
        <v>258</v>
      </c>
    </row>
    <row r="24433" spans="1:9" x14ac:dyDescent="0.35">
      <c r="A24433" t="s">
        <v>228</v>
      </c>
      <c r="B24433" t="s">
        <v>360</v>
      </c>
      <c r="C24433">
        <v>0</v>
      </c>
      <c r="D24433" s="26">
        <v>0.46899999999999997</v>
      </c>
      <c r="E24433" s="26">
        <v>0.81799999999999995</v>
      </c>
      <c r="F24433" s="26">
        <v>0.78100000000000003</v>
      </c>
      <c r="G24433" s="26">
        <v>0.85799999999999998</v>
      </c>
      <c r="H24433" s="26">
        <v>0.75539999999999996</v>
      </c>
      <c r="I24433">
        <v>258</v>
      </c>
    </row>
    <row r="24434" spans="1:9" x14ac:dyDescent="0.35">
      <c r="A24434" t="s">
        <v>228</v>
      </c>
      <c r="B24434" t="s">
        <v>360</v>
      </c>
      <c r="C24434">
        <v>7</v>
      </c>
      <c r="D24434" s="26">
        <v>0.25509999999999999</v>
      </c>
      <c r="E24434" s="26">
        <v>5.0599999999999999E-2</v>
      </c>
      <c r="F24434" s="26">
        <v>0.1014</v>
      </c>
      <c r="G24434" s="26">
        <v>6.6400000000000001E-2</v>
      </c>
      <c r="H24434" s="26">
        <v>9.5299999999999996E-2</v>
      </c>
      <c r="I24434">
        <v>258</v>
      </c>
    </row>
    <row r="24435" spans="1:9" x14ac:dyDescent="0.35">
      <c r="A24435" t="s">
        <v>228</v>
      </c>
      <c r="B24435" t="s">
        <v>361</v>
      </c>
      <c r="C24435">
        <v>0</v>
      </c>
      <c r="D24435" s="26">
        <v>0.85329999999999995</v>
      </c>
      <c r="E24435" s="26">
        <v>0.96130000000000004</v>
      </c>
      <c r="F24435" s="26">
        <v>0.92210000000000003</v>
      </c>
      <c r="G24435" s="26">
        <v>0.98109999999999997</v>
      </c>
      <c r="H24435" s="26">
        <v>0.9526</v>
      </c>
      <c r="I24435">
        <v>194</v>
      </c>
    </row>
    <row r="24436" spans="1:9" x14ac:dyDescent="0.35">
      <c r="A24436" t="s">
        <v>228</v>
      </c>
      <c r="B24436" t="s">
        <v>361</v>
      </c>
      <c r="C24436">
        <v>1</v>
      </c>
      <c r="D24436" s="26">
        <v>2.46E-2</v>
      </c>
      <c r="E24436" s="26">
        <v>1.7100000000000001E-2</v>
      </c>
      <c r="F24436" s="26">
        <v>1.6999999999999999E-3</v>
      </c>
      <c r="H24436" s="26">
        <v>6.1999999999999998E-3</v>
      </c>
      <c r="I24436">
        <v>194</v>
      </c>
    </row>
    <row r="24437" spans="1:9" x14ac:dyDescent="0.35">
      <c r="A24437" t="s">
        <v>228</v>
      </c>
      <c r="B24437" t="s">
        <v>361</v>
      </c>
      <c r="C24437">
        <v>2</v>
      </c>
      <c r="D24437" s="26">
        <v>4.3499999999999997E-2</v>
      </c>
      <c r="E24437" s="26">
        <v>3.3999999999999998E-3</v>
      </c>
      <c r="F24437" s="26">
        <v>1.3599999999999999E-2</v>
      </c>
      <c r="G24437" s="26">
        <v>1.6999999999999999E-3</v>
      </c>
      <c r="H24437" s="26">
        <v>5.7000000000000002E-3</v>
      </c>
      <c r="I24437">
        <v>194</v>
      </c>
    </row>
    <row r="24438" spans="1:9" x14ac:dyDescent="0.35">
      <c r="A24438" t="s">
        <v>228</v>
      </c>
      <c r="B24438" t="s">
        <v>361</v>
      </c>
      <c r="C24438">
        <v>3</v>
      </c>
      <c r="D24438" s="26">
        <v>2.7400000000000001E-2</v>
      </c>
      <c r="E24438" s="26">
        <v>4.4999999999999997E-3</v>
      </c>
      <c r="F24438" s="26">
        <v>4.65E-2</v>
      </c>
      <c r="G24438" s="26">
        <v>1.38E-2</v>
      </c>
      <c r="H24438" s="26">
        <v>3.1E-2</v>
      </c>
      <c r="I24438">
        <v>194</v>
      </c>
    </row>
    <row r="24439" spans="1:9" x14ac:dyDescent="0.35">
      <c r="A24439" t="s">
        <v>228</v>
      </c>
      <c r="B24439" t="s">
        <v>360</v>
      </c>
      <c r="C24439">
        <v>6</v>
      </c>
      <c r="D24439" s="26">
        <v>1.1999999999999999E-3</v>
      </c>
      <c r="I24439">
        <v>258</v>
      </c>
    </row>
    <row r="24440" spans="1:9" x14ac:dyDescent="0.35">
      <c r="A24440" t="s">
        <v>229</v>
      </c>
      <c r="B24440" t="s">
        <v>362</v>
      </c>
      <c r="C24440">
        <v>2</v>
      </c>
      <c r="D24440" s="26">
        <v>0.1081</v>
      </c>
      <c r="E24440" s="26">
        <v>6.3100000000000003E-2</v>
      </c>
      <c r="F24440" s="26">
        <v>4.8500000000000001E-2</v>
      </c>
      <c r="G24440" s="26">
        <v>3.9199999999999999E-2</v>
      </c>
      <c r="H24440" s="26">
        <v>3.5799999999999998E-2</v>
      </c>
      <c r="I24440">
        <v>171</v>
      </c>
    </row>
    <row r="24441" spans="1:9" x14ac:dyDescent="0.35">
      <c r="A24441" t="s">
        <v>229</v>
      </c>
      <c r="B24441" t="s">
        <v>362</v>
      </c>
      <c r="C24441">
        <v>3</v>
      </c>
      <c r="D24441" s="26">
        <v>5.7299999999999997E-2</v>
      </c>
      <c r="E24441" s="26">
        <v>4.1000000000000003E-3</v>
      </c>
      <c r="F24441" s="26">
        <v>5.3900000000000003E-2</v>
      </c>
      <c r="G24441" s="26">
        <v>3.1E-2</v>
      </c>
      <c r="H24441" s="26">
        <v>4.7699999999999999E-2</v>
      </c>
      <c r="I24441">
        <v>171</v>
      </c>
    </row>
    <row r="24442" spans="1:9" x14ac:dyDescent="0.35">
      <c r="A24442" t="s">
        <v>229</v>
      </c>
      <c r="B24442" t="s">
        <v>362</v>
      </c>
      <c r="C24442">
        <v>5</v>
      </c>
      <c r="D24442" s="26">
        <v>3.1600000000000003E-2</v>
      </c>
      <c r="E24442" s="26">
        <v>2E-3</v>
      </c>
      <c r="I24442">
        <v>171</v>
      </c>
    </row>
    <row r="24443" spans="1:9" x14ac:dyDescent="0.35">
      <c r="A24443" t="s">
        <v>229</v>
      </c>
      <c r="B24443" t="s">
        <v>362</v>
      </c>
      <c r="C24443">
        <v>7</v>
      </c>
      <c r="D24443" s="26">
        <v>7.9799999999999996E-2</v>
      </c>
      <c r="E24443" s="26">
        <v>1.0200000000000001E-2</v>
      </c>
      <c r="F24443" s="26">
        <v>5.6300000000000003E-2</v>
      </c>
      <c r="G24443" s="26">
        <v>2E-3</v>
      </c>
      <c r="H24443" s="26">
        <v>6.3899999999999998E-2</v>
      </c>
      <c r="I24443">
        <v>171</v>
      </c>
    </row>
    <row r="24444" spans="1:9" x14ac:dyDescent="0.35">
      <c r="A24444" t="s">
        <v>229</v>
      </c>
      <c r="B24444" t="s">
        <v>363</v>
      </c>
      <c r="C24444">
        <v>0</v>
      </c>
      <c r="D24444" s="26">
        <v>0.61880000000000002</v>
      </c>
      <c r="E24444" s="26">
        <v>0.91620000000000001</v>
      </c>
      <c r="F24444" s="26">
        <v>0.82189999999999996</v>
      </c>
      <c r="G24444" s="26">
        <v>0.94840000000000002</v>
      </c>
      <c r="H24444" s="26">
        <v>0.91810000000000003</v>
      </c>
      <c r="I24444">
        <v>191</v>
      </c>
    </row>
    <row r="24445" spans="1:9" x14ac:dyDescent="0.35">
      <c r="A24445" t="s">
        <v>229</v>
      </c>
      <c r="B24445" t="s">
        <v>363</v>
      </c>
      <c r="C24445">
        <v>3</v>
      </c>
      <c r="D24445" s="26">
        <v>4.1700000000000001E-2</v>
      </c>
      <c r="E24445" s="26">
        <v>2.3599999999999999E-2</v>
      </c>
      <c r="F24445" s="26">
        <v>7.0400000000000004E-2</v>
      </c>
      <c r="G24445" s="26">
        <v>1.6400000000000001E-2</v>
      </c>
      <c r="H24445" s="26">
        <v>1.7399999999999999E-2</v>
      </c>
      <c r="I24445">
        <v>191</v>
      </c>
    </row>
    <row r="24446" spans="1:9" x14ac:dyDescent="0.35">
      <c r="A24446" t="s">
        <v>229</v>
      </c>
      <c r="B24446" t="s">
        <v>363</v>
      </c>
      <c r="C24446">
        <v>2</v>
      </c>
      <c r="D24446" s="26">
        <v>0.13420000000000001</v>
      </c>
      <c r="F24446" s="26">
        <v>6.6199999999999995E-2</v>
      </c>
      <c r="G24446" s="26">
        <v>1.37E-2</v>
      </c>
      <c r="H24446" s="26">
        <v>3.4799999999999998E-2</v>
      </c>
      <c r="I24446">
        <v>191</v>
      </c>
    </row>
    <row r="24447" spans="1:9" x14ac:dyDescent="0.35">
      <c r="A24447" t="s">
        <v>229</v>
      </c>
      <c r="B24447" t="s">
        <v>363</v>
      </c>
      <c r="C24447">
        <v>4</v>
      </c>
      <c r="D24447" s="26">
        <v>4.4699999999999997E-2</v>
      </c>
      <c r="F24447" s="26">
        <v>1.8E-3</v>
      </c>
      <c r="I24447">
        <v>191</v>
      </c>
    </row>
    <row r="24448" spans="1:9" x14ac:dyDescent="0.35">
      <c r="A24448" t="s">
        <v>229</v>
      </c>
      <c r="B24448" t="s">
        <v>363</v>
      </c>
      <c r="C24448">
        <v>5</v>
      </c>
      <c r="D24448" s="26">
        <v>2.3999999999999998E-3</v>
      </c>
      <c r="E24448" s="26">
        <v>3.7000000000000002E-3</v>
      </c>
      <c r="G24448" s="26">
        <v>5.0000000000000001E-4</v>
      </c>
      <c r="H24448" s="26">
        <v>5.4999999999999997E-3</v>
      </c>
      <c r="I24448">
        <v>191</v>
      </c>
    </row>
    <row r="24449" spans="1:9" x14ac:dyDescent="0.35">
      <c r="A24449" t="s">
        <v>229</v>
      </c>
      <c r="B24449" t="s">
        <v>363</v>
      </c>
      <c r="C24449">
        <v>7</v>
      </c>
      <c r="D24449" s="26">
        <v>0.15359999999999999</v>
      </c>
      <c r="F24449" s="26">
        <v>7.3000000000000001E-3</v>
      </c>
      <c r="G24449" s="26">
        <v>1.8200000000000001E-2</v>
      </c>
      <c r="H24449" s="26">
        <v>2.01E-2</v>
      </c>
      <c r="I24449">
        <v>191</v>
      </c>
    </row>
    <row r="24450" spans="1:9" x14ac:dyDescent="0.35">
      <c r="A24450" t="s">
        <v>229</v>
      </c>
      <c r="B24450" t="s">
        <v>362</v>
      </c>
      <c r="C24450">
        <v>1</v>
      </c>
      <c r="D24450" s="26">
        <v>4.4900000000000002E-2</v>
      </c>
      <c r="E24450" s="26">
        <v>3.8800000000000001E-2</v>
      </c>
      <c r="G24450" s="26">
        <v>4.1000000000000003E-3</v>
      </c>
      <c r="H24450" s="26">
        <v>4.1000000000000003E-3</v>
      </c>
      <c r="I24450">
        <v>171</v>
      </c>
    </row>
    <row r="24451" spans="1:9" x14ac:dyDescent="0.35">
      <c r="A24451" t="s">
        <v>229</v>
      </c>
      <c r="B24451" t="s">
        <v>363</v>
      </c>
      <c r="C24451">
        <v>1</v>
      </c>
      <c r="D24451" s="26">
        <v>4.7000000000000002E-3</v>
      </c>
      <c r="E24451" s="26">
        <v>5.6500000000000002E-2</v>
      </c>
      <c r="F24451" s="26">
        <v>3.2399999999999998E-2</v>
      </c>
      <c r="G24451" s="26">
        <v>2.7000000000000001E-3</v>
      </c>
      <c r="H24451" s="26">
        <v>4.1999999999999997E-3</v>
      </c>
      <c r="I24451">
        <v>191</v>
      </c>
    </row>
    <row r="24452" spans="1:9" x14ac:dyDescent="0.35">
      <c r="A24452" t="s">
        <v>229</v>
      </c>
      <c r="B24452" t="s">
        <v>362</v>
      </c>
      <c r="C24452">
        <v>0</v>
      </c>
      <c r="D24452" s="26">
        <v>0.61580000000000001</v>
      </c>
      <c r="E24452" s="26">
        <v>0.88180000000000003</v>
      </c>
      <c r="F24452" s="26">
        <v>0.83720000000000006</v>
      </c>
      <c r="G24452" s="26">
        <v>0.90810000000000002</v>
      </c>
      <c r="H24452" s="26">
        <v>0.82940000000000003</v>
      </c>
      <c r="I24452">
        <v>171</v>
      </c>
    </row>
    <row r="24453" spans="1:9" x14ac:dyDescent="0.35">
      <c r="A24453" t="s">
        <v>229</v>
      </c>
      <c r="B24453" t="s">
        <v>362</v>
      </c>
      <c r="C24453">
        <v>4</v>
      </c>
      <c r="D24453" s="26">
        <v>6.2399999999999997E-2</v>
      </c>
      <c r="F24453" s="26">
        <v>4.1000000000000003E-3</v>
      </c>
      <c r="H24453" s="26">
        <v>1.9099999999999999E-2</v>
      </c>
      <c r="I24453">
        <v>171</v>
      </c>
    </row>
    <row r="24454" spans="1:9" x14ac:dyDescent="0.35">
      <c r="A24454" t="s">
        <v>229</v>
      </c>
      <c r="B24454" t="s">
        <v>361</v>
      </c>
      <c r="C24454">
        <v>5</v>
      </c>
      <c r="D24454" s="26">
        <v>2.8899999999999999E-2</v>
      </c>
      <c r="H24454" s="26">
        <v>6.6E-3</v>
      </c>
      <c r="I24454">
        <v>243</v>
      </c>
    </row>
    <row r="24455" spans="1:9" x14ac:dyDescent="0.35">
      <c r="A24455" t="s">
        <v>229</v>
      </c>
      <c r="B24455" t="s">
        <v>361</v>
      </c>
      <c r="C24455">
        <v>7</v>
      </c>
      <c r="D24455" s="26">
        <v>1.77E-2</v>
      </c>
      <c r="E24455" s="26">
        <v>4.0000000000000002E-4</v>
      </c>
      <c r="F24455" s="26">
        <v>1.66E-2</v>
      </c>
      <c r="G24455" s="26">
        <v>8.3000000000000001E-3</v>
      </c>
      <c r="H24455" s="26">
        <v>1.2E-2</v>
      </c>
      <c r="I24455">
        <v>243</v>
      </c>
    </row>
    <row r="24456" spans="1:9" x14ac:dyDescent="0.35">
      <c r="A24456" t="s">
        <v>229</v>
      </c>
      <c r="B24456" t="s">
        <v>360</v>
      </c>
      <c r="C24456">
        <v>1</v>
      </c>
      <c r="D24456" s="26">
        <v>6.0000000000000001E-3</v>
      </c>
      <c r="E24456" s="26">
        <v>9.06E-2</v>
      </c>
      <c r="F24456" s="26">
        <v>1.6199999999999999E-2</v>
      </c>
      <c r="H24456" s="26">
        <v>1.6199999999999999E-2</v>
      </c>
      <c r="I24456">
        <v>164</v>
      </c>
    </row>
    <row r="24457" spans="1:9" x14ac:dyDescent="0.35">
      <c r="A24457" t="s">
        <v>229</v>
      </c>
      <c r="B24457" t="s">
        <v>360</v>
      </c>
      <c r="C24457">
        <v>2</v>
      </c>
      <c r="D24457" s="26">
        <v>0.1168</v>
      </c>
      <c r="E24457" s="26">
        <v>1.5100000000000001E-2</v>
      </c>
      <c r="F24457" s="26">
        <v>5.8400000000000001E-2</v>
      </c>
      <c r="H24457" s="26">
        <v>3.95E-2</v>
      </c>
      <c r="I24457">
        <v>164</v>
      </c>
    </row>
    <row r="24458" spans="1:9" x14ac:dyDescent="0.35">
      <c r="A24458" t="s">
        <v>229</v>
      </c>
      <c r="B24458" t="s">
        <v>360</v>
      </c>
      <c r="C24458">
        <v>3</v>
      </c>
      <c r="D24458" s="26">
        <v>6.1499999999999999E-2</v>
      </c>
      <c r="E24458" s="26">
        <v>4.4200000000000003E-2</v>
      </c>
      <c r="F24458" s="26">
        <v>1.8100000000000002E-2</v>
      </c>
      <c r="G24458" s="26">
        <v>3.4599999999999999E-2</v>
      </c>
      <c r="H24458" s="26">
        <v>7.4099999999999999E-2</v>
      </c>
      <c r="I24458">
        <v>164</v>
      </c>
    </row>
    <row r="24459" spans="1:9" x14ac:dyDescent="0.35">
      <c r="A24459" t="s">
        <v>229</v>
      </c>
      <c r="B24459" t="s">
        <v>360</v>
      </c>
      <c r="C24459">
        <v>4</v>
      </c>
      <c r="D24459" s="26">
        <v>6.54E-2</v>
      </c>
      <c r="E24459" s="26">
        <v>2.0999999999999999E-3</v>
      </c>
      <c r="F24459" s="26">
        <v>8.6E-3</v>
      </c>
      <c r="G24459" s="26">
        <v>5.9999999999999995E-4</v>
      </c>
      <c r="H24459" s="26">
        <v>2.7000000000000001E-3</v>
      </c>
      <c r="I24459">
        <v>164</v>
      </c>
    </row>
    <row r="24460" spans="1:9" x14ac:dyDescent="0.35">
      <c r="A24460" t="s">
        <v>229</v>
      </c>
      <c r="B24460" t="s">
        <v>360</v>
      </c>
      <c r="C24460">
        <v>5</v>
      </c>
      <c r="D24460" s="26">
        <v>1.1999999999999999E-3</v>
      </c>
      <c r="F24460" s="26">
        <v>3.4599999999999999E-2</v>
      </c>
      <c r="G24460" s="26">
        <v>3.2000000000000002E-3</v>
      </c>
      <c r="H24460" s="26">
        <v>1.1000000000000001E-3</v>
      </c>
      <c r="I24460">
        <v>164</v>
      </c>
    </row>
    <row r="24461" spans="1:9" x14ac:dyDescent="0.35">
      <c r="A24461" t="s">
        <v>229</v>
      </c>
      <c r="B24461" t="s">
        <v>360</v>
      </c>
      <c r="C24461">
        <v>0</v>
      </c>
      <c r="D24461" s="26">
        <v>0.53320000000000001</v>
      </c>
      <c r="E24461" s="26">
        <v>0.81130000000000002</v>
      </c>
      <c r="F24461" s="26">
        <v>0.71440000000000003</v>
      </c>
      <c r="G24461" s="26">
        <v>0.93889999999999996</v>
      </c>
      <c r="H24461" s="26">
        <v>0.80259999999999998</v>
      </c>
      <c r="I24461">
        <v>164</v>
      </c>
    </row>
    <row r="24462" spans="1:9" x14ac:dyDescent="0.35">
      <c r="A24462" t="s">
        <v>229</v>
      </c>
      <c r="B24462" t="s">
        <v>361</v>
      </c>
      <c r="C24462">
        <v>0</v>
      </c>
      <c r="D24462" s="26">
        <v>0.8165</v>
      </c>
      <c r="E24462" s="26">
        <v>0.9546</v>
      </c>
      <c r="F24462" s="26">
        <v>0.92149999999999999</v>
      </c>
      <c r="G24462" s="26">
        <v>0.98340000000000005</v>
      </c>
      <c r="H24462" s="26">
        <v>0.94310000000000005</v>
      </c>
      <c r="I24462">
        <v>243</v>
      </c>
    </row>
    <row r="24463" spans="1:9" x14ac:dyDescent="0.35">
      <c r="A24463" t="s">
        <v>229</v>
      </c>
      <c r="B24463" t="s">
        <v>361</v>
      </c>
      <c r="C24463">
        <v>1</v>
      </c>
      <c r="D24463" s="26">
        <v>9.7000000000000003E-3</v>
      </c>
      <c r="E24463" s="26">
        <v>2.9600000000000001E-2</v>
      </c>
      <c r="F24463" s="26">
        <v>6.6E-3</v>
      </c>
      <c r="G24463" s="26">
        <v>1.6999999999999999E-3</v>
      </c>
      <c r="H24463" s="26">
        <v>1.5699999999999999E-2</v>
      </c>
      <c r="I24463">
        <v>243</v>
      </c>
    </row>
    <row r="24464" spans="1:9" x14ac:dyDescent="0.35">
      <c r="A24464" t="s">
        <v>229</v>
      </c>
      <c r="B24464" t="s">
        <v>361</v>
      </c>
      <c r="C24464">
        <v>2</v>
      </c>
      <c r="D24464" s="26">
        <v>8.8999999999999996E-2</v>
      </c>
      <c r="E24464" s="26">
        <v>1.54E-2</v>
      </c>
      <c r="F24464" s="26">
        <v>3.2599999999999997E-2</v>
      </c>
      <c r="G24464" s="26">
        <v>6.6E-3</v>
      </c>
      <c r="H24464" s="26">
        <v>1.6E-2</v>
      </c>
      <c r="I24464">
        <v>243</v>
      </c>
    </row>
    <row r="24465" spans="1:9" x14ac:dyDescent="0.35">
      <c r="A24465" t="s">
        <v>229</v>
      </c>
      <c r="B24465" t="s">
        <v>361</v>
      </c>
      <c r="C24465">
        <v>3</v>
      </c>
      <c r="D24465" s="26">
        <v>1.55E-2</v>
      </c>
      <c r="F24465" s="26">
        <v>8.3000000000000001E-3</v>
      </c>
      <c r="I24465">
        <v>243</v>
      </c>
    </row>
    <row r="24466" spans="1:9" x14ac:dyDescent="0.35">
      <c r="A24466" t="s">
        <v>229</v>
      </c>
      <c r="B24466" t="s">
        <v>360</v>
      </c>
      <c r="C24466">
        <v>7</v>
      </c>
      <c r="D24466" s="26">
        <v>0.21590000000000001</v>
      </c>
      <c r="E24466" s="26">
        <v>3.6700000000000003E-2</v>
      </c>
      <c r="F24466" s="26">
        <v>0.14960000000000001</v>
      </c>
      <c r="G24466" s="26">
        <v>2.2700000000000001E-2</v>
      </c>
      <c r="H24466" s="26">
        <v>6.3700000000000007E-2</v>
      </c>
      <c r="I24466">
        <v>164</v>
      </c>
    </row>
    <row r="24467" spans="1:9" x14ac:dyDescent="0.35">
      <c r="A24467" t="s">
        <v>229</v>
      </c>
      <c r="B24467" t="s">
        <v>361</v>
      </c>
      <c r="C24467">
        <v>4</v>
      </c>
      <c r="D24467" s="26">
        <v>2.2700000000000001E-2</v>
      </c>
      <c r="F24467" s="26">
        <v>1.44E-2</v>
      </c>
      <c r="H24467" s="26">
        <v>6.6E-3</v>
      </c>
      <c r="I24467">
        <v>243</v>
      </c>
    </row>
    <row r="24468" spans="1:9" x14ac:dyDescent="0.35">
      <c r="A24468" t="s">
        <v>230</v>
      </c>
      <c r="B24468" t="s">
        <v>362</v>
      </c>
      <c r="C24468">
        <v>3</v>
      </c>
      <c r="D24468" s="26">
        <v>8.2299999999999998E-2</v>
      </c>
      <c r="E24468" s="26">
        <v>2.2000000000000001E-3</v>
      </c>
      <c r="F24468" s="26">
        <v>7.1999999999999998E-3</v>
      </c>
      <c r="G24468" s="26">
        <v>2.6200000000000001E-2</v>
      </c>
      <c r="H24468" s="26">
        <v>1.2999999999999999E-2</v>
      </c>
      <c r="I24468">
        <v>148</v>
      </c>
    </row>
    <row r="24469" spans="1:9" x14ac:dyDescent="0.35">
      <c r="A24469" t="s">
        <v>230</v>
      </c>
      <c r="B24469" t="s">
        <v>362</v>
      </c>
      <c r="C24469">
        <v>4</v>
      </c>
      <c r="D24469" s="26">
        <v>2.8299999999999999E-2</v>
      </c>
      <c r="F24469" s="26">
        <v>5.7000000000000002E-3</v>
      </c>
      <c r="G24469" s="26">
        <v>2.2499999999999999E-2</v>
      </c>
      <c r="H24469" s="26">
        <v>2.5000000000000001E-2</v>
      </c>
      <c r="I24469">
        <v>148</v>
      </c>
    </row>
    <row r="24470" spans="1:9" x14ac:dyDescent="0.35">
      <c r="A24470" t="s">
        <v>230</v>
      </c>
      <c r="B24470" t="s">
        <v>362</v>
      </c>
      <c r="C24470">
        <v>5</v>
      </c>
      <c r="D24470" s="26">
        <v>3.09E-2</v>
      </c>
      <c r="E24470" s="26">
        <v>2.5100000000000001E-2</v>
      </c>
      <c r="F24470" s="26">
        <v>3.5999999999999999E-3</v>
      </c>
      <c r="I24470">
        <v>148</v>
      </c>
    </row>
    <row r="24471" spans="1:9" x14ac:dyDescent="0.35">
      <c r="A24471" t="s">
        <v>230</v>
      </c>
      <c r="B24471" t="s">
        <v>362</v>
      </c>
      <c r="C24471">
        <v>6</v>
      </c>
      <c r="D24471" s="26">
        <v>3.5999999999999999E-3</v>
      </c>
      <c r="F24471" s="26">
        <v>3.5999999999999999E-3</v>
      </c>
      <c r="H24471" s="26">
        <v>3.5999999999999999E-3</v>
      </c>
      <c r="I24471">
        <v>148</v>
      </c>
    </row>
    <row r="24472" spans="1:9" x14ac:dyDescent="0.35">
      <c r="A24472" t="s">
        <v>230</v>
      </c>
      <c r="B24472" t="s">
        <v>362</v>
      </c>
      <c r="C24472">
        <v>7</v>
      </c>
      <c r="D24472" s="26">
        <v>0.2064</v>
      </c>
      <c r="E24472" s="26">
        <v>1.1000000000000001E-3</v>
      </c>
      <c r="F24472" s="26">
        <v>7.8399999999999997E-2</v>
      </c>
      <c r="G24472" s="26">
        <v>2.6200000000000001E-2</v>
      </c>
      <c r="H24472" s="26">
        <v>9.2999999999999999E-2</v>
      </c>
      <c r="I24472">
        <v>148</v>
      </c>
    </row>
    <row r="24473" spans="1:9" x14ac:dyDescent="0.35">
      <c r="A24473" t="s">
        <v>230</v>
      </c>
      <c r="B24473" t="s">
        <v>363</v>
      </c>
      <c r="C24473">
        <v>2</v>
      </c>
      <c r="D24473" s="26">
        <v>0.1011</v>
      </c>
      <c r="E24473" s="26">
        <v>7.7999999999999996E-3</v>
      </c>
      <c r="F24473" s="26">
        <v>5.3699999999999998E-2</v>
      </c>
      <c r="G24473" s="26">
        <v>2.3099999999999999E-2</v>
      </c>
      <c r="H24473" s="26">
        <v>7.2999999999999995E-2</v>
      </c>
      <c r="I24473">
        <v>127</v>
      </c>
    </row>
    <row r="24474" spans="1:9" x14ac:dyDescent="0.35">
      <c r="A24474" t="s">
        <v>230</v>
      </c>
      <c r="B24474" t="s">
        <v>363</v>
      </c>
      <c r="C24474">
        <v>3</v>
      </c>
      <c r="D24474" s="26">
        <v>6.0999999999999999E-2</v>
      </c>
      <c r="E24474" s="26">
        <v>2.69E-2</v>
      </c>
      <c r="F24474" s="26">
        <v>5.1000000000000004E-3</v>
      </c>
      <c r="G24474" s="26">
        <v>3.8999999999999998E-3</v>
      </c>
      <c r="H24474" s="26">
        <v>3.2000000000000001E-2</v>
      </c>
      <c r="I24474">
        <v>127</v>
      </c>
    </row>
    <row r="24475" spans="1:9" x14ac:dyDescent="0.35">
      <c r="A24475" t="s">
        <v>230</v>
      </c>
      <c r="B24475" t="s">
        <v>363</v>
      </c>
      <c r="C24475">
        <v>4</v>
      </c>
      <c r="D24475" s="26">
        <v>1.17E-2</v>
      </c>
      <c r="E24475" s="26">
        <v>3.8E-3</v>
      </c>
      <c r="F24475" s="26">
        <v>3.0700000000000002E-2</v>
      </c>
      <c r="G24475" s="26">
        <v>2.81E-2</v>
      </c>
      <c r="H24475" s="26">
        <v>7.7000000000000002E-3</v>
      </c>
      <c r="I24475">
        <v>127</v>
      </c>
    </row>
    <row r="24476" spans="1:9" x14ac:dyDescent="0.35">
      <c r="A24476" t="s">
        <v>230</v>
      </c>
      <c r="B24476" t="s">
        <v>363</v>
      </c>
      <c r="C24476">
        <v>6</v>
      </c>
      <c r="D24476" s="26">
        <v>4.6100000000000002E-2</v>
      </c>
      <c r="I24476">
        <v>127</v>
      </c>
    </row>
    <row r="24477" spans="1:9" x14ac:dyDescent="0.35">
      <c r="A24477" t="s">
        <v>230</v>
      </c>
      <c r="B24477" t="s">
        <v>362</v>
      </c>
      <c r="C24477">
        <v>2</v>
      </c>
      <c r="D24477" s="26">
        <v>2.9100000000000001E-2</v>
      </c>
      <c r="E24477" s="26">
        <v>6.6699999999999995E-2</v>
      </c>
      <c r="F24477" s="26">
        <v>7.8100000000000003E-2</v>
      </c>
      <c r="G24477" s="26">
        <v>3.5700000000000003E-2</v>
      </c>
      <c r="H24477" s="26">
        <v>4.87E-2</v>
      </c>
      <c r="I24477">
        <v>148</v>
      </c>
    </row>
    <row r="24478" spans="1:9" x14ac:dyDescent="0.35">
      <c r="A24478" t="s">
        <v>230</v>
      </c>
      <c r="B24478" t="s">
        <v>363</v>
      </c>
      <c r="C24478">
        <v>7</v>
      </c>
      <c r="D24478" s="26">
        <v>8.1199999999999994E-2</v>
      </c>
      <c r="F24478" s="26">
        <v>7.6E-3</v>
      </c>
      <c r="G24478" s="26">
        <v>3.8E-3</v>
      </c>
      <c r="H24478" s="26">
        <v>3.0700000000000002E-2</v>
      </c>
      <c r="I24478">
        <v>127</v>
      </c>
    </row>
    <row r="24479" spans="1:9" x14ac:dyDescent="0.35">
      <c r="A24479" t="s">
        <v>230</v>
      </c>
      <c r="B24479" t="s">
        <v>363</v>
      </c>
      <c r="C24479">
        <v>1</v>
      </c>
      <c r="D24479" s="26">
        <v>2.3099999999999999E-2</v>
      </c>
      <c r="E24479" s="26">
        <v>5.1200000000000002E-2</v>
      </c>
      <c r="F24479" s="26">
        <v>3.8999999999999998E-3</v>
      </c>
      <c r="G24479" s="26">
        <v>2.3099999999999999E-2</v>
      </c>
      <c r="H24479" s="26">
        <v>7.7999999999999996E-3</v>
      </c>
      <c r="I24479">
        <v>127</v>
      </c>
    </row>
    <row r="24480" spans="1:9" x14ac:dyDescent="0.35">
      <c r="A24480" t="s">
        <v>230</v>
      </c>
      <c r="B24480" t="s">
        <v>362</v>
      </c>
      <c r="C24480">
        <v>1</v>
      </c>
      <c r="D24480" s="26">
        <v>3.6900000000000002E-2</v>
      </c>
      <c r="E24480" s="26">
        <v>4.1500000000000002E-2</v>
      </c>
      <c r="F24480" s="26">
        <v>2.5100000000000001E-2</v>
      </c>
      <c r="H24480" s="26">
        <v>5.7999999999999996E-3</v>
      </c>
      <c r="I24480">
        <v>148</v>
      </c>
    </row>
    <row r="24481" spans="1:9" x14ac:dyDescent="0.35">
      <c r="A24481" t="s">
        <v>230</v>
      </c>
      <c r="B24481" t="s">
        <v>363</v>
      </c>
      <c r="C24481">
        <v>0</v>
      </c>
      <c r="D24481" s="26">
        <v>0.67589999999999995</v>
      </c>
      <c r="E24481" s="26">
        <v>0.91039999999999999</v>
      </c>
      <c r="F24481" s="26">
        <v>0.89510000000000001</v>
      </c>
      <c r="G24481" s="26">
        <v>0.91810000000000003</v>
      </c>
      <c r="H24481" s="26">
        <v>0.84489999999999998</v>
      </c>
      <c r="I24481">
        <v>127</v>
      </c>
    </row>
    <row r="24482" spans="1:9" x14ac:dyDescent="0.35">
      <c r="A24482" t="s">
        <v>230</v>
      </c>
      <c r="B24482" t="s">
        <v>361</v>
      </c>
      <c r="C24482">
        <v>7</v>
      </c>
      <c r="D24482" s="26">
        <v>2.8299999999999999E-2</v>
      </c>
      <c r="G24482" s="26">
        <v>2.12E-2</v>
      </c>
      <c r="H24482" s="26">
        <v>2.12E-2</v>
      </c>
      <c r="I24482">
        <v>109</v>
      </c>
    </row>
    <row r="24483" spans="1:9" x14ac:dyDescent="0.35">
      <c r="A24483" t="s">
        <v>230</v>
      </c>
      <c r="B24483" t="s">
        <v>362</v>
      </c>
      <c r="C24483">
        <v>0</v>
      </c>
      <c r="D24483" s="26">
        <v>0.58250000000000002</v>
      </c>
      <c r="E24483" s="26">
        <v>0.86350000000000005</v>
      </c>
      <c r="F24483" s="26">
        <v>0.79820000000000002</v>
      </c>
      <c r="G24483" s="26">
        <v>0.88949999999999996</v>
      </c>
      <c r="H24483" s="26">
        <v>0.81100000000000005</v>
      </c>
      <c r="I24483">
        <v>148</v>
      </c>
    </row>
    <row r="24484" spans="1:9" x14ac:dyDescent="0.35">
      <c r="A24484" t="s">
        <v>230</v>
      </c>
      <c r="B24484" t="s">
        <v>360</v>
      </c>
      <c r="C24484">
        <v>0</v>
      </c>
      <c r="D24484" s="26">
        <v>0.53120000000000001</v>
      </c>
      <c r="E24484" s="26">
        <v>0.74650000000000005</v>
      </c>
      <c r="F24484" s="26">
        <v>0.75819999999999999</v>
      </c>
      <c r="G24484" s="26">
        <v>0.90639999999999998</v>
      </c>
      <c r="H24484" s="26">
        <v>0.82679999999999998</v>
      </c>
      <c r="I24484">
        <v>120</v>
      </c>
    </row>
    <row r="24485" spans="1:9" x14ac:dyDescent="0.35">
      <c r="A24485" t="s">
        <v>230</v>
      </c>
      <c r="B24485" t="s">
        <v>360</v>
      </c>
      <c r="C24485">
        <v>2</v>
      </c>
      <c r="D24485" s="26">
        <v>4.1200000000000001E-2</v>
      </c>
      <c r="E24485" s="26">
        <v>6.8099999999999994E-2</v>
      </c>
      <c r="F24485" s="26">
        <v>0.12609999999999999</v>
      </c>
      <c r="G24485" s="26">
        <v>3.1699999999999999E-2</v>
      </c>
      <c r="H24485" s="26">
        <v>9.7299999999999998E-2</v>
      </c>
      <c r="I24485">
        <v>120</v>
      </c>
    </row>
    <row r="24486" spans="1:9" x14ac:dyDescent="0.35">
      <c r="A24486" t="s">
        <v>230</v>
      </c>
      <c r="B24486" t="s">
        <v>360</v>
      </c>
      <c r="C24486">
        <v>3</v>
      </c>
      <c r="D24486" s="26">
        <v>0.1032</v>
      </c>
      <c r="E24486" s="26">
        <v>6.3E-3</v>
      </c>
      <c r="F24486" s="26">
        <v>1.8700000000000001E-2</v>
      </c>
      <c r="G24486" s="26">
        <v>1.11E-2</v>
      </c>
      <c r="H24486" s="26">
        <v>2.07E-2</v>
      </c>
      <c r="I24486">
        <v>120</v>
      </c>
    </row>
    <row r="24487" spans="1:9" x14ac:dyDescent="0.35">
      <c r="A24487" t="s">
        <v>230</v>
      </c>
      <c r="B24487" t="s">
        <v>360</v>
      </c>
      <c r="C24487">
        <v>4</v>
      </c>
      <c r="D24487" s="26">
        <v>4.2799999999999998E-2</v>
      </c>
      <c r="E24487" s="26">
        <v>4.8999999999999998E-3</v>
      </c>
      <c r="F24487" s="26">
        <v>3.9800000000000002E-2</v>
      </c>
      <c r="G24487" s="26">
        <v>4.7000000000000002E-3</v>
      </c>
      <c r="H24487" s="26">
        <v>3.1699999999999999E-2</v>
      </c>
      <c r="I24487">
        <v>120</v>
      </c>
    </row>
    <row r="24488" spans="1:9" x14ac:dyDescent="0.35">
      <c r="A24488" t="s">
        <v>230</v>
      </c>
      <c r="B24488" t="s">
        <v>360</v>
      </c>
      <c r="C24488">
        <v>5</v>
      </c>
      <c r="D24488" s="26">
        <v>6.3E-3</v>
      </c>
      <c r="I24488">
        <v>120</v>
      </c>
    </row>
    <row r="24489" spans="1:9" x14ac:dyDescent="0.35">
      <c r="A24489" t="s">
        <v>230</v>
      </c>
      <c r="B24489" t="s">
        <v>360</v>
      </c>
      <c r="C24489">
        <v>1</v>
      </c>
      <c r="D24489" s="26">
        <v>1.09E-2</v>
      </c>
      <c r="E24489" s="26">
        <v>0.13100000000000001</v>
      </c>
      <c r="H24489" s="26">
        <v>4.7000000000000002E-3</v>
      </c>
      <c r="I24489">
        <v>120</v>
      </c>
    </row>
    <row r="24490" spans="1:9" x14ac:dyDescent="0.35">
      <c r="A24490" t="s">
        <v>230</v>
      </c>
      <c r="B24490" t="s">
        <v>360</v>
      </c>
      <c r="C24490">
        <v>7</v>
      </c>
      <c r="D24490" s="26">
        <v>0.2356</v>
      </c>
      <c r="E24490" s="26">
        <v>4.3099999999999999E-2</v>
      </c>
      <c r="F24490" s="26">
        <v>5.7200000000000001E-2</v>
      </c>
      <c r="G24490" s="26">
        <v>4.6199999999999998E-2</v>
      </c>
      <c r="H24490" s="26">
        <v>1.8800000000000001E-2</v>
      </c>
      <c r="I24490">
        <v>120</v>
      </c>
    </row>
    <row r="24491" spans="1:9" x14ac:dyDescent="0.35">
      <c r="A24491" t="s">
        <v>230</v>
      </c>
      <c r="B24491" t="s">
        <v>361</v>
      </c>
      <c r="C24491">
        <v>0</v>
      </c>
      <c r="D24491" s="26">
        <v>0.86129999999999995</v>
      </c>
      <c r="E24491" s="26">
        <v>0.95399999999999996</v>
      </c>
      <c r="F24491" s="26">
        <v>0.98370000000000002</v>
      </c>
      <c r="G24491" s="26">
        <v>0.97519999999999996</v>
      </c>
      <c r="H24491" s="26">
        <v>0.94579999999999997</v>
      </c>
      <c r="I24491">
        <v>109</v>
      </c>
    </row>
    <row r="24492" spans="1:9" x14ac:dyDescent="0.35">
      <c r="A24492" t="s">
        <v>230</v>
      </c>
      <c r="B24492" t="s">
        <v>361</v>
      </c>
      <c r="C24492">
        <v>1</v>
      </c>
      <c r="D24492" s="26">
        <v>2.23E-2</v>
      </c>
      <c r="E24492" s="26">
        <v>4.2500000000000003E-2</v>
      </c>
      <c r="H24492" s="26">
        <v>3.5999999999999999E-3</v>
      </c>
      <c r="I24492">
        <v>109</v>
      </c>
    </row>
    <row r="24493" spans="1:9" x14ac:dyDescent="0.35">
      <c r="A24493" t="s">
        <v>230</v>
      </c>
      <c r="B24493" t="s">
        <v>361</v>
      </c>
      <c r="C24493">
        <v>2</v>
      </c>
      <c r="D24493" s="26">
        <v>2.9399999999999999E-2</v>
      </c>
      <c r="F24493" s="26">
        <v>9.2999999999999992E-3</v>
      </c>
      <c r="G24493" s="26">
        <v>3.5999999999999999E-3</v>
      </c>
      <c r="H24493" s="26">
        <v>1.1000000000000001E-3</v>
      </c>
      <c r="I24493">
        <v>109</v>
      </c>
    </row>
    <row r="24494" spans="1:9" x14ac:dyDescent="0.35">
      <c r="A24494" t="s">
        <v>230</v>
      </c>
      <c r="B24494" t="s">
        <v>361</v>
      </c>
      <c r="C24494">
        <v>3</v>
      </c>
      <c r="D24494" s="26">
        <v>5.8700000000000002E-2</v>
      </c>
      <c r="E24494" s="26">
        <v>3.5000000000000001E-3</v>
      </c>
      <c r="F24494" s="26">
        <v>3.5000000000000001E-3</v>
      </c>
      <c r="H24494" s="26">
        <v>2.4799999999999999E-2</v>
      </c>
      <c r="I24494">
        <v>109</v>
      </c>
    </row>
    <row r="24495" spans="1:9" x14ac:dyDescent="0.35">
      <c r="A24495" t="s">
        <v>230</v>
      </c>
      <c r="B24495" t="s">
        <v>360</v>
      </c>
      <c r="C24495">
        <v>6</v>
      </c>
      <c r="D24495" s="26">
        <v>2.8799999999999999E-2</v>
      </c>
      <c r="I24495">
        <v>120</v>
      </c>
    </row>
    <row r="24496" spans="1:9" x14ac:dyDescent="0.35">
      <c r="A24496" s="27" t="s">
        <v>231</v>
      </c>
      <c r="B24496" s="27" t="s">
        <v>362</v>
      </c>
      <c r="C24496" s="29">
        <v>1</v>
      </c>
      <c r="D24496" s="28">
        <v>0.10340000000000001</v>
      </c>
      <c r="E24496" s="28">
        <v>6.9000000000000006E-2</v>
      </c>
      <c r="F24496" s="28">
        <v>3.4500000000000003E-2</v>
      </c>
      <c r="G24496" s="29"/>
      <c r="H24496" s="28">
        <v>3.4500000000000003E-2</v>
      </c>
      <c r="I24496" s="29">
        <v>29</v>
      </c>
    </row>
    <row r="24497" spans="1:9" x14ac:dyDescent="0.35">
      <c r="A24497" s="27" t="s">
        <v>231</v>
      </c>
      <c r="B24497" s="27" t="s">
        <v>363</v>
      </c>
      <c r="C24497" s="29">
        <v>7</v>
      </c>
      <c r="D24497" s="28">
        <v>0.14810000000000001</v>
      </c>
      <c r="E24497" s="29"/>
      <c r="F24497" s="29"/>
      <c r="G24497" s="29"/>
      <c r="H24497" s="29"/>
      <c r="I24497" s="29">
        <v>27</v>
      </c>
    </row>
    <row r="24498" spans="1:9" x14ac:dyDescent="0.35">
      <c r="A24498" s="27" t="s">
        <v>231</v>
      </c>
      <c r="B24498" s="27" t="s">
        <v>363</v>
      </c>
      <c r="C24498" s="29">
        <v>3</v>
      </c>
      <c r="D24498" s="28">
        <v>0.1111</v>
      </c>
      <c r="E24498" s="29"/>
      <c r="F24498" s="28">
        <v>3.6999999999999998E-2</v>
      </c>
      <c r="G24498" s="29"/>
      <c r="H24498" s="28">
        <v>3.6999999999999998E-2</v>
      </c>
      <c r="I24498" s="29">
        <v>27</v>
      </c>
    </row>
    <row r="24499" spans="1:9" x14ac:dyDescent="0.35">
      <c r="A24499" s="27" t="s">
        <v>231</v>
      </c>
      <c r="B24499" s="27" t="s">
        <v>363</v>
      </c>
      <c r="C24499" s="29">
        <v>2</v>
      </c>
      <c r="D24499" s="28">
        <v>7.4099999999999999E-2</v>
      </c>
      <c r="E24499" s="28">
        <v>3.6999999999999998E-2</v>
      </c>
      <c r="F24499" s="28">
        <v>3.6999999999999998E-2</v>
      </c>
      <c r="G24499" s="29"/>
      <c r="H24499" s="29"/>
      <c r="I24499" s="29">
        <v>27</v>
      </c>
    </row>
    <row r="24500" spans="1:9" x14ac:dyDescent="0.35">
      <c r="A24500" s="27" t="s">
        <v>231</v>
      </c>
      <c r="B24500" s="27" t="s">
        <v>363</v>
      </c>
      <c r="C24500" s="29">
        <v>0</v>
      </c>
      <c r="D24500" s="28">
        <v>0.66669999999999996</v>
      </c>
      <c r="E24500" s="28">
        <v>0.96299999999999997</v>
      </c>
      <c r="F24500" s="28">
        <v>0.85189999999999999</v>
      </c>
      <c r="G24500" s="28">
        <v>0.96299999999999997</v>
      </c>
      <c r="H24500" s="28">
        <v>0.88890000000000002</v>
      </c>
      <c r="I24500" s="29">
        <v>27</v>
      </c>
    </row>
    <row r="24501" spans="1:9" x14ac:dyDescent="0.35">
      <c r="A24501" s="27" t="s">
        <v>231</v>
      </c>
      <c r="B24501" s="27" t="s">
        <v>362</v>
      </c>
      <c r="C24501" s="29">
        <v>5</v>
      </c>
      <c r="D24501" s="28">
        <v>3.4500000000000003E-2</v>
      </c>
      <c r="E24501" s="28">
        <v>3.4500000000000003E-2</v>
      </c>
      <c r="F24501" s="29"/>
      <c r="G24501" s="29"/>
      <c r="H24501" s="29"/>
      <c r="I24501" s="29">
        <v>29</v>
      </c>
    </row>
    <row r="24502" spans="1:9" x14ac:dyDescent="0.35">
      <c r="A24502" s="27" t="s">
        <v>231</v>
      </c>
      <c r="B24502" s="27" t="s">
        <v>362</v>
      </c>
      <c r="C24502" s="29">
        <v>4</v>
      </c>
      <c r="D24502" s="28">
        <v>6.9000000000000006E-2</v>
      </c>
      <c r="E24502" s="29"/>
      <c r="F24502" s="28">
        <v>6.9000000000000006E-2</v>
      </c>
      <c r="G24502" s="28">
        <v>3.4500000000000003E-2</v>
      </c>
      <c r="H24502" s="29"/>
      <c r="I24502" s="29">
        <v>29</v>
      </c>
    </row>
    <row r="24503" spans="1:9" x14ac:dyDescent="0.35">
      <c r="A24503" s="27" t="s">
        <v>231</v>
      </c>
      <c r="B24503" s="27" t="s">
        <v>362</v>
      </c>
      <c r="C24503" s="29">
        <v>3</v>
      </c>
      <c r="D24503" s="28">
        <v>6.9000000000000006E-2</v>
      </c>
      <c r="E24503" s="28">
        <v>3.4500000000000003E-2</v>
      </c>
      <c r="F24503" s="28">
        <v>6.9000000000000006E-2</v>
      </c>
      <c r="G24503" s="28">
        <v>3.4500000000000003E-2</v>
      </c>
      <c r="H24503" s="29"/>
      <c r="I24503" s="29">
        <v>29</v>
      </c>
    </row>
    <row r="24504" spans="1:9" x14ac:dyDescent="0.35">
      <c r="A24504" s="27" t="s">
        <v>231</v>
      </c>
      <c r="B24504" s="27" t="s">
        <v>362</v>
      </c>
      <c r="C24504" s="29">
        <v>2</v>
      </c>
      <c r="D24504" s="28">
        <v>0.2069</v>
      </c>
      <c r="E24504" s="28">
        <v>3.4500000000000003E-2</v>
      </c>
      <c r="F24504" s="29"/>
      <c r="G24504" s="29"/>
      <c r="H24504" s="28">
        <v>3.4500000000000003E-2</v>
      </c>
      <c r="I24504" s="29">
        <v>29</v>
      </c>
    </row>
    <row r="24505" spans="1:9" x14ac:dyDescent="0.35">
      <c r="A24505" s="27" t="s">
        <v>231</v>
      </c>
      <c r="B24505" s="27" t="s">
        <v>362</v>
      </c>
      <c r="C24505" s="29">
        <v>0</v>
      </c>
      <c r="D24505" s="28">
        <v>0.51719999999999999</v>
      </c>
      <c r="E24505" s="28">
        <v>0.8276</v>
      </c>
      <c r="F24505" s="28">
        <v>0.79310000000000003</v>
      </c>
      <c r="G24505" s="28">
        <v>0.93100000000000005</v>
      </c>
      <c r="H24505" s="28">
        <v>0.86209999999999998</v>
      </c>
      <c r="I24505" s="29">
        <v>29</v>
      </c>
    </row>
    <row r="24506" spans="1:9" x14ac:dyDescent="0.35">
      <c r="A24506" t="s">
        <v>231</v>
      </c>
      <c r="B24506" t="s">
        <v>361</v>
      </c>
      <c r="C24506">
        <v>0</v>
      </c>
      <c r="D24506" s="26">
        <v>0.82</v>
      </c>
      <c r="E24506" s="26">
        <v>0.9</v>
      </c>
      <c r="F24506" s="26">
        <v>0.9</v>
      </c>
      <c r="G24506" s="26">
        <v>0.96</v>
      </c>
      <c r="H24506" s="26">
        <v>0.82</v>
      </c>
      <c r="I24506">
        <v>50</v>
      </c>
    </row>
    <row r="24507" spans="1:9" x14ac:dyDescent="0.35">
      <c r="A24507" t="s">
        <v>231</v>
      </c>
      <c r="B24507" t="s">
        <v>361</v>
      </c>
      <c r="C24507">
        <v>3</v>
      </c>
      <c r="D24507" s="26">
        <v>0.04</v>
      </c>
      <c r="E24507" s="26">
        <v>0.06</v>
      </c>
      <c r="I24507">
        <v>50</v>
      </c>
    </row>
    <row r="24508" spans="1:9" x14ac:dyDescent="0.35">
      <c r="A24508" t="s">
        <v>231</v>
      </c>
      <c r="B24508" t="s">
        <v>361</v>
      </c>
      <c r="C24508">
        <v>7</v>
      </c>
      <c r="D24508" s="26">
        <v>0.08</v>
      </c>
      <c r="E24508" s="26">
        <v>0.02</v>
      </c>
      <c r="F24508" s="26">
        <v>0.04</v>
      </c>
      <c r="G24508" s="26">
        <v>0.02</v>
      </c>
      <c r="H24508" s="26">
        <v>0.08</v>
      </c>
      <c r="I24508">
        <v>50</v>
      </c>
    </row>
    <row r="24509" spans="1:9" x14ac:dyDescent="0.35">
      <c r="A24509" t="s">
        <v>231</v>
      </c>
      <c r="B24509" t="s">
        <v>360</v>
      </c>
      <c r="C24509">
        <v>1</v>
      </c>
      <c r="D24509" s="26">
        <v>6.8199999999999997E-2</v>
      </c>
      <c r="E24509" s="26">
        <v>6.8199999999999997E-2</v>
      </c>
      <c r="H24509" s="26">
        <v>2.2700000000000001E-2</v>
      </c>
      <c r="I24509">
        <v>44</v>
      </c>
    </row>
    <row r="24510" spans="1:9" x14ac:dyDescent="0.35">
      <c r="A24510" t="s">
        <v>231</v>
      </c>
      <c r="B24510" t="s">
        <v>360</v>
      </c>
      <c r="C24510">
        <v>2</v>
      </c>
      <c r="D24510" s="26">
        <v>6.8199999999999997E-2</v>
      </c>
      <c r="E24510" s="26">
        <v>4.5499999999999999E-2</v>
      </c>
      <c r="F24510" s="26">
        <v>9.0899999999999995E-2</v>
      </c>
      <c r="G24510" s="26">
        <v>2.2700000000000001E-2</v>
      </c>
      <c r="H24510" s="26">
        <v>4.5499999999999999E-2</v>
      </c>
      <c r="I24510">
        <v>44</v>
      </c>
    </row>
    <row r="24511" spans="1:9" x14ac:dyDescent="0.35">
      <c r="A24511" t="s">
        <v>231</v>
      </c>
      <c r="B24511" t="s">
        <v>360</v>
      </c>
      <c r="C24511">
        <v>3</v>
      </c>
      <c r="D24511" s="26">
        <v>9.0899999999999995E-2</v>
      </c>
      <c r="E24511" s="26">
        <v>6.8199999999999997E-2</v>
      </c>
      <c r="F24511" s="26">
        <v>4.5499999999999999E-2</v>
      </c>
      <c r="H24511" s="26">
        <v>6.8199999999999997E-2</v>
      </c>
      <c r="I24511">
        <v>44</v>
      </c>
    </row>
    <row r="24512" spans="1:9" x14ac:dyDescent="0.35">
      <c r="A24512" t="s">
        <v>231</v>
      </c>
      <c r="B24512" t="s">
        <v>360</v>
      </c>
      <c r="C24512">
        <v>0</v>
      </c>
      <c r="D24512" s="26">
        <v>0.43180000000000002</v>
      </c>
      <c r="E24512" s="26">
        <v>0.79549999999999998</v>
      </c>
      <c r="F24512" s="26">
        <v>0.75</v>
      </c>
      <c r="G24512" s="26">
        <v>0.86360000000000003</v>
      </c>
      <c r="H24512" s="26">
        <v>0.70450000000000002</v>
      </c>
      <c r="I24512">
        <v>44</v>
      </c>
    </row>
    <row r="24513" spans="1:9" x14ac:dyDescent="0.35">
      <c r="A24513" t="s">
        <v>231</v>
      </c>
      <c r="B24513" t="s">
        <v>360</v>
      </c>
      <c r="C24513">
        <v>5</v>
      </c>
      <c r="D24513" s="26">
        <v>0.11360000000000001</v>
      </c>
      <c r="F24513" s="26">
        <v>2.2700000000000001E-2</v>
      </c>
      <c r="H24513" s="26">
        <v>2.2700000000000001E-2</v>
      </c>
      <c r="I24513">
        <v>44</v>
      </c>
    </row>
    <row r="24514" spans="1:9" x14ac:dyDescent="0.35">
      <c r="A24514" t="s">
        <v>231</v>
      </c>
      <c r="B24514" t="s">
        <v>360</v>
      </c>
      <c r="C24514">
        <v>7</v>
      </c>
      <c r="D24514" s="26">
        <v>0.20449999999999999</v>
      </c>
      <c r="F24514" s="26">
        <v>9.0899999999999995E-2</v>
      </c>
      <c r="G24514" s="26">
        <v>4.5499999999999999E-2</v>
      </c>
      <c r="H24514" s="26">
        <v>0.11360000000000001</v>
      </c>
      <c r="I24514">
        <v>44</v>
      </c>
    </row>
    <row r="24515" spans="1:9" x14ac:dyDescent="0.35">
      <c r="A24515" t="s">
        <v>231</v>
      </c>
      <c r="B24515" t="s">
        <v>361</v>
      </c>
      <c r="C24515">
        <v>2</v>
      </c>
      <c r="D24515" s="26">
        <v>0.06</v>
      </c>
      <c r="H24515" s="26">
        <v>0.02</v>
      </c>
      <c r="I24515">
        <v>50</v>
      </c>
    </row>
    <row r="24516" spans="1:9" x14ac:dyDescent="0.35">
      <c r="A24516" t="s">
        <v>231</v>
      </c>
      <c r="B24516" t="s">
        <v>360</v>
      </c>
      <c r="C24516">
        <v>4</v>
      </c>
      <c r="D24516" s="26">
        <v>2.2700000000000001E-2</v>
      </c>
      <c r="G24516" s="26">
        <v>4.5499999999999999E-2</v>
      </c>
      <c r="I24516">
        <v>44</v>
      </c>
    </row>
    <row r="24517" spans="1:9" x14ac:dyDescent="0.35">
      <c r="A24517" t="s">
        <v>232</v>
      </c>
      <c r="B24517" t="s">
        <v>232</v>
      </c>
      <c r="C24517">
        <v>6</v>
      </c>
      <c r="D24517" s="26">
        <v>2.8E-3</v>
      </c>
      <c r="E24517" s="26">
        <v>1.6999999999999999E-3</v>
      </c>
      <c r="F24517" s="26">
        <v>4.0000000000000002E-4</v>
      </c>
      <c r="G24517" s="26">
        <v>2.3999999999999998E-3</v>
      </c>
      <c r="H24517" s="26">
        <v>1.8E-3</v>
      </c>
      <c r="I24517">
        <v>2813</v>
      </c>
    </row>
    <row r="24518" spans="1:9" x14ac:dyDescent="0.35">
      <c r="A24518" t="s">
        <v>232</v>
      </c>
      <c r="B24518" t="s">
        <v>232</v>
      </c>
      <c r="C24518">
        <v>0</v>
      </c>
      <c r="D24518" s="26">
        <v>0.66559999999999997</v>
      </c>
      <c r="E24518" s="26">
        <v>0.89839999999999998</v>
      </c>
      <c r="F24518" s="26">
        <v>0.85399999999999998</v>
      </c>
      <c r="G24518" s="26">
        <v>0.94440000000000002</v>
      </c>
      <c r="H24518" s="26">
        <v>0.86960000000000004</v>
      </c>
      <c r="I24518">
        <v>2813</v>
      </c>
    </row>
    <row r="24519" spans="1:9" x14ac:dyDescent="0.35">
      <c r="A24519" t="s">
        <v>232</v>
      </c>
      <c r="B24519" t="s">
        <v>232</v>
      </c>
      <c r="C24519">
        <v>1</v>
      </c>
      <c r="D24519" s="26">
        <v>2.9700000000000001E-2</v>
      </c>
      <c r="E24519" s="26">
        <v>4.2799999999999998E-2</v>
      </c>
      <c r="F24519" s="26">
        <v>1.67E-2</v>
      </c>
      <c r="G24519" s="26">
        <v>5.1000000000000004E-3</v>
      </c>
      <c r="H24519" s="26">
        <v>1.7999999999999999E-2</v>
      </c>
      <c r="I24519">
        <v>2813</v>
      </c>
    </row>
    <row r="24520" spans="1:9" x14ac:dyDescent="0.35">
      <c r="A24520" t="s">
        <v>232</v>
      </c>
      <c r="B24520" t="s">
        <v>232</v>
      </c>
      <c r="C24520">
        <v>2</v>
      </c>
      <c r="D24520" s="26">
        <v>8.6699999999999999E-2</v>
      </c>
      <c r="E24520" s="26">
        <v>2.4799999999999999E-2</v>
      </c>
      <c r="F24520" s="26">
        <v>3.5400000000000001E-2</v>
      </c>
      <c r="G24520" s="26">
        <v>1.1900000000000001E-2</v>
      </c>
      <c r="H24520" s="26">
        <v>2.6700000000000002E-2</v>
      </c>
      <c r="I24520">
        <v>2813</v>
      </c>
    </row>
    <row r="24521" spans="1:9" x14ac:dyDescent="0.35">
      <c r="A24521" t="s">
        <v>232</v>
      </c>
      <c r="B24521" t="s">
        <v>232</v>
      </c>
      <c r="C24521">
        <v>3</v>
      </c>
      <c r="D24521" s="26">
        <v>5.8700000000000002E-2</v>
      </c>
      <c r="E24521" s="26">
        <v>1.9300000000000001E-2</v>
      </c>
      <c r="F24521" s="26">
        <v>2.5999999999999999E-2</v>
      </c>
      <c r="G24521" s="26">
        <v>1.0200000000000001E-2</v>
      </c>
      <c r="H24521" s="26">
        <v>2.1299999999999999E-2</v>
      </c>
      <c r="I24521">
        <v>2813</v>
      </c>
    </row>
    <row r="24522" spans="1:9" x14ac:dyDescent="0.35">
      <c r="A24522" t="s">
        <v>232</v>
      </c>
      <c r="B24522" t="s">
        <v>232</v>
      </c>
      <c r="C24522">
        <v>4</v>
      </c>
      <c r="D24522" s="26">
        <v>2.4E-2</v>
      </c>
      <c r="E24522" s="26">
        <v>1.6000000000000001E-3</v>
      </c>
      <c r="F24522" s="26">
        <v>1.38E-2</v>
      </c>
      <c r="G24522" s="26">
        <v>1.01E-2</v>
      </c>
      <c r="H24522" s="26">
        <v>1.0200000000000001E-2</v>
      </c>
      <c r="I24522">
        <v>2813</v>
      </c>
    </row>
    <row r="24523" spans="1:9" x14ac:dyDescent="0.35">
      <c r="A24523" t="s">
        <v>232</v>
      </c>
      <c r="B24523" t="s">
        <v>232</v>
      </c>
      <c r="C24523">
        <v>5</v>
      </c>
      <c r="D24523" s="26">
        <v>2.1700000000000001E-2</v>
      </c>
      <c r="E24523" s="26">
        <v>2.8E-3</v>
      </c>
      <c r="F24523" s="26">
        <v>8.8000000000000005E-3</v>
      </c>
      <c r="G24523" s="26">
        <v>8.9999999999999998E-4</v>
      </c>
      <c r="H24523" s="26">
        <v>7.9000000000000008E-3</v>
      </c>
      <c r="I24523">
        <v>2813</v>
      </c>
    </row>
    <row r="24524" spans="1:9" x14ac:dyDescent="0.35">
      <c r="A24524" t="s">
        <v>232</v>
      </c>
      <c r="B24524" t="s">
        <v>232</v>
      </c>
      <c r="C24524">
        <v>7</v>
      </c>
      <c r="D24524" s="26">
        <v>0.1108</v>
      </c>
      <c r="E24524" s="26">
        <v>8.6E-3</v>
      </c>
      <c r="F24524" s="26">
        <v>4.5100000000000001E-2</v>
      </c>
      <c r="G24524" s="26">
        <v>1.4999999999999999E-2</v>
      </c>
      <c r="H24524" s="26">
        <v>4.4600000000000001E-2</v>
      </c>
      <c r="I24524">
        <v>2813</v>
      </c>
    </row>
    <row r="24526" spans="1:9" x14ac:dyDescent="0.35">
      <c r="A24526" s="1" t="s">
        <v>2273</v>
      </c>
    </row>
    <row r="24527" spans="1:9" x14ac:dyDescent="0.35">
      <c r="A24527" t="s">
        <v>219</v>
      </c>
      <c r="B24527" t="s">
        <v>305</v>
      </c>
      <c r="C24527" t="s">
        <v>1270</v>
      </c>
      <c r="D24527" t="s">
        <v>2264</v>
      </c>
      <c r="E24527" t="s">
        <v>2265</v>
      </c>
      <c r="F24527" t="s">
        <v>2266</v>
      </c>
      <c r="G24527" t="s">
        <v>2267</v>
      </c>
      <c r="H24527" t="s">
        <v>2268</v>
      </c>
      <c r="I24527" t="s">
        <v>964</v>
      </c>
    </row>
    <row r="24528" spans="1:9" x14ac:dyDescent="0.35">
      <c r="A24528" t="s">
        <v>227</v>
      </c>
      <c r="B24528" t="s">
        <v>267</v>
      </c>
      <c r="C24528">
        <v>0</v>
      </c>
      <c r="D24528" s="26">
        <v>0.63890000000000002</v>
      </c>
      <c r="E24528" s="26">
        <v>0.91669999999999996</v>
      </c>
      <c r="F24528" s="26">
        <v>0.88890000000000002</v>
      </c>
      <c r="G24528" s="26">
        <v>0.97219999999999995</v>
      </c>
      <c r="H24528" s="26">
        <v>0.91669999999999996</v>
      </c>
      <c r="I24528">
        <v>36</v>
      </c>
    </row>
    <row r="24529" spans="1:9" x14ac:dyDescent="0.35">
      <c r="A24529" t="s">
        <v>227</v>
      </c>
      <c r="B24529" t="s">
        <v>265</v>
      </c>
      <c r="C24529">
        <v>7</v>
      </c>
      <c r="D24529" s="26">
        <v>3.0300000000000001E-2</v>
      </c>
      <c r="F24529" s="26">
        <v>3.0300000000000001E-2</v>
      </c>
      <c r="G24529" s="26">
        <v>1.52E-2</v>
      </c>
      <c r="H24529" s="26">
        <v>3.0300000000000001E-2</v>
      </c>
      <c r="I24529">
        <v>66</v>
      </c>
    </row>
    <row r="24530" spans="1:9" x14ac:dyDescent="0.35">
      <c r="A24530" t="s">
        <v>227</v>
      </c>
      <c r="B24530" t="s">
        <v>265</v>
      </c>
      <c r="C24530">
        <v>3</v>
      </c>
      <c r="D24530" s="26">
        <v>7.5800000000000006E-2</v>
      </c>
      <c r="F24530" s="26">
        <v>1.52E-2</v>
      </c>
      <c r="G24530" s="26">
        <v>1.52E-2</v>
      </c>
      <c r="I24530">
        <v>66</v>
      </c>
    </row>
    <row r="24531" spans="1:9" x14ac:dyDescent="0.35">
      <c r="A24531" t="s">
        <v>227</v>
      </c>
      <c r="B24531" t="s">
        <v>265</v>
      </c>
      <c r="C24531">
        <v>1</v>
      </c>
      <c r="D24531" s="26">
        <v>4.5499999999999999E-2</v>
      </c>
      <c r="E24531" s="26">
        <v>1.52E-2</v>
      </c>
      <c r="F24531" s="26">
        <v>4.5499999999999999E-2</v>
      </c>
      <c r="G24531" s="26">
        <v>1.52E-2</v>
      </c>
      <c r="I24531">
        <v>66</v>
      </c>
    </row>
    <row r="24532" spans="1:9" x14ac:dyDescent="0.35">
      <c r="A24532" t="s">
        <v>227</v>
      </c>
      <c r="B24532" t="s">
        <v>265</v>
      </c>
      <c r="C24532">
        <v>0</v>
      </c>
      <c r="D24532" s="26">
        <v>0.77270000000000005</v>
      </c>
      <c r="E24532" s="26">
        <v>0.95450000000000002</v>
      </c>
      <c r="F24532" s="26">
        <v>0.87880000000000003</v>
      </c>
      <c r="G24532" s="26">
        <v>0.92420000000000002</v>
      </c>
      <c r="H24532" s="26">
        <v>0.92420000000000002</v>
      </c>
      <c r="I24532">
        <v>66</v>
      </c>
    </row>
    <row r="24533" spans="1:9" x14ac:dyDescent="0.35">
      <c r="A24533" t="s">
        <v>227</v>
      </c>
      <c r="B24533" t="s">
        <v>266</v>
      </c>
      <c r="C24533">
        <v>7</v>
      </c>
      <c r="D24533" s="26">
        <v>0.1017</v>
      </c>
      <c r="E24533" s="26">
        <v>1.6899999999999998E-2</v>
      </c>
      <c r="F24533" s="26">
        <v>8.4699999999999998E-2</v>
      </c>
      <c r="H24533" s="26">
        <v>5.0799999999999998E-2</v>
      </c>
      <c r="I24533">
        <v>59</v>
      </c>
    </row>
    <row r="24534" spans="1:9" x14ac:dyDescent="0.35">
      <c r="A24534" t="s">
        <v>227</v>
      </c>
      <c r="B24534" t="s">
        <v>266</v>
      </c>
      <c r="C24534">
        <v>4</v>
      </c>
      <c r="D24534" s="26">
        <v>1.6899999999999998E-2</v>
      </c>
      <c r="F24534" s="26">
        <v>1.6899999999999998E-2</v>
      </c>
      <c r="G24534" s="26">
        <v>1.6899999999999998E-2</v>
      </c>
      <c r="H24534" s="26">
        <v>1.6899999999999998E-2</v>
      </c>
      <c r="I24534">
        <v>59</v>
      </c>
    </row>
    <row r="24535" spans="1:9" x14ac:dyDescent="0.35">
      <c r="A24535" t="s">
        <v>227</v>
      </c>
      <c r="B24535" t="s">
        <v>266</v>
      </c>
      <c r="C24535">
        <v>3</v>
      </c>
      <c r="D24535" s="26">
        <v>0.1186</v>
      </c>
      <c r="E24535" s="26">
        <v>1.6899999999999998E-2</v>
      </c>
      <c r="F24535" s="26">
        <v>3.39E-2</v>
      </c>
      <c r="H24535" s="26">
        <v>1.6899999999999998E-2</v>
      </c>
      <c r="I24535">
        <v>59</v>
      </c>
    </row>
    <row r="24536" spans="1:9" x14ac:dyDescent="0.35">
      <c r="A24536" t="s">
        <v>227</v>
      </c>
      <c r="B24536" t="s">
        <v>265</v>
      </c>
      <c r="C24536">
        <v>2</v>
      </c>
      <c r="D24536" s="26">
        <v>7.5800000000000006E-2</v>
      </c>
      <c r="E24536" s="26">
        <v>3.0300000000000001E-2</v>
      </c>
      <c r="F24536" s="26">
        <v>1.52E-2</v>
      </c>
      <c r="G24536" s="26">
        <v>1.52E-2</v>
      </c>
      <c r="H24536" s="26">
        <v>1.52E-2</v>
      </c>
      <c r="I24536">
        <v>66</v>
      </c>
    </row>
    <row r="24537" spans="1:9" x14ac:dyDescent="0.35">
      <c r="A24537" t="s">
        <v>227</v>
      </c>
      <c r="B24537" t="s">
        <v>266</v>
      </c>
      <c r="C24537">
        <v>1</v>
      </c>
      <c r="D24537" s="26">
        <v>1.6899999999999998E-2</v>
      </c>
      <c r="E24537" s="26">
        <v>5.0799999999999998E-2</v>
      </c>
      <c r="H24537" s="26">
        <v>1.6899999999999998E-2</v>
      </c>
      <c r="I24537">
        <v>59</v>
      </c>
    </row>
    <row r="24538" spans="1:9" x14ac:dyDescent="0.35">
      <c r="A24538" t="s">
        <v>227</v>
      </c>
      <c r="B24538" t="s">
        <v>266</v>
      </c>
      <c r="C24538">
        <v>0</v>
      </c>
      <c r="D24538" s="26">
        <v>0.62709999999999999</v>
      </c>
      <c r="E24538" s="26">
        <v>0.86439999999999995</v>
      </c>
      <c r="F24538" s="26">
        <v>0.86439999999999995</v>
      </c>
      <c r="G24538" s="26">
        <v>0.98309999999999997</v>
      </c>
      <c r="H24538" s="26">
        <v>0.89829999999999999</v>
      </c>
      <c r="I24538">
        <v>59</v>
      </c>
    </row>
    <row r="24539" spans="1:9" x14ac:dyDescent="0.35">
      <c r="A24539" t="s">
        <v>227</v>
      </c>
      <c r="B24539" t="s">
        <v>267</v>
      </c>
      <c r="C24539">
        <v>7</v>
      </c>
      <c r="D24539" s="26">
        <v>0.25</v>
      </c>
      <c r="F24539" s="26">
        <v>5.5599999999999997E-2</v>
      </c>
      <c r="I24539">
        <v>36</v>
      </c>
    </row>
    <row r="24540" spans="1:9" x14ac:dyDescent="0.35">
      <c r="A24540" t="s">
        <v>227</v>
      </c>
      <c r="B24540" t="s">
        <v>267</v>
      </c>
      <c r="C24540">
        <v>3</v>
      </c>
      <c r="D24540" s="26">
        <v>2.7799999999999998E-2</v>
      </c>
      <c r="I24540">
        <v>36</v>
      </c>
    </row>
    <row r="24541" spans="1:9" x14ac:dyDescent="0.35">
      <c r="A24541" t="s">
        <v>227</v>
      </c>
      <c r="B24541" t="s">
        <v>267</v>
      </c>
      <c r="C24541">
        <v>2</v>
      </c>
      <c r="D24541" s="26">
        <v>5.5599999999999997E-2</v>
      </c>
      <c r="E24541" s="26">
        <v>2.7799999999999998E-2</v>
      </c>
      <c r="F24541" s="26">
        <v>2.7799999999999998E-2</v>
      </c>
      <c r="G24541" s="26">
        <v>2.7799999999999998E-2</v>
      </c>
      <c r="H24541" s="26">
        <v>2.7799999999999998E-2</v>
      </c>
      <c r="I24541">
        <v>36</v>
      </c>
    </row>
    <row r="24542" spans="1:9" x14ac:dyDescent="0.35">
      <c r="A24542" t="s">
        <v>227</v>
      </c>
      <c r="B24542" t="s">
        <v>267</v>
      </c>
      <c r="C24542">
        <v>1</v>
      </c>
      <c r="D24542" s="26">
        <v>2.7799999999999998E-2</v>
      </c>
      <c r="E24542" s="26">
        <v>5.5599999999999997E-2</v>
      </c>
      <c r="F24542" s="26">
        <v>2.7799999999999998E-2</v>
      </c>
      <c r="I24542">
        <v>36</v>
      </c>
    </row>
    <row r="24543" spans="1:9" x14ac:dyDescent="0.35">
      <c r="A24543" t="s">
        <v>227</v>
      </c>
      <c r="B24543" t="s">
        <v>266</v>
      </c>
      <c r="C24543">
        <v>2</v>
      </c>
      <c r="D24543" s="26">
        <v>0.1186</v>
      </c>
      <c r="E24543" s="26">
        <v>5.0799999999999998E-2</v>
      </c>
      <c r="I24543">
        <v>59</v>
      </c>
    </row>
    <row r="24544" spans="1:9" x14ac:dyDescent="0.35">
      <c r="A24544" t="s">
        <v>228</v>
      </c>
      <c r="B24544" t="s">
        <v>266</v>
      </c>
      <c r="C24544">
        <v>7</v>
      </c>
      <c r="D24544" s="26">
        <v>0.20380000000000001</v>
      </c>
      <c r="E24544" s="26">
        <v>2.12E-2</v>
      </c>
      <c r="F24544" s="26">
        <v>8.1000000000000003E-2</v>
      </c>
      <c r="G24544" s="26">
        <v>4.3499999999999997E-2</v>
      </c>
      <c r="H24544" s="26">
        <v>7.2099999999999997E-2</v>
      </c>
      <c r="I24544">
        <v>448</v>
      </c>
    </row>
    <row r="24545" spans="1:9" x14ac:dyDescent="0.35">
      <c r="A24545" t="s">
        <v>228</v>
      </c>
      <c r="B24545" t="s">
        <v>265</v>
      </c>
      <c r="C24545">
        <v>0</v>
      </c>
      <c r="D24545" s="26">
        <v>0.72560000000000002</v>
      </c>
      <c r="E24545" s="26">
        <v>0.94310000000000005</v>
      </c>
      <c r="F24545" s="26">
        <v>0.89049999999999996</v>
      </c>
      <c r="G24545" s="26">
        <v>0.93520000000000003</v>
      </c>
      <c r="H24545" s="26">
        <v>0.93469999999999998</v>
      </c>
      <c r="I24545">
        <v>384</v>
      </c>
    </row>
    <row r="24546" spans="1:9" x14ac:dyDescent="0.35">
      <c r="A24546" t="s">
        <v>228</v>
      </c>
      <c r="B24546" t="s">
        <v>265</v>
      </c>
      <c r="C24546">
        <v>1</v>
      </c>
      <c r="D24546" s="26">
        <v>2.6700000000000002E-2</v>
      </c>
      <c r="E24546" s="26">
        <v>2.4500000000000001E-2</v>
      </c>
      <c r="F24546" s="26">
        <v>1.44E-2</v>
      </c>
      <c r="G24546" s="26">
        <v>1.1900000000000001E-2</v>
      </c>
      <c r="H24546" s="26">
        <v>7.7000000000000002E-3</v>
      </c>
      <c r="I24546">
        <v>384</v>
      </c>
    </row>
    <row r="24547" spans="1:9" x14ac:dyDescent="0.35">
      <c r="A24547" t="s">
        <v>228</v>
      </c>
      <c r="B24547" t="s">
        <v>265</v>
      </c>
      <c r="C24547">
        <v>2</v>
      </c>
      <c r="D24547" s="26">
        <v>6.6400000000000001E-2</v>
      </c>
      <c r="E24547" s="26">
        <v>1.6299999999999999E-2</v>
      </c>
      <c r="F24547" s="26">
        <v>2.7799999999999998E-2</v>
      </c>
      <c r="G24547" s="26">
        <v>2.47E-2</v>
      </c>
      <c r="H24547" s="26">
        <v>2.06E-2</v>
      </c>
      <c r="I24547">
        <v>384</v>
      </c>
    </row>
    <row r="24548" spans="1:9" x14ac:dyDescent="0.35">
      <c r="A24548" t="s">
        <v>228</v>
      </c>
      <c r="B24548" t="s">
        <v>265</v>
      </c>
      <c r="C24548">
        <v>3</v>
      </c>
      <c r="D24548" s="26">
        <v>5.8599999999999999E-2</v>
      </c>
      <c r="E24548" s="26">
        <v>1.1299999999999999E-2</v>
      </c>
      <c r="F24548" s="26">
        <v>2.92E-2</v>
      </c>
      <c r="G24548" s="26">
        <v>1.8499999999999999E-2</v>
      </c>
      <c r="H24548" s="26">
        <v>8.8000000000000005E-3</v>
      </c>
      <c r="I24548">
        <v>384</v>
      </c>
    </row>
    <row r="24549" spans="1:9" x14ac:dyDescent="0.35">
      <c r="A24549" t="s">
        <v>228</v>
      </c>
      <c r="B24549" t="s">
        <v>265</v>
      </c>
      <c r="C24549">
        <v>7</v>
      </c>
      <c r="D24549" s="26">
        <v>8.4699999999999998E-2</v>
      </c>
      <c r="E24549" s="26">
        <v>8.9999999999999998E-4</v>
      </c>
      <c r="F24549" s="26">
        <v>3.1800000000000002E-2</v>
      </c>
      <c r="G24549" s="26">
        <v>3.5999999999999999E-3</v>
      </c>
      <c r="H24549" s="26">
        <v>1.6299999999999999E-2</v>
      </c>
      <c r="I24549">
        <v>384</v>
      </c>
    </row>
    <row r="24550" spans="1:9" x14ac:dyDescent="0.35">
      <c r="A24550" t="s">
        <v>228</v>
      </c>
      <c r="B24550" t="s">
        <v>265</v>
      </c>
      <c r="C24550">
        <v>5</v>
      </c>
      <c r="D24550" s="26">
        <v>1.52E-2</v>
      </c>
      <c r="E24550" s="26">
        <v>3.0000000000000001E-3</v>
      </c>
      <c r="G24550" s="26">
        <v>6.1999999999999998E-3</v>
      </c>
      <c r="H24550" s="26">
        <v>4.1000000000000003E-3</v>
      </c>
      <c r="I24550">
        <v>384</v>
      </c>
    </row>
    <row r="24551" spans="1:9" x14ac:dyDescent="0.35">
      <c r="A24551" s="27" t="s">
        <v>228</v>
      </c>
      <c r="B24551" s="27" t="s">
        <v>236</v>
      </c>
      <c r="C24551" s="29">
        <v>0</v>
      </c>
      <c r="D24551" s="28">
        <v>0.5</v>
      </c>
      <c r="E24551" s="28">
        <v>1</v>
      </c>
      <c r="F24551" s="28">
        <v>0.5</v>
      </c>
      <c r="G24551" s="28">
        <v>1</v>
      </c>
      <c r="H24551" s="28">
        <v>0.5</v>
      </c>
      <c r="I24551" s="29">
        <v>2</v>
      </c>
    </row>
    <row r="24552" spans="1:9" x14ac:dyDescent="0.35">
      <c r="A24552" s="27" t="s">
        <v>228</v>
      </c>
      <c r="B24552" s="27" t="s">
        <v>236</v>
      </c>
      <c r="C24552" s="29">
        <v>3</v>
      </c>
      <c r="D24552" s="28">
        <v>0.5</v>
      </c>
      <c r="E24552" s="29"/>
      <c r="F24552" s="29"/>
      <c r="G24552" s="29"/>
      <c r="H24552" s="28">
        <v>0.5</v>
      </c>
      <c r="I24552" s="29">
        <v>2</v>
      </c>
    </row>
    <row r="24553" spans="1:9" x14ac:dyDescent="0.35">
      <c r="A24553" t="s">
        <v>228</v>
      </c>
      <c r="B24553" t="s">
        <v>266</v>
      </c>
      <c r="C24553">
        <v>6</v>
      </c>
      <c r="D24553" s="26">
        <v>2.5999999999999999E-3</v>
      </c>
      <c r="F24553" s="26">
        <v>2.8E-3</v>
      </c>
      <c r="I24553">
        <v>448</v>
      </c>
    </row>
    <row r="24554" spans="1:9" x14ac:dyDescent="0.35">
      <c r="A24554" t="s">
        <v>228</v>
      </c>
      <c r="B24554" t="s">
        <v>265</v>
      </c>
      <c r="C24554">
        <v>4</v>
      </c>
      <c r="D24554" s="26">
        <v>2.29E-2</v>
      </c>
      <c r="E24554" s="26">
        <v>8.9999999999999998E-4</v>
      </c>
      <c r="F24554" s="26">
        <v>6.1999999999999998E-3</v>
      </c>
      <c r="H24554" s="26">
        <v>7.7000000000000002E-3</v>
      </c>
      <c r="I24554">
        <v>384</v>
      </c>
    </row>
    <row r="24555" spans="1:9" x14ac:dyDescent="0.35">
      <c r="A24555" t="s">
        <v>228</v>
      </c>
      <c r="B24555" t="s">
        <v>266</v>
      </c>
      <c r="C24555">
        <v>5</v>
      </c>
      <c r="D24555" s="26">
        <v>2.3300000000000001E-2</v>
      </c>
      <c r="E24555" s="26">
        <v>5.9999999999999995E-4</v>
      </c>
      <c r="F24555" s="26">
        <v>5.0000000000000001E-3</v>
      </c>
      <c r="G24555" s="26">
        <v>2.2000000000000001E-3</v>
      </c>
      <c r="H24555" s="26">
        <v>5.7000000000000002E-3</v>
      </c>
      <c r="I24555">
        <v>448</v>
      </c>
    </row>
    <row r="24556" spans="1:9" x14ac:dyDescent="0.35">
      <c r="A24556" t="s">
        <v>228</v>
      </c>
      <c r="B24556" t="s">
        <v>266</v>
      </c>
      <c r="C24556">
        <v>1</v>
      </c>
      <c r="D24556" s="26">
        <v>5.1499999999999997E-2</v>
      </c>
      <c r="E24556" s="26">
        <v>6.0400000000000002E-2</v>
      </c>
      <c r="F24556" s="26">
        <v>1.8200000000000001E-2</v>
      </c>
      <c r="G24556" s="26">
        <v>1E-3</v>
      </c>
      <c r="H24556" s="26">
        <v>1.5900000000000001E-2</v>
      </c>
      <c r="I24556">
        <v>448</v>
      </c>
    </row>
    <row r="24557" spans="1:9" x14ac:dyDescent="0.35">
      <c r="A24557" t="s">
        <v>228</v>
      </c>
      <c r="B24557" t="s">
        <v>266</v>
      </c>
      <c r="C24557">
        <v>3</v>
      </c>
      <c r="D24557" s="26">
        <v>4.8300000000000003E-2</v>
      </c>
      <c r="E24557" s="26">
        <v>1.4500000000000001E-2</v>
      </c>
      <c r="F24557" s="26">
        <v>4.3200000000000002E-2</v>
      </c>
      <c r="G24557" s="26">
        <v>1.32E-2</v>
      </c>
      <c r="H24557" s="26">
        <v>3.3399999999999999E-2</v>
      </c>
      <c r="I24557">
        <v>448</v>
      </c>
    </row>
    <row r="24558" spans="1:9" x14ac:dyDescent="0.35">
      <c r="A24558" t="s">
        <v>228</v>
      </c>
      <c r="B24558" t="s">
        <v>267</v>
      </c>
      <c r="C24558">
        <v>0</v>
      </c>
      <c r="D24558" s="26">
        <v>0.67359999999999998</v>
      </c>
      <c r="E24558" s="26">
        <v>0.92020000000000002</v>
      </c>
      <c r="F24558" s="26">
        <v>0.93169999999999997</v>
      </c>
      <c r="G24558" s="26">
        <v>0.97609999999999997</v>
      </c>
      <c r="H24558" s="26">
        <v>0.91310000000000002</v>
      </c>
      <c r="I24558">
        <v>199</v>
      </c>
    </row>
    <row r="24559" spans="1:9" x14ac:dyDescent="0.35">
      <c r="A24559" t="s">
        <v>228</v>
      </c>
      <c r="B24559" t="s">
        <v>266</v>
      </c>
      <c r="C24559">
        <v>4</v>
      </c>
      <c r="D24559" s="26">
        <v>2.5000000000000001E-2</v>
      </c>
      <c r="E24559" s="26">
        <v>1.2999999999999999E-2</v>
      </c>
      <c r="F24559" s="26">
        <v>8.0000000000000002E-3</v>
      </c>
      <c r="G24559" s="26">
        <v>2.8999999999999998E-3</v>
      </c>
      <c r="H24559" s="26">
        <v>8.6E-3</v>
      </c>
      <c r="I24559">
        <v>448</v>
      </c>
    </row>
    <row r="24560" spans="1:9" x14ac:dyDescent="0.35">
      <c r="A24560" t="s">
        <v>228</v>
      </c>
      <c r="B24560" t="s">
        <v>267</v>
      </c>
      <c r="C24560">
        <v>2</v>
      </c>
      <c r="D24560" s="26">
        <v>0.1002</v>
      </c>
      <c r="E24560" s="26">
        <v>1.72E-2</v>
      </c>
      <c r="F24560" s="26">
        <v>0.02</v>
      </c>
      <c r="G24560" s="26">
        <v>4.8999999999999998E-3</v>
      </c>
      <c r="H24560" s="26">
        <v>2.0999999999999999E-3</v>
      </c>
      <c r="I24560">
        <v>199</v>
      </c>
    </row>
    <row r="24561" spans="1:9" x14ac:dyDescent="0.35">
      <c r="A24561" t="s">
        <v>228</v>
      </c>
      <c r="B24561" t="s">
        <v>267</v>
      </c>
      <c r="C24561">
        <v>3</v>
      </c>
      <c r="D24561" s="26">
        <v>5.11E-2</v>
      </c>
      <c r="E24561" s="26">
        <v>7.9000000000000008E-3</v>
      </c>
      <c r="F24561" s="26">
        <v>1.4E-2</v>
      </c>
      <c r="H24561" s="26">
        <v>1.4500000000000001E-2</v>
      </c>
      <c r="I24561">
        <v>199</v>
      </c>
    </row>
    <row r="24562" spans="1:9" x14ac:dyDescent="0.35">
      <c r="A24562" t="s">
        <v>228</v>
      </c>
      <c r="B24562" t="s">
        <v>267</v>
      </c>
      <c r="C24562">
        <v>4</v>
      </c>
      <c r="D24562" s="26">
        <v>9.5999999999999992E-3</v>
      </c>
      <c r="E24562" s="26">
        <v>3.2000000000000002E-3</v>
      </c>
      <c r="F24562" s="26">
        <v>5.7000000000000002E-3</v>
      </c>
      <c r="H24562" s="26">
        <v>9.2999999999999992E-3</v>
      </c>
      <c r="I24562">
        <v>199</v>
      </c>
    </row>
    <row r="24563" spans="1:9" x14ac:dyDescent="0.35">
      <c r="A24563" t="s">
        <v>228</v>
      </c>
      <c r="B24563" t="s">
        <v>267</v>
      </c>
      <c r="C24563">
        <v>1</v>
      </c>
      <c r="D24563" s="26">
        <v>1.34E-2</v>
      </c>
      <c r="E24563" s="26">
        <v>3.3000000000000002E-2</v>
      </c>
      <c r="F24563" s="26">
        <v>1.35E-2</v>
      </c>
      <c r="G24563" s="26">
        <v>1.2699999999999999E-2</v>
      </c>
      <c r="H24563" s="26">
        <v>3.2099999999999997E-2</v>
      </c>
      <c r="I24563">
        <v>199</v>
      </c>
    </row>
    <row r="24564" spans="1:9" x14ac:dyDescent="0.35">
      <c r="A24564" t="s">
        <v>228</v>
      </c>
      <c r="B24564" t="s">
        <v>267</v>
      </c>
      <c r="C24564">
        <v>6</v>
      </c>
      <c r="D24564" s="26">
        <v>6.3E-3</v>
      </c>
      <c r="I24564">
        <v>199</v>
      </c>
    </row>
    <row r="24565" spans="1:9" x14ac:dyDescent="0.35">
      <c r="A24565" t="s">
        <v>228</v>
      </c>
      <c r="B24565" t="s">
        <v>267</v>
      </c>
      <c r="C24565">
        <v>7</v>
      </c>
      <c r="D24565" s="26">
        <v>0.1313</v>
      </c>
      <c r="E24565" s="26">
        <v>1.8499999999999999E-2</v>
      </c>
      <c r="F24565" s="26">
        <v>1.5100000000000001E-2</v>
      </c>
      <c r="G24565" s="26">
        <v>3.8999999999999998E-3</v>
      </c>
      <c r="H24565" s="26">
        <v>2.8799999999999999E-2</v>
      </c>
      <c r="I24565">
        <v>199</v>
      </c>
    </row>
    <row r="24566" spans="1:9" x14ac:dyDescent="0.35">
      <c r="A24566" t="s">
        <v>228</v>
      </c>
      <c r="B24566" t="s">
        <v>266</v>
      </c>
      <c r="C24566">
        <v>0</v>
      </c>
      <c r="D24566" s="26">
        <v>0.57740000000000002</v>
      </c>
      <c r="E24566" s="26">
        <v>0.86229999999999996</v>
      </c>
      <c r="F24566" s="26">
        <v>0.82130000000000003</v>
      </c>
      <c r="G24566" s="26">
        <v>0.9254</v>
      </c>
      <c r="H24566" s="26">
        <v>0.8256</v>
      </c>
      <c r="I24566">
        <v>448</v>
      </c>
    </row>
    <row r="24567" spans="1:9" x14ac:dyDescent="0.35">
      <c r="A24567" t="s">
        <v>228</v>
      </c>
      <c r="B24567" t="s">
        <v>266</v>
      </c>
      <c r="C24567">
        <v>2</v>
      </c>
      <c r="D24567" s="26">
        <v>6.8099999999999994E-2</v>
      </c>
      <c r="E24567" s="26">
        <v>2.7900000000000001E-2</v>
      </c>
      <c r="F24567" s="26">
        <v>2.0299999999999999E-2</v>
      </c>
      <c r="G24567" s="26">
        <v>1.18E-2</v>
      </c>
      <c r="H24567" s="26">
        <v>3.8699999999999998E-2</v>
      </c>
      <c r="I24567">
        <v>448</v>
      </c>
    </row>
    <row r="24568" spans="1:9" x14ac:dyDescent="0.35">
      <c r="A24568" t="s">
        <v>228</v>
      </c>
      <c r="B24568" t="s">
        <v>267</v>
      </c>
      <c r="C24568">
        <v>5</v>
      </c>
      <c r="D24568" s="26">
        <v>1.4500000000000001E-2</v>
      </c>
      <c r="G24568" s="26">
        <v>2.3999999999999998E-3</v>
      </c>
      <c r="I24568">
        <v>199</v>
      </c>
    </row>
    <row r="24569" spans="1:9" x14ac:dyDescent="0.35">
      <c r="A24569" t="s">
        <v>229</v>
      </c>
      <c r="B24569" t="s">
        <v>266</v>
      </c>
      <c r="C24569">
        <v>4</v>
      </c>
      <c r="D24569" s="26">
        <v>3.5099999999999999E-2</v>
      </c>
      <c r="E24569" s="26">
        <v>1E-3</v>
      </c>
      <c r="F24569" s="26">
        <v>1.9800000000000002E-2</v>
      </c>
      <c r="G24569" s="26">
        <v>2.9999999999999997E-4</v>
      </c>
      <c r="H24569" s="26">
        <v>1.6799999999999999E-2</v>
      </c>
      <c r="I24569">
        <v>359</v>
      </c>
    </row>
    <row r="24570" spans="1:9" x14ac:dyDescent="0.35">
      <c r="A24570" t="s">
        <v>229</v>
      </c>
      <c r="B24570" t="s">
        <v>265</v>
      </c>
      <c r="C24570">
        <v>7</v>
      </c>
      <c r="D24570" s="26">
        <v>8.5599999999999996E-2</v>
      </c>
      <c r="E24570" s="26">
        <v>7.1000000000000004E-3</v>
      </c>
      <c r="F24570" s="26">
        <v>4.58E-2</v>
      </c>
      <c r="G24570" s="26">
        <v>6.7000000000000002E-3</v>
      </c>
      <c r="H24570" s="26">
        <v>3.9300000000000002E-2</v>
      </c>
      <c r="I24570">
        <v>335</v>
      </c>
    </row>
    <row r="24571" spans="1:9" x14ac:dyDescent="0.35">
      <c r="A24571" t="s">
        <v>229</v>
      </c>
      <c r="B24571" t="s">
        <v>265</v>
      </c>
      <c r="C24571">
        <v>5</v>
      </c>
      <c r="D24571" s="26">
        <v>1.35E-2</v>
      </c>
      <c r="G24571" s="26">
        <v>4.0000000000000002E-4</v>
      </c>
      <c r="H24571" s="26">
        <v>4.0000000000000002E-4</v>
      </c>
      <c r="I24571">
        <v>335</v>
      </c>
    </row>
    <row r="24572" spans="1:9" x14ac:dyDescent="0.35">
      <c r="A24572" t="s">
        <v>229</v>
      </c>
      <c r="B24572" t="s">
        <v>265</v>
      </c>
      <c r="C24572">
        <v>4</v>
      </c>
      <c r="D24572" s="26">
        <v>4.3400000000000001E-2</v>
      </c>
      <c r="F24572" s="26">
        <v>1.1000000000000001E-3</v>
      </c>
      <c r="H24572" s="26">
        <v>1.1999999999999999E-3</v>
      </c>
      <c r="I24572">
        <v>335</v>
      </c>
    </row>
    <row r="24573" spans="1:9" x14ac:dyDescent="0.35">
      <c r="A24573" t="s">
        <v>229</v>
      </c>
      <c r="B24573" t="s">
        <v>265</v>
      </c>
      <c r="C24573">
        <v>3</v>
      </c>
      <c r="D24573" s="26">
        <v>3.7199999999999997E-2</v>
      </c>
      <c r="E24573" s="26">
        <v>1.5900000000000001E-2</v>
      </c>
      <c r="F24573" s="26">
        <v>2.12E-2</v>
      </c>
      <c r="G24573" s="26">
        <v>2.0799999999999999E-2</v>
      </c>
      <c r="H24573" s="26">
        <v>2.01E-2</v>
      </c>
      <c r="I24573">
        <v>335</v>
      </c>
    </row>
    <row r="24574" spans="1:9" x14ac:dyDescent="0.35">
      <c r="A24574" t="s">
        <v>229</v>
      </c>
      <c r="B24574" t="s">
        <v>265</v>
      </c>
      <c r="C24574">
        <v>2</v>
      </c>
      <c r="D24574" s="26">
        <v>0.107</v>
      </c>
      <c r="E24574" s="26">
        <v>3.3E-3</v>
      </c>
      <c r="F24574" s="26">
        <v>3.3799999999999997E-2</v>
      </c>
      <c r="G24574" s="26">
        <v>4.0000000000000002E-4</v>
      </c>
      <c r="H24574" s="26">
        <v>2.2800000000000001E-2</v>
      </c>
      <c r="I24574">
        <v>335</v>
      </c>
    </row>
    <row r="24575" spans="1:9" x14ac:dyDescent="0.35">
      <c r="A24575" t="s">
        <v>229</v>
      </c>
      <c r="B24575" t="s">
        <v>265</v>
      </c>
      <c r="C24575">
        <v>1</v>
      </c>
      <c r="D24575" s="26">
        <v>2.8E-3</v>
      </c>
      <c r="E24575" s="26">
        <v>7.0400000000000004E-2</v>
      </c>
      <c r="F24575" s="26">
        <v>1.41E-2</v>
      </c>
      <c r="H24575" s="26">
        <v>6.3E-3</v>
      </c>
      <c r="I24575">
        <v>335</v>
      </c>
    </row>
    <row r="24576" spans="1:9" x14ac:dyDescent="0.35">
      <c r="A24576" t="s">
        <v>229</v>
      </c>
      <c r="B24576" t="s">
        <v>266</v>
      </c>
      <c r="C24576">
        <v>7</v>
      </c>
      <c r="D24576" s="26">
        <v>9.5299999999999996E-2</v>
      </c>
      <c r="E24576" s="26">
        <v>1.21E-2</v>
      </c>
      <c r="F24576" s="26">
        <v>4.9000000000000002E-2</v>
      </c>
      <c r="G24576" s="26">
        <v>1.32E-2</v>
      </c>
      <c r="H24576" s="26">
        <v>2.81E-2</v>
      </c>
      <c r="I24576">
        <v>359</v>
      </c>
    </row>
    <row r="24577" spans="1:9" x14ac:dyDescent="0.35">
      <c r="A24577" t="s">
        <v>229</v>
      </c>
      <c r="B24577" t="s">
        <v>266</v>
      </c>
      <c r="C24577">
        <v>5</v>
      </c>
      <c r="D24577" s="26">
        <v>4.1000000000000002E-2</v>
      </c>
      <c r="F24577" s="26">
        <v>1.5299999999999999E-2</v>
      </c>
      <c r="H24577" s="26">
        <v>3.0000000000000001E-3</v>
      </c>
      <c r="I24577">
        <v>359</v>
      </c>
    </row>
    <row r="24578" spans="1:9" x14ac:dyDescent="0.35">
      <c r="A24578" t="s">
        <v>229</v>
      </c>
      <c r="B24578" t="s">
        <v>266</v>
      </c>
      <c r="C24578">
        <v>3</v>
      </c>
      <c r="D24578" s="26">
        <v>3.0300000000000001E-2</v>
      </c>
      <c r="E24578" s="26">
        <v>1.21E-2</v>
      </c>
      <c r="F24578" s="26">
        <v>3.5700000000000003E-2</v>
      </c>
      <c r="G24578" s="26">
        <v>1.5299999999999999E-2</v>
      </c>
      <c r="H24578" s="26">
        <v>4.1599999999999998E-2</v>
      </c>
      <c r="I24578">
        <v>359</v>
      </c>
    </row>
    <row r="24579" spans="1:9" x14ac:dyDescent="0.35">
      <c r="A24579" t="s">
        <v>229</v>
      </c>
      <c r="B24579" t="s">
        <v>265</v>
      </c>
      <c r="C24579">
        <v>0</v>
      </c>
      <c r="D24579" s="26">
        <v>0.71030000000000004</v>
      </c>
      <c r="E24579" s="26">
        <v>0.90329999999999999</v>
      </c>
      <c r="F24579" s="26">
        <v>0.88400000000000001</v>
      </c>
      <c r="G24579" s="26">
        <v>0.9718</v>
      </c>
      <c r="H24579" s="26">
        <v>0.91</v>
      </c>
      <c r="I24579">
        <v>335</v>
      </c>
    </row>
    <row r="24580" spans="1:9" x14ac:dyDescent="0.35">
      <c r="A24580" t="s">
        <v>229</v>
      </c>
      <c r="B24580" t="s">
        <v>266</v>
      </c>
      <c r="C24580">
        <v>1</v>
      </c>
      <c r="D24580" s="26">
        <v>2.7699999999999999E-2</v>
      </c>
      <c r="E24580" s="26">
        <v>3.1099999999999999E-2</v>
      </c>
      <c r="F24580" s="26">
        <v>2.9999999999999997E-4</v>
      </c>
      <c r="G24580" s="26">
        <v>5.5999999999999999E-3</v>
      </c>
      <c r="H24580" s="26">
        <v>2.0799999999999999E-2</v>
      </c>
      <c r="I24580">
        <v>359</v>
      </c>
    </row>
    <row r="24581" spans="1:9" x14ac:dyDescent="0.35">
      <c r="A24581" t="s">
        <v>229</v>
      </c>
      <c r="B24581" t="s">
        <v>266</v>
      </c>
      <c r="C24581">
        <v>2</v>
      </c>
      <c r="D24581" s="26">
        <v>9.4200000000000006E-2</v>
      </c>
      <c r="E24581" s="26">
        <v>3.4099999999999998E-2</v>
      </c>
      <c r="F24581" s="26">
        <v>7.1400000000000005E-2</v>
      </c>
      <c r="G24581" s="26">
        <v>2.64E-2</v>
      </c>
      <c r="H24581" s="26">
        <v>2.7400000000000001E-2</v>
      </c>
      <c r="I24581">
        <v>359</v>
      </c>
    </row>
    <row r="24582" spans="1:9" x14ac:dyDescent="0.35">
      <c r="A24582" t="s">
        <v>229</v>
      </c>
      <c r="B24582" t="s">
        <v>267</v>
      </c>
      <c r="C24582">
        <v>1</v>
      </c>
      <c r="D24582" s="26">
        <v>1.5100000000000001E-2</v>
      </c>
      <c r="E24582" s="26">
        <v>2.86E-2</v>
      </c>
      <c r="F24582" s="26">
        <v>3.5400000000000001E-2</v>
      </c>
      <c r="H24582" s="26">
        <v>1.3899999999999999E-2</v>
      </c>
      <c r="I24582">
        <v>201</v>
      </c>
    </row>
    <row r="24583" spans="1:9" x14ac:dyDescent="0.35">
      <c r="A24583" t="s">
        <v>229</v>
      </c>
      <c r="B24583" t="s">
        <v>267</v>
      </c>
      <c r="C24583">
        <v>2</v>
      </c>
      <c r="D24583" s="26">
        <v>0.1079</v>
      </c>
      <c r="E24583" s="26">
        <v>2.64E-2</v>
      </c>
      <c r="F24583" s="26">
        <v>2.4500000000000001E-2</v>
      </c>
      <c r="G24583" s="26">
        <v>1.21E-2</v>
      </c>
      <c r="H24583" s="26">
        <v>2.3800000000000002E-2</v>
      </c>
      <c r="I24583">
        <v>201</v>
      </c>
    </row>
    <row r="24584" spans="1:9" x14ac:dyDescent="0.35">
      <c r="A24584" t="s">
        <v>229</v>
      </c>
      <c r="B24584" t="s">
        <v>267</v>
      </c>
      <c r="C24584">
        <v>3</v>
      </c>
      <c r="D24584" s="26">
        <v>4.3299999999999998E-2</v>
      </c>
      <c r="E24584" s="26">
        <v>4.4999999999999997E-3</v>
      </c>
      <c r="F24584" s="26">
        <v>2.8299999999999999E-2</v>
      </c>
      <c r="G24584" s="26">
        <v>8.0000000000000004E-4</v>
      </c>
      <c r="H24584" s="26">
        <v>1.1299999999999999E-2</v>
      </c>
      <c r="I24584">
        <v>201</v>
      </c>
    </row>
    <row r="24585" spans="1:9" x14ac:dyDescent="0.35">
      <c r="A24585" t="s">
        <v>229</v>
      </c>
      <c r="B24585" t="s">
        <v>267</v>
      </c>
      <c r="C24585">
        <v>4</v>
      </c>
      <c r="D24585" s="26">
        <v>2.7099999999999999E-2</v>
      </c>
      <c r="F24585" s="26">
        <v>5.3E-3</v>
      </c>
      <c r="I24585">
        <v>201</v>
      </c>
    </row>
    <row r="24586" spans="1:9" x14ac:dyDescent="0.35">
      <c r="A24586" t="s">
        <v>229</v>
      </c>
      <c r="B24586" t="s">
        <v>267</v>
      </c>
      <c r="C24586">
        <v>0</v>
      </c>
      <c r="D24586" s="26">
        <v>0.71009999999999995</v>
      </c>
      <c r="E24586" s="26">
        <v>0.92320000000000002</v>
      </c>
      <c r="F24586" s="26">
        <v>0.875</v>
      </c>
      <c r="G24586" s="26">
        <v>0.96950000000000003</v>
      </c>
      <c r="H24586" s="26">
        <v>0.90659999999999996</v>
      </c>
      <c r="I24586">
        <v>201</v>
      </c>
    </row>
    <row r="24587" spans="1:9" x14ac:dyDescent="0.35">
      <c r="A24587" t="s">
        <v>229</v>
      </c>
      <c r="B24587" t="s">
        <v>267</v>
      </c>
      <c r="C24587">
        <v>6</v>
      </c>
      <c r="D24587" s="26">
        <v>1.1299999999999999E-2</v>
      </c>
      <c r="I24587">
        <v>201</v>
      </c>
    </row>
    <row r="24588" spans="1:9" x14ac:dyDescent="0.35">
      <c r="A24588" t="s">
        <v>229</v>
      </c>
      <c r="B24588" t="s">
        <v>267</v>
      </c>
      <c r="C24588">
        <v>7</v>
      </c>
      <c r="D24588" s="26">
        <v>8.4500000000000006E-2</v>
      </c>
      <c r="E24588" s="26">
        <v>1.2800000000000001E-2</v>
      </c>
      <c r="F24588" s="26">
        <v>3.0099999999999998E-2</v>
      </c>
      <c r="G24588" s="26">
        <v>1.5800000000000002E-2</v>
      </c>
      <c r="H24588" s="26">
        <v>3.3099999999999997E-2</v>
      </c>
      <c r="I24588">
        <v>201</v>
      </c>
    </row>
    <row r="24589" spans="1:9" x14ac:dyDescent="0.35">
      <c r="A24589" t="s">
        <v>229</v>
      </c>
      <c r="B24589" t="s">
        <v>266</v>
      </c>
      <c r="C24589">
        <v>0</v>
      </c>
      <c r="D24589" s="26">
        <v>0.67630000000000001</v>
      </c>
      <c r="E24589" s="26">
        <v>0.90959999999999996</v>
      </c>
      <c r="F24589" s="26">
        <v>0.8085</v>
      </c>
      <c r="G24589" s="26">
        <v>0.93169999999999997</v>
      </c>
      <c r="H24589" s="26">
        <v>0.86229999999999996</v>
      </c>
      <c r="I24589">
        <v>359</v>
      </c>
    </row>
    <row r="24590" spans="1:9" x14ac:dyDescent="0.35">
      <c r="A24590" t="s">
        <v>229</v>
      </c>
      <c r="B24590" t="s">
        <v>267</v>
      </c>
      <c r="C24590">
        <v>5</v>
      </c>
      <c r="D24590" s="26">
        <v>8.0000000000000004E-4</v>
      </c>
      <c r="E24590" s="26">
        <v>4.4999999999999997E-3</v>
      </c>
      <c r="F24590" s="26">
        <v>1.5E-3</v>
      </c>
      <c r="G24590" s="26">
        <v>1.9E-3</v>
      </c>
      <c r="H24590" s="26">
        <v>1.1299999999999999E-2</v>
      </c>
      <c r="I24590">
        <v>201</v>
      </c>
    </row>
    <row r="24591" spans="1:9" x14ac:dyDescent="0.35">
      <c r="A24591" t="s">
        <v>230</v>
      </c>
      <c r="B24591" t="s">
        <v>265</v>
      </c>
      <c r="C24591">
        <v>7</v>
      </c>
      <c r="D24591" s="26">
        <v>6.3700000000000007E-2</v>
      </c>
      <c r="E24591" s="26">
        <v>1.29E-2</v>
      </c>
      <c r="F24591" s="26">
        <v>4.7999999999999996E-3</v>
      </c>
      <c r="G24591" s="26">
        <v>3.1300000000000001E-2</v>
      </c>
      <c r="H24591" s="26">
        <v>3.3999999999999998E-3</v>
      </c>
      <c r="I24591">
        <v>209</v>
      </c>
    </row>
    <row r="24592" spans="1:9" x14ac:dyDescent="0.35">
      <c r="A24592" t="s">
        <v>230</v>
      </c>
      <c r="B24592" t="s">
        <v>266</v>
      </c>
      <c r="C24592">
        <v>5</v>
      </c>
      <c r="D24592" s="26">
        <v>5.7999999999999996E-3</v>
      </c>
      <c r="H24592" s="26">
        <v>2.5000000000000001E-3</v>
      </c>
      <c r="I24592">
        <v>232</v>
      </c>
    </row>
    <row r="24593" spans="1:9" x14ac:dyDescent="0.35">
      <c r="A24593" t="s">
        <v>230</v>
      </c>
      <c r="B24593" t="s">
        <v>265</v>
      </c>
      <c r="C24593">
        <v>6</v>
      </c>
      <c r="D24593" s="26">
        <v>2.5700000000000001E-2</v>
      </c>
      <c r="F24593" s="26">
        <v>2.0999999999999999E-3</v>
      </c>
      <c r="I24593">
        <v>209</v>
      </c>
    </row>
    <row r="24594" spans="1:9" x14ac:dyDescent="0.35">
      <c r="A24594" t="s">
        <v>230</v>
      </c>
      <c r="B24594" t="s">
        <v>265</v>
      </c>
      <c r="C24594">
        <v>5</v>
      </c>
      <c r="D24594" s="26">
        <v>1.6299999999999999E-2</v>
      </c>
      <c r="E24594" s="26">
        <v>2.2000000000000001E-3</v>
      </c>
      <c r="F24594" s="26">
        <v>4.3E-3</v>
      </c>
      <c r="I24594">
        <v>209</v>
      </c>
    </row>
    <row r="24595" spans="1:9" x14ac:dyDescent="0.35">
      <c r="A24595" t="s">
        <v>230</v>
      </c>
      <c r="B24595" t="s">
        <v>265</v>
      </c>
      <c r="C24595">
        <v>3</v>
      </c>
      <c r="D24595" s="26">
        <v>5.33E-2</v>
      </c>
      <c r="E24595" s="26">
        <v>4.8999999999999998E-3</v>
      </c>
      <c r="F24595" s="26">
        <v>9.9000000000000008E-3</v>
      </c>
      <c r="G24595" s="26">
        <v>2.8E-3</v>
      </c>
      <c r="H24595" s="26">
        <v>7.7999999999999996E-3</v>
      </c>
      <c r="I24595">
        <v>209</v>
      </c>
    </row>
    <row r="24596" spans="1:9" x14ac:dyDescent="0.35">
      <c r="A24596" t="s">
        <v>230</v>
      </c>
      <c r="B24596" t="s">
        <v>265</v>
      </c>
      <c r="C24596">
        <v>2</v>
      </c>
      <c r="D24596" s="26">
        <v>6.6299999999999998E-2</v>
      </c>
      <c r="E24596" s="26">
        <v>3.4099999999999998E-2</v>
      </c>
      <c r="F24596" s="26">
        <v>5.9799999999999999E-2</v>
      </c>
      <c r="G24596" s="26">
        <v>1.9900000000000001E-2</v>
      </c>
      <c r="H24596" s="26">
        <v>1.4999999999999999E-2</v>
      </c>
      <c r="I24596">
        <v>209</v>
      </c>
    </row>
    <row r="24597" spans="1:9" x14ac:dyDescent="0.35">
      <c r="A24597" t="s">
        <v>230</v>
      </c>
      <c r="B24597" t="s">
        <v>265</v>
      </c>
      <c r="C24597">
        <v>1</v>
      </c>
      <c r="D24597" s="26">
        <v>5.6300000000000003E-2</v>
      </c>
      <c r="E24597" s="26">
        <v>1.35E-2</v>
      </c>
      <c r="F24597" s="26">
        <v>1.72E-2</v>
      </c>
      <c r="G24597" s="26">
        <v>1.29E-2</v>
      </c>
      <c r="H24597" s="26">
        <v>9.2999999999999992E-3</v>
      </c>
      <c r="I24597">
        <v>209</v>
      </c>
    </row>
    <row r="24598" spans="1:9" x14ac:dyDescent="0.35">
      <c r="A24598" t="s">
        <v>230</v>
      </c>
      <c r="B24598" t="s">
        <v>265</v>
      </c>
      <c r="C24598">
        <v>0</v>
      </c>
      <c r="D24598" s="26">
        <v>0.70430000000000004</v>
      </c>
      <c r="E24598" s="26">
        <v>0.9325</v>
      </c>
      <c r="F24598" s="26">
        <v>0.90129999999999999</v>
      </c>
      <c r="G24598" s="26">
        <v>0.9325</v>
      </c>
      <c r="H24598" s="26">
        <v>0.94889999999999997</v>
      </c>
      <c r="I24598">
        <v>209</v>
      </c>
    </row>
    <row r="24599" spans="1:9" x14ac:dyDescent="0.35">
      <c r="A24599" t="s">
        <v>230</v>
      </c>
      <c r="B24599" t="s">
        <v>266</v>
      </c>
      <c r="C24599">
        <v>7</v>
      </c>
      <c r="D24599" s="26">
        <v>0.2316</v>
      </c>
      <c r="E24599" s="26">
        <v>8.2000000000000007E-3</v>
      </c>
      <c r="F24599" s="26">
        <v>8.2699999999999996E-2</v>
      </c>
      <c r="G24599" s="26">
        <v>2.3099999999999999E-2</v>
      </c>
      <c r="H24599" s="26">
        <v>0.1026</v>
      </c>
      <c r="I24599">
        <v>232</v>
      </c>
    </row>
    <row r="24600" spans="1:9" x14ac:dyDescent="0.35">
      <c r="A24600" t="s">
        <v>230</v>
      </c>
      <c r="B24600" t="s">
        <v>266</v>
      </c>
      <c r="C24600">
        <v>6</v>
      </c>
      <c r="D24600" s="26">
        <v>1.49E-2</v>
      </c>
      <c r="I24600">
        <v>232</v>
      </c>
    </row>
    <row r="24601" spans="1:9" x14ac:dyDescent="0.35">
      <c r="A24601" t="s">
        <v>230</v>
      </c>
      <c r="B24601" t="s">
        <v>266</v>
      </c>
      <c r="C24601">
        <v>4</v>
      </c>
      <c r="D24601" s="26">
        <v>2.5399999999999999E-2</v>
      </c>
      <c r="E24601" s="26">
        <v>7.4999999999999997E-3</v>
      </c>
      <c r="F24601" s="26">
        <v>4.3700000000000003E-2</v>
      </c>
      <c r="G24601" s="26">
        <v>2.06E-2</v>
      </c>
      <c r="H24601" s="26">
        <v>2.3099999999999999E-2</v>
      </c>
      <c r="I24601">
        <v>232</v>
      </c>
    </row>
    <row r="24602" spans="1:9" x14ac:dyDescent="0.35">
      <c r="A24602" t="s">
        <v>230</v>
      </c>
      <c r="B24602" t="s">
        <v>265</v>
      </c>
      <c r="C24602">
        <v>4</v>
      </c>
      <c r="D24602" s="26">
        <v>1.4200000000000001E-2</v>
      </c>
      <c r="F24602" s="26">
        <v>6.9999999999999999E-4</v>
      </c>
      <c r="G24602" s="26">
        <v>6.9999999999999999E-4</v>
      </c>
      <c r="H24602" s="26">
        <v>1.5599999999999999E-2</v>
      </c>
      <c r="I24602">
        <v>209</v>
      </c>
    </row>
    <row r="24603" spans="1:9" x14ac:dyDescent="0.35">
      <c r="A24603" t="s">
        <v>230</v>
      </c>
      <c r="B24603" t="s">
        <v>266</v>
      </c>
      <c r="C24603">
        <v>2</v>
      </c>
      <c r="D24603" s="26">
        <v>5.8299999999999998E-2</v>
      </c>
      <c r="E24603" s="26">
        <v>4.7800000000000002E-2</v>
      </c>
      <c r="F24603" s="26">
        <v>9.0700000000000003E-2</v>
      </c>
      <c r="G24603" s="26">
        <v>1.8200000000000001E-2</v>
      </c>
      <c r="H24603" s="26">
        <v>8.4900000000000003E-2</v>
      </c>
      <c r="I24603">
        <v>232</v>
      </c>
    </row>
    <row r="24604" spans="1:9" x14ac:dyDescent="0.35">
      <c r="A24604" t="s">
        <v>230</v>
      </c>
      <c r="B24604" t="s">
        <v>266</v>
      </c>
      <c r="C24604">
        <v>1</v>
      </c>
      <c r="D24604" s="26">
        <v>1.3100000000000001E-2</v>
      </c>
      <c r="E24604" s="26">
        <v>0.1183</v>
      </c>
      <c r="H24604" s="26">
        <v>3.3E-3</v>
      </c>
      <c r="I24604">
        <v>232</v>
      </c>
    </row>
    <row r="24605" spans="1:9" x14ac:dyDescent="0.35">
      <c r="A24605" t="s">
        <v>230</v>
      </c>
      <c r="B24605" t="s">
        <v>266</v>
      </c>
      <c r="C24605">
        <v>0</v>
      </c>
      <c r="D24605" s="26">
        <v>0.55089999999999995</v>
      </c>
      <c r="E24605" s="26">
        <v>0.80010000000000003</v>
      </c>
      <c r="F24605" s="26">
        <v>0.77649999999999997</v>
      </c>
      <c r="G24605" s="26">
        <v>0.91749999999999998</v>
      </c>
      <c r="H24605" s="26">
        <v>0.74319999999999997</v>
      </c>
      <c r="I24605">
        <v>232</v>
      </c>
    </row>
    <row r="24606" spans="1:9" x14ac:dyDescent="0.35">
      <c r="A24606" t="s">
        <v>230</v>
      </c>
      <c r="B24606" t="s">
        <v>267</v>
      </c>
      <c r="C24606">
        <v>7</v>
      </c>
      <c r="D24606" s="26">
        <v>7.5600000000000001E-2</v>
      </c>
      <c r="F24606" s="26">
        <v>1.1999999999999999E-3</v>
      </c>
      <c r="H24606" s="26">
        <v>4.1000000000000003E-3</v>
      </c>
      <c r="I24606">
        <v>119</v>
      </c>
    </row>
    <row r="24607" spans="1:9" x14ac:dyDescent="0.35">
      <c r="A24607" t="s">
        <v>230</v>
      </c>
      <c r="B24607" t="s">
        <v>267</v>
      </c>
      <c r="C24607">
        <v>6</v>
      </c>
      <c r="D24607" s="26">
        <v>4.1000000000000003E-3</v>
      </c>
      <c r="F24607" s="26">
        <v>4.1000000000000003E-3</v>
      </c>
      <c r="H24607" s="26">
        <v>4.1000000000000003E-3</v>
      </c>
      <c r="I24607">
        <v>119</v>
      </c>
    </row>
    <row r="24608" spans="1:9" x14ac:dyDescent="0.35">
      <c r="A24608" t="s">
        <v>230</v>
      </c>
      <c r="B24608" t="s">
        <v>267</v>
      </c>
      <c r="C24608">
        <v>4</v>
      </c>
      <c r="D24608" s="26">
        <v>1.24E-2</v>
      </c>
      <c r="G24608" s="26">
        <v>2.4500000000000001E-2</v>
      </c>
      <c r="I24608">
        <v>119</v>
      </c>
    </row>
    <row r="24609" spans="1:9" x14ac:dyDescent="0.35">
      <c r="A24609" t="s">
        <v>230</v>
      </c>
      <c r="B24609" t="s">
        <v>267</v>
      </c>
      <c r="C24609">
        <v>3</v>
      </c>
      <c r="D24609" s="26">
        <v>6.08E-2</v>
      </c>
      <c r="E24609" s="26">
        <v>1.1999999999999999E-3</v>
      </c>
      <c r="F24609" s="26">
        <v>4.1000000000000003E-3</v>
      </c>
      <c r="G24609" s="26">
        <v>4.1000000000000003E-3</v>
      </c>
      <c r="H24609" s="26">
        <v>1.35E-2</v>
      </c>
      <c r="I24609">
        <v>119</v>
      </c>
    </row>
    <row r="24610" spans="1:9" x14ac:dyDescent="0.35">
      <c r="A24610" t="s">
        <v>230</v>
      </c>
      <c r="B24610" t="s">
        <v>267</v>
      </c>
      <c r="C24610">
        <v>2</v>
      </c>
      <c r="D24610" s="26">
        <v>1.9900000000000001E-2</v>
      </c>
      <c r="E24610" s="26">
        <v>4.1000000000000003E-3</v>
      </c>
      <c r="F24610" s="26">
        <v>1.0699999999999999E-2</v>
      </c>
      <c r="G24610" s="26">
        <v>2.8500000000000001E-2</v>
      </c>
      <c r="H24610" s="26">
        <v>5.3100000000000001E-2</v>
      </c>
      <c r="I24610">
        <v>119</v>
      </c>
    </row>
    <row r="24611" spans="1:9" x14ac:dyDescent="0.35">
      <c r="A24611" t="s">
        <v>230</v>
      </c>
      <c r="B24611" t="s">
        <v>267</v>
      </c>
      <c r="C24611">
        <v>1</v>
      </c>
      <c r="D24611" s="26">
        <v>1.1999999999999999E-3</v>
      </c>
      <c r="E24611" s="26">
        <v>4.2000000000000003E-2</v>
      </c>
      <c r="F24611" s="26">
        <v>4.1000000000000003E-3</v>
      </c>
      <c r="I24611">
        <v>119</v>
      </c>
    </row>
    <row r="24612" spans="1:9" x14ac:dyDescent="0.35">
      <c r="A24612" t="s">
        <v>230</v>
      </c>
      <c r="B24612" t="s">
        <v>267</v>
      </c>
      <c r="C24612">
        <v>0</v>
      </c>
      <c r="D24612" s="26">
        <v>0.82589999999999997</v>
      </c>
      <c r="E24612" s="26">
        <v>0.92810000000000004</v>
      </c>
      <c r="F24612" s="26">
        <v>0.97560000000000002</v>
      </c>
      <c r="G24612" s="26">
        <v>0.94289999999999996</v>
      </c>
      <c r="H24612" s="26">
        <v>0.92510000000000003</v>
      </c>
      <c r="I24612">
        <v>119</v>
      </c>
    </row>
    <row r="24613" spans="1:9" x14ac:dyDescent="0.35">
      <c r="A24613" t="s">
        <v>230</v>
      </c>
      <c r="B24613" t="s">
        <v>266</v>
      </c>
      <c r="C24613">
        <v>3</v>
      </c>
      <c r="D24613" s="26">
        <v>9.9900000000000003E-2</v>
      </c>
      <c r="E24613" s="26">
        <v>1.8100000000000002E-2</v>
      </c>
      <c r="F24613" s="26">
        <v>6.4999999999999997E-3</v>
      </c>
      <c r="G24613" s="26">
        <v>2.07E-2</v>
      </c>
      <c r="H24613" s="26">
        <v>4.0500000000000001E-2</v>
      </c>
      <c r="I24613">
        <v>232</v>
      </c>
    </row>
    <row r="24614" spans="1:9" x14ac:dyDescent="0.35">
      <c r="A24614" t="s">
        <v>231</v>
      </c>
      <c r="B24614" t="s">
        <v>266</v>
      </c>
      <c r="C24614">
        <v>5</v>
      </c>
      <c r="D24614" s="26">
        <v>4.8399999999999999E-2</v>
      </c>
      <c r="E24614" s="26">
        <v>1.61E-2</v>
      </c>
      <c r="F24614" s="26">
        <v>1.61E-2</v>
      </c>
      <c r="H24614" s="26">
        <v>1.61E-2</v>
      </c>
      <c r="I24614">
        <v>62</v>
      </c>
    </row>
    <row r="24615" spans="1:9" x14ac:dyDescent="0.35">
      <c r="A24615" t="s">
        <v>231</v>
      </c>
      <c r="B24615" t="s">
        <v>266</v>
      </c>
      <c r="C24615">
        <v>7</v>
      </c>
      <c r="D24615" s="26">
        <v>0.1452</v>
      </c>
      <c r="F24615" s="26">
        <v>4.8399999999999999E-2</v>
      </c>
      <c r="G24615" s="26">
        <v>1.61E-2</v>
      </c>
      <c r="H24615" s="26">
        <v>0.129</v>
      </c>
      <c r="I24615">
        <v>62</v>
      </c>
    </row>
    <row r="24616" spans="1:9" x14ac:dyDescent="0.35">
      <c r="A24616" t="s">
        <v>231</v>
      </c>
      <c r="B24616" t="s">
        <v>265</v>
      </c>
      <c r="C24616">
        <v>0</v>
      </c>
      <c r="D24616" s="26">
        <v>0.70589999999999997</v>
      </c>
      <c r="E24616" s="26">
        <v>0.89710000000000001</v>
      </c>
      <c r="F24616" s="26">
        <v>0.85289999999999999</v>
      </c>
      <c r="G24616" s="26">
        <v>0.89710000000000001</v>
      </c>
      <c r="H24616" s="26">
        <v>0.89710000000000001</v>
      </c>
      <c r="I24616">
        <v>68</v>
      </c>
    </row>
    <row r="24617" spans="1:9" x14ac:dyDescent="0.35">
      <c r="A24617" t="s">
        <v>231</v>
      </c>
      <c r="B24617" t="s">
        <v>265</v>
      </c>
      <c r="C24617">
        <v>1</v>
      </c>
      <c r="D24617" s="26">
        <v>2.9399999999999999E-2</v>
      </c>
      <c r="F24617" s="26">
        <v>1.47E-2</v>
      </c>
      <c r="H24617" s="26">
        <v>1.47E-2</v>
      </c>
      <c r="I24617">
        <v>68</v>
      </c>
    </row>
    <row r="24618" spans="1:9" x14ac:dyDescent="0.35">
      <c r="A24618" t="s">
        <v>231</v>
      </c>
      <c r="B24618" t="s">
        <v>265</v>
      </c>
      <c r="C24618">
        <v>7</v>
      </c>
      <c r="D24618" s="26">
        <v>8.8200000000000001E-2</v>
      </c>
      <c r="F24618" s="26">
        <v>4.41E-2</v>
      </c>
      <c r="G24618" s="26">
        <v>1.47E-2</v>
      </c>
      <c r="H24618" s="26">
        <v>1.47E-2</v>
      </c>
      <c r="I24618">
        <v>68</v>
      </c>
    </row>
    <row r="24619" spans="1:9" x14ac:dyDescent="0.35">
      <c r="A24619" t="s">
        <v>231</v>
      </c>
      <c r="B24619" t="s">
        <v>265</v>
      </c>
      <c r="C24619">
        <v>3</v>
      </c>
      <c r="D24619" s="26">
        <v>5.8799999999999998E-2</v>
      </c>
      <c r="E24619" s="26">
        <v>4.41E-2</v>
      </c>
      <c r="G24619" s="26">
        <v>1.47E-2</v>
      </c>
      <c r="H24619" s="26">
        <v>1.47E-2</v>
      </c>
      <c r="I24619">
        <v>68</v>
      </c>
    </row>
    <row r="24620" spans="1:9" x14ac:dyDescent="0.35">
      <c r="A24620" t="s">
        <v>231</v>
      </c>
      <c r="B24620" t="s">
        <v>265</v>
      </c>
      <c r="C24620">
        <v>4</v>
      </c>
      <c r="D24620" s="26">
        <v>4.41E-2</v>
      </c>
      <c r="F24620" s="26">
        <v>4.41E-2</v>
      </c>
      <c r="G24620" s="26">
        <v>4.41E-2</v>
      </c>
      <c r="I24620">
        <v>68</v>
      </c>
    </row>
    <row r="24621" spans="1:9" x14ac:dyDescent="0.35">
      <c r="A24621" t="s">
        <v>231</v>
      </c>
      <c r="B24621" t="s">
        <v>265</v>
      </c>
      <c r="C24621">
        <v>5</v>
      </c>
      <c r="D24621" s="26">
        <v>2.9399999999999999E-2</v>
      </c>
      <c r="F24621" s="26">
        <v>2.9399999999999999E-2</v>
      </c>
      <c r="H24621" s="26">
        <v>2.9399999999999999E-2</v>
      </c>
      <c r="I24621">
        <v>68</v>
      </c>
    </row>
    <row r="24622" spans="1:9" x14ac:dyDescent="0.35">
      <c r="A24622" t="s">
        <v>231</v>
      </c>
      <c r="B24622" t="s">
        <v>265</v>
      </c>
      <c r="C24622">
        <v>2</v>
      </c>
      <c r="D24622" s="26">
        <v>4.41E-2</v>
      </c>
      <c r="E24622" s="26">
        <v>4.41E-2</v>
      </c>
      <c r="F24622" s="26">
        <v>1.47E-2</v>
      </c>
      <c r="G24622" s="26">
        <v>1.47E-2</v>
      </c>
      <c r="H24622" s="26">
        <v>1.47E-2</v>
      </c>
      <c r="I24622">
        <v>68</v>
      </c>
    </row>
    <row r="24623" spans="1:9" x14ac:dyDescent="0.35">
      <c r="A24623" t="s">
        <v>231</v>
      </c>
      <c r="B24623" t="s">
        <v>266</v>
      </c>
      <c r="C24623">
        <v>4</v>
      </c>
      <c r="D24623" s="26">
        <v>1.61E-2</v>
      </c>
      <c r="F24623" s="26">
        <v>1.61E-2</v>
      </c>
      <c r="G24623" s="26">
        <v>1.61E-2</v>
      </c>
      <c r="I24623">
        <v>62</v>
      </c>
    </row>
    <row r="24624" spans="1:9" x14ac:dyDescent="0.35">
      <c r="A24624" t="s">
        <v>231</v>
      </c>
      <c r="B24624" t="s">
        <v>266</v>
      </c>
      <c r="C24624">
        <v>2</v>
      </c>
      <c r="D24624" s="26">
        <v>0.129</v>
      </c>
      <c r="E24624" s="26">
        <v>1.61E-2</v>
      </c>
      <c r="F24624" s="26">
        <v>4.8399999999999999E-2</v>
      </c>
      <c r="H24624" s="26">
        <v>6.4500000000000002E-2</v>
      </c>
      <c r="I24624">
        <v>62</v>
      </c>
    </row>
    <row r="24625" spans="1:9" x14ac:dyDescent="0.35">
      <c r="A24625" t="s">
        <v>231</v>
      </c>
      <c r="B24625" t="s">
        <v>266</v>
      </c>
      <c r="C24625">
        <v>1</v>
      </c>
      <c r="D24625" s="26">
        <v>6.4500000000000002E-2</v>
      </c>
      <c r="E24625" s="26">
        <v>8.0600000000000005E-2</v>
      </c>
      <c r="F24625" s="26">
        <v>3.2300000000000002E-2</v>
      </c>
      <c r="H24625" s="26">
        <v>4.8399999999999999E-2</v>
      </c>
      <c r="I24625">
        <v>62</v>
      </c>
    </row>
    <row r="24626" spans="1:9" x14ac:dyDescent="0.35">
      <c r="A24626" t="s">
        <v>231</v>
      </c>
      <c r="B24626" t="s">
        <v>266</v>
      </c>
      <c r="C24626">
        <v>0</v>
      </c>
      <c r="D24626" s="26">
        <v>0.5323</v>
      </c>
      <c r="E24626" s="26">
        <v>0.8387</v>
      </c>
      <c r="F24626" s="26">
        <v>0.7581</v>
      </c>
      <c r="G24626" s="26">
        <v>0.9677</v>
      </c>
      <c r="H24626" s="26">
        <v>0.7097</v>
      </c>
      <c r="I24626">
        <v>62</v>
      </c>
    </row>
    <row r="24627" spans="1:9" x14ac:dyDescent="0.35">
      <c r="A24627" t="s">
        <v>231</v>
      </c>
      <c r="B24627" t="s">
        <v>267</v>
      </c>
      <c r="C24627">
        <v>7</v>
      </c>
      <c r="D24627" s="26">
        <v>8.8200000000000001E-2</v>
      </c>
      <c r="E24627" s="26">
        <v>2.9399999999999999E-2</v>
      </c>
      <c r="F24627" s="26">
        <v>2.9399999999999999E-2</v>
      </c>
      <c r="G24627" s="26">
        <v>2.9399999999999999E-2</v>
      </c>
      <c r="H24627" s="26">
        <v>5.8799999999999998E-2</v>
      </c>
      <c r="I24627">
        <v>34</v>
      </c>
    </row>
    <row r="24628" spans="1:9" x14ac:dyDescent="0.35">
      <c r="A24628" t="s">
        <v>231</v>
      </c>
      <c r="B24628" t="s">
        <v>267</v>
      </c>
      <c r="C24628">
        <v>5</v>
      </c>
      <c r="D24628" s="26">
        <v>5.8799999999999998E-2</v>
      </c>
      <c r="F24628" s="26">
        <v>2.9399999999999999E-2</v>
      </c>
      <c r="I24628">
        <v>34</v>
      </c>
    </row>
    <row r="24629" spans="1:9" x14ac:dyDescent="0.35">
      <c r="A24629" t="s">
        <v>231</v>
      </c>
      <c r="B24629" t="s">
        <v>267</v>
      </c>
      <c r="C24629">
        <v>3</v>
      </c>
      <c r="D24629" s="26">
        <v>8.8200000000000001E-2</v>
      </c>
      <c r="E24629" s="26">
        <v>2.9399999999999999E-2</v>
      </c>
      <c r="H24629" s="26">
        <v>2.9399999999999999E-2</v>
      </c>
      <c r="I24629">
        <v>34</v>
      </c>
    </row>
    <row r="24630" spans="1:9" x14ac:dyDescent="0.35">
      <c r="A24630" t="s">
        <v>231</v>
      </c>
      <c r="B24630" t="s">
        <v>267</v>
      </c>
      <c r="C24630">
        <v>2</v>
      </c>
      <c r="D24630" s="26">
        <v>0.1176</v>
      </c>
      <c r="F24630" s="26">
        <v>5.8799999999999998E-2</v>
      </c>
      <c r="I24630">
        <v>34</v>
      </c>
    </row>
    <row r="24631" spans="1:9" x14ac:dyDescent="0.35">
      <c r="A24631" t="s">
        <v>231</v>
      </c>
      <c r="B24631" t="s">
        <v>267</v>
      </c>
      <c r="C24631">
        <v>1</v>
      </c>
      <c r="D24631" s="26">
        <v>2.9399999999999999E-2</v>
      </c>
      <c r="E24631" s="26">
        <v>2.9399999999999999E-2</v>
      </c>
      <c r="G24631" s="26">
        <v>2.9399999999999999E-2</v>
      </c>
      <c r="H24631" s="26">
        <v>5.8799999999999998E-2</v>
      </c>
      <c r="I24631">
        <v>34</v>
      </c>
    </row>
    <row r="24632" spans="1:9" x14ac:dyDescent="0.35">
      <c r="A24632" t="s">
        <v>231</v>
      </c>
      <c r="B24632" t="s">
        <v>267</v>
      </c>
      <c r="C24632">
        <v>0</v>
      </c>
      <c r="D24632" s="26">
        <v>0.61760000000000004</v>
      </c>
      <c r="E24632" s="26">
        <v>0.91180000000000005</v>
      </c>
      <c r="F24632" s="26">
        <v>0.88239999999999996</v>
      </c>
      <c r="G24632" s="26">
        <v>0.94120000000000004</v>
      </c>
      <c r="H24632" s="26">
        <v>0.82350000000000001</v>
      </c>
      <c r="I24632">
        <v>34</v>
      </c>
    </row>
    <row r="24633" spans="1:9" x14ac:dyDescent="0.35">
      <c r="A24633" t="s">
        <v>231</v>
      </c>
      <c r="B24633" t="s">
        <v>266</v>
      </c>
      <c r="C24633">
        <v>3</v>
      </c>
      <c r="D24633" s="26">
        <v>6.4500000000000002E-2</v>
      </c>
      <c r="E24633" s="26">
        <v>4.8399999999999999E-2</v>
      </c>
      <c r="F24633" s="26">
        <v>8.0600000000000005E-2</v>
      </c>
      <c r="H24633" s="26">
        <v>3.2300000000000002E-2</v>
      </c>
      <c r="I24633">
        <v>62</v>
      </c>
    </row>
    <row r="24634" spans="1:9" x14ac:dyDescent="0.35">
      <c r="A24634" t="s">
        <v>232</v>
      </c>
      <c r="B24634" t="s">
        <v>232</v>
      </c>
      <c r="C24634">
        <v>5</v>
      </c>
      <c r="D24634" s="26">
        <v>2.1700000000000001E-2</v>
      </c>
      <c r="E24634" s="26">
        <v>2.8E-3</v>
      </c>
      <c r="F24634" s="26">
        <v>8.8000000000000005E-3</v>
      </c>
      <c r="G24634" s="26">
        <v>8.9999999999999998E-4</v>
      </c>
      <c r="H24634" s="26">
        <v>7.9000000000000008E-3</v>
      </c>
      <c r="I24634">
        <v>2813</v>
      </c>
    </row>
    <row r="24635" spans="1:9" x14ac:dyDescent="0.35">
      <c r="A24635" t="s">
        <v>232</v>
      </c>
      <c r="B24635" t="s">
        <v>232</v>
      </c>
      <c r="C24635">
        <v>4</v>
      </c>
      <c r="D24635" s="26">
        <v>2.4E-2</v>
      </c>
      <c r="E24635" s="26">
        <v>1.6000000000000001E-3</v>
      </c>
      <c r="F24635" s="26">
        <v>1.38E-2</v>
      </c>
      <c r="G24635" s="26">
        <v>1.01E-2</v>
      </c>
      <c r="H24635" s="26">
        <v>1.0200000000000001E-2</v>
      </c>
      <c r="I24635">
        <v>2813</v>
      </c>
    </row>
    <row r="24636" spans="1:9" x14ac:dyDescent="0.35">
      <c r="A24636" t="s">
        <v>232</v>
      </c>
      <c r="B24636" t="s">
        <v>232</v>
      </c>
      <c r="C24636">
        <v>3</v>
      </c>
      <c r="D24636" s="26">
        <v>5.8700000000000002E-2</v>
      </c>
      <c r="E24636" s="26">
        <v>1.9300000000000001E-2</v>
      </c>
      <c r="F24636" s="26">
        <v>2.5999999999999999E-2</v>
      </c>
      <c r="G24636" s="26">
        <v>1.0200000000000001E-2</v>
      </c>
      <c r="H24636" s="26">
        <v>2.1299999999999999E-2</v>
      </c>
      <c r="I24636">
        <v>2813</v>
      </c>
    </row>
    <row r="24637" spans="1:9" x14ac:dyDescent="0.35">
      <c r="A24637" t="s">
        <v>232</v>
      </c>
      <c r="B24637" t="s">
        <v>232</v>
      </c>
      <c r="C24637">
        <v>6</v>
      </c>
      <c r="D24637" s="26">
        <v>2.8E-3</v>
      </c>
      <c r="E24637" s="26">
        <v>1.6999999999999999E-3</v>
      </c>
      <c r="F24637" s="26">
        <v>4.0000000000000002E-4</v>
      </c>
      <c r="G24637" s="26">
        <v>2.3999999999999998E-3</v>
      </c>
      <c r="H24637" s="26">
        <v>1.8E-3</v>
      </c>
      <c r="I24637">
        <v>2813</v>
      </c>
    </row>
    <row r="24638" spans="1:9" x14ac:dyDescent="0.35">
      <c r="A24638" t="s">
        <v>232</v>
      </c>
      <c r="B24638" t="s">
        <v>232</v>
      </c>
      <c r="C24638">
        <v>1</v>
      </c>
      <c r="D24638" s="26">
        <v>2.9700000000000001E-2</v>
      </c>
      <c r="E24638" s="26">
        <v>4.2799999999999998E-2</v>
      </c>
      <c r="F24638" s="26">
        <v>1.67E-2</v>
      </c>
      <c r="G24638" s="26">
        <v>5.1000000000000004E-3</v>
      </c>
      <c r="H24638" s="26">
        <v>1.7999999999999999E-2</v>
      </c>
      <c r="I24638">
        <v>2813</v>
      </c>
    </row>
    <row r="24639" spans="1:9" x14ac:dyDescent="0.35">
      <c r="A24639" t="s">
        <v>232</v>
      </c>
      <c r="B24639" t="s">
        <v>232</v>
      </c>
      <c r="C24639">
        <v>0</v>
      </c>
      <c r="D24639" s="26">
        <v>0.66559999999999997</v>
      </c>
      <c r="E24639" s="26">
        <v>0.89839999999999998</v>
      </c>
      <c r="F24639" s="26">
        <v>0.85399999999999998</v>
      </c>
      <c r="G24639" s="26">
        <v>0.94440000000000002</v>
      </c>
      <c r="H24639" s="26">
        <v>0.86960000000000004</v>
      </c>
      <c r="I24639">
        <v>2813</v>
      </c>
    </row>
    <row r="24640" spans="1:9" x14ac:dyDescent="0.35">
      <c r="A24640" t="s">
        <v>232</v>
      </c>
      <c r="B24640" t="s">
        <v>232</v>
      </c>
      <c r="C24640">
        <v>2</v>
      </c>
      <c r="D24640" s="26">
        <v>8.6699999999999999E-2</v>
      </c>
      <c r="E24640" s="26">
        <v>2.4799999999999999E-2</v>
      </c>
      <c r="F24640" s="26">
        <v>3.5400000000000001E-2</v>
      </c>
      <c r="G24640" s="26">
        <v>1.1900000000000001E-2</v>
      </c>
      <c r="H24640" s="26">
        <v>2.6700000000000002E-2</v>
      </c>
      <c r="I24640">
        <v>2813</v>
      </c>
    </row>
    <row r="24641" spans="1:9" x14ac:dyDescent="0.35">
      <c r="A24641" t="s">
        <v>232</v>
      </c>
      <c r="B24641" t="s">
        <v>232</v>
      </c>
      <c r="C24641">
        <v>7</v>
      </c>
      <c r="D24641" s="26">
        <v>0.1108</v>
      </c>
      <c r="E24641" s="26">
        <v>8.6E-3</v>
      </c>
      <c r="F24641" s="26">
        <v>4.5100000000000001E-2</v>
      </c>
      <c r="G24641" s="26">
        <v>1.4999999999999999E-2</v>
      </c>
      <c r="H24641" s="26">
        <v>4.4600000000000001E-2</v>
      </c>
      <c r="I24641">
        <v>2813</v>
      </c>
    </row>
    <row r="24643" spans="1:9" x14ac:dyDescent="0.35">
      <c r="A24643" s="1" t="s">
        <v>2274</v>
      </c>
    </row>
    <row r="24644" spans="1:9" x14ac:dyDescent="0.35">
      <c r="A24644" t="s">
        <v>219</v>
      </c>
      <c r="B24644" t="s">
        <v>305</v>
      </c>
      <c r="C24644" t="s">
        <v>1270</v>
      </c>
      <c r="D24644" t="s">
        <v>2264</v>
      </c>
      <c r="E24644" t="s">
        <v>2265</v>
      </c>
      <c r="F24644" t="s">
        <v>2266</v>
      </c>
      <c r="G24644" t="s">
        <v>2267</v>
      </c>
      <c r="H24644" t="s">
        <v>2268</v>
      </c>
      <c r="I24644" t="s">
        <v>964</v>
      </c>
    </row>
    <row r="24645" spans="1:9" x14ac:dyDescent="0.35">
      <c r="A24645" t="s">
        <v>227</v>
      </c>
      <c r="B24645" t="s">
        <v>252</v>
      </c>
      <c r="C24645">
        <v>0</v>
      </c>
      <c r="D24645" s="26">
        <v>0.6</v>
      </c>
      <c r="E24645" s="26">
        <v>0.91110000000000002</v>
      </c>
      <c r="F24645" s="26">
        <v>0.84440000000000004</v>
      </c>
      <c r="G24645" s="26">
        <v>0.9778</v>
      </c>
      <c r="H24645" s="26">
        <v>0.93330000000000002</v>
      </c>
      <c r="I24645">
        <v>45</v>
      </c>
    </row>
    <row r="24646" spans="1:9" x14ac:dyDescent="0.35">
      <c r="A24646" t="s">
        <v>227</v>
      </c>
      <c r="B24646" t="s">
        <v>251</v>
      </c>
      <c r="C24646">
        <v>7</v>
      </c>
      <c r="D24646" s="26">
        <v>7.3200000000000001E-2</v>
      </c>
      <c r="F24646" s="26">
        <v>4.8800000000000003E-2</v>
      </c>
      <c r="H24646" s="26">
        <v>4.8800000000000003E-2</v>
      </c>
      <c r="I24646">
        <v>82</v>
      </c>
    </row>
    <row r="24647" spans="1:9" x14ac:dyDescent="0.35">
      <c r="A24647" t="s">
        <v>227</v>
      </c>
      <c r="B24647" t="s">
        <v>251</v>
      </c>
      <c r="C24647">
        <v>3</v>
      </c>
      <c r="D24647" s="26">
        <v>9.7600000000000006E-2</v>
      </c>
      <c r="E24647" s="26">
        <v>1.2200000000000001E-2</v>
      </c>
      <c r="F24647" s="26">
        <v>1.2200000000000001E-2</v>
      </c>
      <c r="G24647" s="26">
        <v>1.2200000000000001E-2</v>
      </c>
      <c r="I24647">
        <v>82</v>
      </c>
    </row>
    <row r="24648" spans="1:9" x14ac:dyDescent="0.35">
      <c r="A24648" t="s">
        <v>227</v>
      </c>
      <c r="B24648" t="s">
        <v>251</v>
      </c>
      <c r="C24648">
        <v>2</v>
      </c>
      <c r="D24648" s="26">
        <v>9.7600000000000006E-2</v>
      </c>
      <c r="E24648" s="26">
        <v>4.8800000000000003E-2</v>
      </c>
      <c r="F24648" s="26">
        <v>1.2200000000000001E-2</v>
      </c>
      <c r="G24648" s="26">
        <v>2.4400000000000002E-2</v>
      </c>
      <c r="H24648" s="26">
        <v>2.4400000000000002E-2</v>
      </c>
      <c r="I24648">
        <v>82</v>
      </c>
    </row>
    <row r="24649" spans="1:9" x14ac:dyDescent="0.35">
      <c r="A24649" t="s">
        <v>227</v>
      </c>
      <c r="B24649" t="s">
        <v>251</v>
      </c>
      <c r="C24649">
        <v>1</v>
      </c>
      <c r="D24649" s="26">
        <v>1.2200000000000001E-2</v>
      </c>
      <c r="E24649" s="26">
        <v>4.8800000000000003E-2</v>
      </c>
      <c r="F24649" s="26">
        <v>3.6600000000000001E-2</v>
      </c>
      <c r="G24649" s="26">
        <v>1.2200000000000001E-2</v>
      </c>
      <c r="I24649">
        <v>82</v>
      </c>
    </row>
    <row r="24650" spans="1:9" x14ac:dyDescent="0.35">
      <c r="A24650" t="s">
        <v>227</v>
      </c>
      <c r="B24650" t="s">
        <v>251</v>
      </c>
      <c r="C24650">
        <v>0</v>
      </c>
      <c r="D24650" s="26">
        <v>0.70730000000000004</v>
      </c>
      <c r="E24650" s="26">
        <v>0.89019999999999999</v>
      </c>
      <c r="F24650" s="26">
        <v>0.878</v>
      </c>
      <c r="G24650" s="26">
        <v>0.93899999999999995</v>
      </c>
      <c r="H24650" s="26">
        <v>0.90239999999999998</v>
      </c>
      <c r="I24650">
        <v>82</v>
      </c>
    </row>
    <row r="24651" spans="1:9" x14ac:dyDescent="0.35">
      <c r="A24651" t="s">
        <v>227</v>
      </c>
      <c r="B24651" t="s">
        <v>253</v>
      </c>
      <c r="C24651">
        <v>7</v>
      </c>
      <c r="D24651" s="26">
        <v>0.14710000000000001</v>
      </c>
      <c r="F24651" s="26">
        <v>5.8799999999999998E-2</v>
      </c>
      <c r="G24651" s="26">
        <v>2.9399999999999999E-2</v>
      </c>
      <c r="H24651" s="26">
        <v>2.9399999999999999E-2</v>
      </c>
      <c r="I24651">
        <v>34</v>
      </c>
    </row>
    <row r="24652" spans="1:9" x14ac:dyDescent="0.35">
      <c r="A24652" t="s">
        <v>227</v>
      </c>
      <c r="B24652" t="s">
        <v>251</v>
      </c>
      <c r="C24652">
        <v>4</v>
      </c>
      <c r="D24652" s="26">
        <v>1.2200000000000001E-2</v>
      </c>
      <c r="F24652" s="26">
        <v>1.2200000000000001E-2</v>
      </c>
      <c r="G24652" s="26">
        <v>1.2200000000000001E-2</v>
      </c>
      <c r="H24652" s="26">
        <v>1.2200000000000001E-2</v>
      </c>
      <c r="I24652">
        <v>82</v>
      </c>
    </row>
    <row r="24653" spans="1:9" x14ac:dyDescent="0.35">
      <c r="A24653" t="s">
        <v>227</v>
      </c>
      <c r="B24653" t="s">
        <v>253</v>
      </c>
      <c r="C24653">
        <v>1</v>
      </c>
      <c r="D24653" s="26">
        <v>5.8799999999999998E-2</v>
      </c>
      <c r="H24653" s="26">
        <v>2.9399999999999999E-2</v>
      </c>
      <c r="I24653">
        <v>34</v>
      </c>
    </row>
    <row r="24654" spans="1:9" x14ac:dyDescent="0.35">
      <c r="A24654" t="s">
        <v>227</v>
      </c>
      <c r="B24654" t="s">
        <v>253</v>
      </c>
      <c r="C24654">
        <v>0</v>
      </c>
      <c r="D24654" s="26">
        <v>0.76470000000000005</v>
      </c>
      <c r="E24654" s="26">
        <v>0.97060000000000002</v>
      </c>
      <c r="F24654" s="26">
        <v>0.91180000000000005</v>
      </c>
      <c r="G24654" s="26">
        <v>0.97060000000000002</v>
      </c>
      <c r="H24654" s="26">
        <v>0.91180000000000005</v>
      </c>
      <c r="I24654">
        <v>34</v>
      </c>
    </row>
    <row r="24655" spans="1:9" x14ac:dyDescent="0.35">
      <c r="A24655" t="s">
        <v>227</v>
      </c>
      <c r="B24655" t="s">
        <v>252</v>
      </c>
      <c r="C24655">
        <v>7</v>
      </c>
      <c r="D24655" s="26">
        <v>0.1333</v>
      </c>
      <c r="E24655" s="26">
        <v>2.2200000000000001E-2</v>
      </c>
      <c r="F24655" s="26">
        <v>6.6699999999999995E-2</v>
      </c>
      <c r="I24655">
        <v>45</v>
      </c>
    </row>
    <row r="24656" spans="1:9" x14ac:dyDescent="0.35">
      <c r="A24656" t="s">
        <v>227</v>
      </c>
      <c r="B24656" t="s">
        <v>252</v>
      </c>
      <c r="C24656">
        <v>3</v>
      </c>
      <c r="D24656" s="26">
        <v>0.1111</v>
      </c>
      <c r="F24656" s="26">
        <v>4.4400000000000002E-2</v>
      </c>
      <c r="H24656" s="26">
        <v>2.2200000000000001E-2</v>
      </c>
      <c r="I24656">
        <v>45</v>
      </c>
    </row>
    <row r="24657" spans="1:9" x14ac:dyDescent="0.35">
      <c r="A24657" t="s">
        <v>227</v>
      </c>
      <c r="B24657" t="s">
        <v>252</v>
      </c>
      <c r="C24657">
        <v>2</v>
      </c>
      <c r="D24657" s="26">
        <v>0.1111</v>
      </c>
      <c r="E24657" s="26">
        <v>2.2200000000000001E-2</v>
      </c>
      <c r="I24657">
        <v>45</v>
      </c>
    </row>
    <row r="24658" spans="1:9" x14ac:dyDescent="0.35">
      <c r="A24658" t="s">
        <v>227</v>
      </c>
      <c r="B24658" t="s">
        <v>252</v>
      </c>
      <c r="C24658">
        <v>1</v>
      </c>
      <c r="D24658" s="26">
        <v>4.4400000000000002E-2</v>
      </c>
      <c r="E24658" s="26">
        <v>4.4400000000000002E-2</v>
      </c>
      <c r="F24658" s="26">
        <v>2.2200000000000001E-2</v>
      </c>
      <c r="I24658">
        <v>45</v>
      </c>
    </row>
    <row r="24659" spans="1:9" x14ac:dyDescent="0.35">
      <c r="A24659" t="s">
        <v>227</v>
      </c>
      <c r="B24659" t="s">
        <v>253</v>
      </c>
      <c r="C24659">
        <v>2</v>
      </c>
      <c r="D24659" s="26">
        <v>2.9399999999999999E-2</v>
      </c>
      <c r="E24659" s="26">
        <v>2.9399999999999999E-2</v>
      </c>
      <c r="F24659" s="26">
        <v>2.9399999999999999E-2</v>
      </c>
      <c r="I24659">
        <v>34</v>
      </c>
    </row>
    <row r="24660" spans="1:9" x14ac:dyDescent="0.35">
      <c r="A24660" t="s">
        <v>228</v>
      </c>
      <c r="B24660" t="s">
        <v>253</v>
      </c>
      <c r="C24660">
        <v>6</v>
      </c>
      <c r="D24660" s="26">
        <v>2E-3</v>
      </c>
      <c r="I24660">
        <v>222</v>
      </c>
    </row>
    <row r="24661" spans="1:9" x14ac:dyDescent="0.35">
      <c r="A24661" t="s">
        <v>228</v>
      </c>
      <c r="B24661" t="s">
        <v>253</v>
      </c>
      <c r="C24661">
        <v>7</v>
      </c>
      <c r="D24661" s="26">
        <v>0.1079</v>
      </c>
      <c r="E24661" s="26">
        <v>2E-3</v>
      </c>
      <c r="F24661" s="26">
        <v>2.4299999999999999E-2</v>
      </c>
      <c r="G24661" s="26">
        <v>2.5600000000000001E-2</v>
      </c>
      <c r="H24661" s="26">
        <v>1.5699999999999999E-2</v>
      </c>
      <c r="I24661">
        <v>222</v>
      </c>
    </row>
    <row r="24662" spans="1:9" x14ac:dyDescent="0.35">
      <c r="A24662" t="s">
        <v>228</v>
      </c>
      <c r="B24662" t="s">
        <v>251</v>
      </c>
      <c r="C24662">
        <v>0</v>
      </c>
      <c r="D24662" s="26">
        <v>0.71509999999999996</v>
      </c>
      <c r="E24662" s="26">
        <v>0.91149999999999998</v>
      </c>
      <c r="F24662" s="26">
        <v>0.89639999999999997</v>
      </c>
      <c r="G24662" s="26">
        <v>0.92220000000000002</v>
      </c>
      <c r="H24662" s="26">
        <v>0.91239999999999999</v>
      </c>
      <c r="I24662">
        <v>467</v>
      </c>
    </row>
    <row r="24663" spans="1:9" x14ac:dyDescent="0.35">
      <c r="A24663" t="s">
        <v>228</v>
      </c>
      <c r="B24663" t="s">
        <v>251</v>
      </c>
      <c r="C24663">
        <v>1</v>
      </c>
      <c r="D24663" s="26">
        <v>4.3299999999999998E-2</v>
      </c>
      <c r="E24663" s="26">
        <v>4.7800000000000002E-2</v>
      </c>
      <c r="F24663" s="26">
        <v>1.35E-2</v>
      </c>
      <c r="G24663" s="26">
        <v>1.06E-2</v>
      </c>
      <c r="H24663" s="26">
        <v>1.1599999999999999E-2</v>
      </c>
      <c r="I24663">
        <v>467</v>
      </c>
    </row>
    <row r="24664" spans="1:9" x14ac:dyDescent="0.35">
      <c r="A24664" t="s">
        <v>228</v>
      </c>
      <c r="B24664" t="s">
        <v>251</v>
      </c>
      <c r="C24664">
        <v>2</v>
      </c>
      <c r="D24664" s="26">
        <v>4.6600000000000003E-2</v>
      </c>
      <c r="E24664" s="26">
        <v>2.1999999999999999E-2</v>
      </c>
      <c r="F24664" s="26">
        <v>2.53E-2</v>
      </c>
      <c r="G24664" s="26">
        <v>2.4199999999999999E-2</v>
      </c>
      <c r="H24664" s="26">
        <v>2.4799999999999999E-2</v>
      </c>
      <c r="I24664">
        <v>467</v>
      </c>
    </row>
    <row r="24665" spans="1:9" x14ac:dyDescent="0.35">
      <c r="A24665" t="s">
        <v>228</v>
      </c>
      <c r="B24665" t="s">
        <v>251</v>
      </c>
      <c r="C24665">
        <v>5</v>
      </c>
      <c r="D24665" s="26">
        <v>2.6599999999999999E-2</v>
      </c>
      <c r="E24665" s="26">
        <v>5.0000000000000001E-4</v>
      </c>
      <c r="F24665" s="26">
        <v>3.8E-3</v>
      </c>
      <c r="G24665" s="26">
        <v>3.5999999999999999E-3</v>
      </c>
      <c r="H24665" s="26">
        <v>4.8999999999999998E-3</v>
      </c>
      <c r="I24665">
        <v>467</v>
      </c>
    </row>
    <row r="24666" spans="1:9" x14ac:dyDescent="0.35">
      <c r="A24666" t="s">
        <v>228</v>
      </c>
      <c r="B24666" t="s">
        <v>251</v>
      </c>
      <c r="C24666">
        <v>4</v>
      </c>
      <c r="D24666" s="26">
        <v>1.8700000000000001E-2</v>
      </c>
      <c r="E24666" s="26">
        <v>2.5000000000000001E-3</v>
      </c>
      <c r="F24666" s="26">
        <v>6.1999999999999998E-3</v>
      </c>
      <c r="G24666" s="26">
        <v>2E-3</v>
      </c>
      <c r="H24666" s="26">
        <v>6.8999999999999999E-3</v>
      </c>
      <c r="I24666">
        <v>467</v>
      </c>
    </row>
    <row r="24667" spans="1:9" x14ac:dyDescent="0.35">
      <c r="A24667" t="s">
        <v>228</v>
      </c>
      <c r="B24667" t="s">
        <v>251</v>
      </c>
      <c r="C24667">
        <v>6</v>
      </c>
      <c r="D24667" s="26">
        <v>2.3E-3</v>
      </c>
      <c r="I24667">
        <v>467</v>
      </c>
    </row>
    <row r="24668" spans="1:9" x14ac:dyDescent="0.35">
      <c r="A24668" t="s">
        <v>228</v>
      </c>
      <c r="B24668" t="s">
        <v>251</v>
      </c>
      <c r="C24668">
        <v>7</v>
      </c>
      <c r="D24668" s="26">
        <v>9.7199999999999995E-2</v>
      </c>
      <c r="E24668" s="26">
        <v>1.04E-2</v>
      </c>
      <c r="F24668" s="26">
        <v>3.0599999999999999E-2</v>
      </c>
      <c r="G24668" s="26">
        <v>3.0200000000000001E-2</v>
      </c>
      <c r="H24668" s="26">
        <v>2.1000000000000001E-2</v>
      </c>
      <c r="I24668">
        <v>467</v>
      </c>
    </row>
    <row r="24669" spans="1:9" x14ac:dyDescent="0.35">
      <c r="A24669" t="s">
        <v>228</v>
      </c>
      <c r="B24669" t="s">
        <v>253</v>
      </c>
      <c r="C24669">
        <v>5</v>
      </c>
      <c r="D24669" s="26">
        <v>1.6199999999999999E-2</v>
      </c>
      <c r="E24669" s="26">
        <v>2E-3</v>
      </c>
      <c r="G24669" s="26">
        <v>1.04E-2</v>
      </c>
      <c r="H24669" s="26">
        <v>8.3999999999999995E-3</v>
      </c>
      <c r="I24669">
        <v>222</v>
      </c>
    </row>
    <row r="24670" spans="1:9" x14ac:dyDescent="0.35">
      <c r="A24670" t="s">
        <v>228</v>
      </c>
      <c r="B24670" t="s">
        <v>251</v>
      </c>
      <c r="C24670">
        <v>3</v>
      </c>
      <c r="D24670" s="26">
        <v>5.0099999999999999E-2</v>
      </c>
      <c r="E24670" s="26">
        <v>5.3E-3</v>
      </c>
      <c r="F24670" s="26">
        <v>2.4199999999999999E-2</v>
      </c>
      <c r="G24670" s="26">
        <v>7.1000000000000004E-3</v>
      </c>
      <c r="H24670" s="26">
        <v>1.84E-2</v>
      </c>
      <c r="I24670">
        <v>467</v>
      </c>
    </row>
    <row r="24671" spans="1:9" x14ac:dyDescent="0.35">
      <c r="A24671" t="s">
        <v>228</v>
      </c>
      <c r="B24671" t="s">
        <v>253</v>
      </c>
      <c r="C24671">
        <v>4</v>
      </c>
      <c r="D24671" s="26">
        <v>3.9699999999999999E-2</v>
      </c>
      <c r="E24671" s="26">
        <v>1.7999999999999999E-2</v>
      </c>
      <c r="F24671" s="26">
        <v>4.4000000000000003E-3</v>
      </c>
      <c r="G24671" s="26">
        <v>1.1999999999999999E-3</v>
      </c>
      <c r="H24671" s="26">
        <v>1.26E-2</v>
      </c>
      <c r="I24671">
        <v>222</v>
      </c>
    </row>
    <row r="24672" spans="1:9" x14ac:dyDescent="0.35">
      <c r="A24672" t="s">
        <v>228</v>
      </c>
      <c r="B24672" t="s">
        <v>253</v>
      </c>
      <c r="C24672">
        <v>1</v>
      </c>
      <c r="D24672" s="26">
        <v>4.4699999999999997E-2</v>
      </c>
      <c r="E24672" s="26">
        <v>1.5699999999999999E-2</v>
      </c>
      <c r="F24672" s="26">
        <v>1.3899999999999999E-2</v>
      </c>
      <c r="G24672" s="26">
        <v>1.18E-2</v>
      </c>
      <c r="H24672" s="26">
        <v>2.0199999999999999E-2</v>
      </c>
      <c r="I24672">
        <v>222</v>
      </c>
    </row>
    <row r="24673" spans="1:9" x14ac:dyDescent="0.35">
      <c r="A24673" t="s">
        <v>228</v>
      </c>
      <c r="B24673" t="s">
        <v>253</v>
      </c>
      <c r="C24673">
        <v>2</v>
      </c>
      <c r="D24673" s="26">
        <v>0.1152</v>
      </c>
      <c r="E24673" s="26">
        <v>2.35E-2</v>
      </c>
      <c r="F24673" s="26">
        <v>3.49E-2</v>
      </c>
      <c r="G24673" s="26">
        <v>2.1499999999999998E-2</v>
      </c>
      <c r="H24673" s="26">
        <v>1.0800000000000001E-2</v>
      </c>
      <c r="I24673">
        <v>222</v>
      </c>
    </row>
    <row r="24674" spans="1:9" x14ac:dyDescent="0.35">
      <c r="A24674" t="s">
        <v>228</v>
      </c>
      <c r="B24674" t="s">
        <v>253</v>
      </c>
      <c r="C24674">
        <v>3</v>
      </c>
      <c r="D24674" s="26">
        <v>9.69E-2</v>
      </c>
      <c r="E24674" s="26">
        <v>8.5000000000000006E-3</v>
      </c>
      <c r="F24674" s="26">
        <v>4.7800000000000002E-2</v>
      </c>
      <c r="G24674" s="26">
        <v>4.7199999999999999E-2</v>
      </c>
      <c r="H24674" s="26">
        <v>3.8100000000000002E-2</v>
      </c>
      <c r="I24674">
        <v>222</v>
      </c>
    </row>
    <row r="24675" spans="1:9" x14ac:dyDescent="0.35">
      <c r="A24675" t="s">
        <v>228</v>
      </c>
      <c r="B24675" t="s">
        <v>252</v>
      </c>
      <c r="C24675">
        <v>1</v>
      </c>
      <c r="D24675" s="26">
        <v>1.4800000000000001E-2</v>
      </c>
      <c r="E24675" s="26">
        <v>4.5499999999999999E-2</v>
      </c>
      <c r="F24675" s="26">
        <v>2.0299999999999999E-2</v>
      </c>
      <c r="H24675" s="26">
        <v>1.7100000000000001E-2</v>
      </c>
      <c r="I24675">
        <v>344</v>
      </c>
    </row>
    <row r="24676" spans="1:9" x14ac:dyDescent="0.35">
      <c r="A24676" t="s">
        <v>228</v>
      </c>
      <c r="B24676" t="s">
        <v>252</v>
      </c>
      <c r="C24676">
        <v>2</v>
      </c>
      <c r="D24676" s="26">
        <v>8.3199999999999996E-2</v>
      </c>
      <c r="E24676" s="26">
        <v>1.83E-2</v>
      </c>
      <c r="F24676" s="26">
        <v>2.3E-2</v>
      </c>
      <c r="H24676" s="26">
        <v>3.3700000000000001E-2</v>
      </c>
      <c r="I24676">
        <v>344</v>
      </c>
    </row>
    <row r="24677" spans="1:9" x14ac:dyDescent="0.35">
      <c r="A24677" t="s">
        <v>228</v>
      </c>
      <c r="B24677" t="s">
        <v>252</v>
      </c>
      <c r="C24677">
        <v>3</v>
      </c>
      <c r="D24677" s="26">
        <v>3.8600000000000002E-2</v>
      </c>
      <c r="E24677" s="26">
        <v>2.4199999999999999E-2</v>
      </c>
      <c r="F24677" s="26">
        <v>3.4099999999999998E-2</v>
      </c>
      <c r="H24677" s="26">
        <v>2.0500000000000001E-2</v>
      </c>
      <c r="I24677">
        <v>344</v>
      </c>
    </row>
    <row r="24678" spans="1:9" x14ac:dyDescent="0.35">
      <c r="A24678" t="s">
        <v>228</v>
      </c>
      <c r="B24678" t="s">
        <v>252</v>
      </c>
      <c r="C24678">
        <v>4</v>
      </c>
      <c r="D24678" s="26">
        <v>1.35E-2</v>
      </c>
      <c r="E24678" s="26">
        <v>4.3E-3</v>
      </c>
      <c r="F24678" s="26">
        <v>9.4000000000000004E-3</v>
      </c>
      <c r="H24678" s="26">
        <v>7.7000000000000002E-3</v>
      </c>
      <c r="I24678">
        <v>344</v>
      </c>
    </row>
    <row r="24679" spans="1:9" x14ac:dyDescent="0.35">
      <c r="A24679" t="s">
        <v>228</v>
      </c>
      <c r="B24679" t="s">
        <v>252</v>
      </c>
      <c r="C24679">
        <v>0</v>
      </c>
      <c r="D24679" s="26">
        <v>0.61380000000000001</v>
      </c>
      <c r="E24679" s="26">
        <v>0.88370000000000004</v>
      </c>
      <c r="F24679" s="26">
        <v>0.81689999999999996</v>
      </c>
      <c r="G24679" s="26">
        <v>0.99870000000000003</v>
      </c>
      <c r="H24679" s="26">
        <v>0.83350000000000002</v>
      </c>
      <c r="I24679">
        <v>344</v>
      </c>
    </row>
    <row r="24680" spans="1:9" x14ac:dyDescent="0.35">
      <c r="A24680" t="s">
        <v>228</v>
      </c>
      <c r="B24680" t="s">
        <v>252</v>
      </c>
      <c r="C24680">
        <v>6</v>
      </c>
      <c r="D24680" s="26">
        <v>2E-3</v>
      </c>
      <c r="F24680" s="26">
        <v>3.5999999999999999E-3</v>
      </c>
      <c r="I24680">
        <v>344</v>
      </c>
    </row>
    <row r="24681" spans="1:9" x14ac:dyDescent="0.35">
      <c r="A24681" t="s">
        <v>228</v>
      </c>
      <c r="B24681" t="s">
        <v>252</v>
      </c>
      <c r="C24681">
        <v>7</v>
      </c>
      <c r="D24681" s="26">
        <v>0.22670000000000001</v>
      </c>
      <c r="E24681" s="26">
        <v>2.1399999999999999E-2</v>
      </c>
      <c r="F24681" s="26">
        <v>9.1899999999999996E-2</v>
      </c>
      <c r="G24681" s="26">
        <v>1.2999999999999999E-3</v>
      </c>
      <c r="H24681" s="26">
        <v>8.7599999999999997E-2</v>
      </c>
      <c r="I24681">
        <v>344</v>
      </c>
    </row>
    <row r="24682" spans="1:9" x14ac:dyDescent="0.35">
      <c r="A24682" t="s">
        <v>228</v>
      </c>
      <c r="B24682" t="s">
        <v>253</v>
      </c>
      <c r="C24682">
        <v>0</v>
      </c>
      <c r="D24682" s="26">
        <v>0.57730000000000004</v>
      </c>
      <c r="E24682" s="26">
        <v>0.93020000000000003</v>
      </c>
      <c r="F24682" s="26">
        <v>0.87480000000000002</v>
      </c>
      <c r="G24682" s="26">
        <v>0.88239999999999996</v>
      </c>
      <c r="H24682" s="26">
        <v>0.89419999999999999</v>
      </c>
      <c r="I24682">
        <v>222</v>
      </c>
    </row>
    <row r="24683" spans="1:9" x14ac:dyDescent="0.35">
      <c r="A24683" t="s">
        <v>228</v>
      </c>
      <c r="B24683" t="s">
        <v>252</v>
      </c>
      <c r="C24683">
        <v>5</v>
      </c>
      <c r="D24683" s="26">
        <v>7.3000000000000001E-3</v>
      </c>
      <c r="E24683" s="26">
        <v>2.5999999999999999E-3</v>
      </c>
      <c r="F24683" s="26">
        <v>8.0000000000000004E-4</v>
      </c>
      <c r="I24683">
        <v>344</v>
      </c>
    </row>
    <row r="24684" spans="1:9" x14ac:dyDescent="0.35">
      <c r="A24684" t="s">
        <v>229</v>
      </c>
      <c r="B24684" t="s">
        <v>253</v>
      </c>
      <c r="C24684">
        <v>5</v>
      </c>
      <c r="D24684" s="26">
        <v>5.0000000000000001E-4</v>
      </c>
      <c r="F24684" s="26">
        <v>1.3299999999999999E-2</v>
      </c>
      <c r="H24684" s="26">
        <v>1.6999999999999999E-3</v>
      </c>
      <c r="I24684">
        <v>145</v>
      </c>
    </row>
    <row r="24685" spans="1:9" x14ac:dyDescent="0.35">
      <c r="A24685" t="s">
        <v>229</v>
      </c>
      <c r="B24685" t="s">
        <v>251</v>
      </c>
      <c r="C24685">
        <v>7</v>
      </c>
      <c r="D24685" s="26">
        <v>3.3700000000000001E-2</v>
      </c>
      <c r="E24685" s="26">
        <v>1.6999999999999999E-3</v>
      </c>
      <c r="F24685" s="26">
        <v>1.9599999999999999E-2</v>
      </c>
      <c r="G24685" s="26">
        <v>3.7000000000000002E-3</v>
      </c>
      <c r="H24685" s="26">
        <v>1.55E-2</v>
      </c>
      <c r="I24685">
        <v>551</v>
      </c>
    </row>
    <row r="24686" spans="1:9" x14ac:dyDescent="0.35">
      <c r="A24686" t="s">
        <v>229</v>
      </c>
      <c r="B24686" t="s">
        <v>251</v>
      </c>
      <c r="C24686">
        <v>5</v>
      </c>
      <c r="D24686" s="26">
        <v>1.9400000000000001E-2</v>
      </c>
      <c r="E24686" s="26">
        <v>1.6999999999999999E-3</v>
      </c>
      <c r="G24686" s="26">
        <v>1E-3</v>
      </c>
      <c r="H24686" s="26">
        <v>5.7000000000000002E-3</v>
      </c>
      <c r="I24686">
        <v>551</v>
      </c>
    </row>
    <row r="24687" spans="1:9" x14ac:dyDescent="0.35">
      <c r="A24687" t="s">
        <v>229</v>
      </c>
      <c r="B24687" t="s">
        <v>251</v>
      </c>
      <c r="C24687">
        <v>4</v>
      </c>
      <c r="D24687" s="26">
        <v>1.4999999999999999E-2</v>
      </c>
      <c r="E24687" s="26">
        <v>5.9999999999999995E-4</v>
      </c>
      <c r="F24687" s="26">
        <v>1.14E-2</v>
      </c>
      <c r="H24687" s="26">
        <v>9.4000000000000004E-3</v>
      </c>
      <c r="I24687">
        <v>551</v>
      </c>
    </row>
    <row r="24688" spans="1:9" x14ac:dyDescent="0.35">
      <c r="A24688" t="s">
        <v>229</v>
      </c>
      <c r="B24688" t="s">
        <v>251</v>
      </c>
      <c r="C24688">
        <v>3</v>
      </c>
      <c r="D24688" s="26">
        <v>2.3699999999999999E-2</v>
      </c>
      <c r="E24688" s="26">
        <v>5.1000000000000004E-3</v>
      </c>
      <c r="F24688" s="26">
        <v>1.61E-2</v>
      </c>
      <c r="G24688" s="26">
        <v>1.5599999999999999E-2</v>
      </c>
      <c r="H24688" s="26">
        <v>9.5999999999999992E-3</v>
      </c>
      <c r="I24688">
        <v>551</v>
      </c>
    </row>
    <row r="24689" spans="1:9" x14ac:dyDescent="0.35">
      <c r="A24689" t="s">
        <v>229</v>
      </c>
      <c r="B24689" t="s">
        <v>251</v>
      </c>
      <c r="C24689">
        <v>1</v>
      </c>
      <c r="D24689" s="26">
        <v>1.7299999999999999E-2</v>
      </c>
      <c r="E24689" s="26">
        <v>4.3200000000000002E-2</v>
      </c>
      <c r="F24689" s="26">
        <v>1.5800000000000002E-2</v>
      </c>
      <c r="G24689" s="26">
        <v>2.8E-3</v>
      </c>
      <c r="H24689" s="26">
        <v>1.32E-2</v>
      </c>
      <c r="I24689">
        <v>551</v>
      </c>
    </row>
    <row r="24690" spans="1:9" x14ac:dyDescent="0.35">
      <c r="A24690" t="s">
        <v>229</v>
      </c>
      <c r="B24690" t="s">
        <v>251</v>
      </c>
      <c r="C24690">
        <v>0</v>
      </c>
      <c r="D24690" s="26">
        <v>0.78059999999999996</v>
      </c>
      <c r="E24690" s="26">
        <v>0.91910000000000003</v>
      </c>
      <c r="F24690" s="26">
        <v>0.90239999999999998</v>
      </c>
      <c r="G24690" s="26">
        <v>0.95840000000000003</v>
      </c>
      <c r="H24690" s="26">
        <v>0.92490000000000006</v>
      </c>
      <c r="I24690">
        <v>551</v>
      </c>
    </row>
    <row r="24691" spans="1:9" x14ac:dyDescent="0.35">
      <c r="A24691" t="s">
        <v>229</v>
      </c>
      <c r="B24691" t="s">
        <v>253</v>
      </c>
      <c r="C24691">
        <v>7</v>
      </c>
      <c r="D24691" s="26">
        <v>0.18709999999999999</v>
      </c>
      <c r="E24691" s="26">
        <v>2.6499999999999999E-2</v>
      </c>
      <c r="F24691" s="26">
        <v>0.1439</v>
      </c>
      <c r="G24691" s="26">
        <v>0.03</v>
      </c>
      <c r="H24691" s="26">
        <v>0.10150000000000001</v>
      </c>
      <c r="I24691">
        <v>145</v>
      </c>
    </row>
    <row r="24692" spans="1:9" x14ac:dyDescent="0.35">
      <c r="A24692" t="s">
        <v>229</v>
      </c>
      <c r="B24692" t="s">
        <v>253</v>
      </c>
      <c r="C24692">
        <v>6</v>
      </c>
      <c r="D24692" s="26">
        <v>1.3299999999999999E-2</v>
      </c>
      <c r="I24692">
        <v>145</v>
      </c>
    </row>
    <row r="24693" spans="1:9" x14ac:dyDescent="0.35">
      <c r="A24693" t="s">
        <v>229</v>
      </c>
      <c r="B24693" t="s">
        <v>253</v>
      </c>
      <c r="C24693">
        <v>4</v>
      </c>
      <c r="D24693" s="26">
        <v>0.1024</v>
      </c>
      <c r="F24693" s="26">
        <v>3.5000000000000001E-3</v>
      </c>
      <c r="H24693" s="26">
        <v>1.6999999999999999E-3</v>
      </c>
      <c r="I24693">
        <v>145</v>
      </c>
    </row>
    <row r="24694" spans="1:9" x14ac:dyDescent="0.35">
      <c r="A24694" t="s">
        <v>229</v>
      </c>
      <c r="B24694" t="s">
        <v>251</v>
      </c>
      <c r="C24694">
        <v>2</v>
      </c>
      <c r="D24694" s="26">
        <v>0.1103</v>
      </c>
      <c r="E24694" s="26">
        <v>2.86E-2</v>
      </c>
      <c r="F24694" s="26">
        <v>3.4700000000000002E-2</v>
      </c>
      <c r="G24694" s="26">
        <v>1.4200000000000001E-2</v>
      </c>
      <c r="H24694" s="26">
        <v>2.1700000000000001E-2</v>
      </c>
      <c r="I24694">
        <v>551</v>
      </c>
    </row>
    <row r="24695" spans="1:9" x14ac:dyDescent="0.35">
      <c r="A24695" t="s">
        <v>229</v>
      </c>
      <c r="B24695" t="s">
        <v>253</v>
      </c>
      <c r="C24695">
        <v>2</v>
      </c>
      <c r="D24695" s="26">
        <v>9.7600000000000006E-2</v>
      </c>
      <c r="E24695" s="26">
        <v>5.3E-3</v>
      </c>
      <c r="F24695" s="26">
        <v>7.3200000000000001E-2</v>
      </c>
      <c r="G24695" s="26">
        <v>1.6799999999999999E-2</v>
      </c>
      <c r="H24695" s="26">
        <v>0.03</v>
      </c>
      <c r="I24695">
        <v>145</v>
      </c>
    </row>
    <row r="24696" spans="1:9" x14ac:dyDescent="0.35">
      <c r="A24696" t="s">
        <v>229</v>
      </c>
      <c r="B24696" t="s">
        <v>253</v>
      </c>
      <c r="C24696">
        <v>0</v>
      </c>
      <c r="D24696" s="26">
        <v>0.55069999999999997</v>
      </c>
      <c r="E24696" s="26">
        <v>0.83760000000000001</v>
      </c>
      <c r="F24696" s="26">
        <v>0.69369999999999998</v>
      </c>
      <c r="G24696" s="26">
        <v>0.93899999999999995</v>
      </c>
      <c r="H24696" s="26">
        <v>0.79</v>
      </c>
      <c r="I24696">
        <v>145</v>
      </c>
    </row>
    <row r="24697" spans="1:9" x14ac:dyDescent="0.35">
      <c r="A24697" t="s">
        <v>229</v>
      </c>
      <c r="B24697" t="s">
        <v>252</v>
      </c>
      <c r="C24697">
        <v>7</v>
      </c>
      <c r="D24697" s="26">
        <v>0.1492</v>
      </c>
      <c r="E24697" s="26">
        <v>1.78E-2</v>
      </c>
      <c r="F24697" s="26">
        <v>2.0899999999999998E-2</v>
      </c>
      <c r="G24697" s="26">
        <v>1.34E-2</v>
      </c>
      <c r="H24697" s="26">
        <v>2.6700000000000002E-2</v>
      </c>
      <c r="I24697">
        <v>199</v>
      </c>
    </row>
    <row r="24698" spans="1:9" x14ac:dyDescent="0.35">
      <c r="A24698" t="s">
        <v>229</v>
      </c>
      <c r="B24698" t="s">
        <v>252</v>
      </c>
      <c r="C24698">
        <v>5</v>
      </c>
      <c r="D24698" s="26">
        <v>3.6900000000000002E-2</v>
      </c>
      <c r="F24698" s="26">
        <v>1.26E-2</v>
      </c>
      <c r="I24698">
        <v>199</v>
      </c>
    </row>
    <row r="24699" spans="1:9" x14ac:dyDescent="0.35">
      <c r="A24699" t="s">
        <v>229</v>
      </c>
      <c r="B24699" t="s">
        <v>252</v>
      </c>
      <c r="C24699">
        <v>4</v>
      </c>
      <c r="D24699" s="26">
        <v>3.9600000000000003E-2</v>
      </c>
      <c r="F24699" s="26">
        <v>3.7000000000000002E-3</v>
      </c>
      <c r="G24699" s="26">
        <v>4.0000000000000002E-4</v>
      </c>
      <c r="H24699" s="26">
        <v>8.0000000000000004E-4</v>
      </c>
      <c r="I24699">
        <v>199</v>
      </c>
    </row>
    <row r="24700" spans="1:9" x14ac:dyDescent="0.35">
      <c r="A24700" t="s">
        <v>229</v>
      </c>
      <c r="B24700" t="s">
        <v>252</v>
      </c>
      <c r="C24700">
        <v>3</v>
      </c>
      <c r="D24700" s="26">
        <v>5.91E-2</v>
      </c>
      <c r="E24700" s="26">
        <v>1.6299999999999999E-2</v>
      </c>
      <c r="F24700" s="26">
        <v>4.19E-2</v>
      </c>
      <c r="G24700" s="26">
        <v>1.26E-2</v>
      </c>
      <c r="H24700" s="26">
        <v>3.5099999999999999E-2</v>
      </c>
      <c r="I24700">
        <v>199</v>
      </c>
    </row>
    <row r="24701" spans="1:9" x14ac:dyDescent="0.35">
      <c r="A24701" t="s">
        <v>229</v>
      </c>
      <c r="B24701" t="s">
        <v>252</v>
      </c>
      <c r="C24701">
        <v>2</v>
      </c>
      <c r="D24701" s="26">
        <v>8.8300000000000003E-2</v>
      </c>
      <c r="E24701" s="26">
        <v>3.3999999999999998E-3</v>
      </c>
      <c r="F24701" s="26">
        <v>4.3999999999999997E-2</v>
      </c>
      <c r="H24701" s="26">
        <v>2.7199999999999998E-2</v>
      </c>
      <c r="I24701">
        <v>199</v>
      </c>
    </row>
    <row r="24702" spans="1:9" x14ac:dyDescent="0.35">
      <c r="A24702" t="s">
        <v>229</v>
      </c>
      <c r="B24702" t="s">
        <v>252</v>
      </c>
      <c r="C24702">
        <v>1</v>
      </c>
      <c r="D24702" s="26">
        <v>1.6E-2</v>
      </c>
      <c r="E24702" s="26">
        <v>1.6400000000000001E-2</v>
      </c>
      <c r="H24702" s="26">
        <v>1.12E-2</v>
      </c>
      <c r="I24702">
        <v>199</v>
      </c>
    </row>
    <row r="24703" spans="1:9" x14ac:dyDescent="0.35">
      <c r="A24703" t="s">
        <v>229</v>
      </c>
      <c r="B24703" t="s">
        <v>252</v>
      </c>
      <c r="C24703">
        <v>0</v>
      </c>
      <c r="D24703" s="26">
        <v>0.61080000000000001</v>
      </c>
      <c r="E24703" s="26">
        <v>0.94610000000000005</v>
      </c>
      <c r="F24703" s="26">
        <v>0.87680000000000002</v>
      </c>
      <c r="G24703" s="26">
        <v>0.97360000000000002</v>
      </c>
      <c r="H24703" s="26">
        <v>0.89900000000000002</v>
      </c>
      <c r="I24703">
        <v>199</v>
      </c>
    </row>
    <row r="24704" spans="1:9" x14ac:dyDescent="0.35">
      <c r="A24704" t="s">
        <v>229</v>
      </c>
      <c r="B24704" t="s">
        <v>253</v>
      </c>
      <c r="C24704">
        <v>3</v>
      </c>
      <c r="D24704" s="26">
        <v>4.8500000000000001E-2</v>
      </c>
      <c r="E24704" s="26">
        <v>2.9100000000000001E-2</v>
      </c>
      <c r="F24704" s="26">
        <v>4.5900000000000003E-2</v>
      </c>
      <c r="G24704" s="26">
        <v>1.3299999999999999E-2</v>
      </c>
      <c r="H24704" s="26">
        <v>6.1800000000000001E-2</v>
      </c>
      <c r="I24704">
        <v>145</v>
      </c>
    </row>
    <row r="24705" spans="1:9" x14ac:dyDescent="0.35">
      <c r="A24705" t="s">
        <v>230</v>
      </c>
      <c r="B24705" t="s">
        <v>253</v>
      </c>
      <c r="C24705">
        <v>5</v>
      </c>
      <c r="D24705" s="26">
        <v>6.3E-3</v>
      </c>
      <c r="F24705" s="26">
        <v>4.7999999999999996E-3</v>
      </c>
      <c r="I24705">
        <v>110</v>
      </c>
    </row>
    <row r="24706" spans="1:9" x14ac:dyDescent="0.35">
      <c r="A24706" t="s">
        <v>230</v>
      </c>
      <c r="B24706" t="s">
        <v>253</v>
      </c>
      <c r="C24706">
        <v>7</v>
      </c>
      <c r="D24706" s="26">
        <v>9.5799999999999996E-2</v>
      </c>
      <c r="F24706" s="26">
        <v>1.5800000000000002E-2</v>
      </c>
      <c r="G24706" s="26">
        <v>1.09E-2</v>
      </c>
      <c r="H24706" s="26">
        <v>1.09E-2</v>
      </c>
      <c r="I24706">
        <v>110</v>
      </c>
    </row>
    <row r="24707" spans="1:9" x14ac:dyDescent="0.35">
      <c r="A24707" t="s">
        <v>230</v>
      </c>
      <c r="B24707" t="s">
        <v>251</v>
      </c>
      <c r="C24707">
        <v>0</v>
      </c>
      <c r="D24707" s="26">
        <v>0.74439999999999995</v>
      </c>
      <c r="E24707" s="26">
        <v>0.88780000000000003</v>
      </c>
      <c r="F24707" s="26">
        <v>0.90920000000000001</v>
      </c>
      <c r="G24707" s="26">
        <v>0.88390000000000002</v>
      </c>
      <c r="H24707" s="26">
        <v>0.88380000000000003</v>
      </c>
      <c r="I24707">
        <v>291</v>
      </c>
    </row>
    <row r="24708" spans="1:9" x14ac:dyDescent="0.35">
      <c r="A24708" t="s">
        <v>230</v>
      </c>
      <c r="B24708" t="s">
        <v>251</v>
      </c>
      <c r="C24708">
        <v>1</v>
      </c>
      <c r="D24708" s="26">
        <v>3.2800000000000003E-2</v>
      </c>
      <c r="E24708" s="26">
        <v>4.9500000000000002E-2</v>
      </c>
      <c r="F24708" s="26">
        <v>9.7000000000000003E-3</v>
      </c>
      <c r="G24708" s="26">
        <v>9.7000000000000003E-3</v>
      </c>
      <c r="H24708" s="26">
        <v>2.0999999999999999E-3</v>
      </c>
      <c r="I24708">
        <v>291</v>
      </c>
    </row>
    <row r="24709" spans="1:9" x14ac:dyDescent="0.35">
      <c r="A24709" t="s">
        <v>230</v>
      </c>
      <c r="B24709" t="s">
        <v>251</v>
      </c>
      <c r="C24709">
        <v>6</v>
      </c>
      <c r="D24709" s="26">
        <v>2.9100000000000001E-2</v>
      </c>
      <c r="F24709" s="26">
        <v>1.6000000000000001E-3</v>
      </c>
      <c r="I24709">
        <v>291</v>
      </c>
    </row>
    <row r="24710" spans="1:9" x14ac:dyDescent="0.35">
      <c r="A24710" t="s">
        <v>230</v>
      </c>
      <c r="B24710" t="s">
        <v>251</v>
      </c>
      <c r="C24710">
        <v>3</v>
      </c>
      <c r="D24710" s="26">
        <v>7.7399999999999997E-2</v>
      </c>
      <c r="E24710" s="26">
        <v>2.0999999999999999E-3</v>
      </c>
      <c r="F24710" s="26">
        <v>6.4999999999999997E-3</v>
      </c>
      <c r="G24710" s="26">
        <v>1.18E-2</v>
      </c>
      <c r="H24710" s="26">
        <v>2.4799999999999999E-2</v>
      </c>
      <c r="I24710">
        <v>291</v>
      </c>
    </row>
    <row r="24711" spans="1:9" x14ac:dyDescent="0.35">
      <c r="A24711" t="s">
        <v>230</v>
      </c>
      <c r="B24711" t="s">
        <v>251</v>
      </c>
      <c r="C24711">
        <v>4</v>
      </c>
      <c r="D24711" s="26">
        <v>1.77E-2</v>
      </c>
      <c r="F24711" s="26">
        <v>2.1499999999999998E-2</v>
      </c>
      <c r="G24711" s="26">
        <v>2.3599999999999999E-2</v>
      </c>
      <c r="H24711" s="26">
        <v>2.2599999999999999E-2</v>
      </c>
      <c r="I24711">
        <v>291</v>
      </c>
    </row>
    <row r="24712" spans="1:9" x14ac:dyDescent="0.35">
      <c r="A24712" t="s">
        <v>230</v>
      </c>
      <c r="B24712" t="s">
        <v>253</v>
      </c>
      <c r="C24712">
        <v>4</v>
      </c>
      <c r="D24712" s="26">
        <v>1.4E-3</v>
      </c>
      <c r="F24712" s="26">
        <v>4.7000000000000002E-3</v>
      </c>
      <c r="H24712" s="26">
        <v>1.4E-3</v>
      </c>
      <c r="I24712">
        <v>110</v>
      </c>
    </row>
    <row r="24713" spans="1:9" x14ac:dyDescent="0.35">
      <c r="A24713" t="s">
        <v>230</v>
      </c>
      <c r="B24713" t="s">
        <v>251</v>
      </c>
      <c r="C24713">
        <v>7</v>
      </c>
      <c r="D24713" s="26">
        <v>5.1299999999999998E-2</v>
      </c>
      <c r="E24713" s="26">
        <v>1.1299999999999999E-2</v>
      </c>
      <c r="F24713" s="26">
        <v>4.7000000000000002E-3</v>
      </c>
      <c r="G24713" s="26">
        <v>3.49E-2</v>
      </c>
      <c r="H24713" s="26">
        <v>2.1999999999999999E-2</v>
      </c>
      <c r="I24713">
        <v>291</v>
      </c>
    </row>
    <row r="24714" spans="1:9" x14ac:dyDescent="0.35">
      <c r="A24714" t="s">
        <v>230</v>
      </c>
      <c r="B24714" t="s">
        <v>251</v>
      </c>
      <c r="C24714">
        <v>2</v>
      </c>
      <c r="D24714" s="26">
        <v>4.6800000000000001E-2</v>
      </c>
      <c r="E24714" s="26">
        <v>4.7699999999999999E-2</v>
      </c>
      <c r="F24714" s="26">
        <v>4.5199999999999997E-2</v>
      </c>
      <c r="G24714" s="26">
        <v>3.5999999999999997E-2</v>
      </c>
      <c r="H24714" s="26">
        <v>4.4600000000000001E-2</v>
      </c>
      <c r="I24714">
        <v>291</v>
      </c>
    </row>
    <row r="24715" spans="1:9" x14ac:dyDescent="0.35">
      <c r="A24715" t="s">
        <v>230</v>
      </c>
      <c r="B24715" t="s">
        <v>253</v>
      </c>
      <c r="C24715">
        <v>3</v>
      </c>
      <c r="D24715" s="26">
        <v>6.6000000000000003E-2</v>
      </c>
      <c r="E24715" s="26">
        <v>2.9899999999999999E-2</v>
      </c>
      <c r="F24715" s="26">
        <v>1.24E-2</v>
      </c>
      <c r="G24715" s="26">
        <v>1.5800000000000002E-2</v>
      </c>
      <c r="H24715" s="26">
        <v>1.11E-2</v>
      </c>
      <c r="I24715">
        <v>110</v>
      </c>
    </row>
    <row r="24716" spans="1:9" x14ac:dyDescent="0.35">
      <c r="A24716" t="s">
        <v>230</v>
      </c>
      <c r="B24716" t="s">
        <v>251</v>
      </c>
      <c r="C24716">
        <v>5</v>
      </c>
      <c r="D24716" s="26">
        <v>5.0000000000000001E-4</v>
      </c>
      <c r="E24716" s="26">
        <v>1.6000000000000001E-3</v>
      </c>
      <c r="F24716" s="26">
        <v>1.6000000000000001E-3</v>
      </c>
      <c r="I24716">
        <v>291</v>
      </c>
    </row>
    <row r="24717" spans="1:9" x14ac:dyDescent="0.35">
      <c r="A24717" t="s">
        <v>230</v>
      </c>
      <c r="B24717" t="s">
        <v>253</v>
      </c>
      <c r="C24717">
        <v>1</v>
      </c>
      <c r="D24717" s="26">
        <v>3.4599999999999999E-2</v>
      </c>
      <c r="E24717" s="26">
        <v>1.43E-2</v>
      </c>
      <c r="F24717" s="26">
        <v>4.7999999999999996E-3</v>
      </c>
      <c r="H24717" s="26">
        <v>1.43E-2</v>
      </c>
      <c r="I24717">
        <v>110</v>
      </c>
    </row>
    <row r="24718" spans="1:9" x14ac:dyDescent="0.35">
      <c r="A24718" t="s">
        <v>230</v>
      </c>
      <c r="B24718" t="s">
        <v>253</v>
      </c>
      <c r="C24718">
        <v>0</v>
      </c>
      <c r="D24718" s="26">
        <v>0.72529999999999994</v>
      </c>
      <c r="E24718" s="26">
        <v>0.93989999999999996</v>
      </c>
      <c r="F24718" s="26">
        <v>0.92149999999999999</v>
      </c>
      <c r="G24718" s="26">
        <v>0.96719999999999995</v>
      </c>
      <c r="H24718" s="26">
        <v>0.95609999999999995</v>
      </c>
      <c r="I24718">
        <v>110</v>
      </c>
    </row>
    <row r="24719" spans="1:9" x14ac:dyDescent="0.35">
      <c r="A24719" t="s">
        <v>230</v>
      </c>
      <c r="B24719" t="s">
        <v>252</v>
      </c>
      <c r="C24719">
        <v>7</v>
      </c>
      <c r="D24719" s="26">
        <v>0.31419999999999998</v>
      </c>
      <c r="E24719" s="26">
        <v>8.0000000000000002E-3</v>
      </c>
      <c r="F24719" s="26">
        <v>0.1037</v>
      </c>
      <c r="H24719" s="26">
        <v>9.8100000000000007E-2</v>
      </c>
      <c r="I24719">
        <v>159</v>
      </c>
    </row>
    <row r="24720" spans="1:9" x14ac:dyDescent="0.35">
      <c r="A24720" t="s">
        <v>230</v>
      </c>
      <c r="B24720" t="s">
        <v>252</v>
      </c>
      <c r="C24720">
        <v>6</v>
      </c>
      <c r="D24720" s="26">
        <v>3.5000000000000001E-3</v>
      </c>
      <c r="F24720" s="26">
        <v>3.5000000000000001E-3</v>
      </c>
      <c r="H24720" s="26">
        <v>3.5000000000000001E-3</v>
      </c>
      <c r="I24720">
        <v>159</v>
      </c>
    </row>
    <row r="24721" spans="1:9" x14ac:dyDescent="0.35">
      <c r="A24721" t="s">
        <v>230</v>
      </c>
      <c r="B24721" t="s">
        <v>252</v>
      </c>
      <c r="C24721">
        <v>5</v>
      </c>
      <c r="D24721" s="26">
        <v>2.92E-2</v>
      </c>
      <c r="E24721" s="26">
        <v>2.1000000000000001E-2</v>
      </c>
      <c r="H24721" s="26">
        <v>3.5000000000000001E-3</v>
      </c>
      <c r="I24721">
        <v>159</v>
      </c>
    </row>
    <row r="24722" spans="1:9" x14ac:dyDescent="0.35">
      <c r="A24722" t="s">
        <v>230</v>
      </c>
      <c r="B24722" t="s">
        <v>252</v>
      </c>
      <c r="C24722">
        <v>4</v>
      </c>
      <c r="D24722" s="26">
        <v>3.0200000000000001E-2</v>
      </c>
      <c r="E24722" s="26">
        <v>1.06E-2</v>
      </c>
      <c r="F24722" s="26">
        <v>1.26E-2</v>
      </c>
      <c r="H24722" s="26">
        <v>8.0000000000000002E-3</v>
      </c>
      <c r="I24722">
        <v>159</v>
      </c>
    </row>
    <row r="24723" spans="1:9" x14ac:dyDescent="0.35">
      <c r="A24723" t="s">
        <v>230</v>
      </c>
      <c r="B24723" t="s">
        <v>252</v>
      </c>
      <c r="C24723">
        <v>3</v>
      </c>
      <c r="D24723" s="26">
        <v>6.3799999999999996E-2</v>
      </c>
      <c r="E24723" s="26">
        <v>8.0999999999999996E-3</v>
      </c>
      <c r="F24723" s="26">
        <v>5.7000000000000002E-3</v>
      </c>
      <c r="H24723" s="26">
        <v>1.9599999999999999E-2</v>
      </c>
      <c r="I24723">
        <v>159</v>
      </c>
    </row>
    <row r="24724" spans="1:9" x14ac:dyDescent="0.35">
      <c r="A24724" t="s">
        <v>230</v>
      </c>
      <c r="B24724" t="s">
        <v>252</v>
      </c>
      <c r="C24724">
        <v>2</v>
      </c>
      <c r="D24724" s="26">
        <v>5.4399999999999997E-2</v>
      </c>
      <c r="E24724" s="26">
        <v>1.17E-2</v>
      </c>
      <c r="F24724" s="26">
        <v>0.1105</v>
      </c>
      <c r="H24724" s="26">
        <v>8.8599999999999998E-2</v>
      </c>
      <c r="I24724">
        <v>159</v>
      </c>
    </row>
    <row r="24725" spans="1:9" x14ac:dyDescent="0.35">
      <c r="A24725" t="s">
        <v>230</v>
      </c>
      <c r="B24725" t="s">
        <v>252</v>
      </c>
      <c r="C24725">
        <v>1</v>
      </c>
      <c r="D24725" s="26">
        <v>1.49E-2</v>
      </c>
      <c r="E24725" s="26">
        <v>0.1072</v>
      </c>
      <c r="F24725" s="26">
        <v>7.1000000000000004E-3</v>
      </c>
      <c r="H24725" s="26">
        <v>4.5999999999999999E-3</v>
      </c>
      <c r="I24725">
        <v>159</v>
      </c>
    </row>
    <row r="24726" spans="1:9" x14ac:dyDescent="0.35">
      <c r="A24726" t="s">
        <v>230</v>
      </c>
      <c r="B24726" t="s">
        <v>252</v>
      </c>
      <c r="C24726">
        <v>0</v>
      </c>
      <c r="D24726" s="26">
        <v>0.48970000000000002</v>
      </c>
      <c r="E24726" s="26">
        <v>0.83340000000000003</v>
      </c>
      <c r="F24726" s="26">
        <v>0.75690000000000002</v>
      </c>
      <c r="G24726" s="26">
        <v>1</v>
      </c>
      <c r="H24726" s="26">
        <v>0.77390000000000003</v>
      </c>
      <c r="I24726">
        <v>159</v>
      </c>
    </row>
    <row r="24727" spans="1:9" x14ac:dyDescent="0.35">
      <c r="A24727" t="s">
        <v>230</v>
      </c>
      <c r="B24727" t="s">
        <v>253</v>
      </c>
      <c r="C24727">
        <v>2</v>
      </c>
      <c r="D24727" s="26">
        <v>7.0599999999999996E-2</v>
      </c>
      <c r="E24727" s="26">
        <v>1.5900000000000001E-2</v>
      </c>
      <c r="F24727" s="26">
        <v>3.61E-2</v>
      </c>
      <c r="G24727" s="26">
        <v>6.1000000000000004E-3</v>
      </c>
      <c r="H24727" s="26">
        <v>6.1000000000000004E-3</v>
      </c>
      <c r="I24727">
        <v>110</v>
      </c>
    </row>
    <row r="24728" spans="1:9" x14ac:dyDescent="0.35">
      <c r="A24728" t="s">
        <v>231</v>
      </c>
      <c r="B24728" t="s">
        <v>253</v>
      </c>
      <c r="C24728">
        <v>4</v>
      </c>
      <c r="D24728" s="26">
        <v>3.3300000000000003E-2</v>
      </c>
      <c r="F24728" s="26">
        <v>3.3300000000000003E-2</v>
      </c>
      <c r="G24728" s="26">
        <v>6.6699999999999995E-2</v>
      </c>
      <c r="I24728">
        <v>30</v>
      </c>
    </row>
    <row r="24729" spans="1:9" x14ac:dyDescent="0.35">
      <c r="A24729" t="s">
        <v>231</v>
      </c>
      <c r="B24729" t="s">
        <v>253</v>
      </c>
      <c r="C24729">
        <v>7</v>
      </c>
      <c r="D24729" s="26">
        <v>0.1</v>
      </c>
      <c r="G24729" s="26">
        <v>3.3300000000000003E-2</v>
      </c>
      <c r="H24729" s="26">
        <v>3.3300000000000003E-2</v>
      </c>
      <c r="I24729">
        <v>30</v>
      </c>
    </row>
    <row r="24730" spans="1:9" x14ac:dyDescent="0.35">
      <c r="A24730" t="s">
        <v>231</v>
      </c>
      <c r="B24730" t="s">
        <v>251</v>
      </c>
      <c r="C24730">
        <v>0</v>
      </c>
      <c r="D24730" s="26">
        <v>0.72940000000000005</v>
      </c>
      <c r="E24730" s="26">
        <v>0.87060000000000004</v>
      </c>
      <c r="F24730" s="26">
        <v>0.84709999999999996</v>
      </c>
      <c r="G24730" s="26">
        <v>0.91759999999999997</v>
      </c>
      <c r="H24730" s="26">
        <v>0.83530000000000004</v>
      </c>
      <c r="I24730">
        <v>85</v>
      </c>
    </row>
    <row r="24731" spans="1:9" x14ac:dyDescent="0.35">
      <c r="A24731" t="s">
        <v>231</v>
      </c>
      <c r="B24731" t="s">
        <v>251</v>
      </c>
      <c r="C24731">
        <v>1</v>
      </c>
      <c r="D24731" s="26">
        <v>2.35E-2</v>
      </c>
      <c r="E24731" s="26">
        <v>3.5299999999999998E-2</v>
      </c>
      <c r="F24731" s="26">
        <v>2.35E-2</v>
      </c>
      <c r="G24731" s="26">
        <v>1.18E-2</v>
      </c>
      <c r="H24731" s="26">
        <v>3.5299999999999998E-2</v>
      </c>
      <c r="I24731">
        <v>85</v>
      </c>
    </row>
    <row r="24732" spans="1:9" x14ac:dyDescent="0.35">
      <c r="A24732" t="s">
        <v>231</v>
      </c>
      <c r="B24732" t="s">
        <v>251</v>
      </c>
      <c r="C24732">
        <v>7</v>
      </c>
      <c r="D24732" s="26">
        <v>5.8799999999999998E-2</v>
      </c>
      <c r="F24732" s="26">
        <v>3.5299999999999998E-2</v>
      </c>
      <c r="G24732" s="26">
        <v>1.18E-2</v>
      </c>
      <c r="H24732" s="26">
        <v>3.5299999999999998E-2</v>
      </c>
      <c r="I24732">
        <v>85</v>
      </c>
    </row>
    <row r="24733" spans="1:9" x14ac:dyDescent="0.35">
      <c r="A24733" t="s">
        <v>231</v>
      </c>
      <c r="B24733" t="s">
        <v>251</v>
      </c>
      <c r="C24733">
        <v>3</v>
      </c>
      <c r="D24733" s="26">
        <v>5.8799999999999998E-2</v>
      </c>
      <c r="E24733" s="26">
        <v>5.8799999999999998E-2</v>
      </c>
      <c r="G24733" s="26">
        <v>1.18E-2</v>
      </c>
      <c r="H24733" s="26">
        <v>1.18E-2</v>
      </c>
      <c r="I24733">
        <v>85</v>
      </c>
    </row>
    <row r="24734" spans="1:9" x14ac:dyDescent="0.35">
      <c r="A24734" t="s">
        <v>231</v>
      </c>
      <c r="B24734" t="s">
        <v>251</v>
      </c>
      <c r="C24734">
        <v>4</v>
      </c>
      <c r="D24734" s="26">
        <v>2.35E-2</v>
      </c>
      <c r="F24734" s="26">
        <v>3.5299999999999998E-2</v>
      </c>
      <c r="G24734" s="26">
        <v>2.35E-2</v>
      </c>
      <c r="H24734" s="26">
        <v>1.18E-2</v>
      </c>
      <c r="I24734">
        <v>85</v>
      </c>
    </row>
    <row r="24735" spans="1:9" x14ac:dyDescent="0.35">
      <c r="A24735" t="s">
        <v>231</v>
      </c>
      <c r="B24735" t="s">
        <v>251</v>
      </c>
      <c r="C24735">
        <v>5</v>
      </c>
      <c r="D24735" s="26">
        <v>1.18E-2</v>
      </c>
      <c r="F24735" s="26">
        <v>2.35E-2</v>
      </c>
      <c r="H24735" s="26">
        <v>1.18E-2</v>
      </c>
      <c r="I24735">
        <v>85</v>
      </c>
    </row>
    <row r="24736" spans="1:9" x14ac:dyDescent="0.35">
      <c r="A24736" t="s">
        <v>231</v>
      </c>
      <c r="B24736" t="s">
        <v>251</v>
      </c>
      <c r="C24736">
        <v>2</v>
      </c>
      <c r="D24736" s="26">
        <v>9.4100000000000003E-2</v>
      </c>
      <c r="E24736" s="26">
        <v>3.5299999999999998E-2</v>
      </c>
      <c r="F24736" s="26">
        <v>3.5299999999999998E-2</v>
      </c>
      <c r="G24736" s="26">
        <v>1.18E-2</v>
      </c>
      <c r="H24736" s="26">
        <v>4.7100000000000003E-2</v>
      </c>
      <c r="I24736">
        <v>85</v>
      </c>
    </row>
    <row r="24737" spans="1:9" x14ac:dyDescent="0.35">
      <c r="A24737" t="s">
        <v>231</v>
      </c>
      <c r="B24737" t="s">
        <v>253</v>
      </c>
      <c r="C24737">
        <v>3</v>
      </c>
      <c r="D24737" s="26">
        <v>6.6699999999999995E-2</v>
      </c>
      <c r="E24737" s="26">
        <v>3.3300000000000003E-2</v>
      </c>
      <c r="F24737" s="26">
        <v>3.3300000000000003E-2</v>
      </c>
      <c r="I24737">
        <v>30</v>
      </c>
    </row>
    <row r="24738" spans="1:9" x14ac:dyDescent="0.35">
      <c r="A24738" t="s">
        <v>231</v>
      </c>
      <c r="B24738" t="s">
        <v>253</v>
      </c>
      <c r="C24738">
        <v>1</v>
      </c>
      <c r="D24738" s="26">
        <v>6.6699999999999995E-2</v>
      </c>
      <c r="E24738" s="26">
        <v>3.3300000000000003E-2</v>
      </c>
      <c r="H24738" s="26">
        <v>3.3300000000000003E-2</v>
      </c>
      <c r="I24738">
        <v>30</v>
      </c>
    </row>
    <row r="24739" spans="1:9" x14ac:dyDescent="0.35">
      <c r="A24739" t="s">
        <v>231</v>
      </c>
      <c r="B24739" t="s">
        <v>253</v>
      </c>
      <c r="C24739">
        <v>0</v>
      </c>
      <c r="D24739" s="26">
        <v>0.63329999999999997</v>
      </c>
      <c r="E24739" s="26">
        <v>0.9</v>
      </c>
      <c r="F24739" s="26">
        <v>0.9</v>
      </c>
      <c r="G24739" s="26">
        <v>0.9</v>
      </c>
      <c r="H24739" s="26">
        <v>0.86670000000000003</v>
      </c>
      <c r="I24739">
        <v>30</v>
      </c>
    </row>
    <row r="24740" spans="1:9" x14ac:dyDescent="0.35">
      <c r="A24740" t="s">
        <v>231</v>
      </c>
      <c r="B24740" t="s">
        <v>252</v>
      </c>
      <c r="C24740">
        <v>7</v>
      </c>
      <c r="D24740" s="26">
        <v>0.2041</v>
      </c>
      <c r="E24740" s="26">
        <v>2.0400000000000001E-2</v>
      </c>
      <c r="F24740" s="26">
        <v>8.1600000000000006E-2</v>
      </c>
      <c r="G24740" s="26">
        <v>2.0400000000000001E-2</v>
      </c>
      <c r="H24740" s="26">
        <v>0.1429</v>
      </c>
      <c r="I24740">
        <v>49</v>
      </c>
    </row>
    <row r="24741" spans="1:9" x14ac:dyDescent="0.35">
      <c r="A24741" t="s">
        <v>231</v>
      </c>
      <c r="B24741" t="s">
        <v>252</v>
      </c>
      <c r="C24741">
        <v>5</v>
      </c>
      <c r="D24741" s="26">
        <v>0.12239999999999999</v>
      </c>
      <c r="E24741" s="26">
        <v>2.0400000000000001E-2</v>
      </c>
      <c r="F24741" s="26">
        <v>4.0800000000000003E-2</v>
      </c>
      <c r="H24741" s="26">
        <v>2.0400000000000001E-2</v>
      </c>
      <c r="I24741">
        <v>49</v>
      </c>
    </row>
    <row r="24742" spans="1:9" x14ac:dyDescent="0.35">
      <c r="A24742" t="s">
        <v>231</v>
      </c>
      <c r="B24742" t="s">
        <v>252</v>
      </c>
      <c r="C24742">
        <v>4</v>
      </c>
      <c r="D24742" s="26">
        <v>2.0400000000000001E-2</v>
      </c>
      <c r="I24742">
        <v>49</v>
      </c>
    </row>
    <row r="24743" spans="1:9" x14ac:dyDescent="0.35">
      <c r="A24743" t="s">
        <v>231</v>
      </c>
      <c r="B24743" t="s">
        <v>252</v>
      </c>
      <c r="C24743">
        <v>3</v>
      </c>
      <c r="D24743" s="26">
        <v>8.1600000000000006E-2</v>
      </c>
      <c r="E24743" s="26">
        <v>2.0400000000000001E-2</v>
      </c>
      <c r="F24743" s="26">
        <v>8.1600000000000006E-2</v>
      </c>
      <c r="H24743" s="26">
        <v>6.1199999999999997E-2</v>
      </c>
      <c r="I24743">
        <v>49</v>
      </c>
    </row>
    <row r="24744" spans="1:9" x14ac:dyDescent="0.35">
      <c r="A24744" t="s">
        <v>231</v>
      </c>
      <c r="B24744" t="s">
        <v>252</v>
      </c>
      <c r="C24744">
        <v>2</v>
      </c>
      <c r="D24744" s="26">
        <v>8.1600000000000006E-2</v>
      </c>
      <c r="F24744" s="26">
        <v>4.0800000000000003E-2</v>
      </c>
      <c r="I24744">
        <v>49</v>
      </c>
    </row>
    <row r="24745" spans="1:9" x14ac:dyDescent="0.35">
      <c r="A24745" t="s">
        <v>231</v>
      </c>
      <c r="B24745" t="s">
        <v>252</v>
      </c>
      <c r="C24745">
        <v>1</v>
      </c>
      <c r="D24745" s="26">
        <v>6.1199999999999997E-2</v>
      </c>
      <c r="E24745" s="26">
        <v>4.0800000000000003E-2</v>
      </c>
      <c r="F24745" s="26">
        <v>2.0400000000000001E-2</v>
      </c>
      <c r="H24745" s="26">
        <v>4.0800000000000003E-2</v>
      </c>
      <c r="I24745">
        <v>49</v>
      </c>
    </row>
    <row r="24746" spans="1:9" x14ac:dyDescent="0.35">
      <c r="A24746" t="s">
        <v>231</v>
      </c>
      <c r="B24746" t="s">
        <v>252</v>
      </c>
      <c r="C24746">
        <v>0</v>
      </c>
      <c r="D24746" s="26">
        <v>0.42859999999999998</v>
      </c>
      <c r="E24746" s="26">
        <v>0.87760000000000005</v>
      </c>
      <c r="F24746" s="26">
        <v>0.73470000000000002</v>
      </c>
      <c r="G24746" s="26">
        <v>0.97960000000000003</v>
      </c>
      <c r="H24746" s="26">
        <v>0.73470000000000002</v>
      </c>
      <c r="I24746">
        <v>49</v>
      </c>
    </row>
    <row r="24747" spans="1:9" x14ac:dyDescent="0.35">
      <c r="A24747" t="s">
        <v>231</v>
      </c>
      <c r="B24747" t="s">
        <v>253</v>
      </c>
      <c r="C24747">
        <v>2</v>
      </c>
      <c r="D24747" s="26">
        <v>0.1</v>
      </c>
      <c r="E24747" s="26">
        <v>3.3300000000000003E-2</v>
      </c>
      <c r="F24747" s="26">
        <v>3.3300000000000003E-2</v>
      </c>
      <c r="H24747" s="26">
        <v>3.3300000000000003E-2</v>
      </c>
      <c r="I24747">
        <v>30</v>
      </c>
    </row>
    <row r="24748" spans="1:9" x14ac:dyDescent="0.35">
      <c r="A24748" t="s">
        <v>232</v>
      </c>
      <c r="B24748" t="s">
        <v>232</v>
      </c>
      <c r="C24748">
        <v>5</v>
      </c>
      <c r="D24748" s="26">
        <v>2.1700000000000001E-2</v>
      </c>
      <c r="E24748" s="26">
        <v>2.8E-3</v>
      </c>
      <c r="F24748" s="26">
        <v>8.8000000000000005E-3</v>
      </c>
      <c r="G24748" s="26">
        <v>8.9999999999999998E-4</v>
      </c>
      <c r="H24748" s="26">
        <v>7.9000000000000008E-3</v>
      </c>
      <c r="I24748">
        <v>2813</v>
      </c>
    </row>
    <row r="24749" spans="1:9" x14ac:dyDescent="0.35">
      <c r="A24749" t="s">
        <v>232</v>
      </c>
      <c r="B24749" t="s">
        <v>232</v>
      </c>
      <c r="C24749">
        <v>4</v>
      </c>
      <c r="D24749" s="26">
        <v>2.4E-2</v>
      </c>
      <c r="E24749" s="26">
        <v>1.6000000000000001E-3</v>
      </c>
      <c r="F24749" s="26">
        <v>1.38E-2</v>
      </c>
      <c r="G24749" s="26">
        <v>1.01E-2</v>
      </c>
      <c r="H24749" s="26">
        <v>1.0200000000000001E-2</v>
      </c>
      <c r="I24749">
        <v>2813</v>
      </c>
    </row>
    <row r="24750" spans="1:9" x14ac:dyDescent="0.35">
      <c r="A24750" t="s">
        <v>232</v>
      </c>
      <c r="B24750" t="s">
        <v>232</v>
      </c>
      <c r="C24750">
        <v>3</v>
      </c>
      <c r="D24750" s="26">
        <v>5.8700000000000002E-2</v>
      </c>
      <c r="E24750" s="26">
        <v>1.9300000000000001E-2</v>
      </c>
      <c r="F24750" s="26">
        <v>2.5999999999999999E-2</v>
      </c>
      <c r="G24750" s="26">
        <v>1.0200000000000001E-2</v>
      </c>
      <c r="H24750" s="26">
        <v>2.1299999999999999E-2</v>
      </c>
      <c r="I24750">
        <v>2813</v>
      </c>
    </row>
    <row r="24751" spans="1:9" x14ac:dyDescent="0.35">
      <c r="A24751" t="s">
        <v>232</v>
      </c>
      <c r="B24751" t="s">
        <v>232</v>
      </c>
      <c r="C24751">
        <v>6</v>
      </c>
      <c r="D24751" s="26">
        <v>2.8E-3</v>
      </c>
      <c r="E24751" s="26">
        <v>1.6999999999999999E-3</v>
      </c>
      <c r="F24751" s="26">
        <v>4.0000000000000002E-4</v>
      </c>
      <c r="G24751" s="26">
        <v>2.3999999999999998E-3</v>
      </c>
      <c r="H24751" s="26">
        <v>1.8E-3</v>
      </c>
      <c r="I24751">
        <v>2813</v>
      </c>
    </row>
    <row r="24752" spans="1:9" x14ac:dyDescent="0.35">
      <c r="A24752" t="s">
        <v>232</v>
      </c>
      <c r="B24752" t="s">
        <v>232</v>
      </c>
      <c r="C24752">
        <v>1</v>
      </c>
      <c r="D24752" s="26">
        <v>2.9700000000000001E-2</v>
      </c>
      <c r="E24752" s="26">
        <v>4.2799999999999998E-2</v>
      </c>
      <c r="F24752" s="26">
        <v>1.67E-2</v>
      </c>
      <c r="G24752" s="26">
        <v>5.1000000000000004E-3</v>
      </c>
      <c r="H24752" s="26">
        <v>1.7999999999999999E-2</v>
      </c>
      <c r="I24752">
        <v>2813</v>
      </c>
    </row>
    <row r="24753" spans="1:9" x14ac:dyDescent="0.35">
      <c r="A24753" t="s">
        <v>232</v>
      </c>
      <c r="B24753" t="s">
        <v>232</v>
      </c>
      <c r="C24753">
        <v>0</v>
      </c>
      <c r="D24753" s="26">
        <v>0.66559999999999997</v>
      </c>
      <c r="E24753" s="26">
        <v>0.89839999999999998</v>
      </c>
      <c r="F24753" s="26">
        <v>0.85399999999999998</v>
      </c>
      <c r="G24753" s="26">
        <v>0.94440000000000002</v>
      </c>
      <c r="H24753" s="26">
        <v>0.86960000000000004</v>
      </c>
      <c r="I24753">
        <v>2813</v>
      </c>
    </row>
    <row r="24754" spans="1:9" x14ac:dyDescent="0.35">
      <c r="A24754" t="s">
        <v>232</v>
      </c>
      <c r="B24754" t="s">
        <v>232</v>
      </c>
      <c r="C24754">
        <v>2</v>
      </c>
      <c r="D24754" s="26">
        <v>8.6699999999999999E-2</v>
      </c>
      <c r="E24754" s="26">
        <v>2.4799999999999999E-2</v>
      </c>
      <c r="F24754" s="26">
        <v>3.5400000000000001E-2</v>
      </c>
      <c r="G24754" s="26">
        <v>1.1900000000000001E-2</v>
      </c>
      <c r="H24754" s="26">
        <v>2.6700000000000002E-2</v>
      </c>
      <c r="I24754">
        <v>2813</v>
      </c>
    </row>
    <row r="24755" spans="1:9" x14ac:dyDescent="0.35">
      <c r="A24755" t="s">
        <v>232</v>
      </c>
      <c r="B24755" t="s">
        <v>232</v>
      </c>
      <c r="C24755">
        <v>7</v>
      </c>
      <c r="D24755" s="26">
        <v>0.1108</v>
      </c>
      <c r="E24755" s="26">
        <v>8.6E-3</v>
      </c>
      <c r="F24755" s="26">
        <v>4.5100000000000001E-2</v>
      </c>
      <c r="G24755" s="26">
        <v>1.4999999999999999E-2</v>
      </c>
      <c r="H24755" s="26">
        <v>4.4600000000000001E-2</v>
      </c>
      <c r="I24755">
        <v>2813</v>
      </c>
    </row>
    <row r="24757" spans="1:9" x14ac:dyDescent="0.35">
      <c r="A24757" s="1" t="s">
        <v>2275</v>
      </c>
    </row>
    <row r="24758" spans="1:9" x14ac:dyDescent="0.35">
      <c r="A24758" t="s">
        <v>219</v>
      </c>
      <c r="B24758" t="s">
        <v>305</v>
      </c>
      <c r="C24758" t="s">
        <v>1270</v>
      </c>
      <c r="D24758" t="s">
        <v>2264</v>
      </c>
      <c r="E24758" t="s">
        <v>2265</v>
      </c>
      <c r="F24758" t="s">
        <v>2266</v>
      </c>
      <c r="G24758" t="s">
        <v>2267</v>
      </c>
      <c r="H24758" t="s">
        <v>2268</v>
      </c>
      <c r="I24758" t="s">
        <v>964</v>
      </c>
    </row>
    <row r="24759" spans="1:9" x14ac:dyDescent="0.35">
      <c r="A24759" t="s">
        <v>227</v>
      </c>
      <c r="B24759" t="s">
        <v>249</v>
      </c>
      <c r="C24759">
        <v>0</v>
      </c>
      <c r="D24759" s="26">
        <v>0.72729999999999995</v>
      </c>
      <c r="E24759" s="26">
        <v>0.90910000000000002</v>
      </c>
      <c r="F24759" s="26">
        <v>0.88639999999999997</v>
      </c>
      <c r="G24759" s="26">
        <v>0.88639999999999997</v>
      </c>
      <c r="H24759" s="26">
        <v>0.88639999999999997</v>
      </c>
      <c r="I24759">
        <v>44</v>
      </c>
    </row>
    <row r="24760" spans="1:9" x14ac:dyDescent="0.35">
      <c r="A24760" t="s">
        <v>227</v>
      </c>
      <c r="B24760" t="s">
        <v>248</v>
      </c>
      <c r="C24760">
        <v>7</v>
      </c>
      <c r="D24760" s="26">
        <v>0.1368</v>
      </c>
      <c r="E24760" s="26">
        <v>8.5000000000000006E-3</v>
      </c>
      <c r="F24760" s="26">
        <v>6.8400000000000002E-2</v>
      </c>
      <c r="G24760" s="26">
        <v>8.5000000000000006E-3</v>
      </c>
      <c r="H24760" s="26">
        <v>3.4200000000000001E-2</v>
      </c>
      <c r="I24760">
        <v>117</v>
      </c>
    </row>
    <row r="24761" spans="1:9" x14ac:dyDescent="0.35">
      <c r="A24761" t="s">
        <v>227</v>
      </c>
      <c r="B24761" t="s">
        <v>248</v>
      </c>
      <c r="C24761">
        <v>2</v>
      </c>
      <c r="D24761" s="26">
        <v>7.6899999999999996E-2</v>
      </c>
      <c r="E24761" s="26">
        <v>3.4200000000000001E-2</v>
      </c>
      <c r="F24761" s="26">
        <v>8.5000000000000006E-3</v>
      </c>
      <c r="I24761">
        <v>117</v>
      </c>
    </row>
    <row r="24762" spans="1:9" x14ac:dyDescent="0.35">
      <c r="A24762" t="s">
        <v>227</v>
      </c>
      <c r="B24762" t="s">
        <v>248</v>
      </c>
      <c r="C24762">
        <v>1</v>
      </c>
      <c r="D24762" s="26">
        <v>3.4200000000000001E-2</v>
      </c>
      <c r="E24762" s="26">
        <v>3.4200000000000001E-2</v>
      </c>
      <c r="F24762" s="26">
        <v>2.5600000000000001E-2</v>
      </c>
      <c r="H24762" s="26">
        <v>8.5000000000000006E-3</v>
      </c>
      <c r="I24762">
        <v>117</v>
      </c>
    </row>
    <row r="24763" spans="1:9" x14ac:dyDescent="0.35">
      <c r="A24763" t="s">
        <v>227</v>
      </c>
      <c r="B24763" t="s">
        <v>248</v>
      </c>
      <c r="C24763">
        <v>0</v>
      </c>
      <c r="D24763" s="26">
        <v>0.67520000000000002</v>
      </c>
      <c r="E24763" s="26">
        <v>0.91449999999999998</v>
      </c>
      <c r="F24763" s="26">
        <v>0.87180000000000002</v>
      </c>
      <c r="G24763" s="26">
        <v>0.9829</v>
      </c>
      <c r="H24763" s="26">
        <v>0.92310000000000003</v>
      </c>
      <c r="I24763">
        <v>117</v>
      </c>
    </row>
    <row r="24764" spans="1:9" x14ac:dyDescent="0.35">
      <c r="A24764" t="s">
        <v>227</v>
      </c>
      <c r="B24764" t="s">
        <v>248</v>
      </c>
      <c r="C24764">
        <v>3</v>
      </c>
      <c r="D24764" s="26">
        <v>7.6899999999999996E-2</v>
      </c>
      <c r="E24764" s="26">
        <v>8.5000000000000006E-3</v>
      </c>
      <c r="F24764" s="26">
        <v>1.7100000000000001E-2</v>
      </c>
      <c r="H24764" s="26">
        <v>8.5000000000000006E-3</v>
      </c>
      <c r="I24764">
        <v>117</v>
      </c>
    </row>
    <row r="24765" spans="1:9" x14ac:dyDescent="0.35">
      <c r="A24765" t="s">
        <v>227</v>
      </c>
      <c r="B24765" t="s">
        <v>249</v>
      </c>
      <c r="C24765">
        <v>4</v>
      </c>
      <c r="D24765" s="26">
        <v>2.2700000000000001E-2</v>
      </c>
      <c r="F24765" s="26">
        <v>2.2700000000000001E-2</v>
      </c>
      <c r="G24765" s="26">
        <v>2.2700000000000001E-2</v>
      </c>
      <c r="H24765" s="26">
        <v>2.2700000000000001E-2</v>
      </c>
      <c r="I24765">
        <v>44</v>
      </c>
    </row>
    <row r="24766" spans="1:9" x14ac:dyDescent="0.35">
      <c r="A24766" t="s">
        <v>227</v>
      </c>
      <c r="B24766" t="s">
        <v>249</v>
      </c>
      <c r="C24766">
        <v>3</v>
      </c>
      <c r="D24766" s="26">
        <v>9.0899999999999995E-2</v>
      </c>
      <c r="F24766" s="26">
        <v>2.2700000000000001E-2</v>
      </c>
      <c r="G24766" s="26">
        <v>2.2700000000000001E-2</v>
      </c>
      <c r="I24766">
        <v>44</v>
      </c>
    </row>
    <row r="24767" spans="1:9" x14ac:dyDescent="0.35">
      <c r="A24767" t="s">
        <v>227</v>
      </c>
      <c r="B24767" t="s">
        <v>249</v>
      </c>
      <c r="C24767">
        <v>2</v>
      </c>
      <c r="D24767" s="26">
        <v>0.11360000000000001</v>
      </c>
      <c r="E24767" s="26">
        <v>4.5499999999999999E-2</v>
      </c>
      <c r="F24767" s="26">
        <v>2.2700000000000001E-2</v>
      </c>
      <c r="G24767" s="26">
        <v>4.5499999999999999E-2</v>
      </c>
      <c r="H24767" s="26">
        <v>4.5499999999999999E-2</v>
      </c>
      <c r="I24767">
        <v>44</v>
      </c>
    </row>
    <row r="24768" spans="1:9" x14ac:dyDescent="0.35">
      <c r="A24768" t="s">
        <v>227</v>
      </c>
      <c r="B24768" t="s">
        <v>249</v>
      </c>
      <c r="C24768">
        <v>1</v>
      </c>
      <c r="D24768" s="26">
        <v>2.2700000000000001E-2</v>
      </c>
      <c r="E24768" s="26">
        <v>4.5499999999999999E-2</v>
      </c>
      <c r="F24768" s="26">
        <v>2.2700000000000001E-2</v>
      </c>
      <c r="G24768" s="26">
        <v>2.2700000000000001E-2</v>
      </c>
      <c r="I24768">
        <v>44</v>
      </c>
    </row>
    <row r="24769" spans="1:9" x14ac:dyDescent="0.35">
      <c r="A24769" t="s">
        <v>227</v>
      </c>
      <c r="B24769" t="s">
        <v>249</v>
      </c>
      <c r="C24769">
        <v>7</v>
      </c>
      <c r="D24769" s="26">
        <v>2.2700000000000001E-2</v>
      </c>
      <c r="F24769" s="26">
        <v>2.2700000000000001E-2</v>
      </c>
      <c r="H24769" s="26">
        <v>2.2700000000000001E-2</v>
      </c>
      <c r="I24769">
        <v>44</v>
      </c>
    </row>
    <row r="24770" spans="1:9" x14ac:dyDescent="0.35">
      <c r="A24770" t="s">
        <v>228</v>
      </c>
      <c r="B24770" t="s">
        <v>248</v>
      </c>
      <c r="C24770">
        <v>1</v>
      </c>
      <c r="D24770" s="26">
        <v>2.86E-2</v>
      </c>
      <c r="E24770" s="26">
        <v>4.2200000000000001E-2</v>
      </c>
      <c r="F24770" s="26">
        <v>1.2800000000000001E-2</v>
      </c>
      <c r="G24770" s="26">
        <v>8.9999999999999998E-4</v>
      </c>
      <c r="H24770" s="26">
        <v>1.8800000000000001E-2</v>
      </c>
      <c r="I24770">
        <v>759</v>
      </c>
    </row>
    <row r="24771" spans="1:9" x14ac:dyDescent="0.35">
      <c r="A24771" t="s">
        <v>228</v>
      </c>
      <c r="B24771" t="s">
        <v>248</v>
      </c>
      <c r="C24771">
        <v>7</v>
      </c>
      <c r="D24771" s="26">
        <v>0.16489999999999999</v>
      </c>
      <c r="E24771" s="26">
        <v>1.32E-2</v>
      </c>
      <c r="F24771" s="26">
        <v>5.4899999999999997E-2</v>
      </c>
      <c r="G24771" s="26">
        <v>1.2999999999999999E-3</v>
      </c>
      <c r="H24771" s="26">
        <v>5.0700000000000002E-2</v>
      </c>
      <c r="I24771">
        <v>759</v>
      </c>
    </row>
    <row r="24772" spans="1:9" x14ac:dyDescent="0.35">
      <c r="A24772" t="s">
        <v>228</v>
      </c>
      <c r="B24772" t="s">
        <v>248</v>
      </c>
      <c r="C24772">
        <v>6</v>
      </c>
      <c r="D24772" s="26">
        <v>2.7000000000000001E-3</v>
      </c>
      <c r="F24772" s="26">
        <v>1.6999999999999999E-3</v>
      </c>
      <c r="I24772">
        <v>759</v>
      </c>
    </row>
    <row r="24773" spans="1:9" x14ac:dyDescent="0.35">
      <c r="A24773" t="s">
        <v>228</v>
      </c>
      <c r="B24773" t="s">
        <v>248</v>
      </c>
      <c r="C24773">
        <v>5</v>
      </c>
      <c r="D24773" s="26">
        <v>1.9099999999999999E-2</v>
      </c>
      <c r="E24773" s="26">
        <v>1.5E-3</v>
      </c>
      <c r="F24773" s="26">
        <v>2.3999999999999998E-3</v>
      </c>
      <c r="G24773" s="26">
        <v>6.9999999999999999E-4</v>
      </c>
      <c r="H24773" s="26">
        <v>2.3999999999999998E-3</v>
      </c>
      <c r="I24773">
        <v>759</v>
      </c>
    </row>
    <row r="24774" spans="1:9" x14ac:dyDescent="0.35">
      <c r="A24774" t="s">
        <v>228</v>
      </c>
      <c r="B24774" t="s">
        <v>248</v>
      </c>
      <c r="C24774">
        <v>4</v>
      </c>
      <c r="D24774" s="26">
        <v>2.46E-2</v>
      </c>
      <c r="E24774" s="26">
        <v>7.1999999999999998E-3</v>
      </c>
      <c r="F24774" s="26">
        <v>8.0999999999999996E-3</v>
      </c>
      <c r="G24774" s="26">
        <v>2.9999999999999997E-4</v>
      </c>
      <c r="H24774" s="26">
        <v>8.6999999999999994E-3</v>
      </c>
      <c r="I24774">
        <v>759</v>
      </c>
    </row>
    <row r="24775" spans="1:9" x14ac:dyDescent="0.35">
      <c r="A24775" t="s">
        <v>228</v>
      </c>
      <c r="B24775" t="s">
        <v>248</v>
      </c>
      <c r="C24775">
        <v>3</v>
      </c>
      <c r="D24775" s="26">
        <v>4.8599999999999997E-2</v>
      </c>
      <c r="E24775" s="26">
        <v>1.46E-2</v>
      </c>
      <c r="F24775" s="26">
        <v>3.6799999999999999E-2</v>
      </c>
      <c r="G24775" s="26">
        <v>7.3000000000000001E-3</v>
      </c>
      <c r="H24775" s="26">
        <v>2.6700000000000002E-2</v>
      </c>
      <c r="I24775">
        <v>759</v>
      </c>
    </row>
    <row r="24776" spans="1:9" x14ac:dyDescent="0.35">
      <c r="A24776" t="s">
        <v>228</v>
      </c>
      <c r="B24776" t="s">
        <v>248</v>
      </c>
      <c r="C24776">
        <v>2</v>
      </c>
      <c r="D24776" s="26">
        <v>7.8E-2</v>
      </c>
      <c r="E24776" s="26">
        <v>2.0500000000000001E-2</v>
      </c>
      <c r="F24776" s="26">
        <v>2.58E-2</v>
      </c>
      <c r="G24776" s="26">
        <v>1.6999999999999999E-3</v>
      </c>
      <c r="H24776" s="26">
        <v>2.35E-2</v>
      </c>
      <c r="I24776">
        <v>759</v>
      </c>
    </row>
    <row r="24777" spans="1:9" x14ac:dyDescent="0.35">
      <c r="A24777" t="s">
        <v>228</v>
      </c>
      <c r="B24777" t="s">
        <v>248</v>
      </c>
      <c r="C24777">
        <v>0</v>
      </c>
      <c r="D24777" s="26">
        <v>0.63339999999999996</v>
      </c>
      <c r="E24777" s="26">
        <v>0.90080000000000005</v>
      </c>
      <c r="F24777" s="26">
        <v>0.85750000000000004</v>
      </c>
      <c r="G24777" s="26">
        <v>0.98780000000000001</v>
      </c>
      <c r="H24777" s="26">
        <v>0.86919999999999997</v>
      </c>
      <c r="I24777">
        <v>759</v>
      </c>
    </row>
    <row r="24778" spans="1:9" x14ac:dyDescent="0.35">
      <c r="A24778" t="s">
        <v>228</v>
      </c>
      <c r="B24778" t="s">
        <v>249</v>
      </c>
      <c r="C24778">
        <v>5</v>
      </c>
      <c r="D24778" s="26">
        <v>1.6400000000000001E-2</v>
      </c>
      <c r="E24778" s="26">
        <v>1.4E-3</v>
      </c>
      <c r="F24778" s="26">
        <v>1.4E-3</v>
      </c>
      <c r="G24778" s="26">
        <v>1.1299999999999999E-2</v>
      </c>
      <c r="H24778" s="26">
        <v>7.7999999999999996E-3</v>
      </c>
      <c r="I24778">
        <v>274</v>
      </c>
    </row>
    <row r="24779" spans="1:9" x14ac:dyDescent="0.35">
      <c r="A24779" t="s">
        <v>228</v>
      </c>
      <c r="B24779" t="s">
        <v>249</v>
      </c>
      <c r="C24779">
        <v>6</v>
      </c>
      <c r="D24779" s="26">
        <v>8.0000000000000004E-4</v>
      </c>
      <c r="I24779">
        <v>274</v>
      </c>
    </row>
    <row r="24780" spans="1:9" x14ac:dyDescent="0.35">
      <c r="A24780" t="s">
        <v>228</v>
      </c>
      <c r="B24780" t="s">
        <v>249</v>
      </c>
      <c r="C24780">
        <v>4</v>
      </c>
      <c r="D24780" s="26">
        <v>1.3599999999999999E-2</v>
      </c>
      <c r="E24780" s="26">
        <v>4.0000000000000001E-3</v>
      </c>
      <c r="F24780" s="26">
        <v>3.8E-3</v>
      </c>
      <c r="G24780" s="26">
        <v>3.2000000000000002E-3</v>
      </c>
      <c r="H24780" s="26">
        <v>7.3000000000000001E-3</v>
      </c>
      <c r="I24780">
        <v>274</v>
      </c>
    </row>
    <row r="24781" spans="1:9" x14ac:dyDescent="0.35">
      <c r="A24781" t="s">
        <v>228</v>
      </c>
      <c r="B24781" t="s">
        <v>249</v>
      </c>
      <c r="C24781">
        <v>3</v>
      </c>
      <c r="D24781" s="26">
        <v>7.3400000000000007E-2</v>
      </c>
      <c r="E24781" s="26">
        <v>5.7999999999999996E-3</v>
      </c>
      <c r="F24781" s="26">
        <v>2.1399999999999999E-2</v>
      </c>
      <c r="G24781" s="26">
        <v>2.6599999999999999E-2</v>
      </c>
      <c r="H24781" s="26">
        <v>1.4800000000000001E-2</v>
      </c>
      <c r="I24781">
        <v>274</v>
      </c>
    </row>
    <row r="24782" spans="1:9" x14ac:dyDescent="0.35">
      <c r="A24782" t="s">
        <v>228</v>
      </c>
      <c r="B24782" t="s">
        <v>249</v>
      </c>
      <c r="C24782">
        <v>2</v>
      </c>
      <c r="D24782" s="26">
        <v>5.9200000000000003E-2</v>
      </c>
      <c r="E24782" s="26">
        <v>2.2700000000000001E-2</v>
      </c>
      <c r="F24782" s="26">
        <v>2.8299999999999999E-2</v>
      </c>
      <c r="G24782" s="26">
        <v>4.9099999999999998E-2</v>
      </c>
      <c r="H24782" s="26">
        <v>2.7799999999999998E-2</v>
      </c>
      <c r="I24782">
        <v>274</v>
      </c>
    </row>
    <row r="24783" spans="1:9" x14ac:dyDescent="0.35">
      <c r="A24783" t="s">
        <v>228</v>
      </c>
      <c r="B24783" t="s">
        <v>249</v>
      </c>
      <c r="C24783">
        <v>1</v>
      </c>
      <c r="D24783" s="26">
        <v>4.8300000000000003E-2</v>
      </c>
      <c r="E24783" s="26">
        <v>3.6499999999999998E-2</v>
      </c>
      <c r="F24783" s="26">
        <v>2.2700000000000001E-2</v>
      </c>
      <c r="G24783" s="26">
        <v>2.2800000000000001E-2</v>
      </c>
      <c r="H24783" s="26">
        <v>6.4999999999999997E-3</v>
      </c>
      <c r="I24783">
        <v>274</v>
      </c>
    </row>
    <row r="24784" spans="1:9" x14ac:dyDescent="0.35">
      <c r="A24784" t="s">
        <v>228</v>
      </c>
      <c r="B24784" t="s">
        <v>249</v>
      </c>
      <c r="C24784">
        <v>0</v>
      </c>
      <c r="D24784" s="26">
        <v>0.70379999999999998</v>
      </c>
      <c r="E24784" s="26">
        <v>0.91969999999999996</v>
      </c>
      <c r="F24784" s="26">
        <v>0.88749999999999996</v>
      </c>
      <c r="G24784" s="26">
        <v>0.82310000000000005</v>
      </c>
      <c r="H24784" s="26">
        <v>0.91679999999999995</v>
      </c>
      <c r="I24784">
        <v>274</v>
      </c>
    </row>
    <row r="24785" spans="1:9" x14ac:dyDescent="0.35">
      <c r="A24785" t="s">
        <v>228</v>
      </c>
      <c r="B24785" t="s">
        <v>249</v>
      </c>
      <c r="C24785">
        <v>7</v>
      </c>
      <c r="D24785" s="26">
        <v>8.4500000000000006E-2</v>
      </c>
      <c r="E24785" s="26">
        <v>9.9000000000000008E-3</v>
      </c>
      <c r="F24785" s="26">
        <v>3.49E-2</v>
      </c>
      <c r="G24785" s="26">
        <v>6.3899999999999998E-2</v>
      </c>
      <c r="H24785" s="26">
        <v>1.9E-2</v>
      </c>
      <c r="I24785">
        <v>274</v>
      </c>
    </row>
    <row r="24786" spans="1:9" x14ac:dyDescent="0.35">
      <c r="A24786" t="s">
        <v>229</v>
      </c>
      <c r="B24786" t="s">
        <v>248</v>
      </c>
      <c r="C24786">
        <v>1</v>
      </c>
      <c r="D24786" s="26">
        <v>1.35E-2</v>
      </c>
      <c r="E24786" s="26">
        <v>4.6100000000000002E-2</v>
      </c>
      <c r="F24786" s="26">
        <v>1.26E-2</v>
      </c>
      <c r="G24786" s="26">
        <v>1E-3</v>
      </c>
      <c r="H24786" s="26">
        <v>5.4000000000000003E-3</v>
      </c>
      <c r="I24786">
        <v>636</v>
      </c>
    </row>
    <row r="24787" spans="1:9" x14ac:dyDescent="0.35">
      <c r="A24787" t="s">
        <v>229</v>
      </c>
      <c r="B24787" t="s">
        <v>248</v>
      </c>
      <c r="C24787">
        <v>7</v>
      </c>
      <c r="D24787" s="26">
        <v>0.1114</v>
      </c>
      <c r="E24787" s="26">
        <v>1.0200000000000001E-2</v>
      </c>
      <c r="F24787" s="26">
        <v>4.65E-2</v>
      </c>
      <c r="G24787" s="26">
        <v>4.7000000000000002E-3</v>
      </c>
      <c r="H24787" s="26">
        <v>3.6900000000000002E-2</v>
      </c>
      <c r="I24787">
        <v>636</v>
      </c>
    </row>
    <row r="24788" spans="1:9" x14ac:dyDescent="0.35">
      <c r="A24788" t="s">
        <v>229</v>
      </c>
      <c r="B24788" t="s">
        <v>248</v>
      </c>
      <c r="C24788">
        <v>6</v>
      </c>
      <c r="D24788" s="26">
        <v>3.7000000000000002E-3</v>
      </c>
      <c r="I24788">
        <v>636</v>
      </c>
    </row>
    <row r="24789" spans="1:9" x14ac:dyDescent="0.35">
      <c r="A24789" t="s">
        <v>229</v>
      </c>
      <c r="B24789" t="s">
        <v>248</v>
      </c>
      <c r="C24789">
        <v>4</v>
      </c>
      <c r="D24789" s="26">
        <v>4.5199999999999997E-2</v>
      </c>
      <c r="F24789" s="26">
        <v>1.17E-2</v>
      </c>
      <c r="G24789" s="26">
        <v>1E-4</v>
      </c>
      <c r="H24789" s="26">
        <v>4.4999999999999997E-3</v>
      </c>
      <c r="I24789">
        <v>636</v>
      </c>
    </row>
    <row r="24790" spans="1:9" x14ac:dyDescent="0.35">
      <c r="A24790" t="s">
        <v>229</v>
      </c>
      <c r="B24790" t="s">
        <v>248</v>
      </c>
      <c r="C24790">
        <v>3</v>
      </c>
      <c r="D24790" s="26">
        <v>3.15E-2</v>
      </c>
      <c r="E24790" s="26">
        <v>1.1599999999999999E-2</v>
      </c>
      <c r="F24790" s="26">
        <v>2.98E-2</v>
      </c>
      <c r="G24790" s="26">
        <v>4.1999999999999997E-3</v>
      </c>
      <c r="H24790" s="26">
        <v>2.8899999999999999E-2</v>
      </c>
      <c r="I24790">
        <v>636</v>
      </c>
    </row>
    <row r="24791" spans="1:9" x14ac:dyDescent="0.35">
      <c r="A24791" t="s">
        <v>229</v>
      </c>
      <c r="B24791" t="s">
        <v>248</v>
      </c>
      <c r="C24791">
        <v>2</v>
      </c>
      <c r="D24791" s="26">
        <v>0.1084</v>
      </c>
      <c r="E24791" s="26">
        <v>8.0000000000000002E-3</v>
      </c>
      <c r="F24791" s="26">
        <v>4.0800000000000003E-2</v>
      </c>
      <c r="H24791" s="26">
        <v>2.3800000000000002E-2</v>
      </c>
      <c r="I24791">
        <v>636</v>
      </c>
    </row>
    <row r="24792" spans="1:9" x14ac:dyDescent="0.35">
      <c r="A24792" t="s">
        <v>229</v>
      </c>
      <c r="B24792" t="s">
        <v>248</v>
      </c>
      <c r="C24792">
        <v>0</v>
      </c>
      <c r="D24792" s="26">
        <v>0.66510000000000002</v>
      </c>
      <c r="E24792" s="26">
        <v>0.92410000000000003</v>
      </c>
      <c r="F24792" s="26">
        <v>0.85070000000000001</v>
      </c>
      <c r="G24792" s="26">
        <v>0.98980000000000001</v>
      </c>
      <c r="H24792" s="26">
        <v>0.89529999999999998</v>
      </c>
      <c r="I24792">
        <v>636</v>
      </c>
    </row>
    <row r="24793" spans="1:9" x14ac:dyDescent="0.35">
      <c r="A24793" t="s">
        <v>229</v>
      </c>
      <c r="B24793" t="s">
        <v>248</v>
      </c>
      <c r="C24793">
        <v>5</v>
      </c>
      <c r="D24793" s="26">
        <v>2.12E-2</v>
      </c>
      <c r="F24793" s="26">
        <v>8.0000000000000002E-3</v>
      </c>
      <c r="G24793" s="26">
        <v>1E-4</v>
      </c>
      <c r="H24793" s="26">
        <v>5.1999999999999998E-3</v>
      </c>
      <c r="I24793">
        <v>636</v>
      </c>
    </row>
    <row r="24794" spans="1:9" x14ac:dyDescent="0.35">
      <c r="A24794" t="s">
        <v>229</v>
      </c>
      <c r="B24794" t="s">
        <v>249</v>
      </c>
      <c r="C24794">
        <v>5</v>
      </c>
      <c r="D24794" s="26">
        <v>1.67E-2</v>
      </c>
      <c r="E24794" s="26">
        <v>3.0000000000000001E-3</v>
      </c>
      <c r="G24794" s="26">
        <v>1.5E-3</v>
      </c>
      <c r="H24794" s="26">
        <v>5.0000000000000001E-4</v>
      </c>
      <c r="I24794">
        <v>259</v>
      </c>
    </row>
    <row r="24795" spans="1:9" x14ac:dyDescent="0.35">
      <c r="A24795" t="s">
        <v>229</v>
      </c>
      <c r="B24795" t="s">
        <v>249</v>
      </c>
      <c r="C24795">
        <v>4</v>
      </c>
      <c r="D24795" s="26">
        <v>2.0299999999999999E-2</v>
      </c>
      <c r="E24795" s="26">
        <v>1E-3</v>
      </c>
      <c r="F24795" s="26">
        <v>1E-3</v>
      </c>
      <c r="H24795" s="26">
        <v>9.1000000000000004E-3</v>
      </c>
      <c r="I24795">
        <v>259</v>
      </c>
    </row>
    <row r="24796" spans="1:9" x14ac:dyDescent="0.35">
      <c r="A24796" t="s">
        <v>229</v>
      </c>
      <c r="B24796" t="s">
        <v>249</v>
      </c>
      <c r="C24796">
        <v>3</v>
      </c>
      <c r="D24796" s="26">
        <v>4.6199999999999998E-2</v>
      </c>
      <c r="E24796" s="26">
        <v>1.32E-2</v>
      </c>
      <c r="F24796" s="26">
        <v>2.29E-2</v>
      </c>
      <c r="G24796" s="26">
        <v>3.5499999999999997E-2</v>
      </c>
      <c r="H24796" s="26">
        <v>1.7600000000000001E-2</v>
      </c>
      <c r="I24796">
        <v>259</v>
      </c>
    </row>
    <row r="24797" spans="1:9" x14ac:dyDescent="0.35">
      <c r="A24797" t="s">
        <v>229</v>
      </c>
      <c r="B24797" t="s">
        <v>249</v>
      </c>
      <c r="C24797">
        <v>2</v>
      </c>
      <c r="D24797" s="26">
        <v>9.1999999999999998E-2</v>
      </c>
      <c r="E24797" s="26">
        <v>4.0099999999999997E-2</v>
      </c>
      <c r="F24797" s="26">
        <v>5.0799999999999998E-2</v>
      </c>
      <c r="G24797" s="26">
        <v>3.5099999999999999E-2</v>
      </c>
      <c r="H24797" s="26">
        <v>2.5899999999999999E-2</v>
      </c>
      <c r="I24797">
        <v>259</v>
      </c>
    </row>
    <row r="24798" spans="1:9" x14ac:dyDescent="0.35">
      <c r="A24798" t="s">
        <v>229</v>
      </c>
      <c r="B24798" t="s">
        <v>249</v>
      </c>
      <c r="C24798">
        <v>7</v>
      </c>
      <c r="D24798" s="26">
        <v>4.19E-2</v>
      </c>
      <c r="E24798" s="26">
        <v>9.7000000000000003E-3</v>
      </c>
      <c r="F24798" s="26">
        <v>3.6999999999999998E-2</v>
      </c>
      <c r="G24798" s="26">
        <v>2.3300000000000001E-2</v>
      </c>
      <c r="H24798" s="26">
        <v>2.8899999999999999E-2</v>
      </c>
      <c r="I24798">
        <v>259</v>
      </c>
    </row>
    <row r="24799" spans="1:9" x14ac:dyDescent="0.35">
      <c r="A24799" t="s">
        <v>229</v>
      </c>
      <c r="B24799" t="s">
        <v>249</v>
      </c>
      <c r="C24799">
        <v>1</v>
      </c>
      <c r="D24799" s="26">
        <v>1.43E-2</v>
      </c>
      <c r="E24799" s="26">
        <v>5.2499999999999998E-2</v>
      </c>
      <c r="F24799" s="26">
        <v>1.77E-2</v>
      </c>
      <c r="G24799" s="26">
        <v>3.5000000000000001E-3</v>
      </c>
      <c r="H24799" s="26">
        <v>2.7900000000000001E-2</v>
      </c>
      <c r="I24799">
        <v>259</v>
      </c>
    </row>
    <row r="24800" spans="1:9" x14ac:dyDescent="0.35">
      <c r="A24800" t="s">
        <v>229</v>
      </c>
      <c r="B24800" t="s">
        <v>249</v>
      </c>
      <c r="C24800">
        <v>0</v>
      </c>
      <c r="D24800" s="26">
        <v>0.76859999999999995</v>
      </c>
      <c r="E24800" s="26">
        <v>0.88049999999999995</v>
      </c>
      <c r="F24800" s="26">
        <v>0.87060000000000004</v>
      </c>
      <c r="G24800" s="26">
        <v>0.89339999999999997</v>
      </c>
      <c r="H24800" s="26">
        <v>0.8901</v>
      </c>
      <c r="I24800">
        <v>259</v>
      </c>
    </row>
    <row r="24801" spans="1:9" x14ac:dyDescent="0.35">
      <c r="A24801" t="s">
        <v>230</v>
      </c>
      <c r="B24801" t="s">
        <v>248</v>
      </c>
      <c r="C24801">
        <v>6</v>
      </c>
      <c r="D24801" s="26">
        <v>1.7600000000000001E-2</v>
      </c>
      <c r="F24801" s="26">
        <v>2.7000000000000001E-3</v>
      </c>
      <c r="H24801" s="26">
        <v>1.4E-3</v>
      </c>
      <c r="I24801">
        <v>389</v>
      </c>
    </row>
    <row r="24802" spans="1:9" x14ac:dyDescent="0.35">
      <c r="A24802" t="s">
        <v>230</v>
      </c>
      <c r="B24802" t="s">
        <v>248</v>
      </c>
      <c r="C24802">
        <v>5</v>
      </c>
      <c r="D24802" s="26">
        <v>1.26E-2</v>
      </c>
      <c r="E24802" s="26">
        <v>8.0999999999999996E-3</v>
      </c>
      <c r="F24802" s="26">
        <v>1.4E-3</v>
      </c>
      <c r="H24802" s="26">
        <v>1.4E-3</v>
      </c>
      <c r="I24802">
        <v>389</v>
      </c>
    </row>
    <row r="24803" spans="1:9" x14ac:dyDescent="0.35">
      <c r="A24803" t="s">
        <v>230</v>
      </c>
      <c r="B24803" t="s">
        <v>248</v>
      </c>
      <c r="C24803">
        <v>4</v>
      </c>
      <c r="D24803" s="26">
        <v>1.4800000000000001E-2</v>
      </c>
      <c r="E24803" s="26">
        <v>4.1000000000000003E-3</v>
      </c>
      <c r="F24803" s="26">
        <v>1.47E-2</v>
      </c>
      <c r="G24803" s="26">
        <v>4.0000000000000002E-4</v>
      </c>
      <c r="H24803" s="26">
        <v>4.4000000000000003E-3</v>
      </c>
      <c r="I24803">
        <v>389</v>
      </c>
    </row>
    <row r="24804" spans="1:9" x14ac:dyDescent="0.35">
      <c r="A24804" t="s">
        <v>230</v>
      </c>
      <c r="B24804" t="s">
        <v>248</v>
      </c>
      <c r="C24804">
        <v>3</v>
      </c>
      <c r="D24804" s="26">
        <v>5.0599999999999999E-2</v>
      </c>
      <c r="E24804" s="26">
        <v>4.4999999999999997E-3</v>
      </c>
      <c r="F24804" s="26">
        <v>8.0000000000000002E-3</v>
      </c>
      <c r="H24804" s="26">
        <v>1.8800000000000001E-2</v>
      </c>
      <c r="I24804">
        <v>389</v>
      </c>
    </row>
    <row r="24805" spans="1:9" x14ac:dyDescent="0.35">
      <c r="A24805" t="s">
        <v>230</v>
      </c>
      <c r="B24805" t="s">
        <v>248</v>
      </c>
      <c r="C24805">
        <v>2</v>
      </c>
      <c r="D24805" s="26">
        <v>4.3299999999999998E-2</v>
      </c>
      <c r="E24805" s="26">
        <v>7.9000000000000008E-3</v>
      </c>
      <c r="F24805" s="26">
        <v>5.6899999999999999E-2</v>
      </c>
      <c r="G24805" s="26">
        <v>1.2999999999999999E-3</v>
      </c>
      <c r="H24805" s="26">
        <v>5.3999999999999999E-2</v>
      </c>
      <c r="I24805">
        <v>389</v>
      </c>
    </row>
    <row r="24806" spans="1:9" x14ac:dyDescent="0.35">
      <c r="A24806" t="s">
        <v>230</v>
      </c>
      <c r="B24806" t="s">
        <v>248</v>
      </c>
      <c r="C24806">
        <v>1</v>
      </c>
      <c r="D24806" s="26">
        <v>3.3599999999999998E-2</v>
      </c>
      <c r="E24806" s="26">
        <v>5.5399999999999998E-2</v>
      </c>
      <c r="F24806" s="26">
        <v>2.7000000000000001E-3</v>
      </c>
      <c r="G24806" s="26">
        <v>8.0999999999999996E-3</v>
      </c>
      <c r="H24806" s="26">
        <v>5.8999999999999999E-3</v>
      </c>
      <c r="I24806">
        <v>389</v>
      </c>
    </row>
    <row r="24807" spans="1:9" x14ac:dyDescent="0.35">
      <c r="A24807" t="s">
        <v>230</v>
      </c>
      <c r="B24807" t="s">
        <v>248</v>
      </c>
      <c r="C24807">
        <v>0</v>
      </c>
      <c r="D24807" s="26">
        <v>0.67090000000000005</v>
      </c>
      <c r="E24807" s="26">
        <v>0.91690000000000005</v>
      </c>
      <c r="F24807" s="26">
        <v>0.87039999999999995</v>
      </c>
      <c r="G24807" s="26">
        <v>0.98880000000000001</v>
      </c>
      <c r="H24807" s="26">
        <v>0.87139999999999995</v>
      </c>
      <c r="I24807">
        <v>389</v>
      </c>
    </row>
    <row r="24808" spans="1:9" x14ac:dyDescent="0.35">
      <c r="A24808" t="s">
        <v>230</v>
      </c>
      <c r="B24808" t="s">
        <v>248</v>
      </c>
      <c r="C24808">
        <v>7</v>
      </c>
      <c r="D24808" s="26">
        <v>0.1565</v>
      </c>
      <c r="E24808" s="26">
        <v>3.0999999999999999E-3</v>
      </c>
      <c r="F24808" s="26">
        <v>4.3200000000000002E-2</v>
      </c>
      <c r="G24808" s="26">
        <v>1.2999999999999999E-3</v>
      </c>
      <c r="H24808" s="26">
        <v>4.2799999999999998E-2</v>
      </c>
      <c r="I24808">
        <v>389</v>
      </c>
    </row>
    <row r="24809" spans="1:9" x14ac:dyDescent="0.35">
      <c r="A24809" t="s">
        <v>230</v>
      </c>
      <c r="B24809" t="s">
        <v>249</v>
      </c>
      <c r="C24809">
        <v>6</v>
      </c>
      <c r="D24809" s="26">
        <v>1.6E-2</v>
      </c>
      <c r="I24809">
        <v>171</v>
      </c>
    </row>
    <row r="24810" spans="1:9" x14ac:dyDescent="0.35">
      <c r="A24810" t="s">
        <v>230</v>
      </c>
      <c r="B24810" t="s">
        <v>249</v>
      </c>
      <c r="C24810">
        <v>5</v>
      </c>
      <c r="D24810" s="26">
        <v>1.6000000000000001E-3</v>
      </c>
      <c r="E24810" s="26">
        <v>2.7000000000000001E-3</v>
      </c>
      <c r="F24810" s="26">
        <v>2.7000000000000001E-3</v>
      </c>
      <c r="I24810">
        <v>171</v>
      </c>
    </row>
    <row r="24811" spans="1:9" x14ac:dyDescent="0.35">
      <c r="A24811" t="s">
        <v>230</v>
      </c>
      <c r="B24811" t="s">
        <v>249</v>
      </c>
      <c r="C24811">
        <v>4</v>
      </c>
      <c r="D24811" s="26">
        <v>2.3800000000000002E-2</v>
      </c>
      <c r="F24811" s="26">
        <v>1.8700000000000001E-2</v>
      </c>
      <c r="G24811" s="26">
        <v>3.8100000000000002E-2</v>
      </c>
      <c r="H24811" s="26">
        <v>3.5400000000000001E-2</v>
      </c>
      <c r="I24811">
        <v>171</v>
      </c>
    </row>
    <row r="24812" spans="1:9" x14ac:dyDescent="0.35">
      <c r="A24812" t="s">
        <v>230</v>
      </c>
      <c r="B24812" t="s">
        <v>249</v>
      </c>
      <c r="C24812">
        <v>3</v>
      </c>
      <c r="D24812" s="26">
        <v>0.1134</v>
      </c>
      <c r="E24812" s="26">
        <v>1.7600000000000001E-2</v>
      </c>
      <c r="F24812" s="26">
        <v>6.1000000000000004E-3</v>
      </c>
      <c r="G24812" s="26">
        <v>2.8299999999999999E-2</v>
      </c>
      <c r="H24812" s="26">
        <v>2.4899999999999999E-2</v>
      </c>
      <c r="I24812">
        <v>171</v>
      </c>
    </row>
    <row r="24813" spans="1:9" x14ac:dyDescent="0.35">
      <c r="A24813" t="s">
        <v>230</v>
      </c>
      <c r="B24813" t="s">
        <v>249</v>
      </c>
      <c r="C24813">
        <v>2</v>
      </c>
      <c r="D24813" s="26">
        <v>7.2599999999999998E-2</v>
      </c>
      <c r="E24813" s="26">
        <v>8.0699999999999994E-2</v>
      </c>
      <c r="F24813" s="26">
        <v>6.6600000000000006E-2</v>
      </c>
      <c r="G24813" s="26">
        <v>6.0199999999999997E-2</v>
      </c>
      <c r="H24813" s="26">
        <v>3.8100000000000002E-2</v>
      </c>
      <c r="I24813">
        <v>171</v>
      </c>
    </row>
    <row r="24814" spans="1:9" x14ac:dyDescent="0.35">
      <c r="A24814" t="s">
        <v>230</v>
      </c>
      <c r="B24814" t="s">
        <v>249</v>
      </c>
      <c r="C24814">
        <v>1</v>
      </c>
      <c r="D24814" s="26">
        <v>1.8700000000000001E-2</v>
      </c>
      <c r="E24814" s="26">
        <v>6.2E-2</v>
      </c>
      <c r="F24814" s="26">
        <v>1.8700000000000001E-2</v>
      </c>
      <c r="H24814" s="26">
        <v>3.5000000000000001E-3</v>
      </c>
      <c r="I24814">
        <v>171</v>
      </c>
    </row>
    <row r="24815" spans="1:9" x14ac:dyDescent="0.35">
      <c r="A24815" t="s">
        <v>230</v>
      </c>
      <c r="B24815" t="s">
        <v>249</v>
      </c>
      <c r="C24815">
        <v>0</v>
      </c>
      <c r="D24815" s="26">
        <v>0.68500000000000005</v>
      </c>
      <c r="E24815" s="26">
        <v>0.81840000000000002</v>
      </c>
      <c r="F24815" s="26">
        <v>0.87690000000000001</v>
      </c>
      <c r="G24815" s="26">
        <v>0.81240000000000001</v>
      </c>
      <c r="H24815" s="26">
        <v>0.86539999999999995</v>
      </c>
      <c r="I24815">
        <v>171</v>
      </c>
    </row>
    <row r="24816" spans="1:9" x14ac:dyDescent="0.35">
      <c r="A24816" t="s">
        <v>230</v>
      </c>
      <c r="B24816" t="s">
        <v>249</v>
      </c>
      <c r="C24816">
        <v>7</v>
      </c>
      <c r="D24816" s="26">
        <v>6.9000000000000006E-2</v>
      </c>
      <c r="E24816" s="26">
        <v>1.8700000000000001E-2</v>
      </c>
      <c r="F24816" s="26">
        <v>1.04E-2</v>
      </c>
      <c r="G24816" s="26">
        <v>6.0999999999999999E-2</v>
      </c>
      <c r="H24816" s="26">
        <v>3.27E-2</v>
      </c>
      <c r="I24816">
        <v>171</v>
      </c>
    </row>
    <row r="24817" spans="1:9" x14ac:dyDescent="0.35">
      <c r="A24817" t="s">
        <v>231</v>
      </c>
      <c r="B24817" t="s">
        <v>248</v>
      </c>
      <c r="C24817">
        <v>7</v>
      </c>
      <c r="D24817" s="26">
        <v>0.1163</v>
      </c>
      <c r="E24817" s="26">
        <v>7.7999999999999996E-3</v>
      </c>
      <c r="F24817" s="26">
        <v>3.8800000000000001E-2</v>
      </c>
      <c r="G24817" s="26">
        <v>7.7999999999999996E-3</v>
      </c>
      <c r="H24817" s="26">
        <v>7.7499999999999999E-2</v>
      </c>
      <c r="I24817">
        <v>129</v>
      </c>
    </row>
    <row r="24818" spans="1:9" x14ac:dyDescent="0.35">
      <c r="A24818" t="s">
        <v>231</v>
      </c>
      <c r="B24818" t="s">
        <v>248</v>
      </c>
      <c r="C24818">
        <v>5</v>
      </c>
      <c r="D24818" s="26">
        <v>3.8800000000000001E-2</v>
      </c>
      <c r="E24818" s="26">
        <v>7.7999999999999996E-3</v>
      </c>
      <c r="F24818" s="26">
        <v>3.1E-2</v>
      </c>
      <c r="H24818" s="26">
        <v>1.55E-2</v>
      </c>
      <c r="I24818">
        <v>129</v>
      </c>
    </row>
    <row r="24819" spans="1:9" x14ac:dyDescent="0.35">
      <c r="A24819" t="s">
        <v>231</v>
      </c>
      <c r="B24819" t="s">
        <v>248</v>
      </c>
      <c r="C24819">
        <v>4</v>
      </c>
      <c r="D24819" s="26">
        <v>7.7999999999999996E-3</v>
      </c>
      <c r="F24819" s="26">
        <v>7.7999999999999996E-3</v>
      </c>
      <c r="G24819" s="26">
        <v>7.7999999999999996E-3</v>
      </c>
      <c r="H24819" s="26">
        <v>7.7999999999999996E-3</v>
      </c>
      <c r="I24819">
        <v>129</v>
      </c>
    </row>
    <row r="24820" spans="1:9" x14ac:dyDescent="0.35">
      <c r="A24820" t="s">
        <v>231</v>
      </c>
      <c r="B24820" t="s">
        <v>248</v>
      </c>
      <c r="C24820">
        <v>3</v>
      </c>
      <c r="D24820" s="26">
        <v>6.2E-2</v>
      </c>
      <c r="E24820" s="26">
        <v>3.1E-2</v>
      </c>
      <c r="F24820" s="26">
        <v>3.8800000000000001E-2</v>
      </c>
      <c r="H24820" s="26">
        <v>2.3300000000000001E-2</v>
      </c>
      <c r="I24820">
        <v>129</v>
      </c>
    </row>
    <row r="24821" spans="1:9" x14ac:dyDescent="0.35">
      <c r="A24821" t="s">
        <v>231</v>
      </c>
      <c r="B24821" t="s">
        <v>248</v>
      </c>
      <c r="C24821">
        <v>2</v>
      </c>
      <c r="D24821" s="26">
        <v>9.2999999999999999E-2</v>
      </c>
      <c r="E24821" s="26">
        <v>1.55E-2</v>
      </c>
      <c r="F24821" s="26">
        <v>3.8800000000000001E-2</v>
      </c>
      <c r="H24821" s="26">
        <v>2.3300000000000001E-2</v>
      </c>
      <c r="I24821">
        <v>129</v>
      </c>
    </row>
    <row r="24822" spans="1:9" x14ac:dyDescent="0.35">
      <c r="A24822" t="s">
        <v>231</v>
      </c>
      <c r="B24822" t="s">
        <v>248</v>
      </c>
      <c r="C24822">
        <v>1</v>
      </c>
      <c r="D24822" s="26">
        <v>4.65E-2</v>
      </c>
      <c r="E24822" s="26">
        <v>3.1E-2</v>
      </c>
      <c r="F24822" s="26">
        <v>2.3300000000000001E-2</v>
      </c>
      <c r="H24822" s="26">
        <v>4.65E-2</v>
      </c>
      <c r="I24822">
        <v>129</v>
      </c>
    </row>
    <row r="24823" spans="1:9" x14ac:dyDescent="0.35">
      <c r="A24823" t="s">
        <v>231</v>
      </c>
      <c r="B24823" t="s">
        <v>248</v>
      </c>
      <c r="C24823">
        <v>0</v>
      </c>
      <c r="D24823" s="26">
        <v>0.63570000000000004</v>
      </c>
      <c r="E24823" s="26">
        <v>0.8992</v>
      </c>
      <c r="F24823" s="26">
        <v>0.82169999999999999</v>
      </c>
      <c r="G24823" s="26">
        <v>0.98450000000000004</v>
      </c>
      <c r="H24823" s="26">
        <v>0.80620000000000003</v>
      </c>
      <c r="I24823">
        <v>129</v>
      </c>
    </row>
    <row r="24824" spans="1:9" x14ac:dyDescent="0.35">
      <c r="A24824" t="s">
        <v>231</v>
      </c>
      <c r="B24824" t="s">
        <v>249</v>
      </c>
      <c r="C24824">
        <v>7</v>
      </c>
      <c r="D24824" s="26">
        <v>8.5699999999999998E-2</v>
      </c>
      <c r="F24824" s="26">
        <v>5.7099999999999998E-2</v>
      </c>
      <c r="G24824" s="26">
        <v>5.7099999999999998E-2</v>
      </c>
      <c r="H24824" s="26">
        <v>2.86E-2</v>
      </c>
      <c r="I24824">
        <v>35</v>
      </c>
    </row>
    <row r="24825" spans="1:9" x14ac:dyDescent="0.35">
      <c r="A24825" t="s">
        <v>231</v>
      </c>
      <c r="B24825" t="s">
        <v>249</v>
      </c>
      <c r="C24825">
        <v>4</v>
      </c>
      <c r="D24825" s="26">
        <v>8.5699999999999998E-2</v>
      </c>
      <c r="F24825" s="26">
        <v>8.5699999999999998E-2</v>
      </c>
      <c r="G24825" s="26">
        <v>8.5699999999999998E-2</v>
      </c>
      <c r="I24825">
        <v>35</v>
      </c>
    </row>
    <row r="24826" spans="1:9" x14ac:dyDescent="0.35">
      <c r="A24826" t="s">
        <v>231</v>
      </c>
      <c r="B24826" t="s">
        <v>249</v>
      </c>
      <c r="C24826">
        <v>3</v>
      </c>
      <c r="D24826" s="26">
        <v>8.5699999999999998E-2</v>
      </c>
      <c r="E24826" s="26">
        <v>8.5699999999999998E-2</v>
      </c>
      <c r="G24826" s="26">
        <v>2.86E-2</v>
      </c>
      <c r="H24826" s="26">
        <v>2.86E-2</v>
      </c>
      <c r="I24826">
        <v>35</v>
      </c>
    </row>
    <row r="24827" spans="1:9" x14ac:dyDescent="0.35">
      <c r="A24827" t="s">
        <v>231</v>
      </c>
      <c r="B24827" t="s">
        <v>249</v>
      </c>
      <c r="C24827">
        <v>2</v>
      </c>
      <c r="D24827" s="26">
        <v>8.5699999999999998E-2</v>
      </c>
      <c r="E24827" s="26">
        <v>5.7099999999999998E-2</v>
      </c>
      <c r="F24827" s="26">
        <v>2.86E-2</v>
      </c>
      <c r="G24827" s="26">
        <v>2.86E-2</v>
      </c>
      <c r="H24827" s="26">
        <v>5.7099999999999998E-2</v>
      </c>
      <c r="I24827">
        <v>35</v>
      </c>
    </row>
    <row r="24828" spans="1:9" x14ac:dyDescent="0.35">
      <c r="A24828" t="s">
        <v>231</v>
      </c>
      <c r="B24828" t="s">
        <v>249</v>
      </c>
      <c r="C24828">
        <v>1</v>
      </c>
      <c r="D24828" s="26">
        <v>2.86E-2</v>
      </c>
      <c r="E24828" s="26">
        <v>5.7099999999999998E-2</v>
      </c>
      <c r="G24828" s="26">
        <v>2.86E-2</v>
      </c>
      <c r="I24828">
        <v>35</v>
      </c>
    </row>
    <row r="24829" spans="1:9" x14ac:dyDescent="0.35">
      <c r="A24829" t="s">
        <v>231</v>
      </c>
      <c r="B24829" t="s">
        <v>249</v>
      </c>
      <c r="C24829">
        <v>0</v>
      </c>
      <c r="D24829" s="26">
        <v>0.57140000000000002</v>
      </c>
      <c r="E24829" s="26">
        <v>0.8</v>
      </c>
      <c r="F24829" s="26">
        <v>0.8286</v>
      </c>
      <c r="G24829" s="26">
        <v>0.7429</v>
      </c>
      <c r="H24829" s="26">
        <v>0.8286</v>
      </c>
      <c r="I24829">
        <v>35</v>
      </c>
    </row>
    <row r="24830" spans="1:9" x14ac:dyDescent="0.35">
      <c r="A24830" t="s">
        <v>231</v>
      </c>
      <c r="B24830" t="s">
        <v>249</v>
      </c>
      <c r="C24830">
        <v>5</v>
      </c>
      <c r="D24830" s="26">
        <v>5.7099999999999998E-2</v>
      </c>
      <c r="H24830" s="26">
        <v>2.86E-2</v>
      </c>
      <c r="I24830">
        <v>35</v>
      </c>
    </row>
    <row r="24831" spans="1:9" x14ac:dyDescent="0.35">
      <c r="A24831" t="s">
        <v>232</v>
      </c>
      <c r="B24831" t="s">
        <v>232</v>
      </c>
      <c r="C24831">
        <v>6</v>
      </c>
      <c r="D24831" s="26">
        <v>2.8E-3</v>
      </c>
      <c r="E24831" s="26">
        <v>1.6999999999999999E-3</v>
      </c>
      <c r="F24831" s="26">
        <v>4.0000000000000002E-4</v>
      </c>
      <c r="G24831" s="26">
        <v>2.3999999999999998E-3</v>
      </c>
      <c r="H24831" s="26">
        <v>1.8E-3</v>
      </c>
      <c r="I24831">
        <v>2813</v>
      </c>
    </row>
    <row r="24832" spans="1:9" x14ac:dyDescent="0.35">
      <c r="A24832" t="s">
        <v>232</v>
      </c>
      <c r="B24832" t="s">
        <v>232</v>
      </c>
      <c r="C24832">
        <v>0</v>
      </c>
      <c r="D24832" s="26">
        <v>0.66559999999999997</v>
      </c>
      <c r="E24832" s="26">
        <v>0.89839999999999998</v>
      </c>
      <c r="F24832" s="26">
        <v>0.85399999999999998</v>
      </c>
      <c r="G24832" s="26">
        <v>0.94440000000000002</v>
      </c>
      <c r="H24832" s="26">
        <v>0.86960000000000004</v>
      </c>
      <c r="I24832">
        <v>2813</v>
      </c>
    </row>
    <row r="24833" spans="1:9" x14ac:dyDescent="0.35">
      <c r="A24833" t="s">
        <v>232</v>
      </c>
      <c r="B24833" t="s">
        <v>232</v>
      </c>
      <c r="C24833">
        <v>1</v>
      </c>
      <c r="D24833" s="26">
        <v>2.9700000000000001E-2</v>
      </c>
      <c r="E24833" s="26">
        <v>4.2799999999999998E-2</v>
      </c>
      <c r="F24833" s="26">
        <v>1.67E-2</v>
      </c>
      <c r="G24833" s="26">
        <v>5.1000000000000004E-3</v>
      </c>
      <c r="H24833" s="26">
        <v>1.7999999999999999E-2</v>
      </c>
      <c r="I24833">
        <v>2813</v>
      </c>
    </row>
    <row r="24834" spans="1:9" x14ac:dyDescent="0.35">
      <c r="A24834" t="s">
        <v>232</v>
      </c>
      <c r="B24834" t="s">
        <v>232</v>
      </c>
      <c r="C24834">
        <v>2</v>
      </c>
      <c r="D24834" s="26">
        <v>8.6699999999999999E-2</v>
      </c>
      <c r="E24834" s="26">
        <v>2.4799999999999999E-2</v>
      </c>
      <c r="F24834" s="26">
        <v>3.5400000000000001E-2</v>
      </c>
      <c r="G24834" s="26">
        <v>1.1900000000000001E-2</v>
      </c>
      <c r="H24834" s="26">
        <v>2.6700000000000002E-2</v>
      </c>
      <c r="I24834">
        <v>2813</v>
      </c>
    </row>
    <row r="24835" spans="1:9" x14ac:dyDescent="0.35">
      <c r="A24835" t="s">
        <v>232</v>
      </c>
      <c r="B24835" t="s">
        <v>232</v>
      </c>
      <c r="C24835">
        <v>3</v>
      </c>
      <c r="D24835" s="26">
        <v>5.8700000000000002E-2</v>
      </c>
      <c r="E24835" s="26">
        <v>1.9300000000000001E-2</v>
      </c>
      <c r="F24835" s="26">
        <v>2.5999999999999999E-2</v>
      </c>
      <c r="G24835" s="26">
        <v>1.0200000000000001E-2</v>
      </c>
      <c r="H24835" s="26">
        <v>2.1299999999999999E-2</v>
      </c>
      <c r="I24835">
        <v>2813</v>
      </c>
    </row>
    <row r="24836" spans="1:9" x14ac:dyDescent="0.35">
      <c r="A24836" t="s">
        <v>232</v>
      </c>
      <c r="B24836" t="s">
        <v>232</v>
      </c>
      <c r="C24836">
        <v>4</v>
      </c>
      <c r="D24836" s="26">
        <v>2.4E-2</v>
      </c>
      <c r="E24836" s="26">
        <v>1.6000000000000001E-3</v>
      </c>
      <c r="F24836" s="26">
        <v>1.38E-2</v>
      </c>
      <c r="G24836" s="26">
        <v>1.01E-2</v>
      </c>
      <c r="H24836" s="26">
        <v>1.0200000000000001E-2</v>
      </c>
      <c r="I24836">
        <v>2813</v>
      </c>
    </row>
    <row r="24837" spans="1:9" x14ac:dyDescent="0.35">
      <c r="A24837" t="s">
        <v>232</v>
      </c>
      <c r="B24837" t="s">
        <v>232</v>
      </c>
      <c r="C24837">
        <v>5</v>
      </c>
      <c r="D24837" s="26">
        <v>2.1700000000000001E-2</v>
      </c>
      <c r="E24837" s="26">
        <v>2.8E-3</v>
      </c>
      <c r="F24837" s="26">
        <v>8.8000000000000005E-3</v>
      </c>
      <c r="G24837" s="26">
        <v>8.9999999999999998E-4</v>
      </c>
      <c r="H24837" s="26">
        <v>7.9000000000000008E-3</v>
      </c>
      <c r="I24837">
        <v>2813</v>
      </c>
    </row>
    <row r="24838" spans="1:9" x14ac:dyDescent="0.35">
      <c r="A24838" t="s">
        <v>232</v>
      </c>
      <c r="B24838" t="s">
        <v>232</v>
      </c>
      <c r="C24838">
        <v>7</v>
      </c>
      <c r="D24838" s="26">
        <v>0.1108</v>
      </c>
      <c r="E24838" s="26">
        <v>8.6E-3</v>
      </c>
      <c r="F24838" s="26">
        <v>4.5100000000000001E-2</v>
      </c>
      <c r="G24838" s="26">
        <v>1.4999999999999999E-2</v>
      </c>
      <c r="H24838" s="26">
        <v>4.4600000000000001E-2</v>
      </c>
      <c r="I24838">
        <v>2813</v>
      </c>
    </row>
    <row r="24840" spans="1:9" x14ac:dyDescent="0.35">
      <c r="A24840" s="1" t="s">
        <v>2276</v>
      </c>
    </row>
    <row r="24841" spans="1:9" x14ac:dyDescent="0.35">
      <c r="A24841" t="s">
        <v>219</v>
      </c>
      <c r="B24841" t="s">
        <v>305</v>
      </c>
      <c r="C24841" t="s">
        <v>1270</v>
      </c>
      <c r="D24841" t="s">
        <v>2264</v>
      </c>
      <c r="E24841" t="s">
        <v>2265</v>
      </c>
      <c r="F24841" t="s">
        <v>2266</v>
      </c>
      <c r="G24841" t="s">
        <v>2267</v>
      </c>
      <c r="H24841" t="s">
        <v>2268</v>
      </c>
      <c r="I24841" t="s">
        <v>964</v>
      </c>
    </row>
    <row r="24842" spans="1:9" x14ac:dyDescent="0.35">
      <c r="A24842" s="27" t="s">
        <v>227</v>
      </c>
      <c r="B24842" s="27" t="s">
        <v>263</v>
      </c>
      <c r="C24842" s="29">
        <v>0</v>
      </c>
      <c r="D24842" s="28">
        <v>1</v>
      </c>
      <c r="E24842" s="28">
        <v>1</v>
      </c>
      <c r="F24842" s="28">
        <v>1</v>
      </c>
      <c r="G24842" s="28">
        <v>1</v>
      </c>
      <c r="H24842" s="28">
        <v>1</v>
      </c>
      <c r="I24842" s="29">
        <v>3</v>
      </c>
    </row>
    <row r="24843" spans="1:9" x14ac:dyDescent="0.35">
      <c r="A24843" s="27" t="s">
        <v>227</v>
      </c>
      <c r="B24843" s="27" t="s">
        <v>262</v>
      </c>
      <c r="C24843" s="29">
        <v>7</v>
      </c>
      <c r="D24843" s="28">
        <v>0.33329999999999999</v>
      </c>
      <c r="E24843" s="29"/>
      <c r="F24843" s="29"/>
      <c r="G24843" s="29"/>
      <c r="H24843" s="29"/>
      <c r="I24843" s="29">
        <v>3</v>
      </c>
    </row>
    <row r="24844" spans="1:9" x14ac:dyDescent="0.35">
      <c r="A24844" s="27" t="s">
        <v>227</v>
      </c>
      <c r="B24844" s="27" t="s">
        <v>262</v>
      </c>
      <c r="C24844" s="29">
        <v>0</v>
      </c>
      <c r="D24844" s="28">
        <v>0.66669999999999996</v>
      </c>
      <c r="E24844" s="28">
        <v>0.66669999999999996</v>
      </c>
      <c r="F24844" s="28">
        <v>1</v>
      </c>
      <c r="G24844" s="28">
        <v>1</v>
      </c>
      <c r="H24844" s="28">
        <v>1</v>
      </c>
      <c r="I24844" s="29">
        <v>3</v>
      </c>
    </row>
    <row r="24845" spans="1:9" x14ac:dyDescent="0.35">
      <c r="A24845" t="s">
        <v>227</v>
      </c>
      <c r="B24845" t="s">
        <v>260</v>
      </c>
      <c r="C24845">
        <v>7</v>
      </c>
      <c r="D24845" s="26">
        <v>9.8400000000000001E-2</v>
      </c>
      <c r="E24845" s="26">
        <v>8.2000000000000007E-3</v>
      </c>
      <c r="F24845" s="26">
        <v>6.5600000000000006E-2</v>
      </c>
      <c r="G24845" s="26">
        <v>8.2000000000000007E-3</v>
      </c>
      <c r="H24845" s="26">
        <v>4.1000000000000002E-2</v>
      </c>
      <c r="I24845">
        <v>122</v>
      </c>
    </row>
    <row r="24846" spans="1:9" x14ac:dyDescent="0.35">
      <c r="A24846" t="s">
        <v>227</v>
      </c>
      <c r="B24846" t="s">
        <v>260</v>
      </c>
      <c r="C24846">
        <v>3</v>
      </c>
      <c r="D24846" s="26">
        <v>0.1066</v>
      </c>
      <c r="F24846" s="26">
        <v>2.46E-2</v>
      </c>
      <c r="G24846" s="26">
        <v>8.2000000000000007E-3</v>
      </c>
      <c r="H24846" s="26">
        <v>8.2000000000000007E-3</v>
      </c>
      <c r="I24846">
        <v>122</v>
      </c>
    </row>
    <row r="24847" spans="1:9" x14ac:dyDescent="0.35">
      <c r="A24847" t="s">
        <v>227</v>
      </c>
      <c r="B24847" t="s">
        <v>260</v>
      </c>
      <c r="C24847">
        <v>2</v>
      </c>
      <c r="D24847" s="26">
        <v>9.0200000000000002E-2</v>
      </c>
      <c r="E24847" s="26">
        <v>3.2800000000000003E-2</v>
      </c>
      <c r="F24847" s="26">
        <v>1.6400000000000001E-2</v>
      </c>
      <c r="G24847" s="26">
        <v>1.6400000000000001E-2</v>
      </c>
      <c r="H24847" s="26">
        <v>1.6400000000000001E-2</v>
      </c>
      <c r="I24847">
        <v>122</v>
      </c>
    </row>
    <row r="24848" spans="1:9" x14ac:dyDescent="0.35">
      <c r="A24848" t="s">
        <v>227</v>
      </c>
      <c r="B24848" t="s">
        <v>260</v>
      </c>
      <c r="C24848">
        <v>4</v>
      </c>
      <c r="D24848" s="26">
        <v>8.2000000000000007E-3</v>
      </c>
      <c r="F24848" s="26">
        <v>1.6400000000000001E-2</v>
      </c>
      <c r="G24848" s="26">
        <v>1.6400000000000001E-2</v>
      </c>
      <c r="H24848" s="26">
        <v>1.6400000000000001E-2</v>
      </c>
      <c r="I24848">
        <v>122</v>
      </c>
    </row>
    <row r="24849" spans="1:9" x14ac:dyDescent="0.35">
      <c r="A24849" t="s">
        <v>227</v>
      </c>
      <c r="B24849" t="s">
        <v>260</v>
      </c>
      <c r="C24849">
        <v>0</v>
      </c>
      <c r="D24849" s="26">
        <v>0.66390000000000005</v>
      </c>
      <c r="E24849" s="26">
        <v>0.91800000000000004</v>
      </c>
      <c r="F24849" s="26">
        <v>0.86070000000000002</v>
      </c>
      <c r="G24849" s="26">
        <v>0.95079999999999998</v>
      </c>
      <c r="H24849" s="26">
        <v>0.90159999999999996</v>
      </c>
      <c r="I24849">
        <v>122</v>
      </c>
    </row>
    <row r="24850" spans="1:9" x14ac:dyDescent="0.35">
      <c r="A24850" t="s">
        <v>227</v>
      </c>
      <c r="B24850" t="s">
        <v>261</v>
      </c>
      <c r="C24850">
        <v>7</v>
      </c>
      <c r="D24850" s="26">
        <v>0.1212</v>
      </c>
      <c r="F24850" s="26">
        <v>3.0300000000000001E-2</v>
      </c>
      <c r="I24850">
        <v>33</v>
      </c>
    </row>
    <row r="24851" spans="1:9" x14ac:dyDescent="0.35">
      <c r="A24851" t="s">
        <v>227</v>
      </c>
      <c r="B24851" t="s">
        <v>261</v>
      </c>
      <c r="C24851">
        <v>2</v>
      </c>
      <c r="D24851" s="26">
        <v>9.0899999999999995E-2</v>
      </c>
      <c r="E24851" s="26">
        <v>6.0600000000000001E-2</v>
      </c>
      <c r="I24851">
        <v>33</v>
      </c>
    </row>
    <row r="24852" spans="1:9" x14ac:dyDescent="0.35">
      <c r="A24852" t="s">
        <v>227</v>
      </c>
      <c r="B24852" t="s">
        <v>261</v>
      </c>
      <c r="C24852">
        <v>1</v>
      </c>
      <c r="D24852" s="26">
        <v>3.0300000000000001E-2</v>
      </c>
      <c r="E24852" s="26">
        <v>3.0300000000000001E-2</v>
      </c>
      <c r="F24852" s="26">
        <v>6.0600000000000001E-2</v>
      </c>
      <c r="G24852" s="26">
        <v>3.0300000000000001E-2</v>
      </c>
      <c r="I24852">
        <v>33</v>
      </c>
    </row>
    <row r="24853" spans="1:9" x14ac:dyDescent="0.35">
      <c r="A24853" t="s">
        <v>227</v>
      </c>
      <c r="B24853" t="s">
        <v>261</v>
      </c>
      <c r="C24853">
        <v>0</v>
      </c>
      <c r="D24853" s="26">
        <v>0.75760000000000005</v>
      </c>
      <c r="E24853" s="26">
        <v>0.90910000000000002</v>
      </c>
      <c r="F24853" s="26">
        <v>0.90910000000000002</v>
      </c>
      <c r="G24853" s="26">
        <v>0.96970000000000001</v>
      </c>
      <c r="H24853" s="26">
        <v>0.93940000000000001</v>
      </c>
      <c r="I24853">
        <v>33</v>
      </c>
    </row>
    <row r="24854" spans="1:9" x14ac:dyDescent="0.35">
      <c r="A24854" t="s">
        <v>227</v>
      </c>
      <c r="B24854" t="s">
        <v>260</v>
      </c>
      <c r="C24854">
        <v>1</v>
      </c>
      <c r="D24854" s="26">
        <v>3.2800000000000003E-2</v>
      </c>
      <c r="E24854" s="26">
        <v>4.1000000000000002E-2</v>
      </c>
      <c r="F24854" s="26">
        <v>1.6400000000000001E-2</v>
      </c>
      <c r="H24854" s="26">
        <v>8.2000000000000007E-3</v>
      </c>
      <c r="I24854">
        <v>122</v>
      </c>
    </row>
    <row r="24855" spans="1:9" x14ac:dyDescent="0.35">
      <c r="A24855" s="27" t="s">
        <v>228</v>
      </c>
      <c r="B24855" s="27" t="s">
        <v>236</v>
      </c>
      <c r="C24855" s="29">
        <v>7</v>
      </c>
      <c r="D24855" s="28">
        <v>0.66769999999999996</v>
      </c>
      <c r="E24855" s="29"/>
      <c r="F24855" s="28">
        <v>0.13370000000000001</v>
      </c>
      <c r="G24855" s="29"/>
      <c r="H24855" s="28">
        <v>0.17269999999999999</v>
      </c>
      <c r="I24855" s="29">
        <v>6</v>
      </c>
    </row>
    <row r="24856" spans="1:9" x14ac:dyDescent="0.35">
      <c r="A24856" t="s">
        <v>228</v>
      </c>
      <c r="B24856" t="s">
        <v>260</v>
      </c>
      <c r="C24856">
        <v>5</v>
      </c>
      <c r="D24856" s="26">
        <v>2.24E-2</v>
      </c>
      <c r="F24856" s="26">
        <v>1.1000000000000001E-3</v>
      </c>
      <c r="G24856" s="26">
        <v>1.6000000000000001E-3</v>
      </c>
      <c r="H24856" s="26">
        <v>4.7000000000000002E-3</v>
      </c>
      <c r="I24856">
        <v>609</v>
      </c>
    </row>
    <row r="24857" spans="1:9" x14ac:dyDescent="0.35">
      <c r="A24857" t="s">
        <v>228</v>
      </c>
      <c r="B24857" t="s">
        <v>260</v>
      </c>
      <c r="C24857">
        <v>6</v>
      </c>
      <c r="D24857" s="26">
        <v>2.3999999999999998E-3</v>
      </c>
      <c r="F24857" s="26">
        <v>1.9E-3</v>
      </c>
      <c r="I24857">
        <v>609</v>
      </c>
    </row>
    <row r="24858" spans="1:9" x14ac:dyDescent="0.35">
      <c r="A24858" t="s">
        <v>228</v>
      </c>
      <c r="B24858" t="s">
        <v>260</v>
      </c>
      <c r="C24858">
        <v>7</v>
      </c>
      <c r="D24858" s="26">
        <v>0.10290000000000001</v>
      </c>
      <c r="E24858" s="26">
        <v>1.12E-2</v>
      </c>
      <c r="F24858" s="26">
        <v>4.2299999999999997E-2</v>
      </c>
      <c r="G24858" s="26">
        <v>1.0200000000000001E-2</v>
      </c>
      <c r="H24858" s="26">
        <v>4.02E-2</v>
      </c>
      <c r="I24858">
        <v>609</v>
      </c>
    </row>
    <row r="24859" spans="1:9" x14ac:dyDescent="0.35">
      <c r="A24859" s="27" t="s">
        <v>228</v>
      </c>
      <c r="B24859" s="27" t="s">
        <v>236</v>
      </c>
      <c r="C24859" s="29">
        <v>0</v>
      </c>
      <c r="D24859" s="28">
        <v>0.29330000000000001</v>
      </c>
      <c r="E24859" s="28">
        <v>0.96099999999999997</v>
      </c>
      <c r="F24859" s="28">
        <v>0.86629999999999996</v>
      </c>
      <c r="G24859" s="28">
        <v>0.96099999999999997</v>
      </c>
      <c r="H24859" s="28">
        <v>0.76090000000000002</v>
      </c>
      <c r="I24859" s="29">
        <v>6</v>
      </c>
    </row>
    <row r="24860" spans="1:9" x14ac:dyDescent="0.35">
      <c r="A24860" s="27" t="s">
        <v>228</v>
      </c>
      <c r="B24860" s="27" t="s">
        <v>236</v>
      </c>
      <c r="C24860" s="29">
        <v>5</v>
      </c>
      <c r="D24860" s="28">
        <v>3.9E-2</v>
      </c>
      <c r="E24860" s="28">
        <v>3.9E-2</v>
      </c>
      <c r="F24860" s="29"/>
      <c r="G24860" s="28">
        <v>3.9E-2</v>
      </c>
      <c r="H24860" s="29"/>
      <c r="I24860" s="29">
        <v>6</v>
      </c>
    </row>
    <row r="24861" spans="1:9" x14ac:dyDescent="0.35">
      <c r="A24861" t="s">
        <v>228</v>
      </c>
      <c r="B24861" t="s">
        <v>262</v>
      </c>
      <c r="C24861">
        <v>0</v>
      </c>
      <c r="D24861" s="26">
        <v>0.64039999999999997</v>
      </c>
      <c r="E24861" s="26">
        <v>0.93789999999999996</v>
      </c>
      <c r="F24861" s="26">
        <v>0.86380000000000001</v>
      </c>
      <c r="G24861" s="26">
        <v>0.91690000000000005</v>
      </c>
      <c r="H24861" s="26">
        <v>0.93030000000000002</v>
      </c>
      <c r="I24861">
        <v>201</v>
      </c>
    </row>
    <row r="24862" spans="1:9" x14ac:dyDescent="0.35">
      <c r="A24862" t="s">
        <v>228</v>
      </c>
      <c r="B24862" t="s">
        <v>262</v>
      </c>
      <c r="C24862">
        <v>6</v>
      </c>
      <c r="D24862" s="26">
        <v>2.5000000000000001E-3</v>
      </c>
      <c r="I24862">
        <v>201</v>
      </c>
    </row>
    <row r="24863" spans="1:9" x14ac:dyDescent="0.35">
      <c r="A24863" t="s">
        <v>228</v>
      </c>
      <c r="B24863" t="s">
        <v>262</v>
      </c>
      <c r="C24863">
        <v>2</v>
      </c>
      <c r="D24863" s="26">
        <v>5.5899999999999998E-2</v>
      </c>
      <c r="E24863" s="26">
        <v>2.18E-2</v>
      </c>
      <c r="F24863" s="26">
        <v>3.09E-2</v>
      </c>
      <c r="G24863" s="26">
        <v>3.95E-2</v>
      </c>
      <c r="H24863" s="26">
        <v>6.4999999999999997E-3</v>
      </c>
      <c r="I24863">
        <v>201</v>
      </c>
    </row>
    <row r="24864" spans="1:9" x14ac:dyDescent="0.35">
      <c r="A24864" t="s">
        <v>228</v>
      </c>
      <c r="B24864" t="s">
        <v>262</v>
      </c>
      <c r="C24864">
        <v>3</v>
      </c>
      <c r="D24864" s="26">
        <v>7.4700000000000003E-2</v>
      </c>
      <c r="E24864" s="26">
        <v>4.4000000000000003E-3</v>
      </c>
      <c r="F24864" s="26">
        <v>1.8599999999999998E-2</v>
      </c>
      <c r="G24864" s="26">
        <v>5.4000000000000003E-3</v>
      </c>
      <c r="H24864" s="26">
        <v>1.35E-2</v>
      </c>
      <c r="I24864">
        <v>201</v>
      </c>
    </row>
    <row r="24865" spans="1:9" x14ac:dyDescent="0.35">
      <c r="A24865" t="s">
        <v>228</v>
      </c>
      <c r="B24865" t="s">
        <v>262</v>
      </c>
      <c r="C24865">
        <v>4</v>
      </c>
      <c r="D24865" s="26">
        <v>1.4999999999999999E-2</v>
      </c>
      <c r="E24865" s="26">
        <v>1.5E-3</v>
      </c>
      <c r="F24865" s="26">
        <v>2.2000000000000001E-3</v>
      </c>
      <c r="H24865" s="26">
        <v>7.0000000000000001E-3</v>
      </c>
      <c r="I24865">
        <v>201</v>
      </c>
    </row>
    <row r="24866" spans="1:9" x14ac:dyDescent="0.35">
      <c r="A24866" t="s">
        <v>228</v>
      </c>
      <c r="B24866" t="s">
        <v>262</v>
      </c>
      <c r="C24866">
        <v>5</v>
      </c>
      <c r="D24866" s="26">
        <v>7.6E-3</v>
      </c>
      <c r="F24866" s="26">
        <v>8.5000000000000006E-3</v>
      </c>
      <c r="G24866" s="26">
        <v>3.8999999999999998E-3</v>
      </c>
      <c r="H24866" s="26">
        <v>7.0000000000000001E-3</v>
      </c>
      <c r="I24866">
        <v>201</v>
      </c>
    </row>
    <row r="24867" spans="1:9" x14ac:dyDescent="0.35">
      <c r="A24867" t="s">
        <v>228</v>
      </c>
      <c r="B24867" t="s">
        <v>260</v>
      </c>
      <c r="C24867">
        <v>4</v>
      </c>
      <c r="D24867" s="26">
        <v>2.2499999999999999E-2</v>
      </c>
      <c r="E24867" s="26">
        <v>9.1999999999999998E-3</v>
      </c>
      <c r="F24867" s="26">
        <v>9.1000000000000004E-3</v>
      </c>
      <c r="G24867" s="26">
        <v>2E-3</v>
      </c>
      <c r="H24867" s="26">
        <v>6.1000000000000004E-3</v>
      </c>
      <c r="I24867">
        <v>609</v>
      </c>
    </row>
    <row r="24868" spans="1:9" x14ac:dyDescent="0.35">
      <c r="A24868" t="s">
        <v>228</v>
      </c>
      <c r="B24868" t="s">
        <v>262</v>
      </c>
      <c r="C24868">
        <v>7</v>
      </c>
      <c r="D24868" s="26">
        <v>0.1608</v>
      </c>
      <c r="E24868" s="26">
        <v>1.55E-2</v>
      </c>
      <c r="F24868" s="26">
        <v>4.5100000000000001E-2</v>
      </c>
      <c r="G24868" s="26">
        <v>1.43E-2</v>
      </c>
      <c r="H24868" s="26">
        <v>3.2099999999999997E-2</v>
      </c>
      <c r="I24868">
        <v>201</v>
      </c>
    </row>
    <row r="24869" spans="1:9" x14ac:dyDescent="0.35">
      <c r="A24869" t="s">
        <v>228</v>
      </c>
      <c r="B24869" t="s">
        <v>262</v>
      </c>
      <c r="C24869">
        <v>1</v>
      </c>
      <c r="D24869" s="26">
        <v>4.3200000000000002E-2</v>
      </c>
      <c r="E24869" s="26">
        <v>1.9E-2</v>
      </c>
      <c r="F24869" s="26">
        <v>3.1E-2</v>
      </c>
      <c r="G24869" s="26">
        <v>0.02</v>
      </c>
      <c r="H24869" s="26">
        <v>3.5999999999999999E-3</v>
      </c>
      <c r="I24869">
        <v>201</v>
      </c>
    </row>
    <row r="24870" spans="1:9" x14ac:dyDescent="0.35">
      <c r="A24870" t="s">
        <v>228</v>
      </c>
      <c r="B24870" t="s">
        <v>260</v>
      </c>
      <c r="C24870">
        <v>3</v>
      </c>
      <c r="D24870" s="26">
        <v>4.6699999999999998E-2</v>
      </c>
      <c r="E24870" s="26">
        <v>1.43E-2</v>
      </c>
      <c r="F24870" s="26">
        <v>3.4599999999999999E-2</v>
      </c>
      <c r="G24870" s="26">
        <v>1.7500000000000002E-2</v>
      </c>
      <c r="H24870" s="26">
        <v>2.1299999999999999E-2</v>
      </c>
      <c r="I24870">
        <v>609</v>
      </c>
    </row>
    <row r="24871" spans="1:9" x14ac:dyDescent="0.35">
      <c r="A24871" t="s">
        <v>228</v>
      </c>
      <c r="B24871" t="s">
        <v>260</v>
      </c>
      <c r="C24871">
        <v>2</v>
      </c>
      <c r="D24871" s="26">
        <v>8.6699999999999999E-2</v>
      </c>
      <c r="E24871" s="26">
        <v>1.9699999999999999E-2</v>
      </c>
      <c r="F24871" s="26">
        <v>2.4299999999999999E-2</v>
      </c>
      <c r="G24871" s="26">
        <v>6.7999999999999996E-3</v>
      </c>
      <c r="H24871" s="26">
        <v>2.64E-2</v>
      </c>
      <c r="I24871">
        <v>609</v>
      </c>
    </row>
    <row r="24872" spans="1:9" x14ac:dyDescent="0.35">
      <c r="A24872" t="s">
        <v>228</v>
      </c>
      <c r="B24872" t="s">
        <v>260</v>
      </c>
      <c r="C24872">
        <v>1</v>
      </c>
      <c r="D24872" s="26">
        <v>2.64E-2</v>
      </c>
      <c r="E24872" s="26">
        <v>3.73E-2</v>
      </c>
      <c r="F24872" s="26">
        <v>1.5900000000000001E-2</v>
      </c>
      <c r="G24872" s="26">
        <v>6.3E-3</v>
      </c>
      <c r="H24872" s="26">
        <v>2.3599999999999999E-2</v>
      </c>
      <c r="I24872">
        <v>609</v>
      </c>
    </row>
    <row r="24873" spans="1:9" x14ac:dyDescent="0.35">
      <c r="A24873" s="27" t="s">
        <v>228</v>
      </c>
      <c r="B24873" s="27" t="s">
        <v>263</v>
      </c>
      <c r="C24873" s="29">
        <v>0</v>
      </c>
      <c r="D24873" s="28">
        <v>0.74490000000000001</v>
      </c>
      <c r="E24873" s="28">
        <v>0.85950000000000004</v>
      </c>
      <c r="F24873" s="28">
        <v>0.96489999999999998</v>
      </c>
      <c r="G24873" s="28">
        <v>0.97789999999999999</v>
      </c>
      <c r="H24873" s="28">
        <v>0.96489999999999998</v>
      </c>
      <c r="I24873" s="29">
        <v>25</v>
      </c>
    </row>
    <row r="24874" spans="1:9" x14ac:dyDescent="0.35">
      <c r="A24874" s="27" t="s">
        <v>228</v>
      </c>
      <c r="B24874" s="27" t="s">
        <v>263</v>
      </c>
      <c r="C24874" s="29">
        <v>2</v>
      </c>
      <c r="D24874" s="28">
        <v>4.4299999999999999E-2</v>
      </c>
      <c r="E24874" s="28">
        <v>4.4499999999999998E-2</v>
      </c>
      <c r="F24874" s="28">
        <v>2.2100000000000002E-2</v>
      </c>
      <c r="G24874" s="28">
        <v>2.2100000000000002E-2</v>
      </c>
      <c r="H24874" s="28">
        <v>2.2100000000000002E-2</v>
      </c>
      <c r="I24874" s="29">
        <v>25</v>
      </c>
    </row>
    <row r="24875" spans="1:9" x14ac:dyDescent="0.35">
      <c r="A24875" s="27" t="s">
        <v>228</v>
      </c>
      <c r="B24875" s="27" t="s">
        <v>263</v>
      </c>
      <c r="C24875" s="29">
        <v>3</v>
      </c>
      <c r="D24875" s="28">
        <v>7.6700000000000004E-2</v>
      </c>
      <c r="E24875" s="28">
        <v>4.4499999999999998E-2</v>
      </c>
      <c r="F24875" s="29"/>
      <c r="G24875" s="29"/>
      <c r="H24875" s="29"/>
      <c r="I24875" s="29">
        <v>25</v>
      </c>
    </row>
    <row r="24876" spans="1:9" x14ac:dyDescent="0.35">
      <c r="A24876" s="27" t="s">
        <v>228</v>
      </c>
      <c r="B24876" s="27" t="s">
        <v>263</v>
      </c>
      <c r="C24876" s="29">
        <v>7</v>
      </c>
      <c r="D24876" s="28">
        <v>0.1048</v>
      </c>
      <c r="E24876" s="28">
        <v>2.93E-2</v>
      </c>
      <c r="F24876" s="28">
        <v>1.2999999999999999E-2</v>
      </c>
      <c r="G24876" s="29"/>
      <c r="H24876" s="28">
        <v>1.2999999999999999E-2</v>
      </c>
      <c r="I24876" s="29">
        <v>25</v>
      </c>
    </row>
    <row r="24877" spans="1:9" x14ac:dyDescent="0.35">
      <c r="A24877" t="s">
        <v>228</v>
      </c>
      <c r="B24877" t="s">
        <v>261</v>
      </c>
      <c r="C24877">
        <v>0</v>
      </c>
      <c r="D24877" s="26">
        <v>0.55700000000000005</v>
      </c>
      <c r="E24877" s="26">
        <v>0.87690000000000001</v>
      </c>
      <c r="F24877" s="26">
        <v>0.84570000000000001</v>
      </c>
      <c r="G24877" s="26">
        <v>0.89859999999999995</v>
      </c>
      <c r="H24877" s="26">
        <v>0.85760000000000003</v>
      </c>
      <c r="I24877">
        <v>192</v>
      </c>
    </row>
    <row r="24878" spans="1:9" x14ac:dyDescent="0.35">
      <c r="A24878" t="s">
        <v>228</v>
      </c>
      <c r="B24878" t="s">
        <v>261</v>
      </c>
      <c r="C24878">
        <v>1</v>
      </c>
      <c r="D24878" s="26">
        <v>5.4300000000000001E-2</v>
      </c>
      <c r="E24878" s="26">
        <v>7.1900000000000006E-2</v>
      </c>
      <c r="F24878" s="26">
        <v>4.3E-3</v>
      </c>
      <c r="G24878" s="26">
        <v>1.1999999999999999E-3</v>
      </c>
      <c r="I24878">
        <v>192</v>
      </c>
    </row>
    <row r="24879" spans="1:9" x14ac:dyDescent="0.35">
      <c r="A24879" s="27" t="s">
        <v>228</v>
      </c>
      <c r="B24879" s="27" t="s">
        <v>263</v>
      </c>
      <c r="C24879" s="29">
        <v>1</v>
      </c>
      <c r="D24879" s="28">
        <v>2.93E-2</v>
      </c>
      <c r="E24879" s="28">
        <v>2.2100000000000002E-2</v>
      </c>
      <c r="F24879" s="29"/>
      <c r="G24879" s="29"/>
      <c r="H24879" s="29"/>
      <c r="I24879" s="29">
        <v>25</v>
      </c>
    </row>
    <row r="24880" spans="1:9" x14ac:dyDescent="0.35">
      <c r="A24880" t="s">
        <v>228</v>
      </c>
      <c r="B24880" t="s">
        <v>261</v>
      </c>
      <c r="C24880">
        <v>3</v>
      </c>
      <c r="D24880" s="26">
        <v>6.93E-2</v>
      </c>
      <c r="E24880" s="26">
        <v>8.3000000000000001E-3</v>
      </c>
      <c r="F24880" s="26">
        <v>4.0399999999999998E-2</v>
      </c>
      <c r="G24880" s="26">
        <v>7.1999999999999998E-3</v>
      </c>
      <c r="H24880" s="26">
        <v>0.04</v>
      </c>
      <c r="I24880">
        <v>192</v>
      </c>
    </row>
    <row r="24881" spans="1:9" x14ac:dyDescent="0.35">
      <c r="A24881" t="s">
        <v>228</v>
      </c>
      <c r="B24881" t="s">
        <v>261</v>
      </c>
      <c r="C24881">
        <v>4</v>
      </c>
      <c r="D24881" s="26">
        <v>2.5999999999999999E-2</v>
      </c>
      <c r="E24881" s="26">
        <v>1.8E-3</v>
      </c>
      <c r="F24881" s="26">
        <v>4.7000000000000002E-3</v>
      </c>
      <c r="H24881" s="26">
        <v>1.7299999999999999E-2</v>
      </c>
      <c r="I24881">
        <v>192</v>
      </c>
    </row>
    <row r="24882" spans="1:9" x14ac:dyDescent="0.35">
      <c r="A24882" t="s">
        <v>228</v>
      </c>
      <c r="B24882" t="s">
        <v>261</v>
      </c>
      <c r="C24882">
        <v>5</v>
      </c>
      <c r="D24882" s="26">
        <v>1.55E-2</v>
      </c>
      <c r="E24882" s="26">
        <v>6.4000000000000003E-3</v>
      </c>
      <c r="G24882" s="26">
        <v>1.03E-2</v>
      </c>
      <c r="I24882">
        <v>192</v>
      </c>
    </row>
    <row r="24883" spans="1:9" x14ac:dyDescent="0.35">
      <c r="A24883" t="s">
        <v>228</v>
      </c>
      <c r="B24883" t="s">
        <v>261</v>
      </c>
      <c r="C24883">
        <v>6</v>
      </c>
      <c r="D24883" s="26">
        <v>1.1999999999999999E-3</v>
      </c>
      <c r="I24883">
        <v>192</v>
      </c>
    </row>
    <row r="24884" spans="1:9" x14ac:dyDescent="0.35">
      <c r="A24884" t="s">
        <v>228</v>
      </c>
      <c r="B24884" t="s">
        <v>261</v>
      </c>
      <c r="C24884">
        <v>7</v>
      </c>
      <c r="D24884" s="26">
        <v>0.23050000000000001</v>
      </c>
      <c r="E24884" s="26">
        <v>1.1299999999999999E-2</v>
      </c>
      <c r="F24884" s="26">
        <v>7.3800000000000004E-2</v>
      </c>
      <c r="G24884" s="26">
        <v>5.8200000000000002E-2</v>
      </c>
      <c r="H24884" s="26">
        <v>5.0799999999999998E-2</v>
      </c>
      <c r="I24884">
        <v>192</v>
      </c>
    </row>
    <row r="24885" spans="1:9" x14ac:dyDescent="0.35">
      <c r="A24885" t="s">
        <v>228</v>
      </c>
      <c r="B24885" t="s">
        <v>260</v>
      </c>
      <c r="C24885">
        <v>0</v>
      </c>
      <c r="D24885" s="26">
        <v>0.69010000000000005</v>
      </c>
      <c r="E24885" s="26">
        <v>0.90820000000000001</v>
      </c>
      <c r="F24885" s="26">
        <v>0.87080000000000002</v>
      </c>
      <c r="G24885" s="26">
        <v>0.9556</v>
      </c>
      <c r="H24885" s="26">
        <v>0.87770000000000004</v>
      </c>
      <c r="I24885">
        <v>609</v>
      </c>
    </row>
    <row r="24886" spans="1:9" x14ac:dyDescent="0.35">
      <c r="A24886" t="s">
        <v>228</v>
      </c>
      <c r="B24886" t="s">
        <v>261</v>
      </c>
      <c r="C24886">
        <v>2</v>
      </c>
      <c r="D24886" s="26">
        <v>4.6199999999999998E-2</v>
      </c>
      <c r="E24886" s="26">
        <v>2.3400000000000001E-2</v>
      </c>
      <c r="F24886" s="26">
        <v>3.1099999999999999E-2</v>
      </c>
      <c r="G24886" s="26">
        <v>2.4400000000000002E-2</v>
      </c>
      <c r="H24886" s="26">
        <v>3.4299999999999997E-2</v>
      </c>
      <c r="I24886">
        <v>192</v>
      </c>
    </row>
    <row r="24887" spans="1:9" x14ac:dyDescent="0.35">
      <c r="A24887" t="s">
        <v>229</v>
      </c>
      <c r="B24887" t="s">
        <v>260</v>
      </c>
      <c r="C24887">
        <v>5</v>
      </c>
      <c r="D24887" s="26">
        <v>1.04E-2</v>
      </c>
      <c r="F24887" s="26">
        <v>9.1000000000000004E-3</v>
      </c>
      <c r="G24887" s="26">
        <v>8.0000000000000004E-4</v>
      </c>
      <c r="H24887" s="26">
        <v>1.1999999999999999E-3</v>
      </c>
      <c r="I24887">
        <v>596</v>
      </c>
    </row>
    <row r="24888" spans="1:9" x14ac:dyDescent="0.35">
      <c r="A24888" t="s">
        <v>229</v>
      </c>
      <c r="B24888" t="s">
        <v>260</v>
      </c>
      <c r="C24888">
        <v>6</v>
      </c>
      <c r="D24888" s="26">
        <v>4.4999999999999997E-3</v>
      </c>
      <c r="G24888" s="26">
        <v>4.4999999999999997E-3</v>
      </c>
      <c r="I24888">
        <v>596</v>
      </c>
    </row>
    <row r="24889" spans="1:9" x14ac:dyDescent="0.35">
      <c r="A24889" t="s">
        <v>229</v>
      </c>
      <c r="B24889" t="s">
        <v>260</v>
      </c>
      <c r="C24889">
        <v>7</v>
      </c>
      <c r="D24889" s="26">
        <v>7.2700000000000001E-2</v>
      </c>
      <c r="E24889" s="26">
        <v>1.6299999999999999E-2</v>
      </c>
      <c r="F24889" s="26">
        <v>4.53E-2</v>
      </c>
      <c r="G24889" s="26">
        <v>1.2699999999999999E-2</v>
      </c>
      <c r="H24889" s="26">
        <v>3.56E-2</v>
      </c>
      <c r="I24889">
        <v>596</v>
      </c>
    </row>
    <row r="24890" spans="1:9" x14ac:dyDescent="0.35">
      <c r="A24890" t="s">
        <v>229</v>
      </c>
      <c r="B24890" t="s">
        <v>262</v>
      </c>
      <c r="C24890">
        <v>0</v>
      </c>
      <c r="D24890" s="26">
        <v>0.75549999999999995</v>
      </c>
      <c r="E24890" s="26">
        <v>0.9042</v>
      </c>
      <c r="F24890" s="26">
        <v>0.86280000000000001</v>
      </c>
      <c r="G24890" s="26">
        <v>0.95699999999999996</v>
      </c>
      <c r="H24890" s="26">
        <v>0.92230000000000001</v>
      </c>
      <c r="I24890">
        <v>188</v>
      </c>
    </row>
    <row r="24891" spans="1:9" x14ac:dyDescent="0.35">
      <c r="A24891" t="s">
        <v>229</v>
      </c>
      <c r="B24891" t="s">
        <v>262</v>
      </c>
      <c r="C24891">
        <v>1</v>
      </c>
      <c r="D24891" s="26">
        <v>5.7000000000000002E-3</v>
      </c>
      <c r="E24891" s="26">
        <v>5.5500000000000001E-2</v>
      </c>
      <c r="F24891" s="26">
        <v>1.9699999999999999E-2</v>
      </c>
      <c r="G24891" s="26">
        <v>2.3999999999999998E-3</v>
      </c>
      <c r="H24891" s="26">
        <v>2.1499999999999998E-2</v>
      </c>
      <c r="I24891">
        <v>188</v>
      </c>
    </row>
    <row r="24892" spans="1:9" x14ac:dyDescent="0.35">
      <c r="A24892" t="s">
        <v>229</v>
      </c>
      <c r="B24892" t="s">
        <v>262</v>
      </c>
      <c r="C24892">
        <v>4</v>
      </c>
      <c r="D24892" s="26">
        <v>3.8800000000000001E-2</v>
      </c>
      <c r="E24892" s="26">
        <v>1.1999999999999999E-3</v>
      </c>
      <c r="F24892" s="26">
        <v>1.3100000000000001E-2</v>
      </c>
      <c r="I24892">
        <v>188</v>
      </c>
    </row>
    <row r="24893" spans="1:9" x14ac:dyDescent="0.35">
      <c r="A24893" t="s">
        <v>229</v>
      </c>
      <c r="B24893" t="s">
        <v>262</v>
      </c>
      <c r="C24893">
        <v>3</v>
      </c>
      <c r="D24893" s="26">
        <v>4.2099999999999999E-2</v>
      </c>
      <c r="E24893" s="26">
        <v>6.0000000000000001E-3</v>
      </c>
      <c r="F24893" s="26">
        <v>4.2799999999999998E-2</v>
      </c>
      <c r="G24893" s="26">
        <v>1.2E-2</v>
      </c>
      <c r="H24893" s="26">
        <v>3.0200000000000001E-2</v>
      </c>
      <c r="I24893">
        <v>188</v>
      </c>
    </row>
    <row r="24894" spans="1:9" x14ac:dyDescent="0.35">
      <c r="A24894" t="s">
        <v>229</v>
      </c>
      <c r="B24894" t="s">
        <v>262</v>
      </c>
      <c r="C24894">
        <v>5</v>
      </c>
      <c r="D24894" s="26">
        <v>4.1200000000000001E-2</v>
      </c>
      <c r="E24894" s="26">
        <v>2.3999999999999998E-3</v>
      </c>
      <c r="F24894" s="26">
        <v>1.1999999999999999E-3</v>
      </c>
      <c r="H24894" s="26">
        <v>1.0200000000000001E-2</v>
      </c>
      <c r="I24894">
        <v>188</v>
      </c>
    </row>
    <row r="24895" spans="1:9" x14ac:dyDescent="0.35">
      <c r="A24895" t="s">
        <v>229</v>
      </c>
      <c r="B24895" t="s">
        <v>262</v>
      </c>
      <c r="C24895">
        <v>7</v>
      </c>
      <c r="D24895" s="26">
        <v>4.24E-2</v>
      </c>
      <c r="F24895" s="26">
        <v>2.0299999999999999E-2</v>
      </c>
      <c r="H24895" s="26">
        <v>3.8999999999999998E-3</v>
      </c>
      <c r="I24895">
        <v>188</v>
      </c>
    </row>
    <row r="24896" spans="1:9" x14ac:dyDescent="0.35">
      <c r="A24896" t="s">
        <v>229</v>
      </c>
      <c r="B24896" t="s">
        <v>260</v>
      </c>
      <c r="C24896">
        <v>4</v>
      </c>
      <c r="D24896" s="26">
        <v>4.2299999999999997E-2</v>
      </c>
      <c r="F24896" s="26">
        <v>3.3E-3</v>
      </c>
      <c r="G24896" s="26">
        <v>2.0000000000000001E-4</v>
      </c>
      <c r="H24896" s="26">
        <v>6.4000000000000003E-3</v>
      </c>
      <c r="I24896">
        <v>596</v>
      </c>
    </row>
    <row r="24897" spans="1:9" x14ac:dyDescent="0.35">
      <c r="A24897" t="s">
        <v>229</v>
      </c>
      <c r="B24897" t="s">
        <v>262</v>
      </c>
      <c r="C24897">
        <v>2</v>
      </c>
      <c r="D24897" s="26">
        <v>7.4399999999999994E-2</v>
      </c>
      <c r="E24897" s="26">
        <v>3.0800000000000001E-2</v>
      </c>
      <c r="F24897" s="26">
        <v>0.04</v>
      </c>
      <c r="G24897" s="26">
        <v>2.87E-2</v>
      </c>
      <c r="H24897" s="26">
        <v>1.2E-2</v>
      </c>
      <c r="I24897">
        <v>188</v>
      </c>
    </row>
    <row r="24898" spans="1:9" x14ac:dyDescent="0.35">
      <c r="A24898" t="s">
        <v>229</v>
      </c>
      <c r="B24898" t="s">
        <v>260</v>
      </c>
      <c r="C24898">
        <v>3</v>
      </c>
      <c r="D24898" s="26">
        <v>3.8100000000000002E-2</v>
      </c>
      <c r="E24898" s="26">
        <v>7.7999999999999996E-3</v>
      </c>
      <c r="F24898" s="26">
        <v>1.7600000000000001E-2</v>
      </c>
      <c r="G24898" s="26">
        <v>9.7000000000000003E-3</v>
      </c>
      <c r="H24898" s="26">
        <v>2.12E-2</v>
      </c>
      <c r="I24898">
        <v>596</v>
      </c>
    </row>
    <row r="24899" spans="1:9" x14ac:dyDescent="0.35">
      <c r="A24899" s="27" t="s">
        <v>229</v>
      </c>
      <c r="B24899" s="27" t="s">
        <v>236</v>
      </c>
      <c r="C24899" s="29">
        <v>0</v>
      </c>
      <c r="D24899" s="28">
        <v>1</v>
      </c>
      <c r="E24899" s="28">
        <v>1</v>
      </c>
      <c r="F24899" s="28">
        <v>1</v>
      </c>
      <c r="G24899" s="28">
        <v>1</v>
      </c>
      <c r="H24899" s="28">
        <v>1</v>
      </c>
      <c r="I24899" s="29">
        <v>1</v>
      </c>
    </row>
    <row r="24900" spans="1:9" x14ac:dyDescent="0.35">
      <c r="A24900" t="s">
        <v>229</v>
      </c>
      <c r="B24900" t="s">
        <v>260</v>
      </c>
      <c r="C24900">
        <v>1</v>
      </c>
      <c r="D24900" s="26">
        <v>1.6299999999999999E-2</v>
      </c>
      <c r="E24900" s="26">
        <v>3.7999999999999999E-2</v>
      </c>
      <c r="F24900" s="26">
        <v>5.8999999999999999E-3</v>
      </c>
      <c r="G24900" s="26">
        <v>2.9999999999999997E-4</v>
      </c>
      <c r="H24900" s="26">
        <v>1.0999999999999999E-2</v>
      </c>
      <c r="I24900">
        <v>596</v>
      </c>
    </row>
    <row r="24901" spans="1:9" x14ac:dyDescent="0.35">
      <c r="A24901" s="27" t="s">
        <v>229</v>
      </c>
      <c r="B24901" s="27" t="s">
        <v>263</v>
      </c>
      <c r="C24901" s="29">
        <v>0</v>
      </c>
      <c r="D24901" s="28">
        <v>0.64480000000000004</v>
      </c>
      <c r="E24901" s="28">
        <v>0.80959999999999999</v>
      </c>
      <c r="F24901" s="28">
        <v>0.93069999999999997</v>
      </c>
      <c r="G24901" s="28">
        <v>1</v>
      </c>
      <c r="H24901" s="28">
        <v>0.77500000000000002</v>
      </c>
      <c r="I24901" s="29">
        <v>14</v>
      </c>
    </row>
    <row r="24902" spans="1:9" x14ac:dyDescent="0.35">
      <c r="A24902" s="27" t="s">
        <v>229</v>
      </c>
      <c r="B24902" s="27" t="s">
        <v>263</v>
      </c>
      <c r="C24902" s="29">
        <v>2</v>
      </c>
      <c r="D24902" s="28">
        <v>0.2858</v>
      </c>
      <c r="E24902" s="29"/>
      <c r="F24902" s="29"/>
      <c r="G24902" s="29"/>
      <c r="H24902" s="28">
        <v>0.15570000000000001</v>
      </c>
      <c r="I24902" s="29">
        <v>14</v>
      </c>
    </row>
    <row r="24903" spans="1:9" x14ac:dyDescent="0.35">
      <c r="A24903" s="27" t="s">
        <v>229</v>
      </c>
      <c r="B24903" s="27" t="s">
        <v>263</v>
      </c>
      <c r="C24903" s="29">
        <v>7</v>
      </c>
      <c r="D24903" s="28">
        <v>6.93E-2</v>
      </c>
      <c r="E24903" s="28">
        <v>3.4700000000000002E-2</v>
      </c>
      <c r="F24903" s="28">
        <v>6.93E-2</v>
      </c>
      <c r="G24903" s="29"/>
      <c r="H24903" s="28">
        <v>6.93E-2</v>
      </c>
      <c r="I24903" s="29">
        <v>14</v>
      </c>
    </row>
    <row r="24904" spans="1:9" x14ac:dyDescent="0.35">
      <c r="A24904" t="s">
        <v>229</v>
      </c>
      <c r="B24904" t="s">
        <v>261</v>
      </c>
      <c r="C24904">
        <v>0</v>
      </c>
      <c r="D24904" s="26">
        <v>0.5786</v>
      </c>
      <c r="E24904" s="26">
        <v>0.86319999999999997</v>
      </c>
      <c r="F24904" s="26">
        <v>0.75639999999999996</v>
      </c>
      <c r="G24904" s="26">
        <v>0.92269999999999996</v>
      </c>
      <c r="H24904" s="26">
        <v>0.8417</v>
      </c>
      <c r="I24904">
        <v>96</v>
      </c>
    </row>
    <row r="24905" spans="1:9" x14ac:dyDescent="0.35">
      <c r="A24905" t="s">
        <v>229</v>
      </c>
      <c r="B24905" t="s">
        <v>260</v>
      </c>
      <c r="C24905">
        <v>2</v>
      </c>
      <c r="D24905" s="26">
        <v>0.1109</v>
      </c>
      <c r="E24905" s="26">
        <v>9.2999999999999992E-3</v>
      </c>
      <c r="F24905" s="26">
        <v>3.9899999999999998E-2</v>
      </c>
      <c r="G24905" s="26">
        <v>5.1000000000000004E-3</v>
      </c>
      <c r="H24905" s="26">
        <v>2.75E-2</v>
      </c>
      <c r="I24905">
        <v>596</v>
      </c>
    </row>
    <row r="24906" spans="1:9" x14ac:dyDescent="0.35">
      <c r="A24906" t="s">
        <v>229</v>
      </c>
      <c r="B24906" t="s">
        <v>261</v>
      </c>
      <c r="C24906">
        <v>2</v>
      </c>
      <c r="D24906" s="26">
        <v>0.10390000000000001</v>
      </c>
      <c r="E24906" s="26">
        <v>3.2599999999999997E-2</v>
      </c>
      <c r="F24906" s="26">
        <v>7.2999999999999995E-2</v>
      </c>
      <c r="G24906" s="26">
        <v>4.4999999999999997E-3</v>
      </c>
      <c r="H24906" s="26">
        <v>2.0199999999999999E-2</v>
      </c>
      <c r="I24906">
        <v>96</v>
      </c>
    </row>
    <row r="24907" spans="1:9" x14ac:dyDescent="0.35">
      <c r="A24907" t="s">
        <v>229</v>
      </c>
      <c r="B24907" t="s">
        <v>261</v>
      </c>
      <c r="C24907">
        <v>1</v>
      </c>
      <c r="D24907" s="26">
        <v>2.1299999999999999E-2</v>
      </c>
      <c r="E24907" s="26">
        <v>5.8299999999999998E-2</v>
      </c>
      <c r="F24907" s="26">
        <v>3.6999999999999998E-2</v>
      </c>
      <c r="G24907" s="26">
        <v>6.7000000000000002E-3</v>
      </c>
      <c r="H24907" s="26">
        <v>4.4999999999999997E-3</v>
      </c>
      <c r="I24907">
        <v>96</v>
      </c>
    </row>
    <row r="24908" spans="1:9" x14ac:dyDescent="0.35">
      <c r="A24908" t="s">
        <v>229</v>
      </c>
      <c r="B24908" t="s">
        <v>261</v>
      </c>
      <c r="C24908">
        <v>4</v>
      </c>
      <c r="D24908" s="26">
        <v>1.9099999999999999E-2</v>
      </c>
      <c r="F24908" s="26">
        <v>1.7999999999999999E-2</v>
      </c>
      <c r="H24908" s="26">
        <v>1.6899999999999998E-2</v>
      </c>
      <c r="I24908">
        <v>96</v>
      </c>
    </row>
    <row r="24909" spans="1:9" x14ac:dyDescent="0.35">
      <c r="A24909" t="s">
        <v>229</v>
      </c>
      <c r="B24909" t="s">
        <v>261</v>
      </c>
      <c r="C24909">
        <v>5</v>
      </c>
      <c r="D24909" s="26">
        <v>1.6899999999999998E-2</v>
      </c>
      <c r="E24909" s="26">
        <v>2.2000000000000001E-3</v>
      </c>
      <c r="G24909" s="26">
        <v>1.1000000000000001E-3</v>
      </c>
      <c r="H24909" s="26">
        <v>1.1000000000000001E-3</v>
      </c>
      <c r="I24909">
        <v>96</v>
      </c>
    </row>
    <row r="24910" spans="1:9" x14ac:dyDescent="0.35">
      <c r="A24910" t="s">
        <v>229</v>
      </c>
      <c r="B24910" t="s">
        <v>261</v>
      </c>
      <c r="C24910">
        <v>7</v>
      </c>
      <c r="D24910" s="26">
        <v>0.23669999999999999</v>
      </c>
      <c r="E24910" s="26">
        <v>2.2000000000000001E-3</v>
      </c>
      <c r="F24910" s="26">
        <v>7.6300000000000007E-2</v>
      </c>
      <c r="G24910" s="26">
        <v>2.5700000000000001E-2</v>
      </c>
      <c r="H24910" s="26">
        <v>8.1799999999999998E-2</v>
      </c>
      <c r="I24910">
        <v>96</v>
      </c>
    </row>
    <row r="24911" spans="1:9" x14ac:dyDescent="0.35">
      <c r="A24911" t="s">
        <v>229</v>
      </c>
      <c r="B24911" t="s">
        <v>260</v>
      </c>
      <c r="C24911">
        <v>0</v>
      </c>
      <c r="D24911" s="26">
        <v>0.70479999999999998</v>
      </c>
      <c r="E24911" s="26">
        <v>0.92859999999999998</v>
      </c>
      <c r="F24911" s="26">
        <v>0.87890000000000001</v>
      </c>
      <c r="G24911" s="26">
        <v>0.9667</v>
      </c>
      <c r="H24911" s="26">
        <v>0.89710000000000001</v>
      </c>
      <c r="I24911">
        <v>596</v>
      </c>
    </row>
    <row r="24912" spans="1:9" x14ac:dyDescent="0.35">
      <c r="A24912" t="s">
        <v>229</v>
      </c>
      <c r="B24912" t="s">
        <v>261</v>
      </c>
      <c r="C24912">
        <v>3</v>
      </c>
      <c r="D24912" s="26">
        <v>2.35E-2</v>
      </c>
      <c r="E24912" s="26">
        <v>4.1500000000000002E-2</v>
      </c>
      <c r="F24912" s="26">
        <v>3.9300000000000002E-2</v>
      </c>
      <c r="G24912" s="26">
        <v>3.9300000000000002E-2</v>
      </c>
      <c r="H24912" s="26">
        <v>3.3700000000000001E-2</v>
      </c>
      <c r="I24912">
        <v>96</v>
      </c>
    </row>
    <row r="24913" spans="1:9" x14ac:dyDescent="0.35">
      <c r="A24913" t="s">
        <v>230</v>
      </c>
      <c r="B24913" t="s">
        <v>260</v>
      </c>
      <c r="C24913">
        <v>6</v>
      </c>
      <c r="D24913" s="26">
        <v>9.1000000000000004E-3</v>
      </c>
      <c r="F24913" s="26">
        <v>1.2999999999999999E-3</v>
      </c>
      <c r="H24913" s="26">
        <v>1.2999999999999999E-3</v>
      </c>
      <c r="I24913">
        <v>352</v>
      </c>
    </row>
    <row r="24914" spans="1:9" x14ac:dyDescent="0.35">
      <c r="A24914" t="s">
        <v>230</v>
      </c>
      <c r="B24914" t="s">
        <v>260</v>
      </c>
      <c r="C24914">
        <v>7</v>
      </c>
      <c r="D24914" s="26">
        <v>0.13469999999999999</v>
      </c>
      <c r="E24914" s="26">
        <v>8.2000000000000007E-3</v>
      </c>
      <c r="F24914" s="26">
        <v>3.7900000000000003E-2</v>
      </c>
      <c r="G24914" s="26">
        <v>1.04E-2</v>
      </c>
      <c r="H24914" s="26">
        <v>5.1299999999999998E-2</v>
      </c>
      <c r="I24914">
        <v>352</v>
      </c>
    </row>
    <row r="24915" spans="1:9" x14ac:dyDescent="0.35">
      <c r="A24915" s="27" t="s">
        <v>230</v>
      </c>
      <c r="B24915" s="27" t="s">
        <v>236</v>
      </c>
      <c r="C24915" s="29">
        <v>0</v>
      </c>
      <c r="D24915" s="28">
        <v>0.15570000000000001</v>
      </c>
      <c r="E24915" s="28">
        <v>0.27760000000000001</v>
      </c>
      <c r="F24915" s="28">
        <v>0.27760000000000001</v>
      </c>
      <c r="G24915" s="28">
        <v>1</v>
      </c>
      <c r="H24915" s="28">
        <v>0.27760000000000001</v>
      </c>
      <c r="I24915" s="29">
        <v>4</v>
      </c>
    </row>
    <row r="24916" spans="1:9" x14ac:dyDescent="0.35">
      <c r="A24916" s="27" t="s">
        <v>230</v>
      </c>
      <c r="B24916" s="27" t="s">
        <v>236</v>
      </c>
      <c r="C24916" s="29">
        <v>1</v>
      </c>
      <c r="D24916" s="28">
        <v>0.12189999999999999</v>
      </c>
      <c r="E24916" s="28">
        <v>0.72240000000000004</v>
      </c>
      <c r="F24916" s="29"/>
      <c r="G24916" s="29"/>
      <c r="H24916" s="29"/>
      <c r="I24916" s="29">
        <v>4</v>
      </c>
    </row>
    <row r="24917" spans="1:9" x14ac:dyDescent="0.35">
      <c r="A24917" t="s">
        <v>230</v>
      </c>
      <c r="B24917" t="s">
        <v>262</v>
      </c>
      <c r="C24917">
        <v>0</v>
      </c>
      <c r="D24917" s="26">
        <v>0.68630000000000002</v>
      </c>
      <c r="E24917" s="26">
        <v>0.85329999999999995</v>
      </c>
      <c r="F24917" s="26">
        <v>0.8498</v>
      </c>
      <c r="G24917" s="26">
        <v>0.86299999999999999</v>
      </c>
      <c r="H24917" s="26">
        <v>0.8115</v>
      </c>
      <c r="I24917">
        <v>122</v>
      </c>
    </row>
    <row r="24918" spans="1:9" x14ac:dyDescent="0.35">
      <c r="A24918" t="s">
        <v>230</v>
      </c>
      <c r="B24918" t="s">
        <v>262</v>
      </c>
      <c r="C24918">
        <v>6</v>
      </c>
      <c r="D24918" s="26">
        <v>7.17E-2</v>
      </c>
      <c r="F24918" s="26">
        <v>5.8999999999999999E-3</v>
      </c>
      <c r="I24918">
        <v>122</v>
      </c>
    </row>
    <row r="24919" spans="1:9" x14ac:dyDescent="0.35">
      <c r="A24919" t="s">
        <v>230</v>
      </c>
      <c r="B24919" t="s">
        <v>262</v>
      </c>
      <c r="C24919">
        <v>2</v>
      </c>
      <c r="D24919" s="26">
        <v>4.5400000000000003E-2</v>
      </c>
      <c r="E24919" s="26">
        <v>5.5800000000000002E-2</v>
      </c>
      <c r="F24919" s="26">
        <v>1.5599999999999999E-2</v>
      </c>
      <c r="G24919" s="26">
        <v>4.9599999999999998E-2</v>
      </c>
      <c r="H24919" s="26">
        <v>0.1171</v>
      </c>
      <c r="I24919">
        <v>122</v>
      </c>
    </row>
    <row r="24920" spans="1:9" x14ac:dyDescent="0.35">
      <c r="A24920" t="s">
        <v>230</v>
      </c>
      <c r="B24920" t="s">
        <v>262</v>
      </c>
      <c r="C24920">
        <v>3</v>
      </c>
      <c r="D24920" s="26">
        <v>3.1E-2</v>
      </c>
      <c r="E24920" s="26">
        <v>1.5599999999999999E-2</v>
      </c>
      <c r="F24920" s="26">
        <v>1.9800000000000002E-2</v>
      </c>
      <c r="H24920" s="26">
        <v>3.3599999999999998E-2</v>
      </c>
      <c r="I24920">
        <v>122</v>
      </c>
    </row>
    <row r="24921" spans="1:9" x14ac:dyDescent="0.35">
      <c r="A24921" t="s">
        <v>230</v>
      </c>
      <c r="B24921" t="s">
        <v>262</v>
      </c>
      <c r="C24921">
        <v>4</v>
      </c>
      <c r="D24921" s="26">
        <v>7.9000000000000008E-3</v>
      </c>
      <c r="F24921" s="26">
        <v>4.5400000000000003E-2</v>
      </c>
      <c r="G24921" s="26">
        <v>1.8E-3</v>
      </c>
      <c r="H24921" s="26">
        <v>7.7000000000000002E-3</v>
      </c>
      <c r="I24921">
        <v>122</v>
      </c>
    </row>
    <row r="24922" spans="1:9" x14ac:dyDescent="0.35">
      <c r="A24922" t="s">
        <v>230</v>
      </c>
      <c r="B24922" t="s">
        <v>262</v>
      </c>
      <c r="C24922">
        <v>5</v>
      </c>
      <c r="D24922" s="26">
        <v>3.5999999999999999E-3</v>
      </c>
      <c r="H24922" s="26">
        <v>6.0000000000000001E-3</v>
      </c>
      <c r="I24922">
        <v>122</v>
      </c>
    </row>
    <row r="24923" spans="1:9" x14ac:dyDescent="0.35">
      <c r="A24923" t="s">
        <v>230</v>
      </c>
      <c r="B24923" t="s">
        <v>260</v>
      </c>
      <c r="C24923">
        <v>5</v>
      </c>
      <c r="D24923" s="26">
        <v>1.17E-2</v>
      </c>
      <c r="E24923" s="26">
        <v>9.1000000000000004E-3</v>
      </c>
      <c r="F24923" s="26">
        <v>2.5999999999999999E-3</v>
      </c>
      <c r="I24923">
        <v>352</v>
      </c>
    </row>
    <row r="24924" spans="1:9" x14ac:dyDescent="0.35">
      <c r="A24924" t="s">
        <v>230</v>
      </c>
      <c r="B24924" t="s">
        <v>262</v>
      </c>
      <c r="C24924">
        <v>7</v>
      </c>
      <c r="D24924" s="26">
        <v>6.8599999999999994E-2</v>
      </c>
      <c r="E24924" s="26">
        <v>1.7899999999999999E-2</v>
      </c>
      <c r="F24924" s="26">
        <v>2.1600000000000001E-2</v>
      </c>
      <c r="G24924" s="26">
        <v>8.5599999999999996E-2</v>
      </c>
      <c r="H24924" s="26">
        <v>1.2E-2</v>
      </c>
      <c r="I24924">
        <v>122</v>
      </c>
    </row>
    <row r="24925" spans="1:9" x14ac:dyDescent="0.35">
      <c r="A24925" t="s">
        <v>230</v>
      </c>
      <c r="B24925" t="s">
        <v>262</v>
      </c>
      <c r="C24925">
        <v>1</v>
      </c>
      <c r="D24925" s="26">
        <v>8.5500000000000007E-2</v>
      </c>
      <c r="E24925" s="26">
        <v>5.7500000000000002E-2</v>
      </c>
      <c r="F24925" s="26">
        <v>4.19E-2</v>
      </c>
      <c r="H24925" s="26">
        <v>1.21E-2</v>
      </c>
      <c r="I24925">
        <v>122</v>
      </c>
    </row>
    <row r="24926" spans="1:9" x14ac:dyDescent="0.35">
      <c r="A24926" t="s">
        <v>230</v>
      </c>
      <c r="B24926" t="s">
        <v>260</v>
      </c>
      <c r="C24926">
        <v>4</v>
      </c>
      <c r="D24926" s="26">
        <v>1.46E-2</v>
      </c>
      <c r="E24926" s="26">
        <v>3.8999999999999998E-3</v>
      </c>
      <c r="F24926" s="26">
        <v>1.21E-2</v>
      </c>
      <c r="G24926" s="26">
        <v>1.72E-2</v>
      </c>
      <c r="H24926" s="26">
        <v>3.8999999999999998E-3</v>
      </c>
      <c r="I24926">
        <v>352</v>
      </c>
    </row>
    <row r="24927" spans="1:9" x14ac:dyDescent="0.35">
      <c r="A24927" s="27" t="s">
        <v>230</v>
      </c>
      <c r="B24927" s="27" t="s">
        <v>236</v>
      </c>
      <c r="C24927" s="29">
        <v>7</v>
      </c>
      <c r="D24927" s="28">
        <v>0.72240000000000004</v>
      </c>
      <c r="E24927" s="29"/>
      <c r="F24927" s="29"/>
      <c r="G24927" s="29"/>
      <c r="H24927" s="29"/>
      <c r="I24927" s="29">
        <v>4</v>
      </c>
    </row>
    <row r="24928" spans="1:9" x14ac:dyDescent="0.35">
      <c r="A24928" t="s">
        <v>230</v>
      </c>
      <c r="B24928" t="s">
        <v>260</v>
      </c>
      <c r="C24928">
        <v>2</v>
      </c>
      <c r="D24928" s="26">
        <v>4.4299999999999999E-2</v>
      </c>
      <c r="E24928" s="26">
        <v>1.5900000000000001E-2</v>
      </c>
      <c r="F24928" s="26">
        <v>4.0800000000000003E-2</v>
      </c>
      <c r="G24928" s="26">
        <v>3.0000000000000001E-3</v>
      </c>
      <c r="H24928" s="26">
        <v>2.76E-2</v>
      </c>
      <c r="I24928">
        <v>352</v>
      </c>
    </row>
    <row r="24929" spans="1:9" x14ac:dyDescent="0.35">
      <c r="A24929" t="s">
        <v>230</v>
      </c>
      <c r="B24929" t="s">
        <v>260</v>
      </c>
      <c r="C24929">
        <v>3</v>
      </c>
      <c r="D24929" s="26">
        <v>5.9400000000000001E-2</v>
      </c>
      <c r="E24929" s="26">
        <v>7.7999999999999996E-3</v>
      </c>
      <c r="F24929" s="26">
        <v>3.0000000000000001E-3</v>
      </c>
      <c r="G24929" s="26">
        <v>1.04E-2</v>
      </c>
      <c r="H24929" s="26">
        <v>2.2499999999999999E-2</v>
      </c>
      <c r="I24929">
        <v>352</v>
      </c>
    </row>
    <row r="24930" spans="1:9" x14ac:dyDescent="0.35">
      <c r="A24930" s="27" t="s">
        <v>230</v>
      </c>
      <c r="B24930" s="27" t="s">
        <v>263</v>
      </c>
      <c r="C24930" s="29">
        <v>0</v>
      </c>
      <c r="D24930" s="28">
        <v>0.35299999999999998</v>
      </c>
      <c r="E24930" s="28">
        <v>0.58040000000000003</v>
      </c>
      <c r="F24930" s="28">
        <v>0.40329999999999999</v>
      </c>
      <c r="G24930" s="28">
        <v>0.63619999999999999</v>
      </c>
      <c r="H24930" s="28">
        <v>0.50929999999999997</v>
      </c>
      <c r="I24930" s="29">
        <v>25</v>
      </c>
    </row>
    <row r="24931" spans="1:9" x14ac:dyDescent="0.35">
      <c r="A24931" s="27" t="s">
        <v>230</v>
      </c>
      <c r="B24931" s="27" t="s">
        <v>263</v>
      </c>
      <c r="C24931" s="29">
        <v>2</v>
      </c>
      <c r="D24931" s="28">
        <v>0.12139999999999999</v>
      </c>
      <c r="E24931" s="28">
        <v>0.40279999999999999</v>
      </c>
      <c r="F24931" s="28">
        <v>0.49070000000000003</v>
      </c>
      <c r="G24931" s="28">
        <v>0.33029999999999998</v>
      </c>
      <c r="H24931" s="28">
        <v>7.2499999999999995E-2</v>
      </c>
      <c r="I24931" s="29">
        <v>25</v>
      </c>
    </row>
    <row r="24932" spans="1:9" x14ac:dyDescent="0.35">
      <c r="A24932" s="27" t="s">
        <v>230</v>
      </c>
      <c r="B24932" s="27" t="s">
        <v>263</v>
      </c>
      <c r="C24932" s="29">
        <v>4</v>
      </c>
      <c r="D24932" s="28">
        <v>0.34710000000000002</v>
      </c>
      <c r="E24932" s="29"/>
      <c r="F24932" s="29"/>
      <c r="G24932" s="29"/>
      <c r="H24932" s="28">
        <v>0.33029999999999998</v>
      </c>
      <c r="I24932" s="29">
        <v>25</v>
      </c>
    </row>
    <row r="24933" spans="1:9" x14ac:dyDescent="0.35">
      <c r="A24933" s="27" t="s">
        <v>230</v>
      </c>
      <c r="B24933" s="27" t="s">
        <v>263</v>
      </c>
      <c r="C24933" s="29">
        <v>7</v>
      </c>
      <c r="D24933" s="28">
        <v>3.3500000000000002E-2</v>
      </c>
      <c r="E24933" s="29"/>
      <c r="F24933" s="28">
        <v>1.6799999999999999E-2</v>
      </c>
      <c r="G24933" s="28">
        <v>1.6799999999999999E-2</v>
      </c>
      <c r="H24933" s="28">
        <v>1.6799999999999999E-2</v>
      </c>
      <c r="I24933" s="29">
        <v>25</v>
      </c>
    </row>
    <row r="24934" spans="1:9" x14ac:dyDescent="0.35">
      <c r="A24934" t="s">
        <v>230</v>
      </c>
      <c r="B24934" t="s">
        <v>261</v>
      </c>
      <c r="C24934">
        <v>0</v>
      </c>
      <c r="D24934" s="26">
        <v>0.58020000000000005</v>
      </c>
      <c r="E24934" s="26">
        <v>0.88839999999999997</v>
      </c>
      <c r="F24934" s="26">
        <v>0.84799999999999998</v>
      </c>
      <c r="G24934" s="26">
        <v>0.92210000000000003</v>
      </c>
      <c r="H24934" s="26">
        <v>0.90169999999999995</v>
      </c>
      <c r="I24934">
        <v>57</v>
      </c>
    </row>
    <row r="24935" spans="1:9" x14ac:dyDescent="0.35">
      <c r="A24935" s="27" t="s">
        <v>230</v>
      </c>
      <c r="B24935" s="27" t="s">
        <v>263</v>
      </c>
      <c r="C24935" s="29">
        <v>3</v>
      </c>
      <c r="D24935" s="28">
        <v>0.14499999999999999</v>
      </c>
      <c r="E24935" s="29"/>
      <c r="F24935" s="28">
        <v>8.9200000000000002E-2</v>
      </c>
      <c r="G24935" s="28">
        <v>1.6799999999999999E-2</v>
      </c>
      <c r="H24935" s="28">
        <v>1.6799999999999999E-2</v>
      </c>
      <c r="I24935" s="29">
        <v>25</v>
      </c>
    </row>
    <row r="24936" spans="1:9" x14ac:dyDescent="0.35">
      <c r="A24936" t="s">
        <v>230</v>
      </c>
      <c r="B24936" t="s">
        <v>261</v>
      </c>
      <c r="C24936">
        <v>3</v>
      </c>
      <c r="D24936" s="26">
        <v>0.17680000000000001</v>
      </c>
      <c r="E24936" s="26">
        <v>8.6999999999999994E-3</v>
      </c>
      <c r="F24936" s="26">
        <v>6.7000000000000002E-3</v>
      </c>
      <c r="G24936" s="26">
        <v>1.55E-2</v>
      </c>
      <c r="I24936">
        <v>57</v>
      </c>
    </row>
    <row r="24937" spans="1:9" x14ac:dyDescent="0.35">
      <c r="A24937" t="s">
        <v>230</v>
      </c>
      <c r="B24937" t="s">
        <v>261</v>
      </c>
      <c r="C24937">
        <v>4</v>
      </c>
      <c r="D24937" s="26">
        <v>6.7999999999999996E-3</v>
      </c>
      <c r="F24937" s="26">
        <v>6.7000000000000002E-3</v>
      </c>
      <c r="G24937" s="26">
        <v>6.7000000000000002E-3</v>
      </c>
      <c r="H24937" s="26">
        <v>4.24E-2</v>
      </c>
      <c r="I24937">
        <v>57</v>
      </c>
    </row>
    <row r="24938" spans="1:9" x14ac:dyDescent="0.35">
      <c r="A24938" t="s">
        <v>230</v>
      </c>
      <c r="B24938" t="s">
        <v>261</v>
      </c>
      <c r="C24938">
        <v>5</v>
      </c>
      <c r="D24938" s="26">
        <v>2E-3</v>
      </c>
      <c r="I24938">
        <v>57</v>
      </c>
    </row>
    <row r="24939" spans="1:9" x14ac:dyDescent="0.35">
      <c r="A24939" t="s">
        <v>230</v>
      </c>
      <c r="B24939" t="s">
        <v>261</v>
      </c>
      <c r="C24939">
        <v>7</v>
      </c>
      <c r="D24939" s="26">
        <v>0.13120000000000001</v>
      </c>
      <c r="F24939" s="26">
        <v>1.7600000000000001E-2</v>
      </c>
      <c r="G24939" s="26">
        <v>8.6999999999999994E-3</v>
      </c>
      <c r="H24939" s="26">
        <v>1.35E-2</v>
      </c>
      <c r="I24939">
        <v>57</v>
      </c>
    </row>
    <row r="24940" spans="1:9" x14ac:dyDescent="0.35">
      <c r="A24940" t="s">
        <v>230</v>
      </c>
      <c r="B24940" t="s">
        <v>260</v>
      </c>
      <c r="C24940">
        <v>0</v>
      </c>
      <c r="D24940" s="26">
        <v>0.70479999999999998</v>
      </c>
      <c r="E24940" s="26">
        <v>0.90300000000000002</v>
      </c>
      <c r="F24940" s="26">
        <v>0.89959999999999996</v>
      </c>
      <c r="G24940" s="26">
        <v>0.95130000000000003</v>
      </c>
      <c r="H24940" s="26">
        <v>0.89049999999999996</v>
      </c>
      <c r="I24940">
        <v>352</v>
      </c>
    </row>
    <row r="24941" spans="1:9" x14ac:dyDescent="0.35">
      <c r="A24941" t="s">
        <v>230</v>
      </c>
      <c r="B24941" t="s">
        <v>260</v>
      </c>
      <c r="C24941">
        <v>1</v>
      </c>
      <c r="D24941" s="26">
        <v>2.1399999999999999E-2</v>
      </c>
      <c r="E24941" s="26">
        <v>5.2200000000000003E-2</v>
      </c>
      <c r="F24941" s="26">
        <v>2.5999999999999999E-3</v>
      </c>
      <c r="G24941" s="26">
        <v>7.7999999999999996E-3</v>
      </c>
      <c r="H24941" s="26">
        <v>3.0000000000000001E-3</v>
      </c>
      <c r="I24941">
        <v>352</v>
      </c>
    </row>
    <row r="24942" spans="1:9" x14ac:dyDescent="0.35">
      <c r="A24942" t="s">
        <v>230</v>
      </c>
      <c r="B24942" t="s">
        <v>261</v>
      </c>
      <c r="C24942">
        <v>2</v>
      </c>
      <c r="D24942" s="26">
        <v>0.10290000000000001</v>
      </c>
      <c r="E24942" s="26">
        <v>4.9099999999999998E-2</v>
      </c>
      <c r="F24942" s="26">
        <v>0.1211</v>
      </c>
      <c r="G24942" s="26">
        <v>4.7E-2</v>
      </c>
      <c r="H24942" s="26">
        <v>4.0399999999999998E-2</v>
      </c>
      <c r="I24942">
        <v>57</v>
      </c>
    </row>
    <row r="24943" spans="1:9" x14ac:dyDescent="0.35">
      <c r="A24943" t="s">
        <v>231</v>
      </c>
      <c r="B24943" t="s">
        <v>260</v>
      </c>
      <c r="C24943">
        <v>2</v>
      </c>
      <c r="D24943" s="26">
        <v>8.0600000000000005E-2</v>
      </c>
      <c r="E24943" s="26">
        <v>2.4199999999999999E-2</v>
      </c>
      <c r="F24943" s="26">
        <v>3.2300000000000002E-2</v>
      </c>
      <c r="H24943" s="26">
        <v>2.4199999999999999E-2</v>
      </c>
      <c r="I24943">
        <v>124</v>
      </c>
    </row>
    <row r="24944" spans="1:9" x14ac:dyDescent="0.35">
      <c r="A24944" s="27" t="s">
        <v>231</v>
      </c>
      <c r="B24944" s="27" t="s">
        <v>262</v>
      </c>
      <c r="C24944" s="29">
        <v>2</v>
      </c>
      <c r="D24944" s="28">
        <v>9.0899999999999995E-2</v>
      </c>
      <c r="E24944" s="29"/>
      <c r="F24944" s="29"/>
      <c r="G24944" s="29"/>
      <c r="H24944" s="29"/>
      <c r="I24944" s="29">
        <v>11</v>
      </c>
    </row>
    <row r="24945" spans="1:9" x14ac:dyDescent="0.35">
      <c r="A24945" s="27" t="s">
        <v>231</v>
      </c>
      <c r="B24945" s="27" t="s">
        <v>262</v>
      </c>
      <c r="C24945" s="29">
        <v>1</v>
      </c>
      <c r="D24945" s="28">
        <v>9.0899999999999995E-2</v>
      </c>
      <c r="E24945" s="28">
        <v>9.0899999999999995E-2</v>
      </c>
      <c r="F24945" s="29"/>
      <c r="G24945" s="29"/>
      <c r="H24945" s="29"/>
      <c r="I24945" s="29">
        <v>11</v>
      </c>
    </row>
    <row r="24946" spans="1:9" x14ac:dyDescent="0.35">
      <c r="A24946" s="27" t="s">
        <v>231</v>
      </c>
      <c r="B24946" s="27" t="s">
        <v>262</v>
      </c>
      <c r="C24946" s="29">
        <v>0</v>
      </c>
      <c r="D24946" s="28">
        <v>0.81820000000000004</v>
      </c>
      <c r="E24946" s="28">
        <v>0.81820000000000004</v>
      </c>
      <c r="F24946" s="28">
        <v>1</v>
      </c>
      <c r="G24946" s="28">
        <v>1</v>
      </c>
      <c r="H24946" s="28">
        <v>1</v>
      </c>
      <c r="I24946" s="29">
        <v>11</v>
      </c>
    </row>
    <row r="24947" spans="1:9" x14ac:dyDescent="0.35">
      <c r="A24947" t="s">
        <v>231</v>
      </c>
      <c r="B24947" t="s">
        <v>260</v>
      </c>
      <c r="C24947">
        <v>7</v>
      </c>
      <c r="D24947" s="26">
        <v>0.1048</v>
      </c>
      <c r="F24947" s="26">
        <v>4.8399999999999999E-2</v>
      </c>
      <c r="G24947" s="26">
        <v>1.61E-2</v>
      </c>
      <c r="H24947" s="26">
        <v>8.0600000000000005E-2</v>
      </c>
      <c r="I24947">
        <v>124</v>
      </c>
    </row>
    <row r="24948" spans="1:9" x14ac:dyDescent="0.35">
      <c r="A24948" t="s">
        <v>231</v>
      </c>
      <c r="B24948" t="s">
        <v>260</v>
      </c>
      <c r="C24948">
        <v>5</v>
      </c>
      <c r="D24948" s="26">
        <v>3.2300000000000002E-2</v>
      </c>
      <c r="E24948" s="26">
        <v>8.0999999999999996E-3</v>
      </c>
      <c r="F24948" s="26">
        <v>8.0999999999999996E-3</v>
      </c>
      <c r="H24948" s="26">
        <v>8.0999999999999996E-3</v>
      </c>
      <c r="I24948">
        <v>124</v>
      </c>
    </row>
    <row r="24949" spans="1:9" x14ac:dyDescent="0.35">
      <c r="A24949" t="s">
        <v>231</v>
      </c>
      <c r="B24949" t="s">
        <v>260</v>
      </c>
      <c r="C24949">
        <v>4</v>
      </c>
      <c r="D24949" s="26">
        <v>8.0999999999999996E-3</v>
      </c>
      <c r="F24949" s="26">
        <v>1.61E-2</v>
      </c>
      <c r="G24949" s="26">
        <v>2.4199999999999999E-2</v>
      </c>
      <c r="I24949">
        <v>124</v>
      </c>
    </row>
    <row r="24950" spans="1:9" x14ac:dyDescent="0.35">
      <c r="A24950" t="s">
        <v>231</v>
      </c>
      <c r="B24950" t="s">
        <v>260</v>
      </c>
      <c r="C24950">
        <v>3</v>
      </c>
      <c r="D24950" s="26">
        <v>6.4500000000000002E-2</v>
      </c>
      <c r="E24950" s="26">
        <v>4.0300000000000002E-2</v>
      </c>
      <c r="F24950" s="26">
        <v>2.4199999999999999E-2</v>
      </c>
      <c r="G24950" s="26">
        <v>8.0999999999999996E-3</v>
      </c>
      <c r="H24950" s="26">
        <v>1.61E-2</v>
      </c>
      <c r="I24950">
        <v>124</v>
      </c>
    </row>
    <row r="24951" spans="1:9" x14ac:dyDescent="0.35">
      <c r="A24951" t="s">
        <v>231</v>
      </c>
      <c r="B24951" t="s">
        <v>260</v>
      </c>
      <c r="C24951">
        <v>1</v>
      </c>
      <c r="D24951" s="26">
        <v>4.0300000000000002E-2</v>
      </c>
      <c r="E24951" s="26">
        <v>4.0300000000000002E-2</v>
      </c>
      <c r="F24951" s="26">
        <v>1.61E-2</v>
      </c>
      <c r="G24951" s="26">
        <v>8.0999999999999996E-3</v>
      </c>
      <c r="H24951" s="26">
        <v>4.0300000000000002E-2</v>
      </c>
      <c r="I24951">
        <v>124</v>
      </c>
    </row>
    <row r="24952" spans="1:9" x14ac:dyDescent="0.35">
      <c r="A24952" s="27" t="s">
        <v>231</v>
      </c>
      <c r="B24952" s="27" t="s">
        <v>261</v>
      </c>
      <c r="C24952" s="29">
        <v>3</v>
      </c>
      <c r="D24952" s="28">
        <v>7.4099999999999999E-2</v>
      </c>
      <c r="E24952" s="29"/>
      <c r="F24952" s="28">
        <v>3.6999999999999998E-2</v>
      </c>
      <c r="G24952" s="29"/>
      <c r="H24952" s="28">
        <v>3.6999999999999998E-2</v>
      </c>
      <c r="I24952" s="29">
        <v>27</v>
      </c>
    </row>
    <row r="24953" spans="1:9" x14ac:dyDescent="0.35">
      <c r="A24953" s="27" t="s">
        <v>231</v>
      </c>
      <c r="B24953" s="27" t="s">
        <v>261</v>
      </c>
      <c r="C24953" s="29">
        <v>7</v>
      </c>
      <c r="D24953" s="28">
        <v>0.1852</v>
      </c>
      <c r="E24953" s="28">
        <v>3.6999999999999998E-2</v>
      </c>
      <c r="F24953" s="28">
        <v>3.6999999999999998E-2</v>
      </c>
      <c r="G24953" s="28">
        <v>3.6999999999999998E-2</v>
      </c>
      <c r="H24953" s="28">
        <v>3.6999999999999998E-2</v>
      </c>
      <c r="I24953" s="29">
        <v>27</v>
      </c>
    </row>
    <row r="24954" spans="1:9" x14ac:dyDescent="0.35">
      <c r="A24954" s="27" t="s">
        <v>231</v>
      </c>
      <c r="B24954" s="27" t="s">
        <v>261</v>
      </c>
      <c r="C24954" s="29">
        <v>5</v>
      </c>
      <c r="D24954" s="28">
        <v>0.1111</v>
      </c>
      <c r="E24954" s="29"/>
      <c r="F24954" s="28">
        <v>0.1111</v>
      </c>
      <c r="G24954" s="29"/>
      <c r="H24954" s="28">
        <v>7.4099999999999999E-2</v>
      </c>
      <c r="I24954" s="29">
        <v>27</v>
      </c>
    </row>
    <row r="24955" spans="1:9" x14ac:dyDescent="0.35">
      <c r="A24955" s="27" t="s">
        <v>231</v>
      </c>
      <c r="B24955" s="27" t="s">
        <v>261</v>
      </c>
      <c r="C24955" s="29">
        <v>4</v>
      </c>
      <c r="D24955" s="28">
        <v>7.4099999999999999E-2</v>
      </c>
      <c r="E24955" s="29"/>
      <c r="F24955" s="28">
        <v>3.6999999999999998E-2</v>
      </c>
      <c r="G24955" s="28">
        <v>3.6999999999999998E-2</v>
      </c>
      <c r="H24955" s="28">
        <v>3.6999999999999998E-2</v>
      </c>
      <c r="I24955" s="29">
        <v>27</v>
      </c>
    </row>
    <row r="24956" spans="1:9" x14ac:dyDescent="0.35">
      <c r="A24956" s="27" t="s">
        <v>231</v>
      </c>
      <c r="B24956" s="27" t="s">
        <v>261</v>
      </c>
      <c r="C24956" s="29">
        <v>2</v>
      </c>
      <c r="D24956" s="28">
        <v>0.14810000000000001</v>
      </c>
      <c r="E24956" s="28">
        <v>3.6999999999999998E-2</v>
      </c>
      <c r="F24956" s="28">
        <v>7.4099999999999999E-2</v>
      </c>
      <c r="G24956" s="28">
        <v>3.6999999999999998E-2</v>
      </c>
      <c r="H24956" s="28">
        <v>7.4099999999999999E-2</v>
      </c>
      <c r="I24956" s="29">
        <v>27</v>
      </c>
    </row>
    <row r="24957" spans="1:9" x14ac:dyDescent="0.35">
      <c r="A24957" s="27" t="s">
        <v>231</v>
      </c>
      <c r="B24957" s="27" t="s">
        <v>261</v>
      </c>
      <c r="C24957" s="29">
        <v>1</v>
      </c>
      <c r="D24957" s="28">
        <v>3.6999999999999998E-2</v>
      </c>
      <c r="E24957" s="29"/>
      <c r="F24957" s="28">
        <v>3.6999999999999998E-2</v>
      </c>
      <c r="G24957" s="29"/>
      <c r="H24957" s="28">
        <v>3.6999999999999998E-2</v>
      </c>
      <c r="I24957" s="29">
        <v>27</v>
      </c>
    </row>
    <row r="24958" spans="1:9" x14ac:dyDescent="0.35">
      <c r="A24958" s="27" t="s">
        <v>231</v>
      </c>
      <c r="B24958" s="27" t="s">
        <v>261</v>
      </c>
      <c r="C24958" s="29">
        <v>0</v>
      </c>
      <c r="D24958" s="28">
        <v>0.37040000000000001</v>
      </c>
      <c r="E24958" s="28">
        <v>0.88890000000000002</v>
      </c>
      <c r="F24958" s="28">
        <v>0.66669999999999996</v>
      </c>
      <c r="G24958" s="28">
        <v>0.88890000000000002</v>
      </c>
      <c r="H24958" s="28">
        <v>0.70369999999999999</v>
      </c>
      <c r="I24958" s="29">
        <v>27</v>
      </c>
    </row>
    <row r="24959" spans="1:9" x14ac:dyDescent="0.35">
      <c r="A24959" s="27" t="s">
        <v>231</v>
      </c>
      <c r="B24959" s="27" t="s">
        <v>263</v>
      </c>
      <c r="C24959" s="29">
        <v>4</v>
      </c>
      <c r="D24959" s="28">
        <v>0.5</v>
      </c>
      <c r="E24959" s="29"/>
      <c r="F24959" s="28">
        <v>0.5</v>
      </c>
      <c r="G24959" s="29"/>
      <c r="H24959" s="29"/>
      <c r="I24959" s="29">
        <v>2</v>
      </c>
    </row>
    <row r="24960" spans="1:9" x14ac:dyDescent="0.35">
      <c r="A24960" s="27" t="s">
        <v>231</v>
      </c>
      <c r="B24960" s="27" t="s">
        <v>263</v>
      </c>
      <c r="C24960" s="29">
        <v>3</v>
      </c>
      <c r="D24960" s="28">
        <v>0.5</v>
      </c>
      <c r="E24960" s="28">
        <v>0.5</v>
      </c>
      <c r="F24960" s="28">
        <v>0.5</v>
      </c>
      <c r="G24960" s="29"/>
      <c r="H24960" s="28">
        <v>0.5</v>
      </c>
      <c r="I24960" s="29">
        <v>2</v>
      </c>
    </row>
    <row r="24961" spans="1:9" x14ac:dyDescent="0.35">
      <c r="A24961" t="s">
        <v>231</v>
      </c>
      <c r="B24961" t="s">
        <v>260</v>
      </c>
      <c r="C24961">
        <v>0</v>
      </c>
      <c r="D24961" s="26">
        <v>0.6694</v>
      </c>
      <c r="E24961" s="26">
        <v>0.8871</v>
      </c>
      <c r="F24961" s="26">
        <v>0.8548</v>
      </c>
      <c r="G24961" s="26">
        <v>0.9355</v>
      </c>
      <c r="H24961" s="26">
        <v>0.8226</v>
      </c>
      <c r="I24961">
        <v>124</v>
      </c>
    </row>
    <row r="24962" spans="1:9" x14ac:dyDescent="0.35">
      <c r="A24962" t="s">
        <v>232</v>
      </c>
      <c r="B24962" t="s">
        <v>232</v>
      </c>
      <c r="C24962">
        <v>5</v>
      </c>
      <c r="D24962" s="26">
        <v>2.1700000000000001E-2</v>
      </c>
      <c r="E24962" s="26">
        <v>2.8E-3</v>
      </c>
      <c r="F24962" s="26">
        <v>8.8000000000000005E-3</v>
      </c>
      <c r="G24962" s="26">
        <v>8.9999999999999998E-4</v>
      </c>
      <c r="H24962" s="26">
        <v>7.9000000000000008E-3</v>
      </c>
      <c r="I24962">
        <v>2813</v>
      </c>
    </row>
    <row r="24963" spans="1:9" x14ac:dyDescent="0.35">
      <c r="A24963" t="s">
        <v>232</v>
      </c>
      <c r="B24963" t="s">
        <v>232</v>
      </c>
      <c r="C24963">
        <v>4</v>
      </c>
      <c r="D24963" s="26">
        <v>2.4E-2</v>
      </c>
      <c r="E24963" s="26">
        <v>1.6000000000000001E-3</v>
      </c>
      <c r="F24963" s="26">
        <v>1.38E-2</v>
      </c>
      <c r="G24963" s="26">
        <v>1.01E-2</v>
      </c>
      <c r="H24963" s="26">
        <v>1.0200000000000001E-2</v>
      </c>
      <c r="I24963">
        <v>2813</v>
      </c>
    </row>
    <row r="24964" spans="1:9" x14ac:dyDescent="0.35">
      <c r="A24964" t="s">
        <v>232</v>
      </c>
      <c r="B24964" t="s">
        <v>232</v>
      </c>
      <c r="C24964">
        <v>3</v>
      </c>
      <c r="D24964" s="26">
        <v>5.8700000000000002E-2</v>
      </c>
      <c r="E24964" s="26">
        <v>1.9300000000000001E-2</v>
      </c>
      <c r="F24964" s="26">
        <v>2.5999999999999999E-2</v>
      </c>
      <c r="G24964" s="26">
        <v>1.0200000000000001E-2</v>
      </c>
      <c r="H24964" s="26">
        <v>2.1299999999999999E-2</v>
      </c>
      <c r="I24964">
        <v>2813</v>
      </c>
    </row>
    <row r="24965" spans="1:9" x14ac:dyDescent="0.35">
      <c r="A24965" t="s">
        <v>232</v>
      </c>
      <c r="B24965" t="s">
        <v>232</v>
      </c>
      <c r="C24965">
        <v>6</v>
      </c>
      <c r="D24965" s="26">
        <v>2.8E-3</v>
      </c>
      <c r="E24965" s="26">
        <v>1.6999999999999999E-3</v>
      </c>
      <c r="F24965" s="26">
        <v>4.0000000000000002E-4</v>
      </c>
      <c r="G24965" s="26">
        <v>2.3999999999999998E-3</v>
      </c>
      <c r="H24965" s="26">
        <v>1.8E-3</v>
      </c>
      <c r="I24965">
        <v>2813</v>
      </c>
    </row>
    <row r="24966" spans="1:9" x14ac:dyDescent="0.35">
      <c r="A24966" t="s">
        <v>232</v>
      </c>
      <c r="B24966" t="s">
        <v>232</v>
      </c>
      <c r="C24966">
        <v>1</v>
      </c>
      <c r="D24966" s="26">
        <v>2.9700000000000001E-2</v>
      </c>
      <c r="E24966" s="26">
        <v>4.2799999999999998E-2</v>
      </c>
      <c r="F24966" s="26">
        <v>1.67E-2</v>
      </c>
      <c r="G24966" s="26">
        <v>5.1000000000000004E-3</v>
      </c>
      <c r="H24966" s="26">
        <v>1.7999999999999999E-2</v>
      </c>
      <c r="I24966">
        <v>2813</v>
      </c>
    </row>
    <row r="24967" spans="1:9" x14ac:dyDescent="0.35">
      <c r="A24967" t="s">
        <v>232</v>
      </c>
      <c r="B24967" t="s">
        <v>232</v>
      </c>
      <c r="C24967">
        <v>0</v>
      </c>
      <c r="D24967" s="26">
        <v>0.66559999999999997</v>
      </c>
      <c r="E24967" s="26">
        <v>0.89839999999999998</v>
      </c>
      <c r="F24967" s="26">
        <v>0.85399999999999998</v>
      </c>
      <c r="G24967" s="26">
        <v>0.94440000000000002</v>
      </c>
      <c r="H24967" s="26">
        <v>0.86960000000000004</v>
      </c>
      <c r="I24967">
        <v>2813</v>
      </c>
    </row>
    <row r="24968" spans="1:9" x14ac:dyDescent="0.35">
      <c r="A24968" t="s">
        <v>232</v>
      </c>
      <c r="B24968" t="s">
        <v>232</v>
      </c>
      <c r="C24968">
        <v>2</v>
      </c>
      <c r="D24968" s="26">
        <v>8.6699999999999999E-2</v>
      </c>
      <c r="E24968" s="26">
        <v>2.4799999999999999E-2</v>
      </c>
      <c r="F24968" s="26">
        <v>3.5400000000000001E-2</v>
      </c>
      <c r="G24968" s="26">
        <v>1.1900000000000001E-2</v>
      </c>
      <c r="H24968" s="26">
        <v>2.6700000000000002E-2</v>
      </c>
      <c r="I24968">
        <v>2813</v>
      </c>
    </row>
    <row r="24969" spans="1:9" x14ac:dyDescent="0.35">
      <c r="A24969" t="s">
        <v>232</v>
      </c>
      <c r="B24969" t="s">
        <v>232</v>
      </c>
      <c r="C24969">
        <v>7</v>
      </c>
      <c r="D24969" s="26">
        <v>0.1108</v>
      </c>
      <c r="E24969" s="26">
        <v>8.6E-3</v>
      </c>
      <c r="F24969" s="26">
        <v>4.5100000000000001E-2</v>
      </c>
      <c r="G24969" s="26">
        <v>1.4999999999999999E-2</v>
      </c>
      <c r="H24969" s="26">
        <v>4.4600000000000001E-2</v>
      </c>
      <c r="I24969">
        <v>2813</v>
      </c>
    </row>
    <row r="24971" spans="1:9" x14ac:dyDescent="0.35">
      <c r="A24971" s="1" t="s">
        <v>2277</v>
      </c>
    </row>
    <row r="24972" spans="1:9" x14ac:dyDescent="0.35">
      <c r="A24972" t="s">
        <v>219</v>
      </c>
      <c r="B24972" t="s">
        <v>305</v>
      </c>
      <c r="C24972" t="s">
        <v>1270</v>
      </c>
      <c r="D24972" t="s">
        <v>2264</v>
      </c>
      <c r="E24972" t="s">
        <v>2265</v>
      </c>
      <c r="F24972" t="s">
        <v>2266</v>
      </c>
      <c r="G24972" t="s">
        <v>2267</v>
      </c>
      <c r="H24972" t="s">
        <v>2268</v>
      </c>
      <c r="I24972" t="s">
        <v>964</v>
      </c>
    </row>
    <row r="24973" spans="1:9" x14ac:dyDescent="0.35">
      <c r="A24973" t="s">
        <v>227</v>
      </c>
      <c r="B24973" t="s">
        <v>368</v>
      </c>
      <c r="C24973">
        <v>0</v>
      </c>
      <c r="D24973" s="26">
        <v>0.75760000000000005</v>
      </c>
      <c r="E24973" s="26">
        <v>0.90910000000000002</v>
      </c>
      <c r="F24973" s="26">
        <v>0.90910000000000002</v>
      </c>
      <c r="G24973" s="26">
        <v>0.96970000000000001</v>
      </c>
      <c r="H24973" s="26">
        <v>0.93940000000000001</v>
      </c>
      <c r="I24973">
        <v>33</v>
      </c>
    </row>
    <row r="24974" spans="1:9" x14ac:dyDescent="0.35">
      <c r="A24974" t="s">
        <v>227</v>
      </c>
      <c r="B24974" t="s">
        <v>369</v>
      </c>
      <c r="C24974">
        <v>7</v>
      </c>
      <c r="D24974" s="26">
        <v>0.1016</v>
      </c>
      <c r="E24974" s="26">
        <v>7.7999999999999996E-3</v>
      </c>
      <c r="F24974" s="26">
        <v>6.25E-2</v>
      </c>
      <c r="G24974" s="26">
        <v>7.7999999999999996E-3</v>
      </c>
      <c r="H24974" s="26">
        <v>3.9100000000000003E-2</v>
      </c>
      <c r="I24974">
        <v>128</v>
      </c>
    </row>
    <row r="24975" spans="1:9" x14ac:dyDescent="0.35">
      <c r="A24975" t="s">
        <v>227</v>
      </c>
      <c r="B24975" t="s">
        <v>369</v>
      </c>
      <c r="C24975">
        <v>3</v>
      </c>
      <c r="D24975" s="26">
        <v>0.1016</v>
      </c>
      <c r="E24975" s="26">
        <v>7.7999999999999996E-3</v>
      </c>
      <c r="F24975" s="26">
        <v>2.3400000000000001E-2</v>
      </c>
      <c r="G24975" s="26">
        <v>7.7999999999999996E-3</v>
      </c>
      <c r="H24975" s="26">
        <v>7.7999999999999996E-3</v>
      </c>
      <c r="I24975">
        <v>128</v>
      </c>
    </row>
    <row r="24976" spans="1:9" x14ac:dyDescent="0.35">
      <c r="A24976" t="s">
        <v>227</v>
      </c>
      <c r="B24976" t="s">
        <v>369</v>
      </c>
      <c r="C24976">
        <v>2</v>
      </c>
      <c r="D24976" s="26">
        <v>8.5900000000000004E-2</v>
      </c>
      <c r="E24976" s="26">
        <v>3.1199999999999999E-2</v>
      </c>
      <c r="F24976" s="26">
        <v>1.5599999999999999E-2</v>
      </c>
      <c r="G24976" s="26">
        <v>1.5599999999999999E-2</v>
      </c>
      <c r="H24976" s="26">
        <v>1.5599999999999999E-2</v>
      </c>
      <c r="I24976">
        <v>128</v>
      </c>
    </row>
    <row r="24977" spans="1:9" x14ac:dyDescent="0.35">
      <c r="A24977" t="s">
        <v>227</v>
      </c>
      <c r="B24977" t="s">
        <v>369</v>
      </c>
      <c r="C24977">
        <v>1</v>
      </c>
      <c r="D24977" s="26">
        <v>3.1199999999999999E-2</v>
      </c>
      <c r="E24977" s="26">
        <v>3.9100000000000003E-2</v>
      </c>
      <c r="F24977" s="26">
        <v>1.5599999999999999E-2</v>
      </c>
      <c r="H24977" s="26">
        <v>7.7999999999999996E-3</v>
      </c>
      <c r="I24977">
        <v>128</v>
      </c>
    </row>
    <row r="24978" spans="1:9" x14ac:dyDescent="0.35">
      <c r="A24978" t="s">
        <v>227</v>
      </c>
      <c r="B24978" t="s">
        <v>369</v>
      </c>
      <c r="C24978">
        <v>4</v>
      </c>
      <c r="D24978" s="26">
        <v>7.7999999999999996E-3</v>
      </c>
      <c r="F24978" s="26">
        <v>1.5599999999999999E-2</v>
      </c>
      <c r="G24978" s="26">
        <v>1.5599999999999999E-2</v>
      </c>
      <c r="H24978" s="26">
        <v>1.5599999999999999E-2</v>
      </c>
      <c r="I24978">
        <v>128</v>
      </c>
    </row>
    <row r="24979" spans="1:9" x14ac:dyDescent="0.35">
      <c r="A24979" t="s">
        <v>227</v>
      </c>
      <c r="B24979" t="s">
        <v>368</v>
      </c>
      <c r="C24979">
        <v>7</v>
      </c>
      <c r="D24979" s="26">
        <v>0.1212</v>
      </c>
      <c r="F24979" s="26">
        <v>3.0300000000000001E-2</v>
      </c>
      <c r="I24979">
        <v>33</v>
      </c>
    </row>
    <row r="24980" spans="1:9" x14ac:dyDescent="0.35">
      <c r="A24980" t="s">
        <v>227</v>
      </c>
      <c r="B24980" t="s">
        <v>368</v>
      </c>
      <c r="C24980">
        <v>2</v>
      </c>
      <c r="D24980" s="26">
        <v>9.0899999999999995E-2</v>
      </c>
      <c r="E24980" s="26">
        <v>6.0600000000000001E-2</v>
      </c>
      <c r="I24980">
        <v>33</v>
      </c>
    </row>
    <row r="24981" spans="1:9" x14ac:dyDescent="0.35">
      <c r="A24981" t="s">
        <v>227</v>
      </c>
      <c r="B24981" t="s">
        <v>368</v>
      </c>
      <c r="C24981">
        <v>1</v>
      </c>
      <c r="D24981" s="26">
        <v>3.0300000000000001E-2</v>
      </c>
      <c r="E24981" s="26">
        <v>3.0300000000000001E-2</v>
      </c>
      <c r="F24981" s="26">
        <v>6.0600000000000001E-2</v>
      </c>
      <c r="G24981" s="26">
        <v>3.0300000000000001E-2</v>
      </c>
      <c r="I24981">
        <v>33</v>
      </c>
    </row>
    <row r="24982" spans="1:9" x14ac:dyDescent="0.35">
      <c r="A24982" t="s">
        <v>227</v>
      </c>
      <c r="B24982" t="s">
        <v>369</v>
      </c>
      <c r="C24982">
        <v>0</v>
      </c>
      <c r="D24982" s="26">
        <v>0.67190000000000005</v>
      </c>
      <c r="E24982" s="26">
        <v>0.91410000000000002</v>
      </c>
      <c r="F24982" s="26">
        <v>0.86719999999999997</v>
      </c>
      <c r="G24982" s="26">
        <v>0.95309999999999995</v>
      </c>
      <c r="H24982" s="26">
        <v>0.90620000000000001</v>
      </c>
      <c r="I24982">
        <v>128</v>
      </c>
    </row>
    <row r="24983" spans="1:9" x14ac:dyDescent="0.35">
      <c r="A24983" t="s">
        <v>228</v>
      </c>
      <c r="B24983" t="s">
        <v>369</v>
      </c>
      <c r="C24983">
        <v>1</v>
      </c>
      <c r="D24983" s="26">
        <v>2.9700000000000001E-2</v>
      </c>
      <c r="E24983" s="26">
        <v>3.2899999999999999E-2</v>
      </c>
      <c r="F24983" s="26">
        <v>1.8499999999999999E-2</v>
      </c>
      <c r="G24983" s="26">
        <v>8.9999999999999993E-3</v>
      </c>
      <c r="H24983" s="26">
        <v>1.8800000000000001E-2</v>
      </c>
      <c r="I24983">
        <v>841</v>
      </c>
    </row>
    <row r="24984" spans="1:9" x14ac:dyDescent="0.35">
      <c r="A24984" t="s">
        <v>228</v>
      </c>
      <c r="B24984" t="s">
        <v>369</v>
      </c>
      <c r="C24984">
        <v>7</v>
      </c>
      <c r="D24984" s="26">
        <v>0.1192</v>
      </c>
      <c r="E24984" s="26">
        <v>1.24E-2</v>
      </c>
      <c r="F24984" s="26">
        <v>4.2900000000000001E-2</v>
      </c>
      <c r="G24984" s="26">
        <v>1.0800000000000001E-2</v>
      </c>
      <c r="H24984" s="26">
        <v>3.8899999999999997E-2</v>
      </c>
      <c r="I24984">
        <v>841</v>
      </c>
    </row>
    <row r="24985" spans="1:9" x14ac:dyDescent="0.35">
      <c r="A24985" t="s">
        <v>228</v>
      </c>
      <c r="B24985" t="s">
        <v>369</v>
      </c>
      <c r="C24985">
        <v>6</v>
      </c>
      <c r="D24985" s="26">
        <v>2.3999999999999998E-3</v>
      </c>
      <c r="F24985" s="26">
        <v>1.5E-3</v>
      </c>
      <c r="I24985">
        <v>841</v>
      </c>
    </row>
    <row r="24986" spans="1:9" x14ac:dyDescent="0.35">
      <c r="A24986" t="s">
        <v>228</v>
      </c>
      <c r="B24986" t="s">
        <v>369</v>
      </c>
      <c r="C24986">
        <v>5</v>
      </c>
      <c r="D24986" s="26">
        <v>1.9E-2</v>
      </c>
      <c r="E24986" s="26">
        <v>2.9999999999999997E-4</v>
      </c>
      <c r="F24986" s="26">
        <v>2.5999999999999999E-3</v>
      </c>
      <c r="G24986" s="26">
        <v>2.3E-3</v>
      </c>
      <c r="H24986" s="26">
        <v>5.0000000000000001E-3</v>
      </c>
      <c r="I24986">
        <v>841</v>
      </c>
    </row>
    <row r="24987" spans="1:9" x14ac:dyDescent="0.35">
      <c r="A24987" t="s">
        <v>228</v>
      </c>
      <c r="B24987" t="s">
        <v>369</v>
      </c>
      <c r="C24987">
        <v>4</v>
      </c>
      <c r="D24987" s="26">
        <v>2.0199999999999999E-2</v>
      </c>
      <c r="E24987" s="26">
        <v>7.3000000000000001E-3</v>
      </c>
      <c r="F24987" s="26">
        <v>7.4000000000000003E-3</v>
      </c>
      <c r="G24987" s="26">
        <v>1.5E-3</v>
      </c>
      <c r="H24987" s="26">
        <v>6.1000000000000004E-3</v>
      </c>
      <c r="I24987">
        <v>841</v>
      </c>
    </row>
    <row r="24988" spans="1:9" x14ac:dyDescent="0.35">
      <c r="A24988" t="s">
        <v>228</v>
      </c>
      <c r="B24988" t="s">
        <v>369</v>
      </c>
      <c r="C24988">
        <v>3</v>
      </c>
      <c r="D24988" s="26">
        <v>5.28E-2</v>
      </c>
      <c r="E24988" s="26">
        <v>1.29E-2</v>
      </c>
      <c r="F24988" s="26">
        <v>3.0200000000000001E-2</v>
      </c>
      <c r="G24988" s="26">
        <v>1.44E-2</v>
      </c>
      <c r="H24988" s="26">
        <v>1.9E-2</v>
      </c>
      <c r="I24988">
        <v>841</v>
      </c>
    </row>
    <row r="24989" spans="1:9" x14ac:dyDescent="0.35">
      <c r="A24989" t="s">
        <v>228</v>
      </c>
      <c r="B24989" t="s">
        <v>369</v>
      </c>
      <c r="C24989">
        <v>2</v>
      </c>
      <c r="D24989" s="26">
        <v>7.8700000000000006E-2</v>
      </c>
      <c r="E24989" s="26">
        <v>2.06E-2</v>
      </c>
      <c r="F24989" s="26">
        <v>2.5499999999999998E-2</v>
      </c>
      <c r="G24989" s="26">
        <v>1.38E-2</v>
      </c>
      <c r="H24989" s="26">
        <v>2.2499999999999999E-2</v>
      </c>
      <c r="I24989">
        <v>841</v>
      </c>
    </row>
    <row r="24990" spans="1:9" x14ac:dyDescent="0.35">
      <c r="A24990" t="s">
        <v>228</v>
      </c>
      <c r="B24990" t="s">
        <v>369</v>
      </c>
      <c r="C24990">
        <v>0</v>
      </c>
      <c r="D24990" s="26">
        <v>0.67800000000000005</v>
      </c>
      <c r="E24990" s="26">
        <v>0.91359999999999997</v>
      </c>
      <c r="F24990" s="26">
        <v>0.87150000000000005</v>
      </c>
      <c r="G24990" s="26">
        <v>0.94820000000000004</v>
      </c>
      <c r="H24990" s="26">
        <v>0.88970000000000005</v>
      </c>
      <c r="I24990">
        <v>841</v>
      </c>
    </row>
    <row r="24991" spans="1:9" x14ac:dyDescent="0.35">
      <c r="A24991" t="s">
        <v>228</v>
      </c>
      <c r="B24991" t="s">
        <v>368</v>
      </c>
      <c r="C24991">
        <v>6</v>
      </c>
      <c r="D24991" s="26">
        <v>1.1999999999999999E-3</v>
      </c>
      <c r="I24991">
        <v>192</v>
      </c>
    </row>
    <row r="24992" spans="1:9" x14ac:dyDescent="0.35">
      <c r="A24992" t="s">
        <v>228</v>
      </c>
      <c r="B24992" t="s">
        <v>368</v>
      </c>
      <c r="C24992">
        <v>5</v>
      </c>
      <c r="D24992" s="26">
        <v>1.55E-2</v>
      </c>
      <c r="E24992" s="26">
        <v>6.4000000000000003E-3</v>
      </c>
      <c r="G24992" s="26">
        <v>1.03E-2</v>
      </c>
      <c r="I24992">
        <v>192</v>
      </c>
    </row>
    <row r="24993" spans="1:9" x14ac:dyDescent="0.35">
      <c r="A24993" t="s">
        <v>228</v>
      </c>
      <c r="B24993" t="s">
        <v>368</v>
      </c>
      <c r="C24993">
        <v>4</v>
      </c>
      <c r="D24993" s="26">
        <v>2.5999999999999999E-2</v>
      </c>
      <c r="E24993" s="26">
        <v>1.8E-3</v>
      </c>
      <c r="F24993" s="26">
        <v>4.7000000000000002E-3</v>
      </c>
      <c r="H24993" s="26">
        <v>1.7299999999999999E-2</v>
      </c>
      <c r="I24993">
        <v>192</v>
      </c>
    </row>
    <row r="24994" spans="1:9" x14ac:dyDescent="0.35">
      <c r="A24994" t="s">
        <v>228</v>
      </c>
      <c r="B24994" t="s">
        <v>368</v>
      </c>
      <c r="C24994">
        <v>3</v>
      </c>
      <c r="D24994" s="26">
        <v>6.93E-2</v>
      </c>
      <c r="E24994" s="26">
        <v>8.3000000000000001E-3</v>
      </c>
      <c r="F24994" s="26">
        <v>4.0399999999999998E-2</v>
      </c>
      <c r="G24994" s="26">
        <v>7.1999999999999998E-3</v>
      </c>
      <c r="H24994" s="26">
        <v>0.04</v>
      </c>
      <c r="I24994">
        <v>192</v>
      </c>
    </row>
    <row r="24995" spans="1:9" x14ac:dyDescent="0.35">
      <c r="A24995" t="s">
        <v>228</v>
      </c>
      <c r="B24995" t="s">
        <v>368</v>
      </c>
      <c r="C24995">
        <v>2</v>
      </c>
      <c r="D24995" s="26">
        <v>4.6199999999999998E-2</v>
      </c>
      <c r="E24995" s="26">
        <v>2.3400000000000001E-2</v>
      </c>
      <c r="F24995" s="26">
        <v>3.1099999999999999E-2</v>
      </c>
      <c r="G24995" s="26">
        <v>2.4400000000000002E-2</v>
      </c>
      <c r="H24995" s="26">
        <v>3.4299999999999997E-2</v>
      </c>
      <c r="I24995">
        <v>192</v>
      </c>
    </row>
    <row r="24996" spans="1:9" x14ac:dyDescent="0.35">
      <c r="A24996" t="s">
        <v>228</v>
      </c>
      <c r="B24996" t="s">
        <v>368</v>
      </c>
      <c r="C24996">
        <v>1</v>
      </c>
      <c r="D24996" s="26">
        <v>5.4300000000000001E-2</v>
      </c>
      <c r="E24996" s="26">
        <v>7.1900000000000006E-2</v>
      </c>
      <c r="F24996" s="26">
        <v>4.3E-3</v>
      </c>
      <c r="G24996" s="26">
        <v>1.1999999999999999E-3</v>
      </c>
      <c r="I24996">
        <v>192</v>
      </c>
    </row>
    <row r="24997" spans="1:9" x14ac:dyDescent="0.35">
      <c r="A24997" t="s">
        <v>228</v>
      </c>
      <c r="B24997" t="s">
        <v>368</v>
      </c>
      <c r="C24997">
        <v>0</v>
      </c>
      <c r="D24997" s="26">
        <v>0.55700000000000005</v>
      </c>
      <c r="E24997" s="26">
        <v>0.87690000000000001</v>
      </c>
      <c r="F24997" s="26">
        <v>0.84570000000000001</v>
      </c>
      <c r="G24997" s="26">
        <v>0.89859999999999995</v>
      </c>
      <c r="H24997" s="26">
        <v>0.85760000000000003</v>
      </c>
      <c r="I24997">
        <v>192</v>
      </c>
    </row>
    <row r="24998" spans="1:9" x14ac:dyDescent="0.35">
      <c r="A24998" t="s">
        <v>228</v>
      </c>
      <c r="B24998" t="s">
        <v>368</v>
      </c>
      <c r="C24998">
        <v>7</v>
      </c>
      <c r="D24998" s="26">
        <v>0.23050000000000001</v>
      </c>
      <c r="E24998" s="26">
        <v>1.1299999999999999E-2</v>
      </c>
      <c r="F24998" s="26">
        <v>7.3800000000000004E-2</v>
      </c>
      <c r="G24998" s="26">
        <v>5.8200000000000002E-2</v>
      </c>
      <c r="H24998" s="26">
        <v>5.0799999999999998E-2</v>
      </c>
      <c r="I24998">
        <v>192</v>
      </c>
    </row>
    <row r="24999" spans="1:9" x14ac:dyDescent="0.35">
      <c r="A24999" t="s">
        <v>229</v>
      </c>
      <c r="B24999" t="s">
        <v>369</v>
      </c>
      <c r="C24999">
        <v>1</v>
      </c>
      <c r="D24999" s="26">
        <v>1.24E-2</v>
      </c>
      <c r="E24999" s="26">
        <v>4.6399999999999997E-2</v>
      </c>
      <c r="F24999" s="26">
        <v>1.03E-2</v>
      </c>
      <c r="G24999" s="26">
        <v>1E-3</v>
      </c>
      <c r="H24999" s="26">
        <v>1.4200000000000001E-2</v>
      </c>
      <c r="I24999">
        <v>799</v>
      </c>
    </row>
    <row r="25000" spans="1:9" x14ac:dyDescent="0.35">
      <c r="A25000" t="s">
        <v>229</v>
      </c>
      <c r="B25000" t="s">
        <v>369</v>
      </c>
      <c r="C25000">
        <v>7</v>
      </c>
      <c r="D25000" s="26">
        <v>6.2700000000000006E-2</v>
      </c>
      <c r="E25000" s="26">
        <v>1.14E-2</v>
      </c>
      <c r="F25000" s="26">
        <v>3.7600000000000001E-2</v>
      </c>
      <c r="G25000" s="26">
        <v>8.2000000000000007E-3</v>
      </c>
      <c r="H25000" s="26">
        <v>2.5999999999999999E-2</v>
      </c>
      <c r="I25000">
        <v>799</v>
      </c>
    </row>
    <row r="25001" spans="1:9" x14ac:dyDescent="0.35">
      <c r="A25001" t="s">
        <v>229</v>
      </c>
      <c r="B25001" t="s">
        <v>369</v>
      </c>
      <c r="C25001">
        <v>6</v>
      </c>
      <c r="D25001" s="26">
        <v>2.8999999999999998E-3</v>
      </c>
      <c r="G25001" s="26">
        <v>2.8999999999999998E-3</v>
      </c>
      <c r="I25001">
        <v>799</v>
      </c>
    </row>
    <row r="25002" spans="1:9" x14ac:dyDescent="0.35">
      <c r="A25002" t="s">
        <v>229</v>
      </c>
      <c r="B25002" t="s">
        <v>369</v>
      </c>
      <c r="C25002">
        <v>4</v>
      </c>
      <c r="D25002" s="26">
        <v>4.02E-2</v>
      </c>
      <c r="E25002" s="26">
        <v>4.0000000000000002E-4</v>
      </c>
      <c r="F25002" s="26">
        <v>6.4000000000000003E-3</v>
      </c>
      <c r="G25002" s="26">
        <v>1E-4</v>
      </c>
      <c r="H25002" s="26">
        <v>4.1000000000000003E-3</v>
      </c>
      <c r="I25002">
        <v>799</v>
      </c>
    </row>
    <row r="25003" spans="1:9" x14ac:dyDescent="0.35">
      <c r="A25003" t="s">
        <v>229</v>
      </c>
      <c r="B25003" t="s">
        <v>369</v>
      </c>
      <c r="C25003">
        <v>3</v>
      </c>
      <c r="D25003" s="26">
        <v>3.85E-2</v>
      </c>
      <c r="E25003" s="26">
        <v>7.0000000000000001E-3</v>
      </c>
      <c r="F25003" s="26">
        <v>2.5499999999999998E-2</v>
      </c>
      <c r="G25003" s="26">
        <v>1.0200000000000001E-2</v>
      </c>
      <c r="H25003" s="26">
        <v>2.3699999999999999E-2</v>
      </c>
      <c r="I25003">
        <v>799</v>
      </c>
    </row>
    <row r="25004" spans="1:9" x14ac:dyDescent="0.35">
      <c r="A25004" t="s">
        <v>229</v>
      </c>
      <c r="B25004" t="s">
        <v>369</v>
      </c>
      <c r="C25004">
        <v>2</v>
      </c>
      <c r="D25004" s="26">
        <v>0.10290000000000001</v>
      </c>
      <c r="E25004" s="26">
        <v>1.61E-2</v>
      </c>
      <c r="F25004" s="26">
        <v>3.9E-2</v>
      </c>
      <c r="G25004" s="26">
        <v>1.2699999999999999E-2</v>
      </c>
      <c r="H25004" s="26">
        <v>2.53E-2</v>
      </c>
      <c r="I25004">
        <v>799</v>
      </c>
    </row>
    <row r="25005" spans="1:9" x14ac:dyDescent="0.35">
      <c r="A25005" t="s">
        <v>229</v>
      </c>
      <c r="B25005" t="s">
        <v>369</v>
      </c>
      <c r="C25005">
        <v>0</v>
      </c>
      <c r="D25005" s="26">
        <v>0.72009999999999996</v>
      </c>
      <c r="E25005" s="26">
        <v>0.91790000000000005</v>
      </c>
      <c r="F25005" s="26">
        <v>0.87480000000000002</v>
      </c>
      <c r="G25005" s="26">
        <v>0.96430000000000005</v>
      </c>
      <c r="H25005" s="26">
        <v>0.90259999999999996</v>
      </c>
      <c r="I25005">
        <v>799</v>
      </c>
    </row>
    <row r="25006" spans="1:9" x14ac:dyDescent="0.35">
      <c r="A25006" t="s">
        <v>229</v>
      </c>
      <c r="B25006" t="s">
        <v>369</v>
      </c>
      <c r="C25006">
        <v>5</v>
      </c>
      <c r="D25006" s="26">
        <v>2.0199999999999999E-2</v>
      </c>
      <c r="E25006" s="26">
        <v>8.0000000000000004E-4</v>
      </c>
      <c r="F25006" s="26">
        <v>6.3E-3</v>
      </c>
      <c r="G25006" s="26">
        <v>5.0000000000000001E-4</v>
      </c>
      <c r="H25006" s="26">
        <v>4.1000000000000003E-3</v>
      </c>
      <c r="I25006">
        <v>799</v>
      </c>
    </row>
    <row r="25007" spans="1:9" x14ac:dyDescent="0.35">
      <c r="A25007" t="s">
        <v>229</v>
      </c>
      <c r="B25007" t="s">
        <v>368</v>
      </c>
      <c r="C25007">
        <v>5</v>
      </c>
      <c r="D25007" s="26">
        <v>1.6899999999999998E-2</v>
      </c>
      <c r="E25007" s="26">
        <v>2.2000000000000001E-3</v>
      </c>
      <c r="G25007" s="26">
        <v>1.1000000000000001E-3</v>
      </c>
      <c r="H25007" s="26">
        <v>1.1000000000000001E-3</v>
      </c>
      <c r="I25007">
        <v>96</v>
      </c>
    </row>
    <row r="25008" spans="1:9" x14ac:dyDescent="0.35">
      <c r="A25008" t="s">
        <v>229</v>
      </c>
      <c r="B25008" t="s">
        <v>368</v>
      </c>
      <c r="C25008">
        <v>4</v>
      </c>
      <c r="D25008" s="26">
        <v>1.9099999999999999E-2</v>
      </c>
      <c r="F25008" s="26">
        <v>1.7999999999999999E-2</v>
      </c>
      <c r="H25008" s="26">
        <v>1.6899999999999998E-2</v>
      </c>
      <c r="I25008">
        <v>96</v>
      </c>
    </row>
    <row r="25009" spans="1:9" x14ac:dyDescent="0.35">
      <c r="A25009" t="s">
        <v>229</v>
      </c>
      <c r="B25009" t="s">
        <v>368</v>
      </c>
      <c r="C25009">
        <v>3</v>
      </c>
      <c r="D25009" s="26">
        <v>2.35E-2</v>
      </c>
      <c r="E25009" s="26">
        <v>4.1500000000000002E-2</v>
      </c>
      <c r="F25009" s="26">
        <v>3.9300000000000002E-2</v>
      </c>
      <c r="G25009" s="26">
        <v>3.9300000000000002E-2</v>
      </c>
      <c r="H25009" s="26">
        <v>3.3700000000000001E-2</v>
      </c>
      <c r="I25009">
        <v>96</v>
      </c>
    </row>
    <row r="25010" spans="1:9" x14ac:dyDescent="0.35">
      <c r="A25010" t="s">
        <v>229</v>
      </c>
      <c r="B25010" t="s">
        <v>368</v>
      </c>
      <c r="C25010">
        <v>2</v>
      </c>
      <c r="D25010" s="26">
        <v>0.10390000000000001</v>
      </c>
      <c r="E25010" s="26">
        <v>3.2599999999999997E-2</v>
      </c>
      <c r="F25010" s="26">
        <v>7.2999999999999995E-2</v>
      </c>
      <c r="G25010" s="26">
        <v>4.4999999999999997E-3</v>
      </c>
      <c r="H25010" s="26">
        <v>2.0199999999999999E-2</v>
      </c>
      <c r="I25010">
        <v>96</v>
      </c>
    </row>
    <row r="25011" spans="1:9" x14ac:dyDescent="0.35">
      <c r="A25011" t="s">
        <v>229</v>
      </c>
      <c r="B25011" t="s">
        <v>368</v>
      </c>
      <c r="C25011">
        <v>7</v>
      </c>
      <c r="D25011" s="26">
        <v>0.23669999999999999</v>
      </c>
      <c r="E25011" s="26">
        <v>2.2000000000000001E-3</v>
      </c>
      <c r="F25011" s="26">
        <v>7.6300000000000007E-2</v>
      </c>
      <c r="G25011" s="26">
        <v>2.5700000000000001E-2</v>
      </c>
      <c r="H25011" s="26">
        <v>8.1799999999999998E-2</v>
      </c>
      <c r="I25011">
        <v>96</v>
      </c>
    </row>
    <row r="25012" spans="1:9" x14ac:dyDescent="0.35">
      <c r="A25012" t="s">
        <v>229</v>
      </c>
      <c r="B25012" t="s">
        <v>368</v>
      </c>
      <c r="C25012">
        <v>1</v>
      </c>
      <c r="D25012" s="26">
        <v>2.1299999999999999E-2</v>
      </c>
      <c r="E25012" s="26">
        <v>5.8299999999999998E-2</v>
      </c>
      <c r="F25012" s="26">
        <v>3.6999999999999998E-2</v>
      </c>
      <c r="G25012" s="26">
        <v>6.7000000000000002E-3</v>
      </c>
      <c r="H25012" s="26">
        <v>4.4999999999999997E-3</v>
      </c>
      <c r="I25012">
        <v>96</v>
      </c>
    </row>
    <row r="25013" spans="1:9" x14ac:dyDescent="0.35">
      <c r="A25013" t="s">
        <v>229</v>
      </c>
      <c r="B25013" t="s">
        <v>368</v>
      </c>
      <c r="C25013">
        <v>0</v>
      </c>
      <c r="D25013" s="26">
        <v>0.5786</v>
      </c>
      <c r="E25013" s="26">
        <v>0.86319999999999997</v>
      </c>
      <c r="F25013" s="26">
        <v>0.75639999999999996</v>
      </c>
      <c r="G25013" s="26">
        <v>0.92269999999999996</v>
      </c>
      <c r="H25013" s="26">
        <v>0.8417</v>
      </c>
      <c r="I25013">
        <v>96</v>
      </c>
    </row>
    <row r="25014" spans="1:9" x14ac:dyDescent="0.35">
      <c r="A25014" t="s">
        <v>230</v>
      </c>
      <c r="B25014" t="s">
        <v>369</v>
      </c>
      <c r="C25014">
        <v>7</v>
      </c>
      <c r="D25014" s="26">
        <v>0.12640000000000001</v>
      </c>
      <c r="E25014" s="26">
        <v>9.5999999999999992E-3</v>
      </c>
      <c r="F25014" s="26">
        <v>3.44E-2</v>
      </c>
      <c r="G25014" s="26">
        <v>2.3400000000000001E-2</v>
      </c>
      <c r="H25014" s="26">
        <v>4.3400000000000001E-2</v>
      </c>
      <c r="I25014">
        <v>503</v>
      </c>
    </row>
    <row r="25015" spans="1:9" x14ac:dyDescent="0.35">
      <c r="A25015" t="s">
        <v>230</v>
      </c>
      <c r="B25015" t="s">
        <v>369</v>
      </c>
      <c r="C25015">
        <v>6</v>
      </c>
      <c r="D25015" s="26">
        <v>1.9699999999999999E-2</v>
      </c>
      <c r="F25015" s="26">
        <v>2.0999999999999999E-3</v>
      </c>
      <c r="H25015" s="26">
        <v>1E-3</v>
      </c>
      <c r="I25015">
        <v>503</v>
      </c>
    </row>
    <row r="25016" spans="1:9" x14ac:dyDescent="0.35">
      <c r="A25016" t="s">
        <v>230</v>
      </c>
      <c r="B25016" t="s">
        <v>369</v>
      </c>
      <c r="C25016">
        <v>5</v>
      </c>
      <c r="D25016" s="26">
        <v>0.01</v>
      </c>
      <c r="E25016" s="26">
        <v>7.3000000000000001E-3</v>
      </c>
      <c r="F25016" s="26">
        <v>2.0999999999999999E-3</v>
      </c>
      <c r="H25016" s="26">
        <v>1E-3</v>
      </c>
      <c r="I25016">
        <v>503</v>
      </c>
    </row>
    <row r="25017" spans="1:9" x14ac:dyDescent="0.35">
      <c r="A25017" t="s">
        <v>230</v>
      </c>
      <c r="B25017" t="s">
        <v>369</v>
      </c>
      <c r="C25017">
        <v>4</v>
      </c>
      <c r="D25017" s="26">
        <v>1.95E-2</v>
      </c>
      <c r="E25017" s="26">
        <v>3.0999999999999999E-3</v>
      </c>
      <c r="F25017" s="26">
        <v>1.7500000000000002E-2</v>
      </c>
      <c r="G25017" s="26">
        <v>1.41E-2</v>
      </c>
      <c r="H25017" s="26">
        <v>1.06E-2</v>
      </c>
      <c r="I25017">
        <v>503</v>
      </c>
    </row>
    <row r="25018" spans="1:9" x14ac:dyDescent="0.35">
      <c r="A25018" t="s">
        <v>230</v>
      </c>
      <c r="B25018" t="s">
        <v>369</v>
      </c>
      <c r="C25018">
        <v>3</v>
      </c>
      <c r="D25018" s="26">
        <v>5.5599999999999997E-2</v>
      </c>
      <c r="E25018" s="26">
        <v>8.8999999999999999E-3</v>
      </c>
      <c r="F25018" s="26">
        <v>7.4999999999999997E-3</v>
      </c>
      <c r="G25018" s="26">
        <v>8.6E-3</v>
      </c>
      <c r="H25018" s="26">
        <v>2.41E-2</v>
      </c>
      <c r="I25018">
        <v>503</v>
      </c>
    </row>
    <row r="25019" spans="1:9" x14ac:dyDescent="0.35">
      <c r="A25019" t="s">
        <v>230</v>
      </c>
      <c r="B25019" t="s">
        <v>369</v>
      </c>
      <c r="C25019">
        <v>2</v>
      </c>
      <c r="D25019" s="26">
        <v>4.5600000000000002E-2</v>
      </c>
      <c r="E25019" s="26">
        <v>2.9899999999999999E-2</v>
      </c>
      <c r="F25019" s="26">
        <v>5.0799999999999998E-2</v>
      </c>
      <c r="G25019" s="26">
        <v>1.72E-2</v>
      </c>
      <c r="H25019" s="26">
        <v>4.99E-2</v>
      </c>
      <c r="I25019">
        <v>503</v>
      </c>
    </row>
    <row r="25020" spans="1:9" x14ac:dyDescent="0.35">
      <c r="A25020" t="s">
        <v>230</v>
      </c>
      <c r="B25020" t="s">
        <v>369</v>
      </c>
      <c r="C25020">
        <v>1</v>
      </c>
      <c r="D25020" s="26">
        <v>3.3000000000000002E-2</v>
      </c>
      <c r="E25020" s="26">
        <v>5.8200000000000002E-2</v>
      </c>
      <c r="F25020" s="26">
        <v>9.4000000000000004E-3</v>
      </c>
      <c r="G25020" s="26">
        <v>6.1999999999999998E-3</v>
      </c>
      <c r="H25020" s="26">
        <v>5.4999999999999997E-3</v>
      </c>
      <c r="I25020">
        <v>503</v>
      </c>
    </row>
    <row r="25021" spans="1:9" x14ac:dyDescent="0.35">
      <c r="A25021" t="s">
        <v>230</v>
      </c>
      <c r="B25021" t="s">
        <v>369</v>
      </c>
      <c r="C25021">
        <v>0</v>
      </c>
      <c r="D25021" s="26">
        <v>0.69030000000000002</v>
      </c>
      <c r="E25021" s="26">
        <v>0.88300000000000001</v>
      </c>
      <c r="F25021" s="26">
        <v>0.87629999999999997</v>
      </c>
      <c r="G25021" s="26">
        <v>0.93049999999999999</v>
      </c>
      <c r="H25021" s="26">
        <v>0.86439999999999995</v>
      </c>
      <c r="I25021">
        <v>503</v>
      </c>
    </row>
    <row r="25022" spans="1:9" x14ac:dyDescent="0.35">
      <c r="A25022" t="s">
        <v>230</v>
      </c>
      <c r="B25022" t="s">
        <v>368</v>
      </c>
      <c r="C25022">
        <v>7</v>
      </c>
      <c r="D25022" s="26">
        <v>0.13120000000000001</v>
      </c>
      <c r="F25022" s="26">
        <v>1.7600000000000001E-2</v>
      </c>
      <c r="G25022" s="26">
        <v>8.6999999999999994E-3</v>
      </c>
      <c r="H25022" s="26">
        <v>1.35E-2</v>
      </c>
      <c r="I25022">
        <v>57</v>
      </c>
    </row>
    <row r="25023" spans="1:9" x14ac:dyDescent="0.35">
      <c r="A25023" t="s">
        <v>230</v>
      </c>
      <c r="B25023" t="s">
        <v>368</v>
      </c>
      <c r="C25023">
        <v>5</v>
      </c>
      <c r="D25023" s="26">
        <v>2E-3</v>
      </c>
      <c r="I25023">
        <v>57</v>
      </c>
    </row>
    <row r="25024" spans="1:9" x14ac:dyDescent="0.35">
      <c r="A25024" t="s">
        <v>230</v>
      </c>
      <c r="B25024" t="s">
        <v>368</v>
      </c>
      <c r="C25024">
        <v>4</v>
      </c>
      <c r="D25024" s="26">
        <v>6.7999999999999996E-3</v>
      </c>
      <c r="F25024" s="26">
        <v>6.7000000000000002E-3</v>
      </c>
      <c r="G25024" s="26">
        <v>6.7000000000000002E-3</v>
      </c>
      <c r="H25024" s="26">
        <v>4.24E-2</v>
      </c>
      <c r="I25024">
        <v>57</v>
      </c>
    </row>
    <row r="25025" spans="1:9" x14ac:dyDescent="0.35">
      <c r="A25025" t="s">
        <v>230</v>
      </c>
      <c r="B25025" t="s">
        <v>368</v>
      </c>
      <c r="C25025">
        <v>3</v>
      </c>
      <c r="D25025" s="26">
        <v>0.17680000000000001</v>
      </c>
      <c r="E25025" s="26">
        <v>8.6999999999999994E-3</v>
      </c>
      <c r="F25025" s="26">
        <v>6.7000000000000002E-3</v>
      </c>
      <c r="G25025" s="26">
        <v>1.55E-2</v>
      </c>
      <c r="I25025">
        <v>57</v>
      </c>
    </row>
    <row r="25026" spans="1:9" x14ac:dyDescent="0.35">
      <c r="A25026" t="s">
        <v>230</v>
      </c>
      <c r="B25026" t="s">
        <v>368</v>
      </c>
      <c r="C25026">
        <v>2</v>
      </c>
      <c r="D25026" s="26">
        <v>0.10290000000000001</v>
      </c>
      <c r="E25026" s="26">
        <v>4.9099999999999998E-2</v>
      </c>
      <c r="F25026" s="26">
        <v>0.1211</v>
      </c>
      <c r="G25026" s="26">
        <v>4.7E-2</v>
      </c>
      <c r="H25026" s="26">
        <v>4.0399999999999998E-2</v>
      </c>
      <c r="I25026">
        <v>57</v>
      </c>
    </row>
    <row r="25027" spans="1:9" x14ac:dyDescent="0.35">
      <c r="A25027" t="s">
        <v>230</v>
      </c>
      <c r="B25027" t="s">
        <v>368</v>
      </c>
      <c r="C25027">
        <v>0</v>
      </c>
      <c r="D25027" s="26">
        <v>0.58020000000000005</v>
      </c>
      <c r="E25027" s="26">
        <v>0.88839999999999997</v>
      </c>
      <c r="F25027" s="26">
        <v>0.84799999999999998</v>
      </c>
      <c r="G25027" s="26">
        <v>0.92210000000000003</v>
      </c>
      <c r="H25027" s="26">
        <v>0.90169999999999995</v>
      </c>
      <c r="I25027">
        <v>57</v>
      </c>
    </row>
    <row r="25028" spans="1:9" x14ac:dyDescent="0.35">
      <c r="A25028" t="s">
        <v>231</v>
      </c>
      <c r="B25028" t="s">
        <v>369</v>
      </c>
      <c r="C25028">
        <v>7</v>
      </c>
      <c r="D25028" s="26">
        <v>9.4899999999999998E-2</v>
      </c>
      <c r="F25028" s="26">
        <v>4.3799999999999999E-2</v>
      </c>
      <c r="G25028" s="26">
        <v>1.46E-2</v>
      </c>
      <c r="H25028" s="26">
        <v>7.2999999999999995E-2</v>
      </c>
      <c r="I25028">
        <v>137</v>
      </c>
    </row>
    <row r="25029" spans="1:9" x14ac:dyDescent="0.35">
      <c r="A25029" t="s">
        <v>231</v>
      </c>
      <c r="B25029" t="s">
        <v>369</v>
      </c>
      <c r="C25029">
        <v>5</v>
      </c>
      <c r="D25029" s="26">
        <v>2.92E-2</v>
      </c>
      <c r="E25029" s="26">
        <v>7.3000000000000001E-3</v>
      </c>
      <c r="F25029" s="26">
        <v>7.3000000000000001E-3</v>
      </c>
      <c r="H25029" s="26">
        <v>7.3000000000000001E-3</v>
      </c>
      <c r="I25029">
        <v>137</v>
      </c>
    </row>
    <row r="25030" spans="1:9" x14ac:dyDescent="0.35">
      <c r="A25030" t="s">
        <v>231</v>
      </c>
      <c r="B25030" t="s">
        <v>369</v>
      </c>
      <c r="C25030">
        <v>4</v>
      </c>
      <c r="D25030" s="26">
        <v>1.46E-2</v>
      </c>
      <c r="F25030" s="26">
        <v>2.1899999999999999E-2</v>
      </c>
      <c r="G25030" s="26">
        <v>2.1899999999999999E-2</v>
      </c>
      <c r="I25030">
        <v>137</v>
      </c>
    </row>
    <row r="25031" spans="1:9" x14ac:dyDescent="0.35">
      <c r="A25031" t="s">
        <v>231</v>
      </c>
      <c r="B25031" t="s">
        <v>369</v>
      </c>
      <c r="C25031">
        <v>3</v>
      </c>
      <c r="D25031" s="26">
        <v>6.5699999999999995E-2</v>
      </c>
      <c r="E25031" s="26">
        <v>5.11E-2</v>
      </c>
      <c r="F25031" s="26">
        <v>2.92E-2</v>
      </c>
      <c r="G25031" s="26">
        <v>7.3000000000000001E-3</v>
      </c>
      <c r="H25031" s="26">
        <v>2.1899999999999999E-2</v>
      </c>
      <c r="I25031">
        <v>137</v>
      </c>
    </row>
    <row r="25032" spans="1:9" x14ac:dyDescent="0.35">
      <c r="A25032" t="s">
        <v>231</v>
      </c>
      <c r="B25032" t="s">
        <v>369</v>
      </c>
      <c r="C25032">
        <v>2</v>
      </c>
      <c r="D25032" s="26">
        <v>8.0299999999999996E-2</v>
      </c>
      <c r="E25032" s="26">
        <v>2.1899999999999999E-2</v>
      </c>
      <c r="F25032" s="26">
        <v>2.92E-2</v>
      </c>
      <c r="H25032" s="26">
        <v>2.1899999999999999E-2</v>
      </c>
      <c r="I25032">
        <v>137</v>
      </c>
    </row>
    <row r="25033" spans="1:9" x14ac:dyDescent="0.35">
      <c r="A25033" t="s">
        <v>231</v>
      </c>
      <c r="B25033" t="s">
        <v>369</v>
      </c>
      <c r="C25033">
        <v>1</v>
      </c>
      <c r="D25033" s="26">
        <v>4.3799999999999999E-2</v>
      </c>
      <c r="E25033" s="26">
        <v>4.3799999999999999E-2</v>
      </c>
      <c r="F25033" s="26">
        <v>1.46E-2</v>
      </c>
      <c r="G25033" s="26">
        <v>7.3000000000000001E-3</v>
      </c>
      <c r="H25033" s="26">
        <v>3.6499999999999998E-2</v>
      </c>
      <c r="I25033">
        <v>137</v>
      </c>
    </row>
    <row r="25034" spans="1:9" x14ac:dyDescent="0.35">
      <c r="A25034" t="s">
        <v>231</v>
      </c>
      <c r="B25034" t="s">
        <v>369</v>
      </c>
      <c r="C25034">
        <v>0</v>
      </c>
      <c r="D25034" s="26">
        <v>0.67149999999999999</v>
      </c>
      <c r="E25034" s="26">
        <v>0.87590000000000001</v>
      </c>
      <c r="F25034" s="26">
        <v>0.85399999999999998</v>
      </c>
      <c r="G25034" s="26">
        <v>0.94159999999999999</v>
      </c>
      <c r="H25034" s="26">
        <v>0.83209999999999995</v>
      </c>
      <c r="I25034">
        <v>137</v>
      </c>
    </row>
    <row r="25035" spans="1:9" x14ac:dyDescent="0.35">
      <c r="A25035" s="27" t="s">
        <v>231</v>
      </c>
      <c r="B25035" s="27" t="s">
        <v>368</v>
      </c>
      <c r="C25035" s="29">
        <v>0</v>
      </c>
      <c r="D25035" s="28">
        <v>0.37040000000000001</v>
      </c>
      <c r="E25035" s="28">
        <v>0.88890000000000002</v>
      </c>
      <c r="F25035" s="28">
        <v>0.66669999999999996</v>
      </c>
      <c r="G25035" s="28">
        <v>0.88890000000000002</v>
      </c>
      <c r="H25035" s="28">
        <v>0.70369999999999999</v>
      </c>
      <c r="I25035" s="29">
        <v>27</v>
      </c>
    </row>
    <row r="25036" spans="1:9" x14ac:dyDescent="0.35">
      <c r="A25036" s="27" t="s">
        <v>231</v>
      </c>
      <c r="B25036" s="27" t="s">
        <v>368</v>
      </c>
      <c r="C25036" s="29">
        <v>5</v>
      </c>
      <c r="D25036" s="28">
        <v>0.1111</v>
      </c>
      <c r="E25036" s="29"/>
      <c r="F25036" s="28">
        <v>0.1111</v>
      </c>
      <c r="G25036" s="29"/>
      <c r="H25036" s="28">
        <v>7.4099999999999999E-2</v>
      </c>
      <c r="I25036" s="29">
        <v>27</v>
      </c>
    </row>
    <row r="25037" spans="1:9" x14ac:dyDescent="0.35">
      <c r="A25037" s="27" t="s">
        <v>231</v>
      </c>
      <c r="B25037" s="27" t="s">
        <v>368</v>
      </c>
      <c r="C25037" s="29">
        <v>4</v>
      </c>
      <c r="D25037" s="28">
        <v>7.4099999999999999E-2</v>
      </c>
      <c r="E25037" s="29"/>
      <c r="F25037" s="28">
        <v>3.6999999999999998E-2</v>
      </c>
      <c r="G25037" s="28">
        <v>3.6999999999999998E-2</v>
      </c>
      <c r="H25037" s="28">
        <v>3.6999999999999998E-2</v>
      </c>
      <c r="I25037" s="29">
        <v>27</v>
      </c>
    </row>
    <row r="25038" spans="1:9" x14ac:dyDescent="0.35">
      <c r="A25038" s="27" t="s">
        <v>231</v>
      </c>
      <c r="B25038" s="27" t="s">
        <v>368</v>
      </c>
      <c r="C25038" s="29">
        <v>3</v>
      </c>
      <c r="D25038" s="28">
        <v>7.4099999999999999E-2</v>
      </c>
      <c r="E25038" s="29"/>
      <c r="F25038" s="28">
        <v>3.6999999999999998E-2</v>
      </c>
      <c r="G25038" s="29"/>
      <c r="H25038" s="28">
        <v>3.6999999999999998E-2</v>
      </c>
      <c r="I25038" s="29">
        <v>27</v>
      </c>
    </row>
    <row r="25039" spans="1:9" x14ac:dyDescent="0.35">
      <c r="A25039" s="27" t="s">
        <v>231</v>
      </c>
      <c r="B25039" s="27" t="s">
        <v>368</v>
      </c>
      <c r="C25039" s="29">
        <v>2</v>
      </c>
      <c r="D25039" s="28">
        <v>0.14810000000000001</v>
      </c>
      <c r="E25039" s="28">
        <v>3.6999999999999998E-2</v>
      </c>
      <c r="F25039" s="28">
        <v>7.4099999999999999E-2</v>
      </c>
      <c r="G25039" s="28">
        <v>3.6999999999999998E-2</v>
      </c>
      <c r="H25039" s="28">
        <v>7.4099999999999999E-2</v>
      </c>
      <c r="I25039" s="29">
        <v>27</v>
      </c>
    </row>
    <row r="25040" spans="1:9" x14ac:dyDescent="0.35">
      <c r="A25040" s="27" t="s">
        <v>231</v>
      </c>
      <c r="B25040" s="27" t="s">
        <v>368</v>
      </c>
      <c r="C25040" s="29">
        <v>1</v>
      </c>
      <c r="D25040" s="28">
        <v>3.6999999999999998E-2</v>
      </c>
      <c r="E25040" s="29"/>
      <c r="F25040" s="28">
        <v>3.6999999999999998E-2</v>
      </c>
      <c r="G25040" s="29"/>
      <c r="H25040" s="28">
        <v>3.6999999999999998E-2</v>
      </c>
      <c r="I25040" s="29">
        <v>27</v>
      </c>
    </row>
    <row r="25041" spans="1:9" x14ac:dyDescent="0.35">
      <c r="A25041" s="27" t="s">
        <v>231</v>
      </c>
      <c r="B25041" s="27" t="s">
        <v>368</v>
      </c>
      <c r="C25041" s="29">
        <v>7</v>
      </c>
      <c r="D25041" s="28">
        <v>0.1852</v>
      </c>
      <c r="E25041" s="28">
        <v>3.6999999999999998E-2</v>
      </c>
      <c r="F25041" s="28">
        <v>3.6999999999999998E-2</v>
      </c>
      <c r="G25041" s="28">
        <v>3.6999999999999998E-2</v>
      </c>
      <c r="H25041" s="28">
        <v>3.6999999999999998E-2</v>
      </c>
      <c r="I25041" s="29">
        <v>27</v>
      </c>
    </row>
    <row r="25042" spans="1:9" x14ac:dyDescent="0.35">
      <c r="A25042" t="s">
        <v>232</v>
      </c>
      <c r="B25042" t="s">
        <v>232</v>
      </c>
      <c r="C25042">
        <v>6</v>
      </c>
      <c r="D25042" s="26">
        <v>2.8E-3</v>
      </c>
      <c r="E25042" s="26">
        <v>1.6999999999999999E-3</v>
      </c>
      <c r="F25042" s="26">
        <v>4.0000000000000002E-4</v>
      </c>
      <c r="G25042" s="26">
        <v>2.3999999999999998E-3</v>
      </c>
      <c r="H25042" s="26">
        <v>1.8E-3</v>
      </c>
      <c r="I25042">
        <v>2813</v>
      </c>
    </row>
    <row r="25043" spans="1:9" x14ac:dyDescent="0.35">
      <c r="A25043" t="s">
        <v>232</v>
      </c>
      <c r="B25043" t="s">
        <v>232</v>
      </c>
      <c r="C25043">
        <v>0</v>
      </c>
      <c r="D25043" s="26">
        <v>0.66559999999999997</v>
      </c>
      <c r="E25043" s="26">
        <v>0.89839999999999998</v>
      </c>
      <c r="F25043" s="26">
        <v>0.85399999999999998</v>
      </c>
      <c r="G25043" s="26">
        <v>0.94440000000000002</v>
      </c>
      <c r="H25043" s="26">
        <v>0.86960000000000004</v>
      </c>
      <c r="I25043">
        <v>2813</v>
      </c>
    </row>
    <row r="25044" spans="1:9" x14ac:dyDescent="0.35">
      <c r="A25044" t="s">
        <v>232</v>
      </c>
      <c r="B25044" t="s">
        <v>232</v>
      </c>
      <c r="C25044">
        <v>1</v>
      </c>
      <c r="D25044" s="26">
        <v>2.9700000000000001E-2</v>
      </c>
      <c r="E25044" s="26">
        <v>4.2799999999999998E-2</v>
      </c>
      <c r="F25044" s="26">
        <v>1.67E-2</v>
      </c>
      <c r="G25044" s="26">
        <v>5.1000000000000004E-3</v>
      </c>
      <c r="H25044" s="26">
        <v>1.7999999999999999E-2</v>
      </c>
      <c r="I25044">
        <v>2813</v>
      </c>
    </row>
    <row r="25045" spans="1:9" x14ac:dyDescent="0.35">
      <c r="A25045" t="s">
        <v>232</v>
      </c>
      <c r="B25045" t="s">
        <v>232</v>
      </c>
      <c r="C25045">
        <v>2</v>
      </c>
      <c r="D25045" s="26">
        <v>8.6699999999999999E-2</v>
      </c>
      <c r="E25045" s="26">
        <v>2.4799999999999999E-2</v>
      </c>
      <c r="F25045" s="26">
        <v>3.5400000000000001E-2</v>
      </c>
      <c r="G25045" s="26">
        <v>1.1900000000000001E-2</v>
      </c>
      <c r="H25045" s="26">
        <v>2.6700000000000002E-2</v>
      </c>
      <c r="I25045">
        <v>2813</v>
      </c>
    </row>
    <row r="25046" spans="1:9" x14ac:dyDescent="0.35">
      <c r="A25046" t="s">
        <v>232</v>
      </c>
      <c r="B25046" t="s">
        <v>232</v>
      </c>
      <c r="C25046">
        <v>3</v>
      </c>
      <c r="D25046" s="26">
        <v>5.8700000000000002E-2</v>
      </c>
      <c r="E25046" s="26">
        <v>1.9300000000000001E-2</v>
      </c>
      <c r="F25046" s="26">
        <v>2.5999999999999999E-2</v>
      </c>
      <c r="G25046" s="26">
        <v>1.0200000000000001E-2</v>
      </c>
      <c r="H25046" s="26">
        <v>2.1299999999999999E-2</v>
      </c>
      <c r="I25046">
        <v>2813</v>
      </c>
    </row>
    <row r="25047" spans="1:9" x14ac:dyDescent="0.35">
      <c r="A25047" t="s">
        <v>232</v>
      </c>
      <c r="B25047" t="s">
        <v>232</v>
      </c>
      <c r="C25047">
        <v>4</v>
      </c>
      <c r="D25047" s="26">
        <v>2.4E-2</v>
      </c>
      <c r="E25047" s="26">
        <v>1.6000000000000001E-3</v>
      </c>
      <c r="F25047" s="26">
        <v>1.38E-2</v>
      </c>
      <c r="G25047" s="26">
        <v>1.01E-2</v>
      </c>
      <c r="H25047" s="26">
        <v>1.0200000000000001E-2</v>
      </c>
      <c r="I25047">
        <v>2813</v>
      </c>
    </row>
    <row r="25048" spans="1:9" x14ac:dyDescent="0.35">
      <c r="A25048" t="s">
        <v>232</v>
      </c>
      <c r="B25048" t="s">
        <v>232</v>
      </c>
      <c r="C25048">
        <v>5</v>
      </c>
      <c r="D25048" s="26">
        <v>2.1700000000000001E-2</v>
      </c>
      <c r="E25048" s="26">
        <v>2.8E-3</v>
      </c>
      <c r="F25048" s="26">
        <v>8.8000000000000005E-3</v>
      </c>
      <c r="G25048" s="26">
        <v>8.9999999999999998E-4</v>
      </c>
      <c r="H25048" s="26">
        <v>7.9000000000000008E-3</v>
      </c>
      <c r="I25048">
        <v>2813</v>
      </c>
    </row>
    <row r="25049" spans="1:9" x14ac:dyDescent="0.35">
      <c r="A25049" t="s">
        <v>232</v>
      </c>
      <c r="B25049" t="s">
        <v>232</v>
      </c>
      <c r="C25049">
        <v>7</v>
      </c>
      <c r="D25049" s="26">
        <v>0.1108</v>
      </c>
      <c r="E25049" s="26">
        <v>8.6E-3</v>
      </c>
      <c r="F25049" s="26">
        <v>4.5100000000000001E-2</v>
      </c>
      <c r="G25049" s="26">
        <v>1.4999999999999999E-2</v>
      </c>
      <c r="H25049" s="26">
        <v>4.4600000000000001E-2</v>
      </c>
      <c r="I25049">
        <v>2813</v>
      </c>
    </row>
    <row r="25051" spans="1:9" x14ac:dyDescent="0.35">
      <c r="A25051" s="1" t="s">
        <v>2278</v>
      </c>
    </row>
    <row r="25052" spans="1:9" x14ac:dyDescent="0.35">
      <c r="A25052" t="s">
        <v>219</v>
      </c>
      <c r="B25052" t="s">
        <v>305</v>
      </c>
      <c r="C25052" t="s">
        <v>1270</v>
      </c>
      <c r="D25052" t="s">
        <v>2264</v>
      </c>
      <c r="E25052" t="s">
        <v>2265</v>
      </c>
      <c r="F25052" t="s">
        <v>2266</v>
      </c>
      <c r="G25052" t="s">
        <v>2267</v>
      </c>
      <c r="H25052" t="s">
        <v>2268</v>
      </c>
      <c r="I25052" t="s">
        <v>964</v>
      </c>
    </row>
    <row r="25053" spans="1:9" x14ac:dyDescent="0.35">
      <c r="A25053" t="s">
        <v>227</v>
      </c>
      <c r="B25053" t="s">
        <v>371</v>
      </c>
      <c r="C25053">
        <v>0</v>
      </c>
      <c r="D25053" s="26">
        <v>0.68940000000000001</v>
      </c>
      <c r="E25053" s="26">
        <v>0.91300000000000003</v>
      </c>
      <c r="F25053" s="26">
        <v>0.87580000000000002</v>
      </c>
      <c r="G25053" s="26">
        <v>0.95650000000000002</v>
      </c>
      <c r="H25053" s="26">
        <v>0.91300000000000003</v>
      </c>
      <c r="I25053">
        <v>161</v>
      </c>
    </row>
    <row r="25054" spans="1:9" x14ac:dyDescent="0.35">
      <c r="A25054" t="s">
        <v>227</v>
      </c>
      <c r="B25054" t="s">
        <v>371</v>
      </c>
      <c r="C25054">
        <v>1</v>
      </c>
      <c r="D25054" s="26">
        <v>3.1099999999999999E-2</v>
      </c>
      <c r="E25054" s="26">
        <v>3.73E-2</v>
      </c>
      <c r="F25054" s="26">
        <v>2.4799999999999999E-2</v>
      </c>
      <c r="G25054" s="26">
        <v>6.1999999999999998E-3</v>
      </c>
      <c r="H25054" s="26">
        <v>6.1999999999999998E-3</v>
      </c>
      <c r="I25054">
        <v>161</v>
      </c>
    </row>
    <row r="25055" spans="1:9" x14ac:dyDescent="0.35">
      <c r="A25055" t="s">
        <v>227</v>
      </c>
      <c r="B25055" t="s">
        <v>371</v>
      </c>
      <c r="C25055">
        <v>2</v>
      </c>
      <c r="D25055" s="26">
        <v>8.6999999999999994E-2</v>
      </c>
      <c r="E25055" s="26">
        <v>3.73E-2</v>
      </c>
      <c r="F25055" s="26">
        <v>1.24E-2</v>
      </c>
      <c r="G25055" s="26">
        <v>1.24E-2</v>
      </c>
      <c r="H25055" s="26">
        <v>1.24E-2</v>
      </c>
      <c r="I25055">
        <v>161</v>
      </c>
    </row>
    <row r="25056" spans="1:9" x14ac:dyDescent="0.35">
      <c r="A25056" t="s">
        <v>227</v>
      </c>
      <c r="B25056" t="s">
        <v>371</v>
      </c>
      <c r="C25056">
        <v>3</v>
      </c>
      <c r="D25056" s="26">
        <v>8.0699999999999994E-2</v>
      </c>
      <c r="E25056" s="26">
        <v>6.1999999999999998E-3</v>
      </c>
      <c r="F25056" s="26">
        <v>1.8599999999999998E-2</v>
      </c>
      <c r="G25056" s="26">
        <v>6.1999999999999998E-3</v>
      </c>
      <c r="H25056" s="26">
        <v>6.1999999999999998E-3</v>
      </c>
      <c r="I25056">
        <v>161</v>
      </c>
    </row>
    <row r="25057" spans="1:9" x14ac:dyDescent="0.35">
      <c r="A25057" t="s">
        <v>227</v>
      </c>
      <c r="B25057" t="s">
        <v>371</v>
      </c>
      <c r="C25057">
        <v>4</v>
      </c>
      <c r="D25057" s="26">
        <v>6.1999999999999998E-3</v>
      </c>
      <c r="F25057" s="26">
        <v>1.24E-2</v>
      </c>
      <c r="G25057" s="26">
        <v>1.24E-2</v>
      </c>
      <c r="H25057" s="26">
        <v>2.4799999999999999E-2</v>
      </c>
      <c r="I25057">
        <v>161</v>
      </c>
    </row>
    <row r="25058" spans="1:9" x14ac:dyDescent="0.35">
      <c r="A25058" t="s">
        <v>227</v>
      </c>
      <c r="B25058" t="s">
        <v>371</v>
      </c>
      <c r="C25058">
        <v>7</v>
      </c>
      <c r="D25058" s="26">
        <v>0.1056</v>
      </c>
      <c r="E25058" s="26">
        <v>6.1999999999999998E-3</v>
      </c>
      <c r="F25058" s="26">
        <v>5.5899999999999998E-2</v>
      </c>
      <c r="G25058" s="26">
        <v>6.1999999999999998E-3</v>
      </c>
      <c r="H25058" s="26">
        <v>3.1099999999999999E-2</v>
      </c>
      <c r="I25058">
        <v>161</v>
      </c>
    </row>
    <row r="25059" spans="1:9" x14ac:dyDescent="0.35">
      <c r="A25059" t="s">
        <v>228</v>
      </c>
      <c r="B25059" t="s">
        <v>372</v>
      </c>
      <c r="C25059">
        <v>7</v>
      </c>
      <c r="D25059" s="26">
        <v>0.2293</v>
      </c>
      <c r="E25059" s="26">
        <v>2.18E-2</v>
      </c>
      <c r="F25059" s="26">
        <v>9.2799999999999994E-2</v>
      </c>
      <c r="G25059" s="26">
        <v>1.6199999999999999E-2</v>
      </c>
      <c r="H25059" s="26">
        <v>8.0600000000000005E-2</v>
      </c>
      <c r="I25059">
        <v>218</v>
      </c>
    </row>
    <row r="25060" spans="1:9" x14ac:dyDescent="0.35">
      <c r="A25060" t="s">
        <v>228</v>
      </c>
      <c r="B25060" t="s">
        <v>373</v>
      </c>
      <c r="C25060">
        <v>0</v>
      </c>
      <c r="D25060" s="26">
        <v>0.63419999999999999</v>
      </c>
      <c r="E25060" s="26">
        <v>0.8952</v>
      </c>
      <c r="F25060" s="26">
        <v>0.8528</v>
      </c>
      <c r="G25060" s="26">
        <v>0.94210000000000005</v>
      </c>
      <c r="H25060" s="26">
        <v>0.87570000000000003</v>
      </c>
      <c r="I25060">
        <v>523</v>
      </c>
    </row>
    <row r="25061" spans="1:9" x14ac:dyDescent="0.35">
      <c r="A25061" t="s">
        <v>228</v>
      </c>
      <c r="B25061" t="s">
        <v>373</v>
      </c>
      <c r="C25061">
        <v>1</v>
      </c>
      <c r="D25061" s="26">
        <v>2.1399999999999999E-2</v>
      </c>
      <c r="E25061" s="26">
        <v>3.2300000000000002E-2</v>
      </c>
      <c r="F25061" s="26">
        <v>1.4800000000000001E-2</v>
      </c>
      <c r="G25061" s="26">
        <v>7.7999999999999996E-3</v>
      </c>
      <c r="H25061" s="26">
        <v>1.52E-2</v>
      </c>
      <c r="I25061">
        <v>523</v>
      </c>
    </row>
    <row r="25062" spans="1:9" x14ac:dyDescent="0.35">
      <c r="A25062" t="s">
        <v>228</v>
      </c>
      <c r="B25062" t="s">
        <v>373</v>
      </c>
      <c r="C25062">
        <v>2</v>
      </c>
      <c r="D25062" s="26">
        <v>8.2400000000000001E-2</v>
      </c>
      <c r="E25062" s="26">
        <v>3.6600000000000001E-2</v>
      </c>
      <c r="F25062" s="26">
        <v>4.1399999999999999E-2</v>
      </c>
      <c r="G25062" s="26">
        <v>1.2999999999999999E-2</v>
      </c>
      <c r="H25062" s="26">
        <v>2.7E-2</v>
      </c>
      <c r="I25062">
        <v>523</v>
      </c>
    </row>
    <row r="25063" spans="1:9" x14ac:dyDescent="0.35">
      <c r="A25063" t="s">
        <v>228</v>
      </c>
      <c r="B25063" t="s">
        <v>373</v>
      </c>
      <c r="C25063">
        <v>5</v>
      </c>
      <c r="D25063" s="26">
        <v>2.3900000000000001E-2</v>
      </c>
      <c r="E25063" s="26">
        <v>2.7000000000000001E-3</v>
      </c>
      <c r="F25063" s="26">
        <v>3.5999999999999999E-3</v>
      </c>
      <c r="G25063" s="26">
        <v>7.1000000000000004E-3</v>
      </c>
      <c r="H25063" s="26">
        <v>1.03E-2</v>
      </c>
      <c r="I25063">
        <v>523</v>
      </c>
    </row>
    <row r="25064" spans="1:9" x14ac:dyDescent="0.35">
      <c r="A25064" t="s">
        <v>228</v>
      </c>
      <c r="B25064" t="s">
        <v>373</v>
      </c>
      <c r="C25064">
        <v>4</v>
      </c>
      <c r="D25064" s="26">
        <v>2.35E-2</v>
      </c>
      <c r="E25064" s="26">
        <v>2.0999999999999999E-3</v>
      </c>
      <c r="F25064" s="26">
        <v>1.0500000000000001E-2</v>
      </c>
      <c r="G25064" s="26">
        <v>5.9999999999999995E-4</v>
      </c>
      <c r="H25064" s="26">
        <v>1.5800000000000002E-2</v>
      </c>
      <c r="I25064">
        <v>523</v>
      </c>
    </row>
    <row r="25065" spans="1:9" x14ac:dyDescent="0.35">
      <c r="A25065" t="s">
        <v>228</v>
      </c>
      <c r="B25065" t="s">
        <v>372</v>
      </c>
      <c r="C25065">
        <v>5</v>
      </c>
      <c r="D25065" s="26">
        <v>4.8999999999999998E-3</v>
      </c>
      <c r="E25065" s="26">
        <v>4.8999999999999998E-3</v>
      </c>
      <c r="F25065" s="26">
        <v>7.7000000000000002E-3</v>
      </c>
      <c r="G25065" s="26">
        <v>1.2500000000000001E-2</v>
      </c>
      <c r="I25065">
        <v>218</v>
      </c>
    </row>
    <row r="25066" spans="1:9" x14ac:dyDescent="0.35">
      <c r="A25066" t="s">
        <v>228</v>
      </c>
      <c r="B25066" t="s">
        <v>373</v>
      </c>
      <c r="C25066">
        <v>6</v>
      </c>
      <c r="D25066" s="26">
        <v>2.7000000000000001E-3</v>
      </c>
      <c r="F25066" s="26">
        <v>3.0000000000000001E-3</v>
      </c>
      <c r="I25066">
        <v>523</v>
      </c>
    </row>
    <row r="25067" spans="1:9" x14ac:dyDescent="0.35">
      <c r="A25067" t="s">
        <v>228</v>
      </c>
      <c r="B25067" t="s">
        <v>373</v>
      </c>
      <c r="C25067">
        <v>7</v>
      </c>
      <c r="D25067" s="26">
        <v>0.1467</v>
      </c>
      <c r="E25067" s="26">
        <v>1.5599999999999999E-2</v>
      </c>
      <c r="F25067" s="26">
        <v>5.0700000000000002E-2</v>
      </c>
      <c r="G25067" s="26">
        <v>1.55E-2</v>
      </c>
      <c r="H25067" s="26">
        <v>3.6400000000000002E-2</v>
      </c>
      <c r="I25067">
        <v>523</v>
      </c>
    </row>
    <row r="25068" spans="1:9" x14ac:dyDescent="0.35">
      <c r="A25068" t="s">
        <v>228</v>
      </c>
      <c r="B25068" t="s">
        <v>373</v>
      </c>
      <c r="C25068">
        <v>3</v>
      </c>
      <c r="D25068" s="26">
        <v>6.5199999999999994E-2</v>
      </c>
      <c r="E25068" s="26">
        <v>1.55E-2</v>
      </c>
      <c r="F25068" s="26">
        <v>2.3199999999999998E-2</v>
      </c>
      <c r="G25068" s="26">
        <v>1.3899999999999999E-2</v>
      </c>
      <c r="H25068" s="26">
        <v>1.9599999999999999E-2</v>
      </c>
      <c r="I25068">
        <v>523</v>
      </c>
    </row>
    <row r="25069" spans="1:9" x14ac:dyDescent="0.35">
      <c r="A25069" t="s">
        <v>228</v>
      </c>
      <c r="B25069" t="s">
        <v>372</v>
      </c>
      <c r="C25069">
        <v>4</v>
      </c>
      <c r="D25069" s="26">
        <v>1.7000000000000001E-2</v>
      </c>
      <c r="E25069" s="26">
        <v>2.0500000000000001E-2</v>
      </c>
      <c r="F25069" s="26">
        <v>1.9E-2</v>
      </c>
      <c r="G25069" s="26">
        <v>1.1299999999999999E-2</v>
      </c>
      <c r="H25069" s="26">
        <v>1.61E-2</v>
      </c>
      <c r="I25069">
        <v>218</v>
      </c>
    </row>
    <row r="25070" spans="1:9" x14ac:dyDescent="0.35">
      <c r="A25070" t="s">
        <v>228</v>
      </c>
      <c r="B25070" t="s">
        <v>372</v>
      </c>
      <c r="C25070">
        <v>6</v>
      </c>
      <c r="D25070" s="26">
        <v>1.2500000000000001E-2</v>
      </c>
      <c r="I25070">
        <v>218</v>
      </c>
    </row>
    <row r="25071" spans="1:9" x14ac:dyDescent="0.35">
      <c r="A25071" t="s">
        <v>228</v>
      </c>
      <c r="B25071" t="s">
        <v>372</v>
      </c>
      <c r="C25071">
        <v>2</v>
      </c>
      <c r="D25071" s="26">
        <v>6.2199999999999998E-2</v>
      </c>
      <c r="E25071" s="26">
        <v>1.7000000000000001E-2</v>
      </c>
      <c r="F25071" s="26">
        <v>3.7900000000000003E-2</v>
      </c>
      <c r="G25071" s="26">
        <v>9.7000000000000003E-3</v>
      </c>
      <c r="H25071" s="26">
        <v>3.2000000000000001E-2</v>
      </c>
      <c r="I25071">
        <v>218</v>
      </c>
    </row>
    <row r="25072" spans="1:9" x14ac:dyDescent="0.35">
      <c r="A25072" t="s">
        <v>228</v>
      </c>
      <c r="B25072" t="s">
        <v>372</v>
      </c>
      <c r="C25072">
        <v>3</v>
      </c>
      <c r="D25072" s="26">
        <v>3.7199999999999997E-2</v>
      </c>
      <c r="E25072" s="26">
        <v>2.18E-2</v>
      </c>
      <c r="F25072" s="26">
        <v>4.1300000000000003E-2</v>
      </c>
      <c r="G25072" s="26">
        <v>2.8E-3</v>
      </c>
      <c r="H25072" s="26">
        <v>2.1100000000000001E-2</v>
      </c>
      <c r="I25072">
        <v>218</v>
      </c>
    </row>
    <row r="25073" spans="1:9" x14ac:dyDescent="0.35">
      <c r="A25073" t="s">
        <v>228</v>
      </c>
      <c r="B25073" t="s">
        <v>371</v>
      </c>
      <c r="C25073">
        <v>1</v>
      </c>
      <c r="D25073" s="26">
        <v>4.5900000000000003E-2</v>
      </c>
      <c r="E25073" s="26">
        <v>4.3799999999999999E-2</v>
      </c>
      <c r="F25073" s="26">
        <v>1.55E-2</v>
      </c>
      <c r="G25073" s="26">
        <v>6.4000000000000003E-3</v>
      </c>
      <c r="H25073" s="26">
        <v>1.41E-2</v>
      </c>
      <c r="I25073">
        <v>292</v>
      </c>
    </row>
    <row r="25074" spans="1:9" x14ac:dyDescent="0.35">
      <c r="A25074" t="s">
        <v>228</v>
      </c>
      <c r="B25074" t="s">
        <v>371</v>
      </c>
      <c r="C25074">
        <v>2</v>
      </c>
      <c r="D25074" s="26">
        <v>6.6500000000000004E-2</v>
      </c>
      <c r="E25074" s="26">
        <v>1.0200000000000001E-2</v>
      </c>
      <c r="F25074" s="26">
        <v>1.35E-2</v>
      </c>
      <c r="G25074" s="26">
        <v>1.9099999999999999E-2</v>
      </c>
      <c r="H25074" s="26">
        <v>2.1899999999999999E-2</v>
      </c>
      <c r="I25074">
        <v>292</v>
      </c>
    </row>
    <row r="25075" spans="1:9" x14ac:dyDescent="0.35">
      <c r="A25075" t="s">
        <v>228</v>
      </c>
      <c r="B25075" t="s">
        <v>371</v>
      </c>
      <c r="C25075">
        <v>3</v>
      </c>
      <c r="D25075" s="26">
        <v>5.2200000000000003E-2</v>
      </c>
      <c r="E25075" s="26">
        <v>7.7000000000000002E-3</v>
      </c>
      <c r="F25075" s="26">
        <v>3.7499999999999999E-2</v>
      </c>
      <c r="G25075" s="26">
        <v>1.41E-2</v>
      </c>
      <c r="H25075" s="26">
        <v>2.6100000000000002E-2</v>
      </c>
      <c r="I25075">
        <v>292</v>
      </c>
    </row>
    <row r="25076" spans="1:9" x14ac:dyDescent="0.35">
      <c r="A25076" t="s">
        <v>228</v>
      </c>
      <c r="B25076" t="s">
        <v>371</v>
      </c>
      <c r="C25076">
        <v>4</v>
      </c>
      <c r="D25076" s="26">
        <v>2.0500000000000001E-2</v>
      </c>
      <c r="E25076" s="26">
        <v>7.0000000000000001E-3</v>
      </c>
      <c r="F25076" s="26">
        <v>2.0999999999999999E-3</v>
      </c>
      <c r="H25076" s="26">
        <v>1.4E-3</v>
      </c>
      <c r="I25076">
        <v>292</v>
      </c>
    </row>
    <row r="25077" spans="1:9" x14ac:dyDescent="0.35">
      <c r="A25077" t="s">
        <v>228</v>
      </c>
      <c r="B25077" t="s">
        <v>371</v>
      </c>
      <c r="C25077">
        <v>0</v>
      </c>
      <c r="D25077" s="26">
        <v>0.67669999999999997</v>
      </c>
      <c r="E25077" s="26">
        <v>0.92320000000000002</v>
      </c>
      <c r="F25077" s="26">
        <v>0.89100000000000001</v>
      </c>
      <c r="G25077" s="26">
        <v>0.9365</v>
      </c>
      <c r="H25077" s="26">
        <v>0.89810000000000001</v>
      </c>
      <c r="I25077">
        <v>292</v>
      </c>
    </row>
    <row r="25078" spans="1:9" x14ac:dyDescent="0.35">
      <c r="A25078" t="s">
        <v>228</v>
      </c>
      <c r="B25078" t="s">
        <v>371</v>
      </c>
      <c r="C25078">
        <v>7</v>
      </c>
      <c r="D25078" s="26">
        <v>0.1221</v>
      </c>
      <c r="E25078" s="26">
        <v>8.0999999999999996E-3</v>
      </c>
      <c r="F25078" s="26">
        <v>4.0500000000000001E-2</v>
      </c>
      <c r="G25078" s="26">
        <v>2.4E-2</v>
      </c>
      <c r="H25078" s="26">
        <v>3.8399999999999997E-2</v>
      </c>
      <c r="I25078">
        <v>292</v>
      </c>
    </row>
    <row r="25079" spans="1:9" x14ac:dyDescent="0.35">
      <c r="A25079" t="s">
        <v>228</v>
      </c>
      <c r="B25079" t="s">
        <v>372</v>
      </c>
      <c r="C25079">
        <v>0</v>
      </c>
      <c r="D25079" s="26">
        <v>0.61219999999999997</v>
      </c>
      <c r="E25079" s="26">
        <v>0.85570000000000002</v>
      </c>
      <c r="F25079" s="26">
        <v>0.77939999999999998</v>
      </c>
      <c r="G25079" s="26">
        <v>0.93489999999999995</v>
      </c>
      <c r="H25079" s="26">
        <v>0.82920000000000005</v>
      </c>
      <c r="I25079">
        <v>218</v>
      </c>
    </row>
    <row r="25080" spans="1:9" x14ac:dyDescent="0.35">
      <c r="A25080" t="s">
        <v>228</v>
      </c>
      <c r="B25080" t="s">
        <v>372</v>
      </c>
      <c r="C25080">
        <v>1</v>
      </c>
      <c r="D25080" s="26">
        <v>2.47E-2</v>
      </c>
      <c r="E25080" s="26">
        <v>5.8299999999999998E-2</v>
      </c>
      <c r="F25080" s="26">
        <v>2.18E-2</v>
      </c>
      <c r="G25080" s="26">
        <v>1.2500000000000001E-2</v>
      </c>
      <c r="H25080" s="26">
        <v>2.1000000000000001E-2</v>
      </c>
      <c r="I25080">
        <v>218</v>
      </c>
    </row>
    <row r="25081" spans="1:9" x14ac:dyDescent="0.35">
      <c r="A25081" t="s">
        <v>228</v>
      </c>
      <c r="B25081" t="s">
        <v>371</v>
      </c>
      <c r="C25081">
        <v>5</v>
      </c>
      <c r="D25081" s="26">
        <v>1.6299999999999999E-2</v>
      </c>
      <c r="I25081">
        <v>292</v>
      </c>
    </row>
    <row r="25082" spans="1:9" x14ac:dyDescent="0.35">
      <c r="A25082" t="s">
        <v>229</v>
      </c>
      <c r="B25082" t="s">
        <v>372</v>
      </c>
      <c r="C25082">
        <v>3</v>
      </c>
      <c r="D25082" s="26">
        <v>1.61E-2</v>
      </c>
      <c r="E25082" s="26">
        <v>3.2899999999999999E-2</v>
      </c>
      <c r="F25082" s="26">
        <v>2.8400000000000002E-2</v>
      </c>
      <c r="H25082" s="26">
        <v>1.61E-2</v>
      </c>
      <c r="I25082">
        <v>221</v>
      </c>
    </row>
    <row r="25083" spans="1:9" x14ac:dyDescent="0.35">
      <c r="A25083" t="s">
        <v>229</v>
      </c>
      <c r="B25083" t="s">
        <v>373</v>
      </c>
      <c r="C25083">
        <v>7</v>
      </c>
      <c r="D25083" s="26">
        <v>9.8599999999999993E-2</v>
      </c>
      <c r="H25083" s="26">
        <v>1.23E-2</v>
      </c>
      <c r="I25083">
        <v>90</v>
      </c>
    </row>
    <row r="25084" spans="1:9" x14ac:dyDescent="0.35">
      <c r="A25084" t="s">
        <v>229</v>
      </c>
      <c r="B25084" t="s">
        <v>373</v>
      </c>
      <c r="C25084">
        <v>4</v>
      </c>
      <c r="D25084" s="26">
        <v>2.47E-2</v>
      </c>
      <c r="F25084" s="26">
        <v>1.23E-2</v>
      </c>
      <c r="H25084" s="26">
        <v>1.23E-2</v>
      </c>
      <c r="I25084">
        <v>90</v>
      </c>
    </row>
    <row r="25085" spans="1:9" x14ac:dyDescent="0.35">
      <c r="A25085" t="s">
        <v>229</v>
      </c>
      <c r="B25085" t="s">
        <v>373</v>
      </c>
      <c r="C25085">
        <v>3</v>
      </c>
      <c r="D25085" s="26">
        <v>8.0299999999999996E-2</v>
      </c>
      <c r="E25085" s="26">
        <v>2.47E-2</v>
      </c>
      <c r="G25085" s="26">
        <v>1.23E-2</v>
      </c>
      <c r="H25085" s="26">
        <v>6.3E-3</v>
      </c>
      <c r="I25085">
        <v>90</v>
      </c>
    </row>
    <row r="25086" spans="1:9" x14ac:dyDescent="0.35">
      <c r="A25086" t="s">
        <v>229</v>
      </c>
      <c r="B25086" t="s">
        <v>373</v>
      </c>
      <c r="C25086">
        <v>2</v>
      </c>
      <c r="D25086" s="26">
        <v>0.1085</v>
      </c>
      <c r="F25086" s="26">
        <v>2.2200000000000001E-2</v>
      </c>
      <c r="H25086" s="26">
        <v>3.4500000000000003E-2</v>
      </c>
      <c r="I25086">
        <v>90</v>
      </c>
    </row>
    <row r="25087" spans="1:9" x14ac:dyDescent="0.35">
      <c r="A25087" t="s">
        <v>229</v>
      </c>
      <c r="B25087" t="s">
        <v>373</v>
      </c>
      <c r="C25087">
        <v>1</v>
      </c>
      <c r="D25087" s="26">
        <v>2.8199999999999999E-2</v>
      </c>
      <c r="E25087" s="26">
        <v>2.47E-2</v>
      </c>
      <c r="H25087" s="26">
        <v>1.23E-2</v>
      </c>
      <c r="I25087">
        <v>90</v>
      </c>
    </row>
    <row r="25088" spans="1:9" x14ac:dyDescent="0.35">
      <c r="A25088" t="s">
        <v>229</v>
      </c>
      <c r="B25088" t="s">
        <v>373</v>
      </c>
      <c r="C25088">
        <v>0</v>
      </c>
      <c r="D25088" s="26">
        <v>0.65969999999999995</v>
      </c>
      <c r="E25088" s="26">
        <v>0.93840000000000001</v>
      </c>
      <c r="F25088" s="26">
        <v>0.96550000000000002</v>
      </c>
      <c r="G25088" s="26">
        <v>0.97529999999999994</v>
      </c>
      <c r="H25088" s="26">
        <v>0.92220000000000002</v>
      </c>
      <c r="I25088">
        <v>90</v>
      </c>
    </row>
    <row r="25089" spans="1:9" x14ac:dyDescent="0.35">
      <c r="A25089" t="s">
        <v>229</v>
      </c>
      <c r="B25089" t="s">
        <v>372</v>
      </c>
      <c r="C25089">
        <v>5</v>
      </c>
      <c r="D25089" s="26">
        <v>7.6E-3</v>
      </c>
      <c r="F25089" s="26">
        <v>6.6E-3</v>
      </c>
      <c r="G25089" s="26">
        <v>1.9E-3</v>
      </c>
      <c r="H25089" s="26">
        <v>6.6E-3</v>
      </c>
      <c r="I25089">
        <v>221</v>
      </c>
    </row>
    <row r="25090" spans="1:9" x14ac:dyDescent="0.35">
      <c r="A25090" t="s">
        <v>229</v>
      </c>
      <c r="B25090" t="s">
        <v>372</v>
      </c>
      <c r="C25090">
        <v>4</v>
      </c>
      <c r="D25090" s="26">
        <v>1.7000000000000001E-2</v>
      </c>
      <c r="E25090" s="26">
        <v>6.6E-3</v>
      </c>
      <c r="F25090" s="26">
        <v>1.9699999999999999E-2</v>
      </c>
      <c r="G25090" s="26">
        <v>1.9E-3</v>
      </c>
      <c r="H25090" s="26">
        <v>3.8E-3</v>
      </c>
      <c r="I25090">
        <v>221</v>
      </c>
    </row>
    <row r="25091" spans="1:9" x14ac:dyDescent="0.35">
      <c r="A25091" t="s">
        <v>229</v>
      </c>
      <c r="B25091" t="s">
        <v>372</v>
      </c>
      <c r="C25091">
        <v>2</v>
      </c>
      <c r="D25091" s="26">
        <v>7.1599999999999997E-2</v>
      </c>
      <c r="E25091" s="26">
        <v>2.7300000000000001E-2</v>
      </c>
      <c r="F25091" s="26">
        <v>2.5399999999999999E-2</v>
      </c>
      <c r="H25091" s="26">
        <v>2.46E-2</v>
      </c>
      <c r="I25091">
        <v>221</v>
      </c>
    </row>
    <row r="25092" spans="1:9" x14ac:dyDescent="0.35">
      <c r="A25092" t="s">
        <v>229</v>
      </c>
      <c r="B25092" t="s">
        <v>372</v>
      </c>
      <c r="C25092">
        <v>7</v>
      </c>
      <c r="D25092" s="26">
        <v>0.14680000000000001</v>
      </c>
      <c r="E25092" s="26">
        <v>1.9699999999999999E-2</v>
      </c>
      <c r="F25092" s="26">
        <v>2.35E-2</v>
      </c>
      <c r="G25092" s="26">
        <v>1.9699999999999999E-2</v>
      </c>
      <c r="H25092" s="26">
        <v>4.1399999999999999E-2</v>
      </c>
      <c r="I25092">
        <v>221</v>
      </c>
    </row>
    <row r="25093" spans="1:9" x14ac:dyDescent="0.35">
      <c r="A25093" t="s">
        <v>229</v>
      </c>
      <c r="B25093" t="s">
        <v>372</v>
      </c>
      <c r="C25093">
        <v>0</v>
      </c>
      <c r="D25093" s="26">
        <v>0.70520000000000005</v>
      </c>
      <c r="E25093" s="26">
        <v>0.87019999999999997</v>
      </c>
      <c r="F25093" s="26">
        <v>0.88129999999999997</v>
      </c>
      <c r="G25093" s="26">
        <v>0.96989999999999998</v>
      </c>
      <c r="H25093" s="26">
        <v>0.90569999999999995</v>
      </c>
      <c r="I25093">
        <v>221</v>
      </c>
    </row>
    <row r="25094" spans="1:9" x14ac:dyDescent="0.35">
      <c r="A25094" t="s">
        <v>229</v>
      </c>
      <c r="B25094" t="s">
        <v>372</v>
      </c>
      <c r="C25094">
        <v>1</v>
      </c>
      <c r="D25094" s="26">
        <v>3.5799999999999998E-2</v>
      </c>
      <c r="E25094" s="26">
        <v>4.3299999999999998E-2</v>
      </c>
      <c r="F25094" s="26">
        <v>1.5100000000000001E-2</v>
      </c>
      <c r="G25094" s="26">
        <v>6.6E-3</v>
      </c>
      <c r="H25094" s="26">
        <v>1.9E-3</v>
      </c>
      <c r="I25094">
        <v>221</v>
      </c>
    </row>
    <row r="25095" spans="1:9" x14ac:dyDescent="0.35">
      <c r="A25095" t="s">
        <v>229</v>
      </c>
      <c r="B25095" t="s">
        <v>371</v>
      </c>
      <c r="C25095">
        <v>1</v>
      </c>
      <c r="D25095" s="26">
        <v>1.21E-2</v>
      </c>
      <c r="E25095" s="26">
        <v>4.9099999999999998E-2</v>
      </c>
      <c r="F25095" s="26">
        <v>1.46E-2</v>
      </c>
      <c r="G25095" s="26">
        <v>1.6000000000000001E-3</v>
      </c>
      <c r="H25095" s="26">
        <v>1.34E-2</v>
      </c>
      <c r="I25095">
        <v>584</v>
      </c>
    </row>
    <row r="25096" spans="1:9" x14ac:dyDescent="0.35">
      <c r="A25096" t="s">
        <v>229</v>
      </c>
      <c r="B25096" t="s">
        <v>371</v>
      </c>
      <c r="C25096">
        <v>2</v>
      </c>
      <c r="D25096" s="26">
        <v>0.1045</v>
      </c>
      <c r="E25096" s="26">
        <v>1.8599999999999998E-2</v>
      </c>
      <c r="F25096" s="26">
        <v>4.5699999999999998E-2</v>
      </c>
      <c r="G25096" s="26">
        <v>1.2500000000000001E-2</v>
      </c>
      <c r="H25096" s="26">
        <v>2.4199999999999999E-2</v>
      </c>
      <c r="I25096">
        <v>584</v>
      </c>
    </row>
    <row r="25097" spans="1:9" x14ac:dyDescent="0.35">
      <c r="A25097" t="s">
        <v>229</v>
      </c>
      <c r="B25097" t="s">
        <v>371</v>
      </c>
      <c r="C25097">
        <v>3</v>
      </c>
      <c r="D25097" s="26">
        <v>3.61E-2</v>
      </c>
      <c r="E25097" s="26">
        <v>1.0699999999999999E-2</v>
      </c>
      <c r="F25097" s="26">
        <v>2.8299999999999999E-2</v>
      </c>
      <c r="G25097" s="26">
        <v>1.54E-2</v>
      </c>
      <c r="H25097" s="26">
        <v>2.6200000000000001E-2</v>
      </c>
      <c r="I25097">
        <v>584</v>
      </c>
    </row>
    <row r="25098" spans="1:9" x14ac:dyDescent="0.35">
      <c r="A25098" t="s">
        <v>229</v>
      </c>
      <c r="B25098" t="s">
        <v>371</v>
      </c>
      <c r="C25098">
        <v>0</v>
      </c>
      <c r="D25098" s="26">
        <v>0.69989999999999997</v>
      </c>
      <c r="E25098" s="26">
        <v>0.91110000000000002</v>
      </c>
      <c r="F25098" s="26">
        <v>0.8528</v>
      </c>
      <c r="G25098" s="26">
        <v>0.95699999999999996</v>
      </c>
      <c r="H25098" s="26">
        <v>0.8921</v>
      </c>
      <c r="I25098">
        <v>584</v>
      </c>
    </row>
    <row r="25099" spans="1:9" x14ac:dyDescent="0.35">
      <c r="A25099" t="s">
        <v>229</v>
      </c>
      <c r="B25099" t="s">
        <v>371</v>
      </c>
      <c r="C25099">
        <v>5</v>
      </c>
      <c r="D25099" s="26">
        <v>2.1000000000000001E-2</v>
      </c>
      <c r="E25099" s="26">
        <v>6.9999999999999999E-4</v>
      </c>
      <c r="F25099" s="26">
        <v>5.4000000000000003E-3</v>
      </c>
      <c r="G25099" s="26">
        <v>2.0000000000000001E-4</v>
      </c>
      <c r="H25099" s="26">
        <v>3.5999999999999999E-3</v>
      </c>
      <c r="I25099">
        <v>584</v>
      </c>
    </row>
    <row r="25100" spans="1:9" x14ac:dyDescent="0.35">
      <c r="A25100" t="s">
        <v>229</v>
      </c>
      <c r="B25100" t="s">
        <v>371</v>
      </c>
      <c r="C25100">
        <v>6</v>
      </c>
      <c r="D25100" s="26">
        <v>2.7000000000000001E-3</v>
      </c>
      <c r="G25100" s="26">
        <v>2.7000000000000001E-3</v>
      </c>
      <c r="I25100">
        <v>584</v>
      </c>
    </row>
    <row r="25101" spans="1:9" x14ac:dyDescent="0.35">
      <c r="A25101" t="s">
        <v>229</v>
      </c>
      <c r="B25101" t="s">
        <v>371</v>
      </c>
      <c r="C25101">
        <v>7</v>
      </c>
      <c r="D25101" s="26">
        <v>8.5099999999999995E-2</v>
      </c>
      <c r="E25101" s="26">
        <v>9.7999999999999997E-3</v>
      </c>
      <c r="F25101" s="26">
        <v>4.5699999999999998E-2</v>
      </c>
      <c r="G25101" s="26">
        <v>1.0699999999999999E-2</v>
      </c>
      <c r="H25101" s="26">
        <v>3.4500000000000003E-2</v>
      </c>
      <c r="I25101">
        <v>584</v>
      </c>
    </row>
    <row r="25102" spans="1:9" x14ac:dyDescent="0.35">
      <c r="A25102" t="s">
        <v>229</v>
      </c>
      <c r="B25102" t="s">
        <v>371</v>
      </c>
      <c r="C25102">
        <v>4</v>
      </c>
      <c r="D25102" s="26">
        <v>3.85E-2</v>
      </c>
      <c r="F25102" s="26">
        <v>7.4000000000000003E-3</v>
      </c>
      <c r="H25102" s="26">
        <v>6.0000000000000001E-3</v>
      </c>
      <c r="I25102">
        <v>584</v>
      </c>
    </row>
    <row r="25103" spans="1:9" x14ac:dyDescent="0.35">
      <c r="A25103" t="s">
        <v>230</v>
      </c>
      <c r="B25103" t="s">
        <v>373</v>
      </c>
      <c r="C25103">
        <v>7</v>
      </c>
      <c r="D25103" s="26">
        <v>0.1414</v>
      </c>
      <c r="E25103" s="26">
        <v>1.3899999999999999E-2</v>
      </c>
      <c r="F25103" s="26">
        <v>2.7799999999999998E-2</v>
      </c>
      <c r="G25103" s="26">
        <v>1.61E-2</v>
      </c>
      <c r="H25103" s="26">
        <v>2.0899999999999998E-2</v>
      </c>
      <c r="I25103">
        <v>152</v>
      </c>
    </row>
    <row r="25104" spans="1:9" x14ac:dyDescent="0.35">
      <c r="A25104" t="s">
        <v>230</v>
      </c>
      <c r="B25104" t="s">
        <v>372</v>
      </c>
      <c r="C25104">
        <v>4</v>
      </c>
      <c r="D25104" s="26">
        <v>2.8400000000000002E-2</v>
      </c>
      <c r="E25104" s="26">
        <v>1.54E-2</v>
      </c>
      <c r="F25104" s="26">
        <v>1.4200000000000001E-2</v>
      </c>
      <c r="G25104" s="26">
        <v>2.4899999999999999E-2</v>
      </c>
      <c r="H25104" s="26">
        <v>2.01E-2</v>
      </c>
      <c r="I25104">
        <v>146</v>
      </c>
    </row>
    <row r="25105" spans="1:9" x14ac:dyDescent="0.35">
      <c r="A25105" t="s">
        <v>230</v>
      </c>
      <c r="B25105" t="s">
        <v>373</v>
      </c>
      <c r="C25105">
        <v>5</v>
      </c>
      <c r="D25105" s="26">
        <v>2.0999999999999999E-3</v>
      </c>
      <c r="I25105">
        <v>152</v>
      </c>
    </row>
    <row r="25106" spans="1:9" x14ac:dyDescent="0.35">
      <c r="A25106" t="s">
        <v>230</v>
      </c>
      <c r="B25106" t="s">
        <v>373</v>
      </c>
      <c r="C25106">
        <v>4</v>
      </c>
      <c r="D25106" s="26">
        <v>7.0000000000000001E-3</v>
      </c>
      <c r="F25106" s="26">
        <v>2.0899999999999998E-2</v>
      </c>
      <c r="H25106" s="26">
        <v>1.61E-2</v>
      </c>
      <c r="I25106">
        <v>152</v>
      </c>
    </row>
    <row r="25107" spans="1:9" x14ac:dyDescent="0.35">
      <c r="A25107" t="s">
        <v>230</v>
      </c>
      <c r="B25107" t="s">
        <v>373</v>
      </c>
      <c r="C25107">
        <v>3</v>
      </c>
      <c r="D25107" s="26">
        <v>6.4799999999999996E-2</v>
      </c>
      <c r="E25107" s="26">
        <v>9.1000000000000004E-3</v>
      </c>
      <c r="F25107" s="26">
        <v>2.3E-2</v>
      </c>
      <c r="G25107" s="26">
        <v>7.0000000000000001E-3</v>
      </c>
      <c r="H25107" s="26">
        <v>2.0899999999999998E-2</v>
      </c>
      <c r="I25107">
        <v>152</v>
      </c>
    </row>
    <row r="25108" spans="1:9" x14ac:dyDescent="0.35">
      <c r="A25108" t="s">
        <v>230</v>
      </c>
      <c r="B25108" t="s">
        <v>373</v>
      </c>
      <c r="C25108">
        <v>2</v>
      </c>
      <c r="D25108" s="26">
        <v>7.8700000000000006E-2</v>
      </c>
      <c r="E25108" s="26">
        <v>1.3899999999999999E-2</v>
      </c>
      <c r="F25108" s="26">
        <v>2.0899999999999998E-2</v>
      </c>
      <c r="G25108" s="26">
        <v>2.0899999999999998E-2</v>
      </c>
      <c r="H25108" s="26">
        <v>2.0899999999999998E-2</v>
      </c>
      <c r="I25108">
        <v>152</v>
      </c>
    </row>
    <row r="25109" spans="1:9" x14ac:dyDescent="0.35">
      <c r="A25109" t="s">
        <v>230</v>
      </c>
      <c r="B25109" t="s">
        <v>373</v>
      </c>
      <c r="C25109">
        <v>1</v>
      </c>
      <c r="D25109" s="26">
        <v>2.7799999999999998E-2</v>
      </c>
      <c r="E25109" s="26">
        <v>5.0999999999999997E-2</v>
      </c>
      <c r="I25109">
        <v>152</v>
      </c>
    </row>
    <row r="25110" spans="1:9" x14ac:dyDescent="0.35">
      <c r="A25110" t="s">
        <v>230</v>
      </c>
      <c r="B25110" t="s">
        <v>373</v>
      </c>
      <c r="C25110">
        <v>0</v>
      </c>
      <c r="D25110" s="26">
        <v>0.67820000000000003</v>
      </c>
      <c r="E25110" s="26">
        <v>0.91210000000000002</v>
      </c>
      <c r="F25110" s="26">
        <v>0.90049999999999997</v>
      </c>
      <c r="G25110" s="26">
        <v>0.95609999999999995</v>
      </c>
      <c r="H25110" s="26">
        <v>0.92130000000000001</v>
      </c>
      <c r="I25110">
        <v>152</v>
      </c>
    </row>
    <row r="25111" spans="1:9" x14ac:dyDescent="0.35">
      <c r="A25111" t="s">
        <v>230</v>
      </c>
      <c r="B25111" t="s">
        <v>372</v>
      </c>
      <c r="C25111">
        <v>7</v>
      </c>
      <c r="D25111" s="26">
        <v>0.17519999999999999</v>
      </c>
      <c r="E25111" s="26">
        <v>4.7000000000000002E-3</v>
      </c>
      <c r="F25111" s="26">
        <v>4.3799999999999999E-2</v>
      </c>
      <c r="G25111" s="26">
        <v>9.4999999999999998E-3</v>
      </c>
      <c r="H25111" s="26">
        <v>1.4200000000000001E-2</v>
      </c>
      <c r="I25111">
        <v>146</v>
      </c>
    </row>
    <row r="25112" spans="1:9" x14ac:dyDescent="0.35">
      <c r="A25112" t="s">
        <v>230</v>
      </c>
      <c r="B25112" t="s">
        <v>372</v>
      </c>
      <c r="C25112">
        <v>3</v>
      </c>
      <c r="D25112" s="26">
        <v>5.8000000000000003E-2</v>
      </c>
      <c r="E25112" s="26">
        <v>2.4899999999999999E-2</v>
      </c>
      <c r="F25112" s="26">
        <v>1.4200000000000001E-2</v>
      </c>
      <c r="G25112" s="26">
        <v>9.4999999999999998E-3</v>
      </c>
      <c r="H25112" s="26">
        <v>1.89E-2</v>
      </c>
      <c r="I25112">
        <v>146</v>
      </c>
    </row>
    <row r="25113" spans="1:9" x14ac:dyDescent="0.35">
      <c r="A25113" t="s">
        <v>230</v>
      </c>
      <c r="B25113" t="s">
        <v>372</v>
      </c>
      <c r="C25113">
        <v>5</v>
      </c>
      <c r="D25113" s="26">
        <v>9.4999999999999998E-3</v>
      </c>
      <c r="I25113">
        <v>146</v>
      </c>
    </row>
    <row r="25114" spans="1:9" x14ac:dyDescent="0.35">
      <c r="A25114" t="s">
        <v>230</v>
      </c>
      <c r="B25114" t="s">
        <v>372</v>
      </c>
      <c r="C25114">
        <v>1</v>
      </c>
      <c r="D25114" s="26">
        <v>2.9600000000000001E-2</v>
      </c>
      <c r="E25114" s="26">
        <v>2.9600000000000001E-2</v>
      </c>
      <c r="H25114" s="26">
        <v>2.4899999999999999E-2</v>
      </c>
      <c r="I25114">
        <v>146</v>
      </c>
    </row>
    <row r="25115" spans="1:9" x14ac:dyDescent="0.35">
      <c r="A25115" t="s">
        <v>230</v>
      </c>
      <c r="B25115" t="s">
        <v>372</v>
      </c>
      <c r="C25115">
        <v>0</v>
      </c>
      <c r="D25115" s="26">
        <v>0.60589999999999999</v>
      </c>
      <c r="E25115" s="26">
        <v>0.89229999999999998</v>
      </c>
      <c r="F25115" s="26">
        <v>0.86509999999999998</v>
      </c>
      <c r="G25115" s="26">
        <v>0.94669999999999999</v>
      </c>
      <c r="H25115" s="26">
        <v>0.90300000000000002</v>
      </c>
      <c r="I25115">
        <v>146</v>
      </c>
    </row>
    <row r="25116" spans="1:9" x14ac:dyDescent="0.35">
      <c r="A25116" t="s">
        <v>230</v>
      </c>
      <c r="B25116" t="s">
        <v>371</v>
      </c>
      <c r="C25116">
        <v>7</v>
      </c>
      <c r="D25116" s="26">
        <v>0.12130000000000001</v>
      </c>
      <c r="E25116" s="26">
        <v>7.7000000000000002E-3</v>
      </c>
      <c r="F25116" s="26">
        <v>3.2000000000000001E-2</v>
      </c>
      <c r="G25116" s="26">
        <v>2.3199999999999998E-2</v>
      </c>
      <c r="H25116" s="26">
        <v>4.41E-2</v>
      </c>
      <c r="I25116">
        <v>262</v>
      </c>
    </row>
    <row r="25117" spans="1:9" x14ac:dyDescent="0.35">
      <c r="A25117" t="s">
        <v>230</v>
      </c>
      <c r="B25117" t="s">
        <v>371</v>
      </c>
      <c r="C25117">
        <v>6</v>
      </c>
      <c r="D25117" s="26">
        <v>2.0899999999999998E-2</v>
      </c>
      <c r="F25117" s="26">
        <v>1.1000000000000001E-3</v>
      </c>
      <c r="H25117" s="26">
        <v>1.1000000000000001E-3</v>
      </c>
      <c r="I25117">
        <v>262</v>
      </c>
    </row>
    <row r="25118" spans="1:9" x14ac:dyDescent="0.35">
      <c r="A25118" t="s">
        <v>230</v>
      </c>
      <c r="B25118" t="s">
        <v>371</v>
      </c>
      <c r="C25118">
        <v>5</v>
      </c>
      <c r="D25118" s="26">
        <v>9.9000000000000008E-3</v>
      </c>
      <c r="E25118" s="26">
        <v>7.7000000000000002E-3</v>
      </c>
      <c r="F25118" s="26">
        <v>2.2000000000000001E-3</v>
      </c>
      <c r="H25118" s="26">
        <v>1.1000000000000001E-3</v>
      </c>
      <c r="I25118">
        <v>262</v>
      </c>
    </row>
    <row r="25119" spans="1:9" x14ac:dyDescent="0.35">
      <c r="A25119" t="s">
        <v>230</v>
      </c>
      <c r="B25119" t="s">
        <v>371</v>
      </c>
      <c r="C25119">
        <v>4</v>
      </c>
      <c r="D25119" s="26">
        <v>1.8800000000000001E-2</v>
      </c>
      <c r="E25119" s="26">
        <v>2.2000000000000001E-3</v>
      </c>
      <c r="F25119" s="26">
        <v>1.54E-2</v>
      </c>
      <c r="G25119" s="26">
        <v>1.43E-2</v>
      </c>
      <c r="H25119" s="26">
        <v>1.43E-2</v>
      </c>
      <c r="I25119">
        <v>262</v>
      </c>
    </row>
    <row r="25120" spans="1:9" x14ac:dyDescent="0.35">
      <c r="A25120" t="s">
        <v>230</v>
      </c>
      <c r="B25120" t="s">
        <v>371</v>
      </c>
      <c r="C25120">
        <v>3</v>
      </c>
      <c r="D25120" s="26">
        <v>7.3800000000000004E-2</v>
      </c>
      <c r="E25120" s="26">
        <v>7.7000000000000002E-3</v>
      </c>
      <c r="F25120" s="26">
        <v>4.4999999999999997E-3</v>
      </c>
      <c r="G25120" s="26">
        <v>9.9000000000000008E-3</v>
      </c>
      <c r="H25120" s="26">
        <v>2.1000000000000001E-2</v>
      </c>
      <c r="I25120">
        <v>262</v>
      </c>
    </row>
    <row r="25121" spans="1:9" x14ac:dyDescent="0.35">
      <c r="A25121" t="s">
        <v>230</v>
      </c>
      <c r="B25121" t="s">
        <v>371</v>
      </c>
      <c r="C25121">
        <v>2</v>
      </c>
      <c r="D25121" s="26">
        <v>4.6399999999999997E-2</v>
      </c>
      <c r="E25121" s="26">
        <v>3.5299999999999998E-2</v>
      </c>
      <c r="F25121" s="26">
        <v>6.6100000000000006E-2</v>
      </c>
      <c r="G25121" s="26">
        <v>2.1999999999999999E-2</v>
      </c>
      <c r="H25121" s="26">
        <v>5.5100000000000003E-2</v>
      </c>
      <c r="I25121">
        <v>262</v>
      </c>
    </row>
    <row r="25122" spans="1:9" x14ac:dyDescent="0.35">
      <c r="A25122" t="s">
        <v>230</v>
      </c>
      <c r="B25122" t="s">
        <v>371</v>
      </c>
      <c r="C25122">
        <v>1</v>
      </c>
      <c r="D25122" s="26">
        <v>2.86E-2</v>
      </c>
      <c r="E25122" s="26">
        <v>6.0600000000000001E-2</v>
      </c>
      <c r="F25122" s="26">
        <v>9.9000000000000008E-3</v>
      </c>
      <c r="G25122" s="26">
        <v>6.6E-3</v>
      </c>
      <c r="H25122" s="26">
        <v>4.4999999999999997E-3</v>
      </c>
      <c r="I25122">
        <v>262</v>
      </c>
    </row>
    <row r="25123" spans="1:9" x14ac:dyDescent="0.35">
      <c r="A25123" t="s">
        <v>230</v>
      </c>
      <c r="B25123" t="s">
        <v>371</v>
      </c>
      <c r="C25123">
        <v>0</v>
      </c>
      <c r="D25123" s="26">
        <v>0.68010000000000004</v>
      </c>
      <c r="E25123" s="26">
        <v>0.87870000000000004</v>
      </c>
      <c r="F25123" s="26">
        <v>0.86870000000000003</v>
      </c>
      <c r="G25123" s="26">
        <v>0.92390000000000005</v>
      </c>
      <c r="H25123" s="26">
        <v>0.85880000000000001</v>
      </c>
      <c r="I25123">
        <v>262</v>
      </c>
    </row>
    <row r="25124" spans="1:9" x14ac:dyDescent="0.35">
      <c r="A25124" t="s">
        <v>230</v>
      </c>
      <c r="B25124" t="s">
        <v>372</v>
      </c>
      <c r="C25124">
        <v>2</v>
      </c>
      <c r="D25124" s="26">
        <v>9.35E-2</v>
      </c>
      <c r="E25124" s="26">
        <v>3.3099999999999997E-2</v>
      </c>
      <c r="F25124" s="26">
        <v>6.2700000000000006E-2</v>
      </c>
      <c r="G25124" s="26">
        <v>9.4999999999999998E-3</v>
      </c>
      <c r="H25124" s="26">
        <v>1.89E-2</v>
      </c>
      <c r="I25124">
        <v>146</v>
      </c>
    </row>
    <row r="25125" spans="1:9" x14ac:dyDescent="0.35">
      <c r="A25125" t="s">
        <v>231</v>
      </c>
      <c r="B25125" t="s">
        <v>371</v>
      </c>
      <c r="C25125">
        <v>7</v>
      </c>
      <c r="D25125" s="26">
        <v>0.10979999999999999</v>
      </c>
      <c r="E25125" s="26">
        <v>6.1000000000000004E-3</v>
      </c>
      <c r="F25125" s="26">
        <v>4.2700000000000002E-2</v>
      </c>
      <c r="G25125" s="26">
        <v>1.83E-2</v>
      </c>
      <c r="H25125" s="26">
        <v>6.7100000000000007E-2</v>
      </c>
      <c r="I25125">
        <v>164</v>
      </c>
    </row>
    <row r="25126" spans="1:9" x14ac:dyDescent="0.35">
      <c r="A25126" t="s">
        <v>231</v>
      </c>
      <c r="B25126" t="s">
        <v>371</v>
      </c>
      <c r="C25126">
        <v>5</v>
      </c>
      <c r="D25126" s="26">
        <v>4.2700000000000002E-2</v>
      </c>
      <c r="E25126" s="26">
        <v>6.1000000000000004E-3</v>
      </c>
      <c r="F25126" s="26">
        <v>2.4400000000000002E-2</v>
      </c>
      <c r="H25126" s="26">
        <v>1.83E-2</v>
      </c>
      <c r="I25126">
        <v>164</v>
      </c>
    </row>
    <row r="25127" spans="1:9" x14ac:dyDescent="0.35">
      <c r="A25127" t="s">
        <v>231</v>
      </c>
      <c r="B25127" t="s">
        <v>371</v>
      </c>
      <c r="C25127">
        <v>4</v>
      </c>
      <c r="D25127" s="26">
        <v>2.4400000000000002E-2</v>
      </c>
      <c r="F25127" s="26">
        <v>2.4400000000000002E-2</v>
      </c>
      <c r="G25127" s="26">
        <v>2.4400000000000002E-2</v>
      </c>
      <c r="H25127" s="26">
        <v>6.1000000000000004E-3</v>
      </c>
      <c r="I25127">
        <v>164</v>
      </c>
    </row>
    <row r="25128" spans="1:9" x14ac:dyDescent="0.35">
      <c r="A25128" t="s">
        <v>231</v>
      </c>
      <c r="B25128" t="s">
        <v>371</v>
      </c>
      <c r="C25128">
        <v>1</v>
      </c>
      <c r="D25128" s="26">
        <v>4.2700000000000002E-2</v>
      </c>
      <c r="E25128" s="26">
        <v>3.6600000000000001E-2</v>
      </c>
      <c r="F25128" s="26">
        <v>1.83E-2</v>
      </c>
      <c r="G25128" s="26">
        <v>6.1000000000000004E-3</v>
      </c>
      <c r="H25128" s="26">
        <v>3.6600000000000001E-2</v>
      </c>
      <c r="I25128">
        <v>164</v>
      </c>
    </row>
    <row r="25129" spans="1:9" x14ac:dyDescent="0.35">
      <c r="A25129" t="s">
        <v>231</v>
      </c>
      <c r="B25129" t="s">
        <v>371</v>
      </c>
      <c r="C25129">
        <v>2</v>
      </c>
      <c r="D25129" s="26">
        <v>9.1499999999999998E-2</v>
      </c>
      <c r="E25129" s="26">
        <v>2.4400000000000002E-2</v>
      </c>
      <c r="F25129" s="26">
        <v>3.6600000000000001E-2</v>
      </c>
      <c r="G25129" s="26">
        <v>6.1000000000000004E-3</v>
      </c>
      <c r="H25129" s="26">
        <v>3.0499999999999999E-2</v>
      </c>
      <c r="I25129">
        <v>164</v>
      </c>
    </row>
    <row r="25130" spans="1:9" x14ac:dyDescent="0.35">
      <c r="A25130" t="s">
        <v>231</v>
      </c>
      <c r="B25130" t="s">
        <v>371</v>
      </c>
      <c r="C25130">
        <v>0</v>
      </c>
      <c r="D25130" s="26">
        <v>0.622</v>
      </c>
      <c r="E25130" s="26">
        <v>0.878</v>
      </c>
      <c r="F25130" s="26">
        <v>0.82320000000000004</v>
      </c>
      <c r="G25130" s="26">
        <v>0.93289999999999995</v>
      </c>
      <c r="H25130" s="26">
        <v>0.81100000000000005</v>
      </c>
      <c r="I25130">
        <v>164</v>
      </c>
    </row>
    <row r="25131" spans="1:9" x14ac:dyDescent="0.35">
      <c r="A25131" t="s">
        <v>231</v>
      </c>
      <c r="B25131" t="s">
        <v>371</v>
      </c>
      <c r="C25131">
        <v>3</v>
      </c>
      <c r="D25131" s="26">
        <v>6.7100000000000007E-2</v>
      </c>
      <c r="E25131" s="26">
        <v>4.2700000000000002E-2</v>
      </c>
      <c r="F25131" s="26">
        <v>3.0499999999999999E-2</v>
      </c>
      <c r="G25131" s="26">
        <v>6.1000000000000004E-3</v>
      </c>
      <c r="H25131" s="26">
        <v>2.4400000000000002E-2</v>
      </c>
      <c r="I25131">
        <v>164</v>
      </c>
    </row>
    <row r="25132" spans="1:9" x14ac:dyDescent="0.35">
      <c r="A25132" t="s">
        <v>232</v>
      </c>
      <c r="B25132" t="s">
        <v>232</v>
      </c>
      <c r="C25132">
        <v>6</v>
      </c>
      <c r="D25132" s="26">
        <v>2.8E-3</v>
      </c>
      <c r="E25132" s="26">
        <v>1.6999999999999999E-3</v>
      </c>
      <c r="F25132" s="26">
        <v>4.0000000000000002E-4</v>
      </c>
      <c r="G25132" s="26">
        <v>2.3999999999999998E-3</v>
      </c>
      <c r="H25132" s="26">
        <v>1.8E-3</v>
      </c>
      <c r="I25132">
        <v>2813</v>
      </c>
    </row>
    <row r="25133" spans="1:9" x14ac:dyDescent="0.35">
      <c r="A25133" t="s">
        <v>232</v>
      </c>
      <c r="B25133" t="s">
        <v>232</v>
      </c>
      <c r="C25133">
        <v>0</v>
      </c>
      <c r="D25133" s="26">
        <v>0.66559999999999997</v>
      </c>
      <c r="E25133" s="26">
        <v>0.89839999999999998</v>
      </c>
      <c r="F25133" s="26">
        <v>0.85399999999999998</v>
      </c>
      <c r="G25133" s="26">
        <v>0.94440000000000002</v>
      </c>
      <c r="H25133" s="26">
        <v>0.86960000000000004</v>
      </c>
      <c r="I25133">
        <v>2813</v>
      </c>
    </row>
    <row r="25134" spans="1:9" x14ac:dyDescent="0.35">
      <c r="A25134" t="s">
        <v>232</v>
      </c>
      <c r="B25134" t="s">
        <v>232</v>
      </c>
      <c r="C25134">
        <v>1</v>
      </c>
      <c r="D25134" s="26">
        <v>2.9700000000000001E-2</v>
      </c>
      <c r="E25134" s="26">
        <v>4.2799999999999998E-2</v>
      </c>
      <c r="F25134" s="26">
        <v>1.67E-2</v>
      </c>
      <c r="G25134" s="26">
        <v>5.1000000000000004E-3</v>
      </c>
      <c r="H25134" s="26">
        <v>1.7999999999999999E-2</v>
      </c>
      <c r="I25134">
        <v>2813</v>
      </c>
    </row>
    <row r="25135" spans="1:9" x14ac:dyDescent="0.35">
      <c r="A25135" t="s">
        <v>232</v>
      </c>
      <c r="B25135" t="s">
        <v>232</v>
      </c>
      <c r="C25135">
        <v>2</v>
      </c>
      <c r="D25135" s="26">
        <v>8.6699999999999999E-2</v>
      </c>
      <c r="E25135" s="26">
        <v>2.4799999999999999E-2</v>
      </c>
      <c r="F25135" s="26">
        <v>3.5400000000000001E-2</v>
      </c>
      <c r="G25135" s="26">
        <v>1.1900000000000001E-2</v>
      </c>
      <c r="H25135" s="26">
        <v>2.6700000000000002E-2</v>
      </c>
      <c r="I25135">
        <v>2813</v>
      </c>
    </row>
    <row r="25136" spans="1:9" x14ac:dyDescent="0.35">
      <c r="A25136" t="s">
        <v>232</v>
      </c>
      <c r="B25136" t="s">
        <v>232</v>
      </c>
      <c r="C25136">
        <v>3</v>
      </c>
      <c r="D25136" s="26">
        <v>5.8700000000000002E-2</v>
      </c>
      <c r="E25136" s="26">
        <v>1.9300000000000001E-2</v>
      </c>
      <c r="F25136" s="26">
        <v>2.5999999999999999E-2</v>
      </c>
      <c r="G25136" s="26">
        <v>1.0200000000000001E-2</v>
      </c>
      <c r="H25136" s="26">
        <v>2.1299999999999999E-2</v>
      </c>
      <c r="I25136">
        <v>2813</v>
      </c>
    </row>
    <row r="25137" spans="1:9" x14ac:dyDescent="0.35">
      <c r="A25137" t="s">
        <v>232</v>
      </c>
      <c r="B25137" t="s">
        <v>232</v>
      </c>
      <c r="C25137">
        <v>4</v>
      </c>
      <c r="D25137" s="26">
        <v>2.4E-2</v>
      </c>
      <c r="E25137" s="26">
        <v>1.6000000000000001E-3</v>
      </c>
      <c r="F25137" s="26">
        <v>1.38E-2</v>
      </c>
      <c r="G25137" s="26">
        <v>1.01E-2</v>
      </c>
      <c r="H25137" s="26">
        <v>1.0200000000000001E-2</v>
      </c>
      <c r="I25137">
        <v>2813</v>
      </c>
    </row>
    <row r="25138" spans="1:9" x14ac:dyDescent="0.35">
      <c r="A25138" t="s">
        <v>232</v>
      </c>
      <c r="B25138" t="s">
        <v>232</v>
      </c>
      <c r="C25138">
        <v>5</v>
      </c>
      <c r="D25138" s="26">
        <v>2.1700000000000001E-2</v>
      </c>
      <c r="E25138" s="26">
        <v>2.8E-3</v>
      </c>
      <c r="F25138" s="26">
        <v>8.8000000000000005E-3</v>
      </c>
      <c r="G25138" s="26">
        <v>8.9999999999999998E-4</v>
      </c>
      <c r="H25138" s="26">
        <v>7.9000000000000008E-3</v>
      </c>
      <c r="I25138">
        <v>2813</v>
      </c>
    </row>
    <row r="25139" spans="1:9" x14ac:dyDescent="0.35">
      <c r="A25139" t="s">
        <v>232</v>
      </c>
      <c r="B25139" t="s">
        <v>232</v>
      </c>
      <c r="C25139">
        <v>7</v>
      </c>
      <c r="D25139" s="26">
        <v>0.1108</v>
      </c>
      <c r="E25139" s="26">
        <v>8.6E-3</v>
      </c>
      <c r="F25139" s="26">
        <v>4.5100000000000001E-2</v>
      </c>
      <c r="G25139" s="26">
        <v>1.4999999999999999E-2</v>
      </c>
      <c r="H25139" s="26">
        <v>4.4600000000000001E-2</v>
      </c>
      <c r="I25139">
        <v>2813</v>
      </c>
    </row>
    <row r="25141" spans="1:9" x14ac:dyDescent="0.35">
      <c r="A25141" s="1" t="s">
        <v>2279</v>
      </c>
    </row>
    <row r="25142" spans="1:9" x14ac:dyDescent="0.35">
      <c r="A25142" t="s">
        <v>219</v>
      </c>
      <c r="B25142" t="s">
        <v>305</v>
      </c>
      <c r="C25142" t="s">
        <v>1270</v>
      </c>
      <c r="D25142" t="s">
        <v>2264</v>
      </c>
      <c r="E25142" t="s">
        <v>2265</v>
      </c>
      <c r="F25142" t="s">
        <v>2266</v>
      </c>
      <c r="G25142" t="s">
        <v>2267</v>
      </c>
      <c r="H25142" t="s">
        <v>2268</v>
      </c>
      <c r="I25142" t="s">
        <v>964</v>
      </c>
    </row>
    <row r="25143" spans="1:9" x14ac:dyDescent="0.35">
      <c r="A25143" t="s">
        <v>227</v>
      </c>
      <c r="B25143" t="s">
        <v>255</v>
      </c>
      <c r="C25143">
        <v>0</v>
      </c>
      <c r="D25143" s="26">
        <v>0.67520000000000002</v>
      </c>
      <c r="E25143" s="26">
        <v>0.91449999999999998</v>
      </c>
      <c r="F25143" s="26">
        <v>0.87180000000000002</v>
      </c>
      <c r="G25143" s="26">
        <v>0.9829</v>
      </c>
      <c r="H25143" s="26">
        <v>0.92310000000000003</v>
      </c>
      <c r="I25143">
        <v>117</v>
      </c>
    </row>
    <row r="25144" spans="1:9" x14ac:dyDescent="0.35">
      <c r="A25144" s="27" t="s">
        <v>227</v>
      </c>
      <c r="B25144" s="27" t="s">
        <v>257</v>
      </c>
      <c r="C25144" s="29">
        <v>2</v>
      </c>
      <c r="D25144" s="28">
        <v>0.22220000000000001</v>
      </c>
      <c r="E25144" s="28">
        <v>0.1111</v>
      </c>
      <c r="F25144" s="29"/>
      <c r="G25144" s="29"/>
      <c r="H25144" s="29"/>
      <c r="I25144" s="29">
        <v>9</v>
      </c>
    </row>
    <row r="25145" spans="1:9" x14ac:dyDescent="0.35">
      <c r="A25145" s="27" t="s">
        <v>227</v>
      </c>
      <c r="B25145" s="27" t="s">
        <v>257</v>
      </c>
      <c r="C25145" s="29">
        <v>0</v>
      </c>
      <c r="D25145" s="28">
        <v>0.66669999999999996</v>
      </c>
      <c r="E25145" s="28">
        <v>0.77780000000000005</v>
      </c>
      <c r="F25145" s="28">
        <v>0.88890000000000002</v>
      </c>
      <c r="G25145" s="28">
        <v>1</v>
      </c>
      <c r="H25145" s="28">
        <v>1</v>
      </c>
      <c r="I25145" s="29">
        <v>9</v>
      </c>
    </row>
    <row r="25146" spans="1:9" x14ac:dyDescent="0.35">
      <c r="A25146" t="s">
        <v>227</v>
      </c>
      <c r="B25146" t="s">
        <v>256</v>
      </c>
      <c r="C25146">
        <v>7</v>
      </c>
      <c r="D25146" s="26">
        <v>2.86E-2</v>
      </c>
      <c r="F25146" s="26">
        <v>2.86E-2</v>
      </c>
      <c r="H25146" s="26">
        <v>2.86E-2</v>
      </c>
      <c r="I25146">
        <v>35</v>
      </c>
    </row>
    <row r="25147" spans="1:9" x14ac:dyDescent="0.35">
      <c r="A25147" t="s">
        <v>227</v>
      </c>
      <c r="B25147" t="s">
        <v>256</v>
      </c>
      <c r="C25147">
        <v>3</v>
      </c>
      <c r="D25147" s="26">
        <v>0.1143</v>
      </c>
      <c r="G25147" s="26">
        <v>2.86E-2</v>
      </c>
      <c r="I25147">
        <v>35</v>
      </c>
    </row>
    <row r="25148" spans="1:9" x14ac:dyDescent="0.35">
      <c r="A25148" t="s">
        <v>227</v>
      </c>
      <c r="B25148" t="s">
        <v>256</v>
      </c>
      <c r="C25148">
        <v>2</v>
      </c>
      <c r="D25148" s="26">
        <v>8.5699999999999998E-2</v>
      </c>
      <c r="E25148" s="26">
        <v>2.86E-2</v>
      </c>
      <c r="F25148" s="26">
        <v>2.86E-2</v>
      </c>
      <c r="G25148" s="26">
        <v>5.7099999999999998E-2</v>
      </c>
      <c r="H25148" s="26">
        <v>5.7099999999999998E-2</v>
      </c>
      <c r="I25148">
        <v>35</v>
      </c>
    </row>
    <row r="25149" spans="1:9" x14ac:dyDescent="0.35">
      <c r="A25149" s="27" t="s">
        <v>227</v>
      </c>
      <c r="B25149" s="27" t="s">
        <v>257</v>
      </c>
      <c r="C25149" s="29">
        <v>4</v>
      </c>
      <c r="D25149" s="28">
        <v>0.1111</v>
      </c>
      <c r="E25149" s="29"/>
      <c r="F25149" s="29"/>
      <c r="G25149" s="29"/>
      <c r="H25149" s="29"/>
      <c r="I25149" s="29">
        <v>9</v>
      </c>
    </row>
    <row r="25150" spans="1:9" x14ac:dyDescent="0.35">
      <c r="A25150" t="s">
        <v>227</v>
      </c>
      <c r="B25150" t="s">
        <v>256</v>
      </c>
      <c r="C25150">
        <v>0</v>
      </c>
      <c r="D25150" s="26">
        <v>0.7429</v>
      </c>
      <c r="E25150" s="26">
        <v>0.94289999999999996</v>
      </c>
      <c r="F25150" s="26">
        <v>0.88570000000000004</v>
      </c>
      <c r="G25150" s="26">
        <v>0.85709999999999997</v>
      </c>
      <c r="H25150" s="26">
        <v>0.85709999999999997</v>
      </c>
      <c r="I25150">
        <v>35</v>
      </c>
    </row>
    <row r="25151" spans="1:9" x14ac:dyDescent="0.35">
      <c r="A25151" t="s">
        <v>227</v>
      </c>
      <c r="B25151" t="s">
        <v>255</v>
      </c>
      <c r="C25151">
        <v>7</v>
      </c>
      <c r="D25151" s="26">
        <v>0.1368</v>
      </c>
      <c r="E25151" s="26">
        <v>8.5000000000000006E-3</v>
      </c>
      <c r="F25151" s="26">
        <v>6.8400000000000002E-2</v>
      </c>
      <c r="G25151" s="26">
        <v>8.5000000000000006E-3</v>
      </c>
      <c r="H25151" s="26">
        <v>3.4200000000000001E-2</v>
      </c>
      <c r="I25151">
        <v>117</v>
      </c>
    </row>
    <row r="25152" spans="1:9" x14ac:dyDescent="0.35">
      <c r="A25152" t="s">
        <v>227</v>
      </c>
      <c r="B25152" t="s">
        <v>255</v>
      </c>
      <c r="C25152">
        <v>3</v>
      </c>
      <c r="D25152" s="26">
        <v>7.6899999999999996E-2</v>
      </c>
      <c r="E25152" s="26">
        <v>8.5000000000000006E-3</v>
      </c>
      <c r="F25152" s="26">
        <v>1.7100000000000001E-2</v>
      </c>
      <c r="H25152" s="26">
        <v>8.5000000000000006E-3</v>
      </c>
      <c r="I25152">
        <v>117</v>
      </c>
    </row>
    <row r="25153" spans="1:9" x14ac:dyDescent="0.35">
      <c r="A25153" t="s">
        <v>227</v>
      </c>
      <c r="B25153" t="s">
        <v>255</v>
      </c>
      <c r="C25153">
        <v>2</v>
      </c>
      <c r="D25153" s="26">
        <v>7.6899999999999996E-2</v>
      </c>
      <c r="E25153" s="26">
        <v>3.4200000000000001E-2</v>
      </c>
      <c r="F25153" s="26">
        <v>8.5000000000000006E-3</v>
      </c>
      <c r="I25153">
        <v>117</v>
      </c>
    </row>
    <row r="25154" spans="1:9" x14ac:dyDescent="0.35">
      <c r="A25154" t="s">
        <v>227</v>
      </c>
      <c r="B25154" t="s">
        <v>255</v>
      </c>
      <c r="C25154">
        <v>1</v>
      </c>
      <c r="D25154" s="26">
        <v>3.4200000000000001E-2</v>
      </c>
      <c r="E25154" s="26">
        <v>3.4200000000000001E-2</v>
      </c>
      <c r="F25154" s="26">
        <v>2.5600000000000001E-2</v>
      </c>
      <c r="H25154" s="26">
        <v>8.5000000000000006E-3</v>
      </c>
      <c r="I25154">
        <v>117</v>
      </c>
    </row>
    <row r="25155" spans="1:9" x14ac:dyDescent="0.35">
      <c r="A25155" t="s">
        <v>227</v>
      </c>
      <c r="B25155" t="s">
        <v>256</v>
      </c>
      <c r="C25155">
        <v>1</v>
      </c>
      <c r="D25155" s="26">
        <v>2.86E-2</v>
      </c>
      <c r="E25155" s="26">
        <v>2.86E-2</v>
      </c>
      <c r="F25155" s="26">
        <v>2.86E-2</v>
      </c>
      <c r="G25155" s="26">
        <v>2.86E-2</v>
      </c>
      <c r="I25155">
        <v>35</v>
      </c>
    </row>
    <row r="25156" spans="1:9" x14ac:dyDescent="0.35">
      <c r="A25156" t="s">
        <v>228</v>
      </c>
      <c r="B25156" t="s">
        <v>256</v>
      </c>
      <c r="C25156">
        <v>7</v>
      </c>
      <c r="D25156" s="26">
        <v>7.1499999999999994E-2</v>
      </c>
      <c r="E25156" s="26">
        <v>4.7999999999999996E-3</v>
      </c>
      <c r="F25156" s="26">
        <v>3.2199999999999999E-2</v>
      </c>
      <c r="G25156" s="26">
        <v>3.4500000000000003E-2</v>
      </c>
      <c r="H25156" s="26">
        <v>1.3299999999999999E-2</v>
      </c>
      <c r="I25156">
        <v>221</v>
      </c>
    </row>
    <row r="25157" spans="1:9" x14ac:dyDescent="0.35">
      <c r="A25157" t="s">
        <v>228</v>
      </c>
      <c r="B25157" t="s">
        <v>257</v>
      </c>
      <c r="C25157">
        <v>0</v>
      </c>
      <c r="D25157" s="26">
        <v>0.54730000000000001</v>
      </c>
      <c r="E25157" s="26">
        <v>0.77639999999999998</v>
      </c>
      <c r="F25157" s="26">
        <v>0.87780000000000002</v>
      </c>
      <c r="G25157" s="26">
        <v>0.68689999999999996</v>
      </c>
      <c r="H25157" s="26">
        <v>0.78390000000000004</v>
      </c>
      <c r="I25157">
        <v>49</v>
      </c>
    </row>
    <row r="25158" spans="1:9" x14ac:dyDescent="0.35">
      <c r="A25158" t="s">
        <v>228</v>
      </c>
      <c r="B25158" t="s">
        <v>257</v>
      </c>
      <c r="C25158">
        <v>1</v>
      </c>
      <c r="D25158" s="26">
        <v>0.1275</v>
      </c>
      <c r="E25158" s="26">
        <v>0.14019999999999999</v>
      </c>
      <c r="F25158" s="26">
        <v>6.8999999999999999E-3</v>
      </c>
      <c r="I25158">
        <v>49</v>
      </c>
    </row>
    <row r="25159" spans="1:9" x14ac:dyDescent="0.35">
      <c r="A25159" t="s">
        <v>228</v>
      </c>
      <c r="B25159" t="s">
        <v>257</v>
      </c>
      <c r="C25159">
        <v>2</v>
      </c>
      <c r="D25159" s="26">
        <v>9.1700000000000004E-2</v>
      </c>
      <c r="E25159" s="26">
        <v>1.7399999999999999E-2</v>
      </c>
      <c r="F25159" s="26">
        <v>3.6900000000000002E-2</v>
      </c>
      <c r="G25159" s="26">
        <v>6.3799999999999996E-2</v>
      </c>
      <c r="H25159" s="26">
        <v>6.3799999999999996E-2</v>
      </c>
      <c r="I25159">
        <v>49</v>
      </c>
    </row>
    <row r="25160" spans="1:9" x14ac:dyDescent="0.35">
      <c r="A25160" t="s">
        <v>228</v>
      </c>
      <c r="B25160" t="s">
        <v>257</v>
      </c>
      <c r="C25160">
        <v>3</v>
      </c>
      <c r="D25160" s="26">
        <v>6.8999999999999999E-3</v>
      </c>
      <c r="E25160" s="26">
        <v>7.9000000000000008E-3</v>
      </c>
      <c r="F25160" s="26">
        <v>1.15E-2</v>
      </c>
      <c r="G25160" s="26">
        <v>1.6E-2</v>
      </c>
      <c r="H25160" s="26">
        <v>7.4300000000000005E-2</v>
      </c>
      <c r="I25160">
        <v>49</v>
      </c>
    </row>
    <row r="25161" spans="1:9" x14ac:dyDescent="0.35">
      <c r="A25161" t="s">
        <v>228</v>
      </c>
      <c r="B25161" t="s">
        <v>257</v>
      </c>
      <c r="C25161">
        <v>7</v>
      </c>
      <c r="D25161" s="26">
        <v>0.14299999999999999</v>
      </c>
      <c r="E25161" s="26">
        <v>3.5000000000000003E-2</v>
      </c>
      <c r="F25161" s="26">
        <v>5.0999999999999997E-2</v>
      </c>
      <c r="G25161" s="26">
        <v>0.20699999999999999</v>
      </c>
      <c r="H25161" s="26">
        <v>4.7699999999999999E-2</v>
      </c>
      <c r="I25161">
        <v>49</v>
      </c>
    </row>
    <row r="25162" spans="1:9" x14ac:dyDescent="0.35">
      <c r="A25162" t="s">
        <v>228</v>
      </c>
      <c r="B25162" t="s">
        <v>257</v>
      </c>
      <c r="C25162">
        <v>5</v>
      </c>
      <c r="D25162" s="26">
        <v>1.6E-2</v>
      </c>
      <c r="F25162" s="26">
        <v>7.9000000000000008E-3</v>
      </c>
      <c r="G25162" s="26">
        <v>7.9000000000000008E-3</v>
      </c>
      <c r="H25162" s="26">
        <v>2.24E-2</v>
      </c>
      <c r="I25162">
        <v>49</v>
      </c>
    </row>
    <row r="25163" spans="1:9" x14ac:dyDescent="0.35">
      <c r="A25163" s="27" t="s">
        <v>228</v>
      </c>
      <c r="B25163" s="27" t="s">
        <v>258</v>
      </c>
      <c r="C25163" s="29">
        <v>0</v>
      </c>
      <c r="D25163" s="28">
        <v>0.90190000000000003</v>
      </c>
      <c r="E25163" s="28">
        <v>1</v>
      </c>
      <c r="F25163" s="28">
        <v>1</v>
      </c>
      <c r="G25163" s="28">
        <v>1</v>
      </c>
      <c r="H25163" s="28">
        <v>1</v>
      </c>
      <c r="I25163" s="29">
        <v>4</v>
      </c>
    </row>
    <row r="25164" spans="1:9" x14ac:dyDescent="0.35">
      <c r="A25164" s="27" t="s">
        <v>228</v>
      </c>
      <c r="B25164" s="27" t="s">
        <v>258</v>
      </c>
      <c r="C25164" s="29">
        <v>7</v>
      </c>
      <c r="D25164" s="28">
        <v>9.8100000000000007E-2</v>
      </c>
      <c r="E25164" s="29"/>
      <c r="F25164" s="29"/>
      <c r="G25164" s="29"/>
      <c r="H25164" s="29"/>
      <c r="I25164" s="29">
        <v>4</v>
      </c>
    </row>
    <row r="25165" spans="1:9" x14ac:dyDescent="0.35">
      <c r="A25165" t="s">
        <v>228</v>
      </c>
      <c r="B25165" t="s">
        <v>256</v>
      </c>
      <c r="C25165">
        <v>6</v>
      </c>
      <c r="D25165" s="26">
        <v>1E-3</v>
      </c>
      <c r="I25165">
        <v>221</v>
      </c>
    </row>
    <row r="25166" spans="1:9" x14ac:dyDescent="0.35">
      <c r="A25166" t="s">
        <v>228</v>
      </c>
      <c r="B25166" t="s">
        <v>257</v>
      </c>
      <c r="C25166">
        <v>4</v>
      </c>
      <c r="D25166" s="26">
        <v>6.7599999999999993E-2</v>
      </c>
      <c r="E25166" s="26">
        <v>2.3099999999999999E-2</v>
      </c>
      <c r="F25166" s="26">
        <v>7.9000000000000008E-3</v>
      </c>
      <c r="G25166" s="26">
        <v>1.84E-2</v>
      </c>
      <c r="H25166" s="26">
        <v>7.9000000000000008E-3</v>
      </c>
      <c r="I25166">
        <v>49</v>
      </c>
    </row>
    <row r="25167" spans="1:9" x14ac:dyDescent="0.35">
      <c r="A25167" t="s">
        <v>228</v>
      </c>
      <c r="B25167" t="s">
        <v>256</v>
      </c>
      <c r="C25167">
        <v>5</v>
      </c>
      <c r="D25167" s="26">
        <v>1.6899999999999998E-2</v>
      </c>
      <c r="E25167" s="26">
        <v>1.6999999999999999E-3</v>
      </c>
      <c r="G25167" s="26">
        <v>1.23E-2</v>
      </c>
      <c r="H25167" s="26">
        <v>4.7999999999999996E-3</v>
      </c>
      <c r="I25167">
        <v>221</v>
      </c>
    </row>
    <row r="25168" spans="1:9" x14ac:dyDescent="0.35">
      <c r="A25168" t="s">
        <v>228</v>
      </c>
      <c r="B25168" t="s">
        <v>256</v>
      </c>
      <c r="C25168">
        <v>3</v>
      </c>
      <c r="D25168" s="26">
        <v>8.9399999999999993E-2</v>
      </c>
      <c r="E25168" s="26">
        <v>5.4999999999999997E-3</v>
      </c>
      <c r="F25168" s="26">
        <v>2.41E-2</v>
      </c>
      <c r="G25168" s="26">
        <v>2.9499999999999998E-2</v>
      </c>
      <c r="H25168" s="26">
        <v>2.3E-3</v>
      </c>
      <c r="I25168">
        <v>221</v>
      </c>
    </row>
    <row r="25169" spans="1:9" x14ac:dyDescent="0.35">
      <c r="A25169" t="s">
        <v>228</v>
      </c>
      <c r="B25169" t="s">
        <v>255</v>
      </c>
      <c r="C25169">
        <v>0</v>
      </c>
      <c r="D25169" s="26">
        <v>0.63339999999999996</v>
      </c>
      <c r="E25169" s="26">
        <v>0.90080000000000005</v>
      </c>
      <c r="F25169" s="26">
        <v>0.85750000000000004</v>
      </c>
      <c r="G25169" s="26">
        <v>0.98780000000000001</v>
      </c>
      <c r="H25169" s="26">
        <v>0.86919999999999997</v>
      </c>
      <c r="I25169">
        <v>759</v>
      </c>
    </row>
    <row r="25170" spans="1:9" x14ac:dyDescent="0.35">
      <c r="A25170" t="s">
        <v>228</v>
      </c>
      <c r="B25170" t="s">
        <v>256</v>
      </c>
      <c r="C25170">
        <v>2</v>
      </c>
      <c r="D25170" s="26">
        <v>5.3499999999999999E-2</v>
      </c>
      <c r="E25170" s="26">
        <v>2.4400000000000002E-2</v>
      </c>
      <c r="F25170" s="26">
        <v>2.7099999999999999E-2</v>
      </c>
      <c r="G25170" s="26">
        <v>4.7100000000000003E-2</v>
      </c>
      <c r="H25170" s="26">
        <v>2.07E-2</v>
      </c>
      <c r="I25170">
        <v>221</v>
      </c>
    </row>
    <row r="25171" spans="1:9" x14ac:dyDescent="0.35">
      <c r="A25171" t="s">
        <v>228</v>
      </c>
      <c r="B25171" t="s">
        <v>256</v>
      </c>
      <c r="C25171">
        <v>1</v>
      </c>
      <c r="D25171" s="26">
        <v>3.2399999999999998E-2</v>
      </c>
      <c r="E25171" s="26">
        <v>1.49E-2</v>
      </c>
      <c r="F25171" s="26">
        <v>2.6599999999999999E-2</v>
      </c>
      <c r="G25171" s="26">
        <v>2.8199999999999999E-2</v>
      </c>
      <c r="H25171" s="26">
        <v>8.0000000000000002E-3</v>
      </c>
      <c r="I25171">
        <v>221</v>
      </c>
    </row>
    <row r="25172" spans="1:9" x14ac:dyDescent="0.35">
      <c r="A25172" t="s">
        <v>228</v>
      </c>
      <c r="B25172" t="s">
        <v>256</v>
      </c>
      <c r="C25172">
        <v>0</v>
      </c>
      <c r="D25172" s="26">
        <v>0.73299999999999998</v>
      </c>
      <c r="E25172" s="26">
        <v>0.94869999999999999</v>
      </c>
      <c r="F25172" s="26">
        <v>0.88700000000000001</v>
      </c>
      <c r="G25172" s="26">
        <v>0.84840000000000004</v>
      </c>
      <c r="H25172" s="26">
        <v>0.94350000000000001</v>
      </c>
      <c r="I25172">
        <v>221</v>
      </c>
    </row>
    <row r="25173" spans="1:9" x14ac:dyDescent="0.35">
      <c r="A25173" t="s">
        <v>228</v>
      </c>
      <c r="B25173" t="s">
        <v>255</v>
      </c>
      <c r="C25173">
        <v>7</v>
      </c>
      <c r="D25173" s="26">
        <v>0.16489999999999999</v>
      </c>
      <c r="E25173" s="26">
        <v>1.32E-2</v>
      </c>
      <c r="F25173" s="26">
        <v>5.4899999999999997E-2</v>
      </c>
      <c r="G25173" s="26">
        <v>1.2999999999999999E-3</v>
      </c>
      <c r="H25173" s="26">
        <v>5.0700000000000002E-2</v>
      </c>
      <c r="I25173">
        <v>759</v>
      </c>
    </row>
    <row r="25174" spans="1:9" x14ac:dyDescent="0.35">
      <c r="A25174" t="s">
        <v>228</v>
      </c>
      <c r="B25174" t="s">
        <v>255</v>
      </c>
      <c r="C25174">
        <v>6</v>
      </c>
      <c r="D25174" s="26">
        <v>2.7000000000000001E-3</v>
      </c>
      <c r="F25174" s="26">
        <v>1.6999999999999999E-3</v>
      </c>
      <c r="I25174">
        <v>759</v>
      </c>
    </row>
    <row r="25175" spans="1:9" x14ac:dyDescent="0.35">
      <c r="A25175" t="s">
        <v>228</v>
      </c>
      <c r="B25175" t="s">
        <v>255</v>
      </c>
      <c r="C25175">
        <v>5</v>
      </c>
      <c r="D25175" s="26">
        <v>1.9099999999999999E-2</v>
      </c>
      <c r="E25175" s="26">
        <v>1.5E-3</v>
      </c>
      <c r="F25175" s="26">
        <v>2.3999999999999998E-3</v>
      </c>
      <c r="G25175" s="26">
        <v>6.9999999999999999E-4</v>
      </c>
      <c r="H25175" s="26">
        <v>2.3999999999999998E-3</v>
      </c>
      <c r="I25175">
        <v>759</v>
      </c>
    </row>
    <row r="25176" spans="1:9" x14ac:dyDescent="0.35">
      <c r="A25176" t="s">
        <v>228</v>
      </c>
      <c r="B25176" t="s">
        <v>255</v>
      </c>
      <c r="C25176">
        <v>4</v>
      </c>
      <c r="D25176" s="26">
        <v>2.46E-2</v>
      </c>
      <c r="E25176" s="26">
        <v>7.1999999999999998E-3</v>
      </c>
      <c r="F25176" s="26">
        <v>8.0999999999999996E-3</v>
      </c>
      <c r="G25176" s="26">
        <v>2.9999999999999997E-4</v>
      </c>
      <c r="H25176" s="26">
        <v>8.6999999999999994E-3</v>
      </c>
      <c r="I25176">
        <v>759</v>
      </c>
    </row>
    <row r="25177" spans="1:9" x14ac:dyDescent="0.35">
      <c r="A25177" t="s">
        <v>228</v>
      </c>
      <c r="B25177" t="s">
        <v>255</v>
      </c>
      <c r="C25177">
        <v>3</v>
      </c>
      <c r="D25177" s="26">
        <v>4.8599999999999997E-2</v>
      </c>
      <c r="E25177" s="26">
        <v>1.46E-2</v>
      </c>
      <c r="F25177" s="26">
        <v>3.6799999999999999E-2</v>
      </c>
      <c r="G25177" s="26">
        <v>7.3000000000000001E-3</v>
      </c>
      <c r="H25177" s="26">
        <v>2.6700000000000002E-2</v>
      </c>
      <c r="I25177">
        <v>759</v>
      </c>
    </row>
    <row r="25178" spans="1:9" x14ac:dyDescent="0.35">
      <c r="A25178" t="s">
        <v>228</v>
      </c>
      <c r="B25178" t="s">
        <v>255</v>
      </c>
      <c r="C25178">
        <v>2</v>
      </c>
      <c r="D25178" s="26">
        <v>7.8E-2</v>
      </c>
      <c r="E25178" s="26">
        <v>2.0500000000000001E-2</v>
      </c>
      <c r="F25178" s="26">
        <v>2.58E-2</v>
      </c>
      <c r="G25178" s="26">
        <v>1.6999999999999999E-3</v>
      </c>
      <c r="H25178" s="26">
        <v>2.35E-2</v>
      </c>
      <c r="I25178">
        <v>759</v>
      </c>
    </row>
    <row r="25179" spans="1:9" x14ac:dyDescent="0.35">
      <c r="A25179" t="s">
        <v>228</v>
      </c>
      <c r="B25179" t="s">
        <v>255</v>
      </c>
      <c r="C25179">
        <v>1</v>
      </c>
      <c r="D25179" s="26">
        <v>2.86E-2</v>
      </c>
      <c r="E25179" s="26">
        <v>4.2200000000000001E-2</v>
      </c>
      <c r="F25179" s="26">
        <v>1.2800000000000001E-2</v>
      </c>
      <c r="G25179" s="26">
        <v>8.9999999999999998E-4</v>
      </c>
      <c r="H25179" s="26">
        <v>1.8800000000000001E-2</v>
      </c>
      <c r="I25179">
        <v>759</v>
      </c>
    </row>
    <row r="25180" spans="1:9" x14ac:dyDescent="0.35">
      <c r="A25180" t="s">
        <v>228</v>
      </c>
      <c r="B25180" t="s">
        <v>256</v>
      </c>
      <c r="C25180">
        <v>4</v>
      </c>
      <c r="D25180" s="26">
        <v>2.3E-3</v>
      </c>
      <c r="F25180" s="26">
        <v>3.0000000000000001E-3</v>
      </c>
      <c r="H25180" s="26">
        <v>7.3000000000000001E-3</v>
      </c>
      <c r="I25180">
        <v>221</v>
      </c>
    </row>
    <row r="25181" spans="1:9" x14ac:dyDescent="0.35">
      <c r="A25181" t="s">
        <v>229</v>
      </c>
      <c r="B25181" t="s">
        <v>256</v>
      </c>
      <c r="C25181">
        <v>7</v>
      </c>
      <c r="D25181" s="26">
        <v>4.5100000000000001E-2</v>
      </c>
      <c r="E25181" s="26">
        <v>1.1599999999999999E-2</v>
      </c>
      <c r="F25181" s="26">
        <v>3.4099999999999998E-2</v>
      </c>
      <c r="G25181" s="26">
        <v>2.4299999999999999E-2</v>
      </c>
      <c r="H25181" s="26">
        <v>3.3500000000000002E-2</v>
      </c>
      <c r="I25181">
        <v>207</v>
      </c>
    </row>
    <row r="25182" spans="1:9" x14ac:dyDescent="0.35">
      <c r="A25182" t="s">
        <v>229</v>
      </c>
      <c r="B25182" t="s">
        <v>257</v>
      </c>
      <c r="C25182">
        <v>0</v>
      </c>
      <c r="D25182" s="26">
        <v>0.64339999999999997</v>
      </c>
      <c r="E25182" s="26">
        <v>0.76719999999999999</v>
      </c>
      <c r="F25182" s="26">
        <v>0.84599999999999997</v>
      </c>
      <c r="G25182" s="26">
        <v>0.72870000000000001</v>
      </c>
      <c r="H25182" s="26">
        <v>0.7873</v>
      </c>
      <c r="I25182">
        <v>50</v>
      </c>
    </row>
    <row r="25183" spans="1:9" x14ac:dyDescent="0.35">
      <c r="A25183" t="s">
        <v>229</v>
      </c>
      <c r="B25183" t="s">
        <v>257</v>
      </c>
      <c r="C25183">
        <v>1</v>
      </c>
      <c r="D25183" s="26">
        <v>6.9500000000000006E-2</v>
      </c>
      <c r="E25183" s="26">
        <v>4.8000000000000001E-2</v>
      </c>
      <c r="G25183" s="26">
        <v>1.23E-2</v>
      </c>
      <c r="H25183" s="26">
        <v>6.7699999999999996E-2</v>
      </c>
      <c r="I25183">
        <v>50</v>
      </c>
    </row>
    <row r="25184" spans="1:9" x14ac:dyDescent="0.35">
      <c r="A25184" t="s">
        <v>229</v>
      </c>
      <c r="B25184" t="s">
        <v>257</v>
      </c>
      <c r="C25184">
        <v>3</v>
      </c>
      <c r="D25184" s="26">
        <v>5.2499999999999998E-2</v>
      </c>
      <c r="G25184" s="26">
        <v>9.2600000000000002E-2</v>
      </c>
      <c r="H25184" s="26">
        <v>4.6300000000000001E-2</v>
      </c>
      <c r="I25184">
        <v>50</v>
      </c>
    </row>
    <row r="25185" spans="1:9" x14ac:dyDescent="0.35">
      <c r="A25185" t="s">
        <v>229</v>
      </c>
      <c r="B25185" t="s">
        <v>256</v>
      </c>
      <c r="C25185">
        <v>5</v>
      </c>
      <c r="D25185" s="26">
        <v>1.09E-2</v>
      </c>
      <c r="E25185" s="26">
        <v>3.5999999999999999E-3</v>
      </c>
      <c r="G25185" s="26">
        <v>5.9999999999999995E-4</v>
      </c>
      <c r="H25185" s="26">
        <v>5.9999999999999995E-4</v>
      </c>
      <c r="I25185">
        <v>207</v>
      </c>
    </row>
    <row r="25186" spans="1:9" x14ac:dyDescent="0.35">
      <c r="A25186" t="s">
        <v>229</v>
      </c>
      <c r="B25186" t="s">
        <v>257</v>
      </c>
      <c r="C25186">
        <v>5</v>
      </c>
      <c r="D25186" s="26">
        <v>4.6300000000000001E-2</v>
      </c>
      <c r="I25186">
        <v>50</v>
      </c>
    </row>
    <row r="25187" spans="1:9" x14ac:dyDescent="0.35">
      <c r="A25187" t="s">
        <v>229</v>
      </c>
      <c r="B25187" t="s">
        <v>257</v>
      </c>
      <c r="C25187">
        <v>7</v>
      </c>
      <c r="D25187" s="26">
        <v>2.6200000000000001E-2</v>
      </c>
      <c r="F25187" s="26">
        <v>5.2400000000000002E-2</v>
      </c>
      <c r="G25187" s="26">
        <v>1.84E-2</v>
      </c>
      <c r="H25187" s="26">
        <v>6.1000000000000004E-3</v>
      </c>
      <c r="I25187">
        <v>50</v>
      </c>
    </row>
    <row r="25188" spans="1:9" x14ac:dyDescent="0.35">
      <c r="A25188" s="27" t="s">
        <v>229</v>
      </c>
      <c r="B25188" s="27" t="s">
        <v>258</v>
      </c>
      <c r="C25188" s="29">
        <v>0</v>
      </c>
      <c r="D25188" s="28">
        <v>0.22409999999999999</v>
      </c>
      <c r="E25188" s="28">
        <v>0.22409999999999999</v>
      </c>
      <c r="F25188" s="28">
        <v>1</v>
      </c>
      <c r="G25188" s="28">
        <v>0.22409999999999999</v>
      </c>
      <c r="H25188" s="28">
        <v>1</v>
      </c>
      <c r="I25188" s="29">
        <v>2</v>
      </c>
    </row>
    <row r="25189" spans="1:9" x14ac:dyDescent="0.35">
      <c r="A25189" s="27" t="s">
        <v>229</v>
      </c>
      <c r="B25189" s="27" t="s">
        <v>258</v>
      </c>
      <c r="C25189" s="29">
        <v>2</v>
      </c>
      <c r="D25189" s="28">
        <v>0.77590000000000003</v>
      </c>
      <c r="E25189" s="29"/>
      <c r="F25189" s="29"/>
      <c r="G25189" s="29"/>
      <c r="H25189" s="29"/>
      <c r="I25189" s="29">
        <v>2</v>
      </c>
    </row>
    <row r="25190" spans="1:9" x14ac:dyDescent="0.35">
      <c r="A25190" t="s">
        <v>229</v>
      </c>
      <c r="B25190" t="s">
        <v>257</v>
      </c>
      <c r="C25190">
        <v>4</v>
      </c>
      <c r="D25190" s="26">
        <v>5.5399999999999998E-2</v>
      </c>
      <c r="E25190" s="26">
        <v>6.1000000000000004E-3</v>
      </c>
      <c r="I25190">
        <v>50</v>
      </c>
    </row>
    <row r="25191" spans="1:9" x14ac:dyDescent="0.35">
      <c r="A25191" t="s">
        <v>229</v>
      </c>
      <c r="B25191" t="s">
        <v>256</v>
      </c>
      <c r="C25191">
        <v>4</v>
      </c>
      <c r="D25191" s="26">
        <v>1.34E-2</v>
      </c>
      <c r="F25191" s="26">
        <v>1.1999999999999999E-3</v>
      </c>
      <c r="H25191" s="26">
        <v>1.09E-2</v>
      </c>
      <c r="I25191">
        <v>207</v>
      </c>
    </row>
    <row r="25192" spans="1:9" x14ac:dyDescent="0.35">
      <c r="A25192" t="s">
        <v>229</v>
      </c>
      <c r="B25192" t="s">
        <v>257</v>
      </c>
      <c r="C25192">
        <v>2</v>
      </c>
      <c r="D25192" s="26">
        <v>0.1067</v>
      </c>
      <c r="E25192" s="26">
        <v>0.1787</v>
      </c>
      <c r="F25192" s="26">
        <v>0.1017</v>
      </c>
      <c r="G25192" s="26">
        <v>0.14799999999999999</v>
      </c>
      <c r="H25192" s="26">
        <v>9.2600000000000002E-2</v>
      </c>
      <c r="I25192">
        <v>50</v>
      </c>
    </row>
    <row r="25193" spans="1:9" x14ac:dyDescent="0.35">
      <c r="A25193" t="s">
        <v>229</v>
      </c>
      <c r="B25193" t="s">
        <v>256</v>
      </c>
      <c r="C25193">
        <v>2</v>
      </c>
      <c r="D25193" s="26">
        <v>8.7999999999999995E-2</v>
      </c>
      <c r="E25193" s="26">
        <v>1.2800000000000001E-2</v>
      </c>
      <c r="F25193" s="26">
        <v>4.0800000000000003E-2</v>
      </c>
      <c r="G25193" s="26">
        <v>1.2800000000000001E-2</v>
      </c>
      <c r="H25193" s="26">
        <v>1.2800000000000001E-2</v>
      </c>
      <c r="I25193">
        <v>207</v>
      </c>
    </row>
    <row r="25194" spans="1:9" x14ac:dyDescent="0.35">
      <c r="A25194" t="s">
        <v>229</v>
      </c>
      <c r="B25194" t="s">
        <v>256</v>
      </c>
      <c r="C25194">
        <v>3</v>
      </c>
      <c r="D25194" s="26">
        <v>4.4999999999999998E-2</v>
      </c>
      <c r="E25194" s="26">
        <v>1.5800000000000002E-2</v>
      </c>
      <c r="F25194" s="26">
        <v>2.7400000000000001E-2</v>
      </c>
      <c r="G25194" s="26">
        <v>2.4299999999999999E-2</v>
      </c>
      <c r="H25194" s="26">
        <v>1.1900000000000001E-2</v>
      </c>
      <c r="I25194">
        <v>207</v>
      </c>
    </row>
    <row r="25195" spans="1:9" x14ac:dyDescent="0.35">
      <c r="A25195" t="s">
        <v>229</v>
      </c>
      <c r="B25195" t="s">
        <v>255</v>
      </c>
      <c r="C25195">
        <v>1</v>
      </c>
      <c r="D25195" s="26">
        <v>1.35E-2</v>
      </c>
      <c r="E25195" s="26">
        <v>4.6100000000000002E-2</v>
      </c>
      <c r="F25195" s="26">
        <v>1.26E-2</v>
      </c>
      <c r="G25195" s="26">
        <v>1E-3</v>
      </c>
      <c r="H25195" s="26">
        <v>5.4000000000000003E-3</v>
      </c>
      <c r="I25195">
        <v>636</v>
      </c>
    </row>
    <row r="25196" spans="1:9" x14ac:dyDescent="0.35">
      <c r="A25196" t="s">
        <v>229</v>
      </c>
      <c r="B25196" t="s">
        <v>255</v>
      </c>
      <c r="C25196">
        <v>2</v>
      </c>
      <c r="D25196" s="26">
        <v>0.1084</v>
      </c>
      <c r="E25196" s="26">
        <v>8.0000000000000002E-3</v>
      </c>
      <c r="F25196" s="26">
        <v>4.0800000000000003E-2</v>
      </c>
      <c r="H25196" s="26">
        <v>2.3800000000000002E-2</v>
      </c>
      <c r="I25196">
        <v>636</v>
      </c>
    </row>
    <row r="25197" spans="1:9" x14ac:dyDescent="0.35">
      <c r="A25197" t="s">
        <v>229</v>
      </c>
      <c r="B25197" t="s">
        <v>255</v>
      </c>
      <c r="C25197">
        <v>3</v>
      </c>
      <c r="D25197" s="26">
        <v>3.15E-2</v>
      </c>
      <c r="E25197" s="26">
        <v>1.1599999999999999E-2</v>
      </c>
      <c r="F25197" s="26">
        <v>2.98E-2</v>
      </c>
      <c r="G25197" s="26">
        <v>4.1999999999999997E-3</v>
      </c>
      <c r="H25197" s="26">
        <v>2.8899999999999999E-2</v>
      </c>
      <c r="I25197">
        <v>636</v>
      </c>
    </row>
    <row r="25198" spans="1:9" x14ac:dyDescent="0.35">
      <c r="A25198" t="s">
        <v>229</v>
      </c>
      <c r="B25198" t="s">
        <v>255</v>
      </c>
      <c r="C25198">
        <v>4</v>
      </c>
      <c r="D25198" s="26">
        <v>4.5199999999999997E-2</v>
      </c>
      <c r="F25198" s="26">
        <v>1.17E-2</v>
      </c>
      <c r="G25198" s="26">
        <v>1E-4</v>
      </c>
      <c r="H25198" s="26">
        <v>4.4999999999999997E-3</v>
      </c>
      <c r="I25198">
        <v>636</v>
      </c>
    </row>
    <row r="25199" spans="1:9" x14ac:dyDescent="0.35">
      <c r="A25199" t="s">
        <v>229</v>
      </c>
      <c r="B25199" t="s">
        <v>255</v>
      </c>
      <c r="C25199">
        <v>0</v>
      </c>
      <c r="D25199" s="26">
        <v>0.66510000000000002</v>
      </c>
      <c r="E25199" s="26">
        <v>0.92410000000000003</v>
      </c>
      <c r="F25199" s="26">
        <v>0.85070000000000001</v>
      </c>
      <c r="G25199" s="26">
        <v>0.98980000000000001</v>
      </c>
      <c r="H25199" s="26">
        <v>0.89529999999999998</v>
      </c>
      <c r="I25199">
        <v>636</v>
      </c>
    </row>
    <row r="25200" spans="1:9" x14ac:dyDescent="0.35">
      <c r="A25200" t="s">
        <v>229</v>
      </c>
      <c r="B25200" t="s">
        <v>255</v>
      </c>
      <c r="C25200">
        <v>6</v>
      </c>
      <c r="D25200" s="26">
        <v>3.7000000000000002E-3</v>
      </c>
      <c r="I25200">
        <v>636</v>
      </c>
    </row>
    <row r="25201" spans="1:9" x14ac:dyDescent="0.35">
      <c r="A25201" t="s">
        <v>229</v>
      </c>
      <c r="B25201" t="s">
        <v>255</v>
      </c>
      <c r="C25201">
        <v>7</v>
      </c>
      <c r="D25201" s="26">
        <v>0.1114</v>
      </c>
      <c r="E25201" s="26">
        <v>1.0200000000000001E-2</v>
      </c>
      <c r="F25201" s="26">
        <v>4.65E-2</v>
      </c>
      <c r="G25201" s="26">
        <v>4.7000000000000002E-3</v>
      </c>
      <c r="H25201" s="26">
        <v>3.6900000000000002E-2</v>
      </c>
      <c r="I25201">
        <v>636</v>
      </c>
    </row>
    <row r="25202" spans="1:9" x14ac:dyDescent="0.35">
      <c r="A25202" t="s">
        <v>229</v>
      </c>
      <c r="B25202" t="s">
        <v>256</v>
      </c>
      <c r="C25202">
        <v>0</v>
      </c>
      <c r="D25202" s="26">
        <v>0.79420000000000002</v>
      </c>
      <c r="E25202" s="26">
        <v>0.90390000000000004</v>
      </c>
      <c r="F25202" s="26">
        <v>0.87519999999999998</v>
      </c>
      <c r="G25202" s="26">
        <v>0.92700000000000005</v>
      </c>
      <c r="H25202" s="26">
        <v>0.91020000000000001</v>
      </c>
      <c r="I25202">
        <v>207</v>
      </c>
    </row>
    <row r="25203" spans="1:9" x14ac:dyDescent="0.35">
      <c r="A25203" t="s">
        <v>229</v>
      </c>
      <c r="B25203" t="s">
        <v>256</v>
      </c>
      <c r="C25203">
        <v>1</v>
      </c>
      <c r="D25203" s="26">
        <v>3.3999999999999998E-3</v>
      </c>
      <c r="E25203" s="26">
        <v>5.2299999999999999E-2</v>
      </c>
      <c r="F25203" s="26">
        <v>2.1299999999999999E-2</v>
      </c>
      <c r="G25203" s="26">
        <v>1.8E-3</v>
      </c>
      <c r="H25203" s="26">
        <v>2.01E-2</v>
      </c>
      <c r="I25203">
        <v>207</v>
      </c>
    </row>
    <row r="25204" spans="1:9" x14ac:dyDescent="0.35">
      <c r="A25204" t="s">
        <v>229</v>
      </c>
      <c r="B25204" t="s">
        <v>255</v>
      </c>
      <c r="C25204">
        <v>5</v>
      </c>
      <c r="D25204" s="26">
        <v>2.12E-2</v>
      </c>
      <c r="F25204" s="26">
        <v>8.0000000000000002E-3</v>
      </c>
      <c r="G25204" s="26">
        <v>1E-4</v>
      </c>
      <c r="H25204" s="26">
        <v>5.1999999999999998E-3</v>
      </c>
      <c r="I25204">
        <v>636</v>
      </c>
    </row>
    <row r="25205" spans="1:9" x14ac:dyDescent="0.35">
      <c r="A25205" s="27" t="s">
        <v>230</v>
      </c>
      <c r="B25205" s="27" t="s">
        <v>258</v>
      </c>
      <c r="C25205" s="29">
        <v>3</v>
      </c>
      <c r="D25205" s="28">
        <v>0.1356</v>
      </c>
      <c r="E25205" s="29"/>
      <c r="F25205" s="29"/>
      <c r="G25205" s="29"/>
      <c r="H25205" s="29"/>
      <c r="I25205" s="29">
        <v>3</v>
      </c>
    </row>
    <row r="25206" spans="1:9" x14ac:dyDescent="0.35">
      <c r="A25206" t="s">
        <v>230</v>
      </c>
      <c r="B25206" t="s">
        <v>256</v>
      </c>
      <c r="C25206">
        <v>5</v>
      </c>
      <c r="D25206" s="26">
        <v>2.0999999999999999E-3</v>
      </c>
      <c r="E25206" s="26">
        <v>3.5000000000000001E-3</v>
      </c>
      <c r="F25206" s="26">
        <v>3.5000000000000001E-3</v>
      </c>
      <c r="I25206">
        <v>130</v>
      </c>
    </row>
    <row r="25207" spans="1:9" x14ac:dyDescent="0.35">
      <c r="A25207" s="27" t="s">
        <v>230</v>
      </c>
      <c r="B25207" s="27" t="s">
        <v>258</v>
      </c>
      <c r="C25207" s="29">
        <v>0</v>
      </c>
      <c r="D25207" s="28">
        <v>0.86439999999999995</v>
      </c>
      <c r="E25207" s="28">
        <v>0.17730000000000001</v>
      </c>
      <c r="F25207" s="28">
        <v>1</v>
      </c>
      <c r="G25207" s="28">
        <v>0.17730000000000001</v>
      </c>
      <c r="H25207" s="28">
        <v>0.17730000000000001</v>
      </c>
      <c r="I25207" s="29">
        <v>3</v>
      </c>
    </row>
    <row r="25208" spans="1:9" x14ac:dyDescent="0.35">
      <c r="A25208" t="s">
        <v>230</v>
      </c>
      <c r="B25208" t="s">
        <v>257</v>
      </c>
      <c r="C25208">
        <v>7</v>
      </c>
      <c r="D25208" s="26">
        <v>0.20330000000000001</v>
      </c>
      <c r="E25208" s="26">
        <v>1.2800000000000001E-2</v>
      </c>
      <c r="F25208" s="26">
        <v>2.92E-2</v>
      </c>
      <c r="G25208" s="26">
        <v>2.92E-2</v>
      </c>
      <c r="H25208" s="26">
        <v>0.08</v>
      </c>
      <c r="I25208">
        <v>38</v>
      </c>
    </row>
    <row r="25209" spans="1:9" x14ac:dyDescent="0.35">
      <c r="A25209" t="s">
        <v>230</v>
      </c>
      <c r="B25209" t="s">
        <v>257</v>
      </c>
      <c r="C25209">
        <v>4</v>
      </c>
      <c r="D25209" s="26">
        <v>2.06E-2</v>
      </c>
      <c r="F25209" s="26">
        <v>8.8999999999999996E-2</v>
      </c>
      <c r="G25209" s="26">
        <v>1.2800000000000001E-2</v>
      </c>
      <c r="H25209" s="26">
        <v>8.8999999999999996E-2</v>
      </c>
      <c r="I25209">
        <v>38</v>
      </c>
    </row>
    <row r="25210" spans="1:9" x14ac:dyDescent="0.35">
      <c r="A25210" t="s">
        <v>230</v>
      </c>
      <c r="B25210" t="s">
        <v>257</v>
      </c>
      <c r="C25210">
        <v>3</v>
      </c>
      <c r="D25210" s="26">
        <v>0.1651</v>
      </c>
      <c r="E25210" s="26">
        <v>3.8999999999999998E-3</v>
      </c>
      <c r="G25210" s="26">
        <v>0.08</v>
      </c>
      <c r="H25210" s="26">
        <v>1.2800000000000001E-2</v>
      </c>
      <c r="I25210">
        <v>38</v>
      </c>
    </row>
    <row r="25211" spans="1:9" x14ac:dyDescent="0.35">
      <c r="A25211" t="s">
        <v>230</v>
      </c>
      <c r="B25211" t="s">
        <v>257</v>
      </c>
      <c r="C25211">
        <v>1</v>
      </c>
      <c r="D25211" s="26">
        <v>1.2800000000000001E-2</v>
      </c>
      <c r="E25211" s="26">
        <v>7.6100000000000001E-2</v>
      </c>
      <c r="H25211" s="26">
        <v>3.8999999999999998E-3</v>
      </c>
      <c r="I25211">
        <v>38</v>
      </c>
    </row>
    <row r="25212" spans="1:9" x14ac:dyDescent="0.35">
      <c r="A25212" t="s">
        <v>230</v>
      </c>
      <c r="B25212" t="s">
        <v>257</v>
      </c>
      <c r="C25212">
        <v>0</v>
      </c>
      <c r="D25212" s="26">
        <v>0.57310000000000005</v>
      </c>
      <c r="E25212" s="26">
        <v>0.72960000000000003</v>
      </c>
      <c r="F25212" s="26">
        <v>0.79279999999999995</v>
      </c>
      <c r="G25212" s="26">
        <v>0.78900000000000003</v>
      </c>
      <c r="H25212" s="26">
        <v>0.80179999999999996</v>
      </c>
      <c r="I25212">
        <v>38</v>
      </c>
    </row>
    <row r="25213" spans="1:9" x14ac:dyDescent="0.35">
      <c r="A25213" t="s">
        <v>230</v>
      </c>
      <c r="B25213" t="s">
        <v>256</v>
      </c>
      <c r="C25213">
        <v>7</v>
      </c>
      <c r="D25213" s="26">
        <v>3.4200000000000001E-2</v>
      </c>
      <c r="E25213" s="26">
        <v>2.07E-2</v>
      </c>
      <c r="F25213" s="26">
        <v>5.5999999999999999E-3</v>
      </c>
      <c r="G25213" s="26">
        <v>7.1199999999999999E-2</v>
      </c>
      <c r="H25213" s="26">
        <v>2.07E-2</v>
      </c>
      <c r="I25213">
        <v>130</v>
      </c>
    </row>
    <row r="25214" spans="1:9" x14ac:dyDescent="0.35">
      <c r="A25214" t="s">
        <v>230</v>
      </c>
      <c r="B25214" t="s">
        <v>256</v>
      </c>
      <c r="C25214">
        <v>6</v>
      </c>
      <c r="D25214" s="26">
        <v>2.07E-2</v>
      </c>
      <c r="I25214">
        <v>130</v>
      </c>
    </row>
    <row r="25215" spans="1:9" x14ac:dyDescent="0.35">
      <c r="A25215" t="s">
        <v>230</v>
      </c>
      <c r="B25215" t="s">
        <v>256</v>
      </c>
      <c r="C25215">
        <v>4</v>
      </c>
      <c r="D25215" s="26">
        <v>2.53E-2</v>
      </c>
      <c r="G25215" s="26">
        <v>2.52E-2</v>
      </c>
      <c r="H25215" s="26">
        <v>2.18E-2</v>
      </c>
      <c r="I25215">
        <v>130</v>
      </c>
    </row>
    <row r="25216" spans="1:9" x14ac:dyDescent="0.35">
      <c r="A25216" t="s">
        <v>230</v>
      </c>
      <c r="B25216" t="s">
        <v>257</v>
      </c>
      <c r="C25216">
        <v>2</v>
      </c>
      <c r="D25216" s="26">
        <v>2.5100000000000001E-2</v>
      </c>
      <c r="E25216" s="26">
        <v>0.17760000000000001</v>
      </c>
      <c r="F25216" s="26">
        <v>8.8999999999999996E-2</v>
      </c>
      <c r="G25216" s="26">
        <v>8.8999999999999996E-2</v>
      </c>
      <c r="H25216" s="26">
        <v>1.2500000000000001E-2</v>
      </c>
      <c r="I25216">
        <v>38</v>
      </c>
    </row>
    <row r="25217" spans="1:9" x14ac:dyDescent="0.35">
      <c r="A25217" t="s">
        <v>230</v>
      </c>
      <c r="B25217" t="s">
        <v>256</v>
      </c>
      <c r="C25217">
        <v>2</v>
      </c>
      <c r="D25217" s="26">
        <v>8.7400000000000005E-2</v>
      </c>
      <c r="E25217" s="26">
        <v>5.6399999999999999E-2</v>
      </c>
      <c r="F25217" s="26">
        <v>6.2100000000000002E-2</v>
      </c>
      <c r="G25217" s="26">
        <v>5.3800000000000001E-2</v>
      </c>
      <c r="H25217" s="26">
        <v>2.53E-2</v>
      </c>
      <c r="I25217">
        <v>130</v>
      </c>
    </row>
    <row r="25218" spans="1:9" x14ac:dyDescent="0.35">
      <c r="A25218" t="s">
        <v>230</v>
      </c>
      <c r="B25218" t="s">
        <v>255</v>
      </c>
      <c r="C25218">
        <v>0</v>
      </c>
      <c r="D25218" s="26">
        <v>0.67090000000000005</v>
      </c>
      <c r="E25218" s="26">
        <v>0.91690000000000005</v>
      </c>
      <c r="F25218" s="26">
        <v>0.87039999999999995</v>
      </c>
      <c r="G25218" s="26">
        <v>0.98880000000000001</v>
      </c>
      <c r="H25218" s="26">
        <v>0.87139999999999995</v>
      </c>
      <c r="I25218">
        <v>389</v>
      </c>
    </row>
    <row r="25219" spans="1:9" x14ac:dyDescent="0.35">
      <c r="A25219" t="s">
        <v>230</v>
      </c>
      <c r="B25219" t="s">
        <v>256</v>
      </c>
      <c r="C25219">
        <v>3</v>
      </c>
      <c r="D25219" s="26">
        <v>9.8799999999999999E-2</v>
      </c>
      <c r="E25219" s="26">
        <v>2.18E-2</v>
      </c>
      <c r="F25219" s="26">
        <v>8.0000000000000002E-3</v>
      </c>
      <c r="G25219" s="26">
        <v>1.49E-2</v>
      </c>
      <c r="H25219" s="26">
        <v>2.8799999999999999E-2</v>
      </c>
      <c r="I25219">
        <v>130</v>
      </c>
    </row>
    <row r="25220" spans="1:9" x14ac:dyDescent="0.35">
      <c r="A25220" t="s">
        <v>230</v>
      </c>
      <c r="B25220" t="s">
        <v>255</v>
      </c>
      <c r="C25220">
        <v>2</v>
      </c>
      <c r="D25220" s="26">
        <v>4.3299999999999998E-2</v>
      </c>
      <c r="E25220" s="26">
        <v>7.9000000000000008E-3</v>
      </c>
      <c r="F25220" s="26">
        <v>5.6899999999999999E-2</v>
      </c>
      <c r="G25220" s="26">
        <v>1.2999999999999999E-3</v>
      </c>
      <c r="H25220" s="26">
        <v>5.3999999999999999E-2</v>
      </c>
      <c r="I25220">
        <v>389</v>
      </c>
    </row>
    <row r="25221" spans="1:9" x14ac:dyDescent="0.35">
      <c r="A25221" t="s">
        <v>230</v>
      </c>
      <c r="B25221" t="s">
        <v>255</v>
      </c>
      <c r="C25221">
        <v>3</v>
      </c>
      <c r="D25221" s="26">
        <v>5.0599999999999999E-2</v>
      </c>
      <c r="E25221" s="26">
        <v>4.4999999999999997E-3</v>
      </c>
      <c r="F25221" s="26">
        <v>8.0000000000000002E-3</v>
      </c>
      <c r="H25221" s="26">
        <v>1.8800000000000001E-2</v>
      </c>
      <c r="I25221">
        <v>389</v>
      </c>
    </row>
    <row r="25222" spans="1:9" x14ac:dyDescent="0.35">
      <c r="A25222" t="s">
        <v>230</v>
      </c>
      <c r="B25222" t="s">
        <v>255</v>
      </c>
      <c r="C25222">
        <v>4</v>
      </c>
      <c r="D25222" s="26">
        <v>1.4800000000000001E-2</v>
      </c>
      <c r="E25222" s="26">
        <v>4.1000000000000003E-3</v>
      </c>
      <c r="F25222" s="26">
        <v>1.47E-2</v>
      </c>
      <c r="G25222" s="26">
        <v>4.0000000000000002E-4</v>
      </c>
      <c r="H25222" s="26">
        <v>4.4000000000000003E-3</v>
      </c>
      <c r="I25222">
        <v>389</v>
      </c>
    </row>
    <row r="25223" spans="1:9" x14ac:dyDescent="0.35">
      <c r="A25223" t="s">
        <v>230</v>
      </c>
      <c r="B25223" t="s">
        <v>255</v>
      </c>
      <c r="C25223">
        <v>1</v>
      </c>
      <c r="D25223" s="26">
        <v>3.3599999999999998E-2</v>
      </c>
      <c r="E25223" s="26">
        <v>5.5399999999999998E-2</v>
      </c>
      <c r="F25223" s="26">
        <v>2.7000000000000001E-3</v>
      </c>
      <c r="G25223" s="26">
        <v>8.0999999999999996E-3</v>
      </c>
      <c r="H25223" s="26">
        <v>5.8999999999999999E-3</v>
      </c>
      <c r="I25223">
        <v>389</v>
      </c>
    </row>
    <row r="25224" spans="1:9" x14ac:dyDescent="0.35">
      <c r="A25224" t="s">
        <v>230</v>
      </c>
      <c r="B25224" t="s">
        <v>255</v>
      </c>
      <c r="C25224">
        <v>6</v>
      </c>
      <c r="D25224" s="26">
        <v>1.7600000000000001E-2</v>
      </c>
      <c r="F25224" s="26">
        <v>2.7000000000000001E-3</v>
      </c>
      <c r="H25224" s="26">
        <v>1.4E-3</v>
      </c>
      <c r="I25224">
        <v>389</v>
      </c>
    </row>
    <row r="25225" spans="1:9" x14ac:dyDescent="0.35">
      <c r="A25225" t="s">
        <v>230</v>
      </c>
      <c r="B25225" t="s">
        <v>255</v>
      </c>
      <c r="C25225">
        <v>7</v>
      </c>
      <c r="D25225" s="26">
        <v>0.1565</v>
      </c>
      <c r="E25225" s="26">
        <v>3.0999999999999999E-3</v>
      </c>
      <c r="F25225" s="26">
        <v>4.3200000000000002E-2</v>
      </c>
      <c r="G25225" s="26">
        <v>1.2999999999999999E-3</v>
      </c>
      <c r="H25225" s="26">
        <v>4.2799999999999998E-2</v>
      </c>
      <c r="I25225">
        <v>389</v>
      </c>
    </row>
    <row r="25226" spans="1:9" x14ac:dyDescent="0.35">
      <c r="A25226" t="s">
        <v>230</v>
      </c>
      <c r="B25226" t="s">
        <v>256</v>
      </c>
      <c r="C25226">
        <v>0</v>
      </c>
      <c r="D25226" s="26">
        <v>0.71089999999999998</v>
      </c>
      <c r="E25226" s="26">
        <v>0.85870000000000002</v>
      </c>
      <c r="F25226" s="26">
        <v>0.89659999999999995</v>
      </c>
      <c r="G25226" s="26">
        <v>0.83479999999999999</v>
      </c>
      <c r="H25226" s="26">
        <v>0.9</v>
      </c>
      <c r="I25226">
        <v>130</v>
      </c>
    </row>
    <row r="25227" spans="1:9" x14ac:dyDescent="0.35">
      <c r="A25227" t="s">
        <v>230</v>
      </c>
      <c r="B25227" t="s">
        <v>256</v>
      </c>
      <c r="C25227">
        <v>1</v>
      </c>
      <c r="D25227" s="26">
        <v>2.07E-2</v>
      </c>
      <c r="E25227" s="26">
        <v>3.9E-2</v>
      </c>
      <c r="F25227" s="26">
        <v>2.4199999999999999E-2</v>
      </c>
      <c r="H25227" s="26">
        <v>3.5000000000000001E-3</v>
      </c>
      <c r="I25227">
        <v>130</v>
      </c>
    </row>
    <row r="25228" spans="1:9" x14ac:dyDescent="0.35">
      <c r="A25228" t="s">
        <v>230</v>
      </c>
      <c r="B25228" t="s">
        <v>255</v>
      </c>
      <c r="C25228">
        <v>5</v>
      </c>
      <c r="D25228" s="26">
        <v>1.26E-2</v>
      </c>
      <c r="E25228" s="26">
        <v>8.0999999999999996E-3</v>
      </c>
      <c r="F25228" s="26">
        <v>1.4E-3</v>
      </c>
      <c r="H25228" s="26">
        <v>1.4E-3</v>
      </c>
      <c r="I25228">
        <v>389</v>
      </c>
    </row>
    <row r="25229" spans="1:9" x14ac:dyDescent="0.35">
      <c r="A25229" s="27" t="s">
        <v>231</v>
      </c>
      <c r="B25229" s="27" t="s">
        <v>257</v>
      </c>
      <c r="C25229" s="29">
        <v>5</v>
      </c>
      <c r="D25229" s="28">
        <v>0.1429</v>
      </c>
      <c r="E25229" s="29"/>
      <c r="F25229" s="29"/>
      <c r="G25229" s="29"/>
      <c r="H25229" s="29"/>
      <c r="I25229" s="29">
        <v>7</v>
      </c>
    </row>
    <row r="25230" spans="1:9" x14ac:dyDescent="0.35">
      <c r="A25230" s="27" t="s">
        <v>231</v>
      </c>
      <c r="B25230" s="27" t="s">
        <v>257</v>
      </c>
      <c r="C25230" s="29">
        <v>4</v>
      </c>
      <c r="D25230" s="28">
        <v>0.1429</v>
      </c>
      <c r="E25230" s="29"/>
      <c r="F25230" s="29"/>
      <c r="G25230" s="29"/>
      <c r="H25230" s="29"/>
      <c r="I25230" s="29">
        <v>7</v>
      </c>
    </row>
    <row r="25231" spans="1:9" x14ac:dyDescent="0.35">
      <c r="A25231" s="27" t="s">
        <v>231</v>
      </c>
      <c r="B25231" s="27" t="s">
        <v>257</v>
      </c>
      <c r="C25231" s="29">
        <v>1</v>
      </c>
      <c r="D25231" s="28">
        <v>0.1429</v>
      </c>
      <c r="E25231" s="28">
        <v>0.1429</v>
      </c>
      <c r="F25231" s="29"/>
      <c r="G25231" s="29"/>
      <c r="H25231" s="29"/>
      <c r="I25231" s="29">
        <v>7</v>
      </c>
    </row>
    <row r="25232" spans="1:9" x14ac:dyDescent="0.35">
      <c r="A25232" s="27" t="s">
        <v>231</v>
      </c>
      <c r="B25232" s="27" t="s">
        <v>257</v>
      </c>
      <c r="C25232" s="29">
        <v>0</v>
      </c>
      <c r="D25232" s="28">
        <v>0.57140000000000002</v>
      </c>
      <c r="E25232" s="28">
        <v>0.71430000000000005</v>
      </c>
      <c r="F25232" s="28">
        <v>1</v>
      </c>
      <c r="G25232" s="28">
        <v>1</v>
      </c>
      <c r="H25232" s="28">
        <v>0.85709999999999997</v>
      </c>
      <c r="I25232" s="29">
        <v>7</v>
      </c>
    </row>
    <row r="25233" spans="1:9" x14ac:dyDescent="0.35">
      <c r="A25233" s="27" t="s">
        <v>231</v>
      </c>
      <c r="B25233" s="27" t="s">
        <v>256</v>
      </c>
      <c r="C25233" s="29">
        <v>7</v>
      </c>
      <c r="D25233" s="28">
        <v>0.1071</v>
      </c>
      <c r="E25233" s="29"/>
      <c r="F25233" s="28">
        <v>7.1400000000000005E-2</v>
      </c>
      <c r="G25233" s="28">
        <v>7.1400000000000005E-2</v>
      </c>
      <c r="H25233" s="28">
        <v>3.5700000000000003E-2</v>
      </c>
      <c r="I25233" s="29">
        <v>28</v>
      </c>
    </row>
    <row r="25234" spans="1:9" x14ac:dyDescent="0.35">
      <c r="A25234" s="27" t="s">
        <v>231</v>
      </c>
      <c r="B25234" s="27" t="s">
        <v>256</v>
      </c>
      <c r="C25234" s="29">
        <v>5</v>
      </c>
      <c r="D25234" s="28">
        <v>3.5700000000000003E-2</v>
      </c>
      <c r="E25234" s="29"/>
      <c r="F25234" s="29"/>
      <c r="G25234" s="29"/>
      <c r="H25234" s="28">
        <v>3.5700000000000003E-2</v>
      </c>
      <c r="I25234" s="29">
        <v>28</v>
      </c>
    </row>
    <row r="25235" spans="1:9" x14ac:dyDescent="0.35">
      <c r="A25235" s="27" t="s">
        <v>231</v>
      </c>
      <c r="B25235" s="27" t="s">
        <v>256</v>
      </c>
      <c r="C25235" s="29">
        <v>4</v>
      </c>
      <c r="D25235" s="28">
        <v>7.1400000000000005E-2</v>
      </c>
      <c r="E25235" s="29"/>
      <c r="F25235" s="28">
        <v>0.1071</v>
      </c>
      <c r="G25235" s="28">
        <v>0.1071</v>
      </c>
      <c r="H25235" s="29"/>
      <c r="I25235" s="29">
        <v>28</v>
      </c>
    </row>
    <row r="25236" spans="1:9" x14ac:dyDescent="0.35">
      <c r="A25236" s="27" t="s">
        <v>231</v>
      </c>
      <c r="B25236" s="27" t="s">
        <v>256</v>
      </c>
      <c r="C25236" s="29">
        <v>3</v>
      </c>
      <c r="D25236" s="28">
        <v>0.1071</v>
      </c>
      <c r="E25236" s="28">
        <v>7.1400000000000005E-2</v>
      </c>
      <c r="F25236" s="29"/>
      <c r="G25236" s="28">
        <v>3.5700000000000003E-2</v>
      </c>
      <c r="H25236" s="28">
        <v>3.5700000000000003E-2</v>
      </c>
      <c r="I25236" s="29">
        <v>28</v>
      </c>
    </row>
    <row r="25237" spans="1:9" x14ac:dyDescent="0.35">
      <c r="A25237" t="s">
        <v>231</v>
      </c>
      <c r="B25237" t="s">
        <v>255</v>
      </c>
      <c r="C25237">
        <v>7</v>
      </c>
      <c r="D25237" s="26">
        <v>0.1163</v>
      </c>
      <c r="E25237" s="26">
        <v>7.7999999999999996E-3</v>
      </c>
      <c r="F25237" s="26">
        <v>3.8800000000000001E-2</v>
      </c>
      <c r="G25237" s="26">
        <v>7.7999999999999996E-3</v>
      </c>
      <c r="H25237" s="26">
        <v>7.7499999999999999E-2</v>
      </c>
      <c r="I25237">
        <v>129</v>
      </c>
    </row>
    <row r="25238" spans="1:9" x14ac:dyDescent="0.35">
      <c r="A25238" s="27" t="s">
        <v>231</v>
      </c>
      <c r="B25238" s="27" t="s">
        <v>256</v>
      </c>
      <c r="C25238" s="29">
        <v>0</v>
      </c>
      <c r="D25238" s="28">
        <v>0.57140000000000002</v>
      </c>
      <c r="E25238" s="28">
        <v>0.82140000000000002</v>
      </c>
      <c r="F25238" s="28">
        <v>0.78569999999999995</v>
      </c>
      <c r="G25238" s="28">
        <v>0.67859999999999998</v>
      </c>
      <c r="H25238" s="28">
        <v>0.82140000000000002</v>
      </c>
      <c r="I25238" s="29">
        <v>28</v>
      </c>
    </row>
    <row r="25239" spans="1:9" x14ac:dyDescent="0.35">
      <c r="A25239" t="s">
        <v>231</v>
      </c>
      <c r="B25239" t="s">
        <v>255</v>
      </c>
      <c r="C25239">
        <v>5</v>
      </c>
      <c r="D25239" s="26">
        <v>3.8800000000000001E-2</v>
      </c>
      <c r="E25239" s="26">
        <v>7.7999999999999996E-3</v>
      </c>
      <c r="F25239" s="26">
        <v>3.1E-2</v>
      </c>
      <c r="H25239" s="26">
        <v>1.55E-2</v>
      </c>
      <c r="I25239">
        <v>129</v>
      </c>
    </row>
    <row r="25240" spans="1:9" x14ac:dyDescent="0.35">
      <c r="A25240" t="s">
        <v>231</v>
      </c>
      <c r="B25240" t="s">
        <v>255</v>
      </c>
      <c r="C25240">
        <v>4</v>
      </c>
      <c r="D25240" s="26">
        <v>7.7999999999999996E-3</v>
      </c>
      <c r="F25240" s="26">
        <v>7.7999999999999996E-3</v>
      </c>
      <c r="G25240" s="26">
        <v>7.7999999999999996E-3</v>
      </c>
      <c r="H25240" s="26">
        <v>7.7999999999999996E-3</v>
      </c>
      <c r="I25240">
        <v>129</v>
      </c>
    </row>
    <row r="25241" spans="1:9" x14ac:dyDescent="0.35">
      <c r="A25241" t="s">
        <v>231</v>
      </c>
      <c r="B25241" t="s">
        <v>255</v>
      </c>
      <c r="C25241">
        <v>3</v>
      </c>
      <c r="D25241" s="26">
        <v>6.2E-2</v>
      </c>
      <c r="E25241" s="26">
        <v>3.1E-2</v>
      </c>
      <c r="F25241" s="26">
        <v>3.8800000000000001E-2</v>
      </c>
      <c r="H25241" s="26">
        <v>2.3300000000000001E-2</v>
      </c>
      <c r="I25241">
        <v>129</v>
      </c>
    </row>
    <row r="25242" spans="1:9" x14ac:dyDescent="0.35">
      <c r="A25242" t="s">
        <v>231</v>
      </c>
      <c r="B25242" t="s">
        <v>255</v>
      </c>
      <c r="C25242">
        <v>2</v>
      </c>
      <c r="D25242" s="26">
        <v>9.2999999999999999E-2</v>
      </c>
      <c r="E25242" s="26">
        <v>1.55E-2</v>
      </c>
      <c r="F25242" s="26">
        <v>3.8800000000000001E-2</v>
      </c>
      <c r="H25242" s="26">
        <v>2.3300000000000001E-2</v>
      </c>
      <c r="I25242">
        <v>129</v>
      </c>
    </row>
    <row r="25243" spans="1:9" x14ac:dyDescent="0.35">
      <c r="A25243" t="s">
        <v>231</v>
      </c>
      <c r="B25243" t="s">
        <v>255</v>
      </c>
      <c r="C25243">
        <v>1</v>
      </c>
      <c r="D25243" s="26">
        <v>4.65E-2</v>
      </c>
      <c r="E25243" s="26">
        <v>3.1E-2</v>
      </c>
      <c r="F25243" s="26">
        <v>2.3300000000000001E-2</v>
      </c>
      <c r="H25243" s="26">
        <v>4.65E-2</v>
      </c>
      <c r="I25243">
        <v>129</v>
      </c>
    </row>
    <row r="25244" spans="1:9" x14ac:dyDescent="0.35">
      <c r="A25244" t="s">
        <v>231</v>
      </c>
      <c r="B25244" t="s">
        <v>255</v>
      </c>
      <c r="C25244">
        <v>0</v>
      </c>
      <c r="D25244" s="26">
        <v>0.63570000000000004</v>
      </c>
      <c r="E25244" s="26">
        <v>0.8992</v>
      </c>
      <c r="F25244" s="26">
        <v>0.82169999999999999</v>
      </c>
      <c r="G25244" s="26">
        <v>0.98450000000000004</v>
      </c>
      <c r="H25244" s="26">
        <v>0.80620000000000003</v>
      </c>
      <c r="I25244">
        <v>129</v>
      </c>
    </row>
    <row r="25245" spans="1:9" x14ac:dyDescent="0.35">
      <c r="A25245" s="27" t="s">
        <v>231</v>
      </c>
      <c r="B25245" s="27" t="s">
        <v>256</v>
      </c>
      <c r="C25245" s="29">
        <v>2</v>
      </c>
      <c r="D25245" s="28">
        <v>0.1071</v>
      </c>
      <c r="E25245" s="28">
        <v>7.1400000000000005E-2</v>
      </c>
      <c r="F25245" s="28">
        <v>3.5700000000000003E-2</v>
      </c>
      <c r="G25245" s="28">
        <v>3.5700000000000003E-2</v>
      </c>
      <c r="H25245" s="28">
        <v>3.5700000000000003E-2</v>
      </c>
      <c r="I25245" s="29">
        <v>28</v>
      </c>
    </row>
    <row r="25246" spans="1:9" x14ac:dyDescent="0.35">
      <c r="A25246" t="s">
        <v>232</v>
      </c>
      <c r="B25246" t="s">
        <v>232</v>
      </c>
      <c r="C25246">
        <v>6</v>
      </c>
      <c r="D25246" s="26">
        <v>2.8E-3</v>
      </c>
      <c r="E25246" s="26">
        <v>1.6999999999999999E-3</v>
      </c>
      <c r="F25246" s="26">
        <v>4.0000000000000002E-4</v>
      </c>
      <c r="G25246" s="26">
        <v>2.3999999999999998E-3</v>
      </c>
      <c r="H25246" s="26">
        <v>1.8E-3</v>
      </c>
      <c r="I25246">
        <v>2813</v>
      </c>
    </row>
    <row r="25247" spans="1:9" x14ac:dyDescent="0.35">
      <c r="A25247" t="s">
        <v>232</v>
      </c>
      <c r="B25247" t="s">
        <v>232</v>
      </c>
      <c r="C25247">
        <v>0</v>
      </c>
      <c r="D25247" s="26">
        <v>0.66559999999999997</v>
      </c>
      <c r="E25247" s="26">
        <v>0.89839999999999998</v>
      </c>
      <c r="F25247" s="26">
        <v>0.85399999999999998</v>
      </c>
      <c r="G25247" s="26">
        <v>0.94440000000000002</v>
      </c>
      <c r="H25247" s="26">
        <v>0.86960000000000004</v>
      </c>
      <c r="I25247">
        <v>2813</v>
      </c>
    </row>
    <row r="25248" spans="1:9" x14ac:dyDescent="0.35">
      <c r="A25248" t="s">
        <v>232</v>
      </c>
      <c r="B25248" t="s">
        <v>232</v>
      </c>
      <c r="C25248">
        <v>1</v>
      </c>
      <c r="D25248" s="26">
        <v>2.9700000000000001E-2</v>
      </c>
      <c r="E25248" s="26">
        <v>4.2799999999999998E-2</v>
      </c>
      <c r="F25248" s="26">
        <v>1.67E-2</v>
      </c>
      <c r="G25248" s="26">
        <v>5.1000000000000004E-3</v>
      </c>
      <c r="H25248" s="26">
        <v>1.7999999999999999E-2</v>
      </c>
      <c r="I25248">
        <v>2813</v>
      </c>
    </row>
    <row r="25249" spans="1:25" x14ac:dyDescent="0.35">
      <c r="A25249" t="s">
        <v>232</v>
      </c>
      <c r="B25249" t="s">
        <v>232</v>
      </c>
      <c r="C25249">
        <v>2</v>
      </c>
      <c r="D25249" s="26">
        <v>8.6699999999999999E-2</v>
      </c>
      <c r="E25249" s="26">
        <v>2.4799999999999999E-2</v>
      </c>
      <c r="F25249" s="26">
        <v>3.5400000000000001E-2</v>
      </c>
      <c r="G25249" s="26">
        <v>1.1900000000000001E-2</v>
      </c>
      <c r="H25249" s="26">
        <v>2.6700000000000002E-2</v>
      </c>
      <c r="I25249">
        <v>2813</v>
      </c>
    </row>
    <row r="25250" spans="1:25" x14ac:dyDescent="0.35">
      <c r="A25250" t="s">
        <v>232</v>
      </c>
      <c r="B25250" t="s">
        <v>232</v>
      </c>
      <c r="C25250">
        <v>3</v>
      </c>
      <c r="D25250" s="26">
        <v>5.8700000000000002E-2</v>
      </c>
      <c r="E25250" s="26">
        <v>1.9300000000000001E-2</v>
      </c>
      <c r="F25250" s="26">
        <v>2.5999999999999999E-2</v>
      </c>
      <c r="G25250" s="26">
        <v>1.0200000000000001E-2</v>
      </c>
      <c r="H25250" s="26">
        <v>2.1299999999999999E-2</v>
      </c>
      <c r="I25250">
        <v>2813</v>
      </c>
    </row>
    <row r="25251" spans="1:25" x14ac:dyDescent="0.35">
      <c r="A25251" t="s">
        <v>232</v>
      </c>
      <c r="B25251" t="s">
        <v>232</v>
      </c>
      <c r="C25251">
        <v>4</v>
      </c>
      <c r="D25251" s="26">
        <v>2.4E-2</v>
      </c>
      <c r="E25251" s="26">
        <v>1.6000000000000001E-3</v>
      </c>
      <c r="F25251" s="26">
        <v>1.38E-2</v>
      </c>
      <c r="G25251" s="26">
        <v>1.01E-2</v>
      </c>
      <c r="H25251" s="26">
        <v>1.0200000000000001E-2</v>
      </c>
      <c r="I25251">
        <v>2813</v>
      </c>
    </row>
    <row r="25252" spans="1:25" x14ac:dyDescent="0.35">
      <c r="A25252" t="s">
        <v>232</v>
      </c>
      <c r="B25252" t="s">
        <v>232</v>
      </c>
      <c r="C25252">
        <v>5</v>
      </c>
      <c r="D25252" s="26">
        <v>2.1700000000000001E-2</v>
      </c>
      <c r="E25252" s="26">
        <v>2.8E-3</v>
      </c>
      <c r="F25252" s="26">
        <v>8.8000000000000005E-3</v>
      </c>
      <c r="G25252" s="26">
        <v>8.9999999999999998E-4</v>
      </c>
      <c r="H25252" s="26">
        <v>7.9000000000000008E-3</v>
      </c>
      <c r="I25252">
        <v>2813</v>
      </c>
    </row>
    <row r="25253" spans="1:25" x14ac:dyDescent="0.35">
      <c r="A25253" t="s">
        <v>232</v>
      </c>
      <c r="B25253" t="s">
        <v>232</v>
      </c>
      <c r="C25253">
        <v>7</v>
      </c>
      <c r="D25253" s="26">
        <v>0.1108</v>
      </c>
      <c r="E25253" s="26">
        <v>8.6E-3</v>
      </c>
      <c r="F25253" s="26">
        <v>4.5100000000000001E-2</v>
      </c>
      <c r="G25253" s="26">
        <v>1.4999999999999999E-2</v>
      </c>
      <c r="H25253" s="26">
        <v>4.4600000000000001E-2</v>
      </c>
      <c r="I25253">
        <v>2813</v>
      </c>
    </row>
    <row r="25255" spans="1:25" x14ac:dyDescent="0.35">
      <c r="A25255" s="1" t="s">
        <v>2280</v>
      </c>
    </row>
    <row r="25256" spans="1:25" x14ac:dyDescent="0.35">
      <c r="A25256" t="s">
        <v>219</v>
      </c>
      <c r="B25256" t="s">
        <v>550</v>
      </c>
      <c r="C25256" t="s">
        <v>2281</v>
      </c>
      <c r="D25256" t="s">
        <v>2282</v>
      </c>
      <c r="E25256" t="s">
        <v>2283</v>
      </c>
      <c r="F25256" t="s">
        <v>2284</v>
      </c>
      <c r="G25256" t="s">
        <v>2285</v>
      </c>
      <c r="H25256" t="s">
        <v>2286</v>
      </c>
      <c r="I25256" t="s">
        <v>2287</v>
      </c>
      <c r="J25256" t="s">
        <v>2288</v>
      </c>
      <c r="K25256" t="s">
        <v>2289</v>
      </c>
      <c r="L25256" t="s">
        <v>2290</v>
      </c>
      <c r="M25256" t="s">
        <v>2291</v>
      </c>
      <c r="N25256" t="s">
        <v>2292</v>
      </c>
      <c r="O25256" t="s">
        <v>2293</v>
      </c>
      <c r="P25256" t="s">
        <v>2294</v>
      </c>
      <c r="Q25256" t="s">
        <v>2295</v>
      </c>
      <c r="R25256" t="s">
        <v>2296</v>
      </c>
      <c r="S25256" t="s">
        <v>2297</v>
      </c>
      <c r="T25256" t="s">
        <v>326</v>
      </c>
      <c r="U25256" t="s">
        <v>2298</v>
      </c>
      <c r="V25256" t="s">
        <v>2299</v>
      </c>
      <c r="W25256" t="s">
        <v>281</v>
      </c>
      <c r="X25256" t="s">
        <v>286</v>
      </c>
      <c r="Y25256" t="s">
        <v>226</v>
      </c>
    </row>
    <row r="25257" spans="1:25" x14ac:dyDescent="0.35">
      <c r="A25257" t="s">
        <v>227</v>
      </c>
      <c r="B25257" s="26">
        <v>0.49380000000000002</v>
      </c>
      <c r="C25257" s="26">
        <v>0.25619999999999998</v>
      </c>
      <c r="D25257" s="26">
        <v>7.4999999999999997E-2</v>
      </c>
      <c r="E25257" s="26">
        <v>8.1199999999999994E-2</v>
      </c>
      <c r="F25257" s="26">
        <v>5.62E-2</v>
      </c>
      <c r="G25257" s="26">
        <v>3.1199999999999999E-2</v>
      </c>
      <c r="H25257" s="26">
        <v>4.3799999999999999E-2</v>
      </c>
      <c r="I25257" s="26">
        <v>3.1199999999999999E-2</v>
      </c>
      <c r="J25257" s="26">
        <v>5.62E-2</v>
      </c>
      <c r="K25257" s="26">
        <v>0.05</v>
      </c>
      <c r="L25257" s="26">
        <v>1.2500000000000001E-2</v>
      </c>
      <c r="M25257" s="26">
        <v>1.8800000000000001E-2</v>
      </c>
      <c r="N25257" s="26">
        <v>1.8800000000000001E-2</v>
      </c>
      <c r="O25257" s="26">
        <v>2.5000000000000001E-2</v>
      </c>
      <c r="P25257" s="26">
        <v>1.2500000000000001E-2</v>
      </c>
      <c r="Q25257" s="26">
        <v>1.2500000000000001E-2</v>
      </c>
      <c r="S25257" s="26">
        <v>1.8800000000000001E-2</v>
      </c>
      <c r="T25257" s="26">
        <v>6.1999999999999998E-3</v>
      </c>
      <c r="Y25257">
        <v>160</v>
      </c>
    </row>
    <row r="25258" spans="1:25" x14ac:dyDescent="0.35">
      <c r="A25258" t="s">
        <v>228</v>
      </c>
      <c r="B25258" s="26">
        <v>0.44829999999999998</v>
      </c>
      <c r="C25258" s="26">
        <v>0.30159999999999998</v>
      </c>
      <c r="D25258" s="26">
        <v>8.6999999999999994E-2</v>
      </c>
      <c r="E25258" s="26">
        <v>7.0999999999999994E-2</v>
      </c>
      <c r="F25258" s="26">
        <v>7.9299999999999995E-2</v>
      </c>
      <c r="G25258" s="26">
        <v>0.10199999999999999</v>
      </c>
      <c r="H25258" s="26">
        <v>5.0599999999999999E-2</v>
      </c>
      <c r="I25258" s="26">
        <v>3.8800000000000001E-2</v>
      </c>
      <c r="J25258" s="26">
        <v>4.1700000000000001E-2</v>
      </c>
      <c r="K25258" s="26">
        <v>2.5600000000000001E-2</v>
      </c>
      <c r="L25258" s="26">
        <v>3.27E-2</v>
      </c>
      <c r="M25258" s="26">
        <v>4.5699999999999998E-2</v>
      </c>
      <c r="N25258" s="26">
        <v>3.0700000000000002E-2</v>
      </c>
      <c r="O25258" s="26">
        <v>2.2100000000000002E-2</v>
      </c>
      <c r="P25258" s="26">
        <v>1.0999999999999999E-2</v>
      </c>
      <c r="Q25258" s="26">
        <v>6.3E-3</v>
      </c>
      <c r="R25258" s="26">
        <v>2.1000000000000001E-2</v>
      </c>
      <c r="S25258" s="26">
        <v>7.7999999999999996E-3</v>
      </c>
      <c r="T25258" s="26">
        <v>3.8999999999999998E-3</v>
      </c>
      <c r="U25258" s="26">
        <v>1.0999999999999999E-2</v>
      </c>
      <c r="V25258" s="26">
        <v>5.1999999999999998E-3</v>
      </c>
      <c r="W25258" s="26">
        <v>9.1000000000000004E-3</v>
      </c>
      <c r="X25258" s="26">
        <v>4.1000000000000003E-3</v>
      </c>
      <c r="Y25258">
        <v>1026</v>
      </c>
    </row>
    <row r="25259" spans="1:25" x14ac:dyDescent="0.35">
      <c r="A25259" t="s">
        <v>229</v>
      </c>
      <c r="B25259" s="26">
        <v>0.52800000000000002</v>
      </c>
      <c r="C25259" s="26">
        <v>0.26869999999999999</v>
      </c>
      <c r="D25259" s="26">
        <v>9.9599999999999994E-2</v>
      </c>
      <c r="E25259" s="26">
        <v>4.3499999999999997E-2</v>
      </c>
      <c r="F25259" s="26">
        <v>7.1800000000000003E-2</v>
      </c>
      <c r="G25259" s="26">
        <v>5.3100000000000001E-2</v>
      </c>
      <c r="H25259" s="26">
        <v>3.6400000000000002E-2</v>
      </c>
      <c r="I25259" s="26">
        <v>3.44E-2</v>
      </c>
      <c r="J25259" s="26">
        <v>2.2100000000000002E-2</v>
      </c>
      <c r="K25259" s="26">
        <v>2.3900000000000001E-2</v>
      </c>
      <c r="L25259" s="26">
        <v>1.6799999999999999E-2</v>
      </c>
      <c r="M25259" s="26">
        <v>1.6500000000000001E-2</v>
      </c>
      <c r="N25259" s="26">
        <v>1.7899999999999999E-2</v>
      </c>
      <c r="O25259" s="26">
        <v>2.2800000000000001E-2</v>
      </c>
      <c r="P25259" s="26">
        <v>7.1000000000000004E-3</v>
      </c>
      <c r="Q25259" s="26">
        <v>4.0000000000000001E-3</v>
      </c>
      <c r="R25259" s="26">
        <v>1.17E-2</v>
      </c>
      <c r="S25259" s="26">
        <v>1.5900000000000001E-2</v>
      </c>
      <c r="T25259" s="26">
        <v>5.7000000000000002E-3</v>
      </c>
      <c r="U25259" s="26">
        <v>9.4999999999999998E-3</v>
      </c>
      <c r="V25259" s="26">
        <v>7.7000000000000002E-3</v>
      </c>
      <c r="W25259" s="26">
        <v>9.4000000000000004E-3</v>
      </c>
      <c r="X25259" s="26">
        <v>4.7000000000000002E-3</v>
      </c>
      <c r="Y25259">
        <v>889</v>
      </c>
    </row>
    <row r="25260" spans="1:25" x14ac:dyDescent="0.35">
      <c r="A25260" t="s">
        <v>230</v>
      </c>
      <c r="B25260" s="26">
        <v>0.4375</v>
      </c>
      <c r="C25260" s="26">
        <v>0.35</v>
      </c>
      <c r="D25260" s="26">
        <v>0.10920000000000001</v>
      </c>
      <c r="E25260" s="26">
        <v>7.3200000000000001E-2</v>
      </c>
      <c r="F25260" s="26">
        <v>8.0299999999999996E-2</v>
      </c>
      <c r="G25260" s="26">
        <v>7.3499999999999996E-2</v>
      </c>
      <c r="H25260" s="26">
        <v>5.1900000000000002E-2</v>
      </c>
      <c r="I25260" s="26">
        <v>6.3899999999999998E-2</v>
      </c>
      <c r="J25260" s="26">
        <v>2.3E-2</v>
      </c>
      <c r="K25260" s="26">
        <v>5.2299999999999999E-2</v>
      </c>
      <c r="L25260" s="26">
        <v>4.2000000000000003E-2</v>
      </c>
      <c r="M25260" s="26">
        <v>4.8399999999999999E-2</v>
      </c>
      <c r="N25260" s="26">
        <v>0.04</v>
      </c>
      <c r="O25260" s="26">
        <v>1.8599999999999998E-2</v>
      </c>
      <c r="P25260" s="26">
        <v>1.06E-2</v>
      </c>
      <c r="Q25260" s="26">
        <v>6.6E-3</v>
      </c>
      <c r="R25260" s="26">
        <v>2.01E-2</v>
      </c>
      <c r="S25260" s="26">
        <v>4.1999999999999997E-3</v>
      </c>
      <c r="T25260" s="26">
        <v>2.0999999999999999E-3</v>
      </c>
      <c r="U25260" s="26">
        <v>1.32E-2</v>
      </c>
      <c r="V25260" s="26">
        <v>1.14E-2</v>
      </c>
      <c r="W25260" s="26">
        <v>8.6999999999999994E-3</v>
      </c>
      <c r="Y25260">
        <v>556</v>
      </c>
    </row>
    <row r="25261" spans="1:25" x14ac:dyDescent="0.35">
      <c r="A25261" t="s">
        <v>231</v>
      </c>
      <c r="B25261" s="26">
        <v>0.54659999999999997</v>
      </c>
      <c r="C25261" s="26">
        <v>0.29189999999999999</v>
      </c>
      <c r="D25261" s="26">
        <v>4.3499999999999997E-2</v>
      </c>
      <c r="E25261" s="26">
        <v>4.9700000000000001E-2</v>
      </c>
      <c r="F25261" s="26">
        <v>2.4799999999999999E-2</v>
      </c>
      <c r="G25261" s="26">
        <v>2.4799999999999999E-2</v>
      </c>
      <c r="H25261" s="26">
        <v>3.73E-2</v>
      </c>
      <c r="I25261" s="26">
        <v>2.4799999999999999E-2</v>
      </c>
      <c r="J25261" s="26">
        <v>2.4799999999999999E-2</v>
      </c>
      <c r="K25261" s="26">
        <v>1.8599999999999998E-2</v>
      </c>
      <c r="L25261" s="26">
        <v>3.73E-2</v>
      </c>
      <c r="M25261" s="26">
        <v>6.1999999999999998E-3</v>
      </c>
      <c r="N25261" s="26">
        <v>1.24E-2</v>
      </c>
      <c r="O25261" s="26">
        <v>6.1999999999999998E-3</v>
      </c>
      <c r="P25261" s="26">
        <v>1.24E-2</v>
      </c>
      <c r="Q25261" s="26">
        <v>1.8599999999999998E-2</v>
      </c>
      <c r="T25261" s="26">
        <v>1.8599999999999998E-2</v>
      </c>
      <c r="U25261" s="26">
        <v>6.1999999999999998E-3</v>
      </c>
      <c r="V25261" s="26">
        <v>6.1999999999999998E-3</v>
      </c>
      <c r="Y25261">
        <v>161</v>
      </c>
    </row>
    <row r="25262" spans="1:25" x14ac:dyDescent="0.35">
      <c r="A25262" t="s">
        <v>232</v>
      </c>
      <c r="B25262" s="26">
        <v>0.50360000000000005</v>
      </c>
      <c r="C25262" s="26">
        <v>0.2873</v>
      </c>
      <c r="D25262" s="26">
        <v>7.9000000000000001E-2</v>
      </c>
      <c r="E25262" s="26">
        <v>5.91E-2</v>
      </c>
      <c r="F25262" s="26">
        <v>5.8900000000000001E-2</v>
      </c>
      <c r="G25262" s="26">
        <v>5.3600000000000002E-2</v>
      </c>
      <c r="H25262" s="26">
        <v>4.2000000000000003E-2</v>
      </c>
      <c r="I25262" s="26">
        <v>3.5000000000000003E-2</v>
      </c>
      <c r="J25262" s="26">
        <v>3.1899999999999998E-2</v>
      </c>
      <c r="K25262" s="26">
        <v>2.9499999999999998E-2</v>
      </c>
      <c r="L25262" s="26">
        <v>2.7199999999999998E-2</v>
      </c>
      <c r="M25262" s="26">
        <v>2.2800000000000001E-2</v>
      </c>
      <c r="N25262" s="26">
        <v>2.1100000000000001E-2</v>
      </c>
      <c r="O25262" s="26">
        <v>1.8100000000000002E-2</v>
      </c>
      <c r="P25262" s="26">
        <v>1.0500000000000001E-2</v>
      </c>
      <c r="Q25262" s="26">
        <v>0.01</v>
      </c>
      <c r="R25262" s="26">
        <v>9.4000000000000004E-3</v>
      </c>
      <c r="S25262" s="26">
        <v>9.2999999999999992E-3</v>
      </c>
      <c r="T25262" s="26">
        <v>8.6E-3</v>
      </c>
      <c r="U25262" s="26">
        <v>7.7999999999999996E-3</v>
      </c>
      <c r="V25262" s="26">
        <v>6.0000000000000001E-3</v>
      </c>
      <c r="W25262" s="26">
        <v>5.3E-3</v>
      </c>
      <c r="X25262" s="26">
        <v>2.0999999999999999E-3</v>
      </c>
      <c r="Y25262">
        <v>2792</v>
      </c>
    </row>
    <row r="25264" spans="1:25" x14ac:dyDescent="0.35">
      <c r="A25264" s="1" t="s">
        <v>2300</v>
      </c>
    </row>
    <row r="25265" spans="1:26" x14ac:dyDescent="0.35">
      <c r="A25265" t="s">
        <v>219</v>
      </c>
      <c r="B25265" t="s">
        <v>305</v>
      </c>
      <c r="C25265" t="s">
        <v>550</v>
      </c>
      <c r="D25265" t="s">
        <v>2281</v>
      </c>
      <c r="E25265" t="s">
        <v>2282</v>
      </c>
      <c r="F25265" t="s">
        <v>2283</v>
      </c>
      <c r="G25265" t="s">
        <v>2284</v>
      </c>
      <c r="H25265" t="s">
        <v>2285</v>
      </c>
      <c r="I25265" t="s">
        <v>2286</v>
      </c>
      <c r="J25265" t="s">
        <v>2287</v>
      </c>
      <c r="K25265" t="s">
        <v>2288</v>
      </c>
      <c r="L25265" t="s">
        <v>2289</v>
      </c>
      <c r="M25265" t="s">
        <v>2290</v>
      </c>
      <c r="N25265" t="s">
        <v>2291</v>
      </c>
      <c r="O25265" t="s">
        <v>2292</v>
      </c>
      <c r="P25265" t="s">
        <v>2293</v>
      </c>
      <c r="Q25265" t="s">
        <v>2294</v>
      </c>
      <c r="R25265" t="s">
        <v>2295</v>
      </c>
      <c r="S25265" t="s">
        <v>2296</v>
      </c>
      <c r="T25265" t="s">
        <v>2297</v>
      </c>
      <c r="U25265" t="s">
        <v>326</v>
      </c>
      <c r="V25265" t="s">
        <v>2298</v>
      </c>
      <c r="W25265" t="s">
        <v>2299</v>
      </c>
      <c r="X25265" t="s">
        <v>281</v>
      </c>
      <c r="Y25265" t="s">
        <v>286</v>
      </c>
      <c r="Z25265" t="s">
        <v>226</v>
      </c>
    </row>
    <row r="25266" spans="1:26" x14ac:dyDescent="0.35">
      <c r="A25266" t="s">
        <v>227</v>
      </c>
      <c r="B25266" t="s">
        <v>242</v>
      </c>
      <c r="C25266" s="26">
        <v>0.35820000000000002</v>
      </c>
      <c r="D25266" s="26">
        <v>0.28360000000000002</v>
      </c>
      <c r="E25266" s="26">
        <v>0.11940000000000001</v>
      </c>
      <c r="F25266" s="26">
        <v>0.11940000000000001</v>
      </c>
      <c r="G25266" s="26">
        <v>8.9599999999999999E-2</v>
      </c>
      <c r="I25266" s="26">
        <v>4.48E-2</v>
      </c>
      <c r="J25266" s="26">
        <v>5.9700000000000003E-2</v>
      </c>
      <c r="K25266" s="26">
        <v>0.11940000000000001</v>
      </c>
      <c r="L25266" s="26">
        <v>4.48E-2</v>
      </c>
      <c r="M25266" s="26">
        <v>2.9899999999999999E-2</v>
      </c>
      <c r="N25266" s="26">
        <v>4.48E-2</v>
      </c>
      <c r="O25266" s="26">
        <v>1.49E-2</v>
      </c>
      <c r="P25266" s="26">
        <v>4.48E-2</v>
      </c>
      <c r="Q25266" s="26">
        <v>2.9899999999999999E-2</v>
      </c>
      <c r="R25266" s="26">
        <v>1.49E-2</v>
      </c>
      <c r="T25266" s="26">
        <v>2.9899999999999999E-2</v>
      </c>
      <c r="Z25266">
        <v>67</v>
      </c>
    </row>
    <row r="25267" spans="1:26" x14ac:dyDescent="0.35">
      <c r="A25267" t="s">
        <v>227</v>
      </c>
      <c r="B25267" t="s">
        <v>241</v>
      </c>
      <c r="C25267" s="26">
        <v>0.59140000000000004</v>
      </c>
      <c r="D25267" s="26">
        <v>0.2366</v>
      </c>
      <c r="E25267" s="26">
        <v>4.2999999999999997E-2</v>
      </c>
      <c r="F25267" s="26">
        <v>5.3800000000000001E-2</v>
      </c>
      <c r="G25267" s="26">
        <v>3.2300000000000002E-2</v>
      </c>
      <c r="H25267" s="26">
        <v>5.3800000000000001E-2</v>
      </c>
      <c r="I25267" s="26">
        <v>4.2999999999999997E-2</v>
      </c>
      <c r="J25267" s="26">
        <v>1.0800000000000001E-2</v>
      </c>
      <c r="K25267" s="26">
        <v>1.0800000000000001E-2</v>
      </c>
      <c r="L25267" s="26">
        <v>5.3800000000000001E-2</v>
      </c>
      <c r="O25267" s="26">
        <v>2.1499999999999998E-2</v>
      </c>
      <c r="P25267" s="26">
        <v>1.0800000000000001E-2</v>
      </c>
      <c r="R25267" s="26">
        <v>1.0800000000000001E-2</v>
      </c>
      <c r="T25267" s="26">
        <v>1.0800000000000001E-2</v>
      </c>
      <c r="U25267" s="26">
        <v>1.0800000000000001E-2</v>
      </c>
      <c r="Z25267">
        <v>93</v>
      </c>
    </row>
    <row r="25268" spans="1:26" x14ac:dyDescent="0.35">
      <c r="A25268" t="s">
        <v>228</v>
      </c>
      <c r="B25268" t="s">
        <v>242</v>
      </c>
      <c r="C25268" s="26">
        <v>0.308</v>
      </c>
      <c r="D25268" s="26">
        <v>0.38419999999999999</v>
      </c>
      <c r="E25268" s="26">
        <v>0.14480000000000001</v>
      </c>
      <c r="F25268" s="26">
        <v>0.12740000000000001</v>
      </c>
      <c r="G25268" s="26">
        <v>7.6899999999999996E-2</v>
      </c>
      <c r="H25268" s="26">
        <v>8.3299999999999999E-2</v>
      </c>
      <c r="I25268" s="26">
        <v>7.4200000000000002E-2</v>
      </c>
      <c r="J25268" s="26">
        <v>1.8599999999999998E-2</v>
      </c>
      <c r="K25268" s="26">
        <v>6.1600000000000002E-2</v>
      </c>
      <c r="L25268" s="26">
        <v>4.2099999999999999E-2</v>
      </c>
      <c r="M25268" s="26">
        <v>4.5400000000000003E-2</v>
      </c>
      <c r="N25268" s="26">
        <v>6.2199999999999998E-2</v>
      </c>
      <c r="O25268" s="26">
        <v>2.7799999999999998E-2</v>
      </c>
      <c r="P25268" s="26">
        <v>2.75E-2</v>
      </c>
      <c r="Q25268" s="26">
        <v>2.0500000000000001E-2</v>
      </c>
      <c r="R25268" s="26">
        <v>1.26E-2</v>
      </c>
      <c r="S25268" s="26">
        <v>1.7999999999999999E-2</v>
      </c>
      <c r="T25268" s="26">
        <v>1.44E-2</v>
      </c>
      <c r="U25268" s="26">
        <v>1.01E-2</v>
      </c>
      <c r="V25268" s="26">
        <v>3.8999999999999998E-3</v>
      </c>
      <c r="W25268" s="26">
        <v>1.1599999999999999E-2</v>
      </c>
      <c r="X25268" s="26">
        <v>8.2000000000000007E-3</v>
      </c>
      <c r="Y25268" s="26">
        <v>1.0699999999999999E-2</v>
      </c>
      <c r="Z25268">
        <v>401</v>
      </c>
    </row>
    <row r="25269" spans="1:26" x14ac:dyDescent="0.35">
      <c r="A25269" t="s">
        <v>228</v>
      </c>
      <c r="B25269" t="s">
        <v>241</v>
      </c>
      <c r="C25269" s="26">
        <v>0.52900000000000003</v>
      </c>
      <c r="D25269" s="26">
        <v>0.25409999999999999</v>
      </c>
      <c r="E25269" s="26">
        <v>5.3800000000000001E-2</v>
      </c>
      <c r="F25269" s="26">
        <v>3.8600000000000002E-2</v>
      </c>
      <c r="G25269" s="26">
        <v>8.0699999999999994E-2</v>
      </c>
      <c r="H25269" s="26">
        <v>0.11269999999999999</v>
      </c>
      <c r="I25269" s="26">
        <v>3.7100000000000001E-2</v>
      </c>
      <c r="J25269" s="26">
        <v>5.04E-2</v>
      </c>
      <c r="K25269" s="26">
        <v>3.0200000000000001E-2</v>
      </c>
      <c r="L25269" s="26">
        <v>1.6199999999999999E-2</v>
      </c>
      <c r="M25269" s="26">
        <v>2.5399999999999999E-2</v>
      </c>
      <c r="N25269" s="26">
        <v>3.6200000000000003E-2</v>
      </c>
      <c r="O25269" s="26">
        <v>3.2399999999999998E-2</v>
      </c>
      <c r="P25269" s="26">
        <v>1.9E-2</v>
      </c>
      <c r="Q25269" s="26">
        <v>5.4999999999999997E-3</v>
      </c>
      <c r="R25269" s="26">
        <v>2.7000000000000001E-3</v>
      </c>
      <c r="S25269" s="26">
        <v>2.2700000000000001E-2</v>
      </c>
      <c r="T25269" s="26">
        <v>4.0000000000000001E-3</v>
      </c>
      <c r="U25269" s="26">
        <v>4.0000000000000002E-4</v>
      </c>
      <c r="V25269" s="26">
        <v>1.52E-2</v>
      </c>
      <c r="W25269" s="26">
        <v>1.5E-3</v>
      </c>
      <c r="X25269" s="26">
        <v>9.7000000000000003E-3</v>
      </c>
      <c r="Y25269" s="26">
        <v>4.0000000000000002E-4</v>
      </c>
      <c r="Z25269">
        <v>625</v>
      </c>
    </row>
    <row r="25270" spans="1:26" x14ac:dyDescent="0.35">
      <c r="A25270" t="s">
        <v>229</v>
      </c>
      <c r="B25270" t="s">
        <v>242</v>
      </c>
      <c r="C25270" s="26">
        <v>0.38690000000000002</v>
      </c>
      <c r="D25270" s="26">
        <v>0.41310000000000002</v>
      </c>
      <c r="E25270" s="26">
        <v>0.16320000000000001</v>
      </c>
      <c r="F25270" s="26">
        <v>6.4399999999999999E-2</v>
      </c>
      <c r="G25270" s="26">
        <v>7.5999999999999998E-2</v>
      </c>
      <c r="H25270" s="26">
        <v>4.9000000000000002E-2</v>
      </c>
      <c r="I25270" s="26">
        <v>7.5600000000000001E-2</v>
      </c>
      <c r="J25270" s="26">
        <v>3.32E-2</v>
      </c>
      <c r="K25270" s="26">
        <v>2.2499999999999999E-2</v>
      </c>
      <c r="L25270" s="26">
        <v>4.3400000000000001E-2</v>
      </c>
      <c r="M25270" s="26">
        <v>2.6100000000000002E-2</v>
      </c>
      <c r="N25270" s="26">
        <v>2.6499999999999999E-2</v>
      </c>
      <c r="O25270" s="26">
        <v>1.6299999999999999E-2</v>
      </c>
      <c r="P25270" s="26">
        <v>1.2999999999999999E-2</v>
      </c>
      <c r="Q25270" s="26">
        <v>9.1000000000000004E-3</v>
      </c>
      <c r="S25270" s="26">
        <v>8.0999999999999996E-3</v>
      </c>
      <c r="T25270" s="26">
        <v>1.6899999999999998E-2</v>
      </c>
      <c r="U25270" s="26">
        <v>1.46E-2</v>
      </c>
      <c r="V25270" s="26">
        <v>7.1999999999999998E-3</v>
      </c>
      <c r="W25270" s="26">
        <v>1.5599999999999999E-2</v>
      </c>
      <c r="X25270" s="26">
        <v>7.7999999999999996E-3</v>
      </c>
      <c r="Y25270" s="26">
        <v>7.7999999999999996E-3</v>
      </c>
      <c r="Z25270">
        <v>289</v>
      </c>
    </row>
    <row r="25271" spans="1:26" x14ac:dyDescent="0.35">
      <c r="A25271" t="s">
        <v>229</v>
      </c>
      <c r="B25271" t="s">
        <v>241</v>
      </c>
      <c r="C25271" s="26">
        <v>0.61780000000000002</v>
      </c>
      <c r="D25271" s="26">
        <v>0.1767</v>
      </c>
      <c r="E25271" s="26">
        <v>5.8999999999999997E-2</v>
      </c>
      <c r="F25271" s="26">
        <v>3.0099999999999998E-2</v>
      </c>
      <c r="G25271" s="26">
        <v>6.9199999999999998E-2</v>
      </c>
      <c r="H25271" s="26">
        <v>5.5800000000000002E-2</v>
      </c>
      <c r="I25271" s="26">
        <v>1.15E-2</v>
      </c>
      <c r="J25271" s="26">
        <v>3.5200000000000002E-2</v>
      </c>
      <c r="K25271" s="26">
        <v>2.18E-2</v>
      </c>
      <c r="L25271" s="26">
        <v>1.15E-2</v>
      </c>
      <c r="M25271" s="26">
        <v>1.0800000000000001E-2</v>
      </c>
      <c r="N25271" s="26">
        <v>1.01E-2</v>
      </c>
      <c r="O25271" s="26">
        <v>1.8800000000000001E-2</v>
      </c>
      <c r="P25271" s="26">
        <v>2.9000000000000001E-2</v>
      </c>
      <c r="Q25271" s="26">
        <v>5.7999999999999996E-3</v>
      </c>
      <c r="R25271" s="26">
        <v>6.4999999999999997E-3</v>
      </c>
      <c r="S25271" s="26">
        <v>1.41E-2</v>
      </c>
      <c r="T25271" s="26">
        <v>1.52E-2</v>
      </c>
      <c r="V25271" s="26">
        <v>1.0999999999999999E-2</v>
      </c>
      <c r="W25271" s="26">
        <v>2.8E-3</v>
      </c>
      <c r="X25271" s="26">
        <v>1.04E-2</v>
      </c>
      <c r="Y25271" s="26">
        <v>2.7000000000000001E-3</v>
      </c>
      <c r="Z25271">
        <v>600</v>
      </c>
    </row>
    <row r="25272" spans="1:26" x14ac:dyDescent="0.35">
      <c r="A25272" t="s">
        <v>230</v>
      </c>
      <c r="B25272" t="s">
        <v>242</v>
      </c>
      <c r="C25272" s="26">
        <v>0.29270000000000002</v>
      </c>
      <c r="D25272" s="26">
        <v>0.47220000000000001</v>
      </c>
      <c r="E25272" s="26">
        <v>0.21229999999999999</v>
      </c>
      <c r="F25272" s="26">
        <v>0.12809999999999999</v>
      </c>
      <c r="G25272" s="26">
        <v>7.5300000000000006E-2</v>
      </c>
      <c r="H25272" s="26">
        <v>6.2199999999999998E-2</v>
      </c>
      <c r="I25272" s="26">
        <v>8.0699999999999994E-2</v>
      </c>
      <c r="J25272" s="26">
        <v>8.7999999999999995E-2</v>
      </c>
      <c r="K25272" s="26">
        <v>0.05</v>
      </c>
      <c r="L25272" s="26">
        <v>0.1089</v>
      </c>
      <c r="M25272" s="26">
        <v>6.2799999999999995E-2</v>
      </c>
      <c r="N25272" s="26">
        <v>5.6500000000000002E-2</v>
      </c>
      <c r="O25272" s="26">
        <v>2.63E-2</v>
      </c>
      <c r="P25272" s="26">
        <v>2.63E-2</v>
      </c>
      <c r="Q25272" s="26">
        <v>2.2100000000000002E-2</v>
      </c>
      <c r="R25272" s="26">
        <v>1.6E-2</v>
      </c>
      <c r="S25272" s="26">
        <v>6.8999999999999999E-3</v>
      </c>
      <c r="U25272" s="26">
        <v>3.5000000000000001E-3</v>
      </c>
      <c r="V25272" s="26">
        <v>1.7600000000000001E-2</v>
      </c>
      <c r="W25272" s="26">
        <v>1.6000000000000001E-3</v>
      </c>
      <c r="X25272" s="26">
        <v>8.0000000000000004E-4</v>
      </c>
      <c r="Z25272">
        <v>188</v>
      </c>
    </row>
    <row r="25273" spans="1:26" x14ac:dyDescent="0.35">
      <c r="A25273" t="s">
        <v>230</v>
      </c>
      <c r="B25273" t="s">
        <v>241</v>
      </c>
      <c r="C25273" s="26">
        <v>0.51249999999999996</v>
      </c>
      <c r="D25273" s="26">
        <v>0.28670000000000001</v>
      </c>
      <c r="E25273" s="26">
        <v>5.5800000000000002E-2</v>
      </c>
      <c r="F25273" s="26">
        <v>4.48E-2</v>
      </c>
      <c r="G25273" s="26">
        <v>8.3000000000000004E-2</v>
      </c>
      <c r="H25273" s="26">
        <v>7.9299999999999995E-2</v>
      </c>
      <c r="I25273" s="26">
        <v>3.6999999999999998E-2</v>
      </c>
      <c r="J25273" s="26">
        <v>5.1400000000000001E-2</v>
      </c>
      <c r="K25273" s="26">
        <v>8.9999999999999993E-3</v>
      </c>
      <c r="L25273" s="26">
        <v>2.3E-2</v>
      </c>
      <c r="M25273" s="26">
        <v>3.1199999999999999E-2</v>
      </c>
      <c r="N25273" s="26">
        <v>4.4299999999999999E-2</v>
      </c>
      <c r="O25273" s="26">
        <v>4.7E-2</v>
      </c>
      <c r="P25273" s="26">
        <v>1.46E-2</v>
      </c>
      <c r="Q25273" s="26">
        <v>4.5999999999999999E-3</v>
      </c>
      <c r="R25273" s="26">
        <v>1.8E-3</v>
      </c>
      <c r="S25273" s="26">
        <v>2.69E-2</v>
      </c>
      <c r="T25273" s="26">
        <v>6.4000000000000003E-3</v>
      </c>
      <c r="U25273" s="26">
        <v>1.4E-3</v>
      </c>
      <c r="V25273" s="26">
        <v>1.09E-2</v>
      </c>
      <c r="W25273" s="26">
        <v>1.6500000000000001E-2</v>
      </c>
      <c r="X25273" s="26">
        <v>1.2800000000000001E-2</v>
      </c>
      <c r="Z25273">
        <v>368</v>
      </c>
    </row>
    <row r="25274" spans="1:26" x14ac:dyDescent="0.35">
      <c r="A25274" t="s">
        <v>231</v>
      </c>
      <c r="B25274" t="s">
        <v>242</v>
      </c>
      <c r="C25274" s="26">
        <v>0.46300000000000002</v>
      </c>
      <c r="D25274" s="26">
        <v>0.33329999999999999</v>
      </c>
      <c r="E25274" s="26">
        <v>7.4099999999999999E-2</v>
      </c>
      <c r="F25274" s="26">
        <v>5.5599999999999997E-2</v>
      </c>
      <c r="G25274" s="26">
        <v>3.6999999999999998E-2</v>
      </c>
      <c r="H25274" s="26">
        <v>1.8499999999999999E-2</v>
      </c>
      <c r="I25274" s="26">
        <v>5.5599999999999997E-2</v>
      </c>
      <c r="J25274" s="26">
        <v>1.8499999999999999E-2</v>
      </c>
      <c r="K25274" s="26">
        <v>3.6999999999999998E-2</v>
      </c>
      <c r="L25274" s="26">
        <v>1.8499999999999999E-2</v>
      </c>
      <c r="M25274" s="26">
        <v>3.6999999999999998E-2</v>
      </c>
      <c r="N25274" s="26">
        <v>1.8499999999999999E-2</v>
      </c>
      <c r="O25274" s="26">
        <v>3.6999999999999998E-2</v>
      </c>
      <c r="P25274" s="26">
        <v>1.8499999999999999E-2</v>
      </c>
      <c r="R25274" s="26">
        <v>1.8499999999999999E-2</v>
      </c>
      <c r="U25274" s="26">
        <v>3.6999999999999998E-2</v>
      </c>
      <c r="W25274" s="26">
        <v>1.8499999999999999E-2</v>
      </c>
      <c r="Z25274">
        <v>54</v>
      </c>
    </row>
    <row r="25275" spans="1:26" x14ac:dyDescent="0.35">
      <c r="A25275" t="s">
        <v>231</v>
      </c>
      <c r="B25275" t="s">
        <v>241</v>
      </c>
      <c r="C25275" s="26">
        <v>0.58879999999999999</v>
      </c>
      <c r="D25275" s="26">
        <v>0.27100000000000002</v>
      </c>
      <c r="E25275" s="26">
        <v>2.8000000000000001E-2</v>
      </c>
      <c r="F25275" s="26">
        <v>4.6699999999999998E-2</v>
      </c>
      <c r="G25275" s="26">
        <v>1.8700000000000001E-2</v>
      </c>
      <c r="H25275" s="26">
        <v>2.8000000000000001E-2</v>
      </c>
      <c r="I25275" s="26">
        <v>2.8000000000000001E-2</v>
      </c>
      <c r="J25275" s="26">
        <v>2.8000000000000001E-2</v>
      </c>
      <c r="K25275" s="26">
        <v>1.8700000000000001E-2</v>
      </c>
      <c r="L25275" s="26">
        <v>1.8700000000000001E-2</v>
      </c>
      <c r="M25275" s="26">
        <v>3.7400000000000003E-2</v>
      </c>
      <c r="Q25275" s="26">
        <v>1.8700000000000001E-2</v>
      </c>
      <c r="R25275" s="26">
        <v>1.8700000000000001E-2</v>
      </c>
      <c r="U25275" s="26">
        <v>9.2999999999999992E-3</v>
      </c>
      <c r="V25275" s="26">
        <v>9.2999999999999992E-3</v>
      </c>
      <c r="Z25275">
        <v>107</v>
      </c>
    </row>
    <row r="25276" spans="1:26" x14ac:dyDescent="0.35">
      <c r="A25276" t="s">
        <v>232</v>
      </c>
      <c r="B25276" t="s">
        <v>232</v>
      </c>
      <c r="C25276" s="26">
        <v>0.50360000000000005</v>
      </c>
      <c r="D25276" s="26">
        <v>0.2873</v>
      </c>
      <c r="E25276" s="26">
        <v>7.9000000000000001E-2</v>
      </c>
      <c r="F25276" s="26">
        <v>5.91E-2</v>
      </c>
      <c r="G25276" s="26">
        <v>5.8900000000000001E-2</v>
      </c>
      <c r="H25276" s="26">
        <v>5.3600000000000002E-2</v>
      </c>
      <c r="I25276" s="26">
        <v>4.2000000000000003E-2</v>
      </c>
      <c r="J25276" s="26">
        <v>3.5000000000000003E-2</v>
      </c>
      <c r="K25276" s="26">
        <v>3.1899999999999998E-2</v>
      </c>
      <c r="L25276" s="26">
        <v>2.9499999999999998E-2</v>
      </c>
      <c r="M25276" s="26">
        <v>2.7199999999999998E-2</v>
      </c>
      <c r="N25276" s="26">
        <v>2.2800000000000001E-2</v>
      </c>
      <c r="O25276" s="26">
        <v>2.1100000000000001E-2</v>
      </c>
      <c r="P25276" s="26">
        <v>1.8100000000000002E-2</v>
      </c>
      <c r="Q25276" s="26">
        <v>1.0500000000000001E-2</v>
      </c>
      <c r="R25276" s="26">
        <v>0.01</v>
      </c>
      <c r="S25276" s="26">
        <v>9.4000000000000004E-3</v>
      </c>
      <c r="T25276" s="26">
        <v>9.2999999999999992E-3</v>
      </c>
      <c r="U25276" s="26">
        <v>8.6E-3</v>
      </c>
      <c r="V25276" s="26">
        <v>7.7999999999999996E-3</v>
      </c>
      <c r="W25276" s="26">
        <v>6.0000000000000001E-3</v>
      </c>
      <c r="X25276" s="26">
        <v>5.3E-3</v>
      </c>
      <c r="Y25276" s="26">
        <v>2.0999999999999999E-3</v>
      </c>
      <c r="Z25276">
        <v>2792</v>
      </c>
    </row>
    <row r="25278" spans="1:26" x14ac:dyDescent="0.35">
      <c r="A25278" s="1" t="s">
        <v>2301</v>
      </c>
    </row>
    <row r="25279" spans="1:26" x14ac:dyDescent="0.35">
      <c r="A25279" t="s">
        <v>219</v>
      </c>
      <c r="B25279" t="s">
        <v>305</v>
      </c>
      <c r="C25279" t="s">
        <v>550</v>
      </c>
      <c r="D25279" t="s">
        <v>2281</v>
      </c>
      <c r="E25279" t="s">
        <v>2282</v>
      </c>
      <c r="F25279" t="s">
        <v>2283</v>
      </c>
      <c r="G25279" t="s">
        <v>2284</v>
      </c>
      <c r="H25279" t="s">
        <v>2285</v>
      </c>
      <c r="I25279" t="s">
        <v>2286</v>
      </c>
      <c r="J25279" t="s">
        <v>2287</v>
      </c>
      <c r="K25279" t="s">
        <v>2288</v>
      </c>
      <c r="L25279" t="s">
        <v>2289</v>
      </c>
      <c r="M25279" t="s">
        <v>2290</v>
      </c>
      <c r="N25279" t="s">
        <v>2291</v>
      </c>
      <c r="O25279" t="s">
        <v>2292</v>
      </c>
      <c r="P25279" t="s">
        <v>2293</v>
      </c>
      <c r="Q25279" t="s">
        <v>2294</v>
      </c>
      <c r="R25279" t="s">
        <v>2295</v>
      </c>
      <c r="S25279" t="s">
        <v>2296</v>
      </c>
      <c r="T25279" t="s">
        <v>2297</v>
      </c>
      <c r="U25279" t="s">
        <v>326</v>
      </c>
      <c r="V25279" t="s">
        <v>2298</v>
      </c>
      <c r="W25279" t="s">
        <v>2299</v>
      </c>
      <c r="X25279" t="s">
        <v>281</v>
      </c>
      <c r="Y25279" t="s">
        <v>286</v>
      </c>
      <c r="Z25279" t="s">
        <v>226</v>
      </c>
    </row>
    <row r="25280" spans="1:26" x14ac:dyDescent="0.35">
      <c r="A25280" t="s">
        <v>227</v>
      </c>
      <c r="B25280" t="s">
        <v>239</v>
      </c>
      <c r="C25280" s="26">
        <v>0.4677</v>
      </c>
      <c r="D25280" s="26">
        <v>0.30649999999999999</v>
      </c>
      <c r="E25280" s="26">
        <v>8.0600000000000005E-2</v>
      </c>
      <c r="F25280" s="26">
        <v>8.0600000000000005E-2</v>
      </c>
      <c r="G25280" s="26">
        <v>8.0600000000000005E-2</v>
      </c>
      <c r="H25280" s="26">
        <v>1.61E-2</v>
      </c>
      <c r="I25280" s="26">
        <v>4.8399999999999999E-2</v>
      </c>
      <c r="J25280" s="26">
        <v>3.2300000000000002E-2</v>
      </c>
      <c r="K25280" s="26">
        <v>9.6799999999999997E-2</v>
      </c>
      <c r="L25280" s="26">
        <v>6.4500000000000002E-2</v>
      </c>
      <c r="N25280" s="26">
        <v>3.2300000000000002E-2</v>
      </c>
      <c r="O25280" s="26">
        <v>3.2300000000000002E-2</v>
      </c>
      <c r="P25280" s="26">
        <v>3.2300000000000002E-2</v>
      </c>
      <c r="Q25280" s="26">
        <v>1.61E-2</v>
      </c>
      <c r="R25280" s="26">
        <v>1.61E-2</v>
      </c>
      <c r="U25280" s="26">
        <v>1.61E-2</v>
      </c>
      <c r="Z25280">
        <v>62</v>
      </c>
    </row>
    <row r="25281" spans="1:26" x14ac:dyDescent="0.35">
      <c r="A25281" t="s">
        <v>227</v>
      </c>
      <c r="B25281" t="s">
        <v>238</v>
      </c>
      <c r="C25281" s="26">
        <v>0.51019999999999999</v>
      </c>
      <c r="D25281" s="26">
        <v>0.22450000000000001</v>
      </c>
      <c r="E25281" s="26">
        <v>7.1400000000000005E-2</v>
      </c>
      <c r="F25281" s="26">
        <v>8.1600000000000006E-2</v>
      </c>
      <c r="G25281" s="26">
        <v>4.0800000000000003E-2</v>
      </c>
      <c r="H25281" s="26">
        <v>4.0800000000000003E-2</v>
      </c>
      <c r="I25281" s="26">
        <v>4.0800000000000003E-2</v>
      </c>
      <c r="J25281" s="26">
        <v>3.0599999999999999E-2</v>
      </c>
      <c r="K25281" s="26">
        <v>3.0599999999999999E-2</v>
      </c>
      <c r="L25281" s="26">
        <v>4.0800000000000003E-2</v>
      </c>
      <c r="M25281" s="26">
        <v>2.0400000000000001E-2</v>
      </c>
      <c r="N25281" s="26">
        <v>1.0200000000000001E-2</v>
      </c>
      <c r="O25281" s="26">
        <v>1.0200000000000001E-2</v>
      </c>
      <c r="P25281" s="26">
        <v>2.0400000000000001E-2</v>
      </c>
      <c r="Q25281" s="26">
        <v>1.0200000000000001E-2</v>
      </c>
      <c r="R25281" s="26">
        <v>1.0200000000000001E-2</v>
      </c>
      <c r="T25281" s="26">
        <v>3.0599999999999999E-2</v>
      </c>
      <c r="Z25281">
        <v>98</v>
      </c>
    </row>
    <row r="25282" spans="1:26" x14ac:dyDescent="0.35">
      <c r="A25282" t="s">
        <v>228</v>
      </c>
      <c r="B25282" t="s">
        <v>239</v>
      </c>
      <c r="C25282" s="26">
        <v>0.39169999999999999</v>
      </c>
      <c r="D25282" s="26">
        <v>0.34610000000000002</v>
      </c>
      <c r="E25282" s="26">
        <v>0.10979999999999999</v>
      </c>
      <c r="F25282" s="26">
        <v>7.7799999999999994E-2</v>
      </c>
      <c r="G25282" s="26">
        <v>4.24E-2</v>
      </c>
      <c r="H25282" s="26">
        <v>8.4900000000000003E-2</v>
      </c>
      <c r="I25282" s="26">
        <v>6.1600000000000002E-2</v>
      </c>
      <c r="J25282" s="26">
        <v>2.8299999999999999E-2</v>
      </c>
      <c r="K25282" s="26">
        <v>6.9099999999999995E-2</v>
      </c>
      <c r="L25282" s="26">
        <v>3.2599999999999997E-2</v>
      </c>
      <c r="M25282" s="26">
        <v>6.08E-2</v>
      </c>
      <c r="N25282" s="26">
        <v>5.5500000000000001E-2</v>
      </c>
      <c r="O25282" s="26">
        <v>4.9200000000000001E-2</v>
      </c>
      <c r="P25282" s="26">
        <v>3.39E-2</v>
      </c>
      <c r="Q25282" s="26">
        <v>3.4000000000000002E-2</v>
      </c>
      <c r="R25282" s="26">
        <v>6.4000000000000003E-3</v>
      </c>
      <c r="S25282" s="26">
        <v>1.41E-2</v>
      </c>
      <c r="T25282" s="26">
        <v>2.01E-2</v>
      </c>
      <c r="U25282" s="26">
        <v>1.8E-3</v>
      </c>
      <c r="V25282" s="26">
        <v>2E-3</v>
      </c>
      <c r="W25282" s="26">
        <v>2.06E-2</v>
      </c>
      <c r="X25282" s="26">
        <v>1.0999999999999999E-2</v>
      </c>
      <c r="Z25282">
        <v>327</v>
      </c>
    </row>
    <row r="25283" spans="1:26" x14ac:dyDescent="0.35">
      <c r="A25283" t="s">
        <v>228</v>
      </c>
      <c r="B25283" t="s">
        <v>238</v>
      </c>
      <c r="C25283" s="26">
        <v>0.46300000000000002</v>
      </c>
      <c r="D25283" s="26">
        <v>0.28999999999999998</v>
      </c>
      <c r="E25283" s="26">
        <v>8.1000000000000003E-2</v>
      </c>
      <c r="F25283" s="26">
        <v>6.9199999999999998E-2</v>
      </c>
      <c r="G25283" s="26">
        <v>8.8900000000000007E-2</v>
      </c>
      <c r="H25283" s="26">
        <v>0.10639999999999999</v>
      </c>
      <c r="I25283" s="26">
        <v>4.7800000000000002E-2</v>
      </c>
      <c r="J25283" s="26">
        <v>4.1500000000000002E-2</v>
      </c>
      <c r="K25283" s="26">
        <v>3.4500000000000003E-2</v>
      </c>
      <c r="L25283" s="26">
        <v>2.3800000000000002E-2</v>
      </c>
      <c r="M25283" s="26">
        <v>2.5399999999999999E-2</v>
      </c>
      <c r="N25283" s="26">
        <v>4.3200000000000002E-2</v>
      </c>
      <c r="O25283" s="26">
        <v>2.5999999999999999E-2</v>
      </c>
      <c r="P25283" s="26">
        <v>1.9E-2</v>
      </c>
      <c r="Q25283" s="26">
        <v>5.0000000000000001E-3</v>
      </c>
      <c r="R25283" s="26">
        <v>6.3E-3</v>
      </c>
      <c r="S25283" s="26">
        <v>2.2700000000000001E-2</v>
      </c>
      <c r="T25283" s="26">
        <v>4.5999999999999999E-3</v>
      </c>
      <c r="U25283" s="26">
        <v>4.4999999999999997E-3</v>
      </c>
      <c r="V25283" s="26">
        <v>1.34E-2</v>
      </c>
      <c r="W25283" s="26">
        <v>1.1999999999999999E-3</v>
      </c>
      <c r="X25283" s="26">
        <v>8.6E-3</v>
      </c>
      <c r="Y25283" s="26">
        <v>5.1999999999999998E-3</v>
      </c>
      <c r="Z25283">
        <v>699</v>
      </c>
    </row>
    <row r="25284" spans="1:26" x14ac:dyDescent="0.35">
      <c r="A25284" t="s">
        <v>229</v>
      </c>
      <c r="B25284" t="s">
        <v>239</v>
      </c>
      <c r="C25284" s="26">
        <v>0.51649999999999996</v>
      </c>
      <c r="D25284" s="26">
        <v>0.26750000000000002</v>
      </c>
      <c r="E25284" s="26">
        <v>0.1242</v>
      </c>
      <c r="F25284" s="26">
        <v>2.3300000000000001E-2</v>
      </c>
      <c r="G25284" s="26">
        <v>2.0500000000000001E-2</v>
      </c>
      <c r="H25284" s="26">
        <v>2.3800000000000002E-2</v>
      </c>
      <c r="I25284" s="26">
        <v>2.35E-2</v>
      </c>
      <c r="J25284" s="26">
        <v>2.98E-2</v>
      </c>
      <c r="K25284" s="26">
        <v>2.4500000000000001E-2</v>
      </c>
      <c r="L25284" s="26">
        <v>2.1600000000000001E-2</v>
      </c>
      <c r="M25284" s="26">
        <v>2.1600000000000001E-2</v>
      </c>
      <c r="N25284" s="26">
        <v>2.4500000000000001E-2</v>
      </c>
      <c r="O25284" s="26">
        <v>3.95E-2</v>
      </c>
      <c r="P25284" s="26">
        <v>1.21E-2</v>
      </c>
      <c r="Q25284" s="26">
        <v>1.04E-2</v>
      </c>
      <c r="R25284" s="26">
        <v>5.3E-3</v>
      </c>
      <c r="S25284" s="26">
        <v>2.1399999999999999E-2</v>
      </c>
      <c r="T25284" s="26">
        <v>0.01</v>
      </c>
      <c r="U25284" s="26">
        <v>1.04E-2</v>
      </c>
      <c r="V25284" s="26">
        <v>1.34E-2</v>
      </c>
      <c r="W25284" s="26">
        <v>2.7000000000000001E-3</v>
      </c>
      <c r="X25284" s="26">
        <v>1.24E-2</v>
      </c>
      <c r="Y25284" s="26">
        <v>5.3E-3</v>
      </c>
      <c r="Z25284">
        <v>330</v>
      </c>
    </row>
    <row r="25285" spans="1:26" x14ac:dyDescent="0.35">
      <c r="A25285" t="s">
        <v>229</v>
      </c>
      <c r="B25285" t="s">
        <v>238</v>
      </c>
      <c r="C25285" s="26">
        <v>0.53180000000000005</v>
      </c>
      <c r="D25285" s="26">
        <v>0.26910000000000001</v>
      </c>
      <c r="E25285" s="26">
        <v>9.1300000000000006E-2</v>
      </c>
      <c r="F25285" s="26">
        <v>5.0299999999999997E-2</v>
      </c>
      <c r="G25285" s="26">
        <v>8.9200000000000002E-2</v>
      </c>
      <c r="H25285" s="26">
        <v>6.3E-2</v>
      </c>
      <c r="I25285" s="26">
        <v>4.0800000000000003E-2</v>
      </c>
      <c r="J25285" s="26">
        <v>3.5999999999999997E-2</v>
      </c>
      <c r="K25285" s="26">
        <v>2.1299999999999999E-2</v>
      </c>
      <c r="L25285" s="26">
        <v>2.47E-2</v>
      </c>
      <c r="M25285" s="26">
        <v>1.5100000000000001E-2</v>
      </c>
      <c r="N25285" s="26">
        <v>1.38E-2</v>
      </c>
      <c r="O25285" s="26">
        <v>1.0500000000000001E-2</v>
      </c>
      <c r="P25285" s="26">
        <v>2.64E-2</v>
      </c>
      <c r="Q25285" s="26">
        <v>6.0000000000000001E-3</v>
      </c>
      <c r="R25285" s="26">
        <v>3.5000000000000001E-3</v>
      </c>
      <c r="S25285" s="26">
        <v>8.5000000000000006E-3</v>
      </c>
      <c r="T25285" s="26">
        <v>1.78E-2</v>
      </c>
      <c r="U25285" s="26">
        <v>4.1000000000000003E-3</v>
      </c>
      <c r="V25285" s="26">
        <v>8.3000000000000001E-3</v>
      </c>
      <c r="W25285" s="26">
        <v>9.4999999999999998E-3</v>
      </c>
      <c r="X25285" s="26">
        <v>8.3000000000000001E-3</v>
      </c>
      <c r="Y25285" s="26">
        <v>4.4999999999999997E-3</v>
      </c>
      <c r="Z25285">
        <v>559</v>
      </c>
    </row>
    <row r="25286" spans="1:26" x14ac:dyDescent="0.35">
      <c r="A25286" t="s">
        <v>230</v>
      </c>
      <c r="B25286" t="s">
        <v>239</v>
      </c>
      <c r="C25286" s="26">
        <v>0.39290000000000003</v>
      </c>
      <c r="D25286" s="26">
        <v>0.41289999999999999</v>
      </c>
      <c r="E25286" s="26">
        <v>0.18329999999999999</v>
      </c>
      <c r="F25286" s="26">
        <v>5.0299999999999997E-2</v>
      </c>
      <c r="G25286" s="26">
        <v>3.1699999999999999E-2</v>
      </c>
      <c r="H25286" s="26">
        <v>6.5699999999999995E-2</v>
      </c>
      <c r="I25286" s="26">
        <v>7.2700000000000001E-2</v>
      </c>
      <c r="J25286" s="26">
        <v>8.7800000000000003E-2</v>
      </c>
      <c r="K25286" s="26">
        <v>1.2500000000000001E-2</v>
      </c>
      <c r="L25286" s="26">
        <v>3.0800000000000001E-2</v>
      </c>
      <c r="M25286" s="26">
        <v>5.04E-2</v>
      </c>
      <c r="N25286" s="26">
        <v>9.9099999999999994E-2</v>
      </c>
      <c r="O25286" s="26">
        <v>4.53E-2</v>
      </c>
      <c r="P25286" s="26">
        <v>3.2599999999999997E-2</v>
      </c>
      <c r="Q25286" s="26">
        <v>1.2E-2</v>
      </c>
      <c r="R25286" s="26">
        <v>3.8E-3</v>
      </c>
      <c r="S25286" s="26">
        <v>2.6599999999999999E-2</v>
      </c>
      <c r="T25286" s="26">
        <v>6.8999999999999999E-3</v>
      </c>
      <c r="U25286" s="26">
        <v>6.0000000000000001E-3</v>
      </c>
      <c r="V25286" s="26">
        <v>8.9999999999999998E-4</v>
      </c>
      <c r="W25286" s="26">
        <v>1.8800000000000001E-2</v>
      </c>
      <c r="X25286" s="26">
        <v>3.0000000000000001E-3</v>
      </c>
      <c r="Z25286">
        <v>211</v>
      </c>
    </row>
    <row r="25287" spans="1:26" x14ac:dyDescent="0.35">
      <c r="A25287" t="s">
        <v>230</v>
      </c>
      <c r="B25287" t="s">
        <v>238</v>
      </c>
      <c r="C25287" s="26">
        <v>0.45700000000000002</v>
      </c>
      <c r="D25287" s="26">
        <v>0.32250000000000001</v>
      </c>
      <c r="E25287" s="26">
        <v>7.6799999999999993E-2</v>
      </c>
      <c r="F25287" s="26">
        <v>8.3299999999999999E-2</v>
      </c>
      <c r="G25287" s="26">
        <v>0.1017</v>
      </c>
      <c r="H25287" s="26">
        <v>7.6899999999999996E-2</v>
      </c>
      <c r="I25287" s="26">
        <v>4.2799999999999998E-2</v>
      </c>
      <c r="J25287" s="26">
        <v>5.3400000000000003E-2</v>
      </c>
      <c r="K25287" s="26">
        <v>2.7699999999999999E-2</v>
      </c>
      <c r="L25287" s="26">
        <v>6.1699999999999998E-2</v>
      </c>
      <c r="M25287" s="26">
        <v>3.8300000000000001E-2</v>
      </c>
      <c r="N25287" s="26">
        <v>2.6200000000000001E-2</v>
      </c>
      <c r="O25287" s="26">
        <v>3.7600000000000001E-2</v>
      </c>
      <c r="P25287" s="26">
        <v>1.2500000000000001E-2</v>
      </c>
      <c r="Q25287" s="26">
        <v>9.9000000000000008E-3</v>
      </c>
      <c r="R25287" s="26">
        <v>7.7999999999999996E-3</v>
      </c>
      <c r="S25287" s="26">
        <v>1.72E-2</v>
      </c>
      <c r="T25287" s="26">
        <v>3.0000000000000001E-3</v>
      </c>
      <c r="U25287" s="26">
        <v>4.0000000000000002E-4</v>
      </c>
      <c r="V25287" s="26">
        <v>1.8599999999999998E-2</v>
      </c>
      <c r="W25287" s="26">
        <v>8.2000000000000007E-3</v>
      </c>
      <c r="X25287" s="26">
        <v>1.12E-2</v>
      </c>
      <c r="Z25287">
        <v>345</v>
      </c>
    </row>
    <row r="25288" spans="1:26" x14ac:dyDescent="0.35">
      <c r="A25288" t="s">
        <v>231</v>
      </c>
      <c r="B25288" t="s">
        <v>239</v>
      </c>
      <c r="C25288" s="26">
        <v>0.47370000000000001</v>
      </c>
      <c r="D25288" s="26">
        <v>0.31580000000000003</v>
      </c>
      <c r="E25288" s="26">
        <v>1.7500000000000002E-2</v>
      </c>
      <c r="F25288" s="26">
        <v>7.0199999999999999E-2</v>
      </c>
      <c r="G25288" s="26">
        <v>1.7500000000000002E-2</v>
      </c>
      <c r="H25288" s="26">
        <v>3.5099999999999999E-2</v>
      </c>
      <c r="I25288" s="26">
        <v>5.2600000000000001E-2</v>
      </c>
      <c r="J25288" s="26">
        <v>3.5099999999999999E-2</v>
      </c>
      <c r="K25288" s="26">
        <v>1.7500000000000002E-2</v>
      </c>
      <c r="L25288" s="26">
        <v>3.5099999999999999E-2</v>
      </c>
      <c r="M25288" s="26">
        <v>7.0199999999999999E-2</v>
      </c>
      <c r="N25288" s="26">
        <v>1.7500000000000002E-2</v>
      </c>
      <c r="O25288" s="26">
        <v>3.5099999999999999E-2</v>
      </c>
      <c r="P25288" s="26">
        <v>1.7500000000000002E-2</v>
      </c>
      <c r="Q25288" s="26">
        <v>1.7500000000000002E-2</v>
      </c>
      <c r="R25288" s="26">
        <v>3.5099999999999999E-2</v>
      </c>
      <c r="U25288" s="26">
        <v>3.5099999999999999E-2</v>
      </c>
      <c r="Z25288">
        <v>57</v>
      </c>
    </row>
    <row r="25289" spans="1:26" x14ac:dyDescent="0.35">
      <c r="A25289" t="s">
        <v>231</v>
      </c>
      <c r="B25289" t="s">
        <v>238</v>
      </c>
      <c r="C25289" s="26">
        <v>0.58650000000000002</v>
      </c>
      <c r="D25289" s="26">
        <v>0.27879999999999999</v>
      </c>
      <c r="E25289" s="26">
        <v>5.7700000000000001E-2</v>
      </c>
      <c r="F25289" s="26">
        <v>3.85E-2</v>
      </c>
      <c r="G25289" s="26">
        <v>2.8799999999999999E-2</v>
      </c>
      <c r="H25289" s="26">
        <v>1.9199999999999998E-2</v>
      </c>
      <c r="I25289" s="26">
        <v>2.8799999999999999E-2</v>
      </c>
      <c r="J25289" s="26">
        <v>1.9199999999999998E-2</v>
      </c>
      <c r="K25289" s="26">
        <v>2.8799999999999999E-2</v>
      </c>
      <c r="L25289" s="26">
        <v>9.5999999999999992E-3</v>
      </c>
      <c r="M25289" s="26">
        <v>1.9199999999999998E-2</v>
      </c>
      <c r="Q25289" s="26">
        <v>9.5999999999999992E-3</v>
      </c>
      <c r="R25289" s="26">
        <v>9.5999999999999992E-3</v>
      </c>
      <c r="U25289" s="26">
        <v>9.5999999999999992E-3</v>
      </c>
      <c r="V25289" s="26">
        <v>9.5999999999999992E-3</v>
      </c>
      <c r="W25289" s="26">
        <v>9.5999999999999992E-3</v>
      </c>
      <c r="Z25289">
        <v>104</v>
      </c>
    </row>
    <row r="25290" spans="1:26" x14ac:dyDescent="0.35">
      <c r="A25290" t="s">
        <v>232</v>
      </c>
      <c r="B25290" t="s">
        <v>232</v>
      </c>
      <c r="C25290" s="26">
        <v>0.50360000000000005</v>
      </c>
      <c r="D25290" s="26">
        <v>0.2873</v>
      </c>
      <c r="E25290" s="26">
        <v>7.9000000000000001E-2</v>
      </c>
      <c r="F25290" s="26">
        <v>5.91E-2</v>
      </c>
      <c r="G25290" s="26">
        <v>5.8900000000000001E-2</v>
      </c>
      <c r="H25290" s="26">
        <v>5.3600000000000002E-2</v>
      </c>
      <c r="I25290" s="26">
        <v>4.2000000000000003E-2</v>
      </c>
      <c r="J25290" s="26">
        <v>3.5000000000000003E-2</v>
      </c>
      <c r="K25290" s="26">
        <v>3.1899999999999998E-2</v>
      </c>
      <c r="L25290" s="26">
        <v>2.9499999999999998E-2</v>
      </c>
      <c r="M25290" s="26">
        <v>2.7199999999999998E-2</v>
      </c>
      <c r="N25290" s="26">
        <v>2.2800000000000001E-2</v>
      </c>
      <c r="O25290" s="26">
        <v>2.1100000000000001E-2</v>
      </c>
      <c r="P25290" s="26">
        <v>1.8100000000000002E-2</v>
      </c>
      <c r="Q25290" s="26">
        <v>1.0500000000000001E-2</v>
      </c>
      <c r="R25290" s="26">
        <v>0.01</v>
      </c>
      <c r="S25290" s="26">
        <v>9.4000000000000004E-3</v>
      </c>
      <c r="T25290" s="26">
        <v>9.2999999999999992E-3</v>
      </c>
      <c r="U25290" s="26">
        <v>8.6E-3</v>
      </c>
      <c r="V25290" s="26">
        <v>7.7999999999999996E-3</v>
      </c>
      <c r="W25290" s="26">
        <v>6.0000000000000001E-3</v>
      </c>
      <c r="X25290" s="26">
        <v>5.3E-3</v>
      </c>
      <c r="Y25290" s="26">
        <v>2.0999999999999999E-3</v>
      </c>
      <c r="Z25290">
        <v>2792</v>
      </c>
    </row>
    <row r="25292" spans="1:26" x14ac:dyDescent="0.35">
      <c r="A25292" s="1" t="s">
        <v>2302</v>
      </c>
    </row>
    <row r="25293" spans="1:26" x14ac:dyDescent="0.35">
      <c r="A25293" t="s">
        <v>219</v>
      </c>
      <c r="B25293" t="s">
        <v>305</v>
      </c>
      <c r="C25293" t="s">
        <v>550</v>
      </c>
      <c r="D25293" t="s">
        <v>2281</v>
      </c>
      <c r="E25293" t="s">
        <v>2282</v>
      </c>
      <c r="F25293" t="s">
        <v>2283</v>
      </c>
      <c r="G25293" t="s">
        <v>2284</v>
      </c>
      <c r="H25293" t="s">
        <v>2285</v>
      </c>
      <c r="I25293" t="s">
        <v>2286</v>
      </c>
      <c r="J25293" t="s">
        <v>2287</v>
      </c>
      <c r="K25293" t="s">
        <v>2288</v>
      </c>
      <c r="L25293" t="s">
        <v>2289</v>
      </c>
      <c r="M25293" t="s">
        <v>2290</v>
      </c>
      <c r="N25293" t="s">
        <v>2291</v>
      </c>
      <c r="O25293" t="s">
        <v>2292</v>
      </c>
      <c r="P25293" t="s">
        <v>2293</v>
      </c>
      <c r="Q25293" t="s">
        <v>2294</v>
      </c>
      <c r="R25293" t="s">
        <v>2295</v>
      </c>
      <c r="S25293" t="s">
        <v>2296</v>
      </c>
      <c r="T25293" t="s">
        <v>2297</v>
      </c>
      <c r="U25293" t="s">
        <v>326</v>
      </c>
      <c r="V25293" t="s">
        <v>2298</v>
      </c>
      <c r="W25293" t="s">
        <v>2299</v>
      </c>
      <c r="X25293" t="s">
        <v>281</v>
      </c>
      <c r="Y25293" t="s">
        <v>286</v>
      </c>
      <c r="Z25293" t="s">
        <v>226</v>
      </c>
    </row>
    <row r="25294" spans="1:26" x14ac:dyDescent="0.35">
      <c r="A25294" t="s">
        <v>227</v>
      </c>
      <c r="B25294" t="s">
        <v>244</v>
      </c>
      <c r="C25294" s="26">
        <v>0.46879999999999999</v>
      </c>
      <c r="D25294" s="26">
        <v>0.25</v>
      </c>
      <c r="E25294" s="26">
        <v>7.2900000000000006E-2</v>
      </c>
      <c r="F25294" s="26">
        <v>7.2900000000000006E-2</v>
      </c>
      <c r="G25294" s="26">
        <v>7.2900000000000006E-2</v>
      </c>
      <c r="H25294" s="26">
        <v>3.1199999999999999E-2</v>
      </c>
      <c r="I25294" s="26">
        <v>5.21E-2</v>
      </c>
      <c r="J25294" s="26">
        <v>2.0799999999999999E-2</v>
      </c>
      <c r="K25294" s="26">
        <v>5.21E-2</v>
      </c>
      <c r="L25294" s="26">
        <v>4.1700000000000001E-2</v>
      </c>
      <c r="M25294" s="26">
        <v>2.0799999999999999E-2</v>
      </c>
      <c r="N25294" s="26">
        <v>2.0799999999999999E-2</v>
      </c>
      <c r="O25294" s="26">
        <v>3.1199999999999999E-2</v>
      </c>
      <c r="P25294" s="26">
        <v>3.1199999999999999E-2</v>
      </c>
      <c r="Q25294" s="26">
        <v>2.0799999999999999E-2</v>
      </c>
      <c r="R25294" s="26">
        <v>2.0799999999999999E-2</v>
      </c>
      <c r="T25294" s="26">
        <v>2.0799999999999999E-2</v>
      </c>
      <c r="U25294" s="26">
        <v>1.04E-2</v>
      </c>
      <c r="Z25294">
        <v>96</v>
      </c>
    </row>
    <row r="25295" spans="1:26" x14ac:dyDescent="0.35">
      <c r="A25295" t="s">
        <v>227</v>
      </c>
      <c r="B25295" t="s">
        <v>245</v>
      </c>
      <c r="C25295" s="26">
        <v>0.57689999999999997</v>
      </c>
      <c r="D25295" s="26">
        <v>0.21149999999999999</v>
      </c>
      <c r="E25295" s="26">
        <v>7.6899999999999996E-2</v>
      </c>
      <c r="F25295" s="26">
        <v>5.7700000000000001E-2</v>
      </c>
      <c r="G25295" s="26">
        <v>1.9199999999999998E-2</v>
      </c>
      <c r="H25295" s="26">
        <v>3.85E-2</v>
      </c>
      <c r="I25295" s="26">
        <v>3.85E-2</v>
      </c>
      <c r="J25295" s="26">
        <v>5.7700000000000001E-2</v>
      </c>
      <c r="K25295" s="26">
        <v>1.9199999999999998E-2</v>
      </c>
      <c r="L25295" s="26">
        <v>3.85E-2</v>
      </c>
      <c r="N25295" s="26">
        <v>1.9199999999999998E-2</v>
      </c>
      <c r="P25295" s="26">
        <v>1.9199999999999998E-2</v>
      </c>
      <c r="T25295" s="26">
        <v>1.9199999999999998E-2</v>
      </c>
      <c r="Z25295">
        <v>52</v>
      </c>
    </row>
    <row r="25296" spans="1:26" x14ac:dyDescent="0.35">
      <c r="A25296" s="27" t="s">
        <v>227</v>
      </c>
      <c r="B25296" s="27" t="s">
        <v>246</v>
      </c>
      <c r="C25296" s="28">
        <v>0.33329999999999999</v>
      </c>
      <c r="D25296" s="28">
        <v>0.5</v>
      </c>
      <c r="E25296" s="28">
        <v>8.3299999999999999E-2</v>
      </c>
      <c r="F25296" s="28">
        <v>0.25</v>
      </c>
      <c r="G25296" s="28">
        <v>8.3299999999999999E-2</v>
      </c>
      <c r="H25296" s="29"/>
      <c r="I25296" s="29"/>
      <c r="J25296" s="29"/>
      <c r="K25296" s="28">
        <v>0.25</v>
      </c>
      <c r="L25296" s="28">
        <v>0.16669999999999999</v>
      </c>
      <c r="M25296" s="29"/>
      <c r="N25296" s="29"/>
      <c r="O25296" s="29"/>
      <c r="P25296" s="29"/>
      <c r="Q25296" s="29"/>
      <c r="R25296" s="29"/>
      <c r="S25296" s="29"/>
      <c r="T25296" s="29"/>
      <c r="U25296" s="29"/>
      <c r="V25296" s="29"/>
      <c r="W25296" s="29"/>
      <c r="X25296" s="29"/>
      <c r="Y25296" s="29"/>
      <c r="Z25296" s="29" t="s">
        <v>342</v>
      </c>
    </row>
    <row r="25297" spans="1:26" x14ac:dyDescent="0.35">
      <c r="A25297" t="s">
        <v>228</v>
      </c>
      <c r="B25297" t="s">
        <v>244</v>
      </c>
      <c r="C25297" s="26">
        <v>0.4587</v>
      </c>
      <c r="D25297" s="26">
        <v>0.31090000000000001</v>
      </c>
      <c r="E25297" s="26">
        <v>6.8900000000000003E-2</v>
      </c>
      <c r="F25297" s="26">
        <v>6.6000000000000003E-2</v>
      </c>
      <c r="G25297" s="26">
        <v>8.9099999999999999E-2</v>
      </c>
      <c r="H25297" s="26">
        <v>9.8500000000000004E-2</v>
      </c>
      <c r="I25297" s="26">
        <v>5.8299999999999998E-2</v>
      </c>
      <c r="J25297" s="26">
        <v>3.78E-2</v>
      </c>
      <c r="K25297" s="26">
        <v>3.3799999999999997E-2</v>
      </c>
      <c r="L25297" s="26">
        <v>2.63E-2</v>
      </c>
      <c r="M25297" s="26">
        <v>3.1300000000000001E-2</v>
      </c>
      <c r="N25297" s="26">
        <v>4.3999999999999997E-2</v>
      </c>
      <c r="O25297" s="26">
        <v>2.87E-2</v>
      </c>
      <c r="P25297" s="26">
        <v>1.84E-2</v>
      </c>
      <c r="Q25297" s="26">
        <v>6.7999999999999996E-3</v>
      </c>
      <c r="R25297" s="26">
        <v>9.2999999999999992E-3</v>
      </c>
      <c r="S25297" s="26">
        <v>2.4500000000000001E-2</v>
      </c>
      <c r="T25297" s="26">
        <v>1.0200000000000001E-2</v>
      </c>
      <c r="U25297" s="26">
        <v>8.9999999999999998E-4</v>
      </c>
      <c r="V25297" s="26">
        <v>9.2999999999999992E-3</v>
      </c>
      <c r="W25297" s="26">
        <v>7.1000000000000004E-3</v>
      </c>
      <c r="X25297" s="26">
        <v>1.0999999999999999E-2</v>
      </c>
      <c r="Y25297" s="26">
        <v>6.0000000000000001E-3</v>
      </c>
      <c r="Z25297">
        <v>633</v>
      </c>
    </row>
    <row r="25298" spans="1:26" x14ac:dyDescent="0.35">
      <c r="A25298" t="s">
        <v>228</v>
      </c>
      <c r="B25298" t="s">
        <v>245</v>
      </c>
      <c r="C25298" s="26">
        <v>0.48809999999999998</v>
      </c>
      <c r="D25298" s="26">
        <v>0.23980000000000001</v>
      </c>
      <c r="E25298" s="26">
        <v>9.0899999999999995E-2</v>
      </c>
      <c r="F25298" s="26">
        <v>6.0900000000000003E-2</v>
      </c>
      <c r="G25298" s="26">
        <v>4.3400000000000001E-2</v>
      </c>
      <c r="H25298" s="26">
        <v>0.1081</v>
      </c>
      <c r="I25298" s="26">
        <v>3.8199999999999998E-2</v>
      </c>
      <c r="J25298" s="26">
        <v>5.0799999999999998E-2</v>
      </c>
      <c r="K25298" s="26">
        <v>2.7300000000000001E-2</v>
      </c>
      <c r="L25298" s="26">
        <v>5.0000000000000001E-3</v>
      </c>
      <c r="M25298" s="26">
        <v>3.7999999999999999E-2</v>
      </c>
      <c r="N25298" s="26">
        <v>5.3499999999999999E-2</v>
      </c>
      <c r="O25298" s="26">
        <v>3.5799999999999998E-2</v>
      </c>
      <c r="P25298" s="26">
        <v>3.1899999999999998E-2</v>
      </c>
      <c r="Q25298" s="26">
        <v>2.2200000000000001E-2</v>
      </c>
      <c r="R25298" s="26">
        <v>8.9999999999999998E-4</v>
      </c>
      <c r="S25298" s="26">
        <v>1.2999999999999999E-3</v>
      </c>
      <c r="T25298" s="26">
        <v>4.1999999999999997E-3</v>
      </c>
      <c r="V25298" s="26">
        <v>1.78E-2</v>
      </c>
      <c r="W25298" s="26">
        <v>2E-3</v>
      </c>
      <c r="X25298" s="26">
        <v>6.8999999999999999E-3</v>
      </c>
      <c r="Y25298" s="26">
        <v>8.9999999999999998E-4</v>
      </c>
      <c r="Z25298">
        <v>326</v>
      </c>
    </row>
    <row r="25299" spans="1:26" x14ac:dyDescent="0.35">
      <c r="A25299" t="s">
        <v>228</v>
      </c>
      <c r="B25299" t="s">
        <v>246</v>
      </c>
      <c r="C25299" s="26">
        <v>0.18909999999999999</v>
      </c>
      <c r="D25299" s="26">
        <v>0.46289999999999998</v>
      </c>
      <c r="E25299" s="26">
        <v>0.2427</v>
      </c>
      <c r="F25299" s="26">
        <v>0.15939999999999999</v>
      </c>
      <c r="G25299" s="26">
        <v>0.13189999999999999</v>
      </c>
      <c r="H25299" s="26">
        <v>0.1104</v>
      </c>
      <c r="I25299" s="26">
        <v>2.81E-2</v>
      </c>
      <c r="K25299" s="26">
        <v>0.17380000000000001</v>
      </c>
      <c r="L25299" s="26">
        <v>0.1022</v>
      </c>
      <c r="M25299" s="26">
        <v>2.4199999999999999E-2</v>
      </c>
      <c r="N25299" s="26">
        <v>3.0200000000000001E-2</v>
      </c>
      <c r="O25299" s="26">
        <v>0.03</v>
      </c>
      <c r="P25299" s="26">
        <v>1.8100000000000002E-2</v>
      </c>
      <c r="Q25299" s="26">
        <v>5.1999999999999998E-3</v>
      </c>
      <c r="S25299" s="26">
        <v>6.7199999999999996E-2</v>
      </c>
      <c r="U25299" s="26">
        <v>4.8500000000000001E-2</v>
      </c>
      <c r="Z25299">
        <v>67</v>
      </c>
    </row>
    <row r="25300" spans="1:26" x14ac:dyDescent="0.35">
      <c r="A25300" t="s">
        <v>229</v>
      </c>
      <c r="B25300" t="s">
        <v>244</v>
      </c>
      <c r="C25300" s="26">
        <v>0.55049999999999999</v>
      </c>
      <c r="D25300" s="26">
        <v>0.26279999999999998</v>
      </c>
      <c r="E25300" s="26">
        <v>9.6699999999999994E-2</v>
      </c>
      <c r="F25300" s="26">
        <v>3.3599999999999998E-2</v>
      </c>
      <c r="G25300" s="26">
        <v>5.9700000000000003E-2</v>
      </c>
      <c r="H25300" s="26">
        <v>5.6500000000000002E-2</v>
      </c>
      <c r="I25300" s="26">
        <v>4.3700000000000003E-2</v>
      </c>
      <c r="J25300" s="26">
        <v>3.1199999999999999E-2</v>
      </c>
      <c r="K25300" s="26">
        <v>2.3900000000000001E-2</v>
      </c>
      <c r="L25300" s="26">
        <v>1.43E-2</v>
      </c>
      <c r="M25300" s="26">
        <v>1.2699999999999999E-2</v>
      </c>
      <c r="N25300" s="26">
        <v>1.2800000000000001E-2</v>
      </c>
      <c r="O25300" s="26">
        <v>7.4000000000000003E-3</v>
      </c>
      <c r="P25300" s="26">
        <v>1.6299999999999999E-2</v>
      </c>
      <c r="Q25300" s="26">
        <v>4.4999999999999997E-3</v>
      </c>
      <c r="R25300" s="26">
        <v>1.5E-3</v>
      </c>
      <c r="S25300" s="26">
        <v>9.5999999999999992E-3</v>
      </c>
      <c r="T25300" s="26">
        <v>1.3899999999999999E-2</v>
      </c>
      <c r="U25300" s="26">
        <v>8.2000000000000007E-3</v>
      </c>
      <c r="V25300" s="26">
        <v>6.3E-3</v>
      </c>
      <c r="W25300" s="26">
        <v>1.0200000000000001E-2</v>
      </c>
      <c r="X25300" s="26">
        <v>9.1999999999999998E-3</v>
      </c>
      <c r="Y25300" s="26">
        <v>6.7999999999999996E-3</v>
      </c>
      <c r="Z25300">
        <v>553</v>
      </c>
    </row>
    <row r="25301" spans="1:26" x14ac:dyDescent="0.35">
      <c r="A25301" t="s">
        <v>229</v>
      </c>
      <c r="B25301" t="s">
        <v>245</v>
      </c>
      <c r="C25301" s="26">
        <v>0.52149999999999996</v>
      </c>
      <c r="D25301" s="26">
        <v>0.25679999999999997</v>
      </c>
      <c r="E25301" s="26">
        <v>9.8699999999999996E-2</v>
      </c>
      <c r="F25301" s="26">
        <v>5.57E-2</v>
      </c>
      <c r="G25301" s="26">
        <v>9.4399999999999998E-2</v>
      </c>
      <c r="H25301" s="26">
        <v>4.2000000000000003E-2</v>
      </c>
      <c r="I25301" s="26">
        <v>2.1600000000000001E-2</v>
      </c>
      <c r="J25301" s="26">
        <v>3.8300000000000001E-2</v>
      </c>
      <c r="K25301" s="26">
        <v>1.14E-2</v>
      </c>
      <c r="L25301" s="26">
        <v>2.3099999999999999E-2</v>
      </c>
      <c r="M25301" s="26">
        <v>2.9499999999999998E-2</v>
      </c>
      <c r="N25301" s="26">
        <v>0.02</v>
      </c>
      <c r="O25301" s="26">
        <v>4.0099999999999997E-2</v>
      </c>
      <c r="P25301" s="26">
        <v>4.53E-2</v>
      </c>
      <c r="Q25301" s="26">
        <v>5.7000000000000002E-3</v>
      </c>
      <c r="R25301" s="26">
        <v>1.17E-2</v>
      </c>
      <c r="T25301" s="26">
        <v>2.4E-2</v>
      </c>
      <c r="V25301" s="26">
        <v>1.04E-2</v>
      </c>
      <c r="W25301" s="26">
        <v>2.7000000000000001E-3</v>
      </c>
      <c r="X25301" s="26">
        <v>1.1299999999999999E-2</v>
      </c>
      <c r="Z25301">
        <v>291</v>
      </c>
    </row>
    <row r="25302" spans="1:26" x14ac:dyDescent="0.35">
      <c r="A25302" t="s">
        <v>229</v>
      </c>
      <c r="B25302" t="s">
        <v>246</v>
      </c>
      <c r="C25302" s="26">
        <v>0.26829999999999998</v>
      </c>
      <c r="D25302" s="26">
        <v>0.40029999999999999</v>
      </c>
      <c r="E25302" s="26">
        <v>0.14130000000000001</v>
      </c>
      <c r="F25302" s="26">
        <v>0.1128</v>
      </c>
      <c r="G25302" s="26">
        <v>0.12230000000000001</v>
      </c>
      <c r="H25302" s="26">
        <v>6.2700000000000006E-2</v>
      </c>
      <c r="I25302" s="26">
        <v>1.24E-2</v>
      </c>
      <c r="J25302" s="26">
        <v>5.8200000000000002E-2</v>
      </c>
      <c r="K25302" s="26">
        <v>4.8899999999999999E-2</v>
      </c>
      <c r="L25302" s="26">
        <v>0.15240000000000001</v>
      </c>
      <c r="M25302" s="26">
        <v>9.4000000000000004E-3</v>
      </c>
      <c r="N25302" s="26">
        <v>4.7100000000000003E-2</v>
      </c>
      <c r="O25302" s="26">
        <v>4.7100000000000003E-2</v>
      </c>
      <c r="Q25302" s="26">
        <v>4.7100000000000003E-2</v>
      </c>
      <c r="S25302" s="26">
        <v>9.4200000000000006E-2</v>
      </c>
      <c r="T25302" s="26">
        <v>3.2000000000000002E-3</v>
      </c>
      <c r="V25302" s="26">
        <v>4.7100000000000003E-2</v>
      </c>
      <c r="X25302" s="26">
        <v>1.8E-3</v>
      </c>
      <c r="Z25302">
        <v>45</v>
      </c>
    </row>
    <row r="25303" spans="1:26" x14ac:dyDescent="0.35">
      <c r="A25303" t="s">
        <v>230</v>
      </c>
      <c r="B25303" t="s">
        <v>244</v>
      </c>
      <c r="C25303" s="26">
        <v>0.47689999999999999</v>
      </c>
      <c r="D25303" s="26">
        <v>0.33410000000000001</v>
      </c>
      <c r="E25303" s="26">
        <v>0.1045</v>
      </c>
      <c r="F25303" s="26">
        <v>7.0400000000000004E-2</v>
      </c>
      <c r="G25303" s="26">
        <v>6.4399999999999999E-2</v>
      </c>
      <c r="H25303" s="26">
        <v>7.4999999999999997E-2</v>
      </c>
      <c r="I25303" s="26">
        <v>5.6099999999999997E-2</v>
      </c>
      <c r="J25303" s="26">
        <v>5.5500000000000001E-2</v>
      </c>
      <c r="K25303" s="26">
        <v>2.47E-2</v>
      </c>
      <c r="L25303" s="26">
        <v>3.1399999999999997E-2</v>
      </c>
      <c r="M25303" s="26">
        <v>2.4E-2</v>
      </c>
      <c r="N25303" s="26">
        <v>5.4300000000000001E-2</v>
      </c>
      <c r="O25303" s="26">
        <v>4.6300000000000001E-2</v>
      </c>
      <c r="P25303" s="26">
        <v>2.0799999999999999E-2</v>
      </c>
      <c r="Q25303" s="26">
        <v>1.26E-2</v>
      </c>
      <c r="R25303" s="26">
        <v>9.4999999999999998E-3</v>
      </c>
      <c r="S25303" s="26">
        <v>2.5899999999999999E-2</v>
      </c>
      <c r="T25303" s="26">
        <v>5.5999999999999999E-3</v>
      </c>
      <c r="U25303" s="26">
        <v>2.5999999999999999E-3</v>
      </c>
      <c r="V25303" s="26">
        <v>1.0699999999999999E-2</v>
      </c>
      <c r="W25303" s="26">
        <v>1.61E-2</v>
      </c>
      <c r="X25303" s="26">
        <v>9.9000000000000008E-3</v>
      </c>
      <c r="Z25303">
        <v>367</v>
      </c>
    </row>
    <row r="25304" spans="1:26" x14ac:dyDescent="0.35">
      <c r="A25304" t="s">
        <v>230</v>
      </c>
      <c r="B25304" t="s">
        <v>245</v>
      </c>
      <c r="C25304" s="26">
        <v>0.3422</v>
      </c>
      <c r="D25304" s="26">
        <v>0.39650000000000002</v>
      </c>
      <c r="E25304" s="26">
        <v>9.9500000000000005E-2</v>
      </c>
      <c r="F25304" s="26">
        <v>9.5000000000000001E-2</v>
      </c>
      <c r="G25304" s="26">
        <v>0.13750000000000001</v>
      </c>
      <c r="H25304" s="26">
        <v>5.8700000000000002E-2</v>
      </c>
      <c r="I25304" s="26">
        <v>1.8800000000000001E-2</v>
      </c>
      <c r="J25304" s="26">
        <v>7.6200000000000004E-2</v>
      </c>
      <c r="K25304" s="26">
        <v>2.18E-2</v>
      </c>
      <c r="L25304" s="26">
        <v>0.1152</v>
      </c>
      <c r="M25304" s="26">
        <v>9.2899999999999996E-2</v>
      </c>
      <c r="N25304" s="26">
        <v>2.6700000000000002E-2</v>
      </c>
      <c r="O25304" s="26">
        <v>5.7000000000000002E-3</v>
      </c>
      <c r="P25304" s="26">
        <v>8.0999999999999996E-3</v>
      </c>
      <c r="Q25304" s="26">
        <v>7.1000000000000004E-3</v>
      </c>
      <c r="S25304" s="26">
        <v>4.5999999999999999E-3</v>
      </c>
      <c r="T25304" s="26">
        <v>1.1000000000000001E-3</v>
      </c>
      <c r="U25304" s="26">
        <v>1.1000000000000001E-3</v>
      </c>
      <c r="V25304" s="26">
        <v>2.2200000000000001E-2</v>
      </c>
      <c r="W25304" s="26">
        <v>1.1000000000000001E-3</v>
      </c>
      <c r="X25304" s="26">
        <v>7.1000000000000004E-3</v>
      </c>
      <c r="Z25304">
        <v>160</v>
      </c>
    </row>
    <row r="25305" spans="1:26" x14ac:dyDescent="0.35">
      <c r="A25305" s="27" t="s">
        <v>230</v>
      </c>
      <c r="B25305" s="27" t="s">
        <v>246</v>
      </c>
      <c r="C25305" s="28">
        <v>0.38009999999999999</v>
      </c>
      <c r="D25305" s="28">
        <v>0.33239999999999997</v>
      </c>
      <c r="E25305" s="28">
        <v>0.22720000000000001</v>
      </c>
      <c r="F25305" s="29"/>
      <c r="G25305" s="28">
        <v>5.5999999999999999E-3</v>
      </c>
      <c r="H25305" s="28">
        <v>0.129</v>
      </c>
      <c r="I25305" s="28">
        <v>0.16639999999999999</v>
      </c>
      <c r="J25305" s="28">
        <v>0.1164</v>
      </c>
      <c r="K25305" s="28">
        <v>5.5999999999999999E-3</v>
      </c>
      <c r="L25305" s="28">
        <v>1.83E-2</v>
      </c>
      <c r="M25305" s="28">
        <v>2.9499999999999998E-2</v>
      </c>
      <c r="N25305" s="28">
        <v>7.9899999999999999E-2</v>
      </c>
      <c r="O25305" s="28">
        <v>0.1295</v>
      </c>
      <c r="P25305" s="28">
        <v>4.2599999999999999E-2</v>
      </c>
      <c r="Q25305" s="29"/>
      <c r="R25305" s="29"/>
      <c r="S25305" s="28">
        <v>1.8700000000000001E-2</v>
      </c>
      <c r="T25305" s="29"/>
      <c r="U25305" s="29"/>
      <c r="V25305" s="29"/>
      <c r="W25305" s="29"/>
      <c r="X25305" s="29"/>
      <c r="Y25305" s="29"/>
      <c r="Z25305" s="29" t="s">
        <v>329</v>
      </c>
    </row>
    <row r="25306" spans="1:26" x14ac:dyDescent="0.35">
      <c r="A25306" t="s">
        <v>231</v>
      </c>
      <c r="B25306" t="s">
        <v>244</v>
      </c>
      <c r="C25306" s="26">
        <v>0.55910000000000004</v>
      </c>
      <c r="D25306" s="26">
        <v>0.26879999999999998</v>
      </c>
      <c r="E25306" s="26">
        <v>4.2999999999999997E-2</v>
      </c>
      <c r="F25306" s="26">
        <v>5.3800000000000001E-2</v>
      </c>
      <c r="G25306" s="26">
        <v>4.2999999999999997E-2</v>
      </c>
      <c r="H25306" s="26">
        <v>2.1499999999999998E-2</v>
      </c>
      <c r="I25306" s="26">
        <v>2.1499999999999998E-2</v>
      </c>
      <c r="J25306" s="26">
        <v>2.1499999999999998E-2</v>
      </c>
      <c r="K25306" s="26">
        <v>4.2999999999999997E-2</v>
      </c>
      <c r="L25306" s="26">
        <v>1.0800000000000001E-2</v>
      </c>
      <c r="M25306" s="26">
        <v>3.2300000000000002E-2</v>
      </c>
      <c r="N25306" s="26">
        <v>1.0800000000000001E-2</v>
      </c>
      <c r="O25306" s="26">
        <v>2.1499999999999998E-2</v>
      </c>
      <c r="P25306" s="26">
        <v>1.0800000000000001E-2</v>
      </c>
      <c r="Q25306" s="26">
        <v>1.0800000000000001E-2</v>
      </c>
      <c r="R25306" s="26">
        <v>2.1499999999999998E-2</v>
      </c>
      <c r="U25306" s="26">
        <v>3.2300000000000002E-2</v>
      </c>
      <c r="V25306" s="26">
        <v>1.0800000000000001E-2</v>
      </c>
      <c r="Z25306">
        <v>93</v>
      </c>
    </row>
    <row r="25307" spans="1:26" x14ac:dyDescent="0.35">
      <c r="A25307" t="s">
        <v>231</v>
      </c>
      <c r="B25307" t="s">
        <v>245</v>
      </c>
      <c r="C25307" s="26">
        <v>0.4909</v>
      </c>
      <c r="D25307" s="26">
        <v>0.34549999999999997</v>
      </c>
      <c r="E25307" s="26">
        <v>5.45E-2</v>
      </c>
      <c r="F25307" s="26">
        <v>3.6400000000000002E-2</v>
      </c>
      <c r="H25307" s="26">
        <v>1.8200000000000001E-2</v>
      </c>
      <c r="I25307" s="26">
        <v>7.2700000000000001E-2</v>
      </c>
      <c r="J25307" s="26">
        <v>3.6400000000000002E-2</v>
      </c>
      <c r="L25307" s="26">
        <v>1.8200000000000001E-2</v>
      </c>
      <c r="M25307" s="26">
        <v>5.45E-2</v>
      </c>
      <c r="Q25307" s="26">
        <v>1.8200000000000001E-2</v>
      </c>
      <c r="R25307" s="26">
        <v>1.8200000000000001E-2</v>
      </c>
      <c r="W25307" s="26">
        <v>1.8200000000000001E-2</v>
      </c>
      <c r="Z25307">
        <v>55</v>
      </c>
    </row>
    <row r="25308" spans="1:26" x14ac:dyDescent="0.35">
      <c r="A25308" s="27" t="s">
        <v>231</v>
      </c>
      <c r="B25308" s="27" t="s">
        <v>246</v>
      </c>
      <c r="C25308" s="28">
        <v>0.69230000000000003</v>
      </c>
      <c r="D25308" s="28">
        <v>0.23080000000000001</v>
      </c>
      <c r="E25308" s="29"/>
      <c r="F25308" s="28">
        <v>7.6899999999999996E-2</v>
      </c>
      <c r="G25308" s="29"/>
      <c r="H25308" s="28">
        <v>7.6899999999999996E-2</v>
      </c>
      <c r="I25308" s="29"/>
      <c r="J25308" s="29"/>
      <c r="K25308" s="29"/>
      <c r="L25308" s="28">
        <v>7.6899999999999996E-2</v>
      </c>
      <c r="M25308" s="29"/>
      <c r="N25308" s="29"/>
      <c r="O25308" s="29"/>
      <c r="P25308" s="29"/>
      <c r="Q25308" s="29"/>
      <c r="R25308" s="29"/>
      <c r="S25308" s="29"/>
      <c r="T25308" s="29"/>
      <c r="U25308" s="29"/>
      <c r="V25308" s="29"/>
      <c r="W25308" s="29"/>
      <c r="X25308" s="29"/>
      <c r="Y25308" s="29"/>
      <c r="Z25308" s="29" t="s">
        <v>341</v>
      </c>
    </row>
    <row r="25309" spans="1:26" x14ac:dyDescent="0.35">
      <c r="A25309" t="s">
        <v>232</v>
      </c>
      <c r="B25309" t="s">
        <v>232</v>
      </c>
      <c r="C25309" s="26">
        <v>0.50360000000000005</v>
      </c>
      <c r="D25309" s="26">
        <v>0.2873</v>
      </c>
      <c r="E25309" s="26">
        <v>7.9000000000000001E-2</v>
      </c>
      <c r="F25309" s="26">
        <v>5.91E-2</v>
      </c>
      <c r="G25309" s="26">
        <v>5.8900000000000001E-2</v>
      </c>
      <c r="H25309" s="26">
        <v>5.3600000000000002E-2</v>
      </c>
      <c r="I25309" s="26">
        <v>4.2000000000000003E-2</v>
      </c>
      <c r="J25309" s="26">
        <v>3.5000000000000003E-2</v>
      </c>
      <c r="K25309" s="26">
        <v>3.1899999999999998E-2</v>
      </c>
      <c r="L25309" s="26">
        <v>2.9499999999999998E-2</v>
      </c>
      <c r="M25309" s="26">
        <v>2.7199999999999998E-2</v>
      </c>
      <c r="N25309" s="26">
        <v>2.2800000000000001E-2</v>
      </c>
      <c r="O25309" s="26">
        <v>2.1100000000000001E-2</v>
      </c>
      <c r="P25309" s="26">
        <v>1.8100000000000002E-2</v>
      </c>
      <c r="Q25309" s="26">
        <v>1.0500000000000001E-2</v>
      </c>
      <c r="R25309" s="26">
        <v>0.01</v>
      </c>
      <c r="S25309" s="26">
        <v>9.4000000000000004E-3</v>
      </c>
      <c r="T25309" s="26">
        <v>9.2999999999999992E-3</v>
      </c>
      <c r="U25309" s="26">
        <v>8.6E-3</v>
      </c>
      <c r="V25309" s="26">
        <v>7.7999999999999996E-3</v>
      </c>
      <c r="W25309" s="26">
        <v>6.0000000000000001E-3</v>
      </c>
      <c r="X25309" s="26">
        <v>5.3E-3</v>
      </c>
      <c r="Y25309" s="26">
        <v>2.0999999999999999E-3</v>
      </c>
      <c r="Z25309">
        <v>2792</v>
      </c>
    </row>
    <row r="25311" spans="1:26" x14ac:dyDescent="0.35">
      <c r="A25311" s="1" t="s">
        <v>2303</v>
      </c>
    </row>
    <row r="25312" spans="1:26" x14ac:dyDescent="0.35">
      <c r="A25312" t="s">
        <v>219</v>
      </c>
      <c r="B25312" t="s">
        <v>305</v>
      </c>
      <c r="C25312" t="s">
        <v>550</v>
      </c>
      <c r="D25312" t="s">
        <v>2281</v>
      </c>
      <c r="E25312" t="s">
        <v>2282</v>
      </c>
      <c r="F25312" t="s">
        <v>2283</v>
      </c>
      <c r="G25312" t="s">
        <v>2284</v>
      </c>
      <c r="H25312" t="s">
        <v>2285</v>
      </c>
      <c r="I25312" t="s">
        <v>2286</v>
      </c>
      <c r="J25312" t="s">
        <v>2287</v>
      </c>
      <c r="K25312" t="s">
        <v>2288</v>
      </c>
      <c r="L25312" t="s">
        <v>2289</v>
      </c>
      <c r="M25312" t="s">
        <v>2290</v>
      </c>
      <c r="N25312" t="s">
        <v>2291</v>
      </c>
      <c r="O25312" t="s">
        <v>2292</v>
      </c>
      <c r="P25312" t="s">
        <v>2293</v>
      </c>
      <c r="Q25312" t="s">
        <v>2294</v>
      </c>
      <c r="R25312" t="s">
        <v>2295</v>
      </c>
      <c r="S25312" t="s">
        <v>2296</v>
      </c>
      <c r="T25312" t="s">
        <v>2297</v>
      </c>
      <c r="U25312" t="s">
        <v>326</v>
      </c>
      <c r="V25312" t="s">
        <v>2298</v>
      </c>
      <c r="W25312" t="s">
        <v>2299</v>
      </c>
      <c r="X25312" t="s">
        <v>281</v>
      </c>
      <c r="Y25312" t="s">
        <v>286</v>
      </c>
      <c r="Z25312" t="s">
        <v>226</v>
      </c>
    </row>
    <row r="25313" spans="1:26" x14ac:dyDescent="0.35">
      <c r="A25313" t="s">
        <v>227</v>
      </c>
      <c r="B25313" t="s">
        <v>360</v>
      </c>
      <c r="C25313" s="26">
        <v>0.36840000000000001</v>
      </c>
      <c r="D25313" s="26">
        <v>0.3947</v>
      </c>
      <c r="E25313" s="26">
        <v>5.2600000000000001E-2</v>
      </c>
      <c r="F25313" s="26">
        <v>7.8899999999999998E-2</v>
      </c>
      <c r="G25313" s="26">
        <v>5.2600000000000001E-2</v>
      </c>
      <c r="I25313" s="26">
        <v>7.8899999999999998E-2</v>
      </c>
      <c r="J25313" s="26">
        <v>5.2600000000000001E-2</v>
      </c>
      <c r="K25313" s="26">
        <v>7.8899999999999998E-2</v>
      </c>
      <c r="L25313" s="26">
        <v>7.8899999999999998E-2</v>
      </c>
      <c r="N25313" s="26">
        <v>2.63E-2</v>
      </c>
      <c r="O25313" s="26">
        <v>5.2600000000000001E-2</v>
      </c>
      <c r="P25313" s="26">
        <v>2.63E-2</v>
      </c>
      <c r="R25313" s="26">
        <v>2.63E-2</v>
      </c>
      <c r="T25313" s="26">
        <v>2.63E-2</v>
      </c>
      <c r="Z25313">
        <v>38</v>
      </c>
    </row>
    <row r="25314" spans="1:26" x14ac:dyDescent="0.35">
      <c r="A25314" t="s">
        <v>227</v>
      </c>
      <c r="B25314" t="s">
        <v>361</v>
      </c>
      <c r="C25314" s="26">
        <v>0.71879999999999999</v>
      </c>
      <c r="D25314" s="26">
        <v>6.25E-2</v>
      </c>
      <c r="E25314" s="26">
        <v>9.3799999999999994E-2</v>
      </c>
      <c r="F25314" s="26">
        <v>3.1199999999999999E-2</v>
      </c>
      <c r="G25314" s="26">
        <v>3.1199999999999999E-2</v>
      </c>
      <c r="H25314" s="26">
        <v>0.125</v>
      </c>
      <c r="L25314" s="26">
        <v>6.25E-2</v>
      </c>
      <c r="O25314" s="26">
        <v>3.1199999999999999E-2</v>
      </c>
      <c r="P25314" s="26">
        <v>3.1199999999999999E-2</v>
      </c>
      <c r="Z25314">
        <v>32</v>
      </c>
    </row>
    <row r="25315" spans="1:26" x14ac:dyDescent="0.35">
      <c r="A25315" t="s">
        <v>227</v>
      </c>
      <c r="B25315" t="s">
        <v>362</v>
      </c>
      <c r="C25315" s="26">
        <v>0.32429999999999998</v>
      </c>
      <c r="D25315" s="26">
        <v>0.29730000000000001</v>
      </c>
      <c r="E25315" s="26">
        <v>5.4100000000000002E-2</v>
      </c>
      <c r="F25315" s="26">
        <v>0.16220000000000001</v>
      </c>
      <c r="G25315" s="26">
        <v>8.1100000000000005E-2</v>
      </c>
      <c r="I25315" s="26">
        <v>0.1081</v>
      </c>
      <c r="J25315" s="26">
        <v>2.7E-2</v>
      </c>
      <c r="K25315" s="26">
        <v>0.1351</v>
      </c>
      <c r="L25315" s="26">
        <v>2.7E-2</v>
      </c>
      <c r="M25315" s="26">
        <v>5.4100000000000002E-2</v>
      </c>
      <c r="T25315" s="26">
        <v>2.7E-2</v>
      </c>
      <c r="U25315" s="26">
        <v>2.7E-2</v>
      </c>
      <c r="Z25315">
        <v>37</v>
      </c>
    </row>
    <row r="25316" spans="1:26" x14ac:dyDescent="0.35">
      <c r="A25316" t="s">
        <v>227</v>
      </c>
      <c r="B25316" t="s">
        <v>363</v>
      </c>
      <c r="C25316" s="26">
        <v>0.57779999999999998</v>
      </c>
      <c r="D25316" s="26">
        <v>0.24440000000000001</v>
      </c>
      <c r="E25316" s="26">
        <v>0.1111</v>
      </c>
      <c r="F25316" s="26">
        <v>4.4400000000000002E-2</v>
      </c>
      <c r="G25316" s="26">
        <v>6.6699999999999995E-2</v>
      </c>
      <c r="J25316" s="26">
        <v>2.2200000000000001E-2</v>
      </c>
      <c r="L25316" s="26">
        <v>4.4400000000000002E-2</v>
      </c>
      <c r="N25316" s="26">
        <v>4.4400000000000002E-2</v>
      </c>
      <c r="P25316" s="26">
        <v>4.4400000000000002E-2</v>
      </c>
      <c r="Q25316" s="26">
        <v>2.2200000000000001E-2</v>
      </c>
      <c r="R25316" s="26">
        <v>2.2200000000000001E-2</v>
      </c>
      <c r="T25316" s="26">
        <v>2.2200000000000001E-2</v>
      </c>
      <c r="Z25316">
        <v>45</v>
      </c>
    </row>
    <row r="25317" spans="1:26" x14ac:dyDescent="0.35">
      <c r="A25317" t="s">
        <v>228</v>
      </c>
      <c r="B25317" t="s">
        <v>360</v>
      </c>
      <c r="C25317" s="26">
        <v>0.27829999999999999</v>
      </c>
      <c r="D25317" s="26">
        <v>0.4713</v>
      </c>
      <c r="E25317" s="26">
        <v>0.1389</v>
      </c>
      <c r="F25317" s="26">
        <v>0.16239999999999999</v>
      </c>
      <c r="G25317" s="26">
        <v>2.46E-2</v>
      </c>
      <c r="H25317" s="26">
        <v>7.1099999999999997E-2</v>
      </c>
      <c r="I25317" s="26">
        <v>7.7399999999999997E-2</v>
      </c>
      <c r="J25317" s="26">
        <v>3.7900000000000003E-2</v>
      </c>
      <c r="K25317" s="26">
        <v>9.9500000000000005E-2</v>
      </c>
      <c r="L25317" s="26">
        <v>4.5699999999999998E-2</v>
      </c>
      <c r="M25317" s="26">
        <v>4.82E-2</v>
      </c>
      <c r="N25317" s="26">
        <v>9.5600000000000004E-2</v>
      </c>
      <c r="O25317" s="26">
        <v>3.7600000000000001E-2</v>
      </c>
      <c r="P25317" s="26">
        <v>4.0500000000000001E-2</v>
      </c>
      <c r="Q25317" s="26">
        <v>3.9100000000000003E-2</v>
      </c>
      <c r="R25317" s="26">
        <v>6.0000000000000001E-3</v>
      </c>
      <c r="S25317" s="26">
        <v>1.49E-2</v>
      </c>
      <c r="T25317" s="26">
        <v>8.5000000000000006E-3</v>
      </c>
      <c r="V25317" s="26">
        <v>1.2E-2</v>
      </c>
      <c r="W25317" s="26">
        <v>6.7999999999999996E-3</v>
      </c>
      <c r="X25317" s="26">
        <v>5.5999999999999999E-3</v>
      </c>
      <c r="Z25317">
        <v>255</v>
      </c>
    </row>
    <row r="25318" spans="1:26" x14ac:dyDescent="0.35">
      <c r="A25318" t="s">
        <v>228</v>
      </c>
      <c r="B25318" t="s">
        <v>361</v>
      </c>
      <c r="C25318" s="26">
        <v>0.56159999999999999</v>
      </c>
      <c r="D25318" s="26">
        <v>0.16539999999999999</v>
      </c>
      <c r="E25318" s="26">
        <v>5.6800000000000003E-2</v>
      </c>
      <c r="F25318" s="26">
        <v>2.1399999999999999E-2</v>
      </c>
      <c r="G25318" s="26">
        <v>0.10390000000000001</v>
      </c>
      <c r="H25318" s="26">
        <v>0.15479999999999999</v>
      </c>
      <c r="I25318" s="26">
        <v>1.9199999999999998E-2</v>
      </c>
      <c r="J25318" s="26">
        <v>4.65E-2</v>
      </c>
      <c r="K25318" s="26">
        <v>2.93E-2</v>
      </c>
      <c r="L25318" s="26">
        <v>1E-3</v>
      </c>
      <c r="M25318" s="26">
        <v>1.84E-2</v>
      </c>
      <c r="N25318" s="26">
        <v>2.2200000000000001E-2</v>
      </c>
      <c r="O25318" s="26">
        <v>4.9399999999999999E-2</v>
      </c>
      <c r="P25318" s="26">
        <v>1.18E-2</v>
      </c>
      <c r="Q25318" s="26">
        <v>2.3E-3</v>
      </c>
      <c r="S25318" s="26">
        <v>3.4099999999999998E-2</v>
      </c>
      <c r="V25318" s="26">
        <v>1.47E-2</v>
      </c>
      <c r="X25318" s="26">
        <v>1.6999999999999999E-3</v>
      </c>
      <c r="Z25318">
        <v>191</v>
      </c>
    </row>
    <row r="25319" spans="1:26" x14ac:dyDescent="0.35">
      <c r="A25319" t="s">
        <v>228</v>
      </c>
      <c r="B25319" t="s">
        <v>363</v>
      </c>
      <c r="C25319" s="26">
        <v>0.47970000000000002</v>
      </c>
      <c r="D25319" s="26">
        <v>0.2661</v>
      </c>
      <c r="E25319" s="26">
        <v>5.91E-2</v>
      </c>
      <c r="F25319" s="26">
        <v>7.0499999999999993E-2</v>
      </c>
      <c r="G25319" s="26">
        <v>0.1123</v>
      </c>
      <c r="H25319" s="26">
        <v>6.2799999999999995E-2</v>
      </c>
      <c r="I25319" s="26">
        <v>3.7999999999999999E-2</v>
      </c>
      <c r="J25319" s="26">
        <v>3.1699999999999999E-2</v>
      </c>
      <c r="K25319" s="26">
        <v>2.6100000000000002E-2</v>
      </c>
      <c r="L25319" s="26">
        <v>4.2700000000000002E-2</v>
      </c>
      <c r="M25319" s="26">
        <v>2.6499999999999999E-2</v>
      </c>
      <c r="N25319" s="26">
        <v>4.5499999999999999E-2</v>
      </c>
      <c r="O25319" s="26">
        <v>1.9099999999999999E-2</v>
      </c>
      <c r="P25319" s="26">
        <v>2.8500000000000001E-2</v>
      </c>
      <c r="Q25319" s="26">
        <v>5.8999999999999999E-3</v>
      </c>
      <c r="R25319" s="26">
        <v>1.72E-2</v>
      </c>
      <c r="S25319" s="26">
        <v>2.1899999999999999E-2</v>
      </c>
      <c r="T25319" s="26">
        <v>1.8800000000000001E-2</v>
      </c>
      <c r="W25319" s="26">
        <v>1.6199999999999999E-2</v>
      </c>
      <c r="X25319" s="26">
        <v>1.0200000000000001E-2</v>
      </c>
      <c r="Y25319" s="26">
        <v>1.49E-2</v>
      </c>
      <c r="Z25319">
        <v>212</v>
      </c>
    </row>
    <row r="25320" spans="1:26" x14ac:dyDescent="0.35">
      <c r="A25320" t="s">
        <v>228</v>
      </c>
      <c r="B25320" t="s">
        <v>362</v>
      </c>
      <c r="C25320" s="26">
        <v>0.42970000000000003</v>
      </c>
      <c r="D25320" s="26">
        <v>0.36649999999999999</v>
      </c>
      <c r="E25320" s="26">
        <v>0.121</v>
      </c>
      <c r="F25320" s="26">
        <v>5.3800000000000001E-2</v>
      </c>
      <c r="G25320" s="26">
        <v>5.1499999999999997E-2</v>
      </c>
      <c r="H25320" s="26">
        <v>9.6500000000000002E-2</v>
      </c>
      <c r="I25320" s="26">
        <v>7.7100000000000002E-2</v>
      </c>
      <c r="J25320" s="26">
        <v>2.1899999999999999E-2</v>
      </c>
      <c r="K25320" s="26">
        <v>3.2199999999999999E-2</v>
      </c>
      <c r="L25320" s="26">
        <v>2.23E-2</v>
      </c>
      <c r="M25320" s="26">
        <v>1.9400000000000001E-2</v>
      </c>
      <c r="N25320" s="26">
        <v>2.76E-2</v>
      </c>
      <c r="O25320" s="26">
        <v>1.7600000000000001E-2</v>
      </c>
      <c r="P25320" s="26">
        <v>7.9000000000000008E-3</v>
      </c>
      <c r="Q25320" s="26">
        <v>5.7000000000000002E-3</v>
      </c>
      <c r="R25320" s="26">
        <v>4.4000000000000003E-3</v>
      </c>
      <c r="S25320" s="26">
        <v>1.9699999999999999E-2</v>
      </c>
      <c r="T25320" s="26">
        <v>7.0000000000000001E-3</v>
      </c>
      <c r="U25320" s="26">
        <v>1.6899999999999998E-2</v>
      </c>
      <c r="V25320" s="26">
        <v>2.2100000000000002E-2</v>
      </c>
      <c r="X25320" s="26">
        <v>2.8E-3</v>
      </c>
      <c r="Z25320">
        <v>236</v>
      </c>
    </row>
    <row r="25321" spans="1:26" x14ac:dyDescent="0.35">
      <c r="A25321" t="s">
        <v>229</v>
      </c>
      <c r="B25321" t="s">
        <v>363</v>
      </c>
      <c r="C25321" s="26">
        <v>0.4456</v>
      </c>
      <c r="D25321" s="26">
        <v>0.34510000000000002</v>
      </c>
      <c r="E25321" s="26">
        <v>0.12909999999999999</v>
      </c>
      <c r="F25321" s="26">
        <v>3.3700000000000001E-2</v>
      </c>
      <c r="G25321" s="26">
        <v>8.4599999999999995E-2</v>
      </c>
      <c r="H25321" s="26">
        <v>2.52E-2</v>
      </c>
      <c r="I25321" s="26">
        <v>3.7499999999999999E-2</v>
      </c>
      <c r="J25321" s="26">
        <v>3.5000000000000001E-3</v>
      </c>
      <c r="K25321" s="26">
        <v>1.6899999999999998E-2</v>
      </c>
      <c r="L25321" s="26">
        <v>5.4300000000000001E-2</v>
      </c>
      <c r="M25321" s="26">
        <v>1.4500000000000001E-2</v>
      </c>
      <c r="N25321" s="26">
        <v>1.41E-2</v>
      </c>
      <c r="O25321" s="26">
        <v>1.3599999999999999E-2</v>
      </c>
      <c r="S25321" s="26">
        <v>3.2800000000000003E-2</v>
      </c>
      <c r="T25321" s="26">
        <v>3.8E-3</v>
      </c>
      <c r="U25321" s="26">
        <v>1.6899999999999998E-2</v>
      </c>
      <c r="V25321" s="26">
        <v>8.9999999999999998E-4</v>
      </c>
      <c r="W25321" s="26">
        <v>2.2499999999999999E-2</v>
      </c>
      <c r="X25321" s="26">
        <v>1.8700000000000001E-2</v>
      </c>
      <c r="Z25321">
        <v>189</v>
      </c>
    </row>
    <row r="25322" spans="1:26" x14ac:dyDescent="0.35">
      <c r="A25322" t="s">
        <v>229</v>
      </c>
      <c r="B25322" t="s">
        <v>360</v>
      </c>
      <c r="C25322" s="26">
        <v>0.40339999999999998</v>
      </c>
      <c r="D25322" s="26">
        <v>0.42599999999999999</v>
      </c>
      <c r="E25322" s="26">
        <v>0.1147</v>
      </c>
      <c r="F25322" s="26">
        <v>0.1066</v>
      </c>
      <c r="G25322" s="26">
        <v>2.6100000000000002E-2</v>
      </c>
      <c r="H25322" s="26">
        <v>9.7999999999999997E-3</v>
      </c>
      <c r="I25322" s="26">
        <v>5.0200000000000002E-2</v>
      </c>
      <c r="J25322" s="26">
        <v>5.5100000000000003E-2</v>
      </c>
      <c r="K25322" s="26">
        <v>5.4199999999999998E-2</v>
      </c>
      <c r="L25322" s="26">
        <v>6.9900000000000004E-2</v>
      </c>
      <c r="M25322" s="26">
        <v>9.7000000000000003E-3</v>
      </c>
      <c r="N25322" s="26">
        <v>3.4200000000000001E-2</v>
      </c>
      <c r="O25322" s="26">
        <v>2.86E-2</v>
      </c>
      <c r="P25322" s="26">
        <v>1.6799999999999999E-2</v>
      </c>
      <c r="Q25322" s="26">
        <v>5.5999999999999999E-3</v>
      </c>
      <c r="R25322" s="26">
        <v>4.3E-3</v>
      </c>
      <c r="S25322" s="26">
        <v>2.0999999999999999E-3</v>
      </c>
      <c r="T25322" s="26">
        <v>3.3500000000000002E-2</v>
      </c>
      <c r="V25322" s="26">
        <v>1.84E-2</v>
      </c>
      <c r="X25322" s="26">
        <v>2.01E-2</v>
      </c>
      <c r="Y25322" s="26">
        <v>2.3699999999999999E-2</v>
      </c>
      <c r="Z25322">
        <v>164</v>
      </c>
    </row>
    <row r="25323" spans="1:26" x14ac:dyDescent="0.35">
      <c r="A25323" t="s">
        <v>229</v>
      </c>
      <c r="B25323" t="s">
        <v>361</v>
      </c>
      <c r="C25323" s="26">
        <v>0.62090000000000001</v>
      </c>
      <c r="D25323" s="26">
        <v>0.15090000000000001</v>
      </c>
      <c r="E25323" s="26">
        <v>9.3200000000000005E-2</v>
      </c>
      <c r="F25323" s="26">
        <v>1.6E-2</v>
      </c>
      <c r="G25323" s="26">
        <v>6.3799999999999996E-2</v>
      </c>
      <c r="H25323" s="26">
        <v>8.3599999999999994E-2</v>
      </c>
      <c r="I25323" s="26">
        <v>1.83E-2</v>
      </c>
      <c r="J25323" s="26">
        <v>4.1300000000000003E-2</v>
      </c>
      <c r="K25323" s="26">
        <v>0.02</v>
      </c>
      <c r="M25323" s="26">
        <v>7.7999999999999996E-3</v>
      </c>
      <c r="N25323" s="26">
        <v>1.5100000000000001E-2</v>
      </c>
      <c r="O25323" s="26">
        <v>2.47E-2</v>
      </c>
      <c r="P25323" s="26">
        <v>3.6299999999999999E-2</v>
      </c>
      <c r="S25323" s="26">
        <v>8.9999999999999998E-4</v>
      </c>
      <c r="T25323" s="26">
        <v>8.5000000000000006E-3</v>
      </c>
      <c r="V25323" s="26">
        <v>9.5999999999999992E-3</v>
      </c>
      <c r="W25323" s="26">
        <v>9.7999999999999997E-3</v>
      </c>
      <c r="X25323" s="26">
        <v>6.7000000000000002E-3</v>
      </c>
      <c r="Z25323">
        <v>239</v>
      </c>
    </row>
    <row r="25324" spans="1:26" x14ac:dyDescent="0.35">
      <c r="A25324" t="s">
        <v>229</v>
      </c>
      <c r="B25324" t="s">
        <v>362</v>
      </c>
      <c r="C25324" s="26">
        <v>0.52270000000000005</v>
      </c>
      <c r="D25324" s="26">
        <v>0.33810000000000001</v>
      </c>
      <c r="E25324" s="26">
        <v>9.06E-2</v>
      </c>
      <c r="F25324" s="26">
        <v>5.8900000000000001E-2</v>
      </c>
      <c r="G25324" s="26">
        <v>6.2399999999999997E-2</v>
      </c>
      <c r="H25324" s="26">
        <v>5.4199999999999998E-2</v>
      </c>
      <c r="I25324" s="26">
        <v>4.99E-2</v>
      </c>
      <c r="J25324" s="26">
        <v>3.2599999999999997E-2</v>
      </c>
      <c r="K25324" s="26">
        <v>2.7000000000000001E-3</v>
      </c>
      <c r="L25324" s="26">
        <v>1.8700000000000001E-2</v>
      </c>
      <c r="M25324" s="26">
        <v>3.8399999999999997E-2</v>
      </c>
      <c r="N25324" s="26">
        <v>1.55E-2</v>
      </c>
      <c r="O25324" s="26">
        <v>4.4000000000000003E-3</v>
      </c>
      <c r="P25324" s="26">
        <v>2E-3</v>
      </c>
      <c r="Q25324" s="26">
        <v>3.8100000000000002E-2</v>
      </c>
      <c r="R25324" s="26">
        <v>1.8100000000000002E-2</v>
      </c>
      <c r="S25324" s="26">
        <v>5.9999999999999995E-4</v>
      </c>
      <c r="T25324" s="26">
        <v>2.2599999999999999E-2</v>
      </c>
      <c r="U25324" s="26">
        <v>1.55E-2</v>
      </c>
      <c r="V25324" s="26">
        <v>1E-3</v>
      </c>
      <c r="X25324" s="26">
        <v>2E-3</v>
      </c>
      <c r="Y25324" s="26">
        <v>2E-3</v>
      </c>
      <c r="Z25324">
        <v>171</v>
      </c>
    </row>
    <row r="25325" spans="1:26" x14ac:dyDescent="0.35">
      <c r="A25325" t="s">
        <v>230</v>
      </c>
      <c r="B25325" t="s">
        <v>360</v>
      </c>
      <c r="C25325" s="26">
        <v>0.24540000000000001</v>
      </c>
      <c r="D25325" s="26">
        <v>0.53590000000000004</v>
      </c>
      <c r="E25325" s="26">
        <v>0.23780000000000001</v>
      </c>
      <c r="F25325" s="26">
        <v>0.1348</v>
      </c>
      <c r="G25325" s="26">
        <v>0.1038</v>
      </c>
      <c r="H25325" s="26">
        <v>7.1099999999999997E-2</v>
      </c>
      <c r="I25325" s="26">
        <v>0.1099</v>
      </c>
      <c r="J25325" s="26">
        <v>0.1482</v>
      </c>
      <c r="K25325" s="26">
        <v>2.4799999999999999E-2</v>
      </c>
      <c r="L25325" s="26">
        <v>0.18029999999999999</v>
      </c>
      <c r="M25325" s="26">
        <v>6.8599999999999994E-2</v>
      </c>
      <c r="N25325" s="26">
        <v>3.95E-2</v>
      </c>
      <c r="O25325" s="26">
        <v>5.33E-2</v>
      </c>
      <c r="P25325" s="26">
        <v>1.41E-2</v>
      </c>
      <c r="Q25325" s="26">
        <v>2.07E-2</v>
      </c>
      <c r="R25325" s="26">
        <v>3.5000000000000003E-2</v>
      </c>
      <c r="S25325" s="26">
        <v>3.5099999999999999E-2</v>
      </c>
      <c r="T25325" s="26">
        <v>1.11E-2</v>
      </c>
      <c r="U25325" s="26">
        <v>1.5E-3</v>
      </c>
      <c r="V25325" s="26">
        <v>2.8999999999999998E-3</v>
      </c>
      <c r="Z25325">
        <v>120</v>
      </c>
    </row>
    <row r="25326" spans="1:26" x14ac:dyDescent="0.35">
      <c r="A25326" t="s">
        <v>230</v>
      </c>
      <c r="B25326" t="s">
        <v>363</v>
      </c>
      <c r="C25326" s="26">
        <v>0.42830000000000001</v>
      </c>
      <c r="D25326" s="26">
        <v>0.28460000000000002</v>
      </c>
      <c r="E25326" s="26">
        <v>3.7100000000000001E-2</v>
      </c>
      <c r="F25326" s="26">
        <v>6.1699999999999998E-2</v>
      </c>
      <c r="G25326" s="26">
        <v>0.13250000000000001</v>
      </c>
      <c r="H25326" s="26">
        <v>9.4500000000000001E-2</v>
      </c>
      <c r="I25326" s="26">
        <v>4.3700000000000003E-2</v>
      </c>
      <c r="J25326" s="26">
        <v>8.2000000000000003E-2</v>
      </c>
      <c r="K25326" s="26">
        <v>5.5300000000000002E-2</v>
      </c>
      <c r="L25326" s="26">
        <v>8.9999999999999993E-3</v>
      </c>
      <c r="M25326" s="26">
        <v>8.1100000000000005E-2</v>
      </c>
      <c r="N25326" s="26">
        <v>6.1499999999999999E-2</v>
      </c>
      <c r="O25326" s="26">
        <v>6.0199999999999997E-2</v>
      </c>
      <c r="P25326" s="26">
        <v>1.0200000000000001E-2</v>
      </c>
      <c r="Q25326" s="26">
        <v>2.3099999999999999E-2</v>
      </c>
      <c r="S25326" s="26">
        <v>3.5900000000000001E-2</v>
      </c>
      <c r="T25326" s="26">
        <v>8.8999999999999999E-3</v>
      </c>
      <c r="W25326" s="26">
        <v>1.1999999999999999E-3</v>
      </c>
      <c r="X25326" s="26">
        <v>7.7000000000000002E-3</v>
      </c>
      <c r="Z25326">
        <v>126</v>
      </c>
    </row>
    <row r="25327" spans="1:26" x14ac:dyDescent="0.35">
      <c r="A25327" t="s">
        <v>230</v>
      </c>
      <c r="B25327" t="s">
        <v>361</v>
      </c>
      <c r="C25327" s="26">
        <v>0.5887</v>
      </c>
      <c r="D25327" s="26">
        <v>0.27360000000000001</v>
      </c>
      <c r="E25327" s="26">
        <v>1.0699999999999999E-2</v>
      </c>
      <c r="F25327" s="26">
        <v>2.5899999999999999E-2</v>
      </c>
      <c r="G25327" s="26">
        <v>5.62E-2</v>
      </c>
      <c r="H25327" s="26">
        <v>5.7799999999999997E-2</v>
      </c>
      <c r="I25327" s="26">
        <v>2.12E-2</v>
      </c>
      <c r="J25327" s="26">
        <v>2.93E-2</v>
      </c>
      <c r="K25327" s="26">
        <v>7.0000000000000001E-3</v>
      </c>
      <c r="M25327" s="26">
        <v>5.7000000000000002E-3</v>
      </c>
      <c r="N25327" s="26">
        <v>3.8899999999999997E-2</v>
      </c>
      <c r="O25327" s="26">
        <v>3.5000000000000001E-3</v>
      </c>
      <c r="P25327" s="26">
        <v>1.41E-2</v>
      </c>
      <c r="Q25327" s="26">
        <v>3.5999999999999999E-3</v>
      </c>
      <c r="V25327" s="26">
        <v>4.7E-2</v>
      </c>
      <c r="W25327" s="26">
        <v>4.3499999999999997E-2</v>
      </c>
      <c r="X25327" s="26">
        <v>2.12E-2</v>
      </c>
      <c r="Z25327">
        <v>109</v>
      </c>
    </row>
    <row r="25328" spans="1:26" x14ac:dyDescent="0.35">
      <c r="A25328" t="s">
        <v>230</v>
      </c>
      <c r="B25328" t="s">
        <v>362</v>
      </c>
      <c r="C25328" s="26">
        <v>0.4375</v>
      </c>
      <c r="D25328" s="26">
        <v>0.37909999999999999</v>
      </c>
      <c r="E25328" s="26">
        <v>0.19739999999999999</v>
      </c>
      <c r="F25328" s="26">
        <v>0.1036</v>
      </c>
      <c r="G25328" s="26">
        <v>1.55E-2</v>
      </c>
      <c r="H25328" s="26">
        <v>5.3699999999999998E-2</v>
      </c>
      <c r="I25328" s="26">
        <v>5.3499999999999999E-2</v>
      </c>
      <c r="J25328" s="26">
        <v>3.5400000000000001E-2</v>
      </c>
      <c r="K25328" s="26">
        <v>6.8999999999999999E-3</v>
      </c>
      <c r="L25328" s="26">
        <v>6.1100000000000002E-2</v>
      </c>
      <c r="M25328" s="26">
        <v>2.98E-2</v>
      </c>
      <c r="N25328" s="26">
        <v>5.0999999999999997E-2</v>
      </c>
      <c r="O25328" s="26">
        <v>5.0099999999999999E-2</v>
      </c>
      <c r="P25328" s="26">
        <v>3.5700000000000003E-2</v>
      </c>
      <c r="Q25328" s="26">
        <v>1.1000000000000001E-3</v>
      </c>
      <c r="S25328" s="26">
        <v>1.8700000000000001E-2</v>
      </c>
      <c r="U25328" s="26">
        <v>7.1999999999999998E-3</v>
      </c>
      <c r="V25328" s="26">
        <v>2.2000000000000001E-3</v>
      </c>
      <c r="X25328" s="26">
        <v>1.1000000000000001E-3</v>
      </c>
      <c r="Z25328">
        <v>147</v>
      </c>
    </row>
    <row r="25329" spans="1:26" x14ac:dyDescent="0.35">
      <c r="A25329" s="27" t="s">
        <v>231</v>
      </c>
      <c r="B25329" s="27" t="s">
        <v>362</v>
      </c>
      <c r="C25329" s="28">
        <v>0.42859999999999998</v>
      </c>
      <c r="D25329" s="28">
        <v>0.42859999999999998</v>
      </c>
      <c r="E25329" s="28">
        <v>0.1071</v>
      </c>
      <c r="F25329" s="28">
        <v>3.5700000000000003E-2</v>
      </c>
      <c r="G25329" s="29"/>
      <c r="H25329" s="28">
        <v>3.5700000000000003E-2</v>
      </c>
      <c r="I25329" s="28">
        <v>0.1071</v>
      </c>
      <c r="J25329" s="28">
        <v>7.1400000000000005E-2</v>
      </c>
      <c r="K25329" s="29"/>
      <c r="L25329" s="28">
        <v>3.5700000000000003E-2</v>
      </c>
      <c r="M25329" s="28">
        <v>0.1071</v>
      </c>
      <c r="N25329" s="29"/>
      <c r="O25329" s="29"/>
      <c r="P25329" s="29"/>
      <c r="Q25329" s="29"/>
      <c r="R25329" s="29"/>
      <c r="S25329" s="29"/>
      <c r="T25329" s="29"/>
      <c r="U25329" s="29"/>
      <c r="V25329" s="29"/>
      <c r="W25329" s="29"/>
      <c r="X25329" s="29"/>
      <c r="Y25329" s="29"/>
      <c r="Z25329" s="29" t="s">
        <v>336</v>
      </c>
    </row>
    <row r="25330" spans="1:26" x14ac:dyDescent="0.35">
      <c r="A25330" t="s">
        <v>231</v>
      </c>
      <c r="B25330" t="s">
        <v>361</v>
      </c>
      <c r="C25330" s="26">
        <v>0.64580000000000004</v>
      </c>
      <c r="D25330" s="26">
        <v>0.16669999999999999</v>
      </c>
      <c r="E25330" s="26">
        <v>6.25E-2</v>
      </c>
      <c r="F25330" s="26">
        <v>2.0799999999999999E-2</v>
      </c>
      <c r="G25330" s="26">
        <v>2.0799999999999999E-2</v>
      </c>
      <c r="H25330" s="26">
        <v>2.0799999999999999E-2</v>
      </c>
      <c r="I25330" s="26">
        <v>2.0799999999999999E-2</v>
      </c>
      <c r="J25330" s="26">
        <v>2.0799999999999999E-2</v>
      </c>
      <c r="M25330" s="26">
        <v>4.1700000000000001E-2</v>
      </c>
      <c r="U25330" s="26">
        <v>6.25E-2</v>
      </c>
      <c r="Z25330">
        <v>48</v>
      </c>
    </row>
    <row r="25331" spans="1:26" x14ac:dyDescent="0.35">
      <c r="A25331" t="s">
        <v>231</v>
      </c>
      <c r="B25331" t="s">
        <v>360</v>
      </c>
      <c r="C25331" s="26">
        <v>0.4773</v>
      </c>
      <c r="D25331" s="26">
        <v>0.34089999999999998</v>
      </c>
      <c r="E25331" s="26">
        <v>2.2700000000000001E-2</v>
      </c>
      <c r="F25331" s="26">
        <v>9.0899999999999995E-2</v>
      </c>
      <c r="G25331" s="26">
        <v>2.2700000000000001E-2</v>
      </c>
      <c r="H25331" s="26">
        <v>2.2700000000000001E-2</v>
      </c>
      <c r="I25331" s="26">
        <v>2.2700000000000001E-2</v>
      </c>
      <c r="J25331" s="26">
        <v>2.2700000000000001E-2</v>
      </c>
      <c r="K25331" s="26">
        <v>4.5499999999999999E-2</v>
      </c>
      <c r="L25331" s="26">
        <v>2.2700000000000001E-2</v>
      </c>
      <c r="M25331" s="26">
        <v>2.2700000000000001E-2</v>
      </c>
      <c r="O25331" s="26">
        <v>4.5499999999999999E-2</v>
      </c>
      <c r="Q25331" s="26">
        <v>2.2700000000000001E-2</v>
      </c>
      <c r="R25331" s="26">
        <v>4.5499999999999999E-2</v>
      </c>
      <c r="Z25331">
        <v>44</v>
      </c>
    </row>
    <row r="25332" spans="1:26" x14ac:dyDescent="0.35">
      <c r="A25332" s="27" t="s">
        <v>231</v>
      </c>
      <c r="B25332" s="27" t="s">
        <v>363</v>
      </c>
      <c r="C25332" s="28">
        <v>0.62960000000000005</v>
      </c>
      <c r="D25332" s="28">
        <v>0.25929999999999997</v>
      </c>
      <c r="E25332" s="29"/>
      <c r="F25332" s="29"/>
      <c r="G25332" s="28">
        <v>7.4099999999999999E-2</v>
      </c>
      <c r="H25332" s="28">
        <v>3.6999999999999998E-2</v>
      </c>
      <c r="I25332" s="28">
        <v>3.6999999999999998E-2</v>
      </c>
      <c r="J25332" s="29"/>
      <c r="K25332" s="29"/>
      <c r="L25332" s="29"/>
      <c r="M25332" s="29"/>
      <c r="N25332" s="28">
        <v>3.6999999999999998E-2</v>
      </c>
      <c r="O25332" s="29"/>
      <c r="P25332" s="28">
        <v>3.6999999999999998E-2</v>
      </c>
      <c r="Q25332" s="29"/>
      <c r="R25332" s="29"/>
      <c r="S25332" s="29"/>
      <c r="T25332" s="29"/>
      <c r="U25332" s="29"/>
      <c r="V25332" s="28">
        <v>3.6999999999999998E-2</v>
      </c>
      <c r="W25332" s="28">
        <v>3.6999999999999998E-2</v>
      </c>
      <c r="X25332" s="29"/>
      <c r="Y25332" s="29"/>
      <c r="Z25332" s="29" t="s">
        <v>338</v>
      </c>
    </row>
    <row r="25333" spans="1:26" x14ac:dyDescent="0.35">
      <c r="A25333" t="s">
        <v>232</v>
      </c>
      <c r="B25333" t="s">
        <v>232</v>
      </c>
      <c r="C25333" s="26">
        <v>0.50360000000000005</v>
      </c>
      <c r="D25333" s="26">
        <v>0.2873</v>
      </c>
      <c r="E25333" s="26">
        <v>7.9000000000000001E-2</v>
      </c>
      <c r="F25333" s="26">
        <v>5.91E-2</v>
      </c>
      <c r="G25333" s="26">
        <v>5.8900000000000001E-2</v>
      </c>
      <c r="H25333" s="26">
        <v>5.3600000000000002E-2</v>
      </c>
      <c r="I25333" s="26">
        <v>4.2000000000000003E-2</v>
      </c>
      <c r="J25333" s="26">
        <v>3.5000000000000003E-2</v>
      </c>
      <c r="K25333" s="26">
        <v>3.1899999999999998E-2</v>
      </c>
      <c r="L25333" s="26">
        <v>2.9499999999999998E-2</v>
      </c>
      <c r="M25333" s="26">
        <v>2.7199999999999998E-2</v>
      </c>
      <c r="N25333" s="26">
        <v>2.2800000000000001E-2</v>
      </c>
      <c r="O25333" s="26">
        <v>2.1100000000000001E-2</v>
      </c>
      <c r="P25333" s="26">
        <v>1.8100000000000002E-2</v>
      </c>
      <c r="Q25333" s="26">
        <v>1.0500000000000001E-2</v>
      </c>
      <c r="R25333" s="26">
        <v>0.01</v>
      </c>
      <c r="S25333" s="26">
        <v>9.4000000000000004E-3</v>
      </c>
      <c r="T25333" s="26">
        <v>9.2999999999999992E-3</v>
      </c>
      <c r="U25333" s="26">
        <v>8.6E-3</v>
      </c>
      <c r="V25333" s="26">
        <v>7.7999999999999996E-3</v>
      </c>
      <c r="W25333" s="26">
        <v>6.0000000000000001E-3</v>
      </c>
      <c r="X25333" s="26">
        <v>5.3E-3</v>
      </c>
      <c r="Y25333" s="26">
        <v>2.0999999999999999E-3</v>
      </c>
      <c r="Z25333">
        <v>2458</v>
      </c>
    </row>
    <row r="25335" spans="1:26" x14ac:dyDescent="0.35">
      <c r="A25335" s="1" t="s">
        <v>2304</v>
      </c>
    </row>
    <row r="25336" spans="1:26" x14ac:dyDescent="0.35">
      <c r="A25336" t="s">
        <v>219</v>
      </c>
      <c r="B25336" t="s">
        <v>305</v>
      </c>
      <c r="C25336" t="s">
        <v>550</v>
      </c>
      <c r="D25336" t="s">
        <v>2281</v>
      </c>
      <c r="E25336" t="s">
        <v>2282</v>
      </c>
      <c r="F25336" t="s">
        <v>2283</v>
      </c>
      <c r="G25336" t="s">
        <v>2284</v>
      </c>
      <c r="H25336" t="s">
        <v>2285</v>
      </c>
      <c r="I25336" t="s">
        <v>2286</v>
      </c>
      <c r="J25336" t="s">
        <v>2287</v>
      </c>
      <c r="K25336" t="s">
        <v>2288</v>
      </c>
      <c r="L25336" t="s">
        <v>2289</v>
      </c>
      <c r="M25336" t="s">
        <v>2290</v>
      </c>
      <c r="N25336" t="s">
        <v>2291</v>
      </c>
      <c r="O25336" t="s">
        <v>2292</v>
      </c>
      <c r="P25336" t="s">
        <v>2293</v>
      </c>
      <c r="Q25336" t="s">
        <v>2294</v>
      </c>
      <c r="R25336" t="s">
        <v>2295</v>
      </c>
      <c r="S25336" t="s">
        <v>2296</v>
      </c>
      <c r="T25336" t="s">
        <v>2297</v>
      </c>
      <c r="U25336" t="s">
        <v>326</v>
      </c>
      <c r="V25336" t="s">
        <v>2298</v>
      </c>
      <c r="W25336" t="s">
        <v>2299</v>
      </c>
      <c r="X25336" t="s">
        <v>281</v>
      </c>
      <c r="Y25336" t="s">
        <v>286</v>
      </c>
      <c r="Z25336" t="s">
        <v>226</v>
      </c>
    </row>
    <row r="25337" spans="1:26" x14ac:dyDescent="0.35">
      <c r="A25337" t="s">
        <v>227</v>
      </c>
      <c r="B25337" t="s">
        <v>267</v>
      </c>
      <c r="C25337" s="26">
        <v>0.45710000000000001</v>
      </c>
      <c r="D25337" s="26">
        <v>0.31430000000000002</v>
      </c>
      <c r="F25337" s="26">
        <v>5.7099999999999998E-2</v>
      </c>
      <c r="H25337" s="26">
        <v>5.7099999999999998E-2</v>
      </c>
      <c r="I25337" s="26">
        <v>2.86E-2</v>
      </c>
      <c r="J25337" s="26">
        <v>2.86E-2</v>
      </c>
      <c r="K25337" s="26">
        <v>5.7099999999999998E-2</v>
      </c>
      <c r="L25337" s="26">
        <v>2.86E-2</v>
      </c>
      <c r="M25337" s="26">
        <v>5.7099999999999998E-2</v>
      </c>
      <c r="P25337" s="26">
        <v>2.86E-2</v>
      </c>
      <c r="Q25337" s="26">
        <v>2.86E-2</v>
      </c>
      <c r="T25337" s="26">
        <v>5.7099999999999998E-2</v>
      </c>
      <c r="Z25337">
        <v>35</v>
      </c>
    </row>
    <row r="25338" spans="1:26" x14ac:dyDescent="0.35">
      <c r="A25338" t="s">
        <v>227</v>
      </c>
      <c r="B25338" t="s">
        <v>266</v>
      </c>
      <c r="C25338" s="26">
        <v>0.52539999999999998</v>
      </c>
      <c r="D25338" s="26">
        <v>0.18640000000000001</v>
      </c>
      <c r="E25338" s="26">
        <v>0.1017</v>
      </c>
      <c r="F25338" s="26">
        <v>6.7799999999999999E-2</v>
      </c>
      <c r="G25338" s="26">
        <v>5.0799999999999998E-2</v>
      </c>
      <c r="H25338" s="26">
        <v>1.6899999999999998E-2</v>
      </c>
      <c r="I25338" s="26">
        <v>6.7799999999999999E-2</v>
      </c>
      <c r="J25338" s="26">
        <v>5.0799999999999998E-2</v>
      </c>
      <c r="K25338" s="26">
        <v>6.7799999999999999E-2</v>
      </c>
      <c r="L25338" s="26">
        <v>3.39E-2</v>
      </c>
      <c r="N25338" s="26">
        <v>3.39E-2</v>
      </c>
      <c r="P25338" s="26">
        <v>3.39E-2</v>
      </c>
      <c r="R25338" s="26">
        <v>1.6899999999999998E-2</v>
      </c>
      <c r="U25338" s="26">
        <v>1.6899999999999998E-2</v>
      </c>
      <c r="Z25338">
        <v>59</v>
      </c>
    </row>
    <row r="25339" spans="1:26" x14ac:dyDescent="0.35">
      <c r="A25339" t="s">
        <v>227</v>
      </c>
      <c r="B25339" t="s">
        <v>265</v>
      </c>
      <c r="C25339" s="26">
        <v>0.48480000000000001</v>
      </c>
      <c r="D25339" s="26">
        <v>0.28789999999999999</v>
      </c>
      <c r="E25339" s="26">
        <v>9.0899999999999995E-2</v>
      </c>
      <c r="F25339" s="26">
        <v>0.1061</v>
      </c>
      <c r="G25339" s="26">
        <v>9.0899999999999995E-2</v>
      </c>
      <c r="H25339" s="26">
        <v>3.0300000000000001E-2</v>
      </c>
      <c r="I25339" s="26">
        <v>3.0300000000000001E-2</v>
      </c>
      <c r="J25339" s="26">
        <v>1.52E-2</v>
      </c>
      <c r="K25339" s="26">
        <v>4.5499999999999999E-2</v>
      </c>
      <c r="L25339" s="26">
        <v>7.5800000000000006E-2</v>
      </c>
      <c r="N25339" s="26">
        <v>1.52E-2</v>
      </c>
      <c r="O25339" s="26">
        <v>4.5499999999999999E-2</v>
      </c>
      <c r="P25339" s="26">
        <v>1.52E-2</v>
      </c>
      <c r="Q25339" s="26">
        <v>1.52E-2</v>
      </c>
      <c r="R25339" s="26">
        <v>1.52E-2</v>
      </c>
      <c r="T25339" s="26">
        <v>1.52E-2</v>
      </c>
      <c r="Z25339">
        <v>66</v>
      </c>
    </row>
    <row r="25340" spans="1:26" x14ac:dyDescent="0.35">
      <c r="A25340" t="s">
        <v>228</v>
      </c>
      <c r="B25340" t="s">
        <v>267</v>
      </c>
      <c r="C25340" s="26">
        <v>0.48709999999999998</v>
      </c>
      <c r="D25340" s="26">
        <v>0.2888</v>
      </c>
      <c r="E25340" s="26">
        <v>6.3500000000000001E-2</v>
      </c>
      <c r="F25340" s="26">
        <v>2.75E-2</v>
      </c>
      <c r="G25340" s="26">
        <v>4.4200000000000003E-2</v>
      </c>
      <c r="H25340" s="26">
        <v>0.1056</v>
      </c>
      <c r="I25340" s="26">
        <v>3.8800000000000001E-2</v>
      </c>
      <c r="J25340" s="26">
        <v>4.2200000000000001E-2</v>
      </c>
      <c r="K25340" s="26">
        <v>3.2800000000000003E-2</v>
      </c>
      <c r="L25340" s="26">
        <v>4.7000000000000002E-3</v>
      </c>
      <c r="M25340" s="26">
        <v>1.32E-2</v>
      </c>
      <c r="N25340" s="26">
        <v>2.76E-2</v>
      </c>
      <c r="O25340" s="26">
        <v>6.0299999999999999E-2</v>
      </c>
      <c r="P25340" s="26">
        <v>1.7899999999999999E-2</v>
      </c>
      <c r="S25340" s="26">
        <v>9.1000000000000004E-3</v>
      </c>
      <c r="T25340" s="26">
        <v>7.0000000000000001E-3</v>
      </c>
      <c r="U25340" s="26">
        <v>1.9800000000000002E-2</v>
      </c>
      <c r="X25340" s="26">
        <v>6.1000000000000004E-3</v>
      </c>
      <c r="Y25340" s="26">
        <v>4.7000000000000002E-3</v>
      </c>
      <c r="Z25340">
        <v>197</v>
      </c>
    </row>
    <row r="25341" spans="1:26" x14ac:dyDescent="0.35">
      <c r="A25341" t="s">
        <v>228</v>
      </c>
      <c r="B25341" t="s">
        <v>265</v>
      </c>
      <c r="C25341" s="26">
        <v>0.47620000000000001</v>
      </c>
      <c r="D25341" s="26">
        <v>0.2848</v>
      </c>
      <c r="E25341" s="26">
        <v>6.5199999999999994E-2</v>
      </c>
      <c r="F25341" s="26">
        <v>8.0100000000000005E-2</v>
      </c>
      <c r="G25341" s="26">
        <v>8.5999999999999993E-2</v>
      </c>
      <c r="H25341" s="26">
        <v>8.9800000000000005E-2</v>
      </c>
      <c r="I25341" s="26">
        <v>4.9000000000000002E-2</v>
      </c>
      <c r="J25341" s="26">
        <v>1.0200000000000001E-2</v>
      </c>
      <c r="K25341" s="26">
        <v>3.5200000000000002E-2</v>
      </c>
      <c r="L25341" s="26">
        <v>3.5700000000000003E-2</v>
      </c>
      <c r="M25341" s="26">
        <v>1.8200000000000001E-2</v>
      </c>
      <c r="N25341" s="26">
        <v>5.8000000000000003E-2</v>
      </c>
      <c r="O25341" s="26">
        <v>2.47E-2</v>
      </c>
      <c r="P25341" s="26">
        <v>2.2599999999999999E-2</v>
      </c>
      <c r="Q25341" s="26">
        <v>7.1999999999999998E-3</v>
      </c>
      <c r="R25341" s="26">
        <v>1.04E-2</v>
      </c>
      <c r="S25341" s="26">
        <v>2.92E-2</v>
      </c>
      <c r="T25341" s="26">
        <v>3.3999999999999998E-3</v>
      </c>
      <c r="U25341" s="26">
        <v>1.5E-3</v>
      </c>
      <c r="V25341" s="26">
        <v>3.8999999999999998E-3</v>
      </c>
      <c r="W25341" s="26">
        <v>8.9999999999999998E-4</v>
      </c>
      <c r="X25341" s="26">
        <v>1.54E-2</v>
      </c>
      <c r="Y25341" s="26">
        <v>8.0999999999999996E-3</v>
      </c>
      <c r="Z25341">
        <v>380</v>
      </c>
    </row>
    <row r="25342" spans="1:26" x14ac:dyDescent="0.35">
      <c r="A25342" s="27" t="s">
        <v>228</v>
      </c>
      <c r="B25342" s="27" t="s">
        <v>236</v>
      </c>
      <c r="C25342" s="28">
        <v>0.5</v>
      </c>
      <c r="D25342" s="28">
        <v>0.5</v>
      </c>
      <c r="E25342" s="29"/>
      <c r="F25342" s="29"/>
      <c r="G25342" s="29"/>
      <c r="H25342" s="29"/>
      <c r="I25342" s="28">
        <v>0.5</v>
      </c>
      <c r="J25342" s="29"/>
      <c r="K25342" s="29"/>
      <c r="L25342" s="29"/>
      <c r="M25342" s="28">
        <v>0.5</v>
      </c>
      <c r="N25342" s="29"/>
      <c r="O25342" s="29"/>
      <c r="P25342" s="29"/>
      <c r="Q25342" s="29"/>
      <c r="R25342" s="29"/>
      <c r="S25342" s="29"/>
      <c r="T25342" s="29"/>
      <c r="U25342" s="29"/>
      <c r="V25342" s="29"/>
      <c r="W25342" s="29"/>
      <c r="X25342" s="29"/>
      <c r="Y25342" s="29"/>
      <c r="Z25342" s="29" t="s">
        <v>314</v>
      </c>
    </row>
    <row r="25343" spans="1:26" x14ac:dyDescent="0.35">
      <c r="A25343" t="s">
        <v>228</v>
      </c>
      <c r="B25343" t="s">
        <v>266</v>
      </c>
      <c r="C25343" s="26">
        <v>0.4037</v>
      </c>
      <c r="D25343" s="26">
        <v>0.32050000000000001</v>
      </c>
      <c r="E25343" s="26">
        <v>0.1198</v>
      </c>
      <c r="F25343" s="26">
        <v>8.0799999999999997E-2</v>
      </c>
      <c r="G25343" s="26">
        <v>8.8300000000000003E-2</v>
      </c>
      <c r="H25343" s="26">
        <v>0.1143</v>
      </c>
      <c r="I25343" s="26">
        <v>4.9799999999999997E-2</v>
      </c>
      <c r="J25343" s="26">
        <v>6.6699999999999995E-2</v>
      </c>
      <c r="K25343" s="26">
        <v>5.2499999999999998E-2</v>
      </c>
      <c r="L25343" s="26">
        <v>2.4500000000000001E-2</v>
      </c>
      <c r="M25343" s="26">
        <v>4.7600000000000003E-2</v>
      </c>
      <c r="N25343" s="26">
        <v>4.1500000000000002E-2</v>
      </c>
      <c r="O25343" s="26">
        <v>2.53E-2</v>
      </c>
      <c r="P25343" s="26">
        <v>2.3699999999999999E-2</v>
      </c>
      <c r="Q25343" s="26">
        <v>1.9400000000000001E-2</v>
      </c>
      <c r="R25343" s="26">
        <v>4.8999999999999998E-3</v>
      </c>
      <c r="S25343" s="26">
        <v>1.7899999999999999E-2</v>
      </c>
      <c r="T25343" s="26">
        <v>1.2699999999999999E-2</v>
      </c>
      <c r="V25343" s="26">
        <v>2.29E-2</v>
      </c>
      <c r="W25343" s="26">
        <v>1.18E-2</v>
      </c>
      <c r="X25343" s="26">
        <v>4.1999999999999997E-3</v>
      </c>
      <c r="Z25343">
        <v>447</v>
      </c>
    </row>
    <row r="25344" spans="1:26" x14ac:dyDescent="0.35">
      <c r="A25344" t="s">
        <v>229</v>
      </c>
      <c r="B25344" t="s">
        <v>266</v>
      </c>
      <c r="C25344" s="26">
        <v>0.48970000000000002</v>
      </c>
      <c r="D25344" s="26">
        <v>0.31419999999999998</v>
      </c>
      <c r="E25344" s="26">
        <v>0.1197</v>
      </c>
      <c r="F25344" s="26">
        <v>5.5599999999999997E-2</v>
      </c>
      <c r="G25344" s="26">
        <v>5.3900000000000003E-2</v>
      </c>
      <c r="H25344" s="26">
        <v>6.08E-2</v>
      </c>
      <c r="I25344" s="26">
        <v>1.8100000000000002E-2</v>
      </c>
      <c r="J25344" s="26">
        <v>4.7399999999999998E-2</v>
      </c>
      <c r="K25344" s="26">
        <v>2.4899999999999999E-2</v>
      </c>
      <c r="L25344" s="26">
        <v>3.6799999999999999E-2</v>
      </c>
      <c r="M25344" s="26">
        <v>3.5000000000000003E-2</v>
      </c>
      <c r="N25344" s="26">
        <v>2.7199999999999998E-2</v>
      </c>
      <c r="O25344" s="26">
        <v>2.52E-2</v>
      </c>
      <c r="P25344" s="26">
        <v>4.4699999999999997E-2</v>
      </c>
      <c r="Q25344" s="26">
        <v>1.37E-2</v>
      </c>
      <c r="R25344" s="26">
        <v>1.01E-2</v>
      </c>
      <c r="S25344" s="26">
        <v>3.8999999999999998E-3</v>
      </c>
      <c r="T25344" s="26">
        <v>1.24E-2</v>
      </c>
      <c r="U25344" s="26">
        <v>7.7999999999999996E-3</v>
      </c>
      <c r="V25344" s="26">
        <v>1.6899999999999998E-2</v>
      </c>
      <c r="X25344" s="26">
        <v>9.2999999999999992E-3</v>
      </c>
      <c r="Y25344" s="26">
        <v>9.2999999999999992E-3</v>
      </c>
      <c r="Z25344">
        <v>356</v>
      </c>
    </row>
    <row r="25345" spans="1:26" x14ac:dyDescent="0.35">
      <c r="A25345" t="s">
        <v>229</v>
      </c>
      <c r="B25345" t="s">
        <v>267</v>
      </c>
      <c r="C25345" s="26">
        <v>0.55730000000000002</v>
      </c>
      <c r="D25345" s="26">
        <v>0.2185</v>
      </c>
      <c r="E25345" s="26">
        <v>8.1000000000000003E-2</v>
      </c>
      <c r="F25345" s="26">
        <v>7.1000000000000004E-3</v>
      </c>
      <c r="G25345" s="26">
        <v>9.0999999999999998E-2</v>
      </c>
      <c r="H25345" s="26">
        <v>5.0599999999999999E-2</v>
      </c>
      <c r="I25345" s="26">
        <v>4.36E-2</v>
      </c>
      <c r="J25345" s="26">
        <v>2.8500000000000001E-2</v>
      </c>
      <c r="K25345" s="26">
        <v>1.2800000000000001E-2</v>
      </c>
      <c r="L25345" s="26">
        <v>1.35E-2</v>
      </c>
      <c r="M25345" s="26">
        <v>1.43E-2</v>
      </c>
      <c r="N25345" s="26">
        <v>2.2599999999999999E-2</v>
      </c>
      <c r="O25345" s="26">
        <v>3.1300000000000001E-2</v>
      </c>
      <c r="P25345" s="26">
        <v>1.3899999999999999E-2</v>
      </c>
      <c r="S25345" s="26">
        <v>1.1299999999999999E-2</v>
      </c>
      <c r="T25345" s="26">
        <v>3.6900000000000002E-2</v>
      </c>
      <c r="V25345" s="26">
        <v>1.5E-3</v>
      </c>
      <c r="W25345" s="26">
        <v>1.7999999999999999E-2</v>
      </c>
      <c r="X25345" s="26">
        <v>1.5E-3</v>
      </c>
      <c r="Y25345" s="26">
        <v>1.5E-3</v>
      </c>
      <c r="Z25345">
        <v>201</v>
      </c>
    </row>
    <row r="25346" spans="1:26" x14ac:dyDescent="0.35">
      <c r="A25346" t="s">
        <v>229</v>
      </c>
      <c r="B25346" t="s">
        <v>265</v>
      </c>
      <c r="C25346" s="26">
        <v>0.54120000000000001</v>
      </c>
      <c r="D25346" s="26">
        <v>0.26079999999999998</v>
      </c>
      <c r="E25346" s="26">
        <v>9.4200000000000006E-2</v>
      </c>
      <c r="F25346" s="26">
        <v>5.28E-2</v>
      </c>
      <c r="G25346" s="26">
        <v>7.5300000000000006E-2</v>
      </c>
      <c r="H25346" s="26">
        <v>4.8800000000000003E-2</v>
      </c>
      <c r="I25346" s="26">
        <v>4.6199999999999998E-2</v>
      </c>
      <c r="J25346" s="26">
        <v>2.8000000000000001E-2</v>
      </c>
      <c r="K25346" s="26">
        <v>2.47E-2</v>
      </c>
      <c r="L25346" s="26">
        <v>1.9800000000000002E-2</v>
      </c>
      <c r="M25346" s="26">
        <v>4.7000000000000002E-3</v>
      </c>
      <c r="N25346" s="26">
        <v>5.5999999999999999E-3</v>
      </c>
      <c r="O25346" s="26">
        <v>5.7999999999999996E-3</v>
      </c>
      <c r="P25346" s="26">
        <v>1.1299999999999999E-2</v>
      </c>
      <c r="Q25346" s="26">
        <v>5.8999999999999999E-3</v>
      </c>
      <c r="R25346" s="26">
        <v>1.5E-3</v>
      </c>
      <c r="S25346" s="26">
        <v>1.7600000000000001E-2</v>
      </c>
      <c r="T25346" s="26">
        <v>7.9000000000000008E-3</v>
      </c>
      <c r="U25346" s="26">
        <v>7.0000000000000001E-3</v>
      </c>
      <c r="V25346" s="26">
        <v>8.3000000000000001E-3</v>
      </c>
      <c r="W25346" s="26">
        <v>8.3000000000000001E-3</v>
      </c>
      <c r="X25346" s="26">
        <v>1.34E-2</v>
      </c>
      <c r="Y25346" s="26">
        <v>3.0000000000000001E-3</v>
      </c>
      <c r="Z25346">
        <v>332</v>
      </c>
    </row>
    <row r="25347" spans="1:26" x14ac:dyDescent="0.35">
      <c r="A25347" t="s">
        <v>230</v>
      </c>
      <c r="B25347" t="s">
        <v>267</v>
      </c>
      <c r="C25347" s="26">
        <v>0.51859999999999995</v>
      </c>
      <c r="D25347" s="26">
        <v>0.2863</v>
      </c>
      <c r="E25347" s="26">
        <v>6.5199999999999994E-2</v>
      </c>
      <c r="F25347" s="26">
        <v>2.7799999999999998E-2</v>
      </c>
      <c r="G25347" s="26">
        <v>6.4100000000000004E-2</v>
      </c>
      <c r="H25347" s="26">
        <v>6.8400000000000002E-2</v>
      </c>
      <c r="I25347" s="26">
        <v>3.3500000000000002E-2</v>
      </c>
      <c r="J25347" s="26">
        <v>3.7499999999999999E-2</v>
      </c>
      <c r="K25347" s="26">
        <v>1.0800000000000001E-2</v>
      </c>
      <c r="L25347" s="26">
        <v>2.12E-2</v>
      </c>
      <c r="M25347" s="26">
        <v>1.2999999999999999E-3</v>
      </c>
      <c r="N25347" s="26">
        <v>2.3599999999999999E-2</v>
      </c>
      <c r="O25347" s="26">
        <v>5.4999999999999997E-3</v>
      </c>
      <c r="P25347" s="26">
        <v>1.0999999999999999E-2</v>
      </c>
      <c r="Q25347" s="26">
        <v>4.1000000000000003E-3</v>
      </c>
      <c r="S25347" s="26">
        <v>1.2999999999999999E-3</v>
      </c>
      <c r="V25347" s="26">
        <v>4.1000000000000003E-3</v>
      </c>
      <c r="X25347" s="26">
        <v>1.2999999999999999E-3</v>
      </c>
      <c r="Z25347">
        <v>118</v>
      </c>
    </row>
    <row r="25348" spans="1:26" x14ac:dyDescent="0.35">
      <c r="A25348" t="s">
        <v>230</v>
      </c>
      <c r="B25348" t="s">
        <v>266</v>
      </c>
      <c r="C25348" s="26">
        <v>0.3523</v>
      </c>
      <c r="D25348" s="26">
        <v>0.42459999999999998</v>
      </c>
      <c r="E25348" s="26">
        <v>0.13109999999999999</v>
      </c>
      <c r="F25348" s="26">
        <v>0.13109999999999999</v>
      </c>
      <c r="G25348" s="26">
        <v>0.10829999999999999</v>
      </c>
      <c r="H25348" s="26">
        <v>7.0900000000000005E-2</v>
      </c>
      <c r="I25348" s="26">
        <v>3.85E-2</v>
      </c>
      <c r="J25348" s="26">
        <v>8.3099999999999993E-2</v>
      </c>
      <c r="K25348" s="26">
        <v>3.5999999999999997E-2</v>
      </c>
      <c r="L25348" s="26">
        <v>9.6699999999999994E-2</v>
      </c>
      <c r="M25348" s="26">
        <v>7.0300000000000001E-2</v>
      </c>
      <c r="N25348" s="26">
        <v>4.8399999999999999E-2</v>
      </c>
      <c r="O25348" s="26">
        <v>3.0300000000000001E-2</v>
      </c>
      <c r="P25348" s="26">
        <v>2.5600000000000001E-2</v>
      </c>
      <c r="Q25348" s="26">
        <v>2.4899999999999999E-2</v>
      </c>
      <c r="R25348" s="26">
        <v>3.2000000000000002E-3</v>
      </c>
      <c r="S25348" s="26">
        <v>2.5399999999999999E-2</v>
      </c>
      <c r="T25348" s="26">
        <v>4.0000000000000001E-3</v>
      </c>
      <c r="U25348" s="26">
        <v>3.2000000000000002E-3</v>
      </c>
      <c r="V25348" s="26">
        <v>1.5599999999999999E-2</v>
      </c>
      <c r="W25348" s="26">
        <v>1.5E-3</v>
      </c>
      <c r="X25348" s="26">
        <v>8.2000000000000007E-3</v>
      </c>
      <c r="Z25348">
        <v>232</v>
      </c>
    </row>
    <row r="25349" spans="1:26" x14ac:dyDescent="0.35">
      <c r="A25349" t="s">
        <v>230</v>
      </c>
      <c r="B25349" t="s">
        <v>265</v>
      </c>
      <c r="C25349" s="26">
        <v>0.46989999999999998</v>
      </c>
      <c r="D25349" s="26">
        <v>0.31780000000000003</v>
      </c>
      <c r="E25349" s="26">
        <v>0.113</v>
      </c>
      <c r="F25349" s="26">
        <v>4.6199999999999998E-2</v>
      </c>
      <c r="G25349" s="26">
        <v>6.4299999999999996E-2</v>
      </c>
      <c r="H25349" s="26">
        <v>7.8399999999999997E-2</v>
      </c>
      <c r="I25349" s="26">
        <v>7.3200000000000001E-2</v>
      </c>
      <c r="J25349" s="26">
        <v>6.0699999999999997E-2</v>
      </c>
      <c r="K25349" s="26">
        <v>1.7999999999999999E-2</v>
      </c>
      <c r="L25349" s="26">
        <v>2.9600000000000001E-2</v>
      </c>
      <c r="M25349" s="26">
        <v>3.8300000000000001E-2</v>
      </c>
      <c r="N25349" s="26">
        <v>6.1400000000000003E-2</v>
      </c>
      <c r="O25349" s="26">
        <v>6.6299999999999998E-2</v>
      </c>
      <c r="P25349" s="26">
        <v>1.6500000000000001E-2</v>
      </c>
      <c r="Q25349" s="26">
        <v>1.2999999999999999E-3</v>
      </c>
      <c r="R25349" s="26">
        <v>1.3100000000000001E-2</v>
      </c>
      <c r="S25349" s="26">
        <v>2.52E-2</v>
      </c>
      <c r="T25349" s="26">
        <v>6.6E-3</v>
      </c>
      <c r="U25349" s="26">
        <v>2.2000000000000001E-3</v>
      </c>
      <c r="V25349" s="26">
        <v>1.5699999999999999E-2</v>
      </c>
      <c r="W25349" s="26">
        <v>2.6100000000000002E-2</v>
      </c>
      <c r="X25349" s="26">
        <v>1.3100000000000001E-2</v>
      </c>
      <c r="Z25349">
        <v>206</v>
      </c>
    </row>
    <row r="25350" spans="1:26" x14ac:dyDescent="0.35">
      <c r="A25350" t="s">
        <v>231</v>
      </c>
      <c r="B25350" t="s">
        <v>267</v>
      </c>
      <c r="C25350" s="26">
        <v>0.67649999999999999</v>
      </c>
      <c r="D25350" s="26">
        <v>0.23530000000000001</v>
      </c>
      <c r="E25350" s="26">
        <v>5.8799999999999998E-2</v>
      </c>
      <c r="F25350" s="26">
        <v>2.9399999999999999E-2</v>
      </c>
      <c r="G25350" s="26">
        <v>2.9399999999999999E-2</v>
      </c>
      <c r="J25350" s="26">
        <v>5.8799999999999998E-2</v>
      </c>
      <c r="R25350" s="26">
        <v>5.8799999999999998E-2</v>
      </c>
      <c r="Z25350">
        <v>34</v>
      </c>
    </row>
    <row r="25351" spans="1:26" x14ac:dyDescent="0.35">
      <c r="A25351" t="s">
        <v>231</v>
      </c>
      <c r="B25351" t="s">
        <v>266</v>
      </c>
      <c r="C25351" s="26">
        <v>0.45900000000000002</v>
      </c>
      <c r="D25351" s="26">
        <v>0.377</v>
      </c>
      <c r="E25351" s="26">
        <v>3.2800000000000003E-2</v>
      </c>
      <c r="F25351" s="26">
        <v>4.9200000000000001E-2</v>
      </c>
      <c r="G25351" s="26">
        <v>3.2800000000000003E-2</v>
      </c>
      <c r="H25351" s="26">
        <v>4.9200000000000001E-2</v>
      </c>
      <c r="I25351" s="26">
        <v>9.8400000000000001E-2</v>
      </c>
      <c r="J25351" s="26">
        <v>1.6400000000000001E-2</v>
      </c>
      <c r="L25351" s="26">
        <v>1.6400000000000001E-2</v>
      </c>
      <c r="M25351" s="26">
        <v>4.9200000000000001E-2</v>
      </c>
      <c r="Q25351" s="26">
        <v>3.2800000000000003E-2</v>
      </c>
      <c r="R25351" s="26">
        <v>1.6400000000000001E-2</v>
      </c>
      <c r="V25351" s="26">
        <v>1.6400000000000001E-2</v>
      </c>
      <c r="W25351" s="26">
        <v>1.6400000000000001E-2</v>
      </c>
      <c r="Z25351">
        <v>61</v>
      </c>
    </row>
    <row r="25352" spans="1:26" x14ac:dyDescent="0.35">
      <c r="A25352" t="s">
        <v>231</v>
      </c>
      <c r="B25352" t="s">
        <v>265</v>
      </c>
      <c r="C25352" s="26">
        <v>0.56059999999999999</v>
      </c>
      <c r="D25352" s="26">
        <v>0.2424</v>
      </c>
      <c r="E25352" s="26">
        <v>4.5499999999999999E-2</v>
      </c>
      <c r="F25352" s="26">
        <v>6.0600000000000001E-2</v>
      </c>
      <c r="G25352" s="26">
        <v>1.52E-2</v>
      </c>
      <c r="H25352" s="26">
        <v>1.52E-2</v>
      </c>
      <c r="J25352" s="26">
        <v>1.52E-2</v>
      </c>
      <c r="K25352" s="26">
        <v>6.0600000000000001E-2</v>
      </c>
      <c r="L25352" s="26">
        <v>3.0300000000000001E-2</v>
      </c>
      <c r="M25352" s="26">
        <v>4.5499999999999999E-2</v>
      </c>
      <c r="N25352" s="26">
        <v>1.52E-2</v>
      </c>
      <c r="O25352" s="26">
        <v>3.0300000000000001E-2</v>
      </c>
      <c r="P25352" s="26">
        <v>1.52E-2</v>
      </c>
      <c r="U25352" s="26">
        <v>4.5499999999999999E-2</v>
      </c>
      <c r="Z25352">
        <v>66</v>
      </c>
    </row>
    <row r="25353" spans="1:26" x14ac:dyDescent="0.35">
      <c r="A25353" t="s">
        <v>232</v>
      </c>
      <c r="B25353" t="s">
        <v>232</v>
      </c>
      <c r="C25353" s="26">
        <v>0.50360000000000005</v>
      </c>
      <c r="D25353" s="26">
        <v>0.2873</v>
      </c>
      <c r="E25353" s="26">
        <v>7.9000000000000001E-2</v>
      </c>
      <c r="F25353" s="26">
        <v>5.91E-2</v>
      </c>
      <c r="G25353" s="26">
        <v>5.8900000000000001E-2</v>
      </c>
      <c r="H25353" s="26">
        <v>5.3600000000000002E-2</v>
      </c>
      <c r="I25353" s="26">
        <v>4.2000000000000003E-2</v>
      </c>
      <c r="J25353" s="26">
        <v>3.5000000000000003E-2</v>
      </c>
      <c r="K25353" s="26">
        <v>3.1899999999999998E-2</v>
      </c>
      <c r="L25353" s="26">
        <v>2.9499999999999998E-2</v>
      </c>
      <c r="M25353" s="26">
        <v>2.7199999999999998E-2</v>
      </c>
      <c r="N25353" s="26">
        <v>2.2800000000000001E-2</v>
      </c>
      <c r="O25353" s="26">
        <v>2.1100000000000001E-2</v>
      </c>
      <c r="P25353" s="26">
        <v>1.8100000000000002E-2</v>
      </c>
      <c r="Q25353" s="26">
        <v>1.0500000000000001E-2</v>
      </c>
      <c r="R25353" s="26">
        <v>0.01</v>
      </c>
      <c r="S25353" s="26">
        <v>9.4000000000000004E-3</v>
      </c>
      <c r="T25353" s="26">
        <v>9.2999999999999992E-3</v>
      </c>
      <c r="U25353" s="26">
        <v>8.6E-3</v>
      </c>
      <c r="V25353" s="26">
        <v>7.7999999999999996E-3</v>
      </c>
      <c r="W25353" s="26">
        <v>6.0000000000000001E-3</v>
      </c>
      <c r="X25353" s="26">
        <v>5.3E-3</v>
      </c>
      <c r="Y25353" s="26">
        <v>2.0999999999999999E-3</v>
      </c>
      <c r="Z25353">
        <v>2792</v>
      </c>
    </row>
    <row r="25355" spans="1:26" x14ac:dyDescent="0.35">
      <c r="A25355" s="1" t="s">
        <v>2305</v>
      </c>
    </row>
    <row r="25356" spans="1:26" x14ac:dyDescent="0.35">
      <c r="A25356" t="s">
        <v>219</v>
      </c>
      <c r="B25356" t="s">
        <v>305</v>
      </c>
      <c r="C25356" t="s">
        <v>550</v>
      </c>
      <c r="D25356" t="s">
        <v>2281</v>
      </c>
      <c r="E25356" t="s">
        <v>2282</v>
      </c>
      <c r="F25356" t="s">
        <v>2283</v>
      </c>
      <c r="G25356" t="s">
        <v>2284</v>
      </c>
      <c r="H25356" t="s">
        <v>2285</v>
      </c>
      <c r="I25356" t="s">
        <v>2286</v>
      </c>
      <c r="J25356" t="s">
        <v>2287</v>
      </c>
      <c r="K25356" t="s">
        <v>2288</v>
      </c>
      <c r="L25356" t="s">
        <v>2289</v>
      </c>
      <c r="M25356" t="s">
        <v>2290</v>
      </c>
      <c r="N25356" t="s">
        <v>2291</v>
      </c>
      <c r="O25356" t="s">
        <v>2292</v>
      </c>
      <c r="P25356" t="s">
        <v>2293</v>
      </c>
      <c r="Q25356" t="s">
        <v>2294</v>
      </c>
      <c r="R25356" t="s">
        <v>2295</v>
      </c>
      <c r="S25356" t="s">
        <v>2296</v>
      </c>
      <c r="T25356" t="s">
        <v>2297</v>
      </c>
      <c r="U25356" t="s">
        <v>326</v>
      </c>
      <c r="V25356" t="s">
        <v>2298</v>
      </c>
      <c r="W25356" t="s">
        <v>2299</v>
      </c>
      <c r="X25356" t="s">
        <v>281</v>
      </c>
      <c r="Y25356" t="s">
        <v>286</v>
      </c>
      <c r="Z25356" t="s">
        <v>226</v>
      </c>
    </row>
    <row r="25357" spans="1:26" x14ac:dyDescent="0.35">
      <c r="A25357" t="s">
        <v>227</v>
      </c>
      <c r="B25357" t="s">
        <v>252</v>
      </c>
      <c r="C25357" s="26">
        <v>0.37780000000000002</v>
      </c>
      <c r="D25357" s="26">
        <v>0.31109999999999999</v>
      </c>
      <c r="E25357" s="26">
        <v>6.6699999999999995E-2</v>
      </c>
      <c r="F25357" s="26">
        <v>8.8900000000000007E-2</v>
      </c>
      <c r="G25357" s="26">
        <v>4.4400000000000002E-2</v>
      </c>
      <c r="I25357" s="26">
        <v>0.1111</v>
      </c>
      <c r="J25357" s="26">
        <v>4.4400000000000002E-2</v>
      </c>
      <c r="K25357" s="26">
        <v>8.8900000000000007E-2</v>
      </c>
      <c r="L25357" s="26">
        <v>2.2200000000000001E-2</v>
      </c>
      <c r="M25357" s="26">
        <v>2.2200000000000001E-2</v>
      </c>
      <c r="Q25357" s="26">
        <v>2.2200000000000001E-2</v>
      </c>
      <c r="T25357" s="26">
        <v>2.2200000000000001E-2</v>
      </c>
      <c r="Z25357">
        <v>45</v>
      </c>
    </row>
    <row r="25358" spans="1:26" x14ac:dyDescent="0.35">
      <c r="A25358" t="s">
        <v>227</v>
      </c>
      <c r="B25358" t="s">
        <v>253</v>
      </c>
      <c r="C25358" s="26">
        <v>0.47060000000000002</v>
      </c>
      <c r="D25358" s="26">
        <v>0.2059</v>
      </c>
      <c r="E25358" s="26">
        <v>0.14710000000000001</v>
      </c>
      <c r="F25358" s="26">
        <v>2.9399999999999999E-2</v>
      </c>
      <c r="G25358" s="26">
        <v>8.8200000000000001E-2</v>
      </c>
      <c r="I25358" s="26">
        <v>2.9399999999999999E-2</v>
      </c>
      <c r="J25358" s="26">
        <v>2.9399999999999999E-2</v>
      </c>
      <c r="K25358" s="26">
        <v>5.8799999999999998E-2</v>
      </c>
      <c r="L25358" s="26">
        <v>5.8799999999999998E-2</v>
      </c>
      <c r="N25358" s="26">
        <v>2.9399999999999999E-2</v>
      </c>
      <c r="O25358" s="26">
        <v>2.9399999999999999E-2</v>
      </c>
      <c r="P25358" s="26">
        <v>2.9399999999999999E-2</v>
      </c>
      <c r="Q25358" s="26">
        <v>2.9399999999999999E-2</v>
      </c>
      <c r="R25358" s="26">
        <v>2.9399999999999999E-2</v>
      </c>
      <c r="T25358" s="26">
        <v>2.9399999999999999E-2</v>
      </c>
      <c r="Z25358">
        <v>34</v>
      </c>
    </row>
    <row r="25359" spans="1:26" x14ac:dyDescent="0.35">
      <c r="A25359" t="s">
        <v>227</v>
      </c>
      <c r="B25359" t="s">
        <v>251</v>
      </c>
      <c r="C25359" s="26">
        <v>0.56789999999999996</v>
      </c>
      <c r="D25359" s="26">
        <v>0.24690000000000001</v>
      </c>
      <c r="E25359" s="26">
        <v>4.9399999999999999E-2</v>
      </c>
      <c r="F25359" s="26">
        <v>9.8799999999999999E-2</v>
      </c>
      <c r="G25359" s="26">
        <v>4.9399999999999999E-2</v>
      </c>
      <c r="H25359" s="26">
        <v>6.1699999999999998E-2</v>
      </c>
      <c r="I25359" s="26">
        <v>1.23E-2</v>
      </c>
      <c r="J25359" s="26">
        <v>2.47E-2</v>
      </c>
      <c r="K25359" s="26">
        <v>3.6999999999999998E-2</v>
      </c>
      <c r="L25359" s="26">
        <v>6.1699999999999998E-2</v>
      </c>
      <c r="M25359" s="26">
        <v>1.23E-2</v>
      </c>
      <c r="N25359" s="26">
        <v>2.47E-2</v>
      </c>
      <c r="O25359" s="26">
        <v>2.47E-2</v>
      </c>
      <c r="P25359" s="26">
        <v>3.6999999999999998E-2</v>
      </c>
      <c r="R25359" s="26">
        <v>1.23E-2</v>
      </c>
      <c r="T25359" s="26">
        <v>1.23E-2</v>
      </c>
      <c r="U25359" s="26">
        <v>1.23E-2</v>
      </c>
      <c r="Z25359">
        <v>81</v>
      </c>
    </row>
    <row r="25360" spans="1:26" x14ac:dyDescent="0.35">
      <c r="A25360" t="s">
        <v>228</v>
      </c>
      <c r="B25360" t="s">
        <v>252</v>
      </c>
      <c r="C25360" s="26">
        <v>0.47799999999999998</v>
      </c>
      <c r="D25360" s="26">
        <v>0.2954</v>
      </c>
      <c r="E25360" s="26">
        <v>0.1229</v>
      </c>
      <c r="F25360" s="26">
        <v>9.4700000000000006E-2</v>
      </c>
      <c r="G25360" s="26">
        <v>5.4100000000000002E-2</v>
      </c>
      <c r="H25360" s="26">
        <v>7.2400000000000006E-2</v>
      </c>
      <c r="I25360" s="26">
        <v>6.1400000000000003E-2</v>
      </c>
      <c r="J25360" s="26">
        <v>2.7799999999999998E-2</v>
      </c>
      <c r="K25360" s="26">
        <v>1.8100000000000002E-2</v>
      </c>
      <c r="L25360" s="26">
        <v>2.93E-2</v>
      </c>
      <c r="M25360" s="26">
        <v>1.37E-2</v>
      </c>
      <c r="N25360" s="26">
        <v>4.58E-2</v>
      </c>
      <c r="O25360" s="26">
        <v>6.8999999999999999E-3</v>
      </c>
      <c r="P25360" s="26">
        <v>2.4899999999999999E-2</v>
      </c>
      <c r="Q25360" s="26">
        <v>2.1100000000000001E-2</v>
      </c>
      <c r="R25360" s="26">
        <v>1.5E-3</v>
      </c>
      <c r="S25360" s="26">
        <v>1.1000000000000001E-3</v>
      </c>
      <c r="T25360" s="26">
        <v>1.04E-2</v>
      </c>
      <c r="V25360" s="26">
        <v>4.4000000000000003E-3</v>
      </c>
      <c r="W25360" s="26">
        <v>1.2200000000000001E-2</v>
      </c>
      <c r="X25360" s="26">
        <v>4.1999999999999997E-3</v>
      </c>
      <c r="Y25360" s="26">
        <v>1.12E-2</v>
      </c>
      <c r="Z25360">
        <v>340</v>
      </c>
    </row>
    <row r="25361" spans="1:26" x14ac:dyDescent="0.35">
      <c r="A25361" t="s">
        <v>228</v>
      </c>
      <c r="B25361" t="s">
        <v>253</v>
      </c>
      <c r="C25361" s="26">
        <v>0.38479999999999998</v>
      </c>
      <c r="D25361" s="26">
        <v>0.33789999999999998</v>
      </c>
      <c r="E25361" s="26">
        <v>8.2199999999999995E-2</v>
      </c>
      <c r="F25361" s="26">
        <v>0.1027</v>
      </c>
      <c r="G25361" s="26">
        <v>9.1899999999999996E-2</v>
      </c>
      <c r="H25361" s="26">
        <v>0.1381</v>
      </c>
      <c r="I25361" s="26">
        <v>5.28E-2</v>
      </c>
      <c r="J25361" s="26">
        <v>7.3000000000000001E-3</v>
      </c>
      <c r="K25361" s="26">
        <v>7.6799999999999993E-2</v>
      </c>
      <c r="L25361" s="26">
        <v>3.1800000000000002E-2</v>
      </c>
      <c r="M25361" s="26">
        <v>7.8299999999999995E-2</v>
      </c>
      <c r="N25361" s="26">
        <v>6.6299999999999998E-2</v>
      </c>
      <c r="O25361" s="26">
        <v>2.8000000000000001E-2</v>
      </c>
      <c r="P25361" s="26">
        <v>1.61E-2</v>
      </c>
      <c r="Q25361" s="26">
        <v>6.1999999999999998E-3</v>
      </c>
      <c r="R25361" s="26">
        <v>4.7000000000000002E-3</v>
      </c>
      <c r="S25361" s="26">
        <v>3.0300000000000001E-2</v>
      </c>
      <c r="T25361" s="26">
        <v>3.8999999999999998E-3</v>
      </c>
      <c r="U25361" s="26">
        <v>1.6299999999999999E-2</v>
      </c>
      <c r="W25361" s="26">
        <v>4.4999999999999997E-3</v>
      </c>
      <c r="X25361" s="26">
        <v>9.7999999999999997E-3</v>
      </c>
      <c r="Z25361">
        <v>221</v>
      </c>
    </row>
    <row r="25362" spans="1:26" x14ac:dyDescent="0.35">
      <c r="A25362" t="s">
        <v>228</v>
      </c>
      <c r="B25362" t="s">
        <v>251</v>
      </c>
      <c r="C25362" s="26">
        <v>0.45569999999999999</v>
      </c>
      <c r="D25362" s="26">
        <v>0.29020000000000001</v>
      </c>
      <c r="E25362" s="26">
        <v>6.4899999999999999E-2</v>
      </c>
      <c r="F25362" s="26">
        <v>4.1399999999999999E-2</v>
      </c>
      <c r="G25362" s="26">
        <v>9.0899999999999995E-2</v>
      </c>
      <c r="H25362" s="26">
        <v>0.10630000000000001</v>
      </c>
      <c r="I25362" s="26">
        <v>4.24E-2</v>
      </c>
      <c r="J25362" s="26">
        <v>5.9700000000000003E-2</v>
      </c>
      <c r="K25362" s="26">
        <v>4.24E-2</v>
      </c>
      <c r="L25362" s="26">
        <v>2.0500000000000001E-2</v>
      </c>
      <c r="M25362" s="26">
        <v>2.58E-2</v>
      </c>
      <c r="N25362" s="26">
        <v>3.6799999999999999E-2</v>
      </c>
      <c r="O25362" s="26">
        <v>4.7899999999999998E-2</v>
      </c>
      <c r="P25362" s="26">
        <v>2.2800000000000001E-2</v>
      </c>
      <c r="Q25362" s="26">
        <v>6.1999999999999998E-3</v>
      </c>
      <c r="R25362" s="26">
        <v>1.0200000000000001E-2</v>
      </c>
      <c r="S25362" s="26">
        <v>3.0300000000000001E-2</v>
      </c>
      <c r="T25362" s="26">
        <v>7.7000000000000002E-3</v>
      </c>
      <c r="U25362" s="26">
        <v>1.2999999999999999E-3</v>
      </c>
      <c r="V25362" s="26">
        <v>2.0199999999999999E-2</v>
      </c>
      <c r="W25362" s="26">
        <v>8.9999999999999998E-4</v>
      </c>
      <c r="X25362" s="26">
        <v>1.2200000000000001E-2</v>
      </c>
      <c r="Y25362" s="26">
        <v>1.1999999999999999E-3</v>
      </c>
      <c r="Z25362">
        <v>465</v>
      </c>
    </row>
    <row r="25363" spans="1:26" x14ac:dyDescent="0.35">
      <c r="A25363" t="s">
        <v>229</v>
      </c>
      <c r="B25363" t="s">
        <v>252</v>
      </c>
      <c r="C25363" s="26">
        <v>0.5343</v>
      </c>
      <c r="D25363" s="26">
        <v>0.30249999999999999</v>
      </c>
      <c r="E25363" s="26">
        <v>0.11899999999999999</v>
      </c>
      <c r="F25363" s="26">
        <v>6.5199999999999994E-2</v>
      </c>
      <c r="G25363" s="26">
        <v>6.9400000000000003E-2</v>
      </c>
      <c r="H25363" s="26">
        <v>4.36E-2</v>
      </c>
      <c r="I25363" s="26">
        <v>3.0499999999999999E-2</v>
      </c>
      <c r="J25363" s="26">
        <v>1.77E-2</v>
      </c>
      <c r="K25363" s="26">
        <v>2.4199999999999999E-2</v>
      </c>
      <c r="L25363" s="26">
        <v>2.7900000000000001E-2</v>
      </c>
      <c r="M25363" s="26">
        <v>3.0999999999999999E-3</v>
      </c>
      <c r="N25363" s="26">
        <v>1.1299999999999999E-2</v>
      </c>
      <c r="O25363" s="26">
        <v>1.32E-2</v>
      </c>
      <c r="P25363" s="26">
        <v>1.1299999999999999E-2</v>
      </c>
      <c r="Q25363" s="26">
        <v>6.7999999999999996E-3</v>
      </c>
      <c r="R25363" s="26">
        <v>4.0000000000000002E-4</v>
      </c>
      <c r="U25363" s="26">
        <v>1.1299999999999999E-2</v>
      </c>
      <c r="V25363" s="26">
        <v>8.0000000000000004E-4</v>
      </c>
      <c r="X25363" s="26">
        <v>1.5800000000000002E-2</v>
      </c>
      <c r="Y25363" s="26">
        <v>1.5E-3</v>
      </c>
      <c r="Z25363">
        <v>198</v>
      </c>
    </row>
    <row r="25364" spans="1:26" x14ac:dyDescent="0.35">
      <c r="A25364" t="s">
        <v>229</v>
      </c>
      <c r="B25364" t="s">
        <v>253</v>
      </c>
      <c r="C25364" s="26">
        <v>0.40539999999999998</v>
      </c>
      <c r="D25364" s="26">
        <v>0.37669999999999998</v>
      </c>
      <c r="E25364" s="26">
        <v>0.15429999999999999</v>
      </c>
      <c r="F25364" s="26">
        <v>7.51E-2</v>
      </c>
      <c r="G25364" s="26">
        <v>2.5000000000000001E-2</v>
      </c>
      <c r="H25364" s="26">
        <v>2.81E-2</v>
      </c>
      <c r="I25364" s="26">
        <v>7.0599999999999996E-2</v>
      </c>
      <c r="J25364" s="26">
        <v>4.0399999999999998E-2</v>
      </c>
      <c r="K25364" s="26">
        <v>4.0300000000000002E-2</v>
      </c>
      <c r="L25364" s="26">
        <v>4.2999999999999997E-2</v>
      </c>
      <c r="M25364" s="26">
        <v>1.84E-2</v>
      </c>
      <c r="N25364" s="26">
        <v>1.34E-2</v>
      </c>
      <c r="O25364" s="26">
        <v>1.7500000000000002E-2</v>
      </c>
      <c r="Q25364" s="26">
        <v>1.34E-2</v>
      </c>
      <c r="S25364" s="26">
        <v>1.49E-2</v>
      </c>
      <c r="T25364" s="26">
        <v>1.61E-2</v>
      </c>
      <c r="V25364" s="26">
        <v>3.1300000000000001E-2</v>
      </c>
      <c r="W25364" s="26">
        <v>1.61E-2</v>
      </c>
      <c r="X25364" s="26">
        <v>2.3E-3</v>
      </c>
      <c r="Y25364" s="26">
        <v>1.9699999999999999E-2</v>
      </c>
      <c r="Z25364">
        <v>144</v>
      </c>
    </row>
    <row r="25365" spans="1:26" x14ac:dyDescent="0.35">
      <c r="A25365" t="s">
        <v>229</v>
      </c>
      <c r="B25365" t="s">
        <v>251</v>
      </c>
      <c r="C25365" s="26">
        <v>0.56489999999999996</v>
      </c>
      <c r="D25365" s="26">
        <v>0.22109999999999999</v>
      </c>
      <c r="E25365" s="26">
        <v>7.46E-2</v>
      </c>
      <c r="F25365" s="26">
        <v>2.5000000000000001E-2</v>
      </c>
      <c r="G25365" s="26">
        <v>8.7800000000000003E-2</v>
      </c>
      <c r="H25365" s="26">
        <v>6.4799999999999996E-2</v>
      </c>
      <c r="I25365" s="26">
        <v>2.7699999999999999E-2</v>
      </c>
      <c r="J25365" s="26">
        <v>3.9E-2</v>
      </c>
      <c r="K25365" s="26">
        <v>1.54E-2</v>
      </c>
      <c r="L25365" s="26">
        <v>1.6299999999999999E-2</v>
      </c>
      <c r="M25365" s="26">
        <v>2.1399999999999999E-2</v>
      </c>
      <c r="N25365" s="26">
        <v>1.9400000000000001E-2</v>
      </c>
      <c r="O25365" s="26">
        <v>1.9800000000000002E-2</v>
      </c>
      <c r="P25365" s="26">
        <v>3.4500000000000003E-2</v>
      </c>
      <c r="Q25365" s="26">
        <v>5.1999999999999998E-3</v>
      </c>
      <c r="R25365" s="26">
        <v>6.6E-3</v>
      </c>
      <c r="S25365" s="26">
        <v>1.52E-2</v>
      </c>
      <c r="T25365" s="26">
        <v>2.18E-2</v>
      </c>
      <c r="U25365" s="26">
        <v>5.3E-3</v>
      </c>
      <c r="V25365" s="26">
        <v>5.8999999999999999E-3</v>
      </c>
      <c r="W25365" s="26">
        <v>8.0000000000000002E-3</v>
      </c>
      <c r="X25365" s="26">
        <v>9.1999999999999998E-3</v>
      </c>
      <c r="Y25365" s="26">
        <v>1.1000000000000001E-3</v>
      </c>
      <c r="Z25365">
        <v>547</v>
      </c>
    </row>
    <row r="25366" spans="1:26" x14ac:dyDescent="0.35">
      <c r="A25366" t="s">
        <v>230</v>
      </c>
      <c r="B25366" t="s">
        <v>252</v>
      </c>
      <c r="C25366" s="26">
        <v>0.31019999999999998</v>
      </c>
      <c r="D25366" s="26">
        <v>0.43919999999999998</v>
      </c>
      <c r="E25366" s="26">
        <v>0.14829999999999999</v>
      </c>
      <c r="F25366" s="26">
        <v>0.10580000000000001</v>
      </c>
      <c r="G25366" s="26">
        <v>7.4800000000000005E-2</v>
      </c>
      <c r="H25366" s="26">
        <v>4.6899999999999997E-2</v>
      </c>
      <c r="I25366" s="26">
        <v>7.1199999999999999E-2</v>
      </c>
      <c r="J25366" s="26">
        <v>0.1108</v>
      </c>
      <c r="K25366" s="26">
        <v>1.37E-2</v>
      </c>
      <c r="L25366" s="26">
        <v>0.1134</v>
      </c>
      <c r="M25366" s="26">
        <v>9.8299999999999998E-2</v>
      </c>
      <c r="N25366" s="26">
        <v>0.03</v>
      </c>
      <c r="P25366" s="26">
        <v>5.5999999999999999E-3</v>
      </c>
      <c r="Q25366" s="26">
        <v>6.8999999999999999E-3</v>
      </c>
      <c r="R25366" s="26">
        <v>1.1000000000000001E-3</v>
      </c>
      <c r="S25366" s="26">
        <v>3.5000000000000001E-3</v>
      </c>
      <c r="T25366" s="26">
        <v>9.1999999999999998E-3</v>
      </c>
      <c r="U25366" s="26">
        <v>1.1000000000000001E-3</v>
      </c>
      <c r="V25366" s="26">
        <v>2.0999999999999999E-3</v>
      </c>
      <c r="W25366" s="26">
        <v>1.1000000000000001E-3</v>
      </c>
      <c r="X25366" s="26">
        <v>1.1000000000000001E-3</v>
      </c>
      <c r="Z25366">
        <v>158</v>
      </c>
    </row>
    <row r="25367" spans="1:26" x14ac:dyDescent="0.35">
      <c r="A25367" t="s">
        <v>230</v>
      </c>
      <c r="B25367" t="s">
        <v>253</v>
      </c>
      <c r="C25367" s="26">
        <v>0.44040000000000001</v>
      </c>
      <c r="D25367" s="26">
        <v>0.29289999999999999</v>
      </c>
      <c r="E25367" s="26">
        <v>0.1033</v>
      </c>
      <c r="F25367" s="26">
        <v>6.9500000000000006E-2</v>
      </c>
      <c r="G25367" s="26">
        <v>0.1396</v>
      </c>
      <c r="H25367" s="26">
        <v>0.1095</v>
      </c>
      <c r="I25367" s="26">
        <v>3.6900000000000002E-2</v>
      </c>
      <c r="J25367" s="26">
        <v>6.6400000000000001E-2</v>
      </c>
      <c r="K25367" s="26">
        <v>2.4E-2</v>
      </c>
      <c r="L25367" s="26">
        <v>4.2099999999999999E-2</v>
      </c>
      <c r="M25367" s="26">
        <v>4.0599999999999997E-2</v>
      </c>
      <c r="N25367" s="26">
        <v>5.3400000000000003E-2</v>
      </c>
      <c r="O25367" s="26">
        <v>8.2100000000000006E-2</v>
      </c>
      <c r="P25367" s="26">
        <v>1.1299999999999999E-2</v>
      </c>
      <c r="Q25367" s="26">
        <v>3.0800000000000001E-2</v>
      </c>
      <c r="S25367" s="26">
        <v>6.3E-3</v>
      </c>
      <c r="T25367" s="26">
        <v>4.8999999999999998E-3</v>
      </c>
      <c r="U25367" s="26">
        <v>4.8999999999999998E-3</v>
      </c>
      <c r="V25367" s="26">
        <v>1.5E-3</v>
      </c>
      <c r="W25367" s="26">
        <v>2.93E-2</v>
      </c>
      <c r="Z25367">
        <v>109</v>
      </c>
    </row>
    <row r="25368" spans="1:26" x14ac:dyDescent="0.35">
      <c r="A25368" t="s">
        <v>230</v>
      </c>
      <c r="B25368" t="s">
        <v>251</v>
      </c>
      <c r="C25368" s="26">
        <v>0.49580000000000002</v>
      </c>
      <c r="D25368" s="26">
        <v>0.3276</v>
      </c>
      <c r="E25368" s="26">
        <v>9.2999999999999999E-2</v>
      </c>
      <c r="F25368" s="26">
        <v>5.9299999999999999E-2</v>
      </c>
      <c r="G25368" s="26">
        <v>6.3100000000000003E-2</v>
      </c>
      <c r="H25368" s="26">
        <v>7.3800000000000004E-2</v>
      </c>
      <c r="I25368" s="26">
        <v>4.7899999999999998E-2</v>
      </c>
      <c r="J25368" s="26">
        <v>4.1099999999999998E-2</v>
      </c>
      <c r="K25368" s="26">
        <v>2.7099999999999999E-2</v>
      </c>
      <c r="L25368" s="26">
        <v>2.7199999999999998E-2</v>
      </c>
      <c r="M25368" s="26">
        <v>1.6199999999999999E-2</v>
      </c>
      <c r="N25368" s="26">
        <v>5.5399999999999998E-2</v>
      </c>
      <c r="O25368" s="26">
        <v>4.4499999999999998E-2</v>
      </c>
      <c r="P25368" s="26">
        <v>2.7099999999999999E-2</v>
      </c>
      <c r="Q25368" s="26">
        <v>5.4999999999999997E-3</v>
      </c>
      <c r="R25368" s="26">
        <v>1.14E-2</v>
      </c>
      <c r="S25368" s="26">
        <v>3.2399999999999998E-2</v>
      </c>
      <c r="T25368" s="26">
        <v>1.6000000000000001E-3</v>
      </c>
      <c r="U25368" s="26">
        <v>1.6000000000000001E-3</v>
      </c>
      <c r="V25368" s="26">
        <v>2.2200000000000001E-2</v>
      </c>
      <c r="W25368" s="26">
        <v>1.03E-2</v>
      </c>
      <c r="X25368" s="26">
        <v>1.52E-2</v>
      </c>
      <c r="Z25368">
        <v>289</v>
      </c>
    </row>
    <row r="25369" spans="1:26" x14ac:dyDescent="0.35">
      <c r="A25369" t="s">
        <v>231</v>
      </c>
      <c r="B25369" t="s">
        <v>252</v>
      </c>
      <c r="C25369" s="26">
        <v>0.53059999999999996</v>
      </c>
      <c r="D25369" s="26">
        <v>0.32650000000000001</v>
      </c>
      <c r="E25369" s="26">
        <v>2.0400000000000001E-2</v>
      </c>
      <c r="I25369" s="26">
        <v>4.0800000000000003E-2</v>
      </c>
      <c r="J25369" s="26">
        <v>2.0400000000000001E-2</v>
      </c>
      <c r="K25369" s="26">
        <v>2.0400000000000001E-2</v>
      </c>
      <c r="L25369" s="26">
        <v>2.0400000000000001E-2</v>
      </c>
      <c r="M25369" s="26">
        <v>6.1199999999999997E-2</v>
      </c>
      <c r="O25369" s="26">
        <v>2.0400000000000001E-2</v>
      </c>
      <c r="R25369" s="26">
        <v>4.0800000000000003E-2</v>
      </c>
      <c r="W25369" s="26">
        <v>2.0400000000000001E-2</v>
      </c>
      <c r="Z25369">
        <v>49</v>
      </c>
    </row>
    <row r="25370" spans="1:26" x14ac:dyDescent="0.35">
      <c r="A25370" t="s">
        <v>231</v>
      </c>
      <c r="B25370" t="s">
        <v>253</v>
      </c>
      <c r="C25370" s="26">
        <v>0.5333</v>
      </c>
      <c r="D25370" s="26">
        <v>0.23330000000000001</v>
      </c>
      <c r="G25370" s="26">
        <v>0.1</v>
      </c>
      <c r="H25370" s="26">
        <v>0.1</v>
      </c>
      <c r="I25370" s="26">
        <v>3.3300000000000003E-2</v>
      </c>
      <c r="K25370" s="26">
        <v>3.3300000000000003E-2</v>
      </c>
      <c r="N25370" s="26">
        <v>3.3300000000000003E-2</v>
      </c>
      <c r="O25370" s="26">
        <v>3.3300000000000003E-2</v>
      </c>
      <c r="P25370" s="26">
        <v>3.3300000000000003E-2</v>
      </c>
      <c r="U25370" s="26">
        <v>3.3300000000000003E-2</v>
      </c>
      <c r="V25370" s="26">
        <v>3.3300000000000003E-2</v>
      </c>
      <c r="Z25370">
        <v>30</v>
      </c>
    </row>
    <row r="25371" spans="1:26" x14ac:dyDescent="0.35">
      <c r="A25371" t="s">
        <v>231</v>
      </c>
      <c r="B25371" t="s">
        <v>251</v>
      </c>
      <c r="C25371" s="26">
        <v>0.56100000000000005</v>
      </c>
      <c r="D25371" s="26">
        <v>0.29270000000000002</v>
      </c>
      <c r="E25371" s="26">
        <v>7.3200000000000001E-2</v>
      </c>
      <c r="F25371" s="26">
        <v>9.7600000000000006E-2</v>
      </c>
      <c r="G25371" s="26">
        <v>1.2200000000000001E-2</v>
      </c>
      <c r="H25371" s="26">
        <v>1.2200000000000001E-2</v>
      </c>
      <c r="I25371" s="26">
        <v>3.6600000000000001E-2</v>
      </c>
      <c r="J25371" s="26">
        <v>3.6600000000000001E-2</v>
      </c>
      <c r="K25371" s="26">
        <v>2.4400000000000002E-2</v>
      </c>
      <c r="L25371" s="26">
        <v>2.4400000000000002E-2</v>
      </c>
      <c r="M25371" s="26">
        <v>3.6600000000000001E-2</v>
      </c>
      <c r="Q25371" s="26">
        <v>2.4400000000000002E-2</v>
      </c>
      <c r="R25371" s="26">
        <v>1.2200000000000001E-2</v>
      </c>
      <c r="U25371" s="26">
        <v>2.4400000000000002E-2</v>
      </c>
      <c r="Z25371">
        <v>82</v>
      </c>
    </row>
    <row r="25372" spans="1:26" x14ac:dyDescent="0.35">
      <c r="A25372" t="s">
        <v>232</v>
      </c>
      <c r="B25372" t="s">
        <v>232</v>
      </c>
      <c r="C25372" s="26">
        <v>0.50360000000000005</v>
      </c>
      <c r="D25372" s="26">
        <v>0.2873</v>
      </c>
      <c r="E25372" s="26">
        <v>7.9000000000000001E-2</v>
      </c>
      <c r="F25372" s="26">
        <v>5.91E-2</v>
      </c>
      <c r="G25372" s="26">
        <v>5.8900000000000001E-2</v>
      </c>
      <c r="H25372" s="26">
        <v>5.3600000000000002E-2</v>
      </c>
      <c r="I25372" s="26">
        <v>4.2000000000000003E-2</v>
      </c>
      <c r="J25372" s="26">
        <v>3.5000000000000003E-2</v>
      </c>
      <c r="K25372" s="26">
        <v>3.1899999999999998E-2</v>
      </c>
      <c r="L25372" s="26">
        <v>2.9499999999999998E-2</v>
      </c>
      <c r="M25372" s="26">
        <v>2.7199999999999998E-2</v>
      </c>
      <c r="N25372" s="26">
        <v>2.2800000000000001E-2</v>
      </c>
      <c r="O25372" s="26">
        <v>2.1100000000000001E-2</v>
      </c>
      <c r="P25372" s="26">
        <v>1.8100000000000002E-2</v>
      </c>
      <c r="Q25372" s="26">
        <v>1.0500000000000001E-2</v>
      </c>
      <c r="R25372" s="26">
        <v>0.01</v>
      </c>
      <c r="S25372" s="26">
        <v>9.4000000000000004E-3</v>
      </c>
      <c r="T25372" s="26">
        <v>9.2999999999999992E-3</v>
      </c>
      <c r="U25372" s="26">
        <v>8.6E-3</v>
      </c>
      <c r="V25372" s="26">
        <v>7.7999999999999996E-3</v>
      </c>
      <c r="W25372" s="26">
        <v>6.0000000000000001E-3</v>
      </c>
      <c r="X25372" s="26">
        <v>5.3E-3</v>
      </c>
      <c r="Y25372" s="26">
        <v>2.0999999999999999E-3</v>
      </c>
      <c r="Z25372">
        <v>2792</v>
      </c>
    </row>
    <row r="25374" spans="1:26" x14ac:dyDescent="0.35">
      <c r="A25374" s="1" t="s">
        <v>2306</v>
      </c>
    </row>
    <row r="25375" spans="1:26" x14ac:dyDescent="0.35">
      <c r="A25375" t="s">
        <v>219</v>
      </c>
      <c r="B25375" t="s">
        <v>305</v>
      </c>
      <c r="C25375" t="s">
        <v>550</v>
      </c>
      <c r="D25375" t="s">
        <v>2281</v>
      </c>
      <c r="E25375" t="s">
        <v>2282</v>
      </c>
      <c r="F25375" t="s">
        <v>2283</v>
      </c>
      <c r="G25375" t="s">
        <v>2284</v>
      </c>
      <c r="H25375" t="s">
        <v>2285</v>
      </c>
      <c r="I25375" t="s">
        <v>2286</v>
      </c>
      <c r="J25375" t="s">
        <v>2287</v>
      </c>
      <c r="K25375" t="s">
        <v>2288</v>
      </c>
      <c r="L25375" t="s">
        <v>2289</v>
      </c>
      <c r="M25375" t="s">
        <v>2290</v>
      </c>
      <c r="N25375" t="s">
        <v>2291</v>
      </c>
      <c r="O25375" t="s">
        <v>2292</v>
      </c>
      <c r="P25375" t="s">
        <v>2293</v>
      </c>
      <c r="Q25375" t="s">
        <v>2294</v>
      </c>
      <c r="R25375" t="s">
        <v>2295</v>
      </c>
      <c r="S25375" t="s">
        <v>2296</v>
      </c>
      <c r="T25375" t="s">
        <v>2297</v>
      </c>
      <c r="U25375" t="s">
        <v>326</v>
      </c>
      <c r="V25375" t="s">
        <v>2298</v>
      </c>
      <c r="W25375" t="s">
        <v>2299</v>
      </c>
      <c r="X25375" t="s">
        <v>281</v>
      </c>
      <c r="Y25375" t="s">
        <v>286</v>
      </c>
      <c r="Z25375" t="s">
        <v>226</v>
      </c>
    </row>
    <row r="25376" spans="1:26" x14ac:dyDescent="0.35">
      <c r="A25376" t="s">
        <v>227</v>
      </c>
      <c r="B25376" t="s">
        <v>249</v>
      </c>
      <c r="C25376" s="26">
        <v>0.54549999999999998</v>
      </c>
      <c r="D25376" s="26">
        <v>0.34089999999999998</v>
      </c>
      <c r="E25376" s="26">
        <v>6.8199999999999997E-2</v>
      </c>
      <c r="F25376" s="26">
        <v>9.0899999999999995E-2</v>
      </c>
      <c r="G25376" s="26">
        <v>6.8199999999999997E-2</v>
      </c>
      <c r="H25376" s="26">
        <v>2.2700000000000001E-2</v>
      </c>
      <c r="I25376" s="26">
        <v>4.5499999999999999E-2</v>
      </c>
      <c r="K25376" s="26">
        <v>6.8199999999999997E-2</v>
      </c>
      <c r="L25376" s="26">
        <v>9.0899999999999995E-2</v>
      </c>
      <c r="M25376" s="26">
        <v>2.2700000000000001E-2</v>
      </c>
      <c r="O25376" s="26">
        <v>2.2700000000000001E-2</v>
      </c>
      <c r="U25376" s="26">
        <v>2.2700000000000001E-2</v>
      </c>
      <c r="Z25376">
        <v>44</v>
      </c>
    </row>
    <row r="25377" spans="1:26" x14ac:dyDescent="0.35">
      <c r="A25377" t="s">
        <v>227</v>
      </c>
      <c r="B25377" t="s">
        <v>248</v>
      </c>
      <c r="C25377" s="26">
        <v>0.47410000000000002</v>
      </c>
      <c r="D25377" s="26">
        <v>0.22409999999999999</v>
      </c>
      <c r="E25377" s="26">
        <v>7.7600000000000002E-2</v>
      </c>
      <c r="F25377" s="26">
        <v>7.7600000000000002E-2</v>
      </c>
      <c r="G25377" s="26">
        <v>5.1700000000000003E-2</v>
      </c>
      <c r="H25377" s="26">
        <v>3.4500000000000003E-2</v>
      </c>
      <c r="I25377" s="26">
        <v>4.3099999999999999E-2</v>
      </c>
      <c r="J25377" s="26">
        <v>4.3099999999999999E-2</v>
      </c>
      <c r="K25377" s="26">
        <v>5.1700000000000003E-2</v>
      </c>
      <c r="L25377" s="26">
        <v>3.4500000000000003E-2</v>
      </c>
      <c r="M25377" s="26">
        <v>8.6E-3</v>
      </c>
      <c r="N25377" s="26">
        <v>2.5899999999999999E-2</v>
      </c>
      <c r="O25377" s="26">
        <v>1.72E-2</v>
      </c>
      <c r="P25377" s="26">
        <v>3.4500000000000003E-2</v>
      </c>
      <c r="Q25377" s="26">
        <v>1.72E-2</v>
      </c>
      <c r="R25377" s="26">
        <v>1.72E-2</v>
      </c>
      <c r="T25377" s="26">
        <v>2.5899999999999999E-2</v>
      </c>
      <c r="Z25377">
        <v>116</v>
      </c>
    </row>
    <row r="25378" spans="1:26" x14ac:dyDescent="0.35">
      <c r="A25378" t="s">
        <v>228</v>
      </c>
      <c r="B25378" t="s">
        <v>249</v>
      </c>
      <c r="C25378" s="26">
        <v>0.42499999999999999</v>
      </c>
      <c r="D25378" s="26">
        <v>0.33800000000000002</v>
      </c>
      <c r="E25378" s="26">
        <v>9.3200000000000005E-2</v>
      </c>
      <c r="F25378" s="26">
        <v>8.4900000000000003E-2</v>
      </c>
      <c r="G25378" s="26">
        <v>0.1178</v>
      </c>
      <c r="H25378" s="26">
        <v>0.1071</v>
      </c>
      <c r="I25378" s="26">
        <v>4.8500000000000001E-2</v>
      </c>
      <c r="J25378" s="26">
        <v>3.5499999999999997E-2</v>
      </c>
      <c r="K25378" s="26">
        <v>6.3100000000000003E-2</v>
      </c>
      <c r="L25378" s="26">
        <v>4.0300000000000002E-2</v>
      </c>
      <c r="M25378" s="26">
        <v>0.01</v>
      </c>
      <c r="N25378" s="26">
        <v>3.0200000000000001E-2</v>
      </c>
      <c r="O25378" s="26">
        <v>3.7600000000000001E-2</v>
      </c>
      <c r="P25378" s="26">
        <v>9.7000000000000003E-3</v>
      </c>
      <c r="Q25378" s="26">
        <v>6.7000000000000002E-3</v>
      </c>
      <c r="R25378" s="26">
        <v>1.6400000000000001E-2</v>
      </c>
      <c r="S25378" s="26">
        <v>5.4199999999999998E-2</v>
      </c>
      <c r="T25378" s="26">
        <v>5.5999999999999999E-3</v>
      </c>
      <c r="U25378" s="26">
        <v>1.11E-2</v>
      </c>
      <c r="V25378" s="26">
        <v>1.2500000000000001E-2</v>
      </c>
      <c r="W25378" s="26">
        <v>1.4E-3</v>
      </c>
      <c r="X25378" s="26">
        <v>4.0000000000000001E-3</v>
      </c>
      <c r="Z25378">
        <v>273</v>
      </c>
    </row>
    <row r="25379" spans="1:26" x14ac:dyDescent="0.35">
      <c r="A25379" t="s">
        <v>228</v>
      </c>
      <c r="B25379" t="s">
        <v>248</v>
      </c>
      <c r="C25379" s="26">
        <v>0.45829999999999999</v>
      </c>
      <c r="D25379" s="26">
        <v>0.28599999999999998</v>
      </c>
      <c r="E25379" s="26">
        <v>8.43E-2</v>
      </c>
      <c r="F25379" s="26">
        <v>6.5000000000000002E-2</v>
      </c>
      <c r="G25379" s="26">
        <v>6.2899999999999998E-2</v>
      </c>
      <c r="H25379" s="26">
        <v>9.98E-2</v>
      </c>
      <c r="I25379" s="26">
        <v>5.16E-2</v>
      </c>
      <c r="J25379" s="26">
        <v>4.02E-2</v>
      </c>
      <c r="K25379" s="26">
        <v>3.2500000000000001E-2</v>
      </c>
      <c r="L25379" s="26">
        <v>1.9400000000000001E-2</v>
      </c>
      <c r="M25379" s="26">
        <v>4.24E-2</v>
      </c>
      <c r="N25379" s="26">
        <v>5.2299999999999999E-2</v>
      </c>
      <c r="O25379" s="26">
        <v>2.7799999999999998E-2</v>
      </c>
      <c r="P25379" s="26">
        <v>2.7400000000000001E-2</v>
      </c>
      <c r="Q25379" s="26">
        <v>1.2800000000000001E-2</v>
      </c>
      <c r="R25379" s="26">
        <v>2E-3</v>
      </c>
      <c r="S25379" s="26">
        <v>6.7000000000000002E-3</v>
      </c>
      <c r="T25379" s="26">
        <v>8.8000000000000005E-3</v>
      </c>
      <c r="U25379" s="26">
        <v>8.9999999999999998E-4</v>
      </c>
      <c r="V25379" s="26">
        <v>1.04E-2</v>
      </c>
      <c r="W25379" s="26">
        <v>6.8999999999999999E-3</v>
      </c>
      <c r="X25379" s="26">
        <v>1.1299999999999999E-2</v>
      </c>
      <c r="Y25379" s="26">
        <v>5.8999999999999999E-3</v>
      </c>
      <c r="Z25379">
        <v>753</v>
      </c>
    </row>
    <row r="25380" spans="1:26" x14ac:dyDescent="0.35">
      <c r="A25380" t="s">
        <v>229</v>
      </c>
      <c r="B25380" t="s">
        <v>249</v>
      </c>
      <c r="C25380" s="26">
        <v>0.52329999999999999</v>
      </c>
      <c r="D25380" s="26">
        <v>0.27410000000000001</v>
      </c>
      <c r="E25380" s="26">
        <v>0.1265</v>
      </c>
      <c r="F25380" s="26">
        <v>4.1799999999999997E-2</v>
      </c>
      <c r="G25380" s="26">
        <v>7.46E-2</v>
      </c>
      <c r="H25380" s="26">
        <v>7.9500000000000001E-2</v>
      </c>
      <c r="I25380" s="26">
        <v>3.2300000000000002E-2</v>
      </c>
      <c r="J25380" s="26">
        <v>4.6699999999999998E-2</v>
      </c>
      <c r="K25380" s="26">
        <v>1.72E-2</v>
      </c>
      <c r="L25380" s="26">
        <v>3.44E-2</v>
      </c>
      <c r="M25380" s="26">
        <v>1.43E-2</v>
      </c>
      <c r="N25380" s="26">
        <v>1.9E-2</v>
      </c>
      <c r="O25380" s="26">
        <v>3.5999999999999999E-3</v>
      </c>
      <c r="P25380" s="26">
        <v>3.3799999999999997E-2</v>
      </c>
      <c r="Q25380" s="26">
        <v>1.6899999999999998E-2</v>
      </c>
      <c r="R25380" s="26">
        <v>1E-3</v>
      </c>
      <c r="S25380" s="26">
        <v>3.5299999999999998E-2</v>
      </c>
      <c r="T25380" s="26">
        <v>1.18E-2</v>
      </c>
      <c r="U25380" s="26">
        <v>9.1999999999999998E-3</v>
      </c>
      <c r="V25380" s="26">
        <v>1E-3</v>
      </c>
      <c r="W25380" s="26">
        <v>1.9400000000000001E-2</v>
      </c>
      <c r="X25380" s="26">
        <v>1.2999999999999999E-3</v>
      </c>
      <c r="Z25380">
        <v>257</v>
      </c>
    </row>
    <row r="25381" spans="1:26" x14ac:dyDescent="0.35">
      <c r="A25381" t="s">
        <v>229</v>
      </c>
      <c r="B25381" t="s">
        <v>248</v>
      </c>
      <c r="C25381" s="26">
        <v>0.53029999999999999</v>
      </c>
      <c r="D25381" s="26">
        <v>0.2661</v>
      </c>
      <c r="E25381" s="26">
        <v>8.6400000000000005E-2</v>
      </c>
      <c r="F25381" s="26">
        <v>4.4299999999999999E-2</v>
      </c>
      <c r="G25381" s="26">
        <v>7.0499999999999993E-2</v>
      </c>
      <c r="H25381" s="26">
        <v>4.02E-2</v>
      </c>
      <c r="I25381" s="26">
        <v>3.85E-2</v>
      </c>
      <c r="J25381" s="26">
        <v>2.8500000000000001E-2</v>
      </c>
      <c r="K25381" s="26">
        <v>2.4500000000000001E-2</v>
      </c>
      <c r="L25381" s="26">
        <v>1.8800000000000001E-2</v>
      </c>
      <c r="M25381" s="26">
        <v>1.7999999999999999E-2</v>
      </c>
      <c r="N25381" s="26">
        <v>1.5299999999999999E-2</v>
      </c>
      <c r="O25381" s="26">
        <v>2.4799999999999999E-2</v>
      </c>
      <c r="P25381" s="26">
        <v>1.7399999999999999E-2</v>
      </c>
      <c r="Q25381" s="26">
        <v>2.3E-3</v>
      </c>
      <c r="R25381" s="26">
        <v>5.4000000000000003E-3</v>
      </c>
      <c r="S25381" s="26">
        <v>1E-4</v>
      </c>
      <c r="T25381" s="26">
        <v>1.7899999999999999E-2</v>
      </c>
      <c r="U25381" s="26">
        <v>3.8999999999999998E-3</v>
      </c>
      <c r="V25381" s="26">
        <v>1.37E-2</v>
      </c>
      <c r="W25381" s="26">
        <v>2E-3</v>
      </c>
      <c r="X25381" s="26">
        <v>1.3299999999999999E-2</v>
      </c>
      <c r="Y25381" s="26">
        <v>7.0000000000000001E-3</v>
      </c>
      <c r="Z25381">
        <v>632</v>
      </c>
    </row>
    <row r="25382" spans="1:26" x14ac:dyDescent="0.35">
      <c r="A25382" t="s">
        <v>230</v>
      </c>
      <c r="B25382" t="s">
        <v>249</v>
      </c>
      <c r="C25382" s="26">
        <v>0.4511</v>
      </c>
      <c r="D25382" s="26">
        <v>0.35470000000000002</v>
      </c>
      <c r="E25382" s="26">
        <v>0.151</v>
      </c>
      <c r="F25382" s="26">
        <v>7.8100000000000003E-2</v>
      </c>
      <c r="G25382" s="26">
        <v>4.1700000000000001E-2</v>
      </c>
      <c r="H25382" s="26">
        <v>6.6400000000000001E-2</v>
      </c>
      <c r="I25382" s="26">
        <v>7.9000000000000001E-2</v>
      </c>
      <c r="J25382" s="26">
        <v>4.24E-2</v>
      </c>
      <c r="K25382" s="26">
        <v>3.9E-2</v>
      </c>
      <c r="L25382" s="26">
        <v>4.6300000000000001E-2</v>
      </c>
      <c r="M25382" s="26">
        <v>9.5999999999999992E-3</v>
      </c>
      <c r="N25382" s="26">
        <v>5.9499999999999997E-2</v>
      </c>
      <c r="O25382" s="26">
        <v>6.6500000000000004E-2</v>
      </c>
      <c r="P25382" s="26">
        <v>3.3599999999999998E-2</v>
      </c>
      <c r="Q25382" s="26">
        <v>2.1399999999999999E-2</v>
      </c>
      <c r="R25382" s="26">
        <v>1.8599999999999998E-2</v>
      </c>
      <c r="S25382" s="26">
        <v>5.2200000000000003E-2</v>
      </c>
      <c r="T25382" s="26">
        <v>2.5999999999999999E-3</v>
      </c>
      <c r="V25382" s="26">
        <v>2.5999999999999999E-3</v>
      </c>
      <c r="W25382" s="26">
        <v>8.0000000000000004E-4</v>
      </c>
      <c r="X25382" s="26">
        <v>2.5999999999999999E-3</v>
      </c>
      <c r="Z25382">
        <v>170</v>
      </c>
    </row>
    <row r="25383" spans="1:26" x14ac:dyDescent="0.35">
      <c r="A25383" t="s">
        <v>230</v>
      </c>
      <c r="B25383" t="s">
        <v>248</v>
      </c>
      <c r="C25383" s="26">
        <v>0.43049999999999999</v>
      </c>
      <c r="D25383" s="26">
        <v>0.34760000000000002</v>
      </c>
      <c r="E25383" s="26">
        <v>8.77E-2</v>
      </c>
      <c r="F25383" s="26">
        <v>7.0699999999999999E-2</v>
      </c>
      <c r="G25383" s="26">
        <v>0.1003</v>
      </c>
      <c r="H25383" s="26">
        <v>7.7100000000000002E-2</v>
      </c>
      <c r="I25383" s="26">
        <v>3.7900000000000003E-2</v>
      </c>
      <c r="J25383" s="26">
        <v>7.4899999999999994E-2</v>
      </c>
      <c r="K25383" s="26">
        <v>1.4800000000000001E-2</v>
      </c>
      <c r="L25383" s="26">
        <v>5.5399999999999998E-2</v>
      </c>
      <c r="M25383" s="26">
        <v>5.8700000000000002E-2</v>
      </c>
      <c r="N25383" s="26">
        <v>4.2799999999999998E-2</v>
      </c>
      <c r="O25383" s="26">
        <v>2.63E-2</v>
      </c>
      <c r="P25383" s="26">
        <v>1.09E-2</v>
      </c>
      <c r="Q25383" s="26">
        <v>5.0000000000000001E-3</v>
      </c>
      <c r="R25383" s="26">
        <v>4.0000000000000002E-4</v>
      </c>
      <c r="S25383" s="26">
        <v>3.5999999999999999E-3</v>
      </c>
      <c r="T25383" s="26">
        <v>5.0000000000000001E-3</v>
      </c>
      <c r="U25383" s="26">
        <v>3.2000000000000002E-3</v>
      </c>
      <c r="V25383" s="26">
        <v>1.8599999999999998E-2</v>
      </c>
      <c r="W25383" s="26">
        <v>1.6899999999999998E-2</v>
      </c>
      <c r="X25383" s="26">
        <v>1.1900000000000001E-2</v>
      </c>
      <c r="Z25383">
        <v>386</v>
      </c>
    </row>
    <row r="25384" spans="1:26" x14ac:dyDescent="0.35">
      <c r="A25384" t="s">
        <v>231</v>
      </c>
      <c r="B25384" t="s">
        <v>249</v>
      </c>
      <c r="C25384" s="26">
        <v>0.5</v>
      </c>
      <c r="D25384" s="26">
        <v>0.4118</v>
      </c>
      <c r="E25384" s="26">
        <v>5.8799999999999998E-2</v>
      </c>
      <c r="F25384" s="26">
        <v>8.8200000000000001E-2</v>
      </c>
      <c r="G25384" s="26">
        <v>5.8799999999999998E-2</v>
      </c>
      <c r="J25384" s="26">
        <v>5.8799999999999998E-2</v>
      </c>
      <c r="K25384" s="26">
        <v>2.9399999999999999E-2</v>
      </c>
      <c r="L25384" s="26">
        <v>2.9399999999999999E-2</v>
      </c>
      <c r="M25384" s="26">
        <v>5.8799999999999998E-2</v>
      </c>
      <c r="Z25384">
        <v>34</v>
      </c>
    </row>
    <row r="25385" spans="1:26" x14ac:dyDescent="0.35">
      <c r="A25385" t="s">
        <v>231</v>
      </c>
      <c r="B25385" t="s">
        <v>248</v>
      </c>
      <c r="C25385" s="26">
        <v>0.55910000000000004</v>
      </c>
      <c r="D25385" s="26">
        <v>0.25979999999999998</v>
      </c>
      <c r="E25385" s="26">
        <v>3.9399999999999998E-2</v>
      </c>
      <c r="F25385" s="26">
        <v>3.9399999999999998E-2</v>
      </c>
      <c r="G25385" s="26">
        <v>1.5699999999999999E-2</v>
      </c>
      <c r="H25385" s="26">
        <v>3.15E-2</v>
      </c>
      <c r="I25385" s="26">
        <v>4.7199999999999999E-2</v>
      </c>
      <c r="J25385" s="26">
        <v>1.5699999999999999E-2</v>
      </c>
      <c r="K25385" s="26">
        <v>2.3599999999999999E-2</v>
      </c>
      <c r="L25385" s="26">
        <v>1.5699999999999999E-2</v>
      </c>
      <c r="M25385" s="26">
        <v>3.15E-2</v>
      </c>
      <c r="N25385" s="26">
        <v>7.9000000000000008E-3</v>
      </c>
      <c r="O25385" s="26">
        <v>1.5699999999999999E-2</v>
      </c>
      <c r="P25385" s="26">
        <v>7.9000000000000008E-3</v>
      </c>
      <c r="Q25385" s="26">
        <v>1.5699999999999999E-2</v>
      </c>
      <c r="R25385" s="26">
        <v>2.3599999999999999E-2</v>
      </c>
      <c r="U25385" s="26">
        <v>2.3599999999999999E-2</v>
      </c>
      <c r="V25385" s="26">
        <v>7.9000000000000008E-3</v>
      </c>
      <c r="W25385" s="26">
        <v>7.9000000000000008E-3</v>
      </c>
      <c r="Z25385">
        <v>127</v>
      </c>
    </row>
    <row r="25386" spans="1:26" x14ac:dyDescent="0.35">
      <c r="A25386" t="s">
        <v>232</v>
      </c>
      <c r="B25386" t="s">
        <v>232</v>
      </c>
      <c r="C25386" s="26">
        <v>0.50360000000000005</v>
      </c>
      <c r="D25386" s="26">
        <v>0.2873</v>
      </c>
      <c r="E25386" s="26">
        <v>7.9000000000000001E-2</v>
      </c>
      <c r="F25386" s="26">
        <v>5.91E-2</v>
      </c>
      <c r="G25386" s="26">
        <v>5.8900000000000001E-2</v>
      </c>
      <c r="H25386" s="26">
        <v>5.3600000000000002E-2</v>
      </c>
      <c r="I25386" s="26">
        <v>4.2000000000000003E-2</v>
      </c>
      <c r="J25386" s="26">
        <v>3.5000000000000003E-2</v>
      </c>
      <c r="K25386" s="26">
        <v>3.1899999999999998E-2</v>
      </c>
      <c r="L25386" s="26">
        <v>2.9499999999999998E-2</v>
      </c>
      <c r="M25386" s="26">
        <v>2.7199999999999998E-2</v>
      </c>
      <c r="N25386" s="26">
        <v>2.2800000000000001E-2</v>
      </c>
      <c r="O25386" s="26">
        <v>2.1100000000000001E-2</v>
      </c>
      <c r="P25386" s="26">
        <v>1.8100000000000002E-2</v>
      </c>
      <c r="Q25386" s="26">
        <v>1.0500000000000001E-2</v>
      </c>
      <c r="R25386" s="26">
        <v>0.01</v>
      </c>
      <c r="S25386" s="26">
        <v>9.4000000000000004E-3</v>
      </c>
      <c r="T25386" s="26">
        <v>9.2999999999999992E-3</v>
      </c>
      <c r="U25386" s="26">
        <v>8.6E-3</v>
      </c>
      <c r="V25386" s="26">
        <v>7.7999999999999996E-3</v>
      </c>
      <c r="W25386" s="26">
        <v>6.0000000000000001E-3</v>
      </c>
      <c r="X25386" s="26">
        <v>5.3E-3</v>
      </c>
      <c r="Y25386" s="26">
        <v>2.0999999999999999E-3</v>
      </c>
      <c r="Z25386">
        <v>2792</v>
      </c>
    </row>
    <row r="25388" spans="1:26" x14ac:dyDescent="0.35">
      <c r="A25388" s="1" t="s">
        <v>2307</v>
      </c>
    </row>
    <row r="25389" spans="1:26" x14ac:dyDescent="0.35">
      <c r="A25389" t="s">
        <v>219</v>
      </c>
      <c r="B25389" t="s">
        <v>305</v>
      </c>
      <c r="C25389" t="s">
        <v>550</v>
      </c>
      <c r="D25389" t="s">
        <v>2281</v>
      </c>
      <c r="E25389" t="s">
        <v>2282</v>
      </c>
      <c r="F25389" t="s">
        <v>2283</v>
      </c>
      <c r="G25389" t="s">
        <v>2284</v>
      </c>
      <c r="H25389" t="s">
        <v>2285</v>
      </c>
      <c r="I25389" t="s">
        <v>2286</v>
      </c>
      <c r="J25389" t="s">
        <v>2287</v>
      </c>
      <c r="K25389" t="s">
        <v>2288</v>
      </c>
      <c r="L25389" t="s">
        <v>2289</v>
      </c>
      <c r="M25389" t="s">
        <v>2290</v>
      </c>
      <c r="N25389" t="s">
        <v>2291</v>
      </c>
      <c r="O25389" t="s">
        <v>2292</v>
      </c>
      <c r="P25389" t="s">
        <v>2293</v>
      </c>
      <c r="Q25389" t="s">
        <v>2294</v>
      </c>
      <c r="R25389" t="s">
        <v>2295</v>
      </c>
      <c r="S25389" t="s">
        <v>2296</v>
      </c>
      <c r="T25389" t="s">
        <v>2297</v>
      </c>
      <c r="U25389" t="s">
        <v>326</v>
      </c>
      <c r="V25389" t="s">
        <v>2298</v>
      </c>
      <c r="W25389" t="s">
        <v>2299</v>
      </c>
      <c r="X25389" t="s">
        <v>281</v>
      </c>
      <c r="Y25389" t="s">
        <v>286</v>
      </c>
      <c r="Z25389" t="s">
        <v>226</v>
      </c>
    </row>
    <row r="25390" spans="1:26" x14ac:dyDescent="0.35">
      <c r="A25390" s="27" t="s">
        <v>227</v>
      </c>
      <c r="B25390" s="27" t="s">
        <v>263</v>
      </c>
      <c r="C25390" s="28">
        <v>0.66669999999999996</v>
      </c>
      <c r="D25390" s="29"/>
      <c r="E25390" s="29"/>
      <c r="F25390" s="29"/>
      <c r="G25390" s="28">
        <v>0.33329999999999999</v>
      </c>
      <c r="H25390" s="29"/>
      <c r="I25390" s="29"/>
      <c r="J25390" s="29"/>
      <c r="K25390" s="29"/>
      <c r="L25390" s="29"/>
      <c r="M25390" s="29"/>
      <c r="N25390" s="29"/>
      <c r="O25390" s="29"/>
      <c r="P25390" s="29"/>
      <c r="Q25390" s="29"/>
      <c r="R25390" s="29"/>
      <c r="S25390" s="29"/>
      <c r="T25390" s="29"/>
      <c r="U25390" s="29"/>
      <c r="V25390" s="29"/>
      <c r="W25390" s="29"/>
      <c r="X25390" s="29"/>
      <c r="Y25390" s="29"/>
      <c r="Z25390" s="29" t="s">
        <v>315</v>
      </c>
    </row>
    <row r="25391" spans="1:26" x14ac:dyDescent="0.35">
      <c r="A25391" t="s">
        <v>227</v>
      </c>
      <c r="B25391" t="s">
        <v>261</v>
      </c>
      <c r="C25391" s="26">
        <v>0.36359999999999998</v>
      </c>
      <c r="D25391" s="26">
        <v>0.21210000000000001</v>
      </c>
      <c r="E25391" s="26">
        <v>9.0899999999999995E-2</v>
      </c>
      <c r="F25391" s="26">
        <v>9.0899999999999995E-2</v>
      </c>
      <c r="G25391" s="26">
        <v>9.0899999999999995E-2</v>
      </c>
      <c r="H25391" s="26">
        <v>3.0300000000000001E-2</v>
      </c>
      <c r="I25391" s="26">
        <v>0.1212</v>
      </c>
      <c r="J25391" s="26">
        <v>3.0300000000000001E-2</v>
      </c>
      <c r="K25391" s="26">
        <v>0.1515</v>
      </c>
      <c r="M25391" s="26">
        <v>3.0300000000000001E-2</v>
      </c>
      <c r="N25391" s="26">
        <v>3.0300000000000001E-2</v>
      </c>
      <c r="P25391" s="26">
        <v>3.0300000000000001E-2</v>
      </c>
      <c r="R25391" s="26">
        <v>3.0300000000000001E-2</v>
      </c>
      <c r="T25391" s="26">
        <v>3.0300000000000001E-2</v>
      </c>
      <c r="Z25391">
        <v>33</v>
      </c>
    </row>
    <row r="25392" spans="1:26" x14ac:dyDescent="0.35">
      <c r="A25392" s="27" t="s">
        <v>227</v>
      </c>
      <c r="B25392" s="27" t="s">
        <v>262</v>
      </c>
      <c r="C25392" s="28">
        <v>0.66669999999999996</v>
      </c>
      <c r="D25392" s="28">
        <v>0.33329999999999999</v>
      </c>
      <c r="E25392" s="29"/>
      <c r="F25392" s="29"/>
      <c r="G25392" s="29"/>
      <c r="H25392" s="29"/>
      <c r="I25392" s="29"/>
      <c r="J25392" s="29"/>
      <c r="K25392" s="29"/>
      <c r="L25392" s="29"/>
      <c r="M25392" s="29"/>
      <c r="N25392" s="29"/>
      <c r="O25392" s="29"/>
      <c r="P25392" s="29"/>
      <c r="Q25392" s="29"/>
      <c r="R25392" s="29"/>
      <c r="S25392" s="29"/>
      <c r="T25392" s="29"/>
      <c r="U25392" s="29"/>
      <c r="V25392" s="29"/>
      <c r="W25392" s="29"/>
      <c r="X25392" s="29"/>
      <c r="Y25392" s="29"/>
      <c r="Z25392" s="29" t="s">
        <v>315</v>
      </c>
    </row>
    <row r="25393" spans="1:26" x14ac:dyDescent="0.35">
      <c r="A25393" t="s">
        <v>227</v>
      </c>
      <c r="B25393" t="s">
        <v>260</v>
      </c>
      <c r="C25393" s="26">
        <v>0.52070000000000005</v>
      </c>
      <c r="D25393" s="26">
        <v>0.2727</v>
      </c>
      <c r="E25393" s="26">
        <v>7.4399999999999994E-2</v>
      </c>
      <c r="F25393" s="26">
        <v>8.2600000000000007E-2</v>
      </c>
      <c r="G25393" s="26">
        <v>4.1300000000000003E-2</v>
      </c>
      <c r="H25393" s="26">
        <v>3.3099999999999997E-2</v>
      </c>
      <c r="I25393" s="26">
        <v>2.4799999999999999E-2</v>
      </c>
      <c r="J25393" s="26">
        <v>3.3099999999999997E-2</v>
      </c>
      <c r="K25393" s="26">
        <v>3.3099999999999997E-2</v>
      </c>
      <c r="L25393" s="26">
        <v>6.6100000000000006E-2</v>
      </c>
      <c r="M25393" s="26">
        <v>8.3000000000000001E-3</v>
      </c>
      <c r="N25393" s="26">
        <v>1.6500000000000001E-2</v>
      </c>
      <c r="O25393" s="26">
        <v>2.4799999999999999E-2</v>
      </c>
      <c r="P25393" s="26">
        <v>2.4799999999999999E-2</v>
      </c>
      <c r="Q25393" s="26">
        <v>1.6500000000000001E-2</v>
      </c>
      <c r="R25393" s="26">
        <v>8.3000000000000001E-3</v>
      </c>
      <c r="T25393" s="26">
        <v>1.6500000000000001E-2</v>
      </c>
      <c r="U25393" s="26">
        <v>8.3000000000000001E-3</v>
      </c>
      <c r="Z25393">
        <v>121</v>
      </c>
    </row>
    <row r="25394" spans="1:26" x14ac:dyDescent="0.35">
      <c r="A25394" t="s">
        <v>228</v>
      </c>
      <c r="B25394" t="s">
        <v>261</v>
      </c>
      <c r="C25394" s="26">
        <v>0.37109999999999999</v>
      </c>
      <c r="D25394" s="26">
        <v>0.38329999999999997</v>
      </c>
      <c r="E25394" s="26">
        <v>9.1600000000000001E-2</v>
      </c>
      <c r="F25394" s="26">
        <v>0.14099999999999999</v>
      </c>
      <c r="G25394" s="26">
        <v>7.5700000000000003E-2</v>
      </c>
      <c r="H25394" s="26">
        <v>5.8400000000000001E-2</v>
      </c>
      <c r="I25394" s="26">
        <v>5.8400000000000001E-2</v>
      </c>
      <c r="J25394" s="26">
        <v>1.18E-2</v>
      </c>
      <c r="K25394" s="26">
        <v>9.2600000000000002E-2</v>
      </c>
      <c r="L25394" s="26">
        <v>8.0100000000000005E-2</v>
      </c>
      <c r="M25394" s="26">
        <v>2.1000000000000001E-2</v>
      </c>
      <c r="N25394" s="26">
        <v>1.7299999999999999E-2</v>
      </c>
      <c r="O25394" s="26">
        <v>3.6600000000000001E-2</v>
      </c>
      <c r="P25394" s="26">
        <v>1.0500000000000001E-2</v>
      </c>
      <c r="Q25394" s="26">
        <v>1.3299999999999999E-2</v>
      </c>
      <c r="R25394" s="26">
        <v>5.3E-3</v>
      </c>
      <c r="S25394" s="26">
        <v>4.1300000000000003E-2</v>
      </c>
      <c r="T25394" s="26">
        <v>1.72E-2</v>
      </c>
      <c r="U25394" s="26">
        <v>1.9099999999999999E-2</v>
      </c>
      <c r="V25394" s="26">
        <v>7.3000000000000001E-3</v>
      </c>
      <c r="W25394" s="26">
        <v>0.02</v>
      </c>
      <c r="X25394" s="26">
        <v>3.3999999999999998E-3</v>
      </c>
      <c r="Y25394" s="26">
        <v>1.8499999999999999E-2</v>
      </c>
      <c r="Z25394">
        <v>189</v>
      </c>
    </row>
    <row r="25395" spans="1:26" x14ac:dyDescent="0.35">
      <c r="A25395" s="27" t="s">
        <v>228</v>
      </c>
      <c r="B25395" s="27" t="s">
        <v>236</v>
      </c>
      <c r="C25395" s="28">
        <v>0.72189999999999999</v>
      </c>
      <c r="D25395" s="28">
        <v>0.27810000000000001</v>
      </c>
      <c r="E25395" s="28">
        <v>0.13370000000000001</v>
      </c>
      <c r="F25395" s="29"/>
      <c r="G25395" s="29"/>
      <c r="H25395" s="29"/>
      <c r="I25395" s="29"/>
      <c r="J25395" s="29"/>
      <c r="K25395" s="29"/>
      <c r="L25395" s="29"/>
      <c r="M25395" s="29"/>
      <c r="N25395" s="29"/>
      <c r="O25395" s="29"/>
      <c r="P25395" s="29"/>
      <c r="Q25395" s="29"/>
      <c r="R25395" s="29"/>
      <c r="S25395" s="29"/>
      <c r="T25395" s="28">
        <v>0.13370000000000001</v>
      </c>
      <c r="U25395" s="29"/>
      <c r="V25395" s="29"/>
      <c r="W25395" s="29"/>
      <c r="X25395" s="29"/>
      <c r="Y25395" s="29"/>
      <c r="Z25395" s="29" t="s">
        <v>335</v>
      </c>
    </row>
    <row r="25396" spans="1:26" x14ac:dyDescent="0.35">
      <c r="A25396" s="27" t="s">
        <v>228</v>
      </c>
      <c r="B25396" s="27" t="s">
        <v>263</v>
      </c>
      <c r="C25396" s="28">
        <v>0.52890000000000004</v>
      </c>
      <c r="D25396" s="28">
        <v>0.2258</v>
      </c>
      <c r="E25396" s="28">
        <v>5.1400000000000001E-2</v>
      </c>
      <c r="F25396" s="28">
        <v>4.2299999999999997E-2</v>
      </c>
      <c r="G25396" s="28">
        <v>7.3800000000000004E-2</v>
      </c>
      <c r="H25396" s="28">
        <v>0.1696</v>
      </c>
      <c r="I25396" s="29"/>
      <c r="J25396" s="28">
        <v>0.1071</v>
      </c>
      <c r="K25396" s="28">
        <v>5.1400000000000001E-2</v>
      </c>
      <c r="L25396" s="28">
        <v>1.2999999999999999E-2</v>
      </c>
      <c r="M25396" s="28">
        <v>4.2299999999999997E-2</v>
      </c>
      <c r="N25396" s="28">
        <v>4.2299999999999997E-2</v>
      </c>
      <c r="O25396" s="29"/>
      <c r="P25396" s="28">
        <v>2.2100000000000002E-2</v>
      </c>
      <c r="Q25396" s="29"/>
      <c r="R25396" s="28">
        <v>1.2999999999999999E-2</v>
      </c>
      <c r="S25396" s="28">
        <v>4.4499999999999998E-2</v>
      </c>
      <c r="T25396" s="29"/>
      <c r="U25396" s="29"/>
      <c r="V25396" s="29"/>
      <c r="W25396" s="29"/>
      <c r="X25396" s="29"/>
      <c r="Y25396" s="29"/>
      <c r="Z25396" s="29" t="s">
        <v>312</v>
      </c>
    </row>
    <row r="25397" spans="1:26" x14ac:dyDescent="0.35">
      <c r="A25397" t="s">
        <v>228</v>
      </c>
      <c r="B25397" t="s">
        <v>262</v>
      </c>
      <c r="C25397" s="26">
        <v>0.32250000000000001</v>
      </c>
      <c r="D25397" s="26">
        <v>0.25929999999999997</v>
      </c>
      <c r="E25397" s="26">
        <v>8.4000000000000005E-2</v>
      </c>
      <c r="F25397" s="26">
        <v>8.8300000000000003E-2</v>
      </c>
      <c r="G25397" s="26">
        <v>0.20419999999999999</v>
      </c>
      <c r="H25397" s="26">
        <v>0.24440000000000001</v>
      </c>
      <c r="I25397" s="26">
        <v>6.2199999999999998E-2</v>
      </c>
      <c r="J25397" s="26">
        <v>2.9600000000000001E-2</v>
      </c>
      <c r="K25397" s="26">
        <v>5.1999999999999998E-2</v>
      </c>
      <c r="L25397" s="26">
        <v>2.41E-2</v>
      </c>
      <c r="M25397" s="26">
        <v>4.9700000000000001E-2</v>
      </c>
      <c r="N25397" s="26">
        <v>5.2600000000000001E-2</v>
      </c>
      <c r="O25397" s="26">
        <v>1.8800000000000001E-2</v>
      </c>
      <c r="P25397" s="26">
        <v>1.2E-2</v>
      </c>
      <c r="Q25397" s="26">
        <v>1.3100000000000001E-2</v>
      </c>
      <c r="R25397" s="26">
        <v>7.1000000000000004E-3</v>
      </c>
      <c r="S25397" s="26">
        <v>5.1999999999999998E-2</v>
      </c>
      <c r="U25397" s="26">
        <v>1.5E-3</v>
      </c>
      <c r="V25397" s="26">
        <v>2.12E-2</v>
      </c>
      <c r="X25397" s="26">
        <v>5.4000000000000003E-3</v>
      </c>
      <c r="Z25397">
        <v>200</v>
      </c>
    </row>
    <row r="25398" spans="1:26" x14ac:dyDescent="0.35">
      <c r="A25398" t="s">
        <v>228</v>
      </c>
      <c r="B25398" t="s">
        <v>260</v>
      </c>
      <c r="C25398" s="26">
        <v>0.50139999999999996</v>
      </c>
      <c r="D25398" s="26">
        <v>0.2898</v>
      </c>
      <c r="E25398" s="26">
        <v>8.6900000000000005E-2</v>
      </c>
      <c r="F25398" s="26">
        <v>4.58E-2</v>
      </c>
      <c r="G25398" s="26">
        <v>4.7800000000000002E-2</v>
      </c>
      <c r="H25398" s="26">
        <v>7.6300000000000007E-2</v>
      </c>
      <c r="I25398" s="26">
        <v>4.7100000000000003E-2</v>
      </c>
      <c r="J25398" s="26">
        <v>4.8099999999999997E-2</v>
      </c>
      <c r="K25398" s="26">
        <v>2.29E-2</v>
      </c>
      <c r="L25398" s="26">
        <v>9.4999999999999998E-3</v>
      </c>
      <c r="M25398" s="26">
        <v>3.1800000000000002E-2</v>
      </c>
      <c r="N25398" s="26">
        <v>5.3400000000000003E-2</v>
      </c>
      <c r="O25398" s="26">
        <v>3.3399999999999999E-2</v>
      </c>
      <c r="P25398" s="26">
        <v>2.87E-2</v>
      </c>
      <c r="Q25398" s="26">
        <v>1.01E-2</v>
      </c>
      <c r="R25398" s="26">
        <v>6.3E-3</v>
      </c>
      <c r="S25398" s="26">
        <v>5.7000000000000002E-3</v>
      </c>
      <c r="T25398" s="26">
        <v>5.8999999999999999E-3</v>
      </c>
      <c r="V25398" s="26">
        <v>9.9000000000000008E-3</v>
      </c>
      <c r="W25398" s="26">
        <v>2.2000000000000001E-3</v>
      </c>
      <c r="X25398" s="26">
        <v>1.23E-2</v>
      </c>
      <c r="Y25398" s="26">
        <v>8.9999999999999998E-4</v>
      </c>
      <c r="Z25398">
        <v>606</v>
      </c>
    </row>
    <row r="25399" spans="1:26" x14ac:dyDescent="0.35">
      <c r="A25399" s="27" t="s">
        <v>229</v>
      </c>
      <c r="B25399" s="27" t="s">
        <v>263</v>
      </c>
      <c r="C25399" s="28">
        <v>0.62280000000000002</v>
      </c>
      <c r="D25399" s="28">
        <v>9.1300000000000006E-2</v>
      </c>
      <c r="E25399" s="28">
        <v>7.4200000000000002E-2</v>
      </c>
      <c r="F25399" s="29"/>
      <c r="G25399" s="28">
        <v>0.15570000000000001</v>
      </c>
      <c r="H25399" s="28">
        <v>0.19040000000000001</v>
      </c>
      <c r="I25399" s="29"/>
      <c r="J25399" s="28">
        <v>0.15570000000000001</v>
      </c>
      <c r="K25399" s="29"/>
      <c r="L25399" s="29"/>
      <c r="M25399" s="29"/>
      <c r="N25399" s="29"/>
      <c r="O25399" s="28">
        <v>4.8999999999999998E-3</v>
      </c>
      <c r="P25399" s="29"/>
      <c r="Q25399" s="29"/>
      <c r="R25399" s="29"/>
      <c r="S25399" s="29"/>
      <c r="T25399" s="29"/>
      <c r="U25399" s="29"/>
      <c r="V25399" s="29"/>
      <c r="W25399" s="28">
        <v>3.4700000000000002E-2</v>
      </c>
      <c r="X25399" s="28">
        <v>0.13009999999999999</v>
      </c>
      <c r="Y25399" s="29"/>
      <c r="Z25399" s="29" t="s">
        <v>379</v>
      </c>
    </row>
    <row r="25400" spans="1:26" x14ac:dyDescent="0.35">
      <c r="A25400" t="s">
        <v>229</v>
      </c>
      <c r="B25400" t="s">
        <v>262</v>
      </c>
      <c r="C25400" s="26">
        <v>0.5323</v>
      </c>
      <c r="D25400" s="26">
        <v>0.22259999999999999</v>
      </c>
      <c r="E25400" s="26">
        <v>9.4200000000000006E-2</v>
      </c>
      <c r="F25400" s="26">
        <v>3.0099999999999998E-2</v>
      </c>
      <c r="G25400" s="26">
        <v>8.9499999999999996E-2</v>
      </c>
      <c r="H25400" s="26">
        <v>0.1007</v>
      </c>
      <c r="I25400" s="26">
        <v>3.7400000000000003E-2</v>
      </c>
      <c r="J25400" s="26">
        <v>4.3400000000000001E-2</v>
      </c>
      <c r="K25400" s="26">
        <v>1.09E-2</v>
      </c>
      <c r="L25400" s="26">
        <v>1.44E-2</v>
      </c>
      <c r="M25400" s="26">
        <v>9.4000000000000004E-3</v>
      </c>
      <c r="N25400" s="26">
        <v>1.8100000000000002E-2</v>
      </c>
      <c r="O25400" s="26">
        <v>1.44E-2</v>
      </c>
      <c r="P25400" s="26">
        <v>3.2300000000000002E-2</v>
      </c>
      <c r="Q25400" s="26">
        <v>1.0800000000000001E-2</v>
      </c>
      <c r="S25400" s="26">
        <v>1.3899999999999999E-2</v>
      </c>
      <c r="T25400" s="26">
        <v>1.3299999999999999E-2</v>
      </c>
      <c r="U25400" s="26">
        <v>1.0800000000000001E-2</v>
      </c>
      <c r="V25400" s="26">
        <v>1.12E-2</v>
      </c>
      <c r="W25400" s="26">
        <v>1.0800000000000001E-2</v>
      </c>
      <c r="X25400" s="26">
        <v>9.1000000000000004E-3</v>
      </c>
      <c r="Y25400" s="26">
        <v>2.3999999999999998E-3</v>
      </c>
      <c r="Z25400">
        <v>186</v>
      </c>
    </row>
    <row r="25401" spans="1:26" x14ac:dyDescent="0.35">
      <c r="A25401" t="s">
        <v>229</v>
      </c>
      <c r="B25401" t="s">
        <v>261</v>
      </c>
      <c r="C25401" s="26">
        <v>0.3992</v>
      </c>
      <c r="D25401" s="26">
        <v>0.33460000000000001</v>
      </c>
      <c r="E25401" s="26">
        <v>7.4499999999999997E-2</v>
      </c>
      <c r="F25401" s="26">
        <v>0.1236</v>
      </c>
      <c r="G25401" s="26">
        <v>8.2000000000000003E-2</v>
      </c>
      <c r="H25401" s="26">
        <v>3.78E-2</v>
      </c>
      <c r="I25401" s="26">
        <v>8.7999999999999995E-2</v>
      </c>
      <c r="J25401" s="26">
        <v>2.64E-2</v>
      </c>
      <c r="K25401" s="26">
        <v>7.3400000000000007E-2</v>
      </c>
      <c r="L25401" s="26">
        <v>9.2799999999999994E-2</v>
      </c>
      <c r="M25401" s="26">
        <v>2.3E-3</v>
      </c>
      <c r="N25401" s="26">
        <v>5.5100000000000003E-2</v>
      </c>
      <c r="O25401" s="26">
        <v>4.5999999999999999E-3</v>
      </c>
      <c r="P25401" s="26">
        <v>5.5E-2</v>
      </c>
      <c r="Q25401" s="26">
        <v>2.3E-3</v>
      </c>
      <c r="R25401" s="26">
        <v>6.7999999999999996E-3</v>
      </c>
      <c r="S25401" s="26">
        <v>2.29E-2</v>
      </c>
      <c r="T25401" s="26">
        <v>4.0099999999999997E-2</v>
      </c>
      <c r="U25401" s="26">
        <v>1.72E-2</v>
      </c>
      <c r="X25401" s="26">
        <v>2.3E-3</v>
      </c>
      <c r="Y25401" s="26">
        <v>2.29E-2</v>
      </c>
      <c r="Z25401">
        <v>95</v>
      </c>
    </row>
    <row r="25402" spans="1:26" x14ac:dyDescent="0.35">
      <c r="A25402" s="27" t="s">
        <v>229</v>
      </c>
      <c r="B25402" s="27" t="s">
        <v>236</v>
      </c>
      <c r="C25402" s="28">
        <v>1</v>
      </c>
      <c r="D25402" s="29"/>
      <c r="E25402" s="29"/>
      <c r="F25402" s="29"/>
      <c r="G25402" s="29"/>
      <c r="H25402" s="29"/>
      <c r="I25402" s="29"/>
      <c r="J25402" s="29"/>
      <c r="K25402" s="29"/>
      <c r="L25402" s="29"/>
      <c r="M25402" s="29"/>
      <c r="N25402" s="29"/>
      <c r="O25402" s="29"/>
      <c r="P25402" s="29"/>
      <c r="Q25402" s="29"/>
      <c r="R25402" s="29"/>
      <c r="S25402" s="29"/>
      <c r="T25402" s="29"/>
      <c r="U25402" s="29"/>
      <c r="V25402" s="29"/>
      <c r="W25402" s="29"/>
      <c r="X25402" s="29"/>
      <c r="Y25402" s="29"/>
      <c r="Z25402" s="29" t="s">
        <v>331</v>
      </c>
    </row>
    <row r="25403" spans="1:26" x14ac:dyDescent="0.35">
      <c r="A25403" t="s">
        <v>229</v>
      </c>
      <c r="B25403" t="s">
        <v>260</v>
      </c>
      <c r="C25403" s="26">
        <v>0.55659999999999998</v>
      </c>
      <c r="D25403" s="26">
        <v>0.28079999999999999</v>
      </c>
      <c r="E25403" s="26">
        <v>0.1099</v>
      </c>
      <c r="F25403" s="26">
        <v>3.0499999999999999E-2</v>
      </c>
      <c r="G25403" s="26">
        <v>5.7299999999999997E-2</v>
      </c>
      <c r="H25403" s="26">
        <v>2.8400000000000002E-2</v>
      </c>
      <c r="I25403" s="26">
        <v>2.35E-2</v>
      </c>
      <c r="J25403" s="26">
        <v>2.7799999999999998E-2</v>
      </c>
      <c r="K25403" s="26">
        <v>1.49E-2</v>
      </c>
      <c r="L25403" s="26">
        <v>1.12E-2</v>
      </c>
      <c r="M25403" s="26">
        <v>2.4899999999999999E-2</v>
      </c>
      <c r="N25403" s="26">
        <v>6.0000000000000001E-3</v>
      </c>
      <c r="O25403" s="26">
        <v>2.3599999999999999E-2</v>
      </c>
      <c r="P25403" s="26">
        <v>1.0200000000000001E-2</v>
      </c>
      <c r="Q25403" s="26">
        <v>6.7000000000000002E-3</v>
      </c>
      <c r="R25403" s="26">
        <v>5.4000000000000003E-3</v>
      </c>
      <c r="S25403" s="26">
        <v>8.0999999999999996E-3</v>
      </c>
      <c r="T25403" s="26">
        <v>1.1299999999999999E-2</v>
      </c>
      <c r="U25403" s="26">
        <v>2.0000000000000001E-4</v>
      </c>
      <c r="V25403" s="26">
        <v>1.1599999999999999E-2</v>
      </c>
      <c r="W25403" s="26">
        <v>7.3000000000000001E-3</v>
      </c>
      <c r="X25403" s="26">
        <v>7.1999999999999998E-3</v>
      </c>
      <c r="Y25403" s="26">
        <v>1.1999999999999999E-3</v>
      </c>
      <c r="Z25403">
        <v>593</v>
      </c>
    </row>
    <row r="25404" spans="1:26" x14ac:dyDescent="0.35">
      <c r="A25404" s="27" t="s">
        <v>230</v>
      </c>
      <c r="B25404" s="27" t="s">
        <v>236</v>
      </c>
      <c r="C25404" s="29"/>
      <c r="D25404" s="28">
        <v>1</v>
      </c>
      <c r="E25404" s="29"/>
      <c r="F25404" s="29"/>
      <c r="G25404" s="29"/>
      <c r="H25404" s="29"/>
      <c r="I25404" s="29"/>
      <c r="J25404" s="28">
        <v>0.72240000000000004</v>
      </c>
      <c r="K25404" s="29"/>
      <c r="L25404" s="28">
        <v>0.72240000000000004</v>
      </c>
      <c r="M25404" s="29"/>
      <c r="N25404" s="29"/>
      <c r="O25404" s="29"/>
      <c r="P25404" s="29"/>
      <c r="Q25404" s="29"/>
      <c r="R25404" s="29"/>
      <c r="S25404" s="29"/>
      <c r="T25404" s="29"/>
      <c r="U25404" s="29"/>
      <c r="V25404" s="29"/>
      <c r="W25404" s="29"/>
      <c r="X25404" s="29"/>
      <c r="Y25404" s="29"/>
      <c r="Z25404" s="29" t="s">
        <v>337</v>
      </c>
    </row>
    <row r="25405" spans="1:26" x14ac:dyDescent="0.35">
      <c r="A25405" t="s">
        <v>230</v>
      </c>
      <c r="B25405" t="s">
        <v>262</v>
      </c>
      <c r="C25405" s="26">
        <v>0.33879999999999999</v>
      </c>
      <c r="D25405" s="26">
        <v>0.38</v>
      </c>
      <c r="E25405" s="26">
        <v>5.9700000000000003E-2</v>
      </c>
      <c r="F25405" s="26">
        <v>2.7699999999999999E-2</v>
      </c>
      <c r="G25405" s="26">
        <v>0.1178</v>
      </c>
      <c r="H25405" s="26">
        <v>5.45E-2</v>
      </c>
      <c r="I25405" s="26">
        <v>6.9699999999999998E-2</v>
      </c>
      <c r="J25405" s="26">
        <v>7.3200000000000001E-2</v>
      </c>
      <c r="K25405" s="26">
        <v>2.35E-2</v>
      </c>
      <c r="L25405" s="26">
        <v>6.1000000000000004E-3</v>
      </c>
      <c r="M25405" s="26">
        <v>4.3799999999999999E-2</v>
      </c>
      <c r="N25405" s="26">
        <v>8.72E-2</v>
      </c>
      <c r="O25405" s="26">
        <v>2.1499999999999998E-2</v>
      </c>
      <c r="P25405" s="26">
        <v>2.7400000000000001E-2</v>
      </c>
      <c r="Q25405" s="26">
        <v>1.8100000000000002E-2</v>
      </c>
      <c r="R25405" s="26">
        <v>5.8999999999999999E-3</v>
      </c>
      <c r="S25405" s="26">
        <v>2.9399999999999999E-2</v>
      </c>
      <c r="T25405" s="26">
        <v>1.2E-2</v>
      </c>
      <c r="V25405" s="26">
        <v>4.2000000000000003E-2</v>
      </c>
      <c r="W25405" s="26">
        <v>3.7000000000000002E-3</v>
      </c>
      <c r="Z25405">
        <v>121</v>
      </c>
    </row>
    <row r="25406" spans="1:26" x14ac:dyDescent="0.35">
      <c r="A25406" t="s">
        <v>230</v>
      </c>
      <c r="B25406" t="s">
        <v>261</v>
      </c>
      <c r="C25406" s="26">
        <v>0.45279999999999998</v>
      </c>
      <c r="D25406" s="26">
        <v>0.41310000000000002</v>
      </c>
      <c r="E25406" s="26">
        <v>0.21049999999999999</v>
      </c>
      <c r="F25406" s="26">
        <v>0.1273</v>
      </c>
      <c r="G25406" s="26">
        <v>8.8999999999999999E-3</v>
      </c>
      <c r="H25406" s="26">
        <v>5.7799999999999997E-2</v>
      </c>
      <c r="I25406" s="26">
        <v>0.1186</v>
      </c>
      <c r="J25406" s="26">
        <v>1.3299999999999999E-2</v>
      </c>
      <c r="K25406" s="26">
        <v>4.9200000000000001E-2</v>
      </c>
      <c r="L25406" s="26">
        <v>6.0600000000000001E-2</v>
      </c>
      <c r="M25406" s="26">
        <v>1.3299999999999999E-2</v>
      </c>
      <c r="N25406" s="26">
        <v>1.35E-2</v>
      </c>
      <c r="O25406" s="26">
        <v>5.1299999999999998E-2</v>
      </c>
      <c r="P25406" s="26">
        <v>8.8999999999999999E-3</v>
      </c>
      <c r="Q25406" s="26">
        <v>6.7999999999999996E-3</v>
      </c>
      <c r="S25406" s="26">
        <v>4.24E-2</v>
      </c>
      <c r="T25406" s="26">
        <v>2E-3</v>
      </c>
      <c r="V25406" s="26">
        <v>2E-3</v>
      </c>
      <c r="Z25406">
        <v>57</v>
      </c>
    </row>
    <row r="25407" spans="1:26" x14ac:dyDescent="0.35">
      <c r="A25407" s="27" t="s">
        <v>230</v>
      </c>
      <c r="B25407" s="27" t="s">
        <v>263</v>
      </c>
      <c r="C25407" s="28">
        <v>5.11E-2</v>
      </c>
      <c r="D25407" s="28">
        <v>0.59409999999999996</v>
      </c>
      <c r="E25407" s="28">
        <v>0.44800000000000001</v>
      </c>
      <c r="F25407" s="28">
        <v>1.7000000000000001E-2</v>
      </c>
      <c r="G25407" s="28">
        <v>3.4099999999999998E-2</v>
      </c>
      <c r="H25407" s="28">
        <v>0.45950000000000002</v>
      </c>
      <c r="I25407" s="28">
        <v>3.4099999999999998E-2</v>
      </c>
      <c r="J25407" s="28">
        <v>1.7000000000000001E-2</v>
      </c>
      <c r="K25407" s="28">
        <v>0.11070000000000001</v>
      </c>
      <c r="L25407" s="28">
        <v>3.4099999999999998E-2</v>
      </c>
      <c r="M25407" s="28">
        <v>1.7000000000000001E-2</v>
      </c>
      <c r="N25407" s="28">
        <v>0.112</v>
      </c>
      <c r="O25407" s="28">
        <v>0.1618</v>
      </c>
      <c r="P25407" s="28">
        <v>5.67E-2</v>
      </c>
      <c r="Q25407" s="29"/>
      <c r="R25407" s="29"/>
      <c r="S25407" s="29"/>
      <c r="T25407" s="29"/>
      <c r="U25407" s="28">
        <v>1.7000000000000001E-2</v>
      </c>
      <c r="V25407" s="28">
        <v>3.4099999999999998E-2</v>
      </c>
      <c r="W25407" s="29"/>
      <c r="X25407" s="28">
        <v>1.7000000000000001E-2</v>
      </c>
      <c r="Y25407" s="29"/>
      <c r="Z25407" s="29" t="s">
        <v>310</v>
      </c>
    </row>
    <row r="25408" spans="1:26" x14ac:dyDescent="0.35">
      <c r="A25408" t="s">
        <v>230</v>
      </c>
      <c r="B25408" t="s">
        <v>260</v>
      </c>
      <c r="C25408" s="26">
        <v>0.46989999999999998</v>
      </c>
      <c r="D25408" s="26">
        <v>0.31830000000000003</v>
      </c>
      <c r="E25408" s="26">
        <v>9.35E-2</v>
      </c>
      <c r="F25408" s="26">
        <v>7.4700000000000003E-2</v>
      </c>
      <c r="G25408" s="26">
        <v>8.8099999999999998E-2</v>
      </c>
      <c r="H25408" s="26">
        <v>7.2400000000000006E-2</v>
      </c>
      <c r="I25408" s="26">
        <v>3.5999999999999997E-2</v>
      </c>
      <c r="J25408" s="26">
        <v>6.5600000000000006E-2</v>
      </c>
      <c r="K25408" s="26">
        <v>1.6E-2</v>
      </c>
      <c r="L25408" s="26">
        <v>5.3900000000000003E-2</v>
      </c>
      <c r="M25408" s="26">
        <v>4.82E-2</v>
      </c>
      <c r="N25408" s="26">
        <v>4.58E-2</v>
      </c>
      <c r="O25408" s="26">
        <v>3.9399999999999998E-2</v>
      </c>
      <c r="P25408" s="26">
        <v>1.7899999999999999E-2</v>
      </c>
      <c r="Q25408" s="26">
        <v>0.01</v>
      </c>
      <c r="R25408" s="26">
        <v>8.3000000000000001E-3</v>
      </c>
      <c r="S25408" s="26">
        <v>1.44E-2</v>
      </c>
      <c r="T25408" s="26">
        <v>3.0000000000000001E-3</v>
      </c>
      <c r="U25408" s="26">
        <v>2.5999999999999999E-3</v>
      </c>
      <c r="V25408" s="26">
        <v>8.6999999999999994E-3</v>
      </c>
      <c r="W25408" s="26">
        <v>1.5800000000000002E-2</v>
      </c>
      <c r="X25408" s="26">
        <v>1.23E-2</v>
      </c>
      <c r="Z25408">
        <v>350</v>
      </c>
    </row>
    <row r="25409" spans="1:26" x14ac:dyDescent="0.35">
      <c r="A25409" s="27" t="s">
        <v>231</v>
      </c>
      <c r="B25409" s="27" t="s">
        <v>263</v>
      </c>
      <c r="C25409" s="29"/>
      <c r="D25409" s="28">
        <v>1</v>
      </c>
      <c r="E25409" s="28">
        <v>0.5</v>
      </c>
      <c r="F25409" s="29"/>
      <c r="G25409" s="29"/>
      <c r="H25409" s="29"/>
      <c r="I25409" s="29"/>
      <c r="J25409" s="29"/>
      <c r="K25409" s="29"/>
      <c r="L25409" s="29"/>
      <c r="M25409" s="29"/>
      <c r="N25409" s="29"/>
      <c r="O25409" s="29"/>
      <c r="P25409" s="29"/>
      <c r="Q25409" s="29"/>
      <c r="R25409" s="29"/>
      <c r="S25409" s="29"/>
      <c r="T25409" s="29"/>
      <c r="U25409" s="29"/>
      <c r="V25409" s="29"/>
      <c r="W25409" s="29"/>
      <c r="X25409" s="29"/>
      <c r="Y25409" s="29"/>
      <c r="Z25409" s="29" t="s">
        <v>314</v>
      </c>
    </row>
    <row r="25410" spans="1:26" x14ac:dyDescent="0.35">
      <c r="A25410" t="s">
        <v>231</v>
      </c>
      <c r="B25410" t="s">
        <v>260</v>
      </c>
      <c r="C25410" s="26">
        <v>0.56200000000000006</v>
      </c>
      <c r="D25410" s="26">
        <v>0.2893</v>
      </c>
      <c r="E25410" s="26">
        <v>3.3099999999999997E-2</v>
      </c>
      <c r="F25410" s="26">
        <v>4.1300000000000003E-2</v>
      </c>
      <c r="G25410" s="26">
        <v>3.3099999999999997E-2</v>
      </c>
      <c r="H25410" s="26">
        <v>3.3099999999999997E-2</v>
      </c>
      <c r="I25410" s="26">
        <v>2.4799999999999999E-2</v>
      </c>
      <c r="J25410" s="26">
        <v>2.4799999999999999E-2</v>
      </c>
      <c r="K25410" s="26">
        <v>8.3000000000000001E-3</v>
      </c>
      <c r="L25410" s="26">
        <v>8.3000000000000001E-3</v>
      </c>
      <c r="M25410" s="26">
        <v>4.9599999999999998E-2</v>
      </c>
      <c r="N25410" s="26">
        <v>8.3000000000000001E-3</v>
      </c>
      <c r="O25410" s="26">
        <v>1.6500000000000001E-2</v>
      </c>
      <c r="P25410" s="26">
        <v>8.3000000000000001E-3</v>
      </c>
      <c r="Q25410" s="26">
        <v>8.3000000000000001E-3</v>
      </c>
      <c r="R25410" s="26">
        <v>1.6500000000000001E-2</v>
      </c>
      <c r="U25410" s="26">
        <v>1.6500000000000001E-2</v>
      </c>
      <c r="V25410" s="26">
        <v>8.3000000000000001E-3</v>
      </c>
      <c r="W25410" s="26">
        <v>8.3000000000000001E-3</v>
      </c>
      <c r="Z25410">
        <v>121</v>
      </c>
    </row>
    <row r="25411" spans="1:26" x14ac:dyDescent="0.35">
      <c r="A25411" s="27" t="s">
        <v>231</v>
      </c>
      <c r="B25411" s="27" t="s">
        <v>261</v>
      </c>
      <c r="C25411" s="28">
        <v>0.44440000000000002</v>
      </c>
      <c r="D25411" s="28">
        <v>0.25929999999999997</v>
      </c>
      <c r="E25411" s="28">
        <v>7.4099999999999999E-2</v>
      </c>
      <c r="F25411" s="28">
        <v>0.1111</v>
      </c>
      <c r="G25411" s="29"/>
      <c r="H25411" s="29"/>
      <c r="I25411" s="28">
        <v>7.4099999999999999E-2</v>
      </c>
      <c r="J25411" s="29"/>
      <c r="K25411" s="28">
        <v>0.1111</v>
      </c>
      <c r="L25411" s="28">
        <v>7.4099999999999999E-2</v>
      </c>
      <c r="M25411" s="29"/>
      <c r="N25411" s="29"/>
      <c r="O25411" s="29"/>
      <c r="P25411" s="29"/>
      <c r="Q25411" s="28">
        <v>3.6999999999999998E-2</v>
      </c>
      <c r="R25411" s="28">
        <v>3.6999999999999998E-2</v>
      </c>
      <c r="S25411" s="29"/>
      <c r="T25411" s="29"/>
      <c r="U25411" s="28">
        <v>3.6999999999999998E-2</v>
      </c>
      <c r="V25411" s="29"/>
      <c r="W25411" s="29"/>
      <c r="X25411" s="29"/>
      <c r="Y25411" s="29"/>
      <c r="Z25411" s="29" t="s">
        <v>338</v>
      </c>
    </row>
    <row r="25412" spans="1:26" x14ac:dyDescent="0.35">
      <c r="A25412" s="27" t="s">
        <v>231</v>
      </c>
      <c r="B25412" s="27" t="s">
        <v>262</v>
      </c>
      <c r="C25412" s="28">
        <v>0.72729999999999995</v>
      </c>
      <c r="D25412" s="28">
        <v>0.2727</v>
      </c>
      <c r="E25412" s="29"/>
      <c r="F25412" s="29"/>
      <c r="G25412" s="29"/>
      <c r="H25412" s="29"/>
      <c r="I25412" s="28">
        <v>9.0899999999999995E-2</v>
      </c>
      <c r="J25412" s="28">
        <v>9.0899999999999995E-2</v>
      </c>
      <c r="K25412" s="29"/>
      <c r="L25412" s="29"/>
      <c r="M25412" s="29"/>
      <c r="N25412" s="29"/>
      <c r="O25412" s="29"/>
      <c r="P25412" s="29"/>
      <c r="Q25412" s="29"/>
      <c r="R25412" s="29"/>
      <c r="S25412" s="29"/>
      <c r="T25412" s="29"/>
      <c r="U25412" s="29"/>
      <c r="V25412" s="29"/>
      <c r="W25412" s="29"/>
      <c r="X25412" s="29"/>
      <c r="Y25412" s="29"/>
      <c r="Z25412" s="29" t="s">
        <v>352</v>
      </c>
    </row>
    <row r="25413" spans="1:26" x14ac:dyDescent="0.35">
      <c r="A25413" t="s">
        <v>232</v>
      </c>
      <c r="B25413" t="s">
        <v>232</v>
      </c>
      <c r="C25413" s="26">
        <v>0.50360000000000005</v>
      </c>
      <c r="D25413" s="26">
        <v>0.2873</v>
      </c>
      <c r="E25413" s="26">
        <v>7.9000000000000001E-2</v>
      </c>
      <c r="F25413" s="26">
        <v>5.91E-2</v>
      </c>
      <c r="G25413" s="26">
        <v>5.8900000000000001E-2</v>
      </c>
      <c r="H25413" s="26">
        <v>5.3600000000000002E-2</v>
      </c>
      <c r="I25413" s="26">
        <v>4.2000000000000003E-2</v>
      </c>
      <c r="J25413" s="26">
        <v>3.5000000000000003E-2</v>
      </c>
      <c r="K25413" s="26">
        <v>3.1899999999999998E-2</v>
      </c>
      <c r="L25413" s="26">
        <v>2.9499999999999998E-2</v>
      </c>
      <c r="M25413" s="26">
        <v>2.7199999999999998E-2</v>
      </c>
      <c r="N25413" s="26">
        <v>2.2800000000000001E-2</v>
      </c>
      <c r="O25413" s="26">
        <v>2.1100000000000001E-2</v>
      </c>
      <c r="P25413" s="26">
        <v>1.8100000000000002E-2</v>
      </c>
      <c r="Q25413" s="26">
        <v>1.0500000000000001E-2</v>
      </c>
      <c r="R25413" s="26">
        <v>0.01</v>
      </c>
      <c r="S25413" s="26">
        <v>9.4000000000000004E-3</v>
      </c>
      <c r="T25413" s="26">
        <v>9.2999999999999992E-3</v>
      </c>
      <c r="U25413" s="26">
        <v>8.6E-3</v>
      </c>
      <c r="V25413" s="26">
        <v>7.7999999999999996E-3</v>
      </c>
      <c r="W25413" s="26">
        <v>6.0000000000000001E-3</v>
      </c>
      <c r="X25413" s="26">
        <v>5.3E-3</v>
      </c>
      <c r="Y25413" s="26">
        <v>2.0999999999999999E-3</v>
      </c>
      <c r="Z25413">
        <v>2792</v>
      </c>
    </row>
    <row r="25415" spans="1:26" x14ac:dyDescent="0.35">
      <c r="A25415" s="1" t="s">
        <v>2308</v>
      </c>
    </row>
    <row r="25416" spans="1:26" x14ac:dyDescent="0.35">
      <c r="A25416" t="s">
        <v>219</v>
      </c>
      <c r="B25416" t="s">
        <v>305</v>
      </c>
      <c r="C25416" t="s">
        <v>550</v>
      </c>
      <c r="D25416" t="s">
        <v>2281</v>
      </c>
      <c r="E25416" t="s">
        <v>2282</v>
      </c>
      <c r="F25416" t="s">
        <v>2283</v>
      </c>
      <c r="G25416" t="s">
        <v>2284</v>
      </c>
      <c r="H25416" t="s">
        <v>2285</v>
      </c>
      <c r="I25416" t="s">
        <v>2286</v>
      </c>
      <c r="J25416" t="s">
        <v>2287</v>
      </c>
      <c r="K25416" t="s">
        <v>2288</v>
      </c>
      <c r="L25416" t="s">
        <v>2289</v>
      </c>
      <c r="M25416" t="s">
        <v>2290</v>
      </c>
      <c r="N25416" t="s">
        <v>2291</v>
      </c>
      <c r="O25416" t="s">
        <v>2292</v>
      </c>
      <c r="P25416" t="s">
        <v>2293</v>
      </c>
      <c r="Q25416" t="s">
        <v>2294</v>
      </c>
      <c r="R25416" t="s">
        <v>2295</v>
      </c>
      <c r="S25416" t="s">
        <v>2296</v>
      </c>
      <c r="T25416" t="s">
        <v>2297</v>
      </c>
      <c r="U25416" t="s">
        <v>326</v>
      </c>
      <c r="V25416" t="s">
        <v>2298</v>
      </c>
      <c r="W25416" t="s">
        <v>2299</v>
      </c>
      <c r="X25416" t="s">
        <v>281</v>
      </c>
      <c r="Y25416" t="s">
        <v>286</v>
      </c>
      <c r="Z25416" t="s">
        <v>226</v>
      </c>
    </row>
    <row r="25417" spans="1:26" x14ac:dyDescent="0.35">
      <c r="A25417" t="s">
        <v>227</v>
      </c>
      <c r="B25417" t="s">
        <v>368</v>
      </c>
      <c r="C25417" s="26">
        <v>0.36359999999999998</v>
      </c>
      <c r="D25417" s="26">
        <v>0.21210000000000001</v>
      </c>
      <c r="E25417" s="26">
        <v>9.0899999999999995E-2</v>
      </c>
      <c r="F25417" s="26">
        <v>9.0899999999999995E-2</v>
      </c>
      <c r="G25417" s="26">
        <v>9.0899999999999995E-2</v>
      </c>
      <c r="H25417" s="26">
        <v>3.0300000000000001E-2</v>
      </c>
      <c r="I25417" s="26">
        <v>0.1212</v>
      </c>
      <c r="J25417" s="26">
        <v>3.0300000000000001E-2</v>
      </c>
      <c r="K25417" s="26">
        <v>0.1515</v>
      </c>
      <c r="M25417" s="26">
        <v>3.0300000000000001E-2</v>
      </c>
      <c r="N25417" s="26">
        <v>3.0300000000000001E-2</v>
      </c>
      <c r="P25417" s="26">
        <v>3.0300000000000001E-2</v>
      </c>
      <c r="R25417" s="26">
        <v>3.0300000000000001E-2</v>
      </c>
      <c r="T25417" s="26">
        <v>3.0300000000000001E-2</v>
      </c>
      <c r="Z25417">
        <v>33</v>
      </c>
    </row>
    <row r="25418" spans="1:26" x14ac:dyDescent="0.35">
      <c r="A25418" t="s">
        <v>227</v>
      </c>
      <c r="B25418" t="s">
        <v>369</v>
      </c>
      <c r="C25418" s="26">
        <v>0.52759999999999996</v>
      </c>
      <c r="D25418" s="26">
        <v>0.26769999999999999</v>
      </c>
      <c r="E25418" s="26">
        <v>7.0900000000000005E-2</v>
      </c>
      <c r="F25418" s="26">
        <v>7.8700000000000006E-2</v>
      </c>
      <c r="G25418" s="26">
        <v>4.7199999999999999E-2</v>
      </c>
      <c r="H25418" s="26">
        <v>3.15E-2</v>
      </c>
      <c r="I25418" s="26">
        <v>2.3599999999999999E-2</v>
      </c>
      <c r="J25418" s="26">
        <v>3.15E-2</v>
      </c>
      <c r="K25418" s="26">
        <v>3.15E-2</v>
      </c>
      <c r="L25418" s="26">
        <v>6.3E-2</v>
      </c>
      <c r="M25418" s="26">
        <v>7.9000000000000008E-3</v>
      </c>
      <c r="N25418" s="26">
        <v>1.5699999999999999E-2</v>
      </c>
      <c r="O25418" s="26">
        <v>2.3599999999999999E-2</v>
      </c>
      <c r="P25418" s="26">
        <v>2.3599999999999999E-2</v>
      </c>
      <c r="Q25418" s="26">
        <v>1.5699999999999999E-2</v>
      </c>
      <c r="R25418" s="26">
        <v>7.9000000000000008E-3</v>
      </c>
      <c r="T25418" s="26">
        <v>1.5699999999999999E-2</v>
      </c>
      <c r="U25418" s="26">
        <v>7.9000000000000008E-3</v>
      </c>
      <c r="Z25418">
        <v>127</v>
      </c>
    </row>
    <row r="25419" spans="1:26" x14ac:dyDescent="0.35">
      <c r="A25419" t="s">
        <v>228</v>
      </c>
      <c r="B25419" t="s">
        <v>368</v>
      </c>
      <c r="C25419" s="26">
        <v>0.37109999999999999</v>
      </c>
      <c r="D25419" s="26">
        <v>0.38329999999999997</v>
      </c>
      <c r="E25419" s="26">
        <v>9.1600000000000001E-2</v>
      </c>
      <c r="F25419" s="26">
        <v>0.14099999999999999</v>
      </c>
      <c r="G25419" s="26">
        <v>7.5700000000000003E-2</v>
      </c>
      <c r="H25419" s="26">
        <v>5.8400000000000001E-2</v>
      </c>
      <c r="I25419" s="26">
        <v>5.8400000000000001E-2</v>
      </c>
      <c r="J25419" s="26">
        <v>1.18E-2</v>
      </c>
      <c r="K25419" s="26">
        <v>9.2600000000000002E-2</v>
      </c>
      <c r="L25419" s="26">
        <v>8.0100000000000005E-2</v>
      </c>
      <c r="M25419" s="26">
        <v>2.1000000000000001E-2</v>
      </c>
      <c r="N25419" s="26">
        <v>1.7299999999999999E-2</v>
      </c>
      <c r="O25419" s="26">
        <v>3.6600000000000001E-2</v>
      </c>
      <c r="P25419" s="26">
        <v>1.0500000000000001E-2</v>
      </c>
      <c r="Q25419" s="26">
        <v>1.3299999999999999E-2</v>
      </c>
      <c r="R25419" s="26">
        <v>5.3E-3</v>
      </c>
      <c r="S25419" s="26">
        <v>4.1300000000000003E-2</v>
      </c>
      <c r="T25419" s="26">
        <v>1.72E-2</v>
      </c>
      <c r="U25419" s="26">
        <v>1.9099999999999999E-2</v>
      </c>
      <c r="V25419" s="26">
        <v>7.3000000000000001E-3</v>
      </c>
      <c r="W25419" s="26">
        <v>0.02</v>
      </c>
      <c r="X25419" s="26">
        <v>3.3999999999999998E-3</v>
      </c>
      <c r="Y25419" s="26">
        <v>1.8499999999999999E-2</v>
      </c>
      <c r="Z25419">
        <v>189</v>
      </c>
    </row>
    <row r="25420" spans="1:26" x14ac:dyDescent="0.35">
      <c r="A25420" t="s">
        <v>228</v>
      </c>
      <c r="B25420" t="s">
        <v>369</v>
      </c>
      <c r="C25420" s="26">
        <v>0.46689999999999998</v>
      </c>
      <c r="D25420" s="26">
        <v>0.28189999999999998</v>
      </c>
      <c r="E25420" s="26">
        <v>8.5800000000000001E-2</v>
      </c>
      <c r="F25420" s="26">
        <v>5.4100000000000002E-2</v>
      </c>
      <c r="G25420" s="26">
        <v>8.0199999999999994E-2</v>
      </c>
      <c r="H25420" s="26">
        <v>0.1125</v>
      </c>
      <c r="I25420" s="26">
        <v>4.8800000000000003E-2</v>
      </c>
      <c r="J25420" s="26">
        <v>4.53E-2</v>
      </c>
      <c r="K25420" s="26">
        <v>2.9399999999999999E-2</v>
      </c>
      <c r="L25420" s="26">
        <v>1.2500000000000001E-2</v>
      </c>
      <c r="M25420" s="26">
        <v>3.5499999999999997E-2</v>
      </c>
      <c r="N25420" s="26">
        <v>5.2499999999999998E-2</v>
      </c>
      <c r="O25420" s="26">
        <v>2.93E-2</v>
      </c>
      <c r="P25420" s="26">
        <v>2.4899999999999999E-2</v>
      </c>
      <c r="Q25420" s="26">
        <v>1.04E-2</v>
      </c>
      <c r="R25420" s="26">
        <v>6.6E-3</v>
      </c>
      <c r="S25420" s="26">
        <v>1.61E-2</v>
      </c>
      <c r="T25420" s="26">
        <v>5.5999999999999999E-3</v>
      </c>
      <c r="U25420" s="26">
        <v>2.9999999999999997E-4</v>
      </c>
      <c r="V25420" s="26">
        <v>1.1900000000000001E-2</v>
      </c>
      <c r="W25420" s="26">
        <v>1.6000000000000001E-3</v>
      </c>
      <c r="X25420" s="26">
        <v>1.0500000000000001E-2</v>
      </c>
      <c r="Y25420" s="26">
        <v>6.9999999999999999E-4</v>
      </c>
      <c r="Z25420">
        <v>837</v>
      </c>
    </row>
    <row r="25421" spans="1:26" x14ac:dyDescent="0.35">
      <c r="A25421" t="s">
        <v>229</v>
      </c>
      <c r="B25421" t="s">
        <v>368</v>
      </c>
      <c r="C25421" s="26">
        <v>0.3992</v>
      </c>
      <c r="D25421" s="26">
        <v>0.33460000000000001</v>
      </c>
      <c r="E25421" s="26">
        <v>7.4499999999999997E-2</v>
      </c>
      <c r="F25421" s="26">
        <v>0.1236</v>
      </c>
      <c r="G25421" s="26">
        <v>8.2000000000000003E-2</v>
      </c>
      <c r="H25421" s="26">
        <v>3.78E-2</v>
      </c>
      <c r="I25421" s="26">
        <v>8.7999999999999995E-2</v>
      </c>
      <c r="J25421" s="26">
        <v>2.64E-2</v>
      </c>
      <c r="K25421" s="26">
        <v>7.3400000000000007E-2</v>
      </c>
      <c r="L25421" s="26">
        <v>9.2799999999999994E-2</v>
      </c>
      <c r="M25421" s="26">
        <v>2.3E-3</v>
      </c>
      <c r="N25421" s="26">
        <v>5.5100000000000003E-2</v>
      </c>
      <c r="O25421" s="26">
        <v>4.5999999999999999E-3</v>
      </c>
      <c r="P25421" s="26">
        <v>5.5E-2</v>
      </c>
      <c r="Q25421" s="26">
        <v>2.3E-3</v>
      </c>
      <c r="R25421" s="26">
        <v>6.7999999999999996E-3</v>
      </c>
      <c r="S25421" s="26">
        <v>2.29E-2</v>
      </c>
      <c r="T25421" s="26">
        <v>4.0099999999999997E-2</v>
      </c>
      <c r="U25421" s="26">
        <v>1.72E-2</v>
      </c>
      <c r="X25421" s="26">
        <v>2.3E-3</v>
      </c>
      <c r="Y25421" s="26">
        <v>2.29E-2</v>
      </c>
      <c r="Z25421">
        <v>95</v>
      </c>
    </row>
    <row r="25422" spans="1:26" x14ac:dyDescent="0.35">
      <c r="A25422" t="s">
        <v>229</v>
      </c>
      <c r="B25422" t="s">
        <v>369</v>
      </c>
      <c r="C25422" s="26">
        <v>0.55020000000000002</v>
      </c>
      <c r="D25422" s="26">
        <v>0.25729999999999997</v>
      </c>
      <c r="E25422" s="26">
        <v>0.10390000000000001</v>
      </c>
      <c r="F25422" s="26">
        <v>2.9600000000000001E-2</v>
      </c>
      <c r="G25422" s="26">
        <v>7.0099999999999996E-2</v>
      </c>
      <c r="H25422" s="26">
        <v>5.5800000000000002E-2</v>
      </c>
      <c r="I25422" s="26">
        <v>2.75E-2</v>
      </c>
      <c r="J25422" s="26">
        <v>3.5799999999999998E-2</v>
      </c>
      <c r="K25422" s="26">
        <v>1.32E-2</v>
      </c>
      <c r="L25422" s="26">
        <v>1.2E-2</v>
      </c>
      <c r="M25422" s="26">
        <v>1.9300000000000001E-2</v>
      </c>
      <c r="N25422" s="26">
        <v>9.7999999999999997E-3</v>
      </c>
      <c r="O25422" s="26">
        <v>2.0199999999999999E-2</v>
      </c>
      <c r="P25422" s="26">
        <v>1.72E-2</v>
      </c>
      <c r="Q25422" s="26">
        <v>7.9000000000000008E-3</v>
      </c>
      <c r="R25422" s="26">
        <v>3.5000000000000001E-3</v>
      </c>
      <c r="S25422" s="26">
        <v>9.7999999999999997E-3</v>
      </c>
      <c r="T25422" s="26">
        <v>1.17E-2</v>
      </c>
      <c r="U25422" s="26">
        <v>3.7000000000000002E-3</v>
      </c>
      <c r="V25422" s="26">
        <v>1.12E-2</v>
      </c>
      <c r="W25422" s="26">
        <v>9.1000000000000004E-3</v>
      </c>
      <c r="X25422" s="26">
        <v>1.06E-2</v>
      </c>
      <c r="Y25422" s="26">
        <v>1.6000000000000001E-3</v>
      </c>
      <c r="Z25422">
        <v>794</v>
      </c>
    </row>
    <row r="25423" spans="1:26" x14ac:dyDescent="0.35">
      <c r="A25423" t="s">
        <v>230</v>
      </c>
      <c r="B25423" t="s">
        <v>368</v>
      </c>
      <c r="C25423" s="26">
        <v>0.45279999999999998</v>
      </c>
      <c r="D25423" s="26">
        <v>0.41310000000000002</v>
      </c>
      <c r="E25423" s="26">
        <v>0.21049999999999999</v>
      </c>
      <c r="F25423" s="26">
        <v>0.1273</v>
      </c>
      <c r="G25423" s="26">
        <v>8.8999999999999999E-3</v>
      </c>
      <c r="H25423" s="26">
        <v>5.7799999999999997E-2</v>
      </c>
      <c r="I25423" s="26">
        <v>0.1186</v>
      </c>
      <c r="J25423" s="26">
        <v>1.3299999999999999E-2</v>
      </c>
      <c r="K25423" s="26">
        <v>4.9200000000000001E-2</v>
      </c>
      <c r="L25423" s="26">
        <v>6.0600000000000001E-2</v>
      </c>
      <c r="M25423" s="26">
        <v>1.3299999999999999E-2</v>
      </c>
      <c r="N25423" s="26">
        <v>1.35E-2</v>
      </c>
      <c r="O25423" s="26">
        <v>5.1299999999999998E-2</v>
      </c>
      <c r="P25423" s="26">
        <v>8.8999999999999999E-3</v>
      </c>
      <c r="Q25423" s="26">
        <v>6.7999999999999996E-3</v>
      </c>
      <c r="S25423" s="26">
        <v>4.24E-2</v>
      </c>
      <c r="T25423" s="26">
        <v>2E-3</v>
      </c>
      <c r="V25423" s="26">
        <v>2E-3</v>
      </c>
      <c r="Z25423">
        <v>57</v>
      </c>
    </row>
    <row r="25424" spans="1:26" x14ac:dyDescent="0.35">
      <c r="A25424" t="s">
        <v>230</v>
      </c>
      <c r="B25424" t="s">
        <v>369</v>
      </c>
      <c r="C25424" s="26">
        <v>0.43509999999999999</v>
      </c>
      <c r="D25424" s="26">
        <v>0.3402</v>
      </c>
      <c r="E25424" s="26">
        <v>9.3399999999999997E-2</v>
      </c>
      <c r="F25424" s="26">
        <v>6.4799999999999996E-2</v>
      </c>
      <c r="G25424" s="26">
        <v>9.1499999999999998E-2</v>
      </c>
      <c r="H25424" s="26">
        <v>7.5899999999999995E-2</v>
      </c>
      <c r="I25424" s="26">
        <v>4.1500000000000002E-2</v>
      </c>
      <c r="J25424" s="26">
        <v>7.17E-2</v>
      </c>
      <c r="K25424" s="26">
        <v>1.9E-2</v>
      </c>
      <c r="L25424" s="26">
        <v>5.0999999999999997E-2</v>
      </c>
      <c r="M25424" s="26">
        <v>4.65E-2</v>
      </c>
      <c r="N25424" s="26">
        <v>5.3900000000000003E-2</v>
      </c>
      <c r="O25424" s="26">
        <v>3.8199999999999998E-2</v>
      </c>
      <c r="P25424" s="26">
        <v>2.01E-2</v>
      </c>
      <c r="Q25424" s="26">
        <v>1.11E-2</v>
      </c>
      <c r="R25424" s="26">
        <v>7.7000000000000002E-3</v>
      </c>
      <c r="S25424" s="26">
        <v>1.66E-2</v>
      </c>
      <c r="T25424" s="26">
        <v>4.4999999999999997E-3</v>
      </c>
      <c r="U25424" s="26">
        <v>2.3999999999999998E-3</v>
      </c>
      <c r="V25424" s="26">
        <v>1.49E-2</v>
      </c>
      <c r="W25424" s="26">
        <v>1.32E-2</v>
      </c>
      <c r="X25424" s="26">
        <v>1.01E-2</v>
      </c>
      <c r="Z25424">
        <v>499</v>
      </c>
    </row>
    <row r="25425" spans="1:26" x14ac:dyDescent="0.35">
      <c r="A25425" s="27" t="s">
        <v>231</v>
      </c>
      <c r="B25425" s="27" t="s">
        <v>368</v>
      </c>
      <c r="C25425" s="28">
        <v>0.44440000000000002</v>
      </c>
      <c r="D25425" s="28">
        <v>0.25929999999999997</v>
      </c>
      <c r="E25425" s="28">
        <v>7.4099999999999999E-2</v>
      </c>
      <c r="F25425" s="28">
        <v>0.1111</v>
      </c>
      <c r="G25425" s="29"/>
      <c r="H25425" s="29"/>
      <c r="I25425" s="28">
        <v>7.4099999999999999E-2</v>
      </c>
      <c r="J25425" s="29"/>
      <c r="K25425" s="28">
        <v>0.1111</v>
      </c>
      <c r="L25425" s="28">
        <v>7.4099999999999999E-2</v>
      </c>
      <c r="M25425" s="29"/>
      <c r="N25425" s="29"/>
      <c r="O25425" s="29"/>
      <c r="P25425" s="29"/>
      <c r="Q25425" s="28">
        <v>3.6999999999999998E-2</v>
      </c>
      <c r="R25425" s="28">
        <v>3.6999999999999998E-2</v>
      </c>
      <c r="S25425" s="29"/>
      <c r="T25425" s="29"/>
      <c r="U25425" s="28">
        <v>3.6999999999999998E-2</v>
      </c>
      <c r="V25425" s="29"/>
      <c r="W25425" s="29"/>
      <c r="X25425" s="29"/>
      <c r="Y25425" s="29"/>
      <c r="Z25425" s="29" t="s">
        <v>338</v>
      </c>
    </row>
    <row r="25426" spans="1:26" x14ac:dyDescent="0.35">
      <c r="A25426" t="s">
        <v>231</v>
      </c>
      <c r="B25426" t="s">
        <v>369</v>
      </c>
      <c r="C25426" s="26">
        <v>0.56720000000000004</v>
      </c>
      <c r="D25426" s="26">
        <v>0.29849999999999999</v>
      </c>
      <c r="E25426" s="26">
        <v>3.73E-2</v>
      </c>
      <c r="F25426" s="26">
        <v>3.73E-2</v>
      </c>
      <c r="G25426" s="26">
        <v>2.9899999999999999E-2</v>
      </c>
      <c r="H25426" s="26">
        <v>2.9899999999999999E-2</v>
      </c>
      <c r="I25426" s="26">
        <v>2.9899999999999999E-2</v>
      </c>
      <c r="J25426" s="26">
        <v>2.9899999999999999E-2</v>
      </c>
      <c r="K25426" s="26">
        <v>7.4999999999999997E-3</v>
      </c>
      <c r="L25426" s="26">
        <v>7.4999999999999997E-3</v>
      </c>
      <c r="M25426" s="26">
        <v>4.48E-2</v>
      </c>
      <c r="N25426" s="26">
        <v>7.4999999999999997E-3</v>
      </c>
      <c r="O25426" s="26">
        <v>1.49E-2</v>
      </c>
      <c r="P25426" s="26">
        <v>7.4999999999999997E-3</v>
      </c>
      <c r="Q25426" s="26">
        <v>7.4999999999999997E-3</v>
      </c>
      <c r="R25426" s="26">
        <v>1.49E-2</v>
      </c>
      <c r="U25426" s="26">
        <v>1.49E-2</v>
      </c>
      <c r="V25426" s="26">
        <v>7.4999999999999997E-3</v>
      </c>
      <c r="W25426" s="26">
        <v>7.4999999999999997E-3</v>
      </c>
      <c r="Z25426">
        <v>134</v>
      </c>
    </row>
    <row r="25427" spans="1:26" x14ac:dyDescent="0.35">
      <c r="A25427" t="s">
        <v>232</v>
      </c>
      <c r="B25427" t="s">
        <v>232</v>
      </c>
      <c r="C25427" s="26">
        <v>0.50360000000000005</v>
      </c>
      <c r="D25427" s="26">
        <v>0.2873</v>
      </c>
      <c r="E25427" s="26">
        <v>7.9000000000000001E-2</v>
      </c>
      <c r="F25427" s="26">
        <v>5.91E-2</v>
      </c>
      <c r="G25427" s="26">
        <v>5.8900000000000001E-2</v>
      </c>
      <c r="H25427" s="26">
        <v>5.3600000000000002E-2</v>
      </c>
      <c r="I25427" s="26">
        <v>4.2000000000000003E-2</v>
      </c>
      <c r="J25427" s="26">
        <v>3.5000000000000003E-2</v>
      </c>
      <c r="K25427" s="26">
        <v>3.1899999999999998E-2</v>
      </c>
      <c r="L25427" s="26">
        <v>2.9499999999999998E-2</v>
      </c>
      <c r="M25427" s="26">
        <v>2.7199999999999998E-2</v>
      </c>
      <c r="N25427" s="26">
        <v>2.2800000000000001E-2</v>
      </c>
      <c r="O25427" s="26">
        <v>2.1100000000000001E-2</v>
      </c>
      <c r="P25427" s="26">
        <v>1.8100000000000002E-2</v>
      </c>
      <c r="Q25427" s="26">
        <v>1.0500000000000001E-2</v>
      </c>
      <c r="R25427" s="26">
        <v>0.01</v>
      </c>
      <c r="S25427" s="26">
        <v>9.4000000000000004E-3</v>
      </c>
      <c r="T25427" s="26">
        <v>9.2999999999999992E-3</v>
      </c>
      <c r="U25427" s="26">
        <v>8.6E-3</v>
      </c>
      <c r="V25427" s="26">
        <v>7.7999999999999996E-3</v>
      </c>
      <c r="W25427" s="26">
        <v>6.0000000000000001E-3</v>
      </c>
      <c r="X25427" s="26">
        <v>5.3E-3</v>
      </c>
      <c r="Y25427" s="26">
        <v>2.0999999999999999E-3</v>
      </c>
      <c r="Z25427">
        <v>2792</v>
      </c>
    </row>
    <row r="25429" spans="1:26" x14ac:dyDescent="0.35">
      <c r="A25429" s="1" t="s">
        <v>2309</v>
      </c>
    </row>
    <row r="25430" spans="1:26" x14ac:dyDescent="0.35">
      <c r="A25430" t="s">
        <v>219</v>
      </c>
      <c r="B25430" t="s">
        <v>305</v>
      </c>
      <c r="C25430" t="s">
        <v>550</v>
      </c>
      <c r="D25430" t="s">
        <v>2281</v>
      </c>
      <c r="E25430" t="s">
        <v>2282</v>
      </c>
      <c r="F25430" t="s">
        <v>2283</v>
      </c>
      <c r="G25430" t="s">
        <v>2284</v>
      </c>
      <c r="H25430" t="s">
        <v>2285</v>
      </c>
      <c r="I25430" t="s">
        <v>2286</v>
      </c>
      <c r="J25430" t="s">
        <v>2287</v>
      </c>
      <c r="K25430" t="s">
        <v>2288</v>
      </c>
      <c r="L25430" t="s">
        <v>2289</v>
      </c>
      <c r="M25430" t="s">
        <v>2290</v>
      </c>
      <c r="N25430" t="s">
        <v>2291</v>
      </c>
      <c r="O25430" t="s">
        <v>2292</v>
      </c>
      <c r="P25430" t="s">
        <v>2293</v>
      </c>
      <c r="Q25430" t="s">
        <v>2294</v>
      </c>
      <c r="R25430" t="s">
        <v>2295</v>
      </c>
      <c r="S25430" t="s">
        <v>2296</v>
      </c>
      <c r="T25430" t="s">
        <v>2297</v>
      </c>
      <c r="U25430" t="s">
        <v>326</v>
      </c>
      <c r="V25430" t="s">
        <v>2298</v>
      </c>
      <c r="W25430" t="s">
        <v>2299</v>
      </c>
      <c r="X25430" t="s">
        <v>281</v>
      </c>
      <c r="Y25430" t="s">
        <v>286</v>
      </c>
      <c r="Z25430" t="s">
        <v>226</v>
      </c>
    </row>
    <row r="25431" spans="1:26" x14ac:dyDescent="0.35">
      <c r="A25431" t="s">
        <v>227</v>
      </c>
      <c r="B25431" t="s">
        <v>371</v>
      </c>
      <c r="C25431" s="26">
        <v>0.49380000000000002</v>
      </c>
      <c r="D25431" s="26">
        <v>0.25619999999999998</v>
      </c>
      <c r="E25431" s="26">
        <v>7.4999999999999997E-2</v>
      </c>
      <c r="F25431" s="26">
        <v>8.1199999999999994E-2</v>
      </c>
      <c r="G25431" s="26">
        <v>5.62E-2</v>
      </c>
      <c r="H25431" s="26">
        <v>3.1199999999999999E-2</v>
      </c>
      <c r="I25431" s="26">
        <v>4.3799999999999999E-2</v>
      </c>
      <c r="J25431" s="26">
        <v>3.1199999999999999E-2</v>
      </c>
      <c r="K25431" s="26">
        <v>5.62E-2</v>
      </c>
      <c r="L25431" s="26">
        <v>0.05</v>
      </c>
      <c r="M25431" s="26">
        <v>1.2500000000000001E-2</v>
      </c>
      <c r="N25431" s="26">
        <v>1.8800000000000001E-2</v>
      </c>
      <c r="O25431" s="26">
        <v>1.8800000000000001E-2</v>
      </c>
      <c r="P25431" s="26">
        <v>2.5000000000000001E-2</v>
      </c>
      <c r="Q25431" s="26">
        <v>1.2500000000000001E-2</v>
      </c>
      <c r="R25431" s="26">
        <v>1.2500000000000001E-2</v>
      </c>
      <c r="T25431" s="26">
        <v>1.8800000000000001E-2</v>
      </c>
      <c r="U25431" s="26">
        <v>6.1999999999999998E-3</v>
      </c>
      <c r="Z25431">
        <v>160</v>
      </c>
    </row>
    <row r="25432" spans="1:26" x14ac:dyDescent="0.35">
      <c r="A25432" t="s">
        <v>228</v>
      </c>
      <c r="B25432" t="s">
        <v>371</v>
      </c>
      <c r="C25432" s="26">
        <v>0.48680000000000001</v>
      </c>
      <c r="D25432" s="26">
        <v>0.28520000000000001</v>
      </c>
      <c r="E25432" s="26">
        <v>9.69E-2</v>
      </c>
      <c r="F25432" s="26">
        <v>7.0999999999999994E-2</v>
      </c>
      <c r="G25432" s="26">
        <v>7.9899999999999999E-2</v>
      </c>
      <c r="H25432" s="26">
        <v>4.9299999999999997E-2</v>
      </c>
      <c r="I25432" s="26">
        <v>3.1300000000000001E-2</v>
      </c>
      <c r="J25432" s="26">
        <v>4.1300000000000003E-2</v>
      </c>
      <c r="K25432" s="26">
        <v>4.9200000000000001E-2</v>
      </c>
      <c r="L25432" s="26">
        <v>2.76E-2</v>
      </c>
      <c r="M25432" s="26">
        <v>3.4000000000000002E-2</v>
      </c>
      <c r="N25432" s="26">
        <v>5.1700000000000003E-2</v>
      </c>
      <c r="O25432" s="26">
        <v>3.1600000000000003E-2</v>
      </c>
      <c r="P25432" s="26">
        <v>1.2699999999999999E-2</v>
      </c>
      <c r="Q25432" s="26">
        <v>0.01</v>
      </c>
      <c r="R25432" s="26">
        <v>6.4000000000000003E-3</v>
      </c>
      <c r="S25432" s="26">
        <v>8.3999999999999995E-3</v>
      </c>
      <c r="T25432" s="26">
        <v>6.4000000000000003E-3</v>
      </c>
      <c r="U25432" s="26">
        <v>7.1000000000000004E-3</v>
      </c>
      <c r="V25432" s="26">
        <v>6.4000000000000003E-3</v>
      </c>
      <c r="W25432" s="26">
        <v>7.1000000000000004E-3</v>
      </c>
      <c r="X25432" s="26">
        <v>9.2999999999999992E-3</v>
      </c>
      <c r="Y25432" s="26">
        <v>6.4000000000000003E-3</v>
      </c>
      <c r="Z25432">
        <v>291</v>
      </c>
    </row>
    <row r="25433" spans="1:26" x14ac:dyDescent="0.35">
      <c r="A25433" t="s">
        <v>228</v>
      </c>
      <c r="B25433" t="s">
        <v>372</v>
      </c>
      <c r="C25433" s="26">
        <v>0.25990000000000002</v>
      </c>
      <c r="D25433" s="26">
        <v>0.3342</v>
      </c>
      <c r="E25433" s="26">
        <v>0.1237</v>
      </c>
      <c r="F25433" s="26">
        <v>8.1699999999999995E-2</v>
      </c>
      <c r="G25433" s="26">
        <v>0.04</v>
      </c>
      <c r="H25433" s="26">
        <v>0.18049999999999999</v>
      </c>
      <c r="I25433" s="26">
        <v>2.8899999999999999E-2</v>
      </c>
      <c r="J25433" s="26">
        <v>3.7100000000000001E-2</v>
      </c>
      <c r="K25433" s="26">
        <v>8.5400000000000004E-2</v>
      </c>
      <c r="L25433" s="26">
        <v>4.0899999999999999E-2</v>
      </c>
      <c r="M25433" s="26">
        <v>7.3099999999999998E-2</v>
      </c>
      <c r="N25433" s="26">
        <v>0.12540000000000001</v>
      </c>
      <c r="O25433" s="26">
        <v>3.5400000000000001E-2</v>
      </c>
      <c r="P25433" s="26">
        <v>9.3399999999999997E-2</v>
      </c>
      <c r="Q25433" s="26">
        <v>2.23E-2</v>
      </c>
      <c r="R25433" s="26">
        <v>1.0699999999999999E-2</v>
      </c>
      <c r="S25433" s="26">
        <v>1.7299999999999999E-2</v>
      </c>
      <c r="T25433" s="26">
        <v>9.4999999999999998E-3</v>
      </c>
      <c r="U25433" s="26">
        <v>2.8999999999999998E-3</v>
      </c>
      <c r="V25433" s="26">
        <v>4.8999999999999998E-3</v>
      </c>
      <c r="X25433" s="26">
        <v>1.6500000000000001E-2</v>
      </c>
      <c r="Z25433">
        <v>215</v>
      </c>
    </row>
    <row r="25434" spans="1:26" x14ac:dyDescent="0.35">
      <c r="A25434" t="s">
        <v>228</v>
      </c>
      <c r="B25434" t="s">
        <v>373</v>
      </c>
      <c r="C25434" s="26">
        <v>0.43730000000000002</v>
      </c>
      <c r="D25434" s="26">
        <v>0.3165</v>
      </c>
      <c r="E25434" s="26">
        <v>6.5699999999999995E-2</v>
      </c>
      <c r="F25434" s="26">
        <v>6.8699999999999997E-2</v>
      </c>
      <c r="G25434" s="26">
        <v>8.6999999999999994E-2</v>
      </c>
      <c r="H25434" s="26">
        <v>0.15570000000000001</v>
      </c>
      <c r="I25434" s="26">
        <v>8.1199999999999994E-2</v>
      </c>
      <c r="J25434" s="26">
        <v>3.5900000000000001E-2</v>
      </c>
      <c r="K25434" s="26">
        <v>2.2100000000000002E-2</v>
      </c>
      <c r="L25434" s="26">
        <v>1.9699999999999999E-2</v>
      </c>
      <c r="M25434" s="26">
        <v>2.23E-2</v>
      </c>
      <c r="N25434" s="26">
        <v>2.0500000000000001E-2</v>
      </c>
      <c r="O25434" s="26">
        <v>2.86E-2</v>
      </c>
      <c r="P25434" s="26">
        <v>1.9400000000000001E-2</v>
      </c>
      <c r="Q25434" s="26">
        <v>9.7999999999999997E-3</v>
      </c>
      <c r="R25434" s="26">
        <v>5.3E-3</v>
      </c>
      <c r="S25434" s="26">
        <v>3.85E-2</v>
      </c>
      <c r="T25434" s="26">
        <v>9.4000000000000004E-3</v>
      </c>
      <c r="V25434" s="26">
        <v>1.8599999999999998E-2</v>
      </c>
      <c r="W25434" s="26">
        <v>3.8999999999999998E-3</v>
      </c>
      <c r="X25434" s="26">
        <v>7.3000000000000001E-3</v>
      </c>
      <c r="Y25434" s="26">
        <v>2E-3</v>
      </c>
      <c r="Z25434">
        <v>520</v>
      </c>
    </row>
    <row r="25435" spans="1:26" x14ac:dyDescent="0.35">
      <c r="A25435" t="s">
        <v>229</v>
      </c>
      <c r="B25435" t="s">
        <v>371</v>
      </c>
      <c r="C25435" s="26">
        <v>0.53449999999999998</v>
      </c>
      <c r="D25435" s="26">
        <v>0.26329999999999998</v>
      </c>
      <c r="E25435" s="26">
        <v>0.1032</v>
      </c>
      <c r="F25435" s="26">
        <v>4.2000000000000003E-2</v>
      </c>
      <c r="G25435" s="26">
        <v>7.3800000000000004E-2</v>
      </c>
      <c r="H25435" s="26">
        <v>4.8800000000000003E-2</v>
      </c>
      <c r="I25435" s="26">
        <v>3.4500000000000003E-2</v>
      </c>
      <c r="J25435" s="26">
        <v>3.3099999999999997E-2</v>
      </c>
      <c r="K25435" s="26">
        <v>2.2499999999999999E-2</v>
      </c>
      <c r="L25435" s="26">
        <v>2.5100000000000001E-2</v>
      </c>
      <c r="M25435" s="26">
        <v>1.4500000000000001E-2</v>
      </c>
      <c r="N25435" s="26">
        <v>1.7399999999999999E-2</v>
      </c>
      <c r="O25435" s="26">
        <v>1.6500000000000001E-2</v>
      </c>
      <c r="P25435" s="26">
        <v>2.41E-2</v>
      </c>
      <c r="Q25435" s="26">
        <v>6.7999999999999996E-3</v>
      </c>
      <c r="R25435" s="26">
        <v>3.5000000000000001E-3</v>
      </c>
      <c r="S25435" s="26">
        <v>1.12E-2</v>
      </c>
      <c r="T25435" s="26">
        <v>1.6500000000000001E-2</v>
      </c>
      <c r="U25435" s="26">
        <v>6.0000000000000001E-3</v>
      </c>
      <c r="V25435" s="26">
        <v>9.9000000000000008E-3</v>
      </c>
      <c r="W25435" s="26">
        <v>8.0000000000000002E-3</v>
      </c>
      <c r="X25435" s="26">
        <v>8.9999999999999993E-3</v>
      </c>
      <c r="Y25435" s="26">
        <v>4.0000000000000001E-3</v>
      </c>
      <c r="Z25435">
        <v>579</v>
      </c>
    </row>
    <row r="25436" spans="1:26" x14ac:dyDescent="0.35">
      <c r="A25436" t="s">
        <v>229</v>
      </c>
      <c r="B25436" t="s">
        <v>372</v>
      </c>
      <c r="C25436" s="26">
        <v>0.3896</v>
      </c>
      <c r="D25436" s="26">
        <v>0.38290000000000002</v>
      </c>
      <c r="E25436" s="26">
        <v>8.0600000000000005E-2</v>
      </c>
      <c r="F25436" s="26">
        <v>5.9700000000000003E-2</v>
      </c>
      <c r="G25436" s="26">
        <v>6.6400000000000001E-2</v>
      </c>
      <c r="H25436" s="26">
        <v>0.13450000000000001</v>
      </c>
      <c r="I25436" s="26">
        <v>6.0600000000000001E-2</v>
      </c>
      <c r="J25436" s="26">
        <v>6.4399999999999999E-2</v>
      </c>
      <c r="K25436" s="26">
        <v>1.24E-2</v>
      </c>
      <c r="L25436" s="26">
        <v>9.5999999999999992E-3</v>
      </c>
      <c r="M25436" s="26">
        <v>5.7799999999999997E-2</v>
      </c>
      <c r="N25436" s="26">
        <v>8.5000000000000006E-3</v>
      </c>
      <c r="O25436" s="26">
        <v>3.7999999999999999E-2</v>
      </c>
      <c r="P25436" s="26">
        <v>1.04E-2</v>
      </c>
      <c r="Q25436" s="26">
        <v>1.04E-2</v>
      </c>
      <c r="R25436" s="26">
        <v>8.5000000000000006E-3</v>
      </c>
      <c r="S25436" s="26">
        <v>2.18E-2</v>
      </c>
      <c r="T25436" s="26">
        <v>1.32E-2</v>
      </c>
      <c r="U25436" s="26">
        <v>1.9E-3</v>
      </c>
      <c r="V25436" s="26">
        <v>1.9E-3</v>
      </c>
      <c r="W25436" s="26">
        <v>6.6E-3</v>
      </c>
      <c r="X25436" s="26">
        <v>6.6E-3</v>
      </c>
      <c r="Y25436" s="26">
        <v>1.32E-2</v>
      </c>
      <c r="Z25436">
        <v>220</v>
      </c>
    </row>
    <row r="25437" spans="1:26" x14ac:dyDescent="0.35">
      <c r="A25437" t="s">
        <v>229</v>
      </c>
      <c r="B25437" t="s">
        <v>373</v>
      </c>
      <c r="C25437" s="26">
        <v>0.56359999999999999</v>
      </c>
      <c r="D25437" s="26">
        <v>0.24049999999999999</v>
      </c>
      <c r="E25437" s="26">
        <v>1.23E-2</v>
      </c>
      <c r="F25437" s="26">
        <v>6.1600000000000002E-2</v>
      </c>
      <c r="G25437" s="26">
        <v>1.5900000000000001E-2</v>
      </c>
      <c r="H25437" s="26">
        <v>4.9299999999999997E-2</v>
      </c>
      <c r="I25437" s="26">
        <v>5.5599999999999997E-2</v>
      </c>
      <c r="J25437" s="26">
        <v>2.47E-2</v>
      </c>
      <c r="K25437" s="26">
        <v>2.47E-2</v>
      </c>
      <c r="L25437" s="26">
        <v>1.23E-2</v>
      </c>
      <c r="M25437" s="26">
        <v>1.8700000000000001E-2</v>
      </c>
      <c r="O25437" s="26">
        <v>2.8199999999999999E-2</v>
      </c>
      <c r="Q25437" s="26">
        <v>1.23E-2</v>
      </c>
      <c r="R25437" s="26">
        <v>1.23E-2</v>
      </c>
      <c r="S25437" s="26">
        <v>1.23E-2</v>
      </c>
      <c r="V25437" s="26">
        <v>1.23E-2</v>
      </c>
      <c r="X25437" s="26">
        <v>2.8199999999999999E-2</v>
      </c>
      <c r="Y25437" s="26">
        <v>1.23E-2</v>
      </c>
      <c r="Z25437">
        <v>90</v>
      </c>
    </row>
    <row r="25438" spans="1:26" x14ac:dyDescent="0.35">
      <c r="A25438" t="s">
        <v>230</v>
      </c>
      <c r="B25438" t="s">
        <v>371</v>
      </c>
      <c r="C25438" s="26">
        <v>0.4556</v>
      </c>
      <c r="D25438" s="26">
        <v>0.3553</v>
      </c>
      <c r="E25438" s="26">
        <v>0.11509999999999999</v>
      </c>
      <c r="F25438" s="26">
        <v>7.7100000000000002E-2</v>
      </c>
      <c r="G25438" s="26">
        <v>9.1600000000000001E-2</v>
      </c>
      <c r="H25438" s="26">
        <v>5.3600000000000002E-2</v>
      </c>
      <c r="I25438" s="26">
        <v>5.4800000000000001E-2</v>
      </c>
      <c r="J25438" s="26">
        <v>6.3600000000000004E-2</v>
      </c>
      <c r="K25438" s="26">
        <v>1.6799999999999999E-2</v>
      </c>
      <c r="L25438" s="26">
        <v>6.1400000000000003E-2</v>
      </c>
      <c r="M25438" s="26">
        <v>4.6899999999999997E-2</v>
      </c>
      <c r="N25438" s="26">
        <v>3.1399999999999997E-2</v>
      </c>
      <c r="O25438" s="26">
        <v>3.7999999999999999E-2</v>
      </c>
      <c r="P25438" s="26">
        <v>1.35E-2</v>
      </c>
      <c r="Q25438" s="26">
        <v>1.01E-2</v>
      </c>
      <c r="R25438" s="26">
        <v>6.7000000000000002E-3</v>
      </c>
      <c r="S25438" s="26">
        <v>1.7899999999999999E-2</v>
      </c>
      <c r="T25438" s="26">
        <v>2.3E-3</v>
      </c>
      <c r="U25438" s="26">
        <v>1.1000000000000001E-3</v>
      </c>
      <c r="V25438" s="26">
        <v>1.34E-2</v>
      </c>
      <c r="W25438" s="26">
        <v>1.34E-2</v>
      </c>
      <c r="X25438" s="26">
        <v>8.9999999999999993E-3</v>
      </c>
      <c r="Z25438">
        <v>260</v>
      </c>
    </row>
    <row r="25439" spans="1:26" x14ac:dyDescent="0.35">
      <c r="A25439" t="s">
        <v>230</v>
      </c>
      <c r="B25439" t="s">
        <v>372</v>
      </c>
      <c r="C25439" s="26">
        <v>0.28770000000000001</v>
      </c>
      <c r="D25439" s="26">
        <v>0.3175</v>
      </c>
      <c r="E25439" s="26">
        <v>0.1094</v>
      </c>
      <c r="F25439" s="26">
        <v>6.7799999999999999E-2</v>
      </c>
      <c r="G25439" s="26">
        <v>3.3300000000000003E-2</v>
      </c>
      <c r="H25439" s="26">
        <v>0.22</v>
      </c>
      <c r="I25439" s="26">
        <v>3.3300000000000003E-2</v>
      </c>
      <c r="J25439" s="26">
        <v>9.9900000000000003E-2</v>
      </c>
      <c r="K25439" s="26">
        <v>5.9499999999999997E-2</v>
      </c>
      <c r="L25439" s="26">
        <v>2.3800000000000002E-2</v>
      </c>
      <c r="M25439" s="26">
        <v>3.4500000000000003E-2</v>
      </c>
      <c r="N25439" s="26">
        <v>4.5199999999999997E-2</v>
      </c>
      <c r="O25439" s="26">
        <v>9.9900000000000003E-2</v>
      </c>
      <c r="P25439" s="26">
        <v>1.43E-2</v>
      </c>
      <c r="Q25439" s="26">
        <v>9.4999999999999998E-3</v>
      </c>
      <c r="S25439" s="26">
        <v>2.3800000000000002E-2</v>
      </c>
      <c r="T25439" s="26">
        <v>4.7999999999999996E-3</v>
      </c>
      <c r="U25439" s="26">
        <v>2.0199999999999999E-2</v>
      </c>
      <c r="V25439" s="26">
        <v>2.3800000000000002E-2</v>
      </c>
      <c r="W25439" s="26">
        <v>9.4999999999999998E-3</v>
      </c>
      <c r="X25439" s="26">
        <v>9.4999999999999998E-3</v>
      </c>
      <c r="Z25439">
        <v>145</v>
      </c>
    </row>
    <row r="25440" spans="1:26" x14ac:dyDescent="0.35">
      <c r="A25440" t="s">
        <v>230</v>
      </c>
      <c r="B25440" t="s">
        <v>373</v>
      </c>
      <c r="C25440" s="26">
        <v>0.38979999999999998</v>
      </c>
      <c r="D25440" s="26">
        <v>0.33110000000000001</v>
      </c>
      <c r="E25440" s="26">
        <v>7.22E-2</v>
      </c>
      <c r="F25440" s="26">
        <v>5.1200000000000002E-2</v>
      </c>
      <c r="G25440" s="26">
        <v>3.0200000000000001E-2</v>
      </c>
      <c r="H25440" s="26">
        <v>0.1331</v>
      </c>
      <c r="I25440" s="26">
        <v>4.2000000000000003E-2</v>
      </c>
      <c r="J25440" s="26">
        <v>4.9000000000000002E-2</v>
      </c>
      <c r="K25440" s="26">
        <v>4.6300000000000001E-2</v>
      </c>
      <c r="L25440" s="26">
        <v>7.0000000000000001E-3</v>
      </c>
      <c r="M25440" s="26">
        <v>1.4E-2</v>
      </c>
      <c r="N25440" s="26">
        <v>0.15840000000000001</v>
      </c>
      <c r="O25440" s="26">
        <v>2.53E-2</v>
      </c>
      <c r="P25440" s="26">
        <v>5.3400000000000003E-2</v>
      </c>
      <c r="Q25440" s="26">
        <v>1.4E-2</v>
      </c>
      <c r="R25440" s="26">
        <v>9.1999999999999998E-3</v>
      </c>
      <c r="S25440" s="26">
        <v>3.2300000000000002E-2</v>
      </c>
      <c r="T25440" s="26">
        <v>1.6199999999999999E-2</v>
      </c>
      <c r="V25440" s="26">
        <v>7.0000000000000001E-3</v>
      </c>
      <c r="X25440" s="26">
        <v>7.0000000000000001E-3</v>
      </c>
      <c r="Z25440">
        <v>151</v>
      </c>
    </row>
    <row r="25441" spans="1:26" x14ac:dyDescent="0.35">
      <c r="A25441" t="s">
        <v>231</v>
      </c>
      <c r="B25441" t="s">
        <v>371</v>
      </c>
      <c r="C25441" s="26">
        <v>0.54659999999999997</v>
      </c>
      <c r="D25441" s="26">
        <v>0.29189999999999999</v>
      </c>
      <c r="E25441" s="26">
        <v>4.3499999999999997E-2</v>
      </c>
      <c r="F25441" s="26">
        <v>4.9700000000000001E-2</v>
      </c>
      <c r="G25441" s="26">
        <v>2.4799999999999999E-2</v>
      </c>
      <c r="H25441" s="26">
        <v>2.4799999999999999E-2</v>
      </c>
      <c r="I25441" s="26">
        <v>3.73E-2</v>
      </c>
      <c r="J25441" s="26">
        <v>2.4799999999999999E-2</v>
      </c>
      <c r="K25441" s="26">
        <v>2.4799999999999999E-2</v>
      </c>
      <c r="L25441" s="26">
        <v>1.8599999999999998E-2</v>
      </c>
      <c r="M25441" s="26">
        <v>3.73E-2</v>
      </c>
      <c r="N25441" s="26">
        <v>6.1999999999999998E-3</v>
      </c>
      <c r="O25441" s="26">
        <v>1.24E-2</v>
      </c>
      <c r="P25441" s="26">
        <v>6.1999999999999998E-3</v>
      </c>
      <c r="Q25441" s="26">
        <v>1.24E-2</v>
      </c>
      <c r="R25441" s="26">
        <v>1.8599999999999998E-2</v>
      </c>
      <c r="U25441" s="26">
        <v>1.8599999999999998E-2</v>
      </c>
      <c r="V25441" s="26">
        <v>6.1999999999999998E-3</v>
      </c>
      <c r="W25441" s="26">
        <v>6.1999999999999998E-3</v>
      </c>
      <c r="Z25441">
        <v>161</v>
      </c>
    </row>
    <row r="25442" spans="1:26" x14ac:dyDescent="0.35">
      <c r="A25442" t="s">
        <v>232</v>
      </c>
      <c r="B25442" t="s">
        <v>232</v>
      </c>
      <c r="C25442" s="26">
        <v>0.50360000000000005</v>
      </c>
      <c r="D25442" s="26">
        <v>0.2873</v>
      </c>
      <c r="E25442" s="26">
        <v>7.9000000000000001E-2</v>
      </c>
      <c r="F25442" s="26">
        <v>5.91E-2</v>
      </c>
      <c r="G25442" s="26">
        <v>5.8900000000000001E-2</v>
      </c>
      <c r="H25442" s="26">
        <v>5.3600000000000002E-2</v>
      </c>
      <c r="I25442" s="26">
        <v>4.2000000000000003E-2</v>
      </c>
      <c r="J25442" s="26">
        <v>3.5000000000000003E-2</v>
      </c>
      <c r="K25442" s="26">
        <v>3.1899999999999998E-2</v>
      </c>
      <c r="L25442" s="26">
        <v>2.9499999999999998E-2</v>
      </c>
      <c r="M25442" s="26">
        <v>2.7199999999999998E-2</v>
      </c>
      <c r="N25442" s="26">
        <v>2.2800000000000001E-2</v>
      </c>
      <c r="O25442" s="26">
        <v>2.1100000000000001E-2</v>
      </c>
      <c r="P25442" s="26">
        <v>1.8100000000000002E-2</v>
      </c>
      <c r="Q25442" s="26">
        <v>1.0500000000000001E-2</v>
      </c>
      <c r="R25442" s="26">
        <v>0.01</v>
      </c>
      <c r="S25442" s="26">
        <v>9.4000000000000004E-3</v>
      </c>
      <c r="T25442" s="26">
        <v>9.2999999999999992E-3</v>
      </c>
      <c r="U25442" s="26">
        <v>8.6E-3</v>
      </c>
      <c r="V25442" s="26">
        <v>7.7999999999999996E-3</v>
      </c>
      <c r="W25442" s="26">
        <v>6.0000000000000001E-3</v>
      </c>
      <c r="X25442" s="26">
        <v>5.3E-3</v>
      </c>
      <c r="Y25442" s="26">
        <v>2.0999999999999999E-3</v>
      </c>
      <c r="Z25442">
        <v>2792</v>
      </c>
    </row>
    <row r="25444" spans="1:26" x14ac:dyDescent="0.35">
      <c r="A25444" s="1" t="s">
        <v>2310</v>
      </c>
    </row>
    <row r="25445" spans="1:26" x14ac:dyDescent="0.35">
      <c r="A25445" t="s">
        <v>219</v>
      </c>
      <c r="B25445" t="s">
        <v>305</v>
      </c>
      <c r="C25445" t="s">
        <v>550</v>
      </c>
      <c r="D25445" t="s">
        <v>2281</v>
      </c>
      <c r="E25445" t="s">
        <v>2282</v>
      </c>
      <c r="F25445" t="s">
        <v>2283</v>
      </c>
      <c r="G25445" t="s">
        <v>2284</v>
      </c>
      <c r="H25445" t="s">
        <v>2285</v>
      </c>
      <c r="I25445" t="s">
        <v>2286</v>
      </c>
      <c r="J25445" t="s">
        <v>2287</v>
      </c>
      <c r="K25445" t="s">
        <v>2288</v>
      </c>
      <c r="L25445" t="s">
        <v>2289</v>
      </c>
      <c r="M25445" t="s">
        <v>2290</v>
      </c>
      <c r="N25445" t="s">
        <v>2291</v>
      </c>
      <c r="O25445" t="s">
        <v>2292</v>
      </c>
      <c r="P25445" t="s">
        <v>2293</v>
      </c>
      <c r="Q25445" t="s">
        <v>2294</v>
      </c>
      <c r="R25445" t="s">
        <v>2295</v>
      </c>
      <c r="S25445" t="s">
        <v>2296</v>
      </c>
      <c r="T25445" t="s">
        <v>2297</v>
      </c>
      <c r="U25445" t="s">
        <v>326</v>
      </c>
      <c r="V25445" t="s">
        <v>2298</v>
      </c>
      <c r="W25445" t="s">
        <v>2299</v>
      </c>
      <c r="X25445" t="s">
        <v>281</v>
      </c>
      <c r="Y25445" t="s">
        <v>286</v>
      </c>
      <c r="Z25445" t="s">
        <v>226</v>
      </c>
    </row>
    <row r="25446" spans="1:26" x14ac:dyDescent="0.35">
      <c r="A25446" t="s">
        <v>227</v>
      </c>
      <c r="B25446" t="s">
        <v>255</v>
      </c>
      <c r="C25446" s="26">
        <v>0.47410000000000002</v>
      </c>
      <c r="D25446" s="26">
        <v>0.22409999999999999</v>
      </c>
      <c r="E25446" s="26">
        <v>7.7600000000000002E-2</v>
      </c>
      <c r="F25446" s="26">
        <v>7.7600000000000002E-2</v>
      </c>
      <c r="G25446" s="26">
        <v>5.1700000000000003E-2</v>
      </c>
      <c r="H25446" s="26">
        <v>3.4500000000000003E-2</v>
      </c>
      <c r="I25446" s="26">
        <v>4.3099999999999999E-2</v>
      </c>
      <c r="J25446" s="26">
        <v>4.3099999999999999E-2</v>
      </c>
      <c r="K25446" s="26">
        <v>5.1700000000000003E-2</v>
      </c>
      <c r="L25446" s="26">
        <v>3.4500000000000003E-2</v>
      </c>
      <c r="M25446" s="26">
        <v>8.6E-3</v>
      </c>
      <c r="N25446" s="26">
        <v>2.5899999999999999E-2</v>
      </c>
      <c r="O25446" s="26">
        <v>1.72E-2</v>
      </c>
      <c r="P25446" s="26">
        <v>3.4500000000000003E-2</v>
      </c>
      <c r="Q25446" s="26">
        <v>1.72E-2</v>
      </c>
      <c r="R25446" s="26">
        <v>1.72E-2</v>
      </c>
      <c r="T25446" s="26">
        <v>2.5899999999999999E-2</v>
      </c>
      <c r="Z25446">
        <v>116</v>
      </c>
    </row>
    <row r="25447" spans="1:26" x14ac:dyDescent="0.35">
      <c r="A25447" s="27" t="s">
        <v>227</v>
      </c>
      <c r="B25447" s="27" t="s">
        <v>257</v>
      </c>
      <c r="C25447" s="28">
        <v>0.44440000000000002</v>
      </c>
      <c r="D25447" s="28">
        <v>0.33329999999999999</v>
      </c>
      <c r="E25447" s="28">
        <v>0.1111</v>
      </c>
      <c r="F25447" s="28">
        <v>0.1111</v>
      </c>
      <c r="G25447" s="28">
        <v>0.1111</v>
      </c>
      <c r="H25447" s="29"/>
      <c r="I25447" s="28">
        <v>0.22220000000000001</v>
      </c>
      <c r="J25447" s="29"/>
      <c r="K25447" s="28">
        <v>0.1111</v>
      </c>
      <c r="L25447" s="29"/>
      <c r="M25447" s="29"/>
      <c r="N25447" s="29"/>
      <c r="O25447" s="29"/>
      <c r="P25447" s="29"/>
      <c r="Q25447" s="29"/>
      <c r="R25447" s="29"/>
      <c r="S25447" s="29"/>
      <c r="T25447" s="29"/>
      <c r="U25447" s="28">
        <v>0.1111</v>
      </c>
      <c r="V25447" s="29"/>
      <c r="W25447" s="29"/>
      <c r="X25447" s="29"/>
      <c r="Y25447" s="29"/>
      <c r="Z25447" s="29" t="s">
        <v>334</v>
      </c>
    </row>
    <row r="25448" spans="1:26" x14ac:dyDescent="0.35">
      <c r="A25448" t="s">
        <v>227</v>
      </c>
      <c r="B25448" t="s">
        <v>256</v>
      </c>
      <c r="C25448" s="26">
        <v>0.57140000000000002</v>
      </c>
      <c r="D25448" s="26">
        <v>0.34289999999999998</v>
      </c>
      <c r="E25448" s="26">
        <v>5.7099999999999998E-2</v>
      </c>
      <c r="F25448" s="26">
        <v>8.5699999999999998E-2</v>
      </c>
      <c r="G25448" s="26">
        <v>5.7099999999999998E-2</v>
      </c>
      <c r="H25448" s="26">
        <v>2.86E-2</v>
      </c>
      <c r="K25448" s="26">
        <v>5.7099999999999998E-2</v>
      </c>
      <c r="L25448" s="26">
        <v>0.1143</v>
      </c>
      <c r="M25448" s="26">
        <v>2.86E-2</v>
      </c>
      <c r="O25448" s="26">
        <v>2.86E-2</v>
      </c>
      <c r="Z25448">
        <v>35</v>
      </c>
    </row>
    <row r="25449" spans="1:26" x14ac:dyDescent="0.35">
      <c r="A25449" t="s">
        <v>228</v>
      </c>
      <c r="B25449" t="s">
        <v>257</v>
      </c>
      <c r="C25449" s="26">
        <v>0.2059</v>
      </c>
      <c r="D25449" s="26">
        <v>0.66659999999999997</v>
      </c>
      <c r="E25449" s="26">
        <v>0.17849999999999999</v>
      </c>
      <c r="F25449" s="26">
        <v>4.8099999999999997E-2</v>
      </c>
      <c r="G25449" s="26">
        <v>0.1401</v>
      </c>
      <c r="H25449" s="26">
        <v>5.2900000000000003E-2</v>
      </c>
      <c r="I25449" s="26">
        <v>9.5600000000000004E-2</v>
      </c>
      <c r="J25449" s="26">
        <v>0.13800000000000001</v>
      </c>
      <c r="K25449" s="26">
        <v>0.16589999999999999</v>
      </c>
      <c r="N25449" s="26">
        <v>7.9000000000000008E-3</v>
      </c>
      <c r="O25449" s="26">
        <v>7.9000000000000008E-3</v>
      </c>
      <c r="P25449" s="26">
        <v>7.9000000000000008E-3</v>
      </c>
      <c r="Q25449" s="26">
        <v>1.52E-2</v>
      </c>
      <c r="R25449" s="26">
        <v>2.24E-2</v>
      </c>
      <c r="S25449" s="26">
        <v>6.8999999999999999E-3</v>
      </c>
      <c r="T25449" s="26">
        <v>1.6E-2</v>
      </c>
      <c r="V25449" s="26">
        <v>6.3799999999999996E-2</v>
      </c>
      <c r="W25449" s="26">
        <v>7.9000000000000008E-3</v>
      </c>
      <c r="Z25449">
        <v>49</v>
      </c>
    </row>
    <row r="25450" spans="1:26" x14ac:dyDescent="0.35">
      <c r="A25450" s="27" t="s">
        <v>228</v>
      </c>
      <c r="B25450" s="27" t="s">
        <v>258</v>
      </c>
      <c r="C25450" s="28">
        <v>0.80389999999999995</v>
      </c>
      <c r="D25450" s="28">
        <v>0.1961</v>
      </c>
      <c r="E25450" s="29"/>
      <c r="F25450" s="29"/>
      <c r="G25450" s="29"/>
      <c r="H25450" s="28">
        <v>9.8100000000000007E-2</v>
      </c>
      <c r="I25450" s="29"/>
      <c r="J25450" s="29"/>
      <c r="K25450" s="29"/>
      <c r="L25450" s="29"/>
      <c r="M25450" s="29"/>
      <c r="N25450" s="29"/>
      <c r="O25450" s="29"/>
      <c r="P25450" s="29"/>
      <c r="Q25450" s="29"/>
      <c r="R25450" s="29"/>
      <c r="S25450" s="29"/>
      <c r="T25450" s="29"/>
      <c r="U25450" s="29"/>
      <c r="V25450" s="29"/>
      <c r="W25450" s="29"/>
      <c r="X25450" s="29"/>
      <c r="Y25450" s="29"/>
      <c r="Z25450" s="29" t="s">
        <v>337</v>
      </c>
    </row>
    <row r="25451" spans="1:26" x14ac:dyDescent="0.35">
      <c r="A25451" t="s">
        <v>228</v>
      </c>
      <c r="B25451" t="s">
        <v>256</v>
      </c>
      <c r="C25451" s="26">
        <v>0.46360000000000001</v>
      </c>
      <c r="D25451" s="26">
        <v>0.27010000000000001</v>
      </c>
      <c r="E25451" s="26">
        <v>7.6799999999999993E-2</v>
      </c>
      <c r="F25451" s="26">
        <v>9.4899999999999998E-2</v>
      </c>
      <c r="G25451" s="26">
        <v>0.1157</v>
      </c>
      <c r="H25451" s="26">
        <v>0.1191</v>
      </c>
      <c r="I25451" s="26">
        <v>3.9399999999999998E-2</v>
      </c>
      <c r="J25451" s="26">
        <v>1.4200000000000001E-2</v>
      </c>
      <c r="K25451" s="26">
        <v>4.24E-2</v>
      </c>
      <c r="L25451" s="26">
        <v>0.05</v>
      </c>
      <c r="M25451" s="26">
        <v>1.24E-2</v>
      </c>
      <c r="N25451" s="26">
        <v>3.5799999999999998E-2</v>
      </c>
      <c r="O25451" s="26">
        <v>4.48E-2</v>
      </c>
      <c r="P25451" s="26">
        <v>1.03E-2</v>
      </c>
      <c r="Q25451" s="26">
        <v>5.0000000000000001E-3</v>
      </c>
      <c r="R25451" s="26">
        <v>1.55E-2</v>
      </c>
      <c r="S25451" s="26">
        <v>6.5699999999999995E-2</v>
      </c>
      <c r="T25451" s="26">
        <v>3.5000000000000001E-3</v>
      </c>
      <c r="U25451" s="26">
        <v>1.38E-2</v>
      </c>
      <c r="V25451" s="26">
        <v>1.6999999999999999E-3</v>
      </c>
      <c r="X25451" s="26">
        <v>5.0000000000000001E-3</v>
      </c>
      <c r="Z25451">
        <v>220</v>
      </c>
    </row>
    <row r="25452" spans="1:26" x14ac:dyDescent="0.35">
      <c r="A25452" t="s">
        <v>228</v>
      </c>
      <c r="B25452" t="s">
        <v>255</v>
      </c>
      <c r="C25452" s="26">
        <v>0.45829999999999999</v>
      </c>
      <c r="D25452" s="26">
        <v>0.28599999999999998</v>
      </c>
      <c r="E25452" s="26">
        <v>8.43E-2</v>
      </c>
      <c r="F25452" s="26">
        <v>6.5000000000000002E-2</v>
      </c>
      <c r="G25452" s="26">
        <v>6.2899999999999998E-2</v>
      </c>
      <c r="H25452" s="26">
        <v>9.98E-2</v>
      </c>
      <c r="I25452" s="26">
        <v>5.16E-2</v>
      </c>
      <c r="J25452" s="26">
        <v>4.02E-2</v>
      </c>
      <c r="K25452" s="26">
        <v>3.2500000000000001E-2</v>
      </c>
      <c r="L25452" s="26">
        <v>1.9400000000000001E-2</v>
      </c>
      <c r="M25452" s="26">
        <v>4.24E-2</v>
      </c>
      <c r="N25452" s="26">
        <v>5.2299999999999999E-2</v>
      </c>
      <c r="O25452" s="26">
        <v>2.7799999999999998E-2</v>
      </c>
      <c r="P25452" s="26">
        <v>2.7400000000000001E-2</v>
      </c>
      <c r="Q25452" s="26">
        <v>1.2800000000000001E-2</v>
      </c>
      <c r="R25452" s="26">
        <v>2E-3</v>
      </c>
      <c r="S25452" s="26">
        <v>6.7000000000000002E-3</v>
      </c>
      <c r="T25452" s="26">
        <v>8.8000000000000005E-3</v>
      </c>
      <c r="U25452" s="26">
        <v>8.9999999999999998E-4</v>
      </c>
      <c r="V25452" s="26">
        <v>1.04E-2</v>
      </c>
      <c r="W25452" s="26">
        <v>6.8999999999999999E-3</v>
      </c>
      <c r="X25452" s="26">
        <v>1.1299999999999999E-2</v>
      </c>
      <c r="Y25452" s="26">
        <v>5.8999999999999999E-3</v>
      </c>
      <c r="Z25452">
        <v>753</v>
      </c>
    </row>
    <row r="25453" spans="1:26" x14ac:dyDescent="0.35">
      <c r="A25453" t="s">
        <v>229</v>
      </c>
      <c r="B25453" t="s">
        <v>256</v>
      </c>
      <c r="C25453" s="26">
        <v>0.5222</v>
      </c>
      <c r="D25453" s="26">
        <v>0.2651</v>
      </c>
      <c r="E25453" s="26">
        <v>0.1399</v>
      </c>
      <c r="F25453" s="26">
        <v>3.3300000000000003E-2</v>
      </c>
      <c r="G25453" s="26">
        <v>7.9699999999999993E-2</v>
      </c>
      <c r="H25453" s="26">
        <v>7.5200000000000003E-2</v>
      </c>
      <c r="I25453" s="26">
        <v>3.7199999999999997E-2</v>
      </c>
      <c r="J25453" s="26">
        <v>4.6800000000000001E-2</v>
      </c>
      <c r="K25453" s="26">
        <v>1.14E-2</v>
      </c>
      <c r="L25453" s="26">
        <v>3.0599999999999999E-2</v>
      </c>
      <c r="M25453" s="26">
        <v>1.5299999999999999E-2</v>
      </c>
      <c r="N25453" s="26">
        <v>1.23E-2</v>
      </c>
      <c r="O25453" s="26">
        <v>2.5000000000000001E-3</v>
      </c>
      <c r="P25453" s="26">
        <v>2.9600000000000001E-2</v>
      </c>
      <c r="Q25453" s="26">
        <v>9.2999999999999992E-3</v>
      </c>
      <c r="S25453" s="26">
        <v>3.8800000000000001E-2</v>
      </c>
      <c r="T25453" s="26">
        <v>3.0999999999999999E-3</v>
      </c>
      <c r="U25453" s="26">
        <v>1.11E-2</v>
      </c>
      <c r="V25453" s="26">
        <v>1.1999999999999999E-3</v>
      </c>
      <c r="W25453" s="26">
        <v>2.3400000000000001E-2</v>
      </c>
      <c r="X25453" s="26">
        <v>1.6000000000000001E-3</v>
      </c>
      <c r="Z25453">
        <v>205</v>
      </c>
    </row>
    <row r="25454" spans="1:26" x14ac:dyDescent="0.35">
      <c r="A25454" t="s">
        <v>229</v>
      </c>
      <c r="B25454" t="s">
        <v>255</v>
      </c>
      <c r="C25454" s="26">
        <v>0.53029999999999999</v>
      </c>
      <c r="D25454" s="26">
        <v>0.2661</v>
      </c>
      <c r="E25454" s="26">
        <v>8.6400000000000005E-2</v>
      </c>
      <c r="F25454" s="26">
        <v>4.4299999999999999E-2</v>
      </c>
      <c r="G25454" s="26">
        <v>7.0499999999999993E-2</v>
      </c>
      <c r="H25454" s="26">
        <v>4.02E-2</v>
      </c>
      <c r="I25454" s="26">
        <v>3.85E-2</v>
      </c>
      <c r="J25454" s="26">
        <v>2.8500000000000001E-2</v>
      </c>
      <c r="K25454" s="26">
        <v>2.4500000000000001E-2</v>
      </c>
      <c r="L25454" s="26">
        <v>1.8800000000000001E-2</v>
      </c>
      <c r="M25454" s="26">
        <v>1.7999999999999999E-2</v>
      </c>
      <c r="N25454" s="26">
        <v>1.5299999999999999E-2</v>
      </c>
      <c r="O25454" s="26">
        <v>2.4799999999999999E-2</v>
      </c>
      <c r="P25454" s="26">
        <v>1.7399999999999999E-2</v>
      </c>
      <c r="Q25454" s="26">
        <v>2.3E-3</v>
      </c>
      <c r="R25454" s="26">
        <v>5.4000000000000003E-3</v>
      </c>
      <c r="S25454" s="26">
        <v>1E-4</v>
      </c>
      <c r="T25454" s="26">
        <v>1.7899999999999999E-2</v>
      </c>
      <c r="U25454" s="26">
        <v>3.8999999999999998E-3</v>
      </c>
      <c r="V25454" s="26">
        <v>1.37E-2</v>
      </c>
      <c r="W25454" s="26">
        <v>2E-3</v>
      </c>
      <c r="X25454" s="26">
        <v>1.3299999999999999E-2</v>
      </c>
      <c r="Y25454" s="26">
        <v>7.0000000000000001E-3</v>
      </c>
      <c r="Z25454">
        <v>632</v>
      </c>
    </row>
    <row r="25455" spans="1:26" x14ac:dyDescent="0.35">
      <c r="A25455" t="s">
        <v>229</v>
      </c>
      <c r="B25455" t="s">
        <v>257</v>
      </c>
      <c r="C25455" s="26">
        <v>0.53269999999999995</v>
      </c>
      <c r="D25455" s="26">
        <v>0.31469999999999998</v>
      </c>
      <c r="E25455" s="26">
        <v>5.8599999999999999E-2</v>
      </c>
      <c r="F25455" s="26">
        <v>7.8600000000000003E-2</v>
      </c>
      <c r="G25455" s="26">
        <v>4.9399999999999999E-2</v>
      </c>
      <c r="H25455" s="26">
        <v>0.1017</v>
      </c>
      <c r="I25455" s="26">
        <v>7.7999999999999996E-3</v>
      </c>
      <c r="J25455" s="26">
        <v>4.6300000000000001E-2</v>
      </c>
      <c r="K25455" s="26">
        <v>4.6300000000000001E-2</v>
      </c>
      <c r="L25455" s="26">
        <v>5.4100000000000002E-2</v>
      </c>
      <c r="M25455" s="26">
        <v>9.1999999999999998E-3</v>
      </c>
      <c r="N25455" s="26">
        <v>5.2400000000000002E-2</v>
      </c>
      <c r="O25455" s="26">
        <v>9.5999999999999992E-3</v>
      </c>
      <c r="P25455" s="26">
        <v>5.5399999999999998E-2</v>
      </c>
      <c r="Q25455" s="26">
        <v>5.5399999999999998E-2</v>
      </c>
      <c r="R25455" s="26">
        <v>6.1000000000000004E-3</v>
      </c>
      <c r="S25455" s="26">
        <v>1.84E-2</v>
      </c>
      <c r="T25455" s="26">
        <v>5.5399999999999998E-2</v>
      </c>
      <c r="Z25455">
        <v>50</v>
      </c>
    </row>
    <row r="25456" spans="1:26" x14ac:dyDescent="0.35">
      <c r="A25456" s="27" t="s">
        <v>229</v>
      </c>
      <c r="B25456" s="27" t="s">
        <v>258</v>
      </c>
      <c r="C25456" s="29"/>
      <c r="D25456" s="28">
        <v>0.77590000000000003</v>
      </c>
      <c r="E25456" s="28">
        <v>0.22409999999999999</v>
      </c>
      <c r="F25456" s="28">
        <v>0.77590000000000003</v>
      </c>
      <c r="G25456" s="29"/>
      <c r="H25456" s="29"/>
      <c r="I25456" s="29"/>
      <c r="J25456" s="29"/>
      <c r="K25456" s="29"/>
      <c r="L25456" s="29"/>
      <c r="M25456" s="29"/>
      <c r="N25456" s="29"/>
      <c r="O25456" s="29"/>
      <c r="P25456" s="29"/>
      <c r="Q25456" s="29"/>
      <c r="R25456" s="29"/>
      <c r="S25456" s="29"/>
      <c r="T25456" s="29"/>
      <c r="U25456" s="29"/>
      <c r="V25456" s="29"/>
      <c r="W25456" s="29"/>
      <c r="X25456" s="29"/>
      <c r="Y25456" s="29"/>
      <c r="Z25456" s="29" t="s">
        <v>314</v>
      </c>
    </row>
    <row r="25457" spans="1:26" x14ac:dyDescent="0.35">
      <c r="A25457" t="s">
        <v>230</v>
      </c>
      <c r="B25457" t="s">
        <v>256</v>
      </c>
      <c r="C25457" s="26">
        <v>0.46229999999999999</v>
      </c>
      <c r="D25457" s="26">
        <v>0.32819999999999999</v>
      </c>
      <c r="E25457" s="26">
        <v>0.1095</v>
      </c>
      <c r="F25457" s="26">
        <v>5.5199999999999999E-2</v>
      </c>
      <c r="G25457" s="26">
        <v>5.0599999999999999E-2</v>
      </c>
      <c r="H25457" s="26">
        <v>5.3999999999999999E-2</v>
      </c>
      <c r="I25457" s="26">
        <v>9.8100000000000007E-2</v>
      </c>
      <c r="J25457" s="26">
        <v>3.0800000000000001E-2</v>
      </c>
      <c r="K25457" s="26">
        <v>4.7199999999999999E-2</v>
      </c>
      <c r="L25457" s="26">
        <v>3.9300000000000002E-2</v>
      </c>
      <c r="M25457" s="26">
        <v>1.2500000000000001E-2</v>
      </c>
      <c r="N25457" s="26">
        <v>5.2999999999999999E-2</v>
      </c>
      <c r="O25457" s="26">
        <v>7.8299999999999995E-2</v>
      </c>
      <c r="P25457" s="26">
        <v>1.9400000000000001E-2</v>
      </c>
      <c r="Q25457" s="26">
        <v>2.0799999999999999E-2</v>
      </c>
      <c r="R25457" s="26">
        <v>2.0799999999999999E-2</v>
      </c>
      <c r="S25457" s="26">
        <v>3.78E-2</v>
      </c>
      <c r="V25457" s="26">
        <v>3.3999999999999998E-3</v>
      </c>
      <c r="W25457" s="26">
        <v>1.1000000000000001E-3</v>
      </c>
      <c r="X25457" s="26">
        <v>3.3999999999999998E-3</v>
      </c>
      <c r="Z25457">
        <v>129</v>
      </c>
    </row>
    <row r="25458" spans="1:26" x14ac:dyDescent="0.35">
      <c r="A25458" t="s">
        <v>230</v>
      </c>
      <c r="B25458" t="s">
        <v>255</v>
      </c>
      <c r="C25458" s="26">
        <v>0.43049999999999999</v>
      </c>
      <c r="D25458" s="26">
        <v>0.34760000000000002</v>
      </c>
      <c r="E25458" s="26">
        <v>8.77E-2</v>
      </c>
      <c r="F25458" s="26">
        <v>7.0699999999999999E-2</v>
      </c>
      <c r="G25458" s="26">
        <v>0.1003</v>
      </c>
      <c r="H25458" s="26">
        <v>7.7100000000000002E-2</v>
      </c>
      <c r="I25458" s="26">
        <v>3.7900000000000003E-2</v>
      </c>
      <c r="J25458" s="26">
        <v>7.4899999999999994E-2</v>
      </c>
      <c r="K25458" s="26">
        <v>1.4800000000000001E-2</v>
      </c>
      <c r="L25458" s="26">
        <v>5.5399999999999998E-2</v>
      </c>
      <c r="M25458" s="26">
        <v>5.8700000000000002E-2</v>
      </c>
      <c r="N25458" s="26">
        <v>4.2799999999999998E-2</v>
      </c>
      <c r="O25458" s="26">
        <v>2.63E-2</v>
      </c>
      <c r="P25458" s="26">
        <v>1.09E-2</v>
      </c>
      <c r="Q25458" s="26">
        <v>5.0000000000000001E-3</v>
      </c>
      <c r="R25458" s="26">
        <v>4.0000000000000002E-4</v>
      </c>
      <c r="S25458" s="26">
        <v>3.5999999999999999E-3</v>
      </c>
      <c r="T25458" s="26">
        <v>5.0000000000000001E-3</v>
      </c>
      <c r="U25458" s="26">
        <v>3.2000000000000002E-3</v>
      </c>
      <c r="V25458" s="26">
        <v>1.8599999999999998E-2</v>
      </c>
      <c r="W25458" s="26">
        <v>1.6899999999999998E-2</v>
      </c>
      <c r="X25458" s="26">
        <v>1.1900000000000001E-2</v>
      </c>
      <c r="Z25458">
        <v>386</v>
      </c>
    </row>
    <row r="25459" spans="1:26" x14ac:dyDescent="0.35">
      <c r="A25459" t="s">
        <v>230</v>
      </c>
      <c r="B25459" t="s">
        <v>257</v>
      </c>
      <c r="C25459" s="26">
        <v>0.36299999999999999</v>
      </c>
      <c r="D25459" s="26">
        <v>0.48089999999999999</v>
      </c>
      <c r="E25459" s="26">
        <v>0.31730000000000003</v>
      </c>
      <c r="F25459" s="26">
        <v>0.16889999999999999</v>
      </c>
      <c r="G25459" s="26">
        <v>1.2800000000000001E-2</v>
      </c>
      <c r="H25459" s="26">
        <v>0.1179</v>
      </c>
      <c r="I25459" s="26">
        <v>1.6400000000000001E-2</v>
      </c>
      <c r="J25459" s="26">
        <v>8.8999999999999996E-2</v>
      </c>
      <c r="K25459" s="26">
        <v>1.2500000000000001E-2</v>
      </c>
      <c r="L25459" s="26">
        <v>7.6100000000000001E-2</v>
      </c>
      <c r="N25459" s="26">
        <v>8.8700000000000001E-2</v>
      </c>
      <c r="O25459" s="26">
        <v>2.92E-2</v>
      </c>
      <c r="P25459" s="26">
        <v>8.8999999999999996E-2</v>
      </c>
      <c r="Q25459" s="26">
        <v>2.5700000000000001E-2</v>
      </c>
      <c r="R25459" s="26">
        <v>1.2500000000000001E-2</v>
      </c>
      <c r="S25459" s="26">
        <v>0.1095</v>
      </c>
      <c r="T25459" s="26">
        <v>1.2500000000000001E-2</v>
      </c>
      <c r="Z25459">
        <v>38</v>
      </c>
    </row>
    <row r="25460" spans="1:26" x14ac:dyDescent="0.35">
      <c r="A25460" s="27" t="s">
        <v>230</v>
      </c>
      <c r="B25460" s="27" t="s">
        <v>258</v>
      </c>
      <c r="C25460" s="28">
        <v>0.95830000000000004</v>
      </c>
      <c r="D25460" s="28">
        <v>4.1700000000000001E-2</v>
      </c>
      <c r="E25460" s="29"/>
      <c r="F25460" s="29"/>
      <c r="G25460" s="29"/>
      <c r="H25460" s="29"/>
      <c r="I25460" s="29"/>
      <c r="J25460" s="29"/>
      <c r="K25460" s="29"/>
      <c r="L25460" s="29"/>
      <c r="M25460" s="29"/>
      <c r="N25460" s="29"/>
      <c r="O25460" s="29"/>
      <c r="P25460" s="29"/>
      <c r="Q25460" s="29"/>
      <c r="R25460" s="29"/>
      <c r="S25460" s="29"/>
      <c r="T25460" s="29"/>
      <c r="U25460" s="29"/>
      <c r="V25460" s="29"/>
      <c r="W25460" s="29"/>
      <c r="X25460" s="29"/>
      <c r="Y25460" s="29"/>
      <c r="Z25460" s="29" t="s">
        <v>315</v>
      </c>
    </row>
    <row r="25461" spans="1:26" x14ac:dyDescent="0.35">
      <c r="A25461" s="27" t="s">
        <v>231</v>
      </c>
      <c r="B25461" s="27" t="s">
        <v>257</v>
      </c>
      <c r="C25461" s="28">
        <v>0.71430000000000005</v>
      </c>
      <c r="D25461" s="28">
        <v>0.28570000000000001</v>
      </c>
      <c r="E25461" s="29"/>
      <c r="F25461" s="29"/>
      <c r="G25461" s="29"/>
      <c r="H25461" s="29"/>
      <c r="I25461" s="29"/>
      <c r="J25461" s="29"/>
      <c r="K25461" s="29"/>
      <c r="L25461" s="29"/>
      <c r="M25461" s="29"/>
      <c r="N25461" s="29"/>
      <c r="O25461" s="29"/>
      <c r="P25461" s="29"/>
      <c r="Q25461" s="29"/>
      <c r="R25461" s="29"/>
      <c r="S25461" s="29"/>
      <c r="T25461" s="29"/>
      <c r="U25461" s="29"/>
      <c r="V25461" s="29"/>
      <c r="W25461" s="29"/>
      <c r="X25461" s="29"/>
      <c r="Y25461" s="29"/>
      <c r="Z25461" s="29" t="s">
        <v>339</v>
      </c>
    </row>
    <row r="25462" spans="1:26" x14ac:dyDescent="0.35">
      <c r="A25462" t="s">
        <v>231</v>
      </c>
      <c r="B25462" t="s">
        <v>255</v>
      </c>
      <c r="C25462" s="26">
        <v>0.55910000000000004</v>
      </c>
      <c r="D25462" s="26">
        <v>0.25979999999999998</v>
      </c>
      <c r="E25462" s="26">
        <v>3.9399999999999998E-2</v>
      </c>
      <c r="F25462" s="26">
        <v>3.9399999999999998E-2</v>
      </c>
      <c r="G25462" s="26">
        <v>1.5699999999999999E-2</v>
      </c>
      <c r="H25462" s="26">
        <v>3.15E-2</v>
      </c>
      <c r="I25462" s="26">
        <v>4.7199999999999999E-2</v>
      </c>
      <c r="J25462" s="26">
        <v>1.5699999999999999E-2</v>
      </c>
      <c r="K25462" s="26">
        <v>2.3599999999999999E-2</v>
      </c>
      <c r="L25462" s="26">
        <v>1.5699999999999999E-2</v>
      </c>
      <c r="M25462" s="26">
        <v>3.15E-2</v>
      </c>
      <c r="N25462" s="26">
        <v>7.9000000000000008E-3</v>
      </c>
      <c r="O25462" s="26">
        <v>1.5699999999999999E-2</v>
      </c>
      <c r="P25462" s="26">
        <v>7.9000000000000008E-3</v>
      </c>
      <c r="Q25462" s="26">
        <v>1.5699999999999999E-2</v>
      </c>
      <c r="R25462" s="26">
        <v>2.3599999999999999E-2</v>
      </c>
      <c r="U25462" s="26">
        <v>2.3599999999999999E-2</v>
      </c>
      <c r="V25462" s="26">
        <v>7.9000000000000008E-3</v>
      </c>
      <c r="W25462" s="26">
        <v>7.9000000000000008E-3</v>
      </c>
      <c r="Z25462">
        <v>127</v>
      </c>
    </row>
    <row r="25463" spans="1:26" x14ac:dyDescent="0.35">
      <c r="A25463" s="27" t="s">
        <v>231</v>
      </c>
      <c r="B25463" s="27" t="s">
        <v>256</v>
      </c>
      <c r="C25463" s="28">
        <v>0.44440000000000002</v>
      </c>
      <c r="D25463" s="28">
        <v>0.44440000000000002</v>
      </c>
      <c r="E25463" s="28">
        <v>7.4099999999999999E-2</v>
      </c>
      <c r="F25463" s="28">
        <v>0.1111</v>
      </c>
      <c r="G25463" s="28">
        <v>7.4099999999999999E-2</v>
      </c>
      <c r="H25463" s="29"/>
      <c r="I25463" s="29"/>
      <c r="J25463" s="28">
        <v>7.4099999999999999E-2</v>
      </c>
      <c r="K25463" s="28">
        <v>3.6999999999999998E-2</v>
      </c>
      <c r="L25463" s="28">
        <v>3.6999999999999998E-2</v>
      </c>
      <c r="M25463" s="28">
        <v>7.4099999999999999E-2</v>
      </c>
      <c r="N25463" s="29"/>
      <c r="O25463" s="29"/>
      <c r="P25463" s="29"/>
      <c r="Q25463" s="29"/>
      <c r="R25463" s="29"/>
      <c r="S25463" s="29"/>
      <c r="T25463" s="29"/>
      <c r="U25463" s="29"/>
      <c r="V25463" s="29"/>
      <c r="W25463" s="29"/>
      <c r="X25463" s="29"/>
      <c r="Y25463" s="29"/>
      <c r="Z25463" s="29" t="s">
        <v>338</v>
      </c>
    </row>
    <row r="25464" spans="1:26" x14ac:dyDescent="0.35">
      <c r="A25464" t="s">
        <v>232</v>
      </c>
      <c r="B25464" t="s">
        <v>232</v>
      </c>
      <c r="C25464" s="26">
        <v>0.50360000000000005</v>
      </c>
      <c r="D25464" s="26">
        <v>0.2873</v>
      </c>
      <c r="E25464" s="26">
        <v>7.9000000000000001E-2</v>
      </c>
      <c r="F25464" s="26">
        <v>5.91E-2</v>
      </c>
      <c r="G25464" s="26">
        <v>5.8900000000000001E-2</v>
      </c>
      <c r="H25464" s="26">
        <v>5.3600000000000002E-2</v>
      </c>
      <c r="I25464" s="26">
        <v>4.2000000000000003E-2</v>
      </c>
      <c r="J25464" s="26">
        <v>3.5000000000000003E-2</v>
      </c>
      <c r="K25464" s="26">
        <v>3.1899999999999998E-2</v>
      </c>
      <c r="L25464" s="26">
        <v>2.9499999999999998E-2</v>
      </c>
      <c r="M25464" s="26">
        <v>2.7199999999999998E-2</v>
      </c>
      <c r="N25464" s="26">
        <v>2.2800000000000001E-2</v>
      </c>
      <c r="O25464" s="26">
        <v>2.1100000000000001E-2</v>
      </c>
      <c r="P25464" s="26">
        <v>1.8100000000000002E-2</v>
      </c>
      <c r="Q25464" s="26">
        <v>1.0500000000000001E-2</v>
      </c>
      <c r="R25464" s="26">
        <v>0.01</v>
      </c>
      <c r="S25464" s="26">
        <v>9.4000000000000004E-3</v>
      </c>
      <c r="T25464" s="26">
        <v>9.2999999999999992E-3</v>
      </c>
      <c r="U25464" s="26">
        <v>8.6E-3</v>
      </c>
      <c r="V25464" s="26">
        <v>7.7999999999999996E-3</v>
      </c>
      <c r="W25464" s="26">
        <v>6.0000000000000001E-3</v>
      </c>
      <c r="X25464" s="26">
        <v>5.3E-3</v>
      </c>
      <c r="Y25464" s="26">
        <v>2.0999999999999999E-3</v>
      </c>
      <c r="Z25464">
        <v>2792</v>
      </c>
    </row>
    <row r="25466" spans="1:26" x14ac:dyDescent="0.35">
      <c r="A25466" s="1" t="s">
        <v>2311</v>
      </c>
    </row>
    <row r="25467" spans="1:26" x14ac:dyDescent="0.35">
      <c r="A25467" t="s">
        <v>219</v>
      </c>
      <c r="B25467" t="s">
        <v>305</v>
      </c>
      <c r="C25467" t="s">
        <v>550</v>
      </c>
      <c r="D25467" t="s">
        <v>2281</v>
      </c>
      <c r="E25467" t="s">
        <v>2282</v>
      </c>
      <c r="F25467" t="s">
        <v>2283</v>
      </c>
      <c r="G25467" t="s">
        <v>2284</v>
      </c>
      <c r="H25467" t="s">
        <v>2285</v>
      </c>
      <c r="I25467" t="s">
        <v>2286</v>
      </c>
      <c r="J25467" t="s">
        <v>2287</v>
      </c>
      <c r="K25467" t="s">
        <v>2288</v>
      </c>
      <c r="L25467" t="s">
        <v>2289</v>
      </c>
      <c r="M25467" t="s">
        <v>2290</v>
      </c>
      <c r="N25467" t="s">
        <v>2291</v>
      </c>
      <c r="O25467" t="s">
        <v>2292</v>
      </c>
      <c r="P25467" t="s">
        <v>2293</v>
      </c>
      <c r="Q25467" t="s">
        <v>2294</v>
      </c>
      <c r="R25467" t="s">
        <v>2295</v>
      </c>
      <c r="S25467" t="s">
        <v>2296</v>
      </c>
      <c r="T25467" t="s">
        <v>2297</v>
      </c>
      <c r="U25467" t="s">
        <v>326</v>
      </c>
      <c r="V25467" t="s">
        <v>2298</v>
      </c>
      <c r="W25467" t="s">
        <v>2299</v>
      </c>
      <c r="X25467" t="s">
        <v>281</v>
      </c>
      <c r="Y25467" t="s">
        <v>286</v>
      </c>
      <c r="Z25467" t="s">
        <v>226</v>
      </c>
    </row>
    <row r="25468" spans="1:26" x14ac:dyDescent="0.35">
      <c r="A25468" t="s">
        <v>227</v>
      </c>
      <c r="B25468" t="s">
        <v>1341</v>
      </c>
      <c r="C25468" s="26">
        <v>0.54169999999999996</v>
      </c>
      <c r="D25468" s="26">
        <v>0.22919999999999999</v>
      </c>
      <c r="E25468" s="26">
        <v>4.1700000000000001E-2</v>
      </c>
      <c r="F25468" s="26">
        <v>4.1700000000000001E-2</v>
      </c>
      <c r="G25468" s="26">
        <v>2.0799999999999999E-2</v>
      </c>
      <c r="H25468" s="26">
        <v>4.1700000000000001E-2</v>
      </c>
      <c r="I25468" s="26">
        <v>4.1700000000000001E-2</v>
      </c>
      <c r="J25468" s="26">
        <v>2.0799999999999999E-2</v>
      </c>
      <c r="K25468" s="26">
        <v>4.1700000000000001E-2</v>
      </c>
      <c r="L25468" s="26">
        <v>4.1700000000000001E-2</v>
      </c>
      <c r="O25468" s="26">
        <v>2.0799999999999999E-2</v>
      </c>
      <c r="P25468" s="26">
        <v>2.0799999999999999E-2</v>
      </c>
      <c r="T25468" s="26">
        <v>6.25E-2</v>
      </c>
      <c r="Z25468">
        <v>48</v>
      </c>
    </row>
    <row r="25469" spans="1:26" x14ac:dyDescent="0.35">
      <c r="A25469" s="27" t="s">
        <v>227</v>
      </c>
      <c r="B25469" s="27" t="s">
        <v>1342</v>
      </c>
      <c r="C25469" s="29"/>
      <c r="D25469" s="28">
        <v>1</v>
      </c>
      <c r="E25469" s="29"/>
      <c r="F25469" s="28">
        <v>1</v>
      </c>
      <c r="G25469" s="29"/>
      <c r="H25469" s="29"/>
      <c r="I25469" s="29"/>
      <c r="J25469" s="29"/>
      <c r="K25469" s="29"/>
      <c r="L25469" s="29"/>
      <c r="M25469" s="29"/>
      <c r="N25469" s="29"/>
      <c r="O25469" s="29"/>
      <c r="P25469" s="29"/>
      <c r="Q25469" s="29"/>
      <c r="R25469" s="29"/>
      <c r="S25469" s="29"/>
      <c r="T25469" s="29"/>
      <c r="U25469" s="29"/>
      <c r="V25469" s="29"/>
      <c r="W25469" s="29"/>
      <c r="X25469" s="29"/>
      <c r="Y25469" s="29"/>
      <c r="Z25469" s="29" t="s">
        <v>331</v>
      </c>
    </row>
    <row r="25470" spans="1:26" x14ac:dyDescent="0.35">
      <c r="A25470" t="s">
        <v>227</v>
      </c>
      <c r="B25470" t="s">
        <v>1343</v>
      </c>
      <c r="C25470" s="26">
        <v>0.47749999999999998</v>
      </c>
      <c r="D25470" s="26">
        <v>0.26129999999999998</v>
      </c>
      <c r="E25470" s="26">
        <v>9.01E-2</v>
      </c>
      <c r="F25470" s="26">
        <v>9.01E-2</v>
      </c>
      <c r="G25470" s="26">
        <v>7.2099999999999997E-2</v>
      </c>
      <c r="H25470" s="26">
        <v>2.7E-2</v>
      </c>
      <c r="I25470" s="26">
        <v>4.4999999999999998E-2</v>
      </c>
      <c r="J25470" s="26">
        <v>3.5999999999999997E-2</v>
      </c>
      <c r="K25470" s="26">
        <v>6.3100000000000003E-2</v>
      </c>
      <c r="L25470" s="26">
        <v>5.4100000000000002E-2</v>
      </c>
      <c r="M25470" s="26">
        <v>1.7999999999999999E-2</v>
      </c>
      <c r="N25470" s="26">
        <v>2.7E-2</v>
      </c>
      <c r="O25470" s="26">
        <v>1.7999999999999999E-2</v>
      </c>
      <c r="P25470" s="26">
        <v>2.7E-2</v>
      </c>
      <c r="Q25470" s="26">
        <v>1.7999999999999999E-2</v>
      </c>
      <c r="R25470" s="26">
        <v>1.7999999999999999E-2</v>
      </c>
      <c r="U25470" s="26">
        <v>8.9999999999999993E-3</v>
      </c>
      <c r="Z25470">
        <v>111</v>
      </c>
    </row>
    <row r="25471" spans="1:26" x14ac:dyDescent="0.35">
      <c r="A25471" t="s">
        <v>228</v>
      </c>
      <c r="B25471" t="s">
        <v>1341</v>
      </c>
      <c r="C25471" s="26">
        <v>0.48199999999999998</v>
      </c>
      <c r="D25471" s="26">
        <v>0.25009999999999999</v>
      </c>
      <c r="E25471" s="26">
        <v>4.9500000000000002E-2</v>
      </c>
      <c r="F25471" s="26">
        <v>3.8800000000000001E-2</v>
      </c>
      <c r="G25471" s="26">
        <v>4.2799999999999998E-2</v>
      </c>
      <c r="H25471" s="26">
        <v>0.1139</v>
      </c>
      <c r="I25471" s="26">
        <v>2.41E-2</v>
      </c>
      <c r="J25471" s="26">
        <v>2.7900000000000001E-2</v>
      </c>
      <c r="K25471" s="26">
        <v>2.3400000000000001E-2</v>
      </c>
      <c r="L25471" s="26">
        <v>1.1900000000000001E-2</v>
      </c>
      <c r="M25471" s="26">
        <v>1.5900000000000001E-2</v>
      </c>
      <c r="N25471" s="26">
        <v>4.2299999999999997E-2</v>
      </c>
      <c r="O25471" s="26">
        <v>4.1700000000000001E-2</v>
      </c>
      <c r="P25471" s="26">
        <v>1.3100000000000001E-2</v>
      </c>
      <c r="Q25471" s="26">
        <v>4.1000000000000003E-3</v>
      </c>
      <c r="R25471" s="26">
        <v>1.35E-2</v>
      </c>
      <c r="S25471" s="26">
        <v>2.8000000000000001E-2</v>
      </c>
      <c r="T25471" s="26">
        <v>8.8999999999999999E-3</v>
      </c>
      <c r="U25471" s="26">
        <v>1.1599999999999999E-2</v>
      </c>
      <c r="V25471" s="26">
        <v>4.1000000000000003E-3</v>
      </c>
      <c r="W25471" s="26">
        <v>1.1999999999999999E-3</v>
      </c>
      <c r="X25471" s="26">
        <v>1.5100000000000001E-2</v>
      </c>
      <c r="Y25471" s="26">
        <v>1.24E-2</v>
      </c>
      <c r="Z25471">
        <v>299</v>
      </c>
    </row>
    <row r="25472" spans="1:26" x14ac:dyDescent="0.35">
      <c r="A25472" s="27" t="s">
        <v>228</v>
      </c>
      <c r="B25472" s="27" t="s">
        <v>1342</v>
      </c>
      <c r="C25472" s="28">
        <v>1</v>
      </c>
      <c r="D25472" s="29"/>
      <c r="E25472" s="29"/>
      <c r="F25472" s="29"/>
      <c r="G25472" s="29"/>
      <c r="H25472" s="29"/>
      <c r="I25472" s="29"/>
      <c r="J25472" s="29"/>
      <c r="K25472" s="29"/>
      <c r="L25472" s="29"/>
      <c r="M25472" s="29"/>
      <c r="N25472" s="29"/>
      <c r="O25472" s="29"/>
      <c r="P25472" s="29"/>
      <c r="Q25472" s="29"/>
      <c r="R25472" s="29"/>
      <c r="S25472" s="29"/>
      <c r="T25472" s="29"/>
      <c r="U25472" s="29"/>
      <c r="V25472" s="29"/>
      <c r="W25472" s="29"/>
      <c r="X25472" s="29"/>
      <c r="Y25472" s="29"/>
      <c r="Z25472" s="29" t="s">
        <v>331</v>
      </c>
    </row>
    <row r="25473" spans="1:26" x14ac:dyDescent="0.35">
      <c r="A25473" t="s">
        <v>228</v>
      </c>
      <c r="B25473" t="s">
        <v>1343</v>
      </c>
      <c r="C25473" s="26">
        <v>0.432</v>
      </c>
      <c r="D25473" s="26">
        <v>0.32400000000000001</v>
      </c>
      <c r="E25473" s="26">
        <v>0.1027</v>
      </c>
      <c r="F25473" s="26">
        <v>8.4500000000000006E-2</v>
      </c>
      <c r="G25473" s="26">
        <v>9.4600000000000004E-2</v>
      </c>
      <c r="H25473" s="26">
        <v>9.7600000000000006E-2</v>
      </c>
      <c r="I25473" s="26">
        <v>6.1699999999999998E-2</v>
      </c>
      <c r="J25473" s="26">
        <v>4.3499999999999997E-2</v>
      </c>
      <c r="K25473" s="26">
        <v>4.9299999999999997E-2</v>
      </c>
      <c r="L25473" s="26">
        <v>3.1399999999999997E-2</v>
      </c>
      <c r="M25473" s="26">
        <v>3.9699999999999999E-2</v>
      </c>
      <c r="N25473" s="26">
        <v>4.7300000000000002E-2</v>
      </c>
      <c r="O25473" s="26">
        <v>2.64E-2</v>
      </c>
      <c r="P25473" s="26">
        <v>2.5899999999999999E-2</v>
      </c>
      <c r="Q25473" s="26">
        <v>1.38E-2</v>
      </c>
      <c r="R25473" s="26">
        <v>3.3999999999999998E-3</v>
      </c>
      <c r="S25473" s="26">
        <v>1.8200000000000001E-2</v>
      </c>
      <c r="T25473" s="26">
        <v>7.4000000000000003E-3</v>
      </c>
      <c r="U25473" s="26">
        <v>8.9999999999999998E-4</v>
      </c>
      <c r="V25473" s="26">
        <v>1.3899999999999999E-2</v>
      </c>
      <c r="W25473" s="26">
        <v>6.8999999999999999E-3</v>
      </c>
      <c r="X25473" s="26">
        <v>6.7000000000000002E-3</v>
      </c>
      <c r="Y25473" s="26">
        <v>8.0000000000000004E-4</v>
      </c>
      <c r="Z25473">
        <v>726</v>
      </c>
    </row>
    <row r="25474" spans="1:26" x14ac:dyDescent="0.35">
      <c r="A25474" t="s">
        <v>229</v>
      </c>
      <c r="B25474" t="s">
        <v>1341</v>
      </c>
      <c r="C25474" s="26">
        <v>0.56869999999999998</v>
      </c>
      <c r="D25474" s="26">
        <v>0.24149999999999999</v>
      </c>
      <c r="E25474" s="26">
        <v>9.9299999999999999E-2</v>
      </c>
      <c r="F25474" s="26">
        <v>1.4200000000000001E-2</v>
      </c>
      <c r="G25474" s="26">
        <v>0.1125</v>
      </c>
      <c r="H25474" s="26">
        <v>6.7199999999999996E-2</v>
      </c>
      <c r="I25474" s="26">
        <v>2.1700000000000001E-2</v>
      </c>
      <c r="J25474" s="26">
        <v>2.5999999999999999E-3</v>
      </c>
      <c r="K25474" s="26">
        <v>8.8000000000000005E-3</v>
      </c>
      <c r="L25474" s="26">
        <v>8.3000000000000001E-3</v>
      </c>
      <c r="M25474" s="26">
        <v>9.7999999999999997E-3</v>
      </c>
      <c r="N25474" s="26">
        <v>7.7999999999999996E-3</v>
      </c>
      <c r="O25474" s="26">
        <v>2.23E-2</v>
      </c>
      <c r="P25474" s="26">
        <v>1.5800000000000002E-2</v>
      </c>
      <c r="S25474" s="26">
        <v>1E-3</v>
      </c>
      <c r="T25474" s="26">
        <v>2.5399999999999999E-2</v>
      </c>
      <c r="U25474" s="26">
        <v>9.5999999999999992E-3</v>
      </c>
      <c r="V25474" s="26">
        <v>2E-3</v>
      </c>
      <c r="W25474" s="26">
        <v>2.07E-2</v>
      </c>
      <c r="X25474" s="26">
        <v>8.8000000000000005E-3</v>
      </c>
      <c r="Z25474">
        <v>271</v>
      </c>
    </row>
    <row r="25475" spans="1:26" x14ac:dyDescent="0.35">
      <c r="A25475" t="s">
        <v>229</v>
      </c>
      <c r="B25475" t="s">
        <v>1343</v>
      </c>
      <c r="C25475" s="26">
        <v>0.50829999999999997</v>
      </c>
      <c r="D25475" s="26">
        <v>0.28189999999999998</v>
      </c>
      <c r="E25475" s="26">
        <v>9.9699999999999997E-2</v>
      </c>
      <c r="F25475" s="26">
        <v>5.7599999999999998E-2</v>
      </c>
      <c r="G25475" s="26">
        <v>5.2200000000000003E-2</v>
      </c>
      <c r="H25475" s="26">
        <v>4.6300000000000001E-2</v>
      </c>
      <c r="I25475" s="26">
        <v>4.3499999999999997E-2</v>
      </c>
      <c r="J25475" s="26">
        <v>4.99E-2</v>
      </c>
      <c r="K25475" s="26">
        <v>2.8500000000000001E-2</v>
      </c>
      <c r="L25475" s="26">
        <v>3.15E-2</v>
      </c>
      <c r="M25475" s="26">
        <v>2.01E-2</v>
      </c>
      <c r="N25475" s="26">
        <v>2.07E-2</v>
      </c>
      <c r="O25475" s="26">
        <v>1.5699999999999999E-2</v>
      </c>
      <c r="P25475" s="26">
        <v>2.6200000000000001E-2</v>
      </c>
      <c r="Q25475" s="26">
        <v>1.0500000000000001E-2</v>
      </c>
      <c r="R25475" s="26">
        <v>5.8999999999999999E-3</v>
      </c>
      <c r="S25475" s="26">
        <v>1.6899999999999998E-2</v>
      </c>
      <c r="T25475" s="26">
        <v>1.12E-2</v>
      </c>
      <c r="U25475" s="26">
        <v>3.8E-3</v>
      </c>
      <c r="V25475" s="26">
        <v>1.32E-2</v>
      </c>
      <c r="W25475" s="26">
        <v>1.5E-3</v>
      </c>
      <c r="X25475" s="26">
        <v>9.5999999999999992E-3</v>
      </c>
      <c r="Y25475" s="26">
        <v>7.0000000000000001E-3</v>
      </c>
      <c r="Z25475">
        <v>618</v>
      </c>
    </row>
    <row r="25476" spans="1:26" x14ac:dyDescent="0.35">
      <c r="A25476" t="s">
        <v>230</v>
      </c>
      <c r="B25476" t="s">
        <v>1341</v>
      </c>
      <c r="C25476" s="26">
        <v>0.53200000000000003</v>
      </c>
      <c r="D25476" s="26">
        <v>0.25419999999999998</v>
      </c>
      <c r="E25476" s="26">
        <v>6.54E-2</v>
      </c>
      <c r="F25476" s="26">
        <v>2.92E-2</v>
      </c>
      <c r="G25476" s="26">
        <v>7.2499999999999995E-2</v>
      </c>
      <c r="H25476" s="26">
        <v>8.9800000000000005E-2</v>
      </c>
      <c r="I25476" s="26">
        <v>9.1000000000000004E-3</v>
      </c>
      <c r="J25476" s="26">
        <v>8.2699999999999996E-2</v>
      </c>
      <c r="K25476" s="26">
        <v>1.0800000000000001E-2</v>
      </c>
      <c r="L25476" s="26">
        <v>7.0000000000000001E-3</v>
      </c>
      <c r="M25476" s="26">
        <v>2.52E-2</v>
      </c>
      <c r="N25476" s="26">
        <v>4.1300000000000003E-2</v>
      </c>
      <c r="O25476" s="26">
        <v>4.3099999999999999E-2</v>
      </c>
      <c r="P25476" s="26">
        <v>1.7000000000000001E-2</v>
      </c>
      <c r="S25476" s="26">
        <v>3.0999999999999999E-3</v>
      </c>
      <c r="T25476" s="26">
        <v>3.0999999999999999E-3</v>
      </c>
      <c r="V25476" s="26">
        <v>1.8E-3</v>
      </c>
      <c r="W25476" s="26">
        <v>1.9099999999999999E-2</v>
      </c>
      <c r="X25476" s="26">
        <v>1.9099999999999999E-2</v>
      </c>
      <c r="Z25476">
        <v>153</v>
      </c>
    </row>
    <row r="25477" spans="1:26" x14ac:dyDescent="0.35">
      <c r="A25477" t="s">
        <v>230</v>
      </c>
      <c r="B25477" t="s">
        <v>1343</v>
      </c>
      <c r="C25477" s="26">
        <v>0.39700000000000002</v>
      </c>
      <c r="D25477" s="26">
        <v>0.3911</v>
      </c>
      <c r="E25477" s="26">
        <v>0.128</v>
      </c>
      <c r="F25477" s="26">
        <v>9.2100000000000001E-2</v>
      </c>
      <c r="G25477" s="26">
        <v>8.3699999999999997E-2</v>
      </c>
      <c r="H25477" s="26">
        <v>6.6500000000000004E-2</v>
      </c>
      <c r="I25477" s="26">
        <v>7.0199999999999999E-2</v>
      </c>
      <c r="J25477" s="26">
        <v>5.5800000000000002E-2</v>
      </c>
      <c r="K25477" s="26">
        <v>2.8299999999999999E-2</v>
      </c>
      <c r="L25477" s="26">
        <v>7.17E-2</v>
      </c>
      <c r="M25477" s="26">
        <v>4.9200000000000001E-2</v>
      </c>
      <c r="N25477" s="26">
        <v>5.1499999999999997E-2</v>
      </c>
      <c r="O25477" s="26">
        <v>3.8600000000000002E-2</v>
      </c>
      <c r="P25477" s="26">
        <v>1.9300000000000001E-2</v>
      </c>
      <c r="Q25477" s="26">
        <v>1.5100000000000001E-2</v>
      </c>
      <c r="R25477" s="26">
        <v>9.4999999999999998E-3</v>
      </c>
      <c r="S25477" s="26">
        <v>2.7400000000000001E-2</v>
      </c>
      <c r="T25477" s="26">
        <v>4.7000000000000002E-3</v>
      </c>
      <c r="U25477" s="26">
        <v>3.0000000000000001E-3</v>
      </c>
      <c r="V25477" s="26">
        <v>1.7999999999999999E-2</v>
      </c>
      <c r="W25477" s="26">
        <v>8.2000000000000007E-3</v>
      </c>
      <c r="X25477" s="26">
        <v>4.3E-3</v>
      </c>
      <c r="Z25477">
        <v>403</v>
      </c>
    </row>
    <row r="25478" spans="1:26" x14ac:dyDescent="0.35">
      <c r="A25478" t="s">
        <v>231</v>
      </c>
      <c r="B25478" t="s">
        <v>1341</v>
      </c>
      <c r="C25478" s="26">
        <v>0.6825</v>
      </c>
      <c r="D25478" s="26">
        <v>0.17460000000000001</v>
      </c>
      <c r="E25478" s="26">
        <v>4.7600000000000003E-2</v>
      </c>
      <c r="F25478" s="26">
        <v>3.1699999999999999E-2</v>
      </c>
      <c r="G25478" s="26">
        <v>1.5900000000000001E-2</v>
      </c>
      <c r="H25478" s="26">
        <v>1.5900000000000001E-2</v>
      </c>
      <c r="J25478" s="26">
        <v>1.5900000000000001E-2</v>
      </c>
      <c r="M25478" s="26">
        <v>1.5900000000000001E-2</v>
      </c>
      <c r="N25478" s="26">
        <v>1.5900000000000001E-2</v>
      </c>
      <c r="O25478" s="26">
        <v>3.1699999999999999E-2</v>
      </c>
      <c r="P25478" s="26">
        <v>1.5900000000000001E-2</v>
      </c>
      <c r="R25478" s="26">
        <v>1.5900000000000001E-2</v>
      </c>
      <c r="U25478" s="26">
        <v>1.5900000000000001E-2</v>
      </c>
      <c r="Z25478">
        <v>63</v>
      </c>
    </row>
    <row r="25479" spans="1:26" x14ac:dyDescent="0.35">
      <c r="A25479" t="s">
        <v>231</v>
      </c>
      <c r="B25479" t="s">
        <v>1343</v>
      </c>
      <c r="C25479" s="26">
        <v>0.4592</v>
      </c>
      <c r="D25479" s="26">
        <v>0.36730000000000002</v>
      </c>
      <c r="E25479" s="26">
        <v>4.0800000000000003E-2</v>
      </c>
      <c r="F25479" s="26">
        <v>6.1199999999999997E-2</v>
      </c>
      <c r="G25479" s="26">
        <v>3.0599999999999999E-2</v>
      </c>
      <c r="H25479" s="26">
        <v>3.0599999999999999E-2</v>
      </c>
      <c r="I25479" s="26">
        <v>6.1199999999999997E-2</v>
      </c>
      <c r="J25479" s="26">
        <v>3.0599999999999999E-2</v>
      </c>
      <c r="K25479" s="26">
        <v>4.0800000000000003E-2</v>
      </c>
      <c r="L25479" s="26">
        <v>3.0599999999999999E-2</v>
      </c>
      <c r="M25479" s="26">
        <v>5.0999999999999997E-2</v>
      </c>
      <c r="Q25479" s="26">
        <v>2.0400000000000001E-2</v>
      </c>
      <c r="R25479" s="26">
        <v>2.0400000000000001E-2</v>
      </c>
      <c r="U25479" s="26">
        <v>2.0400000000000001E-2</v>
      </c>
      <c r="V25479" s="26">
        <v>1.0200000000000001E-2</v>
      </c>
      <c r="W25479" s="26">
        <v>1.0200000000000001E-2</v>
      </c>
      <c r="Z25479">
        <v>98</v>
      </c>
    </row>
    <row r="25480" spans="1:26" x14ac:dyDescent="0.35">
      <c r="A25480" t="s">
        <v>232</v>
      </c>
      <c r="B25480" t="s">
        <v>232</v>
      </c>
      <c r="C25480" s="26">
        <v>0.50360000000000005</v>
      </c>
      <c r="D25480" s="26">
        <v>0.2873</v>
      </c>
      <c r="E25480" s="26">
        <v>7.9000000000000001E-2</v>
      </c>
      <c r="F25480" s="26">
        <v>5.91E-2</v>
      </c>
      <c r="G25480" s="26">
        <v>5.8900000000000001E-2</v>
      </c>
      <c r="H25480" s="26">
        <v>5.3600000000000002E-2</v>
      </c>
      <c r="I25480" s="26">
        <v>4.2000000000000003E-2</v>
      </c>
      <c r="J25480" s="26">
        <v>3.5000000000000003E-2</v>
      </c>
      <c r="K25480" s="26">
        <v>3.1899999999999998E-2</v>
      </c>
      <c r="L25480" s="26">
        <v>2.9499999999999998E-2</v>
      </c>
      <c r="M25480" s="26">
        <v>2.7199999999999998E-2</v>
      </c>
      <c r="N25480" s="26">
        <v>2.2800000000000001E-2</v>
      </c>
      <c r="O25480" s="26">
        <v>2.1100000000000001E-2</v>
      </c>
      <c r="P25480" s="26">
        <v>1.8100000000000002E-2</v>
      </c>
      <c r="Q25480" s="26">
        <v>1.0500000000000001E-2</v>
      </c>
      <c r="R25480" s="26">
        <v>0.01</v>
      </c>
      <c r="S25480" s="26">
        <v>9.4000000000000004E-3</v>
      </c>
      <c r="T25480" s="26">
        <v>9.2999999999999992E-3</v>
      </c>
      <c r="U25480" s="26">
        <v>8.6E-3</v>
      </c>
      <c r="V25480" s="26">
        <v>7.7999999999999996E-3</v>
      </c>
      <c r="W25480" s="26">
        <v>6.0000000000000001E-3</v>
      </c>
      <c r="X25480" s="26">
        <v>5.3E-3</v>
      </c>
      <c r="Y25480" s="26">
        <v>2.0999999999999999E-3</v>
      </c>
      <c r="Z25480">
        <v>2792</v>
      </c>
    </row>
    <row r="25482" spans="1:26" x14ac:dyDescent="0.35">
      <c r="A25482" s="1" t="s">
        <v>2312</v>
      </c>
    </row>
    <row r="25483" spans="1:26" x14ac:dyDescent="0.35">
      <c r="A25483" t="s">
        <v>219</v>
      </c>
      <c r="B25483" t="s">
        <v>305</v>
      </c>
      <c r="C25483" t="s">
        <v>550</v>
      </c>
      <c r="D25483" t="s">
        <v>2281</v>
      </c>
      <c r="E25483" t="s">
        <v>2282</v>
      </c>
      <c r="F25483" t="s">
        <v>2283</v>
      </c>
      <c r="G25483" t="s">
        <v>2284</v>
      </c>
      <c r="H25483" t="s">
        <v>2285</v>
      </c>
      <c r="I25483" t="s">
        <v>2286</v>
      </c>
      <c r="J25483" t="s">
        <v>2287</v>
      </c>
      <c r="K25483" t="s">
        <v>2288</v>
      </c>
      <c r="L25483" t="s">
        <v>2289</v>
      </c>
      <c r="M25483" t="s">
        <v>2290</v>
      </c>
      <c r="N25483" t="s">
        <v>2291</v>
      </c>
      <c r="O25483" t="s">
        <v>2292</v>
      </c>
      <c r="P25483" t="s">
        <v>2293</v>
      </c>
      <c r="Q25483" t="s">
        <v>2294</v>
      </c>
      <c r="R25483" t="s">
        <v>2295</v>
      </c>
      <c r="S25483" t="s">
        <v>2296</v>
      </c>
      <c r="T25483" t="s">
        <v>2297</v>
      </c>
      <c r="U25483" t="s">
        <v>326</v>
      </c>
      <c r="V25483" t="s">
        <v>2298</v>
      </c>
      <c r="W25483" t="s">
        <v>2299</v>
      </c>
      <c r="X25483" t="s">
        <v>281</v>
      </c>
      <c r="Y25483" t="s">
        <v>286</v>
      </c>
      <c r="Z25483" t="s">
        <v>226</v>
      </c>
    </row>
    <row r="25484" spans="1:26" x14ac:dyDescent="0.35">
      <c r="A25484" s="27" t="s">
        <v>227</v>
      </c>
      <c r="B25484" s="27" t="s">
        <v>1345</v>
      </c>
      <c r="C25484" s="28">
        <v>1</v>
      </c>
      <c r="D25484" s="29"/>
      <c r="E25484" s="29"/>
      <c r="F25484" s="29"/>
      <c r="G25484" s="29"/>
      <c r="H25484" s="29"/>
      <c r="I25484" s="29"/>
      <c r="J25484" s="29"/>
      <c r="K25484" s="29"/>
      <c r="L25484" s="29"/>
      <c r="M25484" s="29"/>
      <c r="N25484" s="29"/>
      <c r="O25484" s="29"/>
      <c r="P25484" s="29"/>
      <c r="Q25484" s="29"/>
      <c r="R25484" s="29"/>
      <c r="S25484" s="29"/>
      <c r="T25484" s="29"/>
      <c r="U25484" s="29"/>
      <c r="V25484" s="29"/>
      <c r="W25484" s="29"/>
      <c r="X25484" s="29"/>
      <c r="Y25484" s="29"/>
      <c r="Z25484" s="29" t="s">
        <v>314</v>
      </c>
    </row>
    <row r="25485" spans="1:26" x14ac:dyDescent="0.35">
      <c r="A25485" t="s">
        <v>227</v>
      </c>
      <c r="B25485" t="s">
        <v>1346</v>
      </c>
      <c r="C25485" s="26">
        <v>0.46150000000000002</v>
      </c>
      <c r="D25485" s="26">
        <v>0.23080000000000001</v>
      </c>
      <c r="E25485" s="26">
        <v>5.1299999999999998E-2</v>
      </c>
      <c r="F25485" s="26">
        <v>0.1026</v>
      </c>
      <c r="G25485" s="26">
        <v>5.1299999999999998E-2</v>
      </c>
      <c r="I25485" s="26">
        <v>0.1026</v>
      </c>
      <c r="J25485" s="26">
        <v>5.1299999999999998E-2</v>
      </c>
      <c r="K25485" s="26">
        <v>0.12820000000000001</v>
      </c>
      <c r="L25485" s="26">
        <v>2.5600000000000001E-2</v>
      </c>
      <c r="M25485" s="26">
        <v>2.5600000000000001E-2</v>
      </c>
      <c r="Q25485" s="26">
        <v>2.5600000000000001E-2</v>
      </c>
      <c r="Z25485">
        <v>39</v>
      </c>
    </row>
    <row r="25486" spans="1:26" x14ac:dyDescent="0.35">
      <c r="A25486" t="s">
        <v>227</v>
      </c>
      <c r="B25486" t="s">
        <v>1347</v>
      </c>
      <c r="C25486" s="26">
        <v>0.61109999999999998</v>
      </c>
      <c r="D25486" s="26">
        <v>0.19439999999999999</v>
      </c>
      <c r="E25486" s="26">
        <v>2.7799999999999998E-2</v>
      </c>
      <c r="F25486" s="26">
        <v>5.5599999999999997E-2</v>
      </c>
      <c r="G25486" s="26">
        <v>5.5599999999999997E-2</v>
      </c>
      <c r="H25486" s="26">
        <v>8.3299999999999999E-2</v>
      </c>
      <c r="I25486" s="26">
        <v>2.7799999999999998E-2</v>
      </c>
      <c r="J25486" s="26">
        <v>2.7799999999999998E-2</v>
      </c>
      <c r="K25486" s="26">
        <v>5.5599999999999997E-2</v>
      </c>
      <c r="L25486" s="26">
        <v>8.3299999999999999E-2</v>
      </c>
      <c r="M25486" s="26">
        <v>2.7799999999999998E-2</v>
      </c>
      <c r="N25486" s="26">
        <v>2.7799999999999998E-2</v>
      </c>
      <c r="O25486" s="26">
        <v>2.7799999999999998E-2</v>
      </c>
      <c r="T25486" s="26">
        <v>2.7799999999999998E-2</v>
      </c>
      <c r="Z25486">
        <v>36</v>
      </c>
    </row>
    <row r="25487" spans="1:26" x14ac:dyDescent="0.35">
      <c r="A25487" t="s">
        <v>227</v>
      </c>
      <c r="B25487" t="s">
        <v>1348</v>
      </c>
      <c r="C25487" s="26">
        <v>0.44579999999999997</v>
      </c>
      <c r="D25487" s="26">
        <v>0.30120000000000002</v>
      </c>
      <c r="E25487" s="26">
        <v>0.1084</v>
      </c>
      <c r="F25487" s="26">
        <v>8.43E-2</v>
      </c>
      <c r="G25487" s="26">
        <v>6.0199999999999997E-2</v>
      </c>
      <c r="H25487" s="26">
        <v>2.41E-2</v>
      </c>
      <c r="I25487" s="26">
        <v>2.41E-2</v>
      </c>
      <c r="J25487" s="26">
        <v>2.41E-2</v>
      </c>
      <c r="K25487" s="26">
        <v>2.41E-2</v>
      </c>
      <c r="L25487" s="26">
        <v>4.82E-2</v>
      </c>
      <c r="N25487" s="26">
        <v>2.41E-2</v>
      </c>
      <c r="O25487" s="26">
        <v>2.41E-2</v>
      </c>
      <c r="P25487" s="26">
        <v>4.82E-2</v>
      </c>
      <c r="Q25487" s="26">
        <v>1.2E-2</v>
      </c>
      <c r="R25487" s="26">
        <v>2.41E-2</v>
      </c>
      <c r="T25487" s="26">
        <v>2.41E-2</v>
      </c>
      <c r="U25487" s="26">
        <v>1.2E-2</v>
      </c>
      <c r="Z25487">
        <v>83</v>
      </c>
    </row>
    <row r="25488" spans="1:26" x14ac:dyDescent="0.35">
      <c r="A25488" t="s">
        <v>228</v>
      </c>
      <c r="B25488" t="s">
        <v>1348</v>
      </c>
      <c r="C25488" s="26">
        <v>0.45879999999999999</v>
      </c>
      <c r="D25488" s="26">
        <v>0.29759999999999998</v>
      </c>
      <c r="E25488" s="26">
        <v>7.2300000000000003E-2</v>
      </c>
      <c r="F25488" s="26">
        <v>5.4399999999999997E-2</v>
      </c>
      <c r="G25488" s="26">
        <v>7.1599999999999997E-2</v>
      </c>
      <c r="H25488" s="26">
        <v>9.7699999999999995E-2</v>
      </c>
      <c r="I25488" s="26">
        <v>4.4200000000000003E-2</v>
      </c>
      <c r="J25488" s="26">
        <v>4.0099999999999997E-2</v>
      </c>
      <c r="K25488" s="26">
        <v>4.1799999999999997E-2</v>
      </c>
      <c r="L25488" s="26">
        <v>1.3899999999999999E-2</v>
      </c>
      <c r="M25488" s="26">
        <v>3.56E-2</v>
      </c>
      <c r="N25488" s="26">
        <v>4.9099999999999998E-2</v>
      </c>
      <c r="O25488" s="26">
        <v>2.63E-2</v>
      </c>
      <c r="P25488" s="26">
        <v>2.23E-2</v>
      </c>
      <c r="Q25488" s="26">
        <v>4.5999999999999999E-3</v>
      </c>
      <c r="R25488" s="26">
        <v>9.1999999999999998E-3</v>
      </c>
      <c r="S25488" s="26">
        <v>2.9000000000000001E-2</v>
      </c>
      <c r="T25488" s="26">
        <v>5.7999999999999996E-3</v>
      </c>
      <c r="U25488" s="26">
        <v>7.4999999999999997E-3</v>
      </c>
      <c r="V25488" s="26">
        <v>1.52E-2</v>
      </c>
      <c r="W25488" s="26">
        <v>2.0999999999999999E-3</v>
      </c>
      <c r="X25488" s="26">
        <v>1.46E-2</v>
      </c>
      <c r="Y25488" s="26">
        <v>7.4000000000000003E-3</v>
      </c>
      <c r="Z25488">
        <v>528</v>
      </c>
    </row>
    <row r="25489" spans="1:26" x14ac:dyDescent="0.35">
      <c r="A25489" t="s">
        <v>228</v>
      </c>
      <c r="B25489" t="s">
        <v>1347</v>
      </c>
      <c r="C25489" s="26">
        <v>0.43869999999999998</v>
      </c>
      <c r="D25489" s="26">
        <v>0.2545</v>
      </c>
      <c r="E25489" s="26">
        <v>9.7000000000000003E-2</v>
      </c>
      <c r="F25489" s="26">
        <v>6.7900000000000002E-2</v>
      </c>
      <c r="G25489" s="26">
        <v>0.1196</v>
      </c>
      <c r="H25489" s="26">
        <v>0.1613</v>
      </c>
      <c r="I25489" s="26">
        <v>3.3399999999999999E-2</v>
      </c>
      <c r="J25489" s="26">
        <v>5.21E-2</v>
      </c>
      <c r="K25489" s="26">
        <v>7.7399999999999997E-2</v>
      </c>
      <c r="L25489" s="26">
        <v>2.9899999999999999E-2</v>
      </c>
      <c r="M25489" s="26">
        <v>5.0900000000000001E-2</v>
      </c>
      <c r="N25489" s="26">
        <v>3.3399999999999999E-2</v>
      </c>
      <c r="O25489" s="26">
        <v>7.9500000000000001E-2</v>
      </c>
      <c r="P25489" s="26">
        <v>3.1800000000000002E-2</v>
      </c>
      <c r="Q25489" s="26">
        <v>9.4999999999999998E-3</v>
      </c>
      <c r="R25489" s="26">
        <v>5.1000000000000004E-3</v>
      </c>
      <c r="S25489" s="26">
        <v>2.1399999999999999E-2</v>
      </c>
      <c r="T25489" s="26">
        <v>4.4000000000000003E-3</v>
      </c>
      <c r="V25489" s="26">
        <v>8.3000000000000001E-3</v>
      </c>
      <c r="W25489" s="26">
        <v>2.2000000000000001E-3</v>
      </c>
      <c r="X25489" s="26">
        <v>2.2000000000000001E-3</v>
      </c>
      <c r="Z25489">
        <v>204</v>
      </c>
    </row>
    <row r="25490" spans="1:26" x14ac:dyDescent="0.35">
      <c r="A25490" t="s">
        <v>228</v>
      </c>
      <c r="B25490" t="s">
        <v>1346</v>
      </c>
      <c r="C25490" s="26">
        <v>0.4355</v>
      </c>
      <c r="D25490" s="26">
        <v>0.3533</v>
      </c>
      <c r="E25490" s="26">
        <v>0.1164</v>
      </c>
      <c r="F25490" s="26">
        <v>9.9699999999999997E-2</v>
      </c>
      <c r="G25490" s="26">
        <v>4.6100000000000002E-2</v>
      </c>
      <c r="H25490" s="26">
        <v>7.51E-2</v>
      </c>
      <c r="I25490" s="26">
        <v>6.7599999999999993E-2</v>
      </c>
      <c r="J25490" s="26">
        <v>2.9600000000000001E-2</v>
      </c>
      <c r="K25490" s="26">
        <v>1.84E-2</v>
      </c>
      <c r="L25490" s="26">
        <v>3.56E-2</v>
      </c>
      <c r="M25490" s="26">
        <v>1.6E-2</v>
      </c>
      <c r="N25490" s="26">
        <v>5.1400000000000001E-2</v>
      </c>
      <c r="O25490" s="26">
        <v>6.4000000000000003E-3</v>
      </c>
      <c r="P25490" s="26">
        <v>1.6299999999999999E-2</v>
      </c>
      <c r="Q25490" s="26">
        <v>2.5899999999999999E-2</v>
      </c>
      <c r="R25490" s="26">
        <v>1.9E-3</v>
      </c>
      <c r="S25490" s="26">
        <v>1.4E-3</v>
      </c>
      <c r="T25490" s="26">
        <v>1.4999999999999999E-2</v>
      </c>
      <c r="V25490" s="26">
        <v>8.9999999999999998E-4</v>
      </c>
      <c r="W25490" s="26">
        <v>1.4200000000000001E-2</v>
      </c>
      <c r="X25490" s="26">
        <v>3.7000000000000002E-3</v>
      </c>
      <c r="Y25490" s="26">
        <v>8.9999999999999998E-4</v>
      </c>
      <c r="Z25490">
        <v>284</v>
      </c>
    </row>
    <row r="25491" spans="1:26" x14ac:dyDescent="0.35">
      <c r="A25491" s="27" t="s">
        <v>228</v>
      </c>
      <c r="B25491" s="27" t="s">
        <v>1345</v>
      </c>
      <c r="C25491" s="28">
        <v>0.43020000000000003</v>
      </c>
      <c r="D25491" s="28">
        <v>0.18429999999999999</v>
      </c>
      <c r="E25491" s="29"/>
      <c r="F25491" s="28">
        <v>0.16389999999999999</v>
      </c>
      <c r="G25491" s="28">
        <v>0.32779999999999998</v>
      </c>
      <c r="H25491" s="29"/>
      <c r="I25491" s="28">
        <v>0.16389999999999999</v>
      </c>
      <c r="J25491" s="29"/>
      <c r="K25491" s="29"/>
      <c r="L25491" s="28">
        <v>0.16389999999999999</v>
      </c>
      <c r="M25491" s="29"/>
      <c r="N25491" s="29"/>
      <c r="O25491" s="29"/>
      <c r="P25491" s="29"/>
      <c r="Q25491" s="29"/>
      <c r="R25491" s="29"/>
      <c r="S25491" s="28">
        <v>5.7700000000000001E-2</v>
      </c>
      <c r="T25491" s="29"/>
      <c r="U25491" s="29"/>
      <c r="V25491" s="28">
        <v>5.7700000000000001E-2</v>
      </c>
      <c r="W25491" s="29"/>
      <c r="X25491" s="29"/>
      <c r="Y25491" s="29"/>
      <c r="Z25491" s="29" t="s">
        <v>307</v>
      </c>
    </row>
    <row r="25492" spans="1:26" x14ac:dyDescent="0.35">
      <c r="A25492" s="27" t="s">
        <v>229</v>
      </c>
      <c r="B25492" s="27" t="s">
        <v>1345</v>
      </c>
      <c r="C25492" s="28">
        <v>0.59009999999999996</v>
      </c>
      <c r="D25492" s="28">
        <v>0.2016</v>
      </c>
      <c r="E25492" s="28">
        <v>8.8999999999999996E-2</v>
      </c>
      <c r="F25492" s="29"/>
      <c r="G25492" s="28">
        <v>0.1065</v>
      </c>
      <c r="H25492" s="28">
        <v>6.0000000000000001E-3</v>
      </c>
      <c r="I25492" s="29"/>
      <c r="J25492" s="28">
        <v>0.1065</v>
      </c>
      <c r="K25492" s="29"/>
      <c r="L25492" s="29"/>
      <c r="M25492" s="29"/>
      <c r="N25492" s="29"/>
      <c r="O25492" s="29"/>
      <c r="P25492" s="28">
        <v>0.1065</v>
      </c>
      <c r="Q25492" s="29"/>
      <c r="R25492" s="29"/>
      <c r="S25492" s="29"/>
      <c r="T25492" s="29"/>
      <c r="U25492" s="28">
        <v>3.3999999999999998E-3</v>
      </c>
      <c r="V25492" s="28">
        <v>6.0000000000000001E-3</v>
      </c>
      <c r="W25492" s="29"/>
      <c r="X25492" s="28">
        <v>3.3999999999999998E-3</v>
      </c>
      <c r="Y25492" s="29"/>
      <c r="Z25492" s="29" t="s">
        <v>357</v>
      </c>
    </row>
    <row r="25493" spans="1:26" x14ac:dyDescent="0.35">
      <c r="A25493" t="s">
        <v>229</v>
      </c>
      <c r="B25493" t="s">
        <v>1346</v>
      </c>
      <c r="C25493" s="26">
        <v>0.50009999999999999</v>
      </c>
      <c r="D25493" s="26">
        <v>0.33560000000000001</v>
      </c>
      <c r="E25493" s="26">
        <v>9.2499999999999999E-2</v>
      </c>
      <c r="F25493" s="26">
        <v>3.9899999999999998E-2</v>
      </c>
      <c r="G25493" s="26">
        <v>6.2700000000000006E-2</v>
      </c>
      <c r="H25493" s="26">
        <v>2.64E-2</v>
      </c>
      <c r="I25493" s="26">
        <v>5.8099999999999999E-2</v>
      </c>
      <c r="J25493" s="26">
        <v>0.02</v>
      </c>
      <c r="K25493" s="26">
        <v>3.8300000000000001E-2</v>
      </c>
      <c r="L25493" s="26">
        <v>2.9600000000000001E-2</v>
      </c>
      <c r="M25493" s="26">
        <v>3.0000000000000001E-3</v>
      </c>
      <c r="N25493" s="26">
        <v>1.2200000000000001E-2</v>
      </c>
      <c r="O25493" s="26">
        <v>5.0000000000000001E-4</v>
      </c>
      <c r="P25493" s="26">
        <v>1.2200000000000001E-2</v>
      </c>
      <c r="Q25493" s="26">
        <v>5.7999999999999996E-3</v>
      </c>
      <c r="R25493" s="26">
        <v>5.0000000000000001E-4</v>
      </c>
      <c r="U25493" s="26">
        <v>1.2200000000000001E-2</v>
      </c>
      <c r="X25493" s="26">
        <v>1.7000000000000001E-2</v>
      </c>
      <c r="Y25493" s="26">
        <v>1.78E-2</v>
      </c>
      <c r="Z25493">
        <v>183</v>
      </c>
    </row>
    <row r="25494" spans="1:26" x14ac:dyDescent="0.35">
      <c r="A25494" t="s">
        <v>229</v>
      </c>
      <c r="B25494" t="s">
        <v>1347</v>
      </c>
      <c r="C25494" s="26">
        <v>0.60219999999999996</v>
      </c>
      <c r="D25494" s="26">
        <v>0.19120000000000001</v>
      </c>
      <c r="E25494" s="26">
        <v>7.0699999999999999E-2</v>
      </c>
      <c r="F25494" s="26">
        <v>1.2800000000000001E-2</v>
      </c>
      <c r="G25494" s="26">
        <v>7.8399999999999997E-2</v>
      </c>
      <c r="H25494" s="26">
        <v>9.2700000000000005E-2</v>
      </c>
      <c r="I25494" s="26">
        <v>2.2200000000000001E-2</v>
      </c>
      <c r="J25494" s="26">
        <v>3.5099999999999999E-2</v>
      </c>
      <c r="K25494" s="26">
        <v>3.5200000000000002E-2</v>
      </c>
      <c r="L25494" s="26">
        <v>2.18E-2</v>
      </c>
      <c r="M25494" s="26">
        <v>9.1000000000000004E-3</v>
      </c>
      <c r="N25494" s="26">
        <v>2.0899999999999998E-2</v>
      </c>
      <c r="O25494" s="26">
        <v>2.86E-2</v>
      </c>
      <c r="P25494" s="26">
        <v>2.9999999999999997E-4</v>
      </c>
      <c r="Q25494" s="26">
        <v>1.8800000000000001E-2</v>
      </c>
      <c r="R25494" s="26">
        <v>4.4999999999999997E-3</v>
      </c>
      <c r="S25494" s="26">
        <v>1.7100000000000001E-2</v>
      </c>
      <c r="T25494" s="26">
        <v>1.3100000000000001E-2</v>
      </c>
      <c r="V25494" s="26">
        <v>1.9699999999999999E-2</v>
      </c>
      <c r="W25494" s="26">
        <v>3.3999999999999998E-3</v>
      </c>
      <c r="Y25494" s="26">
        <v>1.1000000000000001E-3</v>
      </c>
      <c r="Z25494">
        <v>300</v>
      </c>
    </row>
    <row r="25495" spans="1:26" x14ac:dyDescent="0.35">
      <c r="A25495" t="s">
        <v>229</v>
      </c>
      <c r="B25495" t="s">
        <v>1348</v>
      </c>
      <c r="C25495" s="26">
        <v>0.48970000000000002</v>
      </c>
      <c r="D25495" s="26">
        <v>0.29210000000000003</v>
      </c>
      <c r="E25495" s="26">
        <v>0.1217</v>
      </c>
      <c r="F25495" s="26">
        <v>6.7000000000000004E-2</v>
      </c>
      <c r="G25495" s="26">
        <v>6.9599999999999995E-2</v>
      </c>
      <c r="H25495" s="26">
        <v>4.2900000000000001E-2</v>
      </c>
      <c r="I25495" s="26">
        <v>3.7999999999999999E-2</v>
      </c>
      <c r="J25495" s="26">
        <v>3.61E-2</v>
      </c>
      <c r="K25495" s="26">
        <v>7.9000000000000008E-3</v>
      </c>
      <c r="L25495" s="26">
        <v>2.4199999999999999E-2</v>
      </c>
      <c r="M25495" s="26">
        <v>2.87E-2</v>
      </c>
      <c r="N25495" s="26">
        <v>1.66E-2</v>
      </c>
      <c r="O25495" s="26">
        <v>1.9900000000000001E-2</v>
      </c>
      <c r="P25495" s="26">
        <v>3.6600000000000001E-2</v>
      </c>
      <c r="Q25495" s="26">
        <v>6.9999999999999999E-4</v>
      </c>
      <c r="R25495" s="26">
        <v>5.4000000000000003E-3</v>
      </c>
      <c r="S25495" s="26">
        <v>1.4200000000000001E-2</v>
      </c>
      <c r="T25495" s="26">
        <v>2.5600000000000001E-2</v>
      </c>
      <c r="U25495" s="26">
        <v>6.4999999999999997E-3</v>
      </c>
      <c r="V25495" s="26">
        <v>7.6E-3</v>
      </c>
      <c r="W25495" s="26">
        <v>1.44E-2</v>
      </c>
      <c r="X25495" s="26">
        <v>1.23E-2</v>
      </c>
      <c r="Y25495" s="26">
        <v>1.4E-3</v>
      </c>
      <c r="Z25495">
        <v>380</v>
      </c>
    </row>
    <row r="25496" spans="1:26" x14ac:dyDescent="0.35">
      <c r="A25496" t="s">
        <v>230</v>
      </c>
      <c r="B25496" t="s">
        <v>1346</v>
      </c>
      <c r="C25496" s="26">
        <v>0.29499999999999998</v>
      </c>
      <c r="D25496" s="26">
        <v>0.43059999999999998</v>
      </c>
      <c r="E25496" s="26">
        <v>0.15040000000000001</v>
      </c>
      <c r="F25496" s="26">
        <v>0.1229</v>
      </c>
      <c r="G25496" s="26">
        <v>8.8800000000000004E-2</v>
      </c>
      <c r="H25496" s="26">
        <v>8.4900000000000003E-2</v>
      </c>
      <c r="I25496" s="26">
        <v>5.7599999999999998E-2</v>
      </c>
      <c r="J25496" s="26">
        <v>0.13220000000000001</v>
      </c>
      <c r="K25496" s="26">
        <v>2.07E-2</v>
      </c>
      <c r="L25496" s="26">
        <v>0.1366</v>
      </c>
      <c r="M25496" s="26">
        <v>0.11849999999999999</v>
      </c>
      <c r="N25496" s="26">
        <v>4.7399999999999998E-2</v>
      </c>
      <c r="O25496" s="26">
        <v>8.3999999999999995E-3</v>
      </c>
      <c r="P25496" s="26">
        <v>5.4999999999999997E-3</v>
      </c>
      <c r="Q25496" s="26">
        <v>9.5999999999999992E-3</v>
      </c>
      <c r="R25496" s="26">
        <v>1.2999999999999999E-3</v>
      </c>
      <c r="S25496" s="26">
        <v>8.3999999999999995E-3</v>
      </c>
      <c r="T25496" s="26">
        <v>5.5999999999999999E-3</v>
      </c>
      <c r="U25496" s="26">
        <v>5.5999999999999999E-3</v>
      </c>
      <c r="X25496" s="26">
        <v>1.2999999999999999E-3</v>
      </c>
      <c r="Z25496">
        <v>139</v>
      </c>
    </row>
    <row r="25497" spans="1:26" x14ac:dyDescent="0.35">
      <c r="A25497" t="s">
        <v>230</v>
      </c>
      <c r="B25497" t="s">
        <v>1348</v>
      </c>
      <c r="C25497" s="26">
        <v>0.47860000000000003</v>
      </c>
      <c r="D25497" s="26">
        <v>0.31879999999999997</v>
      </c>
      <c r="E25497" s="26">
        <v>8.8599999999999998E-2</v>
      </c>
      <c r="F25497" s="26">
        <v>6.9500000000000006E-2</v>
      </c>
      <c r="G25497" s="26">
        <v>0.1007</v>
      </c>
      <c r="H25497" s="26">
        <v>7.0400000000000004E-2</v>
      </c>
      <c r="I25497" s="26">
        <v>5.0599999999999999E-2</v>
      </c>
      <c r="J25497" s="26">
        <v>3.5299999999999998E-2</v>
      </c>
      <c r="K25497" s="26">
        <v>3.2300000000000002E-2</v>
      </c>
      <c r="L25497" s="26">
        <v>2.8000000000000001E-2</v>
      </c>
      <c r="M25497" s="26">
        <v>3.3099999999999997E-2</v>
      </c>
      <c r="N25497" s="26">
        <v>2.7900000000000001E-2</v>
      </c>
      <c r="O25497" s="26">
        <v>3.9699999999999999E-2</v>
      </c>
      <c r="P25497" s="26">
        <v>1.44E-2</v>
      </c>
      <c r="Q25497" s="26">
        <v>1.5699999999999999E-2</v>
      </c>
      <c r="R25497" s="26">
        <v>1.3100000000000001E-2</v>
      </c>
      <c r="S25497" s="26">
        <v>1.9199999999999998E-2</v>
      </c>
      <c r="T25497" s="26">
        <v>4.3E-3</v>
      </c>
      <c r="U25497" s="26">
        <v>1.9E-3</v>
      </c>
      <c r="V25497" s="26">
        <v>4.1000000000000003E-3</v>
      </c>
      <c r="W25497" s="26">
        <v>2.3699999999999999E-2</v>
      </c>
      <c r="X25497" s="26">
        <v>2.5000000000000001E-3</v>
      </c>
      <c r="Z25497">
        <v>256</v>
      </c>
    </row>
    <row r="25498" spans="1:26" x14ac:dyDescent="0.35">
      <c r="A25498" t="s">
        <v>230</v>
      </c>
      <c r="B25498" t="s">
        <v>1347</v>
      </c>
      <c r="C25498" s="26">
        <v>0.4738</v>
      </c>
      <c r="D25498" s="26">
        <v>0.36730000000000002</v>
      </c>
      <c r="E25498" s="26">
        <v>0.1211</v>
      </c>
      <c r="F25498" s="26">
        <v>4.7100000000000003E-2</v>
      </c>
      <c r="G25498" s="26">
        <v>4.48E-2</v>
      </c>
      <c r="H25498" s="26">
        <v>7.5300000000000006E-2</v>
      </c>
      <c r="I25498" s="26">
        <v>5.3600000000000002E-2</v>
      </c>
      <c r="J25498" s="26">
        <v>4.5999999999999999E-2</v>
      </c>
      <c r="K25498" s="26">
        <v>1.06E-2</v>
      </c>
      <c r="L25498" s="26">
        <v>3.3300000000000003E-2</v>
      </c>
      <c r="M25498" s="26">
        <v>2E-3</v>
      </c>
      <c r="N25498" s="26">
        <v>8.7800000000000003E-2</v>
      </c>
      <c r="O25498" s="26">
        <v>4.8000000000000001E-2</v>
      </c>
      <c r="P25498" s="26">
        <v>3.73E-2</v>
      </c>
      <c r="Q25498" s="26">
        <v>3.3E-3</v>
      </c>
      <c r="S25498" s="26">
        <v>3.2000000000000001E-2</v>
      </c>
      <c r="T25498" s="26">
        <v>3.2000000000000002E-3</v>
      </c>
      <c r="V25498" s="26">
        <v>2.0299999999999999E-2</v>
      </c>
      <c r="X25498" s="26">
        <v>2.58E-2</v>
      </c>
      <c r="Z25498">
        <v>153</v>
      </c>
    </row>
    <row r="25499" spans="1:26" x14ac:dyDescent="0.35">
      <c r="A25499" s="27" t="s">
        <v>230</v>
      </c>
      <c r="B25499" s="27" t="s">
        <v>1345</v>
      </c>
      <c r="C25499" s="28">
        <v>0.46200000000000002</v>
      </c>
      <c r="D25499" s="29"/>
      <c r="E25499" s="29"/>
      <c r="F25499" s="29"/>
      <c r="G25499" s="29"/>
      <c r="H25499" s="29"/>
      <c r="I25499" s="29"/>
      <c r="J25499" s="28">
        <v>0.26900000000000002</v>
      </c>
      <c r="K25499" s="29"/>
      <c r="L25499" s="29"/>
      <c r="M25499" s="29"/>
      <c r="N25499" s="29"/>
      <c r="O25499" s="28">
        <v>0.26900000000000002</v>
      </c>
      <c r="P25499" s="29"/>
      <c r="Q25499" s="29"/>
      <c r="R25499" s="29"/>
      <c r="S25499" s="29"/>
      <c r="T25499" s="29"/>
      <c r="U25499" s="29"/>
      <c r="V25499" s="28">
        <v>0.26900000000000002</v>
      </c>
      <c r="W25499" s="29"/>
      <c r="X25499" s="29"/>
      <c r="Y25499" s="29"/>
      <c r="Z25499" s="29" t="s">
        <v>333</v>
      </c>
    </row>
    <row r="25500" spans="1:26" x14ac:dyDescent="0.35">
      <c r="A25500" s="27" t="s">
        <v>231</v>
      </c>
      <c r="B25500" s="27" t="s">
        <v>1345</v>
      </c>
      <c r="C25500" s="28">
        <v>0.5</v>
      </c>
      <c r="D25500" s="28">
        <v>0.25</v>
      </c>
      <c r="E25500" s="29"/>
      <c r="F25500" s="29"/>
      <c r="G25500" s="29"/>
      <c r="H25500" s="28">
        <v>0.25</v>
      </c>
      <c r="I25500" s="29"/>
      <c r="J25500" s="29"/>
      <c r="K25500" s="29"/>
      <c r="L25500" s="29"/>
      <c r="M25500" s="29"/>
      <c r="N25500" s="29"/>
      <c r="O25500" s="29"/>
      <c r="P25500" s="29"/>
      <c r="Q25500" s="29"/>
      <c r="R25500" s="29"/>
      <c r="S25500" s="29"/>
      <c r="T25500" s="29"/>
      <c r="U25500" s="28">
        <v>0.25</v>
      </c>
      <c r="V25500" s="29"/>
      <c r="W25500" s="29"/>
      <c r="X25500" s="29"/>
      <c r="Y25500" s="29"/>
      <c r="Z25500" s="29" t="s">
        <v>337</v>
      </c>
    </row>
    <row r="25501" spans="1:26" x14ac:dyDescent="0.35">
      <c r="A25501" t="s">
        <v>231</v>
      </c>
      <c r="B25501" t="s">
        <v>1346</v>
      </c>
      <c r="C25501" s="26">
        <v>0.55000000000000004</v>
      </c>
      <c r="D25501" s="26">
        <v>0.32500000000000001</v>
      </c>
      <c r="I25501" s="26">
        <v>2.5000000000000001E-2</v>
      </c>
      <c r="J25501" s="26">
        <v>2.5000000000000001E-2</v>
      </c>
      <c r="L25501" s="26">
        <v>2.5000000000000001E-2</v>
      </c>
      <c r="M25501" s="26">
        <v>7.4999999999999997E-2</v>
      </c>
      <c r="R25501" s="26">
        <v>0.05</v>
      </c>
      <c r="W25501" s="26">
        <v>2.5000000000000001E-2</v>
      </c>
      <c r="Z25501">
        <v>40</v>
      </c>
    </row>
    <row r="25502" spans="1:26" x14ac:dyDescent="0.35">
      <c r="A25502" t="s">
        <v>231</v>
      </c>
      <c r="B25502" t="s">
        <v>1347</v>
      </c>
      <c r="C25502" s="26">
        <v>0.52939999999999998</v>
      </c>
      <c r="D25502" s="26">
        <v>0.23530000000000001</v>
      </c>
      <c r="E25502" s="26">
        <v>2.9399999999999999E-2</v>
      </c>
      <c r="F25502" s="26">
        <v>5.8799999999999998E-2</v>
      </c>
      <c r="G25502" s="26">
        <v>2.9399999999999999E-2</v>
      </c>
      <c r="I25502" s="26">
        <v>2.9399999999999999E-2</v>
      </c>
      <c r="J25502" s="26">
        <v>5.8799999999999998E-2</v>
      </c>
      <c r="K25502" s="26">
        <v>2.9399999999999999E-2</v>
      </c>
      <c r="L25502" s="26">
        <v>2.9399999999999999E-2</v>
      </c>
      <c r="M25502" s="26">
        <v>5.8799999999999998E-2</v>
      </c>
      <c r="O25502" s="26">
        <v>2.9399999999999999E-2</v>
      </c>
      <c r="U25502" s="26">
        <v>5.8799999999999998E-2</v>
      </c>
      <c r="Z25502">
        <v>34</v>
      </c>
    </row>
    <row r="25503" spans="1:26" x14ac:dyDescent="0.35">
      <c r="A25503" t="s">
        <v>231</v>
      </c>
      <c r="B25503" t="s">
        <v>1348</v>
      </c>
      <c r="C25503" s="26">
        <v>0.55420000000000003</v>
      </c>
      <c r="D25503" s="26">
        <v>0.30120000000000002</v>
      </c>
      <c r="E25503" s="26">
        <v>7.2300000000000003E-2</v>
      </c>
      <c r="F25503" s="26">
        <v>7.2300000000000003E-2</v>
      </c>
      <c r="G25503" s="26">
        <v>3.61E-2</v>
      </c>
      <c r="H25503" s="26">
        <v>3.61E-2</v>
      </c>
      <c r="I25503" s="26">
        <v>4.82E-2</v>
      </c>
      <c r="J25503" s="26">
        <v>1.2E-2</v>
      </c>
      <c r="K25503" s="26">
        <v>3.61E-2</v>
      </c>
      <c r="L25503" s="26">
        <v>1.2E-2</v>
      </c>
      <c r="M25503" s="26">
        <v>1.2E-2</v>
      </c>
      <c r="N25503" s="26">
        <v>1.2E-2</v>
      </c>
      <c r="O25503" s="26">
        <v>1.2E-2</v>
      </c>
      <c r="P25503" s="26">
        <v>1.2E-2</v>
      </c>
      <c r="Q25503" s="26">
        <v>2.41E-2</v>
      </c>
      <c r="R25503" s="26">
        <v>1.2E-2</v>
      </c>
      <c r="V25503" s="26">
        <v>1.2E-2</v>
      </c>
      <c r="Z25503">
        <v>83</v>
      </c>
    </row>
    <row r="25504" spans="1:26" x14ac:dyDescent="0.35">
      <c r="A25504" t="s">
        <v>232</v>
      </c>
      <c r="B25504" t="s">
        <v>232</v>
      </c>
      <c r="C25504" s="26">
        <v>0.50360000000000005</v>
      </c>
      <c r="D25504" s="26">
        <v>0.2873</v>
      </c>
      <c r="E25504" s="26">
        <v>7.9000000000000001E-2</v>
      </c>
      <c r="F25504" s="26">
        <v>5.91E-2</v>
      </c>
      <c r="G25504" s="26">
        <v>5.8900000000000001E-2</v>
      </c>
      <c r="H25504" s="26">
        <v>5.3600000000000002E-2</v>
      </c>
      <c r="I25504" s="26">
        <v>4.2000000000000003E-2</v>
      </c>
      <c r="J25504" s="26">
        <v>3.5000000000000003E-2</v>
      </c>
      <c r="K25504" s="26">
        <v>3.1899999999999998E-2</v>
      </c>
      <c r="L25504" s="26">
        <v>2.9499999999999998E-2</v>
      </c>
      <c r="M25504" s="26">
        <v>2.7199999999999998E-2</v>
      </c>
      <c r="N25504" s="26">
        <v>2.2800000000000001E-2</v>
      </c>
      <c r="O25504" s="26">
        <v>2.1100000000000001E-2</v>
      </c>
      <c r="P25504" s="26">
        <v>1.8100000000000002E-2</v>
      </c>
      <c r="Q25504" s="26">
        <v>1.0500000000000001E-2</v>
      </c>
      <c r="R25504" s="26">
        <v>0.01</v>
      </c>
      <c r="S25504" s="26">
        <v>9.4000000000000004E-3</v>
      </c>
      <c r="T25504" s="26">
        <v>9.2999999999999992E-3</v>
      </c>
      <c r="U25504" s="26">
        <v>8.6E-3</v>
      </c>
      <c r="V25504" s="26">
        <v>7.7999999999999996E-3</v>
      </c>
      <c r="W25504" s="26">
        <v>6.0000000000000001E-3</v>
      </c>
      <c r="X25504" s="26">
        <v>5.3E-3</v>
      </c>
      <c r="Y25504" s="26">
        <v>2.0999999999999999E-3</v>
      </c>
      <c r="Z25504">
        <v>2792</v>
      </c>
    </row>
    <row r="25506" spans="1:27" x14ac:dyDescent="0.35">
      <c r="A25506" s="1" t="s">
        <v>2313</v>
      </c>
    </row>
    <row r="25507" spans="1:27" x14ac:dyDescent="0.35">
      <c r="A25507" t="s">
        <v>219</v>
      </c>
      <c r="B25507" t="s">
        <v>305</v>
      </c>
      <c r="C25507" t="s">
        <v>345</v>
      </c>
      <c r="D25507" t="s">
        <v>550</v>
      </c>
      <c r="E25507" t="s">
        <v>2281</v>
      </c>
      <c r="F25507" t="s">
        <v>2282</v>
      </c>
      <c r="G25507" t="s">
        <v>2283</v>
      </c>
      <c r="H25507" t="s">
        <v>2284</v>
      </c>
      <c r="I25507" t="s">
        <v>2285</v>
      </c>
      <c r="J25507" t="s">
        <v>2286</v>
      </c>
      <c r="K25507" t="s">
        <v>2287</v>
      </c>
      <c r="L25507" t="s">
        <v>2288</v>
      </c>
      <c r="M25507" t="s">
        <v>2289</v>
      </c>
      <c r="N25507" t="s">
        <v>2290</v>
      </c>
      <c r="O25507" t="s">
        <v>2291</v>
      </c>
      <c r="P25507" t="s">
        <v>2292</v>
      </c>
      <c r="Q25507" t="s">
        <v>2293</v>
      </c>
      <c r="R25507" t="s">
        <v>2294</v>
      </c>
      <c r="S25507" t="s">
        <v>2295</v>
      </c>
      <c r="T25507" t="s">
        <v>2296</v>
      </c>
      <c r="U25507" t="s">
        <v>2297</v>
      </c>
      <c r="V25507" t="s">
        <v>326</v>
      </c>
      <c r="W25507" t="s">
        <v>2298</v>
      </c>
      <c r="X25507" t="s">
        <v>2299</v>
      </c>
      <c r="Y25507" t="s">
        <v>281</v>
      </c>
      <c r="Z25507" t="s">
        <v>286</v>
      </c>
      <c r="AA25507" t="s">
        <v>226</v>
      </c>
    </row>
    <row r="25508" spans="1:27" x14ac:dyDescent="0.35">
      <c r="A25508" s="27" t="s">
        <v>227</v>
      </c>
      <c r="B25508" s="27" t="s">
        <v>1341</v>
      </c>
      <c r="C25508" s="27" t="s">
        <v>1345</v>
      </c>
      <c r="D25508" s="28">
        <v>1</v>
      </c>
      <c r="E25508" s="29"/>
      <c r="F25508" s="29"/>
      <c r="G25508" s="29"/>
      <c r="H25508" s="29"/>
      <c r="I25508" s="29"/>
      <c r="J25508" s="29"/>
      <c r="K25508" s="29"/>
      <c r="L25508" s="29"/>
      <c r="M25508" s="29"/>
      <c r="N25508" s="29"/>
      <c r="O25508" s="29"/>
      <c r="P25508" s="29"/>
      <c r="Q25508" s="29"/>
      <c r="R25508" s="29"/>
      <c r="S25508" s="29"/>
      <c r="T25508" s="29"/>
      <c r="U25508" s="29"/>
      <c r="V25508" s="29"/>
      <c r="W25508" s="29"/>
      <c r="X25508" s="29"/>
      <c r="Y25508" s="29"/>
      <c r="Z25508" s="29"/>
      <c r="AA25508" s="29" t="s">
        <v>331</v>
      </c>
    </row>
    <row r="25509" spans="1:27" x14ac:dyDescent="0.35">
      <c r="A25509" s="27" t="s">
        <v>227</v>
      </c>
      <c r="B25509" s="27" t="s">
        <v>1343</v>
      </c>
      <c r="C25509" s="27" t="s">
        <v>1346</v>
      </c>
      <c r="D25509" s="28">
        <v>0.46150000000000002</v>
      </c>
      <c r="E25509" s="28">
        <v>0.1923</v>
      </c>
      <c r="F25509" s="28">
        <v>7.6899999999999996E-2</v>
      </c>
      <c r="G25509" s="28">
        <v>0.15379999999999999</v>
      </c>
      <c r="H25509" s="28">
        <v>7.6899999999999996E-2</v>
      </c>
      <c r="I25509" s="29"/>
      <c r="J25509" s="28">
        <v>7.6899999999999996E-2</v>
      </c>
      <c r="K25509" s="28">
        <v>3.85E-2</v>
      </c>
      <c r="L25509" s="28">
        <v>0.15379999999999999</v>
      </c>
      <c r="M25509" s="28">
        <v>3.85E-2</v>
      </c>
      <c r="N25509" s="28">
        <v>3.85E-2</v>
      </c>
      <c r="O25509" s="29"/>
      <c r="P25509" s="29"/>
      <c r="Q25509" s="29"/>
      <c r="R25509" s="28">
        <v>3.85E-2</v>
      </c>
      <c r="S25509" s="29"/>
      <c r="T25509" s="29"/>
      <c r="U25509" s="29"/>
      <c r="V25509" s="29"/>
      <c r="W25509" s="29"/>
      <c r="X25509" s="29"/>
      <c r="Y25509" s="29"/>
      <c r="Z25509" s="29"/>
      <c r="AA25509" s="29" t="s">
        <v>357</v>
      </c>
    </row>
    <row r="25510" spans="1:27" x14ac:dyDescent="0.35">
      <c r="A25510" t="s">
        <v>227</v>
      </c>
      <c r="B25510" t="s">
        <v>1343</v>
      </c>
      <c r="C25510" t="s">
        <v>1348</v>
      </c>
      <c r="D25510" s="26">
        <v>0.45900000000000002</v>
      </c>
      <c r="E25510" s="26">
        <v>0.29509999999999997</v>
      </c>
      <c r="F25510" s="26">
        <v>0.1148</v>
      </c>
      <c r="G25510" s="26">
        <v>8.2000000000000003E-2</v>
      </c>
      <c r="H25510" s="26">
        <v>6.5600000000000006E-2</v>
      </c>
      <c r="J25510" s="26">
        <v>3.2800000000000003E-2</v>
      </c>
      <c r="K25510" s="26">
        <v>3.2800000000000003E-2</v>
      </c>
      <c r="L25510" s="26">
        <v>3.2800000000000003E-2</v>
      </c>
      <c r="M25510" s="26">
        <v>4.9200000000000001E-2</v>
      </c>
      <c r="O25510" s="26">
        <v>3.2800000000000003E-2</v>
      </c>
      <c r="P25510" s="26">
        <v>1.6400000000000001E-2</v>
      </c>
      <c r="Q25510" s="26">
        <v>4.9200000000000001E-2</v>
      </c>
      <c r="R25510" s="26">
        <v>1.6400000000000001E-2</v>
      </c>
      <c r="S25510" s="26">
        <v>3.2800000000000003E-2</v>
      </c>
      <c r="V25510" s="26">
        <v>1.6400000000000001E-2</v>
      </c>
      <c r="AA25510">
        <v>61</v>
      </c>
    </row>
    <row r="25511" spans="1:27" x14ac:dyDescent="0.35">
      <c r="A25511" s="27" t="s">
        <v>227</v>
      </c>
      <c r="B25511" s="27" t="s">
        <v>1341</v>
      </c>
      <c r="C25511" s="27" t="s">
        <v>1347</v>
      </c>
      <c r="D25511" s="28">
        <v>0.76919999999999999</v>
      </c>
      <c r="E25511" s="28">
        <v>7.6899999999999996E-2</v>
      </c>
      <c r="F25511" s="29"/>
      <c r="G25511" s="28">
        <v>7.6899999999999996E-2</v>
      </c>
      <c r="H25511" s="29"/>
      <c r="I25511" s="29"/>
      <c r="J25511" s="29"/>
      <c r="K25511" s="29"/>
      <c r="L25511" s="28">
        <v>7.6899999999999996E-2</v>
      </c>
      <c r="M25511" s="28">
        <v>7.6899999999999996E-2</v>
      </c>
      <c r="N25511" s="29"/>
      <c r="O25511" s="29"/>
      <c r="P25511" s="29"/>
      <c r="Q25511" s="29"/>
      <c r="R25511" s="29"/>
      <c r="S25511" s="29"/>
      <c r="T25511" s="29"/>
      <c r="U25511" s="28">
        <v>7.6899999999999996E-2</v>
      </c>
      <c r="V25511" s="29"/>
      <c r="W25511" s="29"/>
      <c r="X25511" s="29"/>
      <c r="Y25511" s="29"/>
      <c r="Z25511" s="29"/>
      <c r="AA25511" s="29" t="s">
        <v>341</v>
      </c>
    </row>
    <row r="25512" spans="1:27" x14ac:dyDescent="0.35">
      <c r="A25512" s="27" t="s">
        <v>227</v>
      </c>
      <c r="B25512" s="27" t="s">
        <v>1343</v>
      </c>
      <c r="C25512" s="27" t="s">
        <v>1347</v>
      </c>
      <c r="D25512" s="28">
        <v>0.52170000000000005</v>
      </c>
      <c r="E25512" s="28">
        <v>0.26090000000000002</v>
      </c>
      <c r="F25512" s="28">
        <v>4.3499999999999997E-2</v>
      </c>
      <c r="G25512" s="28">
        <v>4.3499999999999997E-2</v>
      </c>
      <c r="H25512" s="28">
        <v>8.6999999999999994E-2</v>
      </c>
      <c r="I25512" s="28">
        <v>0.13039999999999999</v>
      </c>
      <c r="J25512" s="28">
        <v>4.3499999999999997E-2</v>
      </c>
      <c r="K25512" s="28">
        <v>4.3499999999999997E-2</v>
      </c>
      <c r="L25512" s="28">
        <v>4.3499999999999997E-2</v>
      </c>
      <c r="M25512" s="28">
        <v>8.6999999999999994E-2</v>
      </c>
      <c r="N25512" s="28">
        <v>4.3499999999999997E-2</v>
      </c>
      <c r="O25512" s="28">
        <v>4.3499999999999997E-2</v>
      </c>
      <c r="P25512" s="28">
        <v>4.3499999999999997E-2</v>
      </c>
      <c r="Q25512" s="29"/>
      <c r="R25512" s="29"/>
      <c r="S25512" s="29"/>
      <c r="T25512" s="29"/>
      <c r="U25512" s="29"/>
      <c r="V25512" s="29"/>
      <c r="W25512" s="29"/>
      <c r="X25512" s="29"/>
      <c r="Y25512" s="29"/>
      <c r="Z25512" s="29"/>
      <c r="AA25512" s="29" t="s">
        <v>328</v>
      </c>
    </row>
    <row r="25513" spans="1:27" x14ac:dyDescent="0.35">
      <c r="A25513" s="27" t="s">
        <v>227</v>
      </c>
      <c r="B25513" s="27" t="s">
        <v>1343</v>
      </c>
      <c r="C25513" s="27" t="s">
        <v>1345</v>
      </c>
      <c r="D25513" s="28">
        <v>1</v>
      </c>
      <c r="E25513" s="29"/>
      <c r="F25513" s="29"/>
      <c r="G25513" s="29"/>
      <c r="H25513" s="29"/>
      <c r="I25513" s="29"/>
      <c r="J25513" s="29"/>
      <c r="K25513" s="29"/>
      <c r="L25513" s="29"/>
      <c r="M25513" s="29"/>
      <c r="N25513" s="29"/>
      <c r="O25513" s="29"/>
      <c r="P25513" s="29"/>
      <c r="Q25513" s="29"/>
      <c r="R25513" s="29"/>
      <c r="S25513" s="29"/>
      <c r="T25513" s="29"/>
      <c r="U25513" s="29"/>
      <c r="V25513" s="29"/>
      <c r="W25513" s="29"/>
      <c r="X25513" s="29"/>
      <c r="Y25513" s="29"/>
      <c r="Z25513" s="29"/>
      <c r="AA25513" s="29" t="s">
        <v>331</v>
      </c>
    </row>
    <row r="25514" spans="1:27" x14ac:dyDescent="0.35">
      <c r="A25514" s="27" t="s">
        <v>227</v>
      </c>
      <c r="B25514" s="27" t="s">
        <v>1342</v>
      </c>
      <c r="C25514" s="27" t="s">
        <v>1348</v>
      </c>
      <c r="D25514" s="29"/>
      <c r="E25514" s="28">
        <v>1</v>
      </c>
      <c r="F25514" s="29"/>
      <c r="G25514" s="28">
        <v>1</v>
      </c>
      <c r="H25514" s="29"/>
      <c r="I25514" s="29"/>
      <c r="J25514" s="29"/>
      <c r="K25514" s="29"/>
      <c r="L25514" s="29"/>
      <c r="M25514" s="29"/>
      <c r="N25514" s="29"/>
      <c r="O25514" s="29"/>
      <c r="P25514" s="29"/>
      <c r="Q25514" s="29"/>
      <c r="R25514" s="29"/>
      <c r="S25514" s="29"/>
      <c r="T25514" s="29"/>
      <c r="U25514" s="29"/>
      <c r="V25514" s="29"/>
      <c r="W25514" s="29"/>
      <c r="X25514" s="29"/>
      <c r="Y25514" s="29"/>
      <c r="Z25514" s="29"/>
      <c r="AA25514" s="29" t="s">
        <v>331</v>
      </c>
    </row>
    <row r="25515" spans="1:27" x14ac:dyDescent="0.35">
      <c r="A25515" s="27" t="s">
        <v>227</v>
      </c>
      <c r="B25515" s="27" t="s">
        <v>1341</v>
      </c>
      <c r="C25515" s="27" t="s">
        <v>1348</v>
      </c>
      <c r="D25515" s="28">
        <v>0.42859999999999998</v>
      </c>
      <c r="E25515" s="28">
        <v>0.28570000000000001</v>
      </c>
      <c r="F25515" s="28">
        <v>9.5200000000000007E-2</v>
      </c>
      <c r="G25515" s="28">
        <v>4.7600000000000003E-2</v>
      </c>
      <c r="H25515" s="28">
        <v>4.7600000000000003E-2</v>
      </c>
      <c r="I25515" s="28">
        <v>9.5200000000000007E-2</v>
      </c>
      <c r="J25515" s="29"/>
      <c r="K25515" s="29"/>
      <c r="L25515" s="29"/>
      <c r="M25515" s="28">
        <v>4.7600000000000003E-2</v>
      </c>
      <c r="N25515" s="29"/>
      <c r="O25515" s="29"/>
      <c r="P25515" s="28">
        <v>4.7600000000000003E-2</v>
      </c>
      <c r="Q25515" s="28">
        <v>4.7600000000000003E-2</v>
      </c>
      <c r="R25515" s="29"/>
      <c r="S25515" s="29"/>
      <c r="T25515" s="29"/>
      <c r="U25515" s="28">
        <v>9.5200000000000007E-2</v>
      </c>
      <c r="V25515" s="29"/>
      <c r="W25515" s="29"/>
      <c r="X25515" s="29"/>
      <c r="Y25515" s="29"/>
      <c r="Z25515" s="29"/>
      <c r="AA25515" s="29" t="s">
        <v>351</v>
      </c>
    </row>
    <row r="25516" spans="1:27" x14ac:dyDescent="0.35">
      <c r="A25516" s="27" t="s">
        <v>227</v>
      </c>
      <c r="B25516" s="27" t="s">
        <v>1341</v>
      </c>
      <c r="C25516" s="27" t="s">
        <v>1346</v>
      </c>
      <c r="D25516" s="28">
        <v>0.46150000000000002</v>
      </c>
      <c r="E25516" s="28">
        <v>0.30769999999999997</v>
      </c>
      <c r="F25516" s="29"/>
      <c r="G25516" s="29"/>
      <c r="H25516" s="29"/>
      <c r="I25516" s="29"/>
      <c r="J25516" s="28">
        <v>0.15379999999999999</v>
      </c>
      <c r="K25516" s="28">
        <v>7.6899999999999996E-2</v>
      </c>
      <c r="L25516" s="28">
        <v>7.6899999999999996E-2</v>
      </c>
      <c r="M25516" s="29"/>
      <c r="N25516" s="29"/>
      <c r="O25516" s="29"/>
      <c r="P25516" s="29"/>
      <c r="Q25516" s="29"/>
      <c r="R25516" s="29"/>
      <c r="S25516" s="29"/>
      <c r="T25516" s="29"/>
      <c r="U25516" s="29"/>
      <c r="V25516" s="29"/>
      <c r="W25516" s="29"/>
      <c r="X25516" s="29"/>
      <c r="Y25516" s="29"/>
      <c r="Z25516" s="29"/>
      <c r="AA25516" s="29" t="s">
        <v>341</v>
      </c>
    </row>
    <row r="25517" spans="1:27" x14ac:dyDescent="0.35">
      <c r="A25517" t="s">
        <v>228</v>
      </c>
      <c r="B25517" t="s">
        <v>1343</v>
      </c>
      <c r="C25517" t="s">
        <v>1348</v>
      </c>
      <c r="D25517" s="26">
        <v>0.439</v>
      </c>
      <c r="E25517" s="26">
        <v>0.32479999999999998</v>
      </c>
      <c r="F25517" s="26">
        <v>7.7100000000000002E-2</v>
      </c>
      <c r="G25517" s="26">
        <v>6.2E-2</v>
      </c>
      <c r="H25517" s="26">
        <v>9.7699999999999995E-2</v>
      </c>
      <c r="I25517" s="26">
        <v>0.10489999999999999</v>
      </c>
      <c r="J25517" s="26">
        <v>5.1400000000000001E-2</v>
      </c>
      <c r="K25517" s="26">
        <v>4.5699999999999998E-2</v>
      </c>
      <c r="L25517" s="26">
        <v>4.9200000000000001E-2</v>
      </c>
      <c r="M25517" s="26">
        <v>1.6500000000000001E-2</v>
      </c>
      <c r="N25517" s="26">
        <v>4.7300000000000002E-2</v>
      </c>
      <c r="O25517" s="26">
        <v>4.6899999999999997E-2</v>
      </c>
      <c r="P25517" s="26">
        <v>2.53E-2</v>
      </c>
      <c r="Q25517" s="26">
        <v>3.1099999999999999E-2</v>
      </c>
      <c r="R25517" s="26">
        <v>7.1000000000000004E-3</v>
      </c>
      <c r="S25517" s="26">
        <v>4.4999999999999997E-3</v>
      </c>
      <c r="T25517" s="26">
        <v>2.7799999999999998E-2</v>
      </c>
      <c r="U25517" s="26">
        <v>3.2000000000000002E-3</v>
      </c>
      <c r="V25517" s="26">
        <v>1.8E-3</v>
      </c>
      <c r="W25517" s="26">
        <v>2.3599999999999999E-2</v>
      </c>
      <c r="X25517" s="26">
        <v>3.2000000000000002E-3</v>
      </c>
      <c r="Y25517" s="26">
        <v>1.1900000000000001E-2</v>
      </c>
      <c r="Z25517" s="26">
        <v>1.6000000000000001E-3</v>
      </c>
      <c r="AA25517">
        <v>352</v>
      </c>
    </row>
    <row r="25518" spans="1:27" x14ac:dyDescent="0.35">
      <c r="A25518" t="s">
        <v>228</v>
      </c>
      <c r="B25518" t="s">
        <v>1343</v>
      </c>
      <c r="C25518" t="s">
        <v>1347</v>
      </c>
      <c r="D25518" s="26">
        <v>0.40820000000000001</v>
      </c>
      <c r="E25518" s="26">
        <v>0.29870000000000002</v>
      </c>
      <c r="F25518" s="26">
        <v>0.1298</v>
      </c>
      <c r="G25518" s="26">
        <v>9.5799999999999996E-2</v>
      </c>
      <c r="H25518" s="26">
        <v>0.13969999999999999</v>
      </c>
      <c r="I25518" s="26">
        <v>0.12429999999999999</v>
      </c>
      <c r="J25518" s="26">
        <v>4.5699999999999998E-2</v>
      </c>
      <c r="K25518" s="26">
        <v>6.83E-2</v>
      </c>
      <c r="L25518" s="26">
        <v>0.1052</v>
      </c>
      <c r="M25518" s="26">
        <v>4.4900000000000002E-2</v>
      </c>
      <c r="N25518" s="26">
        <v>6.83E-2</v>
      </c>
      <c r="O25518" s="26">
        <v>3.27E-2</v>
      </c>
      <c r="P25518" s="26">
        <v>6.8000000000000005E-2</v>
      </c>
      <c r="Q25518" s="26">
        <v>3.0800000000000001E-2</v>
      </c>
      <c r="R25518" s="26">
        <v>1.43E-2</v>
      </c>
      <c r="S25518" s="26">
        <v>3.3E-3</v>
      </c>
      <c r="T25518" s="26">
        <v>2.3699999999999999E-2</v>
      </c>
      <c r="U25518" s="26">
        <v>6.6E-3</v>
      </c>
      <c r="W25518" s="26">
        <v>1.2500000000000001E-2</v>
      </c>
      <c r="X25518" s="26">
        <v>3.3E-3</v>
      </c>
      <c r="AA25518">
        <v>130</v>
      </c>
    </row>
    <row r="25519" spans="1:27" x14ac:dyDescent="0.35">
      <c r="A25519" s="27" t="s">
        <v>228</v>
      </c>
      <c r="B25519" s="27" t="s">
        <v>1343</v>
      </c>
      <c r="C25519" s="27" t="s">
        <v>1345</v>
      </c>
      <c r="D25519" s="28">
        <v>0.33579999999999999</v>
      </c>
      <c r="E25519" s="28">
        <v>0.22140000000000001</v>
      </c>
      <c r="F25519" s="29"/>
      <c r="G25519" s="28">
        <v>0.22140000000000001</v>
      </c>
      <c r="H25519" s="28">
        <v>0.44280000000000003</v>
      </c>
      <c r="I25519" s="29"/>
      <c r="J25519" s="28">
        <v>0.22140000000000001</v>
      </c>
      <c r="K25519" s="29"/>
      <c r="L25519" s="29"/>
      <c r="M25519" s="28">
        <v>0.22140000000000001</v>
      </c>
      <c r="N25519" s="29"/>
      <c r="O25519" s="29"/>
      <c r="P25519" s="29"/>
      <c r="Q25519" s="29"/>
      <c r="R25519" s="29"/>
      <c r="S25519" s="29"/>
      <c r="T25519" s="29"/>
      <c r="U25519" s="29"/>
      <c r="V25519" s="29"/>
      <c r="W25519" s="29"/>
      <c r="X25519" s="29"/>
      <c r="Y25519" s="29"/>
      <c r="Z25519" s="29"/>
      <c r="AA25519" s="29" t="s">
        <v>335</v>
      </c>
    </row>
    <row r="25520" spans="1:27" x14ac:dyDescent="0.35">
      <c r="A25520" t="s">
        <v>228</v>
      </c>
      <c r="B25520" t="s">
        <v>1341</v>
      </c>
      <c r="C25520" t="s">
        <v>1346</v>
      </c>
      <c r="D25520" s="26">
        <v>0.39889999999999998</v>
      </c>
      <c r="E25520" s="26">
        <v>0.41360000000000002</v>
      </c>
      <c r="F25520" s="26">
        <v>1.03E-2</v>
      </c>
      <c r="G25520" s="26">
        <v>0.08</v>
      </c>
      <c r="H25520" s="26">
        <v>7.8200000000000006E-2</v>
      </c>
      <c r="I25520" s="26">
        <v>5.6800000000000003E-2</v>
      </c>
      <c r="J25520" s="26">
        <v>1.5699999999999999E-2</v>
      </c>
      <c r="K25520" s="26">
        <v>3.4000000000000002E-2</v>
      </c>
      <c r="M25520" s="26">
        <v>4.9200000000000001E-2</v>
      </c>
      <c r="N25520" s="26">
        <v>2.3900000000000001E-2</v>
      </c>
      <c r="P25520" s="26">
        <v>7.0000000000000001E-3</v>
      </c>
      <c r="Q25520" s="26">
        <v>1.1900000000000001E-2</v>
      </c>
      <c r="R25520" s="26">
        <v>3.3500000000000002E-2</v>
      </c>
      <c r="U25520" s="26">
        <v>1.5699999999999999E-2</v>
      </c>
      <c r="X25520" s="26">
        <v>1.03E-2</v>
      </c>
      <c r="Y25520" s="26">
        <v>7.0000000000000001E-3</v>
      </c>
      <c r="Z25520" s="26">
        <v>7.0000000000000001E-3</v>
      </c>
      <c r="AA25520">
        <v>46</v>
      </c>
    </row>
    <row r="25521" spans="1:27" x14ac:dyDescent="0.35">
      <c r="A25521" t="s">
        <v>228</v>
      </c>
      <c r="B25521" t="s">
        <v>1341</v>
      </c>
      <c r="C25521" t="s">
        <v>1348</v>
      </c>
      <c r="D25521" s="26">
        <v>0.48549999999999999</v>
      </c>
      <c r="E25521" s="26">
        <v>0.253</v>
      </c>
      <c r="F25521" s="26">
        <v>6.4600000000000005E-2</v>
      </c>
      <c r="G25521" s="26">
        <v>4.1300000000000003E-2</v>
      </c>
      <c r="H25521" s="26">
        <v>2.47E-2</v>
      </c>
      <c r="I25521" s="26">
        <v>8.6099999999999996E-2</v>
      </c>
      <c r="J25521" s="26">
        <v>3.1699999999999999E-2</v>
      </c>
      <c r="K25521" s="26">
        <v>3.04E-2</v>
      </c>
      <c r="L25521" s="26">
        <v>2.9100000000000001E-2</v>
      </c>
      <c r="M25521" s="26">
        <v>9.1999999999999998E-3</v>
      </c>
      <c r="N25521" s="26">
        <v>1.47E-2</v>
      </c>
      <c r="O25521" s="26">
        <v>5.3999999999999999E-2</v>
      </c>
      <c r="P25521" s="26">
        <v>2.86E-2</v>
      </c>
      <c r="Q25521" s="26">
        <v>6.4999999999999997E-3</v>
      </c>
      <c r="S25521" s="26">
        <v>1.7999999999999999E-2</v>
      </c>
      <c r="T25521" s="26">
        <v>3.1600000000000003E-2</v>
      </c>
      <c r="U25521" s="26">
        <v>1.09E-2</v>
      </c>
      <c r="V25521" s="26">
        <v>1.7999999999999999E-2</v>
      </c>
      <c r="Y25521" s="26">
        <v>0.02</v>
      </c>
      <c r="Z25521" s="26">
        <v>1.7999999999999999E-2</v>
      </c>
      <c r="AA25521">
        <v>175</v>
      </c>
    </row>
    <row r="25522" spans="1:27" x14ac:dyDescent="0.35">
      <c r="A25522" s="27" t="s">
        <v>228</v>
      </c>
      <c r="B25522" s="27" t="s">
        <v>1342</v>
      </c>
      <c r="C25522" s="27" t="s">
        <v>1348</v>
      </c>
      <c r="D25522" s="28">
        <v>1</v>
      </c>
      <c r="E25522" s="29"/>
      <c r="F25522" s="29"/>
      <c r="G25522" s="29"/>
      <c r="H25522" s="29"/>
      <c r="I25522" s="29"/>
      <c r="J25522" s="29"/>
      <c r="K25522" s="29"/>
      <c r="L25522" s="29"/>
      <c r="M25522" s="29"/>
      <c r="N25522" s="29"/>
      <c r="O25522" s="29"/>
      <c r="P25522" s="29"/>
      <c r="Q25522" s="29"/>
      <c r="R25522" s="29"/>
      <c r="S25522" s="29"/>
      <c r="T25522" s="29"/>
      <c r="U25522" s="29"/>
      <c r="V25522" s="29"/>
      <c r="W25522" s="29"/>
      <c r="X25522" s="29"/>
      <c r="Y25522" s="29"/>
      <c r="Z25522" s="29"/>
      <c r="AA25522" s="29" t="s">
        <v>331</v>
      </c>
    </row>
    <row r="25523" spans="1:27" x14ac:dyDescent="0.35">
      <c r="A25523" t="s">
        <v>228</v>
      </c>
      <c r="B25523" t="s">
        <v>1343</v>
      </c>
      <c r="C25523" t="s">
        <v>1346</v>
      </c>
      <c r="D25523" s="26">
        <v>0.44119999999999998</v>
      </c>
      <c r="E25523" s="26">
        <v>0.34399999999999997</v>
      </c>
      <c r="F25523" s="26">
        <v>0.13289999999999999</v>
      </c>
      <c r="G25523" s="26">
        <v>0.1028</v>
      </c>
      <c r="H25523" s="26">
        <v>4.1099999999999998E-2</v>
      </c>
      <c r="I25523" s="26">
        <v>7.8E-2</v>
      </c>
      <c r="J25523" s="26">
        <v>7.5600000000000001E-2</v>
      </c>
      <c r="K25523" s="26">
        <v>2.8899999999999999E-2</v>
      </c>
      <c r="L25523" s="26">
        <v>2.12E-2</v>
      </c>
      <c r="M25523" s="26">
        <v>3.3500000000000002E-2</v>
      </c>
      <c r="N25523" s="26">
        <v>1.47E-2</v>
      </c>
      <c r="O25523" s="26">
        <v>5.9400000000000001E-2</v>
      </c>
      <c r="P25523" s="26">
        <v>6.3E-3</v>
      </c>
      <c r="Q25523" s="26">
        <v>1.7000000000000001E-2</v>
      </c>
      <c r="R25523" s="26">
        <v>2.47E-2</v>
      </c>
      <c r="S25523" s="26">
        <v>2.2000000000000001E-3</v>
      </c>
      <c r="T25523" s="26">
        <v>1.6000000000000001E-3</v>
      </c>
      <c r="U25523" s="26">
        <v>1.4800000000000001E-2</v>
      </c>
      <c r="W25523" s="26">
        <v>1.1000000000000001E-3</v>
      </c>
      <c r="X25523" s="26">
        <v>1.4800000000000001E-2</v>
      </c>
      <c r="Y25523" s="26">
        <v>3.2000000000000002E-3</v>
      </c>
      <c r="AA25523">
        <v>238</v>
      </c>
    </row>
    <row r="25524" spans="1:27" x14ac:dyDescent="0.35">
      <c r="A25524" s="27" t="s">
        <v>228</v>
      </c>
      <c r="B25524" s="27" t="s">
        <v>1341</v>
      </c>
      <c r="C25524" s="27" t="s">
        <v>1345</v>
      </c>
      <c r="D25524" s="28">
        <v>0.69940000000000002</v>
      </c>
      <c r="E25524" s="28">
        <v>7.8600000000000003E-2</v>
      </c>
      <c r="F25524" s="29"/>
      <c r="G25524" s="29"/>
      <c r="H25524" s="29"/>
      <c r="I25524" s="29"/>
      <c r="J25524" s="29"/>
      <c r="K25524" s="29"/>
      <c r="L25524" s="29"/>
      <c r="M25524" s="29"/>
      <c r="N25524" s="29"/>
      <c r="O25524" s="29"/>
      <c r="P25524" s="29"/>
      <c r="Q25524" s="29"/>
      <c r="R25524" s="29"/>
      <c r="S25524" s="29"/>
      <c r="T25524" s="28">
        <v>0.222</v>
      </c>
      <c r="U25524" s="29"/>
      <c r="V25524" s="29"/>
      <c r="W25524" s="28">
        <v>0.222</v>
      </c>
      <c r="X25524" s="29"/>
      <c r="Y25524" s="29"/>
      <c r="Z25524" s="29"/>
      <c r="AA25524" s="29" t="s">
        <v>337</v>
      </c>
    </row>
    <row r="25525" spans="1:27" x14ac:dyDescent="0.35">
      <c r="A25525" t="s">
        <v>228</v>
      </c>
      <c r="B25525" t="s">
        <v>1341</v>
      </c>
      <c r="C25525" t="s">
        <v>1347</v>
      </c>
      <c r="D25525" s="26">
        <v>0.4995</v>
      </c>
      <c r="E25525" s="26">
        <v>0.16619999999999999</v>
      </c>
      <c r="F25525" s="26">
        <v>3.1300000000000001E-2</v>
      </c>
      <c r="G25525" s="26">
        <v>1.2200000000000001E-2</v>
      </c>
      <c r="H25525" s="26">
        <v>7.9500000000000001E-2</v>
      </c>
      <c r="I25525" s="26">
        <v>0.23530000000000001</v>
      </c>
      <c r="J25525" s="26">
        <v>8.6E-3</v>
      </c>
      <c r="K25525" s="26">
        <v>1.9699999999999999E-2</v>
      </c>
      <c r="L25525" s="26">
        <v>2.18E-2</v>
      </c>
      <c r="N25525" s="26">
        <v>1.6E-2</v>
      </c>
      <c r="O25525" s="26">
        <v>3.49E-2</v>
      </c>
      <c r="P25525" s="26">
        <v>0.10249999999999999</v>
      </c>
      <c r="Q25525" s="26">
        <v>3.39E-2</v>
      </c>
      <c r="S25525" s="26">
        <v>8.6E-3</v>
      </c>
      <c r="T25525" s="26">
        <v>1.7000000000000001E-2</v>
      </c>
      <c r="Y25525" s="26">
        <v>6.4999999999999997E-3</v>
      </c>
      <c r="AA25525">
        <v>74</v>
      </c>
    </row>
    <row r="25526" spans="1:27" x14ac:dyDescent="0.35">
      <c r="A25526" t="s">
        <v>229</v>
      </c>
      <c r="B25526" t="s">
        <v>1343</v>
      </c>
      <c r="C25526" t="s">
        <v>1348</v>
      </c>
      <c r="D25526" s="26">
        <v>0.4889</v>
      </c>
      <c r="E25526" s="26">
        <v>0.30149999999999999</v>
      </c>
      <c r="F25526" s="26">
        <v>0.1129</v>
      </c>
      <c r="G25526" s="26">
        <v>8.7300000000000003E-2</v>
      </c>
      <c r="H25526" s="26">
        <v>4.9700000000000001E-2</v>
      </c>
      <c r="I25526" s="26">
        <v>3.1E-2</v>
      </c>
      <c r="J25526" s="26">
        <v>3.7400000000000003E-2</v>
      </c>
      <c r="K25526" s="26">
        <v>5.3900000000000003E-2</v>
      </c>
      <c r="L25526" s="26">
        <v>1.0800000000000001E-2</v>
      </c>
      <c r="M25526" s="26">
        <v>2.76E-2</v>
      </c>
      <c r="N25526" s="26">
        <v>3.4799999999999998E-2</v>
      </c>
      <c r="O25526" s="26">
        <v>1.67E-2</v>
      </c>
      <c r="P25526" s="26">
        <v>1.9400000000000001E-2</v>
      </c>
      <c r="Q25526" s="26">
        <v>3.8199999999999998E-2</v>
      </c>
      <c r="R25526" s="26">
        <v>1.1000000000000001E-3</v>
      </c>
      <c r="S25526" s="26">
        <v>8.0999999999999996E-3</v>
      </c>
      <c r="T25526" s="26">
        <v>2.0199999999999999E-2</v>
      </c>
      <c r="U25526" s="26">
        <v>1.4E-2</v>
      </c>
      <c r="W25526" s="26">
        <v>1.0200000000000001E-2</v>
      </c>
      <c r="X25526" s="26">
        <v>2.2000000000000001E-3</v>
      </c>
      <c r="Y25526" s="26">
        <v>9.1999999999999998E-3</v>
      </c>
      <c r="Z25526" s="26">
        <v>2.0999999999999999E-3</v>
      </c>
      <c r="AA25526">
        <v>274</v>
      </c>
    </row>
    <row r="25527" spans="1:27" x14ac:dyDescent="0.35">
      <c r="A25527" t="s">
        <v>229</v>
      </c>
      <c r="B25527" t="s">
        <v>1341</v>
      </c>
      <c r="C25527" t="s">
        <v>1346</v>
      </c>
      <c r="D25527" s="26">
        <v>0.5544</v>
      </c>
      <c r="E25527" s="26">
        <v>0.38319999999999999</v>
      </c>
      <c r="F25527" s="26">
        <v>5.5E-2</v>
      </c>
      <c r="G25527" s="26">
        <v>1.03E-2</v>
      </c>
      <c r="H25527" s="26">
        <v>9.74E-2</v>
      </c>
      <c r="I25527" s="26">
        <v>1.14E-2</v>
      </c>
      <c r="J25527" s="26">
        <v>2.8999999999999998E-3</v>
      </c>
      <c r="K25527" s="26">
        <v>1.14E-2</v>
      </c>
      <c r="L25527" s="26">
        <v>4.36E-2</v>
      </c>
      <c r="AA25527">
        <v>53</v>
      </c>
    </row>
    <row r="25528" spans="1:27" x14ac:dyDescent="0.35">
      <c r="A25528" t="s">
        <v>229</v>
      </c>
      <c r="B25528" t="s">
        <v>1341</v>
      </c>
      <c r="C25528" t="s">
        <v>1347</v>
      </c>
      <c r="D25528" s="26">
        <v>0.6784</v>
      </c>
      <c r="E25528" s="26">
        <v>0.10979999999999999</v>
      </c>
      <c r="F25528" s="26">
        <v>7.4899999999999994E-2</v>
      </c>
      <c r="H25528" s="26">
        <v>0.1079</v>
      </c>
      <c r="I25528" s="26">
        <v>0.10539999999999999</v>
      </c>
      <c r="J25528" s="26">
        <v>8.3000000000000001E-3</v>
      </c>
      <c r="K25528" s="26">
        <v>1.6999999999999999E-3</v>
      </c>
      <c r="N25528" s="26">
        <v>6.6E-3</v>
      </c>
      <c r="P25528" s="26">
        <v>3.9800000000000002E-2</v>
      </c>
      <c r="U25528" s="26">
        <v>6.6E-3</v>
      </c>
      <c r="W25528" s="26">
        <v>3.3E-3</v>
      </c>
      <c r="X25528" s="26">
        <v>6.6E-3</v>
      </c>
      <c r="AA25528">
        <v>103</v>
      </c>
    </row>
    <row r="25529" spans="1:27" x14ac:dyDescent="0.35">
      <c r="A25529" t="s">
        <v>229</v>
      </c>
      <c r="B25529" t="s">
        <v>1343</v>
      </c>
      <c r="C25529" t="s">
        <v>1346</v>
      </c>
      <c r="D25529" s="26">
        <v>0.47910000000000003</v>
      </c>
      <c r="E25529" s="26">
        <v>0.31709999999999999</v>
      </c>
      <c r="F25529" s="26">
        <v>0.1071</v>
      </c>
      <c r="G25529" s="26">
        <v>5.1400000000000001E-2</v>
      </c>
      <c r="H25529" s="26">
        <v>4.9200000000000001E-2</v>
      </c>
      <c r="I25529" s="26">
        <v>3.2199999999999999E-2</v>
      </c>
      <c r="J25529" s="26">
        <v>7.9500000000000001E-2</v>
      </c>
      <c r="K25529" s="26">
        <v>2.3300000000000001E-2</v>
      </c>
      <c r="L25529" s="26">
        <v>3.6299999999999999E-2</v>
      </c>
      <c r="M25529" s="26">
        <v>4.1099999999999998E-2</v>
      </c>
      <c r="N25529" s="26">
        <v>4.1000000000000003E-3</v>
      </c>
      <c r="O25529" s="26">
        <v>1.6899999999999998E-2</v>
      </c>
      <c r="P25529" s="26">
        <v>5.9999999999999995E-4</v>
      </c>
      <c r="Q25529" s="26">
        <v>1.6899999999999998E-2</v>
      </c>
      <c r="R25529" s="26">
        <v>8.0000000000000002E-3</v>
      </c>
      <c r="S25529" s="26">
        <v>5.9999999999999995E-4</v>
      </c>
      <c r="V25529" s="26">
        <v>1.6899999999999998E-2</v>
      </c>
      <c r="Y25529" s="26">
        <v>2.3599999999999999E-2</v>
      </c>
      <c r="Z25529" s="26">
        <v>2.4799999999999999E-2</v>
      </c>
      <c r="AA25529">
        <v>130</v>
      </c>
    </row>
    <row r="25530" spans="1:27" x14ac:dyDescent="0.35">
      <c r="A25530" t="s">
        <v>229</v>
      </c>
      <c r="B25530" t="s">
        <v>1343</v>
      </c>
      <c r="C25530" t="s">
        <v>1347</v>
      </c>
      <c r="D25530" s="26">
        <v>0.56230000000000002</v>
      </c>
      <c r="E25530" s="26">
        <v>0.23369999999999999</v>
      </c>
      <c r="F25530" s="26">
        <v>6.8400000000000002E-2</v>
      </c>
      <c r="G25530" s="26">
        <v>1.9599999999999999E-2</v>
      </c>
      <c r="H25530" s="26">
        <v>6.3E-2</v>
      </c>
      <c r="I25530" s="26">
        <v>8.5999999999999993E-2</v>
      </c>
      <c r="J25530" s="26">
        <v>2.9499999999999998E-2</v>
      </c>
      <c r="K25530" s="26">
        <v>5.2600000000000001E-2</v>
      </c>
      <c r="L25530" s="26">
        <v>5.3600000000000002E-2</v>
      </c>
      <c r="M25530" s="26">
        <v>3.3099999999999997E-2</v>
      </c>
      <c r="N25530" s="26">
        <v>1.04E-2</v>
      </c>
      <c r="O25530" s="26">
        <v>3.1800000000000002E-2</v>
      </c>
      <c r="P25530" s="26">
        <v>2.2700000000000001E-2</v>
      </c>
      <c r="Q25530" s="26">
        <v>5.0000000000000001E-4</v>
      </c>
      <c r="R25530" s="26">
        <v>2.87E-2</v>
      </c>
      <c r="S25530" s="26">
        <v>6.8999999999999999E-3</v>
      </c>
      <c r="T25530" s="26">
        <v>2.6100000000000002E-2</v>
      </c>
      <c r="U25530" s="26">
        <v>1.6500000000000001E-2</v>
      </c>
      <c r="W25530" s="26">
        <v>2.8400000000000002E-2</v>
      </c>
      <c r="X25530" s="26">
        <v>1.6999999999999999E-3</v>
      </c>
      <c r="Z25530" s="26">
        <v>1.6999999999999999E-3</v>
      </c>
      <c r="AA25530">
        <v>197</v>
      </c>
    </row>
    <row r="25531" spans="1:27" x14ac:dyDescent="0.35">
      <c r="A25531" s="27" t="s">
        <v>229</v>
      </c>
      <c r="B25531" s="27" t="s">
        <v>1341</v>
      </c>
      <c r="C25531" s="27" t="s">
        <v>1345</v>
      </c>
      <c r="D25531" s="28">
        <v>0.7127</v>
      </c>
      <c r="E25531" s="28">
        <v>0.26400000000000001</v>
      </c>
      <c r="F25531" s="29"/>
      <c r="G25531" s="29"/>
      <c r="H25531" s="28">
        <v>0.26400000000000001</v>
      </c>
      <c r="I25531" s="28">
        <v>1.49E-2</v>
      </c>
      <c r="J25531" s="29"/>
      <c r="K25531" s="29"/>
      <c r="L25531" s="29"/>
      <c r="M25531" s="29"/>
      <c r="N25531" s="29"/>
      <c r="O25531" s="29"/>
      <c r="P25531" s="29"/>
      <c r="Q25531" s="29"/>
      <c r="R25531" s="29"/>
      <c r="S25531" s="29"/>
      <c r="T25531" s="29"/>
      <c r="U25531" s="29"/>
      <c r="V25531" s="28">
        <v>8.3999999999999995E-3</v>
      </c>
      <c r="W25531" s="29"/>
      <c r="X25531" s="29"/>
      <c r="Y25531" s="29"/>
      <c r="Z25531" s="29"/>
      <c r="AA25531" s="29" t="s">
        <v>334</v>
      </c>
    </row>
    <row r="25532" spans="1:27" x14ac:dyDescent="0.35">
      <c r="A25532" s="27" t="s">
        <v>229</v>
      </c>
      <c r="B25532" s="27" t="s">
        <v>1343</v>
      </c>
      <c r="C25532" s="27" t="s">
        <v>1345</v>
      </c>
      <c r="D25532" s="28">
        <v>0.50719999999999998</v>
      </c>
      <c r="E25532" s="28">
        <v>0.1593</v>
      </c>
      <c r="F25532" s="28">
        <v>0.14929999999999999</v>
      </c>
      <c r="G25532" s="29"/>
      <c r="H25532" s="29"/>
      <c r="I25532" s="29"/>
      <c r="J25532" s="29"/>
      <c r="K25532" s="28">
        <v>0.17860000000000001</v>
      </c>
      <c r="L25532" s="29"/>
      <c r="M25532" s="29"/>
      <c r="N25532" s="29"/>
      <c r="O25532" s="29"/>
      <c r="P25532" s="29"/>
      <c r="Q25532" s="28">
        <v>0.17860000000000001</v>
      </c>
      <c r="R25532" s="29"/>
      <c r="S25532" s="29"/>
      <c r="T25532" s="29"/>
      <c r="U25532" s="29"/>
      <c r="V25532" s="29"/>
      <c r="W25532" s="28">
        <v>1.01E-2</v>
      </c>
      <c r="X25532" s="29"/>
      <c r="Y25532" s="28">
        <v>5.7000000000000002E-3</v>
      </c>
      <c r="Z25532" s="29"/>
      <c r="AA25532" s="29" t="s">
        <v>343</v>
      </c>
    </row>
    <row r="25533" spans="1:27" x14ac:dyDescent="0.35">
      <c r="A25533" t="s">
        <v>229</v>
      </c>
      <c r="B25533" t="s">
        <v>1341</v>
      </c>
      <c r="C25533" t="s">
        <v>1348</v>
      </c>
      <c r="D25533" s="26">
        <v>0.49130000000000001</v>
      </c>
      <c r="E25533" s="26">
        <v>0.27310000000000001</v>
      </c>
      <c r="F25533" s="26">
        <v>0.13930000000000001</v>
      </c>
      <c r="G25533" s="26">
        <v>2.6100000000000002E-2</v>
      </c>
      <c r="H25533" s="26">
        <v>0.1101</v>
      </c>
      <c r="I25533" s="26">
        <v>6.7000000000000004E-2</v>
      </c>
      <c r="J25533" s="26">
        <v>3.9199999999999999E-2</v>
      </c>
      <c r="L25533" s="26">
        <v>2.2000000000000001E-3</v>
      </c>
      <c r="M25533" s="26">
        <v>1.7500000000000002E-2</v>
      </c>
      <c r="N25533" s="26">
        <v>1.6400000000000001E-2</v>
      </c>
      <c r="O25533" s="26">
        <v>1.6400000000000001E-2</v>
      </c>
      <c r="P25533" s="26">
        <v>2.0899999999999998E-2</v>
      </c>
      <c r="Q25533" s="26">
        <v>3.3399999999999999E-2</v>
      </c>
      <c r="T25533" s="26">
        <v>2.2000000000000001E-3</v>
      </c>
      <c r="U25533" s="26">
        <v>4.9099999999999998E-2</v>
      </c>
      <c r="V25533" s="26">
        <v>1.9599999999999999E-2</v>
      </c>
      <c r="W25533" s="26">
        <v>2.2000000000000001E-3</v>
      </c>
      <c r="X25533" s="26">
        <v>3.9199999999999999E-2</v>
      </c>
      <c r="Y25533" s="26">
        <v>1.8499999999999999E-2</v>
      </c>
      <c r="AA25533">
        <v>106</v>
      </c>
    </row>
    <row r="25534" spans="1:27" x14ac:dyDescent="0.35">
      <c r="A25534" t="s">
        <v>230</v>
      </c>
      <c r="B25534" t="s">
        <v>1343</v>
      </c>
      <c r="C25534" t="s">
        <v>1346</v>
      </c>
      <c r="D25534" s="26">
        <v>0.23</v>
      </c>
      <c r="E25534" s="26">
        <v>0.52780000000000005</v>
      </c>
      <c r="F25534" s="26">
        <v>0.12970000000000001</v>
      </c>
      <c r="G25534" s="26">
        <v>0.16159999999999999</v>
      </c>
      <c r="H25534" s="26">
        <v>8.1500000000000003E-2</v>
      </c>
      <c r="I25534" s="26">
        <v>7.2700000000000001E-2</v>
      </c>
      <c r="J25534" s="26">
        <v>7.9299999999999995E-2</v>
      </c>
      <c r="K25534" s="26">
        <v>0.10050000000000001</v>
      </c>
      <c r="L25534" s="26">
        <v>2.2700000000000001E-2</v>
      </c>
      <c r="M25534" s="26">
        <v>0.18820000000000001</v>
      </c>
      <c r="N25534" s="26">
        <v>0.12230000000000001</v>
      </c>
      <c r="O25534" s="26">
        <v>4.7800000000000002E-2</v>
      </c>
      <c r="P25534" s="26">
        <v>1.15E-2</v>
      </c>
      <c r="Q25534" s="26">
        <v>7.4999999999999997E-3</v>
      </c>
      <c r="R25534" s="26">
        <v>1.3299999999999999E-2</v>
      </c>
      <c r="S25534" s="26">
        <v>1.8E-3</v>
      </c>
      <c r="T25534" s="26">
        <v>1.15E-2</v>
      </c>
      <c r="U25534" s="26">
        <v>7.7000000000000002E-3</v>
      </c>
      <c r="V25534" s="26">
        <v>7.7000000000000002E-3</v>
      </c>
      <c r="AA25534">
        <v>110</v>
      </c>
    </row>
    <row r="25535" spans="1:27" x14ac:dyDescent="0.35">
      <c r="A25535" t="s">
        <v>230</v>
      </c>
      <c r="B25535" t="s">
        <v>1343</v>
      </c>
      <c r="C25535" t="s">
        <v>1348</v>
      </c>
      <c r="D25535" s="26">
        <v>0.43930000000000002</v>
      </c>
      <c r="E25535" s="26">
        <v>0.33139999999999997</v>
      </c>
      <c r="F25535" s="26">
        <v>0.1033</v>
      </c>
      <c r="G25535" s="26">
        <v>7.4200000000000002E-2</v>
      </c>
      <c r="H25535" s="26">
        <v>0.1114</v>
      </c>
      <c r="I25535" s="26">
        <v>5.4300000000000001E-2</v>
      </c>
      <c r="J25535" s="26">
        <v>6.7299999999999999E-2</v>
      </c>
      <c r="K25535" s="26">
        <v>4.7899999999999998E-2</v>
      </c>
      <c r="L25535" s="26">
        <v>4.0399999999999998E-2</v>
      </c>
      <c r="M25535" s="26">
        <v>3.27E-2</v>
      </c>
      <c r="N25535" s="26">
        <v>4.2299999999999997E-2</v>
      </c>
      <c r="O25535" s="26">
        <v>3.4299999999999997E-2</v>
      </c>
      <c r="P25535" s="26">
        <v>5.2400000000000002E-2</v>
      </c>
      <c r="Q25535" s="26">
        <v>1.2999999999999999E-2</v>
      </c>
      <c r="R25535" s="26">
        <v>2.1600000000000001E-2</v>
      </c>
      <c r="S25535" s="26">
        <v>1.8100000000000002E-2</v>
      </c>
      <c r="T25535" s="26">
        <v>2.3900000000000001E-2</v>
      </c>
      <c r="U25535" s="26">
        <v>3.3999999999999998E-3</v>
      </c>
      <c r="V25535" s="26">
        <v>2.5999999999999999E-3</v>
      </c>
      <c r="W25535" s="26">
        <v>4.1000000000000003E-3</v>
      </c>
      <c r="X25535" s="26">
        <v>1.6299999999999999E-2</v>
      </c>
      <c r="Y25535" s="26">
        <v>3.3999999999999998E-3</v>
      </c>
      <c r="AA25535">
        <v>183</v>
      </c>
    </row>
    <row r="25536" spans="1:27" x14ac:dyDescent="0.35">
      <c r="A25536" s="27" t="s">
        <v>230</v>
      </c>
      <c r="B25536" s="27" t="s">
        <v>1341</v>
      </c>
      <c r="C25536" s="27" t="s">
        <v>1345</v>
      </c>
      <c r="D25536" s="28">
        <v>0.57150000000000001</v>
      </c>
      <c r="E25536" s="29"/>
      <c r="F25536" s="29"/>
      <c r="G25536" s="29"/>
      <c r="H25536" s="29"/>
      <c r="I25536" s="29"/>
      <c r="J25536" s="29"/>
      <c r="K25536" s="28">
        <v>0.42849999999999999</v>
      </c>
      <c r="L25536" s="29"/>
      <c r="M25536" s="29"/>
      <c r="N25536" s="29"/>
      <c r="O25536" s="29"/>
      <c r="P25536" s="28">
        <v>0.42849999999999999</v>
      </c>
      <c r="Q25536" s="29"/>
      <c r="R25536" s="29"/>
      <c r="S25536" s="29"/>
      <c r="T25536" s="29"/>
      <c r="U25536" s="29"/>
      <c r="V25536" s="29"/>
      <c r="W25536" s="29"/>
      <c r="X25536" s="29"/>
      <c r="Y25536" s="29"/>
      <c r="Z25536" s="29"/>
      <c r="AA25536" s="29" t="s">
        <v>337</v>
      </c>
    </row>
    <row r="25537" spans="1:27" x14ac:dyDescent="0.35">
      <c r="A25537" t="s">
        <v>230</v>
      </c>
      <c r="B25537" t="s">
        <v>1343</v>
      </c>
      <c r="C25537" t="s">
        <v>1347</v>
      </c>
      <c r="D25537" s="26">
        <v>0.46210000000000001</v>
      </c>
      <c r="E25537" s="26">
        <v>0.40450000000000003</v>
      </c>
      <c r="F25537" s="26">
        <v>0.17799999999999999</v>
      </c>
      <c r="G25537" s="26">
        <v>7.1199999999999999E-2</v>
      </c>
      <c r="H25537" s="26">
        <v>3.6900000000000002E-2</v>
      </c>
      <c r="I25537" s="26">
        <v>8.6900000000000005E-2</v>
      </c>
      <c r="J25537" s="26">
        <v>7.0999999999999994E-2</v>
      </c>
      <c r="K25537" s="26">
        <v>3.5499999999999997E-2</v>
      </c>
      <c r="L25537" s="26">
        <v>1.12E-2</v>
      </c>
      <c r="M25537" s="26">
        <v>5.0299999999999997E-2</v>
      </c>
      <c r="N25537" s="26">
        <v>3.0000000000000001E-3</v>
      </c>
      <c r="O25537" s="26">
        <v>8.8900000000000007E-2</v>
      </c>
      <c r="P25537" s="26">
        <v>3.6900000000000002E-2</v>
      </c>
      <c r="Q25537" s="26">
        <v>4.19E-2</v>
      </c>
      <c r="R25537" s="26">
        <v>4.8999999999999998E-3</v>
      </c>
      <c r="T25537" s="26">
        <v>4.8300000000000003E-2</v>
      </c>
      <c r="U25537" s="26">
        <v>4.7999999999999996E-3</v>
      </c>
      <c r="W25537" s="26">
        <v>3.0700000000000002E-2</v>
      </c>
      <c r="Y25537" s="26">
        <v>9.7000000000000003E-3</v>
      </c>
      <c r="AA25537">
        <v>106</v>
      </c>
    </row>
    <row r="25538" spans="1:27" x14ac:dyDescent="0.35">
      <c r="A25538" t="s">
        <v>230</v>
      </c>
      <c r="B25538" t="s">
        <v>1341</v>
      </c>
      <c r="C25538" t="s">
        <v>1348</v>
      </c>
      <c r="D25538" s="26">
        <v>0.58220000000000005</v>
      </c>
      <c r="E25538" s="26">
        <v>0.28560000000000002</v>
      </c>
      <c r="F25538" s="26">
        <v>4.9799999999999997E-2</v>
      </c>
      <c r="G25538" s="26">
        <v>5.6899999999999999E-2</v>
      </c>
      <c r="H25538" s="26">
        <v>7.2599999999999998E-2</v>
      </c>
      <c r="I25538" s="26">
        <v>0.1128</v>
      </c>
      <c r="J25538" s="26">
        <v>6.7999999999999996E-3</v>
      </c>
      <c r="K25538" s="26">
        <v>2.0999999999999999E-3</v>
      </c>
      <c r="L25538" s="26">
        <v>1.09E-2</v>
      </c>
      <c r="M25538" s="26">
        <v>1.5699999999999999E-2</v>
      </c>
      <c r="N25538" s="26">
        <v>8.8000000000000005E-3</v>
      </c>
      <c r="O25538" s="26">
        <v>1.11E-2</v>
      </c>
      <c r="P25538" s="26">
        <v>6.1999999999999998E-3</v>
      </c>
      <c r="Q25538" s="26">
        <v>1.7999999999999999E-2</v>
      </c>
      <c r="T25538" s="26">
        <v>6.8999999999999999E-3</v>
      </c>
      <c r="U25538" s="26">
        <v>6.8999999999999999E-3</v>
      </c>
      <c r="W25538" s="26">
        <v>4.1999999999999997E-3</v>
      </c>
      <c r="X25538" s="26">
        <v>4.3099999999999999E-2</v>
      </c>
      <c r="AA25538">
        <v>73</v>
      </c>
    </row>
    <row r="25539" spans="1:27" x14ac:dyDescent="0.35">
      <c r="A25539" t="s">
        <v>230</v>
      </c>
      <c r="B25539" t="s">
        <v>1341</v>
      </c>
      <c r="C25539" t="s">
        <v>1347</v>
      </c>
      <c r="D25539" s="26">
        <v>0.49659999999999999</v>
      </c>
      <c r="E25539" s="26">
        <v>0.2944</v>
      </c>
      <c r="F25539" s="26">
        <v>9.5999999999999992E-3</v>
      </c>
      <c r="H25539" s="26">
        <v>6.0100000000000001E-2</v>
      </c>
      <c r="I25539" s="26">
        <v>5.2600000000000001E-2</v>
      </c>
      <c r="J25539" s="26">
        <v>1.9300000000000001E-2</v>
      </c>
      <c r="K25539" s="26">
        <v>6.6600000000000006E-2</v>
      </c>
      <c r="L25539" s="26">
        <v>9.4000000000000004E-3</v>
      </c>
      <c r="O25539" s="26">
        <v>8.5699999999999998E-2</v>
      </c>
      <c r="P25539" s="26">
        <v>6.9699999999999998E-2</v>
      </c>
      <c r="Q25539" s="26">
        <v>2.8299999999999999E-2</v>
      </c>
      <c r="Y25539" s="26">
        <v>5.7200000000000001E-2</v>
      </c>
      <c r="AA25539">
        <v>47</v>
      </c>
    </row>
    <row r="25540" spans="1:27" x14ac:dyDescent="0.35">
      <c r="A25540" s="27" t="s">
        <v>230</v>
      </c>
      <c r="B25540" s="27" t="s">
        <v>1343</v>
      </c>
      <c r="C25540" s="27" t="s">
        <v>1345</v>
      </c>
      <c r="D25540" s="28">
        <v>0.27760000000000001</v>
      </c>
      <c r="E25540" s="29"/>
      <c r="F25540" s="29"/>
      <c r="G25540" s="29"/>
      <c r="H25540" s="29"/>
      <c r="I25540" s="29"/>
      <c r="J25540" s="29"/>
      <c r="K25540" s="29"/>
      <c r="L25540" s="29"/>
      <c r="M25540" s="29"/>
      <c r="N25540" s="29"/>
      <c r="O25540" s="29"/>
      <c r="P25540" s="29"/>
      <c r="Q25540" s="29"/>
      <c r="R25540" s="29"/>
      <c r="S25540" s="29"/>
      <c r="T25540" s="29"/>
      <c r="U25540" s="29"/>
      <c r="V25540" s="29"/>
      <c r="W25540" s="28">
        <v>0.72240000000000004</v>
      </c>
      <c r="X25540" s="29"/>
      <c r="Y25540" s="29"/>
      <c r="Z25540" s="29"/>
      <c r="AA25540" s="29" t="s">
        <v>337</v>
      </c>
    </row>
    <row r="25541" spans="1:27" x14ac:dyDescent="0.35">
      <c r="A25541" s="27" t="s">
        <v>230</v>
      </c>
      <c r="B25541" s="27" t="s">
        <v>1341</v>
      </c>
      <c r="C25541" s="27" t="s">
        <v>1346</v>
      </c>
      <c r="D25541" s="28">
        <v>0.4672</v>
      </c>
      <c r="E25541" s="28">
        <v>0.1731</v>
      </c>
      <c r="F25541" s="28">
        <v>0.2051</v>
      </c>
      <c r="G25541" s="28">
        <v>2.0299999999999999E-2</v>
      </c>
      <c r="H25541" s="28">
        <v>0.1082</v>
      </c>
      <c r="I25541" s="28">
        <v>0.1172</v>
      </c>
      <c r="J25541" s="29"/>
      <c r="K25541" s="28">
        <v>0.216</v>
      </c>
      <c r="L25541" s="28">
        <v>1.5299999999999999E-2</v>
      </c>
      <c r="M25541" s="29"/>
      <c r="N25541" s="28">
        <v>0.1082</v>
      </c>
      <c r="O25541" s="28">
        <v>4.65E-2</v>
      </c>
      <c r="P25541" s="29"/>
      <c r="Q25541" s="29"/>
      <c r="R25541" s="29"/>
      <c r="S25541" s="29"/>
      <c r="T25541" s="29"/>
      <c r="U25541" s="29"/>
      <c r="V25541" s="29"/>
      <c r="W25541" s="29"/>
      <c r="X25541" s="29"/>
      <c r="Y25541" s="28">
        <v>4.7000000000000002E-3</v>
      </c>
      <c r="Z25541" s="29"/>
      <c r="AA25541" s="29" t="s">
        <v>329</v>
      </c>
    </row>
    <row r="25542" spans="1:27" x14ac:dyDescent="0.35">
      <c r="A25542" t="s">
        <v>231</v>
      </c>
      <c r="B25542" t="s">
        <v>1343</v>
      </c>
      <c r="C25542" t="s">
        <v>1348</v>
      </c>
      <c r="D25542" s="26">
        <v>0.46939999999999998</v>
      </c>
      <c r="E25542" s="26">
        <v>0.38779999999999998</v>
      </c>
      <c r="F25542" s="26">
        <v>8.1600000000000006E-2</v>
      </c>
      <c r="G25542" s="26">
        <v>0.10199999999999999</v>
      </c>
      <c r="H25542" s="26">
        <v>4.0800000000000003E-2</v>
      </c>
      <c r="I25542" s="26">
        <v>4.0800000000000003E-2</v>
      </c>
      <c r="J25542" s="26">
        <v>8.1600000000000006E-2</v>
      </c>
      <c r="K25542" s="26">
        <v>2.0400000000000001E-2</v>
      </c>
      <c r="L25542" s="26">
        <v>6.1199999999999997E-2</v>
      </c>
      <c r="M25542" s="26">
        <v>2.0400000000000001E-2</v>
      </c>
      <c r="N25542" s="26">
        <v>2.0400000000000001E-2</v>
      </c>
      <c r="R25542" s="26">
        <v>4.0800000000000003E-2</v>
      </c>
      <c r="S25542" s="26">
        <v>2.0400000000000001E-2</v>
      </c>
      <c r="W25542" s="26">
        <v>2.0400000000000001E-2</v>
      </c>
      <c r="AA25542">
        <v>49</v>
      </c>
    </row>
    <row r="25543" spans="1:27" x14ac:dyDescent="0.35">
      <c r="A25543" s="27" t="s">
        <v>231</v>
      </c>
      <c r="B25543" s="27" t="s">
        <v>1343</v>
      </c>
      <c r="C25543" s="27" t="s">
        <v>1345</v>
      </c>
      <c r="D25543" s="28">
        <v>0.33329999999999999</v>
      </c>
      <c r="E25543" s="28">
        <v>0.33329999999999999</v>
      </c>
      <c r="F25543" s="29"/>
      <c r="G25543" s="29"/>
      <c r="H25543" s="29"/>
      <c r="I25543" s="28">
        <v>0.33329999999999999</v>
      </c>
      <c r="J25543" s="29"/>
      <c r="K25543" s="29"/>
      <c r="L25543" s="29"/>
      <c r="M25543" s="29"/>
      <c r="N25543" s="29"/>
      <c r="O25543" s="29"/>
      <c r="P25543" s="29"/>
      <c r="Q25543" s="29"/>
      <c r="R25543" s="29"/>
      <c r="S25543" s="29"/>
      <c r="T25543" s="29"/>
      <c r="U25543" s="29"/>
      <c r="V25543" s="28">
        <v>0.33329999999999999</v>
      </c>
      <c r="W25543" s="29"/>
      <c r="X25543" s="29"/>
      <c r="Y25543" s="29"/>
      <c r="Z25543" s="29"/>
      <c r="AA25543" s="29" t="s">
        <v>315</v>
      </c>
    </row>
    <row r="25544" spans="1:27" x14ac:dyDescent="0.35">
      <c r="A25544" t="s">
        <v>231</v>
      </c>
      <c r="B25544" t="s">
        <v>1341</v>
      </c>
      <c r="C25544" t="s">
        <v>1348</v>
      </c>
      <c r="D25544" s="26">
        <v>0.67649999999999999</v>
      </c>
      <c r="E25544" s="26">
        <v>0.17649999999999999</v>
      </c>
      <c r="F25544" s="26">
        <v>5.8799999999999998E-2</v>
      </c>
      <c r="G25544" s="26">
        <v>2.9399999999999999E-2</v>
      </c>
      <c r="H25544" s="26">
        <v>2.9399999999999999E-2</v>
      </c>
      <c r="I25544" s="26">
        <v>2.9399999999999999E-2</v>
      </c>
      <c r="O25544" s="26">
        <v>2.9399999999999999E-2</v>
      </c>
      <c r="P25544" s="26">
        <v>2.9399999999999999E-2</v>
      </c>
      <c r="Q25544" s="26">
        <v>2.9399999999999999E-2</v>
      </c>
      <c r="AA25544">
        <v>34</v>
      </c>
    </row>
    <row r="25545" spans="1:27" x14ac:dyDescent="0.35">
      <c r="A25545" s="27" t="s">
        <v>231</v>
      </c>
      <c r="B25545" s="27" t="s">
        <v>1341</v>
      </c>
      <c r="C25545" s="27" t="s">
        <v>1345</v>
      </c>
      <c r="D25545" s="28">
        <v>1</v>
      </c>
      <c r="E25545" s="29"/>
      <c r="F25545" s="29"/>
      <c r="G25545" s="29"/>
      <c r="H25545" s="29"/>
      <c r="I25545" s="29"/>
      <c r="J25545" s="29"/>
      <c r="K25545" s="29"/>
      <c r="L25545" s="29"/>
      <c r="M25545" s="29"/>
      <c r="N25545" s="29"/>
      <c r="O25545" s="29"/>
      <c r="P25545" s="29"/>
      <c r="Q25545" s="29"/>
      <c r="R25545" s="29"/>
      <c r="S25545" s="29"/>
      <c r="T25545" s="29"/>
      <c r="U25545" s="29"/>
      <c r="V25545" s="29"/>
      <c r="W25545" s="29"/>
      <c r="X25545" s="29"/>
      <c r="Y25545" s="29"/>
      <c r="Z25545" s="29"/>
      <c r="AA25545" s="29" t="s">
        <v>331</v>
      </c>
    </row>
    <row r="25546" spans="1:27" x14ac:dyDescent="0.35">
      <c r="A25546" s="27" t="s">
        <v>231</v>
      </c>
      <c r="B25546" s="27" t="s">
        <v>1343</v>
      </c>
      <c r="C25546" s="27" t="s">
        <v>1346</v>
      </c>
      <c r="D25546" s="28">
        <v>0.42309999999999998</v>
      </c>
      <c r="E25546" s="28">
        <v>0.46150000000000002</v>
      </c>
      <c r="F25546" s="29"/>
      <c r="G25546" s="29"/>
      <c r="H25546" s="29"/>
      <c r="I25546" s="29"/>
      <c r="J25546" s="28">
        <v>3.85E-2</v>
      </c>
      <c r="K25546" s="29"/>
      <c r="L25546" s="29"/>
      <c r="M25546" s="28">
        <v>3.85E-2</v>
      </c>
      <c r="N25546" s="28">
        <v>7.6899999999999996E-2</v>
      </c>
      <c r="O25546" s="29"/>
      <c r="P25546" s="29"/>
      <c r="Q25546" s="29"/>
      <c r="R25546" s="29"/>
      <c r="S25546" s="28">
        <v>3.85E-2</v>
      </c>
      <c r="T25546" s="29"/>
      <c r="U25546" s="29"/>
      <c r="V25546" s="29"/>
      <c r="W25546" s="29"/>
      <c r="X25546" s="28">
        <v>3.85E-2</v>
      </c>
      <c r="Y25546" s="29"/>
      <c r="Z25546" s="29"/>
      <c r="AA25546" s="29" t="s">
        <v>357</v>
      </c>
    </row>
    <row r="25547" spans="1:27" x14ac:dyDescent="0.35">
      <c r="A25547" s="27" t="s">
        <v>231</v>
      </c>
      <c r="B25547" s="27" t="s">
        <v>1341</v>
      </c>
      <c r="C25547" s="27" t="s">
        <v>1346</v>
      </c>
      <c r="D25547" s="28">
        <v>0.78569999999999995</v>
      </c>
      <c r="E25547" s="28">
        <v>7.1400000000000005E-2</v>
      </c>
      <c r="F25547" s="29"/>
      <c r="G25547" s="29"/>
      <c r="H25547" s="29"/>
      <c r="I25547" s="29"/>
      <c r="J25547" s="29"/>
      <c r="K25547" s="28">
        <v>7.1400000000000005E-2</v>
      </c>
      <c r="L25547" s="29"/>
      <c r="M25547" s="29"/>
      <c r="N25547" s="28">
        <v>7.1400000000000005E-2</v>
      </c>
      <c r="O25547" s="29"/>
      <c r="P25547" s="29"/>
      <c r="Q25547" s="29"/>
      <c r="R25547" s="29"/>
      <c r="S25547" s="28">
        <v>7.1400000000000005E-2</v>
      </c>
      <c r="T25547" s="29"/>
      <c r="U25547" s="29"/>
      <c r="V25547" s="29"/>
      <c r="W25547" s="29"/>
      <c r="X25547" s="29"/>
      <c r="Y25547" s="29"/>
      <c r="Z25547" s="29"/>
      <c r="AA25547" s="29" t="s">
        <v>379</v>
      </c>
    </row>
    <row r="25548" spans="1:27" x14ac:dyDescent="0.35">
      <c r="A25548" s="27" t="s">
        <v>231</v>
      </c>
      <c r="B25548" s="27" t="s">
        <v>1341</v>
      </c>
      <c r="C25548" s="27" t="s">
        <v>1347</v>
      </c>
      <c r="D25548" s="28">
        <v>0.57140000000000002</v>
      </c>
      <c r="E25548" s="28">
        <v>0.28570000000000001</v>
      </c>
      <c r="F25548" s="28">
        <v>7.1400000000000005E-2</v>
      </c>
      <c r="G25548" s="28">
        <v>7.1400000000000005E-2</v>
      </c>
      <c r="H25548" s="29"/>
      <c r="I25548" s="29"/>
      <c r="J25548" s="29"/>
      <c r="K25548" s="29"/>
      <c r="L25548" s="29"/>
      <c r="M25548" s="29"/>
      <c r="N25548" s="29"/>
      <c r="O25548" s="29"/>
      <c r="P25548" s="28">
        <v>7.1400000000000005E-2</v>
      </c>
      <c r="Q25548" s="29"/>
      <c r="R25548" s="29"/>
      <c r="S25548" s="29"/>
      <c r="T25548" s="29"/>
      <c r="U25548" s="29"/>
      <c r="V25548" s="28">
        <v>7.1400000000000005E-2</v>
      </c>
      <c r="W25548" s="29"/>
      <c r="X25548" s="29"/>
      <c r="Y25548" s="29"/>
      <c r="Z25548" s="29"/>
      <c r="AA25548" s="29" t="s">
        <v>379</v>
      </c>
    </row>
    <row r="25549" spans="1:27" x14ac:dyDescent="0.35">
      <c r="A25549" s="27" t="s">
        <v>231</v>
      </c>
      <c r="B25549" s="27" t="s">
        <v>1343</v>
      </c>
      <c r="C25549" s="27" t="s">
        <v>1347</v>
      </c>
      <c r="D25549" s="28">
        <v>0.5</v>
      </c>
      <c r="E25549" s="28">
        <v>0.2</v>
      </c>
      <c r="F25549" s="29"/>
      <c r="G25549" s="28">
        <v>0.05</v>
      </c>
      <c r="H25549" s="28">
        <v>0.05</v>
      </c>
      <c r="I25549" s="29"/>
      <c r="J25549" s="28">
        <v>0.05</v>
      </c>
      <c r="K25549" s="28">
        <v>0.1</v>
      </c>
      <c r="L25549" s="28">
        <v>0.05</v>
      </c>
      <c r="M25549" s="28">
        <v>0.05</v>
      </c>
      <c r="N25549" s="28">
        <v>0.1</v>
      </c>
      <c r="O25549" s="29"/>
      <c r="P25549" s="29"/>
      <c r="Q25549" s="29"/>
      <c r="R25549" s="29"/>
      <c r="S25549" s="29"/>
      <c r="T25549" s="29"/>
      <c r="U25549" s="29"/>
      <c r="V25549" s="28">
        <v>0.05</v>
      </c>
      <c r="W25549" s="29"/>
      <c r="X25549" s="29"/>
      <c r="Y25549" s="29"/>
      <c r="Z25549" s="29"/>
      <c r="AA25549" s="29" t="s">
        <v>350</v>
      </c>
    </row>
    <row r="25550" spans="1:27" x14ac:dyDescent="0.35">
      <c r="A25550" t="s">
        <v>232</v>
      </c>
      <c r="B25550" t="s">
        <v>232</v>
      </c>
      <c r="C25550" t="s">
        <v>232</v>
      </c>
      <c r="D25550" s="26">
        <v>0.50360000000000005</v>
      </c>
      <c r="E25550" s="26">
        <v>0.2873</v>
      </c>
      <c r="F25550" s="26">
        <v>7.9000000000000001E-2</v>
      </c>
      <c r="G25550" s="26">
        <v>5.91E-2</v>
      </c>
      <c r="H25550" s="26">
        <v>5.8900000000000001E-2</v>
      </c>
      <c r="I25550" s="26">
        <v>5.3600000000000002E-2</v>
      </c>
      <c r="J25550" s="26">
        <v>4.2000000000000003E-2</v>
      </c>
      <c r="K25550" s="26">
        <v>3.5000000000000003E-2</v>
      </c>
      <c r="L25550" s="26">
        <v>3.1899999999999998E-2</v>
      </c>
      <c r="M25550" s="26">
        <v>2.9499999999999998E-2</v>
      </c>
      <c r="N25550" s="26">
        <v>2.7199999999999998E-2</v>
      </c>
      <c r="O25550" s="26">
        <v>2.2800000000000001E-2</v>
      </c>
      <c r="P25550" s="26">
        <v>2.1100000000000001E-2</v>
      </c>
      <c r="Q25550" s="26">
        <v>1.8100000000000002E-2</v>
      </c>
      <c r="R25550" s="26">
        <v>1.0500000000000001E-2</v>
      </c>
      <c r="S25550" s="26">
        <v>0.01</v>
      </c>
      <c r="T25550" s="26">
        <v>9.4000000000000004E-3</v>
      </c>
      <c r="U25550" s="26">
        <v>9.2999999999999992E-3</v>
      </c>
      <c r="V25550" s="26">
        <v>8.6E-3</v>
      </c>
      <c r="W25550" s="26">
        <v>7.7999999999999996E-3</v>
      </c>
      <c r="X25550" s="26">
        <v>6.0000000000000001E-3</v>
      </c>
      <c r="Y25550" s="26">
        <v>5.3E-3</v>
      </c>
      <c r="Z25550" s="26">
        <v>2.0999999999999999E-3</v>
      </c>
      <c r="AA25550">
        <v>2792</v>
      </c>
    </row>
    <row r="25552" spans="1:27" x14ac:dyDescent="0.35">
      <c r="A25552" s="1" t="s">
        <v>2314</v>
      </c>
    </row>
    <row r="25553" spans="1:25" x14ac:dyDescent="0.35">
      <c r="A25553" t="s">
        <v>219</v>
      </c>
      <c r="B25553" t="s">
        <v>2315</v>
      </c>
      <c r="C25553" t="s">
        <v>2316</v>
      </c>
      <c r="D25553" t="s">
        <v>2317</v>
      </c>
      <c r="E25553" t="s">
        <v>2318</v>
      </c>
      <c r="F25553" t="s">
        <v>2319</v>
      </c>
      <c r="G25553" t="s">
        <v>2320</v>
      </c>
      <c r="H25553" t="s">
        <v>2321</v>
      </c>
      <c r="I25553" t="s">
        <v>2322</v>
      </c>
      <c r="J25553" t="s">
        <v>2323</v>
      </c>
      <c r="K25553" t="s">
        <v>2324</v>
      </c>
      <c r="L25553" t="s">
        <v>2325</v>
      </c>
      <c r="M25553" t="s">
        <v>2326</v>
      </c>
      <c r="N25553" t="s">
        <v>2327</v>
      </c>
      <c r="O25553" t="s">
        <v>2328</v>
      </c>
      <c r="P25553" t="s">
        <v>2329</v>
      </c>
      <c r="Q25553" t="s">
        <v>2330</v>
      </c>
      <c r="R25553" t="s">
        <v>2331</v>
      </c>
      <c r="S25553" t="s">
        <v>2332</v>
      </c>
      <c r="T25553" t="s">
        <v>326</v>
      </c>
      <c r="U25553" t="s">
        <v>2333</v>
      </c>
      <c r="V25553" t="s">
        <v>2334</v>
      </c>
      <c r="W25553" t="s">
        <v>2335</v>
      </c>
      <c r="X25553" t="s">
        <v>226</v>
      </c>
    </row>
    <row r="25554" spans="1:25" x14ac:dyDescent="0.35">
      <c r="A25554" t="s">
        <v>227</v>
      </c>
      <c r="B25554" s="26">
        <v>0.53659999999999997</v>
      </c>
      <c r="C25554" s="26">
        <v>0.24390000000000001</v>
      </c>
      <c r="D25554" s="26">
        <v>0.23169999999999999</v>
      </c>
      <c r="E25554" s="26">
        <v>0.18290000000000001</v>
      </c>
      <c r="F25554" s="26">
        <v>7.3200000000000001E-2</v>
      </c>
      <c r="G25554" s="26">
        <v>3.6600000000000001E-2</v>
      </c>
      <c r="H25554" s="26">
        <v>4.8800000000000003E-2</v>
      </c>
      <c r="I25554" s="26">
        <v>7.3200000000000001E-2</v>
      </c>
      <c r="J25554" s="26">
        <v>1.2200000000000001E-2</v>
      </c>
      <c r="K25554" s="26">
        <v>2.4400000000000002E-2</v>
      </c>
      <c r="L25554" s="26">
        <v>4.8800000000000003E-2</v>
      </c>
      <c r="M25554" s="26">
        <v>7.3200000000000001E-2</v>
      </c>
      <c r="N25554" s="26">
        <v>3.6600000000000001E-2</v>
      </c>
      <c r="P25554" s="26">
        <v>1.2200000000000001E-2</v>
      </c>
      <c r="Q25554" s="26">
        <v>4.8800000000000003E-2</v>
      </c>
      <c r="R25554" s="26">
        <v>1.2200000000000001E-2</v>
      </c>
      <c r="S25554" s="26">
        <v>2.4400000000000002E-2</v>
      </c>
      <c r="T25554" s="26">
        <v>1.2200000000000001E-2</v>
      </c>
      <c r="U25554" s="26">
        <v>1.2200000000000001E-2</v>
      </c>
      <c r="W25554" s="26">
        <v>1.2200000000000001E-2</v>
      </c>
      <c r="X25554">
        <v>82</v>
      </c>
    </row>
    <row r="25555" spans="1:25" x14ac:dyDescent="0.35">
      <c r="A25555" t="s">
        <v>228</v>
      </c>
      <c r="B25555" s="26">
        <v>0.62429999999999997</v>
      </c>
      <c r="C25555" s="26">
        <v>0.25069999999999998</v>
      </c>
      <c r="D25555" s="26">
        <v>0.25259999999999999</v>
      </c>
      <c r="E25555" s="26">
        <v>0.1081</v>
      </c>
      <c r="F25555" s="26">
        <v>7.5499999999999998E-2</v>
      </c>
      <c r="G25555" s="26">
        <v>5.8299999999999998E-2</v>
      </c>
      <c r="H25555" s="26">
        <v>7.1400000000000005E-2</v>
      </c>
      <c r="I25555" s="26">
        <v>6.0400000000000002E-2</v>
      </c>
      <c r="J25555" s="26">
        <v>4.2999999999999997E-2</v>
      </c>
      <c r="K25555" s="26">
        <v>6.4600000000000005E-2</v>
      </c>
      <c r="L25555" s="26">
        <v>3.4599999999999999E-2</v>
      </c>
      <c r="M25555" s="26">
        <v>1.21E-2</v>
      </c>
      <c r="N25555" s="26">
        <v>2.5700000000000001E-2</v>
      </c>
      <c r="O25555" s="26">
        <v>5.7099999999999998E-2</v>
      </c>
      <c r="P25555" s="26">
        <v>2.0299999999999999E-2</v>
      </c>
      <c r="Q25555" s="26">
        <v>2.3900000000000001E-2</v>
      </c>
      <c r="R25555" s="26">
        <v>2.29E-2</v>
      </c>
      <c r="S25555" s="26">
        <v>3.6999999999999998E-2</v>
      </c>
      <c r="T25555" s="26">
        <v>9.9000000000000008E-3</v>
      </c>
      <c r="U25555" s="26">
        <v>3.5999999999999999E-3</v>
      </c>
      <c r="V25555" s="26">
        <v>3.8999999999999998E-3</v>
      </c>
      <c r="W25555" s="26">
        <v>1.4800000000000001E-2</v>
      </c>
      <c r="X25555">
        <v>620</v>
      </c>
    </row>
    <row r="25556" spans="1:25" x14ac:dyDescent="0.35">
      <c r="A25556" t="s">
        <v>229</v>
      </c>
      <c r="B25556" s="26">
        <v>0.52439999999999998</v>
      </c>
      <c r="C25556" s="26">
        <v>0.19650000000000001</v>
      </c>
      <c r="D25556" s="26">
        <v>0.26179999999999998</v>
      </c>
      <c r="E25556" s="26">
        <v>0.21809999999999999</v>
      </c>
      <c r="F25556" s="26">
        <v>5.7700000000000001E-2</v>
      </c>
      <c r="G25556" s="26">
        <v>1.7999999999999999E-2</v>
      </c>
      <c r="H25556" s="26">
        <v>4.2500000000000003E-2</v>
      </c>
      <c r="I25556" s="26">
        <v>4.3999999999999997E-2</v>
      </c>
      <c r="J25556" s="26">
        <v>4.1300000000000003E-2</v>
      </c>
      <c r="K25556" s="26">
        <v>3.6999999999999998E-2</v>
      </c>
      <c r="L25556" s="26">
        <v>3.4700000000000002E-2</v>
      </c>
      <c r="M25556" s="26">
        <v>2.9700000000000001E-2</v>
      </c>
      <c r="N25556" s="26">
        <v>3.85E-2</v>
      </c>
      <c r="O25556" s="26">
        <v>2.18E-2</v>
      </c>
      <c r="P25556" s="26">
        <v>1.41E-2</v>
      </c>
      <c r="Q25556" s="26">
        <v>6.4999999999999997E-3</v>
      </c>
      <c r="R25556" s="26">
        <v>3.0599999999999999E-2</v>
      </c>
      <c r="T25556" s="26">
        <v>1.0800000000000001E-2</v>
      </c>
      <c r="U25556" s="26">
        <v>6.7000000000000002E-3</v>
      </c>
      <c r="V25556" s="26">
        <v>1.15E-2</v>
      </c>
      <c r="X25556">
        <v>405</v>
      </c>
    </row>
    <row r="25557" spans="1:25" x14ac:dyDescent="0.35">
      <c r="A25557" t="s">
        <v>230</v>
      </c>
      <c r="B25557" s="26">
        <v>0.61929999999999996</v>
      </c>
      <c r="C25557" s="26">
        <v>0.33189999999999997</v>
      </c>
      <c r="D25557" s="26">
        <v>0.28499999999999998</v>
      </c>
      <c r="E25557" s="26">
        <v>0.1056</v>
      </c>
      <c r="F25557" s="26">
        <v>8.0699999999999994E-2</v>
      </c>
      <c r="G25557" s="26">
        <v>0.15559999999999999</v>
      </c>
      <c r="H25557" s="26">
        <v>9.3200000000000005E-2</v>
      </c>
      <c r="I25557" s="26">
        <v>7.4200000000000002E-2</v>
      </c>
      <c r="J25557" s="26">
        <v>4.5699999999999998E-2</v>
      </c>
      <c r="K25557" s="26">
        <v>5.5500000000000001E-2</v>
      </c>
      <c r="L25557" s="26">
        <v>2.47E-2</v>
      </c>
      <c r="M25557" s="26">
        <v>4.3799999999999999E-2</v>
      </c>
      <c r="N25557" s="26">
        <v>3.85E-2</v>
      </c>
      <c r="O25557" s="26">
        <v>4.7899999999999998E-2</v>
      </c>
      <c r="P25557" s="26">
        <v>3.7000000000000002E-3</v>
      </c>
      <c r="Q25557" s="26">
        <v>1.17E-2</v>
      </c>
      <c r="R25557" s="26">
        <v>1.17E-2</v>
      </c>
      <c r="S25557" s="26">
        <v>2.7099999999999999E-2</v>
      </c>
      <c r="T25557" s="26">
        <v>1.01E-2</v>
      </c>
      <c r="W25557" s="26">
        <v>3.7000000000000002E-3</v>
      </c>
      <c r="X25557">
        <v>356</v>
      </c>
    </row>
    <row r="25558" spans="1:25" x14ac:dyDescent="0.35">
      <c r="A25558" t="s">
        <v>231</v>
      </c>
      <c r="B25558" s="26">
        <v>0.55410000000000004</v>
      </c>
      <c r="C25558" s="26">
        <v>0.29730000000000001</v>
      </c>
      <c r="D25558" s="26">
        <v>0.20269999999999999</v>
      </c>
      <c r="E25558" s="26">
        <v>0.1757</v>
      </c>
      <c r="F25558" s="26">
        <v>9.4600000000000004E-2</v>
      </c>
      <c r="G25558" s="26">
        <v>0.1081</v>
      </c>
      <c r="H25558" s="26">
        <v>5.4100000000000002E-2</v>
      </c>
      <c r="I25558" s="26">
        <v>5.4100000000000002E-2</v>
      </c>
      <c r="J25558" s="26">
        <v>8.1100000000000005E-2</v>
      </c>
      <c r="K25558" s="26">
        <v>2.7E-2</v>
      </c>
      <c r="L25558" s="26">
        <v>4.0500000000000001E-2</v>
      </c>
      <c r="M25558" s="26">
        <v>2.7E-2</v>
      </c>
      <c r="N25558" s="26">
        <v>1.35E-2</v>
      </c>
      <c r="O25558" s="26">
        <v>1.35E-2</v>
      </c>
      <c r="P25558" s="26">
        <v>4.0500000000000001E-2</v>
      </c>
      <c r="Q25558" s="26">
        <v>1.35E-2</v>
      </c>
      <c r="U25558" s="26">
        <v>1.35E-2</v>
      </c>
      <c r="V25558" s="26">
        <v>1.35E-2</v>
      </c>
      <c r="X25558">
        <v>74</v>
      </c>
    </row>
    <row r="25559" spans="1:25" x14ac:dyDescent="0.35">
      <c r="A25559" t="s">
        <v>232</v>
      </c>
      <c r="B25559" s="26">
        <v>0.56540000000000001</v>
      </c>
      <c r="C25559" s="26">
        <v>0.25569999999999998</v>
      </c>
      <c r="D25559" s="26">
        <v>0.24279999999999999</v>
      </c>
      <c r="E25559" s="26">
        <v>0.16619999999999999</v>
      </c>
      <c r="F25559" s="26">
        <v>7.5700000000000003E-2</v>
      </c>
      <c r="G25559" s="26">
        <v>6.7299999999999999E-2</v>
      </c>
      <c r="H25559" s="26">
        <v>5.8099999999999999E-2</v>
      </c>
      <c r="I25559" s="26">
        <v>5.79E-2</v>
      </c>
      <c r="J25559" s="26">
        <v>4.7600000000000003E-2</v>
      </c>
      <c r="K25559" s="26">
        <v>4.0399999999999998E-2</v>
      </c>
      <c r="L25559" s="26">
        <v>3.73E-2</v>
      </c>
      <c r="M25559" s="26">
        <v>3.3700000000000001E-2</v>
      </c>
      <c r="N25559" s="26">
        <v>2.92E-2</v>
      </c>
      <c r="O25559" s="26">
        <v>2.6599999999999999E-2</v>
      </c>
      <c r="P25559" s="26">
        <v>2.06E-2</v>
      </c>
      <c r="Q25559" s="26">
        <v>1.9199999999999998E-2</v>
      </c>
      <c r="R25559" s="26">
        <v>1.6299999999999999E-2</v>
      </c>
      <c r="S25559" s="26">
        <v>1.47E-2</v>
      </c>
      <c r="T25559" s="26">
        <v>8.0000000000000002E-3</v>
      </c>
      <c r="U25559" s="26">
        <v>7.9000000000000008E-3</v>
      </c>
      <c r="V25559" s="26">
        <v>7.3000000000000001E-3</v>
      </c>
      <c r="W25559" s="26">
        <v>5.4999999999999997E-3</v>
      </c>
      <c r="X25559">
        <v>1537</v>
      </c>
    </row>
    <row r="25561" spans="1:25" x14ac:dyDescent="0.35">
      <c r="A25561" s="1" t="s">
        <v>2336</v>
      </c>
    </row>
    <row r="25562" spans="1:25" x14ac:dyDescent="0.35">
      <c r="A25562" t="s">
        <v>219</v>
      </c>
      <c r="B25562" t="s">
        <v>305</v>
      </c>
      <c r="C25562" t="s">
        <v>2315</v>
      </c>
      <c r="D25562" t="s">
        <v>2316</v>
      </c>
      <c r="E25562" t="s">
        <v>2317</v>
      </c>
      <c r="F25562" t="s">
        <v>2318</v>
      </c>
      <c r="G25562" t="s">
        <v>2319</v>
      </c>
      <c r="H25562" t="s">
        <v>2320</v>
      </c>
      <c r="I25562" t="s">
        <v>2321</v>
      </c>
      <c r="J25562" t="s">
        <v>2322</v>
      </c>
      <c r="K25562" t="s">
        <v>2323</v>
      </c>
      <c r="L25562" t="s">
        <v>2324</v>
      </c>
      <c r="M25562" t="s">
        <v>2325</v>
      </c>
      <c r="N25562" t="s">
        <v>2326</v>
      </c>
      <c r="O25562" t="s">
        <v>2327</v>
      </c>
      <c r="P25562" t="s">
        <v>2328</v>
      </c>
      <c r="Q25562" t="s">
        <v>2329</v>
      </c>
      <c r="R25562" t="s">
        <v>2330</v>
      </c>
      <c r="S25562" t="s">
        <v>2331</v>
      </c>
      <c r="T25562" t="s">
        <v>2332</v>
      </c>
      <c r="U25562" t="s">
        <v>326</v>
      </c>
      <c r="V25562" t="s">
        <v>2333</v>
      </c>
      <c r="W25562" t="s">
        <v>2334</v>
      </c>
      <c r="X25562" t="s">
        <v>2335</v>
      </c>
      <c r="Y25562" t="s">
        <v>226</v>
      </c>
    </row>
    <row r="25563" spans="1:25" x14ac:dyDescent="0.35">
      <c r="A25563" t="s">
        <v>227</v>
      </c>
      <c r="B25563" t="s">
        <v>242</v>
      </c>
      <c r="C25563" s="26">
        <v>0.56820000000000004</v>
      </c>
      <c r="D25563" s="26">
        <v>0.25</v>
      </c>
      <c r="E25563" s="26">
        <v>0.31819999999999998</v>
      </c>
      <c r="F25563" s="26">
        <v>0.18179999999999999</v>
      </c>
      <c r="G25563" s="26">
        <v>9.0899999999999995E-2</v>
      </c>
      <c r="H25563" s="26">
        <v>6.8199999999999997E-2</v>
      </c>
      <c r="I25563" s="26">
        <v>9.0899999999999995E-2</v>
      </c>
      <c r="J25563" s="26">
        <v>9.0899999999999995E-2</v>
      </c>
      <c r="K25563" s="26">
        <v>2.2700000000000001E-2</v>
      </c>
      <c r="M25563" s="26">
        <v>4.5499999999999999E-2</v>
      </c>
      <c r="N25563" s="26">
        <v>6.8199999999999997E-2</v>
      </c>
      <c r="O25563" s="26">
        <v>4.5499999999999999E-2</v>
      </c>
      <c r="Q25563" s="26">
        <v>2.2700000000000001E-2</v>
      </c>
      <c r="R25563" s="26">
        <v>6.8199999999999997E-2</v>
      </c>
      <c r="S25563" s="26">
        <v>2.2700000000000001E-2</v>
      </c>
      <c r="T25563" s="26">
        <v>2.2700000000000001E-2</v>
      </c>
      <c r="U25563" s="26">
        <v>2.2700000000000001E-2</v>
      </c>
      <c r="Y25563">
        <v>44</v>
      </c>
    </row>
    <row r="25564" spans="1:25" x14ac:dyDescent="0.35">
      <c r="A25564" t="s">
        <v>227</v>
      </c>
      <c r="B25564" t="s">
        <v>241</v>
      </c>
      <c r="C25564" s="26">
        <v>0.5</v>
      </c>
      <c r="D25564" s="26">
        <v>0.23680000000000001</v>
      </c>
      <c r="E25564" s="26">
        <v>0.13159999999999999</v>
      </c>
      <c r="F25564" s="26">
        <v>0.1842</v>
      </c>
      <c r="G25564" s="26">
        <v>5.2600000000000001E-2</v>
      </c>
      <c r="J25564" s="26">
        <v>5.2600000000000001E-2</v>
      </c>
      <c r="L25564" s="26">
        <v>5.2600000000000001E-2</v>
      </c>
      <c r="M25564" s="26">
        <v>5.2600000000000001E-2</v>
      </c>
      <c r="N25564" s="26">
        <v>7.8899999999999998E-2</v>
      </c>
      <c r="O25564" s="26">
        <v>2.63E-2</v>
      </c>
      <c r="R25564" s="26">
        <v>2.63E-2</v>
      </c>
      <c r="T25564" s="26">
        <v>2.63E-2</v>
      </c>
      <c r="V25564" s="26">
        <v>2.63E-2</v>
      </c>
      <c r="X25564" s="26">
        <v>2.63E-2</v>
      </c>
      <c r="Y25564">
        <v>38</v>
      </c>
    </row>
    <row r="25565" spans="1:25" x14ac:dyDescent="0.35">
      <c r="A25565" t="s">
        <v>228</v>
      </c>
      <c r="B25565" t="s">
        <v>242</v>
      </c>
      <c r="C25565" s="26">
        <v>0.65500000000000003</v>
      </c>
      <c r="D25565" s="26">
        <v>0.28810000000000002</v>
      </c>
      <c r="E25565" s="26">
        <v>0.3725</v>
      </c>
      <c r="F25565" s="26">
        <v>8.8900000000000007E-2</v>
      </c>
      <c r="G25565" s="26">
        <v>7.8700000000000006E-2</v>
      </c>
      <c r="H25565" s="26">
        <v>4.5400000000000003E-2</v>
      </c>
      <c r="I25565" s="26">
        <v>7.1599999999999997E-2</v>
      </c>
      <c r="J25565" s="26">
        <v>6.5600000000000006E-2</v>
      </c>
      <c r="K25565" s="26">
        <v>5.3499999999999999E-2</v>
      </c>
      <c r="L25565" s="26">
        <v>5.1299999999999998E-2</v>
      </c>
      <c r="M25565" s="26">
        <v>1.7399999999999999E-2</v>
      </c>
      <c r="N25565" s="26">
        <v>3.0000000000000001E-3</v>
      </c>
      <c r="O25565" s="26">
        <v>3.2399999999999998E-2</v>
      </c>
      <c r="P25565" s="26">
        <v>3.7999999999999999E-2</v>
      </c>
      <c r="Q25565" s="26">
        <v>8.3999999999999995E-3</v>
      </c>
      <c r="R25565" s="26">
        <v>2.5600000000000001E-2</v>
      </c>
      <c r="S25565" s="26">
        <v>2.1899999999999999E-2</v>
      </c>
      <c r="T25565" s="26">
        <v>3.0300000000000001E-2</v>
      </c>
      <c r="U25565" s="26">
        <v>2.1899999999999999E-2</v>
      </c>
      <c r="V25565" s="26">
        <v>5.7000000000000002E-3</v>
      </c>
      <c r="W25565" s="26">
        <v>5.1000000000000004E-3</v>
      </c>
      <c r="X25565" s="26">
        <v>3.7000000000000002E-3</v>
      </c>
      <c r="Y25565">
        <v>297</v>
      </c>
    </row>
    <row r="25566" spans="1:25" x14ac:dyDescent="0.35">
      <c r="A25566" t="s">
        <v>228</v>
      </c>
      <c r="B25566" t="s">
        <v>241</v>
      </c>
      <c r="C25566" s="26">
        <v>0.59889999999999999</v>
      </c>
      <c r="D25566" s="26">
        <v>0.21990000000000001</v>
      </c>
      <c r="E25566" s="26">
        <v>0.15390000000000001</v>
      </c>
      <c r="F25566" s="26">
        <v>0.124</v>
      </c>
      <c r="G25566" s="26">
        <v>7.2900000000000006E-2</v>
      </c>
      <c r="H25566" s="26">
        <v>6.9000000000000006E-2</v>
      </c>
      <c r="I25566" s="26">
        <v>7.1300000000000002E-2</v>
      </c>
      <c r="J25566" s="26">
        <v>5.6099999999999997E-2</v>
      </c>
      <c r="K25566" s="26">
        <v>3.44E-2</v>
      </c>
      <c r="L25566" s="26">
        <v>7.5499999999999998E-2</v>
      </c>
      <c r="M25566" s="26">
        <v>4.87E-2</v>
      </c>
      <c r="N25566" s="26">
        <v>1.9599999999999999E-2</v>
      </c>
      <c r="O25566" s="26">
        <v>2.0199999999999999E-2</v>
      </c>
      <c r="P25566" s="26">
        <v>7.2800000000000004E-2</v>
      </c>
      <c r="Q25566" s="26">
        <v>3.0200000000000001E-2</v>
      </c>
      <c r="R25566" s="26">
        <v>2.2499999999999999E-2</v>
      </c>
      <c r="S25566" s="26">
        <v>2.3699999999999999E-2</v>
      </c>
      <c r="T25566" s="26">
        <v>4.2500000000000003E-2</v>
      </c>
      <c r="V25566" s="26">
        <v>1.9E-3</v>
      </c>
      <c r="W25566" s="26">
        <v>2.8E-3</v>
      </c>
      <c r="X25566" s="26">
        <v>2.3900000000000001E-2</v>
      </c>
      <c r="Y25566">
        <v>323</v>
      </c>
    </row>
    <row r="25567" spans="1:25" x14ac:dyDescent="0.35">
      <c r="A25567" t="s">
        <v>229</v>
      </c>
      <c r="B25567" t="s">
        <v>242</v>
      </c>
      <c r="C25567" s="26">
        <v>0.57169999999999999</v>
      </c>
      <c r="D25567" s="26">
        <v>0.27950000000000003</v>
      </c>
      <c r="E25567" s="26">
        <v>0.33489999999999998</v>
      </c>
      <c r="F25567" s="26">
        <v>0.1343</v>
      </c>
      <c r="G25567" s="26">
        <v>6.0999999999999999E-2</v>
      </c>
      <c r="H25567" s="26">
        <v>1.17E-2</v>
      </c>
      <c r="I25567" s="26">
        <v>3.7699999999999997E-2</v>
      </c>
      <c r="J25567" s="26">
        <v>6.0999999999999999E-2</v>
      </c>
      <c r="K25567" s="26">
        <v>3.4500000000000003E-2</v>
      </c>
      <c r="L25567" s="26">
        <v>4.1000000000000002E-2</v>
      </c>
      <c r="M25567" s="26">
        <v>5.04E-2</v>
      </c>
      <c r="N25567" s="26">
        <v>2.18E-2</v>
      </c>
      <c r="O25567" s="26">
        <v>5.0099999999999999E-2</v>
      </c>
      <c r="P25567" s="26">
        <v>2.2000000000000001E-3</v>
      </c>
      <c r="Q25567" s="26">
        <v>1.4E-3</v>
      </c>
      <c r="R25567" s="26">
        <v>1.2800000000000001E-2</v>
      </c>
      <c r="U25567" s="26">
        <v>1.0699999999999999E-2</v>
      </c>
      <c r="Y25567">
        <v>175</v>
      </c>
    </row>
    <row r="25568" spans="1:25" x14ac:dyDescent="0.35">
      <c r="A25568" t="s">
        <v>229</v>
      </c>
      <c r="B25568" t="s">
        <v>241</v>
      </c>
      <c r="C25568" s="26">
        <v>0.4758</v>
      </c>
      <c r="D25568" s="26">
        <v>0.1114</v>
      </c>
      <c r="E25568" s="26">
        <v>0.18679999999999999</v>
      </c>
      <c r="F25568" s="26">
        <v>0.30409999999999998</v>
      </c>
      <c r="G25568" s="26">
        <v>5.4199999999999998E-2</v>
      </c>
      <c r="H25568" s="26">
        <v>2.4500000000000001E-2</v>
      </c>
      <c r="I25568" s="26">
        <v>4.7500000000000001E-2</v>
      </c>
      <c r="J25568" s="26">
        <v>2.6599999999999999E-2</v>
      </c>
      <c r="K25568" s="26">
        <v>4.82E-2</v>
      </c>
      <c r="L25568" s="26">
        <v>3.2800000000000003E-2</v>
      </c>
      <c r="M25568" s="26">
        <v>1.8599999999999998E-2</v>
      </c>
      <c r="N25568" s="26">
        <v>3.7900000000000003E-2</v>
      </c>
      <c r="O25568" s="26">
        <v>2.6599999999999999E-2</v>
      </c>
      <c r="P25568" s="26">
        <v>4.2000000000000003E-2</v>
      </c>
      <c r="Q25568" s="26">
        <v>2.7099999999999999E-2</v>
      </c>
      <c r="S25568" s="26">
        <v>6.1899999999999997E-2</v>
      </c>
      <c r="U25568" s="26">
        <v>1.0999999999999999E-2</v>
      </c>
      <c r="V25568" s="26">
        <v>1.35E-2</v>
      </c>
      <c r="W25568" s="26">
        <v>2.3400000000000001E-2</v>
      </c>
      <c r="Y25568">
        <v>230</v>
      </c>
    </row>
    <row r="25569" spans="1:25" x14ac:dyDescent="0.35">
      <c r="A25569" t="s">
        <v>230</v>
      </c>
      <c r="B25569" t="s">
        <v>242</v>
      </c>
      <c r="C25569" s="26">
        <v>0.69930000000000003</v>
      </c>
      <c r="D25569" s="26">
        <v>0.31340000000000001</v>
      </c>
      <c r="E25569" s="26">
        <v>0.39429999999999998</v>
      </c>
      <c r="F25569" s="26">
        <v>6.0999999999999999E-2</v>
      </c>
      <c r="G25569" s="26">
        <v>6.2E-2</v>
      </c>
      <c r="H25569" s="26">
        <v>0.22040000000000001</v>
      </c>
      <c r="I25569" s="26">
        <v>0.1346</v>
      </c>
      <c r="J25569" s="26">
        <v>6.93E-2</v>
      </c>
      <c r="K25569" s="26">
        <v>6.0000000000000001E-3</v>
      </c>
      <c r="L25569" s="26">
        <v>7.2400000000000006E-2</v>
      </c>
      <c r="M25569" s="26">
        <v>1.6E-2</v>
      </c>
      <c r="N25569" s="26">
        <v>5.74E-2</v>
      </c>
      <c r="O25569" s="26">
        <v>5.8099999999999999E-2</v>
      </c>
      <c r="P25569" s="26">
        <v>2.8500000000000001E-2</v>
      </c>
      <c r="Q25569" s="26">
        <v>1.1000000000000001E-3</v>
      </c>
      <c r="S25569" s="26">
        <v>3.7000000000000002E-3</v>
      </c>
      <c r="T25569" s="26">
        <v>1.61E-2</v>
      </c>
      <c r="U25569" s="26">
        <v>2.2499999999999999E-2</v>
      </c>
      <c r="X25569" s="26">
        <v>4.7999999999999996E-3</v>
      </c>
      <c r="Y25569">
        <v>143</v>
      </c>
    </row>
    <row r="25570" spans="1:25" x14ac:dyDescent="0.35">
      <c r="A25570" t="s">
        <v>230</v>
      </c>
      <c r="B25570" t="s">
        <v>241</v>
      </c>
      <c r="C25570" s="26">
        <v>0.55959999999999999</v>
      </c>
      <c r="D25570" s="26">
        <v>0.3458</v>
      </c>
      <c r="E25570" s="26">
        <v>0.20319999999999999</v>
      </c>
      <c r="F25570" s="26">
        <v>0.13900000000000001</v>
      </c>
      <c r="G25570" s="26">
        <v>9.4700000000000006E-2</v>
      </c>
      <c r="H25570" s="26">
        <v>0.1071</v>
      </c>
      <c r="I25570" s="26">
        <v>6.2300000000000001E-2</v>
      </c>
      <c r="J25570" s="26">
        <v>7.7899999999999997E-2</v>
      </c>
      <c r="K25570" s="26">
        <v>7.5399999999999995E-2</v>
      </c>
      <c r="L25570" s="26">
        <v>4.2900000000000001E-2</v>
      </c>
      <c r="M25570" s="26">
        <v>3.1199999999999999E-2</v>
      </c>
      <c r="N25570" s="26">
        <v>3.3599999999999998E-2</v>
      </c>
      <c r="O25570" s="26">
        <v>2.3900000000000001E-2</v>
      </c>
      <c r="P25570" s="26">
        <v>6.2399999999999997E-2</v>
      </c>
      <c r="Q25570" s="26">
        <v>5.4999999999999997E-3</v>
      </c>
      <c r="R25570" s="26">
        <v>2.0500000000000001E-2</v>
      </c>
      <c r="S25570" s="26">
        <v>1.77E-2</v>
      </c>
      <c r="T25570" s="26">
        <v>3.5299999999999998E-2</v>
      </c>
      <c r="U25570" s="26">
        <v>8.9999999999999998E-4</v>
      </c>
      <c r="X25570" s="26">
        <v>2.8E-3</v>
      </c>
      <c r="Y25570">
        <v>213</v>
      </c>
    </row>
    <row r="25571" spans="1:25" x14ac:dyDescent="0.35">
      <c r="A25571" s="27" t="s">
        <v>231</v>
      </c>
      <c r="B25571" s="27" t="s">
        <v>242</v>
      </c>
      <c r="C25571" s="28">
        <v>0.60709999999999997</v>
      </c>
      <c r="D25571" s="28">
        <v>0.35709999999999997</v>
      </c>
      <c r="E25571" s="28">
        <v>0.28570000000000001</v>
      </c>
      <c r="F25571" s="28">
        <v>7.1400000000000005E-2</v>
      </c>
      <c r="G25571" s="28">
        <v>0.1429</v>
      </c>
      <c r="H25571" s="28">
        <v>0.17860000000000001</v>
      </c>
      <c r="I25571" s="28">
        <v>7.1400000000000005E-2</v>
      </c>
      <c r="J25571" s="28">
        <v>7.1400000000000005E-2</v>
      </c>
      <c r="K25571" s="28">
        <v>3.5700000000000003E-2</v>
      </c>
      <c r="L25571" s="28">
        <v>3.5700000000000003E-2</v>
      </c>
      <c r="M25571" s="28">
        <v>3.5700000000000003E-2</v>
      </c>
      <c r="N25571" s="28">
        <v>3.5700000000000003E-2</v>
      </c>
      <c r="O25571" s="29"/>
      <c r="P25571" s="29"/>
      <c r="Q25571" s="28">
        <v>3.5700000000000003E-2</v>
      </c>
      <c r="R25571" s="29"/>
      <c r="S25571" s="29"/>
      <c r="T25571" s="29"/>
      <c r="U25571" s="29"/>
      <c r="V25571" s="28">
        <v>3.5700000000000003E-2</v>
      </c>
      <c r="W25571" s="28">
        <v>3.5700000000000003E-2</v>
      </c>
      <c r="X25571" s="29"/>
      <c r="Y25571" s="29" t="s">
        <v>336</v>
      </c>
    </row>
    <row r="25572" spans="1:25" x14ac:dyDescent="0.35">
      <c r="A25572" t="s">
        <v>231</v>
      </c>
      <c r="B25572" t="s">
        <v>241</v>
      </c>
      <c r="C25572" s="26">
        <v>0.52170000000000005</v>
      </c>
      <c r="D25572" s="26">
        <v>0.26090000000000002</v>
      </c>
      <c r="E25572" s="26">
        <v>0.1522</v>
      </c>
      <c r="F25572" s="26">
        <v>0.23910000000000001</v>
      </c>
      <c r="G25572" s="26">
        <v>6.5199999999999994E-2</v>
      </c>
      <c r="H25572" s="26">
        <v>6.5199999999999994E-2</v>
      </c>
      <c r="I25572" s="26">
        <v>4.3499999999999997E-2</v>
      </c>
      <c r="J25572" s="26">
        <v>4.3499999999999997E-2</v>
      </c>
      <c r="K25572" s="26">
        <v>0.1087</v>
      </c>
      <c r="L25572" s="26">
        <v>2.1700000000000001E-2</v>
      </c>
      <c r="M25572" s="26">
        <v>4.3499999999999997E-2</v>
      </c>
      <c r="N25572" s="26">
        <v>2.1700000000000001E-2</v>
      </c>
      <c r="O25572" s="26">
        <v>2.1700000000000001E-2</v>
      </c>
      <c r="P25572" s="26">
        <v>2.1700000000000001E-2</v>
      </c>
      <c r="Q25572" s="26">
        <v>4.3499999999999997E-2</v>
      </c>
      <c r="R25572" s="26">
        <v>2.1700000000000001E-2</v>
      </c>
      <c r="Y25572">
        <v>46</v>
      </c>
    </row>
    <row r="25573" spans="1:25" x14ac:dyDescent="0.35">
      <c r="A25573" t="s">
        <v>232</v>
      </c>
      <c r="B25573" t="s">
        <v>232</v>
      </c>
      <c r="C25573" s="26">
        <v>0.56540000000000001</v>
      </c>
      <c r="D25573" s="26">
        <v>0.25569999999999998</v>
      </c>
      <c r="E25573" s="26">
        <v>0.24279999999999999</v>
      </c>
      <c r="F25573" s="26">
        <v>0.16619999999999999</v>
      </c>
      <c r="G25573" s="26">
        <v>7.5700000000000003E-2</v>
      </c>
      <c r="H25573" s="26">
        <v>6.7299999999999999E-2</v>
      </c>
      <c r="I25573" s="26">
        <v>5.8099999999999999E-2</v>
      </c>
      <c r="J25573" s="26">
        <v>5.79E-2</v>
      </c>
      <c r="K25573" s="26">
        <v>4.7600000000000003E-2</v>
      </c>
      <c r="L25573" s="26">
        <v>4.0399999999999998E-2</v>
      </c>
      <c r="M25573" s="26">
        <v>3.73E-2</v>
      </c>
      <c r="N25573" s="26">
        <v>3.3700000000000001E-2</v>
      </c>
      <c r="O25573" s="26">
        <v>2.92E-2</v>
      </c>
      <c r="P25573" s="26">
        <v>2.6599999999999999E-2</v>
      </c>
      <c r="Q25573" s="26">
        <v>2.06E-2</v>
      </c>
      <c r="R25573" s="26">
        <v>1.9199999999999998E-2</v>
      </c>
      <c r="S25573" s="26">
        <v>1.6299999999999999E-2</v>
      </c>
      <c r="T25573" s="26">
        <v>1.47E-2</v>
      </c>
      <c r="U25573" s="26">
        <v>8.0000000000000002E-3</v>
      </c>
      <c r="V25573" s="26">
        <v>7.9000000000000008E-3</v>
      </c>
      <c r="W25573" s="26">
        <v>7.3000000000000001E-3</v>
      </c>
      <c r="X25573" s="26">
        <v>5.4999999999999997E-3</v>
      </c>
      <c r="Y25573">
        <v>1537</v>
      </c>
    </row>
    <row r="25575" spans="1:25" x14ac:dyDescent="0.35">
      <c r="A25575" s="1" t="s">
        <v>2337</v>
      </c>
    </row>
    <row r="25576" spans="1:25" x14ac:dyDescent="0.35">
      <c r="A25576" t="s">
        <v>219</v>
      </c>
      <c r="B25576" t="s">
        <v>305</v>
      </c>
      <c r="C25576" t="s">
        <v>2315</v>
      </c>
      <c r="D25576" t="s">
        <v>2316</v>
      </c>
      <c r="E25576" t="s">
        <v>2317</v>
      </c>
      <c r="F25576" t="s">
        <v>2318</v>
      </c>
      <c r="G25576" t="s">
        <v>2319</v>
      </c>
      <c r="H25576" t="s">
        <v>2320</v>
      </c>
      <c r="I25576" t="s">
        <v>2321</v>
      </c>
      <c r="J25576" t="s">
        <v>2322</v>
      </c>
      <c r="K25576" t="s">
        <v>2323</v>
      </c>
      <c r="L25576" t="s">
        <v>2324</v>
      </c>
      <c r="M25576" t="s">
        <v>2325</v>
      </c>
      <c r="N25576" t="s">
        <v>2326</v>
      </c>
      <c r="O25576" t="s">
        <v>2327</v>
      </c>
      <c r="P25576" t="s">
        <v>2328</v>
      </c>
      <c r="Q25576" t="s">
        <v>2329</v>
      </c>
      <c r="R25576" t="s">
        <v>2330</v>
      </c>
      <c r="S25576" t="s">
        <v>2331</v>
      </c>
      <c r="T25576" t="s">
        <v>2332</v>
      </c>
      <c r="U25576" t="s">
        <v>326</v>
      </c>
      <c r="V25576" t="s">
        <v>2333</v>
      </c>
      <c r="W25576" t="s">
        <v>2334</v>
      </c>
      <c r="X25576" t="s">
        <v>2335</v>
      </c>
      <c r="Y25576" t="s">
        <v>226</v>
      </c>
    </row>
    <row r="25577" spans="1:25" x14ac:dyDescent="0.35">
      <c r="A25577" t="s">
        <v>227</v>
      </c>
      <c r="B25577" t="s">
        <v>239</v>
      </c>
      <c r="C25577" s="26">
        <v>0.60609999999999997</v>
      </c>
      <c r="D25577" s="26">
        <v>0.18179999999999999</v>
      </c>
      <c r="E25577" s="26">
        <v>0.2424</v>
      </c>
      <c r="F25577" s="26">
        <v>0.1515</v>
      </c>
      <c r="G25577" s="26">
        <v>9.0899999999999995E-2</v>
      </c>
      <c r="H25577" s="26">
        <v>9.0899999999999995E-2</v>
      </c>
      <c r="I25577" s="26">
        <v>6.0600000000000001E-2</v>
      </c>
      <c r="J25577" s="26">
        <v>3.0300000000000001E-2</v>
      </c>
      <c r="L25577" s="26">
        <v>3.0300000000000001E-2</v>
      </c>
      <c r="M25577" s="26">
        <v>3.0300000000000001E-2</v>
      </c>
      <c r="O25577" s="26">
        <v>9.0899999999999995E-2</v>
      </c>
      <c r="R25577" s="26">
        <v>9.0899999999999995E-2</v>
      </c>
      <c r="U25577" s="26">
        <v>3.0300000000000001E-2</v>
      </c>
      <c r="X25577" s="26">
        <v>3.0300000000000001E-2</v>
      </c>
      <c r="Y25577">
        <v>33</v>
      </c>
    </row>
    <row r="25578" spans="1:25" x14ac:dyDescent="0.35">
      <c r="A25578" t="s">
        <v>227</v>
      </c>
      <c r="B25578" t="s">
        <v>238</v>
      </c>
      <c r="C25578" s="26">
        <v>0.48980000000000001</v>
      </c>
      <c r="D25578" s="26">
        <v>0.28570000000000001</v>
      </c>
      <c r="E25578" s="26">
        <v>0.22450000000000001</v>
      </c>
      <c r="F25578" s="26">
        <v>0.2041</v>
      </c>
      <c r="G25578" s="26">
        <v>6.1199999999999997E-2</v>
      </c>
      <c r="I25578" s="26">
        <v>4.0800000000000003E-2</v>
      </c>
      <c r="J25578" s="26">
        <v>0.10199999999999999</v>
      </c>
      <c r="K25578" s="26">
        <v>2.0400000000000001E-2</v>
      </c>
      <c r="L25578" s="26">
        <v>2.0400000000000001E-2</v>
      </c>
      <c r="M25578" s="26">
        <v>6.1199999999999997E-2</v>
      </c>
      <c r="N25578" s="26">
        <v>0.12239999999999999</v>
      </c>
      <c r="Q25578" s="26">
        <v>2.0400000000000001E-2</v>
      </c>
      <c r="R25578" s="26">
        <v>2.0400000000000001E-2</v>
      </c>
      <c r="S25578" s="26">
        <v>2.0400000000000001E-2</v>
      </c>
      <c r="T25578" s="26">
        <v>4.0800000000000003E-2</v>
      </c>
      <c r="V25578" s="26">
        <v>2.0400000000000001E-2</v>
      </c>
      <c r="Y25578">
        <v>49</v>
      </c>
    </row>
    <row r="25579" spans="1:25" x14ac:dyDescent="0.35">
      <c r="A25579" t="s">
        <v>228</v>
      </c>
      <c r="B25579" t="s">
        <v>239</v>
      </c>
      <c r="C25579" s="26">
        <v>0.74790000000000001</v>
      </c>
      <c r="D25579" s="26">
        <v>0.30559999999999998</v>
      </c>
      <c r="E25579" s="26">
        <v>0.31630000000000003</v>
      </c>
      <c r="F25579" s="26">
        <v>5.0599999999999999E-2</v>
      </c>
      <c r="G25579" s="26">
        <v>3.7100000000000001E-2</v>
      </c>
      <c r="H25579" s="26">
        <v>0.10539999999999999</v>
      </c>
      <c r="I25579" s="26">
        <v>5.8799999999999998E-2</v>
      </c>
      <c r="J25579" s="26">
        <v>0.06</v>
      </c>
      <c r="K25579" s="26">
        <v>5.0700000000000002E-2</v>
      </c>
      <c r="M25579" s="26">
        <v>2.01E-2</v>
      </c>
      <c r="N25579" s="26">
        <v>1.47E-2</v>
      </c>
      <c r="O25579" s="26">
        <v>3.7900000000000003E-2</v>
      </c>
      <c r="P25579" s="26">
        <v>2.1100000000000001E-2</v>
      </c>
      <c r="Q25579" s="26">
        <v>2.9499999999999998E-2</v>
      </c>
      <c r="R25579" s="26">
        <v>3.8100000000000002E-2</v>
      </c>
      <c r="S25579" s="26">
        <v>6.7000000000000002E-3</v>
      </c>
      <c r="T25579" s="26">
        <v>6.0199999999999997E-2</v>
      </c>
      <c r="U25579" s="26">
        <v>2.69E-2</v>
      </c>
      <c r="W25579" s="26">
        <v>1.01E-2</v>
      </c>
      <c r="X25579" s="26">
        <v>1.34E-2</v>
      </c>
      <c r="Y25579">
        <v>210</v>
      </c>
    </row>
    <row r="25580" spans="1:25" x14ac:dyDescent="0.35">
      <c r="A25580" t="s">
        <v>228</v>
      </c>
      <c r="B25580" t="s">
        <v>238</v>
      </c>
      <c r="C25580" s="26">
        <v>0.58740000000000003</v>
      </c>
      <c r="D25580" s="26">
        <v>0.2344</v>
      </c>
      <c r="E25580" s="26">
        <v>0.23369999999999999</v>
      </c>
      <c r="F25580" s="26">
        <v>0.12529999999999999</v>
      </c>
      <c r="G25580" s="26">
        <v>8.6999999999999994E-2</v>
      </c>
      <c r="H25580" s="26">
        <v>4.4299999999999999E-2</v>
      </c>
      <c r="I25580" s="26">
        <v>7.5200000000000003E-2</v>
      </c>
      <c r="J25580" s="26">
        <v>6.0600000000000001E-2</v>
      </c>
      <c r="K25580" s="26">
        <v>4.07E-2</v>
      </c>
      <c r="L25580" s="26">
        <v>8.3799999999999999E-2</v>
      </c>
      <c r="M25580" s="26">
        <v>3.8899999999999997E-2</v>
      </c>
      <c r="N25580" s="26">
        <v>1.1299999999999999E-2</v>
      </c>
      <c r="O25580" s="26">
        <v>2.2100000000000002E-2</v>
      </c>
      <c r="P25580" s="26">
        <v>6.7799999999999999E-2</v>
      </c>
      <c r="Q25580" s="26">
        <v>1.7600000000000001E-2</v>
      </c>
      <c r="R25580" s="26">
        <v>1.9699999999999999E-2</v>
      </c>
      <c r="S25580" s="26">
        <v>2.7699999999999999E-2</v>
      </c>
      <c r="T25580" s="26">
        <v>3.0099999999999998E-2</v>
      </c>
      <c r="U25580" s="26">
        <v>4.7999999999999996E-3</v>
      </c>
      <c r="V25580" s="26">
        <v>4.5999999999999999E-3</v>
      </c>
      <c r="W25580" s="26">
        <v>2E-3</v>
      </c>
      <c r="X25580" s="26">
        <v>1.52E-2</v>
      </c>
      <c r="Y25580">
        <v>410</v>
      </c>
    </row>
    <row r="25581" spans="1:25" x14ac:dyDescent="0.35">
      <c r="A25581" t="s">
        <v>229</v>
      </c>
      <c r="B25581" t="s">
        <v>239</v>
      </c>
      <c r="C25581" s="26">
        <v>0.52549999999999997</v>
      </c>
      <c r="D25581" s="26">
        <v>0.2248</v>
      </c>
      <c r="E25581" s="26">
        <v>0.25669999999999998</v>
      </c>
      <c r="F25581" s="26">
        <v>0.1681</v>
      </c>
      <c r="G25581" s="26">
        <v>6.3E-2</v>
      </c>
      <c r="H25581" s="26">
        <v>4.53E-2</v>
      </c>
      <c r="I25581" s="26">
        <v>1.3299999999999999E-2</v>
      </c>
      <c r="J25581" s="26">
        <v>1.38E-2</v>
      </c>
      <c r="K25581" s="26">
        <v>6.3600000000000004E-2</v>
      </c>
      <c r="L25581" s="26">
        <v>3.0599999999999999E-2</v>
      </c>
      <c r="M25581" s="26">
        <v>4.1999999999999997E-3</v>
      </c>
      <c r="N25581" s="26">
        <v>4.7E-2</v>
      </c>
      <c r="O25581" s="26">
        <v>4.4200000000000003E-2</v>
      </c>
      <c r="P25581" s="26">
        <v>2.5600000000000001E-2</v>
      </c>
      <c r="Q25581" s="26">
        <v>2.23E-2</v>
      </c>
      <c r="S25581" s="26">
        <v>2.07E-2</v>
      </c>
      <c r="U25581" s="26">
        <v>2.07E-2</v>
      </c>
      <c r="V25581" s="26">
        <v>8.0000000000000004E-4</v>
      </c>
      <c r="Y25581">
        <v>151</v>
      </c>
    </row>
    <row r="25582" spans="1:25" x14ac:dyDescent="0.35">
      <c r="A25582" t="s">
        <v>229</v>
      </c>
      <c r="B25582" t="s">
        <v>238</v>
      </c>
      <c r="C25582" s="26">
        <v>0.52390000000000003</v>
      </c>
      <c r="D25582" s="26">
        <v>0.18659999999999999</v>
      </c>
      <c r="E25582" s="26">
        <v>0.2636</v>
      </c>
      <c r="F25582" s="26">
        <v>0.23580000000000001</v>
      </c>
      <c r="G25582" s="26">
        <v>5.5800000000000002E-2</v>
      </c>
      <c r="H25582" s="26">
        <v>8.3999999999999995E-3</v>
      </c>
      <c r="I25582" s="26">
        <v>5.28E-2</v>
      </c>
      <c r="J25582" s="26">
        <v>5.4699999999999999E-2</v>
      </c>
      <c r="K25582" s="26">
        <v>3.3399999999999999E-2</v>
      </c>
      <c r="L25582" s="26">
        <v>3.9199999999999999E-2</v>
      </c>
      <c r="M25582" s="26">
        <v>4.5499999999999999E-2</v>
      </c>
      <c r="N25582" s="26">
        <v>2.3699999999999999E-2</v>
      </c>
      <c r="O25582" s="26">
        <v>3.6499999999999998E-2</v>
      </c>
      <c r="P25582" s="26">
        <v>2.0500000000000001E-2</v>
      </c>
      <c r="Q25582" s="26">
        <v>1.12E-2</v>
      </c>
      <c r="R25582" s="26">
        <v>8.8000000000000005E-3</v>
      </c>
      <c r="S25582" s="26">
        <v>3.4099999999999998E-2</v>
      </c>
      <c r="U25582" s="26">
        <v>7.3000000000000001E-3</v>
      </c>
      <c r="V25582" s="26">
        <v>8.8000000000000005E-3</v>
      </c>
      <c r="W25582" s="26">
        <v>1.5599999999999999E-2</v>
      </c>
      <c r="Y25582">
        <v>254</v>
      </c>
    </row>
    <row r="25583" spans="1:25" x14ac:dyDescent="0.35">
      <c r="A25583" t="s">
        <v>230</v>
      </c>
      <c r="B25583" t="s">
        <v>239</v>
      </c>
      <c r="C25583" s="26">
        <v>0.74490000000000001</v>
      </c>
      <c r="D25583" s="26">
        <v>0.35649999999999998</v>
      </c>
      <c r="E25583" s="26">
        <v>0.29849999999999999</v>
      </c>
      <c r="F25583" s="26">
        <v>1.15E-2</v>
      </c>
      <c r="G25583" s="26">
        <v>0.12089999999999999</v>
      </c>
      <c r="H25583" s="26">
        <v>0.2437</v>
      </c>
      <c r="I25583" s="26">
        <v>7.8399999999999997E-2</v>
      </c>
      <c r="J25583" s="26">
        <v>4.8899999999999999E-2</v>
      </c>
      <c r="K25583" s="26">
        <v>3.0000000000000001E-3</v>
      </c>
      <c r="L25583" s="26">
        <v>3.61E-2</v>
      </c>
      <c r="M25583" s="26">
        <v>1.6E-2</v>
      </c>
      <c r="N25583" s="26">
        <v>3.1099999999999999E-2</v>
      </c>
      <c r="O25583" s="26">
        <v>4.0800000000000003E-2</v>
      </c>
      <c r="P25583" s="26">
        <v>4.0800000000000003E-2</v>
      </c>
      <c r="Q25583" s="26">
        <v>4.8999999999999998E-3</v>
      </c>
      <c r="T25583" s="26">
        <v>4.1300000000000003E-2</v>
      </c>
      <c r="Y25583">
        <v>144</v>
      </c>
    </row>
    <row r="25584" spans="1:25" x14ac:dyDescent="0.35">
      <c r="A25584" t="s">
        <v>230</v>
      </c>
      <c r="B25584" t="s">
        <v>238</v>
      </c>
      <c r="C25584" s="26">
        <v>0.55879999999999996</v>
      </c>
      <c r="D25584" s="26">
        <v>0.3201</v>
      </c>
      <c r="E25584" s="26">
        <v>0.27839999999999998</v>
      </c>
      <c r="F25584" s="26">
        <v>0.151</v>
      </c>
      <c r="G25584" s="26">
        <v>6.13E-2</v>
      </c>
      <c r="H25584" s="26">
        <v>0.113</v>
      </c>
      <c r="I25584" s="26">
        <v>0.1004</v>
      </c>
      <c r="J25584" s="26">
        <v>8.6400000000000005E-2</v>
      </c>
      <c r="K25584" s="26">
        <v>6.6400000000000001E-2</v>
      </c>
      <c r="L25584" s="26">
        <v>6.4899999999999999E-2</v>
      </c>
      <c r="M25584" s="26">
        <v>2.8899999999999999E-2</v>
      </c>
      <c r="N25584" s="26">
        <v>0.05</v>
      </c>
      <c r="O25584" s="26">
        <v>3.7400000000000003E-2</v>
      </c>
      <c r="P25584" s="26">
        <v>5.1299999999999998E-2</v>
      </c>
      <c r="Q25584" s="26">
        <v>3.0999999999999999E-3</v>
      </c>
      <c r="R25584" s="26">
        <v>1.7399999999999999E-2</v>
      </c>
      <c r="S25584" s="26">
        <v>1.7299999999999999E-2</v>
      </c>
      <c r="T25584" s="26">
        <v>2.0299999999999999E-2</v>
      </c>
      <c r="U25584" s="26">
        <v>1.4999999999999999E-2</v>
      </c>
      <c r="X25584" s="26">
        <v>5.4000000000000003E-3</v>
      </c>
      <c r="Y25584">
        <v>212</v>
      </c>
    </row>
    <row r="25585" spans="1:25" x14ac:dyDescent="0.35">
      <c r="A25585" s="27" t="s">
        <v>231</v>
      </c>
      <c r="B25585" s="27" t="s">
        <v>239</v>
      </c>
      <c r="C25585" s="28">
        <v>0.5</v>
      </c>
      <c r="D25585" s="28">
        <v>0.46429999999999999</v>
      </c>
      <c r="E25585" s="28">
        <v>0.25</v>
      </c>
      <c r="F25585" s="28">
        <v>7.1400000000000005E-2</v>
      </c>
      <c r="G25585" s="28">
        <v>0.17860000000000001</v>
      </c>
      <c r="H25585" s="28">
        <v>0.25</v>
      </c>
      <c r="I25585" s="28">
        <v>0.1071</v>
      </c>
      <c r="J25585" s="28">
        <v>0.1071</v>
      </c>
      <c r="K25585" s="29"/>
      <c r="L25585" s="28">
        <v>3.5700000000000003E-2</v>
      </c>
      <c r="M25585" s="28">
        <v>3.5700000000000003E-2</v>
      </c>
      <c r="N25585" s="28">
        <v>3.5700000000000003E-2</v>
      </c>
      <c r="O25585" s="28">
        <v>3.5700000000000003E-2</v>
      </c>
      <c r="P25585" s="29"/>
      <c r="Q25585" s="28">
        <v>3.5700000000000003E-2</v>
      </c>
      <c r="R25585" s="29"/>
      <c r="S25585" s="29"/>
      <c r="T25585" s="29"/>
      <c r="U25585" s="29"/>
      <c r="V25585" s="29"/>
      <c r="W25585" s="29"/>
      <c r="X25585" s="29"/>
      <c r="Y25585" s="29" t="s">
        <v>336</v>
      </c>
    </row>
    <row r="25586" spans="1:25" x14ac:dyDescent="0.35">
      <c r="A25586" t="s">
        <v>231</v>
      </c>
      <c r="B25586" t="s">
        <v>238</v>
      </c>
      <c r="C25586" s="26">
        <v>0.58699999999999997</v>
      </c>
      <c r="D25586" s="26">
        <v>0.19570000000000001</v>
      </c>
      <c r="E25586" s="26">
        <v>0.1739</v>
      </c>
      <c r="F25586" s="26">
        <v>0.23910000000000001</v>
      </c>
      <c r="G25586" s="26">
        <v>4.3499999999999997E-2</v>
      </c>
      <c r="H25586" s="26">
        <v>2.1700000000000001E-2</v>
      </c>
      <c r="I25586" s="26">
        <v>2.1700000000000001E-2</v>
      </c>
      <c r="J25586" s="26">
        <v>2.1700000000000001E-2</v>
      </c>
      <c r="K25586" s="26">
        <v>0.13039999999999999</v>
      </c>
      <c r="L25586" s="26">
        <v>2.1700000000000001E-2</v>
      </c>
      <c r="M25586" s="26">
        <v>4.3499999999999997E-2</v>
      </c>
      <c r="N25586" s="26">
        <v>2.1700000000000001E-2</v>
      </c>
      <c r="P25586" s="26">
        <v>2.1700000000000001E-2</v>
      </c>
      <c r="Q25586" s="26">
        <v>4.3499999999999997E-2</v>
      </c>
      <c r="R25586" s="26">
        <v>2.1700000000000001E-2</v>
      </c>
      <c r="V25586" s="26">
        <v>2.1700000000000001E-2</v>
      </c>
      <c r="W25586" s="26">
        <v>2.1700000000000001E-2</v>
      </c>
      <c r="Y25586">
        <v>46</v>
      </c>
    </row>
    <row r="25587" spans="1:25" x14ac:dyDescent="0.35">
      <c r="A25587" t="s">
        <v>232</v>
      </c>
      <c r="B25587" t="s">
        <v>232</v>
      </c>
      <c r="C25587" s="26">
        <v>0.56540000000000001</v>
      </c>
      <c r="D25587" s="26">
        <v>0.25569999999999998</v>
      </c>
      <c r="E25587" s="26">
        <v>0.24279999999999999</v>
      </c>
      <c r="F25587" s="26">
        <v>0.16619999999999999</v>
      </c>
      <c r="G25587" s="26">
        <v>7.5700000000000003E-2</v>
      </c>
      <c r="H25587" s="26">
        <v>6.7299999999999999E-2</v>
      </c>
      <c r="I25587" s="26">
        <v>5.8099999999999999E-2</v>
      </c>
      <c r="J25587" s="26">
        <v>5.79E-2</v>
      </c>
      <c r="K25587" s="26">
        <v>4.7600000000000003E-2</v>
      </c>
      <c r="L25587" s="26">
        <v>4.0399999999999998E-2</v>
      </c>
      <c r="M25587" s="26">
        <v>3.73E-2</v>
      </c>
      <c r="N25587" s="26">
        <v>3.3700000000000001E-2</v>
      </c>
      <c r="O25587" s="26">
        <v>2.92E-2</v>
      </c>
      <c r="P25587" s="26">
        <v>2.6599999999999999E-2</v>
      </c>
      <c r="Q25587" s="26">
        <v>2.06E-2</v>
      </c>
      <c r="R25587" s="26">
        <v>1.9199999999999998E-2</v>
      </c>
      <c r="S25587" s="26">
        <v>1.6299999999999999E-2</v>
      </c>
      <c r="T25587" s="26">
        <v>1.47E-2</v>
      </c>
      <c r="U25587" s="26">
        <v>8.0000000000000002E-3</v>
      </c>
      <c r="V25587" s="26">
        <v>7.9000000000000008E-3</v>
      </c>
      <c r="W25587" s="26">
        <v>7.3000000000000001E-3</v>
      </c>
      <c r="X25587" s="26">
        <v>5.4999999999999997E-3</v>
      </c>
      <c r="Y25587">
        <v>1537</v>
      </c>
    </row>
    <row r="25589" spans="1:25" x14ac:dyDescent="0.35">
      <c r="A25589" s="1" t="s">
        <v>2338</v>
      </c>
    </row>
    <row r="25590" spans="1:25" x14ac:dyDescent="0.35">
      <c r="A25590" t="s">
        <v>219</v>
      </c>
      <c r="B25590" t="s">
        <v>305</v>
      </c>
      <c r="C25590" t="s">
        <v>2315</v>
      </c>
      <c r="D25590" t="s">
        <v>2316</v>
      </c>
      <c r="E25590" t="s">
        <v>2317</v>
      </c>
      <c r="F25590" t="s">
        <v>2318</v>
      </c>
      <c r="G25590" t="s">
        <v>2319</v>
      </c>
      <c r="H25590" t="s">
        <v>2320</v>
      </c>
      <c r="I25590" t="s">
        <v>2321</v>
      </c>
      <c r="J25590" t="s">
        <v>2322</v>
      </c>
      <c r="K25590" t="s">
        <v>2323</v>
      </c>
      <c r="L25590" t="s">
        <v>2324</v>
      </c>
      <c r="M25590" t="s">
        <v>2325</v>
      </c>
      <c r="N25590" t="s">
        <v>2326</v>
      </c>
      <c r="O25590" t="s">
        <v>2327</v>
      </c>
      <c r="P25590" t="s">
        <v>2328</v>
      </c>
      <c r="Q25590" t="s">
        <v>2329</v>
      </c>
      <c r="R25590" t="s">
        <v>2330</v>
      </c>
      <c r="S25590" t="s">
        <v>2331</v>
      </c>
      <c r="T25590" t="s">
        <v>2332</v>
      </c>
      <c r="U25590" t="s">
        <v>326</v>
      </c>
      <c r="V25590" t="s">
        <v>2333</v>
      </c>
      <c r="W25590" t="s">
        <v>2334</v>
      </c>
      <c r="X25590" t="s">
        <v>2335</v>
      </c>
      <c r="Y25590" t="s">
        <v>226</v>
      </c>
    </row>
    <row r="25591" spans="1:25" x14ac:dyDescent="0.35">
      <c r="A25591" t="s">
        <v>227</v>
      </c>
      <c r="B25591" t="s">
        <v>244</v>
      </c>
      <c r="C25591" s="26">
        <v>0.49020000000000002</v>
      </c>
      <c r="D25591" s="26">
        <v>0.2157</v>
      </c>
      <c r="E25591" s="26">
        <v>0.13730000000000001</v>
      </c>
      <c r="F25591" s="26">
        <v>0.17649999999999999</v>
      </c>
      <c r="G25591" s="26">
        <v>9.8000000000000004E-2</v>
      </c>
      <c r="H25591" s="26">
        <v>5.8799999999999998E-2</v>
      </c>
      <c r="I25591" s="26">
        <v>5.8799999999999998E-2</v>
      </c>
      <c r="J25591" s="26">
        <v>9.8000000000000004E-2</v>
      </c>
      <c r="K25591" s="26">
        <v>1.9599999999999999E-2</v>
      </c>
      <c r="L25591" s="26">
        <v>3.9199999999999999E-2</v>
      </c>
      <c r="M25591" s="26">
        <v>3.9199999999999999E-2</v>
      </c>
      <c r="N25591" s="26">
        <v>0.1176</v>
      </c>
      <c r="O25591" s="26">
        <v>5.8799999999999998E-2</v>
      </c>
      <c r="Q25591" s="26">
        <v>1.9599999999999999E-2</v>
      </c>
      <c r="R25591" s="26">
        <v>7.8399999999999997E-2</v>
      </c>
      <c r="S25591" s="26">
        <v>1.9599999999999999E-2</v>
      </c>
      <c r="T25591" s="26">
        <v>3.9199999999999999E-2</v>
      </c>
      <c r="V25591" s="26">
        <v>1.9599999999999999E-2</v>
      </c>
      <c r="X25591" s="26">
        <v>1.9599999999999999E-2</v>
      </c>
      <c r="Y25591">
        <v>51</v>
      </c>
    </row>
    <row r="25592" spans="1:25" x14ac:dyDescent="0.35">
      <c r="A25592" s="27" t="s">
        <v>227</v>
      </c>
      <c r="B25592" s="27" t="s">
        <v>245</v>
      </c>
      <c r="C25592" s="28">
        <v>0.56520000000000004</v>
      </c>
      <c r="D25592" s="28">
        <v>0.26090000000000002</v>
      </c>
      <c r="E25592" s="28">
        <v>0.39129999999999998</v>
      </c>
      <c r="F25592" s="28">
        <v>0.26090000000000002</v>
      </c>
      <c r="G25592" s="29"/>
      <c r="H25592" s="29"/>
      <c r="I25592" s="29"/>
      <c r="J25592" s="29"/>
      <c r="K25592" s="29"/>
      <c r="L25592" s="29"/>
      <c r="M25592" s="29"/>
      <c r="N25592" s="29"/>
      <c r="O25592" s="29"/>
      <c r="P25592" s="29"/>
      <c r="Q25592" s="29"/>
      <c r="R25592" s="29"/>
      <c r="S25592" s="29"/>
      <c r="T25592" s="29"/>
      <c r="U25592" s="29"/>
      <c r="V25592" s="29"/>
      <c r="W25592" s="29"/>
      <c r="X25592" s="29"/>
      <c r="Y25592" s="29" t="s">
        <v>328</v>
      </c>
    </row>
    <row r="25593" spans="1:25" x14ac:dyDescent="0.35">
      <c r="A25593" s="27" t="s">
        <v>227</v>
      </c>
      <c r="B25593" s="27" t="s">
        <v>246</v>
      </c>
      <c r="C25593" s="28">
        <v>0.75</v>
      </c>
      <c r="D25593" s="28">
        <v>0.375</v>
      </c>
      <c r="E25593" s="28">
        <v>0.375</v>
      </c>
      <c r="F25593" s="29"/>
      <c r="G25593" s="28">
        <v>0.125</v>
      </c>
      <c r="H25593" s="29"/>
      <c r="I25593" s="28">
        <v>0.125</v>
      </c>
      <c r="J25593" s="28">
        <v>0.125</v>
      </c>
      <c r="K25593" s="29"/>
      <c r="L25593" s="29"/>
      <c r="M25593" s="28">
        <v>0.25</v>
      </c>
      <c r="N25593" s="29"/>
      <c r="O25593" s="29"/>
      <c r="P25593" s="29"/>
      <c r="Q25593" s="29"/>
      <c r="R25593" s="29"/>
      <c r="S25593" s="29"/>
      <c r="T25593" s="29"/>
      <c r="U25593" s="28">
        <v>0.125</v>
      </c>
      <c r="V25593" s="29"/>
      <c r="W25593" s="29"/>
      <c r="X25593" s="29"/>
      <c r="Y25593" s="29" t="s">
        <v>333</v>
      </c>
    </row>
    <row r="25594" spans="1:25" x14ac:dyDescent="0.35">
      <c r="A25594" t="s">
        <v>228</v>
      </c>
      <c r="B25594" t="s">
        <v>244</v>
      </c>
      <c r="C25594" s="26">
        <v>0.62839999999999996</v>
      </c>
      <c r="D25594" s="26">
        <v>0.24</v>
      </c>
      <c r="E25594" s="26">
        <v>0.23350000000000001</v>
      </c>
      <c r="F25594" s="26">
        <v>0.10780000000000001</v>
      </c>
      <c r="G25594" s="26">
        <v>6.7799999999999999E-2</v>
      </c>
      <c r="H25594" s="26">
        <v>6.4399999999999999E-2</v>
      </c>
      <c r="I25594" s="26">
        <v>8.2900000000000001E-2</v>
      </c>
      <c r="J25594" s="26">
        <v>6.9900000000000004E-2</v>
      </c>
      <c r="K25594" s="26">
        <v>3.73E-2</v>
      </c>
      <c r="L25594" s="26">
        <v>5.8099999999999999E-2</v>
      </c>
      <c r="M25594" s="26">
        <v>2.2200000000000001E-2</v>
      </c>
      <c r="N25594" s="26">
        <v>1.4E-2</v>
      </c>
      <c r="O25594" s="26">
        <v>2.2800000000000001E-2</v>
      </c>
      <c r="P25594" s="26">
        <v>7.2300000000000003E-2</v>
      </c>
      <c r="Q25594" s="26">
        <v>8.2000000000000007E-3</v>
      </c>
      <c r="R25594" s="26">
        <v>3.4500000000000003E-2</v>
      </c>
      <c r="S25594" s="26">
        <v>2.7799999999999998E-2</v>
      </c>
      <c r="T25594" s="26">
        <v>4.5400000000000003E-2</v>
      </c>
      <c r="U25594" s="26">
        <v>1.2200000000000001E-2</v>
      </c>
      <c r="V25594" s="26">
        <v>2.3999999999999998E-3</v>
      </c>
      <c r="W25594" s="26">
        <v>6.1000000000000004E-3</v>
      </c>
      <c r="X25594" s="26">
        <v>1.77E-2</v>
      </c>
      <c r="Y25594">
        <v>379</v>
      </c>
    </row>
    <row r="25595" spans="1:25" x14ac:dyDescent="0.35">
      <c r="A25595" t="s">
        <v>228</v>
      </c>
      <c r="B25595" t="s">
        <v>245</v>
      </c>
      <c r="C25595" s="26">
        <v>0.6694</v>
      </c>
      <c r="D25595" s="26">
        <v>0.25779999999999997</v>
      </c>
      <c r="E25595" s="26">
        <v>0.2384</v>
      </c>
      <c r="F25595" s="26">
        <v>8.0799999999999997E-2</v>
      </c>
      <c r="G25595" s="26">
        <v>7.6499999999999999E-2</v>
      </c>
      <c r="H25595" s="26">
        <v>4.4600000000000001E-2</v>
      </c>
      <c r="I25595" s="26">
        <v>1.7999999999999999E-2</v>
      </c>
      <c r="J25595" s="26">
        <v>4.0800000000000003E-2</v>
      </c>
      <c r="K25595" s="26">
        <v>4.19E-2</v>
      </c>
      <c r="L25595" s="26">
        <v>7.17E-2</v>
      </c>
      <c r="M25595" s="26">
        <v>7.6499999999999999E-2</v>
      </c>
      <c r="N25595" s="26">
        <v>1.2200000000000001E-2</v>
      </c>
      <c r="O25595" s="26">
        <v>4.0300000000000002E-2</v>
      </c>
      <c r="Q25595" s="26">
        <v>5.7700000000000001E-2</v>
      </c>
      <c r="R25595" s="26">
        <v>3.8999999999999998E-3</v>
      </c>
      <c r="S25595" s="26">
        <v>2.01E-2</v>
      </c>
      <c r="T25595" s="26">
        <v>2.53E-2</v>
      </c>
      <c r="U25595" s="26">
        <v>8.3000000000000001E-3</v>
      </c>
      <c r="V25595" s="26">
        <v>7.7999999999999996E-3</v>
      </c>
      <c r="X25595" s="26">
        <v>1.35E-2</v>
      </c>
      <c r="Y25595">
        <v>192</v>
      </c>
    </row>
    <row r="25596" spans="1:25" x14ac:dyDescent="0.35">
      <c r="A25596" t="s">
        <v>228</v>
      </c>
      <c r="B25596" t="s">
        <v>246</v>
      </c>
      <c r="C25596" s="26">
        <v>0.4844</v>
      </c>
      <c r="D25596" s="26">
        <v>0.2984</v>
      </c>
      <c r="E25596" s="26">
        <v>0.40620000000000001</v>
      </c>
      <c r="F25596" s="26">
        <v>0.1794</v>
      </c>
      <c r="G25596" s="26">
        <v>0.1205</v>
      </c>
      <c r="H25596" s="26">
        <v>5.6000000000000001E-2</v>
      </c>
      <c r="I25596" s="26">
        <v>0.13650000000000001</v>
      </c>
      <c r="J25596" s="26">
        <v>5.1900000000000002E-2</v>
      </c>
      <c r="K25596" s="26">
        <v>8.1100000000000005E-2</v>
      </c>
      <c r="L25596" s="26">
        <v>8.5999999999999993E-2</v>
      </c>
      <c r="M25596" s="26">
        <v>4.4000000000000003E-3</v>
      </c>
      <c r="O25596" s="26">
        <v>6.4999999999999997E-3</v>
      </c>
      <c r="P25596" s="26">
        <v>0.1082</v>
      </c>
      <c r="R25596" s="26">
        <v>9.9000000000000008E-3</v>
      </c>
      <c r="T25596" s="26">
        <v>1.49E-2</v>
      </c>
      <c r="Y25596">
        <v>49</v>
      </c>
    </row>
    <row r="25597" spans="1:25" x14ac:dyDescent="0.35">
      <c r="A25597" t="s">
        <v>229</v>
      </c>
      <c r="B25597" t="s">
        <v>244</v>
      </c>
      <c r="C25597" s="26">
        <v>0.50229999999999997</v>
      </c>
      <c r="D25597" s="26">
        <v>0.1925</v>
      </c>
      <c r="E25597" s="26">
        <v>0.27179999999999999</v>
      </c>
      <c r="F25597" s="26">
        <v>0.2311</v>
      </c>
      <c r="G25597" s="26">
        <v>7.2900000000000006E-2</v>
      </c>
      <c r="H25597" s="26">
        <v>1.8100000000000002E-2</v>
      </c>
      <c r="I25597" s="26">
        <v>2.58E-2</v>
      </c>
      <c r="J25597" s="26">
        <v>4.9500000000000002E-2</v>
      </c>
      <c r="K25597" s="26">
        <v>4.5499999999999999E-2</v>
      </c>
      <c r="L25597" s="26">
        <v>4.4999999999999998E-2</v>
      </c>
      <c r="M25597" s="26">
        <v>3.2599999999999997E-2</v>
      </c>
      <c r="N25597" s="26">
        <v>1.04E-2</v>
      </c>
      <c r="O25597" s="26">
        <v>3.9399999999999998E-2</v>
      </c>
      <c r="P25597" s="26">
        <v>2.41E-2</v>
      </c>
      <c r="Q25597" s="26">
        <v>1.95E-2</v>
      </c>
      <c r="R25597" s="26">
        <v>9.7999999999999997E-3</v>
      </c>
      <c r="S25597" s="26">
        <v>4.2099999999999999E-2</v>
      </c>
      <c r="V25597" s="26">
        <v>2.9999999999999997E-4</v>
      </c>
      <c r="W25597" s="26">
        <v>1.1000000000000001E-3</v>
      </c>
      <c r="Y25597">
        <v>248</v>
      </c>
    </row>
    <row r="25598" spans="1:25" x14ac:dyDescent="0.35">
      <c r="A25598" t="s">
        <v>229</v>
      </c>
      <c r="B25598" t="s">
        <v>245</v>
      </c>
      <c r="C25598" s="26">
        <v>0.53010000000000002</v>
      </c>
      <c r="D25598" s="26">
        <v>0.17130000000000001</v>
      </c>
      <c r="E25598" s="26">
        <v>0.21</v>
      </c>
      <c r="F25598" s="26">
        <v>0.2039</v>
      </c>
      <c r="G25598" s="26">
        <v>1.1900000000000001E-2</v>
      </c>
      <c r="H25598" s="26">
        <v>1.4200000000000001E-2</v>
      </c>
      <c r="I25598" s="26">
        <v>7.1499999999999994E-2</v>
      </c>
      <c r="J25598" s="26">
        <v>4.1399999999999999E-2</v>
      </c>
      <c r="K25598" s="26">
        <v>2.3E-2</v>
      </c>
      <c r="L25598" s="26">
        <v>2.7199999999999998E-2</v>
      </c>
      <c r="M25598" s="26">
        <v>4.7199999999999999E-2</v>
      </c>
      <c r="N25598" s="26">
        <v>6.7400000000000002E-2</v>
      </c>
      <c r="O25598" s="26">
        <v>2.7900000000000001E-2</v>
      </c>
      <c r="P25598" s="26">
        <v>8.0000000000000004E-4</v>
      </c>
      <c r="Q25598" s="26">
        <v>3.5000000000000001E-3</v>
      </c>
      <c r="S25598" s="26">
        <v>1.11E-2</v>
      </c>
      <c r="U25598" s="26">
        <v>2.0799999999999999E-2</v>
      </c>
      <c r="W25598" s="26">
        <v>4.1700000000000001E-2</v>
      </c>
      <c r="Y25598">
        <v>128</v>
      </c>
    </row>
    <row r="25599" spans="1:25" x14ac:dyDescent="0.35">
      <c r="A25599" s="27" t="s">
        <v>229</v>
      </c>
      <c r="B25599" s="27" t="s">
        <v>246</v>
      </c>
      <c r="C25599" s="28">
        <v>0.68059999999999998</v>
      </c>
      <c r="D25599" s="28">
        <v>0.30659999999999998</v>
      </c>
      <c r="E25599" s="28">
        <v>0.34420000000000001</v>
      </c>
      <c r="F25599" s="28">
        <v>0.15959999999999999</v>
      </c>
      <c r="G25599" s="28">
        <v>0.08</v>
      </c>
      <c r="H25599" s="28">
        <v>2.9899999999999999E-2</v>
      </c>
      <c r="I25599" s="28">
        <v>8.4400000000000003E-2</v>
      </c>
      <c r="J25599" s="28">
        <v>8.5000000000000006E-3</v>
      </c>
      <c r="K25599" s="28">
        <v>6.4799999999999996E-2</v>
      </c>
      <c r="L25599" s="28">
        <v>4.4000000000000003E-3</v>
      </c>
      <c r="M25599" s="28">
        <v>1.29E-2</v>
      </c>
      <c r="N25599" s="28">
        <v>6.4799999999999996E-2</v>
      </c>
      <c r="O25599" s="28">
        <v>6.4799999999999996E-2</v>
      </c>
      <c r="P25599" s="28">
        <v>6.9199999999999998E-2</v>
      </c>
      <c r="Q25599" s="28">
        <v>4.4000000000000003E-3</v>
      </c>
      <c r="R25599" s="29"/>
      <c r="S25599" s="29"/>
      <c r="T25599" s="29"/>
      <c r="U25599" s="28">
        <v>6.4799999999999996E-2</v>
      </c>
      <c r="V25599" s="28">
        <v>7.7499999999999999E-2</v>
      </c>
      <c r="W25599" s="29"/>
      <c r="X25599" s="29"/>
      <c r="Y25599" s="29" t="s">
        <v>329</v>
      </c>
    </row>
    <row r="25600" spans="1:25" x14ac:dyDescent="0.35">
      <c r="A25600" t="s">
        <v>230</v>
      </c>
      <c r="B25600" t="s">
        <v>244</v>
      </c>
      <c r="C25600" s="26">
        <v>0.62370000000000003</v>
      </c>
      <c r="D25600" s="26">
        <v>0.2989</v>
      </c>
      <c r="E25600" s="26">
        <v>0.3407</v>
      </c>
      <c r="F25600" s="26">
        <v>0.11409999999999999</v>
      </c>
      <c r="G25600" s="26">
        <v>0.1154</v>
      </c>
      <c r="H25600" s="26">
        <v>0.1489</v>
      </c>
      <c r="I25600" s="26">
        <v>6.2100000000000002E-2</v>
      </c>
      <c r="J25600" s="26">
        <v>8.1900000000000001E-2</v>
      </c>
      <c r="K25600" s="26">
        <v>2.23E-2</v>
      </c>
      <c r="L25600" s="26">
        <v>6.9199999999999998E-2</v>
      </c>
      <c r="M25600" s="26">
        <v>2.9700000000000001E-2</v>
      </c>
      <c r="N25600" s="26">
        <v>3.7600000000000001E-2</v>
      </c>
      <c r="O25600" s="26">
        <v>4.36E-2</v>
      </c>
      <c r="P25600" s="26">
        <v>7.2300000000000003E-2</v>
      </c>
      <c r="Q25600" s="26">
        <v>3.2000000000000002E-3</v>
      </c>
      <c r="S25600" s="26">
        <v>1.7500000000000002E-2</v>
      </c>
      <c r="T25600" s="26">
        <v>3.2199999999999999E-2</v>
      </c>
      <c r="U25600" s="26">
        <v>1.4999999999999999E-2</v>
      </c>
      <c r="X25600" s="26">
        <v>3.2000000000000002E-3</v>
      </c>
      <c r="Y25600">
        <v>229</v>
      </c>
    </row>
    <row r="25601" spans="1:25" x14ac:dyDescent="0.35">
      <c r="A25601" t="s">
        <v>230</v>
      </c>
      <c r="B25601" t="s">
        <v>245</v>
      </c>
      <c r="C25601" s="26">
        <v>0.61160000000000003</v>
      </c>
      <c r="D25601" s="26">
        <v>0.34939999999999999</v>
      </c>
      <c r="E25601" s="26">
        <v>0.18140000000000001</v>
      </c>
      <c r="F25601" s="26">
        <v>0.1012</v>
      </c>
      <c r="G25601" s="26">
        <v>1.52E-2</v>
      </c>
      <c r="H25601" s="26">
        <v>0.15329999999999999</v>
      </c>
      <c r="I25601" s="26">
        <v>0.1749</v>
      </c>
      <c r="J25601" s="26">
        <v>3.8199999999999998E-2</v>
      </c>
      <c r="K25601" s="26">
        <v>0.10290000000000001</v>
      </c>
      <c r="L25601" s="26">
        <v>3.6700000000000003E-2</v>
      </c>
      <c r="M25601" s="26">
        <v>1.7000000000000001E-2</v>
      </c>
      <c r="N25601" s="26">
        <v>3.3099999999999997E-2</v>
      </c>
      <c r="O25601" s="26">
        <v>3.4700000000000002E-2</v>
      </c>
      <c r="P25601" s="26">
        <v>5.1999999999999998E-3</v>
      </c>
      <c r="R25601" s="26">
        <v>3.3099999999999997E-2</v>
      </c>
      <c r="S25601" s="26">
        <v>1.6000000000000001E-3</v>
      </c>
      <c r="T25601" s="26">
        <v>1.5800000000000002E-2</v>
      </c>
      <c r="U25601" s="26">
        <v>1.6000000000000001E-3</v>
      </c>
      <c r="X25601" s="26">
        <v>5.1999999999999998E-3</v>
      </c>
      <c r="Y25601">
        <v>105</v>
      </c>
    </row>
    <row r="25602" spans="1:25" x14ac:dyDescent="0.35">
      <c r="A25602" s="27" t="s">
        <v>230</v>
      </c>
      <c r="B25602" s="27" t="s">
        <v>246</v>
      </c>
      <c r="C25602" s="28">
        <v>0.61170000000000002</v>
      </c>
      <c r="D25602" s="28">
        <v>0.62590000000000001</v>
      </c>
      <c r="E25602" s="28">
        <v>0.2089</v>
      </c>
      <c r="F25602" s="28">
        <v>2.9399999999999999E-2</v>
      </c>
      <c r="G25602" s="28">
        <v>3.9199999999999999E-2</v>
      </c>
      <c r="H25602" s="28">
        <v>0.24809999999999999</v>
      </c>
      <c r="I25602" s="29"/>
      <c r="J25602" s="28">
        <v>0.18779999999999999</v>
      </c>
      <c r="K25602" s="29"/>
      <c r="L25602" s="29"/>
      <c r="M25602" s="28">
        <v>9.1000000000000004E-3</v>
      </c>
      <c r="N25602" s="28">
        <v>0.1787</v>
      </c>
      <c r="O25602" s="29"/>
      <c r="P25602" s="29"/>
      <c r="Q25602" s="28">
        <v>2.9399999999999999E-2</v>
      </c>
      <c r="R25602" s="28">
        <v>3.0099999999999998E-2</v>
      </c>
      <c r="S25602" s="29"/>
      <c r="T25602" s="28">
        <v>3.0099999999999998E-2</v>
      </c>
      <c r="U25602" s="29"/>
      <c r="V25602" s="29"/>
      <c r="W25602" s="29"/>
      <c r="X25602" s="29"/>
      <c r="Y25602" s="29" t="s">
        <v>347</v>
      </c>
    </row>
    <row r="25603" spans="1:25" x14ac:dyDescent="0.35">
      <c r="A25603" t="s">
        <v>231</v>
      </c>
      <c r="B25603" t="s">
        <v>244</v>
      </c>
      <c r="C25603" s="26">
        <v>0.6341</v>
      </c>
      <c r="D25603" s="26">
        <v>0.29270000000000002</v>
      </c>
      <c r="E25603" s="26">
        <v>0.1951</v>
      </c>
      <c r="F25603" s="26">
        <v>0.14630000000000001</v>
      </c>
      <c r="G25603" s="26">
        <v>0.14630000000000001</v>
      </c>
      <c r="H25603" s="26">
        <v>9.7600000000000006E-2</v>
      </c>
      <c r="I25603" s="26">
        <v>2.4400000000000002E-2</v>
      </c>
      <c r="J25603" s="26">
        <v>7.3200000000000001E-2</v>
      </c>
      <c r="K25603" s="26">
        <v>4.8800000000000003E-2</v>
      </c>
      <c r="L25603" s="26">
        <v>4.8800000000000003E-2</v>
      </c>
      <c r="M25603" s="26">
        <v>4.8800000000000003E-2</v>
      </c>
      <c r="N25603" s="26">
        <v>2.4400000000000002E-2</v>
      </c>
      <c r="O25603" s="26">
        <v>2.4400000000000002E-2</v>
      </c>
      <c r="P25603" s="26">
        <v>2.4400000000000002E-2</v>
      </c>
      <c r="Q25603" s="26">
        <v>2.4400000000000002E-2</v>
      </c>
      <c r="V25603" s="26">
        <v>2.4400000000000002E-2</v>
      </c>
      <c r="Y25603">
        <v>41</v>
      </c>
    </row>
    <row r="25604" spans="1:25" x14ac:dyDescent="0.35">
      <c r="A25604" s="27" t="s">
        <v>231</v>
      </c>
      <c r="B25604" s="27" t="s">
        <v>245</v>
      </c>
      <c r="C25604" s="28">
        <v>0.51719999999999999</v>
      </c>
      <c r="D25604" s="28">
        <v>0.27589999999999998</v>
      </c>
      <c r="E25604" s="28">
        <v>0.2069</v>
      </c>
      <c r="F25604" s="28">
        <v>0.2069</v>
      </c>
      <c r="G25604" s="28">
        <v>3.4500000000000003E-2</v>
      </c>
      <c r="H25604" s="28">
        <v>0.13789999999999999</v>
      </c>
      <c r="I25604" s="28">
        <v>6.9000000000000006E-2</v>
      </c>
      <c r="J25604" s="28">
        <v>3.4500000000000003E-2</v>
      </c>
      <c r="K25604" s="28">
        <v>0.13789999999999999</v>
      </c>
      <c r="L25604" s="29"/>
      <c r="M25604" s="29"/>
      <c r="N25604" s="29"/>
      <c r="O25604" s="29"/>
      <c r="P25604" s="29"/>
      <c r="Q25604" s="28">
        <v>6.9000000000000006E-2</v>
      </c>
      <c r="R25604" s="28">
        <v>3.4500000000000003E-2</v>
      </c>
      <c r="S25604" s="29"/>
      <c r="T25604" s="29"/>
      <c r="U25604" s="29"/>
      <c r="V25604" s="29"/>
      <c r="W25604" s="28">
        <v>3.4500000000000003E-2</v>
      </c>
      <c r="X25604" s="29"/>
      <c r="Y25604" s="29" t="s">
        <v>329</v>
      </c>
    </row>
    <row r="25605" spans="1:25" x14ac:dyDescent="0.35">
      <c r="A25605" s="27" t="s">
        <v>231</v>
      </c>
      <c r="B25605" s="27" t="s">
        <v>246</v>
      </c>
      <c r="C25605" s="29"/>
      <c r="D25605" s="28">
        <v>0.5</v>
      </c>
      <c r="E25605" s="28">
        <v>0.25</v>
      </c>
      <c r="F25605" s="28">
        <v>0.25</v>
      </c>
      <c r="G25605" s="29"/>
      <c r="H25605" s="29"/>
      <c r="I25605" s="28">
        <v>0.25</v>
      </c>
      <c r="J25605" s="29"/>
      <c r="K25605" s="29"/>
      <c r="L25605" s="29"/>
      <c r="M25605" s="28">
        <v>0.25</v>
      </c>
      <c r="N25605" s="28">
        <v>0.25</v>
      </c>
      <c r="O25605" s="29"/>
      <c r="P25605" s="29"/>
      <c r="Q25605" s="29"/>
      <c r="R25605" s="29"/>
      <c r="S25605" s="29"/>
      <c r="T25605" s="29"/>
      <c r="U25605" s="29"/>
      <c r="V25605" s="29"/>
      <c r="W25605" s="29"/>
      <c r="X25605" s="29"/>
      <c r="Y25605" s="29" t="s">
        <v>337</v>
      </c>
    </row>
    <row r="25606" spans="1:25" x14ac:dyDescent="0.35">
      <c r="A25606" t="s">
        <v>232</v>
      </c>
      <c r="B25606" t="s">
        <v>232</v>
      </c>
      <c r="C25606" s="26">
        <v>0.56540000000000001</v>
      </c>
      <c r="D25606" s="26">
        <v>0.25569999999999998</v>
      </c>
      <c r="E25606" s="26">
        <v>0.24279999999999999</v>
      </c>
      <c r="F25606" s="26">
        <v>0.16619999999999999</v>
      </c>
      <c r="G25606" s="26">
        <v>7.5700000000000003E-2</v>
      </c>
      <c r="H25606" s="26">
        <v>6.7299999999999999E-2</v>
      </c>
      <c r="I25606" s="26">
        <v>5.8099999999999999E-2</v>
      </c>
      <c r="J25606" s="26">
        <v>5.79E-2</v>
      </c>
      <c r="K25606" s="26">
        <v>4.7600000000000003E-2</v>
      </c>
      <c r="L25606" s="26">
        <v>4.0399999999999998E-2</v>
      </c>
      <c r="M25606" s="26">
        <v>3.73E-2</v>
      </c>
      <c r="N25606" s="26">
        <v>3.3700000000000001E-2</v>
      </c>
      <c r="O25606" s="26">
        <v>2.92E-2</v>
      </c>
      <c r="P25606" s="26">
        <v>2.6599999999999999E-2</v>
      </c>
      <c r="Q25606" s="26">
        <v>2.06E-2</v>
      </c>
      <c r="R25606" s="26">
        <v>1.9199999999999998E-2</v>
      </c>
      <c r="S25606" s="26">
        <v>1.6299999999999999E-2</v>
      </c>
      <c r="T25606" s="26">
        <v>1.47E-2</v>
      </c>
      <c r="U25606" s="26">
        <v>8.0000000000000002E-3</v>
      </c>
      <c r="V25606" s="26">
        <v>7.9000000000000008E-3</v>
      </c>
      <c r="W25606" s="26">
        <v>7.3000000000000001E-3</v>
      </c>
      <c r="X25606" s="26">
        <v>5.4999999999999997E-3</v>
      </c>
      <c r="Y25606">
        <v>1537</v>
      </c>
    </row>
    <row r="25608" spans="1:25" x14ac:dyDescent="0.35">
      <c r="A25608" s="1" t="s">
        <v>2339</v>
      </c>
    </row>
    <row r="25609" spans="1:25" x14ac:dyDescent="0.35">
      <c r="A25609" t="s">
        <v>219</v>
      </c>
      <c r="B25609" t="s">
        <v>305</v>
      </c>
      <c r="C25609" t="s">
        <v>2315</v>
      </c>
      <c r="D25609" t="s">
        <v>2316</v>
      </c>
      <c r="E25609" t="s">
        <v>2317</v>
      </c>
      <c r="F25609" t="s">
        <v>2318</v>
      </c>
      <c r="G25609" t="s">
        <v>2319</v>
      </c>
      <c r="H25609" t="s">
        <v>2320</v>
      </c>
      <c r="I25609" t="s">
        <v>2321</v>
      </c>
      <c r="J25609" t="s">
        <v>2322</v>
      </c>
      <c r="K25609" t="s">
        <v>2323</v>
      </c>
      <c r="L25609" t="s">
        <v>2324</v>
      </c>
      <c r="M25609" t="s">
        <v>2325</v>
      </c>
      <c r="N25609" t="s">
        <v>2326</v>
      </c>
      <c r="O25609" t="s">
        <v>2327</v>
      </c>
      <c r="P25609" t="s">
        <v>2328</v>
      </c>
      <c r="Q25609" t="s">
        <v>2329</v>
      </c>
      <c r="R25609" t="s">
        <v>2330</v>
      </c>
      <c r="S25609" t="s">
        <v>2331</v>
      </c>
      <c r="T25609" t="s">
        <v>2332</v>
      </c>
      <c r="U25609" t="s">
        <v>326</v>
      </c>
      <c r="V25609" t="s">
        <v>2333</v>
      </c>
      <c r="W25609" t="s">
        <v>2334</v>
      </c>
      <c r="X25609" t="s">
        <v>2335</v>
      </c>
      <c r="Y25609" t="s">
        <v>226</v>
      </c>
    </row>
    <row r="25610" spans="1:25" x14ac:dyDescent="0.35">
      <c r="A25610" s="27" t="s">
        <v>227</v>
      </c>
      <c r="B25610" s="27" t="s">
        <v>363</v>
      </c>
      <c r="C25610" s="28">
        <v>0.57889999999999997</v>
      </c>
      <c r="D25610" s="28">
        <v>0.1053</v>
      </c>
      <c r="E25610" s="28">
        <v>0.31580000000000003</v>
      </c>
      <c r="F25610" s="28">
        <v>0.26319999999999999</v>
      </c>
      <c r="G25610" s="28">
        <v>0.1053</v>
      </c>
      <c r="H25610" s="28">
        <v>5.2600000000000001E-2</v>
      </c>
      <c r="I25610" s="29"/>
      <c r="J25610" s="28">
        <v>5.2600000000000001E-2</v>
      </c>
      <c r="K25610" s="29"/>
      <c r="L25610" s="29"/>
      <c r="M25610" s="28">
        <v>5.2600000000000001E-2</v>
      </c>
      <c r="N25610" s="28">
        <v>5.2600000000000001E-2</v>
      </c>
      <c r="O25610" s="29"/>
      <c r="P25610" s="29"/>
      <c r="Q25610" s="29"/>
      <c r="R25610" s="29"/>
      <c r="S25610" s="29"/>
      <c r="T25610" s="29"/>
      <c r="U25610" s="29"/>
      <c r="V25610" s="29"/>
      <c r="W25610" s="29"/>
      <c r="X25610" s="29"/>
      <c r="Y25610" s="29" t="s">
        <v>349</v>
      </c>
    </row>
    <row r="25611" spans="1:25" x14ac:dyDescent="0.35">
      <c r="A25611" s="27" t="s">
        <v>227</v>
      </c>
      <c r="B25611" s="27" t="s">
        <v>360</v>
      </c>
      <c r="C25611" s="28">
        <v>0.72</v>
      </c>
      <c r="D25611" s="28">
        <v>0.4</v>
      </c>
      <c r="E25611" s="28">
        <v>0.24</v>
      </c>
      <c r="F25611" s="28">
        <v>0.04</v>
      </c>
      <c r="G25611" s="28">
        <v>0.08</v>
      </c>
      <c r="H25611" s="29"/>
      <c r="I25611" s="28">
        <v>0.08</v>
      </c>
      <c r="J25611" s="28">
        <v>0.08</v>
      </c>
      <c r="K25611" s="29"/>
      <c r="L25611" s="29"/>
      <c r="M25611" s="28">
        <v>0.04</v>
      </c>
      <c r="N25611" s="29"/>
      <c r="O25611" s="28">
        <v>0.04</v>
      </c>
      <c r="P25611" s="29"/>
      <c r="Q25611" s="29"/>
      <c r="R25611" s="28">
        <v>0.08</v>
      </c>
      <c r="S25611" s="29"/>
      <c r="T25611" s="29"/>
      <c r="U25611" s="28">
        <v>0.04</v>
      </c>
      <c r="V25611" s="29"/>
      <c r="W25611" s="29"/>
      <c r="X25611" s="29"/>
      <c r="Y25611" s="29" t="s">
        <v>312</v>
      </c>
    </row>
    <row r="25612" spans="1:25" x14ac:dyDescent="0.35">
      <c r="A25612" s="27" t="s">
        <v>227</v>
      </c>
      <c r="B25612" s="27" t="s">
        <v>361</v>
      </c>
      <c r="C25612" s="28">
        <v>0.22220000000000001</v>
      </c>
      <c r="D25612" s="29"/>
      <c r="E25612" s="28">
        <v>0.22220000000000001</v>
      </c>
      <c r="F25612" s="28">
        <v>0.22220000000000001</v>
      </c>
      <c r="G25612" s="28">
        <v>0.1111</v>
      </c>
      <c r="H25612" s="29"/>
      <c r="I25612" s="29"/>
      <c r="J25612" s="29"/>
      <c r="K25612" s="29"/>
      <c r="L25612" s="28">
        <v>0.22220000000000001</v>
      </c>
      <c r="M25612" s="28">
        <v>0.1111</v>
      </c>
      <c r="N25612" s="28">
        <v>0.33329999999999999</v>
      </c>
      <c r="O25612" s="29"/>
      <c r="P25612" s="29"/>
      <c r="Q25612" s="29"/>
      <c r="R25612" s="29"/>
      <c r="S25612" s="29"/>
      <c r="T25612" s="28">
        <v>0.1111</v>
      </c>
      <c r="U25612" s="29"/>
      <c r="V25612" s="28">
        <v>0.1111</v>
      </c>
      <c r="W25612" s="29"/>
      <c r="X25612" s="29"/>
      <c r="Y25612" s="29" t="s">
        <v>334</v>
      </c>
    </row>
    <row r="25613" spans="1:25" x14ac:dyDescent="0.35">
      <c r="A25613" s="27" t="s">
        <v>227</v>
      </c>
      <c r="B25613" s="27" t="s">
        <v>362</v>
      </c>
      <c r="C25613" s="28">
        <v>0.52</v>
      </c>
      <c r="D25613" s="28">
        <v>0.28000000000000003</v>
      </c>
      <c r="E25613" s="28">
        <v>0.2</v>
      </c>
      <c r="F25613" s="28">
        <v>0.16</v>
      </c>
      <c r="G25613" s="28">
        <v>0.04</v>
      </c>
      <c r="H25613" s="28">
        <v>0.08</v>
      </c>
      <c r="I25613" s="28">
        <v>0.08</v>
      </c>
      <c r="J25613" s="28">
        <v>0.08</v>
      </c>
      <c r="K25613" s="28">
        <v>0.04</v>
      </c>
      <c r="L25613" s="29"/>
      <c r="M25613" s="28">
        <v>0.04</v>
      </c>
      <c r="N25613" s="28">
        <v>0.08</v>
      </c>
      <c r="O25613" s="28">
        <v>0.08</v>
      </c>
      <c r="P25613" s="29"/>
      <c r="Q25613" s="28">
        <v>0.04</v>
      </c>
      <c r="R25613" s="28">
        <v>0.08</v>
      </c>
      <c r="S25613" s="28">
        <v>0.04</v>
      </c>
      <c r="T25613" s="29"/>
      <c r="U25613" s="29"/>
      <c r="V25613" s="29"/>
      <c r="W25613" s="29"/>
      <c r="X25613" s="28">
        <v>0.04</v>
      </c>
      <c r="Y25613" s="29" t="s">
        <v>312</v>
      </c>
    </row>
    <row r="25614" spans="1:25" x14ac:dyDescent="0.35">
      <c r="A25614" t="s">
        <v>228</v>
      </c>
      <c r="B25614" t="s">
        <v>362</v>
      </c>
      <c r="C25614" s="26">
        <v>0.66</v>
      </c>
      <c r="D25614" s="26">
        <v>0.28370000000000001</v>
      </c>
      <c r="E25614" s="26">
        <v>0.32050000000000001</v>
      </c>
      <c r="F25614" s="26">
        <v>0.13519999999999999</v>
      </c>
      <c r="G25614" s="26">
        <v>7.7999999999999996E-3</v>
      </c>
      <c r="H25614" s="26">
        <v>2.3599999999999999E-2</v>
      </c>
      <c r="I25614" s="26">
        <v>3.7199999999999997E-2</v>
      </c>
      <c r="J25614" s="26">
        <v>6.3600000000000004E-2</v>
      </c>
      <c r="K25614" s="26">
        <v>2.9399999999999999E-2</v>
      </c>
      <c r="L25614" s="26">
        <v>1.55E-2</v>
      </c>
      <c r="M25614" s="26">
        <v>8.8999999999999999E-3</v>
      </c>
      <c r="N25614" s="26">
        <v>1.32E-2</v>
      </c>
      <c r="O25614" s="26">
        <v>2.9600000000000001E-2</v>
      </c>
      <c r="P25614" s="26">
        <v>4.9299999999999997E-2</v>
      </c>
      <c r="Q25614" s="26">
        <v>3.0999999999999999E-3</v>
      </c>
      <c r="R25614" s="26">
        <v>6.3E-3</v>
      </c>
      <c r="S25614" s="26">
        <v>6.3E-3</v>
      </c>
      <c r="T25614" s="26">
        <v>1.9900000000000001E-2</v>
      </c>
      <c r="U25614" s="26">
        <v>2.52E-2</v>
      </c>
      <c r="V25614" s="26">
        <v>6.3E-3</v>
      </c>
      <c r="W25614" s="26">
        <v>9.4999999999999998E-3</v>
      </c>
      <c r="X25614" s="26">
        <v>3.0999999999999999E-3</v>
      </c>
      <c r="Y25614">
        <v>145</v>
      </c>
    </row>
    <row r="25615" spans="1:25" x14ac:dyDescent="0.35">
      <c r="A25615" t="s">
        <v>228</v>
      </c>
      <c r="B25615" t="s">
        <v>360</v>
      </c>
      <c r="C25615" s="26">
        <v>0.79079999999999995</v>
      </c>
      <c r="D25615" s="26">
        <v>0.40229999999999999</v>
      </c>
      <c r="E25615" s="26">
        <v>0.27350000000000002</v>
      </c>
      <c r="F25615" s="26">
        <v>4.7E-2</v>
      </c>
      <c r="G25615" s="26">
        <v>8.3000000000000004E-2</v>
      </c>
      <c r="H25615" s="26">
        <v>9.6500000000000002E-2</v>
      </c>
      <c r="I25615" s="26">
        <v>5.2900000000000003E-2</v>
      </c>
      <c r="J25615" s="26">
        <v>6.6299999999999998E-2</v>
      </c>
      <c r="K25615" s="26">
        <v>6.1400000000000003E-2</v>
      </c>
      <c r="L25615" s="26">
        <v>1.6799999999999999E-2</v>
      </c>
      <c r="M25615" s="26">
        <v>5.2299999999999999E-2</v>
      </c>
      <c r="N25615" s="26">
        <v>5.4999999999999997E-3</v>
      </c>
      <c r="O25615" s="26">
        <v>2.1700000000000001E-2</v>
      </c>
      <c r="P25615" s="26">
        <v>3.5900000000000001E-2</v>
      </c>
      <c r="Q25615" s="26">
        <v>9.7999999999999997E-3</v>
      </c>
      <c r="R25615" s="26">
        <v>1.09E-2</v>
      </c>
      <c r="S25615" s="26">
        <v>2.2599999999999999E-2</v>
      </c>
      <c r="T25615" s="26">
        <v>5.33E-2</v>
      </c>
      <c r="X25615" s="26">
        <v>7.6E-3</v>
      </c>
      <c r="Y25615">
        <v>191</v>
      </c>
    </row>
    <row r="25616" spans="1:25" x14ac:dyDescent="0.35">
      <c r="A25616" t="s">
        <v>228</v>
      </c>
      <c r="B25616" t="s">
        <v>363</v>
      </c>
      <c r="C25616" s="26">
        <v>0.59719999999999995</v>
      </c>
      <c r="D25616" s="26">
        <v>0.1714</v>
      </c>
      <c r="E25616" s="26">
        <v>0.19289999999999999</v>
      </c>
      <c r="F25616" s="26">
        <v>6.8400000000000002E-2</v>
      </c>
      <c r="G25616" s="26">
        <v>0.1206</v>
      </c>
      <c r="H25616" s="26">
        <v>7.8100000000000003E-2</v>
      </c>
      <c r="I25616" s="26">
        <v>0.1265</v>
      </c>
      <c r="J25616" s="26">
        <v>8.0199999999999994E-2</v>
      </c>
      <c r="K25616" s="26">
        <v>3.3700000000000001E-2</v>
      </c>
      <c r="L25616" s="26">
        <v>0.106</v>
      </c>
      <c r="M25616" s="26">
        <v>1.4500000000000001E-2</v>
      </c>
      <c r="N25616" s="26">
        <v>9.2999999999999992E-3</v>
      </c>
      <c r="O25616" s="26">
        <v>1.7000000000000001E-2</v>
      </c>
      <c r="P25616" s="26">
        <v>8.7800000000000003E-2</v>
      </c>
      <c r="Q25616" s="26">
        <v>1.11E-2</v>
      </c>
      <c r="R25616" s="26">
        <v>5.3900000000000003E-2</v>
      </c>
      <c r="S25616" s="26">
        <v>7.0000000000000001E-3</v>
      </c>
      <c r="T25616" s="26">
        <v>3.6700000000000003E-2</v>
      </c>
      <c r="U25616" s="26">
        <v>1.6899999999999998E-2</v>
      </c>
      <c r="X25616" s="26">
        <v>3.1600000000000003E-2</v>
      </c>
      <c r="Y25616">
        <v>115</v>
      </c>
    </row>
    <row r="25617" spans="1:25" x14ac:dyDescent="0.35">
      <c r="A25617" t="s">
        <v>228</v>
      </c>
      <c r="B25617" t="s">
        <v>361</v>
      </c>
      <c r="C25617" s="26">
        <v>0.41360000000000002</v>
      </c>
      <c r="D25617" s="26">
        <v>9.01E-2</v>
      </c>
      <c r="E25617" s="26">
        <v>0.2203</v>
      </c>
      <c r="F25617" s="26">
        <v>0.16320000000000001</v>
      </c>
      <c r="G25617" s="26">
        <v>0.11310000000000001</v>
      </c>
      <c r="H25617" s="26">
        <v>2.2599999999999999E-2</v>
      </c>
      <c r="I25617" s="26">
        <v>7.85E-2</v>
      </c>
      <c r="J25617" s="26">
        <v>3.8800000000000001E-2</v>
      </c>
      <c r="K25617" s="26">
        <v>4.4699999999999997E-2</v>
      </c>
      <c r="L25617" s="26">
        <v>0.1545</v>
      </c>
      <c r="M25617" s="26">
        <v>7.9000000000000001E-2</v>
      </c>
      <c r="N25617" s="26">
        <v>1.0999999999999999E-2</v>
      </c>
      <c r="O25617" s="26">
        <v>2.41E-2</v>
      </c>
      <c r="P25617" s="26">
        <v>8.09E-2</v>
      </c>
      <c r="Q25617" s="26">
        <v>3.1399999999999997E-2</v>
      </c>
      <c r="R25617" s="26">
        <v>3.9199999999999999E-2</v>
      </c>
      <c r="S25617" s="26">
        <v>7.0599999999999996E-2</v>
      </c>
      <c r="T25617" s="26">
        <v>4.3099999999999999E-2</v>
      </c>
      <c r="V25617" s="26">
        <v>1.03E-2</v>
      </c>
      <c r="W25617" s="26">
        <v>7.9000000000000008E-3</v>
      </c>
      <c r="X25617" s="26">
        <v>1.9599999999999999E-2</v>
      </c>
      <c r="Y25617">
        <v>93</v>
      </c>
    </row>
    <row r="25618" spans="1:25" x14ac:dyDescent="0.35">
      <c r="A25618" t="s">
        <v>229</v>
      </c>
      <c r="B25618" t="s">
        <v>362</v>
      </c>
      <c r="C25618" s="26">
        <v>0.6169</v>
      </c>
      <c r="D25618" s="26">
        <v>0.3493</v>
      </c>
      <c r="E25618" s="26">
        <v>0.22090000000000001</v>
      </c>
      <c r="F25618" s="26">
        <v>0.1212</v>
      </c>
      <c r="G25618" s="26">
        <v>3.0200000000000001E-2</v>
      </c>
      <c r="H25618" s="26">
        <v>3.8100000000000002E-2</v>
      </c>
      <c r="I25618" s="26">
        <v>7.4200000000000002E-2</v>
      </c>
      <c r="J25618" s="26">
        <v>0.1588</v>
      </c>
      <c r="K25618" s="26">
        <v>3.2800000000000003E-2</v>
      </c>
      <c r="L25618" s="26">
        <v>4.58E-2</v>
      </c>
      <c r="M25618" s="26">
        <v>7.85E-2</v>
      </c>
      <c r="N25618" s="26">
        <v>3.2800000000000003E-2</v>
      </c>
      <c r="O25618" s="26">
        <v>3.7100000000000001E-2</v>
      </c>
      <c r="P25618" s="26">
        <v>1.1999999999999999E-3</v>
      </c>
      <c r="Q25618" s="26">
        <v>2.2000000000000001E-3</v>
      </c>
      <c r="S25618" s="26">
        <v>3.9199999999999999E-2</v>
      </c>
      <c r="W25618" s="26">
        <v>3.2800000000000003E-2</v>
      </c>
      <c r="Y25618">
        <v>90</v>
      </c>
    </row>
    <row r="25619" spans="1:25" x14ac:dyDescent="0.35">
      <c r="A25619" t="s">
        <v>229</v>
      </c>
      <c r="B25619" t="s">
        <v>361</v>
      </c>
      <c r="C25619" s="26">
        <v>0.33360000000000001</v>
      </c>
      <c r="D25619" s="26">
        <v>0.1321</v>
      </c>
      <c r="E25619" s="26">
        <v>0.28470000000000001</v>
      </c>
      <c r="F25619" s="26">
        <v>0.32450000000000001</v>
      </c>
      <c r="G25619" s="26">
        <v>8.5500000000000007E-2</v>
      </c>
      <c r="H25619" s="26">
        <v>9.2999999999999992E-3</v>
      </c>
      <c r="J25619" s="26">
        <v>1.7100000000000001E-2</v>
      </c>
      <c r="K25619" s="26">
        <v>3.7699999999999997E-2</v>
      </c>
      <c r="L25619" s="26">
        <v>4.5600000000000002E-2</v>
      </c>
      <c r="M25619" s="26">
        <v>4.1000000000000002E-2</v>
      </c>
      <c r="N25619" s="26">
        <v>4.2200000000000001E-2</v>
      </c>
      <c r="O25619" s="26">
        <v>3.49E-2</v>
      </c>
      <c r="P25619" s="26">
        <v>2.5700000000000001E-2</v>
      </c>
      <c r="Q25619" s="26">
        <v>4.0599999999999997E-2</v>
      </c>
      <c r="S25619" s="26">
        <v>6.2700000000000006E-2</v>
      </c>
      <c r="V25619" s="26">
        <v>6.9999999999999999E-4</v>
      </c>
      <c r="Y25619">
        <v>81</v>
      </c>
    </row>
    <row r="25620" spans="1:25" x14ac:dyDescent="0.35">
      <c r="A25620" t="s">
        <v>229</v>
      </c>
      <c r="B25620" t="s">
        <v>363</v>
      </c>
      <c r="C25620" s="26">
        <v>0.68310000000000004</v>
      </c>
      <c r="D25620" s="26">
        <v>0.12470000000000001</v>
      </c>
      <c r="E25620" s="26">
        <v>0.1832</v>
      </c>
      <c r="F25620" s="26">
        <v>0.13880000000000001</v>
      </c>
      <c r="G25620" s="26">
        <v>5.6399999999999999E-2</v>
      </c>
      <c r="H25620" s="26">
        <v>7.7999999999999996E-3</v>
      </c>
      <c r="I25620" s="26">
        <v>6.1600000000000002E-2</v>
      </c>
      <c r="J25620" s="26">
        <v>3.6600000000000001E-2</v>
      </c>
      <c r="K25620" s="26">
        <v>2.5999999999999999E-3</v>
      </c>
      <c r="L25620" s="26">
        <v>8.6E-3</v>
      </c>
      <c r="M25620" s="26">
        <v>7.6E-3</v>
      </c>
      <c r="O25620" s="26">
        <v>3.6499999999999998E-2</v>
      </c>
      <c r="P25620" s="26">
        <v>2.5000000000000001E-2</v>
      </c>
      <c r="Q25620" s="26">
        <v>4.1999999999999997E-3</v>
      </c>
      <c r="R25620" s="26">
        <v>2.9899999999999999E-2</v>
      </c>
      <c r="S25620" s="26">
        <v>0.02</v>
      </c>
      <c r="U25620" s="26">
        <v>2.5000000000000001E-2</v>
      </c>
      <c r="W25620" s="26">
        <v>2.5000000000000001E-2</v>
      </c>
      <c r="Y25620">
        <v>87</v>
      </c>
    </row>
    <row r="25621" spans="1:25" x14ac:dyDescent="0.35">
      <c r="A25621" t="s">
        <v>229</v>
      </c>
      <c r="B25621" t="s">
        <v>360</v>
      </c>
      <c r="C25621" s="26">
        <v>0.69589999999999996</v>
      </c>
      <c r="D25621" s="26">
        <v>0.30599999999999999</v>
      </c>
      <c r="E25621" s="26">
        <v>0.36099999999999999</v>
      </c>
      <c r="F25621" s="26">
        <v>9.1399999999999995E-2</v>
      </c>
      <c r="G25621" s="26">
        <v>3.2300000000000002E-2</v>
      </c>
      <c r="H25621" s="26">
        <v>3.3000000000000002E-2</v>
      </c>
      <c r="I25621" s="26">
        <v>4.7199999999999999E-2</v>
      </c>
      <c r="J25621" s="26">
        <v>2.4400000000000002E-2</v>
      </c>
      <c r="K25621" s="26">
        <v>9.2100000000000001E-2</v>
      </c>
      <c r="L25621" s="26">
        <v>2E-3</v>
      </c>
      <c r="M25621" s="26">
        <v>3.5200000000000002E-2</v>
      </c>
      <c r="N25621" s="26">
        <v>5.9900000000000002E-2</v>
      </c>
      <c r="O25621" s="26">
        <v>3.8199999999999998E-2</v>
      </c>
      <c r="P25621" s="26">
        <v>7.0000000000000001E-3</v>
      </c>
      <c r="U25621" s="26">
        <v>2.9399999999999999E-2</v>
      </c>
      <c r="V25621" s="26">
        <v>3.5200000000000002E-2</v>
      </c>
      <c r="Y25621">
        <v>95</v>
      </c>
    </row>
    <row r="25622" spans="1:25" x14ac:dyDescent="0.35">
      <c r="A25622" t="s">
        <v>230</v>
      </c>
      <c r="B25622" t="s">
        <v>361</v>
      </c>
      <c r="C25622" s="26">
        <v>0.27650000000000002</v>
      </c>
      <c r="D25622" s="26">
        <v>0.19939999999999999</v>
      </c>
      <c r="E25622" s="26">
        <v>0.24490000000000001</v>
      </c>
      <c r="F25622" s="26">
        <v>0.32629999999999998</v>
      </c>
      <c r="G25622" s="26">
        <v>7.2400000000000006E-2</v>
      </c>
      <c r="H25622" s="26">
        <v>4.1799999999999997E-2</v>
      </c>
      <c r="J25622" s="26">
        <v>8.9999999999999993E-3</v>
      </c>
      <c r="K25622" s="26">
        <v>0.1661</v>
      </c>
      <c r="L25622" s="26">
        <v>1.17E-2</v>
      </c>
      <c r="M25622" s="26">
        <v>1.17E-2</v>
      </c>
      <c r="N25622" s="26">
        <v>2.8E-3</v>
      </c>
      <c r="O25622" s="26">
        <v>0.06</v>
      </c>
      <c r="P25622" s="26">
        <v>6.3399999999999998E-2</v>
      </c>
      <c r="Q25622" s="26">
        <v>2.8E-3</v>
      </c>
      <c r="S25622" s="26">
        <v>2.8E-3</v>
      </c>
      <c r="T25622" s="26">
        <v>4.8000000000000001E-2</v>
      </c>
      <c r="X25622" s="26">
        <v>8.9999999999999993E-3</v>
      </c>
      <c r="Y25622">
        <v>53</v>
      </c>
    </row>
    <row r="25623" spans="1:25" x14ac:dyDescent="0.35">
      <c r="A25623" t="s">
        <v>230</v>
      </c>
      <c r="B25623" t="s">
        <v>360</v>
      </c>
      <c r="C25623" s="26">
        <v>0.7671</v>
      </c>
      <c r="D25623" s="26">
        <v>0.2949</v>
      </c>
      <c r="E25623" s="26">
        <v>0.29160000000000003</v>
      </c>
      <c r="F25623" s="26">
        <v>5.4699999999999999E-2</v>
      </c>
      <c r="G25623" s="26">
        <v>0.11070000000000001</v>
      </c>
      <c r="H25623" s="26">
        <v>0.17660000000000001</v>
      </c>
      <c r="I25623" s="26">
        <v>0.12659999999999999</v>
      </c>
      <c r="J25623" s="26">
        <v>0.11119999999999999</v>
      </c>
      <c r="K25623" s="26">
        <v>1.21E-2</v>
      </c>
      <c r="L25623" s="26">
        <v>0.1144</v>
      </c>
      <c r="M25623" s="26">
        <v>1.4800000000000001E-2</v>
      </c>
      <c r="O25623" s="26">
        <v>5.0200000000000002E-2</v>
      </c>
      <c r="P25623" s="26">
        <v>8.4500000000000006E-2</v>
      </c>
      <c r="R25623" s="26">
        <v>8.3999999999999995E-3</v>
      </c>
      <c r="T25623" s="26">
        <v>1.47E-2</v>
      </c>
      <c r="U25623" s="26">
        <v>3.8100000000000002E-2</v>
      </c>
      <c r="Y25623">
        <v>96</v>
      </c>
    </row>
    <row r="25624" spans="1:25" x14ac:dyDescent="0.35">
      <c r="A25624" t="s">
        <v>230</v>
      </c>
      <c r="B25624" t="s">
        <v>362</v>
      </c>
      <c r="C25624" s="26">
        <v>0.81840000000000002</v>
      </c>
      <c r="D25624" s="26">
        <v>0.44919999999999999</v>
      </c>
      <c r="E25624" s="26">
        <v>0.37430000000000002</v>
      </c>
      <c r="F25624" s="26">
        <v>1.2699999999999999E-2</v>
      </c>
      <c r="G25624" s="26">
        <v>5.2999999999999999E-2</v>
      </c>
      <c r="H25624" s="26">
        <v>0.18590000000000001</v>
      </c>
      <c r="I25624" s="26">
        <v>0.16109999999999999</v>
      </c>
      <c r="J25624" s="26">
        <v>7.9600000000000004E-2</v>
      </c>
      <c r="K25624" s="26">
        <v>1.9E-3</v>
      </c>
      <c r="M25624" s="26">
        <v>1.8100000000000002E-2</v>
      </c>
      <c r="N25624" s="26">
        <v>4.4600000000000001E-2</v>
      </c>
      <c r="O25624" s="26">
        <v>4.8300000000000003E-2</v>
      </c>
      <c r="P25624" s="26">
        <v>4.6399999999999997E-2</v>
      </c>
      <c r="Q25624" s="26">
        <v>6.3E-3</v>
      </c>
      <c r="T25624" s="26">
        <v>3.3799999999999997E-2</v>
      </c>
      <c r="U25624" s="26">
        <v>1.9E-3</v>
      </c>
      <c r="X25624" s="26">
        <v>6.3E-3</v>
      </c>
      <c r="Y25624">
        <v>100</v>
      </c>
    </row>
    <row r="25625" spans="1:25" x14ac:dyDescent="0.35">
      <c r="A25625" t="s">
        <v>230</v>
      </c>
      <c r="B25625" t="s">
        <v>363</v>
      </c>
      <c r="C25625" s="26">
        <v>0.60299999999999998</v>
      </c>
      <c r="D25625" s="26">
        <v>0.35070000000000001</v>
      </c>
      <c r="E25625" s="26">
        <v>0.28499999999999998</v>
      </c>
      <c r="F25625" s="26">
        <v>3.3700000000000001E-2</v>
      </c>
      <c r="G25625" s="26">
        <v>9.0300000000000005E-2</v>
      </c>
      <c r="H25625" s="26">
        <v>0.21279999999999999</v>
      </c>
      <c r="I25625" s="26">
        <v>7.6600000000000001E-2</v>
      </c>
      <c r="J25625" s="26">
        <v>9.7000000000000003E-2</v>
      </c>
      <c r="K25625" s="26">
        <v>4.7500000000000001E-2</v>
      </c>
      <c r="L25625" s="26">
        <v>6.3299999999999995E-2</v>
      </c>
      <c r="M25625" s="26">
        <v>5.8599999999999999E-2</v>
      </c>
      <c r="N25625" s="26">
        <v>0.12920000000000001</v>
      </c>
      <c r="O25625" s="26">
        <v>1.09E-2</v>
      </c>
      <c r="P25625" s="26">
        <v>1.34E-2</v>
      </c>
      <c r="R25625" s="26">
        <v>4.0800000000000003E-2</v>
      </c>
      <c r="S25625" s="26">
        <v>4.0800000000000003E-2</v>
      </c>
      <c r="T25625" s="26">
        <v>2.7E-2</v>
      </c>
      <c r="X25625" s="26">
        <v>2.0999999999999999E-3</v>
      </c>
      <c r="Y25625">
        <v>77</v>
      </c>
    </row>
    <row r="25626" spans="1:25" x14ac:dyDescent="0.35">
      <c r="A25626" s="27" t="s">
        <v>231</v>
      </c>
      <c r="B25626" s="27" t="s">
        <v>360</v>
      </c>
      <c r="C25626" s="28">
        <v>0.69569999999999999</v>
      </c>
      <c r="D25626" s="28">
        <v>0.43480000000000002</v>
      </c>
      <c r="E25626" s="28">
        <v>0.21740000000000001</v>
      </c>
      <c r="F25626" s="28">
        <v>4.3499999999999997E-2</v>
      </c>
      <c r="G25626" s="28">
        <v>0.13039999999999999</v>
      </c>
      <c r="H25626" s="28">
        <v>4.3499999999999997E-2</v>
      </c>
      <c r="I25626" s="28">
        <v>4.3499999999999997E-2</v>
      </c>
      <c r="J25626" s="28">
        <v>4.3499999999999997E-2</v>
      </c>
      <c r="K25626" s="28">
        <v>8.6999999999999994E-2</v>
      </c>
      <c r="L25626" s="28">
        <v>8.6999999999999994E-2</v>
      </c>
      <c r="M25626" s="28">
        <v>8.6999999999999994E-2</v>
      </c>
      <c r="N25626" s="28">
        <v>4.3499999999999997E-2</v>
      </c>
      <c r="O25626" s="29"/>
      <c r="P25626" s="29"/>
      <c r="Q25626" s="29"/>
      <c r="R25626" s="29"/>
      <c r="S25626" s="29"/>
      <c r="T25626" s="29"/>
      <c r="U25626" s="29"/>
      <c r="V25626" s="29"/>
      <c r="W25626" s="28">
        <v>4.3499999999999997E-2</v>
      </c>
      <c r="X25626" s="29"/>
      <c r="Y25626" s="29" t="s">
        <v>328</v>
      </c>
    </row>
    <row r="25627" spans="1:25" x14ac:dyDescent="0.35">
      <c r="A25627" s="27" t="s">
        <v>231</v>
      </c>
      <c r="B25627" s="27" t="s">
        <v>362</v>
      </c>
      <c r="C25627" s="28">
        <v>0.5625</v>
      </c>
      <c r="D25627" s="28">
        <v>0.4375</v>
      </c>
      <c r="E25627" s="28">
        <v>0.125</v>
      </c>
      <c r="F25627" s="28">
        <v>0.125</v>
      </c>
      <c r="G25627" s="28">
        <v>6.25E-2</v>
      </c>
      <c r="H25627" s="28">
        <v>0.3125</v>
      </c>
      <c r="I25627" s="28">
        <v>6.25E-2</v>
      </c>
      <c r="J25627" s="28">
        <v>6.25E-2</v>
      </c>
      <c r="K25627" s="28">
        <v>6.25E-2</v>
      </c>
      <c r="L25627" s="29"/>
      <c r="M25627" s="29"/>
      <c r="N25627" s="29"/>
      <c r="O25627" s="29"/>
      <c r="P25627" s="29"/>
      <c r="Q25627" s="28">
        <v>6.25E-2</v>
      </c>
      <c r="R25627" s="29"/>
      <c r="S25627" s="29"/>
      <c r="T25627" s="29"/>
      <c r="U25627" s="29"/>
      <c r="V25627" s="28">
        <v>6.25E-2</v>
      </c>
      <c r="W25627" s="29"/>
      <c r="X25627" s="29"/>
      <c r="Y25627" s="29" t="s">
        <v>348</v>
      </c>
    </row>
    <row r="25628" spans="1:25" x14ac:dyDescent="0.35">
      <c r="A25628" s="27" t="s">
        <v>231</v>
      </c>
      <c r="B25628" s="27" t="s">
        <v>361</v>
      </c>
      <c r="C25628" s="28">
        <v>0.27779999999999999</v>
      </c>
      <c r="D25628" s="28">
        <v>0.1111</v>
      </c>
      <c r="E25628" s="28">
        <v>0.22220000000000001</v>
      </c>
      <c r="F25628" s="28">
        <v>0.38890000000000002</v>
      </c>
      <c r="G25628" s="29"/>
      <c r="H25628" s="28">
        <v>0.1111</v>
      </c>
      <c r="I25628" s="29"/>
      <c r="J25628" s="29"/>
      <c r="K25628" s="28">
        <v>5.5599999999999997E-2</v>
      </c>
      <c r="L25628" s="29"/>
      <c r="M25628" s="28">
        <v>5.5599999999999997E-2</v>
      </c>
      <c r="N25628" s="28">
        <v>5.5599999999999997E-2</v>
      </c>
      <c r="O25628" s="29"/>
      <c r="P25628" s="29"/>
      <c r="Q25628" s="28">
        <v>0.1111</v>
      </c>
      <c r="R25628" s="28">
        <v>5.5599999999999997E-2</v>
      </c>
      <c r="S25628" s="29"/>
      <c r="T25628" s="29"/>
      <c r="U25628" s="29"/>
      <c r="V25628" s="29"/>
      <c r="W25628" s="29"/>
      <c r="X25628" s="29"/>
      <c r="Y25628" s="29" t="s">
        <v>353</v>
      </c>
    </row>
    <row r="25629" spans="1:25" x14ac:dyDescent="0.35">
      <c r="A25629" s="27" t="s">
        <v>231</v>
      </c>
      <c r="B25629" s="27" t="s">
        <v>363</v>
      </c>
      <c r="C25629" s="28">
        <v>0.6</v>
      </c>
      <c r="D25629" s="28">
        <v>0.1</v>
      </c>
      <c r="E25629" s="28">
        <v>0.4</v>
      </c>
      <c r="F25629" s="28">
        <v>0.3</v>
      </c>
      <c r="G25629" s="28">
        <v>0.3</v>
      </c>
      <c r="H25629" s="29"/>
      <c r="I25629" s="29"/>
      <c r="J25629" s="28">
        <v>0.1</v>
      </c>
      <c r="K25629" s="28">
        <v>0.1</v>
      </c>
      <c r="L25629" s="29"/>
      <c r="M25629" s="29"/>
      <c r="N25629" s="29"/>
      <c r="O25629" s="29"/>
      <c r="P25629" s="29"/>
      <c r="Q25629" s="29"/>
      <c r="R25629" s="29"/>
      <c r="S25629" s="29"/>
      <c r="T25629" s="29"/>
      <c r="U25629" s="29"/>
      <c r="V25629" s="29"/>
      <c r="W25629" s="29"/>
      <c r="X25629" s="29"/>
      <c r="Y25629" s="29" t="s">
        <v>307</v>
      </c>
    </row>
    <row r="25630" spans="1:25" x14ac:dyDescent="0.35">
      <c r="A25630" t="s">
        <v>232</v>
      </c>
      <c r="B25630" t="s">
        <v>232</v>
      </c>
      <c r="C25630" s="26">
        <v>0.56540000000000001</v>
      </c>
      <c r="D25630" s="26">
        <v>0.25569999999999998</v>
      </c>
      <c r="E25630" s="26">
        <v>0.24279999999999999</v>
      </c>
      <c r="F25630" s="26">
        <v>0.16619999999999999</v>
      </c>
      <c r="G25630" s="26">
        <v>7.5700000000000003E-2</v>
      </c>
      <c r="H25630" s="26">
        <v>6.7299999999999999E-2</v>
      </c>
      <c r="I25630" s="26">
        <v>5.8099999999999999E-2</v>
      </c>
      <c r="J25630" s="26">
        <v>5.79E-2</v>
      </c>
      <c r="K25630" s="26">
        <v>4.7600000000000003E-2</v>
      </c>
      <c r="L25630" s="26">
        <v>4.0399999999999998E-2</v>
      </c>
      <c r="M25630" s="26">
        <v>3.73E-2</v>
      </c>
      <c r="N25630" s="26">
        <v>3.3700000000000001E-2</v>
      </c>
      <c r="O25630" s="26">
        <v>2.92E-2</v>
      </c>
      <c r="P25630" s="26">
        <v>2.6599999999999999E-2</v>
      </c>
      <c r="Q25630" s="26">
        <v>2.06E-2</v>
      </c>
      <c r="R25630" s="26">
        <v>1.9199999999999998E-2</v>
      </c>
      <c r="S25630" s="26">
        <v>1.6299999999999999E-2</v>
      </c>
      <c r="T25630" s="26">
        <v>1.47E-2</v>
      </c>
      <c r="U25630" s="26">
        <v>8.0000000000000002E-3</v>
      </c>
      <c r="V25630" s="26">
        <v>7.9000000000000008E-3</v>
      </c>
      <c r="W25630" s="26">
        <v>7.3000000000000001E-3</v>
      </c>
      <c r="X25630" s="26">
        <v>5.4999999999999997E-3</v>
      </c>
      <c r="Y25630">
        <v>1368</v>
      </c>
    </row>
    <row r="25632" spans="1:25" x14ac:dyDescent="0.35">
      <c r="A25632" s="1" t="s">
        <v>2340</v>
      </c>
    </row>
    <row r="25633" spans="1:25" x14ac:dyDescent="0.35">
      <c r="A25633" t="s">
        <v>219</v>
      </c>
      <c r="B25633" t="s">
        <v>305</v>
      </c>
      <c r="C25633" t="s">
        <v>2315</v>
      </c>
      <c r="D25633" t="s">
        <v>2316</v>
      </c>
      <c r="E25633" t="s">
        <v>2317</v>
      </c>
      <c r="F25633" t="s">
        <v>2318</v>
      </c>
      <c r="G25633" t="s">
        <v>2319</v>
      </c>
      <c r="H25633" t="s">
        <v>2320</v>
      </c>
      <c r="I25633" t="s">
        <v>2321</v>
      </c>
      <c r="J25633" t="s">
        <v>2322</v>
      </c>
      <c r="K25633" t="s">
        <v>2323</v>
      </c>
      <c r="L25633" t="s">
        <v>2324</v>
      </c>
      <c r="M25633" t="s">
        <v>2325</v>
      </c>
      <c r="N25633" t="s">
        <v>2326</v>
      </c>
      <c r="O25633" t="s">
        <v>2327</v>
      </c>
      <c r="P25633" t="s">
        <v>2328</v>
      </c>
      <c r="Q25633" t="s">
        <v>2329</v>
      </c>
      <c r="R25633" t="s">
        <v>2330</v>
      </c>
      <c r="S25633" t="s">
        <v>2331</v>
      </c>
      <c r="T25633" t="s">
        <v>2332</v>
      </c>
      <c r="U25633" t="s">
        <v>326</v>
      </c>
      <c r="V25633" t="s">
        <v>2333</v>
      </c>
      <c r="W25633" t="s">
        <v>2334</v>
      </c>
      <c r="X25633" t="s">
        <v>2335</v>
      </c>
      <c r="Y25633" t="s">
        <v>226</v>
      </c>
    </row>
    <row r="25634" spans="1:25" x14ac:dyDescent="0.35">
      <c r="A25634" s="27" t="s">
        <v>227</v>
      </c>
      <c r="B25634" s="27" t="s">
        <v>267</v>
      </c>
      <c r="C25634" s="28">
        <v>0.65</v>
      </c>
      <c r="D25634" s="28">
        <v>0.3</v>
      </c>
      <c r="E25634" s="28">
        <v>0.1</v>
      </c>
      <c r="F25634" s="28">
        <v>0.1</v>
      </c>
      <c r="G25634" s="28">
        <v>0.05</v>
      </c>
      <c r="H25634" s="29"/>
      <c r="I25634" s="28">
        <v>0.05</v>
      </c>
      <c r="J25634" s="28">
        <v>0.1</v>
      </c>
      <c r="K25634" s="28">
        <v>0.05</v>
      </c>
      <c r="L25634" s="28">
        <v>0.05</v>
      </c>
      <c r="M25634" s="28">
        <v>0.05</v>
      </c>
      <c r="N25634" s="28">
        <v>0.1</v>
      </c>
      <c r="O25634" s="28">
        <v>0.05</v>
      </c>
      <c r="P25634" s="29"/>
      <c r="Q25634" s="28">
        <v>0.05</v>
      </c>
      <c r="R25634" s="28">
        <v>0.05</v>
      </c>
      <c r="S25634" s="28">
        <v>0.05</v>
      </c>
      <c r="T25634" s="28">
        <v>0.05</v>
      </c>
      <c r="U25634" s="29"/>
      <c r="V25634" s="29"/>
      <c r="W25634" s="29"/>
      <c r="X25634" s="29"/>
      <c r="Y25634" s="29" t="s">
        <v>350</v>
      </c>
    </row>
    <row r="25635" spans="1:25" x14ac:dyDescent="0.35">
      <c r="A25635" s="27" t="s">
        <v>227</v>
      </c>
      <c r="B25635" s="27" t="s">
        <v>266</v>
      </c>
      <c r="C25635" s="28">
        <v>0.39290000000000003</v>
      </c>
      <c r="D25635" s="28">
        <v>0.25</v>
      </c>
      <c r="E25635" s="28">
        <v>0.28570000000000001</v>
      </c>
      <c r="F25635" s="28">
        <v>0.35709999999999997</v>
      </c>
      <c r="G25635" s="28">
        <v>3.5700000000000003E-2</v>
      </c>
      <c r="H25635" s="28">
        <v>3.5700000000000003E-2</v>
      </c>
      <c r="I25635" s="28">
        <v>7.1400000000000005E-2</v>
      </c>
      <c r="J25635" s="28">
        <v>7.1400000000000005E-2</v>
      </c>
      <c r="K25635" s="29"/>
      <c r="L25635" s="28">
        <v>3.5700000000000003E-2</v>
      </c>
      <c r="M25635" s="29"/>
      <c r="N25635" s="29"/>
      <c r="O25635" s="29"/>
      <c r="P25635" s="29"/>
      <c r="Q25635" s="29"/>
      <c r="R25635" s="29"/>
      <c r="S25635" s="29"/>
      <c r="T25635" s="29"/>
      <c r="U25635" s="29"/>
      <c r="V25635" s="29"/>
      <c r="W25635" s="29"/>
      <c r="X25635" s="29"/>
      <c r="Y25635" s="29" t="s">
        <v>336</v>
      </c>
    </row>
    <row r="25636" spans="1:25" x14ac:dyDescent="0.35">
      <c r="A25636" t="s">
        <v>227</v>
      </c>
      <c r="B25636" t="s">
        <v>265</v>
      </c>
      <c r="C25636" s="26">
        <v>0.58819999999999995</v>
      </c>
      <c r="D25636" s="26">
        <v>0.2059</v>
      </c>
      <c r="E25636" s="26">
        <v>0.26469999999999999</v>
      </c>
      <c r="F25636" s="26">
        <v>8.8200000000000001E-2</v>
      </c>
      <c r="G25636" s="26">
        <v>0.1176</v>
      </c>
      <c r="H25636" s="26">
        <v>5.8799999999999998E-2</v>
      </c>
      <c r="I25636" s="26">
        <v>2.9399999999999999E-2</v>
      </c>
      <c r="J25636" s="26">
        <v>5.8799999999999998E-2</v>
      </c>
      <c r="M25636" s="26">
        <v>8.8200000000000001E-2</v>
      </c>
      <c r="N25636" s="26">
        <v>0.1176</v>
      </c>
      <c r="O25636" s="26">
        <v>5.8799999999999998E-2</v>
      </c>
      <c r="R25636" s="26">
        <v>8.8200000000000001E-2</v>
      </c>
      <c r="T25636" s="26">
        <v>2.9399999999999999E-2</v>
      </c>
      <c r="U25636" s="26">
        <v>2.9399999999999999E-2</v>
      </c>
      <c r="V25636" s="26">
        <v>2.9399999999999999E-2</v>
      </c>
      <c r="X25636" s="26">
        <v>2.9399999999999999E-2</v>
      </c>
      <c r="Y25636">
        <v>34</v>
      </c>
    </row>
    <row r="25637" spans="1:25" x14ac:dyDescent="0.35">
      <c r="A25637" t="s">
        <v>228</v>
      </c>
      <c r="B25637" t="s">
        <v>267</v>
      </c>
      <c r="C25637" s="26">
        <v>0.65539999999999998</v>
      </c>
      <c r="D25637" s="26">
        <v>0.26100000000000001</v>
      </c>
      <c r="E25637" s="26">
        <v>0.2001</v>
      </c>
      <c r="F25637" s="26">
        <v>0.2056</v>
      </c>
      <c r="G25637" s="26">
        <v>3.3099999999999997E-2</v>
      </c>
      <c r="H25637" s="26">
        <v>6.7400000000000002E-2</v>
      </c>
      <c r="I25637" s="26">
        <v>1.2E-2</v>
      </c>
      <c r="J25637" s="26">
        <v>2.0199999999999999E-2</v>
      </c>
      <c r="K25637" s="26">
        <v>3.2099999999999997E-2</v>
      </c>
      <c r="L25637" s="26">
        <v>2.4199999999999999E-2</v>
      </c>
      <c r="M25637" s="26">
        <v>6.4799999999999996E-2</v>
      </c>
      <c r="O25637" s="26">
        <v>4.0399999999999998E-2</v>
      </c>
      <c r="P25637" s="26">
        <v>2.3300000000000001E-2</v>
      </c>
      <c r="Q25637" s="26">
        <v>4.3499999999999997E-2</v>
      </c>
      <c r="R25637" s="26">
        <v>1.3599999999999999E-2</v>
      </c>
      <c r="V25637" s="26">
        <v>1.2800000000000001E-2</v>
      </c>
      <c r="X25637" s="26">
        <v>1.2500000000000001E-2</v>
      </c>
      <c r="Y25637">
        <v>113</v>
      </c>
    </row>
    <row r="25638" spans="1:25" x14ac:dyDescent="0.35">
      <c r="A25638" t="s">
        <v>228</v>
      </c>
      <c r="B25638" t="s">
        <v>265</v>
      </c>
      <c r="C25638" s="26">
        <v>0.54990000000000006</v>
      </c>
      <c r="D25638" s="26">
        <v>0.24729999999999999</v>
      </c>
      <c r="E25638" s="26">
        <v>0.26290000000000002</v>
      </c>
      <c r="F25638" s="26">
        <v>9.9500000000000005E-2</v>
      </c>
      <c r="G25638" s="26">
        <v>8.9599999999999999E-2</v>
      </c>
      <c r="H25638" s="26">
        <v>3.9699999999999999E-2</v>
      </c>
      <c r="I25638" s="26">
        <v>0.12820000000000001</v>
      </c>
      <c r="J25638" s="26">
        <v>7.8E-2</v>
      </c>
      <c r="K25638" s="26">
        <v>3.9E-2</v>
      </c>
      <c r="L25638" s="26">
        <v>7.0099999999999996E-2</v>
      </c>
      <c r="M25638" s="26">
        <v>1.8700000000000001E-2</v>
      </c>
      <c r="N25638" s="26">
        <v>1.72E-2</v>
      </c>
      <c r="O25638" s="26">
        <v>2.1899999999999999E-2</v>
      </c>
      <c r="P25638" s="26">
        <v>7.9600000000000004E-2</v>
      </c>
      <c r="Q25638" s="26">
        <v>8.6999999999999994E-3</v>
      </c>
      <c r="R25638" s="26">
        <v>1.4200000000000001E-2</v>
      </c>
      <c r="S25638" s="26">
        <v>4.0000000000000001E-3</v>
      </c>
      <c r="T25638" s="26">
        <v>6.4399999999999999E-2</v>
      </c>
      <c r="W25638" s="26">
        <v>6.1000000000000004E-3</v>
      </c>
      <c r="X25638" s="26">
        <v>2.6200000000000001E-2</v>
      </c>
      <c r="Y25638">
        <v>217</v>
      </c>
    </row>
    <row r="25639" spans="1:25" x14ac:dyDescent="0.35">
      <c r="A25639" s="27" t="s">
        <v>228</v>
      </c>
      <c r="B25639" s="27" t="s">
        <v>236</v>
      </c>
      <c r="C25639" s="28">
        <v>1</v>
      </c>
      <c r="D25639" s="29"/>
      <c r="E25639" s="28">
        <v>1</v>
      </c>
      <c r="F25639" s="29"/>
      <c r="G25639" s="29"/>
      <c r="H25639" s="29"/>
      <c r="I25639" s="29"/>
      <c r="J25639" s="29"/>
      <c r="K25639" s="29"/>
      <c r="L25639" s="29"/>
      <c r="M25639" s="29"/>
      <c r="N25639" s="29"/>
      <c r="O25639" s="29"/>
      <c r="P25639" s="29"/>
      <c r="Q25639" s="29"/>
      <c r="R25639" s="29"/>
      <c r="S25639" s="29"/>
      <c r="T25639" s="29"/>
      <c r="U25639" s="28">
        <v>1</v>
      </c>
      <c r="V25639" s="29"/>
      <c r="W25639" s="29"/>
      <c r="X25639" s="29"/>
      <c r="Y25639" s="29" t="s">
        <v>331</v>
      </c>
    </row>
    <row r="25640" spans="1:25" x14ac:dyDescent="0.35">
      <c r="A25640" t="s">
        <v>228</v>
      </c>
      <c r="B25640" t="s">
        <v>266</v>
      </c>
      <c r="C25640" s="26">
        <v>0.67110000000000003</v>
      </c>
      <c r="D25640" s="26">
        <v>0.25340000000000001</v>
      </c>
      <c r="E25640" s="26">
        <v>0.25230000000000002</v>
      </c>
      <c r="F25640" s="26">
        <v>8.2400000000000001E-2</v>
      </c>
      <c r="G25640" s="26">
        <v>7.9600000000000004E-2</v>
      </c>
      <c r="H25640" s="26">
        <v>7.17E-2</v>
      </c>
      <c r="I25640" s="26">
        <v>4.53E-2</v>
      </c>
      <c r="J25640" s="26">
        <v>6.0600000000000001E-2</v>
      </c>
      <c r="K25640" s="26">
        <v>5.0900000000000001E-2</v>
      </c>
      <c r="L25640" s="26">
        <v>7.4999999999999997E-2</v>
      </c>
      <c r="M25640" s="26">
        <v>3.78E-2</v>
      </c>
      <c r="N25640" s="26">
        <v>1.2200000000000001E-2</v>
      </c>
      <c r="O25640" s="26">
        <v>2.41E-2</v>
      </c>
      <c r="P25640" s="26">
        <v>5.0799999999999998E-2</v>
      </c>
      <c r="Q25640" s="26">
        <v>2.23E-2</v>
      </c>
      <c r="R25640" s="26">
        <v>3.61E-2</v>
      </c>
      <c r="S25640" s="26">
        <v>4.7199999999999999E-2</v>
      </c>
      <c r="T25640" s="26">
        <v>2.7400000000000001E-2</v>
      </c>
      <c r="U25640" s="26">
        <v>8.2000000000000007E-3</v>
      </c>
      <c r="V25640" s="26">
        <v>3.3999999999999998E-3</v>
      </c>
      <c r="W25640" s="26">
        <v>3.3999999999999998E-3</v>
      </c>
      <c r="X25640" s="26">
        <v>6.1000000000000004E-3</v>
      </c>
      <c r="Y25640">
        <v>289</v>
      </c>
    </row>
    <row r="25641" spans="1:25" x14ac:dyDescent="0.35">
      <c r="A25641" t="s">
        <v>229</v>
      </c>
      <c r="B25641" t="s">
        <v>266</v>
      </c>
      <c r="C25641" s="26">
        <v>0.55900000000000005</v>
      </c>
      <c r="D25641" s="26">
        <v>0.26750000000000002</v>
      </c>
      <c r="E25641" s="26">
        <v>0.25700000000000001</v>
      </c>
      <c r="F25641" s="26">
        <v>0.14860000000000001</v>
      </c>
      <c r="G25641" s="26">
        <v>4.7899999999999998E-2</v>
      </c>
      <c r="H25641" s="26">
        <v>2.5000000000000001E-2</v>
      </c>
      <c r="I25641" s="26">
        <v>5.33E-2</v>
      </c>
      <c r="J25641" s="26">
        <v>0.1134</v>
      </c>
      <c r="K25641" s="26">
        <v>3.2099999999999997E-2</v>
      </c>
      <c r="L25641" s="26">
        <v>1.9400000000000001E-2</v>
      </c>
      <c r="M25641" s="26">
        <v>5.1799999999999999E-2</v>
      </c>
      <c r="N25641" s="26">
        <v>1.5800000000000002E-2</v>
      </c>
      <c r="O25641" s="26">
        <v>3.56E-2</v>
      </c>
      <c r="P25641" s="26">
        <v>1.6999999999999999E-3</v>
      </c>
      <c r="Q25641" s="26">
        <v>4.5999999999999999E-3</v>
      </c>
      <c r="S25641" s="26">
        <v>2.23E-2</v>
      </c>
      <c r="U25641" s="26">
        <v>3.0499999999999999E-2</v>
      </c>
      <c r="W25641" s="26">
        <v>3.2500000000000001E-2</v>
      </c>
      <c r="Y25641">
        <v>180</v>
      </c>
    </row>
    <row r="25642" spans="1:25" x14ac:dyDescent="0.35">
      <c r="A25642" t="s">
        <v>229</v>
      </c>
      <c r="B25642" t="s">
        <v>267</v>
      </c>
      <c r="C25642" s="26">
        <v>0.4451</v>
      </c>
      <c r="D25642" s="26">
        <v>0.17799999999999999</v>
      </c>
      <c r="E25642" s="26">
        <v>0.27289999999999998</v>
      </c>
      <c r="F25642" s="26">
        <v>0.33339999999999997</v>
      </c>
      <c r="G25642" s="26">
        <v>0.10009999999999999</v>
      </c>
      <c r="H25642" s="26">
        <v>9.4999999999999998E-3</v>
      </c>
      <c r="I25642" s="26">
        <v>6.7999999999999996E-3</v>
      </c>
      <c r="J25642" s="26">
        <v>3.3999999999999998E-3</v>
      </c>
      <c r="L25642" s="26">
        <v>6.5000000000000002E-2</v>
      </c>
      <c r="M25642" s="26">
        <v>6.4899999999999999E-2</v>
      </c>
      <c r="N25642" s="26">
        <v>5.6399999999999999E-2</v>
      </c>
      <c r="O25642" s="26">
        <v>6.4899999999999999E-2</v>
      </c>
      <c r="P25642" s="26">
        <v>3.4200000000000001E-2</v>
      </c>
      <c r="Q25642" s="26">
        <v>1E-3</v>
      </c>
      <c r="R25642" s="26">
        <v>3.0700000000000002E-2</v>
      </c>
      <c r="S25642" s="26">
        <v>1.37E-2</v>
      </c>
      <c r="V25642" s="26">
        <v>1E-3</v>
      </c>
      <c r="Y25642">
        <v>75</v>
      </c>
    </row>
    <row r="25643" spans="1:25" x14ac:dyDescent="0.35">
      <c r="A25643" t="s">
        <v>229</v>
      </c>
      <c r="B25643" t="s">
        <v>265</v>
      </c>
      <c r="C25643" s="26">
        <v>0.53449999999999998</v>
      </c>
      <c r="D25643" s="26">
        <v>0.14760000000000001</v>
      </c>
      <c r="E25643" s="26">
        <v>0.26040000000000002</v>
      </c>
      <c r="F25643" s="26">
        <v>0.219</v>
      </c>
      <c r="G25643" s="26">
        <v>4.5100000000000001E-2</v>
      </c>
      <c r="H25643" s="26">
        <v>1.6500000000000001E-2</v>
      </c>
      <c r="I25643" s="26">
        <v>5.0999999999999997E-2</v>
      </c>
      <c r="J25643" s="26">
        <v>7.1000000000000004E-3</v>
      </c>
      <c r="K25643" s="26">
        <v>6.8699999999999997E-2</v>
      </c>
      <c r="L25643" s="26">
        <v>3.7699999999999997E-2</v>
      </c>
      <c r="M25643" s="26">
        <v>6.3E-3</v>
      </c>
      <c r="N25643" s="26">
        <v>2.8199999999999999E-2</v>
      </c>
      <c r="O25643" s="26">
        <v>2.81E-2</v>
      </c>
      <c r="P25643" s="26">
        <v>3.2300000000000002E-2</v>
      </c>
      <c r="Q25643" s="26">
        <v>2.8199999999999999E-2</v>
      </c>
      <c r="S25643" s="26">
        <v>4.5499999999999999E-2</v>
      </c>
      <c r="V25643" s="26">
        <v>1.49E-2</v>
      </c>
      <c r="Y25643">
        <v>150</v>
      </c>
    </row>
    <row r="25644" spans="1:25" x14ac:dyDescent="0.35">
      <c r="A25644" t="s">
        <v>230</v>
      </c>
      <c r="B25644" t="s">
        <v>267</v>
      </c>
      <c r="C25644" s="26">
        <v>0.58830000000000005</v>
      </c>
      <c r="D25644" s="26">
        <v>0.1986</v>
      </c>
      <c r="E25644" s="26">
        <v>0.21790000000000001</v>
      </c>
      <c r="F25644" s="26">
        <v>0.19</v>
      </c>
      <c r="G25644" s="26">
        <v>6.8699999999999997E-2</v>
      </c>
      <c r="H25644" s="26">
        <v>9.0300000000000005E-2</v>
      </c>
      <c r="I25644" s="26">
        <v>8.2299999999999998E-2</v>
      </c>
      <c r="J25644" s="26">
        <v>5.2200000000000003E-2</v>
      </c>
      <c r="K25644" s="26">
        <v>0.10680000000000001</v>
      </c>
      <c r="L25644" s="26">
        <v>0.11020000000000001</v>
      </c>
      <c r="M25644" s="26">
        <v>1.34E-2</v>
      </c>
      <c r="O25644" s="26">
        <v>2.5000000000000001E-3</v>
      </c>
      <c r="S25644" s="26">
        <v>2.5000000000000001E-3</v>
      </c>
      <c r="T25644" s="26">
        <v>8.3999999999999995E-3</v>
      </c>
      <c r="X25644" s="26">
        <v>2.5000000000000001E-3</v>
      </c>
      <c r="Y25644">
        <v>69</v>
      </c>
    </row>
    <row r="25645" spans="1:25" x14ac:dyDescent="0.35">
      <c r="A25645" t="s">
        <v>230</v>
      </c>
      <c r="B25645" t="s">
        <v>266</v>
      </c>
      <c r="C25645" s="26">
        <v>0.67469999999999997</v>
      </c>
      <c r="D25645" s="26">
        <v>0.38729999999999998</v>
      </c>
      <c r="E25645" s="26">
        <v>0.29389999999999999</v>
      </c>
      <c r="F25645" s="26">
        <v>2.8199999999999999E-2</v>
      </c>
      <c r="G25645" s="26">
        <v>1.8599999999999998E-2</v>
      </c>
      <c r="H25645" s="26">
        <v>0.20749999999999999</v>
      </c>
      <c r="I25645" s="26">
        <v>0.18459999999999999</v>
      </c>
      <c r="J25645" s="26">
        <v>0.1144</v>
      </c>
      <c r="K25645" s="26">
        <v>5.6599999999999998E-2</v>
      </c>
      <c r="L25645" s="26">
        <v>5.5399999999999998E-2</v>
      </c>
      <c r="M25645" s="26">
        <v>3.8199999999999998E-2</v>
      </c>
      <c r="N25645" s="26">
        <v>2.8400000000000002E-2</v>
      </c>
      <c r="O25645" s="26">
        <v>5.3999999999999999E-2</v>
      </c>
      <c r="P25645" s="26">
        <v>5.5399999999999998E-2</v>
      </c>
      <c r="Q25645" s="26">
        <v>1.1999999999999999E-3</v>
      </c>
      <c r="R25645" s="26">
        <v>2.4500000000000001E-2</v>
      </c>
      <c r="T25645" s="26">
        <v>2.6800000000000001E-2</v>
      </c>
      <c r="U25645" s="26">
        <v>1.1999999999999999E-3</v>
      </c>
      <c r="X25645" s="26">
        <v>3.8E-3</v>
      </c>
      <c r="Y25645">
        <v>157</v>
      </c>
    </row>
    <row r="25646" spans="1:25" x14ac:dyDescent="0.35">
      <c r="A25646" t="s">
        <v>230</v>
      </c>
      <c r="B25646" t="s">
        <v>265</v>
      </c>
      <c r="C25646" s="26">
        <v>0.57640000000000002</v>
      </c>
      <c r="D25646" s="26">
        <v>0.33950000000000002</v>
      </c>
      <c r="E25646" s="26">
        <v>0.30869999999999997</v>
      </c>
      <c r="F25646" s="26">
        <v>0.1454</v>
      </c>
      <c r="G25646" s="26">
        <v>0.152</v>
      </c>
      <c r="H25646" s="26">
        <v>0.1331</v>
      </c>
      <c r="I25646" s="26">
        <v>2.5000000000000001E-3</v>
      </c>
      <c r="J25646" s="26">
        <v>4.2799999999999998E-2</v>
      </c>
      <c r="K25646" s="26">
        <v>4.1000000000000003E-3</v>
      </c>
      <c r="L25646" s="26">
        <v>2.86E-2</v>
      </c>
      <c r="M25646" s="26">
        <v>1.6E-2</v>
      </c>
      <c r="N25646" s="26">
        <v>8.1699999999999995E-2</v>
      </c>
      <c r="O25646" s="26">
        <v>0.04</v>
      </c>
      <c r="P25646" s="26">
        <v>6.3600000000000004E-2</v>
      </c>
      <c r="Q25646" s="26">
        <v>8.0999999999999996E-3</v>
      </c>
      <c r="R25646" s="26">
        <v>4.1000000000000003E-3</v>
      </c>
      <c r="S25646" s="26">
        <v>2.8500000000000001E-2</v>
      </c>
      <c r="T25646" s="26">
        <v>3.6700000000000003E-2</v>
      </c>
      <c r="U25646" s="26">
        <v>2.4500000000000001E-2</v>
      </c>
      <c r="X25646" s="26">
        <v>4.0000000000000001E-3</v>
      </c>
      <c r="Y25646">
        <v>130</v>
      </c>
    </row>
    <row r="25647" spans="1:25" x14ac:dyDescent="0.35">
      <c r="A25647" s="27" t="s">
        <v>231</v>
      </c>
      <c r="B25647" s="27" t="s">
        <v>267</v>
      </c>
      <c r="C25647" s="28">
        <v>0.54549999999999998</v>
      </c>
      <c r="D25647" s="28">
        <v>0.45450000000000002</v>
      </c>
      <c r="E25647" s="28">
        <v>9.0899999999999995E-2</v>
      </c>
      <c r="F25647" s="29"/>
      <c r="G25647" s="28">
        <v>0.18179999999999999</v>
      </c>
      <c r="H25647" s="28">
        <v>0.18179999999999999</v>
      </c>
      <c r="I25647" s="28">
        <v>9.0899999999999995E-2</v>
      </c>
      <c r="J25647" s="28">
        <v>9.0899999999999995E-2</v>
      </c>
      <c r="K25647" s="28">
        <v>9.0899999999999995E-2</v>
      </c>
      <c r="L25647" s="29"/>
      <c r="M25647" s="29"/>
      <c r="N25647" s="29"/>
      <c r="O25647" s="28">
        <v>9.0899999999999995E-2</v>
      </c>
      <c r="P25647" s="29"/>
      <c r="Q25647" s="28">
        <v>0.18179999999999999</v>
      </c>
      <c r="R25647" s="29"/>
      <c r="S25647" s="29"/>
      <c r="T25647" s="29"/>
      <c r="U25647" s="29"/>
      <c r="V25647" s="28">
        <v>9.0899999999999995E-2</v>
      </c>
      <c r="W25647" s="28">
        <v>9.0899999999999995E-2</v>
      </c>
      <c r="X25647" s="29"/>
      <c r="Y25647" s="29" t="s">
        <v>352</v>
      </c>
    </row>
    <row r="25648" spans="1:25" x14ac:dyDescent="0.35">
      <c r="A25648" t="s">
        <v>231</v>
      </c>
      <c r="B25648" t="s">
        <v>266</v>
      </c>
      <c r="C25648" s="26">
        <v>0.57579999999999998</v>
      </c>
      <c r="D25648" s="26">
        <v>0.2727</v>
      </c>
      <c r="E25648" s="26">
        <v>0.30299999999999999</v>
      </c>
      <c r="F25648" s="26">
        <v>0.21210000000000001</v>
      </c>
      <c r="G25648" s="26">
        <v>3.0300000000000001E-2</v>
      </c>
      <c r="H25648" s="26">
        <v>9.0899999999999995E-2</v>
      </c>
      <c r="I25648" s="26">
        <v>3.0300000000000001E-2</v>
      </c>
      <c r="K25648" s="26">
        <v>9.0899999999999995E-2</v>
      </c>
      <c r="L25648" s="26">
        <v>6.0600000000000001E-2</v>
      </c>
      <c r="P25648" s="26">
        <v>3.0300000000000001E-2</v>
      </c>
      <c r="Q25648" s="26">
        <v>3.0300000000000001E-2</v>
      </c>
      <c r="R25648" s="26">
        <v>3.0300000000000001E-2</v>
      </c>
      <c r="Y25648">
        <v>33</v>
      </c>
    </row>
    <row r="25649" spans="1:25" x14ac:dyDescent="0.35">
      <c r="A25649" t="s">
        <v>231</v>
      </c>
      <c r="B25649" t="s">
        <v>265</v>
      </c>
      <c r="C25649" s="26">
        <v>0.5333</v>
      </c>
      <c r="D25649" s="26">
        <v>0.26669999999999999</v>
      </c>
      <c r="E25649" s="26">
        <v>0.1333</v>
      </c>
      <c r="F25649" s="26">
        <v>0.2</v>
      </c>
      <c r="G25649" s="26">
        <v>0.1333</v>
      </c>
      <c r="H25649" s="26">
        <v>0.1</v>
      </c>
      <c r="I25649" s="26">
        <v>6.6699999999999995E-2</v>
      </c>
      <c r="J25649" s="26">
        <v>0.1</v>
      </c>
      <c r="K25649" s="26">
        <v>6.6699999999999995E-2</v>
      </c>
      <c r="M25649" s="26">
        <v>0.1</v>
      </c>
      <c r="N25649" s="26">
        <v>6.6699999999999995E-2</v>
      </c>
      <c r="Y25649">
        <v>30</v>
      </c>
    </row>
    <row r="25650" spans="1:25" x14ac:dyDescent="0.35">
      <c r="A25650" t="s">
        <v>232</v>
      </c>
      <c r="B25650" t="s">
        <v>232</v>
      </c>
      <c r="C25650" s="26">
        <v>0.56540000000000001</v>
      </c>
      <c r="D25650" s="26">
        <v>0.25569999999999998</v>
      </c>
      <c r="E25650" s="26">
        <v>0.24279999999999999</v>
      </c>
      <c r="F25650" s="26">
        <v>0.16619999999999999</v>
      </c>
      <c r="G25650" s="26">
        <v>7.5700000000000003E-2</v>
      </c>
      <c r="H25650" s="26">
        <v>6.7299999999999999E-2</v>
      </c>
      <c r="I25650" s="26">
        <v>5.8099999999999999E-2</v>
      </c>
      <c r="J25650" s="26">
        <v>5.79E-2</v>
      </c>
      <c r="K25650" s="26">
        <v>4.7600000000000003E-2</v>
      </c>
      <c r="L25650" s="26">
        <v>4.0399999999999998E-2</v>
      </c>
      <c r="M25650" s="26">
        <v>3.73E-2</v>
      </c>
      <c r="N25650" s="26">
        <v>3.3700000000000001E-2</v>
      </c>
      <c r="O25650" s="26">
        <v>2.92E-2</v>
      </c>
      <c r="P25650" s="26">
        <v>2.6599999999999999E-2</v>
      </c>
      <c r="Q25650" s="26">
        <v>2.06E-2</v>
      </c>
      <c r="R25650" s="26">
        <v>1.9199999999999998E-2</v>
      </c>
      <c r="S25650" s="26">
        <v>1.6299999999999999E-2</v>
      </c>
      <c r="T25650" s="26">
        <v>1.47E-2</v>
      </c>
      <c r="U25650" s="26">
        <v>8.0000000000000002E-3</v>
      </c>
      <c r="V25650" s="26">
        <v>7.9000000000000008E-3</v>
      </c>
      <c r="W25650" s="26">
        <v>7.3000000000000001E-3</v>
      </c>
      <c r="X25650" s="26">
        <v>5.4999999999999997E-3</v>
      </c>
      <c r="Y25650">
        <v>1537</v>
      </c>
    </row>
    <row r="25652" spans="1:25" x14ac:dyDescent="0.35">
      <c r="A25652" s="1" t="s">
        <v>2341</v>
      </c>
    </row>
    <row r="25653" spans="1:25" x14ac:dyDescent="0.35">
      <c r="A25653" t="s">
        <v>219</v>
      </c>
      <c r="B25653" t="s">
        <v>305</v>
      </c>
      <c r="C25653" t="s">
        <v>2315</v>
      </c>
      <c r="D25653" t="s">
        <v>2316</v>
      </c>
      <c r="E25653" t="s">
        <v>2317</v>
      </c>
      <c r="F25653" t="s">
        <v>2318</v>
      </c>
      <c r="G25653" t="s">
        <v>2319</v>
      </c>
      <c r="H25653" t="s">
        <v>2320</v>
      </c>
      <c r="I25653" t="s">
        <v>2321</v>
      </c>
      <c r="J25653" t="s">
        <v>2322</v>
      </c>
      <c r="K25653" t="s">
        <v>2323</v>
      </c>
      <c r="L25653" t="s">
        <v>2324</v>
      </c>
      <c r="M25653" t="s">
        <v>2325</v>
      </c>
      <c r="N25653" t="s">
        <v>2326</v>
      </c>
      <c r="O25653" t="s">
        <v>2327</v>
      </c>
      <c r="P25653" t="s">
        <v>2328</v>
      </c>
      <c r="Q25653" t="s">
        <v>2329</v>
      </c>
      <c r="R25653" t="s">
        <v>2330</v>
      </c>
      <c r="S25653" t="s">
        <v>2331</v>
      </c>
      <c r="T25653" t="s">
        <v>2332</v>
      </c>
      <c r="U25653" t="s">
        <v>326</v>
      </c>
      <c r="V25653" t="s">
        <v>2333</v>
      </c>
      <c r="W25653" t="s">
        <v>2334</v>
      </c>
      <c r="X25653" t="s">
        <v>2335</v>
      </c>
      <c r="Y25653" t="s">
        <v>226</v>
      </c>
    </row>
    <row r="25654" spans="1:25" x14ac:dyDescent="0.35">
      <c r="A25654" s="27" t="s">
        <v>227</v>
      </c>
      <c r="B25654" s="27" t="s">
        <v>252</v>
      </c>
      <c r="C25654" s="28">
        <v>0.53569999999999995</v>
      </c>
      <c r="D25654" s="28">
        <v>0.28570000000000001</v>
      </c>
      <c r="E25654" s="28">
        <v>0.25</v>
      </c>
      <c r="F25654" s="28">
        <v>0.1429</v>
      </c>
      <c r="G25654" s="28">
        <v>3.5700000000000003E-2</v>
      </c>
      <c r="H25654" s="28">
        <v>3.5700000000000003E-2</v>
      </c>
      <c r="I25654" s="28">
        <v>7.1400000000000005E-2</v>
      </c>
      <c r="J25654" s="28">
        <v>7.1400000000000005E-2</v>
      </c>
      <c r="K25654" s="28">
        <v>3.5700000000000003E-2</v>
      </c>
      <c r="L25654" s="29"/>
      <c r="M25654" s="29"/>
      <c r="N25654" s="28">
        <v>3.5700000000000003E-2</v>
      </c>
      <c r="O25654" s="28">
        <v>7.1400000000000005E-2</v>
      </c>
      <c r="P25654" s="29"/>
      <c r="Q25654" s="29"/>
      <c r="R25654" s="28">
        <v>7.1400000000000005E-2</v>
      </c>
      <c r="S25654" s="29"/>
      <c r="T25654" s="28">
        <v>3.5700000000000003E-2</v>
      </c>
      <c r="U25654" s="29"/>
      <c r="V25654" s="29"/>
      <c r="W25654" s="29"/>
      <c r="X25654" s="28">
        <v>3.5700000000000003E-2</v>
      </c>
      <c r="Y25654" s="29" t="s">
        <v>336</v>
      </c>
    </row>
    <row r="25655" spans="1:25" x14ac:dyDescent="0.35">
      <c r="A25655" s="27" t="s">
        <v>227</v>
      </c>
      <c r="B25655" s="27" t="s">
        <v>253</v>
      </c>
      <c r="C25655" s="28">
        <v>0.38890000000000002</v>
      </c>
      <c r="D25655" s="28">
        <v>0.16669999999999999</v>
      </c>
      <c r="E25655" s="28">
        <v>0.33329999999999999</v>
      </c>
      <c r="F25655" s="28">
        <v>0.22220000000000001</v>
      </c>
      <c r="G25655" s="28">
        <v>5.5599999999999997E-2</v>
      </c>
      <c r="H25655" s="28">
        <v>0.1111</v>
      </c>
      <c r="I25655" s="28">
        <v>5.5599999999999997E-2</v>
      </c>
      <c r="J25655" s="28">
        <v>0.1111</v>
      </c>
      <c r="K25655" s="29"/>
      <c r="L25655" s="29"/>
      <c r="M25655" s="28">
        <v>5.5599999999999997E-2</v>
      </c>
      <c r="N25655" s="28">
        <v>0.1111</v>
      </c>
      <c r="O25655" s="28">
        <v>5.5599999999999997E-2</v>
      </c>
      <c r="P25655" s="29"/>
      <c r="Q25655" s="29"/>
      <c r="R25655" s="29"/>
      <c r="S25655" s="29"/>
      <c r="T25655" s="28">
        <v>5.5599999999999997E-2</v>
      </c>
      <c r="U25655" s="29"/>
      <c r="V25655" s="28">
        <v>5.5599999999999997E-2</v>
      </c>
      <c r="W25655" s="29"/>
      <c r="X25655" s="29"/>
      <c r="Y25655" s="29" t="s">
        <v>353</v>
      </c>
    </row>
    <row r="25656" spans="1:25" x14ac:dyDescent="0.35">
      <c r="A25656" t="s">
        <v>227</v>
      </c>
      <c r="B25656" t="s">
        <v>251</v>
      </c>
      <c r="C25656" s="26">
        <v>0.61109999999999998</v>
      </c>
      <c r="D25656" s="26">
        <v>0.25</v>
      </c>
      <c r="E25656" s="26">
        <v>0.16669999999999999</v>
      </c>
      <c r="F25656" s="26">
        <v>0.19439999999999999</v>
      </c>
      <c r="G25656" s="26">
        <v>0.1111</v>
      </c>
      <c r="I25656" s="26">
        <v>2.7799999999999998E-2</v>
      </c>
      <c r="J25656" s="26">
        <v>5.5599999999999997E-2</v>
      </c>
      <c r="L25656" s="26">
        <v>5.5599999999999997E-2</v>
      </c>
      <c r="M25656" s="26">
        <v>8.3299999999999999E-2</v>
      </c>
      <c r="N25656" s="26">
        <v>8.3299999999999999E-2</v>
      </c>
      <c r="Q25656" s="26">
        <v>2.7799999999999998E-2</v>
      </c>
      <c r="R25656" s="26">
        <v>5.5599999999999997E-2</v>
      </c>
      <c r="S25656" s="26">
        <v>2.7799999999999998E-2</v>
      </c>
      <c r="U25656" s="26">
        <v>2.7799999999999998E-2</v>
      </c>
      <c r="Y25656">
        <v>36</v>
      </c>
    </row>
    <row r="25657" spans="1:25" x14ac:dyDescent="0.35">
      <c r="A25657" t="s">
        <v>228</v>
      </c>
      <c r="B25657" t="s">
        <v>252</v>
      </c>
      <c r="C25657" s="26">
        <v>0.73350000000000004</v>
      </c>
      <c r="D25657" s="26">
        <v>0.3453</v>
      </c>
      <c r="E25657" s="26">
        <v>0.34699999999999998</v>
      </c>
      <c r="F25657" s="26">
        <v>3.9699999999999999E-2</v>
      </c>
      <c r="G25657" s="26">
        <v>2.3900000000000001E-2</v>
      </c>
      <c r="H25657" s="26">
        <v>6.2700000000000006E-2</v>
      </c>
      <c r="I25657" s="26">
        <v>4.2799999999999998E-2</v>
      </c>
      <c r="J25657" s="26">
        <v>9.9400000000000002E-2</v>
      </c>
      <c r="K25657" s="26">
        <v>4.1099999999999998E-2</v>
      </c>
      <c r="L25657" s="26">
        <v>3.4200000000000001E-2</v>
      </c>
      <c r="M25657" s="26">
        <v>9.5999999999999992E-3</v>
      </c>
      <c r="N25657" s="26">
        <v>6.7999999999999996E-3</v>
      </c>
      <c r="O25657" s="26">
        <v>3.9899999999999998E-2</v>
      </c>
      <c r="Q25657" s="26">
        <v>1.03E-2</v>
      </c>
      <c r="R25657" s="26">
        <v>3.1099999999999999E-2</v>
      </c>
      <c r="S25657" s="26">
        <v>7.7000000000000002E-3</v>
      </c>
      <c r="T25657" s="26">
        <v>4.9200000000000001E-2</v>
      </c>
      <c r="U25657" s="26">
        <v>7.1999999999999998E-3</v>
      </c>
      <c r="X25657" s="26">
        <v>1.5E-3</v>
      </c>
      <c r="Y25657">
        <v>205</v>
      </c>
    </row>
    <row r="25658" spans="1:25" x14ac:dyDescent="0.35">
      <c r="A25658" t="s">
        <v>228</v>
      </c>
      <c r="B25658" t="s">
        <v>253</v>
      </c>
      <c r="C25658" s="26">
        <v>0.57669999999999999</v>
      </c>
      <c r="D25658" s="26">
        <v>0.2361</v>
      </c>
      <c r="E25658" s="26">
        <v>0.2417</v>
      </c>
      <c r="F25658" s="26">
        <v>0.15390000000000001</v>
      </c>
      <c r="G25658" s="26">
        <v>7.4300000000000005E-2</v>
      </c>
      <c r="H25658" s="26">
        <v>5.6599999999999998E-2</v>
      </c>
      <c r="I25658" s="26">
        <v>6.7100000000000007E-2</v>
      </c>
      <c r="J25658" s="26">
        <v>4.9099999999999998E-2</v>
      </c>
      <c r="K25658" s="26">
        <v>4.8000000000000001E-2</v>
      </c>
      <c r="L25658" s="26">
        <v>2.5999999999999999E-2</v>
      </c>
      <c r="M25658" s="26">
        <v>7.7000000000000002E-3</v>
      </c>
      <c r="N25658" s="26">
        <v>1.67E-2</v>
      </c>
      <c r="O25658" s="26">
        <v>2.0799999999999999E-2</v>
      </c>
      <c r="P25658" s="26">
        <v>6.5799999999999997E-2</v>
      </c>
      <c r="Q25658" s="26">
        <v>5.3E-3</v>
      </c>
      <c r="R25658" s="26">
        <v>2.63E-2</v>
      </c>
      <c r="S25658" s="26">
        <v>3.3500000000000002E-2</v>
      </c>
      <c r="T25658" s="26">
        <v>2.4400000000000002E-2</v>
      </c>
      <c r="U25658" s="26">
        <v>3.3500000000000002E-2</v>
      </c>
      <c r="W25658" s="26">
        <v>0.01</v>
      </c>
      <c r="X25658" s="26">
        <v>5.3E-3</v>
      </c>
      <c r="Y25658">
        <v>149</v>
      </c>
    </row>
    <row r="25659" spans="1:25" x14ac:dyDescent="0.35">
      <c r="A25659" t="s">
        <v>228</v>
      </c>
      <c r="B25659" t="s">
        <v>251</v>
      </c>
      <c r="C25659" s="26">
        <v>0.57750000000000001</v>
      </c>
      <c r="D25659" s="26">
        <v>0.19719999999999999</v>
      </c>
      <c r="E25659" s="26">
        <v>0.19739999999999999</v>
      </c>
      <c r="F25659" s="26">
        <v>0.12959999999999999</v>
      </c>
      <c r="G25659" s="26">
        <v>0.10929999999999999</v>
      </c>
      <c r="H25659" s="26">
        <v>5.6399999999999999E-2</v>
      </c>
      <c r="I25659" s="26">
        <v>9.1899999999999996E-2</v>
      </c>
      <c r="J25659" s="26">
        <v>4.0899999999999999E-2</v>
      </c>
      <c r="K25659" s="26">
        <v>4.19E-2</v>
      </c>
      <c r="L25659" s="26">
        <v>0.1031</v>
      </c>
      <c r="M25659" s="26">
        <v>6.3799999999999996E-2</v>
      </c>
      <c r="N25659" s="26">
        <v>1.32E-2</v>
      </c>
      <c r="O25659" s="26">
        <v>1.9E-2</v>
      </c>
      <c r="P25659" s="26">
        <v>8.9499999999999996E-2</v>
      </c>
      <c r="Q25659" s="26">
        <v>3.4200000000000001E-2</v>
      </c>
      <c r="R25659" s="26">
        <v>1.8100000000000002E-2</v>
      </c>
      <c r="S25659" s="26">
        <v>2.7400000000000001E-2</v>
      </c>
      <c r="T25659" s="26">
        <v>3.5299999999999998E-2</v>
      </c>
      <c r="V25659" s="26">
        <v>7.6E-3</v>
      </c>
      <c r="W25659" s="26">
        <v>3.3E-3</v>
      </c>
      <c r="X25659" s="26">
        <v>2.8000000000000001E-2</v>
      </c>
      <c r="Y25659">
        <v>266</v>
      </c>
    </row>
    <row r="25660" spans="1:25" x14ac:dyDescent="0.35">
      <c r="A25660" t="s">
        <v>229</v>
      </c>
      <c r="B25660" t="s">
        <v>252</v>
      </c>
      <c r="C25660" s="26">
        <v>0.62290000000000001</v>
      </c>
      <c r="D25660" s="26">
        <v>0.18779999999999999</v>
      </c>
      <c r="E25660" s="26">
        <v>0.2195</v>
      </c>
      <c r="F25660" s="26">
        <v>0.18729999999999999</v>
      </c>
      <c r="H25660" s="26">
        <v>1.6500000000000001E-2</v>
      </c>
      <c r="I25660" s="26">
        <v>8.4599999999999995E-2</v>
      </c>
      <c r="J25660" s="26">
        <v>6.8099999999999994E-2</v>
      </c>
      <c r="K25660" s="26">
        <v>3.2000000000000002E-3</v>
      </c>
      <c r="L25660" s="26">
        <v>2.5600000000000001E-2</v>
      </c>
      <c r="M25660" s="26">
        <v>1.6999999999999999E-3</v>
      </c>
      <c r="N25660" s="26">
        <v>8.9999999999999998E-4</v>
      </c>
      <c r="O25660" s="26">
        <v>3.6900000000000002E-2</v>
      </c>
      <c r="R25660" s="26">
        <v>2.9499999999999998E-2</v>
      </c>
      <c r="U25660" s="26">
        <v>2.47E-2</v>
      </c>
      <c r="W25660" s="26">
        <v>2.47E-2</v>
      </c>
      <c r="Y25660">
        <v>103</v>
      </c>
    </row>
    <row r="25661" spans="1:25" x14ac:dyDescent="0.35">
      <c r="A25661" t="s">
        <v>229</v>
      </c>
      <c r="B25661" t="s">
        <v>253</v>
      </c>
      <c r="C25661" s="26">
        <v>0.61660000000000004</v>
      </c>
      <c r="D25661" s="26">
        <v>0.23180000000000001</v>
      </c>
      <c r="E25661" s="26">
        <v>0.4642</v>
      </c>
      <c r="F25661" s="26">
        <v>0.14249999999999999</v>
      </c>
      <c r="G25661" s="26">
        <v>6.8900000000000003E-2</v>
      </c>
      <c r="H25661" s="26">
        <v>1.4500000000000001E-2</v>
      </c>
      <c r="I25661" s="26">
        <v>5.21E-2</v>
      </c>
      <c r="J25661" s="26">
        <v>3.3700000000000001E-2</v>
      </c>
      <c r="K25661" s="26">
        <v>4.6100000000000002E-2</v>
      </c>
      <c r="L25661" s="26">
        <v>7.6700000000000004E-2</v>
      </c>
      <c r="M25661" s="26">
        <v>2.9100000000000001E-2</v>
      </c>
      <c r="N25661" s="26">
        <v>4.6100000000000002E-2</v>
      </c>
      <c r="O25661" s="26">
        <v>2.3E-2</v>
      </c>
      <c r="P25661" s="26">
        <v>8.9999999999999998E-4</v>
      </c>
      <c r="Q25661" s="26">
        <v>4.5999999999999999E-3</v>
      </c>
      <c r="U25661" s="26">
        <v>2.3E-2</v>
      </c>
      <c r="V25661" s="26">
        <v>2.76E-2</v>
      </c>
      <c r="W25661" s="26">
        <v>3.0000000000000001E-3</v>
      </c>
      <c r="Y25661">
        <v>75</v>
      </c>
    </row>
    <row r="25662" spans="1:25" x14ac:dyDescent="0.35">
      <c r="A25662" t="s">
        <v>229</v>
      </c>
      <c r="B25662" t="s">
        <v>251</v>
      </c>
      <c r="C25662" s="26">
        <v>0.4451</v>
      </c>
      <c r="D25662" s="26">
        <v>0.18490000000000001</v>
      </c>
      <c r="E25662" s="26">
        <v>0.1918</v>
      </c>
      <c r="F25662" s="26">
        <v>0.26300000000000001</v>
      </c>
      <c r="G25662" s="26">
        <v>7.5999999999999998E-2</v>
      </c>
      <c r="H25662" s="26">
        <v>2.0199999999999999E-2</v>
      </c>
      <c r="I25662" s="26">
        <v>2.1499999999999998E-2</v>
      </c>
      <c r="J25662" s="26">
        <v>3.8800000000000001E-2</v>
      </c>
      <c r="K25662" s="26">
        <v>5.4399999999999997E-2</v>
      </c>
      <c r="L25662" s="26">
        <v>2.4400000000000002E-2</v>
      </c>
      <c r="M25662" s="26">
        <v>5.04E-2</v>
      </c>
      <c r="N25662" s="26">
        <v>3.4299999999999997E-2</v>
      </c>
      <c r="O25662" s="26">
        <v>4.58E-2</v>
      </c>
      <c r="P25662" s="26">
        <v>3.9600000000000003E-2</v>
      </c>
      <c r="Q25662" s="26">
        <v>2.3800000000000002E-2</v>
      </c>
      <c r="S25662" s="26">
        <v>5.6000000000000001E-2</v>
      </c>
      <c r="V25662" s="26">
        <v>4.0000000000000002E-4</v>
      </c>
      <c r="W25662" s="26">
        <v>9.9000000000000008E-3</v>
      </c>
      <c r="Y25662">
        <v>227</v>
      </c>
    </row>
    <row r="25663" spans="1:25" x14ac:dyDescent="0.35">
      <c r="A25663" t="s">
        <v>230</v>
      </c>
      <c r="B25663" t="s">
        <v>252</v>
      </c>
      <c r="C25663" s="26">
        <v>0.68459999999999999</v>
      </c>
      <c r="D25663" s="26">
        <v>0.33450000000000002</v>
      </c>
      <c r="E25663" s="26">
        <v>0.29110000000000003</v>
      </c>
      <c r="F25663" s="26">
        <v>0.10829999999999999</v>
      </c>
      <c r="G25663" s="26">
        <v>6.7000000000000002E-3</v>
      </c>
      <c r="H25663" s="26">
        <v>0.21609999999999999</v>
      </c>
      <c r="I25663" s="26">
        <v>0.2064</v>
      </c>
      <c r="J25663" s="26">
        <v>6.7000000000000004E-2</v>
      </c>
      <c r="K25663" s="26">
        <v>8.0999999999999996E-3</v>
      </c>
      <c r="L25663" s="26">
        <v>3.0499999999999999E-2</v>
      </c>
      <c r="M25663" s="26">
        <v>2.1600000000000001E-2</v>
      </c>
      <c r="N25663" s="26">
        <v>3.2099999999999997E-2</v>
      </c>
      <c r="O25663" s="26">
        <v>7.0699999999999999E-2</v>
      </c>
      <c r="P25663" s="26">
        <v>5.0000000000000001E-3</v>
      </c>
      <c r="R25663" s="26">
        <v>1.5E-3</v>
      </c>
      <c r="T25663" s="26">
        <v>2.69E-2</v>
      </c>
      <c r="U25663" s="26">
        <v>1.5E-3</v>
      </c>
      <c r="X25663" s="26">
        <v>5.0000000000000001E-3</v>
      </c>
      <c r="Y25663">
        <v>114</v>
      </c>
    </row>
    <row r="25664" spans="1:25" x14ac:dyDescent="0.35">
      <c r="A25664" t="s">
        <v>230</v>
      </c>
      <c r="B25664" t="s">
        <v>253</v>
      </c>
      <c r="C25664" s="26">
        <v>0.5413</v>
      </c>
      <c r="D25664" s="26">
        <v>0.21179999999999999</v>
      </c>
      <c r="E25664" s="26">
        <v>0.2082</v>
      </c>
      <c r="F25664" s="26">
        <v>0.19309999999999999</v>
      </c>
      <c r="G25664" s="26">
        <v>0.17860000000000001</v>
      </c>
      <c r="H25664" s="26">
        <v>0.1794</v>
      </c>
      <c r="I25664" s="26">
        <v>2.1499999999999998E-2</v>
      </c>
      <c r="J25664" s="26">
        <v>2.4199999999999999E-2</v>
      </c>
      <c r="K25664" s="26">
        <v>1.0699999999999999E-2</v>
      </c>
      <c r="L25664" s="26">
        <v>1.09E-2</v>
      </c>
      <c r="M25664" s="26">
        <v>7.3999999999999996E-2</v>
      </c>
      <c r="N25664" s="26">
        <v>6.6600000000000006E-2</v>
      </c>
      <c r="O25664" s="26">
        <v>2.0799999999999999E-2</v>
      </c>
      <c r="P25664" s="26">
        <v>5.4800000000000001E-2</v>
      </c>
      <c r="Q25664" s="26">
        <v>2.5000000000000001E-3</v>
      </c>
      <c r="S25664" s="26">
        <v>4.9799999999999997E-2</v>
      </c>
      <c r="T25664" s="26">
        <v>2.7300000000000001E-2</v>
      </c>
      <c r="U25664" s="26">
        <v>4.9799999999999997E-2</v>
      </c>
      <c r="X25664" s="26">
        <v>2.5000000000000001E-3</v>
      </c>
      <c r="Y25664">
        <v>80</v>
      </c>
    </row>
    <row r="25665" spans="1:25" x14ac:dyDescent="0.35">
      <c r="A25665" t="s">
        <v>230</v>
      </c>
      <c r="B25665" t="s">
        <v>251</v>
      </c>
      <c r="C25665" s="26">
        <v>0.60819999999999996</v>
      </c>
      <c r="D25665" s="26">
        <v>0.3775</v>
      </c>
      <c r="E25665" s="26">
        <v>0.31119999999999998</v>
      </c>
      <c r="F25665" s="26">
        <v>6.9500000000000006E-2</v>
      </c>
      <c r="G25665" s="26">
        <v>8.9700000000000002E-2</v>
      </c>
      <c r="H25665" s="26">
        <v>0.10730000000000001</v>
      </c>
      <c r="I25665" s="26">
        <v>4.8800000000000003E-2</v>
      </c>
      <c r="J25665" s="26">
        <v>9.8599999999999993E-2</v>
      </c>
      <c r="K25665" s="26">
        <v>8.3699999999999997E-2</v>
      </c>
      <c r="L25665" s="26">
        <v>8.9099999999999999E-2</v>
      </c>
      <c r="M25665" s="26">
        <v>7.3000000000000001E-3</v>
      </c>
      <c r="N25665" s="26">
        <v>4.24E-2</v>
      </c>
      <c r="O25665" s="26">
        <v>2.4799999999999999E-2</v>
      </c>
      <c r="P25665" s="26">
        <v>7.2700000000000001E-2</v>
      </c>
      <c r="Q25665" s="26">
        <v>6.4999999999999997E-3</v>
      </c>
      <c r="R25665" s="26">
        <v>2.29E-2</v>
      </c>
      <c r="S25665" s="26">
        <v>4.1999999999999997E-3</v>
      </c>
      <c r="T25665" s="26">
        <v>2.7099999999999999E-2</v>
      </c>
      <c r="X25665" s="26">
        <v>3.2000000000000002E-3</v>
      </c>
      <c r="Y25665">
        <v>162</v>
      </c>
    </row>
    <row r="25666" spans="1:25" x14ac:dyDescent="0.35">
      <c r="A25666" s="27" t="s">
        <v>231</v>
      </c>
      <c r="B25666" s="27" t="s">
        <v>252</v>
      </c>
      <c r="C25666" s="28">
        <v>0.56520000000000004</v>
      </c>
      <c r="D25666" s="28">
        <v>0.3478</v>
      </c>
      <c r="E25666" s="28">
        <v>0.26090000000000002</v>
      </c>
      <c r="F25666" s="28">
        <v>0.13039999999999999</v>
      </c>
      <c r="G25666" s="28">
        <v>4.3499999999999997E-2</v>
      </c>
      <c r="H25666" s="28">
        <v>4.3499999999999997E-2</v>
      </c>
      <c r="I25666" s="28">
        <v>4.3499999999999997E-2</v>
      </c>
      <c r="J25666" s="28">
        <v>4.3499999999999997E-2</v>
      </c>
      <c r="K25666" s="28">
        <v>0.13039999999999999</v>
      </c>
      <c r="L25666" s="29"/>
      <c r="M25666" s="29"/>
      <c r="N25666" s="28">
        <v>4.3499999999999997E-2</v>
      </c>
      <c r="O25666" s="28">
        <v>4.3499999999999997E-2</v>
      </c>
      <c r="P25666" s="29"/>
      <c r="Q25666" s="29"/>
      <c r="R25666" s="29"/>
      <c r="S25666" s="29"/>
      <c r="T25666" s="29"/>
      <c r="U25666" s="29"/>
      <c r="V25666" s="29"/>
      <c r="W25666" s="28">
        <v>4.3499999999999997E-2</v>
      </c>
      <c r="X25666" s="29"/>
      <c r="Y25666" s="29" t="s">
        <v>328</v>
      </c>
    </row>
    <row r="25667" spans="1:25" x14ac:dyDescent="0.35">
      <c r="A25667" s="27" t="s">
        <v>231</v>
      </c>
      <c r="B25667" s="27" t="s">
        <v>253</v>
      </c>
      <c r="C25667" s="28">
        <v>0.66669999999999996</v>
      </c>
      <c r="D25667" s="28">
        <v>8.3299999999999999E-2</v>
      </c>
      <c r="E25667" s="28">
        <v>0.25</v>
      </c>
      <c r="F25667" s="28">
        <v>0.16669999999999999</v>
      </c>
      <c r="G25667" s="28">
        <v>0.16669999999999999</v>
      </c>
      <c r="H25667" s="28">
        <v>8.3299999999999999E-2</v>
      </c>
      <c r="I25667" s="29"/>
      <c r="J25667" s="28">
        <v>8.3299999999999999E-2</v>
      </c>
      <c r="K25667" s="28">
        <v>8.3299999999999999E-2</v>
      </c>
      <c r="L25667" s="28">
        <v>0.16669999999999999</v>
      </c>
      <c r="M25667" s="29"/>
      <c r="N25667" s="29"/>
      <c r="O25667" s="29"/>
      <c r="P25667" s="29"/>
      <c r="Q25667" s="29"/>
      <c r="R25667" s="29"/>
      <c r="S25667" s="29"/>
      <c r="T25667" s="29"/>
      <c r="U25667" s="29"/>
      <c r="V25667" s="29"/>
      <c r="W25667" s="29"/>
      <c r="X25667" s="29"/>
      <c r="Y25667" s="29" t="s">
        <v>342</v>
      </c>
    </row>
    <row r="25668" spans="1:25" x14ac:dyDescent="0.35">
      <c r="A25668" t="s">
        <v>231</v>
      </c>
      <c r="B25668" t="s">
        <v>251</v>
      </c>
      <c r="C25668" s="26">
        <v>0.51280000000000003</v>
      </c>
      <c r="D25668" s="26">
        <v>0.33329999999999999</v>
      </c>
      <c r="E25668" s="26">
        <v>0.15379999999999999</v>
      </c>
      <c r="F25668" s="26">
        <v>0.2051</v>
      </c>
      <c r="G25668" s="26">
        <v>0.1026</v>
      </c>
      <c r="H25668" s="26">
        <v>0.15379999999999999</v>
      </c>
      <c r="I25668" s="26">
        <v>7.6899999999999996E-2</v>
      </c>
      <c r="J25668" s="26">
        <v>5.1299999999999998E-2</v>
      </c>
      <c r="K25668" s="26">
        <v>5.1299999999999998E-2</v>
      </c>
      <c r="M25668" s="26">
        <v>7.6899999999999996E-2</v>
      </c>
      <c r="N25668" s="26">
        <v>2.5600000000000001E-2</v>
      </c>
      <c r="P25668" s="26">
        <v>2.5600000000000001E-2</v>
      </c>
      <c r="Q25668" s="26">
        <v>7.6899999999999996E-2</v>
      </c>
      <c r="R25668" s="26">
        <v>2.5600000000000001E-2</v>
      </c>
      <c r="V25668" s="26">
        <v>2.5600000000000001E-2</v>
      </c>
      <c r="Y25668">
        <v>39</v>
      </c>
    </row>
    <row r="25669" spans="1:25" x14ac:dyDescent="0.35">
      <c r="A25669" t="s">
        <v>232</v>
      </c>
      <c r="B25669" t="s">
        <v>232</v>
      </c>
      <c r="C25669" s="26">
        <v>0.56540000000000001</v>
      </c>
      <c r="D25669" s="26">
        <v>0.25569999999999998</v>
      </c>
      <c r="E25669" s="26">
        <v>0.24279999999999999</v>
      </c>
      <c r="F25669" s="26">
        <v>0.16619999999999999</v>
      </c>
      <c r="G25669" s="26">
        <v>7.5700000000000003E-2</v>
      </c>
      <c r="H25669" s="26">
        <v>6.7299999999999999E-2</v>
      </c>
      <c r="I25669" s="26">
        <v>5.8099999999999999E-2</v>
      </c>
      <c r="J25669" s="26">
        <v>5.79E-2</v>
      </c>
      <c r="K25669" s="26">
        <v>4.7600000000000003E-2</v>
      </c>
      <c r="L25669" s="26">
        <v>4.0399999999999998E-2</v>
      </c>
      <c r="M25669" s="26">
        <v>3.73E-2</v>
      </c>
      <c r="N25669" s="26">
        <v>3.3700000000000001E-2</v>
      </c>
      <c r="O25669" s="26">
        <v>2.92E-2</v>
      </c>
      <c r="P25669" s="26">
        <v>2.6599999999999999E-2</v>
      </c>
      <c r="Q25669" s="26">
        <v>2.06E-2</v>
      </c>
      <c r="R25669" s="26">
        <v>1.9199999999999998E-2</v>
      </c>
      <c r="S25669" s="26">
        <v>1.6299999999999999E-2</v>
      </c>
      <c r="T25669" s="26">
        <v>1.47E-2</v>
      </c>
      <c r="U25669" s="26">
        <v>8.0000000000000002E-3</v>
      </c>
      <c r="V25669" s="26">
        <v>7.9000000000000008E-3</v>
      </c>
      <c r="W25669" s="26">
        <v>7.3000000000000001E-3</v>
      </c>
      <c r="X25669" s="26">
        <v>5.4999999999999997E-3</v>
      </c>
      <c r="Y25669">
        <v>1537</v>
      </c>
    </row>
    <row r="25671" spans="1:25" x14ac:dyDescent="0.35">
      <c r="A25671" s="1" t="s">
        <v>2342</v>
      </c>
    </row>
    <row r="25672" spans="1:25" x14ac:dyDescent="0.35">
      <c r="A25672" t="s">
        <v>219</v>
      </c>
      <c r="B25672" t="s">
        <v>305</v>
      </c>
      <c r="C25672" t="s">
        <v>2315</v>
      </c>
      <c r="D25672" t="s">
        <v>2316</v>
      </c>
      <c r="E25672" t="s">
        <v>2317</v>
      </c>
      <c r="F25672" t="s">
        <v>2318</v>
      </c>
      <c r="G25672" t="s">
        <v>2319</v>
      </c>
      <c r="H25672" t="s">
        <v>2320</v>
      </c>
      <c r="I25672" t="s">
        <v>2321</v>
      </c>
      <c r="J25672" t="s">
        <v>2322</v>
      </c>
      <c r="K25672" t="s">
        <v>2323</v>
      </c>
      <c r="L25672" t="s">
        <v>2324</v>
      </c>
      <c r="M25672" t="s">
        <v>2325</v>
      </c>
      <c r="N25672" t="s">
        <v>2326</v>
      </c>
      <c r="O25672" t="s">
        <v>2327</v>
      </c>
      <c r="P25672" t="s">
        <v>2328</v>
      </c>
      <c r="Q25672" t="s">
        <v>2329</v>
      </c>
      <c r="R25672" t="s">
        <v>2330</v>
      </c>
      <c r="S25672" t="s">
        <v>2331</v>
      </c>
      <c r="T25672" t="s">
        <v>2332</v>
      </c>
      <c r="U25672" t="s">
        <v>326</v>
      </c>
      <c r="V25672" t="s">
        <v>2333</v>
      </c>
      <c r="W25672" t="s">
        <v>2334</v>
      </c>
      <c r="X25672" t="s">
        <v>2335</v>
      </c>
      <c r="Y25672" t="s">
        <v>226</v>
      </c>
    </row>
    <row r="25673" spans="1:25" x14ac:dyDescent="0.35">
      <c r="A25673" s="27" t="s">
        <v>227</v>
      </c>
      <c r="B25673" s="27" t="s">
        <v>249</v>
      </c>
      <c r="C25673" s="28">
        <v>0.55000000000000004</v>
      </c>
      <c r="D25673" s="28">
        <v>0.25</v>
      </c>
      <c r="E25673" s="28">
        <v>0.25</v>
      </c>
      <c r="F25673" s="28">
        <v>0.15</v>
      </c>
      <c r="G25673" s="28">
        <v>0.15</v>
      </c>
      <c r="H25673" s="29"/>
      <c r="I25673" s="28">
        <v>0.1</v>
      </c>
      <c r="J25673" s="28">
        <v>0.1</v>
      </c>
      <c r="K25673" s="29"/>
      <c r="L25673" s="28">
        <v>0.05</v>
      </c>
      <c r="M25673" s="28">
        <v>0.2</v>
      </c>
      <c r="N25673" s="28">
        <v>0.05</v>
      </c>
      <c r="O25673" s="29"/>
      <c r="P25673" s="29"/>
      <c r="Q25673" s="28">
        <v>0.05</v>
      </c>
      <c r="R25673" s="29"/>
      <c r="S25673" s="28">
        <v>0.05</v>
      </c>
      <c r="T25673" s="29"/>
      <c r="U25673" s="28">
        <v>0.05</v>
      </c>
      <c r="V25673" s="29"/>
      <c r="W25673" s="29"/>
      <c r="X25673" s="29"/>
      <c r="Y25673" s="29" t="s">
        <v>350</v>
      </c>
    </row>
    <row r="25674" spans="1:25" x14ac:dyDescent="0.35">
      <c r="A25674" t="s">
        <v>227</v>
      </c>
      <c r="B25674" t="s">
        <v>248</v>
      </c>
      <c r="C25674" s="26">
        <v>0.5323</v>
      </c>
      <c r="D25674" s="26">
        <v>0.2419</v>
      </c>
      <c r="E25674" s="26">
        <v>0.2258</v>
      </c>
      <c r="F25674" s="26">
        <v>0.19350000000000001</v>
      </c>
      <c r="G25674" s="26">
        <v>4.8399999999999999E-2</v>
      </c>
      <c r="H25674" s="26">
        <v>4.8399999999999999E-2</v>
      </c>
      <c r="I25674" s="26">
        <v>3.2300000000000002E-2</v>
      </c>
      <c r="J25674" s="26">
        <v>6.4500000000000002E-2</v>
      </c>
      <c r="K25674" s="26">
        <v>1.61E-2</v>
      </c>
      <c r="L25674" s="26">
        <v>1.61E-2</v>
      </c>
      <c r="N25674" s="26">
        <v>8.0600000000000005E-2</v>
      </c>
      <c r="O25674" s="26">
        <v>4.8399999999999999E-2</v>
      </c>
      <c r="R25674" s="26">
        <v>6.4500000000000002E-2</v>
      </c>
      <c r="T25674" s="26">
        <v>3.2300000000000002E-2</v>
      </c>
      <c r="V25674" s="26">
        <v>1.61E-2</v>
      </c>
      <c r="X25674" s="26">
        <v>1.61E-2</v>
      </c>
      <c r="Y25674">
        <v>62</v>
      </c>
    </row>
    <row r="25675" spans="1:25" x14ac:dyDescent="0.35">
      <c r="A25675" t="s">
        <v>228</v>
      </c>
      <c r="B25675" t="s">
        <v>249</v>
      </c>
      <c r="C25675" s="26">
        <v>0.63349999999999995</v>
      </c>
      <c r="D25675" s="26">
        <v>0.2505</v>
      </c>
      <c r="E25675" s="26">
        <v>0.21340000000000001</v>
      </c>
      <c r="F25675" s="26">
        <v>0.1116</v>
      </c>
      <c r="G25675" s="26">
        <v>0.1285</v>
      </c>
      <c r="H25675" s="26">
        <v>6.4799999999999996E-2</v>
      </c>
      <c r="I25675" s="26">
        <v>0.12720000000000001</v>
      </c>
      <c r="J25675" s="26">
        <v>4.4299999999999999E-2</v>
      </c>
      <c r="K25675" s="26">
        <v>5.5899999999999998E-2</v>
      </c>
      <c r="L25675" s="26">
        <v>9.5799999999999996E-2</v>
      </c>
      <c r="M25675" s="26">
        <v>2.5499999999999998E-2</v>
      </c>
      <c r="N25675" s="26">
        <v>9.4000000000000004E-3</v>
      </c>
      <c r="O25675" s="26">
        <v>1.23E-2</v>
      </c>
      <c r="P25675" s="26">
        <v>0.1658</v>
      </c>
      <c r="Q25675" s="26">
        <v>3.2000000000000002E-3</v>
      </c>
      <c r="R25675" s="26">
        <v>2.9899999999999999E-2</v>
      </c>
      <c r="T25675" s="26">
        <v>3.1199999999999999E-2</v>
      </c>
      <c r="V25675" s="26">
        <v>4.8999999999999998E-3</v>
      </c>
      <c r="W25675" s="26">
        <v>7.3000000000000001E-3</v>
      </c>
      <c r="X25675" s="26">
        <v>7.1999999999999998E-3</v>
      </c>
      <c r="Y25675">
        <v>166</v>
      </c>
    </row>
    <row r="25676" spans="1:25" x14ac:dyDescent="0.35">
      <c r="A25676" t="s">
        <v>228</v>
      </c>
      <c r="B25676" t="s">
        <v>248</v>
      </c>
      <c r="C25676" s="26">
        <v>0.61990000000000001</v>
      </c>
      <c r="D25676" s="26">
        <v>0.25080000000000002</v>
      </c>
      <c r="E25676" s="26">
        <v>0.27100000000000002</v>
      </c>
      <c r="F25676" s="26">
        <v>0.1065</v>
      </c>
      <c r="G25676" s="26">
        <v>5.0799999999999998E-2</v>
      </c>
      <c r="H25676" s="26">
        <v>5.5300000000000002E-2</v>
      </c>
      <c r="I25676" s="26">
        <v>4.5400000000000003E-2</v>
      </c>
      <c r="J25676" s="26">
        <v>6.8000000000000005E-2</v>
      </c>
      <c r="K25676" s="26">
        <v>3.6999999999999998E-2</v>
      </c>
      <c r="L25676" s="26">
        <v>0.05</v>
      </c>
      <c r="M25676" s="26">
        <v>3.8800000000000001E-2</v>
      </c>
      <c r="N25676" s="26">
        <v>1.3299999999999999E-2</v>
      </c>
      <c r="O25676" s="26">
        <v>3.2000000000000001E-2</v>
      </c>
      <c r="P25676" s="26">
        <v>6.4000000000000003E-3</v>
      </c>
      <c r="Q25676" s="26">
        <v>2.8299999999999999E-2</v>
      </c>
      <c r="R25676" s="26">
        <v>2.1100000000000001E-2</v>
      </c>
      <c r="S25676" s="26">
        <v>3.3500000000000002E-2</v>
      </c>
      <c r="T25676" s="26">
        <v>3.9699999999999999E-2</v>
      </c>
      <c r="U25676" s="26">
        <v>1.4500000000000001E-2</v>
      </c>
      <c r="V25676" s="26">
        <v>3.0000000000000001E-3</v>
      </c>
      <c r="W25676" s="26">
        <v>2.3E-3</v>
      </c>
      <c r="X25676" s="26">
        <v>1.83E-2</v>
      </c>
      <c r="Y25676">
        <v>454</v>
      </c>
    </row>
    <row r="25677" spans="1:25" x14ac:dyDescent="0.35">
      <c r="A25677" t="s">
        <v>229</v>
      </c>
      <c r="B25677" t="s">
        <v>249</v>
      </c>
      <c r="C25677" s="26">
        <v>0.48930000000000001</v>
      </c>
      <c r="D25677" s="26">
        <v>0.24829999999999999</v>
      </c>
      <c r="E25677" s="26">
        <v>0.26550000000000001</v>
      </c>
      <c r="F25677" s="26">
        <v>0.19980000000000001</v>
      </c>
      <c r="G25677" s="26">
        <v>8.6699999999999999E-2</v>
      </c>
      <c r="H25677" s="26">
        <v>1.95E-2</v>
      </c>
      <c r="I25677" s="26">
        <v>4.8099999999999997E-2</v>
      </c>
      <c r="J25677" s="26">
        <v>7.0699999999999999E-2</v>
      </c>
      <c r="K25677" s="26">
        <v>3.1800000000000002E-2</v>
      </c>
      <c r="L25677" s="26">
        <v>2.8000000000000001E-2</v>
      </c>
      <c r="M25677" s="26">
        <v>5.91E-2</v>
      </c>
      <c r="N25677" s="26">
        <v>1.5900000000000001E-2</v>
      </c>
      <c r="O25677" s="26">
        <v>5.0799999999999998E-2</v>
      </c>
      <c r="P25677" s="26">
        <v>6.2899999999999998E-2</v>
      </c>
      <c r="Q25677" s="26">
        <v>1.6899999999999998E-2</v>
      </c>
      <c r="S25677" s="26">
        <v>6.2300000000000001E-2</v>
      </c>
      <c r="V25677" s="26">
        <v>1.9E-2</v>
      </c>
      <c r="Y25677">
        <v>126</v>
      </c>
    </row>
    <row r="25678" spans="1:25" x14ac:dyDescent="0.35">
      <c r="A25678" t="s">
        <v>229</v>
      </c>
      <c r="B25678" t="s">
        <v>248</v>
      </c>
      <c r="C25678" s="26">
        <v>0.54249999999999998</v>
      </c>
      <c r="D25678" s="26">
        <v>0.16980000000000001</v>
      </c>
      <c r="E25678" s="26">
        <v>0.25990000000000002</v>
      </c>
      <c r="F25678" s="26">
        <v>0.22750000000000001</v>
      </c>
      <c r="G25678" s="26">
        <v>4.2599999999999999E-2</v>
      </c>
      <c r="H25678" s="26">
        <v>1.7299999999999999E-2</v>
      </c>
      <c r="I25678" s="26">
        <v>3.9600000000000003E-2</v>
      </c>
      <c r="J25678" s="26">
        <v>3.0300000000000001E-2</v>
      </c>
      <c r="K25678" s="26">
        <v>4.6199999999999998E-2</v>
      </c>
      <c r="L25678" s="26">
        <v>4.1599999999999998E-2</v>
      </c>
      <c r="M25678" s="26">
        <v>2.2200000000000001E-2</v>
      </c>
      <c r="N25678" s="26">
        <v>3.6900000000000002E-2</v>
      </c>
      <c r="O25678" s="26">
        <v>3.2199999999999999E-2</v>
      </c>
      <c r="P25678" s="26">
        <v>5.9999999999999995E-4</v>
      </c>
      <c r="Q25678" s="26">
        <v>1.26E-2</v>
      </c>
      <c r="R25678" s="26">
        <v>9.7999999999999997E-3</v>
      </c>
      <c r="S25678" s="26">
        <v>1.4200000000000001E-2</v>
      </c>
      <c r="U25678" s="26">
        <v>1.6400000000000001E-2</v>
      </c>
      <c r="V25678" s="26">
        <v>2.9999999999999997E-4</v>
      </c>
      <c r="W25678" s="26">
        <v>1.7500000000000002E-2</v>
      </c>
      <c r="Y25678">
        <v>279</v>
      </c>
    </row>
    <row r="25679" spans="1:25" x14ac:dyDescent="0.35">
      <c r="A25679" t="s">
        <v>230</v>
      </c>
      <c r="B25679" t="s">
        <v>249</v>
      </c>
      <c r="C25679" s="26">
        <v>0.62309999999999999</v>
      </c>
      <c r="D25679" s="26">
        <v>0.38679999999999998</v>
      </c>
      <c r="E25679" s="26">
        <v>0.32079999999999997</v>
      </c>
      <c r="F25679" s="26">
        <v>5.3400000000000003E-2</v>
      </c>
      <c r="G25679" s="26">
        <v>0.1177</v>
      </c>
      <c r="H25679" s="26">
        <v>0.12609999999999999</v>
      </c>
      <c r="I25679" s="26">
        <v>6.4199999999999993E-2</v>
      </c>
      <c r="J25679" s="26">
        <v>0.1386</v>
      </c>
      <c r="K25679" s="26">
        <v>3.4099999999999998E-2</v>
      </c>
      <c r="L25679" s="26">
        <v>9.7199999999999995E-2</v>
      </c>
      <c r="M25679" s="26">
        <v>7.9000000000000008E-3</v>
      </c>
      <c r="N25679" s="26">
        <v>6.3100000000000003E-2</v>
      </c>
      <c r="O25679" s="26">
        <v>3.0599999999999999E-2</v>
      </c>
      <c r="P25679" s="26">
        <v>0.14030000000000001</v>
      </c>
      <c r="Q25679" s="26">
        <v>9.5999999999999992E-3</v>
      </c>
      <c r="R25679" s="26">
        <v>4.8999999999999998E-3</v>
      </c>
      <c r="S25679" s="26">
        <v>4.7999999999999996E-3</v>
      </c>
      <c r="T25679" s="26">
        <v>2.4299999999999999E-2</v>
      </c>
      <c r="X25679" s="26">
        <v>4.7999999999999996E-3</v>
      </c>
      <c r="Y25679">
        <v>106</v>
      </c>
    </row>
    <row r="25680" spans="1:25" x14ac:dyDescent="0.35">
      <c r="A25680" t="s">
        <v>230</v>
      </c>
      <c r="B25680" t="s">
        <v>248</v>
      </c>
      <c r="C25680" s="26">
        <v>0.61750000000000005</v>
      </c>
      <c r="D25680" s="26">
        <v>0.3049</v>
      </c>
      <c r="E25680" s="26">
        <v>0.26729999999999998</v>
      </c>
      <c r="F25680" s="26">
        <v>0.1313</v>
      </c>
      <c r="G25680" s="26">
        <v>6.25E-2</v>
      </c>
      <c r="H25680" s="26">
        <v>0.1701</v>
      </c>
      <c r="I25680" s="26">
        <v>0.1075</v>
      </c>
      <c r="J25680" s="26">
        <v>4.2500000000000003E-2</v>
      </c>
      <c r="K25680" s="26">
        <v>5.1499999999999997E-2</v>
      </c>
      <c r="L25680" s="26">
        <v>3.5000000000000003E-2</v>
      </c>
      <c r="M25680" s="26">
        <v>3.3000000000000002E-2</v>
      </c>
      <c r="N25680" s="26">
        <v>3.4299999999999997E-2</v>
      </c>
      <c r="O25680" s="26">
        <v>4.24E-2</v>
      </c>
      <c r="P25680" s="26">
        <v>2.3999999999999998E-3</v>
      </c>
      <c r="Q25680" s="26">
        <v>6.9999999999999999E-4</v>
      </c>
      <c r="R25680" s="26">
        <v>1.5100000000000001E-2</v>
      </c>
      <c r="S25680" s="26">
        <v>1.5100000000000001E-2</v>
      </c>
      <c r="T25680" s="26">
        <v>2.8500000000000001E-2</v>
      </c>
      <c r="U25680" s="26">
        <v>1.5100000000000001E-2</v>
      </c>
      <c r="X25680" s="26">
        <v>3.0999999999999999E-3</v>
      </c>
      <c r="Y25680">
        <v>250</v>
      </c>
    </row>
    <row r="25681" spans="1:25" x14ac:dyDescent="0.35">
      <c r="A25681" s="27" t="s">
        <v>231</v>
      </c>
      <c r="B25681" s="27" t="s">
        <v>249</v>
      </c>
      <c r="C25681" s="28">
        <v>0.55559999999999998</v>
      </c>
      <c r="D25681" s="28">
        <v>0.33329999999999999</v>
      </c>
      <c r="E25681" s="28">
        <v>0.22220000000000001</v>
      </c>
      <c r="F25681" s="28">
        <v>0.1111</v>
      </c>
      <c r="G25681" s="29"/>
      <c r="H25681" s="28">
        <v>0.1111</v>
      </c>
      <c r="I25681" s="28">
        <v>5.5599999999999997E-2</v>
      </c>
      <c r="J25681" s="28">
        <v>5.5599999999999997E-2</v>
      </c>
      <c r="K25681" s="29"/>
      <c r="L25681" s="28">
        <v>5.5599999999999997E-2</v>
      </c>
      <c r="M25681" s="28">
        <v>0.1111</v>
      </c>
      <c r="N25681" s="28">
        <v>5.5599999999999997E-2</v>
      </c>
      <c r="O25681" s="29"/>
      <c r="P25681" s="28">
        <v>5.5599999999999997E-2</v>
      </c>
      <c r="Q25681" s="29"/>
      <c r="R25681" s="29"/>
      <c r="S25681" s="29"/>
      <c r="T25681" s="29"/>
      <c r="U25681" s="29"/>
      <c r="V25681" s="29"/>
      <c r="W25681" s="29"/>
      <c r="X25681" s="29"/>
      <c r="Y25681" s="29" t="s">
        <v>353</v>
      </c>
    </row>
    <row r="25682" spans="1:25" x14ac:dyDescent="0.35">
      <c r="A25682" t="s">
        <v>231</v>
      </c>
      <c r="B25682" t="s">
        <v>248</v>
      </c>
      <c r="C25682" s="26">
        <v>0.55359999999999998</v>
      </c>
      <c r="D25682" s="26">
        <v>0.28570000000000001</v>
      </c>
      <c r="E25682" s="26">
        <v>0.19639999999999999</v>
      </c>
      <c r="F25682" s="26">
        <v>0.19639999999999999</v>
      </c>
      <c r="G25682" s="26">
        <v>0.125</v>
      </c>
      <c r="H25682" s="26">
        <v>0.1071</v>
      </c>
      <c r="I25682" s="26">
        <v>5.3600000000000002E-2</v>
      </c>
      <c r="J25682" s="26">
        <v>5.3600000000000002E-2</v>
      </c>
      <c r="K25682" s="26">
        <v>0.1071</v>
      </c>
      <c r="L25682" s="26">
        <v>1.7899999999999999E-2</v>
      </c>
      <c r="M25682" s="26">
        <v>1.7899999999999999E-2</v>
      </c>
      <c r="N25682" s="26">
        <v>1.7899999999999999E-2</v>
      </c>
      <c r="O25682" s="26">
        <v>1.7899999999999999E-2</v>
      </c>
      <c r="Q25682" s="26">
        <v>5.3600000000000002E-2</v>
      </c>
      <c r="R25682" s="26">
        <v>1.7899999999999999E-2</v>
      </c>
      <c r="V25682" s="26">
        <v>1.7899999999999999E-2</v>
      </c>
      <c r="W25682" s="26">
        <v>1.7899999999999999E-2</v>
      </c>
      <c r="Y25682">
        <v>56</v>
      </c>
    </row>
    <row r="25683" spans="1:25" x14ac:dyDescent="0.35">
      <c r="A25683" t="s">
        <v>232</v>
      </c>
      <c r="B25683" t="s">
        <v>232</v>
      </c>
      <c r="C25683" s="26">
        <v>0.56540000000000001</v>
      </c>
      <c r="D25683" s="26">
        <v>0.25569999999999998</v>
      </c>
      <c r="E25683" s="26">
        <v>0.24279999999999999</v>
      </c>
      <c r="F25683" s="26">
        <v>0.16619999999999999</v>
      </c>
      <c r="G25683" s="26">
        <v>7.5700000000000003E-2</v>
      </c>
      <c r="H25683" s="26">
        <v>6.7299999999999999E-2</v>
      </c>
      <c r="I25683" s="26">
        <v>5.8099999999999999E-2</v>
      </c>
      <c r="J25683" s="26">
        <v>5.79E-2</v>
      </c>
      <c r="K25683" s="26">
        <v>4.7600000000000003E-2</v>
      </c>
      <c r="L25683" s="26">
        <v>4.0399999999999998E-2</v>
      </c>
      <c r="M25683" s="26">
        <v>3.73E-2</v>
      </c>
      <c r="N25683" s="26">
        <v>3.3700000000000001E-2</v>
      </c>
      <c r="O25683" s="26">
        <v>2.92E-2</v>
      </c>
      <c r="P25683" s="26">
        <v>2.6599999999999999E-2</v>
      </c>
      <c r="Q25683" s="26">
        <v>2.06E-2</v>
      </c>
      <c r="R25683" s="26">
        <v>1.9199999999999998E-2</v>
      </c>
      <c r="S25683" s="26">
        <v>1.6299999999999999E-2</v>
      </c>
      <c r="T25683" s="26">
        <v>1.47E-2</v>
      </c>
      <c r="U25683" s="26">
        <v>8.0000000000000002E-3</v>
      </c>
      <c r="V25683" s="26">
        <v>7.9000000000000008E-3</v>
      </c>
      <c r="W25683" s="26">
        <v>7.3000000000000001E-3</v>
      </c>
      <c r="X25683" s="26">
        <v>5.4999999999999997E-3</v>
      </c>
      <c r="Y25683">
        <v>1537</v>
      </c>
    </row>
    <row r="25685" spans="1:25" x14ac:dyDescent="0.35">
      <c r="A25685" s="1" t="s">
        <v>2343</v>
      </c>
    </row>
    <row r="25686" spans="1:25" x14ac:dyDescent="0.35">
      <c r="A25686" t="s">
        <v>219</v>
      </c>
      <c r="B25686" t="s">
        <v>305</v>
      </c>
      <c r="C25686" t="s">
        <v>2315</v>
      </c>
      <c r="D25686" t="s">
        <v>2316</v>
      </c>
      <c r="E25686" t="s">
        <v>2317</v>
      </c>
      <c r="F25686" t="s">
        <v>2318</v>
      </c>
      <c r="G25686" t="s">
        <v>2319</v>
      </c>
      <c r="H25686" t="s">
        <v>2320</v>
      </c>
      <c r="I25686" t="s">
        <v>2321</v>
      </c>
      <c r="J25686" t="s">
        <v>2322</v>
      </c>
      <c r="K25686" t="s">
        <v>2323</v>
      </c>
      <c r="L25686" t="s">
        <v>2324</v>
      </c>
      <c r="M25686" t="s">
        <v>2325</v>
      </c>
      <c r="N25686" t="s">
        <v>2326</v>
      </c>
      <c r="O25686" t="s">
        <v>2327</v>
      </c>
      <c r="P25686" t="s">
        <v>2328</v>
      </c>
      <c r="Q25686" t="s">
        <v>2329</v>
      </c>
      <c r="R25686" t="s">
        <v>2330</v>
      </c>
      <c r="S25686" t="s">
        <v>2331</v>
      </c>
      <c r="T25686" t="s">
        <v>2332</v>
      </c>
      <c r="U25686" t="s">
        <v>326</v>
      </c>
      <c r="V25686" t="s">
        <v>2333</v>
      </c>
      <c r="W25686" t="s">
        <v>2334</v>
      </c>
      <c r="X25686" t="s">
        <v>2335</v>
      </c>
      <c r="Y25686" t="s">
        <v>226</v>
      </c>
    </row>
    <row r="25687" spans="1:25" x14ac:dyDescent="0.35">
      <c r="A25687" s="27" t="s">
        <v>227</v>
      </c>
      <c r="B25687" s="27" t="s">
        <v>263</v>
      </c>
      <c r="C25687" s="29"/>
      <c r="D25687" s="29"/>
      <c r="E25687" s="29"/>
      <c r="F25687" s="29"/>
      <c r="G25687" s="29"/>
      <c r="H25687" s="29"/>
      <c r="I25687" s="29"/>
      <c r="J25687" s="29"/>
      <c r="K25687" s="29"/>
      <c r="L25687" s="28">
        <v>1</v>
      </c>
      <c r="M25687" s="29"/>
      <c r="N25687" s="29"/>
      <c r="O25687" s="29"/>
      <c r="P25687" s="29"/>
      <c r="Q25687" s="29"/>
      <c r="R25687" s="29"/>
      <c r="S25687" s="29"/>
      <c r="T25687" s="29"/>
      <c r="U25687" s="29"/>
      <c r="V25687" s="29"/>
      <c r="W25687" s="29"/>
      <c r="X25687" s="29"/>
      <c r="Y25687" s="29" t="s">
        <v>331</v>
      </c>
    </row>
    <row r="25688" spans="1:25" x14ac:dyDescent="0.35">
      <c r="A25688" s="27" t="s">
        <v>227</v>
      </c>
      <c r="B25688" s="27" t="s">
        <v>262</v>
      </c>
      <c r="C25688" s="28">
        <v>1</v>
      </c>
      <c r="D25688" s="29"/>
      <c r="E25688" s="29"/>
      <c r="F25688" s="29"/>
      <c r="G25688" s="29"/>
      <c r="H25688" s="29"/>
      <c r="I25688" s="29"/>
      <c r="J25688" s="29"/>
      <c r="K25688" s="29"/>
      <c r="L25688" s="29"/>
      <c r="M25688" s="29"/>
      <c r="N25688" s="29"/>
      <c r="O25688" s="29"/>
      <c r="P25688" s="29"/>
      <c r="Q25688" s="29"/>
      <c r="R25688" s="29"/>
      <c r="S25688" s="29"/>
      <c r="T25688" s="29"/>
      <c r="U25688" s="29"/>
      <c r="V25688" s="29"/>
      <c r="W25688" s="29"/>
      <c r="X25688" s="29"/>
      <c r="Y25688" s="29" t="s">
        <v>331</v>
      </c>
    </row>
    <row r="25689" spans="1:25" x14ac:dyDescent="0.35">
      <c r="A25689" s="27" t="s">
        <v>227</v>
      </c>
      <c r="B25689" s="27" t="s">
        <v>261</v>
      </c>
      <c r="C25689" s="28">
        <v>0.52380000000000004</v>
      </c>
      <c r="D25689" s="28">
        <v>0.47620000000000001</v>
      </c>
      <c r="E25689" s="28">
        <v>9.5200000000000007E-2</v>
      </c>
      <c r="F25689" s="28">
        <v>4.7600000000000003E-2</v>
      </c>
      <c r="G25689" s="29"/>
      <c r="H25689" s="28">
        <v>4.7600000000000003E-2</v>
      </c>
      <c r="I25689" s="28">
        <v>0.1429</v>
      </c>
      <c r="J25689" s="28">
        <v>0.1905</v>
      </c>
      <c r="K25689" s="28">
        <v>4.7600000000000003E-2</v>
      </c>
      <c r="L25689" s="29"/>
      <c r="M25689" s="28">
        <v>4.7600000000000003E-2</v>
      </c>
      <c r="N25689" s="28">
        <v>9.5200000000000007E-2</v>
      </c>
      <c r="O25689" s="28">
        <v>9.5200000000000007E-2</v>
      </c>
      <c r="P25689" s="29"/>
      <c r="Q25689" s="29"/>
      <c r="R25689" s="28">
        <v>0.1905</v>
      </c>
      <c r="S25689" s="29"/>
      <c r="T25689" s="29"/>
      <c r="U25689" s="29"/>
      <c r="V25689" s="29"/>
      <c r="W25689" s="29"/>
      <c r="X25689" s="28">
        <v>4.7600000000000003E-2</v>
      </c>
      <c r="Y25689" s="29" t="s">
        <v>351</v>
      </c>
    </row>
    <row r="25690" spans="1:25" x14ac:dyDescent="0.35">
      <c r="A25690" t="s">
        <v>227</v>
      </c>
      <c r="B25690" t="s">
        <v>260</v>
      </c>
      <c r="C25690" s="26">
        <v>0.54239999999999999</v>
      </c>
      <c r="D25690" s="26">
        <v>0.16950000000000001</v>
      </c>
      <c r="E25690" s="26">
        <v>0.28810000000000002</v>
      </c>
      <c r="F25690" s="26">
        <v>0.23730000000000001</v>
      </c>
      <c r="G25690" s="26">
        <v>0.1017</v>
      </c>
      <c r="H25690" s="26">
        <v>3.39E-2</v>
      </c>
      <c r="I25690" s="26">
        <v>1.6899999999999998E-2</v>
      </c>
      <c r="J25690" s="26">
        <v>3.39E-2</v>
      </c>
      <c r="L25690" s="26">
        <v>1.6899999999999998E-2</v>
      </c>
      <c r="M25690" s="26">
        <v>5.0799999999999998E-2</v>
      </c>
      <c r="N25690" s="26">
        <v>6.7799999999999999E-2</v>
      </c>
      <c r="O25690" s="26">
        <v>1.6899999999999998E-2</v>
      </c>
      <c r="Q25690" s="26">
        <v>1.6899999999999998E-2</v>
      </c>
      <c r="S25690" s="26">
        <v>1.6899999999999998E-2</v>
      </c>
      <c r="T25690" s="26">
        <v>3.39E-2</v>
      </c>
      <c r="U25690" s="26">
        <v>1.6899999999999998E-2</v>
      </c>
      <c r="V25690" s="26">
        <v>1.6899999999999998E-2</v>
      </c>
      <c r="Y25690">
        <v>59</v>
      </c>
    </row>
    <row r="25691" spans="1:25" x14ac:dyDescent="0.35">
      <c r="A25691" t="s">
        <v>228</v>
      </c>
      <c r="B25691" t="s">
        <v>261</v>
      </c>
      <c r="C25691" s="26">
        <v>0.77559999999999996</v>
      </c>
      <c r="D25691" s="26">
        <v>0.3463</v>
      </c>
      <c r="E25691" s="26">
        <v>0.26960000000000001</v>
      </c>
      <c r="F25691" s="26">
        <v>8.0199999999999994E-2</v>
      </c>
      <c r="G25691" s="26">
        <v>4.9099999999999998E-2</v>
      </c>
      <c r="H25691" s="26">
        <v>3.4799999999999998E-2</v>
      </c>
      <c r="I25691" s="26">
        <v>0.14990000000000001</v>
      </c>
      <c r="J25691" s="26">
        <v>0.1037</v>
      </c>
      <c r="K25691" s="26">
        <v>7.1199999999999999E-2</v>
      </c>
      <c r="L25691" s="26">
        <v>4.7000000000000002E-3</v>
      </c>
      <c r="M25691" s="26">
        <v>1.21E-2</v>
      </c>
      <c r="N25691" s="26">
        <v>4.7000000000000002E-3</v>
      </c>
      <c r="O25691" s="26">
        <v>6.2799999999999995E-2</v>
      </c>
      <c r="P25691" s="26">
        <v>5.5399999999999998E-2</v>
      </c>
      <c r="Q25691" s="26">
        <v>1.9300000000000001E-2</v>
      </c>
      <c r="R25691" s="26">
        <v>8.8200000000000001E-2</v>
      </c>
      <c r="W25691" s="26">
        <v>1.06E-2</v>
      </c>
      <c r="Y25691">
        <v>122</v>
      </c>
    </row>
    <row r="25692" spans="1:25" x14ac:dyDescent="0.35">
      <c r="A25692" t="s">
        <v>228</v>
      </c>
      <c r="B25692" t="s">
        <v>262</v>
      </c>
      <c r="C25692" s="26">
        <v>0.44400000000000001</v>
      </c>
      <c r="D25692" s="26">
        <v>0.17660000000000001</v>
      </c>
      <c r="E25692" s="26">
        <v>0.25169999999999998</v>
      </c>
      <c r="F25692" s="26">
        <v>0.11459999999999999</v>
      </c>
      <c r="G25692" s="26">
        <v>0.1056</v>
      </c>
      <c r="H25692" s="26">
        <v>4.1200000000000001E-2</v>
      </c>
      <c r="I25692" s="26">
        <v>6.5100000000000005E-2</v>
      </c>
      <c r="J25692" s="26">
        <v>5.7299999999999997E-2</v>
      </c>
      <c r="K25692" s="26">
        <v>9.1399999999999995E-2</v>
      </c>
      <c r="L25692" s="26">
        <v>0.1288</v>
      </c>
      <c r="M25692" s="26">
        <v>2.7900000000000001E-2</v>
      </c>
      <c r="N25692" s="26">
        <v>1.04E-2</v>
      </c>
      <c r="O25692" s="26">
        <v>3.5200000000000002E-2</v>
      </c>
      <c r="P25692" s="26">
        <v>0.14269999999999999</v>
      </c>
      <c r="R25692" s="26">
        <v>8.6E-3</v>
      </c>
      <c r="S25692" s="26">
        <v>5.79E-2</v>
      </c>
      <c r="T25692" s="26">
        <v>6.83E-2</v>
      </c>
      <c r="U25692" s="26">
        <v>1.04E-2</v>
      </c>
      <c r="V25692" s="26">
        <v>4.8999999999999998E-3</v>
      </c>
      <c r="Y25692">
        <v>139</v>
      </c>
    </row>
    <row r="25693" spans="1:25" x14ac:dyDescent="0.35">
      <c r="A25693" s="27" t="s">
        <v>228</v>
      </c>
      <c r="B25693" s="27" t="s">
        <v>236</v>
      </c>
      <c r="C25693" s="28">
        <v>0.8599</v>
      </c>
      <c r="D25693" s="28">
        <v>0.23899999999999999</v>
      </c>
      <c r="E25693" s="28">
        <v>0.8599</v>
      </c>
      <c r="F25693" s="29"/>
      <c r="G25693" s="28">
        <v>0.48070000000000002</v>
      </c>
      <c r="H25693" s="28">
        <v>0.1401</v>
      </c>
      <c r="I25693" s="29"/>
      <c r="J25693" s="29"/>
      <c r="K25693" s="29"/>
      <c r="L25693" s="29"/>
      <c r="M25693" s="29"/>
      <c r="N25693" s="29"/>
      <c r="O25693" s="29"/>
      <c r="P25693" s="29"/>
      <c r="Q25693" s="29"/>
      <c r="R25693" s="29"/>
      <c r="S25693" s="29"/>
      <c r="T25693" s="29"/>
      <c r="U25693" s="29"/>
      <c r="V25693" s="29"/>
      <c r="W25693" s="29"/>
      <c r="X25693" s="29"/>
      <c r="Y25693" s="29" t="s">
        <v>337</v>
      </c>
    </row>
    <row r="25694" spans="1:25" x14ac:dyDescent="0.35">
      <c r="A25694" s="27" t="s">
        <v>228</v>
      </c>
      <c r="B25694" s="27" t="s">
        <v>263</v>
      </c>
      <c r="C25694" s="28">
        <v>0.56979999999999997</v>
      </c>
      <c r="D25694" s="28">
        <v>0.27400000000000002</v>
      </c>
      <c r="E25694" s="28">
        <v>0.27160000000000001</v>
      </c>
      <c r="F25694" s="28">
        <v>0.14660000000000001</v>
      </c>
      <c r="G25694" s="29"/>
      <c r="H25694" s="29"/>
      <c r="I25694" s="28">
        <v>3.04E-2</v>
      </c>
      <c r="J25694" s="29"/>
      <c r="K25694" s="28">
        <v>0.1038</v>
      </c>
      <c r="L25694" s="28">
        <v>0.31969999999999998</v>
      </c>
      <c r="M25694" s="28">
        <v>8.2299999999999998E-2</v>
      </c>
      <c r="N25694" s="29"/>
      <c r="O25694" s="28">
        <v>6.8699999999999997E-2</v>
      </c>
      <c r="P25694" s="29"/>
      <c r="Q25694" s="29"/>
      <c r="R25694" s="29"/>
      <c r="S25694" s="29"/>
      <c r="T25694" s="28">
        <v>3.04E-2</v>
      </c>
      <c r="U25694" s="29"/>
      <c r="V25694" s="28">
        <v>0.1043</v>
      </c>
      <c r="W25694" s="29"/>
      <c r="X25694" s="28">
        <v>5.1900000000000002E-2</v>
      </c>
      <c r="Y25694" s="29" t="s">
        <v>379</v>
      </c>
    </row>
    <row r="25695" spans="1:25" x14ac:dyDescent="0.35">
      <c r="A25695" t="s">
        <v>228</v>
      </c>
      <c r="B25695" t="s">
        <v>260</v>
      </c>
      <c r="C25695" s="26">
        <v>0.63260000000000005</v>
      </c>
      <c r="D25695" s="26">
        <v>0.24049999999999999</v>
      </c>
      <c r="E25695" s="26">
        <v>0.24229999999999999</v>
      </c>
      <c r="F25695" s="26">
        <v>0.1162</v>
      </c>
      <c r="G25695" s="26">
        <v>7.4300000000000005E-2</v>
      </c>
      <c r="H25695" s="26">
        <v>7.4999999999999997E-2</v>
      </c>
      <c r="I25695" s="26">
        <v>4.4600000000000001E-2</v>
      </c>
      <c r="J25695" s="26">
        <v>4.6600000000000003E-2</v>
      </c>
      <c r="K25695" s="26">
        <v>1.2500000000000001E-2</v>
      </c>
      <c r="L25695" s="26">
        <v>5.7500000000000002E-2</v>
      </c>
      <c r="M25695" s="26">
        <v>4.48E-2</v>
      </c>
      <c r="N25695" s="26">
        <v>1.6E-2</v>
      </c>
      <c r="O25695" s="26">
        <v>6.7000000000000002E-3</v>
      </c>
      <c r="P25695" s="26">
        <v>2.75E-2</v>
      </c>
      <c r="Q25695" s="26">
        <v>2.9000000000000001E-2</v>
      </c>
      <c r="R25695" s="26">
        <v>5.3E-3</v>
      </c>
      <c r="S25695" s="26">
        <v>1.9400000000000001E-2</v>
      </c>
      <c r="T25695" s="26">
        <v>4.0099999999999997E-2</v>
      </c>
      <c r="U25695" s="26">
        <v>1.3899999999999999E-2</v>
      </c>
      <c r="V25695" s="26">
        <v>1.8E-3</v>
      </c>
      <c r="W25695" s="26">
        <v>2.8E-3</v>
      </c>
      <c r="X25695" s="26">
        <v>2.52E-2</v>
      </c>
      <c r="Y25695">
        <v>341</v>
      </c>
    </row>
    <row r="25696" spans="1:25" x14ac:dyDescent="0.35">
      <c r="A25696" t="s">
        <v>229</v>
      </c>
      <c r="B25696" t="s">
        <v>260</v>
      </c>
      <c r="C25696" s="26">
        <v>0.53649999999999998</v>
      </c>
      <c r="D25696" s="26">
        <v>0.16189999999999999</v>
      </c>
      <c r="E25696" s="26">
        <v>0.251</v>
      </c>
      <c r="F25696" s="26">
        <v>0.21510000000000001</v>
      </c>
      <c r="G25696" s="26">
        <v>4.9200000000000001E-2</v>
      </c>
      <c r="H25696" s="26">
        <v>2.2100000000000002E-2</v>
      </c>
      <c r="I25696" s="26">
        <v>3.6799999999999999E-2</v>
      </c>
      <c r="J25696" s="26">
        <v>3.0499999999999999E-2</v>
      </c>
      <c r="K25696" s="26">
        <v>2.24E-2</v>
      </c>
      <c r="L25696" s="26">
        <v>2.6599999999999999E-2</v>
      </c>
      <c r="M25696" s="26">
        <v>0.05</v>
      </c>
      <c r="N25696" s="26">
        <v>5.67E-2</v>
      </c>
      <c r="O25696" s="26">
        <v>1.4800000000000001E-2</v>
      </c>
      <c r="P25696" s="26">
        <v>1.52E-2</v>
      </c>
      <c r="Q25696" s="26">
        <v>2.3999999999999998E-3</v>
      </c>
      <c r="S25696" s="26">
        <v>2.7000000000000001E-3</v>
      </c>
      <c r="U25696" s="26">
        <v>2.06E-2</v>
      </c>
      <c r="V25696" s="26">
        <v>1.23E-2</v>
      </c>
      <c r="W25696" s="26">
        <v>2.1999999999999999E-2</v>
      </c>
      <c r="Y25696">
        <v>256</v>
      </c>
    </row>
    <row r="25697" spans="1:25" x14ac:dyDescent="0.35">
      <c r="A25697" t="s">
        <v>229</v>
      </c>
      <c r="B25697" t="s">
        <v>262</v>
      </c>
      <c r="C25697" s="26">
        <v>0.46750000000000003</v>
      </c>
      <c r="D25697" s="26">
        <v>0.22900000000000001</v>
      </c>
      <c r="E25697" s="26">
        <v>0.29870000000000002</v>
      </c>
      <c r="F25697" s="26">
        <v>0.28899999999999998</v>
      </c>
      <c r="G25697" s="26">
        <v>0.1009</v>
      </c>
      <c r="H25697" s="26">
        <v>1.2999999999999999E-2</v>
      </c>
      <c r="I25697" s="26">
        <v>1.24E-2</v>
      </c>
      <c r="J25697" s="26">
        <v>4.41E-2</v>
      </c>
      <c r="K25697" s="26">
        <v>1.95E-2</v>
      </c>
      <c r="L25697" s="26">
        <v>4.9200000000000001E-2</v>
      </c>
      <c r="M25697" s="26">
        <v>5.1999999999999998E-3</v>
      </c>
      <c r="O25697" s="26">
        <v>2.2800000000000001E-2</v>
      </c>
      <c r="P25697" s="26">
        <v>2.4E-2</v>
      </c>
      <c r="Q25697" s="26">
        <v>2.6599999999999999E-2</v>
      </c>
      <c r="S25697" s="26">
        <v>5.7000000000000002E-2</v>
      </c>
      <c r="V25697" s="26">
        <v>6.9999999999999999E-4</v>
      </c>
      <c r="Y25697">
        <v>91</v>
      </c>
    </row>
    <row r="25698" spans="1:25" x14ac:dyDescent="0.35">
      <c r="A25698" s="27" t="s">
        <v>229</v>
      </c>
      <c r="B25698" s="27" t="s">
        <v>263</v>
      </c>
      <c r="C25698" s="28">
        <v>0.22939999999999999</v>
      </c>
      <c r="D25698" s="28">
        <v>0.65029999999999999</v>
      </c>
      <c r="E25698" s="28">
        <v>0.1603</v>
      </c>
      <c r="F25698" s="29"/>
      <c r="G25698" s="29"/>
      <c r="H25698" s="29"/>
      <c r="I25698" s="29"/>
      <c r="J25698" s="29"/>
      <c r="K25698" s="28">
        <v>0.63029999999999997</v>
      </c>
      <c r="L25698" s="28">
        <v>0.28060000000000002</v>
      </c>
      <c r="M25698" s="29"/>
      <c r="N25698" s="29"/>
      <c r="O25698" s="29"/>
      <c r="P25698" s="29"/>
      <c r="Q25698" s="29"/>
      <c r="R25698" s="29"/>
      <c r="S25698" s="28">
        <v>0.77059999999999995</v>
      </c>
      <c r="T25698" s="29"/>
      <c r="U25698" s="29"/>
      <c r="V25698" s="29"/>
      <c r="W25698" s="29"/>
      <c r="X25698" s="29"/>
      <c r="Y25698" s="29" t="s">
        <v>332</v>
      </c>
    </row>
    <row r="25699" spans="1:25" x14ac:dyDescent="0.35">
      <c r="A25699" t="s">
        <v>229</v>
      </c>
      <c r="B25699" t="s">
        <v>261</v>
      </c>
      <c r="C25699" s="26">
        <v>0.59079999999999999</v>
      </c>
      <c r="D25699" s="26">
        <v>0.22070000000000001</v>
      </c>
      <c r="E25699" s="26">
        <v>0.24329999999999999</v>
      </c>
      <c r="F25699" s="26">
        <v>0.1336</v>
      </c>
      <c r="G25699" s="26">
        <v>2.0299999999999999E-2</v>
      </c>
      <c r="H25699" s="26">
        <v>1.52E-2</v>
      </c>
      <c r="I25699" s="26">
        <v>0.1055</v>
      </c>
      <c r="J25699" s="26">
        <v>8.43E-2</v>
      </c>
      <c r="K25699" s="26">
        <v>9.4200000000000006E-2</v>
      </c>
      <c r="L25699" s="26">
        <v>3.4500000000000003E-2</v>
      </c>
      <c r="M25699" s="26">
        <v>3.7600000000000001E-2</v>
      </c>
      <c r="O25699" s="26">
        <v>0.13059999999999999</v>
      </c>
      <c r="P25699" s="26">
        <v>3.8300000000000001E-2</v>
      </c>
      <c r="Q25699" s="26">
        <v>2.8899999999999999E-2</v>
      </c>
      <c r="R25699" s="26">
        <v>3.4500000000000003E-2</v>
      </c>
      <c r="S25699" s="26">
        <v>2.8899999999999999E-2</v>
      </c>
      <c r="Y25699">
        <v>53</v>
      </c>
    </row>
    <row r="25700" spans="1:25" x14ac:dyDescent="0.35">
      <c r="A25700" t="s">
        <v>230</v>
      </c>
      <c r="B25700" t="s">
        <v>262</v>
      </c>
      <c r="C25700" s="26">
        <v>0.53159999999999996</v>
      </c>
      <c r="D25700" s="26">
        <v>0.33510000000000001</v>
      </c>
      <c r="E25700" s="26">
        <v>0.152</v>
      </c>
      <c r="F25700" s="26">
        <v>0.19800000000000001</v>
      </c>
      <c r="G25700" s="26">
        <v>6.2100000000000002E-2</v>
      </c>
      <c r="H25700" s="26">
        <v>4.9500000000000002E-2</v>
      </c>
      <c r="I25700" s="26">
        <v>1.1900000000000001E-2</v>
      </c>
      <c r="J25700" s="26">
        <v>0.1095</v>
      </c>
      <c r="K25700" s="26">
        <v>6.8400000000000002E-2</v>
      </c>
      <c r="L25700" s="26">
        <v>1.1599999999999999E-2</v>
      </c>
      <c r="M25700" s="26">
        <v>3.4700000000000002E-2</v>
      </c>
      <c r="N25700" s="26">
        <v>7.4800000000000005E-2</v>
      </c>
      <c r="O25700" s="26">
        <v>5.9499999999999997E-2</v>
      </c>
      <c r="P25700" s="26">
        <v>2.6700000000000002E-2</v>
      </c>
      <c r="Q25700" s="26">
        <v>8.8999999999999999E-3</v>
      </c>
      <c r="R25700" s="26">
        <v>5.3999999999999999E-2</v>
      </c>
      <c r="S25700" s="26">
        <v>8.8999999999999999E-3</v>
      </c>
      <c r="T25700" s="26">
        <v>2.6700000000000002E-2</v>
      </c>
      <c r="U25700" s="26">
        <v>2.7000000000000001E-3</v>
      </c>
      <c r="X25700" s="26">
        <v>8.8999999999999999E-3</v>
      </c>
      <c r="Y25700">
        <v>85</v>
      </c>
    </row>
    <row r="25701" spans="1:25" x14ac:dyDescent="0.35">
      <c r="A25701" s="27" t="s">
        <v>230</v>
      </c>
      <c r="B25701" s="27" t="s">
        <v>236</v>
      </c>
      <c r="C25701" s="28">
        <v>0.84150000000000003</v>
      </c>
      <c r="D25701" s="28">
        <v>0.12189999999999999</v>
      </c>
      <c r="E25701" s="29"/>
      <c r="F25701" s="28">
        <v>3.6600000000000001E-2</v>
      </c>
      <c r="G25701" s="29"/>
      <c r="H25701" s="28">
        <v>0.72240000000000004</v>
      </c>
      <c r="I25701" s="28">
        <v>0.72240000000000004</v>
      </c>
      <c r="J25701" s="29"/>
      <c r="K25701" s="29"/>
      <c r="L25701" s="29"/>
      <c r="M25701" s="29"/>
      <c r="N25701" s="29"/>
      <c r="O25701" s="29"/>
      <c r="P25701" s="29"/>
      <c r="Q25701" s="29"/>
      <c r="R25701" s="29"/>
      <c r="S25701" s="29"/>
      <c r="T25701" s="29"/>
      <c r="U25701" s="29"/>
      <c r="V25701" s="29"/>
      <c r="W25701" s="29"/>
      <c r="X25701" s="29"/>
      <c r="Y25701" s="29" t="s">
        <v>337</v>
      </c>
    </row>
    <row r="25702" spans="1:25" x14ac:dyDescent="0.35">
      <c r="A25702" s="27" t="s">
        <v>230</v>
      </c>
      <c r="B25702" s="27" t="s">
        <v>263</v>
      </c>
      <c r="C25702" s="28">
        <v>0.42020000000000002</v>
      </c>
      <c r="D25702" s="28">
        <v>0.39</v>
      </c>
      <c r="E25702" s="28">
        <v>0.13739999999999999</v>
      </c>
      <c r="F25702" s="28">
        <v>1.7999999999999999E-2</v>
      </c>
      <c r="G25702" s="28">
        <v>5.8299999999999998E-2</v>
      </c>
      <c r="H25702" s="28">
        <v>0.35410000000000003</v>
      </c>
      <c r="I25702" s="28">
        <v>5.3900000000000003E-2</v>
      </c>
      <c r="J25702" s="28">
        <v>1.7999999999999999E-2</v>
      </c>
      <c r="K25702" s="29"/>
      <c r="L25702" s="29"/>
      <c r="M25702" s="28">
        <v>1.7999999999999999E-2</v>
      </c>
      <c r="N25702" s="28">
        <v>0.35410000000000003</v>
      </c>
      <c r="O25702" s="28">
        <v>0.17050000000000001</v>
      </c>
      <c r="P25702" s="29"/>
      <c r="Q25702" s="28">
        <v>1.7999999999999999E-2</v>
      </c>
      <c r="R25702" s="29"/>
      <c r="S25702" s="29"/>
      <c r="T25702" s="28">
        <v>7.7700000000000005E-2</v>
      </c>
      <c r="U25702" s="29"/>
      <c r="V25702" s="29"/>
      <c r="W25702" s="29"/>
      <c r="X25702" s="29"/>
      <c r="Y25702" s="29" t="s">
        <v>351</v>
      </c>
    </row>
    <row r="25703" spans="1:25" x14ac:dyDescent="0.35">
      <c r="A25703" t="s">
        <v>230</v>
      </c>
      <c r="B25703" t="s">
        <v>261</v>
      </c>
      <c r="C25703" s="26">
        <v>0.78739999999999999</v>
      </c>
      <c r="D25703" s="26">
        <v>0.43709999999999999</v>
      </c>
      <c r="E25703" s="26">
        <v>0.3851</v>
      </c>
      <c r="F25703" s="26">
        <v>2.4299999999999999E-2</v>
      </c>
      <c r="G25703" s="26">
        <v>0.1588</v>
      </c>
      <c r="H25703" s="26">
        <v>1.2200000000000001E-2</v>
      </c>
      <c r="I25703" s="26">
        <v>0.1105</v>
      </c>
      <c r="J25703" s="26">
        <v>0.26960000000000001</v>
      </c>
      <c r="K25703" s="26">
        <v>0.1021</v>
      </c>
      <c r="L25703" s="26">
        <v>0.2213</v>
      </c>
      <c r="N25703" s="26">
        <v>7.3800000000000004E-2</v>
      </c>
      <c r="O25703" s="26">
        <v>9.3399999999999997E-2</v>
      </c>
      <c r="R25703" s="26">
        <v>3.7000000000000002E-3</v>
      </c>
      <c r="X25703" s="26">
        <v>3.7000000000000002E-3</v>
      </c>
      <c r="Y25703">
        <v>39</v>
      </c>
    </row>
    <row r="25704" spans="1:25" x14ac:dyDescent="0.35">
      <c r="A25704" t="s">
        <v>230</v>
      </c>
      <c r="B25704" t="s">
        <v>260</v>
      </c>
      <c r="C25704" s="26">
        <v>0.61339999999999995</v>
      </c>
      <c r="D25704" s="26">
        <v>0.31190000000000001</v>
      </c>
      <c r="E25704" s="26">
        <v>0.31330000000000002</v>
      </c>
      <c r="F25704" s="26">
        <v>0.1017</v>
      </c>
      <c r="G25704" s="26">
        <v>7.2800000000000004E-2</v>
      </c>
      <c r="H25704" s="26">
        <v>0.19339999999999999</v>
      </c>
      <c r="I25704" s="26">
        <v>0.1008</v>
      </c>
      <c r="J25704" s="26">
        <v>2.93E-2</v>
      </c>
      <c r="K25704" s="26">
        <v>3.1099999999999999E-2</v>
      </c>
      <c r="L25704" s="26">
        <v>3.7699999999999997E-2</v>
      </c>
      <c r="M25704" s="26">
        <v>2.7699999999999999E-2</v>
      </c>
      <c r="N25704" s="26">
        <v>1.7299999999999999E-2</v>
      </c>
      <c r="O25704" s="26">
        <v>1.7000000000000001E-2</v>
      </c>
      <c r="P25704" s="26">
        <v>6.6299999999999998E-2</v>
      </c>
      <c r="Q25704" s="26">
        <v>2.3999999999999998E-3</v>
      </c>
      <c r="R25704" s="26">
        <v>2.5000000000000001E-3</v>
      </c>
      <c r="S25704" s="26">
        <v>1.55E-2</v>
      </c>
      <c r="T25704" s="26">
        <v>3.1099999999999999E-2</v>
      </c>
      <c r="U25704" s="26">
        <v>1.4800000000000001E-2</v>
      </c>
      <c r="X25704" s="26">
        <v>2.3999999999999998E-3</v>
      </c>
      <c r="Y25704">
        <v>207</v>
      </c>
    </row>
    <row r="25705" spans="1:25" x14ac:dyDescent="0.35">
      <c r="A25705" t="s">
        <v>231</v>
      </c>
      <c r="B25705" t="s">
        <v>260</v>
      </c>
      <c r="C25705" s="26">
        <v>0.43640000000000001</v>
      </c>
      <c r="D25705" s="26">
        <v>0.30909999999999999</v>
      </c>
      <c r="E25705" s="26">
        <v>0.2364</v>
      </c>
      <c r="F25705" s="26">
        <v>0.2364</v>
      </c>
      <c r="G25705" s="26">
        <v>9.0899999999999995E-2</v>
      </c>
      <c r="H25705" s="26">
        <v>0.1091</v>
      </c>
      <c r="I25705" s="26">
        <v>3.6400000000000002E-2</v>
      </c>
      <c r="J25705" s="26">
        <v>5.45E-2</v>
      </c>
      <c r="L25705" s="26">
        <v>3.6400000000000002E-2</v>
      </c>
      <c r="M25705" s="26">
        <v>5.45E-2</v>
      </c>
      <c r="N25705" s="26">
        <v>3.6400000000000002E-2</v>
      </c>
      <c r="P25705" s="26">
        <v>1.8200000000000001E-2</v>
      </c>
      <c r="Q25705" s="26">
        <v>3.6400000000000002E-2</v>
      </c>
      <c r="V25705" s="26">
        <v>1.8200000000000001E-2</v>
      </c>
      <c r="W25705" s="26">
        <v>1.8200000000000001E-2</v>
      </c>
      <c r="Y25705">
        <v>55</v>
      </c>
    </row>
    <row r="25706" spans="1:25" x14ac:dyDescent="0.35">
      <c r="A25706" s="27" t="s">
        <v>231</v>
      </c>
      <c r="B25706" s="27" t="s">
        <v>263</v>
      </c>
      <c r="C25706" s="28">
        <v>1</v>
      </c>
      <c r="D25706" s="29"/>
      <c r="E25706" s="29"/>
      <c r="F25706" s="29"/>
      <c r="G25706" s="29"/>
      <c r="H25706" s="29"/>
      <c r="I25706" s="29"/>
      <c r="J25706" s="29"/>
      <c r="K25706" s="29"/>
      <c r="L25706" s="29"/>
      <c r="M25706" s="29"/>
      <c r="N25706" s="29"/>
      <c r="O25706" s="29"/>
      <c r="P25706" s="29"/>
      <c r="Q25706" s="29"/>
      <c r="R25706" s="29"/>
      <c r="S25706" s="29"/>
      <c r="T25706" s="29"/>
      <c r="U25706" s="29"/>
      <c r="V25706" s="29"/>
      <c r="W25706" s="29"/>
      <c r="X25706" s="29"/>
      <c r="Y25706" s="29" t="s">
        <v>314</v>
      </c>
    </row>
    <row r="25707" spans="1:25" x14ac:dyDescent="0.35">
      <c r="A25707" s="27" t="s">
        <v>231</v>
      </c>
      <c r="B25707" s="27" t="s">
        <v>262</v>
      </c>
      <c r="C25707" s="28">
        <v>1</v>
      </c>
      <c r="D25707" s="28">
        <v>0.33329999999999999</v>
      </c>
      <c r="E25707" s="29"/>
      <c r="F25707" s="29"/>
      <c r="G25707" s="28">
        <v>0.33329999999999999</v>
      </c>
      <c r="H25707" s="28">
        <v>0.33329999999999999</v>
      </c>
      <c r="I25707" s="29"/>
      <c r="J25707" s="29"/>
      <c r="K25707" s="29"/>
      <c r="L25707" s="29"/>
      <c r="M25707" s="29"/>
      <c r="N25707" s="29"/>
      <c r="O25707" s="29"/>
      <c r="P25707" s="29"/>
      <c r="Q25707" s="29"/>
      <c r="R25707" s="29"/>
      <c r="S25707" s="29"/>
      <c r="T25707" s="29"/>
      <c r="U25707" s="29"/>
      <c r="V25707" s="29"/>
      <c r="W25707" s="29"/>
      <c r="X25707" s="29"/>
      <c r="Y25707" s="29" t="s">
        <v>315</v>
      </c>
    </row>
    <row r="25708" spans="1:25" x14ac:dyDescent="0.35">
      <c r="A25708" s="27" t="s">
        <v>231</v>
      </c>
      <c r="B25708" s="27" t="s">
        <v>261</v>
      </c>
      <c r="C25708" s="28">
        <v>0.85709999999999997</v>
      </c>
      <c r="D25708" s="28">
        <v>0.28570000000000001</v>
      </c>
      <c r="E25708" s="28">
        <v>0.1429</v>
      </c>
      <c r="F25708" s="29"/>
      <c r="G25708" s="28">
        <v>7.1400000000000005E-2</v>
      </c>
      <c r="H25708" s="28">
        <v>7.1400000000000005E-2</v>
      </c>
      <c r="I25708" s="28">
        <v>0.1429</v>
      </c>
      <c r="J25708" s="28">
        <v>7.1400000000000005E-2</v>
      </c>
      <c r="K25708" s="28">
        <v>0.42859999999999998</v>
      </c>
      <c r="L25708" s="29"/>
      <c r="M25708" s="29"/>
      <c r="N25708" s="29"/>
      <c r="O25708" s="28">
        <v>7.1400000000000005E-2</v>
      </c>
      <c r="P25708" s="29"/>
      <c r="Q25708" s="28">
        <v>7.1400000000000005E-2</v>
      </c>
      <c r="R25708" s="28">
        <v>7.1400000000000005E-2</v>
      </c>
      <c r="S25708" s="29"/>
      <c r="T25708" s="29"/>
      <c r="U25708" s="29"/>
      <c r="V25708" s="29"/>
      <c r="W25708" s="29"/>
      <c r="X25708" s="29"/>
      <c r="Y25708" s="29" t="s">
        <v>379</v>
      </c>
    </row>
    <row r="25709" spans="1:25" x14ac:dyDescent="0.35">
      <c r="A25709" t="s">
        <v>232</v>
      </c>
      <c r="B25709" t="s">
        <v>232</v>
      </c>
      <c r="C25709" s="26">
        <v>0.56540000000000001</v>
      </c>
      <c r="D25709" s="26">
        <v>0.25569999999999998</v>
      </c>
      <c r="E25709" s="26">
        <v>0.24279999999999999</v>
      </c>
      <c r="F25709" s="26">
        <v>0.16619999999999999</v>
      </c>
      <c r="G25709" s="26">
        <v>7.5700000000000003E-2</v>
      </c>
      <c r="H25709" s="26">
        <v>6.7299999999999999E-2</v>
      </c>
      <c r="I25709" s="26">
        <v>5.8099999999999999E-2</v>
      </c>
      <c r="J25709" s="26">
        <v>5.79E-2</v>
      </c>
      <c r="K25709" s="26">
        <v>4.7600000000000003E-2</v>
      </c>
      <c r="L25709" s="26">
        <v>4.0399999999999998E-2</v>
      </c>
      <c r="M25709" s="26">
        <v>3.73E-2</v>
      </c>
      <c r="N25709" s="26">
        <v>3.3700000000000001E-2</v>
      </c>
      <c r="O25709" s="26">
        <v>2.92E-2</v>
      </c>
      <c r="P25709" s="26">
        <v>2.6599999999999999E-2</v>
      </c>
      <c r="Q25709" s="26">
        <v>2.06E-2</v>
      </c>
      <c r="R25709" s="26">
        <v>1.9199999999999998E-2</v>
      </c>
      <c r="S25709" s="26">
        <v>1.6299999999999999E-2</v>
      </c>
      <c r="T25709" s="26">
        <v>1.47E-2</v>
      </c>
      <c r="U25709" s="26">
        <v>8.0000000000000002E-3</v>
      </c>
      <c r="V25709" s="26">
        <v>7.9000000000000008E-3</v>
      </c>
      <c r="W25709" s="26">
        <v>7.3000000000000001E-3</v>
      </c>
      <c r="X25709" s="26">
        <v>5.4999999999999997E-3</v>
      </c>
      <c r="Y25709">
        <v>1537</v>
      </c>
    </row>
    <row r="25711" spans="1:25" x14ac:dyDescent="0.35">
      <c r="A25711" s="1" t="s">
        <v>2344</v>
      </c>
    </row>
    <row r="25712" spans="1:25" x14ac:dyDescent="0.35">
      <c r="A25712" t="s">
        <v>219</v>
      </c>
      <c r="B25712" t="s">
        <v>305</v>
      </c>
      <c r="C25712" t="s">
        <v>2315</v>
      </c>
      <c r="D25712" t="s">
        <v>2316</v>
      </c>
      <c r="E25712" t="s">
        <v>2317</v>
      </c>
      <c r="F25712" t="s">
        <v>2318</v>
      </c>
      <c r="G25712" t="s">
        <v>2319</v>
      </c>
      <c r="H25712" t="s">
        <v>2320</v>
      </c>
      <c r="I25712" t="s">
        <v>2321</v>
      </c>
      <c r="J25712" t="s">
        <v>2322</v>
      </c>
      <c r="K25712" t="s">
        <v>2323</v>
      </c>
      <c r="L25712" t="s">
        <v>2324</v>
      </c>
      <c r="M25712" t="s">
        <v>2325</v>
      </c>
      <c r="N25712" t="s">
        <v>2326</v>
      </c>
      <c r="O25712" t="s">
        <v>2327</v>
      </c>
      <c r="P25712" t="s">
        <v>2328</v>
      </c>
      <c r="Q25712" t="s">
        <v>2329</v>
      </c>
      <c r="R25712" t="s">
        <v>2330</v>
      </c>
      <c r="S25712" t="s">
        <v>2331</v>
      </c>
      <c r="T25712" t="s">
        <v>2332</v>
      </c>
      <c r="U25712" t="s">
        <v>326</v>
      </c>
      <c r="V25712" t="s">
        <v>2333</v>
      </c>
      <c r="W25712" t="s">
        <v>2334</v>
      </c>
      <c r="X25712" t="s">
        <v>2335</v>
      </c>
      <c r="Y25712" t="s">
        <v>226</v>
      </c>
    </row>
    <row r="25713" spans="1:25" x14ac:dyDescent="0.35">
      <c r="A25713" s="27" t="s">
        <v>227</v>
      </c>
      <c r="B25713" s="27" t="s">
        <v>368</v>
      </c>
      <c r="C25713" s="28">
        <v>0.52380000000000004</v>
      </c>
      <c r="D25713" s="28">
        <v>0.47620000000000001</v>
      </c>
      <c r="E25713" s="28">
        <v>9.5200000000000007E-2</v>
      </c>
      <c r="F25713" s="28">
        <v>4.7600000000000003E-2</v>
      </c>
      <c r="G25713" s="29"/>
      <c r="H25713" s="28">
        <v>4.7600000000000003E-2</v>
      </c>
      <c r="I25713" s="28">
        <v>0.1429</v>
      </c>
      <c r="J25713" s="28">
        <v>0.1905</v>
      </c>
      <c r="K25713" s="28">
        <v>4.7600000000000003E-2</v>
      </c>
      <c r="L25713" s="29"/>
      <c r="M25713" s="28">
        <v>4.7600000000000003E-2</v>
      </c>
      <c r="N25713" s="28">
        <v>9.5200000000000007E-2</v>
      </c>
      <c r="O25713" s="28">
        <v>9.5200000000000007E-2</v>
      </c>
      <c r="P25713" s="29"/>
      <c r="Q25713" s="29"/>
      <c r="R25713" s="28">
        <v>0.1905</v>
      </c>
      <c r="S25713" s="29"/>
      <c r="T25713" s="29"/>
      <c r="U25713" s="29"/>
      <c r="V25713" s="29"/>
      <c r="W25713" s="29"/>
      <c r="X25713" s="28">
        <v>4.7600000000000003E-2</v>
      </c>
      <c r="Y25713" s="29" t="s">
        <v>351</v>
      </c>
    </row>
    <row r="25714" spans="1:25" x14ac:dyDescent="0.35">
      <c r="A25714" t="s">
        <v>227</v>
      </c>
      <c r="B25714" t="s">
        <v>369</v>
      </c>
      <c r="C25714" s="26">
        <v>0.54100000000000004</v>
      </c>
      <c r="D25714" s="26">
        <v>0.16389999999999999</v>
      </c>
      <c r="E25714" s="26">
        <v>0.2787</v>
      </c>
      <c r="F25714" s="26">
        <v>0.22950000000000001</v>
      </c>
      <c r="G25714" s="26">
        <v>9.8400000000000001E-2</v>
      </c>
      <c r="H25714" s="26">
        <v>3.2800000000000003E-2</v>
      </c>
      <c r="I25714" s="26">
        <v>1.6400000000000001E-2</v>
      </c>
      <c r="J25714" s="26">
        <v>3.2800000000000003E-2</v>
      </c>
      <c r="L25714" s="26">
        <v>3.2800000000000003E-2</v>
      </c>
      <c r="M25714" s="26">
        <v>4.9200000000000001E-2</v>
      </c>
      <c r="N25714" s="26">
        <v>6.5600000000000006E-2</v>
      </c>
      <c r="O25714" s="26">
        <v>1.6400000000000001E-2</v>
      </c>
      <c r="Q25714" s="26">
        <v>1.6400000000000001E-2</v>
      </c>
      <c r="S25714" s="26">
        <v>1.6400000000000001E-2</v>
      </c>
      <c r="T25714" s="26">
        <v>3.2800000000000003E-2</v>
      </c>
      <c r="U25714" s="26">
        <v>1.6400000000000001E-2</v>
      </c>
      <c r="V25714" s="26">
        <v>1.6400000000000001E-2</v>
      </c>
      <c r="Y25714">
        <v>61</v>
      </c>
    </row>
    <row r="25715" spans="1:25" x14ac:dyDescent="0.35">
      <c r="A25715" t="s">
        <v>228</v>
      </c>
      <c r="B25715" t="s">
        <v>368</v>
      </c>
      <c r="C25715" s="26">
        <v>0.77559999999999996</v>
      </c>
      <c r="D25715" s="26">
        <v>0.3463</v>
      </c>
      <c r="E25715" s="26">
        <v>0.26960000000000001</v>
      </c>
      <c r="F25715" s="26">
        <v>8.0199999999999994E-2</v>
      </c>
      <c r="G25715" s="26">
        <v>4.9099999999999998E-2</v>
      </c>
      <c r="H25715" s="26">
        <v>3.4799999999999998E-2</v>
      </c>
      <c r="I25715" s="26">
        <v>0.14990000000000001</v>
      </c>
      <c r="J25715" s="26">
        <v>0.1037</v>
      </c>
      <c r="K25715" s="26">
        <v>7.1199999999999999E-2</v>
      </c>
      <c r="L25715" s="26">
        <v>4.7000000000000002E-3</v>
      </c>
      <c r="M25715" s="26">
        <v>1.21E-2</v>
      </c>
      <c r="N25715" s="26">
        <v>4.7000000000000002E-3</v>
      </c>
      <c r="O25715" s="26">
        <v>6.2799999999999995E-2</v>
      </c>
      <c r="P25715" s="26">
        <v>5.5399999999999998E-2</v>
      </c>
      <c r="Q25715" s="26">
        <v>1.9300000000000001E-2</v>
      </c>
      <c r="R25715" s="26">
        <v>8.8200000000000001E-2</v>
      </c>
      <c r="W25715" s="26">
        <v>1.06E-2</v>
      </c>
      <c r="Y25715">
        <v>122</v>
      </c>
    </row>
    <row r="25716" spans="1:25" x14ac:dyDescent="0.35">
      <c r="A25716" t="s">
        <v>228</v>
      </c>
      <c r="B25716" t="s">
        <v>369</v>
      </c>
      <c r="C25716" s="26">
        <v>0.58209999999999995</v>
      </c>
      <c r="D25716" s="26">
        <v>0.22409999999999999</v>
      </c>
      <c r="E25716" s="26">
        <v>0.24790000000000001</v>
      </c>
      <c r="F25716" s="26">
        <v>0.1159</v>
      </c>
      <c r="G25716" s="26">
        <v>8.2900000000000001E-2</v>
      </c>
      <c r="H25716" s="26">
        <v>6.4899999999999999E-2</v>
      </c>
      <c r="I25716" s="26">
        <v>4.9599999999999998E-2</v>
      </c>
      <c r="J25716" s="26">
        <v>4.8399999999999999E-2</v>
      </c>
      <c r="K25716" s="26">
        <v>3.5200000000000002E-2</v>
      </c>
      <c r="L25716" s="26">
        <v>8.1199999999999994E-2</v>
      </c>
      <c r="M25716" s="26">
        <v>4.0800000000000003E-2</v>
      </c>
      <c r="N25716" s="26">
        <v>1.41E-2</v>
      </c>
      <c r="O25716" s="26">
        <v>1.54E-2</v>
      </c>
      <c r="P25716" s="26">
        <v>5.7599999999999998E-2</v>
      </c>
      <c r="Q25716" s="26">
        <v>2.06E-2</v>
      </c>
      <c r="R25716" s="26">
        <v>6.0000000000000001E-3</v>
      </c>
      <c r="S25716" s="26">
        <v>2.92E-2</v>
      </c>
      <c r="T25716" s="26">
        <v>4.7300000000000002E-2</v>
      </c>
      <c r="U25716" s="26">
        <v>1.26E-2</v>
      </c>
      <c r="V25716" s="26">
        <v>4.5999999999999999E-3</v>
      </c>
      <c r="W25716" s="26">
        <v>2E-3</v>
      </c>
      <c r="X25716" s="26">
        <v>1.89E-2</v>
      </c>
      <c r="Y25716">
        <v>498</v>
      </c>
    </row>
    <row r="25717" spans="1:25" x14ac:dyDescent="0.35">
      <c r="A25717" t="s">
        <v>229</v>
      </c>
      <c r="B25717" t="s">
        <v>368</v>
      </c>
      <c r="C25717" s="26">
        <v>0.59079999999999999</v>
      </c>
      <c r="D25717" s="26">
        <v>0.22070000000000001</v>
      </c>
      <c r="E25717" s="26">
        <v>0.24329999999999999</v>
      </c>
      <c r="F25717" s="26">
        <v>0.1336</v>
      </c>
      <c r="G25717" s="26">
        <v>2.0299999999999999E-2</v>
      </c>
      <c r="H25717" s="26">
        <v>1.52E-2</v>
      </c>
      <c r="I25717" s="26">
        <v>0.1055</v>
      </c>
      <c r="J25717" s="26">
        <v>8.43E-2</v>
      </c>
      <c r="K25717" s="26">
        <v>9.4200000000000006E-2</v>
      </c>
      <c r="L25717" s="26">
        <v>3.4500000000000003E-2</v>
      </c>
      <c r="M25717" s="26">
        <v>3.7600000000000001E-2</v>
      </c>
      <c r="O25717" s="26">
        <v>0.13059999999999999</v>
      </c>
      <c r="P25717" s="26">
        <v>3.8300000000000001E-2</v>
      </c>
      <c r="Q25717" s="26">
        <v>2.8899999999999999E-2</v>
      </c>
      <c r="R25717" s="26">
        <v>3.4500000000000003E-2</v>
      </c>
      <c r="S25717" s="26">
        <v>2.8899999999999999E-2</v>
      </c>
      <c r="Y25717">
        <v>53</v>
      </c>
    </row>
    <row r="25718" spans="1:25" x14ac:dyDescent="0.35">
      <c r="A25718" t="s">
        <v>229</v>
      </c>
      <c r="B25718" t="s">
        <v>369</v>
      </c>
      <c r="C25718" s="26">
        <v>0.50900000000000001</v>
      </c>
      <c r="D25718" s="26">
        <v>0.191</v>
      </c>
      <c r="E25718" s="26">
        <v>0.2661</v>
      </c>
      <c r="F25718" s="26">
        <v>0.23760000000000001</v>
      </c>
      <c r="G25718" s="26">
        <v>6.6299999999999998E-2</v>
      </c>
      <c r="H25718" s="26">
        <v>1.8700000000000001E-2</v>
      </c>
      <c r="I25718" s="26">
        <v>2.8000000000000001E-2</v>
      </c>
      <c r="J25718" s="26">
        <v>3.4700000000000002E-2</v>
      </c>
      <c r="K25718" s="26">
        <v>2.9000000000000001E-2</v>
      </c>
      <c r="L25718" s="26">
        <v>3.7499999999999999E-2</v>
      </c>
      <c r="M25718" s="26">
        <v>3.4099999999999998E-2</v>
      </c>
      <c r="N25718" s="26">
        <v>3.6600000000000001E-2</v>
      </c>
      <c r="O25718" s="26">
        <v>1.7299999999999999E-2</v>
      </c>
      <c r="P25718" s="26">
        <v>1.7999999999999999E-2</v>
      </c>
      <c r="Q25718" s="26">
        <v>1.0699999999999999E-2</v>
      </c>
      <c r="S25718" s="26">
        <v>3.1E-2</v>
      </c>
      <c r="U25718" s="26">
        <v>1.3299999999999999E-2</v>
      </c>
      <c r="V25718" s="26">
        <v>8.2000000000000007E-3</v>
      </c>
      <c r="W25718" s="26">
        <v>1.4200000000000001E-2</v>
      </c>
      <c r="Y25718">
        <v>352</v>
      </c>
    </row>
    <row r="25719" spans="1:25" x14ac:dyDescent="0.35">
      <c r="A25719" t="s">
        <v>230</v>
      </c>
      <c r="B25719" t="s">
        <v>368</v>
      </c>
      <c r="C25719" s="26">
        <v>0.78739999999999999</v>
      </c>
      <c r="D25719" s="26">
        <v>0.43709999999999999</v>
      </c>
      <c r="E25719" s="26">
        <v>0.3851</v>
      </c>
      <c r="F25719" s="26">
        <v>2.4299999999999999E-2</v>
      </c>
      <c r="G25719" s="26">
        <v>0.1588</v>
      </c>
      <c r="H25719" s="26">
        <v>1.2200000000000001E-2</v>
      </c>
      <c r="I25719" s="26">
        <v>0.1105</v>
      </c>
      <c r="J25719" s="26">
        <v>0.26960000000000001</v>
      </c>
      <c r="K25719" s="26">
        <v>0.1021</v>
      </c>
      <c r="L25719" s="26">
        <v>0.2213</v>
      </c>
      <c r="N25719" s="26">
        <v>7.3800000000000004E-2</v>
      </c>
      <c r="O25719" s="26">
        <v>9.3399999999999997E-2</v>
      </c>
      <c r="R25719" s="26">
        <v>3.7000000000000002E-3</v>
      </c>
      <c r="X25719" s="26">
        <v>3.7000000000000002E-3</v>
      </c>
      <c r="Y25719">
        <v>39</v>
      </c>
    </row>
    <row r="25720" spans="1:25" x14ac:dyDescent="0.35">
      <c r="A25720" t="s">
        <v>230</v>
      </c>
      <c r="B25720" t="s">
        <v>369</v>
      </c>
      <c r="C25720" s="26">
        <v>0.59409999999999996</v>
      </c>
      <c r="D25720" s="26">
        <v>0.31619999999999998</v>
      </c>
      <c r="E25720" s="26">
        <v>0.26989999999999997</v>
      </c>
      <c r="F25720" s="26">
        <v>0.1178</v>
      </c>
      <c r="G25720" s="26">
        <v>6.9000000000000006E-2</v>
      </c>
      <c r="H25720" s="26">
        <v>0.17710000000000001</v>
      </c>
      <c r="I25720" s="26">
        <v>9.06E-2</v>
      </c>
      <c r="J25720" s="26">
        <v>4.4900000000000002E-2</v>
      </c>
      <c r="K25720" s="26">
        <v>3.73E-2</v>
      </c>
      <c r="L25720" s="26">
        <v>3.0599999999999999E-2</v>
      </c>
      <c r="M25720" s="26">
        <v>2.8400000000000002E-2</v>
      </c>
      <c r="N25720" s="26">
        <v>3.9300000000000002E-2</v>
      </c>
      <c r="O25720" s="26">
        <v>3.0300000000000001E-2</v>
      </c>
      <c r="P25720" s="26">
        <v>5.5100000000000003E-2</v>
      </c>
      <c r="Q25720" s="26">
        <v>4.1999999999999997E-3</v>
      </c>
      <c r="R25720" s="26">
        <v>1.29E-2</v>
      </c>
      <c r="S25720" s="26">
        <v>1.35E-2</v>
      </c>
      <c r="T25720" s="26">
        <v>3.1199999999999999E-2</v>
      </c>
      <c r="U25720" s="26">
        <v>1.1599999999999999E-2</v>
      </c>
      <c r="X25720" s="26">
        <v>3.5999999999999999E-3</v>
      </c>
      <c r="Y25720">
        <v>317</v>
      </c>
    </row>
    <row r="25721" spans="1:25" x14ac:dyDescent="0.35">
      <c r="A25721" s="27" t="s">
        <v>231</v>
      </c>
      <c r="B25721" s="27" t="s">
        <v>368</v>
      </c>
      <c r="C25721" s="28">
        <v>0.85709999999999997</v>
      </c>
      <c r="D25721" s="28">
        <v>0.28570000000000001</v>
      </c>
      <c r="E25721" s="28">
        <v>0.1429</v>
      </c>
      <c r="F25721" s="29"/>
      <c r="G25721" s="28">
        <v>7.1400000000000005E-2</v>
      </c>
      <c r="H25721" s="28">
        <v>7.1400000000000005E-2</v>
      </c>
      <c r="I25721" s="28">
        <v>0.1429</v>
      </c>
      <c r="J25721" s="28">
        <v>7.1400000000000005E-2</v>
      </c>
      <c r="K25721" s="28">
        <v>0.42859999999999998</v>
      </c>
      <c r="L25721" s="29"/>
      <c r="M25721" s="29"/>
      <c r="N25721" s="29"/>
      <c r="O25721" s="28">
        <v>7.1400000000000005E-2</v>
      </c>
      <c r="P25721" s="29"/>
      <c r="Q25721" s="28">
        <v>7.1400000000000005E-2</v>
      </c>
      <c r="R25721" s="28">
        <v>7.1400000000000005E-2</v>
      </c>
      <c r="S25721" s="29"/>
      <c r="T25721" s="29"/>
      <c r="U25721" s="29"/>
      <c r="V25721" s="29"/>
      <c r="W25721" s="29"/>
      <c r="X25721" s="29"/>
      <c r="Y25721" s="29" t="s">
        <v>379</v>
      </c>
    </row>
    <row r="25722" spans="1:25" x14ac:dyDescent="0.35">
      <c r="A25722" t="s">
        <v>231</v>
      </c>
      <c r="B25722" t="s">
        <v>369</v>
      </c>
      <c r="C25722" s="26">
        <v>0.48330000000000001</v>
      </c>
      <c r="D25722" s="26">
        <v>0.3</v>
      </c>
      <c r="E25722" s="26">
        <v>0.2167</v>
      </c>
      <c r="F25722" s="26">
        <v>0.2167</v>
      </c>
      <c r="G25722" s="26">
        <v>0.1</v>
      </c>
      <c r="H25722" s="26">
        <v>0.1167</v>
      </c>
      <c r="I25722" s="26">
        <v>3.3300000000000003E-2</v>
      </c>
      <c r="J25722" s="26">
        <v>0.05</v>
      </c>
      <c r="L25722" s="26">
        <v>3.3300000000000003E-2</v>
      </c>
      <c r="M25722" s="26">
        <v>0.05</v>
      </c>
      <c r="N25722" s="26">
        <v>3.3300000000000003E-2</v>
      </c>
      <c r="P25722" s="26">
        <v>1.67E-2</v>
      </c>
      <c r="Q25722" s="26">
        <v>3.3300000000000003E-2</v>
      </c>
      <c r="V25722" s="26">
        <v>1.67E-2</v>
      </c>
      <c r="W25722" s="26">
        <v>1.67E-2</v>
      </c>
      <c r="Y25722">
        <v>60</v>
      </c>
    </row>
    <row r="25723" spans="1:25" x14ac:dyDescent="0.35">
      <c r="A25723" t="s">
        <v>232</v>
      </c>
      <c r="B25723" t="s">
        <v>232</v>
      </c>
      <c r="C25723" s="26">
        <v>0.56540000000000001</v>
      </c>
      <c r="D25723" s="26">
        <v>0.25569999999999998</v>
      </c>
      <c r="E25723" s="26">
        <v>0.24279999999999999</v>
      </c>
      <c r="F25723" s="26">
        <v>0.16619999999999999</v>
      </c>
      <c r="G25723" s="26">
        <v>7.5700000000000003E-2</v>
      </c>
      <c r="H25723" s="26">
        <v>6.7299999999999999E-2</v>
      </c>
      <c r="I25723" s="26">
        <v>5.8099999999999999E-2</v>
      </c>
      <c r="J25723" s="26">
        <v>5.79E-2</v>
      </c>
      <c r="K25723" s="26">
        <v>4.7600000000000003E-2</v>
      </c>
      <c r="L25723" s="26">
        <v>4.0399999999999998E-2</v>
      </c>
      <c r="M25723" s="26">
        <v>3.73E-2</v>
      </c>
      <c r="N25723" s="26">
        <v>3.3700000000000001E-2</v>
      </c>
      <c r="O25723" s="26">
        <v>2.92E-2</v>
      </c>
      <c r="P25723" s="26">
        <v>2.6599999999999999E-2</v>
      </c>
      <c r="Q25723" s="26">
        <v>2.06E-2</v>
      </c>
      <c r="R25723" s="26">
        <v>1.9199999999999998E-2</v>
      </c>
      <c r="S25723" s="26">
        <v>1.6299999999999999E-2</v>
      </c>
      <c r="T25723" s="26">
        <v>1.47E-2</v>
      </c>
      <c r="U25723" s="26">
        <v>8.0000000000000002E-3</v>
      </c>
      <c r="V25723" s="26">
        <v>7.9000000000000008E-3</v>
      </c>
      <c r="W25723" s="26">
        <v>7.3000000000000001E-3</v>
      </c>
      <c r="X25723" s="26">
        <v>5.4999999999999997E-3</v>
      </c>
      <c r="Y25723">
        <v>1537</v>
      </c>
    </row>
    <row r="25725" spans="1:25" x14ac:dyDescent="0.35">
      <c r="A25725" s="1" t="s">
        <v>2345</v>
      </c>
    </row>
    <row r="25726" spans="1:25" x14ac:dyDescent="0.35">
      <c r="A25726" t="s">
        <v>219</v>
      </c>
      <c r="B25726" t="s">
        <v>305</v>
      </c>
      <c r="C25726" t="s">
        <v>2315</v>
      </c>
      <c r="D25726" t="s">
        <v>2316</v>
      </c>
      <c r="E25726" t="s">
        <v>2317</v>
      </c>
      <c r="F25726" t="s">
        <v>2318</v>
      </c>
      <c r="G25726" t="s">
        <v>2319</v>
      </c>
      <c r="H25726" t="s">
        <v>2320</v>
      </c>
      <c r="I25726" t="s">
        <v>2321</v>
      </c>
      <c r="J25726" t="s">
        <v>2322</v>
      </c>
      <c r="K25726" t="s">
        <v>2323</v>
      </c>
      <c r="L25726" t="s">
        <v>2324</v>
      </c>
      <c r="M25726" t="s">
        <v>2325</v>
      </c>
      <c r="N25726" t="s">
        <v>2326</v>
      </c>
      <c r="O25726" t="s">
        <v>2327</v>
      </c>
      <c r="P25726" t="s">
        <v>2328</v>
      </c>
      <c r="Q25726" t="s">
        <v>2329</v>
      </c>
      <c r="R25726" t="s">
        <v>2330</v>
      </c>
      <c r="S25726" t="s">
        <v>2331</v>
      </c>
      <c r="T25726" t="s">
        <v>2332</v>
      </c>
      <c r="U25726" t="s">
        <v>326</v>
      </c>
      <c r="V25726" t="s">
        <v>2333</v>
      </c>
      <c r="W25726" t="s">
        <v>2334</v>
      </c>
      <c r="X25726" t="s">
        <v>2335</v>
      </c>
      <c r="Y25726" t="s">
        <v>226</v>
      </c>
    </row>
    <row r="25727" spans="1:25" x14ac:dyDescent="0.35">
      <c r="A25727" t="s">
        <v>227</v>
      </c>
      <c r="B25727" t="s">
        <v>371</v>
      </c>
      <c r="C25727" s="26">
        <v>0.53659999999999997</v>
      </c>
      <c r="D25727" s="26">
        <v>0.24390000000000001</v>
      </c>
      <c r="E25727" s="26">
        <v>0.23169999999999999</v>
      </c>
      <c r="F25727" s="26">
        <v>0.18290000000000001</v>
      </c>
      <c r="G25727" s="26">
        <v>7.3200000000000001E-2</v>
      </c>
      <c r="H25727" s="26">
        <v>3.6600000000000001E-2</v>
      </c>
      <c r="I25727" s="26">
        <v>4.8800000000000003E-2</v>
      </c>
      <c r="J25727" s="26">
        <v>7.3200000000000001E-2</v>
      </c>
      <c r="K25727" s="26">
        <v>1.2200000000000001E-2</v>
      </c>
      <c r="L25727" s="26">
        <v>2.4400000000000002E-2</v>
      </c>
      <c r="M25727" s="26">
        <v>4.8800000000000003E-2</v>
      </c>
      <c r="N25727" s="26">
        <v>7.3200000000000001E-2</v>
      </c>
      <c r="O25727" s="26">
        <v>3.6600000000000001E-2</v>
      </c>
      <c r="Q25727" s="26">
        <v>1.2200000000000001E-2</v>
      </c>
      <c r="R25727" s="26">
        <v>4.8800000000000003E-2</v>
      </c>
      <c r="S25727" s="26">
        <v>1.2200000000000001E-2</v>
      </c>
      <c r="T25727" s="26">
        <v>2.4400000000000002E-2</v>
      </c>
      <c r="U25727" s="26">
        <v>1.2200000000000001E-2</v>
      </c>
      <c r="V25727" s="26">
        <v>1.2200000000000001E-2</v>
      </c>
      <c r="X25727" s="26">
        <v>1.2200000000000001E-2</v>
      </c>
      <c r="Y25727">
        <v>82</v>
      </c>
    </row>
    <row r="25728" spans="1:25" x14ac:dyDescent="0.35">
      <c r="A25728" t="s">
        <v>228</v>
      </c>
      <c r="B25728" t="s">
        <v>371</v>
      </c>
      <c r="C25728" s="26">
        <v>0.57279999999999998</v>
      </c>
      <c r="D25728" s="26">
        <v>0.22750000000000001</v>
      </c>
      <c r="E25728" s="26">
        <v>0.27360000000000001</v>
      </c>
      <c r="F25728" s="26">
        <v>0.114</v>
      </c>
      <c r="G25728" s="26">
        <v>9.4600000000000004E-2</v>
      </c>
      <c r="H25728" s="26">
        <v>3.7100000000000001E-2</v>
      </c>
      <c r="I25728" s="26">
        <v>9.3700000000000006E-2</v>
      </c>
      <c r="J25728" s="26">
        <v>3.5700000000000003E-2</v>
      </c>
      <c r="K25728" s="26">
        <v>6.83E-2</v>
      </c>
      <c r="L25728" s="26">
        <v>9.2299999999999993E-2</v>
      </c>
      <c r="M25728" s="26">
        <v>2.5600000000000001E-2</v>
      </c>
      <c r="N25728" s="26">
        <v>2.8E-3</v>
      </c>
      <c r="O25728" s="26">
        <v>4.1000000000000003E-3</v>
      </c>
      <c r="P25728" s="26">
        <v>6.5500000000000003E-2</v>
      </c>
      <c r="Q25728" s="26">
        <v>2.5600000000000001E-2</v>
      </c>
      <c r="R25728" s="26">
        <v>2.8299999999999999E-2</v>
      </c>
      <c r="S25728" s="26">
        <v>2.5600000000000001E-2</v>
      </c>
      <c r="T25728" s="26">
        <v>5.2499999999999998E-2</v>
      </c>
      <c r="U25728" s="26">
        <v>1.2800000000000001E-2</v>
      </c>
      <c r="X25728" s="26">
        <v>1.2800000000000001E-2</v>
      </c>
      <c r="Y25728">
        <v>156</v>
      </c>
    </row>
    <row r="25729" spans="1:25" x14ac:dyDescent="0.35">
      <c r="A25729" t="s">
        <v>228</v>
      </c>
      <c r="B25729" t="s">
        <v>372</v>
      </c>
      <c r="C25729" s="26">
        <v>0.71989999999999998</v>
      </c>
      <c r="D25729" s="26">
        <v>0.24399999999999999</v>
      </c>
      <c r="E25729" s="26">
        <v>0.22070000000000001</v>
      </c>
      <c r="F25729" s="26">
        <v>3.85E-2</v>
      </c>
      <c r="G25729" s="26">
        <v>4.7899999999999998E-2</v>
      </c>
      <c r="H25729" s="26">
        <v>0.15870000000000001</v>
      </c>
      <c r="I25729" s="26">
        <v>3.5099999999999999E-2</v>
      </c>
      <c r="J25729" s="26">
        <v>6.8699999999999997E-2</v>
      </c>
      <c r="K25729" s="26">
        <v>3.4000000000000002E-2</v>
      </c>
      <c r="L25729" s="26">
        <v>2.3400000000000001E-2</v>
      </c>
      <c r="M25729" s="26">
        <v>7.7999999999999996E-3</v>
      </c>
      <c r="N25729" s="26">
        <v>1.77E-2</v>
      </c>
      <c r="O25729" s="26">
        <v>3.5000000000000003E-2</v>
      </c>
      <c r="P25729" s="26">
        <v>1.2800000000000001E-2</v>
      </c>
      <c r="Q25729" s="26">
        <v>1.34E-2</v>
      </c>
      <c r="R25729" s="26">
        <v>0.02</v>
      </c>
      <c r="S25729" s="26">
        <v>2.6800000000000001E-2</v>
      </c>
      <c r="T25729" s="26">
        <v>6.8000000000000005E-2</v>
      </c>
      <c r="V25729" s="26">
        <v>8.8999999999999999E-3</v>
      </c>
      <c r="W25729" s="26">
        <v>2.01E-2</v>
      </c>
      <c r="X25729" s="26">
        <v>5.4699999999999999E-2</v>
      </c>
      <c r="Y25729">
        <v>159</v>
      </c>
    </row>
    <row r="25730" spans="1:25" x14ac:dyDescent="0.35">
      <c r="A25730" t="s">
        <v>228</v>
      </c>
      <c r="B25730" t="s">
        <v>373</v>
      </c>
      <c r="C25730" s="26">
        <v>0.65869999999999995</v>
      </c>
      <c r="D25730" s="26">
        <v>0.28060000000000002</v>
      </c>
      <c r="E25730" s="26">
        <v>0.2366</v>
      </c>
      <c r="F25730" s="26">
        <v>0.121</v>
      </c>
      <c r="G25730" s="26">
        <v>6.0499999999999998E-2</v>
      </c>
      <c r="H25730" s="26">
        <v>5.5199999999999999E-2</v>
      </c>
      <c r="I25730" s="26">
        <v>5.5100000000000003E-2</v>
      </c>
      <c r="J25730" s="26">
        <v>8.7800000000000003E-2</v>
      </c>
      <c r="K25730" s="26">
        <v>1.5299999999999999E-2</v>
      </c>
      <c r="L25730" s="26">
        <v>4.2999999999999997E-2</v>
      </c>
      <c r="M25730" s="26">
        <v>5.2999999999999999E-2</v>
      </c>
      <c r="N25730" s="26">
        <v>2.1600000000000001E-2</v>
      </c>
      <c r="O25730" s="26">
        <v>4.9000000000000002E-2</v>
      </c>
      <c r="P25730" s="26">
        <v>5.9700000000000003E-2</v>
      </c>
      <c r="Q25730" s="26">
        <v>1.6E-2</v>
      </c>
      <c r="R25730" s="26">
        <v>1.9699999999999999E-2</v>
      </c>
      <c r="S25730" s="26">
        <v>1.8499999999999999E-2</v>
      </c>
      <c r="T25730" s="26">
        <v>9.4000000000000004E-3</v>
      </c>
      <c r="U25730" s="26">
        <v>9.2999999999999992E-3</v>
      </c>
      <c r="V25730" s="26">
        <v>6.4000000000000003E-3</v>
      </c>
      <c r="W25730" s="26">
        <v>3.8E-3</v>
      </c>
      <c r="X25730" s="26">
        <v>5.7999999999999996E-3</v>
      </c>
      <c r="Y25730">
        <v>305</v>
      </c>
    </row>
    <row r="25731" spans="1:25" x14ac:dyDescent="0.35">
      <c r="A25731" t="s">
        <v>229</v>
      </c>
      <c r="B25731" t="s">
        <v>371</v>
      </c>
      <c r="C25731" s="26">
        <v>0.50829999999999997</v>
      </c>
      <c r="D25731" s="26">
        <v>0.18540000000000001</v>
      </c>
      <c r="E25731" s="26">
        <v>0.2661</v>
      </c>
      <c r="F25731" s="26">
        <v>0.22700000000000001</v>
      </c>
      <c r="G25731" s="26">
        <v>5.5500000000000001E-2</v>
      </c>
      <c r="H25731" s="26">
        <v>3.5999999999999999E-3</v>
      </c>
      <c r="I25731" s="26">
        <v>4.53E-2</v>
      </c>
      <c r="J25731" s="26">
        <v>4.0899999999999999E-2</v>
      </c>
      <c r="K25731" s="26">
        <v>4.41E-2</v>
      </c>
      <c r="L25731" s="26">
        <v>3.85E-2</v>
      </c>
      <c r="M25731" s="26">
        <v>3.6200000000000003E-2</v>
      </c>
      <c r="N25731" s="26">
        <v>3.2300000000000002E-2</v>
      </c>
      <c r="O25731" s="26">
        <v>3.78E-2</v>
      </c>
      <c r="P25731" s="26">
        <v>2.24E-2</v>
      </c>
      <c r="Q25731" s="26">
        <v>1.34E-2</v>
      </c>
      <c r="R25731" s="26">
        <v>7.1000000000000004E-3</v>
      </c>
      <c r="S25731" s="26">
        <v>3.3500000000000002E-2</v>
      </c>
      <c r="U25731" s="26">
        <v>1.18E-2</v>
      </c>
      <c r="V25731" s="26">
        <v>7.1000000000000004E-3</v>
      </c>
      <c r="W25731" s="26">
        <v>1.18E-2</v>
      </c>
      <c r="Y25731">
        <v>241</v>
      </c>
    </row>
    <row r="25732" spans="1:25" x14ac:dyDescent="0.35">
      <c r="A25732" t="s">
        <v>229</v>
      </c>
      <c r="B25732" t="s">
        <v>372</v>
      </c>
      <c r="C25732" s="26">
        <v>0.69199999999999995</v>
      </c>
      <c r="D25732" s="26">
        <v>0.36580000000000001</v>
      </c>
      <c r="E25732" s="26">
        <v>0.2392</v>
      </c>
      <c r="F25732" s="26">
        <v>0.1283</v>
      </c>
      <c r="G25732" s="26">
        <v>7.2300000000000003E-2</v>
      </c>
      <c r="H25732" s="26">
        <v>0.14929999999999999</v>
      </c>
      <c r="I25732" s="26">
        <v>6.4999999999999997E-3</v>
      </c>
      <c r="J25732" s="26">
        <v>8.1699999999999995E-2</v>
      </c>
      <c r="K25732" s="26">
        <v>3.2000000000000002E-3</v>
      </c>
      <c r="L25732" s="26">
        <v>2.5700000000000001E-2</v>
      </c>
      <c r="M25732" s="26">
        <v>1.4500000000000001E-2</v>
      </c>
      <c r="N25732" s="26">
        <v>3.2000000000000002E-3</v>
      </c>
      <c r="O25732" s="26">
        <v>4.0099999999999997E-2</v>
      </c>
      <c r="P25732" s="26">
        <v>2.0899999999999998E-2</v>
      </c>
      <c r="Q25732" s="26">
        <v>2.8899999999999999E-2</v>
      </c>
      <c r="V25732" s="26">
        <v>3.2000000000000002E-3</v>
      </c>
      <c r="Y25732">
        <v>129</v>
      </c>
    </row>
    <row r="25733" spans="1:25" x14ac:dyDescent="0.35">
      <c r="A25733" t="s">
        <v>229</v>
      </c>
      <c r="B25733" t="s">
        <v>373</v>
      </c>
      <c r="C25733" s="26">
        <v>0.70099999999999996</v>
      </c>
      <c r="D25733" s="26">
        <v>0.17169999999999999</v>
      </c>
      <c r="E25733" s="26">
        <v>0.15570000000000001</v>
      </c>
      <c r="F25733" s="26">
        <v>0.1094</v>
      </c>
      <c r="G25733" s="26">
        <v>0.1024</v>
      </c>
      <c r="H25733" s="26">
        <v>0.2339</v>
      </c>
      <c r="I25733" s="26">
        <v>3.1099999999999999E-2</v>
      </c>
      <c r="J25733" s="26">
        <v>6.2300000000000001E-2</v>
      </c>
      <c r="K25733" s="26">
        <v>3.1099999999999999E-2</v>
      </c>
      <c r="L25733" s="26">
        <v>8.9999999999999993E-3</v>
      </c>
      <c r="M25733" s="26">
        <v>3.1099999999999999E-2</v>
      </c>
      <c r="O25733" s="26">
        <v>6.2300000000000001E-2</v>
      </c>
      <c r="W25733" s="26">
        <v>3.1099999999999999E-2</v>
      </c>
      <c r="Y25733">
        <v>35</v>
      </c>
    </row>
    <row r="25734" spans="1:25" x14ac:dyDescent="0.35">
      <c r="A25734" t="s">
        <v>230</v>
      </c>
      <c r="B25734" t="s">
        <v>371</v>
      </c>
      <c r="C25734" s="26">
        <v>0.61929999999999996</v>
      </c>
      <c r="D25734" s="26">
        <v>0.35039999999999999</v>
      </c>
      <c r="E25734" s="26">
        <v>0.3155</v>
      </c>
      <c r="F25734" s="26">
        <v>0.10580000000000001</v>
      </c>
      <c r="G25734" s="26">
        <v>8.14E-2</v>
      </c>
      <c r="H25734" s="26">
        <v>0.16900000000000001</v>
      </c>
      <c r="I25734" s="26">
        <v>0.1037</v>
      </c>
      <c r="J25734" s="26">
        <v>6.7100000000000007E-2</v>
      </c>
      <c r="K25734" s="26">
        <v>5.0799999999999998E-2</v>
      </c>
      <c r="L25734" s="26">
        <v>6.5100000000000005E-2</v>
      </c>
      <c r="M25734" s="26">
        <v>2.2499999999999999E-2</v>
      </c>
      <c r="N25734" s="26">
        <v>5.2900000000000003E-2</v>
      </c>
      <c r="O25734" s="26">
        <v>3.6600000000000001E-2</v>
      </c>
      <c r="P25734" s="26">
        <v>4.8800000000000003E-2</v>
      </c>
      <c r="R25734" s="26">
        <v>1.43E-2</v>
      </c>
      <c r="S25734" s="26">
        <v>1.2200000000000001E-2</v>
      </c>
      <c r="T25734" s="26">
        <v>1.44E-2</v>
      </c>
      <c r="U25734" s="26">
        <v>1.2200000000000001E-2</v>
      </c>
      <c r="Y25734">
        <v>156</v>
      </c>
    </row>
    <row r="25735" spans="1:25" x14ac:dyDescent="0.35">
      <c r="A25735" t="s">
        <v>230</v>
      </c>
      <c r="B25735" t="s">
        <v>372</v>
      </c>
      <c r="C25735" s="26">
        <v>0.64370000000000005</v>
      </c>
      <c r="D25735" s="26">
        <v>0.13780000000000001</v>
      </c>
      <c r="E25735" s="26">
        <v>0.21179999999999999</v>
      </c>
      <c r="F25735" s="26">
        <v>6.3899999999999998E-2</v>
      </c>
      <c r="G25735" s="26">
        <v>7.5600000000000001E-2</v>
      </c>
      <c r="H25735" s="26">
        <v>0.17649999999999999</v>
      </c>
      <c r="I25735" s="26">
        <v>8.4000000000000005E-2</v>
      </c>
      <c r="J25735" s="26">
        <v>6.7199999999999996E-2</v>
      </c>
      <c r="K25735" s="26">
        <v>2.69E-2</v>
      </c>
      <c r="L25735" s="26">
        <v>1.34E-2</v>
      </c>
      <c r="M25735" s="26">
        <v>6.0499999999999998E-2</v>
      </c>
      <c r="N25735" s="26">
        <v>6.7000000000000002E-3</v>
      </c>
      <c r="O25735" s="26">
        <v>0.1328</v>
      </c>
      <c r="P25735" s="26">
        <v>4.2000000000000003E-2</v>
      </c>
      <c r="Q25735" s="26">
        <v>6.7000000000000002E-3</v>
      </c>
      <c r="R25735" s="26">
        <v>6.7000000000000002E-3</v>
      </c>
      <c r="S25735" s="26">
        <v>6.7000000000000002E-3</v>
      </c>
      <c r="T25735" s="26">
        <v>3.5299999999999998E-2</v>
      </c>
      <c r="U25735" s="26">
        <v>6.7000000000000002E-3</v>
      </c>
      <c r="X25735" s="26">
        <v>6.7000000000000002E-3</v>
      </c>
      <c r="Y25735">
        <v>106</v>
      </c>
    </row>
    <row r="25736" spans="1:25" x14ac:dyDescent="0.35">
      <c r="A25736" t="s">
        <v>230</v>
      </c>
      <c r="B25736" t="s">
        <v>373</v>
      </c>
      <c r="C25736" s="26">
        <v>0.60670000000000002</v>
      </c>
      <c r="D25736" s="26">
        <v>0.32850000000000001</v>
      </c>
      <c r="E25736" s="26">
        <v>0.14929999999999999</v>
      </c>
      <c r="F25736" s="26">
        <v>0.12659999999999999</v>
      </c>
      <c r="G25736" s="26">
        <v>7.9500000000000001E-2</v>
      </c>
      <c r="H25736" s="26">
        <v>6.8000000000000005E-2</v>
      </c>
      <c r="I25736" s="26">
        <v>3.7999999999999999E-2</v>
      </c>
      <c r="J25736" s="26">
        <v>0.1183</v>
      </c>
      <c r="K25736" s="26">
        <v>2.6499999999999999E-2</v>
      </c>
      <c r="L25736" s="26">
        <v>2.3E-2</v>
      </c>
      <c r="M25736" s="26">
        <v>1.8499999999999999E-2</v>
      </c>
      <c r="N25736" s="26">
        <v>1.15E-2</v>
      </c>
      <c r="P25736" s="26">
        <v>4.5900000000000003E-2</v>
      </c>
      <c r="Q25736" s="26">
        <v>2.3E-2</v>
      </c>
      <c r="S25736" s="26">
        <v>1.15E-2</v>
      </c>
      <c r="T25736" s="26">
        <v>9.5399999999999999E-2</v>
      </c>
      <c r="X25736" s="26">
        <v>2.3E-2</v>
      </c>
      <c r="Y25736">
        <v>94</v>
      </c>
    </row>
    <row r="25737" spans="1:25" x14ac:dyDescent="0.35">
      <c r="A25737" t="s">
        <v>231</v>
      </c>
      <c r="B25737" t="s">
        <v>371</v>
      </c>
      <c r="C25737" s="26">
        <v>0.55410000000000004</v>
      </c>
      <c r="D25737" s="26">
        <v>0.29730000000000001</v>
      </c>
      <c r="E25737" s="26">
        <v>0.20269999999999999</v>
      </c>
      <c r="F25737" s="26">
        <v>0.1757</v>
      </c>
      <c r="G25737" s="26">
        <v>9.4600000000000004E-2</v>
      </c>
      <c r="H25737" s="26">
        <v>0.1081</v>
      </c>
      <c r="I25737" s="26">
        <v>5.4100000000000002E-2</v>
      </c>
      <c r="J25737" s="26">
        <v>5.4100000000000002E-2</v>
      </c>
      <c r="K25737" s="26">
        <v>8.1100000000000005E-2</v>
      </c>
      <c r="L25737" s="26">
        <v>2.7E-2</v>
      </c>
      <c r="M25737" s="26">
        <v>4.0500000000000001E-2</v>
      </c>
      <c r="N25737" s="26">
        <v>2.7E-2</v>
      </c>
      <c r="O25737" s="26">
        <v>1.35E-2</v>
      </c>
      <c r="P25737" s="26">
        <v>1.35E-2</v>
      </c>
      <c r="Q25737" s="26">
        <v>4.0500000000000001E-2</v>
      </c>
      <c r="R25737" s="26">
        <v>1.35E-2</v>
      </c>
      <c r="V25737" s="26">
        <v>1.35E-2</v>
      </c>
      <c r="W25737" s="26">
        <v>1.35E-2</v>
      </c>
      <c r="Y25737">
        <v>74</v>
      </c>
    </row>
    <row r="25738" spans="1:25" x14ac:dyDescent="0.35">
      <c r="A25738" t="s">
        <v>232</v>
      </c>
      <c r="B25738" t="s">
        <v>232</v>
      </c>
      <c r="C25738" s="26">
        <v>0.56540000000000001</v>
      </c>
      <c r="D25738" s="26">
        <v>0.25569999999999998</v>
      </c>
      <c r="E25738" s="26">
        <v>0.24279999999999999</v>
      </c>
      <c r="F25738" s="26">
        <v>0.16619999999999999</v>
      </c>
      <c r="G25738" s="26">
        <v>7.5700000000000003E-2</v>
      </c>
      <c r="H25738" s="26">
        <v>6.7299999999999999E-2</v>
      </c>
      <c r="I25738" s="26">
        <v>5.8099999999999999E-2</v>
      </c>
      <c r="J25738" s="26">
        <v>5.79E-2</v>
      </c>
      <c r="K25738" s="26">
        <v>4.7600000000000003E-2</v>
      </c>
      <c r="L25738" s="26">
        <v>4.0399999999999998E-2</v>
      </c>
      <c r="M25738" s="26">
        <v>3.73E-2</v>
      </c>
      <c r="N25738" s="26">
        <v>3.3700000000000001E-2</v>
      </c>
      <c r="O25738" s="26">
        <v>2.92E-2</v>
      </c>
      <c r="P25738" s="26">
        <v>2.6599999999999999E-2</v>
      </c>
      <c r="Q25738" s="26">
        <v>2.06E-2</v>
      </c>
      <c r="R25738" s="26">
        <v>1.9199999999999998E-2</v>
      </c>
      <c r="S25738" s="26">
        <v>1.6299999999999999E-2</v>
      </c>
      <c r="T25738" s="26">
        <v>1.47E-2</v>
      </c>
      <c r="U25738" s="26">
        <v>8.0000000000000002E-3</v>
      </c>
      <c r="V25738" s="26">
        <v>7.9000000000000008E-3</v>
      </c>
      <c r="W25738" s="26">
        <v>7.3000000000000001E-3</v>
      </c>
      <c r="X25738" s="26">
        <v>5.4999999999999997E-3</v>
      </c>
      <c r="Y25738">
        <v>1537</v>
      </c>
    </row>
    <row r="25740" spans="1:25" x14ac:dyDescent="0.35">
      <c r="A25740" s="1" t="s">
        <v>2346</v>
      </c>
    </row>
    <row r="25741" spans="1:25" x14ac:dyDescent="0.35">
      <c r="A25741" t="s">
        <v>219</v>
      </c>
      <c r="B25741" t="s">
        <v>305</v>
      </c>
      <c r="C25741" t="s">
        <v>2315</v>
      </c>
      <c r="D25741" t="s">
        <v>2316</v>
      </c>
      <c r="E25741" t="s">
        <v>2317</v>
      </c>
      <c r="F25741" t="s">
        <v>2318</v>
      </c>
      <c r="G25741" t="s">
        <v>2319</v>
      </c>
      <c r="H25741" t="s">
        <v>2320</v>
      </c>
      <c r="I25741" t="s">
        <v>2321</v>
      </c>
      <c r="J25741" t="s">
        <v>2322</v>
      </c>
      <c r="K25741" t="s">
        <v>2323</v>
      </c>
      <c r="L25741" t="s">
        <v>2324</v>
      </c>
      <c r="M25741" t="s">
        <v>2325</v>
      </c>
      <c r="N25741" t="s">
        <v>2326</v>
      </c>
      <c r="O25741" t="s">
        <v>2327</v>
      </c>
      <c r="P25741" t="s">
        <v>2328</v>
      </c>
      <c r="Q25741" t="s">
        <v>2329</v>
      </c>
      <c r="R25741" t="s">
        <v>2330</v>
      </c>
      <c r="S25741" t="s">
        <v>2331</v>
      </c>
      <c r="T25741" t="s">
        <v>2332</v>
      </c>
      <c r="U25741" t="s">
        <v>326</v>
      </c>
      <c r="V25741" t="s">
        <v>2333</v>
      </c>
      <c r="W25741" t="s">
        <v>2334</v>
      </c>
      <c r="X25741" t="s">
        <v>2335</v>
      </c>
      <c r="Y25741" t="s">
        <v>226</v>
      </c>
    </row>
    <row r="25742" spans="1:25" x14ac:dyDescent="0.35">
      <c r="A25742" t="s">
        <v>227</v>
      </c>
      <c r="B25742" t="s">
        <v>255</v>
      </c>
      <c r="C25742" s="26">
        <v>0.5323</v>
      </c>
      <c r="D25742" s="26">
        <v>0.2419</v>
      </c>
      <c r="E25742" s="26">
        <v>0.2258</v>
      </c>
      <c r="F25742" s="26">
        <v>0.19350000000000001</v>
      </c>
      <c r="G25742" s="26">
        <v>4.8399999999999999E-2</v>
      </c>
      <c r="H25742" s="26">
        <v>4.8399999999999999E-2</v>
      </c>
      <c r="I25742" s="26">
        <v>3.2300000000000002E-2</v>
      </c>
      <c r="J25742" s="26">
        <v>6.4500000000000002E-2</v>
      </c>
      <c r="K25742" s="26">
        <v>1.61E-2</v>
      </c>
      <c r="L25742" s="26">
        <v>1.61E-2</v>
      </c>
      <c r="N25742" s="26">
        <v>8.0600000000000005E-2</v>
      </c>
      <c r="O25742" s="26">
        <v>4.8399999999999999E-2</v>
      </c>
      <c r="R25742" s="26">
        <v>6.4500000000000002E-2</v>
      </c>
      <c r="T25742" s="26">
        <v>3.2300000000000002E-2</v>
      </c>
      <c r="V25742" s="26">
        <v>1.61E-2</v>
      </c>
      <c r="X25742" s="26">
        <v>1.61E-2</v>
      </c>
      <c r="Y25742">
        <v>62</v>
      </c>
    </row>
    <row r="25743" spans="1:25" x14ac:dyDescent="0.35">
      <c r="A25743" s="27" t="s">
        <v>227</v>
      </c>
      <c r="B25743" s="27" t="s">
        <v>256</v>
      </c>
      <c r="C25743" s="28">
        <v>0.6</v>
      </c>
      <c r="D25743" s="28">
        <v>0.2</v>
      </c>
      <c r="E25743" s="28">
        <v>0.33329999999999999</v>
      </c>
      <c r="F25743" s="28">
        <v>6.6699999999999995E-2</v>
      </c>
      <c r="G25743" s="28">
        <v>0.1333</v>
      </c>
      <c r="H25743" s="29"/>
      <c r="I25743" s="28">
        <v>6.6699999999999995E-2</v>
      </c>
      <c r="J25743" s="28">
        <v>6.6699999999999995E-2</v>
      </c>
      <c r="K25743" s="29"/>
      <c r="L25743" s="28">
        <v>6.6699999999999995E-2</v>
      </c>
      <c r="M25743" s="28">
        <v>0.26669999999999999</v>
      </c>
      <c r="N25743" s="28">
        <v>6.6699999999999995E-2</v>
      </c>
      <c r="O25743" s="29"/>
      <c r="P25743" s="29"/>
      <c r="Q25743" s="28">
        <v>6.6699999999999995E-2</v>
      </c>
      <c r="R25743" s="29"/>
      <c r="S25743" s="28">
        <v>6.6699999999999995E-2</v>
      </c>
      <c r="T25743" s="29"/>
      <c r="U25743" s="28">
        <v>6.6699999999999995E-2</v>
      </c>
      <c r="V25743" s="29"/>
      <c r="W25743" s="29"/>
      <c r="X25743" s="29"/>
      <c r="Y25743" s="29" t="s">
        <v>346</v>
      </c>
    </row>
    <row r="25744" spans="1:25" x14ac:dyDescent="0.35">
      <c r="A25744" s="27" t="s">
        <v>227</v>
      </c>
      <c r="B25744" s="27" t="s">
        <v>257</v>
      </c>
      <c r="C25744" s="28">
        <v>0.4</v>
      </c>
      <c r="D25744" s="28">
        <v>0.4</v>
      </c>
      <c r="E25744" s="29"/>
      <c r="F25744" s="28">
        <v>0.4</v>
      </c>
      <c r="G25744" s="28">
        <v>0.2</v>
      </c>
      <c r="H25744" s="29"/>
      <c r="I25744" s="28">
        <v>0.2</v>
      </c>
      <c r="J25744" s="28">
        <v>0.2</v>
      </c>
      <c r="K25744" s="29"/>
      <c r="L25744" s="29"/>
      <c r="M25744" s="29"/>
      <c r="N25744" s="29"/>
      <c r="O25744" s="29"/>
      <c r="P25744" s="29"/>
      <c r="Q25744" s="29"/>
      <c r="R25744" s="29"/>
      <c r="S25744" s="29"/>
      <c r="T25744" s="29"/>
      <c r="U25744" s="29"/>
      <c r="V25744" s="29"/>
      <c r="W25744" s="29"/>
      <c r="X25744" s="29"/>
      <c r="Y25744" s="29" t="s">
        <v>332</v>
      </c>
    </row>
    <row r="25745" spans="1:25" x14ac:dyDescent="0.35">
      <c r="A25745" t="s">
        <v>228</v>
      </c>
      <c r="B25745" t="s">
        <v>256</v>
      </c>
      <c r="C25745" s="26">
        <v>0.56420000000000003</v>
      </c>
      <c r="D25745" s="26">
        <v>0.25540000000000002</v>
      </c>
      <c r="E25745" s="26">
        <v>0.23430000000000001</v>
      </c>
      <c r="F25745" s="26">
        <v>0.1226</v>
      </c>
      <c r="G25745" s="26">
        <v>0.1512</v>
      </c>
      <c r="H25745" s="26">
        <v>4.4299999999999999E-2</v>
      </c>
      <c r="I25745" s="26">
        <v>0.16919999999999999</v>
      </c>
      <c r="J25745" s="26">
        <v>4.7E-2</v>
      </c>
      <c r="K25745" s="26">
        <v>7.0099999999999996E-2</v>
      </c>
      <c r="L25745" s="26">
        <v>0.1255</v>
      </c>
      <c r="M25745" s="26">
        <v>9.4000000000000004E-3</v>
      </c>
      <c r="N25745" s="26">
        <v>9.2999999999999992E-3</v>
      </c>
      <c r="O25745" s="26">
        <v>1.6299999999999999E-2</v>
      </c>
      <c r="P25745" s="26">
        <v>0.13980000000000001</v>
      </c>
      <c r="Q25745" s="26">
        <v>4.3E-3</v>
      </c>
      <c r="R25745" s="26">
        <v>1.3899999999999999E-2</v>
      </c>
      <c r="T25745" s="26">
        <v>3.5499999999999997E-2</v>
      </c>
      <c r="V25745" s="26">
        <v>6.4999999999999997E-3</v>
      </c>
      <c r="W25745" s="26">
        <v>9.7000000000000003E-3</v>
      </c>
      <c r="X25745" s="26">
        <v>6.4000000000000003E-3</v>
      </c>
      <c r="Y25745">
        <v>128</v>
      </c>
    </row>
    <row r="25746" spans="1:25" x14ac:dyDescent="0.35">
      <c r="A25746" t="s">
        <v>228</v>
      </c>
      <c r="B25746" t="s">
        <v>255</v>
      </c>
      <c r="C25746" s="26">
        <v>0.61990000000000001</v>
      </c>
      <c r="D25746" s="26">
        <v>0.25080000000000002</v>
      </c>
      <c r="E25746" s="26">
        <v>0.27100000000000002</v>
      </c>
      <c r="F25746" s="26">
        <v>0.1065</v>
      </c>
      <c r="G25746" s="26">
        <v>5.0799999999999998E-2</v>
      </c>
      <c r="H25746" s="26">
        <v>5.5300000000000002E-2</v>
      </c>
      <c r="I25746" s="26">
        <v>4.5400000000000003E-2</v>
      </c>
      <c r="J25746" s="26">
        <v>6.8000000000000005E-2</v>
      </c>
      <c r="K25746" s="26">
        <v>3.6999999999999998E-2</v>
      </c>
      <c r="L25746" s="26">
        <v>0.05</v>
      </c>
      <c r="M25746" s="26">
        <v>3.8800000000000001E-2</v>
      </c>
      <c r="N25746" s="26">
        <v>1.3299999999999999E-2</v>
      </c>
      <c r="O25746" s="26">
        <v>3.2000000000000001E-2</v>
      </c>
      <c r="P25746" s="26">
        <v>6.4000000000000003E-3</v>
      </c>
      <c r="Q25746" s="26">
        <v>2.8299999999999999E-2</v>
      </c>
      <c r="R25746" s="26">
        <v>2.1100000000000001E-2</v>
      </c>
      <c r="S25746" s="26">
        <v>3.3500000000000002E-2</v>
      </c>
      <c r="T25746" s="26">
        <v>3.9699999999999999E-2</v>
      </c>
      <c r="U25746" s="26">
        <v>1.4500000000000001E-2</v>
      </c>
      <c r="V25746" s="26">
        <v>3.0000000000000001E-3</v>
      </c>
      <c r="W25746" s="26">
        <v>2.3E-3</v>
      </c>
      <c r="X25746" s="26">
        <v>1.83E-2</v>
      </c>
      <c r="Y25746">
        <v>454</v>
      </c>
    </row>
    <row r="25747" spans="1:25" x14ac:dyDescent="0.35">
      <c r="A25747" s="27" t="s">
        <v>228</v>
      </c>
      <c r="B25747" s="27" t="s">
        <v>258</v>
      </c>
      <c r="C25747" s="28">
        <v>1</v>
      </c>
      <c r="D25747" s="28">
        <v>0.5</v>
      </c>
      <c r="E25747" s="29"/>
      <c r="F25747" s="29"/>
      <c r="G25747" s="29"/>
      <c r="H25747" s="28">
        <v>0.5</v>
      </c>
      <c r="I25747" s="29"/>
      <c r="J25747" s="29"/>
      <c r="K25747" s="29"/>
      <c r="L25747" s="29"/>
      <c r="M25747" s="29"/>
      <c r="N25747" s="29"/>
      <c r="O25747" s="29"/>
      <c r="P25747" s="29"/>
      <c r="Q25747" s="29"/>
      <c r="R25747" s="29"/>
      <c r="S25747" s="29"/>
      <c r="T25747" s="29"/>
      <c r="U25747" s="29"/>
      <c r="V25747" s="29"/>
      <c r="W25747" s="29"/>
      <c r="X25747" s="29"/>
      <c r="Y25747" s="29" t="s">
        <v>314</v>
      </c>
    </row>
    <row r="25748" spans="1:25" x14ac:dyDescent="0.35">
      <c r="A25748" t="s">
        <v>228</v>
      </c>
      <c r="B25748" t="s">
        <v>257</v>
      </c>
      <c r="C25748" s="26">
        <v>0.83940000000000003</v>
      </c>
      <c r="D25748" s="26">
        <v>0.22869999999999999</v>
      </c>
      <c r="E25748" s="26">
        <v>0.1537</v>
      </c>
      <c r="F25748" s="26">
        <v>8.0299999999999996E-2</v>
      </c>
      <c r="G25748" s="26">
        <v>6.1600000000000002E-2</v>
      </c>
      <c r="H25748" s="26">
        <v>0.1168</v>
      </c>
      <c r="J25748" s="26">
        <v>3.6900000000000002E-2</v>
      </c>
      <c r="K25748" s="26">
        <v>1.32E-2</v>
      </c>
      <c r="L25748" s="26">
        <v>5.8999999999999999E-3</v>
      </c>
      <c r="M25748" s="26">
        <v>7.6600000000000001E-2</v>
      </c>
      <c r="N25748" s="26">
        <v>0.01</v>
      </c>
      <c r="P25748" s="26">
        <v>0.25090000000000001</v>
      </c>
      <c r="R25748" s="26">
        <v>8.0299999999999996E-2</v>
      </c>
      <c r="T25748" s="26">
        <v>1.8700000000000001E-2</v>
      </c>
      <c r="X25748" s="26">
        <v>0.01</v>
      </c>
      <c r="Y25748">
        <v>36</v>
      </c>
    </row>
    <row r="25749" spans="1:25" x14ac:dyDescent="0.35">
      <c r="A25749" t="s">
        <v>229</v>
      </c>
      <c r="B25749" t="s">
        <v>255</v>
      </c>
      <c r="C25749" s="26">
        <v>0.54249999999999998</v>
      </c>
      <c r="D25749" s="26">
        <v>0.16980000000000001</v>
      </c>
      <c r="E25749" s="26">
        <v>0.25990000000000002</v>
      </c>
      <c r="F25749" s="26">
        <v>0.22750000000000001</v>
      </c>
      <c r="G25749" s="26">
        <v>4.2599999999999999E-2</v>
      </c>
      <c r="H25749" s="26">
        <v>1.7299999999999999E-2</v>
      </c>
      <c r="I25749" s="26">
        <v>3.9600000000000003E-2</v>
      </c>
      <c r="J25749" s="26">
        <v>3.0300000000000001E-2</v>
      </c>
      <c r="K25749" s="26">
        <v>4.6199999999999998E-2</v>
      </c>
      <c r="L25749" s="26">
        <v>4.1599999999999998E-2</v>
      </c>
      <c r="M25749" s="26">
        <v>2.2200000000000001E-2</v>
      </c>
      <c r="N25749" s="26">
        <v>3.6900000000000002E-2</v>
      </c>
      <c r="O25749" s="26">
        <v>3.2199999999999999E-2</v>
      </c>
      <c r="P25749" s="26">
        <v>5.9999999999999995E-4</v>
      </c>
      <c r="Q25749" s="26">
        <v>1.26E-2</v>
      </c>
      <c r="R25749" s="26">
        <v>9.7999999999999997E-3</v>
      </c>
      <c r="S25749" s="26">
        <v>1.4200000000000001E-2</v>
      </c>
      <c r="U25749" s="26">
        <v>1.6400000000000001E-2</v>
      </c>
      <c r="V25749" s="26">
        <v>2.9999999999999997E-4</v>
      </c>
      <c r="W25749" s="26">
        <v>1.7500000000000002E-2</v>
      </c>
      <c r="Y25749">
        <v>279</v>
      </c>
    </row>
    <row r="25750" spans="1:25" x14ac:dyDescent="0.35">
      <c r="A25750" t="s">
        <v>229</v>
      </c>
      <c r="B25750" t="s">
        <v>256</v>
      </c>
      <c r="C25750" s="26">
        <v>0.47270000000000001</v>
      </c>
      <c r="D25750" s="26">
        <v>0.18190000000000001</v>
      </c>
      <c r="E25750" s="26">
        <v>0.28249999999999997</v>
      </c>
      <c r="F25750" s="26">
        <v>0.2324</v>
      </c>
      <c r="G25750" s="26">
        <v>9.1399999999999995E-2</v>
      </c>
      <c r="H25750" s="26">
        <v>2.0799999999999999E-2</v>
      </c>
      <c r="I25750" s="26">
        <v>5.5E-2</v>
      </c>
      <c r="J25750" s="26">
        <v>5.5399999999999998E-2</v>
      </c>
      <c r="K25750" s="26">
        <v>1.9E-2</v>
      </c>
      <c r="L25750" s="26">
        <v>3.3399999999999999E-2</v>
      </c>
      <c r="M25750" s="26">
        <v>4.7899999999999998E-2</v>
      </c>
      <c r="N25750" s="26">
        <v>1.9E-2</v>
      </c>
      <c r="O25750" s="26">
        <v>4.1700000000000001E-2</v>
      </c>
      <c r="P25750" s="26">
        <v>7.4499999999999997E-2</v>
      </c>
      <c r="Q25750" s="26">
        <v>2.0199999999999999E-2</v>
      </c>
      <c r="S25750" s="26">
        <v>5.1799999999999999E-2</v>
      </c>
      <c r="V25750" s="26">
        <v>2.2700000000000001E-2</v>
      </c>
      <c r="Y25750">
        <v>99</v>
      </c>
    </row>
    <row r="25751" spans="1:25" x14ac:dyDescent="0.35">
      <c r="A25751" s="27" t="s">
        <v>229</v>
      </c>
      <c r="B25751" s="27" t="s">
        <v>258</v>
      </c>
      <c r="C25751" s="28">
        <v>1</v>
      </c>
      <c r="D25751" s="29"/>
      <c r="E25751" s="28">
        <v>0.22409999999999999</v>
      </c>
      <c r="F25751" s="29"/>
      <c r="G25751" s="29"/>
      <c r="H25751" s="29"/>
      <c r="I25751" s="28">
        <v>0.77590000000000003</v>
      </c>
      <c r="J25751" s="29"/>
      <c r="K25751" s="29"/>
      <c r="L25751" s="29"/>
      <c r="M25751" s="28">
        <v>0.77590000000000003</v>
      </c>
      <c r="N25751" s="29"/>
      <c r="O25751" s="29"/>
      <c r="P25751" s="29"/>
      <c r="Q25751" s="29"/>
      <c r="R25751" s="29"/>
      <c r="S25751" s="29"/>
      <c r="T25751" s="29"/>
      <c r="U25751" s="29"/>
      <c r="V25751" s="29"/>
      <c r="W25751" s="29"/>
      <c r="X25751" s="29"/>
      <c r="Y25751" s="29" t="s">
        <v>314</v>
      </c>
    </row>
    <row r="25752" spans="1:25" x14ac:dyDescent="0.35">
      <c r="A25752" s="27" t="s">
        <v>229</v>
      </c>
      <c r="B25752" s="27" t="s">
        <v>257</v>
      </c>
      <c r="C25752" s="28">
        <v>0.56720000000000004</v>
      </c>
      <c r="D25752" s="28">
        <v>0.59960000000000002</v>
      </c>
      <c r="E25752" s="28">
        <v>0.17749999999999999</v>
      </c>
      <c r="F25752" s="28">
        <v>3.3099999999999997E-2</v>
      </c>
      <c r="G25752" s="28">
        <v>6.4000000000000001E-2</v>
      </c>
      <c r="H25752" s="28">
        <v>1.2999999999999999E-2</v>
      </c>
      <c r="I25752" s="29"/>
      <c r="J25752" s="28">
        <v>0.15179999999999999</v>
      </c>
      <c r="K25752" s="28">
        <v>9.9099999999999994E-2</v>
      </c>
      <c r="L25752" s="29"/>
      <c r="M25752" s="28">
        <v>0.1057</v>
      </c>
      <c r="N25752" s="29"/>
      <c r="O25752" s="28">
        <v>9.9099999999999994E-2</v>
      </c>
      <c r="P25752" s="28">
        <v>3.8E-3</v>
      </c>
      <c r="Q25752" s="29"/>
      <c r="R25752" s="29"/>
      <c r="S25752" s="28">
        <v>0.11849999999999999</v>
      </c>
      <c r="T25752" s="29"/>
      <c r="U25752" s="29"/>
      <c r="V25752" s="29"/>
      <c r="W25752" s="29"/>
      <c r="X25752" s="29"/>
      <c r="Y25752" s="29" t="s">
        <v>312</v>
      </c>
    </row>
    <row r="25753" spans="1:25" x14ac:dyDescent="0.35">
      <c r="A25753" t="s">
        <v>230</v>
      </c>
      <c r="B25753" t="s">
        <v>255</v>
      </c>
      <c r="C25753" s="26">
        <v>0.61750000000000005</v>
      </c>
      <c r="D25753" s="26">
        <v>0.3049</v>
      </c>
      <c r="E25753" s="26">
        <v>0.26729999999999998</v>
      </c>
      <c r="F25753" s="26">
        <v>0.1313</v>
      </c>
      <c r="G25753" s="26">
        <v>6.25E-2</v>
      </c>
      <c r="H25753" s="26">
        <v>0.1701</v>
      </c>
      <c r="I25753" s="26">
        <v>0.1075</v>
      </c>
      <c r="J25753" s="26">
        <v>4.2500000000000003E-2</v>
      </c>
      <c r="K25753" s="26">
        <v>5.1499999999999997E-2</v>
      </c>
      <c r="L25753" s="26">
        <v>3.5000000000000003E-2</v>
      </c>
      <c r="M25753" s="26">
        <v>3.3000000000000002E-2</v>
      </c>
      <c r="N25753" s="26">
        <v>3.4299999999999997E-2</v>
      </c>
      <c r="O25753" s="26">
        <v>4.24E-2</v>
      </c>
      <c r="P25753" s="26">
        <v>2.3999999999999998E-3</v>
      </c>
      <c r="Q25753" s="26">
        <v>6.9999999999999999E-4</v>
      </c>
      <c r="R25753" s="26">
        <v>1.5100000000000001E-2</v>
      </c>
      <c r="S25753" s="26">
        <v>1.5100000000000001E-2</v>
      </c>
      <c r="T25753" s="26">
        <v>2.8500000000000001E-2</v>
      </c>
      <c r="U25753" s="26">
        <v>1.5100000000000001E-2</v>
      </c>
      <c r="X25753" s="26">
        <v>3.0999999999999999E-3</v>
      </c>
      <c r="Y25753">
        <v>250</v>
      </c>
    </row>
    <row r="25754" spans="1:25" x14ac:dyDescent="0.35">
      <c r="A25754" t="s">
        <v>230</v>
      </c>
      <c r="B25754" t="s">
        <v>256</v>
      </c>
      <c r="C25754" s="26">
        <v>0.52159999999999995</v>
      </c>
      <c r="D25754" s="26">
        <v>0.4032</v>
      </c>
      <c r="E25754" s="26">
        <v>0.31780000000000003</v>
      </c>
      <c r="F25754" s="26">
        <v>7.0800000000000002E-2</v>
      </c>
      <c r="G25754" s="26">
        <v>0.14119999999999999</v>
      </c>
      <c r="H25754" s="26">
        <v>0.1202</v>
      </c>
      <c r="I25754" s="26">
        <v>5.8999999999999999E-3</v>
      </c>
      <c r="J25754" s="26">
        <v>0.1</v>
      </c>
      <c r="K25754" s="26">
        <v>4.5199999999999997E-2</v>
      </c>
      <c r="L25754" s="26">
        <v>8.3799999999999999E-2</v>
      </c>
      <c r="M25754" s="26">
        <v>8.5000000000000006E-3</v>
      </c>
      <c r="N25754" s="26">
        <v>8.3699999999999997E-2</v>
      </c>
      <c r="O25754" s="26">
        <v>4.0599999999999997E-2</v>
      </c>
      <c r="P25754" s="26">
        <v>0.1409</v>
      </c>
      <c r="Q25754" s="26">
        <v>1.2699999999999999E-2</v>
      </c>
      <c r="R25754" s="26">
        <v>6.4999999999999997E-3</v>
      </c>
      <c r="S25754" s="26">
        <v>6.4000000000000003E-3</v>
      </c>
      <c r="T25754" s="26">
        <v>2.58E-2</v>
      </c>
      <c r="X25754" s="26">
        <v>6.4000000000000003E-3</v>
      </c>
      <c r="Y25754">
        <v>82</v>
      </c>
    </row>
    <row r="25755" spans="1:25" x14ac:dyDescent="0.35">
      <c r="A25755" s="27" t="s">
        <v>230</v>
      </c>
      <c r="B25755" s="27" t="s">
        <v>258</v>
      </c>
      <c r="C25755" s="29"/>
      <c r="D25755" s="29"/>
      <c r="E25755" s="29"/>
      <c r="F25755" s="29"/>
      <c r="G25755" s="29"/>
      <c r="H25755" s="29"/>
      <c r="I25755" s="28">
        <v>1</v>
      </c>
      <c r="J25755" s="29"/>
      <c r="K25755" s="29"/>
      <c r="L25755" s="29"/>
      <c r="M25755" s="29"/>
      <c r="N25755" s="29"/>
      <c r="O25755" s="29"/>
      <c r="P25755" s="29"/>
      <c r="Q25755" s="29"/>
      <c r="R25755" s="29"/>
      <c r="S25755" s="29"/>
      <c r="T25755" s="29"/>
      <c r="U25755" s="29"/>
      <c r="V25755" s="29"/>
      <c r="W25755" s="29"/>
      <c r="X25755" s="29"/>
      <c r="Y25755" s="29" t="s">
        <v>331</v>
      </c>
    </row>
    <row r="25756" spans="1:25" x14ac:dyDescent="0.35">
      <c r="A25756" s="27" t="s">
        <v>230</v>
      </c>
      <c r="B25756" s="27" t="s">
        <v>257</v>
      </c>
      <c r="C25756" s="28">
        <v>0.9405</v>
      </c>
      <c r="D25756" s="28">
        <v>0.33839999999999998</v>
      </c>
      <c r="E25756" s="28">
        <v>0.33179999999999998</v>
      </c>
      <c r="F25756" s="29"/>
      <c r="G25756" s="28">
        <v>4.5400000000000003E-2</v>
      </c>
      <c r="H25756" s="28">
        <v>0.1452</v>
      </c>
      <c r="I25756" s="28">
        <v>0.23899999999999999</v>
      </c>
      <c r="J25756" s="28">
        <v>0.25869999999999999</v>
      </c>
      <c r="K25756" s="29"/>
      <c r="L25756" s="28">
        <v>0.13919999999999999</v>
      </c>
      <c r="M25756" s="28">
        <v>6.1000000000000004E-3</v>
      </c>
      <c r="N25756" s="29"/>
      <c r="O25756" s="29"/>
      <c r="P25756" s="28">
        <v>0.13919999999999999</v>
      </c>
      <c r="Q25756" s="29"/>
      <c r="R25756" s="29"/>
      <c r="S25756" s="29"/>
      <c r="T25756" s="28">
        <v>1.9699999999999999E-2</v>
      </c>
      <c r="U25756" s="29"/>
      <c r="V25756" s="29"/>
      <c r="W25756" s="29"/>
      <c r="X25756" s="29"/>
      <c r="Y25756" s="29" t="s">
        <v>328</v>
      </c>
    </row>
    <row r="25757" spans="1:25" x14ac:dyDescent="0.35">
      <c r="A25757" t="s">
        <v>231</v>
      </c>
      <c r="B25757" t="s">
        <v>255</v>
      </c>
      <c r="C25757" s="26">
        <v>0.55359999999999998</v>
      </c>
      <c r="D25757" s="26">
        <v>0.28570000000000001</v>
      </c>
      <c r="E25757" s="26">
        <v>0.19639999999999999</v>
      </c>
      <c r="F25757" s="26">
        <v>0.19639999999999999</v>
      </c>
      <c r="G25757" s="26">
        <v>0.125</v>
      </c>
      <c r="H25757" s="26">
        <v>0.1071</v>
      </c>
      <c r="I25757" s="26">
        <v>5.3600000000000002E-2</v>
      </c>
      <c r="J25757" s="26">
        <v>5.3600000000000002E-2</v>
      </c>
      <c r="K25757" s="26">
        <v>0.1071</v>
      </c>
      <c r="L25757" s="26">
        <v>1.7899999999999999E-2</v>
      </c>
      <c r="M25757" s="26">
        <v>1.7899999999999999E-2</v>
      </c>
      <c r="N25757" s="26">
        <v>1.7899999999999999E-2</v>
      </c>
      <c r="O25757" s="26">
        <v>1.7899999999999999E-2</v>
      </c>
      <c r="Q25757" s="26">
        <v>5.3600000000000002E-2</v>
      </c>
      <c r="R25757" s="26">
        <v>1.7899999999999999E-2</v>
      </c>
      <c r="V25757" s="26">
        <v>1.7899999999999999E-2</v>
      </c>
      <c r="W25757" s="26">
        <v>1.7899999999999999E-2</v>
      </c>
      <c r="Y25757">
        <v>56</v>
      </c>
    </row>
    <row r="25758" spans="1:25" x14ac:dyDescent="0.35">
      <c r="A25758" s="27" t="s">
        <v>231</v>
      </c>
      <c r="B25758" s="27" t="s">
        <v>256</v>
      </c>
      <c r="C25758" s="28">
        <v>0.5</v>
      </c>
      <c r="D25758" s="28">
        <v>0.375</v>
      </c>
      <c r="E25758" s="28">
        <v>0.25</v>
      </c>
      <c r="F25758" s="28">
        <v>0.125</v>
      </c>
      <c r="G25758" s="29"/>
      <c r="H25758" s="28">
        <v>0.125</v>
      </c>
      <c r="I25758" s="28">
        <v>6.25E-2</v>
      </c>
      <c r="J25758" s="28">
        <v>6.25E-2</v>
      </c>
      <c r="K25758" s="29"/>
      <c r="L25758" s="28">
        <v>6.25E-2</v>
      </c>
      <c r="M25758" s="28">
        <v>0.125</v>
      </c>
      <c r="N25758" s="28">
        <v>6.25E-2</v>
      </c>
      <c r="O25758" s="29"/>
      <c r="P25758" s="28">
        <v>6.25E-2</v>
      </c>
      <c r="Q25758" s="29"/>
      <c r="R25758" s="29"/>
      <c r="S25758" s="29"/>
      <c r="T25758" s="29"/>
      <c r="U25758" s="29"/>
      <c r="V25758" s="29"/>
      <c r="W25758" s="29"/>
      <c r="X25758" s="29"/>
      <c r="Y25758" s="29" t="s">
        <v>348</v>
      </c>
    </row>
    <row r="25759" spans="1:25" x14ac:dyDescent="0.35">
      <c r="A25759" s="27" t="s">
        <v>231</v>
      </c>
      <c r="B25759" s="27" t="s">
        <v>257</v>
      </c>
      <c r="C25759" s="28">
        <v>1</v>
      </c>
      <c r="D25759" s="29"/>
      <c r="E25759" s="29"/>
      <c r="F25759" s="29"/>
      <c r="G25759" s="29"/>
      <c r="H25759" s="29"/>
      <c r="I25759" s="29"/>
      <c r="J25759" s="29"/>
      <c r="K25759" s="29"/>
      <c r="L25759" s="29"/>
      <c r="M25759" s="29"/>
      <c r="N25759" s="29"/>
      <c r="O25759" s="29"/>
      <c r="P25759" s="29"/>
      <c r="Q25759" s="29"/>
      <c r="R25759" s="29"/>
      <c r="S25759" s="29"/>
      <c r="T25759" s="29"/>
      <c r="U25759" s="29"/>
      <c r="V25759" s="29"/>
      <c r="W25759" s="29"/>
      <c r="X25759" s="29"/>
      <c r="Y25759" s="29" t="s">
        <v>314</v>
      </c>
    </row>
    <row r="25760" spans="1:25" x14ac:dyDescent="0.35">
      <c r="A25760" t="s">
        <v>232</v>
      </c>
      <c r="B25760" t="s">
        <v>232</v>
      </c>
      <c r="C25760" s="26">
        <v>0.56540000000000001</v>
      </c>
      <c r="D25760" s="26">
        <v>0.25569999999999998</v>
      </c>
      <c r="E25760" s="26">
        <v>0.24279999999999999</v>
      </c>
      <c r="F25760" s="26">
        <v>0.16619999999999999</v>
      </c>
      <c r="G25760" s="26">
        <v>7.5700000000000003E-2</v>
      </c>
      <c r="H25760" s="26">
        <v>6.7299999999999999E-2</v>
      </c>
      <c r="I25760" s="26">
        <v>5.8099999999999999E-2</v>
      </c>
      <c r="J25760" s="26">
        <v>5.79E-2</v>
      </c>
      <c r="K25760" s="26">
        <v>4.7600000000000003E-2</v>
      </c>
      <c r="L25760" s="26">
        <v>4.0399999999999998E-2</v>
      </c>
      <c r="M25760" s="26">
        <v>3.73E-2</v>
      </c>
      <c r="N25760" s="26">
        <v>3.3700000000000001E-2</v>
      </c>
      <c r="O25760" s="26">
        <v>2.92E-2</v>
      </c>
      <c r="P25760" s="26">
        <v>2.6599999999999999E-2</v>
      </c>
      <c r="Q25760" s="26">
        <v>2.06E-2</v>
      </c>
      <c r="R25760" s="26">
        <v>1.9199999999999998E-2</v>
      </c>
      <c r="S25760" s="26">
        <v>1.6299999999999999E-2</v>
      </c>
      <c r="T25760" s="26">
        <v>1.47E-2</v>
      </c>
      <c r="U25760" s="26">
        <v>8.0000000000000002E-3</v>
      </c>
      <c r="V25760" s="26">
        <v>7.9000000000000008E-3</v>
      </c>
      <c r="W25760" s="26">
        <v>7.3000000000000001E-3</v>
      </c>
      <c r="X25760" s="26">
        <v>5.4999999999999997E-3</v>
      </c>
      <c r="Y25760">
        <v>1537</v>
      </c>
    </row>
    <row r="25762" spans="1:25" x14ac:dyDescent="0.35">
      <c r="A25762" s="1" t="s">
        <v>2347</v>
      </c>
    </row>
    <row r="25763" spans="1:25" x14ac:dyDescent="0.35">
      <c r="A25763" t="s">
        <v>219</v>
      </c>
      <c r="B25763" t="s">
        <v>305</v>
      </c>
      <c r="C25763" t="s">
        <v>2315</v>
      </c>
      <c r="D25763" t="s">
        <v>2316</v>
      </c>
      <c r="E25763" t="s">
        <v>2317</v>
      </c>
      <c r="F25763" t="s">
        <v>2318</v>
      </c>
      <c r="G25763" t="s">
        <v>2319</v>
      </c>
      <c r="H25763" t="s">
        <v>2320</v>
      </c>
      <c r="I25763" t="s">
        <v>2321</v>
      </c>
      <c r="J25763" t="s">
        <v>2322</v>
      </c>
      <c r="K25763" t="s">
        <v>2323</v>
      </c>
      <c r="L25763" t="s">
        <v>2324</v>
      </c>
      <c r="M25763" t="s">
        <v>2325</v>
      </c>
      <c r="N25763" t="s">
        <v>2326</v>
      </c>
      <c r="O25763" t="s">
        <v>2327</v>
      </c>
      <c r="P25763" t="s">
        <v>2328</v>
      </c>
      <c r="Q25763" t="s">
        <v>2329</v>
      </c>
      <c r="R25763" t="s">
        <v>2330</v>
      </c>
      <c r="S25763" t="s">
        <v>2331</v>
      </c>
      <c r="T25763" t="s">
        <v>2332</v>
      </c>
      <c r="U25763" t="s">
        <v>326</v>
      </c>
      <c r="V25763" t="s">
        <v>2333</v>
      </c>
      <c r="W25763" t="s">
        <v>2334</v>
      </c>
      <c r="X25763" t="s">
        <v>2335</v>
      </c>
      <c r="Y25763" t="s">
        <v>226</v>
      </c>
    </row>
    <row r="25764" spans="1:25" x14ac:dyDescent="0.35">
      <c r="A25764" s="27" t="s">
        <v>227</v>
      </c>
      <c r="B25764" s="27" t="s">
        <v>1341</v>
      </c>
      <c r="C25764" s="28">
        <v>0.56520000000000004</v>
      </c>
      <c r="D25764" s="28">
        <v>0.26090000000000002</v>
      </c>
      <c r="E25764" s="28">
        <v>0.21740000000000001</v>
      </c>
      <c r="F25764" s="28">
        <v>0.13039999999999999</v>
      </c>
      <c r="G25764" s="28">
        <v>8.6999999999999994E-2</v>
      </c>
      <c r="H25764" s="29"/>
      <c r="I25764" s="28">
        <v>4.3499999999999997E-2</v>
      </c>
      <c r="J25764" s="29"/>
      <c r="K25764" s="29"/>
      <c r="L25764" s="29"/>
      <c r="M25764" s="29"/>
      <c r="N25764" s="28">
        <v>0.13039999999999999</v>
      </c>
      <c r="O25764" s="28">
        <v>8.6999999999999994E-2</v>
      </c>
      <c r="P25764" s="29"/>
      <c r="Q25764" s="29"/>
      <c r="R25764" s="28">
        <v>4.3499999999999997E-2</v>
      </c>
      <c r="S25764" s="29"/>
      <c r="T25764" s="29"/>
      <c r="U25764" s="29"/>
      <c r="V25764" s="29"/>
      <c r="W25764" s="29"/>
      <c r="X25764" s="28">
        <v>4.3499999999999997E-2</v>
      </c>
      <c r="Y25764" s="29" t="s">
        <v>328</v>
      </c>
    </row>
    <row r="25765" spans="1:25" x14ac:dyDescent="0.35">
      <c r="A25765" s="27" t="s">
        <v>227</v>
      </c>
      <c r="B25765" s="27" t="s">
        <v>1342</v>
      </c>
      <c r="C25765" s="28">
        <v>1</v>
      </c>
      <c r="D25765" s="28">
        <v>1</v>
      </c>
      <c r="E25765" s="29"/>
      <c r="F25765" s="29"/>
      <c r="G25765" s="29"/>
      <c r="H25765" s="29"/>
      <c r="I25765" s="29"/>
      <c r="J25765" s="29"/>
      <c r="K25765" s="29"/>
      <c r="L25765" s="29"/>
      <c r="M25765" s="28">
        <v>1</v>
      </c>
      <c r="N25765" s="29"/>
      <c r="O25765" s="29"/>
      <c r="P25765" s="29"/>
      <c r="Q25765" s="29"/>
      <c r="R25765" s="29"/>
      <c r="S25765" s="29"/>
      <c r="T25765" s="29"/>
      <c r="U25765" s="29"/>
      <c r="V25765" s="29"/>
      <c r="W25765" s="29"/>
      <c r="X25765" s="29"/>
      <c r="Y25765" s="29" t="s">
        <v>331</v>
      </c>
    </row>
    <row r="25766" spans="1:25" x14ac:dyDescent="0.35">
      <c r="A25766" t="s">
        <v>227</v>
      </c>
      <c r="B25766" t="s">
        <v>1343</v>
      </c>
      <c r="C25766" s="26">
        <v>0.51719999999999999</v>
      </c>
      <c r="D25766" s="26">
        <v>0.22409999999999999</v>
      </c>
      <c r="E25766" s="26">
        <v>0.2414</v>
      </c>
      <c r="F25766" s="26">
        <v>0.2069</v>
      </c>
      <c r="G25766" s="26">
        <v>6.9000000000000006E-2</v>
      </c>
      <c r="H25766" s="26">
        <v>5.1700000000000003E-2</v>
      </c>
      <c r="I25766" s="26">
        <v>5.1700000000000003E-2</v>
      </c>
      <c r="J25766" s="26">
        <v>0.10340000000000001</v>
      </c>
      <c r="K25766" s="26">
        <v>1.72E-2</v>
      </c>
      <c r="L25766" s="26">
        <v>3.4500000000000003E-2</v>
      </c>
      <c r="M25766" s="26">
        <v>5.1700000000000003E-2</v>
      </c>
      <c r="N25766" s="26">
        <v>5.1700000000000003E-2</v>
      </c>
      <c r="O25766" s="26">
        <v>1.72E-2</v>
      </c>
      <c r="Q25766" s="26">
        <v>1.72E-2</v>
      </c>
      <c r="R25766" s="26">
        <v>5.1700000000000003E-2</v>
      </c>
      <c r="S25766" s="26">
        <v>1.72E-2</v>
      </c>
      <c r="T25766" s="26">
        <v>3.4500000000000003E-2</v>
      </c>
      <c r="U25766" s="26">
        <v>1.72E-2</v>
      </c>
      <c r="V25766" s="26">
        <v>1.72E-2</v>
      </c>
      <c r="Y25766">
        <v>58</v>
      </c>
    </row>
    <row r="25767" spans="1:25" x14ac:dyDescent="0.35">
      <c r="A25767" t="s">
        <v>228</v>
      </c>
      <c r="B25767" t="s">
        <v>1341</v>
      </c>
      <c r="C25767" s="26">
        <v>0.53979999999999995</v>
      </c>
      <c r="D25767" s="26">
        <v>0.21129999999999999</v>
      </c>
      <c r="E25767" s="26">
        <v>0.156</v>
      </c>
      <c r="F25767" s="26">
        <v>0.22539999999999999</v>
      </c>
      <c r="G25767" s="26">
        <v>0.1043</v>
      </c>
      <c r="H25767" s="26">
        <v>5.3100000000000001E-2</v>
      </c>
      <c r="I25767" s="26">
        <v>4.6300000000000001E-2</v>
      </c>
      <c r="J25767" s="26">
        <v>2.9499999999999998E-2</v>
      </c>
      <c r="K25767" s="26">
        <v>4.5100000000000001E-2</v>
      </c>
      <c r="L25767" s="26">
        <v>3.3599999999999998E-2</v>
      </c>
      <c r="M25767" s="26">
        <v>4.4600000000000001E-2</v>
      </c>
      <c r="N25767" s="26">
        <v>1.01E-2</v>
      </c>
      <c r="O25767" s="26">
        <v>3.1399999999999997E-2</v>
      </c>
      <c r="P25767" s="26">
        <v>5.57E-2</v>
      </c>
      <c r="Q25767" s="26">
        <v>2.98E-2</v>
      </c>
      <c r="S25767" s="26">
        <v>8.0999999999999996E-3</v>
      </c>
      <c r="T25767" s="26">
        <v>2.98E-2</v>
      </c>
      <c r="V25767" s="26">
        <v>7.6E-3</v>
      </c>
      <c r="W25767" s="26">
        <v>5.7999999999999996E-3</v>
      </c>
      <c r="X25767" s="26">
        <v>7.4999999999999997E-3</v>
      </c>
      <c r="Y25767">
        <v>173</v>
      </c>
    </row>
    <row r="25768" spans="1:25" x14ac:dyDescent="0.35">
      <c r="A25768" t="s">
        <v>228</v>
      </c>
      <c r="B25768" t="s">
        <v>1343</v>
      </c>
      <c r="C25768" s="26">
        <v>0.65510000000000002</v>
      </c>
      <c r="D25768" s="26">
        <v>0.2651</v>
      </c>
      <c r="E25768" s="26">
        <v>0.28789999999999999</v>
      </c>
      <c r="F25768" s="26">
        <v>6.5299999999999997E-2</v>
      </c>
      <c r="G25768" s="26">
        <v>6.5100000000000005E-2</v>
      </c>
      <c r="H25768" s="26">
        <v>6.0199999999999997E-2</v>
      </c>
      <c r="I25768" s="26">
        <v>8.0600000000000005E-2</v>
      </c>
      <c r="J25768" s="26">
        <v>7.17E-2</v>
      </c>
      <c r="K25768" s="26">
        <v>4.2299999999999997E-2</v>
      </c>
      <c r="L25768" s="26">
        <v>7.5899999999999995E-2</v>
      </c>
      <c r="M25768" s="26">
        <v>3.09E-2</v>
      </c>
      <c r="N25768" s="26">
        <v>1.2800000000000001E-2</v>
      </c>
      <c r="O25768" s="26">
        <v>2.3699999999999999E-2</v>
      </c>
      <c r="P25768" s="26">
        <v>5.7599999999999998E-2</v>
      </c>
      <c r="Q25768" s="26">
        <v>1.6899999999999998E-2</v>
      </c>
      <c r="R25768" s="26">
        <v>3.2599999999999997E-2</v>
      </c>
      <c r="S25768" s="26">
        <v>2.8299999999999999E-2</v>
      </c>
      <c r="T25768" s="26">
        <v>3.9600000000000003E-2</v>
      </c>
      <c r="U25768" s="26">
        <v>1.35E-2</v>
      </c>
      <c r="V25768" s="26">
        <v>2.0999999999999999E-3</v>
      </c>
      <c r="W25768" s="26">
        <v>3.2000000000000002E-3</v>
      </c>
      <c r="X25768" s="26">
        <v>1.7399999999999999E-2</v>
      </c>
      <c r="Y25768">
        <v>447</v>
      </c>
    </row>
    <row r="25769" spans="1:25" x14ac:dyDescent="0.35">
      <c r="A25769" t="s">
        <v>229</v>
      </c>
      <c r="B25769" t="s">
        <v>1341</v>
      </c>
      <c r="C25769" s="26">
        <v>0.48139999999999999</v>
      </c>
      <c r="D25769" s="26">
        <v>0.14369999999999999</v>
      </c>
      <c r="E25769" s="26">
        <v>0.27</v>
      </c>
      <c r="F25769" s="26">
        <v>0.26779999999999998</v>
      </c>
      <c r="G25769" s="26">
        <v>9.2600000000000002E-2</v>
      </c>
      <c r="H25769" s="26">
        <v>1.24E-2</v>
      </c>
      <c r="I25769" s="26">
        <v>3.5000000000000001E-3</v>
      </c>
      <c r="K25769" s="26">
        <v>2.3E-3</v>
      </c>
      <c r="L25769" s="26">
        <v>5.3100000000000001E-2</v>
      </c>
      <c r="M25769" s="26">
        <v>4.4699999999999997E-2</v>
      </c>
      <c r="N25769" s="26">
        <v>5.67E-2</v>
      </c>
      <c r="O25769" s="26">
        <v>4.36E-2</v>
      </c>
      <c r="P25769" s="26">
        <v>2.12E-2</v>
      </c>
      <c r="Q25769" s="26">
        <v>1.9599999999999999E-2</v>
      </c>
      <c r="S25769" s="26">
        <v>4.8399999999999999E-2</v>
      </c>
      <c r="V25769" s="26">
        <v>6.9999999999999999E-4</v>
      </c>
      <c r="Y25769">
        <v>110</v>
      </c>
    </row>
    <row r="25770" spans="1:25" x14ac:dyDescent="0.35">
      <c r="A25770" t="s">
        <v>229</v>
      </c>
      <c r="B25770" t="s">
        <v>1343</v>
      </c>
      <c r="C25770" s="26">
        <v>0.54320000000000002</v>
      </c>
      <c r="D25770" s="26">
        <v>0.21970000000000001</v>
      </c>
      <c r="E25770" s="26">
        <v>0.25829999999999997</v>
      </c>
      <c r="F25770" s="26">
        <v>0.1963</v>
      </c>
      <c r="G25770" s="26">
        <v>4.2299999999999997E-2</v>
      </c>
      <c r="H25770" s="26">
        <v>2.0500000000000001E-2</v>
      </c>
      <c r="I25770" s="26">
        <v>5.96E-2</v>
      </c>
      <c r="J25770" s="26">
        <v>6.3299999999999995E-2</v>
      </c>
      <c r="K25770" s="26">
        <v>5.8299999999999998E-2</v>
      </c>
      <c r="L25770" s="26">
        <v>2.9899999999999999E-2</v>
      </c>
      <c r="M25770" s="26">
        <v>3.04E-2</v>
      </c>
      <c r="N25770" s="26">
        <v>1.7899999999999999E-2</v>
      </c>
      <c r="O25770" s="26">
        <v>3.6299999999999999E-2</v>
      </c>
      <c r="P25770" s="26">
        <v>2.2100000000000002E-2</v>
      </c>
      <c r="Q25770" s="26">
        <v>1.1599999999999999E-2</v>
      </c>
      <c r="R25770" s="26">
        <v>9.2999999999999992E-3</v>
      </c>
      <c r="S25770" s="26">
        <v>2.2800000000000001E-2</v>
      </c>
      <c r="U25770" s="26">
        <v>1.5599999999999999E-2</v>
      </c>
      <c r="V25770" s="26">
        <v>9.2999999999999992E-3</v>
      </c>
      <c r="W25770" s="26">
        <v>1.66E-2</v>
      </c>
      <c r="Y25770">
        <v>295</v>
      </c>
    </row>
    <row r="25771" spans="1:25" x14ac:dyDescent="0.35">
      <c r="A25771" t="s">
        <v>230</v>
      </c>
      <c r="B25771" t="s">
        <v>1341</v>
      </c>
      <c r="C25771" s="26">
        <v>0.49340000000000001</v>
      </c>
      <c r="D25771" s="26">
        <v>0.2535</v>
      </c>
      <c r="E25771" s="26">
        <v>0.1734</v>
      </c>
      <c r="F25771" s="26">
        <v>0.2394</v>
      </c>
      <c r="G25771" s="26">
        <v>6.9599999999999995E-2</v>
      </c>
      <c r="H25771" s="26">
        <v>0.12139999999999999</v>
      </c>
      <c r="I25771" s="26">
        <v>8.2000000000000007E-3</v>
      </c>
      <c r="J25771" s="26">
        <v>4.7100000000000003E-2</v>
      </c>
      <c r="K25771" s="26">
        <v>7.6300000000000007E-2</v>
      </c>
      <c r="L25771" s="26">
        <v>3.9100000000000003E-2</v>
      </c>
      <c r="M25771" s="26">
        <v>4.48E-2</v>
      </c>
      <c r="O25771" s="26">
        <v>9.4000000000000004E-3</v>
      </c>
      <c r="P25771" s="26">
        <v>6.1000000000000004E-3</v>
      </c>
      <c r="Q25771" s="26">
        <v>6.1000000000000004E-3</v>
      </c>
      <c r="S25771" s="26">
        <v>1.9E-3</v>
      </c>
      <c r="T25771" s="26">
        <v>1.8700000000000001E-2</v>
      </c>
      <c r="X25771" s="26">
        <v>8.0000000000000002E-3</v>
      </c>
      <c r="Y25771">
        <v>92</v>
      </c>
    </row>
    <row r="25772" spans="1:25" x14ac:dyDescent="0.35">
      <c r="A25772" t="s">
        <v>230</v>
      </c>
      <c r="B25772" t="s">
        <v>1343</v>
      </c>
      <c r="C25772" s="26">
        <v>0.6633</v>
      </c>
      <c r="D25772" s="26">
        <v>0.35930000000000001</v>
      </c>
      <c r="E25772" s="26">
        <v>0.32390000000000002</v>
      </c>
      <c r="F25772" s="26">
        <v>5.8999999999999997E-2</v>
      </c>
      <c r="G25772" s="26">
        <v>8.4599999999999995E-2</v>
      </c>
      <c r="H25772" s="26">
        <v>0.16750000000000001</v>
      </c>
      <c r="I25772" s="26">
        <v>0.1229</v>
      </c>
      <c r="J25772" s="26">
        <v>8.3699999999999997E-2</v>
      </c>
      <c r="K25772" s="26">
        <v>3.5099999999999999E-2</v>
      </c>
      <c r="L25772" s="26">
        <v>6.1199999999999997E-2</v>
      </c>
      <c r="M25772" s="26">
        <v>1.77E-2</v>
      </c>
      <c r="N25772" s="26">
        <v>5.91E-2</v>
      </c>
      <c r="O25772" s="26">
        <v>4.87E-2</v>
      </c>
      <c r="P25772" s="26">
        <v>6.25E-2</v>
      </c>
      <c r="Q25772" s="26">
        <v>2.8E-3</v>
      </c>
      <c r="R25772" s="26">
        <v>1.5800000000000002E-2</v>
      </c>
      <c r="S25772" s="26">
        <v>1.5100000000000001E-2</v>
      </c>
      <c r="T25772" s="26">
        <v>0.03</v>
      </c>
      <c r="U25772" s="26">
        <v>1.3599999999999999E-2</v>
      </c>
      <c r="X25772" s="26">
        <v>2.0999999999999999E-3</v>
      </c>
      <c r="Y25772">
        <v>264</v>
      </c>
    </row>
    <row r="25773" spans="1:25" x14ac:dyDescent="0.35">
      <c r="A25773" s="27" t="s">
        <v>231</v>
      </c>
      <c r="B25773" s="27" t="s">
        <v>1341</v>
      </c>
      <c r="C25773" s="28">
        <v>0.47620000000000001</v>
      </c>
      <c r="D25773" s="28">
        <v>0.1905</v>
      </c>
      <c r="E25773" s="28">
        <v>9.5200000000000007E-2</v>
      </c>
      <c r="F25773" s="28">
        <v>0.1905</v>
      </c>
      <c r="G25773" s="28">
        <v>0.1905</v>
      </c>
      <c r="H25773" s="28">
        <v>9.5200000000000007E-2</v>
      </c>
      <c r="I25773" s="28">
        <v>4.7600000000000003E-2</v>
      </c>
      <c r="J25773" s="28">
        <v>9.5200000000000007E-2</v>
      </c>
      <c r="K25773" s="28">
        <v>4.7600000000000003E-2</v>
      </c>
      <c r="L25773" s="29"/>
      <c r="M25773" s="29"/>
      <c r="N25773" s="28">
        <v>9.5200000000000007E-2</v>
      </c>
      <c r="O25773" s="29"/>
      <c r="P25773" s="29"/>
      <c r="Q25773" s="28">
        <v>4.7600000000000003E-2</v>
      </c>
      <c r="R25773" s="29"/>
      <c r="S25773" s="29"/>
      <c r="T25773" s="29"/>
      <c r="U25773" s="29"/>
      <c r="V25773" s="28">
        <v>4.7600000000000003E-2</v>
      </c>
      <c r="W25773" s="28">
        <v>4.7600000000000003E-2</v>
      </c>
      <c r="X25773" s="29"/>
      <c r="Y25773" s="29" t="s">
        <v>351</v>
      </c>
    </row>
    <row r="25774" spans="1:25" x14ac:dyDescent="0.35">
      <c r="A25774" t="s">
        <v>231</v>
      </c>
      <c r="B25774" t="s">
        <v>1343</v>
      </c>
      <c r="C25774" s="26">
        <v>0.58489999999999998</v>
      </c>
      <c r="D25774" s="26">
        <v>0.33960000000000001</v>
      </c>
      <c r="E25774" s="26">
        <v>0.24529999999999999</v>
      </c>
      <c r="F25774" s="26">
        <v>0.16980000000000001</v>
      </c>
      <c r="G25774" s="26">
        <v>5.6599999999999998E-2</v>
      </c>
      <c r="H25774" s="26">
        <v>0.1132</v>
      </c>
      <c r="I25774" s="26">
        <v>5.6599999999999998E-2</v>
      </c>
      <c r="J25774" s="26">
        <v>3.7699999999999997E-2</v>
      </c>
      <c r="K25774" s="26">
        <v>9.4299999999999995E-2</v>
      </c>
      <c r="L25774" s="26">
        <v>3.7699999999999997E-2</v>
      </c>
      <c r="M25774" s="26">
        <v>5.6599999999999998E-2</v>
      </c>
      <c r="O25774" s="26">
        <v>1.89E-2</v>
      </c>
      <c r="P25774" s="26">
        <v>1.89E-2</v>
      </c>
      <c r="Q25774" s="26">
        <v>3.7699999999999997E-2</v>
      </c>
      <c r="R25774" s="26">
        <v>1.89E-2</v>
      </c>
      <c r="Y25774">
        <v>53</v>
      </c>
    </row>
    <row r="25775" spans="1:25" x14ac:dyDescent="0.35">
      <c r="A25775" t="s">
        <v>232</v>
      </c>
      <c r="B25775" t="s">
        <v>232</v>
      </c>
      <c r="C25775" s="26">
        <v>0.56540000000000001</v>
      </c>
      <c r="D25775" s="26">
        <v>0.25569999999999998</v>
      </c>
      <c r="E25775" s="26">
        <v>0.24279999999999999</v>
      </c>
      <c r="F25775" s="26">
        <v>0.16619999999999999</v>
      </c>
      <c r="G25775" s="26">
        <v>7.5700000000000003E-2</v>
      </c>
      <c r="H25775" s="26">
        <v>6.7299999999999999E-2</v>
      </c>
      <c r="I25775" s="26">
        <v>5.8099999999999999E-2</v>
      </c>
      <c r="J25775" s="26">
        <v>5.79E-2</v>
      </c>
      <c r="K25775" s="26">
        <v>4.7600000000000003E-2</v>
      </c>
      <c r="L25775" s="26">
        <v>4.0399999999999998E-2</v>
      </c>
      <c r="M25775" s="26">
        <v>3.73E-2</v>
      </c>
      <c r="N25775" s="26">
        <v>3.3700000000000001E-2</v>
      </c>
      <c r="O25775" s="26">
        <v>2.92E-2</v>
      </c>
      <c r="P25775" s="26">
        <v>2.6599999999999999E-2</v>
      </c>
      <c r="Q25775" s="26">
        <v>2.06E-2</v>
      </c>
      <c r="R25775" s="26">
        <v>1.9199999999999998E-2</v>
      </c>
      <c r="S25775" s="26">
        <v>1.6299999999999999E-2</v>
      </c>
      <c r="T25775" s="26">
        <v>1.47E-2</v>
      </c>
      <c r="U25775" s="26">
        <v>8.0000000000000002E-3</v>
      </c>
      <c r="V25775" s="26">
        <v>7.9000000000000008E-3</v>
      </c>
      <c r="W25775" s="26">
        <v>7.3000000000000001E-3</v>
      </c>
      <c r="X25775" s="26">
        <v>5.4999999999999997E-3</v>
      </c>
      <c r="Y25775">
        <v>1537</v>
      </c>
    </row>
    <row r="25777" spans="1:25" x14ac:dyDescent="0.35">
      <c r="A25777" s="1" t="s">
        <v>2348</v>
      </c>
    </row>
    <row r="25778" spans="1:25" x14ac:dyDescent="0.35">
      <c r="A25778" t="s">
        <v>219</v>
      </c>
      <c r="B25778" t="s">
        <v>305</v>
      </c>
      <c r="C25778" t="s">
        <v>2315</v>
      </c>
      <c r="D25778" t="s">
        <v>2316</v>
      </c>
      <c r="E25778" t="s">
        <v>2317</v>
      </c>
      <c r="F25778" t="s">
        <v>2318</v>
      </c>
      <c r="G25778" t="s">
        <v>2319</v>
      </c>
      <c r="H25778" t="s">
        <v>2320</v>
      </c>
      <c r="I25778" t="s">
        <v>2321</v>
      </c>
      <c r="J25778" t="s">
        <v>2322</v>
      </c>
      <c r="K25778" t="s">
        <v>2323</v>
      </c>
      <c r="L25778" t="s">
        <v>2324</v>
      </c>
      <c r="M25778" t="s">
        <v>2325</v>
      </c>
      <c r="N25778" t="s">
        <v>2326</v>
      </c>
      <c r="O25778" t="s">
        <v>2327</v>
      </c>
      <c r="P25778" t="s">
        <v>2328</v>
      </c>
      <c r="Q25778" t="s">
        <v>2329</v>
      </c>
      <c r="R25778" t="s">
        <v>2330</v>
      </c>
      <c r="S25778" t="s">
        <v>2331</v>
      </c>
      <c r="T25778" t="s">
        <v>2332</v>
      </c>
      <c r="U25778" t="s">
        <v>326</v>
      </c>
      <c r="V25778" t="s">
        <v>2333</v>
      </c>
      <c r="W25778" t="s">
        <v>2334</v>
      </c>
      <c r="X25778" t="s">
        <v>2335</v>
      </c>
      <c r="Y25778" t="s">
        <v>226</v>
      </c>
    </row>
    <row r="25779" spans="1:25" x14ac:dyDescent="0.35">
      <c r="A25779" s="27" t="s">
        <v>227</v>
      </c>
      <c r="B25779" s="27" t="s">
        <v>1347</v>
      </c>
      <c r="C25779" s="28">
        <v>0.42859999999999998</v>
      </c>
      <c r="D25779" s="28">
        <v>0.21429999999999999</v>
      </c>
      <c r="E25779" s="28">
        <v>0.1429</v>
      </c>
      <c r="F25779" s="28">
        <v>0.21429999999999999</v>
      </c>
      <c r="G25779" s="28">
        <v>0.1429</v>
      </c>
      <c r="H25779" s="29"/>
      <c r="I25779" s="28">
        <v>7.1400000000000005E-2</v>
      </c>
      <c r="J25779" s="28">
        <v>0.1429</v>
      </c>
      <c r="K25779" s="29"/>
      <c r="L25779" s="28">
        <v>7.1400000000000005E-2</v>
      </c>
      <c r="M25779" s="28">
        <v>0.1429</v>
      </c>
      <c r="N25779" s="28">
        <v>0.1429</v>
      </c>
      <c r="O25779" s="29"/>
      <c r="P25779" s="29"/>
      <c r="Q25779" s="28">
        <v>7.1400000000000005E-2</v>
      </c>
      <c r="R25779" s="29"/>
      <c r="S25779" s="28">
        <v>7.1400000000000005E-2</v>
      </c>
      <c r="T25779" s="29"/>
      <c r="U25779" s="29"/>
      <c r="V25779" s="29"/>
      <c r="W25779" s="29"/>
      <c r="X25779" s="29"/>
      <c r="Y25779" s="29" t="s">
        <v>379</v>
      </c>
    </row>
    <row r="25780" spans="1:25" x14ac:dyDescent="0.35">
      <c r="A25780" t="s">
        <v>227</v>
      </c>
      <c r="B25780" t="s">
        <v>1348</v>
      </c>
      <c r="C25780" s="26">
        <v>0.59570000000000001</v>
      </c>
      <c r="D25780" s="26">
        <v>0.1915</v>
      </c>
      <c r="E25780" s="26">
        <v>0.27660000000000001</v>
      </c>
      <c r="F25780" s="26">
        <v>0.17019999999999999</v>
      </c>
      <c r="G25780" s="26">
        <v>8.5099999999999995E-2</v>
      </c>
      <c r="H25780" s="26">
        <v>2.1299999999999999E-2</v>
      </c>
      <c r="I25780" s="26">
        <v>4.2599999999999999E-2</v>
      </c>
      <c r="J25780" s="26">
        <v>4.2599999999999999E-2</v>
      </c>
      <c r="L25780" s="26">
        <v>2.1299999999999999E-2</v>
      </c>
      <c r="M25780" s="26">
        <v>4.2599999999999999E-2</v>
      </c>
      <c r="N25780" s="26">
        <v>8.5099999999999995E-2</v>
      </c>
      <c r="O25780" s="26">
        <v>2.1299999999999999E-2</v>
      </c>
      <c r="R25780" s="26">
        <v>4.2599999999999999E-2</v>
      </c>
      <c r="T25780" s="26">
        <v>2.1299999999999999E-2</v>
      </c>
      <c r="U25780" s="26">
        <v>2.1299999999999999E-2</v>
      </c>
      <c r="V25780" s="26">
        <v>2.1299999999999999E-2</v>
      </c>
      <c r="Y25780">
        <v>47</v>
      </c>
    </row>
    <row r="25781" spans="1:25" x14ac:dyDescent="0.35">
      <c r="A25781" s="27" t="s">
        <v>227</v>
      </c>
      <c r="B25781" s="27" t="s">
        <v>1346</v>
      </c>
      <c r="C25781" s="28">
        <v>0.47620000000000001</v>
      </c>
      <c r="D25781" s="28">
        <v>0.38100000000000001</v>
      </c>
      <c r="E25781" s="28">
        <v>0.1905</v>
      </c>
      <c r="F25781" s="28">
        <v>0.1905</v>
      </c>
      <c r="G25781" s="29"/>
      <c r="H25781" s="28">
        <v>9.5200000000000007E-2</v>
      </c>
      <c r="I25781" s="28">
        <v>4.7600000000000003E-2</v>
      </c>
      <c r="J25781" s="28">
        <v>9.5200000000000007E-2</v>
      </c>
      <c r="K25781" s="28">
        <v>4.7600000000000003E-2</v>
      </c>
      <c r="L25781" s="29"/>
      <c r="M25781" s="29"/>
      <c r="N25781" s="29"/>
      <c r="O25781" s="28">
        <v>9.5200000000000007E-2</v>
      </c>
      <c r="P25781" s="29"/>
      <c r="Q25781" s="29"/>
      <c r="R25781" s="28">
        <v>9.5200000000000007E-2</v>
      </c>
      <c r="S25781" s="29"/>
      <c r="T25781" s="28">
        <v>4.7600000000000003E-2</v>
      </c>
      <c r="U25781" s="29"/>
      <c r="V25781" s="29"/>
      <c r="W25781" s="29"/>
      <c r="X25781" s="28">
        <v>4.7600000000000003E-2</v>
      </c>
      <c r="Y25781" s="29" t="s">
        <v>351</v>
      </c>
    </row>
    <row r="25782" spans="1:25" x14ac:dyDescent="0.35">
      <c r="A25782" s="27" t="s">
        <v>228</v>
      </c>
      <c r="B25782" s="27" t="s">
        <v>1345</v>
      </c>
      <c r="C25782" s="28">
        <v>0.3856</v>
      </c>
      <c r="D25782" s="28">
        <v>0.29370000000000002</v>
      </c>
      <c r="E25782" s="28">
        <v>0.26119999999999999</v>
      </c>
      <c r="F25782" s="29"/>
      <c r="G25782" s="29"/>
      <c r="H25782" s="29"/>
      <c r="I25782" s="28">
        <v>0.52249999999999996</v>
      </c>
      <c r="J25782" s="29"/>
      <c r="K25782" s="29"/>
      <c r="L25782" s="28">
        <v>0.26119999999999999</v>
      </c>
      <c r="M25782" s="28">
        <v>9.1899999999999996E-2</v>
      </c>
      <c r="N25782" s="29"/>
      <c r="O25782" s="29"/>
      <c r="P25782" s="28">
        <v>9.1899999999999996E-2</v>
      </c>
      <c r="Q25782" s="29"/>
      <c r="R25782" s="29"/>
      <c r="S25782" s="28">
        <v>9.1899999999999996E-2</v>
      </c>
      <c r="T25782" s="29"/>
      <c r="U25782" s="29"/>
      <c r="V25782" s="29"/>
      <c r="W25782" s="29"/>
      <c r="X25782" s="29"/>
      <c r="Y25782" s="29" t="s">
        <v>335</v>
      </c>
    </row>
    <row r="25783" spans="1:25" x14ac:dyDescent="0.35">
      <c r="A25783" t="s">
        <v>228</v>
      </c>
      <c r="B25783" t="s">
        <v>1347</v>
      </c>
      <c r="C25783" s="26">
        <v>0.54210000000000003</v>
      </c>
      <c r="D25783" s="26">
        <v>0.25650000000000001</v>
      </c>
      <c r="E25783" s="26">
        <v>0.1928</v>
      </c>
      <c r="F25783" s="26">
        <v>0.15679999999999999</v>
      </c>
      <c r="G25783" s="26">
        <v>0.1085</v>
      </c>
      <c r="H25783" s="26">
        <v>6.4199999999999993E-2</v>
      </c>
      <c r="I25783" s="26">
        <v>7.4999999999999997E-2</v>
      </c>
      <c r="J25783" s="26">
        <v>3.7900000000000003E-2</v>
      </c>
      <c r="K25783" s="26">
        <v>4.3799999999999999E-2</v>
      </c>
      <c r="L25783" s="26">
        <v>0.13730000000000001</v>
      </c>
      <c r="M25783" s="26">
        <v>6.2700000000000006E-2</v>
      </c>
      <c r="N25783" s="26">
        <v>1.5100000000000001E-2</v>
      </c>
      <c r="O25783" s="26">
        <v>1.03E-2</v>
      </c>
      <c r="P25783" s="26">
        <v>6.1199999999999997E-2</v>
      </c>
      <c r="Q25783" s="26">
        <v>3.5299999999999998E-2</v>
      </c>
      <c r="R25783" s="26">
        <v>9.1000000000000004E-3</v>
      </c>
      <c r="S25783" s="26">
        <v>6.2700000000000006E-2</v>
      </c>
      <c r="T25783" s="26">
        <v>5.04E-2</v>
      </c>
      <c r="V25783" s="26">
        <v>5.1999999999999998E-3</v>
      </c>
      <c r="W25783" s="26">
        <v>1.18E-2</v>
      </c>
      <c r="X25783" s="26">
        <v>3.3599999999999998E-2</v>
      </c>
      <c r="Y25783">
        <v>116</v>
      </c>
    </row>
    <row r="25784" spans="1:25" x14ac:dyDescent="0.35">
      <c r="A25784" t="s">
        <v>228</v>
      </c>
      <c r="B25784" t="s">
        <v>1346</v>
      </c>
      <c r="C25784" s="26">
        <v>0.746</v>
      </c>
      <c r="D25784" s="26">
        <v>0.31850000000000001</v>
      </c>
      <c r="E25784" s="26">
        <v>0.25509999999999999</v>
      </c>
      <c r="F25784" s="26">
        <v>6.3399999999999998E-2</v>
      </c>
      <c r="G25784" s="26">
        <v>9.5999999999999992E-3</v>
      </c>
      <c r="H25784" s="26">
        <v>6.4399999999999999E-2</v>
      </c>
      <c r="I25784" s="26">
        <v>6.0199999999999997E-2</v>
      </c>
      <c r="J25784" s="26">
        <v>8.5099999999999995E-2</v>
      </c>
      <c r="K25784" s="26">
        <v>4.7699999999999999E-2</v>
      </c>
      <c r="L25784" s="26">
        <v>1.8200000000000001E-2</v>
      </c>
      <c r="M25784" s="26">
        <v>1.6999999999999999E-3</v>
      </c>
      <c r="N25784" s="26">
        <v>1.3899999999999999E-2</v>
      </c>
      <c r="O25784" s="26">
        <v>3.9800000000000002E-2</v>
      </c>
      <c r="Q25784" s="26">
        <v>8.6E-3</v>
      </c>
      <c r="R25784" s="26">
        <v>2.5899999999999999E-2</v>
      </c>
      <c r="S25784" s="26">
        <v>8.6E-3</v>
      </c>
      <c r="T25784" s="26">
        <v>6.0900000000000003E-2</v>
      </c>
      <c r="U25784" s="26">
        <v>8.0999999999999996E-3</v>
      </c>
      <c r="X25784" s="26">
        <v>1.6999999999999999E-3</v>
      </c>
      <c r="Y25784">
        <v>178</v>
      </c>
    </row>
    <row r="25785" spans="1:25" x14ac:dyDescent="0.35">
      <c r="A25785" t="s">
        <v>228</v>
      </c>
      <c r="B25785" t="s">
        <v>1348</v>
      </c>
      <c r="C25785" s="26">
        <v>0.60299999999999998</v>
      </c>
      <c r="D25785" s="26">
        <v>0.2109</v>
      </c>
      <c r="E25785" s="26">
        <v>0.27400000000000002</v>
      </c>
      <c r="F25785" s="26">
        <v>0.1179</v>
      </c>
      <c r="G25785" s="26">
        <v>0.10100000000000001</v>
      </c>
      <c r="H25785" s="26">
        <v>5.5500000000000001E-2</v>
      </c>
      <c r="I25785" s="26">
        <v>5.5100000000000003E-2</v>
      </c>
      <c r="J25785" s="26">
        <v>5.8999999999999997E-2</v>
      </c>
      <c r="K25785" s="26">
        <v>4.2299999999999997E-2</v>
      </c>
      <c r="L25785" s="26">
        <v>5.1799999999999999E-2</v>
      </c>
      <c r="M25785" s="26">
        <v>3.8300000000000001E-2</v>
      </c>
      <c r="N25785" s="26">
        <v>1.0500000000000001E-2</v>
      </c>
      <c r="O25785" s="26">
        <v>2.5499999999999998E-2</v>
      </c>
      <c r="P25785" s="26">
        <v>8.3900000000000002E-2</v>
      </c>
      <c r="Q25785" s="26">
        <v>2.1700000000000001E-2</v>
      </c>
      <c r="R25785" s="26">
        <v>2.9700000000000001E-2</v>
      </c>
      <c r="S25785" s="26">
        <v>1.18E-2</v>
      </c>
      <c r="T25785" s="26">
        <v>2.1000000000000001E-2</v>
      </c>
      <c r="U25785" s="26">
        <v>1.5100000000000001E-2</v>
      </c>
      <c r="V25785" s="26">
        <v>5.0000000000000001E-3</v>
      </c>
      <c r="W25785" s="26">
        <v>3.0000000000000001E-3</v>
      </c>
      <c r="X25785" s="26">
        <v>1.5100000000000001E-2</v>
      </c>
      <c r="Y25785">
        <v>320</v>
      </c>
    </row>
    <row r="25786" spans="1:25" x14ac:dyDescent="0.35">
      <c r="A25786" s="27" t="s">
        <v>229</v>
      </c>
      <c r="B25786" s="27" t="s">
        <v>1345</v>
      </c>
      <c r="C25786" s="28">
        <v>0.27039999999999997</v>
      </c>
      <c r="D25786" s="29"/>
      <c r="E25786" s="28">
        <v>0.43809999999999999</v>
      </c>
      <c r="F25786" s="28">
        <v>0.26200000000000001</v>
      </c>
      <c r="G25786" s="28">
        <v>0.26200000000000001</v>
      </c>
      <c r="H25786" s="29"/>
      <c r="I25786" s="29"/>
      <c r="J25786" s="29"/>
      <c r="K25786" s="29"/>
      <c r="L25786" s="28">
        <v>1.4800000000000001E-2</v>
      </c>
      <c r="M25786" s="29"/>
      <c r="N25786" s="29"/>
      <c r="O25786" s="29"/>
      <c r="P25786" s="29"/>
      <c r="Q25786" s="28">
        <v>1.4800000000000001E-2</v>
      </c>
      <c r="R25786" s="29"/>
      <c r="S25786" s="29"/>
      <c r="T25786" s="29"/>
      <c r="U25786" s="29"/>
      <c r="V25786" s="29"/>
      <c r="W25786" s="29"/>
      <c r="X25786" s="29"/>
      <c r="Y25786" s="29" t="s">
        <v>339</v>
      </c>
    </row>
    <row r="25787" spans="1:25" x14ac:dyDescent="0.35">
      <c r="A25787" t="s">
        <v>229</v>
      </c>
      <c r="B25787" t="s">
        <v>1346</v>
      </c>
      <c r="C25787" s="26">
        <v>0.57740000000000002</v>
      </c>
      <c r="D25787" s="26">
        <v>0.21210000000000001</v>
      </c>
      <c r="E25787" s="26">
        <v>0.26550000000000001</v>
      </c>
      <c r="F25787" s="26">
        <v>0.20480000000000001</v>
      </c>
      <c r="H25787" s="26">
        <v>1.2E-2</v>
      </c>
      <c r="I25787" s="26">
        <v>8.6999999999999994E-2</v>
      </c>
      <c r="J25787" s="26">
        <v>6.7400000000000002E-2</v>
      </c>
      <c r="K25787" s="26">
        <v>2.5600000000000001E-2</v>
      </c>
      <c r="L25787" s="26">
        <v>2.7000000000000001E-3</v>
      </c>
      <c r="M25787" s="26">
        <v>1.6999999999999999E-3</v>
      </c>
      <c r="N25787" s="26">
        <v>2.6599999999999999E-2</v>
      </c>
      <c r="O25787" s="26">
        <v>3.5000000000000003E-2</v>
      </c>
      <c r="R25787" s="26">
        <v>3.0700000000000002E-2</v>
      </c>
      <c r="U25787" s="26">
        <v>2.5600000000000001E-2</v>
      </c>
      <c r="W25787" s="26">
        <v>2.5600000000000001E-2</v>
      </c>
      <c r="Y25787">
        <v>97</v>
      </c>
    </row>
    <row r="25788" spans="1:25" x14ac:dyDescent="0.35">
      <c r="A25788" t="s">
        <v>229</v>
      </c>
      <c r="B25788" t="s">
        <v>1347</v>
      </c>
      <c r="C25788" s="26">
        <v>0.48870000000000002</v>
      </c>
      <c r="D25788" s="26">
        <v>0.26190000000000002</v>
      </c>
      <c r="E25788" s="26">
        <v>0.20830000000000001</v>
      </c>
      <c r="F25788" s="26">
        <v>0.24099999999999999</v>
      </c>
      <c r="G25788" s="26">
        <v>0.1094</v>
      </c>
      <c r="H25788" s="26">
        <v>2.5999999999999999E-2</v>
      </c>
      <c r="I25788" s="26">
        <v>3.8699999999999998E-2</v>
      </c>
      <c r="J25788" s="26">
        <v>4.0500000000000001E-2</v>
      </c>
      <c r="K25788" s="26">
        <v>6.7199999999999996E-2</v>
      </c>
      <c r="L25788" s="26">
        <v>4.0599999999999997E-2</v>
      </c>
      <c r="M25788" s="26">
        <v>9.7999999999999997E-3</v>
      </c>
      <c r="N25788" s="26">
        <v>2.52E-2</v>
      </c>
      <c r="O25788" s="26">
        <v>2.18E-2</v>
      </c>
      <c r="P25788" s="26">
        <v>5.0599999999999999E-2</v>
      </c>
      <c r="Q25788" s="26">
        <v>2.8E-3</v>
      </c>
      <c r="S25788" s="26">
        <v>7.2700000000000001E-2</v>
      </c>
      <c r="U25788" s="26">
        <v>2.1000000000000001E-2</v>
      </c>
      <c r="W25788" s="26">
        <v>2.8E-3</v>
      </c>
      <c r="Y25788">
        <v>120</v>
      </c>
    </row>
    <row r="25789" spans="1:25" x14ac:dyDescent="0.35">
      <c r="A25789" t="s">
        <v>229</v>
      </c>
      <c r="B25789" t="s">
        <v>1348</v>
      </c>
      <c r="C25789" s="26">
        <v>0.53269999999999995</v>
      </c>
      <c r="D25789" s="26">
        <v>0.16650000000000001</v>
      </c>
      <c r="E25789" s="26">
        <v>0.27889999999999998</v>
      </c>
      <c r="F25789" s="26">
        <v>0.2099</v>
      </c>
      <c r="G25789" s="26">
        <v>4.5400000000000003E-2</v>
      </c>
      <c r="H25789" s="26">
        <v>1.7399999999999999E-2</v>
      </c>
      <c r="I25789" s="26">
        <v>2.8000000000000001E-2</v>
      </c>
      <c r="J25789" s="26">
        <v>3.8199999999999998E-2</v>
      </c>
      <c r="K25789" s="26">
        <v>3.6600000000000001E-2</v>
      </c>
      <c r="L25789" s="26">
        <v>5.0500000000000003E-2</v>
      </c>
      <c r="M25789" s="26">
        <v>6.2799999999999995E-2</v>
      </c>
      <c r="N25789" s="26">
        <v>3.4799999999999998E-2</v>
      </c>
      <c r="O25789" s="26">
        <v>5.0299999999999997E-2</v>
      </c>
      <c r="P25789" s="26">
        <v>1.7399999999999999E-2</v>
      </c>
      <c r="Q25789" s="26">
        <v>2.5600000000000001E-2</v>
      </c>
      <c r="S25789" s="26">
        <v>2.3400000000000001E-2</v>
      </c>
      <c r="V25789" s="26">
        <v>1.32E-2</v>
      </c>
      <c r="W25789" s="26">
        <v>1.0699999999999999E-2</v>
      </c>
      <c r="Y25789">
        <v>181</v>
      </c>
    </row>
    <row r="25790" spans="1:25" x14ac:dyDescent="0.35">
      <c r="A25790" s="27" t="s">
        <v>230</v>
      </c>
      <c r="B25790" s="27" t="s">
        <v>1345</v>
      </c>
      <c r="C25790" s="29"/>
      <c r="D25790" s="29"/>
      <c r="E25790" s="29"/>
      <c r="F25790" s="28">
        <v>0.5</v>
      </c>
      <c r="G25790" s="29"/>
      <c r="H25790" s="28">
        <v>0.5</v>
      </c>
      <c r="I25790" s="29"/>
      <c r="J25790" s="29"/>
      <c r="K25790" s="29"/>
      <c r="L25790" s="29"/>
      <c r="M25790" s="28">
        <v>0.5</v>
      </c>
      <c r="N25790" s="29"/>
      <c r="O25790" s="29"/>
      <c r="P25790" s="29"/>
      <c r="Q25790" s="29"/>
      <c r="R25790" s="29"/>
      <c r="S25790" s="29"/>
      <c r="T25790" s="29"/>
      <c r="U25790" s="29"/>
      <c r="V25790" s="29"/>
      <c r="W25790" s="29"/>
      <c r="X25790" s="29"/>
      <c r="Y25790" s="29" t="s">
        <v>314</v>
      </c>
    </row>
    <row r="25791" spans="1:25" x14ac:dyDescent="0.35">
      <c r="A25791" t="s">
        <v>230</v>
      </c>
      <c r="B25791" t="s">
        <v>1346</v>
      </c>
      <c r="C25791" s="26">
        <v>0.68469999999999998</v>
      </c>
      <c r="D25791" s="26">
        <v>0.42030000000000001</v>
      </c>
      <c r="E25791" s="26">
        <v>0.25819999999999999</v>
      </c>
      <c r="F25791" s="26">
        <v>9.4399999999999998E-2</v>
      </c>
      <c r="G25791" s="26">
        <v>9.2999999999999992E-3</v>
      </c>
      <c r="H25791" s="26">
        <v>0.21199999999999999</v>
      </c>
      <c r="I25791" s="26">
        <v>0.1948</v>
      </c>
      <c r="J25791" s="26">
        <v>7.2800000000000004E-2</v>
      </c>
      <c r="K25791" s="26">
        <v>3.5000000000000001E-3</v>
      </c>
      <c r="L25791" s="26">
        <v>4.07E-2</v>
      </c>
      <c r="M25791" s="26">
        <v>2.1100000000000001E-2</v>
      </c>
      <c r="N25791" s="26">
        <v>3.4799999999999998E-2</v>
      </c>
      <c r="O25791" s="26">
        <v>8.4599999999999995E-2</v>
      </c>
      <c r="P25791" s="26">
        <v>7.4999999999999997E-3</v>
      </c>
      <c r="R25791" s="26">
        <v>1.8E-3</v>
      </c>
      <c r="T25791" s="26">
        <v>3.0700000000000002E-2</v>
      </c>
      <c r="U25791" s="26">
        <v>1.8E-3</v>
      </c>
      <c r="X25791" s="26">
        <v>5.7000000000000002E-3</v>
      </c>
      <c r="Y25791">
        <v>105</v>
      </c>
    </row>
    <row r="25792" spans="1:25" x14ac:dyDescent="0.35">
      <c r="A25792" t="s">
        <v>230</v>
      </c>
      <c r="B25792" t="s">
        <v>1347</v>
      </c>
      <c r="C25792" s="26">
        <v>0.66410000000000002</v>
      </c>
      <c r="D25792" s="26">
        <v>0.28939999999999999</v>
      </c>
      <c r="E25792" s="26">
        <v>0.21859999999999999</v>
      </c>
      <c r="F25792" s="26">
        <v>9.8400000000000001E-2</v>
      </c>
      <c r="G25792" s="26">
        <v>2.5100000000000001E-2</v>
      </c>
      <c r="H25792" s="26">
        <v>0.1135</v>
      </c>
      <c r="I25792" s="26">
        <v>8.3099999999999993E-2</v>
      </c>
      <c r="J25792" s="26">
        <v>0.1003</v>
      </c>
      <c r="K25792" s="26">
        <v>4.7100000000000003E-2</v>
      </c>
      <c r="L25792" s="26">
        <v>5.1499999999999997E-2</v>
      </c>
      <c r="M25792" s="26">
        <v>1.04E-2</v>
      </c>
      <c r="N25792" s="26">
        <v>4.4999999999999998E-2</v>
      </c>
      <c r="O25792" s="26">
        <v>3.8600000000000002E-2</v>
      </c>
      <c r="P25792" s="26">
        <v>0.1305</v>
      </c>
      <c r="Q25792" s="26">
        <v>6.4000000000000003E-3</v>
      </c>
      <c r="R25792" s="26">
        <v>6.4999999999999997E-3</v>
      </c>
      <c r="S25792" s="26">
        <v>8.3000000000000001E-3</v>
      </c>
      <c r="T25792" s="26">
        <v>1.9199999999999998E-2</v>
      </c>
      <c r="X25792" s="26">
        <v>6.4000000000000003E-3</v>
      </c>
      <c r="Y25792">
        <v>85</v>
      </c>
    </row>
    <row r="25793" spans="1:26" x14ac:dyDescent="0.35">
      <c r="A25793" t="s">
        <v>230</v>
      </c>
      <c r="B25793" t="s">
        <v>1348</v>
      </c>
      <c r="C25793" s="26">
        <v>0.58120000000000005</v>
      </c>
      <c r="D25793" s="26">
        <v>0.3155</v>
      </c>
      <c r="E25793" s="26">
        <v>0.34970000000000001</v>
      </c>
      <c r="F25793" s="26">
        <v>9.9699999999999997E-2</v>
      </c>
      <c r="G25793" s="26">
        <v>0.15809999999999999</v>
      </c>
      <c r="H25793" s="26">
        <v>0.12970000000000001</v>
      </c>
      <c r="I25793" s="26">
        <v>4.0899999999999999E-2</v>
      </c>
      <c r="J25793" s="26">
        <v>6.3899999999999998E-2</v>
      </c>
      <c r="K25793" s="26">
        <v>7.2599999999999998E-2</v>
      </c>
      <c r="L25793" s="26">
        <v>6.9099999999999995E-2</v>
      </c>
      <c r="M25793" s="26">
        <v>1.46E-2</v>
      </c>
      <c r="N25793" s="26">
        <v>5.0599999999999999E-2</v>
      </c>
      <c r="O25793" s="26">
        <v>1.21E-2</v>
      </c>
      <c r="P25793" s="26">
        <v>2.92E-2</v>
      </c>
      <c r="Q25793" s="26">
        <v>4.5999999999999999E-3</v>
      </c>
      <c r="R25793" s="26">
        <v>2.12E-2</v>
      </c>
      <c r="S25793" s="26">
        <v>2.12E-2</v>
      </c>
      <c r="T25793" s="26">
        <v>3.04E-2</v>
      </c>
      <c r="U25793" s="26">
        <v>2.12E-2</v>
      </c>
      <c r="X25793" s="26">
        <v>1.1000000000000001E-3</v>
      </c>
      <c r="Y25793">
        <v>164</v>
      </c>
    </row>
    <row r="25794" spans="1:26" x14ac:dyDescent="0.35">
      <c r="A25794" t="s">
        <v>231</v>
      </c>
      <c r="B25794" t="s">
        <v>1348</v>
      </c>
      <c r="C25794" s="26">
        <v>0.66669999999999996</v>
      </c>
      <c r="D25794" s="26">
        <v>0.25640000000000002</v>
      </c>
      <c r="E25794" s="26">
        <v>0.17949999999999999</v>
      </c>
      <c r="F25794" s="26">
        <v>0.2051</v>
      </c>
      <c r="G25794" s="26">
        <v>0.1026</v>
      </c>
      <c r="H25794" s="26">
        <v>0.12820000000000001</v>
      </c>
      <c r="I25794" s="26">
        <v>7.6899999999999996E-2</v>
      </c>
      <c r="J25794" s="26">
        <v>5.1299999999999998E-2</v>
      </c>
      <c r="K25794" s="26">
        <v>0.1026</v>
      </c>
      <c r="L25794" s="26">
        <v>2.5600000000000001E-2</v>
      </c>
      <c r="M25794" s="26">
        <v>2.5600000000000001E-2</v>
      </c>
      <c r="N25794" s="26">
        <v>2.5600000000000001E-2</v>
      </c>
      <c r="Q25794" s="26">
        <v>5.1299999999999998E-2</v>
      </c>
      <c r="Y25794">
        <v>39</v>
      </c>
    </row>
    <row r="25795" spans="1:26" x14ac:dyDescent="0.35">
      <c r="A25795" s="27" t="s">
        <v>231</v>
      </c>
      <c r="B25795" s="27" t="s">
        <v>1347</v>
      </c>
      <c r="C25795" s="28">
        <v>0.26669999999999999</v>
      </c>
      <c r="D25795" s="28">
        <v>0.33329999999999999</v>
      </c>
      <c r="E25795" s="28">
        <v>0.2</v>
      </c>
      <c r="F25795" s="28">
        <v>0.1333</v>
      </c>
      <c r="G25795" s="28">
        <v>0.1333</v>
      </c>
      <c r="H25795" s="28">
        <v>0.1333</v>
      </c>
      <c r="I25795" s="28">
        <v>6.6699999999999995E-2</v>
      </c>
      <c r="J25795" s="28">
        <v>6.6699999999999995E-2</v>
      </c>
      <c r="K25795" s="29"/>
      <c r="L25795" s="29"/>
      <c r="M25795" s="28">
        <v>6.6699999999999995E-2</v>
      </c>
      <c r="N25795" s="28">
        <v>6.6699999999999995E-2</v>
      </c>
      <c r="O25795" s="29"/>
      <c r="P25795" s="28">
        <v>6.6699999999999995E-2</v>
      </c>
      <c r="Q25795" s="28">
        <v>6.6699999999999995E-2</v>
      </c>
      <c r="R25795" s="28">
        <v>6.6699999999999995E-2</v>
      </c>
      <c r="S25795" s="29"/>
      <c r="T25795" s="29"/>
      <c r="U25795" s="29"/>
      <c r="V25795" s="28">
        <v>6.6699999999999995E-2</v>
      </c>
      <c r="W25795" s="29"/>
      <c r="X25795" s="29"/>
      <c r="Y25795" s="29" t="s">
        <v>346</v>
      </c>
    </row>
    <row r="25796" spans="1:26" x14ac:dyDescent="0.35">
      <c r="A25796" s="27" t="s">
        <v>231</v>
      </c>
      <c r="B25796" s="27" t="s">
        <v>1345</v>
      </c>
      <c r="C25796" s="28">
        <v>0.5</v>
      </c>
      <c r="D25796" s="28">
        <v>0.5</v>
      </c>
      <c r="E25796" s="29"/>
      <c r="F25796" s="28">
        <v>0.5</v>
      </c>
      <c r="G25796" s="29"/>
      <c r="H25796" s="29"/>
      <c r="I25796" s="29"/>
      <c r="J25796" s="29"/>
      <c r="K25796" s="29"/>
      <c r="L25796" s="29"/>
      <c r="M25796" s="28">
        <v>0.5</v>
      </c>
      <c r="N25796" s="29"/>
      <c r="O25796" s="29"/>
      <c r="P25796" s="29"/>
      <c r="Q25796" s="29"/>
      <c r="R25796" s="29"/>
      <c r="S25796" s="29"/>
      <c r="T25796" s="29"/>
      <c r="U25796" s="29"/>
      <c r="V25796" s="29"/>
      <c r="W25796" s="29"/>
      <c r="X25796" s="29"/>
      <c r="Y25796" s="29" t="s">
        <v>314</v>
      </c>
    </row>
    <row r="25797" spans="1:26" x14ac:dyDescent="0.35">
      <c r="A25797" s="27" t="s">
        <v>231</v>
      </c>
      <c r="B25797" s="27" t="s">
        <v>1346</v>
      </c>
      <c r="C25797" s="28">
        <v>0.55559999999999998</v>
      </c>
      <c r="D25797" s="28">
        <v>0.33329999999999999</v>
      </c>
      <c r="E25797" s="28">
        <v>0.27779999999999999</v>
      </c>
      <c r="F25797" s="28">
        <v>0.1111</v>
      </c>
      <c r="G25797" s="28">
        <v>5.5599999999999997E-2</v>
      </c>
      <c r="H25797" s="28">
        <v>5.5599999999999997E-2</v>
      </c>
      <c r="I25797" s="29"/>
      <c r="J25797" s="28">
        <v>5.5599999999999997E-2</v>
      </c>
      <c r="K25797" s="28">
        <v>0.1111</v>
      </c>
      <c r="L25797" s="28">
        <v>5.5599999999999997E-2</v>
      </c>
      <c r="M25797" s="29"/>
      <c r="N25797" s="29"/>
      <c r="O25797" s="28">
        <v>5.5599999999999997E-2</v>
      </c>
      <c r="P25797" s="29"/>
      <c r="Q25797" s="29"/>
      <c r="R25797" s="29"/>
      <c r="S25797" s="29"/>
      <c r="T25797" s="29"/>
      <c r="U25797" s="29"/>
      <c r="V25797" s="29"/>
      <c r="W25797" s="28">
        <v>5.5599999999999997E-2</v>
      </c>
      <c r="X25797" s="29"/>
      <c r="Y25797" s="29" t="s">
        <v>353</v>
      </c>
    </row>
    <row r="25798" spans="1:26" x14ac:dyDescent="0.35">
      <c r="A25798" t="s">
        <v>232</v>
      </c>
      <c r="B25798" t="s">
        <v>232</v>
      </c>
      <c r="C25798" s="26">
        <v>0.56540000000000001</v>
      </c>
      <c r="D25798" s="26">
        <v>0.25569999999999998</v>
      </c>
      <c r="E25798" s="26">
        <v>0.24279999999999999</v>
      </c>
      <c r="F25798" s="26">
        <v>0.16619999999999999</v>
      </c>
      <c r="G25798" s="26">
        <v>7.5700000000000003E-2</v>
      </c>
      <c r="H25798" s="26">
        <v>6.7299999999999999E-2</v>
      </c>
      <c r="I25798" s="26">
        <v>5.8099999999999999E-2</v>
      </c>
      <c r="J25798" s="26">
        <v>5.79E-2</v>
      </c>
      <c r="K25798" s="26">
        <v>4.7600000000000003E-2</v>
      </c>
      <c r="L25798" s="26">
        <v>4.0399999999999998E-2</v>
      </c>
      <c r="M25798" s="26">
        <v>3.73E-2</v>
      </c>
      <c r="N25798" s="26">
        <v>3.3700000000000001E-2</v>
      </c>
      <c r="O25798" s="26">
        <v>2.92E-2</v>
      </c>
      <c r="P25798" s="26">
        <v>2.6599999999999999E-2</v>
      </c>
      <c r="Q25798" s="26">
        <v>2.06E-2</v>
      </c>
      <c r="R25798" s="26">
        <v>1.9199999999999998E-2</v>
      </c>
      <c r="S25798" s="26">
        <v>1.6299999999999999E-2</v>
      </c>
      <c r="T25798" s="26">
        <v>1.47E-2</v>
      </c>
      <c r="U25798" s="26">
        <v>8.0000000000000002E-3</v>
      </c>
      <c r="V25798" s="26">
        <v>7.9000000000000008E-3</v>
      </c>
      <c r="W25798" s="26">
        <v>7.3000000000000001E-3</v>
      </c>
      <c r="X25798" s="26">
        <v>5.4999999999999997E-3</v>
      </c>
      <c r="Y25798">
        <v>1537</v>
      </c>
    </row>
    <row r="25800" spans="1:26" x14ac:dyDescent="0.35">
      <c r="A25800" s="1" t="s">
        <v>2349</v>
      </c>
    </row>
    <row r="25801" spans="1:26" x14ac:dyDescent="0.35">
      <c r="A25801" t="s">
        <v>219</v>
      </c>
      <c r="B25801" t="s">
        <v>305</v>
      </c>
      <c r="C25801" t="s">
        <v>345</v>
      </c>
      <c r="D25801" t="s">
        <v>2315</v>
      </c>
      <c r="E25801" t="s">
        <v>2316</v>
      </c>
      <c r="F25801" t="s">
        <v>2317</v>
      </c>
      <c r="G25801" t="s">
        <v>2318</v>
      </c>
      <c r="H25801" t="s">
        <v>2319</v>
      </c>
      <c r="I25801" t="s">
        <v>2320</v>
      </c>
      <c r="J25801" t="s">
        <v>2321</v>
      </c>
      <c r="K25801" t="s">
        <v>2322</v>
      </c>
      <c r="L25801" t="s">
        <v>2323</v>
      </c>
      <c r="M25801" t="s">
        <v>2324</v>
      </c>
      <c r="N25801" t="s">
        <v>2325</v>
      </c>
      <c r="O25801" t="s">
        <v>2326</v>
      </c>
      <c r="P25801" t="s">
        <v>2327</v>
      </c>
      <c r="Q25801" t="s">
        <v>2328</v>
      </c>
      <c r="R25801" t="s">
        <v>2329</v>
      </c>
      <c r="S25801" t="s">
        <v>2330</v>
      </c>
      <c r="T25801" t="s">
        <v>2331</v>
      </c>
      <c r="U25801" t="s">
        <v>2332</v>
      </c>
      <c r="V25801" t="s">
        <v>326</v>
      </c>
      <c r="W25801" t="s">
        <v>2333</v>
      </c>
      <c r="X25801" t="s">
        <v>2334</v>
      </c>
      <c r="Y25801" t="s">
        <v>2335</v>
      </c>
      <c r="Z25801" t="s">
        <v>226</v>
      </c>
    </row>
    <row r="25802" spans="1:26" x14ac:dyDescent="0.35">
      <c r="A25802" s="27" t="s">
        <v>227</v>
      </c>
      <c r="B25802" s="27" t="s">
        <v>1343</v>
      </c>
      <c r="C25802" s="27" t="s">
        <v>1347</v>
      </c>
      <c r="D25802" s="28">
        <v>0.36359999999999998</v>
      </c>
      <c r="E25802" s="28">
        <v>0.18179999999999999</v>
      </c>
      <c r="F25802" s="29"/>
      <c r="G25802" s="28">
        <v>0.2727</v>
      </c>
      <c r="H25802" s="28">
        <v>0.18179999999999999</v>
      </c>
      <c r="I25802" s="29"/>
      <c r="J25802" s="29"/>
      <c r="K25802" s="28">
        <v>0.18179999999999999</v>
      </c>
      <c r="L25802" s="29"/>
      <c r="M25802" s="28">
        <v>9.0899999999999995E-2</v>
      </c>
      <c r="N25802" s="28">
        <v>0.18179999999999999</v>
      </c>
      <c r="O25802" s="28">
        <v>0.18179999999999999</v>
      </c>
      <c r="P25802" s="29"/>
      <c r="Q25802" s="29"/>
      <c r="R25802" s="28">
        <v>9.0899999999999995E-2</v>
      </c>
      <c r="S25802" s="29"/>
      <c r="T25802" s="28">
        <v>9.0899999999999995E-2</v>
      </c>
      <c r="U25802" s="29"/>
      <c r="V25802" s="29"/>
      <c r="W25802" s="29"/>
      <c r="X25802" s="29"/>
      <c r="Y25802" s="29"/>
      <c r="Z25802" s="29" t="s">
        <v>352</v>
      </c>
    </row>
    <row r="25803" spans="1:26" x14ac:dyDescent="0.35">
      <c r="A25803" s="27" t="s">
        <v>227</v>
      </c>
      <c r="B25803" s="27" t="s">
        <v>1341</v>
      </c>
      <c r="C25803" s="27" t="s">
        <v>1347</v>
      </c>
      <c r="D25803" s="28">
        <v>0.66669999999999996</v>
      </c>
      <c r="E25803" s="28">
        <v>0.33329999999999999</v>
      </c>
      <c r="F25803" s="28">
        <v>0.66669999999999996</v>
      </c>
      <c r="G25803" s="29"/>
      <c r="H25803" s="29"/>
      <c r="I25803" s="29"/>
      <c r="J25803" s="28">
        <v>0.33329999999999999</v>
      </c>
      <c r="K25803" s="29"/>
      <c r="L25803" s="29"/>
      <c r="M25803" s="29"/>
      <c r="N25803" s="29"/>
      <c r="O25803" s="29"/>
      <c r="P25803" s="29"/>
      <c r="Q25803" s="29"/>
      <c r="R25803" s="29"/>
      <c r="S25803" s="29"/>
      <c r="T25803" s="29"/>
      <c r="U25803" s="29"/>
      <c r="V25803" s="29"/>
      <c r="W25803" s="29"/>
      <c r="X25803" s="29"/>
      <c r="Y25803" s="29"/>
      <c r="Z25803" s="29" t="s">
        <v>315</v>
      </c>
    </row>
    <row r="25804" spans="1:26" x14ac:dyDescent="0.35">
      <c r="A25804" s="27" t="s">
        <v>227</v>
      </c>
      <c r="B25804" s="27" t="s">
        <v>1342</v>
      </c>
      <c r="C25804" s="27" t="s">
        <v>1348</v>
      </c>
      <c r="D25804" s="28">
        <v>1</v>
      </c>
      <c r="E25804" s="28">
        <v>1</v>
      </c>
      <c r="F25804" s="29"/>
      <c r="G25804" s="29"/>
      <c r="H25804" s="29"/>
      <c r="I25804" s="29"/>
      <c r="J25804" s="29"/>
      <c r="K25804" s="29"/>
      <c r="L25804" s="29"/>
      <c r="M25804" s="29"/>
      <c r="N25804" s="28">
        <v>1</v>
      </c>
      <c r="O25804" s="29"/>
      <c r="P25804" s="29"/>
      <c r="Q25804" s="29"/>
      <c r="R25804" s="29"/>
      <c r="S25804" s="29"/>
      <c r="T25804" s="29"/>
      <c r="U25804" s="29"/>
      <c r="V25804" s="29"/>
      <c r="W25804" s="29"/>
      <c r="X25804" s="29"/>
      <c r="Y25804" s="29"/>
      <c r="Z25804" s="29" t="s">
        <v>331</v>
      </c>
    </row>
    <row r="25805" spans="1:26" x14ac:dyDescent="0.35">
      <c r="A25805" s="27" t="s">
        <v>227</v>
      </c>
      <c r="B25805" s="27" t="s">
        <v>1343</v>
      </c>
      <c r="C25805" s="27" t="s">
        <v>1346</v>
      </c>
      <c r="D25805" s="28">
        <v>0.5</v>
      </c>
      <c r="E25805" s="28">
        <v>0.21429999999999999</v>
      </c>
      <c r="F25805" s="28">
        <v>0.21429999999999999</v>
      </c>
      <c r="G25805" s="28">
        <v>0.28570000000000001</v>
      </c>
      <c r="H25805" s="29"/>
      <c r="I25805" s="28">
        <v>0.1429</v>
      </c>
      <c r="J25805" s="28">
        <v>7.1400000000000005E-2</v>
      </c>
      <c r="K25805" s="28">
        <v>0.1429</v>
      </c>
      <c r="L25805" s="28">
        <v>7.1400000000000005E-2</v>
      </c>
      <c r="M25805" s="29"/>
      <c r="N25805" s="29"/>
      <c r="O25805" s="29"/>
      <c r="P25805" s="28">
        <v>7.1400000000000005E-2</v>
      </c>
      <c r="Q25805" s="29"/>
      <c r="R25805" s="29"/>
      <c r="S25805" s="28">
        <v>7.1400000000000005E-2</v>
      </c>
      <c r="T25805" s="29"/>
      <c r="U25805" s="28">
        <v>7.1400000000000005E-2</v>
      </c>
      <c r="V25805" s="29"/>
      <c r="W25805" s="29"/>
      <c r="X25805" s="29"/>
      <c r="Y25805" s="29"/>
      <c r="Z25805" s="29" t="s">
        <v>379</v>
      </c>
    </row>
    <row r="25806" spans="1:26" x14ac:dyDescent="0.35">
      <c r="A25806" t="s">
        <v>227</v>
      </c>
      <c r="B25806" t="s">
        <v>1343</v>
      </c>
      <c r="C25806" t="s">
        <v>1348</v>
      </c>
      <c r="D25806" s="26">
        <v>0.57579999999999998</v>
      </c>
      <c r="E25806" s="26">
        <v>0.2424</v>
      </c>
      <c r="F25806" s="26">
        <v>0.33329999999999999</v>
      </c>
      <c r="G25806" s="26">
        <v>0.1515</v>
      </c>
      <c r="H25806" s="26">
        <v>6.0600000000000001E-2</v>
      </c>
      <c r="I25806" s="26">
        <v>3.0300000000000001E-2</v>
      </c>
      <c r="J25806" s="26">
        <v>6.0600000000000001E-2</v>
      </c>
      <c r="K25806" s="26">
        <v>6.0600000000000001E-2</v>
      </c>
      <c r="M25806" s="26">
        <v>3.0300000000000001E-2</v>
      </c>
      <c r="N25806" s="26">
        <v>3.0300000000000001E-2</v>
      </c>
      <c r="O25806" s="26">
        <v>3.0300000000000001E-2</v>
      </c>
      <c r="S25806" s="26">
        <v>6.0600000000000001E-2</v>
      </c>
      <c r="U25806" s="26">
        <v>3.0300000000000001E-2</v>
      </c>
      <c r="V25806" s="26">
        <v>3.0300000000000001E-2</v>
      </c>
      <c r="W25806" s="26">
        <v>3.0300000000000001E-2</v>
      </c>
      <c r="Z25806">
        <v>33</v>
      </c>
    </row>
    <row r="25807" spans="1:26" x14ac:dyDescent="0.35">
      <c r="A25807" s="27" t="s">
        <v>227</v>
      </c>
      <c r="B25807" s="27" t="s">
        <v>1341</v>
      </c>
      <c r="C25807" s="27" t="s">
        <v>1346</v>
      </c>
      <c r="D25807" s="28">
        <v>0.42859999999999998</v>
      </c>
      <c r="E25807" s="28">
        <v>0.71430000000000005</v>
      </c>
      <c r="F25807" s="28">
        <v>0.1429</v>
      </c>
      <c r="G25807" s="29"/>
      <c r="H25807" s="29"/>
      <c r="I25807" s="29"/>
      <c r="J25807" s="29"/>
      <c r="K25807" s="29"/>
      <c r="L25807" s="29"/>
      <c r="M25807" s="29"/>
      <c r="N25807" s="29"/>
      <c r="O25807" s="29"/>
      <c r="P25807" s="28">
        <v>0.1429</v>
      </c>
      <c r="Q25807" s="29"/>
      <c r="R25807" s="29"/>
      <c r="S25807" s="28">
        <v>0.1429</v>
      </c>
      <c r="T25807" s="29"/>
      <c r="U25807" s="29"/>
      <c r="V25807" s="29"/>
      <c r="W25807" s="29"/>
      <c r="X25807" s="29"/>
      <c r="Y25807" s="28">
        <v>0.1429</v>
      </c>
      <c r="Z25807" s="29" t="s">
        <v>339</v>
      </c>
    </row>
    <row r="25808" spans="1:26" x14ac:dyDescent="0.35">
      <c r="A25808" s="27" t="s">
        <v>227</v>
      </c>
      <c r="B25808" s="27" t="s">
        <v>1341</v>
      </c>
      <c r="C25808" s="27" t="s">
        <v>1348</v>
      </c>
      <c r="D25808" s="28">
        <v>0.61539999999999995</v>
      </c>
      <c r="E25808" s="29"/>
      <c r="F25808" s="28">
        <v>0.15379999999999999</v>
      </c>
      <c r="G25808" s="28">
        <v>0.23080000000000001</v>
      </c>
      <c r="H25808" s="28">
        <v>0.15379999999999999</v>
      </c>
      <c r="I25808" s="29"/>
      <c r="J25808" s="29"/>
      <c r="K25808" s="29"/>
      <c r="L25808" s="29"/>
      <c r="M25808" s="29"/>
      <c r="N25808" s="29"/>
      <c r="O25808" s="28">
        <v>0.23080000000000001</v>
      </c>
      <c r="P25808" s="28">
        <v>7.6899999999999996E-2</v>
      </c>
      <c r="Q25808" s="29"/>
      <c r="R25808" s="29"/>
      <c r="S25808" s="29"/>
      <c r="T25808" s="29"/>
      <c r="U25808" s="29"/>
      <c r="V25808" s="29"/>
      <c r="W25808" s="29"/>
      <c r="X25808" s="29"/>
      <c r="Y25808" s="29"/>
      <c r="Z25808" s="29" t="s">
        <v>341</v>
      </c>
    </row>
    <row r="25809" spans="1:26" x14ac:dyDescent="0.35">
      <c r="A25809" s="27" t="s">
        <v>228</v>
      </c>
      <c r="B25809" s="27" t="s">
        <v>1343</v>
      </c>
      <c r="C25809" s="27" t="s">
        <v>1345</v>
      </c>
      <c r="D25809" s="28">
        <v>0.33329999999999999</v>
      </c>
      <c r="E25809" s="28">
        <v>0.33329999999999999</v>
      </c>
      <c r="F25809" s="28">
        <v>0.33329999999999999</v>
      </c>
      <c r="G25809" s="29"/>
      <c r="H25809" s="29"/>
      <c r="I25809" s="29"/>
      <c r="J25809" s="28">
        <v>0.66669999999999996</v>
      </c>
      <c r="K25809" s="29"/>
      <c r="L25809" s="29"/>
      <c r="M25809" s="28">
        <v>0.33329999999999999</v>
      </c>
      <c r="N25809" s="29"/>
      <c r="O25809" s="29"/>
      <c r="P25809" s="29"/>
      <c r="Q25809" s="29"/>
      <c r="R25809" s="29"/>
      <c r="S25809" s="29"/>
      <c r="T25809" s="29"/>
      <c r="U25809" s="29"/>
      <c r="V25809" s="29"/>
      <c r="W25809" s="29"/>
      <c r="X25809" s="29"/>
      <c r="Y25809" s="29"/>
      <c r="Z25809" s="29" t="s">
        <v>315</v>
      </c>
    </row>
    <row r="25810" spans="1:26" x14ac:dyDescent="0.35">
      <c r="A25810" t="s">
        <v>228</v>
      </c>
      <c r="B25810" t="s">
        <v>1343</v>
      </c>
      <c r="C25810" t="s">
        <v>1347</v>
      </c>
      <c r="D25810" s="26">
        <v>0.58009999999999995</v>
      </c>
      <c r="E25810" s="26">
        <v>0.3342</v>
      </c>
      <c r="F25810" s="26">
        <v>0.24859999999999999</v>
      </c>
      <c r="G25810" s="26">
        <v>7.5800000000000006E-2</v>
      </c>
      <c r="H25810" s="26">
        <v>7.9600000000000004E-2</v>
      </c>
      <c r="I25810" s="26">
        <v>6.54E-2</v>
      </c>
      <c r="J25810" s="26">
        <v>9.5299999999999996E-2</v>
      </c>
      <c r="K25810" s="26">
        <v>3.8199999999999998E-2</v>
      </c>
      <c r="L25810" s="26">
        <v>5.6599999999999998E-2</v>
      </c>
      <c r="M25810" s="26">
        <v>0.14710000000000001</v>
      </c>
      <c r="N25810" s="26">
        <v>4.4499999999999998E-2</v>
      </c>
      <c r="O25810" s="26">
        <v>2.1499999999999998E-2</v>
      </c>
      <c r="Q25810" s="26">
        <v>6.8000000000000005E-2</v>
      </c>
      <c r="S25810" s="26">
        <v>1.29E-2</v>
      </c>
      <c r="T25810" s="26">
        <v>8.8999999999999996E-2</v>
      </c>
      <c r="U25810" s="26">
        <v>2.7E-2</v>
      </c>
      <c r="X25810" s="26">
        <v>5.4999999999999997E-3</v>
      </c>
      <c r="Y25810" s="26">
        <v>3.3300000000000003E-2</v>
      </c>
      <c r="Z25810">
        <v>75</v>
      </c>
    </row>
    <row r="25811" spans="1:26" x14ac:dyDescent="0.35">
      <c r="A25811" s="27" t="s">
        <v>228</v>
      </c>
      <c r="B25811" s="27" t="s">
        <v>1341</v>
      </c>
      <c r="C25811" s="27" t="s">
        <v>1346</v>
      </c>
      <c r="D25811" s="28">
        <v>0.54179999999999995</v>
      </c>
      <c r="E25811" s="28">
        <v>0.28060000000000002</v>
      </c>
      <c r="F25811" s="28">
        <v>0.1176</v>
      </c>
      <c r="G25811" s="28">
        <v>0.25259999999999999</v>
      </c>
      <c r="H25811" s="29"/>
      <c r="I25811" s="28">
        <v>8.14E-2</v>
      </c>
      <c r="J25811" s="28">
        <v>2.7799999999999998E-2</v>
      </c>
      <c r="K25811" s="28">
        <v>8.0299999999999996E-2</v>
      </c>
      <c r="L25811" s="29"/>
      <c r="M25811" s="29"/>
      <c r="N25811" s="29"/>
      <c r="O25811" s="28">
        <v>7.3800000000000004E-2</v>
      </c>
      <c r="P25811" s="28">
        <v>4.0099999999999997E-2</v>
      </c>
      <c r="Q25811" s="29"/>
      <c r="R25811" s="29"/>
      <c r="S25811" s="29"/>
      <c r="T25811" s="29"/>
      <c r="U25811" s="29"/>
      <c r="V25811" s="29"/>
      <c r="W25811" s="29"/>
      <c r="X25811" s="29"/>
      <c r="Y25811" s="29"/>
      <c r="Z25811" s="29" t="s">
        <v>338</v>
      </c>
    </row>
    <row r="25812" spans="1:26" x14ac:dyDescent="0.35">
      <c r="A25812" t="s">
        <v>228</v>
      </c>
      <c r="B25812" t="s">
        <v>1343</v>
      </c>
      <c r="C25812" t="s">
        <v>1346</v>
      </c>
      <c r="D25812" s="26">
        <v>0.77829999999999999</v>
      </c>
      <c r="E25812" s="26">
        <v>0.32450000000000001</v>
      </c>
      <c r="F25812" s="26">
        <v>0.27679999999999999</v>
      </c>
      <c r="G25812" s="26">
        <v>3.3500000000000002E-2</v>
      </c>
      <c r="H25812" s="26">
        <v>1.11E-2</v>
      </c>
      <c r="I25812" s="26">
        <v>6.1699999999999998E-2</v>
      </c>
      <c r="J25812" s="26">
        <v>6.5299999999999997E-2</v>
      </c>
      <c r="K25812" s="26">
        <v>8.5800000000000001E-2</v>
      </c>
      <c r="L25812" s="26">
        <v>5.5199999999999999E-2</v>
      </c>
      <c r="M25812" s="26">
        <v>2.1000000000000001E-2</v>
      </c>
      <c r="N25812" s="26">
        <v>1.9E-3</v>
      </c>
      <c r="O25812" s="26">
        <v>4.4000000000000003E-3</v>
      </c>
      <c r="P25812" s="26">
        <v>3.9699999999999999E-2</v>
      </c>
      <c r="R25812" s="26">
        <v>0.01</v>
      </c>
      <c r="S25812" s="26">
        <v>0.03</v>
      </c>
      <c r="T25812" s="26">
        <v>0.01</v>
      </c>
      <c r="U25812" s="26">
        <v>7.0499999999999993E-2</v>
      </c>
      <c r="V25812" s="26">
        <v>9.4000000000000004E-3</v>
      </c>
      <c r="Y25812" s="26">
        <v>1.9E-3</v>
      </c>
      <c r="Z25812">
        <v>151</v>
      </c>
    </row>
    <row r="25813" spans="1:26" x14ac:dyDescent="0.35">
      <c r="A25813" t="s">
        <v>228</v>
      </c>
      <c r="B25813" t="s">
        <v>1343</v>
      </c>
      <c r="C25813" t="s">
        <v>1348</v>
      </c>
      <c r="D25813" s="26">
        <v>0.61960000000000004</v>
      </c>
      <c r="E25813" s="26">
        <v>0.19350000000000001</v>
      </c>
      <c r="F25813" s="26">
        <v>0.30869999999999997</v>
      </c>
      <c r="G25813" s="26">
        <v>8.6099999999999996E-2</v>
      </c>
      <c r="H25813" s="26">
        <v>9.9099999999999994E-2</v>
      </c>
      <c r="I25813" s="26">
        <v>6.0400000000000002E-2</v>
      </c>
      <c r="J25813" s="26">
        <v>5.33E-2</v>
      </c>
      <c r="K25813" s="26">
        <v>7.9600000000000004E-2</v>
      </c>
      <c r="L25813" s="26">
        <v>0.03</v>
      </c>
      <c r="M25813" s="26">
        <v>7.0199999999999999E-2</v>
      </c>
      <c r="N25813" s="26">
        <v>4.6600000000000003E-2</v>
      </c>
      <c r="O25813" s="26">
        <v>1.5599999999999999E-2</v>
      </c>
      <c r="P25813" s="26">
        <v>2.3699999999999999E-2</v>
      </c>
      <c r="Q25813" s="26">
        <v>9.5399999999999999E-2</v>
      </c>
      <c r="R25813" s="26">
        <v>2.93E-2</v>
      </c>
      <c r="S25813" s="26">
        <v>4.4200000000000003E-2</v>
      </c>
      <c r="T25813" s="26">
        <v>1.7600000000000001E-2</v>
      </c>
      <c r="U25813" s="26">
        <v>2.5999999999999999E-2</v>
      </c>
      <c r="V25813" s="26">
        <v>2.2499999999999999E-2</v>
      </c>
      <c r="W25813" s="26">
        <v>4.4999999999999997E-3</v>
      </c>
      <c r="X25813" s="26">
        <v>4.4999999999999997E-3</v>
      </c>
      <c r="Y25813" s="26">
        <v>2.24E-2</v>
      </c>
      <c r="Z25813">
        <v>218</v>
      </c>
    </row>
    <row r="25814" spans="1:26" x14ac:dyDescent="0.35">
      <c r="A25814" t="s">
        <v>228</v>
      </c>
      <c r="B25814" t="s">
        <v>1341</v>
      </c>
      <c r="C25814" t="s">
        <v>1347</v>
      </c>
      <c r="D25814" s="26">
        <v>0.45140000000000002</v>
      </c>
      <c r="E25814" s="26">
        <v>7.0999999999999994E-2</v>
      </c>
      <c r="F25814" s="26">
        <v>5.9700000000000003E-2</v>
      </c>
      <c r="G25814" s="26">
        <v>0.34989999999999999</v>
      </c>
      <c r="H25814" s="26">
        <v>0.1772</v>
      </c>
      <c r="I25814" s="26">
        <v>6.1400000000000003E-2</v>
      </c>
      <c r="J25814" s="26">
        <v>2.6599999999999999E-2</v>
      </c>
      <c r="K25814" s="26">
        <v>3.73E-2</v>
      </c>
      <c r="L25814" s="26">
        <v>1.32E-2</v>
      </c>
      <c r="M25814" s="26">
        <v>0.1139</v>
      </c>
      <c r="N25814" s="26">
        <v>0.1062</v>
      </c>
      <c r="P25814" s="26">
        <v>3.5000000000000003E-2</v>
      </c>
      <c r="Q25814" s="26">
        <v>4.5100000000000001E-2</v>
      </c>
      <c r="R25814" s="26">
        <v>0.11940000000000001</v>
      </c>
      <c r="U25814" s="26">
        <v>0.1062</v>
      </c>
      <c r="W25814" s="26">
        <v>1.7500000000000002E-2</v>
      </c>
      <c r="X25814" s="26">
        <v>2.6599999999999999E-2</v>
      </c>
      <c r="Y25814" s="26">
        <v>3.4299999999999997E-2</v>
      </c>
      <c r="Z25814">
        <v>41</v>
      </c>
    </row>
    <row r="25815" spans="1:26" x14ac:dyDescent="0.35">
      <c r="A25815" s="27" t="s">
        <v>228</v>
      </c>
      <c r="B25815" s="27" t="s">
        <v>1341</v>
      </c>
      <c r="C25815" s="27" t="s">
        <v>1345</v>
      </c>
      <c r="D25815" s="28">
        <v>0.57520000000000004</v>
      </c>
      <c r="E25815" s="28">
        <v>0.15029999999999999</v>
      </c>
      <c r="F25815" s="29"/>
      <c r="G25815" s="29"/>
      <c r="H25815" s="29"/>
      <c r="I25815" s="29"/>
      <c r="J25815" s="29"/>
      <c r="K25815" s="29"/>
      <c r="L25815" s="29"/>
      <c r="M25815" s="29"/>
      <c r="N25815" s="28">
        <v>0.42480000000000001</v>
      </c>
      <c r="O25815" s="29"/>
      <c r="P25815" s="29"/>
      <c r="Q25815" s="28">
        <v>0.42480000000000001</v>
      </c>
      <c r="R25815" s="29"/>
      <c r="S25815" s="29"/>
      <c r="T25815" s="28">
        <v>0.42480000000000001</v>
      </c>
      <c r="U25815" s="29"/>
      <c r="V25815" s="29"/>
      <c r="W25815" s="29"/>
      <c r="X25815" s="29"/>
      <c r="Y25815" s="29"/>
      <c r="Z25815" s="29" t="s">
        <v>315</v>
      </c>
    </row>
    <row r="25816" spans="1:26" x14ac:dyDescent="0.35">
      <c r="A25816" t="s">
        <v>228</v>
      </c>
      <c r="B25816" t="s">
        <v>1341</v>
      </c>
      <c r="C25816" t="s">
        <v>1348</v>
      </c>
      <c r="D25816" s="26">
        <v>0.56899999999999995</v>
      </c>
      <c r="E25816" s="26">
        <v>0.2467</v>
      </c>
      <c r="F25816" s="26">
        <v>0.20269999999999999</v>
      </c>
      <c r="G25816" s="26">
        <v>0.18310000000000001</v>
      </c>
      <c r="H25816" s="26">
        <v>0.10489999999999999</v>
      </c>
      <c r="I25816" s="26">
        <v>4.5600000000000002E-2</v>
      </c>
      <c r="J25816" s="26">
        <v>5.8700000000000002E-2</v>
      </c>
      <c r="K25816" s="26">
        <v>1.6500000000000001E-2</v>
      </c>
      <c r="L25816" s="26">
        <v>6.7500000000000004E-2</v>
      </c>
      <c r="M25816" s="26">
        <v>1.41E-2</v>
      </c>
      <c r="N25816" s="26">
        <v>2.1399999999999999E-2</v>
      </c>
      <c r="P25816" s="26">
        <v>2.9100000000000001E-2</v>
      </c>
      <c r="Q25816" s="26">
        <v>6.0400000000000002E-2</v>
      </c>
      <c r="R25816" s="26">
        <v>6.1000000000000004E-3</v>
      </c>
      <c r="U25816" s="26">
        <v>1.0699999999999999E-2</v>
      </c>
      <c r="W25816" s="26">
        <v>6.1000000000000004E-3</v>
      </c>
      <c r="Z25816">
        <v>102</v>
      </c>
    </row>
    <row r="25817" spans="1:26" x14ac:dyDescent="0.35">
      <c r="A25817" t="s">
        <v>229</v>
      </c>
      <c r="B25817" t="s">
        <v>1341</v>
      </c>
      <c r="C25817" t="s">
        <v>1348</v>
      </c>
      <c r="D25817" s="26">
        <v>0.53520000000000001</v>
      </c>
      <c r="E25817" s="26">
        <v>0.1585</v>
      </c>
      <c r="F25817" s="26">
        <v>0.34060000000000001</v>
      </c>
      <c r="G25817" s="26">
        <v>0.18290000000000001</v>
      </c>
      <c r="H25817" s="26">
        <v>7.6499999999999999E-2</v>
      </c>
      <c r="I25817" s="26">
        <v>4.1999999999999997E-3</v>
      </c>
      <c r="J25817" s="26">
        <v>4.1999999999999997E-3</v>
      </c>
      <c r="L25817" s="26">
        <v>4.1999999999999997E-3</v>
      </c>
      <c r="M25817" s="26">
        <v>7.0999999999999994E-2</v>
      </c>
      <c r="N25817" s="26">
        <v>8.1600000000000006E-2</v>
      </c>
      <c r="O25817" s="26">
        <v>3.2300000000000002E-2</v>
      </c>
      <c r="P25817" s="26">
        <v>7.9500000000000001E-2</v>
      </c>
      <c r="R25817" s="26">
        <v>3.3599999999999998E-2</v>
      </c>
      <c r="T25817" s="26">
        <v>7.0999999999999994E-2</v>
      </c>
      <c r="W25817" s="26">
        <v>1.1999999999999999E-3</v>
      </c>
      <c r="Z25817">
        <v>50</v>
      </c>
    </row>
    <row r="25818" spans="1:26" x14ac:dyDescent="0.35">
      <c r="A25818" s="27" t="s">
        <v>229</v>
      </c>
      <c r="B25818" s="27" t="s">
        <v>1343</v>
      </c>
      <c r="C25818" s="27" t="s">
        <v>1345</v>
      </c>
      <c r="D25818" s="29"/>
      <c r="E25818" s="29"/>
      <c r="F25818" s="28">
        <v>0.61280000000000001</v>
      </c>
      <c r="G25818" s="28">
        <v>0.36659999999999998</v>
      </c>
      <c r="H25818" s="29"/>
      <c r="I25818" s="29"/>
      <c r="J25818" s="29"/>
      <c r="K25818" s="29"/>
      <c r="L25818" s="29"/>
      <c r="M25818" s="28">
        <v>2.06E-2</v>
      </c>
      <c r="N25818" s="29"/>
      <c r="O25818" s="29"/>
      <c r="P25818" s="29"/>
      <c r="Q25818" s="29"/>
      <c r="R25818" s="29"/>
      <c r="S25818" s="29"/>
      <c r="T25818" s="29"/>
      <c r="U25818" s="29"/>
      <c r="V25818" s="29"/>
      <c r="W25818" s="29"/>
      <c r="X25818" s="29"/>
      <c r="Y25818" s="29"/>
      <c r="Z25818" s="29" t="s">
        <v>337</v>
      </c>
    </row>
    <row r="25819" spans="1:26" x14ac:dyDescent="0.35">
      <c r="A25819" s="27" t="s">
        <v>229</v>
      </c>
      <c r="B25819" s="27" t="s">
        <v>1341</v>
      </c>
      <c r="C25819" s="27" t="s">
        <v>1346</v>
      </c>
      <c r="D25819" s="28">
        <v>0.51200000000000001</v>
      </c>
      <c r="E25819" s="28">
        <v>0.24779999999999999</v>
      </c>
      <c r="F25819" s="28">
        <v>0.27679999999999999</v>
      </c>
      <c r="G25819" s="28">
        <v>0.15129999999999999</v>
      </c>
      <c r="H25819" s="29"/>
      <c r="I25819" s="28">
        <v>2.5999999999999999E-2</v>
      </c>
      <c r="J25819" s="29"/>
      <c r="K25819" s="29"/>
      <c r="L25819" s="29"/>
      <c r="M25819" s="29"/>
      <c r="N25819" s="29"/>
      <c r="O25819" s="28">
        <v>9.9099999999999994E-2</v>
      </c>
      <c r="P25819" s="29"/>
      <c r="Q25819" s="29"/>
      <c r="R25819" s="29"/>
      <c r="S25819" s="29"/>
      <c r="T25819" s="29"/>
      <c r="U25819" s="29"/>
      <c r="V25819" s="29"/>
      <c r="W25819" s="29"/>
      <c r="X25819" s="29"/>
      <c r="Y25819" s="29"/>
      <c r="Z25819" s="29" t="s">
        <v>347</v>
      </c>
    </row>
    <row r="25820" spans="1:26" x14ac:dyDescent="0.35">
      <c r="A25820" t="s">
        <v>229</v>
      </c>
      <c r="B25820" t="s">
        <v>1341</v>
      </c>
      <c r="C25820" t="s">
        <v>1347</v>
      </c>
      <c r="D25820" s="26">
        <v>0.29799999999999999</v>
      </c>
      <c r="E25820" s="26">
        <v>4.9799999999999997E-2</v>
      </c>
      <c r="F25820" s="26">
        <v>0.1348</v>
      </c>
      <c r="G25820" s="26">
        <v>0.56259999999999999</v>
      </c>
      <c r="H25820" s="26">
        <v>0.11799999999999999</v>
      </c>
      <c r="I25820" s="26">
        <v>2.1600000000000001E-2</v>
      </c>
      <c r="J25820" s="26">
        <v>4.7999999999999996E-3</v>
      </c>
      <c r="M25820" s="26">
        <v>5.67E-2</v>
      </c>
      <c r="O25820" s="26">
        <v>8.5000000000000006E-2</v>
      </c>
      <c r="Q25820" s="26">
        <v>8.5000000000000006E-2</v>
      </c>
      <c r="T25820" s="26">
        <v>3.78E-2</v>
      </c>
      <c r="Z25820">
        <v>35</v>
      </c>
    </row>
    <row r="25821" spans="1:26" x14ac:dyDescent="0.35">
      <c r="A25821" t="s">
        <v>229</v>
      </c>
      <c r="B25821" t="s">
        <v>1343</v>
      </c>
      <c r="C25821" t="s">
        <v>1346</v>
      </c>
      <c r="D25821" s="26">
        <v>0.60019999999999996</v>
      </c>
      <c r="E25821" s="26">
        <v>0.1996</v>
      </c>
      <c r="F25821" s="26">
        <v>0.26150000000000001</v>
      </c>
      <c r="G25821" s="26">
        <v>0.22339999999999999</v>
      </c>
      <c r="I25821" s="26">
        <v>7.1999999999999998E-3</v>
      </c>
      <c r="J25821" s="26">
        <v>0.1173</v>
      </c>
      <c r="K25821" s="26">
        <v>9.0899999999999995E-2</v>
      </c>
      <c r="L25821" s="26">
        <v>3.4599999999999999E-2</v>
      </c>
      <c r="M25821" s="26">
        <v>3.5999999999999999E-3</v>
      </c>
      <c r="N25821" s="26">
        <v>2.3E-3</v>
      </c>
      <c r="O25821" s="26">
        <v>1.2999999999999999E-3</v>
      </c>
      <c r="P25821" s="26">
        <v>4.7199999999999999E-2</v>
      </c>
      <c r="S25821" s="26">
        <v>4.1399999999999999E-2</v>
      </c>
      <c r="V25821" s="26">
        <v>3.4599999999999999E-2</v>
      </c>
      <c r="X25821" s="26">
        <v>3.4599999999999999E-2</v>
      </c>
      <c r="Z25821">
        <v>75</v>
      </c>
    </row>
    <row r="25822" spans="1:26" x14ac:dyDescent="0.35">
      <c r="A25822" t="s">
        <v>229</v>
      </c>
      <c r="B25822" t="s">
        <v>1343</v>
      </c>
      <c r="C25822" t="s">
        <v>1347</v>
      </c>
      <c r="D25822" s="26">
        <v>0.56899999999999995</v>
      </c>
      <c r="E25822" s="26">
        <v>0.35110000000000002</v>
      </c>
      <c r="F25822" s="26">
        <v>0.23930000000000001</v>
      </c>
      <c r="G25822" s="26">
        <v>0.1056</v>
      </c>
      <c r="H25822" s="26">
        <v>0.10580000000000001</v>
      </c>
      <c r="I25822" s="26">
        <v>2.7900000000000001E-2</v>
      </c>
      <c r="J25822" s="26">
        <v>5.2999999999999999E-2</v>
      </c>
      <c r="K25822" s="26">
        <v>5.7599999999999998E-2</v>
      </c>
      <c r="L25822" s="26">
        <v>9.5500000000000002E-2</v>
      </c>
      <c r="M25822" s="26">
        <v>3.3799999999999997E-2</v>
      </c>
      <c r="N25822" s="26">
        <v>1.3899999999999999E-2</v>
      </c>
      <c r="P25822" s="26">
        <v>3.1E-2</v>
      </c>
      <c r="Q25822" s="26">
        <v>3.6200000000000003E-2</v>
      </c>
      <c r="R25822" s="26">
        <v>3.8999999999999998E-3</v>
      </c>
      <c r="T25822" s="26">
        <v>8.7400000000000005E-2</v>
      </c>
      <c r="V25822" s="26">
        <v>2.9899999999999999E-2</v>
      </c>
      <c r="X25822" s="26">
        <v>3.8999999999999998E-3</v>
      </c>
      <c r="Z25822">
        <v>85</v>
      </c>
    </row>
    <row r="25823" spans="1:26" x14ac:dyDescent="0.35">
      <c r="A25823" s="27" t="s">
        <v>229</v>
      </c>
      <c r="B25823" s="27" t="s">
        <v>1341</v>
      </c>
      <c r="C25823" s="27" t="s">
        <v>1345</v>
      </c>
      <c r="D25823" s="28">
        <v>0.94830000000000003</v>
      </c>
      <c r="E25823" s="29"/>
      <c r="F25823" s="29"/>
      <c r="G25823" s="29"/>
      <c r="H25823" s="28">
        <v>0.91910000000000003</v>
      </c>
      <c r="I25823" s="29"/>
      <c r="J25823" s="29"/>
      <c r="K25823" s="29"/>
      <c r="L25823" s="29"/>
      <c r="M25823" s="29"/>
      <c r="N25823" s="29"/>
      <c r="O25823" s="29"/>
      <c r="P25823" s="29"/>
      <c r="Q25823" s="29"/>
      <c r="R25823" s="28">
        <v>5.1700000000000003E-2</v>
      </c>
      <c r="S25823" s="29"/>
      <c r="T25823" s="29"/>
      <c r="U25823" s="29"/>
      <c r="V25823" s="29"/>
      <c r="W25823" s="29"/>
      <c r="X25823" s="29"/>
      <c r="Y25823" s="29"/>
      <c r="Z25823" s="29" t="s">
        <v>315</v>
      </c>
    </row>
    <row r="25824" spans="1:26" x14ac:dyDescent="0.35">
      <c r="A25824" t="s">
        <v>229</v>
      </c>
      <c r="B25824" t="s">
        <v>1343</v>
      </c>
      <c r="C25824" t="s">
        <v>1348</v>
      </c>
      <c r="D25824" s="26">
        <v>0.53149999999999997</v>
      </c>
      <c r="E25824" s="26">
        <v>0.17050000000000001</v>
      </c>
      <c r="F25824" s="26">
        <v>0.2485</v>
      </c>
      <c r="G25824" s="26">
        <v>0.22320000000000001</v>
      </c>
      <c r="H25824" s="26">
        <v>3.0200000000000001E-2</v>
      </c>
      <c r="I25824" s="26">
        <v>2.3800000000000002E-2</v>
      </c>
      <c r="J25824" s="26">
        <v>3.9699999999999999E-2</v>
      </c>
      <c r="K25824" s="26">
        <v>5.7000000000000002E-2</v>
      </c>
      <c r="L25824" s="26">
        <v>5.2499999999999998E-2</v>
      </c>
      <c r="M25824" s="26">
        <v>4.0399999999999998E-2</v>
      </c>
      <c r="N25824" s="26">
        <v>5.3600000000000002E-2</v>
      </c>
      <c r="O25824" s="26">
        <v>3.5999999999999997E-2</v>
      </c>
      <c r="P25824" s="26">
        <v>3.5999999999999997E-2</v>
      </c>
      <c r="Q25824" s="26">
        <v>2.5999999999999999E-2</v>
      </c>
      <c r="R25824" s="26">
        <v>2.1700000000000001E-2</v>
      </c>
      <c r="W25824" s="26">
        <v>1.9E-2</v>
      </c>
      <c r="X25824" s="26">
        <v>1.5900000000000001E-2</v>
      </c>
      <c r="Z25824">
        <v>131</v>
      </c>
    </row>
    <row r="25825" spans="1:26" x14ac:dyDescent="0.35">
      <c r="A25825" t="s">
        <v>230</v>
      </c>
      <c r="B25825" t="s">
        <v>1343</v>
      </c>
      <c r="C25825" t="s">
        <v>1348</v>
      </c>
      <c r="D25825" s="26">
        <v>0.59299999999999997</v>
      </c>
      <c r="E25825" s="26">
        <v>0.30280000000000001</v>
      </c>
      <c r="F25825" s="26">
        <v>0.36459999999999998</v>
      </c>
      <c r="G25825" s="26">
        <v>7.4099999999999999E-2</v>
      </c>
      <c r="H25825" s="26">
        <v>0.1714</v>
      </c>
      <c r="I25825" s="26">
        <v>0.15429999999999999</v>
      </c>
      <c r="J25825" s="26">
        <v>4.7800000000000002E-2</v>
      </c>
      <c r="K25825" s="26">
        <v>8.2699999999999996E-2</v>
      </c>
      <c r="L25825" s="26">
        <v>6.6299999999999998E-2</v>
      </c>
      <c r="M25825" s="26">
        <v>6.1699999999999998E-2</v>
      </c>
      <c r="N25825" s="26">
        <v>1.35E-2</v>
      </c>
      <c r="O25825" s="26">
        <v>6.6600000000000006E-2</v>
      </c>
      <c r="P25825" s="26">
        <v>1.0200000000000001E-2</v>
      </c>
      <c r="Q25825" s="26">
        <v>3.39E-2</v>
      </c>
      <c r="R25825" s="26">
        <v>6.0000000000000001E-3</v>
      </c>
      <c r="S25825" s="26">
        <v>2.7900000000000001E-2</v>
      </c>
      <c r="T25825" s="26">
        <v>2.7900000000000001E-2</v>
      </c>
      <c r="U25825" s="26">
        <v>0.04</v>
      </c>
      <c r="V25825" s="26">
        <v>2.7900000000000001E-2</v>
      </c>
      <c r="Z25825">
        <v>117</v>
      </c>
    </row>
    <row r="25826" spans="1:26" x14ac:dyDescent="0.35">
      <c r="A25826" t="s">
        <v>230</v>
      </c>
      <c r="B25826" t="s">
        <v>1343</v>
      </c>
      <c r="C25826" t="s">
        <v>1347</v>
      </c>
      <c r="D25826" s="26">
        <v>0.73640000000000005</v>
      </c>
      <c r="E25826" s="26">
        <v>0.32840000000000003</v>
      </c>
      <c r="F25826" s="26">
        <v>0.30070000000000002</v>
      </c>
      <c r="G25826" s="26">
        <v>1.84E-2</v>
      </c>
      <c r="H25826" s="26">
        <v>5.5999999999999999E-3</v>
      </c>
      <c r="I25826" s="26">
        <v>0.14380000000000001</v>
      </c>
      <c r="J25826" s="26">
        <v>0.11890000000000001</v>
      </c>
      <c r="K25826" s="26">
        <v>7.6499999999999999E-2</v>
      </c>
      <c r="L25826" s="26">
        <v>1.21E-2</v>
      </c>
      <c r="M25826" s="26">
        <v>7.3700000000000002E-2</v>
      </c>
      <c r="N25826" s="26">
        <v>1.49E-2</v>
      </c>
      <c r="O25826" s="26">
        <v>6.4299999999999996E-2</v>
      </c>
      <c r="P25826" s="26">
        <v>5.5199999999999999E-2</v>
      </c>
      <c r="Q25826" s="26">
        <v>0.1867</v>
      </c>
      <c r="S25826" s="26">
        <v>9.2999999999999992E-3</v>
      </c>
      <c r="T25826" s="26">
        <v>9.1000000000000004E-3</v>
      </c>
      <c r="U25826" s="26">
        <v>1.84E-2</v>
      </c>
      <c r="Z25826">
        <v>59</v>
      </c>
    </row>
    <row r="25827" spans="1:26" x14ac:dyDescent="0.35">
      <c r="A25827" s="27" t="s">
        <v>230</v>
      </c>
      <c r="B25827" s="27" t="s">
        <v>1341</v>
      </c>
      <c r="C25827" s="27" t="s">
        <v>1345</v>
      </c>
      <c r="D25827" s="29"/>
      <c r="E25827" s="29"/>
      <c r="F25827" s="29"/>
      <c r="G25827" s="29"/>
      <c r="H25827" s="29"/>
      <c r="I25827" s="28">
        <v>1</v>
      </c>
      <c r="J25827" s="29"/>
      <c r="K25827" s="29"/>
      <c r="L25827" s="29"/>
      <c r="M25827" s="29"/>
      <c r="N25827" s="28">
        <v>1</v>
      </c>
      <c r="O25827" s="29"/>
      <c r="P25827" s="29"/>
      <c r="Q25827" s="29"/>
      <c r="R25827" s="29"/>
      <c r="S25827" s="29"/>
      <c r="T25827" s="29"/>
      <c r="U25827" s="29"/>
      <c r="V25827" s="29"/>
      <c r="W25827" s="29"/>
      <c r="X25827" s="29"/>
      <c r="Y25827" s="29"/>
      <c r="Z25827" s="29" t="s">
        <v>331</v>
      </c>
    </row>
    <row r="25828" spans="1:26" x14ac:dyDescent="0.35">
      <c r="A25828" s="27" t="s">
        <v>230</v>
      </c>
      <c r="B25828" s="27" t="s">
        <v>1343</v>
      </c>
      <c r="C25828" s="27" t="s">
        <v>1345</v>
      </c>
      <c r="D25828" s="29"/>
      <c r="E25828" s="29"/>
      <c r="F25828" s="29"/>
      <c r="G25828" s="28">
        <v>1</v>
      </c>
      <c r="H25828" s="29"/>
      <c r="I25828" s="29"/>
      <c r="J25828" s="29"/>
      <c r="K25828" s="29"/>
      <c r="L25828" s="29"/>
      <c r="M25828" s="29"/>
      <c r="N25828" s="29"/>
      <c r="O25828" s="29"/>
      <c r="P25828" s="29"/>
      <c r="Q25828" s="29"/>
      <c r="R25828" s="29"/>
      <c r="S25828" s="29"/>
      <c r="T25828" s="29"/>
      <c r="U25828" s="29"/>
      <c r="V25828" s="29"/>
      <c r="W25828" s="29"/>
      <c r="X25828" s="29"/>
      <c r="Y25828" s="29"/>
      <c r="Z25828" s="29" t="s">
        <v>331</v>
      </c>
    </row>
    <row r="25829" spans="1:26" x14ac:dyDescent="0.35">
      <c r="A25829" t="s">
        <v>230</v>
      </c>
      <c r="B25829" t="s">
        <v>1343</v>
      </c>
      <c r="C25829" t="s">
        <v>1346</v>
      </c>
      <c r="D25829" s="26">
        <v>0.74760000000000004</v>
      </c>
      <c r="E25829" s="26">
        <v>0.49280000000000002</v>
      </c>
      <c r="F25829" s="26">
        <v>0.29139999999999999</v>
      </c>
      <c r="G25829" s="26">
        <v>2.4899999999999999E-2</v>
      </c>
      <c r="H25829" s="26">
        <v>1.21E-2</v>
      </c>
      <c r="I25829" s="26">
        <v>0.21590000000000001</v>
      </c>
      <c r="J25829" s="26">
        <v>0.254</v>
      </c>
      <c r="K25829" s="26">
        <v>9.5000000000000001E-2</v>
      </c>
      <c r="L25829" s="26">
        <v>4.5999999999999999E-3</v>
      </c>
      <c r="M25829" s="26">
        <v>5.2999999999999999E-2</v>
      </c>
      <c r="N25829" s="26">
        <v>2.76E-2</v>
      </c>
      <c r="O25829" s="26">
        <v>4.5400000000000003E-2</v>
      </c>
      <c r="P25829" s="26">
        <v>0.108</v>
      </c>
      <c r="Q25829" s="26">
        <v>9.7999999999999997E-3</v>
      </c>
      <c r="S25829" s="26">
        <v>2.3E-3</v>
      </c>
      <c r="U25829" s="26">
        <v>2.47E-2</v>
      </c>
      <c r="V25829" s="26">
        <v>2.3E-3</v>
      </c>
      <c r="Y25829" s="26">
        <v>7.4999999999999997E-3</v>
      </c>
      <c r="Z25829">
        <v>87</v>
      </c>
    </row>
    <row r="25830" spans="1:26" x14ac:dyDescent="0.35">
      <c r="A25830" s="27" t="s">
        <v>230</v>
      </c>
      <c r="B25830" s="27" t="s">
        <v>1341</v>
      </c>
      <c r="C25830" s="27" t="s">
        <v>1346</v>
      </c>
      <c r="D25830" s="28">
        <v>0.47770000000000001</v>
      </c>
      <c r="E25830" s="28">
        <v>0.18190000000000001</v>
      </c>
      <c r="F25830" s="28">
        <v>0.14910000000000001</v>
      </c>
      <c r="G25830" s="28">
        <v>0.32279999999999998</v>
      </c>
      <c r="H25830" s="29"/>
      <c r="I25830" s="28">
        <v>0.19889999999999999</v>
      </c>
      <c r="J25830" s="29"/>
      <c r="K25830" s="29"/>
      <c r="L25830" s="29"/>
      <c r="M25830" s="29"/>
      <c r="N25830" s="29"/>
      <c r="O25830" s="29"/>
      <c r="P25830" s="28">
        <v>7.6E-3</v>
      </c>
      <c r="Q25830" s="29"/>
      <c r="R25830" s="29"/>
      <c r="S25830" s="29"/>
      <c r="T25830" s="29"/>
      <c r="U25830" s="28">
        <v>5.0299999999999997E-2</v>
      </c>
      <c r="V25830" s="29"/>
      <c r="W25830" s="29"/>
      <c r="X25830" s="29"/>
      <c r="Y25830" s="29"/>
      <c r="Z25830" s="29" t="s">
        <v>353</v>
      </c>
    </row>
    <row r="25831" spans="1:26" x14ac:dyDescent="0.35">
      <c r="A25831" t="s">
        <v>230</v>
      </c>
      <c r="B25831" t="s">
        <v>1341</v>
      </c>
      <c r="C25831" t="s">
        <v>1348</v>
      </c>
      <c r="D25831" s="26">
        <v>0.54400000000000004</v>
      </c>
      <c r="E25831" s="26">
        <v>0.35560000000000003</v>
      </c>
      <c r="F25831" s="26">
        <v>0.30280000000000001</v>
      </c>
      <c r="G25831" s="26">
        <v>0.18060000000000001</v>
      </c>
      <c r="H25831" s="26">
        <v>0.1163</v>
      </c>
      <c r="I25831" s="26">
        <v>5.1999999999999998E-2</v>
      </c>
      <c r="J25831" s="26">
        <v>1.9300000000000001E-2</v>
      </c>
      <c r="K25831" s="26">
        <v>4.4999999999999997E-3</v>
      </c>
      <c r="L25831" s="26">
        <v>9.2499999999999999E-2</v>
      </c>
      <c r="M25831" s="26">
        <v>9.2499999999999999E-2</v>
      </c>
      <c r="N25831" s="26">
        <v>1.7899999999999999E-2</v>
      </c>
      <c r="P25831" s="26">
        <v>1.7899999999999999E-2</v>
      </c>
      <c r="Q25831" s="26">
        <v>1.4500000000000001E-2</v>
      </c>
      <c r="Y25831" s="26">
        <v>4.4999999999999997E-3</v>
      </c>
      <c r="Z25831">
        <v>47</v>
      </c>
    </row>
    <row r="25832" spans="1:26" x14ac:dyDescent="0.35">
      <c r="A25832" s="27" t="s">
        <v>230</v>
      </c>
      <c r="B25832" s="27" t="s">
        <v>1341</v>
      </c>
      <c r="C25832" s="27" t="s">
        <v>1347</v>
      </c>
      <c r="D25832" s="28">
        <v>0.4965</v>
      </c>
      <c r="E25832" s="28">
        <v>0.19900000000000001</v>
      </c>
      <c r="F25832" s="28">
        <v>2.81E-2</v>
      </c>
      <c r="G25832" s="28">
        <v>0.28389999999999999</v>
      </c>
      <c r="H25832" s="28">
        <v>7.0300000000000001E-2</v>
      </c>
      <c r="I25832" s="28">
        <v>4.3200000000000002E-2</v>
      </c>
      <c r="J25832" s="29"/>
      <c r="K25832" s="28">
        <v>0.15579999999999999</v>
      </c>
      <c r="L25832" s="28">
        <v>0.12820000000000001</v>
      </c>
      <c r="M25832" s="29"/>
      <c r="N25832" s="29"/>
      <c r="O25832" s="29"/>
      <c r="P25832" s="29"/>
      <c r="Q25832" s="29"/>
      <c r="R25832" s="28">
        <v>2.1100000000000001E-2</v>
      </c>
      <c r="S25832" s="29"/>
      <c r="T25832" s="28">
        <v>6.4999999999999997E-3</v>
      </c>
      <c r="U25832" s="28">
        <v>2.1100000000000001E-2</v>
      </c>
      <c r="V25832" s="29"/>
      <c r="W25832" s="29"/>
      <c r="X25832" s="29"/>
      <c r="Y25832" s="28">
        <v>2.1100000000000001E-2</v>
      </c>
      <c r="Z25832" s="29" t="s">
        <v>357</v>
      </c>
    </row>
    <row r="25833" spans="1:26" x14ac:dyDescent="0.35">
      <c r="A25833" s="27" t="s">
        <v>231</v>
      </c>
      <c r="B25833" s="27" t="s">
        <v>1343</v>
      </c>
      <c r="C25833" s="27" t="s">
        <v>1345</v>
      </c>
      <c r="D25833" s="28">
        <v>0.5</v>
      </c>
      <c r="E25833" s="28">
        <v>0.5</v>
      </c>
      <c r="F25833" s="29"/>
      <c r="G25833" s="28">
        <v>0.5</v>
      </c>
      <c r="H25833" s="29"/>
      <c r="I25833" s="29"/>
      <c r="J25833" s="29"/>
      <c r="K25833" s="29"/>
      <c r="L25833" s="29"/>
      <c r="M25833" s="29"/>
      <c r="N25833" s="28">
        <v>0.5</v>
      </c>
      <c r="O25833" s="29"/>
      <c r="P25833" s="29"/>
      <c r="Q25833" s="29"/>
      <c r="R25833" s="29"/>
      <c r="S25833" s="29"/>
      <c r="T25833" s="29"/>
      <c r="U25833" s="29"/>
      <c r="V25833" s="29"/>
      <c r="W25833" s="29"/>
      <c r="X25833" s="29"/>
      <c r="Y25833" s="29"/>
      <c r="Z25833" s="29" t="s">
        <v>314</v>
      </c>
    </row>
    <row r="25834" spans="1:26" x14ac:dyDescent="0.35">
      <c r="A25834" s="27" t="s">
        <v>231</v>
      </c>
      <c r="B25834" s="27" t="s">
        <v>1343</v>
      </c>
      <c r="C25834" s="27" t="s">
        <v>1348</v>
      </c>
      <c r="D25834" s="28">
        <v>0.70369999999999999</v>
      </c>
      <c r="E25834" s="28">
        <v>0.29630000000000001</v>
      </c>
      <c r="F25834" s="28">
        <v>0.22220000000000001</v>
      </c>
      <c r="G25834" s="28">
        <v>0.22220000000000001</v>
      </c>
      <c r="H25834" s="28">
        <v>3.6999999999999998E-2</v>
      </c>
      <c r="I25834" s="28">
        <v>0.14810000000000001</v>
      </c>
      <c r="J25834" s="28">
        <v>7.4099999999999999E-2</v>
      </c>
      <c r="K25834" s="28">
        <v>3.6999999999999998E-2</v>
      </c>
      <c r="L25834" s="28">
        <v>0.1111</v>
      </c>
      <c r="M25834" s="28">
        <v>3.6999999999999998E-2</v>
      </c>
      <c r="N25834" s="28">
        <v>3.6999999999999998E-2</v>
      </c>
      <c r="O25834" s="29"/>
      <c r="P25834" s="29"/>
      <c r="Q25834" s="29"/>
      <c r="R25834" s="28">
        <v>3.6999999999999998E-2</v>
      </c>
      <c r="S25834" s="29"/>
      <c r="T25834" s="29"/>
      <c r="U25834" s="29"/>
      <c r="V25834" s="29"/>
      <c r="W25834" s="29"/>
      <c r="X25834" s="29"/>
      <c r="Y25834" s="29"/>
      <c r="Z25834" s="29" t="s">
        <v>338</v>
      </c>
    </row>
    <row r="25835" spans="1:26" x14ac:dyDescent="0.35">
      <c r="A25835" s="27" t="s">
        <v>231</v>
      </c>
      <c r="B25835" s="27" t="s">
        <v>1341</v>
      </c>
      <c r="C25835" s="27" t="s">
        <v>1346</v>
      </c>
      <c r="D25835" s="28">
        <v>0.66669999999999996</v>
      </c>
      <c r="E25835" s="28">
        <v>0.33329999999999999</v>
      </c>
      <c r="F25835" s="29"/>
      <c r="G25835" s="29"/>
      <c r="H25835" s="29"/>
      <c r="I25835" s="29"/>
      <c r="J25835" s="29"/>
      <c r="K25835" s="28">
        <v>0.33329999999999999</v>
      </c>
      <c r="L25835" s="29"/>
      <c r="M25835" s="29"/>
      <c r="N25835" s="29"/>
      <c r="O25835" s="29"/>
      <c r="P25835" s="29"/>
      <c r="Q25835" s="29"/>
      <c r="R25835" s="29"/>
      <c r="S25835" s="29"/>
      <c r="T25835" s="29"/>
      <c r="U25835" s="29"/>
      <c r="V25835" s="29"/>
      <c r="W25835" s="29"/>
      <c r="X25835" s="28">
        <v>0.33329999999999999</v>
      </c>
      <c r="Y25835" s="29"/>
      <c r="Z25835" s="29" t="s">
        <v>315</v>
      </c>
    </row>
    <row r="25836" spans="1:26" x14ac:dyDescent="0.35">
      <c r="A25836" s="27" t="s">
        <v>231</v>
      </c>
      <c r="B25836" s="27" t="s">
        <v>1341</v>
      </c>
      <c r="C25836" s="27" t="s">
        <v>1348</v>
      </c>
      <c r="D25836" s="28">
        <v>0.58330000000000004</v>
      </c>
      <c r="E25836" s="28">
        <v>0.16669999999999999</v>
      </c>
      <c r="F25836" s="28">
        <v>8.3299999999999999E-2</v>
      </c>
      <c r="G25836" s="28">
        <v>0.16669999999999999</v>
      </c>
      <c r="H25836" s="28">
        <v>0.25</v>
      </c>
      <c r="I25836" s="28">
        <v>8.3299999999999999E-2</v>
      </c>
      <c r="J25836" s="28">
        <v>8.3299999999999999E-2</v>
      </c>
      <c r="K25836" s="28">
        <v>8.3299999999999999E-2</v>
      </c>
      <c r="L25836" s="28">
        <v>8.3299999999999999E-2</v>
      </c>
      <c r="M25836" s="29"/>
      <c r="N25836" s="29"/>
      <c r="O25836" s="28">
        <v>8.3299999999999999E-2</v>
      </c>
      <c r="P25836" s="29"/>
      <c r="Q25836" s="29"/>
      <c r="R25836" s="28">
        <v>8.3299999999999999E-2</v>
      </c>
      <c r="S25836" s="29"/>
      <c r="T25836" s="29"/>
      <c r="U25836" s="29"/>
      <c r="V25836" s="29"/>
      <c r="W25836" s="29"/>
      <c r="X25836" s="29"/>
      <c r="Y25836" s="29"/>
      <c r="Z25836" s="29" t="s">
        <v>342</v>
      </c>
    </row>
    <row r="25837" spans="1:26" x14ac:dyDescent="0.35">
      <c r="A25837" s="27" t="s">
        <v>231</v>
      </c>
      <c r="B25837" s="27" t="s">
        <v>1343</v>
      </c>
      <c r="C25837" s="27" t="s">
        <v>1346</v>
      </c>
      <c r="D25837" s="28">
        <v>0.5333</v>
      </c>
      <c r="E25837" s="28">
        <v>0.33329999999999999</v>
      </c>
      <c r="F25837" s="28">
        <v>0.33329999999999999</v>
      </c>
      <c r="G25837" s="28">
        <v>0.1333</v>
      </c>
      <c r="H25837" s="28">
        <v>6.6699999999999995E-2</v>
      </c>
      <c r="I25837" s="28">
        <v>6.6699999999999995E-2</v>
      </c>
      <c r="J25837" s="29"/>
      <c r="K25837" s="29"/>
      <c r="L25837" s="28">
        <v>0.1333</v>
      </c>
      <c r="M25837" s="28">
        <v>6.6699999999999995E-2</v>
      </c>
      <c r="N25837" s="29"/>
      <c r="O25837" s="29"/>
      <c r="P25837" s="28">
        <v>6.6699999999999995E-2</v>
      </c>
      <c r="Q25837" s="29"/>
      <c r="R25837" s="29"/>
      <c r="S25837" s="29"/>
      <c r="T25837" s="29"/>
      <c r="U25837" s="29"/>
      <c r="V25837" s="29"/>
      <c r="W25837" s="29"/>
      <c r="X25837" s="29"/>
      <c r="Y25837" s="29"/>
      <c r="Z25837" s="29" t="s">
        <v>346</v>
      </c>
    </row>
    <row r="25838" spans="1:26" x14ac:dyDescent="0.35">
      <c r="A25838" s="27" t="s">
        <v>231</v>
      </c>
      <c r="B25838" s="27" t="s">
        <v>1341</v>
      </c>
      <c r="C25838" s="27" t="s">
        <v>1347</v>
      </c>
      <c r="D25838" s="28">
        <v>0.16669999999999999</v>
      </c>
      <c r="E25838" s="28">
        <v>0.16669999999999999</v>
      </c>
      <c r="F25838" s="28">
        <v>0.16669999999999999</v>
      </c>
      <c r="G25838" s="28">
        <v>0.33329999999999999</v>
      </c>
      <c r="H25838" s="28">
        <v>0.16669999999999999</v>
      </c>
      <c r="I25838" s="28">
        <v>0.16669999999999999</v>
      </c>
      <c r="J25838" s="29"/>
      <c r="K25838" s="29"/>
      <c r="L25838" s="29"/>
      <c r="M25838" s="29"/>
      <c r="N25838" s="29"/>
      <c r="O25838" s="28">
        <v>0.16669999999999999</v>
      </c>
      <c r="P25838" s="29"/>
      <c r="Q25838" s="29"/>
      <c r="R25838" s="29"/>
      <c r="S25838" s="29"/>
      <c r="T25838" s="29"/>
      <c r="U25838" s="29"/>
      <c r="V25838" s="29"/>
      <c r="W25838" s="28">
        <v>0.16669999999999999</v>
      </c>
      <c r="X25838" s="29"/>
      <c r="Y25838" s="29"/>
      <c r="Z25838" s="29" t="s">
        <v>335</v>
      </c>
    </row>
    <row r="25839" spans="1:26" x14ac:dyDescent="0.35">
      <c r="A25839" s="27" t="s">
        <v>231</v>
      </c>
      <c r="B25839" s="27" t="s">
        <v>1343</v>
      </c>
      <c r="C25839" s="27" t="s">
        <v>1347</v>
      </c>
      <c r="D25839" s="28">
        <v>0.33329999999999999</v>
      </c>
      <c r="E25839" s="28">
        <v>0.44440000000000002</v>
      </c>
      <c r="F25839" s="28">
        <v>0.22220000000000001</v>
      </c>
      <c r="G25839" s="29"/>
      <c r="H25839" s="28">
        <v>0.1111</v>
      </c>
      <c r="I25839" s="28">
        <v>0.1111</v>
      </c>
      <c r="J25839" s="28">
        <v>0.1111</v>
      </c>
      <c r="K25839" s="28">
        <v>0.1111</v>
      </c>
      <c r="L25839" s="29"/>
      <c r="M25839" s="29"/>
      <c r="N25839" s="28">
        <v>0.1111</v>
      </c>
      <c r="O25839" s="29"/>
      <c r="P25839" s="29"/>
      <c r="Q25839" s="28">
        <v>0.1111</v>
      </c>
      <c r="R25839" s="28">
        <v>0.1111</v>
      </c>
      <c r="S25839" s="28">
        <v>0.1111</v>
      </c>
      <c r="T25839" s="29"/>
      <c r="U25839" s="29"/>
      <c r="V25839" s="29"/>
      <c r="W25839" s="29"/>
      <c r="X25839" s="29"/>
      <c r="Y25839" s="29"/>
      <c r="Z25839" s="29" t="s">
        <v>334</v>
      </c>
    </row>
    <row r="25840" spans="1:26" x14ac:dyDescent="0.35">
      <c r="A25840" t="s">
        <v>232</v>
      </c>
      <c r="B25840" t="s">
        <v>232</v>
      </c>
      <c r="C25840" t="s">
        <v>232</v>
      </c>
      <c r="D25840" s="26">
        <v>0.56540000000000001</v>
      </c>
      <c r="E25840" s="26">
        <v>0.25569999999999998</v>
      </c>
      <c r="F25840" s="26">
        <v>0.24279999999999999</v>
      </c>
      <c r="G25840" s="26">
        <v>0.16619999999999999</v>
      </c>
      <c r="H25840" s="26">
        <v>7.5700000000000003E-2</v>
      </c>
      <c r="I25840" s="26">
        <v>6.7299999999999999E-2</v>
      </c>
      <c r="J25840" s="26">
        <v>5.8099999999999999E-2</v>
      </c>
      <c r="K25840" s="26">
        <v>5.79E-2</v>
      </c>
      <c r="L25840" s="26">
        <v>4.7600000000000003E-2</v>
      </c>
      <c r="M25840" s="26">
        <v>4.0399999999999998E-2</v>
      </c>
      <c r="N25840" s="26">
        <v>3.73E-2</v>
      </c>
      <c r="O25840" s="26">
        <v>3.3700000000000001E-2</v>
      </c>
      <c r="P25840" s="26">
        <v>2.92E-2</v>
      </c>
      <c r="Q25840" s="26">
        <v>2.6599999999999999E-2</v>
      </c>
      <c r="R25840" s="26">
        <v>2.06E-2</v>
      </c>
      <c r="S25840" s="26">
        <v>1.9199999999999998E-2</v>
      </c>
      <c r="T25840" s="26">
        <v>1.6299999999999999E-2</v>
      </c>
      <c r="U25840" s="26">
        <v>1.47E-2</v>
      </c>
      <c r="V25840" s="26">
        <v>8.0000000000000002E-3</v>
      </c>
      <c r="W25840" s="26">
        <v>7.9000000000000008E-3</v>
      </c>
      <c r="X25840" s="26">
        <v>7.3000000000000001E-3</v>
      </c>
      <c r="Y25840" s="26">
        <v>5.4999999999999997E-3</v>
      </c>
      <c r="Z25840">
        <v>1537</v>
      </c>
    </row>
    <row r="25842" spans="1:9" x14ac:dyDescent="0.35">
      <c r="A25842" s="1" t="s">
        <v>2350</v>
      </c>
    </row>
    <row r="25843" spans="1:9" x14ac:dyDescent="0.35">
      <c r="A25843" t="s">
        <v>219</v>
      </c>
      <c r="B25843" t="s">
        <v>2351</v>
      </c>
      <c r="C25843" t="s">
        <v>2352</v>
      </c>
      <c r="D25843" t="s">
        <v>2353</v>
      </c>
      <c r="E25843" t="s">
        <v>2354</v>
      </c>
      <c r="F25843" t="s">
        <v>2355</v>
      </c>
      <c r="G25843" t="s">
        <v>281</v>
      </c>
      <c r="H25843" t="s">
        <v>226</v>
      </c>
    </row>
    <row r="25844" spans="1:9" x14ac:dyDescent="0.35">
      <c r="A25844" t="s">
        <v>227</v>
      </c>
      <c r="B25844" s="26">
        <v>0.73129999999999995</v>
      </c>
      <c r="C25844" s="26">
        <v>0.31340000000000001</v>
      </c>
      <c r="D25844" s="26">
        <v>7.46E-2</v>
      </c>
      <c r="E25844" s="26">
        <v>4.48E-2</v>
      </c>
      <c r="F25844" s="26">
        <v>7.46E-2</v>
      </c>
      <c r="G25844" s="26">
        <v>1.49E-2</v>
      </c>
      <c r="H25844">
        <v>67</v>
      </c>
    </row>
    <row r="25845" spans="1:9" x14ac:dyDescent="0.35">
      <c r="A25845" t="s">
        <v>228</v>
      </c>
      <c r="B25845" s="26">
        <v>0.8639</v>
      </c>
      <c r="C25845" s="26">
        <v>0.28749999999999998</v>
      </c>
      <c r="D25845" s="26">
        <v>9.9199999999999997E-2</v>
      </c>
      <c r="E25845" s="26">
        <v>8.2699999999999996E-2</v>
      </c>
      <c r="F25845" s="26">
        <v>3.5200000000000002E-2</v>
      </c>
      <c r="G25845" s="26">
        <v>1.4800000000000001E-2</v>
      </c>
      <c r="H25845">
        <v>574</v>
      </c>
    </row>
    <row r="25846" spans="1:9" x14ac:dyDescent="0.35">
      <c r="A25846" t="s">
        <v>229</v>
      </c>
      <c r="B25846" s="26">
        <v>0.81030000000000002</v>
      </c>
      <c r="C25846" s="26">
        <v>0.28560000000000002</v>
      </c>
      <c r="D25846" s="26">
        <v>0.12909999999999999</v>
      </c>
      <c r="E25846" s="26">
        <v>0.13930000000000001</v>
      </c>
      <c r="F25846" s="26">
        <v>1.38E-2</v>
      </c>
      <c r="G25846" s="26">
        <v>2.4400000000000002E-2</v>
      </c>
      <c r="H25846">
        <v>341</v>
      </c>
    </row>
    <row r="25847" spans="1:9" x14ac:dyDescent="0.35">
      <c r="A25847" t="s">
        <v>230</v>
      </c>
      <c r="B25847" s="26">
        <v>0.81010000000000004</v>
      </c>
      <c r="C25847" s="26">
        <v>0.37909999999999999</v>
      </c>
      <c r="D25847" s="26">
        <v>0.125</v>
      </c>
      <c r="E25847" s="26">
        <v>0.105</v>
      </c>
      <c r="F25847" s="26">
        <v>3.8600000000000002E-2</v>
      </c>
      <c r="G25847" s="26">
        <v>1.8E-3</v>
      </c>
      <c r="H25847">
        <v>327</v>
      </c>
    </row>
    <row r="25848" spans="1:9" x14ac:dyDescent="0.35">
      <c r="A25848" t="s">
        <v>231</v>
      </c>
      <c r="B25848" s="26">
        <v>0.746</v>
      </c>
      <c r="C25848" s="26">
        <v>0.34920000000000001</v>
      </c>
      <c r="D25848" s="26">
        <v>4.7600000000000003E-2</v>
      </c>
      <c r="E25848" s="26">
        <v>4.7600000000000003E-2</v>
      </c>
      <c r="F25848" s="26">
        <v>4.7600000000000003E-2</v>
      </c>
      <c r="G25848" s="26">
        <v>3.1699999999999999E-2</v>
      </c>
      <c r="H25848">
        <v>63</v>
      </c>
    </row>
    <row r="25849" spans="1:9" x14ac:dyDescent="0.35">
      <c r="A25849" t="s">
        <v>232</v>
      </c>
      <c r="B25849" s="26">
        <v>0.79400000000000004</v>
      </c>
      <c r="C25849" s="26">
        <v>0.31730000000000003</v>
      </c>
      <c r="D25849" s="26">
        <v>9.2700000000000005E-2</v>
      </c>
      <c r="E25849" s="26">
        <v>8.4699999999999998E-2</v>
      </c>
      <c r="F25849" s="26">
        <v>3.9399999999999998E-2</v>
      </c>
      <c r="G25849" s="26">
        <v>2.01E-2</v>
      </c>
      <c r="H25849">
        <v>1372</v>
      </c>
    </row>
    <row r="25851" spans="1:9" x14ac:dyDescent="0.35">
      <c r="A25851" s="1" t="s">
        <v>2356</v>
      </c>
    </row>
    <row r="25852" spans="1:9" x14ac:dyDescent="0.35">
      <c r="A25852" t="s">
        <v>219</v>
      </c>
      <c r="B25852" t="s">
        <v>305</v>
      </c>
      <c r="C25852" t="s">
        <v>2351</v>
      </c>
      <c r="D25852" t="s">
        <v>2352</v>
      </c>
      <c r="E25852" t="s">
        <v>2353</v>
      </c>
      <c r="F25852" t="s">
        <v>2354</v>
      </c>
      <c r="G25852" t="s">
        <v>2355</v>
      </c>
      <c r="H25852" t="s">
        <v>281</v>
      </c>
      <c r="I25852" t="s">
        <v>226</v>
      </c>
    </row>
    <row r="25853" spans="1:9" x14ac:dyDescent="0.35">
      <c r="A25853" t="s">
        <v>227</v>
      </c>
      <c r="B25853" t="s">
        <v>242</v>
      </c>
      <c r="C25853" s="26">
        <v>0.75</v>
      </c>
      <c r="D25853" s="26">
        <v>0.38890000000000002</v>
      </c>
      <c r="E25853" s="26">
        <v>8.3299999999999999E-2</v>
      </c>
      <c r="F25853" s="26">
        <v>5.5599999999999997E-2</v>
      </c>
      <c r="G25853" s="26">
        <v>5.5599999999999997E-2</v>
      </c>
      <c r="I25853">
        <v>36</v>
      </c>
    </row>
    <row r="25854" spans="1:9" x14ac:dyDescent="0.35">
      <c r="A25854" t="s">
        <v>227</v>
      </c>
      <c r="B25854" t="s">
        <v>241</v>
      </c>
      <c r="C25854" s="26">
        <v>0.7097</v>
      </c>
      <c r="D25854" s="26">
        <v>0.2258</v>
      </c>
      <c r="E25854" s="26">
        <v>6.4500000000000002E-2</v>
      </c>
      <c r="F25854" s="26">
        <v>3.2300000000000002E-2</v>
      </c>
      <c r="G25854" s="26">
        <v>9.6799999999999997E-2</v>
      </c>
      <c r="H25854" s="26">
        <v>3.2300000000000002E-2</v>
      </c>
      <c r="I25854">
        <v>31</v>
      </c>
    </row>
    <row r="25855" spans="1:9" x14ac:dyDescent="0.35">
      <c r="A25855" t="s">
        <v>228</v>
      </c>
      <c r="B25855" t="s">
        <v>242</v>
      </c>
      <c r="C25855" s="26">
        <v>0.89849999999999997</v>
      </c>
      <c r="D25855" s="26">
        <v>0.29659999999999997</v>
      </c>
      <c r="E25855" s="26">
        <v>9.9299999999999999E-2</v>
      </c>
      <c r="F25855" s="26">
        <v>7.1199999999999999E-2</v>
      </c>
      <c r="G25855" s="26">
        <v>3.3500000000000002E-2</v>
      </c>
      <c r="H25855" s="26">
        <v>2.5899999999999999E-2</v>
      </c>
      <c r="I25855">
        <v>282</v>
      </c>
    </row>
    <row r="25856" spans="1:9" x14ac:dyDescent="0.35">
      <c r="A25856" t="s">
        <v>228</v>
      </c>
      <c r="B25856" t="s">
        <v>241</v>
      </c>
      <c r="C25856" s="26">
        <v>0.83409999999999995</v>
      </c>
      <c r="D25856" s="26">
        <v>0.2797</v>
      </c>
      <c r="E25856" s="26">
        <v>9.9000000000000005E-2</v>
      </c>
      <c r="F25856" s="26">
        <v>9.2499999999999999E-2</v>
      </c>
      <c r="G25856" s="26">
        <v>3.6700000000000003E-2</v>
      </c>
      <c r="H25856" s="26">
        <v>5.3E-3</v>
      </c>
      <c r="I25856">
        <v>292</v>
      </c>
    </row>
    <row r="25857" spans="1:9" x14ac:dyDescent="0.35">
      <c r="A25857" t="s">
        <v>229</v>
      </c>
      <c r="B25857" t="s">
        <v>242</v>
      </c>
      <c r="C25857" s="26">
        <v>0.82430000000000003</v>
      </c>
      <c r="D25857" s="26">
        <v>0.28089999999999998</v>
      </c>
      <c r="E25857" s="26">
        <v>0.11650000000000001</v>
      </c>
      <c r="F25857" s="26">
        <v>0.10100000000000001</v>
      </c>
      <c r="G25857" s="26">
        <v>1.23E-2</v>
      </c>
      <c r="H25857" s="26">
        <v>1.44E-2</v>
      </c>
      <c r="I25857">
        <v>161</v>
      </c>
    </row>
    <row r="25858" spans="1:9" x14ac:dyDescent="0.35">
      <c r="A25858" t="s">
        <v>229</v>
      </c>
      <c r="B25858" t="s">
        <v>241</v>
      </c>
      <c r="C25858" s="26">
        <v>0.7923</v>
      </c>
      <c r="D25858" s="26">
        <v>0.29160000000000003</v>
      </c>
      <c r="E25858" s="26">
        <v>0.1452</v>
      </c>
      <c r="F25858" s="26">
        <v>0.18840000000000001</v>
      </c>
      <c r="G25858" s="26">
        <v>1.5699999999999999E-2</v>
      </c>
      <c r="H25858" s="26">
        <v>3.7199999999999997E-2</v>
      </c>
      <c r="I25858">
        <v>180</v>
      </c>
    </row>
    <row r="25859" spans="1:9" x14ac:dyDescent="0.35">
      <c r="A25859" t="s">
        <v>230</v>
      </c>
      <c r="B25859" t="s">
        <v>242</v>
      </c>
      <c r="C25859" s="26">
        <v>0.79459999999999997</v>
      </c>
      <c r="D25859" s="26">
        <v>0.34649999999999997</v>
      </c>
      <c r="E25859" s="26">
        <v>0.15690000000000001</v>
      </c>
      <c r="F25859" s="26">
        <v>6.9199999999999998E-2</v>
      </c>
      <c r="G25859" s="26">
        <v>2.58E-2</v>
      </c>
      <c r="H25859" s="26">
        <v>4.0000000000000001E-3</v>
      </c>
      <c r="I25859">
        <v>135</v>
      </c>
    </row>
    <row r="25860" spans="1:9" x14ac:dyDescent="0.35">
      <c r="A25860" t="s">
        <v>230</v>
      </c>
      <c r="B25860" t="s">
        <v>241</v>
      </c>
      <c r="C25860" s="26">
        <v>0.82250000000000001</v>
      </c>
      <c r="D25860" s="26">
        <v>0.40500000000000003</v>
      </c>
      <c r="E25860" s="26">
        <v>9.9599999999999994E-2</v>
      </c>
      <c r="F25860" s="26">
        <v>0.13339999999999999</v>
      </c>
      <c r="G25860" s="26">
        <v>4.8800000000000003E-2</v>
      </c>
      <c r="I25860">
        <v>192</v>
      </c>
    </row>
    <row r="25861" spans="1:9" x14ac:dyDescent="0.35">
      <c r="A25861" s="27" t="s">
        <v>231</v>
      </c>
      <c r="B25861" s="27" t="s">
        <v>242</v>
      </c>
      <c r="C25861" s="28">
        <v>0.74070000000000003</v>
      </c>
      <c r="D25861" s="28">
        <v>0.40739999999999998</v>
      </c>
      <c r="E25861" s="28">
        <v>7.4099999999999999E-2</v>
      </c>
      <c r="F25861" s="28">
        <v>0.1111</v>
      </c>
      <c r="G25861" s="28">
        <v>3.6999999999999998E-2</v>
      </c>
      <c r="H25861" s="28">
        <v>3.6999999999999998E-2</v>
      </c>
      <c r="I25861" s="29" t="s">
        <v>338</v>
      </c>
    </row>
    <row r="25862" spans="1:9" x14ac:dyDescent="0.35">
      <c r="A25862" t="s">
        <v>231</v>
      </c>
      <c r="B25862" t="s">
        <v>241</v>
      </c>
      <c r="C25862" s="26">
        <v>0.75</v>
      </c>
      <c r="D25862" s="26">
        <v>0.30559999999999998</v>
      </c>
      <c r="E25862" s="26">
        <v>2.7799999999999998E-2</v>
      </c>
      <c r="G25862" s="26">
        <v>5.5599999999999997E-2</v>
      </c>
      <c r="H25862" s="26">
        <v>2.7799999999999998E-2</v>
      </c>
      <c r="I25862">
        <v>36</v>
      </c>
    </row>
    <row r="25863" spans="1:9" x14ac:dyDescent="0.35">
      <c r="A25863" t="s">
        <v>232</v>
      </c>
      <c r="B25863" t="s">
        <v>232</v>
      </c>
      <c r="C25863" s="26">
        <v>0.79400000000000004</v>
      </c>
      <c r="D25863" s="26">
        <v>0.31730000000000003</v>
      </c>
      <c r="E25863" s="26">
        <v>9.2700000000000005E-2</v>
      </c>
      <c r="F25863" s="26">
        <v>8.4699999999999998E-2</v>
      </c>
      <c r="G25863" s="26">
        <v>3.9399999999999998E-2</v>
      </c>
      <c r="H25863" s="26">
        <v>2.01E-2</v>
      </c>
      <c r="I25863">
        <v>1372</v>
      </c>
    </row>
    <row r="25865" spans="1:9" x14ac:dyDescent="0.35">
      <c r="A25865" s="1" t="s">
        <v>2357</v>
      </c>
    </row>
    <row r="25866" spans="1:9" x14ac:dyDescent="0.35">
      <c r="A25866" t="s">
        <v>219</v>
      </c>
      <c r="B25866" t="s">
        <v>305</v>
      </c>
      <c r="C25866" t="s">
        <v>2351</v>
      </c>
      <c r="D25866" t="s">
        <v>2352</v>
      </c>
      <c r="E25866" t="s">
        <v>2353</v>
      </c>
      <c r="F25866" t="s">
        <v>2354</v>
      </c>
      <c r="G25866" t="s">
        <v>2355</v>
      </c>
      <c r="H25866" t="s">
        <v>281</v>
      </c>
      <c r="I25866" t="s">
        <v>226</v>
      </c>
    </row>
    <row r="25867" spans="1:9" x14ac:dyDescent="0.35">
      <c r="A25867" s="27" t="s">
        <v>227</v>
      </c>
      <c r="B25867" s="27" t="s">
        <v>239</v>
      </c>
      <c r="C25867" s="28">
        <v>0.75</v>
      </c>
      <c r="D25867" s="28">
        <v>0.28570000000000001</v>
      </c>
      <c r="E25867" s="28">
        <v>3.5700000000000003E-2</v>
      </c>
      <c r="F25867" s="28">
        <v>3.5700000000000003E-2</v>
      </c>
      <c r="G25867" s="28">
        <v>0.1071</v>
      </c>
      <c r="H25867" s="29"/>
      <c r="I25867" s="29" t="s">
        <v>336</v>
      </c>
    </row>
    <row r="25868" spans="1:9" x14ac:dyDescent="0.35">
      <c r="A25868" t="s">
        <v>227</v>
      </c>
      <c r="B25868" t="s">
        <v>238</v>
      </c>
      <c r="C25868" s="26">
        <v>0.71789999999999998</v>
      </c>
      <c r="D25868" s="26">
        <v>0.33329999999999999</v>
      </c>
      <c r="E25868" s="26">
        <v>0.1026</v>
      </c>
      <c r="F25868" s="26">
        <v>5.1299999999999998E-2</v>
      </c>
      <c r="G25868" s="26">
        <v>5.1299999999999998E-2</v>
      </c>
      <c r="H25868" s="26">
        <v>2.5600000000000001E-2</v>
      </c>
      <c r="I25868">
        <v>39</v>
      </c>
    </row>
    <row r="25869" spans="1:9" x14ac:dyDescent="0.35">
      <c r="A25869" t="s">
        <v>228</v>
      </c>
      <c r="B25869" t="s">
        <v>239</v>
      </c>
      <c r="C25869" s="26">
        <v>0.88539999999999996</v>
      </c>
      <c r="D25869" s="26">
        <v>0.37759999999999999</v>
      </c>
      <c r="E25869" s="26">
        <v>9.0200000000000002E-2</v>
      </c>
      <c r="F25869" s="26">
        <v>6.1100000000000002E-2</v>
      </c>
      <c r="H25869" s="26">
        <v>4.3099999999999999E-2</v>
      </c>
      <c r="I25869">
        <v>204</v>
      </c>
    </row>
    <row r="25870" spans="1:9" x14ac:dyDescent="0.35">
      <c r="A25870" t="s">
        <v>228</v>
      </c>
      <c r="B25870" t="s">
        <v>238</v>
      </c>
      <c r="C25870" s="26">
        <v>0.85699999999999998</v>
      </c>
      <c r="D25870" s="26">
        <v>0.25840000000000002</v>
      </c>
      <c r="E25870" s="26">
        <v>0.10199999999999999</v>
      </c>
      <c r="F25870" s="26">
        <v>8.9599999999999999E-2</v>
      </c>
      <c r="G25870" s="26">
        <v>4.6600000000000003E-2</v>
      </c>
      <c r="H25870" s="26">
        <v>5.7000000000000002E-3</v>
      </c>
      <c r="I25870">
        <v>370</v>
      </c>
    </row>
    <row r="25871" spans="1:9" x14ac:dyDescent="0.35">
      <c r="A25871" t="s">
        <v>229</v>
      </c>
      <c r="B25871" t="s">
        <v>239</v>
      </c>
      <c r="C25871" s="26">
        <v>0.77700000000000002</v>
      </c>
      <c r="D25871" s="26">
        <v>0.30159999999999998</v>
      </c>
      <c r="E25871" s="26">
        <v>9.69E-2</v>
      </c>
      <c r="F25871" s="26">
        <v>6.7799999999999999E-2</v>
      </c>
      <c r="G25871" s="26">
        <v>2.4799999999999999E-2</v>
      </c>
      <c r="H25871" s="26">
        <v>4.1999999999999997E-3</v>
      </c>
      <c r="I25871">
        <v>133</v>
      </c>
    </row>
    <row r="25872" spans="1:9" x14ac:dyDescent="0.35">
      <c r="A25872" t="s">
        <v>229</v>
      </c>
      <c r="B25872" t="s">
        <v>238</v>
      </c>
      <c r="C25872" s="26">
        <v>0.82310000000000005</v>
      </c>
      <c r="D25872" s="26">
        <v>0.27939999999999998</v>
      </c>
      <c r="E25872" s="26">
        <v>0.14149999999999999</v>
      </c>
      <c r="F25872" s="26">
        <v>0.1668</v>
      </c>
      <c r="G25872" s="26">
        <v>9.5999999999999992E-3</v>
      </c>
      <c r="H25872" s="26">
        <v>3.2199999999999999E-2</v>
      </c>
      <c r="I25872">
        <v>208</v>
      </c>
    </row>
    <row r="25873" spans="1:9" x14ac:dyDescent="0.35">
      <c r="A25873" t="s">
        <v>230</v>
      </c>
      <c r="B25873" t="s">
        <v>239</v>
      </c>
      <c r="C25873" s="26">
        <v>0.88739999999999997</v>
      </c>
      <c r="D25873" s="26">
        <v>0.4531</v>
      </c>
      <c r="E25873" s="26">
        <v>9.3200000000000005E-2</v>
      </c>
      <c r="F25873" s="26">
        <v>0.11409999999999999</v>
      </c>
      <c r="I25873">
        <v>141</v>
      </c>
    </row>
    <row r="25874" spans="1:9" x14ac:dyDescent="0.35">
      <c r="A25874" t="s">
        <v>230</v>
      </c>
      <c r="B25874" t="s">
        <v>238</v>
      </c>
      <c r="C25874" s="26">
        <v>0.76600000000000001</v>
      </c>
      <c r="D25874" s="26">
        <v>0.33679999999999999</v>
      </c>
      <c r="E25874" s="26">
        <v>0.14319999999999999</v>
      </c>
      <c r="F25874" s="26">
        <v>9.9699999999999997E-2</v>
      </c>
      <c r="G25874" s="26">
        <v>6.0699999999999997E-2</v>
      </c>
      <c r="H25874" s="26">
        <v>2.8E-3</v>
      </c>
      <c r="I25874">
        <v>186</v>
      </c>
    </row>
    <row r="25875" spans="1:9" x14ac:dyDescent="0.35">
      <c r="A25875" s="27" t="s">
        <v>231</v>
      </c>
      <c r="B25875" s="27" t="s">
        <v>239</v>
      </c>
      <c r="C25875" s="28">
        <v>0.71430000000000005</v>
      </c>
      <c r="D25875" s="28">
        <v>0.39290000000000003</v>
      </c>
      <c r="E25875" s="28">
        <v>0.1071</v>
      </c>
      <c r="F25875" s="28">
        <v>3.5700000000000003E-2</v>
      </c>
      <c r="G25875" s="28">
        <v>7.1400000000000005E-2</v>
      </c>
      <c r="H25875" s="29"/>
      <c r="I25875" s="29" t="s">
        <v>336</v>
      </c>
    </row>
    <row r="25876" spans="1:9" x14ac:dyDescent="0.35">
      <c r="A25876" t="s">
        <v>231</v>
      </c>
      <c r="B25876" t="s">
        <v>238</v>
      </c>
      <c r="C25876" s="26">
        <v>0.77139999999999997</v>
      </c>
      <c r="D25876" s="26">
        <v>0.31430000000000002</v>
      </c>
      <c r="F25876" s="26">
        <v>5.7099999999999998E-2</v>
      </c>
      <c r="G25876" s="26">
        <v>2.86E-2</v>
      </c>
      <c r="H25876" s="26">
        <v>5.7099999999999998E-2</v>
      </c>
      <c r="I25876">
        <v>35</v>
      </c>
    </row>
    <row r="25877" spans="1:9" x14ac:dyDescent="0.35">
      <c r="A25877" t="s">
        <v>232</v>
      </c>
      <c r="B25877" t="s">
        <v>232</v>
      </c>
      <c r="C25877" s="26">
        <v>0.79400000000000004</v>
      </c>
      <c r="D25877" s="26">
        <v>0.31730000000000003</v>
      </c>
      <c r="E25877" s="26">
        <v>9.2700000000000005E-2</v>
      </c>
      <c r="F25877" s="26">
        <v>8.4699999999999998E-2</v>
      </c>
      <c r="G25877" s="26">
        <v>3.9399999999999998E-2</v>
      </c>
      <c r="H25877" s="26">
        <v>2.01E-2</v>
      </c>
      <c r="I25877">
        <v>1372</v>
      </c>
    </row>
    <row r="25879" spans="1:9" x14ac:dyDescent="0.35">
      <c r="A25879" s="1" t="s">
        <v>2358</v>
      </c>
    </row>
    <row r="25880" spans="1:9" x14ac:dyDescent="0.35">
      <c r="A25880" t="s">
        <v>219</v>
      </c>
      <c r="B25880" t="s">
        <v>305</v>
      </c>
      <c r="C25880" t="s">
        <v>2351</v>
      </c>
      <c r="D25880" t="s">
        <v>2352</v>
      </c>
      <c r="E25880" t="s">
        <v>2353</v>
      </c>
      <c r="F25880" t="s">
        <v>2354</v>
      </c>
      <c r="G25880" t="s">
        <v>2355</v>
      </c>
      <c r="H25880" t="s">
        <v>281</v>
      </c>
      <c r="I25880" t="s">
        <v>226</v>
      </c>
    </row>
    <row r="25881" spans="1:9" x14ac:dyDescent="0.35">
      <c r="A25881" t="s">
        <v>227</v>
      </c>
      <c r="B25881" t="s">
        <v>244</v>
      </c>
      <c r="C25881" s="26">
        <v>0.76190000000000002</v>
      </c>
      <c r="D25881" s="26">
        <v>0.21429999999999999</v>
      </c>
      <c r="E25881" s="26">
        <v>9.5200000000000007E-2</v>
      </c>
      <c r="F25881" s="26">
        <v>7.1400000000000005E-2</v>
      </c>
      <c r="G25881" s="26">
        <v>9.5200000000000007E-2</v>
      </c>
      <c r="I25881">
        <v>42</v>
      </c>
    </row>
    <row r="25882" spans="1:9" x14ac:dyDescent="0.35">
      <c r="A25882" s="27" t="s">
        <v>227</v>
      </c>
      <c r="B25882" s="27" t="s">
        <v>245</v>
      </c>
      <c r="C25882" s="28">
        <v>0.64710000000000001</v>
      </c>
      <c r="D25882" s="28">
        <v>0.4118</v>
      </c>
      <c r="E25882" s="29"/>
      <c r="F25882" s="29"/>
      <c r="G25882" s="28">
        <v>5.8799999999999998E-2</v>
      </c>
      <c r="H25882" s="28">
        <v>5.8799999999999998E-2</v>
      </c>
      <c r="I25882" s="29" t="s">
        <v>343</v>
      </c>
    </row>
    <row r="25883" spans="1:9" x14ac:dyDescent="0.35">
      <c r="A25883" s="27" t="s">
        <v>227</v>
      </c>
      <c r="B25883" s="27" t="s">
        <v>246</v>
      </c>
      <c r="C25883" s="28">
        <v>0.75</v>
      </c>
      <c r="D25883" s="28">
        <v>0.625</v>
      </c>
      <c r="E25883" s="28">
        <v>0.125</v>
      </c>
      <c r="F25883" s="29"/>
      <c r="G25883" s="29"/>
      <c r="H25883" s="29"/>
      <c r="I25883" s="29" t="s">
        <v>333</v>
      </c>
    </row>
    <row r="25884" spans="1:9" x14ac:dyDescent="0.35">
      <c r="A25884" t="s">
        <v>228</v>
      </c>
      <c r="B25884" t="s">
        <v>244</v>
      </c>
      <c r="C25884" s="26">
        <v>0.89</v>
      </c>
      <c r="D25884" s="26">
        <v>0.25169999999999998</v>
      </c>
      <c r="E25884" s="26">
        <v>9.1399999999999995E-2</v>
      </c>
      <c r="F25884" s="26">
        <v>7.51E-2</v>
      </c>
      <c r="G25884" s="26">
        <v>3.1899999999999998E-2</v>
      </c>
      <c r="H25884" s="26">
        <v>5.7999999999999996E-3</v>
      </c>
      <c r="I25884">
        <v>351</v>
      </c>
    </row>
    <row r="25885" spans="1:9" x14ac:dyDescent="0.35">
      <c r="A25885" t="s">
        <v>228</v>
      </c>
      <c r="B25885" t="s">
        <v>245</v>
      </c>
      <c r="C25885" s="26">
        <v>0.88959999999999995</v>
      </c>
      <c r="D25885" s="26">
        <v>0.34939999999999999</v>
      </c>
      <c r="E25885" s="26">
        <v>0.1178</v>
      </c>
      <c r="F25885" s="26">
        <v>6.3200000000000006E-2</v>
      </c>
      <c r="G25885" s="26">
        <v>4.1999999999999997E-3</v>
      </c>
      <c r="H25885" s="26">
        <v>8.3000000000000001E-3</v>
      </c>
      <c r="I25885">
        <v>177</v>
      </c>
    </row>
    <row r="25886" spans="1:9" x14ac:dyDescent="0.35">
      <c r="A25886" t="s">
        <v>228</v>
      </c>
      <c r="B25886" t="s">
        <v>246</v>
      </c>
      <c r="C25886" s="26">
        <v>0.61460000000000004</v>
      </c>
      <c r="D25886" s="26">
        <v>0.35299999999999998</v>
      </c>
      <c r="E25886" s="26">
        <v>9.8500000000000004E-2</v>
      </c>
      <c r="F25886" s="26">
        <v>0.18870000000000001</v>
      </c>
      <c r="G25886" s="26">
        <v>0.1457</v>
      </c>
      <c r="H25886" s="26">
        <v>9.3899999999999997E-2</v>
      </c>
      <c r="I25886">
        <v>46</v>
      </c>
    </row>
    <row r="25887" spans="1:9" x14ac:dyDescent="0.35">
      <c r="A25887" t="s">
        <v>229</v>
      </c>
      <c r="B25887" t="s">
        <v>244</v>
      </c>
      <c r="C25887" s="26">
        <v>0.83819999999999995</v>
      </c>
      <c r="D25887" s="26">
        <v>0.26790000000000003</v>
      </c>
      <c r="E25887" s="26">
        <v>0.11749999999999999</v>
      </c>
      <c r="F25887" s="26">
        <v>0.17710000000000001</v>
      </c>
      <c r="G25887" s="26">
        <v>1.0699999999999999E-2</v>
      </c>
      <c r="H25887" s="26">
        <v>1.3899999999999999E-2</v>
      </c>
      <c r="I25887">
        <v>207</v>
      </c>
    </row>
    <row r="25888" spans="1:9" x14ac:dyDescent="0.35">
      <c r="A25888" t="s">
        <v>229</v>
      </c>
      <c r="B25888" t="s">
        <v>245</v>
      </c>
      <c r="C25888" s="26">
        <v>0.71889999999999998</v>
      </c>
      <c r="D25888" s="26">
        <v>0.2591</v>
      </c>
      <c r="E25888" s="26">
        <v>0.1108</v>
      </c>
      <c r="F25888" s="26">
        <v>3.3999999999999998E-3</v>
      </c>
      <c r="G25888" s="26">
        <v>2.6200000000000001E-2</v>
      </c>
      <c r="H25888" s="26">
        <v>5.8500000000000003E-2</v>
      </c>
      <c r="I25888">
        <v>107</v>
      </c>
    </row>
    <row r="25889" spans="1:9" x14ac:dyDescent="0.35">
      <c r="A25889" s="27" t="s">
        <v>229</v>
      </c>
      <c r="B25889" s="27" t="s">
        <v>246</v>
      </c>
      <c r="C25889" s="28">
        <v>0.87729999999999997</v>
      </c>
      <c r="D25889" s="28">
        <v>0.49030000000000001</v>
      </c>
      <c r="E25889" s="28">
        <v>0.26550000000000001</v>
      </c>
      <c r="F25889" s="28">
        <v>0.26550000000000001</v>
      </c>
      <c r="G25889" s="29"/>
      <c r="H25889" s="29"/>
      <c r="I25889" s="29" t="s">
        <v>338</v>
      </c>
    </row>
    <row r="25890" spans="1:9" x14ac:dyDescent="0.35">
      <c r="A25890" t="s">
        <v>230</v>
      </c>
      <c r="B25890" t="s">
        <v>244</v>
      </c>
      <c r="C25890" s="26">
        <v>0.81769999999999998</v>
      </c>
      <c r="D25890" s="26">
        <v>0.38240000000000002</v>
      </c>
      <c r="E25890" s="26">
        <v>0.12039999999999999</v>
      </c>
      <c r="F25890" s="26">
        <v>0.14019999999999999</v>
      </c>
      <c r="G25890" s="26">
        <v>3.7600000000000001E-2</v>
      </c>
      <c r="H25890" s="26">
        <v>2.8E-3</v>
      </c>
      <c r="I25890">
        <v>212</v>
      </c>
    </row>
    <row r="25891" spans="1:9" x14ac:dyDescent="0.35">
      <c r="A25891" t="s">
        <v>230</v>
      </c>
      <c r="B25891" t="s">
        <v>245</v>
      </c>
      <c r="C25891" s="26">
        <v>0.81720000000000004</v>
      </c>
      <c r="D25891" s="26">
        <v>0.34960000000000002</v>
      </c>
      <c r="E25891" s="26">
        <v>0.1472</v>
      </c>
      <c r="F25891" s="26">
        <v>4.4200000000000003E-2</v>
      </c>
      <c r="G25891" s="26">
        <v>4.2299999999999997E-2</v>
      </c>
      <c r="I25891">
        <v>94</v>
      </c>
    </row>
    <row r="25892" spans="1:9" x14ac:dyDescent="0.35">
      <c r="A25892" s="27" t="s">
        <v>230</v>
      </c>
      <c r="B25892" s="27" t="s">
        <v>246</v>
      </c>
      <c r="C25892" s="28">
        <v>0.69159999999999999</v>
      </c>
      <c r="D25892" s="28">
        <v>0.49249999999999999</v>
      </c>
      <c r="E25892" s="28">
        <v>6.2100000000000002E-2</v>
      </c>
      <c r="F25892" s="28">
        <v>3.0300000000000001E-2</v>
      </c>
      <c r="G25892" s="28">
        <v>3.1099999999999999E-2</v>
      </c>
      <c r="H25892" s="29"/>
      <c r="I25892" s="29" t="s">
        <v>351</v>
      </c>
    </row>
    <row r="25893" spans="1:9" x14ac:dyDescent="0.35">
      <c r="A25893" t="s">
        <v>231</v>
      </c>
      <c r="B25893" t="s">
        <v>244</v>
      </c>
      <c r="C25893" s="26">
        <v>0.75680000000000003</v>
      </c>
      <c r="D25893" s="26">
        <v>0.37840000000000001</v>
      </c>
      <c r="E25893" s="26">
        <v>2.7E-2</v>
      </c>
      <c r="F25893" s="26">
        <v>8.1100000000000005E-2</v>
      </c>
      <c r="G25893" s="26">
        <v>5.4100000000000002E-2</v>
      </c>
      <c r="H25893" s="26">
        <v>2.7E-2</v>
      </c>
      <c r="I25893">
        <v>37</v>
      </c>
    </row>
    <row r="25894" spans="1:9" x14ac:dyDescent="0.35">
      <c r="A25894" s="27" t="s">
        <v>231</v>
      </c>
      <c r="B25894" s="27" t="s">
        <v>245</v>
      </c>
      <c r="C25894" s="28">
        <v>0.78259999999999996</v>
      </c>
      <c r="D25894" s="28">
        <v>0.30430000000000001</v>
      </c>
      <c r="E25894" s="28">
        <v>8.6999999999999994E-2</v>
      </c>
      <c r="F25894" s="29"/>
      <c r="G25894" s="29"/>
      <c r="H25894" s="28">
        <v>4.3499999999999997E-2</v>
      </c>
      <c r="I25894" s="29" t="s">
        <v>328</v>
      </c>
    </row>
    <row r="25895" spans="1:9" x14ac:dyDescent="0.35">
      <c r="A25895" s="27" t="s">
        <v>231</v>
      </c>
      <c r="B25895" s="27" t="s">
        <v>246</v>
      </c>
      <c r="C25895" s="28">
        <v>0.33329999999999999</v>
      </c>
      <c r="D25895" s="28">
        <v>0.33329999999999999</v>
      </c>
      <c r="E25895" s="29"/>
      <c r="F25895" s="29"/>
      <c r="G25895" s="28">
        <v>0.33329999999999999</v>
      </c>
      <c r="H25895" s="29"/>
      <c r="I25895" s="29" t="s">
        <v>315</v>
      </c>
    </row>
    <row r="25896" spans="1:9" x14ac:dyDescent="0.35">
      <c r="A25896" t="s">
        <v>232</v>
      </c>
      <c r="B25896" t="s">
        <v>232</v>
      </c>
      <c r="C25896" s="26">
        <v>0.79400000000000004</v>
      </c>
      <c r="D25896" s="26">
        <v>0.31730000000000003</v>
      </c>
      <c r="E25896" s="26">
        <v>9.2700000000000005E-2</v>
      </c>
      <c r="F25896" s="26">
        <v>8.4699999999999998E-2</v>
      </c>
      <c r="G25896" s="26">
        <v>3.9399999999999998E-2</v>
      </c>
      <c r="H25896" s="26">
        <v>2.01E-2</v>
      </c>
      <c r="I25896">
        <v>1372</v>
      </c>
    </row>
    <row r="25898" spans="1:9" x14ac:dyDescent="0.35">
      <c r="A25898" s="1" t="s">
        <v>2359</v>
      </c>
    </row>
    <row r="25899" spans="1:9" x14ac:dyDescent="0.35">
      <c r="A25899" t="s">
        <v>219</v>
      </c>
      <c r="B25899" t="s">
        <v>305</v>
      </c>
      <c r="C25899" t="s">
        <v>2351</v>
      </c>
      <c r="D25899" t="s">
        <v>2352</v>
      </c>
      <c r="E25899" t="s">
        <v>2353</v>
      </c>
      <c r="F25899" t="s">
        <v>2354</v>
      </c>
      <c r="G25899" t="s">
        <v>2355</v>
      </c>
      <c r="H25899" t="s">
        <v>281</v>
      </c>
      <c r="I25899" t="s">
        <v>226</v>
      </c>
    </row>
    <row r="25900" spans="1:9" x14ac:dyDescent="0.35">
      <c r="A25900" s="27" t="s">
        <v>227</v>
      </c>
      <c r="B25900" s="27" t="s">
        <v>363</v>
      </c>
      <c r="C25900" s="28">
        <v>0.92859999999999998</v>
      </c>
      <c r="D25900" s="28">
        <v>0.21429999999999999</v>
      </c>
      <c r="E25900" s="28">
        <v>7.1400000000000005E-2</v>
      </c>
      <c r="F25900" s="29"/>
      <c r="G25900" s="29"/>
      <c r="H25900" s="29"/>
      <c r="I25900" s="29" t="s">
        <v>379</v>
      </c>
    </row>
    <row r="25901" spans="1:9" x14ac:dyDescent="0.35">
      <c r="A25901" s="27" t="s">
        <v>227</v>
      </c>
      <c r="B25901" s="27" t="s">
        <v>360</v>
      </c>
      <c r="C25901" s="28">
        <v>0.75</v>
      </c>
      <c r="D25901" s="28">
        <v>0.41670000000000001</v>
      </c>
      <c r="E25901" s="28">
        <v>4.1700000000000001E-2</v>
      </c>
      <c r="F25901" s="28">
        <v>4.1700000000000001E-2</v>
      </c>
      <c r="G25901" s="28">
        <v>8.3299999999999999E-2</v>
      </c>
      <c r="H25901" s="28">
        <v>4.1700000000000001E-2</v>
      </c>
      <c r="I25901" s="29" t="s">
        <v>310</v>
      </c>
    </row>
    <row r="25902" spans="1:9" x14ac:dyDescent="0.35">
      <c r="A25902" s="27" t="s">
        <v>227</v>
      </c>
      <c r="B25902" s="27" t="s">
        <v>361</v>
      </c>
      <c r="C25902" s="28">
        <v>0.42859999999999998</v>
      </c>
      <c r="D25902" s="28">
        <v>0.28570000000000001</v>
      </c>
      <c r="E25902" s="28">
        <v>0.28570000000000001</v>
      </c>
      <c r="F25902" s="29"/>
      <c r="G25902" s="28">
        <v>0.1429</v>
      </c>
      <c r="H25902" s="29"/>
      <c r="I25902" s="29" t="s">
        <v>339</v>
      </c>
    </row>
    <row r="25903" spans="1:9" x14ac:dyDescent="0.35">
      <c r="A25903" s="27" t="s">
        <v>227</v>
      </c>
      <c r="B25903" s="27" t="s">
        <v>362</v>
      </c>
      <c r="C25903" s="28">
        <v>0.66669999999999996</v>
      </c>
      <c r="D25903" s="28">
        <v>0.23810000000000001</v>
      </c>
      <c r="E25903" s="28">
        <v>4.7600000000000003E-2</v>
      </c>
      <c r="F25903" s="28">
        <v>9.5200000000000007E-2</v>
      </c>
      <c r="G25903" s="28">
        <v>9.5200000000000007E-2</v>
      </c>
      <c r="H25903" s="29"/>
      <c r="I25903" s="29" t="s">
        <v>351</v>
      </c>
    </row>
    <row r="25904" spans="1:9" x14ac:dyDescent="0.35">
      <c r="A25904" t="s">
        <v>228</v>
      </c>
      <c r="B25904" t="s">
        <v>362</v>
      </c>
      <c r="C25904" s="26">
        <v>0.88749999999999996</v>
      </c>
      <c r="D25904" s="26">
        <v>0.25169999999999998</v>
      </c>
      <c r="E25904" s="26">
        <v>5.8099999999999999E-2</v>
      </c>
      <c r="F25904" s="26">
        <v>0.1072</v>
      </c>
      <c r="G25904" s="26">
        <v>2.9100000000000001E-2</v>
      </c>
      <c r="I25904">
        <v>135</v>
      </c>
    </row>
    <row r="25905" spans="1:9" x14ac:dyDescent="0.35">
      <c r="A25905" t="s">
        <v>228</v>
      </c>
      <c r="B25905" t="s">
        <v>360</v>
      </c>
      <c r="C25905" s="26">
        <v>0.89429999999999998</v>
      </c>
      <c r="D25905" s="26">
        <v>0.32569999999999999</v>
      </c>
      <c r="E25905" s="26">
        <v>9.0200000000000002E-2</v>
      </c>
      <c r="F25905" s="26">
        <v>6.3100000000000003E-2</v>
      </c>
      <c r="G25905" s="26">
        <v>8.6E-3</v>
      </c>
      <c r="H25905" s="26">
        <v>3.3399999999999999E-2</v>
      </c>
      <c r="I25905">
        <v>186</v>
      </c>
    </row>
    <row r="25906" spans="1:9" x14ac:dyDescent="0.35">
      <c r="A25906" t="s">
        <v>228</v>
      </c>
      <c r="B25906" t="s">
        <v>363</v>
      </c>
      <c r="C25906" s="26">
        <v>0.85189999999999999</v>
      </c>
      <c r="D25906" s="26">
        <v>0.24829999999999999</v>
      </c>
      <c r="E25906" s="26">
        <v>0.14099999999999999</v>
      </c>
      <c r="F25906" s="26">
        <v>0.1197</v>
      </c>
      <c r="G25906" s="26">
        <v>4.58E-2</v>
      </c>
      <c r="H25906" s="26">
        <v>2.01E-2</v>
      </c>
      <c r="I25906">
        <v>109</v>
      </c>
    </row>
    <row r="25907" spans="1:9" x14ac:dyDescent="0.35">
      <c r="A25907" t="s">
        <v>228</v>
      </c>
      <c r="B25907" t="s">
        <v>361</v>
      </c>
      <c r="C25907" s="26">
        <v>0.82809999999999995</v>
      </c>
      <c r="D25907" s="26">
        <v>0.28129999999999999</v>
      </c>
      <c r="E25907" s="26">
        <v>7.7499999999999999E-2</v>
      </c>
      <c r="F25907" s="26">
        <v>4.7899999999999998E-2</v>
      </c>
      <c r="G25907" s="26">
        <v>8.3599999999999994E-2</v>
      </c>
      <c r="I25907">
        <v>78</v>
      </c>
    </row>
    <row r="25908" spans="1:9" x14ac:dyDescent="0.35">
      <c r="A25908" t="s">
        <v>229</v>
      </c>
      <c r="B25908" t="s">
        <v>362</v>
      </c>
      <c r="C25908" s="26">
        <v>0.63590000000000002</v>
      </c>
      <c r="D25908" s="26">
        <v>0.39760000000000001</v>
      </c>
      <c r="E25908" s="26">
        <v>1.26E-2</v>
      </c>
      <c r="F25908" s="26">
        <v>0.1328</v>
      </c>
      <c r="G25908" s="26">
        <v>7.46E-2</v>
      </c>
      <c r="H25908" s="26">
        <v>1.4E-3</v>
      </c>
      <c r="I25908">
        <v>83</v>
      </c>
    </row>
    <row r="25909" spans="1:9" x14ac:dyDescent="0.35">
      <c r="A25909" t="s">
        <v>229</v>
      </c>
      <c r="B25909" t="s">
        <v>361</v>
      </c>
      <c r="C25909" s="26">
        <v>0.82320000000000004</v>
      </c>
      <c r="D25909" s="26">
        <v>0.25009999999999999</v>
      </c>
      <c r="E25909" s="26">
        <v>0.16539999999999999</v>
      </c>
      <c r="F25909" s="26">
        <v>0.24399999999999999</v>
      </c>
      <c r="H25909" s="26">
        <v>2.5399999999999999E-2</v>
      </c>
      <c r="I25909">
        <v>57</v>
      </c>
    </row>
    <row r="25910" spans="1:9" x14ac:dyDescent="0.35">
      <c r="A25910" t="s">
        <v>229</v>
      </c>
      <c r="B25910" t="s">
        <v>363</v>
      </c>
      <c r="C25910" s="26">
        <v>0.88419999999999999</v>
      </c>
      <c r="D25910" s="26">
        <v>0.25109999999999999</v>
      </c>
      <c r="E25910" s="26">
        <v>0.15260000000000001</v>
      </c>
      <c r="F25910" s="26">
        <v>0.1091</v>
      </c>
      <c r="I25910">
        <v>74</v>
      </c>
    </row>
    <row r="25911" spans="1:9" x14ac:dyDescent="0.35">
      <c r="A25911" t="s">
        <v>229</v>
      </c>
      <c r="B25911" t="s">
        <v>360</v>
      </c>
      <c r="C25911" s="26">
        <v>0.83819999999999995</v>
      </c>
      <c r="D25911" s="26">
        <v>0.30969999999999998</v>
      </c>
      <c r="E25911" s="26">
        <v>0.12889999999999999</v>
      </c>
      <c r="F25911" s="26">
        <v>9.4399999999999998E-2</v>
      </c>
      <c r="H25911" s="26">
        <v>3.3500000000000002E-2</v>
      </c>
      <c r="I25911">
        <v>86</v>
      </c>
    </row>
    <row r="25912" spans="1:9" x14ac:dyDescent="0.35">
      <c r="A25912" t="s">
        <v>230</v>
      </c>
      <c r="B25912" t="s">
        <v>361</v>
      </c>
      <c r="C25912" s="26">
        <v>0.75949999999999995</v>
      </c>
      <c r="D25912" s="26">
        <v>0.35270000000000001</v>
      </c>
      <c r="E25912" s="26">
        <v>0.20569999999999999</v>
      </c>
      <c r="F25912" s="26">
        <v>0.13300000000000001</v>
      </c>
      <c r="G25912" s="26">
        <v>0.16159999999999999</v>
      </c>
      <c r="I25912">
        <v>42</v>
      </c>
    </row>
    <row r="25913" spans="1:9" x14ac:dyDescent="0.35">
      <c r="A25913" t="s">
        <v>230</v>
      </c>
      <c r="B25913" t="s">
        <v>360</v>
      </c>
      <c r="C25913" s="26">
        <v>0.90839999999999999</v>
      </c>
      <c r="D25913" s="26">
        <v>0.29630000000000001</v>
      </c>
      <c r="E25913" s="26">
        <v>4.24E-2</v>
      </c>
      <c r="F25913" s="26">
        <v>0.109</v>
      </c>
      <c r="G25913" s="26">
        <v>6.7999999999999996E-3</v>
      </c>
      <c r="I25913">
        <v>91</v>
      </c>
    </row>
    <row r="25914" spans="1:9" x14ac:dyDescent="0.35">
      <c r="A25914" t="s">
        <v>230</v>
      </c>
      <c r="B25914" t="s">
        <v>362</v>
      </c>
      <c r="C25914" s="26">
        <v>0.79459999999999997</v>
      </c>
      <c r="D25914" s="26">
        <v>0.50880000000000003</v>
      </c>
      <c r="E25914" s="26">
        <v>0.1411</v>
      </c>
      <c r="F25914" s="26">
        <v>0.11070000000000001</v>
      </c>
      <c r="H25914" s="26">
        <v>6.6E-3</v>
      </c>
      <c r="I25914">
        <v>97</v>
      </c>
    </row>
    <row r="25915" spans="1:9" x14ac:dyDescent="0.35">
      <c r="A25915" t="s">
        <v>230</v>
      </c>
      <c r="B25915" t="s">
        <v>363</v>
      </c>
      <c r="C25915" s="26">
        <v>0.80810000000000004</v>
      </c>
      <c r="D25915" s="26">
        <v>0.30659999999999998</v>
      </c>
      <c r="E25915" s="26">
        <v>0.1641</v>
      </c>
      <c r="F25915" s="26">
        <v>9.35E-2</v>
      </c>
      <c r="G25915" s="26">
        <v>5.8200000000000002E-2</v>
      </c>
      <c r="I25915">
        <v>72</v>
      </c>
    </row>
    <row r="25916" spans="1:9" x14ac:dyDescent="0.35">
      <c r="A25916" s="27" t="s">
        <v>231</v>
      </c>
      <c r="B25916" s="27" t="s">
        <v>360</v>
      </c>
      <c r="C25916" s="28">
        <v>0.72729999999999995</v>
      </c>
      <c r="D25916" s="28">
        <v>0.40910000000000002</v>
      </c>
      <c r="E25916" s="28">
        <v>4.5499999999999999E-2</v>
      </c>
      <c r="F25916" s="29"/>
      <c r="G25916" s="28">
        <v>4.5499999999999999E-2</v>
      </c>
      <c r="H25916" s="28">
        <v>4.5499999999999999E-2</v>
      </c>
      <c r="I25916" s="29" t="s">
        <v>347</v>
      </c>
    </row>
    <row r="25917" spans="1:9" x14ac:dyDescent="0.35">
      <c r="A25917" s="27" t="s">
        <v>231</v>
      </c>
      <c r="B25917" s="27" t="s">
        <v>362</v>
      </c>
      <c r="C25917" s="28">
        <v>0.8</v>
      </c>
      <c r="D25917" s="28">
        <v>0.4667</v>
      </c>
      <c r="E25917" s="28">
        <v>0.1333</v>
      </c>
      <c r="F25917" s="28">
        <v>6.6699999999999995E-2</v>
      </c>
      <c r="G25917" s="29"/>
      <c r="H25917" s="29"/>
      <c r="I25917" s="29" t="s">
        <v>346</v>
      </c>
    </row>
    <row r="25918" spans="1:9" x14ac:dyDescent="0.35">
      <c r="A25918" s="27" t="s">
        <v>231</v>
      </c>
      <c r="B25918" s="27" t="s">
        <v>361</v>
      </c>
      <c r="C25918" s="28">
        <v>0.58330000000000004</v>
      </c>
      <c r="D25918" s="28">
        <v>0.33329999999999999</v>
      </c>
      <c r="E25918" s="29"/>
      <c r="F25918" s="28">
        <v>8.3299999999999999E-2</v>
      </c>
      <c r="G25918" s="28">
        <v>8.3299999999999999E-2</v>
      </c>
      <c r="H25918" s="29"/>
      <c r="I25918" s="29" t="s">
        <v>342</v>
      </c>
    </row>
    <row r="25919" spans="1:9" x14ac:dyDescent="0.35">
      <c r="A25919" s="27" t="s">
        <v>231</v>
      </c>
      <c r="B25919" s="27" t="s">
        <v>363</v>
      </c>
      <c r="C25919" s="28">
        <v>0.71430000000000005</v>
      </c>
      <c r="D25919" s="28">
        <v>0.1429</v>
      </c>
      <c r="E25919" s="29"/>
      <c r="F25919" s="28">
        <v>0.1429</v>
      </c>
      <c r="G25919" s="28">
        <v>0.1429</v>
      </c>
      <c r="H25919" s="28">
        <v>0.1429</v>
      </c>
      <c r="I25919" s="29" t="s">
        <v>339</v>
      </c>
    </row>
    <row r="25920" spans="1:9" x14ac:dyDescent="0.35">
      <c r="A25920" t="s">
        <v>232</v>
      </c>
      <c r="B25920" t="s">
        <v>232</v>
      </c>
      <c r="C25920" s="26">
        <v>0.79400000000000004</v>
      </c>
      <c r="D25920" s="26">
        <v>0.31730000000000003</v>
      </c>
      <c r="E25920" s="26">
        <v>9.2700000000000005E-2</v>
      </c>
      <c r="F25920" s="26">
        <v>8.4699999999999998E-2</v>
      </c>
      <c r="G25920" s="26">
        <v>3.9399999999999998E-2</v>
      </c>
      <c r="H25920" s="26">
        <v>2.01E-2</v>
      </c>
      <c r="I25920">
        <v>1232</v>
      </c>
    </row>
    <row r="25922" spans="1:9" x14ac:dyDescent="0.35">
      <c r="A25922" s="1" t="s">
        <v>2360</v>
      </c>
    </row>
    <row r="25923" spans="1:9" x14ac:dyDescent="0.35">
      <c r="A25923" t="s">
        <v>219</v>
      </c>
      <c r="B25923" t="s">
        <v>305</v>
      </c>
      <c r="C25923" t="s">
        <v>2351</v>
      </c>
      <c r="D25923" t="s">
        <v>2352</v>
      </c>
      <c r="E25923" t="s">
        <v>2353</v>
      </c>
      <c r="F25923" t="s">
        <v>2354</v>
      </c>
      <c r="G25923" t="s">
        <v>2355</v>
      </c>
      <c r="H25923" t="s">
        <v>281</v>
      </c>
      <c r="I25923" t="s">
        <v>226</v>
      </c>
    </row>
    <row r="25924" spans="1:9" x14ac:dyDescent="0.35">
      <c r="A25924" s="27" t="s">
        <v>227</v>
      </c>
      <c r="B25924" s="27" t="s">
        <v>267</v>
      </c>
      <c r="C25924" s="28">
        <v>0.77780000000000005</v>
      </c>
      <c r="D25924" s="28">
        <v>0.22220000000000001</v>
      </c>
      <c r="E25924" s="28">
        <v>5.5599999999999997E-2</v>
      </c>
      <c r="F25924" s="28">
        <v>5.5599999999999997E-2</v>
      </c>
      <c r="G25924" s="28">
        <v>5.5599999999999997E-2</v>
      </c>
      <c r="H25924" s="28">
        <v>5.5599999999999997E-2</v>
      </c>
      <c r="I25924" s="29" t="s">
        <v>353</v>
      </c>
    </row>
    <row r="25925" spans="1:9" x14ac:dyDescent="0.35">
      <c r="A25925" s="27" t="s">
        <v>227</v>
      </c>
      <c r="B25925" s="27" t="s">
        <v>266</v>
      </c>
      <c r="C25925" s="28">
        <v>0.61109999999999998</v>
      </c>
      <c r="D25925" s="28">
        <v>0.44440000000000002</v>
      </c>
      <c r="E25925" s="28">
        <v>0.1111</v>
      </c>
      <c r="F25925" s="28">
        <v>5.5599999999999997E-2</v>
      </c>
      <c r="G25925" s="28">
        <v>5.5599999999999997E-2</v>
      </c>
      <c r="H25925" s="29"/>
      <c r="I25925" s="29" t="s">
        <v>353</v>
      </c>
    </row>
    <row r="25926" spans="1:9" x14ac:dyDescent="0.35">
      <c r="A25926" t="s">
        <v>227</v>
      </c>
      <c r="B25926" t="s">
        <v>265</v>
      </c>
      <c r="C25926" s="26">
        <v>0.7742</v>
      </c>
      <c r="D25926" s="26">
        <v>0.2903</v>
      </c>
      <c r="E25926" s="26">
        <v>6.4500000000000002E-2</v>
      </c>
      <c r="F25926" s="26">
        <v>3.2300000000000002E-2</v>
      </c>
      <c r="G25926" s="26">
        <v>9.6799999999999997E-2</v>
      </c>
      <c r="I25926">
        <v>31</v>
      </c>
    </row>
    <row r="25927" spans="1:9" x14ac:dyDescent="0.35">
      <c r="A25927" t="s">
        <v>228</v>
      </c>
      <c r="B25927" t="s">
        <v>267</v>
      </c>
      <c r="C25927" s="26">
        <v>0.87819999999999998</v>
      </c>
      <c r="D25927" s="26">
        <v>0.30649999999999999</v>
      </c>
      <c r="E25927" s="26">
        <v>9.7199999999999995E-2</v>
      </c>
      <c r="F25927" s="26">
        <v>3.04E-2</v>
      </c>
      <c r="G25927" s="26">
        <v>1.7100000000000001E-2</v>
      </c>
      <c r="H25927" s="26">
        <v>1.2200000000000001E-2</v>
      </c>
      <c r="I25927">
        <v>100</v>
      </c>
    </row>
    <row r="25928" spans="1:9" x14ac:dyDescent="0.35">
      <c r="A25928" t="s">
        <v>228</v>
      </c>
      <c r="B25928" t="s">
        <v>265</v>
      </c>
      <c r="C25928" s="26">
        <v>0.84850000000000003</v>
      </c>
      <c r="D25928" s="26">
        <v>0.2656</v>
      </c>
      <c r="E25928" s="26">
        <v>8.48E-2</v>
      </c>
      <c r="F25928" s="26">
        <v>8.6800000000000002E-2</v>
      </c>
      <c r="G25928" s="26">
        <v>3.9800000000000002E-2</v>
      </c>
      <c r="H25928" s="26">
        <v>1.0200000000000001E-2</v>
      </c>
      <c r="I25928">
        <v>201</v>
      </c>
    </row>
    <row r="25929" spans="1:9" x14ac:dyDescent="0.35">
      <c r="A25929" s="27" t="s">
        <v>228</v>
      </c>
      <c r="B25929" s="27" t="s">
        <v>236</v>
      </c>
      <c r="C25929" s="28">
        <v>1</v>
      </c>
      <c r="D25929" s="28">
        <v>1</v>
      </c>
      <c r="E25929" s="29"/>
      <c r="F25929" s="29"/>
      <c r="G25929" s="29"/>
      <c r="H25929" s="29"/>
      <c r="I25929" s="29" t="s">
        <v>331</v>
      </c>
    </row>
    <row r="25930" spans="1:9" x14ac:dyDescent="0.35">
      <c r="A25930" t="s">
        <v>228</v>
      </c>
      <c r="B25930" t="s">
        <v>266</v>
      </c>
      <c r="C25930" s="26">
        <v>0.87050000000000005</v>
      </c>
      <c r="D25930" s="26">
        <v>0.28949999999999998</v>
      </c>
      <c r="E25930" s="26">
        <v>0.1134</v>
      </c>
      <c r="F25930" s="26">
        <v>9.6299999999999997E-2</v>
      </c>
      <c r="G25930" s="26">
        <v>3.7400000000000003E-2</v>
      </c>
      <c r="H25930" s="26">
        <v>1.9699999999999999E-2</v>
      </c>
      <c r="I25930">
        <v>272</v>
      </c>
    </row>
    <row r="25931" spans="1:9" x14ac:dyDescent="0.35">
      <c r="A25931" t="s">
        <v>229</v>
      </c>
      <c r="B25931" t="s">
        <v>266</v>
      </c>
      <c r="C25931" s="26">
        <v>0.72260000000000002</v>
      </c>
      <c r="D25931" s="26">
        <v>0.38379999999999997</v>
      </c>
      <c r="E25931" s="26">
        <v>0.13370000000000001</v>
      </c>
      <c r="F25931" s="26">
        <v>0.1399</v>
      </c>
      <c r="G25931" s="26">
        <v>1.7899999999999999E-2</v>
      </c>
      <c r="H25931" s="26">
        <v>2.5100000000000001E-2</v>
      </c>
      <c r="I25931">
        <v>157</v>
      </c>
    </row>
    <row r="25932" spans="1:9" x14ac:dyDescent="0.35">
      <c r="A25932" t="s">
        <v>229</v>
      </c>
      <c r="B25932" t="s">
        <v>267</v>
      </c>
      <c r="C25932" s="26">
        <v>0.86499999999999999</v>
      </c>
      <c r="D25932" s="26">
        <v>0.16439999999999999</v>
      </c>
      <c r="E25932" s="26">
        <v>0.1565</v>
      </c>
      <c r="F25932" s="26">
        <v>0.14599999999999999</v>
      </c>
      <c r="G25932" s="26">
        <v>3.85E-2</v>
      </c>
      <c r="H25932" s="26">
        <v>3.85E-2</v>
      </c>
      <c r="I25932">
        <v>58</v>
      </c>
    </row>
    <row r="25933" spans="1:9" x14ac:dyDescent="0.35">
      <c r="A25933" t="s">
        <v>229</v>
      </c>
      <c r="B25933" t="s">
        <v>265</v>
      </c>
      <c r="C25933" s="26">
        <v>0.86550000000000005</v>
      </c>
      <c r="D25933" s="26">
        <v>0.2485</v>
      </c>
      <c r="E25933" s="26">
        <v>0.1137</v>
      </c>
      <c r="F25933" s="26">
        <v>0.13600000000000001</v>
      </c>
      <c r="H25933" s="26">
        <v>1.7899999999999999E-2</v>
      </c>
      <c r="I25933">
        <v>126</v>
      </c>
    </row>
    <row r="25934" spans="1:9" x14ac:dyDescent="0.35">
      <c r="A25934" t="s">
        <v>230</v>
      </c>
      <c r="B25934" t="s">
        <v>267</v>
      </c>
      <c r="C25934" s="26">
        <v>0.74680000000000002</v>
      </c>
      <c r="D25934" s="26">
        <v>0.35539999999999999</v>
      </c>
      <c r="E25934" s="26">
        <v>6.1400000000000003E-2</v>
      </c>
      <c r="F25934" s="26">
        <v>8.6800000000000002E-2</v>
      </c>
      <c r="G25934" s="26">
        <v>6.5299999999999997E-2</v>
      </c>
      <c r="I25934">
        <v>60</v>
      </c>
    </row>
    <row r="25935" spans="1:9" x14ac:dyDescent="0.35">
      <c r="A25935" t="s">
        <v>230</v>
      </c>
      <c r="B25935" t="s">
        <v>266</v>
      </c>
      <c r="C25935" s="26">
        <v>0.81159999999999999</v>
      </c>
      <c r="D25935" s="26">
        <v>0.33</v>
      </c>
      <c r="E25935" s="26">
        <v>0.153</v>
      </c>
      <c r="F25935" s="26">
        <v>0.1111</v>
      </c>
      <c r="G25935" s="26">
        <v>3.3099999999999997E-2</v>
      </c>
      <c r="I25935">
        <v>149</v>
      </c>
    </row>
    <row r="25936" spans="1:9" x14ac:dyDescent="0.35">
      <c r="A25936" t="s">
        <v>230</v>
      </c>
      <c r="B25936" t="s">
        <v>265</v>
      </c>
      <c r="C25936" s="26">
        <v>0.83620000000000005</v>
      </c>
      <c r="D25936" s="26">
        <v>0.44819999999999999</v>
      </c>
      <c r="E25936" s="26">
        <v>0.11940000000000001</v>
      </c>
      <c r="F25936" s="26">
        <v>0.1056</v>
      </c>
      <c r="G25936" s="26">
        <v>3.3500000000000002E-2</v>
      </c>
      <c r="H25936" s="26">
        <v>4.7000000000000002E-3</v>
      </c>
      <c r="I25936">
        <v>118</v>
      </c>
    </row>
    <row r="25937" spans="1:9" x14ac:dyDescent="0.35">
      <c r="A25937" s="27" t="s">
        <v>231</v>
      </c>
      <c r="B25937" s="27" t="s">
        <v>267</v>
      </c>
      <c r="C25937" s="28">
        <v>0.72729999999999995</v>
      </c>
      <c r="D25937" s="28">
        <v>0.54549999999999998</v>
      </c>
      <c r="E25937" s="29"/>
      <c r="F25937" s="28">
        <v>0.18179999999999999</v>
      </c>
      <c r="G25937" s="29"/>
      <c r="H25937" s="29"/>
      <c r="I25937" s="29" t="s">
        <v>352</v>
      </c>
    </row>
    <row r="25938" spans="1:9" x14ac:dyDescent="0.35">
      <c r="A25938" s="27" t="s">
        <v>231</v>
      </c>
      <c r="B25938" s="27" t="s">
        <v>266</v>
      </c>
      <c r="C25938" s="28">
        <v>0.85189999999999999</v>
      </c>
      <c r="D25938" s="28">
        <v>0.25929999999999997</v>
      </c>
      <c r="E25938" s="28">
        <v>7.4099999999999999E-2</v>
      </c>
      <c r="F25938" s="29"/>
      <c r="G25938" s="29"/>
      <c r="H25938" s="28">
        <v>3.6999999999999998E-2</v>
      </c>
      <c r="I25938" s="29" t="s">
        <v>338</v>
      </c>
    </row>
    <row r="25939" spans="1:9" x14ac:dyDescent="0.35">
      <c r="A25939" s="27" t="s">
        <v>231</v>
      </c>
      <c r="B25939" s="27" t="s">
        <v>265</v>
      </c>
      <c r="C25939" s="28">
        <v>0.64</v>
      </c>
      <c r="D25939" s="28">
        <v>0.36</v>
      </c>
      <c r="E25939" s="28">
        <v>0.04</v>
      </c>
      <c r="F25939" s="28">
        <v>0.04</v>
      </c>
      <c r="G25939" s="28">
        <v>0.12</v>
      </c>
      <c r="H25939" s="28">
        <v>0.04</v>
      </c>
      <c r="I25939" s="29" t="s">
        <v>312</v>
      </c>
    </row>
    <row r="25940" spans="1:9" x14ac:dyDescent="0.35">
      <c r="A25940" t="s">
        <v>232</v>
      </c>
      <c r="B25940" t="s">
        <v>232</v>
      </c>
      <c r="C25940" s="26">
        <v>0.79400000000000004</v>
      </c>
      <c r="D25940" s="26">
        <v>0.31730000000000003</v>
      </c>
      <c r="E25940" s="26">
        <v>9.2700000000000005E-2</v>
      </c>
      <c r="F25940" s="26">
        <v>8.4699999999999998E-2</v>
      </c>
      <c r="G25940" s="26">
        <v>3.9399999999999998E-2</v>
      </c>
      <c r="H25940" s="26">
        <v>2.01E-2</v>
      </c>
      <c r="I25940">
        <v>1372</v>
      </c>
    </row>
    <row r="25942" spans="1:9" x14ac:dyDescent="0.35">
      <c r="A25942" s="1" t="s">
        <v>2361</v>
      </c>
    </row>
    <row r="25943" spans="1:9" x14ac:dyDescent="0.35">
      <c r="A25943" t="s">
        <v>219</v>
      </c>
      <c r="B25943" t="s">
        <v>305</v>
      </c>
      <c r="C25943" t="s">
        <v>2351</v>
      </c>
      <c r="D25943" t="s">
        <v>2352</v>
      </c>
      <c r="E25943" t="s">
        <v>2353</v>
      </c>
      <c r="F25943" t="s">
        <v>2354</v>
      </c>
      <c r="G25943" t="s">
        <v>2355</v>
      </c>
      <c r="H25943" t="s">
        <v>281</v>
      </c>
      <c r="I25943" t="s">
        <v>226</v>
      </c>
    </row>
    <row r="25944" spans="1:9" x14ac:dyDescent="0.35">
      <c r="A25944" s="27" t="s">
        <v>227</v>
      </c>
      <c r="B25944" s="27" t="s">
        <v>252</v>
      </c>
      <c r="C25944" s="28">
        <v>0.66669999999999996</v>
      </c>
      <c r="D25944" s="28">
        <v>0.41670000000000001</v>
      </c>
      <c r="E25944" s="28">
        <v>4.1700000000000001E-2</v>
      </c>
      <c r="F25944" s="28">
        <v>4.1700000000000001E-2</v>
      </c>
      <c r="G25944" s="28">
        <v>4.1700000000000001E-2</v>
      </c>
      <c r="H25944" s="29"/>
      <c r="I25944" s="29" t="s">
        <v>310</v>
      </c>
    </row>
    <row r="25945" spans="1:9" x14ac:dyDescent="0.35">
      <c r="A25945" s="27" t="s">
        <v>227</v>
      </c>
      <c r="B25945" s="27" t="s">
        <v>253</v>
      </c>
      <c r="C25945" s="28">
        <v>0.92859999999999998</v>
      </c>
      <c r="D25945" s="28">
        <v>0.21429999999999999</v>
      </c>
      <c r="E25945" s="29"/>
      <c r="F25945" s="28">
        <v>7.1400000000000005E-2</v>
      </c>
      <c r="G25945" s="29"/>
      <c r="H25945" s="29"/>
      <c r="I25945" s="29" t="s">
        <v>379</v>
      </c>
    </row>
    <row r="25946" spans="1:9" x14ac:dyDescent="0.35">
      <c r="A25946" s="27" t="s">
        <v>227</v>
      </c>
      <c r="B25946" s="27" t="s">
        <v>251</v>
      </c>
      <c r="C25946" s="28">
        <v>0.68969999999999998</v>
      </c>
      <c r="D25946" s="28">
        <v>0.27589999999999998</v>
      </c>
      <c r="E25946" s="28">
        <v>0.13789999999999999</v>
      </c>
      <c r="F25946" s="28">
        <v>3.4500000000000003E-2</v>
      </c>
      <c r="G25946" s="28">
        <v>0.13789999999999999</v>
      </c>
      <c r="H25946" s="28">
        <v>3.4500000000000003E-2</v>
      </c>
      <c r="I25946" s="29" t="s">
        <v>329</v>
      </c>
    </row>
    <row r="25947" spans="1:9" x14ac:dyDescent="0.35">
      <c r="A25947" t="s">
        <v>228</v>
      </c>
      <c r="B25947" t="s">
        <v>252</v>
      </c>
      <c r="C25947" s="26">
        <v>0.92559999999999998</v>
      </c>
      <c r="D25947" s="26">
        <v>0.29270000000000002</v>
      </c>
      <c r="E25947" s="26">
        <v>4.2599999999999999E-2</v>
      </c>
      <c r="F25947" s="26">
        <v>7.0400000000000004E-2</v>
      </c>
      <c r="G25947" s="26">
        <v>3.5000000000000001E-3</v>
      </c>
      <c r="H25947" s="26">
        <v>1.2999999999999999E-2</v>
      </c>
      <c r="I25947">
        <v>196</v>
      </c>
    </row>
    <row r="25948" spans="1:9" x14ac:dyDescent="0.35">
      <c r="A25948" t="s">
        <v>228</v>
      </c>
      <c r="B25948" t="s">
        <v>253</v>
      </c>
      <c r="C25948" s="26">
        <v>0.86339999999999995</v>
      </c>
      <c r="D25948" s="26">
        <v>0.30020000000000002</v>
      </c>
      <c r="E25948" s="26">
        <v>8.2100000000000006E-2</v>
      </c>
      <c r="F25948" s="26">
        <v>9.8900000000000002E-2</v>
      </c>
      <c r="G25948" s="26">
        <v>3.95E-2</v>
      </c>
      <c r="H25948" s="26">
        <v>3.6799999999999999E-2</v>
      </c>
      <c r="I25948">
        <v>138</v>
      </c>
    </row>
    <row r="25949" spans="1:9" x14ac:dyDescent="0.35">
      <c r="A25949" t="s">
        <v>228</v>
      </c>
      <c r="B25949" t="s">
        <v>251</v>
      </c>
      <c r="C25949" s="26">
        <v>0.82030000000000003</v>
      </c>
      <c r="D25949" s="26">
        <v>0.2777</v>
      </c>
      <c r="E25949" s="26">
        <v>0.14749999999999999</v>
      </c>
      <c r="F25949" s="26">
        <v>8.3599999999999994E-2</v>
      </c>
      <c r="G25949" s="26">
        <v>5.57E-2</v>
      </c>
      <c r="H25949" s="26">
        <v>5.5999999999999999E-3</v>
      </c>
      <c r="I25949">
        <v>240</v>
      </c>
    </row>
    <row r="25950" spans="1:9" x14ac:dyDescent="0.35">
      <c r="A25950" t="s">
        <v>229</v>
      </c>
      <c r="B25950" t="s">
        <v>252</v>
      </c>
      <c r="C25950" s="26">
        <v>0.7722</v>
      </c>
      <c r="D25950" s="26">
        <v>0.27239999999999998</v>
      </c>
      <c r="E25950" s="26">
        <v>0.1206</v>
      </c>
      <c r="F25950" s="26">
        <v>4.6100000000000002E-2</v>
      </c>
      <c r="G25950" s="26">
        <v>3.0200000000000001E-2</v>
      </c>
      <c r="H25950" s="26">
        <v>2.3E-3</v>
      </c>
      <c r="I25950">
        <v>89</v>
      </c>
    </row>
    <row r="25951" spans="1:9" x14ac:dyDescent="0.35">
      <c r="A25951" t="s">
        <v>229</v>
      </c>
      <c r="B25951" t="s">
        <v>253</v>
      </c>
      <c r="C25951" s="26">
        <v>0.88600000000000001</v>
      </c>
      <c r="D25951" s="26">
        <v>0.27500000000000002</v>
      </c>
      <c r="E25951" s="26">
        <v>0.16339999999999999</v>
      </c>
      <c r="F25951" s="26">
        <v>0.15740000000000001</v>
      </c>
      <c r="H25951" s="26">
        <v>3.0200000000000001E-2</v>
      </c>
      <c r="I25951">
        <v>66</v>
      </c>
    </row>
    <row r="25952" spans="1:9" x14ac:dyDescent="0.35">
      <c r="A25952" t="s">
        <v>229</v>
      </c>
      <c r="B25952" t="s">
        <v>251</v>
      </c>
      <c r="C25952" s="26">
        <v>0.78920000000000001</v>
      </c>
      <c r="D25952" s="26">
        <v>0.29680000000000001</v>
      </c>
      <c r="E25952" s="26">
        <v>0.11559999999999999</v>
      </c>
      <c r="F25952" s="26">
        <v>0.1716</v>
      </c>
      <c r="G25952" s="26">
        <v>1.34E-2</v>
      </c>
      <c r="H25952" s="26">
        <v>3.1300000000000001E-2</v>
      </c>
      <c r="I25952">
        <v>186</v>
      </c>
    </row>
    <row r="25953" spans="1:9" x14ac:dyDescent="0.35">
      <c r="A25953" t="s">
        <v>230</v>
      </c>
      <c r="B25953" t="s">
        <v>252</v>
      </c>
      <c r="C25953" s="26">
        <v>0.88090000000000002</v>
      </c>
      <c r="D25953" s="26">
        <v>0.38369999999999999</v>
      </c>
      <c r="E25953" s="26">
        <v>0.1003</v>
      </c>
      <c r="F25953" s="26">
        <v>1.2999999999999999E-2</v>
      </c>
      <c r="G25953" s="26">
        <v>5.7999999999999996E-3</v>
      </c>
      <c r="H25953" s="26">
        <v>5.7999999999999996E-3</v>
      </c>
      <c r="I25953">
        <v>106</v>
      </c>
    </row>
    <row r="25954" spans="1:9" x14ac:dyDescent="0.35">
      <c r="A25954" t="s">
        <v>230</v>
      </c>
      <c r="B25954" t="s">
        <v>253</v>
      </c>
      <c r="C25954" s="26">
        <v>0.87029999999999996</v>
      </c>
      <c r="D25954" s="26">
        <v>0.34870000000000001</v>
      </c>
      <c r="E25954" s="26">
        <v>0.1706</v>
      </c>
      <c r="F25954" s="26">
        <v>4.6399999999999997E-2</v>
      </c>
      <c r="I25954">
        <v>71</v>
      </c>
    </row>
    <row r="25955" spans="1:9" x14ac:dyDescent="0.35">
      <c r="A25955" t="s">
        <v>230</v>
      </c>
      <c r="B25955" t="s">
        <v>251</v>
      </c>
      <c r="C25955" s="26">
        <v>0.74750000000000005</v>
      </c>
      <c r="D25955" s="26">
        <v>0.38669999999999999</v>
      </c>
      <c r="E25955" s="26">
        <v>0.1241</v>
      </c>
      <c r="F25955" s="26">
        <v>0.17960000000000001</v>
      </c>
      <c r="G25955" s="26">
        <v>7.1199999999999999E-2</v>
      </c>
      <c r="I25955">
        <v>150</v>
      </c>
    </row>
    <row r="25956" spans="1:9" x14ac:dyDescent="0.35">
      <c r="A25956" s="27" t="s">
        <v>231</v>
      </c>
      <c r="B25956" s="27" t="s">
        <v>252</v>
      </c>
      <c r="C25956" s="28">
        <v>0.75</v>
      </c>
      <c r="D25956" s="28">
        <v>0.35</v>
      </c>
      <c r="E25956" s="28">
        <v>0.15</v>
      </c>
      <c r="F25956" s="29"/>
      <c r="G25956" s="29"/>
      <c r="H25956" s="28">
        <v>0.05</v>
      </c>
      <c r="I25956" s="29" t="s">
        <v>350</v>
      </c>
    </row>
    <row r="25957" spans="1:9" x14ac:dyDescent="0.35">
      <c r="A25957" s="27" t="s">
        <v>231</v>
      </c>
      <c r="B25957" s="27" t="s">
        <v>253</v>
      </c>
      <c r="C25957" s="28">
        <v>0.83330000000000004</v>
      </c>
      <c r="D25957" s="28">
        <v>0.33329999999999999</v>
      </c>
      <c r="E25957" s="29"/>
      <c r="F25957" s="28">
        <v>8.3299999999999999E-2</v>
      </c>
      <c r="G25957" s="29"/>
      <c r="H25957" s="29"/>
      <c r="I25957" s="29" t="s">
        <v>342</v>
      </c>
    </row>
    <row r="25958" spans="1:9" x14ac:dyDescent="0.35">
      <c r="A25958" t="s">
        <v>231</v>
      </c>
      <c r="B25958" t="s">
        <v>251</v>
      </c>
      <c r="C25958" s="26">
        <v>0.7097</v>
      </c>
      <c r="D25958" s="26">
        <v>0.3548</v>
      </c>
      <c r="F25958" s="26">
        <v>6.4500000000000002E-2</v>
      </c>
      <c r="G25958" s="26">
        <v>9.6799999999999997E-2</v>
      </c>
      <c r="H25958" s="26">
        <v>3.2300000000000002E-2</v>
      </c>
      <c r="I25958">
        <v>31</v>
      </c>
    </row>
    <row r="25959" spans="1:9" x14ac:dyDescent="0.35">
      <c r="A25959" t="s">
        <v>232</v>
      </c>
      <c r="B25959" t="s">
        <v>232</v>
      </c>
      <c r="C25959" s="26">
        <v>0.79400000000000004</v>
      </c>
      <c r="D25959" s="26">
        <v>0.31730000000000003</v>
      </c>
      <c r="E25959" s="26">
        <v>9.2700000000000005E-2</v>
      </c>
      <c r="F25959" s="26">
        <v>8.4699999999999998E-2</v>
      </c>
      <c r="G25959" s="26">
        <v>3.9399999999999998E-2</v>
      </c>
      <c r="H25959" s="26">
        <v>2.01E-2</v>
      </c>
      <c r="I25959">
        <v>1372</v>
      </c>
    </row>
    <row r="25961" spans="1:9" x14ac:dyDescent="0.35">
      <c r="A25961" s="1" t="s">
        <v>2362</v>
      </c>
    </row>
    <row r="25962" spans="1:9" x14ac:dyDescent="0.35">
      <c r="A25962" t="s">
        <v>219</v>
      </c>
      <c r="B25962" t="s">
        <v>305</v>
      </c>
      <c r="C25962" t="s">
        <v>2351</v>
      </c>
      <c r="D25962" t="s">
        <v>2352</v>
      </c>
      <c r="E25962" t="s">
        <v>2353</v>
      </c>
      <c r="F25962" t="s">
        <v>2354</v>
      </c>
      <c r="G25962" t="s">
        <v>2355</v>
      </c>
      <c r="H25962" t="s">
        <v>281</v>
      </c>
      <c r="I25962" t="s">
        <v>226</v>
      </c>
    </row>
    <row r="25963" spans="1:9" x14ac:dyDescent="0.35">
      <c r="A25963" s="27" t="s">
        <v>227</v>
      </c>
      <c r="B25963" s="27" t="s">
        <v>249</v>
      </c>
      <c r="C25963" s="28">
        <v>0.64710000000000001</v>
      </c>
      <c r="D25963" s="28">
        <v>0.4118</v>
      </c>
      <c r="E25963" s="28">
        <v>0.1176</v>
      </c>
      <c r="F25963" s="28">
        <v>5.8799999999999998E-2</v>
      </c>
      <c r="G25963" s="28">
        <v>0.1176</v>
      </c>
      <c r="H25963" s="29"/>
      <c r="I25963" s="29" t="s">
        <v>343</v>
      </c>
    </row>
    <row r="25964" spans="1:9" x14ac:dyDescent="0.35">
      <c r="A25964" t="s">
        <v>227</v>
      </c>
      <c r="B25964" t="s">
        <v>248</v>
      </c>
      <c r="C25964" s="26">
        <v>0.76</v>
      </c>
      <c r="D25964" s="26">
        <v>0.28000000000000003</v>
      </c>
      <c r="E25964" s="26">
        <v>0.06</v>
      </c>
      <c r="F25964" s="26">
        <v>0.04</v>
      </c>
      <c r="G25964" s="26">
        <v>0.06</v>
      </c>
      <c r="H25964" s="26">
        <v>0.02</v>
      </c>
      <c r="I25964">
        <v>50</v>
      </c>
    </row>
    <row r="25965" spans="1:9" x14ac:dyDescent="0.35">
      <c r="A25965" t="s">
        <v>228</v>
      </c>
      <c r="B25965" t="s">
        <v>249</v>
      </c>
      <c r="C25965" s="26">
        <v>0.81589999999999996</v>
      </c>
      <c r="D25965" s="26">
        <v>0.24790000000000001</v>
      </c>
      <c r="E25965" s="26">
        <v>0.1197</v>
      </c>
      <c r="F25965" s="26">
        <v>0.14330000000000001</v>
      </c>
      <c r="G25965" s="26">
        <v>7.3200000000000001E-2</v>
      </c>
      <c r="H25965" s="26">
        <v>2.8199999999999999E-2</v>
      </c>
      <c r="I25965">
        <v>158</v>
      </c>
    </row>
    <row r="25966" spans="1:9" x14ac:dyDescent="0.35">
      <c r="A25966" t="s">
        <v>228</v>
      </c>
      <c r="B25966" t="s">
        <v>248</v>
      </c>
      <c r="C25966" s="26">
        <v>0.88600000000000001</v>
      </c>
      <c r="D25966" s="26">
        <v>0.30570000000000003</v>
      </c>
      <c r="E25966" s="26">
        <v>8.9700000000000002E-2</v>
      </c>
      <c r="F25966" s="26">
        <v>5.4800000000000001E-2</v>
      </c>
      <c r="G25966" s="26">
        <v>1.77E-2</v>
      </c>
      <c r="H25966" s="26">
        <v>8.6999999999999994E-3</v>
      </c>
      <c r="I25966">
        <v>416</v>
      </c>
    </row>
    <row r="25967" spans="1:9" x14ac:dyDescent="0.35">
      <c r="A25967" t="s">
        <v>229</v>
      </c>
      <c r="B25967" t="s">
        <v>249</v>
      </c>
      <c r="C25967" s="26">
        <v>0.82499999999999996</v>
      </c>
      <c r="D25967" s="26">
        <v>0.35489999999999999</v>
      </c>
      <c r="E25967" s="26">
        <v>0.16750000000000001</v>
      </c>
      <c r="F25967" s="26">
        <v>0.28449999999999998</v>
      </c>
      <c r="I25967">
        <v>108</v>
      </c>
    </row>
    <row r="25968" spans="1:9" x14ac:dyDescent="0.35">
      <c r="A25968" t="s">
        <v>229</v>
      </c>
      <c r="B25968" t="s">
        <v>248</v>
      </c>
      <c r="C25968" s="26">
        <v>0.80249999999999999</v>
      </c>
      <c r="D25968" s="26">
        <v>0.24859999999999999</v>
      </c>
      <c r="E25968" s="26">
        <v>0.1085</v>
      </c>
      <c r="F25968" s="26">
        <v>6.1800000000000001E-2</v>
      </c>
      <c r="G25968" s="26">
        <v>2.12E-2</v>
      </c>
      <c r="H25968" s="26">
        <v>3.7400000000000003E-2</v>
      </c>
      <c r="I25968">
        <v>233</v>
      </c>
    </row>
    <row r="25969" spans="1:9" x14ac:dyDescent="0.35">
      <c r="A25969" t="s">
        <v>230</v>
      </c>
      <c r="B25969" t="s">
        <v>249</v>
      </c>
      <c r="C25969" s="26">
        <v>0.73260000000000003</v>
      </c>
      <c r="D25969" s="26">
        <v>0.37840000000000001</v>
      </c>
      <c r="E25969" s="26">
        <v>0.13880000000000001</v>
      </c>
      <c r="F25969" s="26">
        <v>0.15</v>
      </c>
      <c r="G25969" s="26">
        <v>7.1900000000000006E-2</v>
      </c>
      <c r="I25969">
        <v>100</v>
      </c>
    </row>
    <row r="25970" spans="1:9" x14ac:dyDescent="0.35">
      <c r="A25970" t="s">
        <v>230</v>
      </c>
      <c r="B25970" t="s">
        <v>248</v>
      </c>
      <c r="C25970" s="26">
        <v>0.85240000000000005</v>
      </c>
      <c r="D25970" s="26">
        <v>0.37940000000000002</v>
      </c>
      <c r="E25970" s="26">
        <v>0.11749999999999999</v>
      </c>
      <c r="F25970" s="26">
        <v>8.0399999999999999E-2</v>
      </c>
      <c r="G25970" s="26">
        <v>2.0400000000000001E-2</v>
      </c>
      <c r="H25970" s="26">
        <v>2.8E-3</v>
      </c>
      <c r="I25970">
        <v>227</v>
      </c>
    </row>
    <row r="25971" spans="1:9" x14ac:dyDescent="0.35">
      <c r="A25971" s="27" t="s">
        <v>231</v>
      </c>
      <c r="B25971" s="27" t="s">
        <v>249</v>
      </c>
      <c r="C25971" s="28">
        <v>0.625</v>
      </c>
      <c r="D25971" s="28">
        <v>0.375</v>
      </c>
      <c r="E25971" s="29"/>
      <c r="F25971" s="29"/>
      <c r="G25971" s="28">
        <v>0.125</v>
      </c>
      <c r="H25971" s="28">
        <v>6.25E-2</v>
      </c>
      <c r="I25971" s="29" t="s">
        <v>348</v>
      </c>
    </row>
    <row r="25972" spans="1:9" x14ac:dyDescent="0.35">
      <c r="A25972" t="s">
        <v>231</v>
      </c>
      <c r="B25972" t="s">
        <v>248</v>
      </c>
      <c r="C25972" s="26">
        <v>0.78720000000000001</v>
      </c>
      <c r="D25972" s="26">
        <v>0.34039999999999998</v>
      </c>
      <c r="E25972" s="26">
        <v>6.3799999999999996E-2</v>
      </c>
      <c r="F25972" s="26">
        <v>6.3799999999999996E-2</v>
      </c>
      <c r="G25972" s="26">
        <v>2.1299999999999999E-2</v>
      </c>
      <c r="H25972" s="26">
        <v>2.1299999999999999E-2</v>
      </c>
      <c r="I25972">
        <v>47</v>
      </c>
    </row>
    <row r="25973" spans="1:9" x14ac:dyDescent="0.35">
      <c r="A25973" t="s">
        <v>232</v>
      </c>
      <c r="B25973" t="s">
        <v>232</v>
      </c>
      <c r="C25973" s="26">
        <v>0.79400000000000004</v>
      </c>
      <c r="D25973" s="26">
        <v>0.31730000000000003</v>
      </c>
      <c r="E25973" s="26">
        <v>9.2700000000000005E-2</v>
      </c>
      <c r="F25973" s="26">
        <v>8.4699999999999998E-2</v>
      </c>
      <c r="G25973" s="26">
        <v>3.9399999999999998E-2</v>
      </c>
      <c r="H25973" s="26">
        <v>2.01E-2</v>
      </c>
      <c r="I25973">
        <v>1372</v>
      </c>
    </row>
    <row r="25975" spans="1:9" x14ac:dyDescent="0.35">
      <c r="A25975" s="1" t="s">
        <v>2363</v>
      </c>
    </row>
    <row r="25976" spans="1:9" x14ac:dyDescent="0.35">
      <c r="A25976" t="s">
        <v>219</v>
      </c>
      <c r="B25976" t="s">
        <v>305</v>
      </c>
      <c r="C25976" t="s">
        <v>2351</v>
      </c>
      <c r="D25976" t="s">
        <v>2352</v>
      </c>
      <c r="E25976" t="s">
        <v>2353</v>
      </c>
      <c r="F25976" t="s">
        <v>2354</v>
      </c>
      <c r="G25976" t="s">
        <v>2355</v>
      </c>
      <c r="H25976" t="s">
        <v>281</v>
      </c>
      <c r="I25976" t="s">
        <v>226</v>
      </c>
    </row>
    <row r="25977" spans="1:9" x14ac:dyDescent="0.35">
      <c r="A25977" s="27" t="s">
        <v>227</v>
      </c>
      <c r="B25977" s="27" t="s">
        <v>263</v>
      </c>
      <c r="C25977" s="29"/>
      <c r="D25977" s="29"/>
      <c r="E25977" s="28">
        <v>1</v>
      </c>
      <c r="F25977" s="29"/>
      <c r="G25977" s="29"/>
      <c r="H25977" s="29"/>
      <c r="I25977" s="29" t="s">
        <v>331</v>
      </c>
    </row>
    <row r="25978" spans="1:9" x14ac:dyDescent="0.35">
      <c r="A25978" s="27" t="s">
        <v>227</v>
      </c>
      <c r="B25978" s="27" t="s">
        <v>262</v>
      </c>
      <c r="C25978" s="28">
        <v>1</v>
      </c>
      <c r="D25978" s="29"/>
      <c r="E25978" s="29"/>
      <c r="F25978" s="29"/>
      <c r="G25978" s="29"/>
      <c r="H25978" s="29"/>
      <c r="I25978" s="29" t="s">
        <v>331</v>
      </c>
    </row>
    <row r="25979" spans="1:9" x14ac:dyDescent="0.35">
      <c r="A25979" s="27" t="s">
        <v>227</v>
      </c>
      <c r="B25979" s="27" t="s">
        <v>261</v>
      </c>
      <c r="C25979" s="28">
        <v>0.65</v>
      </c>
      <c r="D25979" s="28">
        <v>0.4</v>
      </c>
      <c r="E25979" s="29"/>
      <c r="F25979" s="28">
        <v>0.15</v>
      </c>
      <c r="G25979" s="28">
        <v>0.05</v>
      </c>
      <c r="H25979" s="29"/>
      <c r="I25979" s="29" t="s">
        <v>350</v>
      </c>
    </row>
    <row r="25980" spans="1:9" x14ac:dyDescent="0.35">
      <c r="A25980" t="s">
        <v>227</v>
      </c>
      <c r="B25980" t="s">
        <v>260</v>
      </c>
      <c r="C25980" s="26">
        <v>0.77780000000000005</v>
      </c>
      <c r="D25980" s="26">
        <v>0.28889999999999999</v>
      </c>
      <c r="E25980" s="26">
        <v>8.8900000000000007E-2</v>
      </c>
      <c r="G25980" s="26">
        <v>8.8900000000000007E-2</v>
      </c>
      <c r="H25980" s="26">
        <v>2.2200000000000001E-2</v>
      </c>
      <c r="I25980">
        <v>45</v>
      </c>
    </row>
    <row r="25981" spans="1:9" x14ac:dyDescent="0.35">
      <c r="A25981" t="s">
        <v>228</v>
      </c>
      <c r="B25981" t="s">
        <v>261</v>
      </c>
      <c r="C25981" s="26">
        <v>0.89090000000000003</v>
      </c>
      <c r="D25981" s="26">
        <v>0.39279999999999998</v>
      </c>
      <c r="E25981" s="26">
        <v>8.6499999999999994E-2</v>
      </c>
      <c r="F25981" s="26">
        <v>9.6199999999999994E-2</v>
      </c>
      <c r="H25981" s="26">
        <v>3.5400000000000001E-2</v>
      </c>
      <c r="I25981">
        <v>120</v>
      </c>
    </row>
    <row r="25982" spans="1:9" x14ac:dyDescent="0.35">
      <c r="A25982" s="27" t="s">
        <v>228</v>
      </c>
      <c r="B25982" s="27" t="s">
        <v>236</v>
      </c>
      <c r="C25982" s="28">
        <v>1</v>
      </c>
      <c r="D25982" s="28">
        <v>0.23899999999999999</v>
      </c>
      <c r="E25982" s="28">
        <v>0.48070000000000002</v>
      </c>
      <c r="F25982" s="29"/>
      <c r="G25982" s="29"/>
      <c r="H25982" s="29"/>
      <c r="I25982" s="29" t="s">
        <v>337</v>
      </c>
    </row>
    <row r="25983" spans="1:9" x14ac:dyDescent="0.35">
      <c r="A25983" t="s">
        <v>228</v>
      </c>
      <c r="B25983" t="s">
        <v>262</v>
      </c>
      <c r="C25983" s="26">
        <v>0.78969999999999996</v>
      </c>
      <c r="D25983" s="26">
        <v>0.2417</v>
      </c>
      <c r="E25983" s="26">
        <v>0.10829999999999999</v>
      </c>
      <c r="F25983" s="26">
        <v>0.1237</v>
      </c>
      <c r="G25983" s="26">
        <v>5.7000000000000002E-2</v>
      </c>
      <c r="H25983" s="26">
        <v>9.7000000000000003E-3</v>
      </c>
      <c r="I25983">
        <v>124</v>
      </c>
    </row>
    <row r="25984" spans="1:9" x14ac:dyDescent="0.35">
      <c r="A25984" s="27" t="s">
        <v>228</v>
      </c>
      <c r="B25984" s="27" t="s">
        <v>263</v>
      </c>
      <c r="C25984" s="28">
        <v>0.83689999999999998</v>
      </c>
      <c r="D25984" s="28">
        <v>0.42959999999999998</v>
      </c>
      <c r="E25984" s="28">
        <v>5.4199999999999998E-2</v>
      </c>
      <c r="F25984" s="29"/>
      <c r="G25984" s="28">
        <v>0.1089</v>
      </c>
      <c r="H25984" s="29"/>
      <c r="I25984" s="29" t="s">
        <v>379</v>
      </c>
    </row>
    <row r="25985" spans="1:9" x14ac:dyDescent="0.35">
      <c r="A25985" t="s">
        <v>228</v>
      </c>
      <c r="B25985" t="s">
        <v>260</v>
      </c>
      <c r="C25985" s="26">
        <v>0.88039999999999996</v>
      </c>
      <c r="D25985" s="26">
        <v>0.25740000000000002</v>
      </c>
      <c r="E25985" s="26">
        <v>9.98E-2</v>
      </c>
      <c r="F25985" s="26">
        <v>6.4600000000000005E-2</v>
      </c>
      <c r="G25985" s="26">
        <v>3.9699999999999999E-2</v>
      </c>
      <c r="H25985" s="26">
        <v>8.8000000000000005E-3</v>
      </c>
      <c r="I25985">
        <v>312</v>
      </c>
    </row>
    <row r="25986" spans="1:9" x14ac:dyDescent="0.35">
      <c r="A25986" t="s">
        <v>229</v>
      </c>
      <c r="B25986" t="s">
        <v>260</v>
      </c>
      <c r="C25986" s="26">
        <v>0.79420000000000002</v>
      </c>
      <c r="D25986" s="26">
        <v>0.27839999999999998</v>
      </c>
      <c r="E25986" s="26">
        <v>0.1191</v>
      </c>
      <c r="F25986" s="26">
        <v>7.5399999999999995E-2</v>
      </c>
      <c r="G25986" s="26">
        <v>2.6200000000000001E-2</v>
      </c>
      <c r="H25986" s="26">
        <v>3.15E-2</v>
      </c>
      <c r="I25986">
        <v>214</v>
      </c>
    </row>
    <row r="25987" spans="1:9" x14ac:dyDescent="0.35">
      <c r="A25987" s="27" t="s">
        <v>229</v>
      </c>
      <c r="B25987" s="27" t="s">
        <v>263</v>
      </c>
      <c r="C25987" s="28">
        <v>0.36969999999999997</v>
      </c>
      <c r="D25987" s="28">
        <v>0.65029999999999999</v>
      </c>
      <c r="E25987" s="29"/>
      <c r="F25987" s="28">
        <v>0.63029999999999997</v>
      </c>
      <c r="G25987" s="29"/>
      <c r="H25987" s="29"/>
      <c r="I25987" s="29" t="s">
        <v>332</v>
      </c>
    </row>
    <row r="25988" spans="1:9" x14ac:dyDescent="0.35">
      <c r="A25988" t="s">
        <v>229</v>
      </c>
      <c r="B25988" t="s">
        <v>262</v>
      </c>
      <c r="C25988" s="26">
        <v>0.86209999999999998</v>
      </c>
      <c r="D25988" s="26">
        <v>0.30249999999999999</v>
      </c>
      <c r="E25988" s="26">
        <v>0.1988</v>
      </c>
      <c r="F25988" s="26">
        <v>0.22950000000000001</v>
      </c>
      <c r="H25988" s="26">
        <v>3.5999999999999999E-3</v>
      </c>
      <c r="I25988">
        <v>74</v>
      </c>
    </row>
    <row r="25989" spans="1:9" x14ac:dyDescent="0.35">
      <c r="A25989" t="s">
        <v>229</v>
      </c>
      <c r="B25989" t="s">
        <v>261</v>
      </c>
      <c r="C25989" s="26">
        <v>0.81599999999999995</v>
      </c>
      <c r="D25989" s="26">
        <v>0.26029999999999998</v>
      </c>
      <c r="E25989" s="26">
        <v>7.7700000000000005E-2</v>
      </c>
      <c r="F25989" s="26">
        <v>0.16089999999999999</v>
      </c>
      <c r="H25989" s="26">
        <v>3.3300000000000003E-2</v>
      </c>
      <c r="I25989">
        <v>48</v>
      </c>
    </row>
    <row r="25990" spans="1:9" x14ac:dyDescent="0.35">
      <c r="A25990" t="s">
        <v>230</v>
      </c>
      <c r="B25990" t="s">
        <v>262</v>
      </c>
      <c r="C25990" s="26">
        <v>0.80740000000000001</v>
      </c>
      <c r="D25990" s="26">
        <v>0.47249999999999998</v>
      </c>
      <c r="E25990" s="26">
        <v>0.21329999999999999</v>
      </c>
      <c r="F25990" s="26">
        <v>0.21279999999999999</v>
      </c>
      <c r="G25990" s="26">
        <v>2.5600000000000001E-2</v>
      </c>
      <c r="H25990" s="26">
        <v>1.11E-2</v>
      </c>
      <c r="I25990">
        <v>78</v>
      </c>
    </row>
    <row r="25991" spans="1:9" x14ac:dyDescent="0.35">
      <c r="A25991" s="27" t="s">
        <v>230</v>
      </c>
      <c r="B25991" s="27" t="s">
        <v>236</v>
      </c>
      <c r="C25991" s="28">
        <v>1</v>
      </c>
      <c r="D25991" s="29"/>
      <c r="E25991" s="29"/>
      <c r="F25991" s="29"/>
      <c r="G25991" s="29"/>
      <c r="H25991" s="29"/>
      <c r="I25991" s="29" t="s">
        <v>315</v>
      </c>
    </row>
    <row r="25992" spans="1:9" x14ac:dyDescent="0.35">
      <c r="A25992" s="27" t="s">
        <v>230</v>
      </c>
      <c r="B25992" s="27" t="s">
        <v>263</v>
      </c>
      <c r="C25992" s="28">
        <v>0.56040000000000001</v>
      </c>
      <c r="D25992" s="28">
        <v>0.59640000000000004</v>
      </c>
      <c r="E25992" s="28">
        <v>5.9400000000000001E-2</v>
      </c>
      <c r="F25992" s="28">
        <v>7.3099999999999998E-2</v>
      </c>
      <c r="G25992" s="29"/>
      <c r="H25992" s="29"/>
      <c r="I25992" s="29" t="s">
        <v>350</v>
      </c>
    </row>
    <row r="25993" spans="1:9" x14ac:dyDescent="0.35">
      <c r="A25993" t="s">
        <v>230</v>
      </c>
      <c r="B25993" t="s">
        <v>261</v>
      </c>
      <c r="C25993" s="26">
        <v>0.8861</v>
      </c>
      <c r="D25993" s="26">
        <v>0.16250000000000001</v>
      </c>
      <c r="E25993" s="26">
        <v>3.8E-3</v>
      </c>
      <c r="F25993" s="26">
        <v>0.19270000000000001</v>
      </c>
      <c r="G25993" s="26">
        <v>7.5600000000000001E-2</v>
      </c>
      <c r="I25993">
        <v>37</v>
      </c>
    </row>
    <row r="25994" spans="1:9" x14ac:dyDescent="0.35">
      <c r="A25994" t="s">
        <v>230</v>
      </c>
      <c r="B25994" t="s">
        <v>260</v>
      </c>
      <c r="C25994" s="26">
        <v>0.80130000000000001</v>
      </c>
      <c r="D25994" s="26">
        <v>0.4022</v>
      </c>
      <c r="E25994" s="26">
        <v>0.13569999999999999</v>
      </c>
      <c r="F25994" s="26">
        <v>6.2600000000000003E-2</v>
      </c>
      <c r="G25994" s="26">
        <v>3.6299999999999999E-2</v>
      </c>
      <c r="I25994">
        <v>189</v>
      </c>
    </row>
    <row r="25995" spans="1:9" x14ac:dyDescent="0.35">
      <c r="A25995" t="s">
        <v>231</v>
      </c>
      <c r="B25995" t="s">
        <v>260</v>
      </c>
      <c r="C25995" s="26">
        <v>0.6512</v>
      </c>
      <c r="D25995" s="26">
        <v>0.37209999999999999</v>
      </c>
      <c r="E25995" s="26">
        <v>6.9800000000000001E-2</v>
      </c>
      <c r="F25995" s="26">
        <v>2.3300000000000001E-2</v>
      </c>
      <c r="G25995" s="26">
        <v>6.9800000000000001E-2</v>
      </c>
      <c r="H25995" s="26">
        <v>4.65E-2</v>
      </c>
      <c r="I25995">
        <v>43</v>
      </c>
    </row>
    <row r="25996" spans="1:9" x14ac:dyDescent="0.35">
      <c r="A25996" s="27" t="s">
        <v>231</v>
      </c>
      <c r="B25996" s="27" t="s">
        <v>263</v>
      </c>
      <c r="C25996" s="28">
        <v>1</v>
      </c>
      <c r="D25996" s="29"/>
      <c r="E25996" s="29"/>
      <c r="F25996" s="29"/>
      <c r="G25996" s="29"/>
      <c r="H25996" s="29"/>
      <c r="I25996" s="29" t="s">
        <v>314</v>
      </c>
    </row>
    <row r="25997" spans="1:9" x14ac:dyDescent="0.35">
      <c r="A25997" s="27" t="s">
        <v>231</v>
      </c>
      <c r="B25997" s="27" t="s">
        <v>262</v>
      </c>
      <c r="C25997" s="28">
        <v>1</v>
      </c>
      <c r="D25997" s="28">
        <v>0.33329999999999999</v>
      </c>
      <c r="E25997" s="29"/>
      <c r="F25997" s="29"/>
      <c r="G25997" s="29"/>
      <c r="H25997" s="29"/>
      <c r="I25997" s="29" t="s">
        <v>315</v>
      </c>
    </row>
    <row r="25998" spans="1:9" x14ac:dyDescent="0.35">
      <c r="A25998" s="27" t="s">
        <v>231</v>
      </c>
      <c r="B25998" s="27" t="s">
        <v>261</v>
      </c>
      <c r="C25998" s="28">
        <v>0.93330000000000002</v>
      </c>
      <c r="D25998" s="28">
        <v>0.33329999999999999</v>
      </c>
      <c r="E25998" s="29"/>
      <c r="F25998" s="28">
        <v>0.1333</v>
      </c>
      <c r="G25998" s="29"/>
      <c r="H25998" s="29"/>
      <c r="I25998" s="29" t="s">
        <v>346</v>
      </c>
    </row>
    <row r="25999" spans="1:9" x14ac:dyDescent="0.35">
      <c r="A25999" t="s">
        <v>232</v>
      </c>
      <c r="B25999" t="s">
        <v>232</v>
      </c>
      <c r="C25999" s="26">
        <v>0.79400000000000004</v>
      </c>
      <c r="D25999" s="26">
        <v>0.31730000000000003</v>
      </c>
      <c r="E25999" s="26">
        <v>9.2700000000000005E-2</v>
      </c>
      <c r="F25999" s="26">
        <v>8.4699999999999998E-2</v>
      </c>
      <c r="G25999" s="26">
        <v>3.9399999999999998E-2</v>
      </c>
      <c r="H25999" s="26">
        <v>2.01E-2</v>
      </c>
      <c r="I25999">
        <v>1372</v>
      </c>
    </row>
    <row r="26001" spans="1:9" x14ac:dyDescent="0.35">
      <c r="A26001" s="1" t="s">
        <v>2364</v>
      </c>
    </row>
    <row r="26002" spans="1:9" x14ac:dyDescent="0.35">
      <c r="A26002" t="s">
        <v>219</v>
      </c>
      <c r="B26002" t="s">
        <v>305</v>
      </c>
      <c r="C26002" t="s">
        <v>2351</v>
      </c>
      <c r="D26002" t="s">
        <v>2352</v>
      </c>
      <c r="E26002" t="s">
        <v>2353</v>
      </c>
      <c r="F26002" t="s">
        <v>2354</v>
      </c>
      <c r="G26002" t="s">
        <v>2355</v>
      </c>
      <c r="H26002" t="s">
        <v>281</v>
      </c>
      <c r="I26002" t="s">
        <v>226</v>
      </c>
    </row>
    <row r="26003" spans="1:9" x14ac:dyDescent="0.35">
      <c r="A26003" s="27" t="s">
        <v>227</v>
      </c>
      <c r="B26003" s="27" t="s">
        <v>368</v>
      </c>
      <c r="C26003" s="28">
        <v>0.65</v>
      </c>
      <c r="D26003" s="28">
        <v>0.4</v>
      </c>
      <c r="E26003" s="29"/>
      <c r="F26003" s="28">
        <v>0.15</v>
      </c>
      <c r="G26003" s="28">
        <v>0.05</v>
      </c>
      <c r="H26003" s="29"/>
      <c r="I26003" s="29" t="s">
        <v>350</v>
      </c>
    </row>
    <row r="26004" spans="1:9" x14ac:dyDescent="0.35">
      <c r="A26004" t="s">
        <v>227</v>
      </c>
      <c r="B26004" t="s">
        <v>369</v>
      </c>
      <c r="C26004" s="26">
        <v>0.76600000000000001</v>
      </c>
      <c r="D26004" s="26">
        <v>0.27660000000000001</v>
      </c>
      <c r="E26004" s="26">
        <v>0.10639999999999999</v>
      </c>
      <c r="G26004" s="26">
        <v>8.5099999999999995E-2</v>
      </c>
      <c r="H26004" s="26">
        <v>2.1299999999999999E-2</v>
      </c>
      <c r="I26004">
        <v>47</v>
      </c>
    </row>
    <row r="26005" spans="1:9" x14ac:dyDescent="0.35">
      <c r="A26005" t="s">
        <v>228</v>
      </c>
      <c r="B26005" t="s">
        <v>368</v>
      </c>
      <c r="C26005" s="26">
        <v>0.89090000000000003</v>
      </c>
      <c r="D26005" s="26">
        <v>0.39279999999999998</v>
      </c>
      <c r="E26005" s="26">
        <v>8.6499999999999994E-2</v>
      </c>
      <c r="F26005" s="26">
        <v>9.6199999999999994E-2</v>
      </c>
      <c r="H26005" s="26">
        <v>3.5400000000000001E-2</v>
      </c>
      <c r="I26005">
        <v>120</v>
      </c>
    </row>
    <row r="26006" spans="1:9" x14ac:dyDescent="0.35">
      <c r="A26006" t="s">
        <v>228</v>
      </c>
      <c r="B26006" t="s">
        <v>369</v>
      </c>
      <c r="C26006" s="26">
        <v>0.85599999999999998</v>
      </c>
      <c r="D26006" s="26">
        <v>0.25659999999999999</v>
      </c>
      <c r="E26006" s="26">
        <v>0.10290000000000001</v>
      </c>
      <c r="F26006" s="26">
        <v>7.8700000000000006E-2</v>
      </c>
      <c r="G26006" s="26">
        <v>4.5499999999999999E-2</v>
      </c>
      <c r="H26006" s="26">
        <v>8.8000000000000005E-3</v>
      </c>
      <c r="I26006">
        <v>454</v>
      </c>
    </row>
    <row r="26007" spans="1:9" x14ac:dyDescent="0.35">
      <c r="A26007" t="s">
        <v>229</v>
      </c>
      <c r="B26007" t="s">
        <v>368</v>
      </c>
      <c r="C26007" s="26">
        <v>0.81599999999999995</v>
      </c>
      <c r="D26007" s="26">
        <v>0.26029999999999998</v>
      </c>
      <c r="E26007" s="26">
        <v>7.7700000000000005E-2</v>
      </c>
      <c r="F26007" s="26">
        <v>0.16089999999999999</v>
      </c>
      <c r="H26007" s="26">
        <v>3.3300000000000003E-2</v>
      </c>
      <c r="I26007">
        <v>48</v>
      </c>
    </row>
    <row r="26008" spans="1:9" x14ac:dyDescent="0.35">
      <c r="A26008" t="s">
        <v>229</v>
      </c>
      <c r="B26008" t="s">
        <v>369</v>
      </c>
      <c r="C26008" s="26">
        <v>0.80879999999999996</v>
      </c>
      <c r="D26008" s="26">
        <v>0.29220000000000002</v>
      </c>
      <c r="E26008" s="26">
        <v>0.14249999999999999</v>
      </c>
      <c r="F26008" s="26">
        <v>0.13370000000000001</v>
      </c>
      <c r="G26008" s="26">
        <v>1.7399999999999999E-2</v>
      </c>
      <c r="H26008" s="26">
        <v>2.2100000000000002E-2</v>
      </c>
      <c r="I26008">
        <v>293</v>
      </c>
    </row>
    <row r="26009" spans="1:9" x14ac:dyDescent="0.35">
      <c r="A26009" t="s">
        <v>230</v>
      </c>
      <c r="B26009" t="s">
        <v>368</v>
      </c>
      <c r="C26009" s="26">
        <v>0.8861</v>
      </c>
      <c r="D26009" s="26">
        <v>0.16250000000000001</v>
      </c>
      <c r="E26009" s="26">
        <v>3.8E-3</v>
      </c>
      <c r="F26009" s="26">
        <v>0.19270000000000001</v>
      </c>
      <c r="G26009" s="26">
        <v>7.5600000000000001E-2</v>
      </c>
      <c r="I26009">
        <v>37</v>
      </c>
    </row>
    <row r="26010" spans="1:9" x14ac:dyDescent="0.35">
      <c r="A26010" t="s">
        <v>230</v>
      </c>
      <c r="B26010" t="s">
        <v>369</v>
      </c>
      <c r="C26010" s="26">
        <v>0.7974</v>
      </c>
      <c r="D26010" s="26">
        <v>0.41549999999999998</v>
      </c>
      <c r="E26010" s="26">
        <v>0.1454</v>
      </c>
      <c r="F26010" s="26">
        <v>9.0200000000000002E-2</v>
      </c>
      <c r="G26010" s="26">
        <v>3.2399999999999998E-2</v>
      </c>
      <c r="H26010" s="26">
        <v>2.0999999999999999E-3</v>
      </c>
      <c r="I26010">
        <v>290</v>
      </c>
    </row>
    <row r="26011" spans="1:9" x14ac:dyDescent="0.35">
      <c r="A26011" s="27" t="s">
        <v>231</v>
      </c>
      <c r="B26011" s="27" t="s">
        <v>368</v>
      </c>
      <c r="C26011" s="28">
        <v>0.93330000000000002</v>
      </c>
      <c r="D26011" s="28">
        <v>0.33329999999999999</v>
      </c>
      <c r="E26011" s="29"/>
      <c r="F26011" s="28">
        <v>0.1333</v>
      </c>
      <c r="G26011" s="29"/>
      <c r="H26011" s="29"/>
      <c r="I26011" s="29" t="s">
        <v>346</v>
      </c>
    </row>
    <row r="26012" spans="1:9" x14ac:dyDescent="0.35">
      <c r="A26012" t="s">
        <v>231</v>
      </c>
      <c r="B26012" t="s">
        <v>369</v>
      </c>
      <c r="C26012" s="26">
        <v>0.6875</v>
      </c>
      <c r="D26012" s="26">
        <v>0.35420000000000001</v>
      </c>
      <c r="E26012" s="26">
        <v>6.25E-2</v>
      </c>
      <c r="F26012" s="26">
        <v>2.0799999999999999E-2</v>
      </c>
      <c r="G26012" s="26">
        <v>6.25E-2</v>
      </c>
      <c r="H26012" s="26">
        <v>4.1700000000000001E-2</v>
      </c>
      <c r="I26012">
        <v>48</v>
      </c>
    </row>
    <row r="26013" spans="1:9" x14ac:dyDescent="0.35">
      <c r="A26013" t="s">
        <v>232</v>
      </c>
      <c r="B26013" t="s">
        <v>232</v>
      </c>
      <c r="C26013" s="26">
        <v>0.79400000000000004</v>
      </c>
      <c r="D26013" s="26">
        <v>0.31730000000000003</v>
      </c>
      <c r="E26013" s="26">
        <v>9.2700000000000005E-2</v>
      </c>
      <c r="F26013" s="26">
        <v>8.4699999999999998E-2</v>
      </c>
      <c r="G26013" s="26">
        <v>3.9399999999999998E-2</v>
      </c>
      <c r="H26013" s="26">
        <v>2.01E-2</v>
      </c>
      <c r="I26013">
        <v>1372</v>
      </c>
    </row>
    <row r="26015" spans="1:9" x14ac:dyDescent="0.35">
      <c r="A26015" s="1" t="s">
        <v>2365</v>
      </c>
    </row>
    <row r="26016" spans="1:9" x14ac:dyDescent="0.35">
      <c r="A26016" t="s">
        <v>219</v>
      </c>
      <c r="B26016" t="s">
        <v>305</v>
      </c>
      <c r="C26016" t="s">
        <v>2351</v>
      </c>
      <c r="D26016" t="s">
        <v>2352</v>
      </c>
      <c r="E26016" t="s">
        <v>2353</v>
      </c>
      <c r="F26016" t="s">
        <v>2354</v>
      </c>
      <c r="G26016" t="s">
        <v>2355</v>
      </c>
      <c r="H26016" t="s">
        <v>281</v>
      </c>
      <c r="I26016" t="s">
        <v>226</v>
      </c>
    </row>
    <row r="26017" spans="1:9" x14ac:dyDescent="0.35">
      <c r="A26017" t="s">
        <v>227</v>
      </c>
      <c r="B26017" t="s">
        <v>371</v>
      </c>
      <c r="C26017" s="26">
        <v>0.73129999999999995</v>
      </c>
      <c r="D26017" s="26">
        <v>0.31340000000000001</v>
      </c>
      <c r="E26017" s="26">
        <v>7.46E-2</v>
      </c>
      <c r="F26017" s="26">
        <v>4.48E-2</v>
      </c>
      <c r="G26017" s="26">
        <v>7.46E-2</v>
      </c>
      <c r="H26017" s="26">
        <v>1.49E-2</v>
      </c>
      <c r="I26017">
        <v>67</v>
      </c>
    </row>
    <row r="26018" spans="1:9" x14ac:dyDescent="0.35">
      <c r="A26018" t="s">
        <v>228</v>
      </c>
      <c r="B26018" t="s">
        <v>371</v>
      </c>
      <c r="C26018" s="26">
        <v>0.8599</v>
      </c>
      <c r="D26018" s="26">
        <v>0.23469999999999999</v>
      </c>
      <c r="E26018" s="26">
        <v>9.8900000000000002E-2</v>
      </c>
      <c r="F26018" s="26">
        <v>7.8299999999999995E-2</v>
      </c>
      <c r="G26018" s="26">
        <v>5.7599999999999998E-2</v>
      </c>
      <c r="H26018" s="26">
        <v>1.44E-2</v>
      </c>
      <c r="I26018">
        <v>141</v>
      </c>
    </row>
    <row r="26019" spans="1:9" x14ac:dyDescent="0.35">
      <c r="A26019" t="s">
        <v>228</v>
      </c>
      <c r="B26019" t="s">
        <v>372</v>
      </c>
      <c r="C26019" s="26">
        <v>0.86260000000000003</v>
      </c>
      <c r="D26019" s="26">
        <v>0.40250000000000002</v>
      </c>
      <c r="E26019" s="26">
        <v>0.1055</v>
      </c>
      <c r="F26019" s="26">
        <v>5.2400000000000002E-2</v>
      </c>
      <c r="H26019" s="26">
        <v>2.7099999999999999E-2</v>
      </c>
      <c r="I26019">
        <v>153</v>
      </c>
    </row>
    <row r="26020" spans="1:9" x14ac:dyDescent="0.35">
      <c r="A26020" t="s">
        <v>228</v>
      </c>
      <c r="B26020" t="s">
        <v>373</v>
      </c>
      <c r="C26020" s="26">
        <v>0.86909999999999998</v>
      </c>
      <c r="D26020" s="26">
        <v>0.315</v>
      </c>
      <c r="E26020" s="26">
        <v>9.7500000000000003E-2</v>
      </c>
      <c r="F26020" s="26">
        <v>9.7299999999999998E-2</v>
      </c>
      <c r="G26020" s="26">
        <v>1.9300000000000001E-2</v>
      </c>
      <c r="H26020" s="26">
        <v>1.15E-2</v>
      </c>
      <c r="I26020">
        <v>280</v>
      </c>
    </row>
    <row r="26021" spans="1:9" x14ac:dyDescent="0.35">
      <c r="A26021" t="s">
        <v>229</v>
      </c>
      <c r="B26021" t="s">
        <v>371</v>
      </c>
      <c r="C26021" s="26">
        <v>0.80400000000000005</v>
      </c>
      <c r="D26021" s="26">
        <v>0.27989999999999998</v>
      </c>
      <c r="E26021" s="26">
        <v>0.1313</v>
      </c>
      <c r="F26021" s="26">
        <v>0.1454</v>
      </c>
      <c r="G26021" s="26">
        <v>1.5299999999999999E-2</v>
      </c>
      <c r="H26021" s="26">
        <v>2.4400000000000002E-2</v>
      </c>
      <c r="I26021">
        <v>195</v>
      </c>
    </row>
    <row r="26022" spans="1:9" x14ac:dyDescent="0.35">
      <c r="A26022" t="s">
        <v>229</v>
      </c>
      <c r="B26022" t="s">
        <v>372</v>
      </c>
      <c r="C26022" s="26">
        <v>0.85270000000000001</v>
      </c>
      <c r="D26022" s="26">
        <v>0.33450000000000002</v>
      </c>
      <c r="E26022" s="26">
        <v>9.9900000000000003E-2</v>
      </c>
      <c r="F26022" s="26">
        <v>9.9900000000000003E-2</v>
      </c>
      <c r="H26022" s="26">
        <v>3.27E-2</v>
      </c>
      <c r="I26022">
        <v>115</v>
      </c>
    </row>
    <row r="26023" spans="1:9" x14ac:dyDescent="0.35">
      <c r="A26023" t="s">
        <v>229</v>
      </c>
      <c r="B26023" t="s">
        <v>373</v>
      </c>
      <c r="C26023" s="26">
        <v>0.91210000000000002</v>
      </c>
      <c r="D26023" s="26">
        <v>0.35049999999999998</v>
      </c>
      <c r="E26023" s="26">
        <v>0.13289999999999999</v>
      </c>
      <c r="F26023" s="26">
        <v>3.5000000000000003E-2</v>
      </c>
      <c r="I26023">
        <v>31</v>
      </c>
    </row>
    <row r="26024" spans="1:9" x14ac:dyDescent="0.35">
      <c r="A26024" t="s">
        <v>230</v>
      </c>
      <c r="B26024" t="s">
        <v>371</v>
      </c>
      <c r="C26024" s="26">
        <v>0.79459999999999997</v>
      </c>
      <c r="D26024" s="26">
        <v>0.3926</v>
      </c>
      <c r="E26024" s="26">
        <v>0.1363</v>
      </c>
      <c r="F26024" s="26">
        <v>0.1038</v>
      </c>
      <c r="G26024" s="26">
        <v>4.3799999999999999E-2</v>
      </c>
      <c r="I26024">
        <v>143</v>
      </c>
    </row>
    <row r="26025" spans="1:9" x14ac:dyDescent="0.35">
      <c r="A26025" t="s">
        <v>230</v>
      </c>
      <c r="B26025" t="s">
        <v>372</v>
      </c>
      <c r="C26025" s="26">
        <v>0.9425</v>
      </c>
      <c r="D26025" s="26">
        <v>0.28539999999999999</v>
      </c>
      <c r="E26025" s="26">
        <v>9.1600000000000001E-2</v>
      </c>
      <c r="F26025" s="26">
        <v>0.13289999999999999</v>
      </c>
      <c r="G26025" s="26">
        <v>7.1999999999999998E-3</v>
      </c>
      <c r="I26025">
        <v>101</v>
      </c>
    </row>
    <row r="26026" spans="1:9" x14ac:dyDescent="0.35">
      <c r="A26026" t="s">
        <v>230</v>
      </c>
      <c r="B26026" t="s">
        <v>373</v>
      </c>
      <c r="C26026" s="26">
        <v>0.82509999999999994</v>
      </c>
      <c r="D26026" s="26">
        <v>0.35389999999999999</v>
      </c>
      <c r="E26026" s="26">
        <v>7.8899999999999998E-2</v>
      </c>
      <c r="F26026" s="26">
        <v>9.6100000000000005E-2</v>
      </c>
      <c r="G26026" s="26">
        <v>2.63E-2</v>
      </c>
      <c r="H26026" s="26">
        <v>1.3100000000000001E-2</v>
      </c>
      <c r="I26026">
        <v>83</v>
      </c>
    </row>
    <row r="26027" spans="1:9" x14ac:dyDescent="0.35">
      <c r="A26027" t="s">
        <v>231</v>
      </c>
      <c r="B26027" t="s">
        <v>371</v>
      </c>
      <c r="C26027" s="26">
        <v>0.746</v>
      </c>
      <c r="D26027" s="26">
        <v>0.34920000000000001</v>
      </c>
      <c r="E26027" s="26">
        <v>4.7600000000000003E-2</v>
      </c>
      <c r="F26027" s="26">
        <v>4.7600000000000003E-2</v>
      </c>
      <c r="G26027" s="26">
        <v>4.7600000000000003E-2</v>
      </c>
      <c r="H26027" s="26">
        <v>3.1699999999999999E-2</v>
      </c>
      <c r="I26027">
        <v>63</v>
      </c>
    </row>
    <row r="26028" spans="1:9" x14ac:dyDescent="0.35">
      <c r="A26028" t="s">
        <v>232</v>
      </c>
      <c r="B26028" t="s">
        <v>232</v>
      </c>
      <c r="C26028" s="26">
        <v>0.79400000000000004</v>
      </c>
      <c r="D26028" s="26">
        <v>0.31730000000000003</v>
      </c>
      <c r="E26028" s="26">
        <v>9.2700000000000005E-2</v>
      </c>
      <c r="F26028" s="26">
        <v>8.4699999999999998E-2</v>
      </c>
      <c r="G26028" s="26">
        <v>3.9399999999999998E-2</v>
      </c>
      <c r="H26028" s="26">
        <v>2.01E-2</v>
      </c>
      <c r="I26028">
        <v>1372</v>
      </c>
    </row>
    <row r="26030" spans="1:9" x14ac:dyDescent="0.35">
      <c r="A26030" s="1" t="s">
        <v>2366</v>
      </c>
    </row>
    <row r="26031" spans="1:9" x14ac:dyDescent="0.35">
      <c r="A26031" t="s">
        <v>219</v>
      </c>
      <c r="B26031" t="s">
        <v>305</v>
      </c>
      <c r="C26031" t="s">
        <v>2351</v>
      </c>
      <c r="D26031" t="s">
        <v>2352</v>
      </c>
      <c r="E26031" t="s">
        <v>2353</v>
      </c>
      <c r="F26031" t="s">
        <v>2354</v>
      </c>
      <c r="G26031" t="s">
        <v>2355</v>
      </c>
      <c r="H26031" t="s">
        <v>281</v>
      </c>
      <c r="I26031" t="s">
        <v>226</v>
      </c>
    </row>
    <row r="26032" spans="1:9" x14ac:dyDescent="0.35">
      <c r="A26032" t="s">
        <v>227</v>
      </c>
      <c r="B26032" t="s">
        <v>255</v>
      </c>
      <c r="C26032" s="26">
        <v>0.76</v>
      </c>
      <c r="D26032" s="26">
        <v>0.28000000000000003</v>
      </c>
      <c r="E26032" s="26">
        <v>0.06</v>
      </c>
      <c r="F26032" s="26">
        <v>0.04</v>
      </c>
      <c r="G26032" s="26">
        <v>0.06</v>
      </c>
      <c r="H26032" s="26">
        <v>0.02</v>
      </c>
      <c r="I26032">
        <v>50</v>
      </c>
    </row>
    <row r="26033" spans="1:9" x14ac:dyDescent="0.35">
      <c r="A26033" s="27" t="s">
        <v>227</v>
      </c>
      <c r="B26033" s="27" t="s">
        <v>256</v>
      </c>
      <c r="C26033" s="28">
        <v>0.71430000000000005</v>
      </c>
      <c r="D26033" s="28">
        <v>0.28570000000000001</v>
      </c>
      <c r="E26033" s="28">
        <v>7.1400000000000005E-2</v>
      </c>
      <c r="F26033" s="29"/>
      <c r="G26033" s="28">
        <v>0.1429</v>
      </c>
      <c r="H26033" s="29"/>
      <c r="I26033" s="29" t="s">
        <v>379</v>
      </c>
    </row>
    <row r="26034" spans="1:9" x14ac:dyDescent="0.35">
      <c r="A26034" s="27" t="s">
        <v>227</v>
      </c>
      <c r="B26034" s="27" t="s">
        <v>257</v>
      </c>
      <c r="C26034" s="28">
        <v>0.33329999999999999</v>
      </c>
      <c r="D26034" s="28">
        <v>1</v>
      </c>
      <c r="E26034" s="28">
        <v>0.33329999999999999</v>
      </c>
      <c r="F26034" s="28">
        <v>0.33329999999999999</v>
      </c>
      <c r="G26034" s="29"/>
      <c r="H26034" s="29"/>
      <c r="I26034" s="29" t="s">
        <v>315</v>
      </c>
    </row>
    <row r="26035" spans="1:9" x14ac:dyDescent="0.35">
      <c r="A26035" t="s">
        <v>228</v>
      </c>
      <c r="B26035" t="s">
        <v>256</v>
      </c>
      <c r="C26035" s="26">
        <v>0.8145</v>
      </c>
      <c r="D26035" s="26">
        <v>0.24030000000000001</v>
      </c>
      <c r="E26035" s="26">
        <v>0.111</v>
      </c>
      <c r="F26035" s="26">
        <v>0.1452</v>
      </c>
      <c r="G26035" s="26">
        <v>6.9199999999999998E-2</v>
      </c>
      <c r="H26035" s="26">
        <v>3.7900000000000003E-2</v>
      </c>
      <c r="I26035">
        <v>121</v>
      </c>
    </row>
    <row r="26036" spans="1:9" x14ac:dyDescent="0.35">
      <c r="A26036" t="s">
        <v>228</v>
      </c>
      <c r="B26036" t="s">
        <v>255</v>
      </c>
      <c r="C26036" s="26">
        <v>0.88600000000000001</v>
      </c>
      <c r="D26036" s="26">
        <v>0.30570000000000003</v>
      </c>
      <c r="E26036" s="26">
        <v>8.9700000000000002E-2</v>
      </c>
      <c r="F26036" s="26">
        <v>5.4800000000000001E-2</v>
      </c>
      <c r="G26036" s="26">
        <v>1.77E-2</v>
      </c>
      <c r="H26036" s="26">
        <v>8.6999999999999994E-3</v>
      </c>
      <c r="I26036">
        <v>416</v>
      </c>
    </row>
    <row r="26037" spans="1:9" x14ac:dyDescent="0.35">
      <c r="A26037" s="27" t="s">
        <v>228</v>
      </c>
      <c r="B26037" s="27" t="s">
        <v>258</v>
      </c>
      <c r="C26037" s="28">
        <v>1</v>
      </c>
      <c r="D26037" s="28">
        <v>0.5</v>
      </c>
      <c r="E26037" s="29"/>
      <c r="F26037" s="29"/>
      <c r="G26037" s="29"/>
      <c r="H26037" s="29"/>
      <c r="I26037" s="29" t="s">
        <v>314</v>
      </c>
    </row>
    <row r="26038" spans="1:9" x14ac:dyDescent="0.35">
      <c r="A26038" t="s">
        <v>228</v>
      </c>
      <c r="B26038" t="s">
        <v>257</v>
      </c>
      <c r="C26038" s="26">
        <v>0.8145</v>
      </c>
      <c r="D26038" s="26">
        <v>0.2631</v>
      </c>
      <c r="E26038" s="26">
        <v>0.14879999999999999</v>
      </c>
      <c r="F26038" s="26">
        <v>0.14180000000000001</v>
      </c>
      <c r="G26038" s="26">
        <v>8.7300000000000003E-2</v>
      </c>
      <c r="I26038">
        <v>35</v>
      </c>
    </row>
    <row r="26039" spans="1:9" x14ac:dyDescent="0.35">
      <c r="A26039" t="s">
        <v>229</v>
      </c>
      <c r="B26039" t="s">
        <v>255</v>
      </c>
      <c r="C26039" s="26">
        <v>0.80249999999999999</v>
      </c>
      <c r="D26039" s="26">
        <v>0.24859999999999999</v>
      </c>
      <c r="E26039" s="26">
        <v>0.1085</v>
      </c>
      <c r="F26039" s="26">
        <v>6.1800000000000001E-2</v>
      </c>
      <c r="G26039" s="26">
        <v>2.12E-2</v>
      </c>
      <c r="H26039" s="26">
        <v>3.7400000000000003E-2</v>
      </c>
      <c r="I26039">
        <v>233</v>
      </c>
    </row>
    <row r="26040" spans="1:9" x14ac:dyDescent="0.35">
      <c r="A26040" t="s">
        <v>229</v>
      </c>
      <c r="B26040" t="s">
        <v>256</v>
      </c>
      <c r="C26040" s="26">
        <v>0.84379999999999999</v>
      </c>
      <c r="D26040" s="26">
        <v>0.29149999999999998</v>
      </c>
      <c r="E26040" s="26">
        <v>0.20599999999999999</v>
      </c>
      <c r="F26040" s="26">
        <v>0.26400000000000001</v>
      </c>
      <c r="I26040">
        <v>83</v>
      </c>
    </row>
    <row r="26041" spans="1:9" x14ac:dyDescent="0.35">
      <c r="A26041" s="27" t="s">
        <v>229</v>
      </c>
      <c r="B26041" s="27" t="s">
        <v>258</v>
      </c>
      <c r="C26041" s="28">
        <v>1</v>
      </c>
      <c r="D26041" s="29"/>
      <c r="E26041" s="29"/>
      <c r="F26041" s="29"/>
      <c r="G26041" s="29"/>
      <c r="H26041" s="29"/>
      <c r="I26041" s="29" t="s">
        <v>314</v>
      </c>
    </row>
    <row r="26042" spans="1:9" x14ac:dyDescent="0.35">
      <c r="A26042" s="27" t="s">
        <v>229</v>
      </c>
      <c r="B26042" s="27" t="s">
        <v>257</v>
      </c>
      <c r="C26042" s="28">
        <v>0.74380000000000002</v>
      </c>
      <c r="D26042" s="28">
        <v>0.62439999999999996</v>
      </c>
      <c r="E26042" s="28">
        <v>1.0800000000000001E-2</v>
      </c>
      <c r="F26042" s="28">
        <v>0.3745</v>
      </c>
      <c r="G26042" s="29"/>
      <c r="H26042" s="29"/>
      <c r="I26042" s="29" t="s">
        <v>328</v>
      </c>
    </row>
    <row r="26043" spans="1:9" x14ac:dyDescent="0.35">
      <c r="A26043" t="s">
        <v>230</v>
      </c>
      <c r="B26043" t="s">
        <v>255</v>
      </c>
      <c r="C26043" s="26">
        <v>0.85240000000000005</v>
      </c>
      <c r="D26043" s="26">
        <v>0.37940000000000002</v>
      </c>
      <c r="E26043" s="26">
        <v>0.11749999999999999</v>
      </c>
      <c r="F26043" s="26">
        <v>8.0399999999999999E-2</v>
      </c>
      <c r="G26043" s="26">
        <v>2.0400000000000001E-2</v>
      </c>
      <c r="H26043" s="26">
        <v>2.8E-3</v>
      </c>
      <c r="I26043">
        <v>227</v>
      </c>
    </row>
    <row r="26044" spans="1:9" x14ac:dyDescent="0.35">
      <c r="A26044" t="s">
        <v>230</v>
      </c>
      <c r="B26044" t="s">
        <v>256</v>
      </c>
      <c r="C26044" s="26">
        <v>0.69450000000000001</v>
      </c>
      <c r="D26044" s="26">
        <v>0.4486</v>
      </c>
      <c r="E26044" s="26">
        <v>0.13880000000000001</v>
      </c>
      <c r="F26044" s="26">
        <v>7.3599999999999999E-2</v>
      </c>
      <c r="G26044" s="26">
        <v>9.0200000000000002E-2</v>
      </c>
      <c r="I26044">
        <v>76</v>
      </c>
    </row>
    <row r="26045" spans="1:9" x14ac:dyDescent="0.35">
      <c r="A26045" s="27" t="s">
        <v>230</v>
      </c>
      <c r="B26045" s="27" t="s">
        <v>258</v>
      </c>
      <c r="C26045" s="28">
        <v>1</v>
      </c>
      <c r="D26045" s="29"/>
      <c r="E26045" s="29"/>
      <c r="F26045" s="29"/>
      <c r="G26045" s="29"/>
      <c r="H26045" s="29"/>
      <c r="I26045" s="29" t="s">
        <v>331</v>
      </c>
    </row>
    <row r="26046" spans="1:9" x14ac:dyDescent="0.35">
      <c r="A26046" s="27" t="s">
        <v>230</v>
      </c>
      <c r="B26046" s="27" t="s">
        <v>257</v>
      </c>
      <c r="C26046" s="28">
        <v>0.8407</v>
      </c>
      <c r="D26046" s="28">
        <v>0.17899999999999999</v>
      </c>
      <c r="E26046" s="28">
        <v>0.13969999999999999</v>
      </c>
      <c r="F26046" s="28">
        <v>0.37059999999999998</v>
      </c>
      <c r="G26046" s="28">
        <v>1.9699999999999999E-2</v>
      </c>
      <c r="H26046" s="29"/>
      <c r="I26046" s="29" t="s">
        <v>328</v>
      </c>
    </row>
    <row r="26047" spans="1:9" x14ac:dyDescent="0.35">
      <c r="A26047" t="s">
        <v>231</v>
      </c>
      <c r="B26047" t="s">
        <v>255</v>
      </c>
      <c r="C26047" s="26">
        <v>0.78720000000000001</v>
      </c>
      <c r="D26047" s="26">
        <v>0.34039999999999998</v>
      </c>
      <c r="E26047" s="26">
        <v>6.3799999999999996E-2</v>
      </c>
      <c r="F26047" s="26">
        <v>6.3799999999999996E-2</v>
      </c>
      <c r="G26047" s="26">
        <v>2.1299999999999999E-2</v>
      </c>
      <c r="H26047" s="26">
        <v>2.1299999999999999E-2</v>
      </c>
      <c r="I26047">
        <v>47</v>
      </c>
    </row>
    <row r="26048" spans="1:9" x14ac:dyDescent="0.35">
      <c r="A26048" s="27" t="s">
        <v>231</v>
      </c>
      <c r="B26048" s="27" t="s">
        <v>256</v>
      </c>
      <c r="C26048" s="28">
        <v>0.57140000000000002</v>
      </c>
      <c r="D26048" s="28">
        <v>0.35709999999999997</v>
      </c>
      <c r="E26048" s="29"/>
      <c r="F26048" s="29"/>
      <c r="G26048" s="28">
        <v>0.1429</v>
      </c>
      <c r="H26048" s="28">
        <v>7.1400000000000005E-2</v>
      </c>
      <c r="I26048" s="29" t="s">
        <v>379</v>
      </c>
    </row>
    <row r="26049" spans="1:9" x14ac:dyDescent="0.35">
      <c r="A26049" s="27" t="s">
        <v>231</v>
      </c>
      <c r="B26049" s="27" t="s">
        <v>257</v>
      </c>
      <c r="C26049" s="28">
        <v>1</v>
      </c>
      <c r="D26049" s="28">
        <v>0.5</v>
      </c>
      <c r="E26049" s="29"/>
      <c r="F26049" s="29"/>
      <c r="G26049" s="29"/>
      <c r="H26049" s="29"/>
      <c r="I26049" s="29" t="s">
        <v>314</v>
      </c>
    </row>
    <row r="26050" spans="1:9" x14ac:dyDescent="0.35">
      <c r="A26050" t="s">
        <v>232</v>
      </c>
      <c r="B26050" t="s">
        <v>232</v>
      </c>
      <c r="C26050" s="26">
        <v>0.79400000000000004</v>
      </c>
      <c r="D26050" s="26">
        <v>0.31730000000000003</v>
      </c>
      <c r="E26050" s="26">
        <v>9.2700000000000005E-2</v>
      </c>
      <c r="F26050" s="26">
        <v>8.4699999999999998E-2</v>
      </c>
      <c r="G26050" s="26">
        <v>3.9399999999999998E-2</v>
      </c>
      <c r="H26050" s="26">
        <v>2.01E-2</v>
      </c>
      <c r="I26050">
        <v>1372</v>
      </c>
    </row>
    <row r="26052" spans="1:9" x14ac:dyDescent="0.35">
      <c r="A26052" s="1" t="s">
        <v>2367</v>
      </c>
    </row>
    <row r="26053" spans="1:9" x14ac:dyDescent="0.35">
      <c r="A26053" t="s">
        <v>219</v>
      </c>
      <c r="B26053" t="s">
        <v>305</v>
      </c>
      <c r="C26053" t="s">
        <v>2351</v>
      </c>
      <c r="D26053" t="s">
        <v>2352</v>
      </c>
      <c r="E26053" t="s">
        <v>2353</v>
      </c>
      <c r="F26053" t="s">
        <v>2354</v>
      </c>
      <c r="G26053" t="s">
        <v>2355</v>
      </c>
      <c r="H26053" t="s">
        <v>281</v>
      </c>
      <c r="I26053" t="s">
        <v>226</v>
      </c>
    </row>
    <row r="26054" spans="1:9" x14ac:dyDescent="0.35">
      <c r="A26054" s="27" t="s">
        <v>227</v>
      </c>
      <c r="B26054" s="27" t="s">
        <v>1341</v>
      </c>
      <c r="C26054" s="28">
        <v>0.8</v>
      </c>
      <c r="D26054" s="28">
        <v>0.3</v>
      </c>
      <c r="E26054" s="28">
        <v>0.05</v>
      </c>
      <c r="F26054" s="29"/>
      <c r="G26054" s="29"/>
      <c r="H26054" s="28">
        <v>0.05</v>
      </c>
      <c r="I26054" s="29" t="s">
        <v>350</v>
      </c>
    </row>
    <row r="26055" spans="1:9" x14ac:dyDescent="0.35">
      <c r="A26055" s="27" t="s">
        <v>227</v>
      </c>
      <c r="B26055" s="27" t="s">
        <v>1342</v>
      </c>
      <c r="C26055" s="29"/>
      <c r="D26055" s="28">
        <v>1</v>
      </c>
      <c r="E26055" s="29"/>
      <c r="F26055" s="29"/>
      <c r="G26055" s="29"/>
      <c r="H26055" s="29"/>
      <c r="I26055" s="29" t="s">
        <v>331</v>
      </c>
    </row>
    <row r="26056" spans="1:9" x14ac:dyDescent="0.35">
      <c r="A26056" t="s">
        <v>227</v>
      </c>
      <c r="B26056" t="s">
        <v>1343</v>
      </c>
      <c r="C26056" s="26">
        <v>0.71740000000000004</v>
      </c>
      <c r="D26056" s="26">
        <v>0.30430000000000001</v>
      </c>
      <c r="E26056" s="26">
        <v>8.6999999999999994E-2</v>
      </c>
      <c r="F26056" s="26">
        <v>6.5199999999999994E-2</v>
      </c>
      <c r="G26056" s="26">
        <v>0.1087</v>
      </c>
      <c r="I26056">
        <v>46</v>
      </c>
    </row>
    <row r="26057" spans="1:9" x14ac:dyDescent="0.35">
      <c r="A26057" t="s">
        <v>228</v>
      </c>
      <c r="B26057" t="s">
        <v>1341</v>
      </c>
      <c r="C26057" s="26">
        <v>0.8599</v>
      </c>
      <c r="D26057" s="26">
        <v>0.27710000000000001</v>
      </c>
      <c r="E26057" s="26">
        <v>5.7799999999999997E-2</v>
      </c>
      <c r="F26057" s="26">
        <v>4.9299999999999997E-2</v>
      </c>
      <c r="G26057" s="26">
        <v>2.06E-2</v>
      </c>
      <c r="H26057" s="26">
        <v>1.7000000000000001E-2</v>
      </c>
      <c r="I26057">
        <v>148</v>
      </c>
    </row>
    <row r="26058" spans="1:9" x14ac:dyDescent="0.35">
      <c r="A26058" t="s">
        <v>228</v>
      </c>
      <c r="B26058" t="s">
        <v>1343</v>
      </c>
      <c r="C26058" s="26">
        <v>0.86509999999999998</v>
      </c>
      <c r="D26058" s="26">
        <v>0.29070000000000001</v>
      </c>
      <c r="E26058" s="26">
        <v>0.1119</v>
      </c>
      <c r="F26058" s="26">
        <v>9.2899999999999996E-2</v>
      </c>
      <c r="G26058" s="26">
        <v>3.9699999999999999E-2</v>
      </c>
      <c r="H26058" s="26">
        <v>1.41E-2</v>
      </c>
      <c r="I26058">
        <v>426</v>
      </c>
    </row>
    <row r="26059" spans="1:9" x14ac:dyDescent="0.35">
      <c r="A26059" t="s">
        <v>229</v>
      </c>
      <c r="B26059" t="s">
        <v>1341</v>
      </c>
      <c r="C26059" s="26">
        <v>0.91220000000000001</v>
      </c>
      <c r="D26059" s="26">
        <v>0.2089</v>
      </c>
      <c r="E26059" s="26">
        <v>0.16619999999999999</v>
      </c>
      <c r="F26059" s="26">
        <v>0.14760000000000001</v>
      </c>
      <c r="G26059" s="26">
        <v>2.41E-2</v>
      </c>
      <c r="H26059" s="26">
        <v>2.41E-2</v>
      </c>
      <c r="I26059">
        <v>85</v>
      </c>
    </row>
    <row r="26060" spans="1:9" x14ac:dyDescent="0.35">
      <c r="A26060" t="s">
        <v>229</v>
      </c>
      <c r="B26060" t="s">
        <v>1343</v>
      </c>
      <c r="C26060" s="26">
        <v>0.76949999999999996</v>
      </c>
      <c r="D26060" s="26">
        <v>0.31630000000000003</v>
      </c>
      <c r="E26060" s="26">
        <v>0.1142</v>
      </c>
      <c r="F26060" s="26">
        <v>0.13600000000000001</v>
      </c>
      <c r="G26060" s="26">
        <v>9.7000000000000003E-3</v>
      </c>
      <c r="H26060" s="26">
        <v>2.4500000000000001E-2</v>
      </c>
      <c r="I26060">
        <v>256</v>
      </c>
    </row>
    <row r="26061" spans="1:9" x14ac:dyDescent="0.35">
      <c r="A26061" t="s">
        <v>230</v>
      </c>
      <c r="B26061" t="s">
        <v>1341</v>
      </c>
      <c r="C26061" s="26">
        <v>0.76070000000000004</v>
      </c>
      <c r="D26061" s="26">
        <v>0.41860000000000003</v>
      </c>
      <c r="E26061" s="26">
        <v>3.9699999999999999E-2</v>
      </c>
      <c r="F26061" s="26">
        <v>1.11E-2</v>
      </c>
      <c r="G26061" s="26">
        <v>5.1499999999999997E-2</v>
      </c>
      <c r="I26061">
        <v>76</v>
      </c>
    </row>
    <row r="26062" spans="1:9" x14ac:dyDescent="0.35">
      <c r="A26062" t="s">
        <v>230</v>
      </c>
      <c r="B26062" t="s">
        <v>1343</v>
      </c>
      <c r="C26062" s="26">
        <v>0.82340000000000002</v>
      </c>
      <c r="D26062" s="26">
        <v>0.36849999999999999</v>
      </c>
      <c r="E26062" s="26">
        <v>0.1479</v>
      </c>
      <c r="F26062" s="26">
        <v>0.13009999999999999</v>
      </c>
      <c r="G26062" s="26">
        <v>3.5200000000000002E-2</v>
      </c>
      <c r="H26062" s="26">
        <v>2.3E-3</v>
      </c>
      <c r="I26062">
        <v>251</v>
      </c>
    </row>
    <row r="26063" spans="1:9" x14ac:dyDescent="0.35">
      <c r="A26063" s="27" t="s">
        <v>231</v>
      </c>
      <c r="B26063" s="27" t="s">
        <v>1341</v>
      </c>
      <c r="C26063" s="28">
        <v>0.66669999999999996</v>
      </c>
      <c r="D26063" s="28">
        <v>0.44440000000000002</v>
      </c>
      <c r="E26063" s="28">
        <v>5.5599999999999997E-2</v>
      </c>
      <c r="F26063" s="28">
        <v>0.1111</v>
      </c>
      <c r="G26063" s="28">
        <v>0.1111</v>
      </c>
      <c r="H26063" s="29"/>
      <c r="I26063" s="29" t="s">
        <v>353</v>
      </c>
    </row>
    <row r="26064" spans="1:9" x14ac:dyDescent="0.35">
      <c r="A26064" t="s">
        <v>231</v>
      </c>
      <c r="B26064" t="s">
        <v>1343</v>
      </c>
      <c r="C26064" s="26">
        <v>0.77780000000000005</v>
      </c>
      <c r="D26064" s="26">
        <v>0.31109999999999999</v>
      </c>
      <c r="E26064" s="26">
        <v>4.4400000000000002E-2</v>
      </c>
      <c r="F26064" s="26">
        <v>2.2200000000000001E-2</v>
      </c>
      <c r="G26064" s="26">
        <v>2.2200000000000001E-2</v>
      </c>
      <c r="H26064" s="26">
        <v>4.4400000000000002E-2</v>
      </c>
      <c r="I26064">
        <v>45</v>
      </c>
    </row>
    <row r="26065" spans="1:9" x14ac:dyDescent="0.35">
      <c r="A26065" t="s">
        <v>232</v>
      </c>
      <c r="B26065" t="s">
        <v>232</v>
      </c>
      <c r="C26065" s="26">
        <v>0.79400000000000004</v>
      </c>
      <c r="D26065" s="26">
        <v>0.31730000000000003</v>
      </c>
      <c r="E26065" s="26">
        <v>9.2700000000000005E-2</v>
      </c>
      <c r="F26065" s="26">
        <v>8.4699999999999998E-2</v>
      </c>
      <c r="G26065" s="26">
        <v>3.9399999999999998E-2</v>
      </c>
      <c r="H26065" s="26">
        <v>2.01E-2</v>
      </c>
      <c r="I26065">
        <v>1372</v>
      </c>
    </row>
    <row r="26067" spans="1:9" x14ac:dyDescent="0.35">
      <c r="A26067" s="1" t="s">
        <v>2368</v>
      </c>
    </row>
    <row r="26068" spans="1:9" x14ac:dyDescent="0.35">
      <c r="A26068" t="s">
        <v>219</v>
      </c>
      <c r="B26068" t="s">
        <v>305</v>
      </c>
      <c r="C26068" t="s">
        <v>2351</v>
      </c>
      <c r="D26068" t="s">
        <v>2352</v>
      </c>
      <c r="E26068" t="s">
        <v>2353</v>
      </c>
      <c r="F26068" t="s">
        <v>2354</v>
      </c>
      <c r="G26068" t="s">
        <v>2355</v>
      </c>
      <c r="H26068" t="s">
        <v>281</v>
      </c>
      <c r="I26068" t="s">
        <v>226</v>
      </c>
    </row>
    <row r="26069" spans="1:9" x14ac:dyDescent="0.35">
      <c r="A26069" s="27" t="s">
        <v>227</v>
      </c>
      <c r="B26069" s="27" t="s">
        <v>1347</v>
      </c>
      <c r="C26069" s="28">
        <v>0.54549999999999998</v>
      </c>
      <c r="D26069" s="28">
        <v>9.0899999999999995E-2</v>
      </c>
      <c r="E26069" s="28">
        <v>9.0899999999999995E-2</v>
      </c>
      <c r="F26069" s="28">
        <v>9.0899999999999995E-2</v>
      </c>
      <c r="G26069" s="28">
        <v>0.2727</v>
      </c>
      <c r="H26069" s="28">
        <v>9.0899999999999995E-2</v>
      </c>
      <c r="I26069" s="29" t="s">
        <v>352</v>
      </c>
    </row>
    <row r="26070" spans="1:9" x14ac:dyDescent="0.35">
      <c r="A26070" t="s">
        <v>227</v>
      </c>
      <c r="B26070" t="s">
        <v>1348</v>
      </c>
      <c r="C26070" s="26">
        <v>0.74360000000000004</v>
      </c>
      <c r="D26070" s="26">
        <v>0.35899999999999999</v>
      </c>
      <c r="E26070" s="26">
        <v>0.1026</v>
      </c>
      <c r="F26070" s="26">
        <v>2.5600000000000001E-2</v>
      </c>
      <c r="G26070" s="26">
        <v>5.1299999999999998E-2</v>
      </c>
      <c r="I26070">
        <v>39</v>
      </c>
    </row>
    <row r="26071" spans="1:9" x14ac:dyDescent="0.35">
      <c r="A26071" s="27" t="s">
        <v>227</v>
      </c>
      <c r="B26071" s="27" t="s">
        <v>1346</v>
      </c>
      <c r="C26071" s="28">
        <v>0.82350000000000001</v>
      </c>
      <c r="D26071" s="28">
        <v>0.35289999999999999</v>
      </c>
      <c r="E26071" s="29"/>
      <c r="F26071" s="28">
        <v>5.8799999999999998E-2</v>
      </c>
      <c r="G26071" s="29"/>
      <c r="H26071" s="29"/>
      <c r="I26071" s="29" t="s">
        <v>343</v>
      </c>
    </row>
    <row r="26072" spans="1:9" x14ac:dyDescent="0.35">
      <c r="A26072" s="27" t="s">
        <v>228</v>
      </c>
      <c r="B26072" s="27" t="s">
        <v>1345</v>
      </c>
      <c r="C26072" s="28">
        <v>0.3856</v>
      </c>
      <c r="D26072" s="29"/>
      <c r="E26072" s="29"/>
      <c r="F26072" s="28">
        <v>0.26119999999999999</v>
      </c>
      <c r="G26072" s="28">
        <v>0.35310000000000002</v>
      </c>
      <c r="H26072" s="29"/>
      <c r="I26072" s="29" t="s">
        <v>335</v>
      </c>
    </row>
    <row r="26073" spans="1:9" x14ac:dyDescent="0.35">
      <c r="A26073" t="s">
        <v>228</v>
      </c>
      <c r="B26073" t="s">
        <v>1347</v>
      </c>
      <c r="C26073" s="26">
        <v>0.78480000000000005</v>
      </c>
      <c r="D26073" s="26">
        <v>0.34239999999999998</v>
      </c>
      <c r="E26073" s="26">
        <v>7.8E-2</v>
      </c>
      <c r="F26073" s="26">
        <v>3.9E-2</v>
      </c>
      <c r="G26073" s="26">
        <v>4.6399999999999997E-2</v>
      </c>
      <c r="H26073" s="26">
        <v>3.7100000000000001E-2</v>
      </c>
      <c r="I26073">
        <v>103</v>
      </c>
    </row>
    <row r="26074" spans="1:9" x14ac:dyDescent="0.35">
      <c r="A26074" t="s">
        <v>228</v>
      </c>
      <c r="B26074" t="s">
        <v>1346</v>
      </c>
      <c r="C26074" s="26">
        <v>0.92930000000000001</v>
      </c>
      <c r="D26074" s="26">
        <v>0.23649999999999999</v>
      </c>
      <c r="E26074" s="26">
        <v>3.9399999999999998E-2</v>
      </c>
      <c r="F26074" s="26">
        <v>4.8099999999999997E-2</v>
      </c>
      <c r="G26074" s="26">
        <v>4.0000000000000001E-3</v>
      </c>
      <c r="H26074" s="26">
        <v>1.1900000000000001E-2</v>
      </c>
      <c r="I26074">
        <v>169</v>
      </c>
    </row>
    <row r="26075" spans="1:9" x14ac:dyDescent="0.35">
      <c r="A26075" t="s">
        <v>228</v>
      </c>
      <c r="B26075" t="s">
        <v>1348</v>
      </c>
      <c r="C26075" s="26">
        <v>0.88129999999999997</v>
      </c>
      <c r="D26075" s="26">
        <v>0.31090000000000001</v>
      </c>
      <c r="E26075" s="26">
        <v>0.14560000000000001</v>
      </c>
      <c r="F26075" s="26">
        <v>0.10879999999999999</v>
      </c>
      <c r="G26075" s="26">
        <v>3.2000000000000001E-2</v>
      </c>
      <c r="H26075" s="26">
        <v>8.9999999999999993E-3</v>
      </c>
      <c r="I26075">
        <v>296</v>
      </c>
    </row>
    <row r="26076" spans="1:9" x14ac:dyDescent="0.35">
      <c r="A26076" s="27" t="s">
        <v>229</v>
      </c>
      <c r="B26076" s="27" t="s">
        <v>1345</v>
      </c>
      <c r="C26076" s="28">
        <v>0.68320000000000003</v>
      </c>
      <c r="D26076" s="28">
        <v>0.67190000000000005</v>
      </c>
      <c r="E26076" s="28">
        <v>0.35510000000000003</v>
      </c>
      <c r="F26076" s="28">
        <v>0.35510000000000003</v>
      </c>
      <c r="G26076" s="29"/>
      <c r="H26076" s="29"/>
      <c r="I26076" s="29" t="s">
        <v>335</v>
      </c>
    </row>
    <row r="26077" spans="1:9" x14ac:dyDescent="0.35">
      <c r="A26077" t="s">
        <v>229</v>
      </c>
      <c r="B26077" t="s">
        <v>1346</v>
      </c>
      <c r="C26077" s="26">
        <v>0.7248</v>
      </c>
      <c r="D26077" s="26">
        <v>0.20610000000000001</v>
      </c>
      <c r="E26077" s="26">
        <v>0.11749999999999999</v>
      </c>
      <c r="F26077" s="26">
        <v>4.6800000000000001E-2</v>
      </c>
      <c r="G26077" s="26">
        <v>3.2099999999999997E-2</v>
      </c>
      <c r="H26077" s="26">
        <v>3.4500000000000003E-2</v>
      </c>
      <c r="I26077">
        <v>81</v>
      </c>
    </row>
    <row r="26078" spans="1:9" x14ac:dyDescent="0.35">
      <c r="A26078" t="s">
        <v>229</v>
      </c>
      <c r="B26078" t="s">
        <v>1347</v>
      </c>
      <c r="C26078" s="26">
        <v>0.74560000000000004</v>
      </c>
      <c r="D26078" s="26">
        <v>0.37919999999999998</v>
      </c>
      <c r="E26078" s="26">
        <v>0.15129999999999999</v>
      </c>
      <c r="F26078" s="26">
        <v>0.2346</v>
      </c>
      <c r="H26078" s="26">
        <v>3.5999999999999999E-3</v>
      </c>
      <c r="I26078">
        <v>96</v>
      </c>
    </row>
    <row r="26079" spans="1:9" x14ac:dyDescent="0.35">
      <c r="A26079" t="s">
        <v>229</v>
      </c>
      <c r="B26079" t="s">
        <v>1348</v>
      </c>
      <c r="C26079" s="26">
        <v>0.88349999999999995</v>
      </c>
      <c r="D26079" s="26">
        <v>0.25580000000000003</v>
      </c>
      <c r="E26079" s="26">
        <v>0.1129</v>
      </c>
      <c r="F26079" s="26">
        <v>0.12189999999999999</v>
      </c>
      <c r="G26079" s="26">
        <v>1.35E-2</v>
      </c>
      <c r="H26079" s="26">
        <v>3.1300000000000001E-2</v>
      </c>
      <c r="I26079">
        <v>158</v>
      </c>
    </row>
    <row r="26080" spans="1:9" x14ac:dyDescent="0.35">
      <c r="A26080" s="27" t="s">
        <v>230</v>
      </c>
      <c r="B26080" s="27" t="s">
        <v>1345</v>
      </c>
      <c r="C26080" s="28">
        <v>1</v>
      </c>
      <c r="D26080" s="29"/>
      <c r="E26080" s="29"/>
      <c r="F26080" s="29"/>
      <c r="G26080" s="29"/>
      <c r="H26080" s="29"/>
      <c r="I26080" s="29" t="s">
        <v>331</v>
      </c>
    </row>
    <row r="26081" spans="1:10" x14ac:dyDescent="0.35">
      <c r="A26081" t="s">
        <v>230</v>
      </c>
      <c r="B26081" t="s">
        <v>1346</v>
      </c>
      <c r="C26081" s="26">
        <v>0.83850000000000002</v>
      </c>
      <c r="D26081" s="26">
        <v>0.40910000000000002</v>
      </c>
      <c r="E26081" s="26">
        <v>0.1197</v>
      </c>
      <c r="F26081" s="26">
        <v>1.06E-2</v>
      </c>
      <c r="G26081" s="26">
        <v>6.6E-3</v>
      </c>
      <c r="H26081" s="26">
        <v>6.6E-3</v>
      </c>
      <c r="I26081">
        <v>97</v>
      </c>
    </row>
    <row r="26082" spans="1:10" x14ac:dyDescent="0.35">
      <c r="A26082" t="s">
        <v>230</v>
      </c>
      <c r="B26082" t="s">
        <v>1347</v>
      </c>
      <c r="C26082" s="26">
        <v>0.81899999999999995</v>
      </c>
      <c r="D26082" s="26">
        <v>0.29249999999999998</v>
      </c>
      <c r="E26082" s="26">
        <v>0.12859999999999999</v>
      </c>
      <c r="F26082" s="26">
        <v>0.15629999999999999</v>
      </c>
      <c r="G26082" s="26">
        <v>0.05</v>
      </c>
      <c r="I26082">
        <v>79</v>
      </c>
    </row>
    <row r="26083" spans="1:10" x14ac:dyDescent="0.35">
      <c r="A26083" t="s">
        <v>230</v>
      </c>
      <c r="B26083" t="s">
        <v>1348</v>
      </c>
      <c r="C26083" s="26">
        <v>0.78410000000000002</v>
      </c>
      <c r="D26083" s="26">
        <v>0.41789999999999999</v>
      </c>
      <c r="E26083" s="26">
        <v>0.12909999999999999</v>
      </c>
      <c r="F26083" s="26">
        <v>0.1348</v>
      </c>
      <c r="G26083" s="26">
        <v>5.21E-2</v>
      </c>
      <c r="I26083">
        <v>150</v>
      </c>
    </row>
    <row r="26084" spans="1:10" x14ac:dyDescent="0.35">
      <c r="A26084" t="s">
        <v>231</v>
      </c>
      <c r="B26084" t="s">
        <v>1348</v>
      </c>
      <c r="C26084" s="26">
        <v>0.875</v>
      </c>
      <c r="D26084" s="26">
        <v>0.28120000000000001</v>
      </c>
      <c r="E26084" s="26">
        <v>3.1199999999999999E-2</v>
      </c>
      <c r="F26084" s="26">
        <v>3.1199999999999999E-2</v>
      </c>
      <c r="G26084" s="26">
        <v>3.1199999999999999E-2</v>
      </c>
      <c r="H26084" s="26">
        <v>3.1199999999999999E-2</v>
      </c>
      <c r="I26084">
        <v>32</v>
      </c>
    </row>
    <row r="26085" spans="1:10" x14ac:dyDescent="0.35">
      <c r="A26085" s="27" t="s">
        <v>231</v>
      </c>
      <c r="B26085" s="27" t="s">
        <v>1347</v>
      </c>
      <c r="C26085" s="28">
        <v>0.5</v>
      </c>
      <c r="D26085" s="28">
        <v>0.57140000000000002</v>
      </c>
      <c r="E26085" s="29"/>
      <c r="F26085" s="28">
        <v>0.1429</v>
      </c>
      <c r="G26085" s="28">
        <v>0.1429</v>
      </c>
      <c r="H26085" s="29"/>
      <c r="I26085" s="29" t="s">
        <v>379</v>
      </c>
    </row>
    <row r="26086" spans="1:10" x14ac:dyDescent="0.35">
      <c r="A26086" s="27" t="s">
        <v>231</v>
      </c>
      <c r="B26086" s="27" t="s">
        <v>1345</v>
      </c>
      <c r="C26086" s="29"/>
      <c r="D26086" s="28">
        <v>1</v>
      </c>
      <c r="E26086" s="29"/>
      <c r="F26086" s="29"/>
      <c r="G26086" s="29"/>
      <c r="H26086" s="29"/>
      <c r="I26086" s="29" t="s">
        <v>331</v>
      </c>
    </row>
    <row r="26087" spans="1:10" x14ac:dyDescent="0.35">
      <c r="A26087" s="27" t="s">
        <v>231</v>
      </c>
      <c r="B26087" s="27" t="s">
        <v>1346</v>
      </c>
      <c r="C26087" s="28">
        <v>0.75</v>
      </c>
      <c r="D26087" s="28">
        <v>0.25</v>
      </c>
      <c r="E26087" s="28">
        <v>0.125</v>
      </c>
      <c r="F26087" s="29"/>
      <c r="G26087" s="29"/>
      <c r="H26087" s="28">
        <v>6.25E-2</v>
      </c>
      <c r="I26087" s="29" t="s">
        <v>348</v>
      </c>
    </row>
    <row r="26088" spans="1:10" x14ac:dyDescent="0.35">
      <c r="A26088" t="s">
        <v>232</v>
      </c>
      <c r="B26088" t="s">
        <v>232</v>
      </c>
      <c r="C26088" s="26">
        <v>0.79400000000000004</v>
      </c>
      <c r="D26088" s="26">
        <v>0.31730000000000003</v>
      </c>
      <c r="E26088" s="26">
        <v>9.2700000000000005E-2</v>
      </c>
      <c r="F26088" s="26">
        <v>8.4699999999999998E-2</v>
      </c>
      <c r="G26088" s="26">
        <v>3.9399999999999998E-2</v>
      </c>
      <c r="H26088" s="26">
        <v>2.01E-2</v>
      </c>
      <c r="I26088">
        <v>1372</v>
      </c>
    </row>
    <row r="26090" spans="1:10" x14ac:dyDescent="0.35">
      <c r="A26090" s="1" t="s">
        <v>2369</v>
      </c>
    </row>
    <row r="26091" spans="1:10" x14ac:dyDescent="0.35">
      <c r="A26091" t="s">
        <v>219</v>
      </c>
      <c r="B26091" t="s">
        <v>305</v>
      </c>
      <c r="C26091" t="s">
        <v>345</v>
      </c>
      <c r="D26091" t="s">
        <v>2351</v>
      </c>
      <c r="E26091" t="s">
        <v>2352</v>
      </c>
      <c r="F26091" t="s">
        <v>2353</v>
      </c>
      <c r="G26091" t="s">
        <v>2354</v>
      </c>
      <c r="H26091" t="s">
        <v>2355</v>
      </c>
      <c r="I26091" t="s">
        <v>281</v>
      </c>
      <c r="J26091" t="s">
        <v>226</v>
      </c>
    </row>
    <row r="26092" spans="1:10" x14ac:dyDescent="0.35">
      <c r="A26092" s="27" t="s">
        <v>227</v>
      </c>
      <c r="B26092" s="27" t="s">
        <v>1342</v>
      </c>
      <c r="C26092" s="27" t="s">
        <v>1348</v>
      </c>
      <c r="D26092" s="29"/>
      <c r="E26092" s="28">
        <v>1</v>
      </c>
      <c r="F26092" s="29"/>
      <c r="G26092" s="29"/>
      <c r="H26092" s="29"/>
      <c r="I26092" s="29"/>
      <c r="J26092" s="29" t="s">
        <v>331</v>
      </c>
    </row>
    <row r="26093" spans="1:10" x14ac:dyDescent="0.35">
      <c r="A26093" s="27" t="s">
        <v>227</v>
      </c>
      <c r="B26093" s="27" t="s">
        <v>1343</v>
      </c>
      <c r="C26093" s="27" t="s">
        <v>1346</v>
      </c>
      <c r="D26093" s="28">
        <v>0.9</v>
      </c>
      <c r="E26093" s="28">
        <v>0.3</v>
      </c>
      <c r="F26093" s="29"/>
      <c r="G26093" s="28">
        <v>0.1</v>
      </c>
      <c r="H26093" s="29"/>
      <c r="I26093" s="29"/>
      <c r="J26093" s="29" t="s">
        <v>307</v>
      </c>
    </row>
    <row r="26094" spans="1:10" x14ac:dyDescent="0.35">
      <c r="A26094" s="27" t="s">
        <v>227</v>
      </c>
      <c r="B26094" s="27" t="s">
        <v>1341</v>
      </c>
      <c r="C26094" s="27" t="s">
        <v>1347</v>
      </c>
      <c r="D26094" s="28">
        <v>0.66669999999999996</v>
      </c>
      <c r="E26094" s="29"/>
      <c r="F26094" s="29"/>
      <c r="G26094" s="29"/>
      <c r="H26094" s="29"/>
      <c r="I26094" s="28">
        <v>0.33329999999999999</v>
      </c>
      <c r="J26094" s="29" t="s">
        <v>315</v>
      </c>
    </row>
    <row r="26095" spans="1:10" x14ac:dyDescent="0.35">
      <c r="A26095" s="27" t="s">
        <v>227</v>
      </c>
      <c r="B26095" s="27" t="s">
        <v>1343</v>
      </c>
      <c r="C26095" s="27" t="s">
        <v>1348</v>
      </c>
      <c r="D26095" s="28">
        <v>0.71430000000000005</v>
      </c>
      <c r="E26095" s="28">
        <v>0.35709999999999997</v>
      </c>
      <c r="F26095" s="28">
        <v>0.1071</v>
      </c>
      <c r="G26095" s="28">
        <v>3.5700000000000003E-2</v>
      </c>
      <c r="H26095" s="28">
        <v>7.1400000000000005E-2</v>
      </c>
      <c r="I26095" s="29"/>
      <c r="J26095" s="29" t="s">
        <v>336</v>
      </c>
    </row>
    <row r="26096" spans="1:10" x14ac:dyDescent="0.35">
      <c r="A26096" s="27" t="s">
        <v>227</v>
      </c>
      <c r="B26096" s="27" t="s">
        <v>1343</v>
      </c>
      <c r="C26096" s="27" t="s">
        <v>1347</v>
      </c>
      <c r="D26096" s="28">
        <v>0.5</v>
      </c>
      <c r="E26096" s="28">
        <v>0.125</v>
      </c>
      <c r="F26096" s="28">
        <v>0.125</v>
      </c>
      <c r="G26096" s="28">
        <v>0.125</v>
      </c>
      <c r="H26096" s="28">
        <v>0.375</v>
      </c>
      <c r="I26096" s="29"/>
      <c r="J26096" s="29" t="s">
        <v>333</v>
      </c>
    </row>
    <row r="26097" spans="1:10" x14ac:dyDescent="0.35">
      <c r="A26097" s="27" t="s">
        <v>227</v>
      </c>
      <c r="B26097" s="27" t="s">
        <v>1341</v>
      </c>
      <c r="C26097" s="27" t="s">
        <v>1348</v>
      </c>
      <c r="D26097" s="28">
        <v>0.9</v>
      </c>
      <c r="E26097" s="28">
        <v>0.3</v>
      </c>
      <c r="F26097" s="28">
        <v>0.1</v>
      </c>
      <c r="G26097" s="29"/>
      <c r="H26097" s="29"/>
      <c r="I26097" s="29"/>
      <c r="J26097" s="29" t="s">
        <v>307</v>
      </c>
    </row>
    <row r="26098" spans="1:10" x14ac:dyDescent="0.35">
      <c r="A26098" s="27" t="s">
        <v>227</v>
      </c>
      <c r="B26098" s="27" t="s">
        <v>1341</v>
      </c>
      <c r="C26098" s="27" t="s">
        <v>1346</v>
      </c>
      <c r="D26098" s="28">
        <v>0.71430000000000005</v>
      </c>
      <c r="E26098" s="28">
        <v>0.42859999999999998</v>
      </c>
      <c r="F26098" s="29"/>
      <c r="G26098" s="29"/>
      <c r="H26098" s="29"/>
      <c r="I26098" s="29"/>
      <c r="J26098" s="29" t="s">
        <v>339</v>
      </c>
    </row>
    <row r="26099" spans="1:10" x14ac:dyDescent="0.35">
      <c r="A26099" t="s">
        <v>228</v>
      </c>
      <c r="B26099" t="s">
        <v>1343</v>
      </c>
      <c r="C26099" t="s">
        <v>1348</v>
      </c>
      <c r="D26099" s="26">
        <v>0.89480000000000004</v>
      </c>
      <c r="E26099" s="26">
        <v>0.30830000000000002</v>
      </c>
      <c r="F26099" s="26">
        <v>0.186</v>
      </c>
      <c r="G26099" s="26">
        <v>0.1285</v>
      </c>
      <c r="H26099" s="26">
        <v>3.9199999999999999E-2</v>
      </c>
      <c r="I26099" s="26">
        <v>4.8999999999999998E-3</v>
      </c>
      <c r="J26099">
        <v>205</v>
      </c>
    </row>
    <row r="26100" spans="1:10" x14ac:dyDescent="0.35">
      <c r="A26100" t="s">
        <v>228</v>
      </c>
      <c r="B26100" t="s">
        <v>1343</v>
      </c>
      <c r="C26100" t="s">
        <v>1347</v>
      </c>
      <c r="D26100" s="26">
        <v>0.76529999999999998</v>
      </c>
      <c r="E26100" s="26">
        <v>0.36899999999999999</v>
      </c>
      <c r="F26100" s="26">
        <v>6.9000000000000006E-2</v>
      </c>
      <c r="G26100" s="26">
        <v>3.8399999999999997E-2</v>
      </c>
      <c r="H26100" s="26">
        <v>0.06</v>
      </c>
      <c r="I26100" s="26">
        <v>4.8000000000000001E-2</v>
      </c>
      <c r="J26100">
        <v>73</v>
      </c>
    </row>
    <row r="26101" spans="1:10" x14ac:dyDescent="0.35">
      <c r="A26101" s="27" t="s">
        <v>228</v>
      </c>
      <c r="B26101" s="27" t="s">
        <v>1343</v>
      </c>
      <c r="C26101" s="27" t="s">
        <v>1345</v>
      </c>
      <c r="D26101" s="28">
        <v>0.33329999999999999</v>
      </c>
      <c r="E26101" s="29"/>
      <c r="F26101" s="29"/>
      <c r="G26101" s="28">
        <v>0.33329999999999999</v>
      </c>
      <c r="H26101" s="28">
        <v>0.33329999999999999</v>
      </c>
      <c r="I26101" s="29"/>
      <c r="J26101" s="29" t="s">
        <v>315</v>
      </c>
    </row>
    <row r="26102" spans="1:10" x14ac:dyDescent="0.35">
      <c r="A26102" s="27" t="s">
        <v>228</v>
      </c>
      <c r="B26102" s="27" t="s">
        <v>1341</v>
      </c>
      <c r="C26102" s="27" t="s">
        <v>1346</v>
      </c>
      <c r="D26102" s="28">
        <v>0.96560000000000001</v>
      </c>
      <c r="E26102" s="28">
        <v>0.17180000000000001</v>
      </c>
      <c r="F26102" s="28">
        <v>2.2599999999999999E-2</v>
      </c>
      <c r="G26102" s="29"/>
      <c r="H26102" s="29"/>
      <c r="I26102" s="28">
        <v>3.44E-2</v>
      </c>
      <c r="J26102" s="29" t="s">
        <v>310</v>
      </c>
    </row>
    <row r="26103" spans="1:10" x14ac:dyDescent="0.35">
      <c r="A26103" t="s">
        <v>228</v>
      </c>
      <c r="B26103" t="s">
        <v>1341</v>
      </c>
      <c r="C26103" t="s">
        <v>1348</v>
      </c>
      <c r="D26103" s="26">
        <v>0.85029999999999994</v>
      </c>
      <c r="E26103" s="26">
        <v>0.31680000000000003</v>
      </c>
      <c r="F26103" s="26">
        <v>5.3499999999999999E-2</v>
      </c>
      <c r="G26103" s="26">
        <v>6.3899999999999998E-2</v>
      </c>
      <c r="H26103" s="26">
        <v>1.5699999999999999E-2</v>
      </c>
      <c r="I26103" s="26">
        <v>1.8599999999999998E-2</v>
      </c>
      <c r="J26103">
        <v>91</v>
      </c>
    </row>
    <row r="26104" spans="1:10" x14ac:dyDescent="0.35">
      <c r="A26104" t="s">
        <v>228</v>
      </c>
      <c r="B26104" t="s">
        <v>1343</v>
      </c>
      <c r="C26104" t="s">
        <v>1346</v>
      </c>
      <c r="D26104" s="26">
        <v>0.92459999999999998</v>
      </c>
      <c r="E26104" s="26">
        <v>0.245</v>
      </c>
      <c r="F26104" s="26">
        <v>4.1599999999999998E-2</v>
      </c>
      <c r="G26104" s="26">
        <v>5.4399999999999997E-2</v>
      </c>
      <c r="H26104" s="26">
        <v>4.4999999999999997E-3</v>
      </c>
      <c r="I26104" s="26">
        <v>8.8999999999999999E-3</v>
      </c>
      <c r="J26104">
        <v>145</v>
      </c>
    </row>
    <row r="26105" spans="1:10" x14ac:dyDescent="0.35">
      <c r="A26105" s="27" t="s">
        <v>228</v>
      </c>
      <c r="B26105" s="27" t="s">
        <v>1341</v>
      </c>
      <c r="C26105" s="27" t="s">
        <v>1345</v>
      </c>
      <c r="D26105" s="28">
        <v>0.57520000000000004</v>
      </c>
      <c r="E26105" s="29"/>
      <c r="F26105" s="29"/>
      <c r="G26105" s="29"/>
      <c r="H26105" s="28">
        <v>0.42480000000000001</v>
      </c>
      <c r="I26105" s="29"/>
      <c r="J26105" s="29" t="s">
        <v>315</v>
      </c>
    </row>
    <row r="26106" spans="1:10" x14ac:dyDescent="0.35">
      <c r="A26106" t="s">
        <v>228</v>
      </c>
      <c r="B26106" t="s">
        <v>1341</v>
      </c>
      <c r="C26106" t="s">
        <v>1347</v>
      </c>
      <c r="D26106" s="26">
        <v>0.85089999999999999</v>
      </c>
      <c r="E26106" s="26">
        <v>0.25169999999999998</v>
      </c>
      <c r="F26106" s="26">
        <v>0.1087</v>
      </c>
      <c r="G26106" s="26">
        <v>4.0899999999999999E-2</v>
      </c>
      <c r="J26106">
        <v>30</v>
      </c>
    </row>
    <row r="26107" spans="1:10" x14ac:dyDescent="0.35">
      <c r="A26107" t="s">
        <v>229</v>
      </c>
      <c r="B26107" t="s">
        <v>1343</v>
      </c>
      <c r="C26107" t="s">
        <v>1346</v>
      </c>
      <c r="D26107" s="26">
        <v>0.67459999999999998</v>
      </c>
      <c r="E26107" s="26">
        <v>0.2208</v>
      </c>
      <c r="F26107" s="26">
        <v>0.15110000000000001</v>
      </c>
      <c r="G26107" s="26">
        <v>6.5000000000000002E-2</v>
      </c>
      <c r="I26107" s="26">
        <v>4.7899999999999998E-2</v>
      </c>
      <c r="J26107">
        <v>62</v>
      </c>
    </row>
    <row r="26108" spans="1:10" x14ac:dyDescent="0.35">
      <c r="A26108" s="27" t="s">
        <v>229</v>
      </c>
      <c r="B26108" s="27" t="s">
        <v>1341</v>
      </c>
      <c r="C26108" s="27" t="s">
        <v>1346</v>
      </c>
      <c r="D26108" s="28">
        <v>0.85440000000000005</v>
      </c>
      <c r="E26108" s="28">
        <v>0.16819999999999999</v>
      </c>
      <c r="F26108" s="28">
        <v>3.0599999999999999E-2</v>
      </c>
      <c r="G26108" s="29"/>
      <c r="H26108" s="28">
        <v>0.115</v>
      </c>
      <c r="I26108" s="29"/>
      <c r="J26108" s="29" t="s">
        <v>349</v>
      </c>
    </row>
    <row r="26109" spans="1:10" x14ac:dyDescent="0.35">
      <c r="A26109" s="27" t="s">
        <v>229</v>
      </c>
      <c r="B26109" s="27" t="s">
        <v>1341</v>
      </c>
      <c r="C26109" s="27" t="s">
        <v>1345</v>
      </c>
      <c r="D26109" s="28">
        <v>0.94830000000000003</v>
      </c>
      <c r="E26109" s="28">
        <v>0.97089999999999999</v>
      </c>
      <c r="F26109" s="28">
        <v>0.91910000000000003</v>
      </c>
      <c r="G26109" s="28">
        <v>0.91910000000000003</v>
      </c>
      <c r="H26109" s="29"/>
      <c r="I26109" s="29"/>
      <c r="J26109" s="29" t="s">
        <v>315</v>
      </c>
    </row>
    <row r="26110" spans="1:10" x14ac:dyDescent="0.35">
      <c r="A26110" t="s">
        <v>229</v>
      </c>
      <c r="B26110" t="s">
        <v>1343</v>
      </c>
      <c r="C26110" t="s">
        <v>1348</v>
      </c>
      <c r="D26110" s="26">
        <v>0.86419999999999997</v>
      </c>
      <c r="E26110" s="26">
        <v>0.27439999999999998</v>
      </c>
      <c r="F26110" s="26">
        <v>9.9099999999999994E-2</v>
      </c>
      <c r="G26110" s="26">
        <v>0.1101</v>
      </c>
      <c r="H26110" s="26">
        <v>2.0400000000000001E-2</v>
      </c>
      <c r="I26110" s="26">
        <v>2.7099999999999999E-2</v>
      </c>
      <c r="J26110">
        <v>117</v>
      </c>
    </row>
    <row r="26111" spans="1:10" x14ac:dyDescent="0.35">
      <c r="A26111" t="s">
        <v>229</v>
      </c>
      <c r="B26111" t="s">
        <v>1343</v>
      </c>
      <c r="C26111" t="s">
        <v>1347</v>
      </c>
      <c r="D26111" s="26">
        <v>0.70350000000000001</v>
      </c>
      <c r="E26111" s="26">
        <v>0.44469999999999998</v>
      </c>
      <c r="F26111" s="26">
        <v>0.1191</v>
      </c>
      <c r="G26111" s="26">
        <v>0.2407</v>
      </c>
      <c r="I26111" s="26">
        <v>4.4000000000000003E-3</v>
      </c>
      <c r="J26111">
        <v>74</v>
      </c>
    </row>
    <row r="26112" spans="1:10" x14ac:dyDescent="0.35">
      <c r="A26112" s="27" t="s">
        <v>229</v>
      </c>
      <c r="B26112" s="27" t="s">
        <v>1343</v>
      </c>
      <c r="C26112" s="27" t="s">
        <v>1345</v>
      </c>
      <c r="D26112" s="28">
        <v>0.51629999999999998</v>
      </c>
      <c r="E26112" s="28">
        <v>0.48370000000000002</v>
      </c>
      <c r="F26112" s="29"/>
      <c r="G26112" s="29"/>
      <c r="H26112" s="29"/>
      <c r="I26112" s="29"/>
      <c r="J26112" s="29" t="s">
        <v>315</v>
      </c>
    </row>
    <row r="26113" spans="1:10" x14ac:dyDescent="0.35">
      <c r="A26113" s="27" t="s">
        <v>229</v>
      </c>
      <c r="B26113" s="27" t="s">
        <v>1341</v>
      </c>
      <c r="C26113" s="27" t="s">
        <v>1347</v>
      </c>
      <c r="D26113" s="28">
        <v>0.95069999999999999</v>
      </c>
      <c r="E26113" s="28">
        <v>6.0299999999999999E-2</v>
      </c>
      <c r="F26113" s="28">
        <v>0.30819999999999997</v>
      </c>
      <c r="G26113" s="28">
        <v>0.20519999999999999</v>
      </c>
      <c r="H26113" s="29"/>
      <c r="I26113" s="29"/>
      <c r="J26113" s="29" t="s">
        <v>347</v>
      </c>
    </row>
    <row r="26114" spans="1:10" x14ac:dyDescent="0.35">
      <c r="A26114" t="s">
        <v>229</v>
      </c>
      <c r="B26114" t="s">
        <v>1341</v>
      </c>
      <c r="C26114" t="s">
        <v>1348</v>
      </c>
      <c r="D26114" s="26">
        <v>0.92090000000000005</v>
      </c>
      <c r="E26114" s="26">
        <v>0.21990000000000001</v>
      </c>
      <c r="F26114" s="26">
        <v>0.13950000000000001</v>
      </c>
      <c r="G26114" s="26">
        <v>0.14460000000000001</v>
      </c>
      <c r="I26114" s="26">
        <v>3.9600000000000003E-2</v>
      </c>
      <c r="J26114">
        <v>41</v>
      </c>
    </row>
    <row r="26115" spans="1:10" x14ac:dyDescent="0.35">
      <c r="A26115" t="s">
        <v>230</v>
      </c>
      <c r="B26115" t="s">
        <v>1343</v>
      </c>
      <c r="C26115" t="s">
        <v>1347</v>
      </c>
      <c r="D26115" s="26">
        <v>0.83709999999999996</v>
      </c>
      <c r="E26115" s="26">
        <v>0.29420000000000002</v>
      </c>
      <c r="F26115" s="26">
        <v>0.15010000000000001</v>
      </c>
      <c r="G26115" s="26">
        <v>0.1961</v>
      </c>
      <c r="H26115" s="26">
        <v>9.4999999999999998E-3</v>
      </c>
      <c r="J26115">
        <v>57</v>
      </c>
    </row>
    <row r="26116" spans="1:10" x14ac:dyDescent="0.35">
      <c r="A26116" t="s">
        <v>230</v>
      </c>
      <c r="B26116" t="s">
        <v>1343</v>
      </c>
      <c r="C26116" t="s">
        <v>1348</v>
      </c>
      <c r="D26116" s="26">
        <v>0.79330000000000001</v>
      </c>
      <c r="E26116" s="26">
        <v>0.42020000000000002</v>
      </c>
      <c r="F26116" s="26">
        <v>0.1522</v>
      </c>
      <c r="G26116" s="26">
        <v>0.17249999999999999</v>
      </c>
      <c r="H26116" s="26">
        <v>6.6699999999999995E-2</v>
      </c>
      <c r="J26116">
        <v>111</v>
      </c>
    </row>
    <row r="26117" spans="1:10" x14ac:dyDescent="0.35">
      <c r="A26117" s="27" t="s">
        <v>230</v>
      </c>
      <c r="B26117" s="27" t="s">
        <v>1341</v>
      </c>
      <c r="C26117" s="27" t="s">
        <v>1345</v>
      </c>
      <c r="D26117" s="28">
        <v>1</v>
      </c>
      <c r="E26117" s="29"/>
      <c r="F26117" s="29"/>
      <c r="G26117" s="29"/>
      <c r="H26117" s="29"/>
      <c r="I26117" s="29"/>
      <c r="J26117" s="29" t="s">
        <v>331</v>
      </c>
    </row>
    <row r="26118" spans="1:10" x14ac:dyDescent="0.35">
      <c r="A26118" s="27" t="s">
        <v>230</v>
      </c>
      <c r="B26118" s="27" t="s">
        <v>1341</v>
      </c>
      <c r="C26118" s="27" t="s">
        <v>1347</v>
      </c>
      <c r="D26118" s="28">
        <v>0.76139999999999997</v>
      </c>
      <c r="E26118" s="28">
        <v>0.28699999999999998</v>
      </c>
      <c r="F26118" s="28">
        <v>6.0400000000000002E-2</v>
      </c>
      <c r="G26118" s="28">
        <v>2.9499999999999998E-2</v>
      </c>
      <c r="H26118" s="28">
        <v>0.17899999999999999</v>
      </c>
      <c r="I26118" s="29"/>
      <c r="J26118" s="29" t="s">
        <v>347</v>
      </c>
    </row>
    <row r="26119" spans="1:10" x14ac:dyDescent="0.35">
      <c r="A26119" t="s">
        <v>230</v>
      </c>
      <c r="B26119" t="s">
        <v>1343</v>
      </c>
      <c r="C26119" t="s">
        <v>1346</v>
      </c>
      <c r="D26119" s="26">
        <v>0.85840000000000005</v>
      </c>
      <c r="E26119" s="26">
        <v>0.34989999999999999</v>
      </c>
      <c r="F26119" s="26">
        <v>0.1394</v>
      </c>
      <c r="G26119" s="26">
        <v>0.01</v>
      </c>
      <c r="H26119" s="26">
        <v>7.7000000000000002E-3</v>
      </c>
      <c r="I26119" s="26">
        <v>7.7000000000000002E-3</v>
      </c>
      <c r="J26119">
        <v>83</v>
      </c>
    </row>
    <row r="26120" spans="1:10" x14ac:dyDescent="0.35">
      <c r="A26120" s="27" t="s">
        <v>230</v>
      </c>
      <c r="B26120" s="27" t="s">
        <v>1341</v>
      </c>
      <c r="C26120" s="27" t="s">
        <v>1346</v>
      </c>
      <c r="D26120" s="28">
        <v>0.71760000000000002</v>
      </c>
      <c r="E26120" s="28">
        <v>0.76870000000000005</v>
      </c>
      <c r="F26120" s="29"/>
      <c r="G26120" s="28">
        <v>1.43E-2</v>
      </c>
      <c r="H26120" s="29"/>
      <c r="I26120" s="29"/>
      <c r="J26120" s="29" t="s">
        <v>379</v>
      </c>
    </row>
    <row r="26121" spans="1:10" x14ac:dyDescent="0.35">
      <c r="A26121" t="s">
        <v>230</v>
      </c>
      <c r="B26121" t="s">
        <v>1341</v>
      </c>
      <c r="C26121" t="s">
        <v>1348</v>
      </c>
      <c r="D26121" s="26">
        <v>0.751</v>
      </c>
      <c r="E26121" s="26">
        <v>0.40949999999999998</v>
      </c>
      <c r="F26121" s="26">
        <v>4.6699999999999998E-2</v>
      </c>
      <c r="J26121">
        <v>39</v>
      </c>
    </row>
    <row r="26122" spans="1:10" x14ac:dyDescent="0.35">
      <c r="A26122" s="27" t="s">
        <v>231</v>
      </c>
      <c r="B26122" s="27" t="s">
        <v>1343</v>
      </c>
      <c r="C26122" s="27" t="s">
        <v>1345</v>
      </c>
      <c r="D26122" s="29"/>
      <c r="E26122" s="28">
        <v>1</v>
      </c>
      <c r="F26122" s="29"/>
      <c r="G26122" s="29"/>
      <c r="H26122" s="29"/>
      <c r="I26122" s="29"/>
      <c r="J26122" s="29" t="s">
        <v>331</v>
      </c>
    </row>
    <row r="26123" spans="1:10" x14ac:dyDescent="0.35">
      <c r="A26123" s="27" t="s">
        <v>231</v>
      </c>
      <c r="B26123" s="27" t="s">
        <v>1343</v>
      </c>
      <c r="C26123" s="27" t="s">
        <v>1348</v>
      </c>
      <c r="D26123" s="28">
        <v>0.95240000000000002</v>
      </c>
      <c r="E26123" s="28">
        <v>0.23810000000000001</v>
      </c>
      <c r="F26123" s="29"/>
      <c r="G26123" s="29"/>
      <c r="H26123" s="29"/>
      <c r="I26123" s="28">
        <v>4.7600000000000003E-2</v>
      </c>
      <c r="J26123" s="29" t="s">
        <v>351</v>
      </c>
    </row>
    <row r="26124" spans="1:10" x14ac:dyDescent="0.35">
      <c r="A26124" s="27" t="s">
        <v>231</v>
      </c>
      <c r="B26124" s="27" t="s">
        <v>1341</v>
      </c>
      <c r="C26124" s="27" t="s">
        <v>1347</v>
      </c>
      <c r="D26124" s="28">
        <v>0.75</v>
      </c>
      <c r="E26124" s="28">
        <v>0.5</v>
      </c>
      <c r="F26124" s="29"/>
      <c r="G26124" s="28">
        <v>0.25</v>
      </c>
      <c r="H26124" s="28">
        <v>0.25</v>
      </c>
      <c r="I26124" s="29"/>
      <c r="J26124" s="29" t="s">
        <v>337</v>
      </c>
    </row>
    <row r="26125" spans="1:10" x14ac:dyDescent="0.35">
      <c r="A26125" s="27" t="s">
        <v>231</v>
      </c>
      <c r="B26125" s="27" t="s">
        <v>1341</v>
      </c>
      <c r="C26125" s="27" t="s">
        <v>1348</v>
      </c>
      <c r="D26125" s="28">
        <v>0.72729999999999995</v>
      </c>
      <c r="E26125" s="28">
        <v>0.36359999999999998</v>
      </c>
      <c r="F26125" s="28">
        <v>9.0899999999999995E-2</v>
      </c>
      <c r="G26125" s="28">
        <v>9.0899999999999995E-2</v>
      </c>
      <c r="H26125" s="28">
        <v>9.0899999999999995E-2</v>
      </c>
      <c r="I26125" s="29"/>
      <c r="J26125" s="29" t="s">
        <v>352</v>
      </c>
    </row>
    <row r="26126" spans="1:10" x14ac:dyDescent="0.35">
      <c r="A26126" s="27" t="s">
        <v>231</v>
      </c>
      <c r="B26126" s="27" t="s">
        <v>1343</v>
      </c>
      <c r="C26126" s="27" t="s">
        <v>1346</v>
      </c>
      <c r="D26126" s="28">
        <v>0.84619999999999995</v>
      </c>
      <c r="E26126" s="28">
        <v>0.15379999999999999</v>
      </c>
      <c r="F26126" s="28">
        <v>0.15379999999999999</v>
      </c>
      <c r="G26126" s="29"/>
      <c r="H26126" s="29"/>
      <c r="I26126" s="28">
        <v>7.6899999999999996E-2</v>
      </c>
      <c r="J26126" s="29" t="s">
        <v>341</v>
      </c>
    </row>
    <row r="26127" spans="1:10" x14ac:dyDescent="0.35">
      <c r="A26127" s="27" t="s">
        <v>231</v>
      </c>
      <c r="B26127" s="27" t="s">
        <v>1343</v>
      </c>
      <c r="C26127" s="27" t="s">
        <v>1347</v>
      </c>
      <c r="D26127" s="28">
        <v>0.4</v>
      </c>
      <c r="E26127" s="28">
        <v>0.6</v>
      </c>
      <c r="F26127" s="29"/>
      <c r="G26127" s="28">
        <v>0.1</v>
      </c>
      <c r="H26127" s="28">
        <v>0.1</v>
      </c>
      <c r="I26127" s="29"/>
      <c r="J26127" s="29" t="s">
        <v>307</v>
      </c>
    </row>
    <row r="26128" spans="1:10" x14ac:dyDescent="0.35">
      <c r="A26128" s="27" t="s">
        <v>231</v>
      </c>
      <c r="B26128" s="27" t="s">
        <v>1341</v>
      </c>
      <c r="C26128" s="27" t="s">
        <v>1346</v>
      </c>
      <c r="D26128" s="28">
        <v>0.33329999999999999</v>
      </c>
      <c r="E26128" s="28">
        <v>0.66669999999999996</v>
      </c>
      <c r="F26128" s="29"/>
      <c r="G26128" s="29"/>
      <c r="H26128" s="29"/>
      <c r="I26128" s="29"/>
      <c r="J26128" s="29" t="s">
        <v>315</v>
      </c>
    </row>
    <row r="26129" spans="1:10" x14ac:dyDescent="0.35">
      <c r="A26129" t="s">
        <v>232</v>
      </c>
      <c r="B26129" t="s">
        <v>232</v>
      </c>
      <c r="C26129" t="s">
        <v>232</v>
      </c>
      <c r="D26129" s="26">
        <v>0.79400000000000004</v>
      </c>
      <c r="E26129" s="26">
        <v>0.31730000000000003</v>
      </c>
      <c r="F26129" s="26">
        <v>9.2700000000000005E-2</v>
      </c>
      <c r="G26129" s="26">
        <v>8.4699999999999998E-2</v>
      </c>
      <c r="H26129" s="26">
        <v>3.9399999999999998E-2</v>
      </c>
      <c r="I26129" s="26">
        <v>2.01E-2</v>
      </c>
      <c r="J26129">
        <v>1372</v>
      </c>
    </row>
    <row r="26131" spans="1:10" x14ac:dyDescent="0.35">
      <c r="A26131" s="1" t="s">
        <v>2370</v>
      </c>
    </row>
    <row r="26132" spans="1:10" x14ac:dyDescent="0.35">
      <c r="A26132" t="s">
        <v>219</v>
      </c>
      <c r="B26132" t="s">
        <v>2371</v>
      </c>
      <c r="C26132" t="s">
        <v>2372</v>
      </c>
      <c r="D26132" t="s">
        <v>2373</v>
      </c>
      <c r="E26132" t="s">
        <v>2374</v>
      </c>
      <c r="F26132" t="s">
        <v>2375</v>
      </c>
      <c r="G26132" t="s">
        <v>2376</v>
      </c>
      <c r="H26132" t="s">
        <v>281</v>
      </c>
      <c r="I26132" t="s">
        <v>226</v>
      </c>
    </row>
    <row r="26133" spans="1:10" x14ac:dyDescent="0.35">
      <c r="A26133" t="s">
        <v>227</v>
      </c>
      <c r="B26133" s="26">
        <v>0.62109999999999999</v>
      </c>
      <c r="C26133" s="26">
        <v>0.1988</v>
      </c>
      <c r="D26133" s="26">
        <v>5.5899999999999998E-2</v>
      </c>
      <c r="E26133" s="26">
        <v>5.5899999999999998E-2</v>
      </c>
      <c r="F26133" s="26">
        <v>4.3499999999999997E-2</v>
      </c>
      <c r="G26133" s="26">
        <v>2.4799999999999999E-2</v>
      </c>
      <c r="I26133">
        <v>161</v>
      </c>
    </row>
    <row r="26134" spans="1:10" x14ac:dyDescent="0.35">
      <c r="A26134" t="s">
        <v>228</v>
      </c>
      <c r="B26134" s="26">
        <v>0.34899999999999998</v>
      </c>
      <c r="C26134" s="26">
        <v>0.29099999999999998</v>
      </c>
      <c r="D26134" s="26">
        <v>0.12709999999999999</v>
      </c>
      <c r="E26134" s="26">
        <v>8.3000000000000004E-2</v>
      </c>
      <c r="F26134" s="26">
        <v>7.51E-2</v>
      </c>
      <c r="G26134" s="26">
        <v>6.2700000000000006E-2</v>
      </c>
      <c r="H26134" s="26">
        <v>1.21E-2</v>
      </c>
      <c r="I26134">
        <v>1033</v>
      </c>
    </row>
    <row r="26135" spans="1:10" x14ac:dyDescent="0.35">
      <c r="A26135" t="s">
        <v>229</v>
      </c>
      <c r="B26135" s="26">
        <v>0.48770000000000002</v>
      </c>
      <c r="C26135" s="26">
        <v>0.28589999999999999</v>
      </c>
      <c r="D26135" s="26">
        <v>5.9799999999999999E-2</v>
      </c>
      <c r="E26135" s="26">
        <v>6.6100000000000006E-2</v>
      </c>
      <c r="F26135" s="26">
        <v>4.9200000000000001E-2</v>
      </c>
      <c r="G26135" s="26">
        <v>4.2000000000000003E-2</v>
      </c>
      <c r="H26135" s="26">
        <v>9.1999999999999998E-3</v>
      </c>
      <c r="I26135">
        <v>895</v>
      </c>
    </row>
    <row r="26136" spans="1:10" x14ac:dyDescent="0.35">
      <c r="A26136" t="s">
        <v>230</v>
      </c>
      <c r="B26136" s="26">
        <v>0.3846</v>
      </c>
      <c r="C26136" s="26">
        <v>0.26479999999999998</v>
      </c>
      <c r="D26136" s="26">
        <v>0.13500000000000001</v>
      </c>
      <c r="E26136" s="26">
        <v>5.21E-2</v>
      </c>
      <c r="F26136" s="26">
        <v>7.1599999999999997E-2</v>
      </c>
      <c r="G26136" s="26">
        <v>7.7299999999999994E-2</v>
      </c>
      <c r="H26136" s="26">
        <v>1.46E-2</v>
      </c>
      <c r="I26136">
        <v>560</v>
      </c>
    </row>
    <row r="26137" spans="1:10" x14ac:dyDescent="0.35">
      <c r="A26137" t="s">
        <v>231</v>
      </c>
      <c r="B26137" s="26">
        <v>0.6159</v>
      </c>
      <c r="C26137" s="26">
        <v>0.14019999999999999</v>
      </c>
      <c r="D26137" s="26">
        <v>9.1499999999999998E-2</v>
      </c>
      <c r="E26137" s="26">
        <v>7.9299999999999995E-2</v>
      </c>
      <c r="F26137" s="26">
        <v>4.2700000000000002E-2</v>
      </c>
      <c r="G26137" s="26">
        <v>1.83E-2</v>
      </c>
      <c r="H26137" s="26">
        <v>1.2200000000000001E-2</v>
      </c>
      <c r="I26137">
        <v>164</v>
      </c>
    </row>
    <row r="26138" spans="1:10" x14ac:dyDescent="0.35">
      <c r="A26138" t="s">
        <v>232</v>
      </c>
      <c r="B26138" s="26">
        <v>0.50619999999999998</v>
      </c>
      <c r="C26138" s="26">
        <v>0.23180000000000001</v>
      </c>
      <c r="D26138" s="26">
        <v>8.8099999999999998E-2</v>
      </c>
      <c r="E26138" s="26">
        <v>7.0099999999999996E-2</v>
      </c>
      <c r="F26138" s="26">
        <v>5.3699999999999998E-2</v>
      </c>
      <c r="G26138" s="26">
        <v>4.0300000000000002E-2</v>
      </c>
      <c r="H26138" s="26">
        <v>9.7000000000000003E-3</v>
      </c>
      <c r="I26138">
        <v>2813</v>
      </c>
    </row>
    <row r="26140" spans="1:10" x14ac:dyDescent="0.35">
      <c r="A26140" s="1" t="s">
        <v>2377</v>
      </c>
    </row>
    <row r="26141" spans="1:10" x14ac:dyDescent="0.35">
      <c r="A26141" t="s">
        <v>219</v>
      </c>
      <c r="B26141" t="s">
        <v>305</v>
      </c>
      <c r="C26141" t="s">
        <v>2371</v>
      </c>
      <c r="D26141" t="s">
        <v>2372</v>
      </c>
      <c r="E26141" t="s">
        <v>2373</v>
      </c>
      <c r="F26141" t="s">
        <v>2374</v>
      </c>
      <c r="G26141" t="s">
        <v>2375</v>
      </c>
      <c r="H26141" t="s">
        <v>2376</v>
      </c>
      <c r="I26141" t="s">
        <v>281</v>
      </c>
      <c r="J26141" t="s">
        <v>226</v>
      </c>
    </row>
    <row r="26142" spans="1:10" x14ac:dyDescent="0.35">
      <c r="A26142" t="s">
        <v>227</v>
      </c>
      <c r="B26142" t="s">
        <v>242</v>
      </c>
      <c r="C26142" s="26">
        <v>0.52939999999999998</v>
      </c>
      <c r="D26142" s="26">
        <v>0.23530000000000001</v>
      </c>
      <c r="E26142" s="26">
        <v>8.8200000000000001E-2</v>
      </c>
      <c r="F26142" s="26">
        <v>5.8799999999999998E-2</v>
      </c>
      <c r="G26142" s="26">
        <v>5.8799999999999998E-2</v>
      </c>
      <c r="H26142" s="26">
        <v>2.9399999999999999E-2</v>
      </c>
      <c r="J26142">
        <v>68</v>
      </c>
    </row>
    <row r="26143" spans="1:10" x14ac:dyDescent="0.35">
      <c r="A26143" t="s">
        <v>227</v>
      </c>
      <c r="B26143" t="s">
        <v>241</v>
      </c>
      <c r="C26143" s="26">
        <v>0.68820000000000003</v>
      </c>
      <c r="D26143" s="26">
        <v>0.17199999999999999</v>
      </c>
      <c r="E26143" s="26">
        <v>3.2300000000000002E-2</v>
      </c>
      <c r="F26143" s="26">
        <v>5.3800000000000001E-2</v>
      </c>
      <c r="G26143" s="26">
        <v>3.2300000000000002E-2</v>
      </c>
      <c r="H26143" s="26">
        <v>2.1499999999999998E-2</v>
      </c>
      <c r="J26143">
        <v>93</v>
      </c>
    </row>
    <row r="26144" spans="1:10" x14ac:dyDescent="0.35">
      <c r="A26144" t="s">
        <v>228</v>
      </c>
      <c r="B26144" t="s">
        <v>242</v>
      </c>
      <c r="C26144" s="26">
        <v>0.253</v>
      </c>
      <c r="D26144" s="26">
        <v>0.27810000000000001</v>
      </c>
      <c r="E26144" s="26">
        <v>0.19089999999999999</v>
      </c>
      <c r="F26144" s="26">
        <v>6.7100000000000007E-2</v>
      </c>
      <c r="G26144" s="26">
        <v>9.7199999999999995E-2</v>
      </c>
      <c r="H26144" s="26">
        <v>0.1032</v>
      </c>
      <c r="I26144" s="26">
        <v>1.0500000000000001E-2</v>
      </c>
      <c r="J26144">
        <v>402</v>
      </c>
    </row>
    <row r="26145" spans="1:10" x14ac:dyDescent="0.35">
      <c r="A26145" t="s">
        <v>228</v>
      </c>
      <c r="B26145" t="s">
        <v>241</v>
      </c>
      <c r="C26145" s="26">
        <v>0.40379999999999999</v>
      </c>
      <c r="D26145" s="26">
        <v>0.2984</v>
      </c>
      <c r="E26145" s="26">
        <v>9.0700000000000003E-2</v>
      </c>
      <c r="F26145" s="26">
        <v>9.2100000000000001E-2</v>
      </c>
      <c r="G26145" s="26">
        <v>6.25E-2</v>
      </c>
      <c r="H26145" s="26">
        <v>3.9600000000000003E-2</v>
      </c>
      <c r="I26145" s="26">
        <v>1.2999999999999999E-2</v>
      </c>
      <c r="J26145">
        <v>631</v>
      </c>
    </row>
    <row r="26146" spans="1:10" x14ac:dyDescent="0.35">
      <c r="A26146" t="s">
        <v>229</v>
      </c>
      <c r="B26146" t="s">
        <v>242</v>
      </c>
      <c r="C26146" s="26">
        <v>0.4098</v>
      </c>
      <c r="D26146" s="26">
        <v>0.27939999999999998</v>
      </c>
      <c r="E26146" s="26">
        <v>8.8999999999999996E-2</v>
      </c>
      <c r="F26146" s="26">
        <v>9.7100000000000006E-2</v>
      </c>
      <c r="G26146" s="26">
        <v>6.6600000000000006E-2</v>
      </c>
      <c r="H26146" s="26">
        <v>5.6599999999999998E-2</v>
      </c>
      <c r="I26146" s="26">
        <v>1.5E-3</v>
      </c>
      <c r="J26146">
        <v>292</v>
      </c>
    </row>
    <row r="26147" spans="1:10" x14ac:dyDescent="0.35">
      <c r="A26147" t="s">
        <v>229</v>
      </c>
      <c r="B26147" t="s">
        <v>241</v>
      </c>
      <c r="C26147" s="26">
        <v>0.53759999999999997</v>
      </c>
      <c r="D26147" s="26">
        <v>0.29010000000000002</v>
      </c>
      <c r="E26147" s="26">
        <v>4.1000000000000002E-2</v>
      </c>
      <c r="F26147" s="26">
        <v>4.6199999999999998E-2</v>
      </c>
      <c r="G26147" s="26">
        <v>3.8100000000000002E-2</v>
      </c>
      <c r="H26147" s="26">
        <v>3.27E-2</v>
      </c>
      <c r="I26147" s="26">
        <v>1.41E-2</v>
      </c>
      <c r="J26147">
        <v>603</v>
      </c>
    </row>
    <row r="26148" spans="1:10" x14ac:dyDescent="0.35">
      <c r="A26148" t="s">
        <v>230</v>
      </c>
      <c r="B26148" t="s">
        <v>242</v>
      </c>
      <c r="C26148" s="26">
        <v>0.31730000000000003</v>
      </c>
      <c r="D26148" s="26">
        <v>0.26650000000000001</v>
      </c>
      <c r="E26148" s="26">
        <v>0.1875</v>
      </c>
      <c r="F26148" s="26">
        <v>3.7699999999999997E-2</v>
      </c>
      <c r="G26148" s="26">
        <v>9.1999999999999998E-2</v>
      </c>
      <c r="H26148" s="26">
        <v>8.0299999999999996E-2</v>
      </c>
      <c r="I26148" s="26">
        <v>1.8599999999999998E-2</v>
      </c>
      <c r="J26148">
        <v>189</v>
      </c>
    </row>
    <row r="26149" spans="1:10" x14ac:dyDescent="0.35">
      <c r="A26149" t="s">
        <v>230</v>
      </c>
      <c r="B26149" t="s">
        <v>241</v>
      </c>
      <c r="C26149" s="26">
        <v>0.41889999999999999</v>
      </c>
      <c r="D26149" s="26">
        <v>0.26400000000000001</v>
      </c>
      <c r="E26149" s="26">
        <v>0.1081</v>
      </c>
      <c r="F26149" s="26">
        <v>5.9499999999999997E-2</v>
      </c>
      <c r="G26149" s="26">
        <v>6.1199999999999997E-2</v>
      </c>
      <c r="H26149" s="26">
        <v>7.5800000000000006E-2</v>
      </c>
      <c r="I26149" s="26">
        <v>1.26E-2</v>
      </c>
      <c r="J26149">
        <v>371</v>
      </c>
    </row>
    <row r="26150" spans="1:10" x14ac:dyDescent="0.35">
      <c r="A26150" t="s">
        <v>231</v>
      </c>
      <c r="B26150" t="s">
        <v>242</v>
      </c>
      <c r="C26150" s="26">
        <v>0.59260000000000002</v>
      </c>
      <c r="D26150" s="26">
        <v>0.14810000000000001</v>
      </c>
      <c r="E26150" s="26">
        <v>7.4099999999999999E-2</v>
      </c>
      <c r="F26150" s="26">
        <v>0.1111</v>
      </c>
      <c r="G26150" s="26">
        <v>3.6999999999999998E-2</v>
      </c>
      <c r="H26150" s="26">
        <v>1.8499999999999999E-2</v>
      </c>
      <c r="I26150" s="26">
        <v>1.8499999999999999E-2</v>
      </c>
      <c r="J26150">
        <v>54</v>
      </c>
    </row>
    <row r="26151" spans="1:10" x14ac:dyDescent="0.35">
      <c r="A26151" t="s">
        <v>231</v>
      </c>
      <c r="B26151" t="s">
        <v>241</v>
      </c>
      <c r="C26151" s="26">
        <v>0.62729999999999997</v>
      </c>
      <c r="D26151" s="26">
        <v>0.13639999999999999</v>
      </c>
      <c r="E26151" s="26">
        <v>0.1</v>
      </c>
      <c r="F26151" s="26">
        <v>6.3600000000000004E-2</v>
      </c>
      <c r="G26151" s="26">
        <v>4.5499999999999999E-2</v>
      </c>
      <c r="H26151" s="26">
        <v>1.8200000000000001E-2</v>
      </c>
      <c r="I26151" s="26">
        <v>9.1000000000000004E-3</v>
      </c>
      <c r="J26151">
        <v>110</v>
      </c>
    </row>
    <row r="26152" spans="1:10" x14ac:dyDescent="0.35">
      <c r="A26152" t="s">
        <v>232</v>
      </c>
      <c r="B26152" t="s">
        <v>232</v>
      </c>
      <c r="C26152" s="26">
        <v>0.50619999999999998</v>
      </c>
      <c r="D26152" s="26">
        <v>0.23180000000000001</v>
      </c>
      <c r="E26152" s="26">
        <v>8.8099999999999998E-2</v>
      </c>
      <c r="F26152" s="26">
        <v>7.0099999999999996E-2</v>
      </c>
      <c r="G26152" s="26">
        <v>5.3699999999999998E-2</v>
      </c>
      <c r="H26152" s="26">
        <v>4.0300000000000002E-2</v>
      </c>
      <c r="I26152" s="26">
        <v>9.7000000000000003E-3</v>
      </c>
      <c r="J26152">
        <v>2813</v>
      </c>
    </row>
    <row r="26154" spans="1:10" x14ac:dyDescent="0.35">
      <c r="A26154" s="1" t="s">
        <v>2378</v>
      </c>
    </row>
    <row r="26155" spans="1:10" x14ac:dyDescent="0.35">
      <c r="A26155" t="s">
        <v>219</v>
      </c>
      <c r="B26155" t="s">
        <v>305</v>
      </c>
      <c r="C26155" t="s">
        <v>2371</v>
      </c>
      <c r="D26155" t="s">
        <v>2372</v>
      </c>
      <c r="E26155" t="s">
        <v>2373</v>
      </c>
      <c r="F26155" t="s">
        <v>2374</v>
      </c>
      <c r="G26155" t="s">
        <v>2375</v>
      </c>
      <c r="H26155" t="s">
        <v>2376</v>
      </c>
      <c r="I26155" t="s">
        <v>281</v>
      </c>
      <c r="J26155" t="s">
        <v>226</v>
      </c>
    </row>
    <row r="26156" spans="1:10" x14ac:dyDescent="0.35">
      <c r="A26156" t="s">
        <v>227</v>
      </c>
      <c r="B26156" t="s">
        <v>239</v>
      </c>
      <c r="C26156" s="26">
        <v>0.5806</v>
      </c>
      <c r="D26156" s="26">
        <v>0.2097</v>
      </c>
      <c r="E26156" s="26">
        <v>8.0600000000000005E-2</v>
      </c>
      <c r="F26156" s="26">
        <v>6.4500000000000002E-2</v>
      </c>
      <c r="G26156" s="26">
        <v>1.61E-2</v>
      </c>
      <c r="H26156" s="26">
        <v>4.8399999999999999E-2</v>
      </c>
      <c r="J26156">
        <v>62</v>
      </c>
    </row>
    <row r="26157" spans="1:10" x14ac:dyDescent="0.35">
      <c r="A26157" t="s">
        <v>227</v>
      </c>
      <c r="B26157" t="s">
        <v>238</v>
      </c>
      <c r="C26157" s="26">
        <v>0.64649999999999996</v>
      </c>
      <c r="D26157" s="26">
        <v>0.19189999999999999</v>
      </c>
      <c r="E26157" s="26">
        <v>4.0399999999999998E-2</v>
      </c>
      <c r="F26157" s="26">
        <v>5.0500000000000003E-2</v>
      </c>
      <c r="G26157" s="26">
        <v>6.0600000000000001E-2</v>
      </c>
      <c r="H26157" s="26">
        <v>1.01E-2</v>
      </c>
      <c r="J26157">
        <v>99</v>
      </c>
    </row>
    <row r="26158" spans="1:10" x14ac:dyDescent="0.35">
      <c r="A26158" t="s">
        <v>228</v>
      </c>
      <c r="B26158" t="s">
        <v>239</v>
      </c>
      <c r="C26158" s="26">
        <v>0.31380000000000002</v>
      </c>
      <c r="D26158" s="26">
        <v>0.19139999999999999</v>
      </c>
      <c r="E26158" s="26">
        <v>0.23400000000000001</v>
      </c>
      <c r="F26158" s="26">
        <v>9.5699999999999993E-2</v>
      </c>
      <c r="G26158" s="26">
        <v>7.7499999999999999E-2</v>
      </c>
      <c r="H26158" s="26">
        <v>8.14E-2</v>
      </c>
      <c r="I26158" s="26">
        <v>6.1000000000000004E-3</v>
      </c>
      <c r="J26158">
        <v>330</v>
      </c>
    </row>
    <row r="26159" spans="1:10" x14ac:dyDescent="0.35">
      <c r="A26159" t="s">
        <v>228</v>
      </c>
      <c r="B26159" t="s">
        <v>238</v>
      </c>
      <c r="C26159" s="26">
        <v>0.35809999999999997</v>
      </c>
      <c r="D26159" s="26">
        <v>0.317</v>
      </c>
      <c r="E26159" s="26">
        <v>9.9299999999999999E-2</v>
      </c>
      <c r="F26159" s="26">
        <v>7.9699999999999993E-2</v>
      </c>
      <c r="G26159" s="26">
        <v>7.4499999999999997E-2</v>
      </c>
      <c r="H26159" s="26">
        <v>5.79E-2</v>
      </c>
      <c r="I26159" s="26">
        <v>1.3599999999999999E-2</v>
      </c>
      <c r="J26159">
        <v>703</v>
      </c>
    </row>
    <row r="26160" spans="1:10" x14ac:dyDescent="0.35">
      <c r="A26160" t="s">
        <v>229</v>
      </c>
      <c r="B26160" t="s">
        <v>239</v>
      </c>
      <c r="C26160" s="26">
        <v>0.51449999999999996</v>
      </c>
      <c r="D26160" s="26">
        <v>0.26419999999999999</v>
      </c>
      <c r="E26160" s="26">
        <v>5.3199999999999997E-2</v>
      </c>
      <c r="F26160" s="26">
        <v>5.2299999999999999E-2</v>
      </c>
      <c r="G26160" s="26">
        <v>2.6499999999999999E-2</v>
      </c>
      <c r="H26160" s="26">
        <v>7.6700000000000004E-2</v>
      </c>
      <c r="I26160" s="26">
        <v>1.26E-2</v>
      </c>
      <c r="J26160">
        <v>332</v>
      </c>
    </row>
    <row r="26161" spans="1:10" x14ac:dyDescent="0.35">
      <c r="A26161" t="s">
        <v>229</v>
      </c>
      <c r="B26161" t="s">
        <v>238</v>
      </c>
      <c r="C26161" s="26">
        <v>0.47860000000000003</v>
      </c>
      <c r="D26161" s="26">
        <v>0.29339999999999999</v>
      </c>
      <c r="E26161" s="26">
        <v>6.2E-2</v>
      </c>
      <c r="F26161" s="26">
        <v>7.0800000000000002E-2</v>
      </c>
      <c r="G26161" s="26">
        <v>5.7000000000000002E-2</v>
      </c>
      <c r="H26161" s="26">
        <v>3.0200000000000001E-2</v>
      </c>
      <c r="I26161" s="26">
        <v>8.0999999999999996E-3</v>
      </c>
      <c r="J26161">
        <v>563</v>
      </c>
    </row>
    <row r="26162" spans="1:10" x14ac:dyDescent="0.35">
      <c r="A26162" t="s">
        <v>230</v>
      </c>
      <c r="B26162" t="s">
        <v>239</v>
      </c>
      <c r="C26162" s="26">
        <v>0.30809999999999998</v>
      </c>
      <c r="D26162" s="26">
        <v>0.41010000000000002</v>
      </c>
      <c r="E26162" s="26">
        <v>0.13020000000000001</v>
      </c>
      <c r="F26162" s="26">
        <v>2.9600000000000001E-2</v>
      </c>
      <c r="G26162" s="26">
        <v>4.0500000000000001E-2</v>
      </c>
      <c r="H26162" s="26">
        <v>7.5399999999999995E-2</v>
      </c>
      <c r="I26162" s="26">
        <v>6.0000000000000001E-3</v>
      </c>
      <c r="J26162">
        <v>211</v>
      </c>
    </row>
    <row r="26163" spans="1:10" x14ac:dyDescent="0.35">
      <c r="A26163" t="s">
        <v>230</v>
      </c>
      <c r="B26163" t="s">
        <v>238</v>
      </c>
      <c r="C26163" s="26">
        <v>0.41749999999999998</v>
      </c>
      <c r="D26163" s="26">
        <v>0.2021</v>
      </c>
      <c r="E26163" s="26">
        <v>0.13700000000000001</v>
      </c>
      <c r="F26163" s="26">
        <v>6.1800000000000001E-2</v>
      </c>
      <c r="G26163" s="26">
        <v>8.5000000000000006E-2</v>
      </c>
      <c r="H26163" s="26">
        <v>7.8200000000000006E-2</v>
      </c>
      <c r="I26163" s="26">
        <v>1.84E-2</v>
      </c>
      <c r="J26163">
        <v>349</v>
      </c>
    </row>
    <row r="26164" spans="1:10" x14ac:dyDescent="0.35">
      <c r="A26164" t="s">
        <v>231</v>
      </c>
      <c r="B26164" t="s">
        <v>239</v>
      </c>
      <c r="C26164" s="26">
        <v>0.56140000000000001</v>
      </c>
      <c r="D26164" s="26">
        <v>0.1754</v>
      </c>
      <c r="E26164" s="26">
        <v>0.1404</v>
      </c>
      <c r="F26164" s="26">
        <v>5.2600000000000001E-2</v>
      </c>
      <c r="G26164" s="26">
        <v>5.2600000000000001E-2</v>
      </c>
      <c r="I26164" s="26">
        <v>1.7500000000000002E-2</v>
      </c>
      <c r="J26164">
        <v>57</v>
      </c>
    </row>
    <row r="26165" spans="1:10" x14ac:dyDescent="0.35">
      <c r="A26165" t="s">
        <v>231</v>
      </c>
      <c r="B26165" t="s">
        <v>238</v>
      </c>
      <c r="C26165" s="26">
        <v>0.64490000000000003</v>
      </c>
      <c r="D26165" s="26">
        <v>0.1215</v>
      </c>
      <c r="E26165" s="26">
        <v>6.54E-2</v>
      </c>
      <c r="F26165" s="26">
        <v>9.35E-2</v>
      </c>
      <c r="G26165" s="26">
        <v>3.7400000000000003E-2</v>
      </c>
      <c r="H26165" s="26">
        <v>2.8000000000000001E-2</v>
      </c>
      <c r="I26165" s="26">
        <v>9.2999999999999992E-3</v>
      </c>
      <c r="J26165">
        <v>107</v>
      </c>
    </row>
    <row r="26166" spans="1:10" x14ac:dyDescent="0.35">
      <c r="A26166" t="s">
        <v>232</v>
      </c>
      <c r="B26166" t="s">
        <v>232</v>
      </c>
      <c r="C26166" s="26">
        <v>0.50619999999999998</v>
      </c>
      <c r="D26166" s="26">
        <v>0.23180000000000001</v>
      </c>
      <c r="E26166" s="26">
        <v>8.8099999999999998E-2</v>
      </c>
      <c r="F26166" s="26">
        <v>7.0099999999999996E-2</v>
      </c>
      <c r="G26166" s="26">
        <v>5.3699999999999998E-2</v>
      </c>
      <c r="H26166" s="26">
        <v>4.0300000000000002E-2</v>
      </c>
      <c r="I26166" s="26">
        <v>9.7000000000000003E-3</v>
      </c>
      <c r="J26166">
        <v>2813</v>
      </c>
    </row>
    <row r="26168" spans="1:10" x14ac:dyDescent="0.35">
      <c r="A26168" s="1" t="s">
        <v>2379</v>
      </c>
    </row>
    <row r="26169" spans="1:10" x14ac:dyDescent="0.35">
      <c r="A26169" t="s">
        <v>219</v>
      </c>
      <c r="B26169" t="s">
        <v>305</v>
      </c>
      <c r="C26169" t="s">
        <v>2371</v>
      </c>
      <c r="D26169" t="s">
        <v>2372</v>
      </c>
      <c r="E26169" t="s">
        <v>2373</v>
      </c>
      <c r="F26169" t="s">
        <v>2374</v>
      </c>
      <c r="G26169" t="s">
        <v>2375</v>
      </c>
      <c r="H26169" t="s">
        <v>2376</v>
      </c>
      <c r="I26169" t="s">
        <v>281</v>
      </c>
      <c r="J26169" t="s">
        <v>226</v>
      </c>
    </row>
    <row r="26170" spans="1:10" x14ac:dyDescent="0.35">
      <c r="A26170" t="s">
        <v>227</v>
      </c>
      <c r="B26170" t="s">
        <v>244</v>
      </c>
      <c r="C26170" s="26">
        <v>0.57289999999999996</v>
      </c>
      <c r="D26170" s="26">
        <v>0.22919999999999999</v>
      </c>
      <c r="E26170" s="26">
        <v>7.2900000000000006E-2</v>
      </c>
      <c r="F26170" s="26">
        <v>5.21E-2</v>
      </c>
      <c r="G26170" s="26">
        <v>4.1700000000000001E-2</v>
      </c>
      <c r="H26170" s="26">
        <v>3.1199999999999999E-2</v>
      </c>
      <c r="J26170">
        <v>96</v>
      </c>
    </row>
    <row r="26171" spans="1:10" x14ac:dyDescent="0.35">
      <c r="A26171" t="s">
        <v>227</v>
      </c>
      <c r="B26171" t="s">
        <v>245</v>
      </c>
      <c r="C26171" s="26">
        <v>0.77359999999999995</v>
      </c>
      <c r="D26171" s="26">
        <v>0.1132</v>
      </c>
      <c r="E26171" s="26">
        <v>3.7699999999999997E-2</v>
      </c>
      <c r="F26171" s="26">
        <v>5.6599999999999998E-2</v>
      </c>
      <c r="G26171" s="26">
        <v>1.89E-2</v>
      </c>
      <c r="J26171">
        <v>53</v>
      </c>
    </row>
    <row r="26172" spans="1:10" x14ac:dyDescent="0.35">
      <c r="A26172" s="27" t="s">
        <v>227</v>
      </c>
      <c r="B26172" s="27" t="s">
        <v>246</v>
      </c>
      <c r="C26172" s="28">
        <v>0.33329999999999999</v>
      </c>
      <c r="D26172" s="28">
        <v>0.33329999999999999</v>
      </c>
      <c r="E26172" s="29"/>
      <c r="F26172" s="28">
        <v>8.3299999999999999E-2</v>
      </c>
      <c r="G26172" s="28">
        <v>0.16669999999999999</v>
      </c>
      <c r="H26172" s="28">
        <v>8.3299999999999999E-2</v>
      </c>
      <c r="I26172" s="29"/>
      <c r="J26172" s="29" t="s">
        <v>342</v>
      </c>
    </row>
    <row r="26173" spans="1:10" x14ac:dyDescent="0.35">
      <c r="A26173" t="s">
        <v>228</v>
      </c>
      <c r="B26173" t="s">
        <v>244</v>
      </c>
      <c r="C26173" s="26">
        <v>0.35320000000000001</v>
      </c>
      <c r="D26173" s="26">
        <v>0.29499999999999998</v>
      </c>
      <c r="E26173" s="26">
        <v>0.1132</v>
      </c>
      <c r="F26173" s="26">
        <v>9.2700000000000005E-2</v>
      </c>
      <c r="G26173" s="26">
        <v>7.3499999999999996E-2</v>
      </c>
      <c r="H26173" s="26">
        <v>5.5399999999999998E-2</v>
      </c>
      <c r="I26173" s="26">
        <v>1.7000000000000001E-2</v>
      </c>
      <c r="J26173">
        <v>638</v>
      </c>
    </row>
    <row r="26174" spans="1:10" x14ac:dyDescent="0.35">
      <c r="A26174" t="s">
        <v>228</v>
      </c>
      <c r="B26174" t="s">
        <v>245</v>
      </c>
      <c r="C26174" s="26">
        <v>0.3604</v>
      </c>
      <c r="D26174" s="26">
        <v>0.29959999999999998</v>
      </c>
      <c r="E26174" s="26">
        <v>0.11219999999999999</v>
      </c>
      <c r="F26174" s="26">
        <v>7.51E-2</v>
      </c>
      <c r="G26174" s="26">
        <v>8.4699999999999998E-2</v>
      </c>
      <c r="H26174" s="26">
        <v>6.4600000000000005E-2</v>
      </c>
      <c r="I26174" s="26">
        <v>3.5000000000000001E-3</v>
      </c>
      <c r="J26174">
        <v>328</v>
      </c>
    </row>
    <row r="26175" spans="1:10" x14ac:dyDescent="0.35">
      <c r="A26175" t="s">
        <v>228</v>
      </c>
      <c r="B26175" t="s">
        <v>246</v>
      </c>
      <c r="C26175" s="26">
        <v>0.26169999999999999</v>
      </c>
      <c r="D26175" s="26">
        <v>0.2185</v>
      </c>
      <c r="E26175" s="26">
        <v>0.32019999999999998</v>
      </c>
      <c r="F26175" s="26">
        <v>2.3099999999999999E-2</v>
      </c>
      <c r="G26175" s="26">
        <v>5.11E-2</v>
      </c>
      <c r="H26175" s="26">
        <v>0.12529999999999999</v>
      </c>
      <c r="J26175">
        <v>67</v>
      </c>
    </row>
    <row r="26176" spans="1:10" x14ac:dyDescent="0.35">
      <c r="A26176" t="s">
        <v>229</v>
      </c>
      <c r="B26176" t="s">
        <v>244</v>
      </c>
      <c r="C26176" s="26">
        <v>0.4501</v>
      </c>
      <c r="D26176" s="26">
        <v>0.31990000000000002</v>
      </c>
      <c r="E26176" s="26">
        <v>6.8900000000000003E-2</v>
      </c>
      <c r="F26176" s="26">
        <v>5.9499999999999997E-2</v>
      </c>
      <c r="G26176" s="26">
        <v>5.0999999999999997E-2</v>
      </c>
      <c r="H26176" s="26">
        <v>4.3099999999999999E-2</v>
      </c>
      <c r="I26176" s="26">
        <v>7.4999999999999997E-3</v>
      </c>
      <c r="J26176">
        <v>557</v>
      </c>
    </row>
    <row r="26177" spans="1:10" x14ac:dyDescent="0.35">
      <c r="A26177" t="s">
        <v>229</v>
      </c>
      <c r="B26177" t="s">
        <v>245</v>
      </c>
      <c r="C26177" s="26">
        <v>0.61819999999999997</v>
      </c>
      <c r="D26177" s="26">
        <v>0.17469999999999999</v>
      </c>
      <c r="E26177" s="26">
        <v>4.3400000000000001E-2</v>
      </c>
      <c r="F26177" s="26">
        <v>6.2799999999999995E-2</v>
      </c>
      <c r="G26177" s="26">
        <v>5.1900000000000002E-2</v>
      </c>
      <c r="H26177" s="26">
        <v>3.4799999999999998E-2</v>
      </c>
      <c r="I26177" s="26">
        <v>1.4200000000000001E-2</v>
      </c>
      <c r="J26177">
        <v>293</v>
      </c>
    </row>
    <row r="26178" spans="1:10" x14ac:dyDescent="0.35">
      <c r="A26178" t="s">
        <v>229</v>
      </c>
      <c r="B26178" t="s">
        <v>246</v>
      </c>
      <c r="C26178" s="26">
        <v>0.35649999999999998</v>
      </c>
      <c r="D26178" s="26">
        <v>0.37330000000000002</v>
      </c>
      <c r="E26178" s="26">
        <v>1.9300000000000001E-2</v>
      </c>
      <c r="F26178" s="26">
        <v>0.16789999999999999</v>
      </c>
      <c r="G26178" s="26">
        <v>1.2500000000000001E-2</v>
      </c>
      <c r="H26178" s="26">
        <v>6.25E-2</v>
      </c>
      <c r="I26178" s="26">
        <v>8.0000000000000002E-3</v>
      </c>
      <c r="J26178">
        <v>45</v>
      </c>
    </row>
    <row r="26179" spans="1:10" x14ac:dyDescent="0.35">
      <c r="A26179" t="s">
        <v>230</v>
      </c>
      <c r="B26179" t="s">
        <v>244</v>
      </c>
      <c r="C26179" s="26">
        <v>0.36059999999999998</v>
      </c>
      <c r="D26179" s="26">
        <v>0.26329999999999998</v>
      </c>
      <c r="E26179" s="26">
        <v>0.1168</v>
      </c>
      <c r="F26179" s="26">
        <v>5.8599999999999999E-2</v>
      </c>
      <c r="G26179" s="26">
        <v>8.8800000000000004E-2</v>
      </c>
      <c r="H26179" s="26">
        <v>9.0700000000000003E-2</v>
      </c>
      <c r="I26179" s="26">
        <v>2.1100000000000001E-2</v>
      </c>
      <c r="J26179">
        <v>370</v>
      </c>
    </row>
    <row r="26180" spans="1:10" x14ac:dyDescent="0.35">
      <c r="A26180" t="s">
        <v>230</v>
      </c>
      <c r="B26180" t="s">
        <v>245</v>
      </c>
      <c r="C26180" s="26">
        <v>0.49259999999999998</v>
      </c>
      <c r="D26180" s="26">
        <v>0.23649999999999999</v>
      </c>
      <c r="E26180" s="26">
        <v>0.1444</v>
      </c>
      <c r="F26180" s="26">
        <v>4.1099999999999998E-2</v>
      </c>
      <c r="G26180" s="26">
        <v>3.2599999999999997E-2</v>
      </c>
      <c r="H26180" s="26">
        <v>5.28E-2</v>
      </c>
      <c r="J26180">
        <v>161</v>
      </c>
    </row>
    <row r="26181" spans="1:10" x14ac:dyDescent="0.35">
      <c r="A26181" s="27" t="s">
        <v>230</v>
      </c>
      <c r="B26181" s="27" t="s">
        <v>246</v>
      </c>
      <c r="C26181" s="28">
        <v>0.1477</v>
      </c>
      <c r="D26181" s="28">
        <v>0.43659999999999999</v>
      </c>
      <c r="E26181" s="28">
        <v>0.34320000000000001</v>
      </c>
      <c r="F26181" s="28">
        <v>1.8700000000000001E-2</v>
      </c>
      <c r="G26181" s="28">
        <v>3.5499999999999997E-2</v>
      </c>
      <c r="H26181" s="28">
        <v>1.83E-2</v>
      </c>
      <c r="I26181" s="29"/>
      <c r="J26181" s="29" t="s">
        <v>329</v>
      </c>
    </row>
    <row r="26182" spans="1:10" x14ac:dyDescent="0.35">
      <c r="A26182" t="s">
        <v>231</v>
      </c>
      <c r="B26182" t="s">
        <v>244</v>
      </c>
      <c r="C26182" s="26">
        <v>0.62109999999999999</v>
      </c>
      <c r="D26182" s="26">
        <v>9.4700000000000006E-2</v>
      </c>
      <c r="E26182" s="26">
        <v>6.3200000000000006E-2</v>
      </c>
      <c r="F26182" s="26">
        <v>0.1158</v>
      </c>
      <c r="G26182" s="26">
        <v>6.3200000000000006E-2</v>
      </c>
      <c r="H26182" s="26">
        <v>3.1600000000000003E-2</v>
      </c>
      <c r="I26182" s="26">
        <v>1.0500000000000001E-2</v>
      </c>
      <c r="J26182">
        <v>95</v>
      </c>
    </row>
    <row r="26183" spans="1:10" x14ac:dyDescent="0.35">
      <c r="A26183" t="s">
        <v>231</v>
      </c>
      <c r="B26183" t="s">
        <v>245</v>
      </c>
      <c r="C26183" s="26">
        <v>0.60709999999999997</v>
      </c>
      <c r="D26183" s="26">
        <v>0.21429999999999999</v>
      </c>
      <c r="E26183" s="26">
        <v>0.1071</v>
      </c>
      <c r="F26183" s="26">
        <v>3.5700000000000003E-2</v>
      </c>
      <c r="G26183" s="26">
        <v>1.7899999999999999E-2</v>
      </c>
      <c r="I26183" s="26">
        <v>1.7899999999999999E-2</v>
      </c>
      <c r="J26183">
        <v>56</v>
      </c>
    </row>
    <row r="26184" spans="1:10" x14ac:dyDescent="0.35">
      <c r="A26184" s="27" t="s">
        <v>231</v>
      </c>
      <c r="B26184" s="27" t="s">
        <v>246</v>
      </c>
      <c r="C26184" s="28">
        <v>0.61539999999999995</v>
      </c>
      <c r="D26184" s="28">
        <v>0.15379999999999999</v>
      </c>
      <c r="E26184" s="28">
        <v>0.23080000000000001</v>
      </c>
      <c r="F26184" s="29"/>
      <c r="G26184" s="29"/>
      <c r="H26184" s="29"/>
      <c r="I26184" s="29"/>
      <c r="J26184" s="29" t="s">
        <v>341</v>
      </c>
    </row>
    <row r="26185" spans="1:10" x14ac:dyDescent="0.35">
      <c r="A26185" t="s">
        <v>232</v>
      </c>
      <c r="B26185" t="s">
        <v>232</v>
      </c>
      <c r="C26185" s="26">
        <v>0.50619999999999998</v>
      </c>
      <c r="D26185" s="26">
        <v>0.23180000000000001</v>
      </c>
      <c r="E26185" s="26">
        <v>8.8099999999999998E-2</v>
      </c>
      <c r="F26185" s="26">
        <v>7.0099999999999996E-2</v>
      </c>
      <c r="G26185" s="26">
        <v>5.3699999999999998E-2</v>
      </c>
      <c r="H26185" s="26">
        <v>4.0300000000000002E-2</v>
      </c>
      <c r="I26185" s="26">
        <v>9.7000000000000003E-3</v>
      </c>
      <c r="J26185">
        <v>2813</v>
      </c>
    </row>
    <row r="26187" spans="1:10" x14ac:dyDescent="0.35">
      <c r="A26187" s="1" t="s">
        <v>2380</v>
      </c>
    </row>
    <row r="26188" spans="1:10" x14ac:dyDescent="0.35">
      <c r="A26188" t="s">
        <v>219</v>
      </c>
      <c r="B26188" t="s">
        <v>305</v>
      </c>
      <c r="C26188" t="s">
        <v>2371</v>
      </c>
      <c r="D26188" t="s">
        <v>2372</v>
      </c>
      <c r="E26188" t="s">
        <v>2373</v>
      </c>
      <c r="F26188" t="s">
        <v>2374</v>
      </c>
      <c r="G26188" t="s">
        <v>2375</v>
      </c>
      <c r="H26188" t="s">
        <v>2376</v>
      </c>
      <c r="I26188" t="s">
        <v>281</v>
      </c>
      <c r="J26188" t="s">
        <v>226</v>
      </c>
    </row>
    <row r="26189" spans="1:10" x14ac:dyDescent="0.35">
      <c r="A26189" t="s">
        <v>227</v>
      </c>
      <c r="B26189" t="s">
        <v>360</v>
      </c>
      <c r="C26189" s="26">
        <v>0.51280000000000003</v>
      </c>
      <c r="D26189" s="26">
        <v>0.23080000000000001</v>
      </c>
      <c r="E26189" s="26">
        <v>7.6899999999999996E-2</v>
      </c>
      <c r="F26189" s="26">
        <v>0.1026</v>
      </c>
      <c r="G26189" s="26">
        <v>5.1299999999999998E-2</v>
      </c>
      <c r="H26189" s="26">
        <v>2.5600000000000001E-2</v>
      </c>
      <c r="J26189">
        <v>39</v>
      </c>
    </row>
    <row r="26190" spans="1:10" x14ac:dyDescent="0.35">
      <c r="A26190" t="s">
        <v>227</v>
      </c>
      <c r="B26190" t="s">
        <v>361</v>
      </c>
      <c r="C26190" s="26">
        <v>0.8125</v>
      </c>
      <c r="D26190" s="26">
        <v>6.25E-2</v>
      </c>
      <c r="E26190" s="26">
        <v>9.3799999999999994E-2</v>
      </c>
      <c r="G26190" s="26">
        <v>3.1199999999999999E-2</v>
      </c>
      <c r="J26190">
        <v>32</v>
      </c>
    </row>
    <row r="26191" spans="1:10" x14ac:dyDescent="0.35">
      <c r="A26191" t="s">
        <v>227</v>
      </c>
      <c r="B26191" t="s">
        <v>362</v>
      </c>
      <c r="C26191" s="26">
        <v>0.48649999999999999</v>
      </c>
      <c r="D26191" s="26">
        <v>0.27029999999999998</v>
      </c>
      <c r="E26191" s="26">
        <v>2.7E-2</v>
      </c>
      <c r="F26191" s="26">
        <v>5.4100000000000002E-2</v>
      </c>
      <c r="G26191" s="26">
        <v>0.1081</v>
      </c>
      <c r="H26191" s="26">
        <v>5.4100000000000002E-2</v>
      </c>
      <c r="J26191">
        <v>37</v>
      </c>
    </row>
    <row r="26192" spans="1:10" x14ac:dyDescent="0.35">
      <c r="A26192" t="s">
        <v>227</v>
      </c>
      <c r="B26192" t="s">
        <v>363</v>
      </c>
      <c r="C26192" s="26">
        <v>0.66669999999999996</v>
      </c>
      <c r="D26192" s="26">
        <v>0.22220000000000001</v>
      </c>
      <c r="E26192" s="26">
        <v>2.2200000000000001E-2</v>
      </c>
      <c r="F26192" s="26">
        <v>6.6699999999999995E-2</v>
      </c>
      <c r="H26192" s="26">
        <v>2.2200000000000001E-2</v>
      </c>
      <c r="J26192">
        <v>45</v>
      </c>
    </row>
    <row r="26193" spans="1:10" x14ac:dyDescent="0.35">
      <c r="A26193" t="s">
        <v>228</v>
      </c>
      <c r="B26193" t="s">
        <v>360</v>
      </c>
      <c r="C26193" s="26">
        <v>0.25950000000000001</v>
      </c>
      <c r="D26193" s="26">
        <v>0.21990000000000001</v>
      </c>
      <c r="E26193" s="26">
        <v>0.23019999999999999</v>
      </c>
      <c r="F26193" s="26">
        <v>8.8599999999999998E-2</v>
      </c>
      <c r="G26193" s="26">
        <v>0.1142</v>
      </c>
      <c r="H26193" s="26">
        <v>8.2799999999999999E-2</v>
      </c>
      <c r="I26193" s="26">
        <v>4.8999999999999998E-3</v>
      </c>
      <c r="J26193">
        <v>258</v>
      </c>
    </row>
    <row r="26194" spans="1:10" x14ac:dyDescent="0.35">
      <c r="A26194" t="s">
        <v>228</v>
      </c>
      <c r="B26194" t="s">
        <v>361</v>
      </c>
      <c r="C26194" s="26">
        <v>0.40060000000000001</v>
      </c>
      <c r="D26194" s="26">
        <v>0.3286</v>
      </c>
      <c r="E26194" s="26">
        <v>5.8799999999999998E-2</v>
      </c>
      <c r="F26194" s="26">
        <v>8.1199999999999994E-2</v>
      </c>
      <c r="G26194" s="26">
        <v>5.9299999999999999E-2</v>
      </c>
      <c r="H26194" s="26">
        <v>5.0700000000000002E-2</v>
      </c>
      <c r="I26194" s="26">
        <v>2.0899999999999998E-2</v>
      </c>
      <c r="J26194">
        <v>194</v>
      </c>
    </row>
    <row r="26195" spans="1:10" x14ac:dyDescent="0.35">
      <c r="A26195" t="s">
        <v>228</v>
      </c>
      <c r="B26195" t="s">
        <v>363</v>
      </c>
      <c r="C26195" s="26">
        <v>0.37530000000000002</v>
      </c>
      <c r="D26195" s="26">
        <v>0.30940000000000001</v>
      </c>
      <c r="E26195" s="26">
        <v>9.3100000000000002E-2</v>
      </c>
      <c r="F26195" s="26">
        <v>8.9499999999999996E-2</v>
      </c>
      <c r="G26195" s="26">
        <v>9.2600000000000002E-2</v>
      </c>
      <c r="H26195" s="26">
        <v>2.47E-2</v>
      </c>
      <c r="I26195" s="26">
        <v>1.54E-2</v>
      </c>
      <c r="J26195">
        <v>212</v>
      </c>
    </row>
    <row r="26196" spans="1:10" x14ac:dyDescent="0.35">
      <c r="A26196" t="s">
        <v>228</v>
      </c>
      <c r="B26196" t="s">
        <v>362</v>
      </c>
      <c r="C26196" s="26">
        <v>0.36199999999999999</v>
      </c>
      <c r="D26196" s="26">
        <v>0.23899999999999999</v>
      </c>
      <c r="E26196" s="26">
        <v>0.1535</v>
      </c>
      <c r="F26196" s="26">
        <v>8.6300000000000002E-2</v>
      </c>
      <c r="G26196" s="26">
        <v>4.7899999999999998E-2</v>
      </c>
      <c r="H26196" s="26">
        <v>0.10440000000000001</v>
      </c>
      <c r="I26196" s="26">
        <v>7.0000000000000001E-3</v>
      </c>
      <c r="J26196">
        <v>236</v>
      </c>
    </row>
    <row r="26197" spans="1:10" x14ac:dyDescent="0.35">
      <c r="A26197" t="s">
        <v>229</v>
      </c>
      <c r="B26197" t="s">
        <v>363</v>
      </c>
      <c r="C26197" s="26">
        <v>0.3392</v>
      </c>
      <c r="D26197" s="26">
        <v>0.3785</v>
      </c>
      <c r="E26197" s="26">
        <v>6.0600000000000001E-2</v>
      </c>
      <c r="F26197" s="26">
        <v>3.32E-2</v>
      </c>
      <c r="G26197" s="26">
        <v>0.10489999999999999</v>
      </c>
      <c r="H26197" s="26">
        <v>6.1600000000000002E-2</v>
      </c>
      <c r="I26197" s="26">
        <v>2.18E-2</v>
      </c>
      <c r="J26197">
        <v>191</v>
      </c>
    </row>
    <row r="26198" spans="1:10" x14ac:dyDescent="0.35">
      <c r="A26198" t="s">
        <v>229</v>
      </c>
      <c r="B26198" t="s">
        <v>360</v>
      </c>
      <c r="C26198" s="26">
        <v>0.43340000000000001</v>
      </c>
      <c r="D26198" s="26">
        <v>0.34589999999999999</v>
      </c>
      <c r="E26198" s="26">
        <v>4.7199999999999999E-2</v>
      </c>
      <c r="F26198" s="26">
        <v>8.9099999999999999E-2</v>
      </c>
      <c r="G26198" s="26">
        <v>2.0299999999999999E-2</v>
      </c>
      <c r="H26198" s="26">
        <v>5.7200000000000001E-2</v>
      </c>
      <c r="I26198" s="26">
        <v>7.1000000000000004E-3</v>
      </c>
      <c r="J26198">
        <v>164</v>
      </c>
    </row>
    <row r="26199" spans="1:10" x14ac:dyDescent="0.35">
      <c r="A26199" t="s">
        <v>229</v>
      </c>
      <c r="B26199" t="s">
        <v>361</v>
      </c>
      <c r="C26199" s="26">
        <v>0.56620000000000004</v>
      </c>
      <c r="D26199" s="26">
        <v>0.27060000000000001</v>
      </c>
      <c r="E26199" s="26">
        <v>4.0899999999999999E-2</v>
      </c>
      <c r="F26199" s="26">
        <v>5.1200000000000002E-2</v>
      </c>
      <c r="G26199" s="26">
        <v>3.5799999999999998E-2</v>
      </c>
      <c r="H26199" s="26">
        <v>3.5099999999999999E-2</v>
      </c>
      <c r="I26199" s="26">
        <v>2.0000000000000001E-4</v>
      </c>
      <c r="J26199">
        <v>243</v>
      </c>
    </row>
    <row r="26200" spans="1:10" x14ac:dyDescent="0.35">
      <c r="A26200" t="s">
        <v>229</v>
      </c>
      <c r="B26200" t="s">
        <v>362</v>
      </c>
      <c r="C26200" s="26">
        <v>0.46710000000000002</v>
      </c>
      <c r="D26200" s="26">
        <v>0.1923</v>
      </c>
      <c r="E26200" s="26">
        <v>0.13400000000000001</v>
      </c>
      <c r="F26200" s="26">
        <v>0.1134</v>
      </c>
      <c r="G26200" s="26">
        <v>7.5899999999999995E-2</v>
      </c>
      <c r="H26200" s="26">
        <v>1.23E-2</v>
      </c>
      <c r="I26200" s="26">
        <v>5.1999999999999998E-3</v>
      </c>
      <c r="J26200">
        <v>171</v>
      </c>
    </row>
    <row r="26201" spans="1:10" x14ac:dyDescent="0.35">
      <c r="A26201" t="s">
        <v>230</v>
      </c>
      <c r="B26201" t="s">
        <v>360</v>
      </c>
      <c r="C26201" s="26">
        <v>0.31469999999999998</v>
      </c>
      <c r="D26201" s="26">
        <v>0.26939999999999997</v>
      </c>
      <c r="E26201" s="26">
        <v>0.19109999999999999</v>
      </c>
      <c r="F26201" s="26">
        <v>1.8700000000000001E-2</v>
      </c>
      <c r="G26201" s="26">
        <v>0.1229</v>
      </c>
      <c r="H26201" s="26">
        <v>8.3199999999999996E-2</v>
      </c>
      <c r="J26201">
        <v>120</v>
      </c>
    </row>
    <row r="26202" spans="1:10" x14ac:dyDescent="0.35">
      <c r="A26202" t="s">
        <v>230</v>
      </c>
      <c r="B26202" t="s">
        <v>363</v>
      </c>
      <c r="C26202" s="26">
        <v>0.35599999999999998</v>
      </c>
      <c r="D26202" s="26">
        <v>0.26800000000000002</v>
      </c>
      <c r="E26202" s="26">
        <v>8.9700000000000002E-2</v>
      </c>
      <c r="F26202" s="26">
        <v>0.105</v>
      </c>
      <c r="G26202" s="26">
        <v>6.6100000000000006E-2</v>
      </c>
      <c r="H26202" s="26">
        <v>0.1114</v>
      </c>
      <c r="I26202" s="26">
        <v>3.8E-3</v>
      </c>
      <c r="J26202">
        <v>127</v>
      </c>
    </row>
    <row r="26203" spans="1:10" x14ac:dyDescent="0.35">
      <c r="A26203" t="s">
        <v>230</v>
      </c>
      <c r="B26203" t="s">
        <v>361</v>
      </c>
      <c r="C26203" s="26">
        <v>0.496</v>
      </c>
      <c r="D26203" s="26">
        <v>0.19639999999999999</v>
      </c>
      <c r="E26203" s="26">
        <v>0.1135</v>
      </c>
      <c r="F26203" s="26">
        <v>5.2999999999999999E-2</v>
      </c>
      <c r="G26203" s="26">
        <v>2.69E-2</v>
      </c>
      <c r="H26203" s="26">
        <v>7.0699999999999999E-2</v>
      </c>
      <c r="I26203" s="26">
        <v>4.3499999999999997E-2</v>
      </c>
      <c r="J26203">
        <v>109</v>
      </c>
    </row>
    <row r="26204" spans="1:10" x14ac:dyDescent="0.35">
      <c r="A26204" t="s">
        <v>230</v>
      </c>
      <c r="B26204" t="s">
        <v>362</v>
      </c>
      <c r="C26204" s="26">
        <v>0.27200000000000002</v>
      </c>
      <c r="D26204" s="26">
        <v>0.36909999999999998</v>
      </c>
      <c r="E26204" s="26">
        <v>0.16220000000000001</v>
      </c>
      <c r="F26204" s="26">
        <v>2.7300000000000001E-2</v>
      </c>
      <c r="G26204" s="26">
        <v>9.5699999999999993E-2</v>
      </c>
      <c r="H26204" s="26">
        <v>7.0099999999999996E-2</v>
      </c>
      <c r="I26204" s="26">
        <v>3.5999999999999999E-3</v>
      </c>
      <c r="J26204">
        <v>148</v>
      </c>
    </row>
    <row r="26205" spans="1:10" x14ac:dyDescent="0.35">
      <c r="A26205" s="27" t="s">
        <v>231</v>
      </c>
      <c r="B26205" s="27" t="s">
        <v>362</v>
      </c>
      <c r="C26205" s="28">
        <v>0.68969999999999998</v>
      </c>
      <c r="D26205" s="28">
        <v>0.10340000000000001</v>
      </c>
      <c r="E26205" s="28">
        <v>0.10340000000000001</v>
      </c>
      <c r="F26205" s="28">
        <v>3.4500000000000003E-2</v>
      </c>
      <c r="G26205" s="28">
        <v>3.4500000000000003E-2</v>
      </c>
      <c r="H26205" s="29"/>
      <c r="I26205" s="28">
        <v>3.4500000000000003E-2</v>
      </c>
      <c r="J26205" s="29" t="s">
        <v>329</v>
      </c>
    </row>
    <row r="26206" spans="1:10" x14ac:dyDescent="0.35">
      <c r="A26206" t="s">
        <v>231</v>
      </c>
      <c r="B26206" t="s">
        <v>361</v>
      </c>
      <c r="C26206" s="26">
        <v>0.7</v>
      </c>
      <c r="D26206" s="26">
        <v>0.1</v>
      </c>
      <c r="E26206" s="26">
        <v>0.06</v>
      </c>
      <c r="F26206" s="26">
        <v>0.06</v>
      </c>
      <c r="G26206" s="26">
        <v>0.06</v>
      </c>
      <c r="I26206" s="26">
        <v>0.02</v>
      </c>
      <c r="J26206">
        <v>50</v>
      </c>
    </row>
    <row r="26207" spans="1:10" x14ac:dyDescent="0.35">
      <c r="A26207" t="s">
        <v>231</v>
      </c>
      <c r="B26207" t="s">
        <v>360</v>
      </c>
      <c r="C26207" s="26">
        <v>0.59089999999999998</v>
      </c>
      <c r="D26207" s="26">
        <v>0.11360000000000001</v>
      </c>
      <c r="E26207" s="26">
        <v>6.8199999999999997E-2</v>
      </c>
      <c r="F26207" s="26">
        <v>0.13639999999999999</v>
      </c>
      <c r="G26207" s="26">
        <v>4.5499999999999999E-2</v>
      </c>
      <c r="H26207" s="26">
        <v>4.5499999999999999E-2</v>
      </c>
      <c r="J26207">
        <v>44</v>
      </c>
    </row>
    <row r="26208" spans="1:10" x14ac:dyDescent="0.35">
      <c r="A26208" s="27" t="s">
        <v>231</v>
      </c>
      <c r="B26208" s="27" t="s">
        <v>363</v>
      </c>
      <c r="C26208" s="28">
        <v>0.48149999999999998</v>
      </c>
      <c r="D26208" s="28">
        <v>0.22220000000000001</v>
      </c>
      <c r="E26208" s="28">
        <v>0.1852</v>
      </c>
      <c r="F26208" s="28">
        <v>7.4099999999999999E-2</v>
      </c>
      <c r="G26208" s="29"/>
      <c r="H26208" s="28">
        <v>3.6999999999999998E-2</v>
      </c>
      <c r="I26208" s="29"/>
      <c r="J26208" s="29" t="s">
        <v>338</v>
      </c>
    </row>
    <row r="26209" spans="1:10" x14ac:dyDescent="0.35">
      <c r="A26209" t="s">
        <v>232</v>
      </c>
      <c r="B26209" t="s">
        <v>232</v>
      </c>
      <c r="C26209" s="26">
        <v>0.50619999999999998</v>
      </c>
      <c r="D26209" s="26">
        <v>0.23180000000000001</v>
      </c>
      <c r="E26209" s="26">
        <v>8.8099999999999998E-2</v>
      </c>
      <c r="F26209" s="26">
        <v>7.0099999999999996E-2</v>
      </c>
      <c r="G26209" s="26">
        <v>5.3699999999999998E-2</v>
      </c>
      <c r="H26209" s="26">
        <v>4.0300000000000002E-2</v>
      </c>
      <c r="I26209" s="26">
        <v>9.7000000000000003E-3</v>
      </c>
      <c r="J26209">
        <v>2476</v>
      </c>
    </row>
    <row r="26211" spans="1:10" x14ac:dyDescent="0.35">
      <c r="A26211" s="1" t="s">
        <v>2381</v>
      </c>
    </row>
    <row r="26212" spans="1:10" x14ac:dyDescent="0.35">
      <c r="A26212" t="s">
        <v>219</v>
      </c>
      <c r="B26212" t="s">
        <v>305</v>
      </c>
      <c r="C26212" t="s">
        <v>2371</v>
      </c>
      <c r="D26212" t="s">
        <v>2372</v>
      </c>
      <c r="E26212" t="s">
        <v>2373</v>
      </c>
      <c r="F26212" t="s">
        <v>2374</v>
      </c>
      <c r="G26212" t="s">
        <v>2375</v>
      </c>
      <c r="H26212" t="s">
        <v>2376</v>
      </c>
      <c r="I26212" t="s">
        <v>281</v>
      </c>
      <c r="J26212" t="s">
        <v>226</v>
      </c>
    </row>
    <row r="26213" spans="1:10" x14ac:dyDescent="0.35">
      <c r="A26213" t="s">
        <v>227</v>
      </c>
      <c r="B26213" t="s">
        <v>267</v>
      </c>
      <c r="C26213" s="26">
        <v>0.66669999999999996</v>
      </c>
      <c r="D26213" s="26">
        <v>0.22220000000000001</v>
      </c>
      <c r="E26213" s="26">
        <v>5.5599999999999997E-2</v>
      </c>
      <c r="F26213" s="26">
        <v>5.5599999999999997E-2</v>
      </c>
      <c r="J26213">
        <v>36</v>
      </c>
    </row>
    <row r="26214" spans="1:10" x14ac:dyDescent="0.35">
      <c r="A26214" t="s">
        <v>227</v>
      </c>
      <c r="B26214" t="s">
        <v>266</v>
      </c>
      <c r="C26214" s="26">
        <v>0.67800000000000005</v>
      </c>
      <c r="D26214" s="26">
        <v>0.18640000000000001</v>
      </c>
      <c r="E26214" s="26">
        <v>3.39E-2</v>
      </c>
      <c r="F26214" s="26">
        <v>3.39E-2</v>
      </c>
      <c r="G26214" s="26">
        <v>6.7799999999999999E-2</v>
      </c>
      <c r="J26214">
        <v>59</v>
      </c>
    </row>
    <row r="26215" spans="1:10" x14ac:dyDescent="0.35">
      <c r="A26215" t="s">
        <v>227</v>
      </c>
      <c r="B26215" t="s">
        <v>265</v>
      </c>
      <c r="C26215" s="26">
        <v>0.54549999999999998</v>
      </c>
      <c r="D26215" s="26">
        <v>0.19700000000000001</v>
      </c>
      <c r="E26215" s="26">
        <v>7.5800000000000006E-2</v>
      </c>
      <c r="F26215" s="26">
        <v>7.5800000000000006E-2</v>
      </c>
      <c r="G26215" s="26">
        <v>4.5499999999999999E-2</v>
      </c>
      <c r="H26215" s="26">
        <v>6.0600000000000001E-2</v>
      </c>
      <c r="J26215">
        <v>66</v>
      </c>
    </row>
    <row r="26216" spans="1:10" x14ac:dyDescent="0.35">
      <c r="A26216" t="s">
        <v>228</v>
      </c>
      <c r="B26216" t="s">
        <v>267</v>
      </c>
      <c r="C26216" s="26">
        <v>0.29370000000000002</v>
      </c>
      <c r="D26216" s="26">
        <v>0.38009999999999999</v>
      </c>
      <c r="E26216" s="26">
        <v>0.1203</v>
      </c>
      <c r="F26216" s="26">
        <v>0.08</v>
      </c>
      <c r="G26216" s="26">
        <v>8.3900000000000002E-2</v>
      </c>
      <c r="H26216" s="26">
        <v>3.6700000000000003E-2</v>
      </c>
      <c r="I26216" s="26">
        <v>5.4000000000000003E-3</v>
      </c>
      <c r="J26216">
        <v>199</v>
      </c>
    </row>
    <row r="26217" spans="1:10" x14ac:dyDescent="0.35">
      <c r="A26217" t="s">
        <v>228</v>
      </c>
      <c r="B26217" t="s">
        <v>265</v>
      </c>
      <c r="C26217" s="26">
        <v>0.39589999999999997</v>
      </c>
      <c r="D26217" s="26">
        <v>0.27829999999999999</v>
      </c>
      <c r="E26217" s="26">
        <v>9.69E-2</v>
      </c>
      <c r="F26217" s="26">
        <v>7.0800000000000002E-2</v>
      </c>
      <c r="G26217" s="26">
        <v>6.2700000000000006E-2</v>
      </c>
      <c r="H26217" s="26">
        <v>7.3800000000000004E-2</v>
      </c>
      <c r="I26217" s="26">
        <v>2.1600000000000001E-2</v>
      </c>
      <c r="J26217">
        <v>384</v>
      </c>
    </row>
    <row r="26218" spans="1:10" x14ac:dyDescent="0.35">
      <c r="A26218" s="27" t="s">
        <v>228</v>
      </c>
      <c r="B26218" s="27" t="s">
        <v>236</v>
      </c>
      <c r="C26218" s="28">
        <v>0.5</v>
      </c>
      <c r="D26218" s="29"/>
      <c r="E26218" s="29"/>
      <c r="F26218" s="29"/>
      <c r="G26218" s="28">
        <v>0.5</v>
      </c>
      <c r="H26218" s="29"/>
      <c r="I26218" s="29"/>
      <c r="J26218" s="29" t="s">
        <v>314</v>
      </c>
    </row>
    <row r="26219" spans="1:10" x14ac:dyDescent="0.35">
      <c r="A26219" t="s">
        <v>228</v>
      </c>
      <c r="B26219" t="s">
        <v>266</v>
      </c>
      <c r="C26219" s="26">
        <v>0.32200000000000001</v>
      </c>
      <c r="D26219" s="26">
        <v>0.27189999999999998</v>
      </c>
      <c r="E26219" s="26">
        <v>0.1623</v>
      </c>
      <c r="F26219" s="26">
        <v>9.7900000000000001E-2</v>
      </c>
      <c r="G26219" s="26">
        <v>7.7100000000000002E-2</v>
      </c>
      <c r="H26219" s="26">
        <v>6.3299999999999995E-2</v>
      </c>
      <c r="I26219" s="26">
        <v>5.4000000000000003E-3</v>
      </c>
      <c r="J26219">
        <v>448</v>
      </c>
    </row>
    <row r="26220" spans="1:10" x14ac:dyDescent="0.35">
      <c r="A26220" t="s">
        <v>229</v>
      </c>
      <c r="B26220" t="s">
        <v>266</v>
      </c>
      <c r="C26220" s="26">
        <v>0.50760000000000005</v>
      </c>
      <c r="D26220" s="26">
        <v>0.2293</v>
      </c>
      <c r="E26220" s="26">
        <v>7.8200000000000006E-2</v>
      </c>
      <c r="F26220" s="26">
        <v>7.8299999999999995E-2</v>
      </c>
      <c r="G26220" s="26">
        <v>6.93E-2</v>
      </c>
      <c r="H26220" s="26">
        <v>2.64E-2</v>
      </c>
      <c r="I26220" s="26">
        <v>1.0999999999999999E-2</v>
      </c>
      <c r="J26220">
        <v>359</v>
      </c>
    </row>
    <row r="26221" spans="1:10" x14ac:dyDescent="0.35">
      <c r="A26221" t="s">
        <v>229</v>
      </c>
      <c r="B26221" t="s">
        <v>267</v>
      </c>
      <c r="C26221" s="26">
        <v>0.53749999999999998</v>
      </c>
      <c r="D26221" s="26">
        <v>0.2858</v>
      </c>
      <c r="E26221" s="26">
        <v>1.3899999999999999E-2</v>
      </c>
      <c r="F26221" s="26">
        <v>6.2399999999999997E-2</v>
      </c>
      <c r="G26221" s="26">
        <v>2.5100000000000001E-2</v>
      </c>
      <c r="H26221" s="26">
        <v>6.2700000000000006E-2</v>
      </c>
      <c r="I26221" s="26">
        <v>1.2500000000000001E-2</v>
      </c>
      <c r="J26221">
        <v>201</v>
      </c>
    </row>
    <row r="26222" spans="1:10" x14ac:dyDescent="0.35">
      <c r="A26222" t="s">
        <v>229</v>
      </c>
      <c r="B26222" t="s">
        <v>265</v>
      </c>
      <c r="C26222" s="26">
        <v>0.4486</v>
      </c>
      <c r="D26222" s="26">
        <v>0.32740000000000002</v>
      </c>
      <c r="E26222" s="26">
        <v>6.8900000000000003E-2</v>
      </c>
      <c r="F26222" s="26">
        <v>5.8999999999999997E-2</v>
      </c>
      <c r="G26222" s="26">
        <v>4.6399999999999997E-2</v>
      </c>
      <c r="H26222" s="26">
        <v>4.3299999999999998E-2</v>
      </c>
      <c r="I26222" s="26">
        <v>6.3E-3</v>
      </c>
      <c r="J26222">
        <v>335</v>
      </c>
    </row>
    <row r="26223" spans="1:10" x14ac:dyDescent="0.35">
      <c r="A26223" t="s">
        <v>230</v>
      </c>
      <c r="B26223" t="s">
        <v>267</v>
      </c>
      <c r="C26223" s="26">
        <v>0.43859999999999999</v>
      </c>
      <c r="D26223" s="26">
        <v>0.20760000000000001</v>
      </c>
      <c r="E26223" s="26">
        <v>0.10829999999999999</v>
      </c>
      <c r="F26223" s="26">
        <v>5.5500000000000001E-2</v>
      </c>
      <c r="G26223" s="26">
        <v>5.5199999999999999E-2</v>
      </c>
      <c r="H26223" s="26">
        <v>0.1305</v>
      </c>
      <c r="I26223" s="26">
        <v>4.1000000000000003E-3</v>
      </c>
      <c r="J26223">
        <v>119</v>
      </c>
    </row>
    <row r="26224" spans="1:10" x14ac:dyDescent="0.35">
      <c r="A26224" t="s">
        <v>230</v>
      </c>
      <c r="B26224" t="s">
        <v>266</v>
      </c>
      <c r="C26224" s="26">
        <v>0.31809999999999999</v>
      </c>
      <c r="D26224" s="26">
        <v>0.30809999999999998</v>
      </c>
      <c r="E26224" s="26">
        <v>0.1477</v>
      </c>
      <c r="F26224" s="26">
        <v>5.4300000000000001E-2</v>
      </c>
      <c r="G26224" s="26">
        <v>6.5199999999999994E-2</v>
      </c>
      <c r="H26224" s="26">
        <v>8.6699999999999999E-2</v>
      </c>
      <c r="I26224" s="26">
        <v>1.9900000000000001E-2</v>
      </c>
      <c r="J26224">
        <v>232</v>
      </c>
    </row>
    <row r="26225" spans="1:10" x14ac:dyDescent="0.35">
      <c r="A26225" t="s">
        <v>230</v>
      </c>
      <c r="B26225" t="s">
        <v>265</v>
      </c>
      <c r="C26225" s="26">
        <v>0.41349999999999998</v>
      </c>
      <c r="D26225" s="26">
        <v>0.25750000000000001</v>
      </c>
      <c r="E26225" s="26">
        <v>0.13800000000000001</v>
      </c>
      <c r="F26225" s="26">
        <v>4.8399999999999999E-2</v>
      </c>
      <c r="G26225" s="26">
        <v>8.5699999999999998E-2</v>
      </c>
      <c r="H26225" s="26">
        <v>4.1300000000000003E-2</v>
      </c>
      <c r="I26225" s="26">
        <v>1.5599999999999999E-2</v>
      </c>
      <c r="J26225">
        <v>209</v>
      </c>
    </row>
    <row r="26226" spans="1:10" x14ac:dyDescent="0.35">
      <c r="A26226" t="s">
        <v>231</v>
      </c>
      <c r="B26226" t="s">
        <v>267</v>
      </c>
      <c r="C26226" s="26">
        <v>0.58819999999999995</v>
      </c>
      <c r="D26226" s="26">
        <v>0.1176</v>
      </c>
      <c r="E26226" s="26">
        <v>0.17649999999999999</v>
      </c>
      <c r="F26226" s="26">
        <v>8.8200000000000001E-2</v>
      </c>
      <c r="G26226" s="26">
        <v>2.9399999999999999E-2</v>
      </c>
      <c r="J26226">
        <v>34</v>
      </c>
    </row>
    <row r="26227" spans="1:10" x14ac:dyDescent="0.35">
      <c r="A26227" t="s">
        <v>231</v>
      </c>
      <c r="B26227" t="s">
        <v>266</v>
      </c>
      <c r="C26227" s="26">
        <v>0.5968</v>
      </c>
      <c r="D26227" s="26">
        <v>0.1452</v>
      </c>
      <c r="E26227" s="26">
        <v>9.6799999999999997E-2</v>
      </c>
      <c r="F26227" s="26">
        <v>6.4500000000000002E-2</v>
      </c>
      <c r="G26227" s="26">
        <v>4.8399999999999999E-2</v>
      </c>
      <c r="H26227" s="26">
        <v>3.2300000000000002E-2</v>
      </c>
      <c r="I26227" s="26">
        <v>1.61E-2</v>
      </c>
      <c r="J26227">
        <v>62</v>
      </c>
    </row>
    <row r="26228" spans="1:10" x14ac:dyDescent="0.35">
      <c r="A26228" t="s">
        <v>231</v>
      </c>
      <c r="B26228" t="s">
        <v>265</v>
      </c>
      <c r="C26228" s="26">
        <v>0.64710000000000001</v>
      </c>
      <c r="D26228" s="26">
        <v>0.14710000000000001</v>
      </c>
      <c r="E26228" s="26">
        <v>4.41E-2</v>
      </c>
      <c r="F26228" s="26">
        <v>8.8200000000000001E-2</v>
      </c>
      <c r="G26228" s="26">
        <v>4.41E-2</v>
      </c>
      <c r="H26228" s="26">
        <v>1.47E-2</v>
      </c>
      <c r="I26228" s="26">
        <v>1.47E-2</v>
      </c>
      <c r="J26228">
        <v>68</v>
      </c>
    </row>
    <row r="26229" spans="1:10" x14ac:dyDescent="0.35">
      <c r="A26229" t="s">
        <v>232</v>
      </c>
      <c r="B26229" t="s">
        <v>232</v>
      </c>
      <c r="C26229" s="26">
        <v>0.50619999999999998</v>
      </c>
      <c r="D26229" s="26">
        <v>0.23180000000000001</v>
      </c>
      <c r="E26229" s="26">
        <v>8.8099999999999998E-2</v>
      </c>
      <c r="F26229" s="26">
        <v>7.0099999999999996E-2</v>
      </c>
      <c r="G26229" s="26">
        <v>5.3699999999999998E-2</v>
      </c>
      <c r="H26229" s="26">
        <v>4.0300000000000002E-2</v>
      </c>
      <c r="I26229" s="26">
        <v>9.7000000000000003E-3</v>
      </c>
      <c r="J26229">
        <v>2813</v>
      </c>
    </row>
    <row r="26231" spans="1:10" x14ac:dyDescent="0.35">
      <c r="A26231" s="1" t="s">
        <v>2382</v>
      </c>
    </row>
    <row r="26232" spans="1:10" x14ac:dyDescent="0.35">
      <c r="A26232" t="s">
        <v>219</v>
      </c>
      <c r="B26232" t="s">
        <v>305</v>
      </c>
      <c r="C26232" t="s">
        <v>2371</v>
      </c>
      <c r="D26232" t="s">
        <v>2372</v>
      </c>
      <c r="E26232" t="s">
        <v>2373</v>
      </c>
      <c r="F26232" t="s">
        <v>2374</v>
      </c>
      <c r="G26232" t="s">
        <v>2375</v>
      </c>
      <c r="H26232" t="s">
        <v>2376</v>
      </c>
      <c r="I26232" t="s">
        <v>281</v>
      </c>
      <c r="J26232" t="s">
        <v>226</v>
      </c>
    </row>
    <row r="26233" spans="1:10" x14ac:dyDescent="0.35">
      <c r="A26233" t="s">
        <v>227</v>
      </c>
      <c r="B26233" t="s">
        <v>252</v>
      </c>
      <c r="C26233" s="26">
        <v>0.5111</v>
      </c>
      <c r="D26233" s="26">
        <v>0.28889999999999999</v>
      </c>
      <c r="E26233" s="26">
        <v>2.2200000000000001E-2</v>
      </c>
      <c r="F26233" s="26">
        <v>8.8900000000000007E-2</v>
      </c>
      <c r="G26233" s="26">
        <v>4.4400000000000002E-2</v>
      </c>
      <c r="H26233" s="26">
        <v>4.4400000000000002E-2</v>
      </c>
      <c r="J26233">
        <v>45</v>
      </c>
    </row>
    <row r="26234" spans="1:10" x14ac:dyDescent="0.35">
      <c r="A26234" t="s">
        <v>227</v>
      </c>
      <c r="B26234" t="s">
        <v>253</v>
      </c>
      <c r="C26234" s="26">
        <v>0.55879999999999996</v>
      </c>
      <c r="D26234" s="26">
        <v>0.2059</v>
      </c>
      <c r="E26234" s="26">
        <v>0.14710000000000001</v>
      </c>
      <c r="F26234" s="26">
        <v>2.9399999999999999E-2</v>
      </c>
      <c r="G26234" s="26">
        <v>5.8799999999999998E-2</v>
      </c>
      <c r="J26234">
        <v>34</v>
      </c>
    </row>
    <row r="26235" spans="1:10" x14ac:dyDescent="0.35">
      <c r="A26235" t="s">
        <v>227</v>
      </c>
      <c r="B26235" t="s">
        <v>251</v>
      </c>
      <c r="C26235" s="26">
        <v>0.70730000000000004</v>
      </c>
      <c r="D26235" s="26">
        <v>0.14630000000000001</v>
      </c>
      <c r="E26235" s="26">
        <v>3.6600000000000001E-2</v>
      </c>
      <c r="F26235" s="26">
        <v>4.8800000000000003E-2</v>
      </c>
      <c r="G26235" s="26">
        <v>3.6600000000000001E-2</v>
      </c>
      <c r="H26235" s="26">
        <v>2.4400000000000002E-2</v>
      </c>
      <c r="J26235">
        <v>82</v>
      </c>
    </row>
    <row r="26236" spans="1:10" x14ac:dyDescent="0.35">
      <c r="A26236" t="s">
        <v>228</v>
      </c>
      <c r="B26236" t="s">
        <v>252</v>
      </c>
      <c r="C26236" s="26">
        <v>0.32069999999999999</v>
      </c>
      <c r="D26236" s="26">
        <v>0.2167</v>
      </c>
      <c r="E26236" s="26">
        <v>0.1459</v>
      </c>
      <c r="F26236" s="26">
        <v>9.9099999999999994E-2</v>
      </c>
      <c r="G26236" s="26">
        <v>0.1217</v>
      </c>
      <c r="H26236" s="26">
        <v>8.2400000000000001E-2</v>
      </c>
      <c r="I26236" s="26">
        <v>1.35E-2</v>
      </c>
      <c r="J26236">
        <v>344</v>
      </c>
    </row>
    <row r="26237" spans="1:10" x14ac:dyDescent="0.35">
      <c r="A26237" t="s">
        <v>228</v>
      </c>
      <c r="B26237" t="s">
        <v>253</v>
      </c>
      <c r="C26237" s="26">
        <v>0.25869999999999999</v>
      </c>
      <c r="D26237" s="26">
        <v>0.3241</v>
      </c>
      <c r="E26237" s="26">
        <v>0.22869999999999999</v>
      </c>
      <c r="F26237" s="26">
        <v>6.3E-2</v>
      </c>
      <c r="G26237" s="26">
        <v>5.7599999999999998E-2</v>
      </c>
      <c r="H26237" s="26">
        <v>6.0499999999999998E-2</v>
      </c>
      <c r="I26237" s="26">
        <v>7.4999999999999997E-3</v>
      </c>
      <c r="J26237">
        <v>222</v>
      </c>
    </row>
    <row r="26238" spans="1:10" x14ac:dyDescent="0.35">
      <c r="A26238" t="s">
        <v>228</v>
      </c>
      <c r="B26238" t="s">
        <v>251</v>
      </c>
      <c r="C26238" s="26">
        <v>0.40689999999999998</v>
      </c>
      <c r="D26238" s="26">
        <v>0.32690000000000002</v>
      </c>
      <c r="E26238" s="26">
        <v>7.0699999999999999E-2</v>
      </c>
      <c r="F26238" s="26">
        <v>8.0799999999999997E-2</v>
      </c>
      <c r="G26238" s="26">
        <v>5.1299999999999998E-2</v>
      </c>
      <c r="H26238" s="26">
        <v>5.04E-2</v>
      </c>
      <c r="I26238" s="26">
        <v>1.3100000000000001E-2</v>
      </c>
      <c r="J26238">
        <v>467</v>
      </c>
    </row>
    <row r="26239" spans="1:10" x14ac:dyDescent="0.35">
      <c r="A26239" t="s">
        <v>229</v>
      </c>
      <c r="B26239" t="s">
        <v>252</v>
      </c>
      <c r="C26239" s="26">
        <v>0.50160000000000005</v>
      </c>
      <c r="D26239" s="26">
        <v>0.20119999999999999</v>
      </c>
      <c r="E26239" s="26">
        <v>7.2900000000000006E-2</v>
      </c>
      <c r="F26239" s="26">
        <v>4.19E-2</v>
      </c>
      <c r="G26239" s="26">
        <v>0.1</v>
      </c>
      <c r="H26239" s="26">
        <v>5.6399999999999999E-2</v>
      </c>
      <c r="I26239" s="26">
        <v>2.5999999999999999E-2</v>
      </c>
      <c r="J26239">
        <v>199</v>
      </c>
    </row>
    <row r="26240" spans="1:10" x14ac:dyDescent="0.35">
      <c r="A26240" t="s">
        <v>229</v>
      </c>
      <c r="B26240" t="s">
        <v>253</v>
      </c>
      <c r="C26240" s="26">
        <v>0.37290000000000001</v>
      </c>
      <c r="D26240" s="26">
        <v>0.3674</v>
      </c>
      <c r="E26240" s="26">
        <v>5.8999999999999997E-2</v>
      </c>
      <c r="F26240" s="26">
        <v>9.6699999999999994E-2</v>
      </c>
      <c r="G26240" s="26">
        <v>4.8399999999999999E-2</v>
      </c>
      <c r="H26240" s="26">
        <v>4.9799999999999997E-2</v>
      </c>
      <c r="I26240" s="26">
        <v>5.7999999999999996E-3</v>
      </c>
      <c r="J26240">
        <v>145</v>
      </c>
    </row>
    <row r="26241" spans="1:10" x14ac:dyDescent="0.35">
      <c r="A26241" t="s">
        <v>229</v>
      </c>
      <c r="B26241" t="s">
        <v>251</v>
      </c>
      <c r="C26241" s="26">
        <v>0.51939999999999997</v>
      </c>
      <c r="D26241" s="26">
        <v>0.29210000000000003</v>
      </c>
      <c r="E26241" s="26">
        <v>5.5E-2</v>
      </c>
      <c r="F26241" s="26">
        <v>6.5500000000000003E-2</v>
      </c>
      <c r="G26241" s="26">
        <v>3.0099999999999998E-2</v>
      </c>
      <c r="H26241" s="26">
        <v>3.4000000000000002E-2</v>
      </c>
      <c r="I26241" s="26">
        <v>3.8999999999999998E-3</v>
      </c>
      <c r="J26241">
        <v>551</v>
      </c>
    </row>
    <row r="26242" spans="1:10" x14ac:dyDescent="0.35">
      <c r="A26242" t="s">
        <v>230</v>
      </c>
      <c r="B26242" t="s">
        <v>252</v>
      </c>
      <c r="C26242" s="26">
        <v>0.37959999999999999</v>
      </c>
      <c r="D26242" s="26">
        <v>0.27729999999999999</v>
      </c>
      <c r="E26242" s="26">
        <v>0.1681</v>
      </c>
      <c r="F26242" s="26">
        <v>5.0299999999999997E-2</v>
      </c>
      <c r="G26242" s="26">
        <v>9.11E-2</v>
      </c>
      <c r="H26242" s="26">
        <v>3.3599999999999998E-2</v>
      </c>
      <c r="J26242">
        <v>159</v>
      </c>
    </row>
    <row r="26243" spans="1:10" x14ac:dyDescent="0.35">
      <c r="A26243" t="s">
        <v>230</v>
      </c>
      <c r="B26243" t="s">
        <v>253</v>
      </c>
      <c r="C26243" s="26">
        <v>0.32590000000000002</v>
      </c>
      <c r="D26243" s="26">
        <v>0.36749999999999999</v>
      </c>
      <c r="E26243" s="26">
        <v>0.1042</v>
      </c>
      <c r="F26243" s="26">
        <v>4.5600000000000002E-2</v>
      </c>
      <c r="G26243" s="26">
        <v>5.11E-2</v>
      </c>
      <c r="H26243" s="26">
        <v>0.1011</v>
      </c>
      <c r="I26243" s="26">
        <v>4.7000000000000002E-3</v>
      </c>
      <c r="J26243">
        <v>110</v>
      </c>
    </row>
    <row r="26244" spans="1:10" x14ac:dyDescent="0.35">
      <c r="A26244" t="s">
        <v>230</v>
      </c>
      <c r="B26244" t="s">
        <v>251</v>
      </c>
      <c r="C26244" s="26">
        <v>0.40679999999999999</v>
      </c>
      <c r="D26244" s="26">
        <v>0.22409999999999999</v>
      </c>
      <c r="E26244" s="26">
        <v>0.13020000000000001</v>
      </c>
      <c r="F26244" s="26">
        <v>5.5199999999999999E-2</v>
      </c>
      <c r="G26244" s="26">
        <v>6.9599999999999995E-2</v>
      </c>
      <c r="H26244" s="26">
        <v>8.9399999999999993E-2</v>
      </c>
      <c r="I26244" s="26">
        <v>2.47E-2</v>
      </c>
      <c r="J26244">
        <v>291</v>
      </c>
    </row>
    <row r="26245" spans="1:10" x14ac:dyDescent="0.35">
      <c r="A26245" t="s">
        <v>231</v>
      </c>
      <c r="B26245" t="s">
        <v>252</v>
      </c>
      <c r="C26245" s="26">
        <v>0.67349999999999999</v>
      </c>
      <c r="D26245" s="26">
        <v>8.1600000000000006E-2</v>
      </c>
      <c r="E26245" s="26">
        <v>8.1600000000000006E-2</v>
      </c>
      <c r="F26245" s="26">
        <v>8.1600000000000006E-2</v>
      </c>
      <c r="G26245" s="26">
        <v>6.1199999999999997E-2</v>
      </c>
      <c r="I26245" s="26">
        <v>2.0400000000000001E-2</v>
      </c>
      <c r="J26245">
        <v>49</v>
      </c>
    </row>
    <row r="26246" spans="1:10" x14ac:dyDescent="0.35">
      <c r="A26246" t="s">
        <v>231</v>
      </c>
      <c r="B26246" t="s">
        <v>253</v>
      </c>
      <c r="C26246" s="26">
        <v>0.56669999999999998</v>
      </c>
      <c r="D26246" s="26">
        <v>6.6699999999999995E-2</v>
      </c>
      <c r="E26246" s="26">
        <v>6.6699999999999995E-2</v>
      </c>
      <c r="F26246" s="26">
        <v>0.16669999999999999</v>
      </c>
      <c r="G26246" s="26">
        <v>3.3300000000000003E-2</v>
      </c>
      <c r="H26246" s="26">
        <v>0.1</v>
      </c>
      <c r="J26246">
        <v>30</v>
      </c>
    </row>
    <row r="26247" spans="1:10" x14ac:dyDescent="0.35">
      <c r="A26247" t="s">
        <v>231</v>
      </c>
      <c r="B26247" t="s">
        <v>251</v>
      </c>
      <c r="C26247" s="26">
        <v>0.6</v>
      </c>
      <c r="D26247" s="26">
        <v>0.2</v>
      </c>
      <c r="E26247" s="26">
        <v>0.10589999999999999</v>
      </c>
      <c r="F26247" s="26">
        <v>4.7100000000000003E-2</v>
      </c>
      <c r="G26247" s="26">
        <v>3.5299999999999998E-2</v>
      </c>
      <c r="I26247" s="26">
        <v>1.18E-2</v>
      </c>
      <c r="J26247">
        <v>85</v>
      </c>
    </row>
    <row r="26248" spans="1:10" x14ac:dyDescent="0.35">
      <c r="A26248" t="s">
        <v>232</v>
      </c>
      <c r="B26248" t="s">
        <v>232</v>
      </c>
      <c r="C26248" s="26">
        <v>0.50619999999999998</v>
      </c>
      <c r="D26248" s="26">
        <v>0.23180000000000001</v>
      </c>
      <c r="E26248" s="26">
        <v>8.8099999999999998E-2</v>
      </c>
      <c r="F26248" s="26">
        <v>7.0099999999999996E-2</v>
      </c>
      <c r="G26248" s="26">
        <v>5.3699999999999998E-2</v>
      </c>
      <c r="H26248" s="26">
        <v>4.0300000000000002E-2</v>
      </c>
      <c r="I26248" s="26">
        <v>9.7000000000000003E-3</v>
      </c>
      <c r="J26248">
        <v>2813</v>
      </c>
    </row>
    <row r="26250" spans="1:10" x14ac:dyDescent="0.35">
      <c r="A26250" s="1" t="s">
        <v>2383</v>
      </c>
    </row>
    <row r="26251" spans="1:10" x14ac:dyDescent="0.35">
      <c r="A26251" t="s">
        <v>219</v>
      </c>
      <c r="B26251" t="s">
        <v>305</v>
      </c>
      <c r="C26251" t="s">
        <v>2371</v>
      </c>
      <c r="D26251" t="s">
        <v>2372</v>
      </c>
      <c r="E26251" t="s">
        <v>2373</v>
      </c>
      <c r="F26251" t="s">
        <v>2374</v>
      </c>
      <c r="G26251" t="s">
        <v>2375</v>
      </c>
      <c r="H26251" t="s">
        <v>2376</v>
      </c>
      <c r="I26251" t="s">
        <v>281</v>
      </c>
      <c r="J26251" t="s">
        <v>226</v>
      </c>
    </row>
    <row r="26252" spans="1:10" x14ac:dyDescent="0.35">
      <c r="A26252" t="s">
        <v>227</v>
      </c>
      <c r="B26252" t="s">
        <v>249</v>
      </c>
      <c r="C26252" s="26">
        <v>0.59089999999999998</v>
      </c>
      <c r="D26252" s="26">
        <v>0.2273</v>
      </c>
      <c r="E26252" s="26">
        <v>4.5499999999999999E-2</v>
      </c>
      <c r="F26252" s="26">
        <v>2.2700000000000001E-2</v>
      </c>
      <c r="G26252" s="26">
        <v>9.0899999999999995E-2</v>
      </c>
      <c r="H26252" s="26">
        <v>2.2700000000000001E-2</v>
      </c>
      <c r="J26252">
        <v>44</v>
      </c>
    </row>
    <row r="26253" spans="1:10" x14ac:dyDescent="0.35">
      <c r="A26253" t="s">
        <v>227</v>
      </c>
      <c r="B26253" t="s">
        <v>248</v>
      </c>
      <c r="C26253" s="26">
        <v>0.63249999999999995</v>
      </c>
      <c r="D26253" s="26">
        <v>0.188</v>
      </c>
      <c r="E26253" s="26">
        <v>5.9799999999999999E-2</v>
      </c>
      <c r="F26253" s="26">
        <v>6.8400000000000002E-2</v>
      </c>
      <c r="G26253" s="26">
        <v>2.5600000000000001E-2</v>
      </c>
      <c r="H26253" s="26">
        <v>2.5600000000000001E-2</v>
      </c>
      <c r="J26253">
        <v>117</v>
      </c>
    </row>
    <row r="26254" spans="1:10" x14ac:dyDescent="0.35">
      <c r="A26254" t="s">
        <v>228</v>
      </c>
      <c r="B26254" t="s">
        <v>249</v>
      </c>
      <c r="C26254" s="26">
        <v>0.35070000000000001</v>
      </c>
      <c r="D26254" s="26">
        <v>0.27500000000000002</v>
      </c>
      <c r="E26254" s="26">
        <v>0.15939999999999999</v>
      </c>
      <c r="F26254" s="26">
        <v>0.1</v>
      </c>
      <c r="G26254" s="26">
        <v>3.8199999999999998E-2</v>
      </c>
      <c r="H26254" s="26">
        <v>6.4399999999999999E-2</v>
      </c>
      <c r="I26254" s="26">
        <v>1.24E-2</v>
      </c>
      <c r="J26254">
        <v>274</v>
      </c>
    </row>
    <row r="26255" spans="1:10" x14ac:dyDescent="0.35">
      <c r="A26255" t="s">
        <v>228</v>
      </c>
      <c r="B26255" t="s">
        <v>248</v>
      </c>
      <c r="C26255" s="26">
        <v>0.34820000000000001</v>
      </c>
      <c r="D26255" s="26">
        <v>0.2979</v>
      </c>
      <c r="E26255" s="26">
        <v>0.1133</v>
      </c>
      <c r="F26255" s="26">
        <v>7.5800000000000006E-2</v>
      </c>
      <c r="G26255" s="26">
        <v>9.0899999999999995E-2</v>
      </c>
      <c r="H26255" s="26">
        <v>6.2E-2</v>
      </c>
      <c r="I26255" s="26">
        <v>1.1900000000000001E-2</v>
      </c>
      <c r="J26255">
        <v>759</v>
      </c>
    </row>
    <row r="26256" spans="1:10" x14ac:dyDescent="0.35">
      <c r="A26256" t="s">
        <v>229</v>
      </c>
      <c r="B26256" t="s">
        <v>249</v>
      </c>
      <c r="C26256" s="26">
        <v>0.43190000000000001</v>
      </c>
      <c r="D26256" s="26">
        <v>0.37769999999999998</v>
      </c>
      <c r="E26256" s="26">
        <v>5.1200000000000002E-2</v>
      </c>
      <c r="F26256" s="26">
        <v>7.1800000000000003E-2</v>
      </c>
      <c r="G26256" s="26">
        <v>2.2800000000000001E-2</v>
      </c>
      <c r="H26256" s="26">
        <v>4.0300000000000002E-2</v>
      </c>
      <c r="I26256" s="26">
        <v>4.3E-3</v>
      </c>
      <c r="J26256">
        <v>259</v>
      </c>
    </row>
    <row r="26257" spans="1:10" x14ac:dyDescent="0.35">
      <c r="A26257" t="s">
        <v>229</v>
      </c>
      <c r="B26257" t="s">
        <v>248</v>
      </c>
      <c r="C26257" s="26">
        <v>0.5151</v>
      </c>
      <c r="D26257" s="26">
        <v>0.24110000000000001</v>
      </c>
      <c r="E26257" s="26">
        <v>6.3899999999999998E-2</v>
      </c>
      <c r="F26257" s="26">
        <v>6.3299999999999995E-2</v>
      </c>
      <c r="G26257" s="26">
        <v>6.2100000000000002E-2</v>
      </c>
      <c r="H26257" s="26">
        <v>4.2900000000000001E-2</v>
      </c>
      <c r="I26257" s="26">
        <v>1.1599999999999999E-2</v>
      </c>
      <c r="J26257">
        <v>636</v>
      </c>
    </row>
    <row r="26258" spans="1:10" x14ac:dyDescent="0.35">
      <c r="A26258" t="s">
        <v>230</v>
      </c>
      <c r="B26258" t="s">
        <v>249</v>
      </c>
      <c r="C26258" s="26">
        <v>0.32900000000000001</v>
      </c>
      <c r="D26258" s="26">
        <v>0.29680000000000001</v>
      </c>
      <c r="E26258" s="26">
        <v>0.15559999999999999</v>
      </c>
      <c r="F26258" s="26">
        <v>4.3299999999999998E-2</v>
      </c>
      <c r="G26258" s="26">
        <v>7.1499999999999994E-2</v>
      </c>
      <c r="H26258" s="26">
        <v>9.5799999999999996E-2</v>
      </c>
      <c r="I26258" s="26">
        <v>8.0000000000000002E-3</v>
      </c>
      <c r="J26258">
        <v>171</v>
      </c>
    </row>
    <row r="26259" spans="1:10" x14ac:dyDescent="0.35">
      <c r="A26259" t="s">
        <v>230</v>
      </c>
      <c r="B26259" t="s">
        <v>248</v>
      </c>
      <c r="C26259" s="26">
        <v>0.4128</v>
      </c>
      <c r="D26259" s="26">
        <v>0.2485</v>
      </c>
      <c r="E26259" s="26">
        <v>0.1245</v>
      </c>
      <c r="F26259" s="26">
        <v>5.6599999999999998E-2</v>
      </c>
      <c r="G26259" s="26">
        <v>7.1599999999999997E-2</v>
      </c>
      <c r="H26259" s="26">
        <v>6.7900000000000002E-2</v>
      </c>
      <c r="I26259" s="26">
        <v>1.7999999999999999E-2</v>
      </c>
      <c r="J26259">
        <v>389</v>
      </c>
    </row>
    <row r="26260" spans="1:10" x14ac:dyDescent="0.35">
      <c r="A26260" t="s">
        <v>231</v>
      </c>
      <c r="B26260" t="s">
        <v>249</v>
      </c>
      <c r="C26260" s="26">
        <v>0.62860000000000005</v>
      </c>
      <c r="D26260" s="26">
        <v>0.1143</v>
      </c>
      <c r="E26260" s="26">
        <v>0.1429</v>
      </c>
      <c r="F26260" s="26">
        <v>5.7099999999999998E-2</v>
      </c>
      <c r="G26260" s="26">
        <v>5.7099999999999998E-2</v>
      </c>
      <c r="J26260">
        <v>35</v>
      </c>
    </row>
    <row r="26261" spans="1:10" x14ac:dyDescent="0.35">
      <c r="A26261" t="s">
        <v>231</v>
      </c>
      <c r="B26261" t="s">
        <v>248</v>
      </c>
      <c r="C26261" s="26">
        <v>0.61240000000000006</v>
      </c>
      <c r="D26261" s="26">
        <v>0.14729999999999999</v>
      </c>
      <c r="E26261" s="26">
        <v>7.7499999999999999E-2</v>
      </c>
      <c r="F26261" s="26">
        <v>8.5300000000000001E-2</v>
      </c>
      <c r="G26261" s="26">
        <v>3.8800000000000001E-2</v>
      </c>
      <c r="H26261" s="26">
        <v>2.3300000000000001E-2</v>
      </c>
      <c r="I26261" s="26">
        <v>1.55E-2</v>
      </c>
      <c r="J26261">
        <v>129</v>
      </c>
    </row>
    <row r="26262" spans="1:10" x14ac:dyDescent="0.35">
      <c r="A26262" t="s">
        <v>232</v>
      </c>
      <c r="B26262" t="s">
        <v>232</v>
      </c>
      <c r="C26262" s="26">
        <v>0.50619999999999998</v>
      </c>
      <c r="D26262" s="26">
        <v>0.23180000000000001</v>
      </c>
      <c r="E26262" s="26">
        <v>8.8099999999999998E-2</v>
      </c>
      <c r="F26262" s="26">
        <v>7.0099999999999996E-2</v>
      </c>
      <c r="G26262" s="26">
        <v>5.3699999999999998E-2</v>
      </c>
      <c r="H26262" s="26">
        <v>4.0300000000000002E-2</v>
      </c>
      <c r="I26262" s="26">
        <v>9.7000000000000003E-3</v>
      </c>
      <c r="J26262">
        <v>2813</v>
      </c>
    </row>
    <row r="26264" spans="1:10" x14ac:dyDescent="0.35">
      <c r="A26264" s="1" t="s">
        <v>2384</v>
      </c>
    </row>
    <row r="26265" spans="1:10" x14ac:dyDescent="0.35">
      <c r="A26265" t="s">
        <v>219</v>
      </c>
      <c r="B26265" t="s">
        <v>305</v>
      </c>
      <c r="C26265" t="s">
        <v>2371</v>
      </c>
      <c r="D26265" t="s">
        <v>2372</v>
      </c>
      <c r="E26265" t="s">
        <v>2373</v>
      </c>
      <c r="F26265" t="s">
        <v>2374</v>
      </c>
      <c r="G26265" t="s">
        <v>2375</v>
      </c>
      <c r="H26265" t="s">
        <v>2376</v>
      </c>
      <c r="I26265" t="s">
        <v>281</v>
      </c>
      <c r="J26265" t="s">
        <v>226</v>
      </c>
    </row>
    <row r="26266" spans="1:10" x14ac:dyDescent="0.35">
      <c r="A26266" s="27" t="s">
        <v>227</v>
      </c>
      <c r="B26266" s="27" t="s">
        <v>263</v>
      </c>
      <c r="C26266" s="28">
        <v>1</v>
      </c>
      <c r="D26266" s="29"/>
      <c r="E26266" s="29"/>
      <c r="F26266" s="29"/>
      <c r="G26266" s="29"/>
      <c r="H26266" s="29"/>
      <c r="I26266" s="29"/>
      <c r="J26266" s="29" t="s">
        <v>315</v>
      </c>
    </row>
    <row r="26267" spans="1:10" x14ac:dyDescent="0.35">
      <c r="A26267" t="s">
        <v>227</v>
      </c>
      <c r="B26267" t="s">
        <v>261</v>
      </c>
      <c r="C26267" s="26">
        <v>0.18179999999999999</v>
      </c>
      <c r="D26267" s="26">
        <v>0.33329999999999999</v>
      </c>
      <c r="E26267" s="26">
        <v>0.1515</v>
      </c>
      <c r="F26267" s="26">
        <v>0.1515</v>
      </c>
      <c r="G26267" s="26">
        <v>0.18179999999999999</v>
      </c>
      <c r="J26267">
        <v>33</v>
      </c>
    </row>
    <row r="26268" spans="1:10" x14ac:dyDescent="0.35">
      <c r="A26268" s="27" t="s">
        <v>227</v>
      </c>
      <c r="B26268" s="27" t="s">
        <v>262</v>
      </c>
      <c r="C26268" s="28">
        <v>0.66669999999999996</v>
      </c>
      <c r="D26268" s="28">
        <v>0.33329999999999999</v>
      </c>
      <c r="E26268" s="29"/>
      <c r="F26268" s="29"/>
      <c r="G26268" s="29"/>
      <c r="H26268" s="29"/>
      <c r="I26268" s="29"/>
      <c r="J26268" s="29" t="s">
        <v>315</v>
      </c>
    </row>
    <row r="26269" spans="1:10" x14ac:dyDescent="0.35">
      <c r="A26269" t="s">
        <v>227</v>
      </c>
      <c r="B26269" t="s">
        <v>260</v>
      </c>
      <c r="C26269" s="26">
        <v>0.72950000000000004</v>
      </c>
      <c r="D26269" s="26">
        <v>0.16389999999999999</v>
      </c>
      <c r="E26269" s="26">
        <v>3.2800000000000003E-2</v>
      </c>
      <c r="F26269" s="26">
        <v>3.2800000000000003E-2</v>
      </c>
      <c r="G26269" s="26">
        <v>8.2000000000000007E-3</v>
      </c>
      <c r="H26269" s="26">
        <v>3.2800000000000003E-2</v>
      </c>
      <c r="J26269">
        <v>122</v>
      </c>
    </row>
    <row r="26270" spans="1:10" x14ac:dyDescent="0.35">
      <c r="A26270" t="s">
        <v>228</v>
      </c>
      <c r="B26270" t="s">
        <v>261</v>
      </c>
      <c r="C26270" s="26">
        <v>0.1053</v>
      </c>
      <c r="D26270" s="26">
        <v>0.22620000000000001</v>
      </c>
      <c r="E26270" s="26">
        <v>0.26479999999999998</v>
      </c>
      <c r="F26270" s="26">
        <v>0.11169999999999999</v>
      </c>
      <c r="G26270" s="26">
        <v>0.14960000000000001</v>
      </c>
      <c r="H26270" s="26">
        <v>0.12540000000000001</v>
      </c>
      <c r="I26270" s="26">
        <v>1.7100000000000001E-2</v>
      </c>
      <c r="J26270">
        <v>192</v>
      </c>
    </row>
    <row r="26271" spans="1:10" x14ac:dyDescent="0.35">
      <c r="A26271" s="27" t="s">
        <v>228</v>
      </c>
      <c r="B26271" s="27" t="s">
        <v>263</v>
      </c>
      <c r="C26271" s="28">
        <v>7.5499999999999998E-2</v>
      </c>
      <c r="D26271" s="28">
        <v>0.28939999999999999</v>
      </c>
      <c r="E26271" s="28">
        <v>0.37059999999999998</v>
      </c>
      <c r="F26271" s="28">
        <v>0.12920000000000001</v>
      </c>
      <c r="G26271" s="28">
        <v>2.93E-2</v>
      </c>
      <c r="H26271" s="28">
        <v>8.6800000000000002E-2</v>
      </c>
      <c r="I26271" s="28">
        <v>1.9199999999999998E-2</v>
      </c>
      <c r="J26271" s="29" t="s">
        <v>312</v>
      </c>
    </row>
    <row r="26272" spans="1:10" x14ac:dyDescent="0.35">
      <c r="A26272" s="27" t="s">
        <v>228</v>
      </c>
      <c r="B26272" s="27" t="s">
        <v>236</v>
      </c>
      <c r="C26272" s="28">
        <v>0.72189999999999999</v>
      </c>
      <c r="D26272" s="28">
        <v>3.9E-2</v>
      </c>
      <c r="E26272" s="28">
        <v>0.13370000000000001</v>
      </c>
      <c r="F26272" s="29"/>
      <c r="G26272" s="28">
        <v>0.10539999999999999</v>
      </c>
      <c r="H26272" s="29"/>
      <c r="I26272" s="29"/>
      <c r="J26272" s="29" t="s">
        <v>335</v>
      </c>
    </row>
    <row r="26273" spans="1:10" x14ac:dyDescent="0.35">
      <c r="A26273" t="s">
        <v>228</v>
      </c>
      <c r="B26273" t="s">
        <v>262</v>
      </c>
      <c r="C26273" s="26">
        <v>0.18690000000000001</v>
      </c>
      <c r="D26273" s="26">
        <v>0.42009999999999997</v>
      </c>
      <c r="E26273" s="26">
        <v>0.1636</v>
      </c>
      <c r="F26273" s="26">
        <v>5.5599999999999997E-2</v>
      </c>
      <c r="G26273" s="26">
        <v>7.22E-2</v>
      </c>
      <c r="H26273" s="26">
        <v>9.5799999999999996E-2</v>
      </c>
      <c r="I26273" s="26">
        <v>5.7999999999999996E-3</v>
      </c>
      <c r="J26273">
        <v>201</v>
      </c>
    </row>
    <row r="26274" spans="1:10" x14ac:dyDescent="0.35">
      <c r="A26274" t="s">
        <v>228</v>
      </c>
      <c r="B26274" t="s">
        <v>260</v>
      </c>
      <c r="C26274" s="26">
        <v>0.47449999999999998</v>
      </c>
      <c r="D26274" s="26">
        <v>0.27929999999999999</v>
      </c>
      <c r="E26274" s="26">
        <v>6.6100000000000006E-2</v>
      </c>
      <c r="F26274" s="26">
        <v>8.0799999999999997E-2</v>
      </c>
      <c r="G26274" s="26">
        <v>5.3400000000000003E-2</v>
      </c>
      <c r="H26274" s="26">
        <v>3.3799999999999997E-2</v>
      </c>
      <c r="I26274" s="26">
        <v>1.21E-2</v>
      </c>
      <c r="J26274">
        <v>609</v>
      </c>
    </row>
    <row r="26275" spans="1:10" x14ac:dyDescent="0.35">
      <c r="A26275" s="27" t="s">
        <v>229</v>
      </c>
      <c r="B26275" s="27" t="s">
        <v>263</v>
      </c>
      <c r="C26275" s="28">
        <v>0.25969999999999999</v>
      </c>
      <c r="D26275" s="28">
        <v>0.1084</v>
      </c>
      <c r="E26275" s="28">
        <v>0.2858</v>
      </c>
      <c r="F26275" s="28">
        <v>0.19040000000000001</v>
      </c>
      <c r="G26275" s="28">
        <v>0.15570000000000001</v>
      </c>
      <c r="H26275" s="29"/>
      <c r="I26275" s="29"/>
      <c r="J26275" s="29" t="s">
        <v>379</v>
      </c>
    </row>
    <row r="26276" spans="1:10" x14ac:dyDescent="0.35">
      <c r="A26276" t="s">
        <v>229</v>
      </c>
      <c r="B26276" t="s">
        <v>262</v>
      </c>
      <c r="C26276" s="26">
        <v>0.4355</v>
      </c>
      <c r="D26276" s="26">
        <v>0.36930000000000002</v>
      </c>
      <c r="E26276" s="26">
        <v>3.5799999999999998E-2</v>
      </c>
      <c r="F26276" s="26">
        <v>8.2100000000000006E-2</v>
      </c>
      <c r="G26276" s="26">
        <v>4.2299999999999997E-2</v>
      </c>
      <c r="H26276" s="26">
        <v>3.3799999999999997E-2</v>
      </c>
      <c r="I26276" s="26">
        <v>1.1999999999999999E-3</v>
      </c>
      <c r="J26276">
        <v>188</v>
      </c>
    </row>
    <row r="26277" spans="1:10" x14ac:dyDescent="0.35">
      <c r="A26277" t="s">
        <v>229</v>
      </c>
      <c r="B26277" t="s">
        <v>261</v>
      </c>
      <c r="C26277" s="26">
        <v>0.1497</v>
      </c>
      <c r="D26277" s="26">
        <v>0.40560000000000002</v>
      </c>
      <c r="E26277" s="26">
        <v>0.18110000000000001</v>
      </c>
      <c r="F26277" s="26">
        <v>8.9200000000000002E-2</v>
      </c>
      <c r="G26277" s="26">
        <v>0.1033</v>
      </c>
      <c r="H26277" s="26">
        <v>6.4500000000000002E-2</v>
      </c>
      <c r="I26277" s="26">
        <v>6.7000000000000002E-3</v>
      </c>
      <c r="J26277">
        <v>96</v>
      </c>
    </row>
    <row r="26278" spans="1:10" x14ac:dyDescent="0.35">
      <c r="A26278" s="27" t="s">
        <v>229</v>
      </c>
      <c r="B26278" s="27" t="s">
        <v>236</v>
      </c>
      <c r="C26278" s="28">
        <v>1</v>
      </c>
      <c r="D26278" s="29"/>
      <c r="E26278" s="29"/>
      <c r="F26278" s="29"/>
      <c r="G26278" s="29"/>
      <c r="H26278" s="29"/>
      <c r="I26278" s="29"/>
      <c r="J26278" s="29" t="s">
        <v>331</v>
      </c>
    </row>
    <row r="26279" spans="1:10" x14ac:dyDescent="0.35">
      <c r="A26279" t="s">
        <v>229</v>
      </c>
      <c r="B26279" t="s">
        <v>260</v>
      </c>
      <c r="C26279" s="26">
        <v>0.61270000000000002</v>
      </c>
      <c r="D26279" s="26">
        <v>0.21790000000000001</v>
      </c>
      <c r="E26279" s="26">
        <v>3.1399999999999997E-2</v>
      </c>
      <c r="F26279" s="26">
        <v>4.7500000000000001E-2</v>
      </c>
      <c r="G26279" s="26">
        <v>3.4500000000000003E-2</v>
      </c>
      <c r="H26279" s="26">
        <v>4.1599999999999998E-2</v>
      </c>
      <c r="I26279" s="26">
        <v>1.43E-2</v>
      </c>
      <c r="J26279">
        <v>596</v>
      </c>
    </row>
    <row r="26280" spans="1:10" x14ac:dyDescent="0.35">
      <c r="A26280" s="27" t="s">
        <v>230</v>
      </c>
      <c r="B26280" s="27" t="s">
        <v>236</v>
      </c>
      <c r="C26280" s="28">
        <v>0.72240000000000004</v>
      </c>
      <c r="D26280" s="28">
        <v>0.12189999999999999</v>
      </c>
      <c r="E26280" s="28">
        <v>0.11899999999999999</v>
      </c>
      <c r="F26280" s="29"/>
      <c r="G26280" s="28">
        <v>3.6600000000000001E-2</v>
      </c>
      <c r="H26280" s="29"/>
      <c r="I26280" s="29"/>
      <c r="J26280" s="29" t="s">
        <v>337</v>
      </c>
    </row>
    <row r="26281" spans="1:10" x14ac:dyDescent="0.35">
      <c r="A26281" t="s">
        <v>230</v>
      </c>
      <c r="B26281" t="s">
        <v>262</v>
      </c>
      <c r="C26281" s="26">
        <v>0.43149999999999999</v>
      </c>
      <c r="D26281" s="26">
        <v>0.23130000000000001</v>
      </c>
      <c r="E26281" s="26">
        <v>0.1721</v>
      </c>
      <c r="F26281" s="26">
        <v>2.5600000000000001E-2</v>
      </c>
      <c r="G26281" s="26">
        <v>7.6300000000000007E-2</v>
      </c>
      <c r="H26281" s="26">
        <v>5.7299999999999997E-2</v>
      </c>
      <c r="I26281" s="26">
        <v>5.8999999999999999E-3</v>
      </c>
      <c r="J26281">
        <v>122</v>
      </c>
    </row>
    <row r="26282" spans="1:10" x14ac:dyDescent="0.35">
      <c r="A26282" t="s">
        <v>230</v>
      </c>
      <c r="B26282" t="s">
        <v>261</v>
      </c>
      <c r="C26282" s="26">
        <v>0.10290000000000001</v>
      </c>
      <c r="D26282" s="26">
        <v>0.23749999999999999</v>
      </c>
      <c r="E26282" s="26">
        <v>0.29270000000000002</v>
      </c>
      <c r="F26282" s="26">
        <v>9.4200000000000006E-2</v>
      </c>
      <c r="G26282" s="26">
        <v>0.21210000000000001</v>
      </c>
      <c r="H26282" s="26">
        <v>5.3800000000000001E-2</v>
      </c>
      <c r="I26282" s="26">
        <v>6.7999999999999996E-3</v>
      </c>
      <c r="J26282">
        <v>57</v>
      </c>
    </row>
    <row r="26283" spans="1:10" x14ac:dyDescent="0.35">
      <c r="A26283" s="27" t="s">
        <v>230</v>
      </c>
      <c r="B26283" s="27" t="s">
        <v>263</v>
      </c>
      <c r="C26283" s="28">
        <v>3.3500000000000002E-2</v>
      </c>
      <c r="D26283" s="28">
        <v>0.3861</v>
      </c>
      <c r="E26283" s="28">
        <v>0.314</v>
      </c>
      <c r="F26283" s="28">
        <v>7.1199999999999999E-2</v>
      </c>
      <c r="G26283" s="28">
        <v>0.19520000000000001</v>
      </c>
      <c r="H26283" s="29"/>
      <c r="I26283" s="29"/>
      <c r="J26283" s="29" t="s">
        <v>312</v>
      </c>
    </row>
    <row r="26284" spans="1:10" x14ac:dyDescent="0.35">
      <c r="A26284" t="s">
        <v>230</v>
      </c>
      <c r="B26284" t="s">
        <v>260</v>
      </c>
      <c r="C26284" s="26">
        <v>0.43319999999999997</v>
      </c>
      <c r="D26284" s="26">
        <v>0.27600000000000002</v>
      </c>
      <c r="E26284" s="26">
        <v>9.2600000000000002E-2</v>
      </c>
      <c r="F26284" s="26">
        <v>4.99E-2</v>
      </c>
      <c r="G26284" s="26">
        <v>4.1000000000000002E-2</v>
      </c>
      <c r="H26284" s="26">
        <v>8.8800000000000004E-2</v>
      </c>
      <c r="I26284" s="26">
        <v>1.8499999999999999E-2</v>
      </c>
      <c r="J26284">
        <v>352</v>
      </c>
    </row>
    <row r="26285" spans="1:10" x14ac:dyDescent="0.35">
      <c r="A26285" s="27" t="s">
        <v>231</v>
      </c>
      <c r="B26285" s="27" t="s">
        <v>263</v>
      </c>
      <c r="C26285" s="29"/>
      <c r="D26285" s="28">
        <v>1</v>
      </c>
      <c r="E26285" s="29"/>
      <c r="F26285" s="29"/>
      <c r="G26285" s="29"/>
      <c r="H26285" s="29"/>
      <c r="I26285" s="29"/>
      <c r="J26285" s="29" t="s">
        <v>314</v>
      </c>
    </row>
    <row r="26286" spans="1:10" x14ac:dyDescent="0.35">
      <c r="A26286" t="s">
        <v>231</v>
      </c>
      <c r="B26286" t="s">
        <v>260</v>
      </c>
      <c r="C26286" s="26">
        <v>0.7339</v>
      </c>
      <c r="D26286" s="26">
        <v>8.8700000000000001E-2</v>
      </c>
      <c r="E26286" s="26">
        <v>5.6500000000000002E-2</v>
      </c>
      <c r="F26286" s="26">
        <v>6.4500000000000002E-2</v>
      </c>
      <c r="G26286" s="26">
        <v>2.4199999999999999E-2</v>
      </c>
      <c r="H26286" s="26">
        <v>1.61E-2</v>
      </c>
      <c r="I26286" s="26">
        <v>1.61E-2</v>
      </c>
      <c r="J26286">
        <v>124</v>
      </c>
    </row>
    <row r="26287" spans="1:10" x14ac:dyDescent="0.35">
      <c r="A26287" s="27" t="s">
        <v>231</v>
      </c>
      <c r="B26287" s="27" t="s">
        <v>261</v>
      </c>
      <c r="C26287" s="28">
        <v>0.14810000000000001</v>
      </c>
      <c r="D26287" s="28">
        <v>0.29630000000000001</v>
      </c>
      <c r="E26287" s="28">
        <v>0.25929999999999997</v>
      </c>
      <c r="F26287" s="28">
        <v>0.14810000000000001</v>
      </c>
      <c r="G26287" s="28">
        <v>0.1111</v>
      </c>
      <c r="H26287" s="28">
        <v>3.6999999999999998E-2</v>
      </c>
      <c r="I26287" s="29"/>
      <c r="J26287" s="29" t="s">
        <v>338</v>
      </c>
    </row>
    <row r="26288" spans="1:10" x14ac:dyDescent="0.35">
      <c r="A26288" s="27" t="s">
        <v>231</v>
      </c>
      <c r="B26288" s="27" t="s">
        <v>262</v>
      </c>
      <c r="C26288" s="28">
        <v>0.54549999999999998</v>
      </c>
      <c r="D26288" s="28">
        <v>0.18179999999999999</v>
      </c>
      <c r="E26288" s="28">
        <v>9.0899999999999995E-2</v>
      </c>
      <c r="F26288" s="28">
        <v>9.0899999999999995E-2</v>
      </c>
      <c r="G26288" s="28">
        <v>9.0899999999999995E-2</v>
      </c>
      <c r="H26288" s="29"/>
      <c r="I26288" s="29"/>
      <c r="J26288" s="29" t="s">
        <v>352</v>
      </c>
    </row>
    <row r="26289" spans="1:10" x14ac:dyDescent="0.35">
      <c r="A26289" t="s">
        <v>232</v>
      </c>
      <c r="B26289" t="s">
        <v>232</v>
      </c>
      <c r="C26289" s="26">
        <v>0.50619999999999998</v>
      </c>
      <c r="D26289" s="26">
        <v>0.23180000000000001</v>
      </c>
      <c r="E26289" s="26">
        <v>8.8099999999999998E-2</v>
      </c>
      <c r="F26289" s="26">
        <v>7.0099999999999996E-2</v>
      </c>
      <c r="G26289" s="26">
        <v>5.3699999999999998E-2</v>
      </c>
      <c r="H26289" s="26">
        <v>4.0300000000000002E-2</v>
      </c>
      <c r="I26289" s="26">
        <v>9.7000000000000003E-3</v>
      </c>
      <c r="J26289">
        <v>2813</v>
      </c>
    </row>
    <row r="26291" spans="1:10" x14ac:dyDescent="0.35">
      <c r="A26291" s="1" t="s">
        <v>2385</v>
      </c>
    </row>
    <row r="26292" spans="1:10" x14ac:dyDescent="0.35">
      <c r="A26292" t="s">
        <v>219</v>
      </c>
      <c r="B26292" t="s">
        <v>305</v>
      </c>
      <c r="C26292" t="s">
        <v>2371</v>
      </c>
      <c r="D26292" t="s">
        <v>2372</v>
      </c>
      <c r="E26292" t="s">
        <v>2373</v>
      </c>
      <c r="F26292" t="s">
        <v>2374</v>
      </c>
      <c r="G26292" t="s">
        <v>2375</v>
      </c>
      <c r="H26292" t="s">
        <v>2376</v>
      </c>
      <c r="I26292" t="s">
        <v>281</v>
      </c>
      <c r="J26292" t="s">
        <v>226</v>
      </c>
    </row>
    <row r="26293" spans="1:10" x14ac:dyDescent="0.35">
      <c r="A26293" t="s">
        <v>227</v>
      </c>
      <c r="B26293" t="s">
        <v>368</v>
      </c>
      <c r="C26293" s="26">
        <v>0.18179999999999999</v>
      </c>
      <c r="D26293" s="26">
        <v>0.33329999999999999</v>
      </c>
      <c r="E26293" s="26">
        <v>0.1515</v>
      </c>
      <c r="F26293" s="26">
        <v>0.1515</v>
      </c>
      <c r="G26293" s="26">
        <v>0.18179999999999999</v>
      </c>
      <c r="J26293">
        <v>33</v>
      </c>
    </row>
    <row r="26294" spans="1:10" x14ac:dyDescent="0.35">
      <c r="A26294" t="s">
        <v>227</v>
      </c>
      <c r="B26294" t="s">
        <v>369</v>
      </c>
      <c r="C26294" s="26">
        <v>0.73440000000000005</v>
      </c>
      <c r="D26294" s="26">
        <v>0.1641</v>
      </c>
      <c r="E26294" s="26">
        <v>3.1199999999999999E-2</v>
      </c>
      <c r="F26294" s="26">
        <v>3.1199999999999999E-2</v>
      </c>
      <c r="G26294" s="26">
        <v>7.7999999999999996E-3</v>
      </c>
      <c r="H26294" s="26">
        <v>3.1199999999999999E-2</v>
      </c>
      <c r="J26294">
        <v>128</v>
      </c>
    </row>
    <row r="26295" spans="1:10" x14ac:dyDescent="0.35">
      <c r="A26295" t="s">
        <v>228</v>
      </c>
      <c r="B26295" t="s">
        <v>368</v>
      </c>
      <c r="C26295" s="26">
        <v>0.1053</v>
      </c>
      <c r="D26295" s="26">
        <v>0.22620000000000001</v>
      </c>
      <c r="E26295" s="26">
        <v>0.26479999999999998</v>
      </c>
      <c r="F26295" s="26">
        <v>0.11169999999999999</v>
      </c>
      <c r="G26295" s="26">
        <v>0.14960000000000001</v>
      </c>
      <c r="H26295" s="26">
        <v>0.12540000000000001</v>
      </c>
      <c r="I26295" s="26">
        <v>1.7100000000000001E-2</v>
      </c>
      <c r="J26295">
        <v>192</v>
      </c>
    </row>
    <row r="26296" spans="1:10" x14ac:dyDescent="0.35">
      <c r="A26296" t="s">
        <v>228</v>
      </c>
      <c r="B26296" t="s">
        <v>369</v>
      </c>
      <c r="C26296" s="26">
        <v>0.4078</v>
      </c>
      <c r="D26296" s="26">
        <v>0.30669999999999997</v>
      </c>
      <c r="E26296" s="26">
        <v>9.3799999999999994E-2</v>
      </c>
      <c r="F26296" s="26">
        <v>7.6100000000000001E-2</v>
      </c>
      <c r="G26296" s="26">
        <v>5.7099999999999998E-2</v>
      </c>
      <c r="H26296" s="26">
        <v>4.7600000000000003E-2</v>
      </c>
      <c r="I26296" s="26">
        <v>1.09E-2</v>
      </c>
      <c r="J26296">
        <v>841</v>
      </c>
    </row>
    <row r="26297" spans="1:10" x14ac:dyDescent="0.35">
      <c r="A26297" t="s">
        <v>229</v>
      </c>
      <c r="B26297" t="s">
        <v>368</v>
      </c>
      <c r="C26297" s="26">
        <v>0.1497</v>
      </c>
      <c r="D26297" s="26">
        <v>0.40560000000000002</v>
      </c>
      <c r="E26297" s="26">
        <v>0.18110000000000001</v>
      </c>
      <c r="F26297" s="26">
        <v>8.9200000000000002E-2</v>
      </c>
      <c r="G26297" s="26">
        <v>0.1033</v>
      </c>
      <c r="H26297" s="26">
        <v>6.4500000000000002E-2</v>
      </c>
      <c r="I26297" s="26">
        <v>6.7000000000000002E-3</v>
      </c>
      <c r="J26297">
        <v>96</v>
      </c>
    </row>
    <row r="26298" spans="1:10" x14ac:dyDescent="0.35">
      <c r="A26298" t="s">
        <v>229</v>
      </c>
      <c r="B26298" t="s">
        <v>369</v>
      </c>
      <c r="C26298" s="26">
        <v>0.54669999999999996</v>
      </c>
      <c r="D26298" s="26">
        <v>0.2651</v>
      </c>
      <c r="E26298" s="26">
        <v>3.8600000000000002E-2</v>
      </c>
      <c r="F26298" s="26">
        <v>6.2100000000000002E-2</v>
      </c>
      <c r="G26298" s="26">
        <v>3.9800000000000002E-2</v>
      </c>
      <c r="H26298" s="26">
        <v>3.8100000000000002E-2</v>
      </c>
      <c r="I26298" s="26">
        <v>9.5999999999999992E-3</v>
      </c>
      <c r="J26298">
        <v>799</v>
      </c>
    </row>
    <row r="26299" spans="1:10" x14ac:dyDescent="0.35">
      <c r="A26299" t="s">
        <v>230</v>
      </c>
      <c r="B26299" t="s">
        <v>368</v>
      </c>
      <c r="C26299" s="26">
        <v>0.10290000000000001</v>
      </c>
      <c r="D26299" s="26">
        <v>0.23749999999999999</v>
      </c>
      <c r="E26299" s="26">
        <v>0.29270000000000002</v>
      </c>
      <c r="F26299" s="26">
        <v>9.4200000000000006E-2</v>
      </c>
      <c r="G26299" s="26">
        <v>0.21210000000000001</v>
      </c>
      <c r="H26299" s="26">
        <v>5.3800000000000001E-2</v>
      </c>
      <c r="I26299" s="26">
        <v>6.7999999999999996E-3</v>
      </c>
      <c r="J26299">
        <v>57</v>
      </c>
    </row>
    <row r="26300" spans="1:10" x14ac:dyDescent="0.35">
      <c r="A26300" t="s">
        <v>230</v>
      </c>
      <c r="B26300" t="s">
        <v>369</v>
      </c>
      <c r="C26300" s="26">
        <v>0.4279</v>
      </c>
      <c r="D26300" s="26">
        <v>0.26900000000000002</v>
      </c>
      <c r="E26300" s="26">
        <v>0.11070000000000001</v>
      </c>
      <c r="F26300" s="26">
        <v>4.5699999999999998E-2</v>
      </c>
      <c r="G26300" s="26">
        <v>0.05</v>
      </c>
      <c r="H26300" s="26">
        <v>8.09E-2</v>
      </c>
      <c r="I26300" s="26">
        <v>1.5800000000000002E-2</v>
      </c>
      <c r="J26300">
        <v>503</v>
      </c>
    </row>
    <row r="26301" spans="1:10" x14ac:dyDescent="0.35">
      <c r="A26301" s="27" t="s">
        <v>231</v>
      </c>
      <c r="B26301" s="27" t="s">
        <v>368</v>
      </c>
      <c r="C26301" s="28">
        <v>0.14810000000000001</v>
      </c>
      <c r="D26301" s="28">
        <v>0.29630000000000001</v>
      </c>
      <c r="E26301" s="28">
        <v>0.25929999999999997</v>
      </c>
      <c r="F26301" s="28">
        <v>0.14810000000000001</v>
      </c>
      <c r="G26301" s="28">
        <v>0.1111</v>
      </c>
      <c r="H26301" s="28">
        <v>3.6999999999999998E-2</v>
      </c>
      <c r="I26301" s="29"/>
      <c r="J26301" s="29" t="s">
        <v>338</v>
      </c>
    </row>
    <row r="26302" spans="1:10" x14ac:dyDescent="0.35">
      <c r="A26302" t="s">
        <v>231</v>
      </c>
      <c r="B26302" t="s">
        <v>369</v>
      </c>
      <c r="C26302" s="26">
        <v>0.70799999999999996</v>
      </c>
      <c r="D26302" s="26">
        <v>0.1095</v>
      </c>
      <c r="E26302" s="26">
        <v>5.8400000000000001E-2</v>
      </c>
      <c r="F26302" s="26">
        <v>6.5699999999999995E-2</v>
      </c>
      <c r="G26302" s="26">
        <v>2.92E-2</v>
      </c>
      <c r="H26302" s="26">
        <v>1.46E-2</v>
      </c>
      <c r="I26302" s="26">
        <v>1.46E-2</v>
      </c>
      <c r="J26302">
        <v>137</v>
      </c>
    </row>
    <row r="26303" spans="1:10" x14ac:dyDescent="0.35">
      <c r="A26303" t="s">
        <v>232</v>
      </c>
      <c r="B26303" t="s">
        <v>232</v>
      </c>
      <c r="C26303" s="26">
        <v>0.50619999999999998</v>
      </c>
      <c r="D26303" s="26">
        <v>0.23180000000000001</v>
      </c>
      <c r="E26303" s="26">
        <v>8.8099999999999998E-2</v>
      </c>
      <c r="F26303" s="26">
        <v>7.0099999999999996E-2</v>
      </c>
      <c r="G26303" s="26">
        <v>5.3699999999999998E-2</v>
      </c>
      <c r="H26303" s="26">
        <v>4.0300000000000002E-2</v>
      </c>
      <c r="I26303" s="26">
        <v>9.7000000000000003E-3</v>
      </c>
      <c r="J26303">
        <v>2813</v>
      </c>
    </row>
    <row r="26305" spans="1:10" x14ac:dyDescent="0.35">
      <c r="A26305" s="1" t="s">
        <v>2386</v>
      </c>
    </row>
    <row r="26306" spans="1:10" x14ac:dyDescent="0.35">
      <c r="A26306" t="s">
        <v>219</v>
      </c>
      <c r="B26306" t="s">
        <v>305</v>
      </c>
      <c r="C26306" t="s">
        <v>2371</v>
      </c>
      <c r="D26306" t="s">
        <v>2372</v>
      </c>
      <c r="E26306" t="s">
        <v>2373</v>
      </c>
      <c r="F26306" t="s">
        <v>2374</v>
      </c>
      <c r="G26306" t="s">
        <v>2375</v>
      </c>
      <c r="H26306" t="s">
        <v>2376</v>
      </c>
      <c r="I26306" t="s">
        <v>281</v>
      </c>
      <c r="J26306" t="s">
        <v>226</v>
      </c>
    </row>
    <row r="26307" spans="1:10" x14ac:dyDescent="0.35">
      <c r="A26307" t="s">
        <v>227</v>
      </c>
      <c r="B26307" t="s">
        <v>371</v>
      </c>
      <c r="C26307" s="26">
        <v>0.62109999999999999</v>
      </c>
      <c r="D26307" s="26">
        <v>0.1988</v>
      </c>
      <c r="E26307" s="26">
        <v>5.5899999999999998E-2</v>
      </c>
      <c r="F26307" s="26">
        <v>5.5899999999999998E-2</v>
      </c>
      <c r="G26307" s="26">
        <v>4.3499999999999997E-2</v>
      </c>
      <c r="H26307" s="26">
        <v>2.4799999999999999E-2</v>
      </c>
      <c r="J26307">
        <v>161</v>
      </c>
    </row>
    <row r="26308" spans="1:10" x14ac:dyDescent="0.35">
      <c r="A26308" t="s">
        <v>228</v>
      </c>
      <c r="B26308" t="s">
        <v>371</v>
      </c>
      <c r="C26308" s="26">
        <v>0.44419999999999998</v>
      </c>
      <c r="D26308" s="26">
        <v>0.21990000000000001</v>
      </c>
      <c r="E26308" s="26">
        <v>0.1062</v>
      </c>
      <c r="F26308" s="26">
        <v>8.14E-2</v>
      </c>
      <c r="G26308" s="26">
        <v>6.5000000000000002E-2</v>
      </c>
      <c r="H26308" s="26">
        <v>6.7900000000000002E-2</v>
      </c>
      <c r="I26308" s="26">
        <v>1.55E-2</v>
      </c>
      <c r="J26308">
        <v>292</v>
      </c>
    </row>
    <row r="26309" spans="1:10" x14ac:dyDescent="0.35">
      <c r="A26309" t="s">
        <v>228</v>
      </c>
      <c r="B26309" t="s">
        <v>372</v>
      </c>
      <c r="C26309" s="26">
        <v>0.1489</v>
      </c>
      <c r="D26309" s="26">
        <v>0.23169999999999999</v>
      </c>
      <c r="E26309" s="26">
        <v>0.29970000000000002</v>
      </c>
      <c r="F26309" s="26">
        <v>7.8399999999999997E-2</v>
      </c>
      <c r="G26309" s="26">
        <v>0.14899999999999999</v>
      </c>
      <c r="H26309" s="26">
        <v>7.5300000000000006E-2</v>
      </c>
      <c r="I26309" s="26">
        <v>1.7000000000000001E-2</v>
      </c>
      <c r="J26309">
        <v>218</v>
      </c>
    </row>
    <row r="26310" spans="1:10" x14ac:dyDescent="0.35">
      <c r="A26310" t="s">
        <v>228</v>
      </c>
      <c r="B26310" t="s">
        <v>373</v>
      </c>
      <c r="C26310" s="26">
        <v>0.26569999999999999</v>
      </c>
      <c r="D26310" s="26">
        <v>0.39860000000000001</v>
      </c>
      <c r="E26310" s="26">
        <v>0.1174</v>
      </c>
      <c r="F26310" s="26">
        <v>8.6099999999999996E-2</v>
      </c>
      <c r="G26310" s="26">
        <v>7.2499999999999995E-2</v>
      </c>
      <c r="H26310" s="26">
        <v>5.3100000000000001E-2</v>
      </c>
      <c r="I26310" s="26">
        <v>6.4999999999999997E-3</v>
      </c>
      <c r="J26310">
        <v>523</v>
      </c>
    </row>
    <row r="26311" spans="1:10" x14ac:dyDescent="0.35">
      <c r="A26311" t="s">
        <v>229</v>
      </c>
      <c r="B26311" t="s">
        <v>371</v>
      </c>
      <c r="C26311" s="26">
        <v>0.50949999999999995</v>
      </c>
      <c r="D26311" s="26">
        <v>0.27879999999999999</v>
      </c>
      <c r="E26311" s="26">
        <v>5.7599999999999998E-2</v>
      </c>
      <c r="F26311" s="26">
        <v>6.2399999999999997E-2</v>
      </c>
      <c r="G26311" s="26">
        <v>4.41E-2</v>
      </c>
      <c r="H26311" s="26">
        <v>3.9600000000000003E-2</v>
      </c>
      <c r="I26311" s="26">
        <v>8.0999999999999996E-3</v>
      </c>
      <c r="J26311">
        <v>584</v>
      </c>
    </row>
    <row r="26312" spans="1:10" x14ac:dyDescent="0.35">
      <c r="A26312" t="s">
        <v>229</v>
      </c>
      <c r="B26312" t="s">
        <v>372</v>
      </c>
      <c r="C26312" s="26">
        <v>0.19589999999999999</v>
      </c>
      <c r="D26312" s="26">
        <v>0.35610000000000003</v>
      </c>
      <c r="E26312" s="26">
        <v>7.9100000000000004E-2</v>
      </c>
      <c r="F26312" s="26">
        <v>0.12720000000000001</v>
      </c>
      <c r="G26312" s="26">
        <v>0.12790000000000001</v>
      </c>
      <c r="H26312" s="26">
        <v>9.0300000000000005E-2</v>
      </c>
      <c r="I26312" s="26">
        <v>2.35E-2</v>
      </c>
      <c r="J26312">
        <v>221</v>
      </c>
    </row>
    <row r="26313" spans="1:10" x14ac:dyDescent="0.35">
      <c r="A26313" t="s">
        <v>229</v>
      </c>
      <c r="B26313" t="s">
        <v>373</v>
      </c>
      <c r="C26313" s="26">
        <v>0.28139999999999998</v>
      </c>
      <c r="D26313" s="26">
        <v>0.4002</v>
      </c>
      <c r="E26313" s="26">
        <v>9.8599999999999993E-2</v>
      </c>
      <c r="F26313" s="26">
        <v>8.0299999999999996E-2</v>
      </c>
      <c r="G26313" s="26">
        <v>8.0299999999999996E-2</v>
      </c>
      <c r="H26313" s="26">
        <v>3.6999999999999998E-2</v>
      </c>
      <c r="I26313" s="26">
        <v>2.2200000000000001E-2</v>
      </c>
      <c r="J26313">
        <v>90</v>
      </c>
    </row>
    <row r="26314" spans="1:10" x14ac:dyDescent="0.35">
      <c r="A26314" t="s">
        <v>230</v>
      </c>
      <c r="B26314" t="s">
        <v>371</v>
      </c>
      <c r="C26314" s="26">
        <v>0.42749999999999999</v>
      </c>
      <c r="D26314" s="26">
        <v>0.24279999999999999</v>
      </c>
      <c r="E26314" s="26">
        <v>0.1103</v>
      </c>
      <c r="F26314" s="26">
        <v>4.9700000000000001E-2</v>
      </c>
      <c r="G26314" s="26">
        <v>6.83E-2</v>
      </c>
      <c r="H26314" s="26">
        <v>8.5900000000000004E-2</v>
      </c>
      <c r="I26314" s="26">
        <v>1.54E-2</v>
      </c>
      <c r="J26314">
        <v>262</v>
      </c>
    </row>
    <row r="26315" spans="1:10" x14ac:dyDescent="0.35">
      <c r="A26315" t="s">
        <v>230</v>
      </c>
      <c r="B26315" t="s">
        <v>372</v>
      </c>
      <c r="C26315" s="26">
        <v>0.1195</v>
      </c>
      <c r="D26315" s="26">
        <v>0.2024</v>
      </c>
      <c r="E26315" s="26">
        <v>0.4</v>
      </c>
      <c r="F26315" s="26">
        <v>5.9200000000000003E-2</v>
      </c>
      <c r="G26315" s="26">
        <v>0.16919999999999999</v>
      </c>
      <c r="H26315" s="26">
        <v>4.4999999999999998E-2</v>
      </c>
      <c r="I26315" s="26">
        <v>4.7000000000000002E-3</v>
      </c>
      <c r="J26315">
        <v>146</v>
      </c>
    </row>
    <row r="26316" spans="1:10" x14ac:dyDescent="0.35">
      <c r="A26316" t="s">
        <v>230</v>
      </c>
      <c r="B26316" t="s">
        <v>373</v>
      </c>
      <c r="C26316" s="26">
        <v>0.22969999999999999</v>
      </c>
      <c r="D26316" s="26">
        <v>0.43359999999999999</v>
      </c>
      <c r="E26316" s="26">
        <v>0.1729</v>
      </c>
      <c r="F26316" s="26">
        <v>6.4799999999999996E-2</v>
      </c>
      <c r="G26316" s="26">
        <v>4.82E-2</v>
      </c>
      <c r="H26316" s="26">
        <v>3.6900000000000002E-2</v>
      </c>
      <c r="I26316" s="26">
        <v>1.3899999999999999E-2</v>
      </c>
      <c r="J26316">
        <v>152</v>
      </c>
    </row>
    <row r="26317" spans="1:10" x14ac:dyDescent="0.35">
      <c r="A26317" t="s">
        <v>231</v>
      </c>
      <c r="B26317" t="s">
        <v>371</v>
      </c>
      <c r="C26317" s="26">
        <v>0.6159</v>
      </c>
      <c r="D26317" s="26">
        <v>0.14019999999999999</v>
      </c>
      <c r="E26317" s="26">
        <v>9.1499999999999998E-2</v>
      </c>
      <c r="F26317" s="26">
        <v>7.9299999999999995E-2</v>
      </c>
      <c r="G26317" s="26">
        <v>4.2700000000000002E-2</v>
      </c>
      <c r="H26317" s="26">
        <v>1.83E-2</v>
      </c>
      <c r="I26317" s="26">
        <v>1.2200000000000001E-2</v>
      </c>
      <c r="J26317">
        <v>164</v>
      </c>
    </row>
    <row r="26318" spans="1:10" x14ac:dyDescent="0.35">
      <c r="A26318" t="s">
        <v>232</v>
      </c>
      <c r="B26318" t="s">
        <v>232</v>
      </c>
      <c r="C26318" s="26">
        <v>0.50619999999999998</v>
      </c>
      <c r="D26318" s="26">
        <v>0.23180000000000001</v>
      </c>
      <c r="E26318" s="26">
        <v>8.8099999999999998E-2</v>
      </c>
      <c r="F26318" s="26">
        <v>7.0099999999999996E-2</v>
      </c>
      <c r="G26318" s="26">
        <v>5.3699999999999998E-2</v>
      </c>
      <c r="H26318" s="26">
        <v>4.0300000000000002E-2</v>
      </c>
      <c r="I26318" s="26">
        <v>9.7000000000000003E-3</v>
      </c>
      <c r="J26318">
        <v>2813</v>
      </c>
    </row>
    <row r="26320" spans="1:10" x14ac:dyDescent="0.35">
      <c r="A26320" s="1" t="s">
        <v>2387</v>
      </c>
    </row>
    <row r="26321" spans="1:10" x14ac:dyDescent="0.35">
      <c r="A26321" t="s">
        <v>219</v>
      </c>
      <c r="B26321" t="s">
        <v>305</v>
      </c>
      <c r="C26321" t="s">
        <v>2371</v>
      </c>
      <c r="D26321" t="s">
        <v>2372</v>
      </c>
      <c r="E26321" t="s">
        <v>2373</v>
      </c>
      <c r="F26321" t="s">
        <v>2374</v>
      </c>
      <c r="G26321" t="s">
        <v>2375</v>
      </c>
      <c r="H26321" t="s">
        <v>2376</v>
      </c>
      <c r="I26321" t="s">
        <v>281</v>
      </c>
      <c r="J26321" t="s">
        <v>226</v>
      </c>
    </row>
    <row r="26322" spans="1:10" x14ac:dyDescent="0.35">
      <c r="A26322" t="s">
        <v>227</v>
      </c>
      <c r="B26322" t="s">
        <v>255</v>
      </c>
      <c r="C26322" s="26">
        <v>0.63249999999999995</v>
      </c>
      <c r="D26322" s="26">
        <v>0.188</v>
      </c>
      <c r="E26322" s="26">
        <v>5.9799999999999999E-2</v>
      </c>
      <c r="F26322" s="26">
        <v>6.8400000000000002E-2</v>
      </c>
      <c r="G26322" s="26">
        <v>2.5600000000000001E-2</v>
      </c>
      <c r="H26322" s="26">
        <v>2.5600000000000001E-2</v>
      </c>
      <c r="J26322">
        <v>117</v>
      </c>
    </row>
    <row r="26323" spans="1:10" x14ac:dyDescent="0.35">
      <c r="A26323" s="27" t="s">
        <v>227</v>
      </c>
      <c r="B26323" s="27" t="s">
        <v>257</v>
      </c>
      <c r="C26323" s="28">
        <v>0.55559999999999998</v>
      </c>
      <c r="D26323" s="28">
        <v>0.22220000000000001</v>
      </c>
      <c r="E26323" s="29"/>
      <c r="F26323" s="29"/>
      <c r="G26323" s="28">
        <v>0.22220000000000001</v>
      </c>
      <c r="H26323" s="29"/>
      <c r="I26323" s="29"/>
      <c r="J26323" s="29" t="s">
        <v>334</v>
      </c>
    </row>
    <row r="26324" spans="1:10" x14ac:dyDescent="0.35">
      <c r="A26324" t="s">
        <v>227</v>
      </c>
      <c r="B26324" t="s">
        <v>256</v>
      </c>
      <c r="C26324" s="26">
        <v>0.6</v>
      </c>
      <c r="D26324" s="26">
        <v>0.2286</v>
      </c>
      <c r="E26324" s="26">
        <v>5.7099999999999998E-2</v>
      </c>
      <c r="F26324" s="26">
        <v>2.86E-2</v>
      </c>
      <c r="G26324" s="26">
        <v>5.7099999999999998E-2</v>
      </c>
      <c r="H26324" s="26">
        <v>2.86E-2</v>
      </c>
      <c r="J26324">
        <v>35</v>
      </c>
    </row>
    <row r="26325" spans="1:10" x14ac:dyDescent="0.35">
      <c r="A26325" t="s">
        <v>228</v>
      </c>
      <c r="B26325" t="s">
        <v>257</v>
      </c>
      <c r="C26325" s="26">
        <v>0.26679999999999998</v>
      </c>
      <c r="D26325" s="26">
        <v>0.30530000000000002</v>
      </c>
      <c r="E26325" s="26">
        <v>0.16089999999999999</v>
      </c>
      <c r="F26325" s="26">
        <v>0.2049</v>
      </c>
      <c r="G26325" s="26">
        <v>3.1E-2</v>
      </c>
      <c r="H26325" s="26">
        <v>2.06E-2</v>
      </c>
      <c r="I26325" s="26">
        <v>1.0500000000000001E-2</v>
      </c>
      <c r="J26325">
        <v>49</v>
      </c>
    </row>
    <row r="26326" spans="1:10" x14ac:dyDescent="0.35">
      <c r="A26326" s="27" t="s">
        <v>228</v>
      </c>
      <c r="B26326" s="27" t="s">
        <v>258</v>
      </c>
      <c r="C26326" s="28">
        <v>0.2092</v>
      </c>
      <c r="D26326" s="29"/>
      <c r="E26326" s="28">
        <v>0.69269999999999998</v>
      </c>
      <c r="F26326" s="29"/>
      <c r="G26326" s="29"/>
      <c r="H26326" s="29"/>
      <c r="I26326" s="28">
        <v>9.8100000000000007E-2</v>
      </c>
      <c r="J26326" s="29" t="s">
        <v>337</v>
      </c>
    </row>
    <row r="26327" spans="1:10" x14ac:dyDescent="0.35">
      <c r="A26327" t="s">
        <v>228</v>
      </c>
      <c r="B26327" t="s">
        <v>256</v>
      </c>
      <c r="C26327" s="26">
        <v>0.37209999999999999</v>
      </c>
      <c r="D26327" s="26">
        <v>0.27479999999999999</v>
      </c>
      <c r="E26327" s="26">
        <v>0.14680000000000001</v>
      </c>
      <c r="F26327" s="26">
        <v>7.9600000000000004E-2</v>
      </c>
      <c r="G26327" s="26">
        <v>4.0599999999999997E-2</v>
      </c>
      <c r="H26327" s="26">
        <v>7.5300000000000006E-2</v>
      </c>
      <c r="I26327" s="26">
        <v>1.0800000000000001E-2</v>
      </c>
      <c r="J26327">
        <v>221</v>
      </c>
    </row>
    <row r="26328" spans="1:10" x14ac:dyDescent="0.35">
      <c r="A26328" t="s">
        <v>228</v>
      </c>
      <c r="B26328" t="s">
        <v>255</v>
      </c>
      <c r="C26328" s="26">
        <v>0.34820000000000001</v>
      </c>
      <c r="D26328" s="26">
        <v>0.2979</v>
      </c>
      <c r="E26328" s="26">
        <v>0.1133</v>
      </c>
      <c r="F26328" s="26">
        <v>7.5800000000000006E-2</v>
      </c>
      <c r="G26328" s="26">
        <v>9.0899999999999995E-2</v>
      </c>
      <c r="H26328" s="26">
        <v>6.2E-2</v>
      </c>
      <c r="I26328" s="26">
        <v>1.1900000000000001E-2</v>
      </c>
      <c r="J26328">
        <v>759</v>
      </c>
    </row>
    <row r="26329" spans="1:10" x14ac:dyDescent="0.35">
      <c r="A26329" t="s">
        <v>229</v>
      </c>
      <c r="B26329" t="s">
        <v>256</v>
      </c>
      <c r="C26329" s="26">
        <v>0.44130000000000003</v>
      </c>
      <c r="D26329" s="26">
        <v>0.39369999999999999</v>
      </c>
      <c r="E26329" s="26">
        <v>4.87E-2</v>
      </c>
      <c r="F26329" s="26">
        <v>4.4200000000000003E-2</v>
      </c>
      <c r="G26329" s="26">
        <v>2.2200000000000001E-2</v>
      </c>
      <c r="H26329" s="26">
        <v>4.4699999999999997E-2</v>
      </c>
      <c r="I26329" s="26">
        <v>5.1999999999999998E-3</v>
      </c>
      <c r="J26329">
        <v>207</v>
      </c>
    </row>
    <row r="26330" spans="1:10" x14ac:dyDescent="0.35">
      <c r="A26330" t="s">
        <v>229</v>
      </c>
      <c r="B26330" t="s">
        <v>255</v>
      </c>
      <c r="C26330" s="26">
        <v>0.5151</v>
      </c>
      <c r="D26330" s="26">
        <v>0.24110000000000001</v>
      </c>
      <c r="E26330" s="26">
        <v>6.3899999999999998E-2</v>
      </c>
      <c r="F26330" s="26">
        <v>6.3299999999999995E-2</v>
      </c>
      <c r="G26330" s="26">
        <v>6.2100000000000002E-2</v>
      </c>
      <c r="H26330" s="26">
        <v>4.2900000000000001E-2</v>
      </c>
      <c r="I26330" s="26">
        <v>1.1599999999999999E-2</v>
      </c>
      <c r="J26330">
        <v>636</v>
      </c>
    </row>
    <row r="26331" spans="1:10" x14ac:dyDescent="0.35">
      <c r="A26331" t="s">
        <v>229</v>
      </c>
      <c r="B26331" t="s">
        <v>257</v>
      </c>
      <c r="C26331" s="26">
        <v>0.38719999999999999</v>
      </c>
      <c r="D26331" s="26">
        <v>0.29780000000000001</v>
      </c>
      <c r="E26331" s="26">
        <v>5.8500000000000003E-2</v>
      </c>
      <c r="F26331" s="26">
        <v>0.21190000000000001</v>
      </c>
      <c r="G26331" s="26">
        <v>2.6200000000000001E-2</v>
      </c>
      <c r="H26331" s="26">
        <v>1.84E-2</v>
      </c>
      <c r="J26331">
        <v>50</v>
      </c>
    </row>
    <row r="26332" spans="1:10" x14ac:dyDescent="0.35">
      <c r="A26332" s="27" t="s">
        <v>229</v>
      </c>
      <c r="B26332" s="27" t="s">
        <v>258</v>
      </c>
      <c r="C26332" s="29"/>
      <c r="D26332" s="28">
        <v>0.22409999999999999</v>
      </c>
      <c r="E26332" s="28">
        <v>0.77590000000000003</v>
      </c>
      <c r="F26332" s="29"/>
      <c r="G26332" s="29"/>
      <c r="H26332" s="29"/>
      <c r="I26332" s="29"/>
      <c r="J26332" s="29" t="s">
        <v>314</v>
      </c>
    </row>
    <row r="26333" spans="1:10" x14ac:dyDescent="0.35">
      <c r="A26333" t="s">
        <v>230</v>
      </c>
      <c r="B26333" t="s">
        <v>256</v>
      </c>
      <c r="C26333" s="26">
        <v>0.33950000000000002</v>
      </c>
      <c r="D26333" s="26">
        <v>0.29749999999999999</v>
      </c>
      <c r="E26333" s="26">
        <v>0.14940000000000001</v>
      </c>
      <c r="F26333" s="26">
        <v>5.28E-2</v>
      </c>
      <c r="G26333" s="26">
        <v>9.1700000000000004E-2</v>
      </c>
      <c r="H26333" s="26">
        <v>5.8700000000000002E-2</v>
      </c>
      <c r="I26333" s="26">
        <v>1.04E-2</v>
      </c>
      <c r="J26333">
        <v>130</v>
      </c>
    </row>
    <row r="26334" spans="1:10" x14ac:dyDescent="0.35">
      <c r="A26334" t="s">
        <v>230</v>
      </c>
      <c r="B26334" t="s">
        <v>255</v>
      </c>
      <c r="C26334" s="26">
        <v>0.4128</v>
      </c>
      <c r="D26334" s="26">
        <v>0.2485</v>
      </c>
      <c r="E26334" s="26">
        <v>0.1245</v>
      </c>
      <c r="F26334" s="26">
        <v>5.6599999999999998E-2</v>
      </c>
      <c r="G26334" s="26">
        <v>7.1599999999999997E-2</v>
      </c>
      <c r="H26334" s="26">
        <v>6.7900000000000002E-2</v>
      </c>
      <c r="I26334" s="26">
        <v>1.7999999999999999E-2</v>
      </c>
      <c r="J26334">
        <v>389</v>
      </c>
    </row>
    <row r="26335" spans="1:10" x14ac:dyDescent="0.35">
      <c r="A26335" t="s">
        <v>230</v>
      </c>
      <c r="B26335" t="s">
        <v>257</v>
      </c>
      <c r="C26335" s="26">
        <v>0.2445</v>
      </c>
      <c r="D26335" s="26">
        <v>0.309</v>
      </c>
      <c r="E26335" s="26">
        <v>0.18890000000000001</v>
      </c>
      <c r="F26335" s="26">
        <v>1.2500000000000001E-2</v>
      </c>
      <c r="G26335" s="26">
        <v>3.8999999999999998E-3</v>
      </c>
      <c r="H26335" s="26">
        <v>0.2412</v>
      </c>
      <c r="J26335">
        <v>38</v>
      </c>
    </row>
    <row r="26336" spans="1:10" x14ac:dyDescent="0.35">
      <c r="A26336" s="27" t="s">
        <v>230</v>
      </c>
      <c r="B26336" s="27" t="s">
        <v>258</v>
      </c>
      <c r="C26336" s="28">
        <v>0.82269999999999999</v>
      </c>
      <c r="D26336" s="28">
        <v>0.1356</v>
      </c>
      <c r="E26336" s="28">
        <v>4.1700000000000001E-2</v>
      </c>
      <c r="F26336" s="29"/>
      <c r="G26336" s="29"/>
      <c r="H26336" s="29"/>
      <c r="I26336" s="29"/>
      <c r="J26336" s="29" t="s">
        <v>315</v>
      </c>
    </row>
    <row r="26337" spans="1:10" x14ac:dyDescent="0.35">
      <c r="A26337" s="27" t="s">
        <v>231</v>
      </c>
      <c r="B26337" s="27" t="s">
        <v>257</v>
      </c>
      <c r="C26337" s="28">
        <v>0.57140000000000002</v>
      </c>
      <c r="D26337" s="29"/>
      <c r="E26337" s="28">
        <v>0.1429</v>
      </c>
      <c r="F26337" s="28">
        <v>0.1429</v>
      </c>
      <c r="G26337" s="28">
        <v>0.1429</v>
      </c>
      <c r="H26337" s="29"/>
      <c r="I26337" s="29"/>
      <c r="J26337" s="29" t="s">
        <v>339</v>
      </c>
    </row>
    <row r="26338" spans="1:10" x14ac:dyDescent="0.35">
      <c r="A26338" t="s">
        <v>231</v>
      </c>
      <c r="B26338" t="s">
        <v>255</v>
      </c>
      <c r="C26338" s="26">
        <v>0.61240000000000006</v>
      </c>
      <c r="D26338" s="26">
        <v>0.14729999999999999</v>
      </c>
      <c r="E26338" s="26">
        <v>7.7499999999999999E-2</v>
      </c>
      <c r="F26338" s="26">
        <v>8.5300000000000001E-2</v>
      </c>
      <c r="G26338" s="26">
        <v>3.8800000000000001E-2</v>
      </c>
      <c r="H26338" s="26">
        <v>2.3300000000000001E-2</v>
      </c>
      <c r="I26338" s="26">
        <v>1.55E-2</v>
      </c>
      <c r="J26338">
        <v>129</v>
      </c>
    </row>
    <row r="26339" spans="1:10" x14ac:dyDescent="0.35">
      <c r="A26339" s="27" t="s">
        <v>231</v>
      </c>
      <c r="B26339" s="27" t="s">
        <v>256</v>
      </c>
      <c r="C26339" s="28">
        <v>0.64290000000000003</v>
      </c>
      <c r="D26339" s="28">
        <v>0.1429</v>
      </c>
      <c r="E26339" s="28">
        <v>0.1429</v>
      </c>
      <c r="F26339" s="28">
        <v>3.5700000000000003E-2</v>
      </c>
      <c r="G26339" s="28">
        <v>3.5700000000000003E-2</v>
      </c>
      <c r="H26339" s="29"/>
      <c r="I26339" s="29"/>
      <c r="J26339" s="29" t="s">
        <v>336</v>
      </c>
    </row>
    <row r="26340" spans="1:10" x14ac:dyDescent="0.35">
      <c r="A26340" t="s">
        <v>232</v>
      </c>
      <c r="B26340" t="s">
        <v>232</v>
      </c>
      <c r="C26340" s="26">
        <v>0.50619999999999998</v>
      </c>
      <c r="D26340" s="26">
        <v>0.23180000000000001</v>
      </c>
      <c r="E26340" s="26">
        <v>8.8099999999999998E-2</v>
      </c>
      <c r="F26340" s="26">
        <v>7.0099999999999996E-2</v>
      </c>
      <c r="G26340" s="26">
        <v>5.3699999999999998E-2</v>
      </c>
      <c r="H26340" s="26">
        <v>4.0300000000000002E-2</v>
      </c>
      <c r="I26340" s="26">
        <v>9.7000000000000003E-3</v>
      </c>
      <c r="J26340">
        <v>2813</v>
      </c>
    </row>
    <row r="26342" spans="1:10" x14ac:dyDescent="0.35">
      <c r="A26342" s="1" t="s">
        <v>2388</v>
      </c>
    </row>
    <row r="26343" spans="1:10" x14ac:dyDescent="0.35">
      <c r="A26343" t="s">
        <v>219</v>
      </c>
      <c r="B26343" t="s">
        <v>305</v>
      </c>
      <c r="C26343" t="s">
        <v>2371</v>
      </c>
      <c r="D26343" t="s">
        <v>2372</v>
      </c>
      <c r="E26343" t="s">
        <v>2373</v>
      </c>
      <c r="F26343" t="s">
        <v>2374</v>
      </c>
      <c r="G26343" t="s">
        <v>2375</v>
      </c>
      <c r="H26343" t="s">
        <v>2376</v>
      </c>
      <c r="I26343" t="s">
        <v>281</v>
      </c>
      <c r="J26343" t="s">
        <v>226</v>
      </c>
    </row>
    <row r="26344" spans="1:10" x14ac:dyDescent="0.35">
      <c r="A26344" t="s">
        <v>227</v>
      </c>
      <c r="B26344" t="s">
        <v>1341</v>
      </c>
      <c r="C26344" s="26">
        <v>0.63270000000000004</v>
      </c>
      <c r="D26344" s="26">
        <v>0.22450000000000001</v>
      </c>
      <c r="E26344" s="26">
        <v>6.1199999999999997E-2</v>
      </c>
      <c r="F26344" s="26">
        <v>4.0800000000000003E-2</v>
      </c>
      <c r="G26344" s="26">
        <v>4.0800000000000003E-2</v>
      </c>
      <c r="J26344">
        <v>49</v>
      </c>
    </row>
    <row r="26345" spans="1:10" x14ac:dyDescent="0.35">
      <c r="A26345" s="27" t="s">
        <v>227</v>
      </c>
      <c r="B26345" s="27" t="s">
        <v>1342</v>
      </c>
      <c r="C26345" s="29"/>
      <c r="D26345" s="28">
        <v>1</v>
      </c>
      <c r="E26345" s="29"/>
      <c r="F26345" s="29"/>
      <c r="G26345" s="29"/>
      <c r="H26345" s="29"/>
      <c r="I26345" s="29"/>
      <c r="J26345" s="29" t="s">
        <v>331</v>
      </c>
    </row>
    <row r="26346" spans="1:10" x14ac:dyDescent="0.35">
      <c r="A26346" t="s">
        <v>227</v>
      </c>
      <c r="B26346" t="s">
        <v>1343</v>
      </c>
      <c r="C26346" s="26">
        <v>0.62160000000000004</v>
      </c>
      <c r="D26346" s="26">
        <v>0.1802</v>
      </c>
      <c r="E26346" s="26">
        <v>5.4100000000000002E-2</v>
      </c>
      <c r="F26346" s="26">
        <v>6.3100000000000003E-2</v>
      </c>
      <c r="G26346" s="26">
        <v>4.4999999999999998E-2</v>
      </c>
      <c r="H26346" s="26">
        <v>3.5999999999999997E-2</v>
      </c>
      <c r="J26346">
        <v>111</v>
      </c>
    </row>
    <row r="26347" spans="1:10" x14ac:dyDescent="0.35">
      <c r="A26347" t="s">
        <v>228</v>
      </c>
      <c r="B26347" t="s">
        <v>1341</v>
      </c>
      <c r="C26347" s="26">
        <v>0.35949999999999999</v>
      </c>
      <c r="D26347" s="26">
        <v>0.33139999999999997</v>
      </c>
      <c r="E26347" s="26">
        <v>9.9400000000000002E-2</v>
      </c>
      <c r="F26347" s="26">
        <v>7.7100000000000002E-2</v>
      </c>
      <c r="G26347" s="26">
        <v>4.6300000000000001E-2</v>
      </c>
      <c r="H26347" s="26">
        <v>5.3999999999999999E-2</v>
      </c>
      <c r="I26347" s="26">
        <v>3.2300000000000002E-2</v>
      </c>
      <c r="J26347">
        <v>305</v>
      </c>
    </row>
    <row r="26348" spans="1:10" x14ac:dyDescent="0.35">
      <c r="A26348" s="27" t="s">
        <v>228</v>
      </c>
      <c r="B26348" s="27" t="s">
        <v>1342</v>
      </c>
      <c r="C26348" s="29"/>
      <c r="D26348" s="29"/>
      <c r="E26348" s="29"/>
      <c r="F26348" s="29"/>
      <c r="G26348" s="28">
        <v>1</v>
      </c>
      <c r="H26348" s="29"/>
      <c r="I26348" s="29"/>
      <c r="J26348" s="29" t="s">
        <v>331</v>
      </c>
    </row>
    <row r="26349" spans="1:10" x14ac:dyDescent="0.35">
      <c r="A26349" t="s">
        <v>228</v>
      </c>
      <c r="B26349" t="s">
        <v>1343</v>
      </c>
      <c r="C26349" s="26">
        <v>0.34620000000000001</v>
      </c>
      <c r="D26349" s="26">
        <v>0.2757</v>
      </c>
      <c r="E26349" s="26">
        <v>0.13919999999999999</v>
      </c>
      <c r="F26349" s="26">
        <v>8.5900000000000004E-2</v>
      </c>
      <c r="G26349" s="26">
        <v>8.2699999999999996E-2</v>
      </c>
      <c r="H26349" s="26">
        <v>6.6600000000000006E-2</v>
      </c>
      <c r="I26349" s="26">
        <v>3.7000000000000002E-3</v>
      </c>
      <c r="J26349">
        <v>727</v>
      </c>
    </row>
    <row r="26350" spans="1:10" x14ac:dyDescent="0.35">
      <c r="A26350" t="s">
        <v>229</v>
      </c>
      <c r="B26350" t="s">
        <v>1341</v>
      </c>
      <c r="C26350" s="26">
        <v>0.55920000000000003</v>
      </c>
      <c r="D26350" s="26">
        <v>0.25840000000000002</v>
      </c>
      <c r="E26350" s="26">
        <v>4.7E-2</v>
      </c>
      <c r="F26350" s="26">
        <v>4.36E-2</v>
      </c>
      <c r="G26350" s="26">
        <v>2.9000000000000001E-2</v>
      </c>
      <c r="H26350" s="26">
        <v>5.8799999999999998E-2</v>
      </c>
      <c r="I26350" s="26">
        <v>4.1000000000000003E-3</v>
      </c>
      <c r="J26350">
        <v>273</v>
      </c>
    </row>
    <row r="26351" spans="1:10" x14ac:dyDescent="0.35">
      <c r="A26351" t="s">
        <v>229</v>
      </c>
      <c r="B26351" t="s">
        <v>1343</v>
      </c>
      <c r="C26351" s="26">
        <v>0.45290000000000002</v>
      </c>
      <c r="D26351" s="26">
        <v>0.2994</v>
      </c>
      <c r="E26351" s="26">
        <v>6.6000000000000003E-2</v>
      </c>
      <c r="F26351" s="26">
        <v>7.7100000000000002E-2</v>
      </c>
      <c r="G26351" s="26">
        <v>5.91E-2</v>
      </c>
      <c r="H26351" s="26">
        <v>3.39E-2</v>
      </c>
      <c r="I26351" s="26">
        <v>1.17E-2</v>
      </c>
      <c r="J26351">
        <v>622</v>
      </c>
    </row>
    <row r="26352" spans="1:10" x14ac:dyDescent="0.35">
      <c r="A26352" t="s">
        <v>230</v>
      </c>
      <c r="B26352" t="s">
        <v>1341</v>
      </c>
      <c r="C26352" s="26">
        <v>0.4506</v>
      </c>
      <c r="D26352" s="26">
        <v>0.21190000000000001</v>
      </c>
      <c r="E26352" s="26">
        <v>0.112</v>
      </c>
      <c r="F26352" s="26">
        <v>3.09E-2</v>
      </c>
      <c r="G26352" s="26">
        <v>7.6999999999999999E-2</v>
      </c>
      <c r="H26352" s="26">
        <v>9.7100000000000006E-2</v>
      </c>
      <c r="I26352" s="26">
        <v>2.0400000000000001E-2</v>
      </c>
      <c r="J26352">
        <v>156</v>
      </c>
    </row>
    <row r="26353" spans="1:10" x14ac:dyDescent="0.35">
      <c r="A26353" t="s">
        <v>230</v>
      </c>
      <c r="B26353" t="s">
        <v>1343</v>
      </c>
      <c r="C26353" s="26">
        <v>0.35520000000000002</v>
      </c>
      <c r="D26353" s="26">
        <v>0.2883</v>
      </c>
      <c r="E26353" s="26">
        <v>0.1452</v>
      </c>
      <c r="F26353" s="26">
        <v>6.1600000000000002E-2</v>
      </c>
      <c r="G26353" s="26">
        <v>6.9199999999999998E-2</v>
      </c>
      <c r="H26353" s="26">
        <v>6.8500000000000005E-2</v>
      </c>
      <c r="I26353" s="26">
        <v>1.2E-2</v>
      </c>
      <c r="J26353">
        <v>404</v>
      </c>
    </row>
    <row r="26354" spans="1:10" x14ac:dyDescent="0.35">
      <c r="A26354" t="s">
        <v>231</v>
      </c>
      <c r="B26354" t="s">
        <v>1341</v>
      </c>
      <c r="C26354" s="26">
        <v>0.67689999999999995</v>
      </c>
      <c r="D26354" s="26">
        <v>0.13850000000000001</v>
      </c>
      <c r="E26354" s="26">
        <v>3.0800000000000001E-2</v>
      </c>
      <c r="F26354" s="26">
        <v>7.6899999999999996E-2</v>
      </c>
      <c r="G26354" s="26">
        <v>6.1499999999999999E-2</v>
      </c>
      <c r="H26354" s="26">
        <v>1.54E-2</v>
      </c>
      <c r="J26354">
        <v>65</v>
      </c>
    </row>
    <row r="26355" spans="1:10" x14ac:dyDescent="0.35">
      <c r="A26355" t="s">
        <v>231</v>
      </c>
      <c r="B26355" t="s">
        <v>1343</v>
      </c>
      <c r="C26355" s="26">
        <v>0.57579999999999998</v>
      </c>
      <c r="D26355" s="26">
        <v>0.1414</v>
      </c>
      <c r="E26355" s="26">
        <v>0.1313</v>
      </c>
      <c r="F26355" s="26">
        <v>8.0799999999999997E-2</v>
      </c>
      <c r="G26355" s="26">
        <v>3.0300000000000001E-2</v>
      </c>
      <c r="H26355" s="26">
        <v>2.0199999999999999E-2</v>
      </c>
      <c r="I26355" s="26">
        <v>2.0199999999999999E-2</v>
      </c>
      <c r="J26355">
        <v>99</v>
      </c>
    </row>
    <row r="26356" spans="1:10" x14ac:dyDescent="0.35">
      <c r="A26356" t="s">
        <v>232</v>
      </c>
      <c r="B26356" t="s">
        <v>232</v>
      </c>
      <c r="C26356" s="26">
        <v>0.50619999999999998</v>
      </c>
      <c r="D26356" s="26">
        <v>0.23180000000000001</v>
      </c>
      <c r="E26356" s="26">
        <v>8.8099999999999998E-2</v>
      </c>
      <c r="F26356" s="26">
        <v>7.0099999999999996E-2</v>
      </c>
      <c r="G26356" s="26">
        <v>5.3699999999999998E-2</v>
      </c>
      <c r="H26356" s="26">
        <v>4.0300000000000002E-2</v>
      </c>
      <c r="I26356" s="26">
        <v>9.7000000000000003E-3</v>
      </c>
      <c r="J26356">
        <v>2813</v>
      </c>
    </row>
    <row r="26358" spans="1:10" x14ac:dyDescent="0.35">
      <c r="A26358" s="1" t="s">
        <v>2389</v>
      </c>
    </row>
    <row r="26359" spans="1:10" x14ac:dyDescent="0.35">
      <c r="A26359" t="s">
        <v>219</v>
      </c>
      <c r="B26359" t="s">
        <v>305</v>
      </c>
      <c r="C26359" t="s">
        <v>2371</v>
      </c>
      <c r="D26359" t="s">
        <v>2372</v>
      </c>
      <c r="E26359" t="s">
        <v>2373</v>
      </c>
      <c r="F26359" t="s">
        <v>2374</v>
      </c>
      <c r="G26359" t="s">
        <v>2375</v>
      </c>
      <c r="H26359" t="s">
        <v>2376</v>
      </c>
      <c r="I26359" t="s">
        <v>281</v>
      </c>
      <c r="J26359" t="s">
        <v>226</v>
      </c>
    </row>
    <row r="26360" spans="1:10" x14ac:dyDescent="0.35">
      <c r="A26360" s="27" t="s">
        <v>227</v>
      </c>
      <c r="B26360" s="27" t="s">
        <v>1345</v>
      </c>
      <c r="C26360" s="28">
        <v>1</v>
      </c>
      <c r="D26360" s="29"/>
      <c r="E26360" s="29"/>
      <c r="F26360" s="29"/>
      <c r="G26360" s="29"/>
      <c r="H26360" s="29"/>
      <c r="I26360" s="29"/>
      <c r="J26360" s="29" t="s">
        <v>314</v>
      </c>
    </row>
    <row r="26361" spans="1:10" x14ac:dyDescent="0.35">
      <c r="A26361" t="s">
        <v>227</v>
      </c>
      <c r="B26361" t="s">
        <v>1346</v>
      </c>
      <c r="C26361" s="26">
        <v>0.43590000000000001</v>
      </c>
      <c r="D26361" s="26">
        <v>0.33329999999999999</v>
      </c>
      <c r="E26361" s="26">
        <v>5.1299999999999998E-2</v>
      </c>
      <c r="F26361" s="26">
        <v>7.6899999999999996E-2</v>
      </c>
      <c r="G26361" s="26">
        <v>5.1299999999999998E-2</v>
      </c>
      <c r="H26361" s="26">
        <v>5.1299999999999998E-2</v>
      </c>
      <c r="J26361">
        <v>39</v>
      </c>
    </row>
    <row r="26362" spans="1:10" x14ac:dyDescent="0.35">
      <c r="A26362" t="s">
        <v>227</v>
      </c>
      <c r="B26362" t="s">
        <v>1347</v>
      </c>
      <c r="C26362" s="26">
        <v>0.66669999999999996</v>
      </c>
      <c r="D26362" s="26">
        <v>0.25</v>
      </c>
      <c r="E26362" s="26">
        <v>2.7799999999999998E-2</v>
      </c>
      <c r="G26362" s="26">
        <v>5.5599999999999997E-2</v>
      </c>
      <c r="J26362">
        <v>36</v>
      </c>
    </row>
    <row r="26363" spans="1:10" x14ac:dyDescent="0.35">
      <c r="A26363" t="s">
        <v>227</v>
      </c>
      <c r="B26363" t="s">
        <v>1348</v>
      </c>
      <c r="C26363" s="26">
        <v>0.67859999999999998</v>
      </c>
      <c r="D26363" s="26">
        <v>0.11899999999999999</v>
      </c>
      <c r="E26363" s="26">
        <v>7.1400000000000005E-2</v>
      </c>
      <c r="F26363" s="26">
        <v>7.1400000000000005E-2</v>
      </c>
      <c r="G26363" s="26">
        <v>3.5700000000000003E-2</v>
      </c>
      <c r="H26363" s="26">
        <v>2.3800000000000002E-2</v>
      </c>
      <c r="J26363">
        <v>84</v>
      </c>
    </row>
    <row r="26364" spans="1:10" x14ac:dyDescent="0.35">
      <c r="A26364" t="s">
        <v>228</v>
      </c>
      <c r="B26364" t="s">
        <v>1348</v>
      </c>
      <c r="C26364" s="26">
        <v>0.40360000000000001</v>
      </c>
      <c r="D26364" s="26">
        <v>0.2883</v>
      </c>
      <c r="E26364" s="26">
        <v>0.1024</v>
      </c>
      <c r="F26364" s="26">
        <v>7.6999999999999999E-2</v>
      </c>
      <c r="G26364" s="26">
        <v>5.9400000000000001E-2</v>
      </c>
      <c r="H26364" s="26">
        <v>6.0600000000000001E-2</v>
      </c>
      <c r="I26364" s="26">
        <v>8.8999999999999999E-3</v>
      </c>
      <c r="J26364">
        <v>532</v>
      </c>
    </row>
    <row r="26365" spans="1:10" x14ac:dyDescent="0.35">
      <c r="A26365" t="s">
        <v>228</v>
      </c>
      <c r="B26365" t="s">
        <v>1347</v>
      </c>
      <c r="C26365" s="26">
        <v>0.28349999999999997</v>
      </c>
      <c r="D26365" s="26">
        <v>0.37169999999999997</v>
      </c>
      <c r="E26365" s="26">
        <v>0.12839999999999999</v>
      </c>
      <c r="F26365" s="26">
        <v>6.3200000000000006E-2</v>
      </c>
      <c r="G26365" s="26">
        <v>4.5699999999999998E-2</v>
      </c>
      <c r="H26365" s="26">
        <v>7.3700000000000002E-2</v>
      </c>
      <c r="I26365" s="26">
        <v>3.3799999999999997E-2</v>
      </c>
      <c r="J26365">
        <v>204</v>
      </c>
    </row>
    <row r="26366" spans="1:10" x14ac:dyDescent="0.35">
      <c r="A26366" t="s">
        <v>228</v>
      </c>
      <c r="B26366" t="s">
        <v>1346</v>
      </c>
      <c r="C26366" s="26">
        <v>0.28270000000000001</v>
      </c>
      <c r="D26366" s="26">
        <v>0.23780000000000001</v>
      </c>
      <c r="E26366" s="26">
        <v>0.17430000000000001</v>
      </c>
      <c r="F26366" s="26">
        <v>0.10390000000000001</v>
      </c>
      <c r="G26366" s="26">
        <v>0.13489999999999999</v>
      </c>
      <c r="H26366" s="26">
        <v>6.4199999999999993E-2</v>
      </c>
      <c r="I26366" s="26">
        <v>2.3E-3</v>
      </c>
      <c r="J26366">
        <v>286</v>
      </c>
    </row>
    <row r="26367" spans="1:10" x14ac:dyDescent="0.35">
      <c r="A26367" s="27" t="s">
        <v>228</v>
      </c>
      <c r="B26367" s="27" t="s">
        <v>1345</v>
      </c>
      <c r="C26367" s="28">
        <v>0.38369999999999999</v>
      </c>
      <c r="D26367" s="28">
        <v>0.28960000000000002</v>
      </c>
      <c r="E26367" s="28">
        <v>0.155</v>
      </c>
      <c r="F26367" s="28">
        <v>0.155</v>
      </c>
      <c r="G26367" s="29"/>
      <c r="H26367" s="29"/>
      <c r="I26367" s="28">
        <v>1.6799999999999999E-2</v>
      </c>
      <c r="J26367" s="29" t="s">
        <v>352</v>
      </c>
    </row>
    <row r="26368" spans="1:10" x14ac:dyDescent="0.35">
      <c r="A26368" s="27" t="s">
        <v>229</v>
      </c>
      <c r="B26368" s="27" t="s">
        <v>1345</v>
      </c>
      <c r="C26368" s="28">
        <v>0.4123</v>
      </c>
      <c r="D26368" s="28">
        <v>0.1099</v>
      </c>
      <c r="E26368" s="28">
        <v>0.2341</v>
      </c>
      <c r="F26368" s="28">
        <v>0.13020000000000001</v>
      </c>
      <c r="G26368" s="28">
        <v>1.17E-2</v>
      </c>
      <c r="H26368" s="28">
        <v>8.8999999999999996E-2</v>
      </c>
      <c r="I26368" s="28">
        <v>1.2800000000000001E-2</v>
      </c>
      <c r="J26368" s="29" t="s">
        <v>357</v>
      </c>
    </row>
    <row r="26369" spans="1:11" x14ac:dyDescent="0.35">
      <c r="A26369" t="s">
        <v>229</v>
      </c>
      <c r="B26369" t="s">
        <v>1346</v>
      </c>
      <c r="C26369" s="26">
        <v>0.46189999999999998</v>
      </c>
      <c r="D26369" s="26">
        <v>0.19900000000000001</v>
      </c>
      <c r="E26369" s="26">
        <v>0.10979999999999999</v>
      </c>
      <c r="F26369" s="26">
        <v>4.6600000000000003E-2</v>
      </c>
      <c r="G26369" s="26">
        <v>8.4500000000000006E-2</v>
      </c>
      <c r="H26369" s="26">
        <v>6.8500000000000005E-2</v>
      </c>
      <c r="I26369" s="26">
        <v>2.9700000000000001E-2</v>
      </c>
      <c r="J26369">
        <v>184</v>
      </c>
    </row>
    <row r="26370" spans="1:11" x14ac:dyDescent="0.35">
      <c r="A26370" t="s">
        <v>229</v>
      </c>
      <c r="B26370" t="s">
        <v>1347</v>
      </c>
      <c r="C26370" s="26">
        <v>0.53349999999999997</v>
      </c>
      <c r="D26370" s="26">
        <v>0.27379999999999999</v>
      </c>
      <c r="E26370" s="26">
        <v>4.6899999999999997E-2</v>
      </c>
      <c r="F26370" s="26">
        <v>8.2400000000000001E-2</v>
      </c>
      <c r="G26370" s="26">
        <v>2.5999999999999999E-2</v>
      </c>
      <c r="H26370" s="26">
        <v>3.2500000000000001E-2</v>
      </c>
      <c r="I26370" s="26">
        <v>4.7999999999999996E-3</v>
      </c>
      <c r="J26370">
        <v>302</v>
      </c>
    </row>
    <row r="26371" spans="1:11" x14ac:dyDescent="0.35">
      <c r="A26371" t="s">
        <v>229</v>
      </c>
      <c r="B26371" t="s">
        <v>1348</v>
      </c>
      <c r="C26371" s="26">
        <v>0.4748</v>
      </c>
      <c r="D26371" s="26">
        <v>0.34279999999999999</v>
      </c>
      <c r="E26371" s="26">
        <v>3.5200000000000002E-2</v>
      </c>
      <c r="F26371" s="26">
        <v>6.0499999999999998E-2</v>
      </c>
      <c r="G26371" s="26">
        <v>5.0500000000000003E-2</v>
      </c>
      <c r="H26371" s="26">
        <v>3.3500000000000002E-2</v>
      </c>
      <c r="I26371" s="26">
        <v>2.7000000000000001E-3</v>
      </c>
      <c r="J26371">
        <v>383</v>
      </c>
    </row>
    <row r="26372" spans="1:11" x14ac:dyDescent="0.35">
      <c r="A26372" t="s">
        <v>230</v>
      </c>
      <c r="B26372" t="s">
        <v>1346</v>
      </c>
      <c r="C26372" s="26">
        <v>0.34350000000000003</v>
      </c>
      <c r="D26372" s="26">
        <v>0.2878</v>
      </c>
      <c r="E26372" s="26">
        <v>0.20100000000000001</v>
      </c>
      <c r="F26372" s="26">
        <v>5.4899999999999997E-2</v>
      </c>
      <c r="G26372" s="26">
        <v>7.3300000000000004E-2</v>
      </c>
      <c r="H26372" s="26">
        <v>3.9600000000000003E-2</v>
      </c>
      <c r="J26372">
        <v>140</v>
      </c>
    </row>
    <row r="26373" spans="1:11" x14ac:dyDescent="0.35">
      <c r="A26373" t="s">
        <v>230</v>
      </c>
      <c r="B26373" t="s">
        <v>1348</v>
      </c>
      <c r="C26373" s="26">
        <v>0.40600000000000003</v>
      </c>
      <c r="D26373" s="26">
        <v>0.24399999999999999</v>
      </c>
      <c r="E26373" s="26">
        <v>0.1089</v>
      </c>
      <c r="F26373" s="26">
        <v>5.6599999999999998E-2</v>
      </c>
      <c r="G26373" s="26">
        <v>8.8200000000000001E-2</v>
      </c>
      <c r="H26373" s="26">
        <v>9.2700000000000005E-2</v>
      </c>
      <c r="I26373" s="26">
        <v>3.7000000000000002E-3</v>
      </c>
      <c r="J26373">
        <v>259</v>
      </c>
    </row>
    <row r="26374" spans="1:11" x14ac:dyDescent="0.35">
      <c r="A26374" t="s">
        <v>230</v>
      </c>
      <c r="B26374" t="s">
        <v>1347</v>
      </c>
      <c r="C26374" s="26">
        <v>0.38119999999999998</v>
      </c>
      <c r="D26374" s="26">
        <v>0.29559999999999997</v>
      </c>
      <c r="E26374" s="26">
        <v>0.1191</v>
      </c>
      <c r="F26374" s="26">
        <v>4.5999999999999999E-2</v>
      </c>
      <c r="G26374" s="26">
        <v>4.6600000000000003E-2</v>
      </c>
      <c r="H26374" s="26">
        <v>6.6400000000000001E-2</v>
      </c>
      <c r="I26374" s="26">
        <v>4.5100000000000001E-2</v>
      </c>
      <c r="J26374">
        <v>153</v>
      </c>
    </row>
    <row r="26375" spans="1:11" x14ac:dyDescent="0.35">
      <c r="A26375" s="27" t="s">
        <v>230</v>
      </c>
      <c r="B26375" s="27" t="s">
        <v>1345</v>
      </c>
      <c r="C26375" s="28">
        <v>0.35870000000000002</v>
      </c>
      <c r="D26375" s="28">
        <v>8.9700000000000002E-2</v>
      </c>
      <c r="E26375" s="28">
        <v>0.26900000000000002</v>
      </c>
      <c r="F26375" s="29"/>
      <c r="G26375" s="29"/>
      <c r="H26375" s="28">
        <v>0.26900000000000002</v>
      </c>
      <c r="I26375" s="28">
        <v>1.3599999999999999E-2</v>
      </c>
      <c r="J26375" s="29" t="s">
        <v>333</v>
      </c>
    </row>
    <row r="26376" spans="1:11" x14ac:dyDescent="0.35">
      <c r="A26376" s="27" t="s">
        <v>231</v>
      </c>
      <c r="B26376" s="27" t="s">
        <v>1345</v>
      </c>
      <c r="C26376" s="28">
        <v>0.75</v>
      </c>
      <c r="D26376" s="28">
        <v>0.25</v>
      </c>
      <c r="E26376" s="29"/>
      <c r="F26376" s="29"/>
      <c r="G26376" s="29"/>
      <c r="H26376" s="29"/>
      <c r="I26376" s="29"/>
      <c r="J26376" s="29" t="s">
        <v>337</v>
      </c>
    </row>
    <row r="26377" spans="1:11" x14ac:dyDescent="0.35">
      <c r="A26377" t="s">
        <v>231</v>
      </c>
      <c r="B26377" t="s">
        <v>1346</v>
      </c>
      <c r="C26377" s="26">
        <v>0.67500000000000004</v>
      </c>
      <c r="D26377" s="26">
        <v>7.4999999999999997E-2</v>
      </c>
      <c r="E26377" s="26">
        <v>0.1</v>
      </c>
      <c r="F26377" s="26">
        <v>7.4999999999999997E-2</v>
      </c>
      <c r="G26377" s="26">
        <v>0.05</v>
      </c>
      <c r="I26377" s="26">
        <v>2.5000000000000001E-2</v>
      </c>
      <c r="J26377">
        <v>40</v>
      </c>
    </row>
    <row r="26378" spans="1:11" x14ac:dyDescent="0.35">
      <c r="A26378" t="s">
        <v>231</v>
      </c>
      <c r="B26378" t="s">
        <v>1347</v>
      </c>
      <c r="C26378" s="26">
        <v>0.58819999999999995</v>
      </c>
      <c r="D26378" s="26">
        <v>8.8200000000000001E-2</v>
      </c>
      <c r="E26378" s="26">
        <v>0.17649999999999999</v>
      </c>
      <c r="F26378" s="26">
        <v>8.8200000000000001E-2</v>
      </c>
      <c r="G26378" s="26">
        <v>2.9399999999999999E-2</v>
      </c>
      <c r="I26378" s="26">
        <v>2.9399999999999999E-2</v>
      </c>
      <c r="J26378">
        <v>34</v>
      </c>
    </row>
    <row r="26379" spans="1:11" x14ac:dyDescent="0.35">
      <c r="A26379" t="s">
        <v>231</v>
      </c>
      <c r="B26379" t="s">
        <v>1348</v>
      </c>
      <c r="C26379" s="26">
        <v>0.59299999999999997</v>
      </c>
      <c r="D26379" s="26">
        <v>0.186</v>
      </c>
      <c r="E26379" s="26">
        <v>5.8099999999999999E-2</v>
      </c>
      <c r="F26379" s="26">
        <v>8.14E-2</v>
      </c>
      <c r="G26379" s="26">
        <v>4.65E-2</v>
      </c>
      <c r="H26379" s="26">
        <v>3.49E-2</v>
      </c>
      <c r="J26379">
        <v>86</v>
      </c>
    </row>
    <row r="26380" spans="1:11" x14ac:dyDescent="0.35">
      <c r="A26380" t="s">
        <v>232</v>
      </c>
      <c r="B26380" t="s">
        <v>232</v>
      </c>
      <c r="C26380" s="26">
        <v>0.50619999999999998</v>
      </c>
      <c r="D26380" s="26">
        <v>0.23180000000000001</v>
      </c>
      <c r="E26380" s="26">
        <v>8.8099999999999998E-2</v>
      </c>
      <c r="F26380" s="26">
        <v>7.0099999999999996E-2</v>
      </c>
      <c r="G26380" s="26">
        <v>5.3699999999999998E-2</v>
      </c>
      <c r="H26380" s="26">
        <v>4.0300000000000002E-2</v>
      </c>
      <c r="I26380" s="26">
        <v>9.7000000000000003E-3</v>
      </c>
      <c r="J26380">
        <v>2813</v>
      </c>
    </row>
    <row r="26382" spans="1:11" x14ac:dyDescent="0.35">
      <c r="A26382" s="1" t="s">
        <v>2390</v>
      </c>
    </row>
    <row r="26383" spans="1:11" x14ac:dyDescent="0.35">
      <c r="A26383" t="s">
        <v>219</v>
      </c>
      <c r="B26383" t="s">
        <v>305</v>
      </c>
      <c r="C26383" t="s">
        <v>345</v>
      </c>
      <c r="D26383" t="s">
        <v>2371</v>
      </c>
      <c r="E26383" t="s">
        <v>2372</v>
      </c>
      <c r="F26383" t="s">
        <v>2373</v>
      </c>
      <c r="G26383" t="s">
        <v>2374</v>
      </c>
      <c r="H26383" t="s">
        <v>2375</v>
      </c>
      <c r="I26383" t="s">
        <v>2376</v>
      </c>
      <c r="J26383" t="s">
        <v>281</v>
      </c>
      <c r="K26383" t="s">
        <v>226</v>
      </c>
    </row>
    <row r="26384" spans="1:11" x14ac:dyDescent="0.35">
      <c r="A26384" s="27" t="s">
        <v>227</v>
      </c>
      <c r="B26384" s="27" t="s">
        <v>1341</v>
      </c>
      <c r="C26384" s="27" t="s">
        <v>1345</v>
      </c>
      <c r="D26384" s="28">
        <v>1</v>
      </c>
      <c r="E26384" s="29"/>
      <c r="F26384" s="29"/>
      <c r="G26384" s="29"/>
      <c r="H26384" s="29"/>
      <c r="I26384" s="29"/>
      <c r="J26384" s="29"/>
      <c r="K26384" s="29" t="s">
        <v>331</v>
      </c>
    </row>
    <row r="26385" spans="1:11" x14ac:dyDescent="0.35">
      <c r="A26385" s="27" t="s">
        <v>227</v>
      </c>
      <c r="B26385" s="27" t="s">
        <v>1343</v>
      </c>
      <c r="C26385" s="27" t="s">
        <v>1346</v>
      </c>
      <c r="D26385" s="28">
        <v>0.42309999999999998</v>
      </c>
      <c r="E26385" s="28">
        <v>0.34620000000000001</v>
      </c>
      <c r="F26385" s="28">
        <v>3.85E-2</v>
      </c>
      <c r="G26385" s="28">
        <v>0.1154</v>
      </c>
      <c r="H26385" s="29"/>
      <c r="I26385" s="28">
        <v>7.6899999999999996E-2</v>
      </c>
      <c r="J26385" s="29"/>
      <c r="K26385" s="29" t="s">
        <v>357</v>
      </c>
    </row>
    <row r="26386" spans="1:11" x14ac:dyDescent="0.35">
      <c r="A26386" t="s">
        <v>227</v>
      </c>
      <c r="B26386" t="s">
        <v>1343</v>
      </c>
      <c r="C26386" t="s">
        <v>1348</v>
      </c>
      <c r="D26386" s="26">
        <v>0.67210000000000003</v>
      </c>
      <c r="E26386" s="26">
        <v>9.8400000000000001E-2</v>
      </c>
      <c r="F26386" s="26">
        <v>8.2000000000000003E-2</v>
      </c>
      <c r="G26386" s="26">
        <v>6.5600000000000006E-2</v>
      </c>
      <c r="H26386" s="26">
        <v>4.9200000000000001E-2</v>
      </c>
      <c r="I26386" s="26">
        <v>3.2800000000000003E-2</v>
      </c>
      <c r="K26386">
        <v>61</v>
      </c>
    </row>
    <row r="26387" spans="1:11" x14ac:dyDescent="0.35">
      <c r="A26387" s="27" t="s">
        <v>227</v>
      </c>
      <c r="B26387" s="27" t="s">
        <v>1341</v>
      </c>
      <c r="C26387" s="27" t="s">
        <v>1347</v>
      </c>
      <c r="D26387" s="28">
        <v>0.61539999999999995</v>
      </c>
      <c r="E26387" s="28">
        <v>0.30769999999999997</v>
      </c>
      <c r="F26387" s="28">
        <v>7.6899999999999996E-2</v>
      </c>
      <c r="G26387" s="29"/>
      <c r="H26387" s="29"/>
      <c r="I26387" s="29"/>
      <c r="J26387" s="29"/>
      <c r="K26387" s="29" t="s">
        <v>341</v>
      </c>
    </row>
    <row r="26388" spans="1:11" x14ac:dyDescent="0.35">
      <c r="A26388" s="27" t="s">
        <v>227</v>
      </c>
      <c r="B26388" s="27" t="s">
        <v>1343</v>
      </c>
      <c r="C26388" s="27" t="s">
        <v>1347</v>
      </c>
      <c r="D26388" s="28">
        <v>0.69569999999999999</v>
      </c>
      <c r="E26388" s="28">
        <v>0.21740000000000001</v>
      </c>
      <c r="F26388" s="29"/>
      <c r="G26388" s="29"/>
      <c r="H26388" s="28">
        <v>8.6999999999999994E-2</v>
      </c>
      <c r="I26388" s="29"/>
      <c r="J26388" s="29"/>
      <c r="K26388" s="29" t="s">
        <v>328</v>
      </c>
    </row>
    <row r="26389" spans="1:11" x14ac:dyDescent="0.35">
      <c r="A26389" s="27" t="s">
        <v>227</v>
      </c>
      <c r="B26389" s="27" t="s">
        <v>1343</v>
      </c>
      <c r="C26389" s="27" t="s">
        <v>1345</v>
      </c>
      <c r="D26389" s="28">
        <v>1</v>
      </c>
      <c r="E26389" s="29"/>
      <c r="F26389" s="29"/>
      <c r="G26389" s="29"/>
      <c r="H26389" s="29"/>
      <c r="I26389" s="29"/>
      <c r="J26389" s="29"/>
      <c r="K26389" s="29" t="s">
        <v>331</v>
      </c>
    </row>
    <row r="26390" spans="1:11" x14ac:dyDescent="0.35">
      <c r="A26390" s="27" t="s">
        <v>227</v>
      </c>
      <c r="B26390" s="27" t="s">
        <v>1342</v>
      </c>
      <c r="C26390" s="27" t="s">
        <v>1348</v>
      </c>
      <c r="D26390" s="29"/>
      <c r="E26390" s="28">
        <v>1</v>
      </c>
      <c r="F26390" s="29"/>
      <c r="G26390" s="29"/>
      <c r="H26390" s="29"/>
      <c r="I26390" s="29"/>
      <c r="J26390" s="29"/>
      <c r="K26390" s="29" t="s">
        <v>331</v>
      </c>
    </row>
    <row r="26391" spans="1:11" x14ac:dyDescent="0.35">
      <c r="A26391" s="27" t="s">
        <v>227</v>
      </c>
      <c r="B26391" s="27" t="s">
        <v>1341</v>
      </c>
      <c r="C26391" s="27" t="s">
        <v>1348</v>
      </c>
      <c r="D26391" s="28">
        <v>0.72729999999999995</v>
      </c>
      <c r="E26391" s="28">
        <v>0.13639999999999999</v>
      </c>
      <c r="F26391" s="28">
        <v>4.5499999999999999E-2</v>
      </c>
      <c r="G26391" s="28">
        <v>9.0899999999999995E-2</v>
      </c>
      <c r="H26391" s="29"/>
      <c r="I26391" s="29"/>
      <c r="J26391" s="29"/>
      <c r="K26391" s="29" t="s">
        <v>347</v>
      </c>
    </row>
    <row r="26392" spans="1:11" x14ac:dyDescent="0.35">
      <c r="A26392" s="27" t="s">
        <v>227</v>
      </c>
      <c r="B26392" s="27" t="s">
        <v>1341</v>
      </c>
      <c r="C26392" s="27" t="s">
        <v>1346</v>
      </c>
      <c r="D26392" s="28">
        <v>0.46150000000000002</v>
      </c>
      <c r="E26392" s="28">
        <v>0.30769999999999997</v>
      </c>
      <c r="F26392" s="28">
        <v>7.6899999999999996E-2</v>
      </c>
      <c r="G26392" s="29"/>
      <c r="H26392" s="28">
        <v>0.15379999999999999</v>
      </c>
      <c r="I26392" s="29"/>
      <c r="J26392" s="29"/>
      <c r="K26392" s="29" t="s">
        <v>341</v>
      </c>
    </row>
    <row r="26393" spans="1:11" x14ac:dyDescent="0.35">
      <c r="A26393" t="s">
        <v>228</v>
      </c>
      <c r="B26393" t="s">
        <v>1343</v>
      </c>
      <c r="C26393" t="s">
        <v>1348</v>
      </c>
      <c r="D26393" s="26">
        <v>0.44130000000000003</v>
      </c>
      <c r="E26393" s="26">
        <v>0.25879999999999997</v>
      </c>
      <c r="F26393" s="26">
        <v>9.4600000000000004E-2</v>
      </c>
      <c r="G26393" s="26">
        <v>8.1100000000000005E-2</v>
      </c>
      <c r="H26393" s="26">
        <v>6.2E-2</v>
      </c>
      <c r="I26393" s="26">
        <v>6.0299999999999999E-2</v>
      </c>
      <c r="J26393" s="26">
        <v>1.9E-3</v>
      </c>
      <c r="K26393">
        <v>352</v>
      </c>
    </row>
    <row r="26394" spans="1:11" x14ac:dyDescent="0.35">
      <c r="A26394" t="s">
        <v>228</v>
      </c>
      <c r="B26394" t="s">
        <v>1343</v>
      </c>
      <c r="C26394" t="s">
        <v>1347</v>
      </c>
      <c r="D26394" s="26">
        <v>0.2762</v>
      </c>
      <c r="E26394" s="26">
        <v>0.34439999999999998</v>
      </c>
      <c r="F26394" s="26">
        <v>0.16669999999999999</v>
      </c>
      <c r="G26394" s="26">
        <v>6.4399999999999999E-2</v>
      </c>
      <c r="H26394" s="26">
        <v>4.7399999999999998E-2</v>
      </c>
      <c r="I26394" s="26">
        <v>9.01E-2</v>
      </c>
      <c r="J26394" s="26">
        <v>1.09E-2</v>
      </c>
      <c r="K26394">
        <v>130</v>
      </c>
    </row>
    <row r="26395" spans="1:11" x14ac:dyDescent="0.35">
      <c r="A26395" s="27" t="s">
        <v>228</v>
      </c>
      <c r="B26395" s="27" t="s">
        <v>1343</v>
      </c>
      <c r="C26395" s="27" t="s">
        <v>1345</v>
      </c>
      <c r="D26395" s="28">
        <v>0.44280000000000003</v>
      </c>
      <c r="E26395" s="28">
        <v>0.33579999999999999</v>
      </c>
      <c r="F26395" s="28">
        <v>0.22140000000000001</v>
      </c>
      <c r="G26395" s="29"/>
      <c r="H26395" s="29"/>
      <c r="I26395" s="29"/>
      <c r="J26395" s="29"/>
      <c r="K26395" s="29" t="s">
        <v>335</v>
      </c>
    </row>
    <row r="26396" spans="1:11" x14ac:dyDescent="0.35">
      <c r="A26396" t="s">
        <v>228</v>
      </c>
      <c r="B26396" t="s">
        <v>1341</v>
      </c>
      <c r="C26396" t="s">
        <v>1346</v>
      </c>
      <c r="D26396" s="26">
        <v>0.5806</v>
      </c>
      <c r="E26396" s="26">
        <v>0.107</v>
      </c>
      <c r="F26396" s="26">
        <v>0.10340000000000001</v>
      </c>
      <c r="G26396" s="26">
        <v>5.8799999999999998E-2</v>
      </c>
      <c r="H26396" s="26">
        <v>0.1062</v>
      </c>
      <c r="I26396" s="26">
        <v>4.3999999999999997E-2</v>
      </c>
      <c r="K26396">
        <v>47</v>
      </c>
    </row>
    <row r="26397" spans="1:11" x14ac:dyDescent="0.35">
      <c r="A26397" t="s">
        <v>228</v>
      </c>
      <c r="B26397" t="s">
        <v>1341</v>
      </c>
      <c r="C26397" t="s">
        <v>1348</v>
      </c>
      <c r="D26397" s="26">
        <v>0.34250000000000003</v>
      </c>
      <c r="E26397" s="26">
        <v>0.34670000000000001</v>
      </c>
      <c r="F26397" s="26">
        <v>0.1182</v>
      </c>
      <c r="G26397" s="26">
        <v>7.0900000000000005E-2</v>
      </c>
      <c r="H26397" s="26">
        <v>3.7999999999999999E-2</v>
      </c>
      <c r="I26397" s="26">
        <v>6.2100000000000002E-2</v>
      </c>
      <c r="J26397" s="26">
        <v>2.1600000000000001E-2</v>
      </c>
      <c r="K26397">
        <v>179</v>
      </c>
    </row>
    <row r="26398" spans="1:11" x14ac:dyDescent="0.35">
      <c r="A26398" s="27" t="s">
        <v>228</v>
      </c>
      <c r="B26398" s="27" t="s">
        <v>1342</v>
      </c>
      <c r="C26398" s="27" t="s">
        <v>1348</v>
      </c>
      <c r="D26398" s="29"/>
      <c r="E26398" s="29"/>
      <c r="F26398" s="29"/>
      <c r="G26398" s="29"/>
      <c r="H26398" s="28">
        <v>1</v>
      </c>
      <c r="I26398" s="29"/>
      <c r="J26398" s="29"/>
      <c r="K26398" s="29" t="s">
        <v>331</v>
      </c>
    </row>
    <row r="26399" spans="1:11" x14ac:dyDescent="0.35">
      <c r="A26399" t="s">
        <v>228</v>
      </c>
      <c r="B26399" t="s">
        <v>1343</v>
      </c>
      <c r="C26399" t="s">
        <v>1346</v>
      </c>
      <c r="D26399" s="26">
        <v>0.2359</v>
      </c>
      <c r="E26399" s="26">
        <v>0.25829999999999997</v>
      </c>
      <c r="F26399" s="26">
        <v>0.18540000000000001</v>
      </c>
      <c r="G26399" s="26">
        <v>0.1109</v>
      </c>
      <c r="H26399" s="26">
        <v>0.1394</v>
      </c>
      <c r="I26399" s="26">
        <v>6.7400000000000002E-2</v>
      </c>
      <c r="J26399" s="26">
        <v>2.7000000000000001E-3</v>
      </c>
      <c r="K26399">
        <v>239</v>
      </c>
    </row>
    <row r="26400" spans="1:11" x14ac:dyDescent="0.35">
      <c r="A26400" t="s">
        <v>228</v>
      </c>
      <c r="B26400" t="s">
        <v>1341</v>
      </c>
      <c r="C26400" t="s">
        <v>1347</v>
      </c>
      <c r="D26400" s="26">
        <v>0.29809999999999998</v>
      </c>
      <c r="E26400" s="26">
        <v>0.42630000000000001</v>
      </c>
      <c r="F26400" s="26">
        <v>5.1700000000000003E-2</v>
      </c>
      <c r="G26400" s="26">
        <v>6.0999999999999999E-2</v>
      </c>
      <c r="H26400" s="26">
        <v>4.2299999999999997E-2</v>
      </c>
      <c r="I26400" s="26">
        <v>4.1099999999999998E-2</v>
      </c>
      <c r="J26400" s="26">
        <v>7.9500000000000001E-2</v>
      </c>
      <c r="K26400">
        <v>74</v>
      </c>
    </row>
    <row r="26401" spans="1:11" x14ac:dyDescent="0.35">
      <c r="A26401" s="27" t="s">
        <v>228</v>
      </c>
      <c r="B26401" s="27" t="s">
        <v>1341</v>
      </c>
      <c r="C26401" s="27" t="s">
        <v>1345</v>
      </c>
      <c r="D26401" s="28">
        <v>0.246</v>
      </c>
      <c r="E26401" s="28">
        <v>0.1817</v>
      </c>
      <c r="F26401" s="29"/>
      <c r="G26401" s="28">
        <v>0.51649999999999996</v>
      </c>
      <c r="H26401" s="29"/>
      <c r="I26401" s="29"/>
      <c r="J26401" s="28">
        <v>5.5899999999999998E-2</v>
      </c>
      <c r="K26401" s="29" t="s">
        <v>332</v>
      </c>
    </row>
    <row r="26402" spans="1:11" x14ac:dyDescent="0.35">
      <c r="A26402" t="s">
        <v>229</v>
      </c>
      <c r="B26402" t="s">
        <v>1343</v>
      </c>
      <c r="C26402" t="s">
        <v>1348</v>
      </c>
      <c r="D26402" s="26">
        <v>0.41760000000000003</v>
      </c>
      <c r="E26402" s="26">
        <v>0.37359999999999999</v>
      </c>
      <c r="F26402" s="26">
        <v>3.0300000000000001E-2</v>
      </c>
      <c r="G26402" s="26">
        <v>7.17E-2</v>
      </c>
      <c r="H26402" s="26">
        <v>7.2400000000000006E-2</v>
      </c>
      <c r="I26402" s="26">
        <v>3.04E-2</v>
      </c>
      <c r="J26402" s="26">
        <v>4.0000000000000001E-3</v>
      </c>
      <c r="K26402">
        <v>276</v>
      </c>
    </row>
    <row r="26403" spans="1:11" x14ac:dyDescent="0.35">
      <c r="A26403" t="s">
        <v>229</v>
      </c>
      <c r="B26403" t="s">
        <v>1341</v>
      </c>
      <c r="C26403" t="s">
        <v>1346</v>
      </c>
      <c r="D26403" s="26">
        <v>0.5373</v>
      </c>
      <c r="E26403" s="26">
        <v>0.18440000000000001</v>
      </c>
      <c r="F26403" s="26">
        <v>7.5200000000000003E-2</v>
      </c>
      <c r="G26403" s="26">
        <v>7.4000000000000003E-3</v>
      </c>
      <c r="H26403" s="26">
        <v>0.11459999999999999</v>
      </c>
      <c r="I26403" s="26">
        <v>8.1199999999999994E-2</v>
      </c>
      <c r="K26403">
        <v>53</v>
      </c>
    </row>
    <row r="26404" spans="1:11" x14ac:dyDescent="0.35">
      <c r="A26404" t="s">
        <v>229</v>
      </c>
      <c r="B26404" t="s">
        <v>1341</v>
      </c>
      <c r="C26404" t="s">
        <v>1347</v>
      </c>
      <c r="D26404" s="26">
        <v>0.54210000000000003</v>
      </c>
      <c r="E26404" s="26">
        <v>0.26490000000000002</v>
      </c>
      <c r="F26404" s="26">
        <v>3.95E-2</v>
      </c>
      <c r="G26404" s="26">
        <v>4.1200000000000001E-2</v>
      </c>
      <c r="H26404" s="26">
        <v>1.8499999999999999E-2</v>
      </c>
      <c r="I26404" s="26">
        <v>8.1600000000000006E-2</v>
      </c>
      <c r="J26404" s="26">
        <v>1.2200000000000001E-2</v>
      </c>
      <c r="K26404">
        <v>104</v>
      </c>
    </row>
    <row r="26405" spans="1:11" x14ac:dyDescent="0.35">
      <c r="A26405" t="s">
        <v>229</v>
      </c>
      <c r="B26405" t="s">
        <v>1343</v>
      </c>
      <c r="C26405" t="s">
        <v>1346</v>
      </c>
      <c r="D26405" s="26">
        <v>0.43309999999999998</v>
      </c>
      <c r="E26405" s="26">
        <v>0.2046</v>
      </c>
      <c r="F26405" s="26">
        <v>0.123</v>
      </c>
      <c r="G26405" s="26">
        <v>6.1600000000000002E-2</v>
      </c>
      <c r="H26405" s="26">
        <v>7.2999999999999995E-2</v>
      </c>
      <c r="I26405" s="26">
        <v>6.3700000000000007E-2</v>
      </c>
      <c r="J26405" s="26">
        <v>4.1000000000000002E-2</v>
      </c>
      <c r="K26405">
        <v>131</v>
      </c>
    </row>
    <row r="26406" spans="1:11" x14ac:dyDescent="0.35">
      <c r="A26406" t="s">
        <v>229</v>
      </c>
      <c r="B26406" t="s">
        <v>1343</v>
      </c>
      <c r="C26406" t="s">
        <v>1347</v>
      </c>
      <c r="D26406" s="26">
        <v>0.52890000000000004</v>
      </c>
      <c r="E26406" s="26">
        <v>0.27850000000000003</v>
      </c>
      <c r="F26406" s="26">
        <v>5.0900000000000001E-2</v>
      </c>
      <c r="G26406" s="26">
        <v>0.1046</v>
      </c>
      <c r="H26406" s="26">
        <v>0.03</v>
      </c>
      <c r="I26406" s="26">
        <v>6.1000000000000004E-3</v>
      </c>
      <c r="J26406" s="26">
        <v>8.9999999999999998E-4</v>
      </c>
      <c r="K26406">
        <v>198</v>
      </c>
    </row>
    <row r="26407" spans="1:11" x14ac:dyDescent="0.35">
      <c r="A26407" s="27" t="s">
        <v>229</v>
      </c>
      <c r="B26407" s="27" t="s">
        <v>1341</v>
      </c>
      <c r="C26407" s="27" t="s">
        <v>1345</v>
      </c>
      <c r="D26407" s="28">
        <v>0.40479999999999999</v>
      </c>
      <c r="E26407" s="28">
        <v>0.26400000000000001</v>
      </c>
      <c r="F26407" s="29"/>
      <c r="G26407" s="28">
        <v>0.32279999999999998</v>
      </c>
      <c r="H26407" s="29"/>
      <c r="I26407" s="29"/>
      <c r="J26407" s="28">
        <v>8.3999999999999995E-3</v>
      </c>
      <c r="K26407" s="29" t="s">
        <v>334</v>
      </c>
    </row>
    <row r="26408" spans="1:11" x14ac:dyDescent="0.35">
      <c r="A26408" s="27" t="s">
        <v>229</v>
      </c>
      <c r="B26408" s="27" t="s">
        <v>1343</v>
      </c>
      <c r="C26408" s="27" t="s">
        <v>1345</v>
      </c>
      <c r="D26408" s="28">
        <v>0.4173</v>
      </c>
      <c r="E26408" s="28">
        <v>5.7000000000000002E-3</v>
      </c>
      <c r="F26408" s="28">
        <v>0.39240000000000003</v>
      </c>
      <c r="G26408" s="29"/>
      <c r="H26408" s="28">
        <v>1.9599999999999999E-2</v>
      </c>
      <c r="I26408" s="28">
        <v>0.14929999999999999</v>
      </c>
      <c r="J26408" s="28">
        <v>1.5699999999999999E-2</v>
      </c>
      <c r="K26408" s="29" t="s">
        <v>343</v>
      </c>
    </row>
    <row r="26409" spans="1:11" x14ac:dyDescent="0.35">
      <c r="A26409" t="s">
        <v>229</v>
      </c>
      <c r="B26409" t="s">
        <v>1341</v>
      </c>
      <c r="C26409" t="s">
        <v>1348</v>
      </c>
      <c r="D26409" s="26">
        <v>0.58989999999999998</v>
      </c>
      <c r="E26409" s="26">
        <v>0.28089999999999998</v>
      </c>
      <c r="F26409" s="26">
        <v>4.4999999999999998E-2</v>
      </c>
      <c r="G26409" s="26">
        <v>3.8100000000000002E-2</v>
      </c>
      <c r="H26409" s="26">
        <v>6.3E-3</v>
      </c>
      <c r="I26409" s="26">
        <v>3.9699999999999999E-2</v>
      </c>
      <c r="K26409">
        <v>107</v>
      </c>
    </row>
    <row r="26410" spans="1:11" x14ac:dyDescent="0.35">
      <c r="A26410" t="s">
        <v>230</v>
      </c>
      <c r="B26410" t="s">
        <v>1343</v>
      </c>
      <c r="C26410" t="s">
        <v>1346</v>
      </c>
      <c r="D26410" s="26">
        <v>0.316</v>
      </c>
      <c r="E26410" s="26">
        <v>0.25919999999999999</v>
      </c>
      <c r="F26410" s="26">
        <v>0.2361</v>
      </c>
      <c r="G26410" s="26">
        <v>7.1800000000000003E-2</v>
      </c>
      <c r="H26410" s="26">
        <v>9.6000000000000002E-2</v>
      </c>
      <c r="I26410" s="26">
        <v>2.0899999999999998E-2</v>
      </c>
      <c r="K26410">
        <v>110</v>
      </c>
    </row>
    <row r="26411" spans="1:11" x14ac:dyDescent="0.35">
      <c r="A26411" s="27" t="s">
        <v>230</v>
      </c>
      <c r="B26411" s="27" t="s">
        <v>1341</v>
      </c>
      <c r="C26411" s="27" t="s">
        <v>1345</v>
      </c>
      <c r="D26411" s="28">
        <v>0.57150000000000001</v>
      </c>
      <c r="E26411" s="29"/>
      <c r="F26411" s="29"/>
      <c r="G26411" s="29"/>
      <c r="H26411" s="29"/>
      <c r="I26411" s="28">
        <v>0.42849999999999999</v>
      </c>
      <c r="J26411" s="29"/>
      <c r="K26411" s="29" t="s">
        <v>337</v>
      </c>
    </row>
    <row r="26412" spans="1:11" x14ac:dyDescent="0.35">
      <c r="A26412" t="s">
        <v>230</v>
      </c>
      <c r="B26412" t="s">
        <v>1343</v>
      </c>
      <c r="C26412" t="s">
        <v>1348</v>
      </c>
      <c r="D26412" s="26">
        <v>0.34620000000000001</v>
      </c>
      <c r="E26412" s="26">
        <v>0.27479999999999999</v>
      </c>
      <c r="F26412" s="26">
        <v>0.1176</v>
      </c>
      <c r="G26412" s="26">
        <v>6.9699999999999998E-2</v>
      </c>
      <c r="H26412" s="26">
        <v>8.3000000000000004E-2</v>
      </c>
      <c r="I26412" s="26">
        <v>0.1061</v>
      </c>
      <c r="J26412" s="26">
        <v>2.5999999999999999E-3</v>
      </c>
      <c r="K26412">
        <v>184</v>
      </c>
    </row>
    <row r="26413" spans="1:11" x14ac:dyDescent="0.35">
      <c r="A26413" t="s">
        <v>230</v>
      </c>
      <c r="B26413" t="s">
        <v>1343</v>
      </c>
      <c r="C26413" t="s">
        <v>1347</v>
      </c>
      <c r="D26413" s="26">
        <v>0.41899999999999998</v>
      </c>
      <c r="E26413" s="26">
        <v>0.34010000000000001</v>
      </c>
      <c r="F26413" s="26">
        <v>9.7799999999999998E-2</v>
      </c>
      <c r="G26413" s="26">
        <v>4.0300000000000002E-2</v>
      </c>
      <c r="H26413" s="26">
        <v>2.35E-2</v>
      </c>
      <c r="I26413" s="26">
        <v>4.0500000000000001E-2</v>
      </c>
      <c r="J26413" s="26">
        <v>3.8899999999999997E-2</v>
      </c>
      <c r="K26413">
        <v>106</v>
      </c>
    </row>
    <row r="26414" spans="1:11" x14ac:dyDescent="0.35">
      <c r="A26414" t="s">
        <v>230</v>
      </c>
      <c r="B26414" t="s">
        <v>1341</v>
      </c>
      <c r="C26414" t="s">
        <v>1348</v>
      </c>
      <c r="D26414" s="26">
        <v>0.55649999999999999</v>
      </c>
      <c r="E26414" s="26">
        <v>0.16639999999999999</v>
      </c>
      <c r="F26414" s="26">
        <v>8.6999999999999994E-2</v>
      </c>
      <c r="G26414" s="26">
        <v>2.35E-2</v>
      </c>
      <c r="H26414" s="26">
        <v>0.1012</v>
      </c>
      <c r="I26414" s="26">
        <v>5.8799999999999998E-2</v>
      </c>
      <c r="J26414" s="26">
        <v>6.6E-3</v>
      </c>
      <c r="K26414">
        <v>75</v>
      </c>
    </row>
    <row r="26415" spans="1:11" x14ac:dyDescent="0.35">
      <c r="A26415" t="s">
        <v>230</v>
      </c>
      <c r="B26415" t="s">
        <v>1341</v>
      </c>
      <c r="C26415" t="s">
        <v>1347</v>
      </c>
      <c r="D26415" s="26">
        <v>0.30719999999999997</v>
      </c>
      <c r="E26415" s="26">
        <v>0.20849999999999999</v>
      </c>
      <c r="F26415" s="26">
        <v>0.161</v>
      </c>
      <c r="G26415" s="26">
        <v>5.7200000000000001E-2</v>
      </c>
      <c r="H26415" s="26">
        <v>9.1700000000000004E-2</v>
      </c>
      <c r="I26415" s="26">
        <v>0.1173</v>
      </c>
      <c r="J26415" s="26">
        <v>5.7200000000000001E-2</v>
      </c>
      <c r="K26415">
        <v>47</v>
      </c>
    </row>
    <row r="26416" spans="1:11" x14ac:dyDescent="0.35">
      <c r="A26416" s="27" t="s">
        <v>230</v>
      </c>
      <c r="B26416" s="27" t="s">
        <v>1343</v>
      </c>
      <c r="C26416" s="27" t="s">
        <v>1345</v>
      </c>
      <c r="D26416" s="29"/>
      <c r="E26416" s="28">
        <v>0.2409</v>
      </c>
      <c r="F26416" s="28">
        <v>0.72240000000000004</v>
      </c>
      <c r="G26416" s="29"/>
      <c r="H26416" s="29"/>
      <c r="I26416" s="29"/>
      <c r="J26416" s="28">
        <v>3.6600000000000001E-2</v>
      </c>
      <c r="K26416" s="29" t="s">
        <v>337</v>
      </c>
    </row>
    <row r="26417" spans="1:22" x14ac:dyDescent="0.35">
      <c r="A26417" t="s">
        <v>230</v>
      </c>
      <c r="B26417" t="s">
        <v>1341</v>
      </c>
      <c r="C26417" t="s">
        <v>1346</v>
      </c>
      <c r="D26417" s="26">
        <v>0.41</v>
      </c>
      <c r="E26417" s="26">
        <v>0.35720000000000002</v>
      </c>
      <c r="F26417" s="26">
        <v>0.1159</v>
      </c>
      <c r="G26417" s="26">
        <v>1.4E-2</v>
      </c>
      <c r="H26417" s="26">
        <v>1.83E-2</v>
      </c>
      <c r="I26417" s="26">
        <v>8.4699999999999998E-2</v>
      </c>
      <c r="K26417">
        <v>30</v>
      </c>
    </row>
    <row r="26418" spans="1:22" x14ac:dyDescent="0.35">
      <c r="A26418" t="s">
        <v>231</v>
      </c>
      <c r="B26418" t="s">
        <v>1343</v>
      </c>
      <c r="C26418" t="s">
        <v>1348</v>
      </c>
      <c r="D26418" s="26">
        <v>0.6</v>
      </c>
      <c r="E26418" s="26">
        <v>0.18</v>
      </c>
      <c r="F26418" s="26">
        <v>0.1</v>
      </c>
      <c r="G26418" s="26">
        <v>0.06</v>
      </c>
      <c r="H26418" s="26">
        <v>0.02</v>
      </c>
      <c r="I26418" s="26">
        <v>0.04</v>
      </c>
      <c r="K26418">
        <v>50</v>
      </c>
    </row>
    <row r="26419" spans="1:22" x14ac:dyDescent="0.35">
      <c r="A26419" s="27" t="s">
        <v>231</v>
      </c>
      <c r="B26419" s="27" t="s">
        <v>1343</v>
      </c>
      <c r="C26419" s="27" t="s">
        <v>1345</v>
      </c>
      <c r="D26419" s="28">
        <v>1</v>
      </c>
      <c r="E26419" s="29"/>
      <c r="F26419" s="29"/>
      <c r="G26419" s="29"/>
      <c r="H26419" s="29"/>
      <c r="I26419" s="29"/>
      <c r="J26419" s="29"/>
      <c r="K26419" s="29" t="s">
        <v>315</v>
      </c>
    </row>
    <row r="26420" spans="1:22" x14ac:dyDescent="0.35">
      <c r="A26420" t="s">
        <v>231</v>
      </c>
      <c r="B26420" t="s">
        <v>1341</v>
      </c>
      <c r="C26420" t="s">
        <v>1348</v>
      </c>
      <c r="D26420" s="26">
        <v>0.58330000000000004</v>
      </c>
      <c r="E26420" s="26">
        <v>0.19439999999999999</v>
      </c>
      <c r="G26420" s="26">
        <v>0.1111</v>
      </c>
      <c r="H26420" s="26">
        <v>8.3299999999999999E-2</v>
      </c>
      <c r="I26420" s="26">
        <v>2.7799999999999998E-2</v>
      </c>
      <c r="K26420">
        <v>36</v>
      </c>
    </row>
    <row r="26421" spans="1:22" x14ac:dyDescent="0.35">
      <c r="A26421" s="27" t="s">
        <v>231</v>
      </c>
      <c r="B26421" s="27" t="s">
        <v>1341</v>
      </c>
      <c r="C26421" s="27" t="s">
        <v>1345</v>
      </c>
      <c r="D26421" s="29"/>
      <c r="E26421" s="28">
        <v>1</v>
      </c>
      <c r="F26421" s="29"/>
      <c r="G26421" s="29"/>
      <c r="H26421" s="29"/>
      <c r="I26421" s="29"/>
      <c r="J26421" s="29"/>
      <c r="K26421" s="29" t="s">
        <v>331</v>
      </c>
    </row>
    <row r="26422" spans="1:22" x14ac:dyDescent="0.35">
      <c r="A26422" s="27" t="s">
        <v>231</v>
      </c>
      <c r="B26422" s="27" t="s">
        <v>1343</v>
      </c>
      <c r="C26422" s="27" t="s">
        <v>1346</v>
      </c>
      <c r="D26422" s="28">
        <v>0.53849999999999998</v>
      </c>
      <c r="E26422" s="28">
        <v>0.1154</v>
      </c>
      <c r="F26422" s="28">
        <v>0.1154</v>
      </c>
      <c r="G26422" s="28">
        <v>0.1154</v>
      </c>
      <c r="H26422" s="28">
        <v>7.6899999999999996E-2</v>
      </c>
      <c r="I26422" s="29"/>
      <c r="J26422" s="28">
        <v>3.85E-2</v>
      </c>
      <c r="K26422" s="29" t="s">
        <v>357</v>
      </c>
    </row>
    <row r="26423" spans="1:22" x14ac:dyDescent="0.35">
      <c r="A26423" s="27" t="s">
        <v>231</v>
      </c>
      <c r="B26423" s="27" t="s">
        <v>1341</v>
      </c>
      <c r="C26423" s="27" t="s">
        <v>1346</v>
      </c>
      <c r="D26423" s="28">
        <v>0.92859999999999998</v>
      </c>
      <c r="E26423" s="29"/>
      <c r="F26423" s="28">
        <v>7.1400000000000005E-2</v>
      </c>
      <c r="G26423" s="29"/>
      <c r="H26423" s="29"/>
      <c r="I26423" s="29"/>
      <c r="J26423" s="29"/>
      <c r="K26423" s="29" t="s">
        <v>379</v>
      </c>
    </row>
    <row r="26424" spans="1:22" x14ac:dyDescent="0.35">
      <c r="A26424" s="27" t="s">
        <v>231</v>
      </c>
      <c r="B26424" s="27" t="s">
        <v>1341</v>
      </c>
      <c r="C26424" s="27" t="s">
        <v>1347</v>
      </c>
      <c r="D26424" s="28">
        <v>0.71430000000000005</v>
      </c>
      <c r="E26424" s="28">
        <v>7.1400000000000005E-2</v>
      </c>
      <c r="F26424" s="28">
        <v>7.1400000000000005E-2</v>
      </c>
      <c r="G26424" s="28">
        <v>7.1400000000000005E-2</v>
      </c>
      <c r="H26424" s="28">
        <v>7.1400000000000005E-2</v>
      </c>
      <c r="I26424" s="29"/>
      <c r="J26424" s="29"/>
      <c r="K26424" s="29" t="s">
        <v>379</v>
      </c>
    </row>
    <row r="26425" spans="1:22" x14ac:dyDescent="0.35">
      <c r="A26425" s="27" t="s">
        <v>231</v>
      </c>
      <c r="B26425" s="27" t="s">
        <v>1343</v>
      </c>
      <c r="C26425" s="27" t="s">
        <v>1347</v>
      </c>
      <c r="D26425" s="28">
        <v>0.5</v>
      </c>
      <c r="E26425" s="28">
        <v>0.1</v>
      </c>
      <c r="F26425" s="28">
        <v>0.25</v>
      </c>
      <c r="G26425" s="28">
        <v>0.1</v>
      </c>
      <c r="H26425" s="29"/>
      <c r="I26425" s="29"/>
      <c r="J26425" s="28">
        <v>0.05</v>
      </c>
      <c r="K26425" s="29" t="s">
        <v>350</v>
      </c>
    </row>
    <row r="26426" spans="1:22" x14ac:dyDescent="0.35">
      <c r="A26426" t="s">
        <v>232</v>
      </c>
      <c r="B26426" t="s">
        <v>232</v>
      </c>
      <c r="C26426" t="s">
        <v>232</v>
      </c>
      <c r="D26426" s="26">
        <v>0.50619999999999998</v>
      </c>
      <c r="E26426" s="26">
        <v>0.23180000000000001</v>
      </c>
      <c r="F26426" s="26">
        <v>8.8099999999999998E-2</v>
      </c>
      <c r="G26426" s="26">
        <v>7.0099999999999996E-2</v>
      </c>
      <c r="H26426" s="26">
        <v>5.3699999999999998E-2</v>
      </c>
      <c r="I26426" s="26">
        <v>4.0300000000000002E-2</v>
      </c>
      <c r="J26426" s="26">
        <v>9.7000000000000003E-3</v>
      </c>
      <c r="K26426">
        <v>2813</v>
      </c>
    </row>
    <row r="26428" spans="1:22" x14ac:dyDescent="0.35">
      <c r="A26428" s="1" t="s">
        <v>2391</v>
      </c>
    </row>
    <row r="26429" spans="1:22" x14ac:dyDescent="0.35">
      <c r="A26429" t="s">
        <v>219</v>
      </c>
      <c r="B26429" t="s">
        <v>2392</v>
      </c>
      <c r="C26429" t="s">
        <v>2393</v>
      </c>
      <c r="D26429" t="s">
        <v>2394</v>
      </c>
      <c r="E26429" t="s">
        <v>2395</v>
      </c>
      <c r="F26429" t="s">
        <v>2396</v>
      </c>
      <c r="G26429" t="s">
        <v>2397</v>
      </c>
      <c r="H26429" t="s">
        <v>281</v>
      </c>
      <c r="I26429" t="s">
        <v>2398</v>
      </c>
      <c r="J26429" t="s">
        <v>2399</v>
      </c>
      <c r="K26429" t="s">
        <v>2400</v>
      </c>
      <c r="L26429" t="s">
        <v>2401</v>
      </c>
      <c r="M26429" t="s">
        <v>2402</v>
      </c>
      <c r="N26429" t="s">
        <v>2403</v>
      </c>
      <c r="O26429" t="s">
        <v>2404</v>
      </c>
      <c r="P26429" t="s">
        <v>2405</v>
      </c>
      <c r="Q26429" t="s">
        <v>2406</v>
      </c>
      <c r="R26429" t="s">
        <v>326</v>
      </c>
      <c r="S26429" t="s">
        <v>2407</v>
      </c>
      <c r="T26429" t="s">
        <v>2408</v>
      </c>
      <c r="U26429" t="s">
        <v>286</v>
      </c>
      <c r="V26429" t="s">
        <v>226</v>
      </c>
    </row>
    <row r="26430" spans="1:22" x14ac:dyDescent="0.35">
      <c r="A26430" t="s">
        <v>227</v>
      </c>
      <c r="B26430" s="26">
        <v>0.3478</v>
      </c>
      <c r="C26430" s="26">
        <v>0.37890000000000001</v>
      </c>
      <c r="D26430" s="26">
        <v>8.6999999999999994E-2</v>
      </c>
      <c r="E26430" s="26">
        <v>8.6999999999999994E-2</v>
      </c>
      <c r="F26430" s="26">
        <v>9.3200000000000005E-2</v>
      </c>
      <c r="G26430" s="26">
        <v>6.83E-2</v>
      </c>
      <c r="H26430" s="26">
        <v>1.24E-2</v>
      </c>
      <c r="I26430" s="26">
        <v>6.1999999999999998E-3</v>
      </c>
      <c r="J26430" s="26">
        <v>1.24E-2</v>
      </c>
      <c r="K26430" s="26">
        <v>1.24E-2</v>
      </c>
      <c r="L26430" s="26">
        <v>6.1999999999999998E-3</v>
      </c>
      <c r="R26430" s="26">
        <v>6.1999999999999998E-3</v>
      </c>
      <c r="V26430">
        <v>161</v>
      </c>
    </row>
    <row r="26431" spans="1:22" x14ac:dyDescent="0.35">
      <c r="A26431" t="s">
        <v>228</v>
      </c>
      <c r="B26431" s="26">
        <v>0.45679999999999998</v>
      </c>
      <c r="C26431" s="26">
        <v>0.25019999999999998</v>
      </c>
      <c r="D26431" s="26">
        <v>9.3299999999999994E-2</v>
      </c>
      <c r="E26431" s="26">
        <v>0.1023</v>
      </c>
      <c r="F26431" s="26">
        <v>6.3899999999999998E-2</v>
      </c>
      <c r="G26431" s="26">
        <v>6.5299999999999997E-2</v>
      </c>
      <c r="H26431" s="26">
        <v>1.37E-2</v>
      </c>
      <c r="I26431" s="26">
        <v>1.4999999999999999E-2</v>
      </c>
      <c r="J26431" s="26">
        <v>1.35E-2</v>
      </c>
      <c r="K26431" s="26">
        <v>1.5599999999999999E-2</v>
      </c>
      <c r="L26431" s="26">
        <v>7.7000000000000002E-3</v>
      </c>
      <c r="M26431" s="26">
        <v>6.6E-3</v>
      </c>
      <c r="N26431" s="26">
        <v>1.2800000000000001E-2</v>
      </c>
      <c r="O26431" s="26">
        <v>1.24E-2</v>
      </c>
      <c r="P26431" s="26">
        <v>3.7000000000000002E-3</v>
      </c>
      <c r="Q26431" s="26">
        <v>3.8E-3</v>
      </c>
      <c r="R26431" s="26">
        <v>3.3E-3</v>
      </c>
      <c r="S26431" s="26">
        <v>1.1999999999999999E-3</v>
      </c>
      <c r="T26431" s="26">
        <v>5.4000000000000003E-3</v>
      </c>
      <c r="U26431" s="26">
        <v>4.7999999999999996E-3</v>
      </c>
      <c r="V26431">
        <v>1033</v>
      </c>
    </row>
    <row r="26432" spans="1:22" x14ac:dyDescent="0.35">
      <c r="A26432" t="s">
        <v>229</v>
      </c>
      <c r="B26432" s="26">
        <v>0.4128</v>
      </c>
      <c r="C26432" s="26">
        <v>0.35620000000000002</v>
      </c>
      <c r="D26432" s="26">
        <v>8.8599999999999998E-2</v>
      </c>
      <c r="E26432" s="26">
        <v>7.7299999999999994E-2</v>
      </c>
      <c r="F26432" s="26">
        <v>5.2400000000000002E-2</v>
      </c>
      <c r="G26432" s="26">
        <v>5.8299999999999998E-2</v>
      </c>
      <c r="H26432" s="26">
        <v>1.9E-2</v>
      </c>
      <c r="I26432" s="26">
        <v>7.7000000000000002E-3</v>
      </c>
      <c r="J26432" s="26">
        <v>1.4E-2</v>
      </c>
      <c r="K26432" s="26">
        <v>3.3999999999999998E-3</v>
      </c>
      <c r="L26432" s="26">
        <v>3.8E-3</v>
      </c>
      <c r="M26432" s="26">
        <v>1.14E-2</v>
      </c>
      <c r="N26432" s="26">
        <v>3.8E-3</v>
      </c>
      <c r="O26432" s="26">
        <v>3.3E-3</v>
      </c>
      <c r="P26432" s="26">
        <v>5.7000000000000002E-3</v>
      </c>
      <c r="Q26432" s="26">
        <v>2.5000000000000001E-3</v>
      </c>
      <c r="R26432" s="26">
        <v>1E-3</v>
      </c>
      <c r="T26432" s="26">
        <v>1E-4</v>
      </c>
      <c r="U26432" s="26">
        <v>1.1000000000000001E-3</v>
      </c>
      <c r="V26432">
        <v>894</v>
      </c>
    </row>
    <row r="26433" spans="1:23" x14ac:dyDescent="0.35">
      <c r="A26433" t="s">
        <v>230</v>
      </c>
      <c r="B26433" s="26">
        <v>0.39510000000000001</v>
      </c>
      <c r="C26433" s="26">
        <v>0.32590000000000002</v>
      </c>
      <c r="D26433" s="26">
        <v>0.10970000000000001</v>
      </c>
      <c r="E26433" s="26">
        <v>7.0599999999999996E-2</v>
      </c>
      <c r="F26433" s="26">
        <v>8.1699999999999995E-2</v>
      </c>
      <c r="G26433" s="26">
        <v>4.6199999999999998E-2</v>
      </c>
      <c r="H26433" s="26">
        <v>1.0800000000000001E-2</v>
      </c>
      <c r="I26433" s="26">
        <v>3.4799999999999998E-2</v>
      </c>
      <c r="J26433" s="26">
        <v>2.12E-2</v>
      </c>
      <c r="K26433" s="26">
        <v>1.4E-2</v>
      </c>
      <c r="L26433" s="26">
        <v>3.8E-3</v>
      </c>
      <c r="M26433" s="26">
        <v>1.8800000000000001E-2</v>
      </c>
      <c r="N26433" s="26">
        <v>1.9699999999999999E-2</v>
      </c>
      <c r="O26433" s="26">
        <v>6.3E-3</v>
      </c>
      <c r="P26433" s="26">
        <v>8.9999999999999998E-4</v>
      </c>
      <c r="Q26433" s="26">
        <v>6.6E-3</v>
      </c>
      <c r="T26433" s="26">
        <v>7.4000000000000003E-3</v>
      </c>
      <c r="U26433" s="26">
        <v>8.9999999999999998E-4</v>
      </c>
      <c r="V26433">
        <v>560</v>
      </c>
    </row>
    <row r="26434" spans="1:23" x14ac:dyDescent="0.35">
      <c r="A26434" t="s">
        <v>231</v>
      </c>
      <c r="B26434" s="26">
        <v>0.47560000000000002</v>
      </c>
      <c r="C26434" s="26">
        <v>0.32319999999999999</v>
      </c>
      <c r="D26434" s="26">
        <v>9.7600000000000006E-2</v>
      </c>
      <c r="E26434" s="26">
        <v>7.9299999999999995E-2</v>
      </c>
      <c r="F26434" s="26">
        <v>6.0999999999999999E-2</v>
      </c>
      <c r="G26434" s="26">
        <v>4.2700000000000002E-2</v>
      </c>
      <c r="H26434" s="26">
        <v>1.2200000000000001E-2</v>
      </c>
      <c r="I26434" s="26">
        <v>6.1000000000000004E-3</v>
      </c>
      <c r="K26434" s="26">
        <v>6.1000000000000004E-3</v>
      </c>
      <c r="L26434" s="26">
        <v>1.2200000000000001E-2</v>
      </c>
      <c r="S26434" s="26">
        <v>6.1000000000000004E-3</v>
      </c>
      <c r="V26434">
        <v>164</v>
      </c>
    </row>
    <row r="26435" spans="1:23" x14ac:dyDescent="0.35">
      <c r="A26435" t="s">
        <v>232</v>
      </c>
      <c r="B26435" s="26">
        <v>0.42699999999999999</v>
      </c>
      <c r="C26435" s="26">
        <v>0.3271</v>
      </c>
      <c r="D26435" s="26">
        <v>9.3799999999999994E-2</v>
      </c>
      <c r="E26435" s="26">
        <v>8.3500000000000005E-2</v>
      </c>
      <c r="F26435" s="26">
        <v>6.6000000000000003E-2</v>
      </c>
      <c r="G26435" s="26">
        <v>5.57E-2</v>
      </c>
      <c r="H26435" s="26">
        <v>1.43E-2</v>
      </c>
      <c r="I26435" s="26">
        <v>1.0999999999999999E-2</v>
      </c>
      <c r="J26435" s="26">
        <v>1.0500000000000001E-2</v>
      </c>
      <c r="K26435" s="26">
        <v>8.8999999999999999E-3</v>
      </c>
      <c r="L26435" s="26">
        <v>7.1999999999999998E-3</v>
      </c>
      <c r="M26435" s="26">
        <v>6.3E-3</v>
      </c>
      <c r="N26435" s="26">
        <v>5.4000000000000003E-3</v>
      </c>
      <c r="O26435" s="26">
        <v>3.8999999999999998E-3</v>
      </c>
      <c r="P26435" s="26">
        <v>2.3999999999999998E-3</v>
      </c>
      <c r="Q26435" s="26">
        <v>2.0999999999999999E-3</v>
      </c>
      <c r="R26435" s="26">
        <v>1.9E-3</v>
      </c>
      <c r="S26435" s="26">
        <v>1.9E-3</v>
      </c>
      <c r="T26435" s="26">
        <v>1.8E-3</v>
      </c>
      <c r="U26435" s="26">
        <v>1.2999999999999999E-3</v>
      </c>
      <c r="V26435">
        <v>2812</v>
      </c>
    </row>
    <row r="26437" spans="1:23" x14ac:dyDescent="0.35">
      <c r="A26437" s="1" t="s">
        <v>2409</v>
      </c>
    </row>
    <row r="26438" spans="1:23" x14ac:dyDescent="0.35">
      <c r="A26438" t="s">
        <v>219</v>
      </c>
      <c r="B26438" t="s">
        <v>305</v>
      </c>
      <c r="C26438" t="s">
        <v>2392</v>
      </c>
      <c r="D26438" t="s">
        <v>2393</v>
      </c>
      <c r="E26438" t="s">
        <v>2394</v>
      </c>
      <c r="F26438" t="s">
        <v>2395</v>
      </c>
      <c r="G26438" t="s">
        <v>2396</v>
      </c>
      <c r="H26438" t="s">
        <v>2397</v>
      </c>
      <c r="I26438" t="s">
        <v>281</v>
      </c>
      <c r="J26438" t="s">
        <v>2398</v>
      </c>
      <c r="K26438" t="s">
        <v>2399</v>
      </c>
      <c r="L26438" t="s">
        <v>2400</v>
      </c>
      <c r="M26438" t="s">
        <v>2401</v>
      </c>
      <c r="N26438" t="s">
        <v>2402</v>
      </c>
      <c r="O26438" t="s">
        <v>2403</v>
      </c>
      <c r="P26438" t="s">
        <v>2404</v>
      </c>
      <c r="Q26438" t="s">
        <v>2405</v>
      </c>
      <c r="R26438" t="s">
        <v>2406</v>
      </c>
      <c r="S26438" t="s">
        <v>326</v>
      </c>
      <c r="T26438" t="s">
        <v>2407</v>
      </c>
      <c r="U26438" t="s">
        <v>2408</v>
      </c>
      <c r="V26438" t="s">
        <v>286</v>
      </c>
      <c r="W26438" t="s">
        <v>226</v>
      </c>
    </row>
    <row r="26439" spans="1:23" x14ac:dyDescent="0.35">
      <c r="A26439" t="s">
        <v>227</v>
      </c>
      <c r="B26439" t="s">
        <v>242</v>
      </c>
      <c r="C26439" s="26">
        <v>0.29409999999999997</v>
      </c>
      <c r="D26439" s="26">
        <v>0.36759999999999998</v>
      </c>
      <c r="E26439" s="26">
        <v>0.10290000000000001</v>
      </c>
      <c r="F26439" s="26">
        <v>0.1176</v>
      </c>
      <c r="G26439" s="26">
        <v>0.13239999999999999</v>
      </c>
      <c r="H26439" s="26">
        <v>4.41E-2</v>
      </c>
      <c r="I26439" s="26">
        <v>1.47E-2</v>
      </c>
      <c r="J26439" s="26">
        <v>1.47E-2</v>
      </c>
      <c r="K26439" s="26">
        <v>1.47E-2</v>
      </c>
      <c r="L26439" s="26">
        <v>1.47E-2</v>
      </c>
      <c r="W26439">
        <v>68</v>
      </c>
    </row>
    <row r="26440" spans="1:23" x14ac:dyDescent="0.35">
      <c r="A26440" t="s">
        <v>227</v>
      </c>
      <c r="B26440" t="s">
        <v>241</v>
      </c>
      <c r="C26440" s="26">
        <v>0.3871</v>
      </c>
      <c r="D26440" s="26">
        <v>0.3871</v>
      </c>
      <c r="E26440" s="26">
        <v>7.5300000000000006E-2</v>
      </c>
      <c r="F26440" s="26">
        <v>6.4500000000000002E-2</v>
      </c>
      <c r="G26440" s="26">
        <v>6.4500000000000002E-2</v>
      </c>
      <c r="H26440" s="26">
        <v>8.5999999999999993E-2</v>
      </c>
      <c r="I26440" s="26">
        <v>1.0800000000000001E-2</v>
      </c>
      <c r="K26440" s="26">
        <v>1.0800000000000001E-2</v>
      </c>
      <c r="L26440" s="26">
        <v>1.0800000000000001E-2</v>
      </c>
      <c r="M26440" s="26">
        <v>1.0800000000000001E-2</v>
      </c>
      <c r="S26440" s="26">
        <v>1.0800000000000001E-2</v>
      </c>
      <c r="W26440">
        <v>93</v>
      </c>
    </row>
    <row r="26441" spans="1:23" x14ac:dyDescent="0.35">
      <c r="A26441" t="s">
        <v>228</v>
      </c>
      <c r="B26441" t="s">
        <v>242</v>
      </c>
      <c r="C26441" s="26">
        <v>0.48330000000000001</v>
      </c>
      <c r="D26441" s="26">
        <v>0.1467</v>
      </c>
      <c r="E26441" s="26">
        <v>0.1348</v>
      </c>
      <c r="F26441" s="26">
        <v>0.1147</v>
      </c>
      <c r="G26441" s="26">
        <v>9.7299999999999998E-2</v>
      </c>
      <c r="H26441" s="26">
        <v>6.25E-2</v>
      </c>
      <c r="I26441" s="26">
        <v>6.6E-3</v>
      </c>
      <c r="J26441" s="26">
        <v>3.56E-2</v>
      </c>
      <c r="K26441" s="26">
        <v>1.1299999999999999E-2</v>
      </c>
      <c r="L26441" s="26">
        <v>3.5000000000000003E-2</v>
      </c>
      <c r="M26441" s="26">
        <v>1.21E-2</v>
      </c>
      <c r="N26441" s="26">
        <v>6.1999999999999998E-3</v>
      </c>
      <c r="O26441" s="26">
        <v>1.8200000000000001E-2</v>
      </c>
      <c r="P26441" s="26">
        <v>2.1399999999999999E-2</v>
      </c>
      <c r="Q26441" s="26">
        <v>1.03E-2</v>
      </c>
      <c r="R26441" s="26">
        <v>2.2000000000000001E-3</v>
      </c>
      <c r="S26441" s="26">
        <v>5.3E-3</v>
      </c>
      <c r="T26441" s="26">
        <v>3.2000000000000002E-3</v>
      </c>
      <c r="U26441" s="26">
        <v>3.5999999999999999E-3</v>
      </c>
      <c r="V26441" s="26">
        <v>1.06E-2</v>
      </c>
      <c r="W26441">
        <v>402</v>
      </c>
    </row>
    <row r="26442" spans="1:23" x14ac:dyDescent="0.35">
      <c r="A26442" t="s">
        <v>228</v>
      </c>
      <c r="B26442" t="s">
        <v>241</v>
      </c>
      <c r="C26442" s="26">
        <v>0.44159999999999999</v>
      </c>
      <c r="D26442" s="26">
        <v>0.30930000000000002</v>
      </c>
      <c r="E26442" s="26">
        <v>6.9599999999999995E-2</v>
      </c>
      <c r="F26442" s="26">
        <v>9.5299999999999996E-2</v>
      </c>
      <c r="G26442" s="26">
        <v>4.48E-2</v>
      </c>
      <c r="H26442" s="26">
        <v>6.6900000000000001E-2</v>
      </c>
      <c r="I26442" s="26">
        <v>1.77E-2</v>
      </c>
      <c r="J26442" s="26">
        <v>3.2000000000000002E-3</v>
      </c>
      <c r="K26442" s="26">
        <v>1.4800000000000001E-2</v>
      </c>
      <c r="L26442" s="26">
        <v>4.4999999999999997E-3</v>
      </c>
      <c r="M26442" s="26">
        <v>5.1999999999999998E-3</v>
      </c>
      <c r="N26442" s="26">
        <v>6.7999999999999996E-3</v>
      </c>
      <c r="O26442" s="26">
        <v>9.7000000000000003E-3</v>
      </c>
      <c r="P26442" s="26">
        <v>7.1999999999999998E-3</v>
      </c>
      <c r="R26442" s="26">
        <v>4.7000000000000002E-3</v>
      </c>
      <c r="S26442" s="26">
        <v>2.0999999999999999E-3</v>
      </c>
      <c r="U26442" s="26">
        <v>6.4999999999999997E-3</v>
      </c>
      <c r="V26442" s="26">
        <v>1.5E-3</v>
      </c>
      <c r="W26442">
        <v>631</v>
      </c>
    </row>
    <row r="26443" spans="1:23" x14ac:dyDescent="0.35">
      <c r="A26443" t="s">
        <v>229</v>
      </c>
      <c r="B26443" t="s">
        <v>242</v>
      </c>
      <c r="C26443" s="26">
        <v>0.39250000000000002</v>
      </c>
      <c r="D26443" s="26">
        <v>0.2646</v>
      </c>
      <c r="E26443" s="26">
        <v>0.1197</v>
      </c>
      <c r="F26443" s="26">
        <v>0.1308</v>
      </c>
      <c r="G26443" s="26">
        <v>7.6999999999999999E-2</v>
      </c>
      <c r="H26443" s="26">
        <v>5.91E-2</v>
      </c>
      <c r="I26443" s="26">
        <v>3.9699999999999999E-2</v>
      </c>
      <c r="J26443" s="26">
        <v>1.18E-2</v>
      </c>
      <c r="K26443" s="26">
        <v>3.8999999999999998E-3</v>
      </c>
      <c r="M26443" s="26">
        <v>8.9999999999999993E-3</v>
      </c>
      <c r="N26443" s="26">
        <v>2.8199999999999999E-2</v>
      </c>
      <c r="O26443" s="26">
        <v>4.0000000000000002E-4</v>
      </c>
      <c r="P26443" s="26">
        <v>8.3999999999999995E-3</v>
      </c>
      <c r="Q26443" s="26">
        <v>1.4500000000000001E-2</v>
      </c>
      <c r="R26443" s="26">
        <v>6.4000000000000003E-3</v>
      </c>
      <c r="W26443">
        <v>292</v>
      </c>
    </row>
    <row r="26444" spans="1:23" x14ac:dyDescent="0.35">
      <c r="A26444" t="s">
        <v>229</v>
      </c>
      <c r="B26444" t="s">
        <v>241</v>
      </c>
      <c r="C26444" s="26">
        <v>0.42580000000000001</v>
      </c>
      <c r="D26444" s="26">
        <v>0.41520000000000001</v>
      </c>
      <c r="E26444" s="26">
        <v>6.8599999999999994E-2</v>
      </c>
      <c r="F26444" s="26">
        <v>4.2999999999999997E-2</v>
      </c>
      <c r="G26444" s="26">
        <v>3.6600000000000001E-2</v>
      </c>
      <c r="H26444" s="26">
        <v>5.79E-2</v>
      </c>
      <c r="I26444" s="26">
        <v>5.7000000000000002E-3</v>
      </c>
      <c r="J26444" s="26">
        <v>5.1000000000000004E-3</v>
      </c>
      <c r="K26444" s="26">
        <v>2.0500000000000001E-2</v>
      </c>
      <c r="L26444" s="26">
        <v>5.5999999999999999E-3</v>
      </c>
      <c r="M26444" s="26">
        <v>4.0000000000000002E-4</v>
      </c>
      <c r="N26444" s="26">
        <v>5.0000000000000001E-4</v>
      </c>
      <c r="O26444" s="26">
        <v>5.8999999999999999E-3</v>
      </c>
      <c r="S26444" s="26">
        <v>1.6000000000000001E-3</v>
      </c>
      <c r="U26444" s="26">
        <v>2.0000000000000001E-4</v>
      </c>
      <c r="V26444" s="26">
        <v>1.8E-3</v>
      </c>
      <c r="W26444">
        <v>602</v>
      </c>
    </row>
    <row r="26445" spans="1:23" x14ac:dyDescent="0.35">
      <c r="A26445" t="s">
        <v>230</v>
      </c>
      <c r="B26445" t="s">
        <v>242</v>
      </c>
      <c r="C26445" s="26">
        <v>0.35930000000000001</v>
      </c>
      <c r="D26445" s="26">
        <v>0.19450000000000001</v>
      </c>
      <c r="E26445" s="26">
        <v>0.20910000000000001</v>
      </c>
      <c r="F26445" s="26">
        <v>0.1321</v>
      </c>
      <c r="G26445" s="26">
        <v>0.1052</v>
      </c>
      <c r="H26445" s="26">
        <v>6.9400000000000003E-2</v>
      </c>
      <c r="I26445" s="26">
        <v>8.0000000000000002E-3</v>
      </c>
      <c r="J26445" s="26">
        <v>0.10059999999999999</v>
      </c>
      <c r="K26445" s="26">
        <v>2.47E-2</v>
      </c>
      <c r="L26445" s="26">
        <v>3.61E-2</v>
      </c>
      <c r="N26445" s="26">
        <v>5.2900000000000003E-2</v>
      </c>
      <c r="O26445" s="26">
        <v>5.74E-2</v>
      </c>
      <c r="P26445" s="26">
        <v>2.7000000000000001E-3</v>
      </c>
      <c r="Q26445" s="26">
        <v>2.7000000000000001E-3</v>
      </c>
      <c r="R26445" s="26">
        <v>1.67E-2</v>
      </c>
      <c r="U26445" s="26">
        <v>4.1999999999999997E-3</v>
      </c>
      <c r="V26445" s="26">
        <v>2.5999999999999999E-3</v>
      </c>
      <c r="W26445">
        <v>189</v>
      </c>
    </row>
    <row r="26446" spans="1:23" x14ac:dyDescent="0.35">
      <c r="A26446" t="s">
        <v>230</v>
      </c>
      <c r="B26446" t="s">
        <v>241</v>
      </c>
      <c r="C26446" s="26">
        <v>0.41339999999999999</v>
      </c>
      <c r="D26446" s="26">
        <v>0.3931</v>
      </c>
      <c r="E26446" s="26">
        <v>5.8999999999999997E-2</v>
      </c>
      <c r="F26446" s="26">
        <v>3.9100000000000003E-2</v>
      </c>
      <c r="G26446" s="26">
        <v>6.9699999999999998E-2</v>
      </c>
      <c r="H26446" s="26">
        <v>3.44E-2</v>
      </c>
      <c r="I26446" s="26">
        <v>1.2200000000000001E-2</v>
      </c>
      <c r="J26446" s="26">
        <v>1.1999999999999999E-3</v>
      </c>
      <c r="K26446" s="26">
        <v>1.9400000000000001E-2</v>
      </c>
      <c r="L26446" s="26">
        <v>2.7000000000000001E-3</v>
      </c>
      <c r="M26446" s="26">
        <v>5.7999999999999996E-3</v>
      </c>
      <c r="N26446" s="26">
        <v>1.4E-3</v>
      </c>
      <c r="O26446" s="26">
        <v>4.0000000000000002E-4</v>
      </c>
      <c r="P26446" s="26">
        <v>8.0999999999999996E-3</v>
      </c>
      <c r="R26446" s="26">
        <v>1.4E-3</v>
      </c>
      <c r="U26446" s="26">
        <v>8.9999999999999993E-3</v>
      </c>
      <c r="W26446">
        <v>371</v>
      </c>
    </row>
    <row r="26447" spans="1:23" x14ac:dyDescent="0.35">
      <c r="A26447" t="s">
        <v>231</v>
      </c>
      <c r="B26447" t="s">
        <v>242</v>
      </c>
      <c r="C26447" s="26">
        <v>0.51849999999999996</v>
      </c>
      <c r="D26447" s="26">
        <v>0.25929999999999997</v>
      </c>
      <c r="E26447" s="26">
        <v>0.12959999999999999</v>
      </c>
      <c r="F26447" s="26">
        <v>0.14810000000000001</v>
      </c>
      <c r="G26447" s="26">
        <v>7.4099999999999999E-2</v>
      </c>
      <c r="H26447" s="26">
        <v>3.6999999999999998E-2</v>
      </c>
      <c r="L26447" s="26">
        <v>1.8499999999999999E-2</v>
      </c>
      <c r="W26447">
        <v>54</v>
      </c>
    </row>
    <row r="26448" spans="1:23" x14ac:dyDescent="0.35">
      <c r="A26448" t="s">
        <v>231</v>
      </c>
      <c r="B26448" t="s">
        <v>241</v>
      </c>
      <c r="C26448" s="26">
        <v>0.45450000000000002</v>
      </c>
      <c r="D26448" s="26">
        <v>0.35449999999999998</v>
      </c>
      <c r="E26448" s="26">
        <v>8.1799999999999998E-2</v>
      </c>
      <c r="F26448" s="26">
        <v>4.5499999999999999E-2</v>
      </c>
      <c r="G26448" s="26">
        <v>5.45E-2</v>
      </c>
      <c r="H26448" s="26">
        <v>4.5499999999999999E-2</v>
      </c>
      <c r="I26448" s="26">
        <v>1.8200000000000001E-2</v>
      </c>
      <c r="J26448" s="26">
        <v>9.1000000000000004E-3</v>
      </c>
      <c r="M26448" s="26">
        <v>1.8200000000000001E-2</v>
      </c>
      <c r="T26448" s="26">
        <v>9.1000000000000004E-3</v>
      </c>
      <c r="W26448">
        <v>110</v>
      </c>
    </row>
    <row r="26449" spans="1:23" x14ac:dyDescent="0.35">
      <c r="A26449" t="s">
        <v>232</v>
      </c>
      <c r="B26449" t="s">
        <v>232</v>
      </c>
      <c r="C26449" s="26">
        <v>0.42699999999999999</v>
      </c>
      <c r="D26449" s="26">
        <v>0.3271</v>
      </c>
      <c r="E26449" s="26">
        <v>9.3799999999999994E-2</v>
      </c>
      <c r="F26449" s="26">
        <v>8.3500000000000005E-2</v>
      </c>
      <c r="G26449" s="26">
        <v>6.6000000000000003E-2</v>
      </c>
      <c r="H26449" s="26">
        <v>5.57E-2</v>
      </c>
      <c r="I26449" s="26">
        <v>1.43E-2</v>
      </c>
      <c r="J26449" s="26">
        <v>1.0999999999999999E-2</v>
      </c>
      <c r="K26449" s="26">
        <v>1.0500000000000001E-2</v>
      </c>
      <c r="L26449" s="26">
        <v>8.8999999999999999E-3</v>
      </c>
      <c r="M26449" s="26">
        <v>7.1999999999999998E-3</v>
      </c>
      <c r="N26449" s="26">
        <v>6.3E-3</v>
      </c>
      <c r="O26449" s="26">
        <v>5.4000000000000003E-3</v>
      </c>
      <c r="P26449" s="26">
        <v>3.8999999999999998E-3</v>
      </c>
      <c r="Q26449" s="26">
        <v>2.3999999999999998E-3</v>
      </c>
      <c r="R26449" s="26">
        <v>2.0999999999999999E-3</v>
      </c>
      <c r="S26449" s="26">
        <v>1.9E-3</v>
      </c>
      <c r="T26449" s="26">
        <v>1.9E-3</v>
      </c>
      <c r="U26449" s="26">
        <v>1.8E-3</v>
      </c>
      <c r="V26449" s="26">
        <v>1.2999999999999999E-3</v>
      </c>
      <c r="W26449">
        <v>2812</v>
      </c>
    </row>
    <row r="26451" spans="1:23" x14ac:dyDescent="0.35">
      <c r="A26451" s="1" t="s">
        <v>2410</v>
      </c>
    </row>
    <row r="26452" spans="1:23" x14ac:dyDescent="0.35">
      <c r="A26452" t="s">
        <v>219</v>
      </c>
      <c r="B26452" t="s">
        <v>305</v>
      </c>
      <c r="C26452" t="s">
        <v>2392</v>
      </c>
      <c r="D26452" t="s">
        <v>2393</v>
      </c>
      <c r="E26452" t="s">
        <v>2394</v>
      </c>
      <c r="F26452" t="s">
        <v>2395</v>
      </c>
      <c r="G26452" t="s">
        <v>2396</v>
      </c>
      <c r="H26452" t="s">
        <v>2397</v>
      </c>
      <c r="I26452" t="s">
        <v>281</v>
      </c>
      <c r="J26452" t="s">
        <v>2398</v>
      </c>
      <c r="K26452" t="s">
        <v>2399</v>
      </c>
      <c r="L26452" t="s">
        <v>2400</v>
      </c>
      <c r="M26452" t="s">
        <v>2401</v>
      </c>
      <c r="N26452" t="s">
        <v>2402</v>
      </c>
      <c r="O26452" t="s">
        <v>2403</v>
      </c>
      <c r="P26452" t="s">
        <v>2404</v>
      </c>
      <c r="Q26452" t="s">
        <v>2405</v>
      </c>
      <c r="R26452" t="s">
        <v>2406</v>
      </c>
      <c r="S26452" t="s">
        <v>326</v>
      </c>
      <c r="T26452" t="s">
        <v>2407</v>
      </c>
      <c r="U26452" t="s">
        <v>2408</v>
      </c>
      <c r="V26452" t="s">
        <v>286</v>
      </c>
      <c r="W26452" t="s">
        <v>226</v>
      </c>
    </row>
    <row r="26453" spans="1:23" x14ac:dyDescent="0.35">
      <c r="A26453" t="s">
        <v>227</v>
      </c>
      <c r="B26453" t="s">
        <v>239</v>
      </c>
      <c r="C26453" s="26">
        <v>0.3226</v>
      </c>
      <c r="D26453" s="26">
        <v>0.4194</v>
      </c>
      <c r="E26453" s="26">
        <v>4.8399999999999999E-2</v>
      </c>
      <c r="F26453" s="26">
        <v>4.8399999999999999E-2</v>
      </c>
      <c r="G26453" s="26">
        <v>0.1129</v>
      </c>
      <c r="H26453" s="26">
        <v>6.4500000000000002E-2</v>
      </c>
      <c r="K26453" s="26">
        <v>1.61E-2</v>
      </c>
      <c r="L26453" s="26">
        <v>1.61E-2</v>
      </c>
      <c r="S26453" s="26">
        <v>1.61E-2</v>
      </c>
      <c r="W26453">
        <v>62</v>
      </c>
    </row>
    <row r="26454" spans="1:23" x14ac:dyDescent="0.35">
      <c r="A26454" t="s">
        <v>227</v>
      </c>
      <c r="B26454" t="s">
        <v>238</v>
      </c>
      <c r="C26454" s="26">
        <v>0.36359999999999998</v>
      </c>
      <c r="D26454" s="26">
        <v>0.35349999999999998</v>
      </c>
      <c r="E26454" s="26">
        <v>0.1111</v>
      </c>
      <c r="F26454" s="26">
        <v>0.1111</v>
      </c>
      <c r="G26454" s="26">
        <v>8.0799999999999997E-2</v>
      </c>
      <c r="H26454" s="26">
        <v>7.0699999999999999E-2</v>
      </c>
      <c r="I26454" s="26">
        <v>2.0199999999999999E-2</v>
      </c>
      <c r="J26454" s="26">
        <v>1.01E-2</v>
      </c>
      <c r="K26454" s="26">
        <v>1.01E-2</v>
      </c>
      <c r="L26454" s="26">
        <v>1.01E-2</v>
      </c>
      <c r="M26454" s="26">
        <v>1.01E-2</v>
      </c>
      <c r="W26454">
        <v>99</v>
      </c>
    </row>
    <row r="26455" spans="1:23" x14ac:dyDescent="0.35">
      <c r="A26455" t="s">
        <v>228</v>
      </c>
      <c r="B26455" t="s">
        <v>239</v>
      </c>
      <c r="C26455" s="26">
        <v>0.50460000000000005</v>
      </c>
      <c r="D26455" s="26">
        <v>0.19969999999999999</v>
      </c>
      <c r="E26455" s="26">
        <v>8.1000000000000003E-2</v>
      </c>
      <c r="F26455" s="26">
        <v>7.7899999999999997E-2</v>
      </c>
      <c r="G26455" s="26">
        <v>6.5500000000000003E-2</v>
      </c>
      <c r="H26455" s="26">
        <v>3.8100000000000002E-2</v>
      </c>
      <c r="I26455" s="26">
        <v>2.6499999999999999E-2</v>
      </c>
      <c r="J26455" s="26">
        <v>9.9000000000000008E-3</v>
      </c>
      <c r="K26455" s="26">
        <v>7.3000000000000001E-3</v>
      </c>
      <c r="L26455" s="26">
        <v>4.1000000000000002E-2</v>
      </c>
      <c r="M26455" s="26">
        <v>6.1000000000000004E-3</v>
      </c>
      <c r="N26455" s="26">
        <v>9.1999999999999998E-3</v>
      </c>
      <c r="O26455" s="26">
        <v>2.2100000000000002E-2</v>
      </c>
      <c r="P26455" s="26">
        <v>1.0699999999999999E-2</v>
      </c>
      <c r="R26455" s="26">
        <v>2.7000000000000001E-3</v>
      </c>
      <c r="S26455" s="26">
        <v>8.0999999999999996E-3</v>
      </c>
      <c r="U26455" s="26">
        <v>8.6999999999999994E-3</v>
      </c>
      <c r="W26455">
        <v>330</v>
      </c>
    </row>
    <row r="26456" spans="1:23" x14ac:dyDescent="0.35">
      <c r="A26456" t="s">
        <v>228</v>
      </c>
      <c r="B26456" t="s">
        <v>238</v>
      </c>
      <c r="C26456" s="26">
        <v>0.44429999999999997</v>
      </c>
      <c r="D26456" s="26">
        <v>0.26340000000000002</v>
      </c>
      <c r="E26456" s="26">
        <v>9.6500000000000002E-2</v>
      </c>
      <c r="F26456" s="26">
        <v>0.1087</v>
      </c>
      <c r="G26456" s="26">
        <v>6.3399999999999998E-2</v>
      </c>
      <c r="H26456" s="26">
        <v>7.2400000000000006E-2</v>
      </c>
      <c r="I26456" s="26">
        <v>1.03E-2</v>
      </c>
      <c r="J26456" s="26">
        <v>1.6299999999999999E-2</v>
      </c>
      <c r="K26456" s="26">
        <v>1.52E-2</v>
      </c>
      <c r="L26456" s="26">
        <v>8.9999999999999993E-3</v>
      </c>
      <c r="M26456" s="26">
        <v>8.0999999999999996E-3</v>
      </c>
      <c r="N26456" s="26">
        <v>5.8999999999999999E-3</v>
      </c>
      <c r="O26456" s="26">
        <v>1.04E-2</v>
      </c>
      <c r="P26456" s="26">
        <v>1.2800000000000001E-2</v>
      </c>
      <c r="Q26456" s="26">
        <v>4.7000000000000002E-3</v>
      </c>
      <c r="R26456" s="26">
        <v>4.0000000000000001E-3</v>
      </c>
      <c r="S26456" s="26">
        <v>2E-3</v>
      </c>
      <c r="T26456" s="26">
        <v>1.5E-3</v>
      </c>
      <c r="U26456" s="26">
        <v>4.5999999999999999E-3</v>
      </c>
      <c r="V26456" s="26">
        <v>6.1000000000000004E-3</v>
      </c>
      <c r="W26456">
        <v>703</v>
      </c>
    </row>
    <row r="26457" spans="1:23" x14ac:dyDescent="0.35">
      <c r="A26457" t="s">
        <v>229</v>
      </c>
      <c r="B26457" t="s">
        <v>239</v>
      </c>
      <c r="C26457" s="26">
        <v>0.4667</v>
      </c>
      <c r="D26457" s="26">
        <v>0.3196</v>
      </c>
      <c r="E26457" s="26">
        <v>8.8700000000000001E-2</v>
      </c>
      <c r="F26457" s="26">
        <v>6.9800000000000001E-2</v>
      </c>
      <c r="G26457" s="26">
        <v>3.1899999999999998E-2</v>
      </c>
      <c r="H26457" s="26">
        <v>2.01E-2</v>
      </c>
      <c r="I26457" s="26">
        <v>3.61E-2</v>
      </c>
      <c r="J26457" s="26">
        <v>1E-3</v>
      </c>
      <c r="K26457" s="26">
        <v>4.3E-3</v>
      </c>
      <c r="L26457" s="26">
        <v>4.0000000000000002E-4</v>
      </c>
      <c r="N26457" s="26">
        <v>9.7999999999999997E-3</v>
      </c>
      <c r="O26457" s="26">
        <v>1E-3</v>
      </c>
      <c r="P26457" s="26">
        <v>6.9999999999999999E-4</v>
      </c>
      <c r="Q26457" s="26">
        <v>1.9699999999999999E-2</v>
      </c>
      <c r="R26457" s="26">
        <v>9.7999999999999997E-3</v>
      </c>
      <c r="V26457" s="26">
        <v>3.0000000000000001E-3</v>
      </c>
      <c r="W26457">
        <v>332</v>
      </c>
    </row>
    <row r="26458" spans="1:23" x14ac:dyDescent="0.35">
      <c r="A26458" t="s">
        <v>229</v>
      </c>
      <c r="B26458" t="s">
        <v>238</v>
      </c>
      <c r="C26458" s="26">
        <v>0.39429999999999998</v>
      </c>
      <c r="D26458" s="26">
        <v>0.36880000000000002</v>
      </c>
      <c r="E26458" s="26">
        <v>8.8599999999999998E-2</v>
      </c>
      <c r="F26458" s="26">
        <v>7.9899999999999999E-2</v>
      </c>
      <c r="G26458" s="26">
        <v>5.9400000000000001E-2</v>
      </c>
      <c r="H26458" s="26">
        <v>7.1499999999999994E-2</v>
      </c>
      <c r="I26458" s="26">
        <v>1.3100000000000001E-2</v>
      </c>
      <c r="J26458" s="26">
        <v>0.01</v>
      </c>
      <c r="K26458" s="26">
        <v>1.7299999999999999E-2</v>
      </c>
      <c r="L26458" s="26">
        <v>4.4999999999999997E-3</v>
      </c>
      <c r="M26458" s="26">
        <v>5.1000000000000004E-3</v>
      </c>
      <c r="N26458" s="26">
        <v>1.1900000000000001E-2</v>
      </c>
      <c r="O26458" s="26">
        <v>4.7000000000000002E-3</v>
      </c>
      <c r="P26458" s="26">
        <v>4.1999999999999997E-3</v>
      </c>
      <c r="Q26458" s="26">
        <v>8.9999999999999998E-4</v>
      </c>
      <c r="S26458" s="26">
        <v>1.2999999999999999E-3</v>
      </c>
      <c r="U26458" s="26">
        <v>1E-4</v>
      </c>
      <c r="V26458" s="26">
        <v>4.0000000000000002E-4</v>
      </c>
      <c r="W26458">
        <v>562</v>
      </c>
    </row>
    <row r="26459" spans="1:23" x14ac:dyDescent="0.35">
      <c r="A26459" t="s">
        <v>230</v>
      </c>
      <c r="B26459" t="s">
        <v>239</v>
      </c>
      <c r="C26459" s="26">
        <v>0.41799999999999998</v>
      </c>
      <c r="D26459" s="26">
        <v>0.29010000000000002</v>
      </c>
      <c r="E26459" s="26">
        <v>0.1168</v>
      </c>
      <c r="F26459" s="26">
        <v>8.7999999999999995E-2</v>
      </c>
      <c r="G26459" s="26">
        <v>8.9499999999999996E-2</v>
      </c>
      <c r="H26459" s="26">
        <v>7.9000000000000001E-2</v>
      </c>
      <c r="I26459" s="26">
        <v>6.0000000000000001E-3</v>
      </c>
      <c r="J26459" s="26">
        <v>5.0700000000000002E-2</v>
      </c>
      <c r="K26459" s="26">
        <v>8.9999999999999993E-3</v>
      </c>
      <c r="L26459" s="26">
        <v>3.2800000000000003E-2</v>
      </c>
      <c r="M26459" s="26">
        <v>9.7999999999999997E-3</v>
      </c>
      <c r="O26459" s="26">
        <v>4.7999999999999996E-3</v>
      </c>
      <c r="P26459" s="26">
        <v>3.0000000000000001E-3</v>
      </c>
      <c r="Q26459" s="26">
        <v>3.0000000000000001E-3</v>
      </c>
      <c r="U26459" s="26">
        <v>2.7000000000000001E-3</v>
      </c>
      <c r="W26459">
        <v>211</v>
      </c>
    </row>
    <row r="26460" spans="1:23" x14ac:dyDescent="0.35">
      <c r="A26460" t="s">
        <v>230</v>
      </c>
      <c r="B26460" t="s">
        <v>238</v>
      </c>
      <c r="C26460" s="26">
        <v>0.38519999999999999</v>
      </c>
      <c r="D26460" s="26">
        <v>0.34139999999999998</v>
      </c>
      <c r="E26460" s="26">
        <v>0.1067</v>
      </c>
      <c r="F26460" s="26">
        <v>6.3E-2</v>
      </c>
      <c r="G26460" s="26">
        <v>7.8399999999999997E-2</v>
      </c>
      <c r="H26460" s="26">
        <v>3.2099999999999997E-2</v>
      </c>
      <c r="I26460" s="26">
        <v>1.2800000000000001E-2</v>
      </c>
      <c r="J26460" s="26">
        <v>2.8000000000000001E-2</v>
      </c>
      <c r="K26460" s="26">
        <v>2.6499999999999999E-2</v>
      </c>
      <c r="L26460" s="26">
        <v>5.8999999999999999E-3</v>
      </c>
      <c r="M26460" s="26">
        <v>1.2999999999999999E-3</v>
      </c>
      <c r="N26460" s="26">
        <v>2.69E-2</v>
      </c>
      <c r="O26460" s="26">
        <v>2.6100000000000002E-2</v>
      </c>
      <c r="P26460" s="26">
        <v>7.7000000000000002E-3</v>
      </c>
      <c r="R26460" s="26">
        <v>9.4000000000000004E-3</v>
      </c>
      <c r="U26460" s="26">
        <v>9.4000000000000004E-3</v>
      </c>
      <c r="V26460" s="26">
        <v>1.2999999999999999E-3</v>
      </c>
      <c r="W26460">
        <v>349</v>
      </c>
    </row>
    <row r="26461" spans="1:23" x14ac:dyDescent="0.35">
      <c r="A26461" t="s">
        <v>231</v>
      </c>
      <c r="B26461" t="s">
        <v>239</v>
      </c>
      <c r="C26461" s="26">
        <v>0.47370000000000001</v>
      </c>
      <c r="D26461" s="26">
        <v>0.24560000000000001</v>
      </c>
      <c r="E26461" s="26">
        <v>7.0199999999999999E-2</v>
      </c>
      <c r="F26461" s="26">
        <v>7.0199999999999999E-2</v>
      </c>
      <c r="G26461" s="26">
        <v>0.1053</v>
      </c>
      <c r="H26461" s="26">
        <v>5.2600000000000001E-2</v>
      </c>
      <c r="I26461" s="26">
        <v>1.7500000000000002E-2</v>
      </c>
      <c r="L26461" s="26">
        <v>1.7500000000000002E-2</v>
      </c>
      <c r="M26461" s="26">
        <v>3.5099999999999999E-2</v>
      </c>
      <c r="T26461" s="26">
        <v>1.7500000000000002E-2</v>
      </c>
      <c r="W26461">
        <v>57</v>
      </c>
    </row>
    <row r="26462" spans="1:23" x14ac:dyDescent="0.35">
      <c r="A26462" t="s">
        <v>231</v>
      </c>
      <c r="B26462" t="s">
        <v>238</v>
      </c>
      <c r="C26462" s="26">
        <v>0.47660000000000002</v>
      </c>
      <c r="D26462" s="26">
        <v>0.36449999999999999</v>
      </c>
      <c r="E26462" s="26">
        <v>0.11210000000000001</v>
      </c>
      <c r="F26462" s="26">
        <v>8.4099999999999994E-2</v>
      </c>
      <c r="G26462" s="26">
        <v>3.7400000000000003E-2</v>
      </c>
      <c r="H26462" s="26">
        <v>3.7400000000000003E-2</v>
      </c>
      <c r="I26462" s="26">
        <v>9.2999999999999992E-3</v>
      </c>
      <c r="J26462" s="26">
        <v>9.2999999999999992E-3</v>
      </c>
      <c r="W26462">
        <v>107</v>
      </c>
    </row>
    <row r="26463" spans="1:23" x14ac:dyDescent="0.35">
      <c r="A26463" t="s">
        <v>232</v>
      </c>
      <c r="B26463" t="s">
        <v>232</v>
      </c>
      <c r="C26463" s="26">
        <v>0.42699999999999999</v>
      </c>
      <c r="D26463" s="26">
        <v>0.3271</v>
      </c>
      <c r="E26463" s="26">
        <v>9.3799999999999994E-2</v>
      </c>
      <c r="F26463" s="26">
        <v>8.3500000000000005E-2</v>
      </c>
      <c r="G26463" s="26">
        <v>6.6000000000000003E-2</v>
      </c>
      <c r="H26463" s="26">
        <v>5.57E-2</v>
      </c>
      <c r="I26463" s="26">
        <v>1.43E-2</v>
      </c>
      <c r="J26463" s="26">
        <v>1.0999999999999999E-2</v>
      </c>
      <c r="K26463" s="26">
        <v>1.0500000000000001E-2</v>
      </c>
      <c r="L26463" s="26">
        <v>8.8999999999999999E-3</v>
      </c>
      <c r="M26463" s="26">
        <v>7.1999999999999998E-3</v>
      </c>
      <c r="N26463" s="26">
        <v>6.3E-3</v>
      </c>
      <c r="O26463" s="26">
        <v>5.4000000000000003E-3</v>
      </c>
      <c r="P26463" s="26">
        <v>3.8999999999999998E-3</v>
      </c>
      <c r="Q26463" s="26">
        <v>2.3999999999999998E-3</v>
      </c>
      <c r="R26463" s="26">
        <v>2.0999999999999999E-3</v>
      </c>
      <c r="S26463" s="26">
        <v>1.9E-3</v>
      </c>
      <c r="T26463" s="26">
        <v>1.9E-3</v>
      </c>
      <c r="U26463" s="26">
        <v>1.8E-3</v>
      </c>
      <c r="V26463" s="26">
        <v>1.2999999999999999E-3</v>
      </c>
      <c r="W26463">
        <v>2812</v>
      </c>
    </row>
    <row r="26465" spans="1:23" x14ac:dyDescent="0.35">
      <c r="A26465" s="1" t="s">
        <v>2411</v>
      </c>
    </row>
    <row r="26466" spans="1:23" x14ac:dyDescent="0.35">
      <c r="A26466" t="s">
        <v>219</v>
      </c>
      <c r="B26466" t="s">
        <v>305</v>
      </c>
      <c r="C26466" t="s">
        <v>2392</v>
      </c>
      <c r="D26466" t="s">
        <v>2393</v>
      </c>
      <c r="E26466" t="s">
        <v>2394</v>
      </c>
      <c r="F26466" t="s">
        <v>2395</v>
      </c>
      <c r="G26466" t="s">
        <v>2396</v>
      </c>
      <c r="H26466" t="s">
        <v>2397</v>
      </c>
      <c r="I26466" t="s">
        <v>281</v>
      </c>
      <c r="J26466" t="s">
        <v>2398</v>
      </c>
      <c r="K26466" t="s">
        <v>2399</v>
      </c>
      <c r="L26466" t="s">
        <v>2400</v>
      </c>
      <c r="M26466" t="s">
        <v>2401</v>
      </c>
      <c r="N26466" t="s">
        <v>2402</v>
      </c>
      <c r="O26466" t="s">
        <v>2403</v>
      </c>
      <c r="P26466" t="s">
        <v>2404</v>
      </c>
      <c r="Q26466" t="s">
        <v>2405</v>
      </c>
      <c r="R26466" t="s">
        <v>2406</v>
      </c>
      <c r="S26466" t="s">
        <v>326</v>
      </c>
      <c r="T26466" t="s">
        <v>2407</v>
      </c>
      <c r="U26466" t="s">
        <v>2408</v>
      </c>
      <c r="V26466" t="s">
        <v>286</v>
      </c>
      <c r="W26466" t="s">
        <v>226</v>
      </c>
    </row>
    <row r="26467" spans="1:23" x14ac:dyDescent="0.35">
      <c r="A26467" t="s">
        <v>227</v>
      </c>
      <c r="B26467" t="s">
        <v>244</v>
      </c>
      <c r="C26467" s="26">
        <v>0.36459999999999998</v>
      </c>
      <c r="D26467" s="26">
        <v>0.375</v>
      </c>
      <c r="E26467" s="26">
        <v>5.21E-2</v>
      </c>
      <c r="F26467" s="26">
        <v>6.25E-2</v>
      </c>
      <c r="G26467" s="26">
        <v>0.11459999999999999</v>
      </c>
      <c r="H26467" s="26">
        <v>5.21E-2</v>
      </c>
      <c r="I26467" s="26">
        <v>2.0799999999999999E-2</v>
      </c>
      <c r="J26467" s="26">
        <v>1.04E-2</v>
      </c>
      <c r="K26467" s="26">
        <v>1.04E-2</v>
      </c>
      <c r="L26467" s="26">
        <v>1.04E-2</v>
      </c>
      <c r="S26467" s="26">
        <v>1.04E-2</v>
      </c>
      <c r="W26467">
        <v>96</v>
      </c>
    </row>
    <row r="26468" spans="1:23" x14ac:dyDescent="0.35">
      <c r="A26468" t="s">
        <v>227</v>
      </c>
      <c r="B26468" t="s">
        <v>245</v>
      </c>
      <c r="C26468" s="26">
        <v>0.33960000000000001</v>
      </c>
      <c r="D26468" s="26">
        <v>0.41510000000000002</v>
      </c>
      <c r="E26468" s="26">
        <v>0.1321</v>
      </c>
      <c r="F26468" s="26">
        <v>0.1132</v>
      </c>
      <c r="G26468" s="26">
        <v>3.7699999999999997E-2</v>
      </c>
      <c r="H26468" s="26">
        <v>5.6599999999999998E-2</v>
      </c>
      <c r="W26468">
        <v>53</v>
      </c>
    </row>
    <row r="26469" spans="1:23" x14ac:dyDescent="0.35">
      <c r="A26469" s="27" t="s">
        <v>227</v>
      </c>
      <c r="B26469" s="27" t="s">
        <v>246</v>
      </c>
      <c r="C26469" s="28">
        <v>0.25</v>
      </c>
      <c r="D26469" s="28">
        <v>0.25</v>
      </c>
      <c r="E26469" s="28">
        <v>0.16669999999999999</v>
      </c>
      <c r="F26469" s="28">
        <v>0.16669999999999999</v>
      </c>
      <c r="G26469" s="28">
        <v>0.16669999999999999</v>
      </c>
      <c r="H26469" s="28">
        <v>0.25</v>
      </c>
      <c r="I26469" s="29"/>
      <c r="J26469" s="29"/>
      <c r="K26469" s="28">
        <v>8.3299999999999999E-2</v>
      </c>
      <c r="L26469" s="28">
        <v>8.3299999999999999E-2</v>
      </c>
      <c r="M26469" s="28">
        <v>8.3299999999999999E-2</v>
      </c>
      <c r="N26469" s="29"/>
      <c r="O26469" s="29"/>
      <c r="P26469" s="29"/>
      <c r="Q26469" s="29"/>
      <c r="R26469" s="29"/>
      <c r="S26469" s="29"/>
      <c r="T26469" s="29"/>
      <c r="U26469" s="29"/>
      <c r="V26469" s="29"/>
      <c r="W26469" s="29" t="s">
        <v>342</v>
      </c>
    </row>
    <row r="26470" spans="1:23" x14ac:dyDescent="0.35">
      <c r="A26470" t="s">
        <v>228</v>
      </c>
      <c r="B26470" t="s">
        <v>244</v>
      </c>
      <c r="C26470" s="26">
        <v>0.44240000000000002</v>
      </c>
      <c r="D26470" s="26">
        <v>0.26729999999999998</v>
      </c>
      <c r="E26470" s="26">
        <v>9.4500000000000001E-2</v>
      </c>
      <c r="F26470" s="26">
        <v>0.10920000000000001</v>
      </c>
      <c r="G26470" s="26">
        <v>6.7299999999999999E-2</v>
      </c>
      <c r="H26470" s="26">
        <v>6.1400000000000003E-2</v>
      </c>
      <c r="I26470" s="26">
        <v>1.7100000000000001E-2</v>
      </c>
      <c r="J26470" s="26">
        <v>1.01E-2</v>
      </c>
      <c r="K26470" s="26">
        <v>1.5599999999999999E-2</v>
      </c>
      <c r="L26470" s="26">
        <v>7.9000000000000008E-3</v>
      </c>
      <c r="M26470" s="26">
        <v>8.0999999999999996E-3</v>
      </c>
      <c r="N26470" s="26">
        <v>5.5999999999999999E-3</v>
      </c>
      <c r="O26470" s="26">
        <v>1.66E-2</v>
      </c>
      <c r="P26470" s="26">
        <v>1.35E-2</v>
      </c>
      <c r="Q26470" s="26">
        <v>5.7000000000000002E-3</v>
      </c>
      <c r="R26470" s="26">
        <v>3.0999999999999999E-3</v>
      </c>
      <c r="S26470" s="26">
        <v>5.0000000000000001E-3</v>
      </c>
      <c r="T26470" s="26">
        <v>1.8E-3</v>
      </c>
      <c r="U26470" s="26">
        <v>4.4000000000000003E-3</v>
      </c>
      <c r="V26470" s="26">
        <v>7.4000000000000003E-3</v>
      </c>
      <c r="W26470">
        <v>638</v>
      </c>
    </row>
    <row r="26471" spans="1:23" x14ac:dyDescent="0.35">
      <c r="A26471" t="s">
        <v>228</v>
      </c>
      <c r="B26471" t="s">
        <v>245</v>
      </c>
      <c r="C26471" s="26">
        <v>0.48909999999999998</v>
      </c>
      <c r="D26471" s="26">
        <v>0.2223</v>
      </c>
      <c r="E26471" s="26">
        <v>9.3299999999999994E-2</v>
      </c>
      <c r="F26471" s="26">
        <v>7.0699999999999999E-2</v>
      </c>
      <c r="G26471" s="26">
        <v>5.7799999999999997E-2</v>
      </c>
      <c r="H26471" s="26">
        <v>7.5700000000000003E-2</v>
      </c>
      <c r="I26471" s="26">
        <v>8.8999999999999999E-3</v>
      </c>
      <c r="J26471" s="26">
        <v>2.7E-2</v>
      </c>
      <c r="K26471" s="26">
        <v>5.7000000000000002E-3</v>
      </c>
      <c r="L26471" s="26">
        <v>2.5600000000000001E-2</v>
      </c>
      <c r="M26471" s="26">
        <v>8.5000000000000006E-3</v>
      </c>
      <c r="N26471" s="26">
        <v>1.04E-2</v>
      </c>
      <c r="O26471" s="26">
        <v>5.8999999999999999E-3</v>
      </c>
      <c r="P26471" s="26">
        <v>1.29E-2</v>
      </c>
      <c r="R26471" s="26">
        <v>6.1999999999999998E-3</v>
      </c>
      <c r="U26471" s="26">
        <v>9.2999999999999992E-3</v>
      </c>
      <c r="W26471">
        <v>328</v>
      </c>
    </row>
    <row r="26472" spans="1:23" x14ac:dyDescent="0.35">
      <c r="A26472" t="s">
        <v>228</v>
      </c>
      <c r="B26472" t="s">
        <v>246</v>
      </c>
      <c r="C26472" s="26">
        <v>0.46229999999999999</v>
      </c>
      <c r="D26472" s="26">
        <v>0.20069999999999999</v>
      </c>
      <c r="E26472" s="26">
        <v>8.2600000000000007E-2</v>
      </c>
      <c r="F26472" s="26">
        <v>0.1661</v>
      </c>
      <c r="G26472" s="26">
        <v>5.5500000000000001E-2</v>
      </c>
      <c r="H26472" s="26">
        <v>5.9700000000000003E-2</v>
      </c>
      <c r="J26472" s="26">
        <v>1.21E-2</v>
      </c>
      <c r="K26472" s="26">
        <v>2.58E-2</v>
      </c>
      <c r="L26472" s="26">
        <v>4.8500000000000001E-2</v>
      </c>
      <c r="O26472" s="26">
        <v>5.1999999999999998E-3</v>
      </c>
      <c r="W26472">
        <v>67</v>
      </c>
    </row>
    <row r="26473" spans="1:23" x14ac:dyDescent="0.35">
      <c r="A26473" t="s">
        <v>229</v>
      </c>
      <c r="B26473" t="s">
        <v>244</v>
      </c>
      <c r="C26473" s="26">
        <v>0.40870000000000001</v>
      </c>
      <c r="D26473" s="26">
        <v>0.371</v>
      </c>
      <c r="E26473" s="26">
        <v>7.9899999999999999E-2</v>
      </c>
      <c r="F26473" s="26">
        <v>7.8E-2</v>
      </c>
      <c r="G26473" s="26">
        <v>4.2099999999999999E-2</v>
      </c>
      <c r="H26473" s="26">
        <v>6.4699999999999994E-2</v>
      </c>
      <c r="I26473" s="26">
        <v>1.8599999999999998E-2</v>
      </c>
      <c r="J26473" s="26">
        <v>9.4000000000000004E-3</v>
      </c>
      <c r="K26473" s="26">
        <v>1.55E-2</v>
      </c>
      <c r="L26473" s="26">
        <v>5.0000000000000001E-4</v>
      </c>
      <c r="M26473" s="26">
        <v>5.1999999999999998E-3</v>
      </c>
      <c r="N26473" s="26">
        <v>1.6400000000000001E-2</v>
      </c>
      <c r="O26473" s="26">
        <v>4.3E-3</v>
      </c>
      <c r="P26473" s="26">
        <v>4.5999999999999999E-3</v>
      </c>
      <c r="Q26473" s="26">
        <v>4.5999999999999999E-3</v>
      </c>
      <c r="S26473" s="26">
        <v>1.4E-3</v>
      </c>
      <c r="V26473" s="26">
        <v>1.6000000000000001E-3</v>
      </c>
      <c r="W26473">
        <v>556</v>
      </c>
    </row>
    <row r="26474" spans="1:23" x14ac:dyDescent="0.35">
      <c r="A26474" t="s">
        <v>229</v>
      </c>
      <c r="B26474" t="s">
        <v>245</v>
      </c>
      <c r="C26474" s="26">
        <v>0.44069999999999998</v>
      </c>
      <c r="D26474" s="26">
        <v>0.3342</v>
      </c>
      <c r="E26474" s="26">
        <v>9.8699999999999996E-2</v>
      </c>
      <c r="F26474" s="26">
        <v>9.06E-2</v>
      </c>
      <c r="G26474" s="26">
        <v>5.3900000000000003E-2</v>
      </c>
      <c r="H26474" s="26">
        <v>3.7900000000000003E-2</v>
      </c>
      <c r="I26474" s="26">
        <v>2.3699999999999999E-2</v>
      </c>
      <c r="J26474" s="26">
        <v>3.8999999999999998E-3</v>
      </c>
      <c r="K26474" s="26">
        <v>1.1599999999999999E-2</v>
      </c>
      <c r="O26474" s="26">
        <v>1.6999999999999999E-3</v>
      </c>
      <c r="P26474" s="26">
        <v>4.0000000000000002E-4</v>
      </c>
      <c r="U26474" s="26">
        <v>4.0000000000000002E-4</v>
      </c>
      <c r="W26474">
        <v>293</v>
      </c>
    </row>
    <row r="26475" spans="1:23" x14ac:dyDescent="0.35">
      <c r="A26475" t="s">
        <v>229</v>
      </c>
      <c r="B26475" t="s">
        <v>246</v>
      </c>
      <c r="C26475" s="26">
        <v>0.33289999999999997</v>
      </c>
      <c r="D26475" s="26">
        <v>0.26979999999999998</v>
      </c>
      <c r="E26475" s="26">
        <v>0.1537</v>
      </c>
      <c r="F26475" s="26">
        <v>6.3E-3</v>
      </c>
      <c r="G26475" s="26">
        <v>0.17849999999999999</v>
      </c>
      <c r="H26475" s="26">
        <v>7.3700000000000002E-2</v>
      </c>
      <c r="I26475" s="26">
        <v>1.8E-3</v>
      </c>
      <c r="J26475" s="26">
        <v>3.2000000000000002E-3</v>
      </c>
      <c r="K26475" s="26">
        <v>6.1999999999999998E-3</v>
      </c>
      <c r="L26475" s="26">
        <v>5.8099999999999999E-2</v>
      </c>
      <c r="M26475" s="26">
        <v>3.2000000000000002E-3</v>
      </c>
      <c r="O26475" s="26">
        <v>6.3E-3</v>
      </c>
      <c r="Q26475" s="26">
        <v>4.7100000000000003E-2</v>
      </c>
      <c r="R26475" s="26">
        <v>4.7100000000000003E-2</v>
      </c>
      <c r="W26475">
        <v>45</v>
      </c>
    </row>
    <row r="26476" spans="1:23" x14ac:dyDescent="0.35">
      <c r="A26476" t="s">
        <v>230</v>
      </c>
      <c r="B26476" t="s">
        <v>244</v>
      </c>
      <c r="C26476" s="26">
        <v>0.39689999999999998</v>
      </c>
      <c r="D26476" s="26">
        <v>0.33500000000000002</v>
      </c>
      <c r="E26476" s="26">
        <v>0.10929999999999999</v>
      </c>
      <c r="F26476" s="26">
        <v>7.0499999999999993E-2</v>
      </c>
      <c r="G26476" s="26">
        <v>8.6599999999999996E-2</v>
      </c>
      <c r="H26476" s="26">
        <v>4.1099999999999998E-2</v>
      </c>
      <c r="I26476" s="26">
        <v>1.2999999999999999E-2</v>
      </c>
      <c r="J26476" s="26">
        <v>2.2700000000000001E-2</v>
      </c>
      <c r="K26476" s="26">
        <v>2.0199999999999999E-2</v>
      </c>
      <c r="L26476" s="26">
        <v>1.46E-2</v>
      </c>
      <c r="M26476" s="26">
        <v>2.5999999999999999E-3</v>
      </c>
      <c r="N26476" s="26">
        <v>9.9000000000000008E-3</v>
      </c>
      <c r="O26476" s="26">
        <v>9.9000000000000008E-3</v>
      </c>
      <c r="P26476" s="26">
        <v>9.1000000000000004E-3</v>
      </c>
      <c r="Q26476" s="26">
        <v>1.2999999999999999E-3</v>
      </c>
      <c r="R26476" s="26">
        <v>8.2000000000000007E-3</v>
      </c>
      <c r="U26476" s="26">
        <v>2.5000000000000001E-3</v>
      </c>
      <c r="V26476" s="26">
        <v>1.2999999999999999E-3</v>
      </c>
      <c r="W26476">
        <v>370</v>
      </c>
    </row>
    <row r="26477" spans="1:23" x14ac:dyDescent="0.35">
      <c r="A26477" t="s">
        <v>230</v>
      </c>
      <c r="B26477" t="s">
        <v>245</v>
      </c>
      <c r="C26477" s="26">
        <v>0.40949999999999998</v>
      </c>
      <c r="D26477" s="26">
        <v>0.31659999999999999</v>
      </c>
      <c r="E26477" s="26">
        <v>0.1037</v>
      </c>
      <c r="F26477" s="26">
        <v>8.0500000000000002E-2</v>
      </c>
      <c r="G26477" s="26">
        <v>7.6999999999999999E-2</v>
      </c>
      <c r="H26477" s="26">
        <v>3.7400000000000003E-2</v>
      </c>
      <c r="I26477" s="26">
        <v>6.7999999999999996E-3</v>
      </c>
      <c r="J26477" s="26">
        <v>3.2199999999999999E-2</v>
      </c>
      <c r="K26477" s="26">
        <v>2.4199999999999999E-2</v>
      </c>
      <c r="L26477" s="26">
        <v>1.4999999999999999E-2</v>
      </c>
      <c r="M26477" s="26">
        <v>8.0000000000000002E-3</v>
      </c>
      <c r="N26477" s="26">
        <v>4.5999999999999999E-2</v>
      </c>
      <c r="O26477" s="26">
        <v>4.9500000000000002E-2</v>
      </c>
      <c r="R26477" s="26">
        <v>3.5000000000000001E-3</v>
      </c>
      <c r="U26477" s="26">
        <v>2.18E-2</v>
      </c>
      <c r="W26477">
        <v>161</v>
      </c>
    </row>
    <row r="26478" spans="1:23" x14ac:dyDescent="0.35">
      <c r="A26478" s="27" t="s">
        <v>230</v>
      </c>
      <c r="B26478" s="27" t="s">
        <v>246</v>
      </c>
      <c r="C26478" s="28">
        <v>0.2923</v>
      </c>
      <c r="D26478" s="28">
        <v>0.24590000000000001</v>
      </c>
      <c r="E26478" s="28">
        <v>0.1477</v>
      </c>
      <c r="F26478" s="28">
        <v>1.8700000000000001E-2</v>
      </c>
      <c r="G26478" s="28">
        <v>3.7400000000000003E-2</v>
      </c>
      <c r="H26478" s="28">
        <v>0.16600000000000001</v>
      </c>
      <c r="I26478" s="29"/>
      <c r="J26478" s="28">
        <v>0.22159999999999999</v>
      </c>
      <c r="K26478" s="28">
        <v>1.8700000000000001E-2</v>
      </c>
      <c r="L26478" s="29"/>
      <c r="M26478" s="29"/>
      <c r="N26478" s="29"/>
      <c r="O26478" s="29"/>
      <c r="P26478" s="29"/>
      <c r="Q26478" s="29"/>
      <c r="R26478" s="29"/>
      <c r="S26478" s="29"/>
      <c r="T26478" s="29"/>
      <c r="U26478" s="29"/>
      <c r="V26478" s="29"/>
      <c r="W26478" s="29" t="s">
        <v>329</v>
      </c>
    </row>
    <row r="26479" spans="1:23" x14ac:dyDescent="0.35">
      <c r="A26479" t="s">
        <v>231</v>
      </c>
      <c r="B26479" t="s">
        <v>244</v>
      </c>
      <c r="C26479" s="26">
        <v>0.50529999999999997</v>
      </c>
      <c r="D26479" s="26">
        <v>0.34739999999999999</v>
      </c>
      <c r="E26479" s="26">
        <v>6.3200000000000006E-2</v>
      </c>
      <c r="F26479" s="26">
        <v>6.3200000000000006E-2</v>
      </c>
      <c r="G26479" s="26">
        <v>4.2099999999999999E-2</v>
      </c>
      <c r="H26479" s="26">
        <v>4.2099999999999999E-2</v>
      </c>
      <c r="I26479" s="26">
        <v>2.1100000000000001E-2</v>
      </c>
      <c r="W26479">
        <v>95</v>
      </c>
    </row>
    <row r="26480" spans="1:23" x14ac:dyDescent="0.35">
      <c r="A26480" t="s">
        <v>231</v>
      </c>
      <c r="B26480" t="s">
        <v>245</v>
      </c>
      <c r="C26480" s="26">
        <v>0.375</v>
      </c>
      <c r="D26480" s="26">
        <v>0.32140000000000002</v>
      </c>
      <c r="E26480" s="26">
        <v>0.17860000000000001</v>
      </c>
      <c r="F26480" s="26">
        <v>0.125</v>
      </c>
      <c r="G26480" s="26">
        <v>8.9300000000000004E-2</v>
      </c>
      <c r="H26480" s="26">
        <v>5.3600000000000002E-2</v>
      </c>
      <c r="J26480" s="26">
        <v>1.7899999999999999E-2</v>
      </c>
      <c r="L26480" s="26">
        <v>1.7899999999999999E-2</v>
      </c>
      <c r="M26480" s="26">
        <v>1.7899999999999999E-2</v>
      </c>
      <c r="W26480">
        <v>56</v>
      </c>
    </row>
    <row r="26481" spans="1:23" x14ac:dyDescent="0.35">
      <c r="A26481" s="27" t="s">
        <v>231</v>
      </c>
      <c r="B26481" s="27" t="s">
        <v>246</v>
      </c>
      <c r="C26481" s="28">
        <v>0.69230000000000003</v>
      </c>
      <c r="D26481" s="28">
        <v>0.15379999999999999</v>
      </c>
      <c r="E26481" s="29"/>
      <c r="F26481" s="29"/>
      <c r="G26481" s="28">
        <v>7.6899999999999996E-2</v>
      </c>
      <c r="H26481" s="29"/>
      <c r="I26481" s="29"/>
      <c r="J26481" s="29"/>
      <c r="K26481" s="29"/>
      <c r="L26481" s="29"/>
      <c r="M26481" s="28">
        <v>7.6899999999999996E-2</v>
      </c>
      <c r="N26481" s="29"/>
      <c r="O26481" s="29"/>
      <c r="P26481" s="29"/>
      <c r="Q26481" s="29"/>
      <c r="R26481" s="29"/>
      <c r="S26481" s="29"/>
      <c r="T26481" s="28">
        <v>7.6899999999999996E-2</v>
      </c>
      <c r="U26481" s="29"/>
      <c r="V26481" s="29"/>
      <c r="W26481" s="29" t="s">
        <v>341</v>
      </c>
    </row>
    <row r="26482" spans="1:23" x14ac:dyDescent="0.35">
      <c r="A26482" t="s">
        <v>232</v>
      </c>
      <c r="B26482" t="s">
        <v>232</v>
      </c>
      <c r="C26482" s="26">
        <v>0.42699999999999999</v>
      </c>
      <c r="D26482" s="26">
        <v>0.3271</v>
      </c>
      <c r="E26482" s="26">
        <v>9.3799999999999994E-2</v>
      </c>
      <c r="F26482" s="26">
        <v>8.3500000000000005E-2</v>
      </c>
      <c r="G26482" s="26">
        <v>6.6000000000000003E-2</v>
      </c>
      <c r="H26482" s="26">
        <v>5.57E-2</v>
      </c>
      <c r="I26482" s="26">
        <v>1.43E-2</v>
      </c>
      <c r="J26482" s="26">
        <v>1.0999999999999999E-2</v>
      </c>
      <c r="K26482" s="26">
        <v>1.0500000000000001E-2</v>
      </c>
      <c r="L26482" s="26">
        <v>8.8999999999999999E-3</v>
      </c>
      <c r="M26482" s="26">
        <v>7.1999999999999998E-3</v>
      </c>
      <c r="N26482" s="26">
        <v>6.3E-3</v>
      </c>
      <c r="O26482" s="26">
        <v>5.4000000000000003E-3</v>
      </c>
      <c r="P26482" s="26">
        <v>3.8999999999999998E-3</v>
      </c>
      <c r="Q26482" s="26">
        <v>2.3999999999999998E-3</v>
      </c>
      <c r="R26482" s="26">
        <v>2.0999999999999999E-3</v>
      </c>
      <c r="S26482" s="26">
        <v>1.9E-3</v>
      </c>
      <c r="T26482" s="26">
        <v>1.9E-3</v>
      </c>
      <c r="U26482" s="26">
        <v>1.8E-3</v>
      </c>
      <c r="V26482" s="26">
        <v>1.2999999999999999E-3</v>
      </c>
      <c r="W26482">
        <v>2812</v>
      </c>
    </row>
    <row r="26484" spans="1:23" x14ac:dyDescent="0.35">
      <c r="A26484" s="1" t="s">
        <v>2412</v>
      </c>
    </row>
    <row r="26485" spans="1:23" x14ac:dyDescent="0.35">
      <c r="A26485" t="s">
        <v>219</v>
      </c>
      <c r="B26485" t="s">
        <v>305</v>
      </c>
      <c r="C26485" t="s">
        <v>2392</v>
      </c>
      <c r="D26485" t="s">
        <v>2393</v>
      </c>
      <c r="E26485" t="s">
        <v>2394</v>
      </c>
      <c r="F26485" t="s">
        <v>2395</v>
      </c>
      <c r="G26485" t="s">
        <v>2396</v>
      </c>
      <c r="H26485" t="s">
        <v>2397</v>
      </c>
      <c r="I26485" t="s">
        <v>281</v>
      </c>
      <c r="J26485" t="s">
        <v>2398</v>
      </c>
      <c r="K26485" t="s">
        <v>2399</v>
      </c>
      <c r="L26485" t="s">
        <v>2400</v>
      </c>
      <c r="M26485" t="s">
        <v>2401</v>
      </c>
      <c r="N26485" t="s">
        <v>2402</v>
      </c>
      <c r="O26485" t="s">
        <v>2403</v>
      </c>
      <c r="P26485" t="s">
        <v>2404</v>
      </c>
      <c r="Q26485" t="s">
        <v>2405</v>
      </c>
      <c r="R26485" t="s">
        <v>2406</v>
      </c>
      <c r="S26485" t="s">
        <v>326</v>
      </c>
      <c r="T26485" t="s">
        <v>2407</v>
      </c>
      <c r="U26485" t="s">
        <v>2408</v>
      </c>
      <c r="V26485" t="s">
        <v>286</v>
      </c>
      <c r="W26485" t="s">
        <v>226</v>
      </c>
    </row>
    <row r="26486" spans="1:23" x14ac:dyDescent="0.35">
      <c r="A26486" t="s">
        <v>227</v>
      </c>
      <c r="B26486" t="s">
        <v>360</v>
      </c>
      <c r="C26486" s="26">
        <v>0.35899999999999999</v>
      </c>
      <c r="D26486" s="26">
        <v>0.30769999999999997</v>
      </c>
      <c r="E26486" s="26">
        <v>7.6899999999999996E-2</v>
      </c>
      <c r="F26486" s="26">
        <v>7.6899999999999996E-2</v>
      </c>
      <c r="G26486" s="26">
        <v>7.6899999999999996E-2</v>
      </c>
      <c r="H26486" s="26">
        <v>0.1026</v>
      </c>
      <c r="I26486" s="26">
        <v>2.5600000000000001E-2</v>
      </c>
      <c r="K26486" s="26">
        <v>5.1299999999999998E-2</v>
      </c>
      <c r="L26486" s="26">
        <v>5.1299999999999998E-2</v>
      </c>
      <c r="M26486" s="26">
        <v>2.5600000000000001E-2</v>
      </c>
      <c r="W26486">
        <v>39</v>
      </c>
    </row>
    <row r="26487" spans="1:23" x14ac:dyDescent="0.35">
      <c r="A26487" t="s">
        <v>227</v>
      </c>
      <c r="B26487" t="s">
        <v>361</v>
      </c>
      <c r="C26487" s="26">
        <v>0.53120000000000001</v>
      </c>
      <c r="D26487" s="26">
        <v>0.375</v>
      </c>
      <c r="E26487" s="26">
        <v>3.1199999999999999E-2</v>
      </c>
      <c r="F26487" s="26">
        <v>3.1199999999999999E-2</v>
      </c>
      <c r="G26487" s="26">
        <v>6.25E-2</v>
      </c>
      <c r="H26487" s="26">
        <v>6.25E-2</v>
      </c>
      <c r="W26487">
        <v>32</v>
      </c>
    </row>
    <row r="26488" spans="1:23" x14ac:dyDescent="0.35">
      <c r="A26488" t="s">
        <v>227</v>
      </c>
      <c r="B26488" t="s">
        <v>362</v>
      </c>
      <c r="C26488" s="26">
        <v>0.27029999999999998</v>
      </c>
      <c r="D26488" s="26">
        <v>0.35139999999999999</v>
      </c>
      <c r="E26488" s="26">
        <v>0.1351</v>
      </c>
      <c r="F26488" s="26">
        <v>0.1081</v>
      </c>
      <c r="G26488" s="26">
        <v>0.18920000000000001</v>
      </c>
      <c r="H26488" s="26">
        <v>5.4100000000000002E-2</v>
      </c>
      <c r="S26488" s="26">
        <v>2.7E-2</v>
      </c>
      <c r="W26488">
        <v>37</v>
      </c>
    </row>
    <row r="26489" spans="1:23" x14ac:dyDescent="0.35">
      <c r="A26489" t="s">
        <v>227</v>
      </c>
      <c r="B26489" t="s">
        <v>363</v>
      </c>
      <c r="C26489" s="26">
        <v>0.28889999999999999</v>
      </c>
      <c r="D26489" s="26">
        <v>0.44440000000000002</v>
      </c>
      <c r="E26489" s="26">
        <v>0.1111</v>
      </c>
      <c r="F26489" s="26">
        <v>0.1333</v>
      </c>
      <c r="G26489" s="26">
        <v>6.6699999999999995E-2</v>
      </c>
      <c r="H26489" s="26">
        <v>4.4400000000000002E-2</v>
      </c>
      <c r="J26489" s="26">
        <v>2.2200000000000001E-2</v>
      </c>
      <c r="W26489">
        <v>45</v>
      </c>
    </row>
    <row r="26490" spans="1:23" x14ac:dyDescent="0.35">
      <c r="A26490" t="s">
        <v>228</v>
      </c>
      <c r="B26490" t="s">
        <v>360</v>
      </c>
      <c r="C26490" s="26">
        <v>0.43419999999999997</v>
      </c>
      <c r="D26490" s="26">
        <v>0.14249999999999999</v>
      </c>
      <c r="E26490" s="26">
        <v>0.12989999999999999</v>
      </c>
      <c r="F26490" s="26">
        <v>0.1477</v>
      </c>
      <c r="G26490" s="26">
        <v>0.1164</v>
      </c>
      <c r="H26490" s="26">
        <v>7.3899999999999993E-2</v>
      </c>
      <c r="I26490" s="26">
        <v>8.8000000000000005E-3</v>
      </c>
      <c r="J26490" s="26">
        <v>1.5599999999999999E-2</v>
      </c>
      <c r="K26490" s="26">
        <v>2.87E-2</v>
      </c>
      <c r="L26490" s="26">
        <v>3.6400000000000002E-2</v>
      </c>
      <c r="M26490" s="26">
        <v>4.5999999999999999E-3</v>
      </c>
      <c r="N26490" s="26">
        <v>1.6400000000000001E-2</v>
      </c>
      <c r="O26490" s="26">
        <v>2.7099999999999999E-2</v>
      </c>
      <c r="P26490" s="26">
        <v>2.52E-2</v>
      </c>
      <c r="Q26490" s="26">
        <v>2.0999999999999999E-3</v>
      </c>
      <c r="R26490" s="26">
        <v>5.8999999999999999E-3</v>
      </c>
      <c r="S26490" s="26">
        <v>4.5999999999999999E-3</v>
      </c>
      <c r="U26490" s="26">
        <v>1.0800000000000001E-2</v>
      </c>
      <c r="W26490">
        <v>258</v>
      </c>
    </row>
    <row r="26491" spans="1:23" x14ac:dyDescent="0.35">
      <c r="A26491" t="s">
        <v>228</v>
      </c>
      <c r="B26491" t="s">
        <v>361</v>
      </c>
      <c r="C26491" s="26">
        <v>0.44600000000000001</v>
      </c>
      <c r="D26491" s="26">
        <v>0.3725</v>
      </c>
      <c r="E26491" s="26">
        <v>6.7900000000000002E-2</v>
      </c>
      <c r="F26491" s="26">
        <v>6.7799999999999999E-2</v>
      </c>
      <c r="G26491" s="26">
        <v>3.1E-2</v>
      </c>
      <c r="H26491" s="26">
        <v>5.21E-2</v>
      </c>
      <c r="I26491" s="26">
        <v>4.7999999999999996E-3</v>
      </c>
      <c r="K26491" s="26">
        <v>4.7999999999999996E-3</v>
      </c>
      <c r="N26491" s="26">
        <v>4.7999999999999996E-3</v>
      </c>
      <c r="O26491" s="26">
        <v>4.7999999999999996E-3</v>
      </c>
      <c r="R26491" s="26">
        <v>2.3E-3</v>
      </c>
      <c r="U26491" s="26">
        <v>3.3999999999999998E-3</v>
      </c>
      <c r="W26491">
        <v>194</v>
      </c>
    </row>
    <row r="26492" spans="1:23" x14ac:dyDescent="0.35">
      <c r="A26492" t="s">
        <v>228</v>
      </c>
      <c r="B26492" t="s">
        <v>363</v>
      </c>
      <c r="C26492" s="26">
        <v>0.47310000000000002</v>
      </c>
      <c r="D26492" s="26">
        <v>0.25719999999999998</v>
      </c>
      <c r="E26492" s="26">
        <v>6.0100000000000001E-2</v>
      </c>
      <c r="F26492" s="26">
        <v>7.4700000000000003E-2</v>
      </c>
      <c r="G26492" s="26">
        <v>6.59E-2</v>
      </c>
      <c r="H26492" s="26">
        <v>7.8299999999999995E-2</v>
      </c>
      <c r="I26492" s="26">
        <v>3.5000000000000001E-3</v>
      </c>
      <c r="J26492" s="26">
        <v>3.1300000000000001E-2</v>
      </c>
      <c r="K26492" s="26">
        <v>7.4999999999999997E-3</v>
      </c>
      <c r="L26492" s="26">
        <v>1.9400000000000001E-2</v>
      </c>
      <c r="M26492" s="26">
        <v>1.89E-2</v>
      </c>
      <c r="N26492" s="26">
        <v>3.5000000000000001E-3</v>
      </c>
      <c r="O26492" s="26">
        <v>7.0000000000000001E-3</v>
      </c>
      <c r="Q26492" s="26">
        <v>1.3899999999999999E-2</v>
      </c>
      <c r="R26492" s="26">
        <v>2.3E-3</v>
      </c>
      <c r="S26492" s="26">
        <v>6.4000000000000003E-3</v>
      </c>
      <c r="T26492" s="26">
        <v>4.8999999999999998E-3</v>
      </c>
      <c r="U26492" s="26">
        <v>8.3999999999999995E-3</v>
      </c>
      <c r="V26492" s="26">
        <v>1.3899999999999999E-2</v>
      </c>
      <c r="W26492">
        <v>212</v>
      </c>
    </row>
    <row r="26493" spans="1:23" x14ac:dyDescent="0.35">
      <c r="A26493" t="s">
        <v>228</v>
      </c>
      <c r="B26493" t="s">
        <v>362</v>
      </c>
      <c r="C26493" s="26">
        <v>0.46679999999999999</v>
      </c>
      <c r="D26493" s="26">
        <v>0.2109</v>
      </c>
      <c r="E26493" s="26">
        <v>0.13600000000000001</v>
      </c>
      <c r="F26493" s="26">
        <v>0.1192</v>
      </c>
      <c r="G26493" s="26">
        <v>6.0199999999999997E-2</v>
      </c>
      <c r="H26493" s="26">
        <v>5.79E-2</v>
      </c>
      <c r="I26493" s="26">
        <v>2.6700000000000002E-2</v>
      </c>
      <c r="J26493" s="26">
        <v>1.9E-2</v>
      </c>
      <c r="K26493" s="26">
        <v>1.9300000000000001E-2</v>
      </c>
      <c r="L26493" s="26">
        <v>1.6199999999999999E-2</v>
      </c>
      <c r="M26493" s="26">
        <v>8.6999999999999994E-3</v>
      </c>
      <c r="N26493" s="26">
        <v>4.5999999999999999E-3</v>
      </c>
      <c r="O26493" s="26">
        <v>1.23E-2</v>
      </c>
      <c r="P26493" s="26">
        <v>2.4799999999999999E-2</v>
      </c>
      <c r="R26493" s="26">
        <v>1E-3</v>
      </c>
      <c r="S26493" s="26">
        <v>3.5999999999999999E-3</v>
      </c>
      <c r="U26493" s="26">
        <v>1E-3</v>
      </c>
      <c r="V26493" s="26">
        <v>2.3999999999999998E-3</v>
      </c>
      <c r="W26493">
        <v>236</v>
      </c>
    </row>
    <row r="26494" spans="1:23" x14ac:dyDescent="0.35">
      <c r="A26494" t="s">
        <v>229</v>
      </c>
      <c r="B26494" t="s">
        <v>363</v>
      </c>
      <c r="C26494" s="26">
        <v>0.4501</v>
      </c>
      <c r="D26494" s="26">
        <v>0.27379999999999999</v>
      </c>
      <c r="E26494" s="26">
        <v>9.6199999999999994E-2</v>
      </c>
      <c r="F26494" s="26">
        <v>6.7199999999999996E-2</v>
      </c>
      <c r="G26494" s="26">
        <v>6.0699999999999997E-2</v>
      </c>
      <c r="H26494" s="26">
        <v>8.6800000000000002E-2</v>
      </c>
      <c r="I26494" s="26">
        <v>2.18E-2</v>
      </c>
      <c r="J26494" s="26">
        <v>1.6400000000000001E-2</v>
      </c>
      <c r="M26494" s="26">
        <v>3.7000000000000002E-3</v>
      </c>
      <c r="O26494" s="26">
        <v>5.0000000000000001E-4</v>
      </c>
      <c r="U26494" s="26">
        <v>5.0000000000000001E-4</v>
      </c>
      <c r="W26494">
        <v>191</v>
      </c>
    </row>
    <row r="26495" spans="1:23" x14ac:dyDescent="0.35">
      <c r="A26495" t="s">
        <v>229</v>
      </c>
      <c r="B26495" t="s">
        <v>360</v>
      </c>
      <c r="C26495" s="26">
        <v>0.33760000000000001</v>
      </c>
      <c r="D26495" s="26">
        <v>0.27800000000000002</v>
      </c>
      <c r="E26495" s="26">
        <v>0.13900000000000001</v>
      </c>
      <c r="F26495" s="26">
        <v>0.16350000000000001</v>
      </c>
      <c r="G26495" s="26">
        <v>8.6999999999999994E-2</v>
      </c>
      <c r="H26495" s="26">
        <v>6.9199999999999998E-2</v>
      </c>
      <c r="I26495" s="26">
        <v>0.06</v>
      </c>
      <c r="J26495" s="26">
        <v>7.4999999999999997E-3</v>
      </c>
      <c r="K26495" s="26">
        <v>9.1999999999999998E-3</v>
      </c>
      <c r="L26495" s="26">
        <v>0.02</v>
      </c>
      <c r="N26495" s="26">
        <v>3.2500000000000001E-2</v>
      </c>
      <c r="O26495" s="26">
        <v>3.2000000000000002E-3</v>
      </c>
      <c r="P26495" s="26">
        <v>5.9999999999999995E-4</v>
      </c>
      <c r="Q26495" s="26">
        <v>1.6199999999999999E-2</v>
      </c>
      <c r="R26495" s="26">
        <v>1.6199999999999999E-2</v>
      </c>
      <c r="V26495" s="26">
        <v>4.8999999999999998E-3</v>
      </c>
      <c r="W26495">
        <v>164</v>
      </c>
    </row>
    <row r="26496" spans="1:23" x14ac:dyDescent="0.35">
      <c r="A26496" t="s">
        <v>229</v>
      </c>
      <c r="B26496" t="s">
        <v>361</v>
      </c>
      <c r="C26496" s="26">
        <v>0.42920000000000003</v>
      </c>
      <c r="D26496" s="26">
        <v>0.4229</v>
      </c>
      <c r="E26496" s="26">
        <v>6.3100000000000003E-2</v>
      </c>
      <c r="F26496" s="26">
        <v>4.5499999999999999E-2</v>
      </c>
      <c r="G26496" s="26">
        <v>4.1599999999999998E-2</v>
      </c>
      <c r="H26496" s="26">
        <v>2.9100000000000001E-2</v>
      </c>
      <c r="I26496" s="26">
        <v>1.4500000000000001E-2</v>
      </c>
      <c r="J26496" s="26">
        <v>8.2000000000000007E-3</v>
      </c>
      <c r="K26496" s="26">
        <v>1.6500000000000001E-2</v>
      </c>
      <c r="N26496" s="26">
        <v>7.9000000000000008E-3</v>
      </c>
      <c r="O26496" s="26">
        <v>7.9000000000000008E-3</v>
      </c>
      <c r="Q26496" s="26">
        <v>6.6E-3</v>
      </c>
      <c r="S26496" s="26">
        <v>2.5999999999999999E-3</v>
      </c>
      <c r="W26496">
        <v>242</v>
      </c>
    </row>
    <row r="26497" spans="1:23" x14ac:dyDescent="0.35">
      <c r="A26497" t="s">
        <v>229</v>
      </c>
      <c r="B26497" t="s">
        <v>362</v>
      </c>
      <c r="C26497" s="26">
        <v>0.41980000000000001</v>
      </c>
      <c r="D26497" s="26">
        <v>0.36030000000000001</v>
      </c>
      <c r="E26497" s="26">
        <v>9.5600000000000004E-2</v>
      </c>
      <c r="F26497" s="26">
        <v>8.7900000000000006E-2</v>
      </c>
      <c r="G26497" s="26">
        <v>7.0300000000000001E-2</v>
      </c>
      <c r="H26497" s="26">
        <v>6.0999999999999999E-2</v>
      </c>
      <c r="I26497" s="26">
        <v>5.9999999999999995E-4</v>
      </c>
      <c r="J26497" s="26">
        <v>2.5999999999999999E-3</v>
      </c>
      <c r="K26497" s="26">
        <v>4.7000000000000002E-3</v>
      </c>
      <c r="L26497" s="26">
        <v>2E-3</v>
      </c>
      <c r="M26497" s="26">
        <v>1.7100000000000001E-2</v>
      </c>
      <c r="N26497" s="26">
        <v>2E-3</v>
      </c>
      <c r="Q26497" s="26">
        <v>4.1000000000000003E-3</v>
      </c>
      <c r="W26497">
        <v>171</v>
      </c>
    </row>
    <row r="26498" spans="1:23" x14ac:dyDescent="0.35">
      <c r="A26498" t="s">
        <v>230</v>
      </c>
      <c r="B26498" t="s">
        <v>360</v>
      </c>
      <c r="C26498" s="26">
        <v>0.31879999999999997</v>
      </c>
      <c r="D26498" s="26">
        <v>0.19470000000000001</v>
      </c>
      <c r="E26498" s="26">
        <v>0.26329999999999998</v>
      </c>
      <c r="F26498" s="26">
        <v>0.16400000000000001</v>
      </c>
      <c r="G26498" s="26">
        <v>0.15920000000000001</v>
      </c>
      <c r="H26498" s="26">
        <v>3.1199999999999999E-2</v>
      </c>
      <c r="I26498" s="26">
        <v>9.5999999999999992E-3</v>
      </c>
      <c r="J26498" s="26">
        <v>4.5699999999999998E-2</v>
      </c>
      <c r="K26498" s="26">
        <v>1.5900000000000001E-2</v>
      </c>
      <c r="L26498" s="26">
        <v>5.4199999999999998E-2</v>
      </c>
      <c r="M26498" s="26">
        <v>9.5999999999999992E-3</v>
      </c>
      <c r="N26498" s="26">
        <v>4.4000000000000003E-3</v>
      </c>
      <c r="O26498" s="26">
        <v>2.8999999999999998E-3</v>
      </c>
      <c r="R26498" s="26">
        <v>1.5E-3</v>
      </c>
      <c r="U26498" s="26">
        <v>2.8999999999999998E-3</v>
      </c>
      <c r="W26498">
        <v>120</v>
      </c>
    </row>
    <row r="26499" spans="1:23" x14ac:dyDescent="0.35">
      <c r="A26499" t="s">
        <v>230</v>
      </c>
      <c r="B26499" t="s">
        <v>363</v>
      </c>
      <c r="C26499" s="26">
        <v>0.35289999999999999</v>
      </c>
      <c r="D26499" s="26">
        <v>0.33279999999999998</v>
      </c>
      <c r="E26499" s="26">
        <v>0.13569999999999999</v>
      </c>
      <c r="F26499" s="26">
        <v>7.8100000000000003E-2</v>
      </c>
      <c r="G26499" s="26">
        <v>8.3400000000000002E-2</v>
      </c>
      <c r="H26499" s="26">
        <v>3.78E-2</v>
      </c>
      <c r="I26499" s="26">
        <v>3.8999999999999998E-3</v>
      </c>
      <c r="J26499" s="26">
        <v>3.0700000000000002E-2</v>
      </c>
      <c r="K26499" s="26">
        <v>4.99E-2</v>
      </c>
      <c r="L26499" s="26">
        <v>3.8999999999999998E-3</v>
      </c>
      <c r="N26499" s="26">
        <v>3.8999999999999998E-3</v>
      </c>
      <c r="O26499" s="26">
        <v>7.7999999999999996E-3</v>
      </c>
      <c r="P26499" s="26">
        <v>2.3099999999999999E-2</v>
      </c>
      <c r="R26499" s="26">
        <v>2.3099999999999999E-2</v>
      </c>
      <c r="U26499" s="26">
        <v>2.5399999999999999E-2</v>
      </c>
      <c r="W26499">
        <v>127</v>
      </c>
    </row>
    <row r="26500" spans="1:23" x14ac:dyDescent="0.35">
      <c r="A26500" t="s">
        <v>230</v>
      </c>
      <c r="B26500" t="s">
        <v>361</v>
      </c>
      <c r="C26500" s="26">
        <v>0.45739999999999997</v>
      </c>
      <c r="D26500" s="26">
        <v>0.38729999999999998</v>
      </c>
      <c r="E26500" s="26">
        <v>6.7299999999999999E-2</v>
      </c>
      <c r="F26500" s="26">
        <v>4.9500000000000002E-2</v>
      </c>
      <c r="G26500" s="26">
        <v>2.3400000000000001E-2</v>
      </c>
      <c r="H26500" s="26">
        <v>7.2900000000000006E-2</v>
      </c>
      <c r="I26500" s="26">
        <v>2.47E-2</v>
      </c>
      <c r="K26500" s="26">
        <v>2.12E-2</v>
      </c>
      <c r="L26500" s="26">
        <v>1.1000000000000001E-3</v>
      </c>
      <c r="M26500" s="26">
        <v>3.5000000000000001E-3</v>
      </c>
      <c r="R26500" s="26">
        <v>3.5999999999999999E-3</v>
      </c>
      <c r="W26500">
        <v>109</v>
      </c>
    </row>
    <row r="26501" spans="1:23" x14ac:dyDescent="0.35">
      <c r="A26501" t="s">
        <v>230</v>
      </c>
      <c r="B26501" t="s">
        <v>362</v>
      </c>
      <c r="C26501" s="26">
        <v>0.40639999999999998</v>
      </c>
      <c r="D26501" s="26">
        <v>0.33510000000000001</v>
      </c>
      <c r="E26501" s="26">
        <v>3.9699999999999999E-2</v>
      </c>
      <c r="F26501" s="26">
        <v>2.1999999999999999E-2</v>
      </c>
      <c r="G26501" s="26">
        <v>9.64E-2</v>
      </c>
      <c r="H26501" s="26">
        <v>4.1399999999999999E-2</v>
      </c>
      <c r="I26501" s="26">
        <v>3.5999999999999999E-3</v>
      </c>
      <c r="J26501" s="26">
        <v>7.6300000000000007E-2</v>
      </c>
      <c r="K26501" s="26">
        <v>4.7000000000000002E-3</v>
      </c>
      <c r="L26501" s="26">
        <v>1.0800000000000001E-2</v>
      </c>
      <c r="M26501" s="26">
        <v>1.1000000000000001E-3</v>
      </c>
      <c r="N26501" s="26">
        <v>6.8000000000000005E-2</v>
      </c>
      <c r="O26501" s="26">
        <v>6.9099999999999995E-2</v>
      </c>
      <c r="P26501" s="26">
        <v>3.5999999999999999E-3</v>
      </c>
      <c r="Q26501" s="26">
        <v>3.5999999999999999E-3</v>
      </c>
      <c r="U26501" s="26">
        <v>3.5000000000000001E-3</v>
      </c>
      <c r="W26501">
        <v>148</v>
      </c>
    </row>
    <row r="26502" spans="1:23" x14ac:dyDescent="0.35">
      <c r="A26502" s="27" t="s">
        <v>231</v>
      </c>
      <c r="B26502" s="27" t="s">
        <v>362</v>
      </c>
      <c r="C26502" s="28">
        <v>0.55169999999999997</v>
      </c>
      <c r="D26502" s="28">
        <v>0.1724</v>
      </c>
      <c r="E26502" s="28">
        <v>0.10340000000000001</v>
      </c>
      <c r="F26502" s="28">
        <v>6.9000000000000006E-2</v>
      </c>
      <c r="G26502" s="28">
        <v>0.1724</v>
      </c>
      <c r="H26502" s="28">
        <v>3.4500000000000003E-2</v>
      </c>
      <c r="I26502" s="29"/>
      <c r="J26502" s="29"/>
      <c r="K26502" s="29"/>
      <c r="L26502" s="29"/>
      <c r="M26502" s="29"/>
      <c r="N26502" s="29"/>
      <c r="O26502" s="29"/>
      <c r="P26502" s="29"/>
      <c r="Q26502" s="29"/>
      <c r="R26502" s="29"/>
      <c r="S26502" s="29"/>
      <c r="T26502" s="29"/>
      <c r="U26502" s="29"/>
      <c r="V26502" s="29"/>
      <c r="W26502" s="29" t="s">
        <v>329</v>
      </c>
    </row>
    <row r="26503" spans="1:23" x14ac:dyDescent="0.35">
      <c r="A26503" t="s">
        <v>231</v>
      </c>
      <c r="B26503" t="s">
        <v>361</v>
      </c>
      <c r="C26503" s="26">
        <v>0.48</v>
      </c>
      <c r="D26503" s="26">
        <v>0.42</v>
      </c>
      <c r="E26503" s="26">
        <v>0.06</v>
      </c>
      <c r="F26503" s="26">
        <v>0.06</v>
      </c>
      <c r="G26503" s="26">
        <v>0.02</v>
      </c>
      <c r="M26503" s="26">
        <v>0.02</v>
      </c>
      <c r="W26503">
        <v>50</v>
      </c>
    </row>
    <row r="26504" spans="1:23" x14ac:dyDescent="0.35">
      <c r="A26504" t="s">
        <v>231</v>
      </c>
      <c r="B26504" t="s">
        <v>360</v>
      </c>
      <c r="C26504" s="26">
        <v>0.4773</v>
      </c>
      <c r="D26504" s="26">
        <v>0.2727</v>
      </c>
      <c r="E26504" s="26">
        <v>0.11360000000000001</v>
      </c>
      <c r="F26504" s="26">
        <v>0.11360000000000001</v>
      </c>
      <c r="G26504" s="26">
        <v>4.5499999999999999E-2</v>
      </c>
      <c r="H26504" s="26">
        <v>6.8199999999999997E-2</v>
      </c>
      <c r="I26504" s="26">
        <v>4.5499999999999999E-2</v>
      </c>
      <c r="J26504" s="26">
        <v>2.2700000000000001E-2</v>
      </c>
      <c r="L26504" s="26">
        <v>2.2700000000000001E-2</v>
      </c>
      <c r="M26504" s="26">
        <v>2.2700000000000001E-2</v>
      </c>
      <c r="T26504" s="26">
        <v>2.2700000000000001E-2</v>
      </c>
      <c r="W26504">
        <v>44</v>
      </c>
    </row>
    <row r="26505" spans="1:23" x14ac:dyDescent="0.35">
      <c r="A26505" s="27" t="s">
        <v>231</v>
      </c>
      <c r="B26505" s="27" t="s">
        <v>363</v>
      </c>
      <c r="C26505" s="28">
        <v>0.44440000000000002</v>
      </c>
      <c r="D26505" s="28">
        <v>0.29630000000000001</v>
      </c>
      <c r="E26505" s="28">
        <v>0.14810000000000001</v>
      </c>
      <c r="F26505" s="28">
        <v>0.1111</v>
      </c>
      <c r="G26505" s="28">
        <v>7.4099999999999999E-2</v>
      </c>
      <c r="H26505" s="28">
        <v>7.4099999999999999E-2</v>
      </c>
      <c r="I26505" s="29"/>
      <c r="J26505" s="29"/>
      <c r="K26505" s="29"/>
      <c r="L26505" s="29"/>
      <c r="M26505" s="29"/>
      <c r="N26505" s="29"/>
      <c r="O26505" s="29"/>
      <c r="P26505" s="29"/>
      <c r="Q26505" s="29"/>
      <c r="R26505" s="29"/>
      <c r="S26505" s="29"/>
      <c r="T26505" s="29"/>
      <c r="U26505" s="29"/>
      <c r="V26505" s="29"/>
      <c r="W26505" s="29" t="s">
        <v>338</v>
      </c>
    </row>
    <row r="26506" spans="1:23" x14ac:dyDescent="0.35">
      <c r="A26506" t="s">
        <v>232</v>
      </c>
      <c r="B26506" t="s">
        <v>232</v>
      </c>
      <c r="C26506" s="26">
        <v>0.42699999999999999</v>
      </c>
      <c r="D26506" s="26">
        <v>0.3271</v>
      </c>
      <c r="E26506" s="26">
        <v>9.3799999999999994E-2</v>
      </c>
      <c r="F26506" s="26">
        <v>8.3500000000000005E-2</v>
      </c>
      <c r="G26506" s="26">
        <v>6.6000000000000003E-2</v>
      </c>
      <c r="H26506" s="26">
        <v>5.57E-2</v>
      </c>
      <c r="I26506" s="26">
        <v>1.43E-2</v>
      </c>
      <c r="J26506" s="26">
        <v>1.0999999999999999E-2</v>
      </c>
      <c r="K26506" s="26">
        <v>1.0500000000000001E-2</v>
      </c>
      <c r="L26506" s="26">
        <v>8.8999999999999999E-3</v>
      </c>
      <c r="M26506" s="26">
        <v>7.1999999999999998E-3</v>
      </c>
      <c r="N26506" s="26">
        <v>6.3E-3</v>
      </c>
      <c r="O26506" s="26">
        <v>5.4000000000000003E-3</v>
      </c>
      <c r="P26506" s="26">
        <v>3.8999999999999998E-3</v>
      </c>
      <c r="Q26506" s="26">
        <v>2.3999999999999998E-3</v>
      </c>
      <c r="R26506" s="26">
        <v>2.0999999999999999E-3</v>
      </c>
      <c r="S26506" s="26">
        <v>1.9E-3</v>
      </c>
      <c r="T26506" s="26">
        <v>1.9E-3</v>
      </c>
      <c r="U26506" s="26">
        <v>1.8E-3</v>
      </c>
      <c r="V26506" s="26">
        <v>1.2999999999999999E-3</v>
      </c>
      <c r="W26506">
        <v>2475</v>
      </c>
    </row>
    <row r="26508" spans="1:23" x14ac:dyDescent="0.35">
      <c r="A26508" s="1" t="s">
        <v>2413</v>
      </c>
    </row>
    <row r="26509" spans="1:23" x14ac:dyDescent="0.35">
      <c r="A26509" t="s">
        <v>219</v>
      </c>
      <c r="B26509" t="s">
        <v>305</v>
      </c>
      <c r="C26509" t="s">
        <v>2392</v>
      </c>
      <c r="D26509" t="s">
        <v>2393</v>
      </c>
      <c r="E26509" t="s">
        <v>2394</v>
      </c>
      <c r="F26509" t="s">
        <v>2395</v>
      </c>
      <c r="G26509" t="s">
        <v>2396</v>
      </c>
      <c r="H26509" t="s">
        <v>2397</v>
      </c>
      <c r="I26509" t="s">
        <v>281</v>
      </c>
      <c r="J26509" t="s">
        <v>2398</v>
      </c>
      <c r="K26509" t="s">
        <v>2399</v>
      </c>
      <c r="L26509" t="s">
        <v>2400</v>
      </c>
      <c r="M26509" t="s">
        <v>2401</v>
      </c>
      <c r="N26509" t="s">
        <v>2402</v>
      </c>
      <c r="O26509" t="s">
        <v>2403</v>
      </c>
      <c r="P26509" t="s">
        <v>2404</v>
      </c>
      <c r="Q26509" t="s">
        <v>2405</v>
      </c>
      <c r="R26509" t="s">
        <v>2406</v>
      </c>
      <c r="S26509" t="s">
        <v>326</v>
      </c>
      <c r="T26509" t="s">
        <v>2407</v>
      </c>
      <c r="U26509" t="s">
        <v>2408</v>
      </c>
      <c r="V26509" t="s">
        <v>286</v>
      </c>
      <c r="W26509" t="s">
        <v>226</v>
      </c>
    </row>
    <row r="26510" spans="1:23" x14ac:dyDescent="0.35">
      <c r="A26510" t="s">
        <v>227</v>
      </c>
      <c r="B26510" t="s">
        <v>267</v>
      </c>
      <c r="C26510" s="26">
        <v>0.27779999999999999</v>
      </c>
      <c r="D26510" s="26">
        <v>0.36109999999999998</v>
      </c>
      <c r="E26510" s="26">
        <v>0.1389</v>
      </c>
      <c r="F26510" s="26">
        <v>0.1111</v>
      </c>
      <c r="G26510" s="26">
        <v>5.5599999999999997E-2</v>
      </c>
      <c r="H26510" s="26">
        <v>0.1111</v>
      </c>
      <c r="J26510" s="26">
        <v>2.7799999999999998E-2</v>
      </c>
      <c r="S26510" s="26">
        <v>2.7799999999999998E-2</v>
      </c>
      <c r="W26510">
        <v>36</v>
      </c>
    </row>
    <row r="26511" spans="1:23" x14ac:dyDescent="0.35">
      <c r="A26511" t="s">
        <v>227</v>
      </c>
      <c r="B26511" t="s">
        <v>266</v>
      </c>
      <c r="C26511" s="26">
        <v>0.32200000000000001</v>
      </c>
      <c r="D26511" s="26">
        <v>0.40679999999999999</v>
      </c>
      <c r="E26511" s="26">
        <v>8.4699999999999998E-2</v>
      </c>
      <c r="F26511" s="26">
        <v>8.4699999999999998E-2</v>
      </c>
      <c r="G26511" s="26">
        <v>0.1017</v>
      </c>
      <c r="H26511" s="26">
        <v>5.0799999999999998E-2</v>
      </c>
      <c r="I26511" s="26">
        <v>1.6899999999999998E-2</v>
      </c>
      <c r="W26511">
        <v>59</v>
      </c>
    </row>
    <row r="26512" spans="1:23" x14ac:dyDescent="0.35">
      <c r="A26512" t="s">
        <v>227</v>
      </c>
      <c r="B26512" t="s">
        <v>265</v>
      </c>
      <c r="C26512" s="26">
        <v>0.40910000000000002</v>
      </c>
      <c r="D26512" s="26">
        <v>0.36359999999999998</v>
      </c>
      <c r="E26512" s="26">
        <v>6.0600000000000001E-2</v>
      </c>
      <c r="F26512" s="26">
        <v>7.5800000000000006E-2</v>
      </c>
      <c r="G26512" s="26">
        <v>0.1061</v>
      </c>
      <c r="H26512" s="26">
        <v>6.0600000000000001E-2</v>
      </c>
      <c r="I26512" s="26">
        <v>1.52E-2</v>
      </c>
      <c r="K26512" s="26">
        <v>3.0300000000000001E-2</v>
      </c>
      <c r="L26512" s="26">
        <v>3.0300000000000001E-2</v>
      </c>
      <c r="M26512" s="26">
        <v>1.52E-2</v>
      </c>
      <c r="W26512">
        <v>66</v>
      </c>
    </row>
    <row r="26513" spans="1:23" x14ac:dyDescent="0.35">
      <c r="A26513" t="s">
        <v>228</v>
      </c>
      <c r="B26513" t="s">
        <v>267</v>
      </c>
      <c r="C26513" s="26">
        <v>0.50900000000000001</v>
      </c>
      <c r="D26513" s="26">
        <v>0.2014</v>
      </c>
      <c r="E26513" s="26">
        <v>0.12509999999999999</v>
      </c>
      <c r="F26513" s="26">
        <v>9.2299999999999993E-2</v>
      </c>
      <c r="G26513" s="26">
        <v>4.7600000000000003E-2</v>
      </c>
      <c r="H26513" s="26">
        <v>4.3099999999999999E-2</v>
      </c>
      <c r="I26513" s="26">
        <v>1.72E-2</v>
      </c>
      <c r="J26513" s="26">
        <v>4.8999999999999998E-3</v>
      </c>
      <c r="K26513" s="26">
        <v>1.4800000000000001E-2</v>
      </c>
      <c r="L26513" s="26">
        <v>1.0200000000000001E-2</v>
      </c>
      <c r="O26513" s="26">
        <v>2.7E-2</v>
      </c>
      <c r="P26513" s="26">
        <v>3.7600000000000001E-2</v>
      </c>
      <c r="R26513" s="26">
        <v>1.5100000000000001E-2</v>
      </c>
      <c r="U26513" s="26">
        <v>2.0199999999999999E-2</v>
      </c>
      <c r="V26513" s="26">
        <v>6.4999999999999997E-3</v>
      </c>
      <c r="W26513">
        <v>199</v>
      </c>
    </row>
    <row r="26514" spans="1:23" x14ac:dyDescent="0.35">
      <c r="A26514" t="s">
        <v>228</v>
      </c>
      <c r="B26514" t="s">
        <v>265</v>
      </c>
      <c r="C26514" s="26">
        <v>0.45200000000000001</v>
      </c>
      <c r="D26514" s="26">
        <v>0.27329999999999999</v>
      </c>
      <c r="E26514" s="26">
        <v>7.7200000000000005E-2</v>
      </c>
      <c r="F26514" s="26">
        <v>9.8599999999999993E-2</v>
      </c>
      <c r="G26514" s="26">
        <v>6.6500000000000004E-2</v>
      </c>
      <c r="H26514" s="26">
        <v>6.0400000000000002E-2</v>
      </c>
      <c r="I26514" s="26">
        <v>1.89E-2</v>
      </c>
      <c r="J26514" s="26">
        <v>1.34E-2</v>
      </c>
      <c r="K26514" s="26">
        <v>1.2999999999999999E-2</v>
      </c>
      <c r="L26514" s="26">
        <v>1.2999999999999999E-3</v>
      </c>
      <c r="M26514" s="26">
        <v>9.4999999999999998E-3</v>
      </c>
      <c r="N26514" s="26">
        <v>5.9999999999999995E-4</v>
      </c>
      <c r="O26514" s="26">
        <v>1.01E-2</v>
      </c>
      <c r="P26514" s="26">
        <v>8.9999999999999993E-3</v>
      </c>
      <c r="Q26514" s="26">
        <v>8.0000000000000002E-3</v>
      </c>
      <c r="R26514" s="26">
        <v>2.8999999999999998E-3</v>
      </c>
      <c r="S26514" s="26">
        <v>7.0000000000000001E-3</v>
      </c>
      <c r="T26514" s="26">
        <v>2.8E-3</v>
      </c>
      <c r="U26514" s="26">
        <v>3.0000000000000001E-3</v>
      </c>
      <c r="V26514" s="26">
        <v>8.9999999999999993E-3</v>
      </c>
      <c r="W26514">
        <v>384</v>
      </c>
    </row>
    <row r="26515" spans="1:23" x14ac:dyDescent="0.35">
      <c r="A26515" s="27" t="s">
        <v>228</v>
      </c>
      <c r="B26515" s="27" t="s">
        <v>236</v>
      </c>
      <c r="C26515" s="28">
        <v>0.5</v>
      </c>
      <c r="D26515" s="28">
        <v>0.5</v>
      </c>
      <c r="E26515" s="29"/>
      <c r="F26515" s="29"/>
      <c r="G26515" s="29"/>
      <c r="H26515" s="29"/>
      <c r="I26515" s="29"/>
      <c r="J26515" s="29"/>
      <c r="K26515" s="29"/>
      <c r="L26515" s="29"/>
      <c r="M26515" s="29"/>
      <c r="N26515" s="29"/>
      <c r="O26515" s="29"/>
      <c r="P26515" s="29"/>
      <c r="Q26515" s="29"/>
      <c r="R26515" s="29"/>
      <c r="S26515" s="29"/>
      <c r="T26515" s="29"/>
      <c r="U26515" s="29"/>
      <c r="V26515" s="29"/>
      <c r="W26515" s="29" t="s">
        <v>314</v>
      </c>
    </row>
    <row r="26516" spans="1:23" x14ac:dyDescent="0.35">
      <c r="A26516" t="s">
        <v>228</v>
      </c>
      <c r="B26516" t="s">
        <v>266</v>
      </c>
      <c r="C26516" s="26">
        <v>0.43930000000000002</v>
      </c>
      <c r="D26516" s="26">
        <v>0.24310000000000001</v>
      </c>
      <c r="E26516" s="26">
        <v>9.8000000000000004E-2</v>
      </c>
      <c r="F26516" s="26">
        <v>0.112</v>
      </c>
      <c r="G26516" s="26">
        <v>6.9000000000000006E-2</v>
      </c>
      <c r="H26516" s="26">
        <v>8.0399999999999999E-2</v>
      </c>
      <c r="I26516" s="26">
        <v>7.1999999999999998E-3</v>
      </c>
      <c r="J26516" s="26">
        <v>2.1000000000000001E-2</v>
      </c>
      <c r="K26516" s="26">
        <v>1.37E-2</v>
      </c>
      <c r="L26516" s="26">
        <v>3.2399999999999998E-2</v>
      </c>
      <c r="M26516" s="26">
        <v>9.1000000000000004E-3</v>
      </c>
      <c r="N26516" s="26">
        <v>1.54E-2</v>
      </c>
      <c r="O26516" s="26">
        <v>9.9000000000000008E-3</v>
      </c>
      <c r="P26516" s="26">
        <v>5.5999999999999999E-3</v>
      </c>
      <c r="Q26516" s="26">
        <v>1E-3</v>
      </c>
      <c r="S26516" s="26">
        <v>8.9999999999999998E-4</v>
      </c>
      <c r="U26516" s="26">
        <v>1.9E-3</v>
      </c>
      <c r="W26516">
        <v>448</v>
      </c>
    </row>
    <row r="26517" spans="1:23" x14ac:dyDescent="0.35">
      <c r="A26517" t="s">
        <v>229</v>
      </c>
      <c r="B26517" t="s">
        <v>266</v>
      </c>
      <c r="C26517" s="26">
        <v>0.4178</v>
      </c>
      <c r="D26517" s="26">
        <v>0.31519999999999998</v>
      </c>
      <c r="E26517" s="26">
        <v>8.0600000000000005E-2</v>
      </c>
      <c r="F26517" s="26">
        <v>6.4500000000000002E-2</v>
      </c>
      <c r="G26517" s="26">
        <v>6.1199999999999997E-2</v>
      </c>
      <c r="H26517" s="26">
        <v>7.6600000000000001E-2</v>
      </c>
      <c r="I26517" s="26">
        <v>1.9300000000000001E-2</v>
      </c>
      <c r="J26517" s="26">
        <v>3.0000000000000001E-3</v>
      </c>
      <c r="K26517" s="26">
        <v>1.9599999999999999E-2</v>
      </c>
      <c r="M26517" s="26">
        <v>7.6E-3</v>
      </c>
      <c r="N26517" s="26">
        <v>7.6E-3</v>
      </c>
      <c r="O26517" s="26">
        <v>8.0000000000000004E-4</v>
      </c>
      <c r="P26517" s="26">
        <v>8.0000000000000004E-4</v>
      </c>
      <c r="Q26517" s="26">
        <v>1.5299999999999999E-2</v>
      </c>
      <c r="U26517" s="26">
        <v>2.9999999999999997E-4</v>
      </c>
      <c r="V26517" s="26">
        <v>2.9999999999999997E-4</v>
      </c>
      <c r="W26517">
        <v>359</v>
      </c>
    </row>
    <row r="26518" spans="1:23" x14ac:dyDescent="0.35">
      <c r="A26518" t="s">
        <v>229</v>
      </c>
      <c r="B26518" t="s">
        <v>267</v>
      </c>
      <c r="C26518" s="26">
        <v>0.437</v>
      </c>
      <c r="D26518" s="26">
        <v>0.3735</v>
      </c>
      <c r="E26518" s="26">
        <v>0.1105</v>
      </c>
      <c r="F26518" s="26">
        <v>7.7399999999999997E-2</v>
      </c>
      <c r="G26518" s="26">
        <v>6.25E-2</v>
      </c>
      <c r="H26518" s="26">
        <v>3.27E-2</v>
      </c>
      <c r="I26518" s="26">
        <v>1.1900000000000001E-2</v>
      </c>
      <c r="J26518" s="26">
        <v>1.41E-2</v>
      </c>
      <c r="K26518" s="26">
        <v>4.0000000000000002E-4</v>
      </c>
      <c r="N26518" s="26">
        <v>2.52E-2</v>
      </c>
      <c r="O26518" s="26">
        <v>1.5E-3</v>
      </c>
      <c r="P26518" s="26">
        <v>1.37E-2</v>
      </c>
      <c r="S26518" s="26">
        <v>1.5E-3</v>
      </c>
      <c r="W26518">
        <v>200</v>
      </c>
    </row>
    <row r="26519" spans="1:23" x14ac:dyDescent="0.35">
      <c r="A26519" t="s">
        <v>229</v>
      </c>
      <c r="B26519" t="s">
        <v>265</v>
      </c>
      <c r="C26519" s="26">
        <v>0.39739999999999998</v>
      </c>
      <c r="D26519" s="26">
        <v>0.37780000000000002</v>
      </c>
      <c r="E26519" s="26">
        <v>8.3900000000000002E-2</v>
      </c>
      <c r="F26519" s="26">
        <v>8.6699999999999999E-2</v>
      </c>
      <c r="G26519" s="26">
        <v>4.1000000000000002E-2</v>
      </c>
      <c r="H26519" s="26">
        <v>5.7500000000000002E-2</v>
      </c>
      <c r="I26519" s="26">
        <v>2.23E-2</v>
      </c>
      <c r="J26519" s="26">
        <v>8.0000000000000002E-3</v>
      </c>
      <c r="K26519" s="26">
        <v>1.6500000000000001E-2</v>
      </c>
      <c r="L26519" s="26">
        <v>7.6E-3</v>
      </c>
      <c r="M26519" s="26">
        <v>2.8E-3</v>
      </c>
      <c r="N26519" s="26">
        <v>7.4000000000000003E-3</v>
      </c>
      <c r="O26519" s="26">
        <v>7.0000000000000001E-3</v>
      </c>
      <c r="Q26519" s="26">
        <v>1.5E-3</v>
      </c>
      <c r="R26519" s="26">
        <v>5.5999999999999999E-3</v>
      </c>
      <c r="S26519" s="26">
        <v>1.5E-3</v>
      </c>
      <c r="V26519" s="26">
        <v>2.2000000000000001E-3</v>
      </c>
      <c r="W26519">
        <v>335</v>
      </c>
    </row>
    <row r="26520" spans="1:23" x14ac:dyDescent="0.35">
      <c r="A26520" t="s">
        <v>230</v>
      </c>
      <c r="B26520" t="s">
        <v>267</v>
      </c>
      <c r="C26520" s="26">
        <v>0.42970000000000003</v>
      </c>
      <c r="D26520" s="26">
        <v>0.38300000000000001</v>
      </c>
      <c r="E26520" s="26">
        <v>5.4399999999999997E-2</v>
      </c>
      <c r="F26520" s="26">
        <v>3.2599999999999997E-2</v>
      </c>
      <c r="G26520" s="26">
        <v>0.1048</v>
      </c>
      <c r="H26520" s="26">
        <v>9.2999999999999992E-3</v>
      </c>
      <c r="I26520" s="26">
        <v>8.3000000000000001E-3</v>
      </c>
      <c r="J26520" s="26">
        <v>3.27E-2</v>
      </c>
      <c r="K26520" s="26">
        <v>4.0000000000000001E-3</v>
      </c>
      <c r="L26520" s="26">
        <v>3.2500000000000001E-2</v>
      </c>
      <c r="M26520" s="26">
        <v>1.1999999999999999E-3</v>
      </c>
      <c r="N26520" s="26">
        <v>4.1000000000000003E-3</v>
      </c>
      <c r="O26520" s="26">
        <v>4.1000000000000003E-3</v>
      </c>
      <c r="R26520" s="26">
        <v>4.1000000000000003E-3</v>
      </c>
      <c r="U26520" s="26">
        <v>2.5000000000000001E-3</v>
      </c>
      <c r="W26520">
        <v>119</v>
      </c>
    </row>
    <row r="26521" spans="1:23" x14ac:dyDescent="0.35">
      <c r="A26521" t="s">
        <v>230</v>
      </c>
      <c r="B26521" t="s">
        <v>266</v>
      </c>
      <c r="C26521" s="26">
        <v>0.38529999999999998</v>
      </c>
      <c r="D26521" s="26">
        <v>0.2432</v>
      </c>
      <c r="E26521" s="26">
        <v>0.14699999999999999</v>
      </c>
      <c r="F26521" s="26">
        <v>9.3100000000000002E-2</v>
      </c>
      <c r="G26521" s="26">
        <v>0.1113</v>
      </c>
      <c r="H26521" s="26">
        <v>5.4600000000000003E-2</v>
      </c>
      <c r="I26521" s="26">
        <v>7.4000000000000003E-3</v>
      </c>
      <c r="J26521" s="26">
        <v>3.95E-2</v>
      </c>
      <c r="K26521" s="26">
        <v>3.73E-2</v>
      </c>
      <c r="L26521" s="26">
        <v>1.15E-2</v>
      </c>
      <c r="M26521" s="26">
        <v>7.4000000000000003E-3</v>
      </c>
      <c r="N26521" s="26">
        <v>3.1300000000000001E-2</v>
      </c>
      <c r="O26521" s="26">
        <v>3.3799999999999997E-2</v>
      </c>
      <c r="P26521" s="26">
        <v>1.49E-2</v>
      </c>
      <c r="R26521" s="26">
        <v>1.49E-2</v>
      </c>
      <c r="U26521" s="26">
        <v>1.7299999999999999E-2</v>
      </c>
      <c r="W26521">
        <v>232</v>
      </c>
    </row>
    <row r="26522" spans="1:23" x14ac:dyDescent="0.35">
      <c r="A26522" t="s">
        <v>230</v>
      </c>
      <c r="B26522" t="s">
        <v>265</v>
      </c>
      <c r="C26522" s="26">
        <v>0.38529999999999998</v>
      </c>
      <c r="D26522" s="26">
        <v>0.36730000000000002</v>
      </c>
      <c r="E26522" s="26">
        <v>0.1067</v>
      </c>
      <c r="F26522" s="26">
        <v>7.0999999999999994E-2</v>
      </c>
      <c r="G26522" s="26">
        <v>4.3999999999999997E-2</v>
      </c>
      <c r="H26522" s="26">
        <v>5.8299999999999998E-2</v>
      </c>
      <c r="I26522" s="26">
        <v>1.4999999999999999E-2</v>
      </c>
      <c r="J26522" s="26">
        <v>3.1899999999999998E-2</v>
      </c>
      <c r="K26522" s="26">
        <v>1.6299999999999999E-2</v>
      </c>
      <c r="L26522" s="26">
        <v>6.4999999999999997E-3</v>
      </c>
      <c r="M26522" s="26">
        <v>2.0999999999999999E-3</v>
      </c>
      <c r="N26522" s="26">
        <v>1.5699999999999999E-2</v>
      </c>
      <c r="O26522" s="26">
        <v>1.5699999999999999E-2</v>
      </c>
      <c r="P26522" s="26">
        <v>2.2000000000000001E-3</v>
      </c>
      <c r="Q26522" s="26">
        <v>2.2000000000000001E-3</v>
      </c>
      <c r="R26522" s="26">
        <v>6.9999999999999999E-4</v>
      </c>
      <c r="U26522" s="26">
        <v>1.2999999999999999E-3</v>
      </c>
      <c r="V26522" s="26">
        <v>2.0999999999999999E-3</v>
      </c>
      <c r="W26522">
        <v>209</v>
      </c>
    </row>
    <row r="26523" spans="1:23" x14ac:dyDescent="0.35">
      <c r="A26523" t="s">
        <v>231</v>
      </c>
      <c r="B26523" t="s">
        <v>267</v>
      </c>
      <c r="C26523" s="26">
        <v>0.5</v>
      </c>
      <c r="D26523" s="26">
        <v>0.26469999999999999</v>
      </c>
      <c r="E26523" s="26">
        <v>8.8200000000000001E-2</v>
      </c>
      <c r="F26523" s="26">
        <v>8.8200000000000001E-2</v>
      </c>
      <c r="G26523" s="26">
        <v>0.1176</v>
      </c>
      <c r="H26523" s="26">
        <v>5.8799999999999998E-2</v>
      </c>
      <c r="J26523" s="26">
        <v>2.9399999999999999E-2</v>
      </c>
      <c r="M26523" s="26">
        <v>2.9399999999999999E-2</v>
      </c>
      <c r="W26523">
        <v>34</v>
      </c>
    </row>
    <row r="26524" spans="1:23" x14ac:dyDescent="0.35">
      <c r="A26524" t="s">
        <v>231</v>
      </c>
      <c r="B26524" t="s">
        <v>266</v>
      </c>
      <c r="C26524" s="26">
        <v>0.4194</v>
      </c>
      <c r="D26524" s="26">
        <v>0.3226</v>
      </c>
      <c r="E26524" s="26">
        <v>0.1613</v>
      </c>
      <c r="F26524" s="26">
        <v>0.129</v>
      </c>
      <c r="G26524" s="26">
        <v>9.6799999999999997E-2</v>
      </c>
      <c r="H26524" s="26">
        <v>3.2300000000000002E-2</v>
      </c>
      <c r="L26524" s="26">
        <v>1.61E-2</v>
      </c>
      <c r="W26524">
        <v>62</v>
      </c>
    </row>
    <row r="26525" spans="1:23" x14ac:dyDescent="0.35">
      <c r="A26525" t="s">
        <v>231</v>
      </c>
      <c r="B26525" t="s">
        <v>265</v>
      </c>
      <c r="C26525" s="26">
        <v>0.51470000000000005</v>
      </c>
      <c r="D26525" s="26">
        <v>0.35289999999999999</v>
      </c>
      <c r="E26525" s="26">
        <v>4.41E-2</v>
      </c>
      <c r="F26525" s="26">
        <v>2.9399999999999999E-2</v>
      </c>
      <c r="H26525" s="26">
        <v>4.41E-2</v>
      </c>
      <c r="I26525" s="26">
        <v>2.9399999999999999E-2</v>
      </c>
      <c r="M26525" s="26">
        <v>1.47E-2</v>
      </c>
      <c r="T26525" s="26">
        <v>1.47E-2</v>
      </c>
      <c r="W26525">
        <v>68</v>
      </c>
    </row>
    <row r="26526" spans="1:23" x14ac:dyDescent="0.35">
      <c r="A26526" t="s">
        <v>232</v>
      </c>
      <c r="B26526" t="s">
        <v>232</v>
      </c>
      <c r="C26526" s="26">
        <v>0.42699999999999999</v>
      </c>
      <c r="D26526" s="26">
        <v>0.3271</v>
      </c>
      <c r="E26526" s="26">
        <v>9.3799999999999994E-2</v>
      </c>
      <c r="F26526" s="26">
        <v>8.3500000000000005E-2</v>
      </c>
      <c r="G26526" s="26">
        <v>6.6000000000000003E-2</v>
      </c>
      <c r="H26526" s="26">
        <v>5.57E-2</v>
      </c>
      <c r="I26526" s="26">
        <v>1.43E-2</v>
      </c>
      <c r="J26526" s="26">
        <v>1.0999999999999999E-2</v>
      </c>
      <c r="K26526" s="26">
        <v>1.0500000000000001E-2</v>
      </c>
      <c r="L26526" s="26">
        <v>8.8999999999999999E-3</v>
      </c>
      <c r="M26526" s="26">
        <v>7.1999999999999998E-3</v>
      </c>
      <c r="N26526" s="26">
        <v>6.3E-3</v>
      </c>
      <c r="O26526" s="26">
        <v>5.4000000000000003E-3</v>
      </c>
      <c r="P26526" s="26">
        <v>3.8999999999999998E-3</v>
      </c>
      <c r="Q26526" s="26">
        <v>2.3999999999999998E-3</v>
      </c>
      <c r="R26526" s="26">
        <v>2.0999999999999999E-3</v>
      </c>
      <c r="S26526" s="26">
        <v>1.9E-3</v>
      </c>
      <c r="T26526" s="26">
        <v>1.9E-3</v>
      </c>
      <c r="U26526" s="26">
        <v>1.8E-3</v>
      </c>
      <c r="V26526" s="26">
        <v>1.2999999999999999E-3</v>
      </c>
      <c r="W26526">
        <v>2812</v>
      </c>
    </row>
    <row r="26528" spans="1:23" x14ac:dyDescent="0.35">
      <c r="A26528" s="1" t="s">
        <v>2414</v>
      </c>
    </row>
    <row r="26529" spans="1:23" x14ac:dyDescent="0.35">
      <c r="A26529" t="s">
        <v>219</v>
      </c>
      <c r="B26529" t="s">
        <v>305</v>
      </c>
      <c r="C26529" t="s">
        <v>2392</v>
      </c>
      <c r="D26529" t="s">
        <v>2393</v>
      </c>
      <c r="E26529" t="s">
        <v>2394</v>
      </c>
      <c r="F26529" t="s">
        <v>2395</v>
      </c>
      <c r="G26529" t="s">
        <v>2396</v>
      </c>
      <c r="H26529" t="s">
        <v>2397</v>
      </c>
      <c r="I26529" t="s">
        <v>281</v>
      </c>
      <c r="J26529" t="s">
        <v>2398</v>
      </c>
      <c r="K26529" t="s">
        <v>2399</v>
      </c>
      <c r="L26529" t="s">
        <v>2400</v>
      </c>
      <c r="M26529" t="s">
        <v>2401</v>
      </c>
      <c r="N26529" t="s">
        <v>2402</v>
      </c>
      <c r="O26529" t="s">
        <v>2403</v>
      </c>
      <c r="P26529" t="s">
        <v>2404</v>
      </c>
      <c r="Q26529" t="s">
        <v>2405</v>
      </c>
      <c r="R26529" t="s">
        <v>2406</v>
      </c>
      <c r="S26529" t="s">
        <v>326</v>
      </c>
      <c r="T26529" t="s">
        <v>2407</v>
      </c>
      <c r="U26529" t="s">
        <v>2408</v>
      </c>
      <c r="V26529" t="s">
        <v>286</v>
      </c>
      <c r="W26529" t="s">
        <v>226</v>
      </c>
    </row>
    <row r="26530" spans="1:23" x14ac:dyDescent="0.35">
      <c r="A26530" t="s">
        <v>227</v>
      </c>
      <c r="B26530" t="s">
        <v>252</v>
      </c>
      <c r="C26530" s="26">
        <v>0.28889999999999999</v>
      </c>
      <c r="D26530" s="26">
        <v>0.44440000000000002</v>
      </c>
      <c r="E26530" s="26">
        <v>0.1333</v>
      </c>
      <c r="F26530" s="26">
        <v>0.1111</v>
      </c>
      <c r="G26530" s="26">
        <v>0.1111</v>
      </c>
      <c r="H26530" s="26">
        <v>2.2200000000000001E-2</v>
      </c>
      <c r="J26530" s="26">
        <v>2.2200000000000001E-2</v>
      </c>
      <c r="W26530">
        <v>45</v>
      </c>
    </row>
    <row r="26531" spans="1:23" x14ac:dyDescent="0.35">
      <c r="A26531" t="s">
        <v>227</v>
      </c>
      <c r="B26531" t="s">
        <v>253</v>
      </c>
      <c r="C26531" s="26">
        <v>0.4118</v>
      </c>
      <c r="D26531" s="26">
        <v>0.38240000000000002</v>
      </c>
      <c r="E26531" s="26">
        <v>2.9399999999999999E-2</v>
      </c>
      <c r="F26531" s="26">
        <v>5.8799999999999998E-2</v>
      </c>
      <c r="G26531" s="26">
        <v>5.8799999999999998E-2</v>
      </c>
      <c r="H26531" s="26">
        <v>2.9399999999999999E-2</v>
      </c>
      <c r="S26531" s="26">
        <v>2.9399999999999999E-2</v>
      </c>
      <c r="W26531">
        <v>34</v>
      </c>
    </row>
    <row r="26532" spans="1:23" x14ac:dyDescent="0.35">
      <c r="A26532" t="s">
        <v>227</v>
      </c>
      <c r="B26532" t="s">
        <v>251</v>
      </c>
      <c r="C26532" s="26">
        <v>0.35370000000000001</v>
      </c>
      <c r="D26532" s="26">
        <v>0.34150000000000003</v>
      </c>
      <c r="E26532" s="26">
        <v>8.5400000000000004E-2</v>
      </c>
      <c r="F26532" s="26">
        <v>8.5400000000000004E-2</v>
      </c>
      <c r="G26532" s="26">
        <v>9.7600000000000006E-2</v>
      </c>
      <c r="H26532" s="26">
        <v>0.10979999999999999</v>
      </c>
      <c r="I26532" s="26">
        <v>2.4400000000000002E-2</v>
      </c>
      <c r="K26532" s="26">
        <v>2.4400000000000002E-2</v>
      </c>
      <c r="L26532" s="26">
        <v>2.4400000000000002E-2</v>
      </c>
      <c r="M26532" s="26">
        <v>1.2200000000000001E-2</v>
      </c>
      <c r="W26532">
        <v>82</v>
      </c>
    </row>
    <row r="26533" spans="1:23" x14ac:dyDescent="0.35">
      <c r="A26533" t="s">
        <v>228</v>
      </c>
      <c r="B26533" t="s">
        <v>252</v>
      </c>
      <c r="C26533" s="26">
        <v>0.48409999999999997</v>
      </c>
      <c r="D26533" s="26">
        <v>0.20319999999999999</v>
      </c>
      <c r="E26533" s="26">
        <v>0.13780000000000001</v>
      </c>
      <c r="F26533" s="26">
        <v>0.129</v>
      </c>
      <c r="G26533" s="26">
        <v>6.0299999999999999E-2</v>
      </c>
      <c r="H26533" s="26">
        <v>4.3700000000000003E-2</v>
      </c>
      <c r="I26533" s="26">
        <v>1.8100000000000002E-2</v>
      </c>
      <c r="J26533" s="26">
        <v>2.35E-2</v>
      </c>
      <c r="K26533" s="26">
        <v>1.24E-2</v>
      </c>
      <c r="L26533" s="26">
        <v>2.35E-2</v>
      </c>
      <c r="M26533" s="26">
        <v>8.3999999999999995E-3</v>
      </c>
      <c r="N26533" s="26">
        <v>7.7999999999999996E-3</v>
      </c>
      <c r="O26533" s="26">
        <v>1.26E-2</v>
      </c>
      <c r="P26533" s="26">
        <v>1.34E-2</v>
      </c>
      <c r="S26533" s="26">
        <v>1.6999999999999999E-3</v>
      </c>
      <c r="U26533" s="26">
        <v>2E-3</v>
      </c>
      <c r="V26533" s="26">
        <v>1.17E-2</v>
      </c>
      <c r="W26533">
        <v>344</v>
      </c>
    </row>
    <row r="26534" spans="1:23" x14ac:dyDescent="0.35">
      <c r="A26534" t="s">
        <v>228</v>
      </c>
      <c r="B26534" t="s">
        <v>253</v>
      </c>
      <c r="C26534" s="26">
        <v>0.4506</v>
      </c>
      <c r="D26534" s="26">
        <v>0.245</v>
      </c>
      <c r="E26534" s="26">
        <v>9.01E-2</v>
      </c>
      <c r="F26534" s="26">
        <v>0.1027</v>
      </c>
      <c r="G26534" s="26">
        <v>7.0800000000000002E-2</v>
      </c>
      <c r="H26534" s="26">
        <v>4.0399999999999998E-2</v>
      </c>
      <c r="I26534" s="26">
        <v>7.7000000000000002E-3</v>
      </c>
      <c r="J26534" s="26">
        <v>7.9000000000000008E-3</v>
      </c>
      <c r="K26534" s="26">
        <v>3.3399999999999999E-2</v>
      </c>
      <c r="L26534" s="26">
        <v>2.1299999999999999E-2</v>
      </c>
      <c r="M26534" s="26">
        <v>7.0000000000000001E-3</v>
      </c>
      <c r="N26534" s="26">
        <v>5.1999999999999998E-3</v>
      </c>
      <c r="O26534" s="26">
        <v>2.23E-2</v>
      </c>
      <c r="P26534" s="26">
        <v>2.0400000000000001E-2</v>
      </c>
      <c r="Q26534" s="26">
        <v>2E-3</v>
      </c>
      <c r="R26534" s="26">
        <v>3.8999999999999998E-3</v>
      </c>
      <c r="S26534" s="26">
        <v>7.6E-3</v>
      </c>
      <c r="T26534" s="26">
        <v>5.7000000000000002E-3</v>
      </c>
      <c r="U26534" s="26">
        <v>4.1000000000000003E-3</v>
      </c>
      <c r="W26534">
        <v>222</v>
      </c>
    </row>
    <row r="26535" spans="1:23" x14ac:dyDescent="0.35">
      <c r="A26535" t="s">
        <v>228</v>
      </c>
      <c r="B26535" t="s">
        <v>251</v>
      </c>
      <c r="C26535" s="26">
        <v>0.441</v>
      </c>
      <c r="D26535" s="26">
        <v>0.28410000000000002</v>
      </c>
      <c r="E26535" s="26">
        <v>6.4799999999999996E-2</v>
      </c>
      <c r="F26535" s="26">
        <v>8.43E-2</v>
      </c>
      <c r="G26535" s="26">
        <v>6.3200000000000006E-2</v>
      </c>
      <c r="H26535" s="26">
        <v>9.0499999999999997E-2</v>
      </c>
      <c r="I26535" s="26">
        <v>1.32E-2</v>
      </c>
      <c r="J26535" s="26">
        <v>1.2200000000000001E-2</v>
      </c>
      <c r="K26535" s="26">
        <v>5.7000000000000002E-3</v>
      </c>
      <c r="L26535" s="26">
        <v>7.7999999999999996E-3</v>
      </c>
      <c r="M26535" s="26">
        <v>7.4999999999999997E-3</v>
      </c>
      <c r="N26535" s="26">
        <v>6.3E-3</v>
      </c>
      <c r="O26535" s="26">
        <v>8.8999999999999999E-3</v>
      </c>
      <c r="P26535" s="26">
        <v>8.3000000000000001E-3</v>
      </c>
      <c r="Q26535" s="26">
        <v>7.0000000000000001E-3</v>
      </c>
      <c r="R26535" s="26">
        <v>6.1999999999999998E-3</v>
      </c>
      <c r="S26535" s="26">
        <v>2.5000000000000001E-3</v>
      </c>
      <c r="U26535" s="26">
        <v>8.3000000000000001E-3</v>
      </c>
      <c r="V26535" s="26">
        <v>2.3E-3</v>
      </c>
      <c r="W26535">
        <v>467</v>
      </c>
    </row>
    <row r="26536" spans="1:23" x14ac:dyDescent="0.35">
      <c r="A26536" t="s">
        <v>229</v>
      </c>
      <c r="B26536" t="s">
        <v>252</v>
      </c>
      <c r="C26536" s="26">
        <v>0.46779999999999999</v>
      </c>
      <c r="D26536" s="26">
        <v>0.29570000000000002</v>
      </c>
      <c r="E26536" s="26">
        <v>0.12959999999999999</v>
      </c>
      <c r="F26536" s="26">
        <v>0.13270000000000001</v>
      </c>
      <c r="G26536" s="26">
        <v>4.5499999999999999E-2</v>
      </c>
      <c r="H26536" s="26">
        <v>2.5999999999999999E-2</v>
      </c>
      <c r="I26536" s="26">
        <v>2.2000000000000001E-3</v>
      </c>
      <c r="J26536" s="26">
        <v>1.8200000000000001E-2</v>
      </c>
      <c r="K26536" s="26">
        <v>1.6400000000000001E-2</v>
      </c>
      <c r="L26536" s="26">
        <v>1.5E-3</v>
      </c>
      <c r="N26536" s="26">
        <v>1.26E-2</v>
      </c>
      <c r="O26536" s="26">
        <v>1.5E-3</v>
      </c>
      <c r="P26536" s="26">
        <v>4.0000000000000002E-4</v>
      </c>
      <c r="W26536">
        <v>199</v>
      </c>
    </row>
    <row r="26537" spans="1:23" x14ac:dyDescent="0.35">
      <c r="A26537" t="s">
        <v>229</v>
      </c>
      <c r="B26537" t="s">
        <v>253</v>
      </c>
      <c r="C26537" s="26">
        <v>0.32840000000000003</v>
      </c>
      <c r="D26537" s="26">
        <v>0.38540000000000002</v>
      </c>
      <c r="E26537" s="26">
        <v>0.10639999999999999</v>
      </c>
      <c r="F26537" s="26">
        <v>0.11840000000000001</v>
      </c>
      <c r="G26537" s="26">
        <v>0.1081</v>
      </c>
      <c r="H26537" s="26">
        <v>1.95E-2</v>
      </c>
      <c r="I26537" s="26">
        <v>1.9E-2</v>
      </c>
      <c r="K26537" s="26">
        <v>1.6999999999999999E-3</v>
      </c>
      <c r="L26537" s="26">
        <v>1.5900000000000001E-2</v>
      </c>
      <c r="M26537" s="26">
        <v>2.5999999999999999E-3</v>
      </c>
      <c r="N26537" s="26">
        <v>2.9100000000000001E-2</v>
      </c>
      <c r="O26537" s="26">
        <v>1.8E-3</v>
      </c>
      <c r="P26537" s="26">
        <v>8.9999999999999998E-4</v>
      </c>
      <c r="Q26537" s="26">
        <v>2.6499999999999999E-2</v>
      </c>
      <c r="R26537" s="26">
        <v>1.3299999999999999E-2</v>
      </c>
      <c r="S26537" s="26">
        <v>3.5000000000000001E-3</v>
      </c>
      <c r="V26537" s="26">
        <v>3.5000000000000001E-3</v>
      </c>
      <c r="W26537">
        <v>145</v>
      </c>
    </row>
    <row r="26538" spans="1:23" x14ac:dyDescent="0.35">
      <c r="A26538" t="s">
        <v>229</v>
      </c>
      <c r="B26538" t="s">
        <v>251</v>
      </c>
      <c r="C26538" s="26">
        <v>0.41899999999999998</v>
      </c>
      <c r="D26538" s="26">
        <v>0.37</v>
      </c>
      <c r="E26538" s="26">
        <v>6.7100000000000007E-2</v>
      </c>
      <c r="F26538" s="26">
        <v>4.2799999999999998E-2</v>
      </c>
      <c r="G26538" s="26">
        <v>3.6999999999999998E-2</v>
      </c>
      <c r="H26538" s="26">
        <v>8.3299999999999999E-2</v>
      </c>
      <c r="I26538" s="26">
        <v>2.5399999999999999E-2</v>
      </c>
      <c r="J26538" s="26">
        <v>6.1000000000000004E-3</v>
      </c>
      <c r="K26538" s="26">
        <v>1.7000000000000001E-2</v>
      </c>
      <c r="L26538" s="26">
        <v>2.0000000000000001E-4</v>
      </c>
      <c r="M26538" s="26">
        <v>5.5999999999999999E-3</v>
      </c>
      <c r="N26538" s="26">
        <v>5.1000000000000004E-3</v>
      </c>
      <c r="O26538" s="26">
        <v>5.3E-3</v>
      </c>
      <c r="P26538" s="26">
        <v>5.1000000000000004E-3</v>
      </c>
      <c r="Q26538" s="26">
        <v>1.1000000000000001E-3</v>
      </c>
      <c r="S26538" s="26">
        <v>5.9999999999999995E-4</v>
      </c>
      <c r="U26538" s="26">
        <v>2.0000000000000001E-4</v>
      </c>
      <c r="V26538" s="26">
        <v>6.9999999999999999E-4</v>
      </c>
      <c r="W26538">
        <v>550</v>
      </c>
    </row>
    <row r="26539" spans="1:23" x14ac:dyDescent="0.35">
      <c r="A26539" t="s">
        <v>230</v>
      </c>
      <c r="B26539" t="s">
        <v>252</v>
      </c>
      <c r="C26539" s="26">
        <v>0.36430000000000001</v>
      </c>
      <c r="D26539" s="26">
        <v>0.29649999999999999</v>
      </c>
      <c r="E26539" s="26">
        <v>0.1457</v>
      </c>
      <c r="F26539" s="26">
        <v>8.3900000000000002E-2</v>
      </c>
      <c r="G26539" s="26">
        <v>0.13200000000000001</v>
      </c>
      <c r="H26539" s="26">
        <v>1.5699999999999999E-2</v>
      </c>
      <c r="I26539" s="26">
        <v>3.5000000000000001E-3</v>
      </c>
      <c r="J26539" s="26">
        <v>3.27E-2</v>
      </c>
      <c r="K26539" s="26">
        <v>4.4999999999999997E-3</v>
      </c>
      <c r="L26539" s="26">
        <v>1.5100000000000001E-2</v>
      </c>
      <c r="M26539" s="26">
        <v>4.4999999999999997E-3</v>
      </c>
      <c r="N26539" s="26">
        <v>4.6699999999999998E-2</v>
      </c>
      <c r="O26539" s="26">
        <v>4.5600000000000002E-2</v>
      </c>
      <c r="U26539" s="26">
        <v>5.5999999999999999E-3</v>
      </c>
      <c r="V26539" s="26">
        <v>3.5000000000000001E-3</v>
      </c>
      <c r="W26539">
        <v>159</v>
      </c>
    </row>
    <row r="26540" spans="1:23" x14ac:dyDescent="0.35">
      <c r="A26540" t="s">
        <v>230</v>
      </c>
      <c r="B26540" t="s">
        <v>253</v>
      </c>
      <c r="C26540" s="26">
        <v>0.37180000000000002</v>
      </c>
      <c r="D26540" s="26">
        <v>0.40179999999999999</v>
      </c>
      <c r="E26540" s="26">
        <v>0.12889999999999999</v>
      </c>
      <c r="F26540" s="26">
        <v>5.1299999999999998E-2</v>
      </c>
      <c r="G26540" s="26">
        <v>6.6500000000000004E-2</v>
      </c>
      <c r="H26540" s="26">
        <v>4.6899999999999997E-2</v>
      </c>
      <c r="J26540" s="26">
        <v>1.38E-2</v>
      </c>
      <c r="K26540" s="26">
        <v>1.09E-2</v>
      </c>
      <c r="L26540" s="26">
        <v>1.09E-2</v>
      </c>
      <c r="M26540" s="26">
        <v>9.4000000000000004E-3</v>
      </c>
      <c r="N26540" s="26">
        <v>1.4E-3</v>
      </c>
      <c r="O26540" s="26">
        <v>6.3E-3</v>
      </c>
      <c r="P26540" s="26">
        <v>4.7999999999999996E-3</v>
      </c>
      <c r="Q26540" s="26">
        <v>4.7999999999999996E-3</v>
      </c>
      <c r="W26540">
        <v>110</v>
      </c>
    </row>
    <row r="26541" spans="1:23" x14ac:dyDescent="0.35">
      <c r="A26541" t="s">
        <v>230</v>
      </c>
      <c r="B26541" t="s">
        <v>251</v>
      </c>
      <c r="C26541" s="26">
        <v>0.4173</v>
      </c>
      <c r="D26541" s="26">
        <v>0.31369999999999998</v>
      </c>
      <c r="E26541" s="26">
        <v>8.6599999999999996E-2</v>
      </c>
      <c r="F26541" s="26">
        <v>7.0999999999999994E-2</v>
      </c>
      <c r="G26541" s="26">
        <v>6.3700000000000007E-2</v>
      </c>
      <c r="H26541" s="26">
        <v>0.06</v>
      </c>
      <c r="I26541" s="26">
        <v>1.78E-2</v>
      </c>
      <c r="J26541" s="26">
        <v>4.2999999999999997E-2</v>
      </c>
      <c r="K26541" s="26">
        <v>3.2399999999999998E-2</v>
      </c>
      <c r="L26541" s="26">
        <v>1.46E-2</v>
      </c>
      <c r="M26541" s="26">
        <v>1.6000000000000001E-3</v>
      </c>
      <c r="N26541" s="26">
        <v>1.18E-2</v>
      </c>
      <c r="O26541" s="26">
        <v>1.23E-2</v>
      </c>
      <c r="P26541" s="26">
        <v>9.7000000000000003E-3</v>
      </c>
      <c r="R26541" s="26">
        <v>1.18E-2</v>
      </c>
      <c r="U26541" s="26">
        <v>1.0699999999999999E-2</v>
      </c>
      <c r="W26541">
        <v>291</v>
      </c>
    </row>
    <row r="26542" spans="1:23" x14ac:dyDescent="0.35">
      <c r="A26542" t="s">
        <v>231</v>
      </c>
      <c r="B26542" t="s">
        <v>252</v>
      </c>
      <c r="C26542" s="26">
        <v>0.51019999999999999</v>
      </c>
      <c r="D26542" s="26">
        <v>0.24490000000000001</v>
      </c>
      <c r="E26542" s="26">
        <v>0.1429</v>
      </c>
      <c r="F26542" s="26">
        <v>8.1600000000000006E-2</v>
      </c>
      <c r="G26542" s="26">
        <v>6.1199999999999997E-2</v>
      </c>
      <c r="H26542" s="26">
        <v>6.1199999999999997E-2</v>
      </c>
      <c r="I26542" s="26">
        <v>2.0400000000000001E-2</v>
      </c>
      <c r="J26542" s="26">
        <v>2.0400000000000001E-2</v>
      </c>
      <c r="L26542" s="26">
        <v>2.0400000000000001E-2</v>
      </c>
      <c r="M26542" s="26">
        <v>2.0400000000000001E-2</v>
      </c>
      <c r="W26542">
        <v>49</v>
      </c>
    </row>
    <row r="26543" spans="1:23" x14ac:dyDescent="0.35">
      <c r="A26543" t="s">
        <v>231</v>
      </c>
      <c r="B26543" t="s">
        <v>253</v>
      </c>
      <c r="C26543" s="26">
        <v>0.6</v>
      </c>
      <c r="D26543" s="26">
        <v>0.23330000000000001</v>
      </c>
      <c r="E26543" s="26">
        <v>0.16669999999999999</v>
      </c>
      <c r="F26543" s="26">
        <v>0.1333</v>
      </c>
      <c r="W26543">
        <v>30</v>
      </c>
    </row>
    <row r="26544" spans="1:23" x14ac:dyDescent="0.35">
      <c r="A26544" t="s">
        <v>231</v>
      </c>
      <c r="B26544" t="s">
        <v>251</v>
      </c>
      <c r="C26544" s="26">
        <v>0.4118</v>
      </c>
      <c r="D26544" s="26">
        <v>0.4</v>
      </c>
      <c r="E26544" s="26">
        <v>4.7100000000000003E-2</v>
      </c>
      <c r="F26544" s="26">
        <v>5.8799999999999998E-2</v>
      </c>
      <c r="G26544" s="26">
        <v>8.2400000000000001E-2</v>
      </c>
      <c r="H26544" s="26">
        <v>4.7100000000000003E-2</v>
      </c>
      <c r="I26544" s="26">
        <v>1.18E-2</v>
      </c>
      <c r="M26544" s="26">
        <v>1.18E-2</v>
      </c>
      <c r="T26544" s="26">
        <v>1.18E-2</v>
      </c>
      <c r="W26544">
        <v>85</v>
      </c>
    </row>
    <row r="26545" spans="1:23" x14ac:dyDescent="0.35">
      <c r="A26545" t="s">
        <v>232</v>
      </c>
      <c r="B26545" t="s">
        <v>232</v>
      </c>
      <c r="C26545" s="26">
        <v>0.42699999999999999</v>
      </c>
      <c r="D26545" s="26">
        <v>0.3271</v>
      </c>
      <c r="E26545" s="26">
        <v>9.3799999999999994E-2</v>
      </c>
      <c r="F26545" s="26">
        <v>8.3500000000000005E-2</v>
      </c>
      <c r="G26545" s="26">
        <v>6.6000000000000003E-2</v>
      </c>
      <c r="H26545" s="26">
        <v>5.57E-2</v>
      </c>
      <c r="I26545" s="26">
        <v>1.43E-2</v>
      </c>
      <c r="J26545" s="26">
        <v>1.0999999999999999E-2</v>
      </c>
      <c r="K26545" s="26">
        <v>1.0500000000000001E-2</v>
      </c>
      <c r="L26545" s="26">
        <v>8.8999999999999999E-3</v>
      </c>
      <c r="M26545" s="26">
        <v>7.1999999999999998E-3</v>
      </c>
      <c r="N26545" s="26">
        <v>6.3E-3</v>
      </c>
      <c r="O26545" s="26">
        <v>5.4000000000000003E-3</v>
      </c>
      <c r="P26545" s="26">
        <v>3.8999999999999998E-3</v>
      </c>
      <c r="Q26545" s="26">
        <v>2.3999999999999998E-3</v>
      </c>
      <c r="R26545" s="26">
        <v>2.0999999999999999E-3</v>
      </c>
      <c r="S26545" s="26">
        <v>1.9E-3</v>
      </c>
      <c r="T26545" s="26">
        <v>1.9E-3</v>
      </c>
      <c r="U26545" s="26">
        <v>1.8E-3</v>
      </c>
      <c r="V26545" s="26">
        <v>1.2999999999999999E-3</v>
      </c>
      <c r="W26545">
        <v>2812</v>
      </c>
    </row>
    <row r="26547" spans="1:23" x14ac:dyDescent="0.35">
      <c r="A26547" s="1" t="s">
        <v>2415</v>
      </c>
    </row>
    <row r="26548" spans="1:23" x14ac:dyDescent="0.35">
      <c r="A26548" t="s">
        <v>219</v>
      </c>
      <c r="B26548" t="s">
        <v>305</v>
      </c>
      <c r="C26548" t="s">
        <v>2392</v>
      </c>
      <c r="D26548" t="s">
        <v>2393</v>
      </c>
      <c r="E26548" t="s">
        <v>2394</v>
      </c>
      <c r="F26548" t="s">
        <v>2395</v>
      </c>
      <c r="G26548" t="s">
        <v>2396</v>
      </c>
      <c r="H26548" t="s">
        <v>2397</v>
      </c>
      <c r="I26548" t="s">
        <v>281</v>
      </c>
      <c r="J26548" t="s">
        <v>2398</v>
      </c>
      <c r="K26548" t="s">
        <v>2399</v>
      </c>
      <c r="L26548" t="s">
        <v>2400</v>
      </c>
      <c r="M26548" t="s">
        <v>2401</v>
      </c>
      <c r="N26548" t="s">
        <v>2402</v>
      </c>
      <c r="O26548" t="s">
        <v>2403</v>
      </c>
      <c r="P26548" t="s">
        <v>2404</v>
      </c>
      <c r="Q26548" t="s">
        <v>2405</v>
      </c>
      <c r="R26548" t="s">
        <v>2406</v>
      </c>
      <c r="S26548" t="s">
        <v>326</v>
      </c>
      <c r="T26548" t="s">
        <v>2407</v>
      </c>
      <c r="U26548" t="s">
        <v>2408</v>
      </c>
      <c r="V26548" t="s">
        <v>286</v>
      </c>
      <c r="W26548" t="s">
        <v>226</v>
      </c>
    </row>
    <row r="26549" spans="1:23" x14ac:dyDescent="0.35">
      <c r="A26549" t="s">
        <v>227</v>
      </c>
      <c r="B26549" t="s">
        <v>249</v>
      </c>
      <c r="C26549" s="26">
        <v>0.29549999999999998</v>
      </c>
      <c r="D26549" s="26">
        <v>0.38640000000000002</v>
      </c>
      <c r="E26549" s="26">
        <v>9.0899999999999995E-2</v>
      </c>
      <c r="F26549" s="26">
        <v>6.8199999999999997E-2</v>
      </c>
      <c r="G26549" s="26">
        <v>0.13639999999999999</v>
      </c>
      <c r="H26549" s="26">
        <v>0.11360000000000001</v>
      </c>
      <c r="I26549" s="26">
        <v>2.2700000000000001E-2</v>
      </c>
      <c r="K26549" s="26">
        <v>2.2700000000000001E-2</v>
      </c>
      <c r="L26549" s="26">
        <v>2.2700000000000001E-2</v>
      </c>
      <c r="M26549" s="26">
        <v>2.2700000000000001E-2</v>
      </c>
      <c r="S26549" s="26">
        <v>2.2700000000000001E-2</v>
      </c>
      <c r="W26549">
        <v>44</v>
      </c>
    </row>
    <row r="26550" spans="1:23" x14ac:dyDescent="0.35">
      <c r="A26550" t="s">
        <v>227</v>
      </c>
      <c r="B26550" t="s">
        <v>248</v>
      </c>
      <c r="C26550" s="26">
        <v>0.36749999999999999</v>
      </c>
      <c r="D26550" s="26">
        <v>0.37609999999999999</v>
      </c>
      <c r="E26550" s="26">
        <v>8.5500000000000007E-2</v>
      </c>
      <c r="F26550" s="26">
        <v>9.4E-2</v>
      </c>
      <c r="G26550" s="26">
        <v>7.6899999999999996E-2</v>
      </c>
      <c r="H26550" s="26">
        <v>5.1299999999999998E-2</v>
      </c>
      <c r="I26550" s="26">
        <v>8.5000000000000006E-3</v>
      </c>
      <c r="J26550" s="26">
        <v>8.5000000000000006E-3</v>
      </c>
      <c r="K26550" s="26">
        <v>8.5000000000000006E-3</v>
      </c>
      <c r="L26550" s="26">
        <v>8.5000000000000006E-3</v>
      </c>
      <c r="W26550">
        <v>117</v>
      </c>
    </row>
    <row r="26551" spans="1:23" x14ac:dyDescent="0.35">
      <c r="A26551" t="s">
        <v>228</v>
      </c>
      <c r="B26551" t="s">
        <v>249</v>
      </c>
      <c r="C26551" s="26">
        <v>0.46389999999999998</v>
      </c>
      <c r="D26551" s="26">
        <v>0.23680000000000001</v>
      </c>
      <c r="E26551" s="26">
        <v>8.3199999999999996E-2</v>
      </c>
      <c r="F26551" s="26">
        <v>9.7600000000000006E-2</v>
      </c>
      <c r="G26551" s="26">
        <v>8.2199999999999995E-2</v>
      </c>
      <c r="H26551" s="26">
        <v>9.1899999999999996E-2</v>
      </c>
      <c r="I26551" s="26">
        <v>9.1999999999999998E-3</v>
      </c>
      <c r="J26551" s="26">
        <v>1.67E-2</v>
      </c>
      <c r="K26551" s="26">
        <v>7.3000000000000001E-3</v>
      </c>
      <c r="L26551" s="26">
        <v>1.9300000000000001E-2</v>
      </c>
      <c r="M26551" s="26">
        <v>1.11E-2</v>
      </c>
      <c r="N26551" s="26">
        <v>9.4000000000000004E-3</v>
      </c>
      <c r="O26551" s="26">
        <v>1.5599999999999999E-2</v>
      </c>
      <c r="P26551" s="26">
        <v>1.6000000000000001E-3</v>
      </c>
      <c r="Q26551" s="26">
        <v>1.11E-2</v>
      </c>
      <c r="R26551" s="26">
        <v>2.8E-3</v>
      </c>
      <c r="S26551" s="26">
        <v>1.4E-3</v>
      </c>
      <c r="U26551" s="26">
        <v>4.5999999999999999E-3</v>
      </c>
      <c r="V26551" s="26">
        <v>1.8E-3</v>
      </c>
      <c r="W26551">
        <v>274</v>
      </c>
    </row>
    <row r="26552" spans="1:23" x14ac:dyDescent="0.35">
      <c r="A26552" t="s">
        <v>228</v>
      </c>
      <c r="B26552" t="s">
        <v>248</v>
      </c>
      <c r="C26552" s="26">
        <v>0.45369999999999999</v>
      </c>
      <c r="D26552" s="26">
        <v>0.25590000000000002</v>
      </c>
      <c r="E26552" s="26">
        <v>9.7600000000000006E-2</v>
      </c>
      <c r="F26552" s="26">
        <v>0.10440000000000001</v>
      </c>
      <c r="G26552" s="26">
        <v>5.6000000000000001E-2</v>
      </c>
      <c r="H26552" s="26">
        <v>5.3900000000000003E-2</v>
      </c>
      <c r="I26552" s="26">
        <v>1.5599999999999999E-2</v>
      </c>
      <c r="J26552" s="26">
        <v>1.4200000000000001E-2</v>
      </c>
      <c r="K26552" s="26">
        <v>1.6199999999999999E-2</v>
      </c>
      <c r="L26552" s="26">
        <v>1.4E-2</v>
      </c>
      <c r="M26552" s="26">
        <v>6.1999999999999998E-3</v>
      </c>
      <c r="N26552" s="26">
        <v>5.3E-3</v>
      </c>
      <c r="O26552" s="26">
        <v>1.1599999999999999E-2</v>
      </c>
      <c r="P26552" s="26">
        <v>1.7000000000000001E-2</v>
      </c>
      <c r="Q26552" s="26">
        <v>5.9999999999999995E-4</v>
      </c>
      <c r="R26552" s="26">
        <v>4.1999999999999997E-3</v>
      </c>
      <c r="S26552" s="26">
        <v>4.1000000000000003E-3</v>
      </c>
      <c r="T26552" s="26">
        <v>1.6999999999999999E-3</v>
      </c>
      <c r="U26552" s="26">
        <v>5.7999999999999996E-3</v>
      </c>
      <c r="V26552" s="26">
        <v>6.1000000000000004E-3</v>
      </c>
      <c r="W26552">
        <v>759</v>
      </c>
    </row>
    <row r="26553" spans="1:23" x14ac:dyDescent="0.35">
      <c r="A26553" t="s">
        <v>229</v>
      </c>
      <c r="B26553" t="s">
        <v>249</v>
      </c>
      <c r="C26553" s="26">
        <v>0.33439999999999998</v>
      </c>
      <c r="D26553" s="26">
        <v>0.38990000000000002</v>
      </c>
      <c r="E26553" s="26">
        <v>0.10100000000000001</v>
      </c>
      <c r="F26553" s="26">
        <v>4.9599999999999998E-2</v>
      </c>
      <c r="G26553" s="26">
        <v>6.3299999999999995E-2</v>
      </c>
      <c r="H26553" s="26">
        <v>8.7099999999999997E-2</v>
      </c>
      <c r="I26553" s="26">
        <v>2.9700000000000001E-2</v>
      </c>
      <c r="J26553" s="26">
        <v>9.7000000000000003E-3</v>
      </c>
      <c r="K26553" s="26">
        <v>3.0200000000000001E-2</v>
      </c>
      <c r="L26553" s="26">
        <v>9.4999999999999998E-3</v>
      </c>
      <c r="M26553" s="26">
        <v>8.5000000000000006E-3</v>
      </c>
      <c r="N26553" s="26">
        <v>9.1999999999999998E-3</v>
      </c>
      <c r="O26553" s="26">
        <v>9.7000000000000003E-3</v>
      </c>
      <c r="P26553" s="26">
        <v>9.1999999999999998E-3</v>
      </c>
      <c r="Q26553" s="26">
        <v>2E-3</v>
      </c>
      <c r="R26553" s="26">
        <v>7.7000000000000002E-3</v>
      </c>
      <c r="S26553" s="26">
        <v>2E-3</v>
      </c>
      <c r="W26553">
        <v>258</v>
      </c>
    </row>
    <row r="26554" spans="1:23" x14ac:dyDescent="0.35">
      <c r="A26554" t="s">
        <v>229</v>
      </c>
      <c r="B26554" t="s">
        <v>248</v>
      </c>
      <c r="C26554" s="26">
        <v>0.45079999999999998</v>
      </c>
      <c r="D26554" s="26">
        <v>0.33989999999999998</v>
      </c>
      <c r="E26554" s="26">
        <v>8.2699999999999996E-2</v>
      </c>
      <c r="F26554" s="26">
        <v>9.0800000000000006E-2</v>
      </c>
      <c r="G26554" s="26">
        <v>4.7100000000000003E-2</v>
      </c>
      <c r="H26554" s="26">
        <v>4.4400000000000002E-2</v>
      </c>
      <c r="I26554" s="26">
        <v>1.38E-2</v>
      </c>
      <c r="J26554" s="26">
        <v>6.7000000000000002E-3</v>
      </c>
      <c r="K26554" s="26">
        <v>6.1000000000000004E-3</v>
      </c>
      <c r="L26554" s="26">
        <v>5.0000000000000001E-4</v>
      </c>
      <c r="M26554" s="26">
        <v>1.5E-3</v>
      </c>
      <c r="N26554" s="26">
        <v>1.24E-2</v>
      </c>
      <c r="O26554" s="26">
        <v>8.9999999999999998E-4</v>
      </c>
      <c r="P26554" s="26">
        <v>4.0000000000000002E-4</v>
      </c>
      <c r="Q26554" s="26">
        <v>7.4999999999999997E-3</v>
      </c>
      <c r="S26554" s="26">
        <v>5.0000000000000001E-4</v>
      </c>
      <c r="U26554" s="26">
        <v>1E-4</v>
      </c>
      <c r="V26554" s="26">
        <v>1.6000000000000001E-3</v>
      </c>
      <c r="W26554">
        <v>636</v>
      </c>
    </row>
    <row r="26555" spans="1:23" x14ac:dyDescent="0.35">
      <c r="A26555" t="s">
        <v>230</v>
      </c>
      <c r="B26555" t="s">
        <v>249</v>
      </c>
      <c r="C26555" s="26">
        <v>0.4002</v>
      </c>
      <c r="D26555" s="26">
        <v>0.27310000000000001</v>
      </c>
      <c r="E26555" s="26">
        <v>0.1222</v>
      </c>
      <c r="F26555" s="26">
        <v>7.4300000000000005E-2</v>
      </c>
      <c r="G26555" s="26">
        <v>6.6299999999999998E-2</v>
      </c>
      <c r="H26555" s="26">
        <v>7.5300000000000006E-2</v>
      </c>
      <c r="I26555" s="26">
        <v>8.0999999999999996E-3</v>
      </c>
      <c r="J26555" s="26">
        <v>6.7100000000000007E-2</v>
      </c>
      <c r="K26555" s="26">
        <v>3.4599999999999999E-2</v>
      </c>
      <c r="L26555" s="26">
        <v>1.6E-2</v>
      </c>
      <c r="N26555" s="26">
        <v>8.0000000000000004E-4</v>
      </c>
      <c r="O26555" s="26">
        <v>3.5000000000000001E-3</v>
      </c>
      <c r="P26555" s="26">
        <v>1.8700000000000001E-2</v>
      </c>
      <c r="Q26555" s="26">
        <v>2.7000000000000001E-3</v>
      </c>
      <c r="R26555" s="26">
        <v>1.6799999999999999E-2</v>
      </c>
      <c r="U26555" s="26">
        <v>8.0000000000000004E-4</v>
      </c>
      <c r="W26555">
        <v>171</v>
      </c>
    </row>
    <row r="26556" spans="1:23" x14ac:dyDescent="0.35">
      <c r="A26556" t="s">
        <v>230</v>
      </c>
      <c r="B26556" t="s">
        <v>248</v>
      </c>
      <c r="C26556" s="26">
        <v>0.39250000000000002</v>
      </c>
      <c r="D26556" s="26">
        <v>0.3528</v>
      </c>
      <c r="E26556" s="26">
        <v>0.10340000000000001</v>
      </c>
      <c r="F26556" s="26">
        <v>6.8699999999999997E-2</v>
      </c>
      <c r="G26556" s="26">
        <v>8.9499999999999996E-2</v>
      </c>
      <c r="H26556" s="26">
        <v>3.1399999999999997E-2</v>
      </c>
      <c r="I26556" s="26">
        <v>1.2200000000000001E-2</v>
      </c>
      <c r="J26556" s="26">
        <v>1.84E-2</v>
      </c>
      <c r="K26556" s="26">
        <v>1.44E-2</v>
      </c>
      <c r="L26556" s="26">
        <v>1.2999999999999999E-2</v>
      </c>
      <c r="M26556" s="26">
        <v>5.7999999999999996E-3</v>
      </c>
      <c r="N26556" s="26">
        <v>2.7900000000000001E-2</v>
      </c>
      <c r="O26556" s="26">
        <v>2.7900000000000001E-2</v>
      </c>
      <c r="R26556" s="26">
        <v>1.4E-3</v>
      </c>
      <c r="U26556" s="26">
        <v>1.0699999999999999E-2</v>
      </c>
      <c r="V26556" s="26">
        <v>1.2999999999999999E-3</v>
      </c>
      <c r="W26556">
        <v>389</v>
      </c>
    </row>
    <row r="26557" spans="1:23" x14ac:dyDescent="0.35">
      <c r="A26557" t="s">
        <v>231</v>
      </c>
      <c r="B26557" t="s">
        <v>249</v>
      </c>
      <c r="C26557" s="26">
        <v>0.57140000000000002</v>
      </c>
      <c r="D26557" s="26">
        <v>0.28570000000000001</v>
      </c>
      <c r="G26557" s="26">
        <v>2.86E-2</v>
      </c>
      <c r="H26557" s="26">
        <v>5.7099999999999998E-2</v>
      </c>
      <c r="I26557" s="26">
        <v>2.86E-2</v>
      </c>
      <c r="M26557" s="26">
        <v>2.86E-2</v>
      </c>
      <c r="T26557" s="26">
        <v>2.86E-2</v>
      </c>
      <c r="W26557">
        <v>35</v>
      </c>
    </row>
    <row r="26558" spans="1:23" x14ac:dyDescent="0.35">
      <c r="A26558" t="s">
        <v>231</v>
      </c>
      <c r="B26558" t="s">
        <v>248</v>
      </c>
      <c r="C26558" s="26">
        <v>0.4496</v>
      </c>
      <c r="D26558" s="26">
        <v>0.33329999999999999</v>
      </c>
      <c r="E26558" s="26">
        <v>0.124</v>
      </c>
      <c r="F26558" s="26">
        <v>0.1008</v>
      </c>
      <c r="G26558" s="26">
        <v>6.9800000000000001E-2</v>
      </c>
      <c r="H26558" s="26">
        <v>3.8800000000000001E-2</v>
      </c>
      <c r="I26558" s="26">
        <v>7.7999999999999996E-3</v>
      </c>
      <c r="J26558" s="26">
        <v>7.7999999999999996E-3</v>
      </c>
      <c r="L26558" s="26">
        <v>7.7999999999999996E-3</v>
      </c>
      <c r="M26558" s="26">
        <v>7.7999999999999996E-3</v>
      </c>
      <c r="W26558">
        <v>129</v>
      </c>
    </row>
    <row r="26559" spans="1:23" x14ac:dyDescent="0.35">
      <c r="A26559" t="s">
        <v>232</v>
      </c>
      <c r="B26559" t="s">
        <v>232</v>
      </c>
      <c r="C26559" s="26">
        <v>0.42699999999999999</v>
      </c>
      <c r="D26559" s="26">
        <v>0.3271</v>
      </c>
      <c r="E26559" s="26">
        <v>9.3799999999999994E-2</v>
      </c>
      <c r="F26559" s="26">
        <v>8.3500000000000005E-2</v>
      </c>
      <c r="G26559" s="26">
        <v>6.6000000000000003E-2</v>
      </c>
      <c r="H26559" s="26">
        <v>5.57E-2</v>
      </c>
      <c r="I26559" s="26">
        <v>1.43E-2</v>
      </c>
      <c r="J26559" s="26">
        <v>1.0999999999999999E-2</v>
      </c>
      <c r="K26559" s="26">
        <v>1.0500000000000001E-2</v>
      </c>
      <c r="L26559" s="26">
        <v>8.8999999999999999E-3</v>
      </c>
      <c r="M26559" s="26">
        <v>7.1999999999999998E-3</v>
      </c>
      <c r="N26559" s="26">
        <v>6.3E-3</v>
      </c>
      <c r="O26559" s="26">
        <v>5.4000000000000003E-3</v>
      </c>
      <c r="P26559" s="26">
        <v>3.8999999999999998E-3</v>
      </c>
      <c r="Q26559" s="26">
        <v>2.3999999999999998E-3</v>
      </c>
      <c r="R26559" s="26">
        <v>2.0999999999999999E-3</v>
      </c>
      <c r="S26559" s="26">
        <v>1.9E-3</v>
      </c>
      <c r="T26559" s="26">
        <v>1.9E-3</v>
      </c>
      <c r="U26559" s="26">
        <v>1.8E-3</v>
      </c>
      <c r="V26559" s="26">
        <v>1.2999999999999999E-3</v>
      </c>
      <c r="W26559">
        <v>2812</v>
      </c>
    </row>
    <row r="26561" spans="1:23" x14ac:dyDescent="0.35">
      <c r="A26561" s="1" t="s">
        <v>2416</v>
      </c>
    </row>
    <row r="26562" spans="1:23" x14ac:dyDescent="0.35">
      <c r="A26562" t="s">
        <v>219</v>
      </c>
      <c r="B26562" t="s">
        <v>305</v>
      </c>
      <c r="C26562" t="s">
        <v>2392</v>
      </c>
      <c r="D26562" t="s">
        <v>2393</v>
      </c>
      <c r="E26562" t="s">
        <v>2394</v>
      </c>
      <c r="F26562" t="s">
        <v>2395</v>
      </c>
      <c r="G26562" t="s">
        <v>2396</v>
      </c>
      <c r="H26562" t="s">
        <v>2397</v>
      </c>
      <c r="I26562" t="s">
        <v>281</v>
      </c>
      <c r="J26562" t="s">
        <v>2398</v>
      </c>
      <c r="K26562" t="s">
        <v>2399</v>
      </c>
      <c r="L26562" t="s">
        <v>2400</v>
      </c>
      <c r="M26562" t="s">
        <v>2401</v>
      </c>
      <c r="N26562" t="s">
        <v>2402</v>
      </c>
      <c r="O26562" t="s">
        <v>2403</v>
      </c>
      <c r="P26562" t="s">
        <v>2404</v>
      </c>
      <c r="Q26562" t="s">
        <v>2405</v>
      </c>
      <c r="R26562" t="s">
        <v>2406</v>
      </c>
      <c r="S26562" t="s">
        <v>326</v>
      </c>
      <c r="T26562" t="s">
        <v>2407</v>
      </c>
      <c r="U26562" t="s">
        <v>2408</v>
      </c>
      <c r="V26562" t="s">
        <v>286</v>
      </c>
      <c r="W26562" t="s">
        <v>226</v>
      </c>
    </row>
    <row r="26563" spans="1:23" x14ac:dyDescent="0.35">
      <c r="A26563" s="27" t="s">
        <v>227</v>
      </c>
      <c r="B26563" s="27" t="s">
        <v>263</v>
      </c>
      <c r="C26563" s="28">
        <v>0.33329999999999999</v>
      </c>
      <c r="D26563" s="28">
        <v>0.33329999999999999</v>
      </c>
      <c r="E26563" s="29"/>
      <c r="F26563" s="28">
        <v>0.33329999999999999</v>
      </c>
      <c r="G26563" s="29"/>
      <c r="H26563" s="29"/>
      <c r="I26563" s="29"/>
      <c r="J26563" s="29"/>
      <c r="K26563" s="29"/>
      <c r="L26563" s="29"/>
      <c r="M26563" s="29"/>
      <c r="N26563" s="29"/>
      <c r="O26563" s="29"/>
      <c r="P26563" s="29"/>
      <c r="Q26563" s="29"/>
      <c r="R26563" s="29"/>
      <c r="S26563" s="29"/>
      <c r="T26563" s="29"/>
      <c r="U26563" s="29"/>
      <c r="V26563" s="29"/>
      <c r="W26563" s="29" t="s">
        <v>315</v>
      </c>
    </row>
    <row r="26564" spans="1:23" x14ac:dyDescent="0.35">
      <c r="A26564" t="s">
        <v>227</v>
      </c>
      <c r="B26564" t="s">
        <v>261</v>
      </c>
      <c r="C26564" s="26">
        <v>0.30299999999999999</v>
      </c>
      <c r="D26564" s="26">
        <v>0.21210000000000001</v>
      </c>
      <c r="E26564" s="26">
        <v>9.0899999999999995E-2</v>
      </c>
      <c r="F26564" s="26">
        <v>0.1212</v>
      </c>
      <c r="G26564" s="26">
        <v>0.2424</v>
      </c>
      <c r="H26564" s="26">
        <v>6.0600000000000001E-2</v>
      </c>
      <c r="K26564" s="26">
        <v>6.0600000000000001E-2</v>
      </c>
      <c r="L26564" s="26">
        <v>6.0600000000000001E-2</v>
      </c>
      <c r="M26564" s="26">
        <v>3.0300000000000001E-2</v>
      </c>
      <c r="W26564">
        <v>33</v>
      </c>
    </row>
    <row r="26565" spans="1:23" x14ac:dyDescent="0.35">
      <c r="A26565" s="27" t="s">
        <v>227</v>
      </c>
      <c r="B26565" s="27" t="s">
        <v>262</v>
      </c>
      <c r="C26565" s="28">
        <v>0.33329999999999999</v>
      </c>
      <c r="D26565" s="28">
        <v>0.33329999999999999</v>
      </c>
      <c r="E26565" s="29"/>
      <c r="F26565" s="29"/>
      <c r="G26565" s="28">
        <v>0.33329999999999999</v>
      </c>
      <c r="H26565" s="28">
        <v>0.33329999999999999</v>
      </c>
      <c r="I26565" s="29"/>
      <c r="J26565" s="29"/>
      <c r="K26565" s="29"/>
      <c r="L26565" s="29"/>
      <c r="M26565" s="29"/>
      <c r="N26565" s="29"/>
      <c r="O26565" s="29"/>
      <c r="P26565" s="29"/>
      <c r="Q26565" s="29"/>
      <c r="R26565" s="29"/>
      <c r="S26565" s="29"/>
      <c r="T26565" s="29"/>
      <c r="U26565" s="29"/>
      <c r="V26565" s="29"/>
      <c r="W26565" s="29" t="s">
        <v>315</v>
      </c>
    </row>
    <row r="26566" spans="1:23" x14ac:dyDescent="0.35">
      <c r="A26566" t="s">
        <v>227</v>
      </c>
      <c r="B26566" t="s">
        <v>260</v>
      </c>
      <c r="C26566" s="26">
        <v>0.36070000000000002</v>
      </c>
      <c r="D26566" s="26">
        <v>0.42620000000000002</v>
      </c>
      <c r="E26566" s="26">
        <v>9.0200000000000002E-2</v>
      </c>
      <c r="F26566" s="26">
        <v>7.3800000000000004E-2</v>
      </c>
      <c r="G26566" s="26">
        <v>4.9200000000000001E-2</v>
      </c>
      <c r="H26566" s="26">
        <v>6.5600000000000006E-2</v>
      </c>
      <c r="I26566" s="26">
        <v>1.6400000000000001E-2</v>
      </c>
      <c r="J26566" s="26">
        <v>8.2000000000000007E-3</v>
      </c>
      <c r="S26566" s="26">
        <v>8.2000000000000007E-3</v>
      </c>
      <c r="W26566">
        <v>122</v>
      </c>
    </row>
    <row r="26567" spans="1:23" x14ac:dyDescent="0.35">
      <c r="A26567" t="s">
        <v>228</v>
      </c>
      <c r="B26567" t="s">
        <v>261</v>
      </c>
      <c r="C26567" s="26">
        <v>0.5454</v>
      </c>
      <c r="D26567" s="26">
        <v>7.3099999999999998E-2</v>
      </c>
      <c r="E26567" s="26">
        <v>7.9200000000000007E-2</v>
      </c>
      <c r="F26567" s="26">
        <v>0.1547</v>
      </c>
      <c r="G26567" s="26">
        <v>0.1002</v>
      </c>
      <c r="H26567" s="26">
        <v>4.53E-2</v>
      </c>
      <c r="J26567" s="26">
        <v>3.56E-2</v>
      </c>
      <c r="K26567" s="26">
        <v>2.4299999999999999E-2</v>
      </c>
      <c r="L26567" s="26">
        <v>4.58E-2</v>
      </c>
      <c r="M26567" s="26">
        <v>1.09E-2</v>
      </c>
      <c r="N26567" s="26">
        <v>1.7500000000000002E-2</v>
      </c>
      <c r="O26567" s="26">
        <v>1.4500000000000001E-2</v>
      </c>
      <c r="P26567" s="26">
        <v>2.1000000000000001E-2</v>
      </c>
      <c r="R26567" s="26">
        <v>2.0999999999999999E-3</v>
      </c>
      <c r="S26567" s="26">
        <v>4.0000000000000001E-3</v>
      </c>
      <c r="T26567" s="26">
        <v>6.0000000000000001E-3</v>
      </c>
      <c r="U26567" s="26">
        <v>8.3000000000000001E-3</v>
      </c>
      <c r="V26567" s="26">
        <v>1.7100000000000001E-2</v>
      </c>
      <c r="W26567">
        <v>192</v>
      </c>
    </row>
    <row r="26568" spans="1:23" x14ac:dyDescent="0.35">
      <c r="A26568" s="27" t="s">
        <v>228</v>
      </c>
      <c r="B26568" s="27" t="s">
        <v>263</v>
      </c>
      <c r="C26568" s="28">
        <v>0.51880000000000004</v>
      </c>
      <c r="D26568" s="28">
        <v>0.25430000000000003</v>
      </c>
      <c r="E26568" s="28">
        <v>0.114</v>
      </c>
      <c r="F26568" s="28">
        <v>8.4699999999999998E-2</v>
      </c>
      <c r="G26568" s="29"/>
      <c r="H26568" s="28">
        <v>2.93E-2</v>
      </c>
      <c r="I26568" s="29"/>
      <c r="J26568" s="28">
        <v>1.2999999999999999E-2</v>
      </c>
      <c r="K26568" s="28">
        <v>2.93E-2</v>
      </c>
      <c r="L26568" s="28">
        <v>1.2999999999999999E-2</v>
      </c>
      <c r="M26568" s="29"/>
      <c r="N26568" s="29"/>
      <c r="O26568" s="28">
        <v>4.2299999999999997E-2</v>
      </c>
      <c r="P26568" s="29"/>
      <c r="Q26568" s="29"/>
      <c r="R26568" s="29"/>
      <c r="S26568" s="28">
        <v>1.9199999999999998E-2</v>
      </c>
      <c r="T26568" s="29"/>
      <c r="U26568" s="29"/>
      <c r="V26568" s="29"/>
      <c r="W26568" s="29" t="s">
        <v>312</v>
      </c>
    </row>
    <row r="26569" spans="1:23" x14ac:dyDescent="0.35">
      <c r="A26569" s="27" t="s">
        <v>228</v>
      </c>
      <c r="B26569" s="27" t="s">
        <v>236</v>
      </c>
      <c r="C26569" s="28">
        <v>0.10539999999999999</v>
      </c>
      <c r="D26569" s="28">
        <v>0.18790000000000001</v>
      </c>
      <c r="E26569" s="29"/>
      <c r="F26569" s="28">
        <v>0.13370000000000001</v>
      </c>
      <c r="G26569" s="28">
        <v>0.13370000000000001</v>
      </c>
      <c r="H26569" s="28">
        <v>0.57299999999999995</v>
      </c>
      <c r="I26569" s="29"/>
      <c r="J26569" s="28">
        <v>0.13370000000000001</v>
      </c>
      <c r="K26569" s="29"/>
      <c r="L26569" s="28">
        <v>0.13370000000000001</v>
      </c>
      <c r="M26569" s="29"/>
      <c r="N26569" s="28">
        <v>3.9E-2</v>
      </c>
      <c r="O26569" s="28">
        <v>3.9E-2</v>
      </c>
      <c r="P26569" s="28">
        <v>3.9E-2</v>
      </c>
      <c r="Q26569" s="29"/>
      <c r="R26569" s="29"/>
      <c r="S26569" s="29"/>
      <c r="T26569" s="29"/>
      <c r="U26569" s="29"/>
      <c r="V26569" s="29"/>
      <c r="W26569" s="29" t="s">
        <v>335</v>
      </c>
    </row>
    <row r="26570" spans="1:23" x14ac:dyDescent="0.35">
      <c r="A26570" t="s">
        <v>228</v>
      </c>
      <c r="B26570" t="s">
        <v>262</v>
      </c>
      <c r="C26570" s="26">
        <v>0.45269999999999999</v>
      </c>
      <c r="D26570" s="26">
        <v>0.2404</v>
      </c>
      <c r="E26570" s="26">
        <v>8.7099999999999997E-2</v>
      </c>
      <c r="F26570" s="26">
        <v>8.6800000000000002E-2</v>
      </c>
      <c r="G26570" s="26">
        <v>7.5399999999999995E-2</v>
      </c>
      <c r="H26570" s="26">
        <v>0.1101</v>
      </c>
      <c r="J26570" s="26">
        <v>2.2000000000000001E-3</v>
      </c>
      <c r="K26570" s="26">
        <v>1.4999999999999999E-2</v>
      </c>
      <c r="L26570" s="26">
        <v>1.5E-3</v>
      </c>
      <c r="N26570" s="26">
        <v>8.5000000000000006E-3</v>
      </c>
      <c r="O26570" s="26">
        <v>1.77E-2</v>
      </c>
      <c r="P26570" s="26">
        <v>1.29E-2</v>
      </c>
      <c r="R26570" s="26">
        <v>1.18E-2</v>
      </c>
      <c r="S26570" s="26">
        <v>2.5000000000000001E-3</v>
      </c>
      <c r="U26570" s="26">
        <v>7.0000000000000001E-3</v>
      </c>
      <c r="V26570" s="26">
        <v>5.7999999999999996E-3</v>
      </c>
      <c r="W26570">
        <v>201</v>
      </c>
    </row>
    <row r="26571" spans="1:23" x14ac:dyDescent="0.35">
      <c r="A26571" t="s">
        <v>228</v>
      </c>
      <c r="B26571" t="s">
        <v>260</v>
      </c>
      <c r="C26571" s="26">
        <v>0.43149999999999999</v>
      </c>
      <c r="D26571" s="26">
        <v>0.3095</v>
      </c>
      <c r="E26571" s="26">
        <v>9.98E-2</v>
      </c>
      <c r="F26571" s="26">
        <v>9.0200000000000002E-2</v>
      </c>
      <c r="G26571" s="26">
        <v>5.0500000000000003E-2</v>
      </c>
      <c r="H26571" s="26">
        <v>5.5399999999999998E-2</v>
      </c>
      <c r="I26571" s="26">
        <v>2.23E-2</v>
      </c>
      <c r="J26571" s="26">
        <v>1.0800000000000001E-2</v>
      </c>
      <c r="K26571" s="26">
        <v>9.4000000000000004E-3</v>
      </c>
      <c r="L26571" s="26">
        <v>8.6999999999999994E-3</v>
      </c>
      <c r="M26571" s="26">
        <v>8.9999999999999993E-3</v>
      </c>
      <c r="N26571" s="26">
        <v>2.3999999999999998E-3</v>
      </c>
      <c r="O26571" s="26">
        <v>9.7999999999999997E-3</v>
      </c>
      <c r="P26571" s="26">
        <v>9.5999999999999992E-3</v>
      </c>
      <c r="Q26571" s="26">
        <v>6.1000000000000004E-3</v>
      </c>
      <c r="R26571" s="26">
        <v>2.2000000000000001E-3</v>
      </c>
      <c r="S26571" s="26">
        <v>2.8E-3</v>
      </c>
      <c r="U26571" s="26">
        <v>4.3E-3</v>
      </c>
      <c r="V26571" s="26">
        <v>8.9999999999999998E-4</v>
      </c>
      <c r="W26571">
        <v>609</v>
      </c>
    </row>
    <row r="26572" spans="1:23" x14ac:dyDescent="0.35">
      <c r="A26572" s="27" t="s">
        <v>229</v>
      </c>
      <c r="B26572" s="27" t="s">
        <v>263</v>
      </c>
      <c r="C26572" s="28">
        <v>0.38069999999999998</v>
      </c>
      <c r="D26572" s="28">
        <v>0.37719999999999998</v>
      </c>
      <c r="E26572" s="28">
        <v>0.15570000000000001</v>
      </c>
      <c r="F26572" s="28">
        <v>3.4700000000000002E-2</v>
      </c>
      <c r="G26572" s="29"/>
      <c r="H26572" s="28">
        <v>0.2074</v>
      </c>
      <c r="I26572" s="29"/>
      <c r="J26572" s="29"/>
      <c r="K26572" s="29"/>
      <c r="L26572" s="29"/>
      <c r="M26572" s="29"/>
      <c r="N26572" s="29"/>
      <c r="O26572" s="29"/>
      <c r="P26572" s="29"/>
      <c r="Q26572" s="28">
        <v>3.4700000000000002E-2</v>
      </c>
      <c r="R26572" s="29"/>
      <c r="S26572" s="28">
        <v>3.4700000000000002E-2</v>
      </c>
      <c r="T26572" s="29"/>
      <c r="U26572" s="29"/>
      <c r="V26572" s="29"/>
      <c r="W26572" s="29" t="s">
        <v>379</v>
      </c>
    </row>
    <row r="26573" spans="1:23" x14ac:dyDescent="0.35">
      <c r="A26573" t="s">
        <v>229</v>
      </c>
      <c r="B26573" t="s">
        <v>262</v>
      </c>
      <c r="C26573" s="26">
        <v>0.31259999999999999</v>
      </c>
      <c r="D26573" s="26">
        <v>0.48459999999999998</v>
      </c>
      <c r="E26573" s="26">
        <v>3.9899999999999998E-2</v>
      </c>
      <c r="F26573" s="26">
        <v>5.8900000000000001E-2</v>
      </c>
      <c r="G26573" s="26">
        <v>2.5000000000000001E-2</v>
      </c>
      <c r="H26573" s="26">
        <v>8.72E-2</v>
      </c>
      <c r="I26573" s="26">
        <v>1.9900000000000001E-2</v>
      </c>
      <c r="J26573" s="26">
        <v>1.24E-2</v>
      </c>
      <c r="K26573" s="26">
        <v>2.1499999999999998E-2</v>
      </c>
      <c r="N26573" s="26">
        <v>9.1000000000000004E-3</v>
      </c>
      <c r="O26573" s="26">
        <v>1.2699999999999999E-2</v>
      </c>
      <c r="Q26573" s="26">
        <v>9.1000000000000004E-3</v>
      </c>
      <c r="U26573" s="26">
        <v>2.9999999999999997E-4</v>
      </c>
      <c r="V26573" s="26">
        <v>1.1999999999999999E-3</v>
      </c>
      <c r="W26573">
        <v>187</v>
      </c>
    </row>
    <row r="26574" spans="1:23" x14ac:dyDescent="0.35">
      <c r="A26574" t="s">
        <v>229</v>
      </c>
      <c r="B26574" t="s">
        <v>261</v>
      </c>
      <c r="C26574" s="26">
        <v>0.47339999999999999</v>
      </c>
      <c r="D26574" s="26">
        <v>0.15010000000000001</v>
      </c>
      <c r="E26574" s="26">
        <v>0.1178</v>
      </c>
      <c r="F26574" s="26">
        <v>6.0600000000000001E-2</v>
      </c>
      <c r="G26574" s="26">
        <v>0.1201</v>
      </c>
      <c r="H26574" s="26">
        <v>6.7900000000000002E-2</v>
      </c>
      <c r="I26574" s="26">
        <v>4.0399999999999998E-2</v>
      </c>
      <c r="J26574" s="26">
        <v>2.1299999999999999E-2</v>
      </c>
      <c r="K26574" s="26">
        <v>2.0199999999999999E-2</v>
      </c>
      <c r="M26574" s="26">
        <v>1.6899999999999998E-2</v>
      </c>
      <c r="N26574" s="26">
        <v>3.6999999999999998E-2</v>
      </c>
      <c r="P26574" s="26">
        <v>2.0199999999999999E-2</v>
      </c>
      <c r="R26574" s="26">
        <v>1.6899999999999998E-2</v>
      </c>
      <c r="W26574">
        <v>96</v>
      </c>
    </row>
    <row r="26575" spans="1:23" x14ac:dyDescent="0.35">
      <c r="A26575" s="27" t="s">
        <v>229</v>
      </c>
      <c r="B26575" s="27" t="s">
        <v>236</v>
      </c>
      <c r="C26575" s="29"/>
      <c r="D26575" s="28">
        <v>1</v>
      </c>
      <c r="E26575" s="29"/>
      <c r="F26575" s="29"/>
      <c r="G26575" s="29"/>
      <c r="H26575" s="29"/>
      <c r="I26575" s="29"/>
      <c r="J26575" s="29"/>
      <c r="K26575" s="29"/>
      <c r="L26575" s="29"/>
      <c r="M26575" s="29"/>
      <c r="N26575" s="29"/>
      <c r="O26575" s="29"/>
      <c r="P26575" s="29"/>
      <c r="Q26575" s="29"/>
      <c r="R26575" s="29"/>
      <c r="S26575" s="29"/>
      <c r="T26575" s="29"/>
      <c r="U26575" s="29"/>
      <c r="V26575" s="29"/>
      <c r="W26575" s="29" t="s">
        <v>331</v>
      </c>
    </row>
    <row r="26576" spans="1:23" x14ac:dyDescent="0.35">
      <c r="A26576" t="s">
        <v>229</v>
      </c>
      <c r="B26576" t="s">
        <v>260</v>
      </c>
      <c r="C26576" s="26">
        <v>0.44779999999999998</v>
      </c>
      <c r="D26576" s="26">
        <v>0.34660000000000002</v>
      </c>
      <c r="E26576" s="26">
        <v>0.1028</v>
      </c>
      <c r="F26576" s="26">
        <v>9.2600000000000002E-2</v>
      </c>
      <c r="G26576" s="26">
        <v>4.9700000000000001E-2</v>
      </c>
      <c r="H26576" s="26">
        <v>3.6200000000000003E-2</v>
      </c>
      <c r="I26576" s="26">
        <v>1.35E-2</v>
      </c>
      <c r="J26576" s="26">
        <v>2E-3</v>
      </c>
      <c r="K26576" s="26">
        <v>9.1000000000000004E-3</v>
      </c>
      <c r="L26576" s="26">
        <v>6.1999999999999998E-3</v>
      </c>
      <c r="M26576" s="26">
        <v>2.3E-3</v>
      </c>
      <c r="N26576" s="26">
        <v>6.0000000000000001E-3</v>
      </c>
      <c r="O26576" s="26">
        <v>5.0000000000000001E-4</v>
      </c>
      <c r="P26576" s="26">
        <v>5.0000000000000001E-4</v>
      </c>
      <c r="Q26576" s="26">
        <v>4.4999999999999997E-3</v>
      </c>
      <c r="S26576" s="26">
        <v>5.9999999999999995E-4</v>
      </c>
      <c r="V26576" s="26">
        <v>1.4E-3</v>
      </c>
      <c r="W26576">
        <v>596</v>
      </c>
    </row>
    <row r="26577" spans="1:23" x14ac:dyDescent="0.35">
      <c r="A26577" s="27" t="s">
        <v>230</v>
      </c>
      <c r="B26577" s="27" t="s">
        <v>236</v>
      </c>
      <c r="C26577" s="28">
        <v>0.11899999999999999</v>
      </c>
      <c r="D26577" s="28">
        <v>0.1585</v>
      </c>
      <c r="E26577" s="28">
        <v>0.72240000000000004</v>
      </c>
      <c r="F26577" s="28">
        <v>0.72240000000000004</v>
      </c>
      <c r="G26577" s="29"/>
      <c r="H26577" s="29"/>
      <c r="I26577" s="29"/>
      <c r="J26577" s="29"/>
      <c r="K26577" s="29"/>
      <c r="L26577" s="29"/>
      <c r="M26577" s="29"/>
      <c r="N26577" s="29"/>
      <c r="O26577" s="29"/>
      <c r="P26577" s="29"/>
      <c r="Q26577" s="29"/>
      <c r="R26577" s="29"/>
      <c r="S26577" s="29"/>
      <c r="T26577" s="29"/>
      <c r="U26577" s="29"/>
      <c r="V26577" s="29"/>
      <c r="W26577" s="29" t="s">
        <v>337</v>
      </c>
    </row>
    <row r="26578" spans="1:23" x14ac:dyDescent="0.35">
      <c r="A26578" t="s">
        <v>230</v>
      </c>
      <c r="B26578" t="s">
        <v>262</v>
      </c>
      <c r="C26578" s="26">
        <v>0.48559999999999998</v>
      </c>
      <c r="D26578" s="26">
        <v>0.21029999999999999</v>
      </c>
      <c r="E26578" s="26">
        <v>0.13089999999999999</v>
      </c>
      <c r="F26578" s="26">
        <v>4.9200000000000001E-2</v>
      </c>
      <c r="G26578" s="26">
        <v>2.53E-2</v>
      </c>
      <c r="H26578" s="26">
        <v>6.5100000000000005E-2</v>
      </c>
      <c r="I26578" s="26">
        <v>1.2E-2</v>
      </c>
      <c r="J26578" s="26">
        <v>7.7000000000000002E-3</v>
      </c>
      <c r="K26578" s="26">
        <v>4.9799999999999997E-2</v>
      </c>
      <c r="L26578" s="26">
        <v>1.2E-2</v>
      </c>
      <c r="M26578" s="26">
        <v>1.3599999999999999E-2</v>
      </c>
      <c r="N26578" s="26">
        <v>7.9000000000000008E-3</v>
      </c>
      <c r="O26578" s="26">
        <v>0.02</v>
      </c>
      <c r="P26578" s="26">
        <v>6.0000000000000001E-3</v>
      </c>
      <c r="Q26578" s="26">
        <v>6.0000000000000001E-3</v>
      </c>
      <c r="R26578" s="26">
        <v>1.8E-3</v>
      </c>
      <c r="U26578" s="26">
        <v>4.5400000000000003E-2</v>
      </c>
      <c r="W26578">
        <v>122</v>
      </c>
    </row>
    <row r="26579" spans="1:23" x14ac:dyDescent="0.35">
      <c r="A26579" t="s">
        <v>230</v>
      </c>
      <c r="B26579" t="s">
        <v>261</v>
      </c>
      <c r="C26579" s="26">
        <v>0.41110000000000002</v>
      </c>
      <c r="D26579" s="26">
        <v>0.1162</v>
      </c>
      <c r="E26579" s="26">
        <v>5.5899999999999998E-2</v>
      </c>
      <c r="F26579" s="26">
        <v>5.79E-2</v>
      </c>
      <c r="G26579" s="26">
        <v>0.249</v>
      </c>
      <c r="H26579" s="26">
        <v>2.9000000000000001E-2</v>
      </c>
      <c r="I26579" s="26">
        <v>6.7999999999999996E-3</v>
      </c>
      <c r="J26579" s="26">
        <v>8.0699999999999994E-2</v>
      </c>
      <c r="K26579" s="26">
        <v>6.7999999999999996E-3</v>
      </c>
      <c r="L26579" s="26">
        <v>4.7199999999999999E-2</v>
      </c>
      <c r="M26579" s="26">
        <v>6.7999999999999996E-3</v>
      </c>
      <c r="N26579" s="26">
        <v>8.2799999999999999E-2</v>
      </c>
      <c r="O26579" s="26">
        <v>8.2799999999999999E-2</v>
      </c>
      <c r="P26579" s="26">
        <v>4.0399999999999998E-2</v>
      </c>
      <c r="U26579" s="26">
        <v>2E-3</v>
      </c>
      <c r="W26579">
        <v>57</v>
      </c>
    </row>
    <row r="26580" spans="1:23" x14ac:dyDescent="0.35">
      <c r="A26580" s="27" t="s">
        <v>230</v>
      </c>
      <c r="B26580" s="27" t="s">
        <v>263</v>
      </c>
      <c r="C26580" s="28">
        <v>0.35299999999999998</v>
      </c>
      <c r="D26580" s="28">
        <v>7.2499999999999995E-2</v>
      </c>
      <c r="E26580" s="28">
        <v>1.6799999999999999E-2</v>
      </c>
      <c r="F26580" s="28">
        <v>1.6799999999999999E-2</v>
      </c>
      <c r="G26580" s="28">
        <v>5.0299999999999997E-2</v>
      </c>
      <c r="H26580" s="28">
        <v>0.49070000000000003</v>
      </c>
      <c r="I26580" s="29"/>
      <c r="J26580" s="28">
        <v>0.38059999999999999</v>
      </c>
      <c r="K26580" s="29"/>
      <c r="L26580" s="28">
        <v>3.3500000000000002E-2</v>
      </c>
      <c r="M26580" s="29"/>
      <c r="N26580" s="29"/>
      <c r="O26580" s="29"/>
      <c r="P26580" s="29"/>
      <c r="Q26580" s="29"/>
      <c r="R26580" s="29"/>
      <c r="S26580" s="29"/>
      <c r="T26580" s="29"/>
      <c r="U26580" s="29"/>
      <c r="V26580" s="29"/>
      <c r="W26580" s="29" t="s">
        <v>312</v>
      </c>
    </row>
    <row r="26581" spans="1:23" x14ac:dyDescent="0.35">
      <c r="A26581" t="s">
        <v>230</v>
      </c>
      <c r="B26581" t="s">
        <v>260</v>
      </c>
      <c r="C26581" s="26">
        <v>0.37640000000000001</v>
      </c>
      <c r="D26581" s="26">
        <v>0.39910000000000001</v>
      </c>
      <c r="E26581" s="26">
        <v>0.1111</v>
      </c>
      <c r="F26581" s="26">
        <v>7.1900000000000006E-2</v>
      </c>
      <c r="G26581" s="26">
        <v>6.3399999999999998E-2</v>
      </c>
      <c r="H26581" s="26">
        <v>3.5499999999999997E-2</v>
      </c>
      <c r="I26581" s="26">
        <v>1.17E-2</v>
      </c>
      <c r="J26581" s="26">
        <v>2.41E-2</v>
      </c>
      <c r="K26581" s="26">
        <v>1.8499999999999999E-2</v>
      </c>
      <c r="L26581" s="26">
        <v>7.7999999999999996E-3</v>
      </c>
      <c r="M26581" s="26">
        <v>1.2999999999999999E-3</v>
      </c>
      <c r="N26581" s="26">
        <v>9.4999999999999998E-3</v>
      </c>
      <c r="O26581" s="26">
        <v>8.2000000000000007E-3</v>
      </c>
      <c r="R26581" s="26">
        <v>9.1000000000000004E-3</v>
      </c>
      <c r="U26581" s="26">
        <v>4.0000000000000002E-4</v>
      </c>
      <c r="V26581" s="26">
        <v>1.2999999999999999E-3</v>
      </c>
      <c r="W26581">
        <v>352</v>
      </c>
    </row>
    <row r="26582" spans="1:23" x14ac:dyDescent="0.35">
      <c r="A26582" s="27" t="s">
        <v>231</v>
      </c>
      <c r="B26582" s="27" t="s">
        <v>263</v>
      </c>
      <c r="C26582" s="29"/>
      <c r="D26582" s="28">
        <v>0.5</v>
      </c>
      <c r="E26582" s="28">
        <v>0.5</v>
      </c>
      <c r="F26582" s="28">
        <v>0.5</v>
      </c>
      <c r="G26582" s="29"/>
      <c r="H26582" s="29"/>
      <c r="I26582" s="29"/>
      <c r="J26582" s="29"/>
      <c r="K26582" s="29"/>
      <c r="L26582" s="29"/>
      <c r="M26582" s="29"/>
      <c r="N26582" s="29"/>
      <c r="O26582" s="29"/>
      <c r="P26582" s="29"/>
      <c r="Q26582" s="29"/>
      <c r="R26582" s="29"/>
      <c r="S26582" s="29"/>
      <c r="T26582" s="29"/>
      <c r="U26582" s="29"/>
      <c r="V26582" s="29"/>
      <c r="W26582" s="29" t="s">
        <v>314</v>
      </c>
    </row>
    <row r="26583" spans="1:23" x14ac:dyDescent="0.35">
      <c r="A26583" t="s">
        <v>231</v>
      </c>
      <c r="B26583" t="s">
        <v>260</v>
      </c>
      <c r="C26583" s="26">
        <v>0.4516</v>
      </c>
      <c r="D26583" s="26">
        <v>0.3871</v>
      </c>
      <c r="E26583" s="26">
        <v>6.4500000000000002E-2</v>
      </c>
      <c r="F26583" s="26">
        <v>7.2599999999999998E-2</v>
      </c>
      <c r="G26583" s="26">
        <v>5.6500000000000002E-2</v>
      </c>
      <c r="H26583" s="26">
        <v>4.0300000000000002E-2</v>
      </c>
      <c r="I26583" s="26">
        <v>1.61E-2</v>
      </c>
      <c r="J26583" s="26">
        <v>8.0999999999999996E-3</v>
      </c>
      <c r="L26583" s="26">
        <v>8.0999999999999996E-3</v>
      </c>
      <c r="M26583" s="26">
        <v>8.0999999999999996E-3</v>
      </c>
      <c r="T26583" s="26">
        <v>8.0999999999999996E-3</v>
      </c>
      <c r="W26583">
        <v>124</v>
      </c>
    </row>
    <row r="26584" spans="1:23" x14ac:dyDescent="0.35">
      <c r="A26584" s="27" t="s">
        <v>231</v>
      </c>
      <c r="B26584" s="27" t="s">
        <v>261</v>
      </c>
      <c r="C26584" s="28">
        <v>0.48149999999999998</v>
      </c>
      <c r="D26584" s="28">
        <v>0.1111</v>
      </c>
      <c r="E26584" s="28">
        <v>0.22220000000000001</v>
      </c>
      <c r="F26584" s="28">
        <v>7.4099999999999999E-2</v>
      </c>
      <c r="G26584" s="28">
        <v>0.1111</v>
      </c>
      <c r="H26584" s="28">
        <v>7.4099999999999999E-2</v>
      </c>
      <c r="I26584" s="29"/>
      <c r="J26584" s="29"/>
      <c r="K26584" s="29"/>
      <c r="L26584" s="29"/>
      <c r="M26584" s="28">
        <v>3.6999999999999998E-2</v>
      </c>
      <c r="N26584" s="29"/>
      <c r="O26584" s="29"/>
      <c r="P26584" s="29"/>
      <c r="Q26584" s="29"/>
      <c r="R26584" s="29"/>
      <c r="S26584" s="29"/>
      <c r="T26584" s="29"/>
      <c r="U26584" s="29"/>
      <c r="V26584" s="29"/>
      <c r="W26584" s="29" t="s">
        <v>338</v>
      </c>
    </row>
    <row r="26585" spans="1:23" x14ac:dyDescent="0.35">
      <c r="A26585" s="27" t="s">
        <v>231</v>
      </c>
      <c r="B26585" s="27" t="s">
        <v>262</v>
      </c>
      <c r="C26585" s="28">
        <v>0.81820000000000004</v>
      </c>
      <c r="D26585" s="28">
        <v>9.0899999999999995E-2</v>
      </c>
      <c r="E26585" s="28">
        <v>9.0899999999999995E-2</v>
      </c>
      <c r="F26585" s="28">
        <v>9.0899999999999995E-2</v>
      </c>
      <c r="G26585" s="29"/>
      <c r="H26585" s="29"/>
      <c r="I26585" s="29"/>
      <c r="J26585" s="29"/>
      <c r="K26585" s="29"/>
      <c r="L26585" s="29"/>
      <c r="M26585" s="29"/>
      <c r="N26585" s="29"/>
      <c r="O26585" s="29"/>
      <c r="P26585" s="29"/>
      <c r="Q26585" s="29"/>
      <c r="R26585" s="29"/>
      <c r="S26585" s="29"/>
      <c r="T26585" s="29"/>
      <c r="U26585" s="29"/>
      <c r="V26585" s="29"/>
      <c r="W26585" s="29" t="s">
        <v>352</v>
      </c>
    </row>
    <row r="26586" spans="1:23" x14ac:dyDescent="0.35">
      <c r="A26586" t="s">
        <v>232</v>
      </c>
      <c r="B26586" t="s">
        <v>232</v>
      </c>
      <c r="C26586" s="26">
        <v>0.42699999999999999</v>
      </c>
      <c r="D26586" s="26">
        <v>0.3271</v>
      </c>
      <c r="E26586" s="26">
        <v>9.3799999999999994E-2</v>
      </c>
      <c r="F26586" s="26">
        <v>8.3500000000000005E-2</v>
      </c>
      <c r="G26586" s="26">
        <v>6.6000000000000003E-2</v>
      </c>
      <c r="H26586" s="26">
        <v>5.57E-2</v>
      </c>
      <c r="I26586" s="26">
        <v>1.43E-2</v>
      </c>
      <c r="J26586" s="26">
        <v>1.0999999999999999E-2</v>
      </c>
      <c r="K26586" s="26">
        <v>1.0500000000000001E-2</v>
      </c>
      <c r="L26586" s="26">
        <v>8.8999999999999999E-3</v>
      </c>
      <c r="M26586" s="26">
        <v>7.1999999999999998E-3</v>
      </c>
      <c r="N26586" s="26">
        <v>6.3E-3</v>
      </c>
      <c r="O26586" s="26">
        <v>5.4000000000000003E-3</v>
      </c>
      <c r="P26586" s="26">
        <v>3.8999999999999998E-3</v>
      </c>
      <c r="Q26586" s="26">
        <v>2.3999999999999998E-3</v>
      </c>
      <c r="R26586" s="26">
        <v>2.0999999999999999E-3</v>
      </c>
      <c r="S26586" s="26">
        <v>1.9E-3</v>
      </c>
      <c r="T26586" s="26">
        <v>1.9E-3</v>
      </c>
      <c r="U26586" s="26">
        <v>1.8E-3</v>
      </c>
      <c r="V26586" s="26">
        <v>1.2999999999999999E-3</v>
      </c>
      <c r="W26586">
        <v>2812</v>
      </c>
    </row>
    <row r="26588" spans="1:23" x14ac:dyDescent="0.35">
      <c r="A26588" s="1" t="s">
        <v>2417</v>
      </c>
    </row>
    <row r="26589" spans="1:23" x14ac:dyDescent="0.35">
      <c r="A26589" t="s">
        <v>219</v>
      </c>
      <c r="B26589" t="s">
        <v>305</v>
      </c>
      <c r="C26589" t="s">
        <v>2392</v>
      </c>
      <c r="D26589" t="s">
        <v>2393</v>
      </c>
      <c r="E26589" t="s">
        <v>2394</v>
      </c>
      <c r="F26589" t="s">
        <v>2395</v>
      </c>
      <c r="G26589" t="s">
        <v>2396</v>
      </c>
      <c r="H26589" t="s">
        <v>2397</v>
      </c>
      <c r="I26589" t="s">
        <v>281</v>
      </c>
      <c r="J26589" t="s">
        <v>2398</v>
      </c>
      <c r="K26589" t="s">
        <v>2399</v>
      </c>
      <c r="L26589" t="s">
        <v>2400</v>
      </c>
      <c r="M26589" t="s">
        <v>2401</v>
      </c>
      <c r="N26589" t="s">
        <v>2402</v>
      </c>
      <c r="O26589" t="s">
        <v>2403</v>
      </c>
      <c r="P26589" t="s">
        <v>2404</v>
      </c>
      <c r="Q26589" t="s">
        <v>2405</v>
      </c>
      <c r="R26589" t="s">
        <v>2406</v>
      </c>
      <c r="S26589" t="s">
        <v>326</v>
      </c>
      <c r="T26589" t="s">
        <v>2407</v>
      </c>
      <c r="U26589" t="s">
        <v>2408</v>
      </c>
      <c r="V26589" t="s">
        <v>286</v>
      </c>
      <c r="W26589" t="s">
        <v>226</v>
      </c>
    </row>
    <row r="26590" spans="1:23" x14ac:dyDescent="0.35">
      <c r="A26590" t="s">
        <v>227</v>
      </c>
      <c r="B26590" t="s">
        <v>368</v>
      </c>
      <c r="C26590" s="26">
        <v>0.30299999999999999</v>
      </c>
      <c r="D26590" s="26">
        <v>0.21210000000000001</v>
      </c>
      <c r="E26590" s="26">
        <v>9.0899999999999995E-2</v>
      </c>
      <c r="F26590" s="26">
        <v>0.1212</v>
      </c>
      <c r="G26590" s="26">
        <v>0.2424</v>
      </c>
      <c r="H26590" s="26">
        <v>6.0600000000000001E-2</v>
      </c>
      <c r="K26590" s="26">
        <v>6.0600000000000001E-2</v>
      </c>
      <c r="L26590" s="26">
        <v>6.0600000000000001E-2</v>
      </c>
      <c r="M26590" s="26">
        <v>3.0300000000000001E-2</v>
      </c>
      <c r="W26590">
        <v>33</v>
      </c>
    </row>
    <row r="26591" spans="1:23" x14ac:dyDescent="0.35">
      <c r="A26591" t="s">
        <v>227</v>
      </c>
      <c r="B26591" t="s">
        <v>369</v>
      </c>
      <c r="C26591" s="26">
        <v>0.3594</v>
      </c>
      <c r="D26591" s="26">
        <v>0.4219</v>
      </c>
      <c r="E26591" s="26">
        <v>8.5900000000000004E-2</v>
      </c>
      <c r="F26591" s="26">
        <v>7.8100000000000003E-2</v>
      </c>
      <c r="G26591" s="26">
        <v>5.4699999999999999E-2</v>
      </c>
      <c r="H26591" s="26">
        <v>7.0300000000000001E-2</v>
      </c>
      <c r="I26591" s="26">
        <v>1.5599999999999999E-2</v>
      </c>
      <c r="J26591" s="26">
        <v>7.7999999999999996E-3</v>
      </c>
      <c r="S26591" s="26">
        <v>7.7999999999999996E-3</v>
      </c>
      <c r="W26591">
        <v>128</v>
      </c>
    </row>
    <row r="26592" spans="1:23" x14ac:dyDescent="0.35">
      <c r="A26592" t="s">
        <v>228</v>
      </c>
      <c r="B26592" t="s">
        <v>368</v>
      </c>
      <c r="C26592" s="26">
        <v>0.5454</v>
      </c>
      <c r="D26592" s="26">
        <v>7.3099999999999998E-2</v>
      </c>
      <c r="E26592" s="26">
        <v>7.9200000000000007E-2</v>
      </c>
      <c r="F26592" s="26">
        <v>0.1547</v>
      </c>
      <c r="G26592" s="26">
        <v>0.1002</v>
      </c>
      <c r="H26592" s="26">
        <v>4.53E-2</v>
      </c>
      <c r="J26592" s="26">
        <v>3.56E-2</v>
      </c>
      <c r="K26592" s="26">
        <v>2.4299999999999999E-2</v>
      </c>
      <c r="L26592" s="26">
        <v>4.58E-2</v>
      </c>
      <c r="M26592" s="26">
        <v>1.09E-2</v>
      </c>
      <c r="N26592" s="26">
        <v>1.7500000000000002E-2</v>
      </c>
      <c r="O26592" s="26">
        <v>1.4500000000000001E-2</v>
      </c>
      <c r="P26592" s="26">
        <v>2.1000000000000001E-2</v>
      </c>
      <c r="R26592" s="26">
        <v>2.0999999999999999E-3</v>
      </c>
      <c r="S26592" s="26">
        <v>4.0000000000000001E-3</v>
      </c>
      <c r="T26592" s="26">
        <v>6.0000000000000001E-3</v>
      </c>
      <c r="U26592" s="26">
        <v>8.3000000000000001E-3</v>
      </c>
      <c r="V26592" s="26">
        <v>1.7100000000000001E-2</v>
      </c>
      <c r="W26592">
        <v>192</v>
      </c>
    </row>
    <row r="26593" spans="1:23" x14ac:dyDescent="0.35">
      <c r="A26593" t="s">
        <v>228</v>
      </c>
      <c r="B26593" t="s">
        <v>369</v>
      </c>
      <c r="C26593" s="26">
        <v>0.43530000000000002</v>
      </c>
      <c r="D26593" s="26">
        <v>0.29299999999999998</v>
      </c>
      <c r="E26593" s="26">
        <v>9.6699999999999994E-2</v>
      </c>
      <c r="F26593" s="26">
        <v>8.9700000000000002E-2</v>
      </c>
      <c r="G26593" s="26">
        <v>5.5100000000000003E-2</v>
      </c>
      <c r="H26593" s="26">
        <v>7.0099999999999996E-2</v>
      </c>
      <c r="I26593" s="26">
        <v>1.7000000000000001E-2</v>
      </c>
      <c r="J26593" s="26">
        <v>0.01</v>
      </c>
      <c r="K26593" s="26">
        <v>1.09E-2</v>
      </c>
      <c r="L26593" s="26">
        <v>8.3000000000000001E-3</v>
      </c>
      <c r="M26593" s="26">
        <v>6.8999999999999999E-3</v>
      </c>
      <c r="N26593" s="26">
        <v>3.8999999999999998E-3</v>
      </c>
      <c r="O26593" s="26">
        <v>1.24E-2</v>
      </c>
      <c r="P26593" s="26">
        <v>1.03E-2</v>
      </c>
      <c r="Q26593" s="26">
        <v>4.5999999999999999E-3</v>
      </c>
      <c r="R26593" s="26">
        <v>4.1000000000000003E-3</v>
      </c>
      <c r="S26593" s="26">
        <v>3.0999999999999999E-3</v>
      </c>
      <c r="U26593" s="26">
        <v>4.7000000000000002E-3</v>
      </c>
      <c r="V26593" s="26">
        <v>1.9E-3</v>
      </c>
      <c r="W26593">
        <v>841</v>
      </c>
    </row>
    <row r="26594" spans="1:23" x14ac:dyDescent="0.35">
      <c r="A26594" t="s">
        <v>229</v>
      </c>
      <c r="B26594" t="s">
        <v>368</v>
      </c>
      <c r="C26594" s="26">
        <v>0.47339999999999999</v>
      </c>
      <c r="D26594" s="26">
        <v>0.15010000000000001</v>
      </c>
      <c r="E26594" s="26">
        <v>0.1178</v>
      </c>
      <c r="F26594" s="26">
        <v>6.0600000000000001E-2</v>
      </c>
      <c r="G26594" s="26">
        <v>0.1201</v>
      </c>
      <c r="H26594" s="26">
        <v>6.7900000000000002E-2</v>
      </c>
      <c r="I26594" s="26">
        <v>4.0399999999999998E-2</v>
      </c>
      <c r="J26594" s="26">
        <v>2.1299999999999999E-2</v>
      </c>
      <c r="K26594" s="26">
        <v>2.0199999999999999E-2</v>
      </c>
      <c r="M26594" s="26">
        <v>1.6899999999999998E-2</v>
      </c>
      <c r="N26594" s="26">
        <v>3.6999999999999998E-2</v>
      </c>
      <c r="P26594" s="26">
        <v>2.0199999999999999E-2</v>
      </c>
      <c r="R26594" s="26">
        <v>1.6899999999999998E-2</v>
      </c>
      <c r="W26594">
        <v>96</v>
      </c>
    </row>
    <row r="26595" spans="1:23" x14ac:dyDescent="0.35">
      <c r="A26595" t="s">
        <v>229</v>
      </c>
      <c r="B26595" t="s">
        <v>369</v>
      </c>
      <c r="C26595" s="26">
        <v>0.4022</v>
      </c>
      <c r="D26595" s="26">
        <v>0.39229999999999998</v>
      </c>
      <c r="E26595" s="26">
        <v>8.3500000000000005E-2</v>
      </c>
      <c r="F26595" s="26">
        <v>8.0299999999999996E-2</v>
      </c>
      <c r="G26595" s="26">
        <v>4.0500000000000001E-2</v>
      </c>
      <c r="H26595" s="26">
        <v>5.67E-2</v>
      </c>
      <c r="I26595" s="26">
        <v>1.5299999999999999E-2</v>
      </c>
      <c r="J26595" s="26">
        <v>5.3E-3</v>
      </c>
      <c r="K26595" s="26">
        <v>1.29E-2</v>
      </c>
      <c r="L26595" s="26">
        <v>4.0000000000000001E-3</v>
      </c>
      <c r="M26595" s="26">
        <v>1.5E-3</v>
      </c>
      <c r="N26595" s="26">
        <v>6.8999999999999999E-3</v>
      </c>
      <c r="O26595" s="26">
        <v>4.4000000000000003E-3</v>
      </c>
      <c r="P26595" s="26">
        <v>2.9999999999999997E-4</v>
      </c>
      <c r="Q26595" s="26">
        <v>6.7000000000000002E-3</v>
      </c>
      <c r="S26595" s="26">
        <v>1.1999999999999999E-3</v>
      </c>
      <c r="U26595" s="26">
        <v>1E-4</v>
      </c>
      <c r="V26595" s="26">
        <v>1.2999999999999999E-3</v>
      </c>
      <c r="W26595">
        <v>798</v>
      </c>
    </row>
    <row r="26596" spans="1:23" x14ac:dyDescent="0.35">
      <c r="A26596" t="s">
        <v>230</v>
      </c>
      <c r="B26596" t="s">
        <v>368</v>
      </c>
      <c r="C26596" s="26">
        <v>0.41110000000000002</v>
      </c>
      <c r="D26596" s="26">
        <v>0.1162</v>
      </c>
      <c r="E26596" s="26">
        <v>5.5899999999999998E-2</v>
      </c>
      <c r="F26596" s="26">
        <v>5.79E-2</v>
      </c>
      <c r="G26596" s="26">
        <v>0.249</v>
      </c>
      <c r="H26596" s="26">
        <v>2.9000000000000001E-2</v>
      </c>
      <c r="I26596" s="26">
        <v>6.7999999999999996E-3</v>
      </c>
      <c r="J26596" s="26">
        <v>8.0699999999999994E-2</v>
      </c>
      <c r="K26596" s="26">
        <v>6.7999999999999996E-3</v>
      </c>
      <c r="L26596" s="26">
        <v>4.7199999999999999E-2</v>
      </c>
      <c r="M26596" s="26">
        <v>6.7999999999999996E-3</v>
      </c>
      <c r="N26596" s="26">
        <v>8.2799999999999999E-2</v>
      </c>
      <c r="O26596" s="26">
        <v>8.2799999999999999E-2</v>
      </c>
      <c r="P26596" s="26">
        <v>4.0399999999999998E-2</v>
      </c>
      <c r="U26596" s="26">
        <v>2E-3</v>
      </c>
      <c r="W26596">
        <v>57</v>
      </c>
    </row>
    <row r="26597" spans="1:23" x14ac:dyDescent="0.35">
      <c r="A26597" t="s">
        <v>230</v>
      </c>
      <c r="B26597" t="s">
        <v>369</v>
      </c>
      <c r="C26597" s="26">
        <v>0.3926</v>
      </c>
      <c r="D26597" s="26">
        <v>0.35820000000000002</v>
      </c>
      <c r="E26597" s="26">
        <v>0.11799999999999999</v>
      </c>
      <c r="F26597" s="26">
        <v>7.2499999999999995E-2</v>
      </c>
      <c r="G26597" s="26">
        <v>5.6000000000000001E-2</v>
      </c>
      <c r="H26597" s="26">
        <v>4.8899999999999999E-2</v>
      </c>
      <c r="I26597" s="26">
        <v>1.14E-2</v>
      </c>
      <c r="J26597" s="26">
        <v>2.7799999999999998E-2</v>
      </c>
      <c r="K26597" s="26">
        <v>2.3400000000000001E-2</v>
      </c>
      <c r="L26597" s="26">
        <v>8.8999999999999999E-3</v>
      </c>
      <c r="M26597" s="26">
        <v>3.3999999999999998E-3</v>
      </c>
      <c r="N26597" s="26">
        <v>8.8999999999999999E-3</v>
      </c>
      <c r="O26597" s="26">
        <v>0.01</v>
      </c>
      <c r="P26597" s="26">
        <v>1E-3</v>
      </c>
      <c r="Q26597" s="26">
        <v>1E-3</v>
      </c>
      <c r="R26597" s="26">
        <v>7.6E-3</v>
      </c>
      <c r="U26597" s="26">
        <v>8.2000000000000007E-3</v>
      </c>
      <c r="V26597" s="26">
        <v>1E-3</v>
      </c>
      <c r="W26597">
        <v>503</v>
      </c>
    </row>
    <row r="26598" spans="1:23" x14ac:dyDescent="0.35">
      <c r="A26598" s="27" t="s">
        <v>231</v>
      </c>
      <c r="B26598" s="27" t="s">
        <v>368</v>
      </c>
      <c r="C26598" s="28">
        <v>0.48149999999999998</v>
      </c>
      <c r="D26598" s="28">
        <v>0.1111</v>
      </c>
      <c r="E26598" s="28">
        <v>0.22220000000000001</v>
      </c>
      <c r="F26598" s="28">
        <v>7.4099999999999999E-2</v>
      </c>
      <c r="G26598" s="28">
        <v>0.1111</v>
      </c>
      <c r="H26598" s="28">
        <v>7.4099999999999999E-2</v>
      </c>
      <c r="I26598" s="29"/>
      <c r="J26598" s="29"/>
      <c r="K26598" s="29"/>
      <c r="L26598" s="29"/>
      <c r="M26598" s="28">
        <v>3.6999999999999998E-2</v>
      </c>
      <c r="N26598" s="29"/>
      <c r="O26598" s="29"/>
      <c r="P26598" s="29"/>
      <c r="Q26598" s="29"/>
      <c r="R26598" s="29"/>
      <c r="S26598" s="29"/>
      <c r="T26598" s="29"/>
      <c r="U26598" s="29"/>
      <c r="V26598" s="29"/>
      <c r="W26598" s="29" t="s">
        <v>338</v>
      </c>
    </row>
    <row r="26599" spans="1:23" x14ac:dyDescent="0.35">
      <c r="A26599" t="s">
        <v>231</v>
      </c>
      <c r="B26599" t="s">
        <v>369</v>
      </c>
      <c r="C26599" s="26">
        <v>0.47449999999999998</v>
      </c>
      <c r="D26599" s="26">
        <v>0.36499999999999999</v>
      </c>
      <c r="E26599" s="26">
        <v>7.2999999999999995E-2</v>
      </c>
      <c r="F26599" s="26">
        <v>8.0299999999999996E-2</v>
      </c>
      <c r="G26599" s="26">
        <v>5.11E-2</v>
      </c>
      <c r="H26599" s="26">
        <v>3.6499999999999998E-2</v>
      </c>
      <c r="I26599" s="26">
        <v>1.46E-2</v>
      </c>
      <c r="J26599" s="26">
        <v>7.3000000000000001E-3</v>
      </c>
      <c r="L26599" s="26">
        <v>7.3000000000000001E-3</v>
      </c>
      <c r="M26599" s="26">
        <v>7.3000000000000001E-3</v>
      </c>
      <c r="T26599" s="26">
        <v>7.3000000000000001E-3</v>
      </c>
      <c r="W26599">
        <v>137</v>
      </c>
    </row>
    <row r="26600" spans="1:23" x14ac:dyDescent="0.35">
      <c r="A26600" t="s">
        <v>232</v>
      </c>
      <c r="B26600" t="s">
        <v>232</v>
      </c>
      <c r="C26600" s="26">
        <v>0.42699999999999999</v>
      </c>
      <c r="D26600" s="26">
        <v>0.3271</v>
      </c>
      <c r="E26600" s="26">
        <v>9.3799999999999994E-2</v>
      </c>
      <c r="F26600" s="26">
        <v>8.3500000000000005E-2</v>
      </c>
      <c r="G26600" s="26">
        <v>6.6000000000000003E-2</v>
      </c>
      <c r="H26600" s="26">
        <v>5.57E-2</v>
      </c>
      <c r="I26600" s="26">
        <v>1.43E-2</v>
      </c>
      <c r="J26600" s="26">
        <v>1.0999999999999999E-2</v>
      </c>
      <c r="K26600" s="26">
        <v>1.0500000000000001E-2</v>
      </c>
      <c r="L26600" s="26">
        <v>8.8999999999999999E-3</v>
      </c>
      <c r="M26600" s="26">
        <v>7.1999999999999998E-3</v>
      </c>
      <c r="N26600" s="26">
        <v>6.3E-3</v>
      </c>
      <c r="O26600" s="26">
        <v>5.4000000000000003E-3</v>
      </c>
      <c r="P26600" s="26">
        <v>3.8999999999999998E-3</v>
      </c>
      <c r="Q26600" s="26">
        <v>2.3999999999999998E-3</v>
      </c>
      <c r="R26600" s="26">
        <v>2.0999999999999999E-3</v>
      </c>
      <c r="S26600" s="26">
        <v>1.9E-3</v>
      </c>
      <c r="T26600" s="26">
        <v>1.9E-3</v>
      </c>
      <c r="U26600" s="26">
        <v>1.8E-3</v>
      </c>
      <c r="V26600" s="26">
        <v>1.2999999999999999E-3</v>
      </c>
      <c r="W26600">
        <v>2812</v>
      </c>
    </row>
    <row r="26602" spans="1:23" x14ac:dyDescent="0.35">
      <c r="A26602" s="1" t="s">
        <v>2418</v>
      </c>
    </row>
    <row r="26603" spans="1:23" x14ac:dyDescent="0.35">
      <c r="A26603" t="s">
        <v>219</v>
      </c>
      <c r="B26603" t="s">
        <v>305</v>
      </c>
      <c r="C26603" t="s">
        <v>2392</v>
      </c>
      <c r="D26603" t="s">
        <v>2393</v>
      </c>
      <c r="E26603" t="s">
        <v>2394</v>
      </c>
      <c r="F26603" t="s">
        <v>2395</v>
      </c>
      <c r="G26603" t="s">
        <v>2396</v>
      </c>
      <c r="H26603" t="s">
        <v>2397</v>
      </c>
      <c r="I26603" t="s">
        <v>281</v>
      </c>
      <c r="J26603" t="s">
        <v>2398</v>
      </c>
      <c r="K26603" t="s">
        <v>2399</v>
      </c>
      <c r="L26603" t="s">
        <v>2400</v>
      </c>
      <c r="M26603" t="s">
        <v>2401</v>
      </c>
      <c r="N26603" t="s">
        <v>2402</v>
      </c>
      <c r="O26603" t="s">
        <v>2403</v>
      </c>
      <c r="P26603" t="s">
        <v>2404</v>
      </c>
      <c r="Q26603" t="s">
        <v>2405</v>
      </c>
      <c r="R26603" t="s">
        <v>2406</v>
      </c>
      <c r="S26603" t="s">
        <v>326</v>
      </c>
      <c r="T26603" t="s">
        <v>2407</v>
      </c>
      <c r="U26603" t="s">
        <v>2408</v>
      </c>
      <c r="V26603" t="s">
        <v>286</v>
      </c>
      <c r="W26603" t="s">
        <v>226</v>
      </c>
    </row>
    <row r="26604" spans="1:23" x14ac:dyDescent="0.35">
      <c r="A26604" t="s">
        <v>227</v>
      </c>
      <c r="B26604" t="s">
        <v>371</v>
      </c>
      <c r="C26604" s="26">
        <v>0.3478</v>
      </c>
      <c r="D26604" s="26">
        <v>0.37890000000000001</v>
      </c>
      <c r="E26604" s="26">
        <v>8.6999999999999994E-2</v>
      </c>
      <c r="F26604" s="26">
        <v>8.6999999999999994E-2</v>
      </c>
      <c r="G26604" s="26">
        <v>9.3200000000000005E-2</v>
      </c>
      <c r="H26604" s="26">
        <v>6.83E-2</v>
      </c>
      <c r="I26604" s="26">
        <v>1.24E-2</v>
      </c>
      <c r="J26604" s="26">
        <v>6.1999999999999998E-3</v>
      </c>
      <c r="K26604" s="26">
        <v>1.24E-2</v>
      </c>
      <c r="L26604" s="26">
        <v>1.24E-2</v>
      </c>
      <c r="M26604" s="26">
        <v>6.1999999999999998E-3</v>
      </c>
      <c r="S26604" s="26">
        <v>6.1999999999999998E-3</v>
      </c>
      <c r="W26604">
        <v>161</v>
      </c>
    </row>
    <row r="26605" spans="1:23" x14ac:dyDescent="0.35">
      <c r="A26605" t="s">
        <v>228</v>
      </c>
      <c r="B26605" t="s">
        <v>371</v>
      </c>
      <c r="C26605" s="26">
        <v>0.4788</v>
      </c>
      <c r="D26605" s="26">
        <v>0.2762</v>
      </c>
      <c r="E26605" s="26">
        <v>8.7300000000000003E-2</v>
      </c>
      <c r="F26605" s="26">
        <v>9.1600000000000001E-2</v>
      </c>
      <c r="G26605" s="26">
        <v>3.5000000000000003E-2</v>
      </c>
      <c r="H26605" s="26">
        <v>4.3799999999999999E-2</v>
      </c>
      <c r="I26605" s="26">
        <v>1.35E-2</v>
      </c>
      <c r="J26605" s="26">
        <v>1.5100000000000001E-2</v>
      </c>
      <c r="K26605" s="26">
        <v>1.34E-2</v>
      </c>
      <c r="L26605" s="26">
        <v>1.46E-2</v>
      </c>
      <c r="M26605" s="26">
        <v>7.7000000000000002E-3</v>
      </c>
      <c r="O26605" s="26">
        <v>3.0999999999999999E-3</v>
      </c>
      <c r="P26605" s="26">
        <v>1.2699999999999999E-2</v>
      </c>
      <c r="Q26605" s="26">
        <v>6.4000000000000003E-3</v>
      </c>
      <c r="S26605" s="26">
        <v>6.9999999999999999E-4</v>
      </c>
      <c r="V26605" s="26">
        <v>6.4000000000000003E-3</v>
      </c>
      <c r="W26605">
        <v>292</v>
      </c>
    </row>
    <row r="26606" spans="1:23" x14ac:dyDescent="0.35">
      <c r="A26606" t="s">
        <v>228</v>
      </c>
      <c r="B26606" t="s">
        <v>372</v>
      </c>
      <c r="C26606" s="26">
        <v>0.52359999999999995</v>
      </c>
      <c r="D26606" s="26">
        <v>0.1033</v>
      </c>
      <c r="E26606" s="26">
        <v>8.1900000000000001E-2</v>
      </c>
      <c r="F26606" s="26">
        <v>9.2700000000000005E-2</v>
      </c>
      <c r="G26606" s="26">
        <v>7.3700000000000002E-2</v>
      </c>
      <c r="H26606" s="26">
        <v>6.9599999999999995E-2</v>
      </c>
      <c r="I26606" s="26">
        <v>9.7000000000000003E-3</v>
      </c>
      <c r="J26606" s="26">
        <v>1.26E-2</v>
      </c>
      <c r="K26606" s="26">
        <v>2.5399999999999999E-2</v>
      </c>
      <c r="L26606" s="26">
        <v>3.8600000000000002E-2</v>
      </c>
      <c r="M26606" s="26">
        <v>9.2999999999999992E-3</v>
      </c>
      <c r="N26606" s="26">
        <v>2.0299999999999999E-2</v>
      </c>
      <c r="O26606" s="26">
        <v>4.0899999999999999E-2</v>
      </c>
      <c r="P26606" s="26">
        <v>2.47E-2</v>
      </c>
      <c r="Q26606" s="26">
        <v>4.8999999999999998E-3</v>
      </c>
      <c r="R26606" s="26">
        <v>2.8E-3</v>
      </c>
      <c r="S26606" s="26">
        <v>1.61E-2</v>
      </c>
      <c r="U26606" s="26">
        <v>2.0299999999999999E-2</v>
      </c>
      <c r="V26606" s="26">
        <v>1.1299999999999999E-2</v>
      </c>
      <c r="W26606">
        <v>218</v>
      </c>
    </row>
    <row r="26607" spans="1:23" x14ac:dyDescent="0.35">
      <c r="A26607" t="s">
        <v>228</v>
      </c>
      <c r="B26607" t="s">
        <v>373</v>
      </c>
      <c r="C26607" s="26">
        <v>0.41289999999999999</v>
      </c>
      <c r="D26607" s="26">
        <v>0.24759999999999999</v>
      </c>
      <c r="E26607" s="26">
        <v>0.1038</v>
      </c>
      <c r="F26607" s="26">
        <v>0.1188</v>
      </c>
      <c r="G26607" s="26">
        <v>0.10009999999999999</v>
      </c>
      <c r="H26607" s="26">
        <v>9.2999999999999999E-2</v>
      </c>
      <c r="I26607" s="26">
        <v>1.4800000000000001E-2</v>
      </c>
      <c r="J26607" s="26">
        <v>1.52E-2</v>
      </c>
      <c r="K26607" s="26">
        <v>1.11E-2</v>
      </c>
      <c r="L26607" s="26">
        <v>1.2E-2</v>
      </c>
      <c r="M26607" s="26">
        <v>7.1999999999999998E-3</v>
      </c>
      <c r="N26607" s="26">
        <v>1.23E-2</v>
      </c>
      <c r="O26607" s="26">
        <v>1.9699999999999999E-2</v>
      </c>
      <c r="P26607" s="26">
        <v>9.2999999999999992E-3</v>
      </c>
      <c r="R26607" s="26">
        <v>8.8999999999999999E-3</v>
      </c>
      <c r="S26607" s="26">
        <v>3.8999999999999998E-3</v>
      </c>
      <c r="T26607" s="26">
        <v>3.0000000000000001E-3</v>
      </c>
      <c r="U26607" s="26">
        <v>9.4999999999999998E-3</v>
      </c>
      <c r="V26607" s="26">
        <v>1.4E-3</v>
      </c>
      <c r="W26607">
        <v>523</v>
      </c>
    </row>
    <row r="26608" spans="1:23" x14ac:dyDescent="0.35">
      <c r="A26608" t="s">
        <v>229</v>
      </c>
      <c r="B26608" t="s">
        <v>371</v>
      </c>
      <c r="C26608" s="26">
        <v>0.4012</v>
      </c>
      <c r="D26608" s="26">
        <v>0.3674</v>
      </c>
      <c r="E26608" s="26">
        <v>9.0499999999999997E-2</v>
      </c>
      <c r="F26608" s="26">
        <v>7.7899999999999997E-2</v>
      </c>
      <c r="G26608" s="26">
        <v>5.0900000000000001E-2</v>
      </c>
      <c r="H26608" s="26">
        <v>5.8700000000000002E-2</v>
      </c>
      <c r="I26608" s="26">
        <v>1.8800000000000001E-2</v>
      </c>
      <c r="J26608" s="26">
        <v>7.4000000000000003E-3</v>
      </c>
      <c r="K26608" s="26">
        <v>1.2699999999999999E-2</v>
      </c>
      <c r="L26608" s="26">
        <v>3.3E-3</v>
      </c>
      <c r="M26608" s="26">
        <v>3.5999999999999999E-3</v>
      </c>
      <c r="N26608" s="26">
        <v>1.2E-2</v>
      </c>
      <c r="O26608" s="26">
        <v>3.5999999999999999E-3</v>
      </c>
      <c r="P26608" s="26">
        <v>3.3999999999999998E-3</v>
      </c>
      <c r="Q26608" s="26">
        <v>6.1999999999999998E-3</v>
      </c>
      <c r="R26608" s="26">
        <v>2.7000000000000001E-3</v>
      </c>
      <c r="S26608" s="26">
        <v>6.9999999999999999E-4</v>
      </c>
      <c r="V26608" s="26">
        <v>6.9999999999999999E-4</v>
      </c>
      <c r="W26608">
        <v>583</v>
      </c>
    </row>
    <row r="26609" spans="1:23" x14ac:dyDescent="0.35">
      <c r="A26609" t="s">
        <v>229</v>
      </c>
      <c r="B26609" t="s">
        <v>372</v>
      </c>
      <c r="C26609" s="26">
        <v>0.57809999999999995</v>
      </c>
      <c r="D26609" s="26">
        <v>0.2014</v>
      </c>
      <c r="E26609" s="26">
        <v>5.9299999999999999E-2</v>
      </c>
      <c r="F26609" s="26">
        <v>6.0400000000000002E-2</v>
      </c>
      <c r="G26609" s="26">
        <v>6.8699999999999997E-2</v>
      </c>
      <c r="H26609" s="26">
        <v>6.1199999999999997E-2</v>
      </c>
      <c r="I26609" s="26">
        <v>1.5100000000000001E-2</v>
      </c>
      <c r="J26609" s="26">
        <v>1.04E-2</v>
      </c>
      <c r="K26609" s="26">
        <v>3.2000000000000001E-2</v>
      </c>
      <c r="L26609" s="26">
        <v>1.9E-3</v>
      </c>
      <c r="M26609" s="26">
        <v>8.5000000000000006E-3</v>
      </c>
      <c r="O26609" s="26">
        <v>8.5000000000000006E-3</v>
      </c>
      <c r="P26609" s="26">
        <v>1.9E-3</v>
      </c>
      <c r="S26609" s="26">
        <v>6.6E-3</v>
      </c>
      <c r="U26609" s="26">
        <v>1.9E-3</v>
      </c>
      <c r="V26609" s="26">
        <v>8.5000000000000006E-3</v>
      </c>
      <c r="W26609">
        <v>221</v>
      </c>
    </row>
    <row r="26610" spans="1:23" x14ac:dyDescent="0.35">
      <c r="A26610" t="s">
        <v>229</v>
      </c>
      <c r="B26610" t="s">
        <v>373</v>
      </c>
      <c r="C26610" s="26">
        <v>0.50080000000000002</v>
      </c>
      <c r="D26610" s="26">
        <v>0.26</v>
      </c>
      <c r="E26610" s="26">
        <v>7.7499999999999999E-2</v>
      </c>
      <c r="F26610" s="26">
        <v>9.0200000000000002E-2</v>
      </c>
      <c r="G26610" s="26">
        <v>7.1499999999999994E-2</v>
      </c>
      <c r="H26610" s="26">
        <v>4.0500000000000001E-2</v>
      </c>
      <c r="I26610" s="26">
        <v>3.4500000000000003E-2</v>
      </c>
      <c r="J26610" s="26">
        <v>1.23E-2</v>
      </c>
      <c r="K26610" s="26">
        <v>2.47E-2</v>
      </c>
      <c r="L26610" s="26">
        <v>1.23E-2</v>
      </c>
      <c r="N26610" s="26">
        <v>1.23E-2</v>
      </c>
      <c r="W26610">
        <v>90</v>
      </c>
    </row>
    <row r="26611" spans="1:23" x14ac:dyDescent="0.35">
      <c r="A26611" t="s">
        <v>230</v>
      </c>
      <c r="B26611" t="s">
        <v>371</v>
      </c>
      <c r="C26611" s="26">
        <v>0.36170000000000002</v>
      </c>
      <c r="D26611" s="26">
        <v>0.3604</v>
      </c>
      <c r="E26611" s="26">
        <v>0.1147</v>
      </c>
      <c r="F26611" s="26">
        <v>7.17E-2</v>
      </c>
      <c r="G26611" s="26">
        <v>8.8300000000000003E-2</v>
      </c>
      <c r="H26611" s="26">
        <v>3.9699999999999999E-2</v>
      </c>
      <c r="I26611" s="26">
        <v>1.11E-2</v>
      </c>
      <c r="J26611" s="26">
        <v>3.7499999999999999E-2</v>
      </c>
      <c r="K26611" s="26">
        <v>2.3199999999999998E-2</v>
      </c>
      <c r="L26611" s="26">
        <v>1.2200000000000001E-2</v>
      </c>
      <c r="M26611" s="26">
        <v>1.1000000000000001E-3</v>
      </c>
      <c r="N26611" s="26">
        <v>2.1999999999999999E-2</v>
      </c>
      <c r="O26611" s="26">
        <v>2.3199999999999998E-2</v>
      </c>
      <c r="P26611" s="26">
        <v>7.7000000000000002E-3</v>
      </c>
      <c r="Q26611" s="26">
        <v>1.1000000000000001E-3</v>
      </c>
      <c r="R26611" s="26">
        <v>7.7000000000000002E-3</v>
      </c>
      <c r="U26611" s="26">
        <v>6.6E-3</v>
      </c>
      <c r="W26611">
        <v>262</v>
      </c>
    </row>
    <row r="26612" spans="1:23" x14ac:dyDescent="0.35">
      <c r="A26612" t="s">
        <v>230</v>
      </c>
      <c r="B26612" t="s">
        <v>372</v>
      </c>
      <c r="C26612" s="26">
        <v>0.58340000000000003</v>
      </c>
      <c r="D26612" s="26">
        <v>0.11360000000000001</v>
      </c>
      <c r="E26612" s="26">
        <v>8.8800000000000004E-2</v>
      </c>
      <c r="F26612" s="26">
        <v>7.8100000000000003E-2</v>
      </c>
      <c r="G26612" s="26">
        <v>7.22E-2</v>
      </c>
      <c r="H26612" s="26">
        <v>5.6800000000000003E-2</v>
      </c>
      <c r="J26612" s="26">
        <v>5.9200000000000003E-2</v>
      </c>
      <c r="K26612" s="26">
        <v>9.4999999999999998E-3</v>
      </c>
      <c r="L26612" s="26">
        <v>4.02E-2</v>
      </c>
      <c r="M26612" s="26">
        <v>1.54E-2</v>
      </c>
      <c r="N26612" s="26">
        <v>1.4200000000000001E-2</v>
      </c>
      <c r="O26612" s="26">
        <v>1.4200000000000001E-2</v>
      </c>
      <c r="R26612" s="26">
        <v>4.7000000000000002E-3</v>
      </c>
      <c r="U26612" s="26">
        <v>1.4200000000000001E-2</v>
      </c>
      <c r="W26612">
        <v>146</v>
      </c>
    </row>
    <row r="26613" spans="1:23" x14ac:dyDescent="0.35">
      <c r="A26613" t="s">
        <v>230</v>
      </c>
      <c r="B26613" t="s">
        <v>373</v>
      </c>
      <c r="C26613" s="26">
        <v>0.52370000000000005</v>
      </c>
      <c r="D26613" s="26">
        <v>0.20180000000000001</v>
      </c>
      <c r="E26613" s="26">
        <v>8.7800000000000003E-2</v>
      </c>
      <c r="F26613" s="26">
        <v>5.9900000000000002E-2</v>
      </c>
      <c r="G26613" s="26">
        <v>4.3900000000000002E-2</v>
      </c>
      <c r="H26613" s="26">
        <v>8.2900000000000001E-2</v>
      </c>
      <c r="I26613" s="26">
        <v>1.3899999999999999E-2</v>
      </c>
      <c r="J26613" s="26">
        <v>7.0000000000000001E-3</v>
      </c>
      <c r="K26613" s="26">
        <v>1.3899999999999999E-2</v>
      </c>
      <c r="L26613" s="26">
        <v>1.3899999999999999E-2</v>
      </c>
      <c r="M26613" s="26">
        <v>1.61E-2</v>
      </c>
      <c r="U26613" s="26">
        <v>9.1000000000000004E-3</v>
      </c>
      <c r="V26613" s="26">
        <v>7.0000000000000001E-3</v>
      </c>
      <c r="W26613">
        <v>152</v>
      </c>
    </row>
    <row r="26614" spans="1:23" x14ac:dyDescent="0.35">
      <c r="A26614" t="s">
        <v>231</v>
      </c>
      <c r="B26614" t="s">
        <v>371</v>
      </c>
      <c r="C26614" s="26">
        <v>0.47560000000000002</v>
      </c>
      <c r="D26614" s="26">
        <v>0.32319999999999999</v>
      </c>
      <c r="E26614" s="26">
        <v>9.7600000000000006E-2</v>
      </c>
      <c r="F26614" s="26">
        <v>7.9299999999999995E-2</v>
      </c>
      <c r="G26614" s="26">
        <v>6.0999999999999999E-2</v>
      </c>
      <c r="H26614" s="26">
        <v>4.2700000000000002E-2</v>
      </c>
      <c r="I26614" s="26">
        <v>1.2200000000000001E-2</v>
      </c>
      <c r="J26614" s="26">
        <v>6.1000000000000004E-3</v>
      </c>
      <c r="L26614" s="26">
        <v>6.1000000000000004E-3</v>
      </c>
      <c r="M26614" s="26">
        <v>1.2200000000000001E-2</v>
      </c>
      <c r="T26614" s="26">
        <v>6.1000000000000004E-3</v>
      </c>
      <c r="W26614">
        <v>164</v>
      </c>
    </row>
    <row r="26615" spans="1:23" x14ac:dyDescent="0.35">
      <c r="A26615" t="s">
        <v>232</v>
      </c>
      <c r="B26615" t="s">
        <v>232</v>
      </c>
      <c r="C26615" s="26">
        <v>0.42699999999999999</v>
      </c>
      <c r="D26615" s="26">
        <v>0.3271</v>
      </c>
      <c r="E26615" s="26">
        <v>9.3799999999999994E-2</v>
      </c>
      <c r="F26615" s="26">
        <v>8.3500000000000005E-2</v>
      </c>
      <c r="G26615" s="26">
        <v>6.6000000000000003E-2</v>
      </c>
      <c r="H26615" s="26">
        <v>5.57E-2</v>
      </c>
      <c r="I26615" s="26">
        <v>1.43E-2</v>
      </c>
      <c r="J26615" s="26">
        <v>1.0999999999999999E-2</v>
      </c>
      <c r="K26615" s="26">
        <v>1.0500000000000001E-2</v>
      </c>
      <c r="L26615" s="26">
        <v>8.8999999999999999E-3</v>
      </c>
      <c r="M26615" s="26">
        <v>7.1999999999999998E-3</v>
      </c>
      <c r="N26615" s="26">
        <v>6.3E-3</v>
      </c>
      <c r="O26615" s="26">
        <v>5.4000000000000003E-3</v>
      </c>
      <c r="P26615" s="26">
        <v>3.8999999999999998E-3</v>
      </c>
      <c r="Q26615" s="26">
        <v>2.3999999999999998E-3</v>
      </c>
      <c r="R26615" s="26">
        <v>2.0999999999999999E-3</v>
      </c>
      <c r="S26615" s="26">
        <v>1.9E-3</v>
      </c>
      <c r="T26615" s="26">
        <v>1.9E-3</v>
      </c>
      <c r="U26615" s="26">
        <v>1.8E-3</v>
      </c>
      <c r="V26615" s="26">
        <v>1.2999999999999999E-3</v>
      </c>
      <c r="W26615">
        <v>2812</v>
      </c>
    </row>
    <row r="26617" spans="1:23" x14ac:dyDescent="0.35">
      <c r="A26617" s="1" t="s">
        <v>2419</v>
      </c>
    </row>
    <row r="26618" spans="1:23" x14ac:dyDescent="0.35">
      <c r="A26618" t="s">
        <v>219</v>
      </c>
      <c r="B26618" t="s">
        <v>305</v>
      </c>
      <c r="C26618" t="s">
        <v>2392</v>
      </c>
      <c r="D26618" t="s">
        <v>2393</v>
      </c>
      <c r="E26618" t="s">
        <v>2394</v>
      </c>
      <c r="F26618" t="s">
        <v>2395</v>
      </c>
      <c r="G26618" t="s">
        <v>2396</v>
      </c>
      <c r="H26618" t="s">
        <v>2397</v>
      </c>
      <c r="I26618" t="s">
        <v>281</v>
      </c>
      <c r="J26618" t="s">
        <v>2398</v>
      </c>
      <c r="K26618" t="s">
        <v>2399</v>
      </c>
      <c r="L26618" t="s">
        <v>2400</v>
      </c>
      <c r="M26618" t="s">
        <v>2401</v>
      </c>
      <c r="N26618" t="s">
        <v>2402</v>
      </c>
      <c r="O26618" t="s">
        <v>2403</v>
      </c>
      <c r="P26618" t="s">
        <v>2404</v>
      </c>
      <c r="Q26618" t="s">
        <v>2405</v>
      </c>
      <c r="R26618" t="s">
        <v>2406</v>
      </c>
      <c r="S26618" t="s">
        <v>326</v>
      </c>
      <c r="T26618" t="s">
        <v>2407</v>
      </c>
      <c r="U26618" t="s">
        <v>2408</v>
      </c>
      <c r="V26618" t="s">
        <v>286</v>
      </c>
      <c r="W26618" t="s">
        <v>226</v>
      </c>
    </row>
    <row r="26619" spans="1:23" x14ac:dyDescent="0.35">
      <c r="A26619" t="s">
        <v>227</v>
      </c>
      <c r="B26619" t="s">
        <v>255</v>
      </c>
      <c r="C26619" s="26">
        <v>0.36749999999999999</v>
      </c>
      <c r="D26619" s="26">
        <v>0.37609999999999999</v>
      </c>
      <c r="E26619" s="26">
        <v>8.5500000000000007E-2</v>
      </c>
      <c r="F26619" s="26">
        <v>9.4E-2</v>
      </c>
      <c r="G26619" s="26">
        <v>7.6899999999999996E-2</v>
      </c>
      <c r="H26619" s="26">
        <v>5.1299999999999998E-2</v>
      </c>
      <c r="I26619" s="26">
        <v>8.5000000000000006E-3</v>
      </c>
      <c r="J26619" s="26">
        <v>8.5000000000000006E-3</v>
      </c>
      <c r="K26619" s="26">
        <v>8.5000000000000006E-3</v>
      </c>
      <c r="L26619" s="26">
        <v>8.5000000000000006E-3</v>
      </c>
      <c r="W26619">
        <v>117</v>
      </c>
    </row>
    <row r="26620" spans="1:23" x14ac:dyDescent="0.35">
      <c r="A26620" s="27" t="s">
        <v>227</v>
      </c>
      <c r="B26620" s="27" t="s">
        <v>257</v>
      </c>
      <c r="C26620" s="28">
        <v>0.22220000000000001</v>
      </c>
      <c r="D26620" s="28">
        <v>0.33329999999999999</v>
      </c>
      <c r="E26620" s="29"/>
      <c r="F26620" s="29"/>
      <c r="G26620" s="28">
        <v>0.22220000000000001</v>
      </c>
      <c r="H26620" s="28">
        <v>0.1111</v>
      </c>
      <c r="I26620" s="28">
        <v>0.1111</v>
      </c>
      <c r="J26620" s="29"/>
      <c r="K26620" s="29"/>
      <c r="L26620" s="29"/>
      <c r="M26620" s="29"/>
      <c r="N26620" s="29"/>
      <c r="O26620" s="29"/>
      <c r="P26620" s="29"/>
      <c r="Q26620" s="29"/>
      <c r="R26620" s="29"/>
      <c r="S26620" s="29"/>
      <c r="T26620" s="29"/>
      <c r="U26620" s="29"/>
      <c r="V26620" s="29"/>
      <c r="W26620" s="29" t="s">
        <v>334</v>
      </c>
    </row>
    <row r="26621" spans="1:23" x14ac:dyDescent="0.35">
      <c r="A26621" t="s">
        <v>227</v>
      </c>
      <c r="B26621" t="s">
        <v>256</v>
      </c>
      <c r="C26621" s="26">
        <v>0.31430000000000002</v>
      </c>
      <c r="D26621" s="26">
        <v>0.4</v>
      </c>
      <c r="E26621" s="26">
        <v>0.1143</v>
      </c>
      <c r="F26621" s="26">
        <v>8.5699999999999998E-2</v>
      </c>
      <c r="G26621" s="26">
        <v>0.1143</v>
      </c>
      <c r="H26621" s="26">
        <v>0.1143</v>
      </c>
      <c r="K26621" s="26">
        <v>2.86E-2</v>
      </c>
      <c r="L26621" s="26">
        <v>2.86E-2</v>
      </c>
      <c r="M26621" s="26">
        <v>2.86E-2</v>
      </c>
      <c r="S26621" s="26">
        <v>2.86E-2</v>
      </c>
      <c r="W26621">
        <v>35</v>
      </c>
    </row>
    <row r="26622" spans="1:23" x14ac:dyDescent="0.35">
      <c r="A26622" t="s">
        <v>228</v>
      </c>
      <c r="B26622" t="s">
        <v>257</v>
      </c>
      <c r="C26622" s="26">
        <v>0.40699999999999997</v>
      </c>
      <c r="D26622" s="26">
        <v>0.20899999999999999</v>
      </c>
      <c r="E26622" s="26">
        <v>5.9299999999999999E-2</v>
      </c>
      <c r="F26622" s="26">
        <v>0.1087</v>
      </c>
      <c r="G26622" s="26">
        <v>6.5199999999999994E-2</v>
      </c>
      <c r="H26622" s="26">
        <v>0.20130000000000001</v>
      </c>
      <c r="I26622" s="26">
        <v>7.9000000000000008E-3</v>
      </c>
      <c r="J26622" s="26">
        <v>1.6E-2</v>
      </c>
      <c r="K26622" s="26">
        <v>7.9000000000000008E-3</v>
      </c>
      <c r="L26622" s="26">
        <v>4.7100000000000003E-2</v>
      </c>
      <c r="N26622" s="26">
        <v>2.7099999999999999E-2</v>
      </c>
      <c r="O26622" s="26">
        <v>3.1699999999999999E-2</v>
      </c>
      <c r="P26622" s="26">
        <v>4.7000000000000002E-3</v>
      </c>
      <c r="U26622" s="26">
        <v>1.0500000000000001E-2</v>
      </c>
      <c r="W26622">
        <v>49</v>
      </c>
    </row>
    <row r="26623" spans="1:23" x14ac:dyDescent="0.35">
      <c r="A26623" s="27" t="s">
        <v>228</v>
      </c>
      <c r="B26623" s="27" t="s">
        <v>258</v>
      </c>
      <c r="C26623" s="28">
        <v>0.69269999999999998</v>
      </c>
      <c r="D26623" s="28">
        <v>0.2092</v>
      </c>
      <c r="E26623" s="29"/>
      <c r="F26623" s="29"/>
      <c r="G26623" s="29"/>
      <c r="H26623" s="29"/>
      <c r="I26623" s="29"/>
      <c r="J26623" s="29"/>
      <c r="K26623" s="29"/>
      <c r="L26623" s="29"/>
      <c r="M26623" s="29"/>
      <c r="N26623" s="29"/>
      <c r="O26623" s="29"/>
      <c r="P26623" s="29"/>
      <c r="Q26623" s="29"/>
      <c r="R26623" s="29"/>
      <c r="S26623" s="29"/>
      <c r="T26623" s="29"/>
      <c r="U26623" s="29"/>
      <c r="V26623" s="28">
        <v>9.8100000000000007E-2</v>
      </c>
      <c r="W26623" s="29" t="s">
        <v>337</v>
      </c>
    </row>
    <row r="26624" spans="1:23" x14ac:dyDescent="0.35">
      <c r="A26624" t="s">
        <v>228</v>
      </c>
      <c r="B26624" t="s">
        <v>256</v>
      </c>
      <c r="C26624" s="26">
        <v>0.47089999999999999</v>
      </c>
      <c r="D26624" s="26">
        <v>0.24349999999999999</v>
      </c>
      <c r="E26624" s="26">
        <v>9.0300000000000005E-2</v>
      </c>
      <c r="F26624" s="26">
        <v>9.74E-2</v>
      </c>
      <c r="G26624" s="26">
        <v>8.7800000000000003E-2</v>
      </c>
      <c r="H26624" s="26">
        <v>7.0499999999999993E-2</v>
      </c>
      <c r="I26624" s="26">
        <v>9.7000000000000003E-3</v>
      </c>
      <c r="J26624" s="26">
        <v>1.72E-2</v>
      </c>
      <c r="K26624" s="26">
        <v>7.3000000000000001E-3</v>
      </c>
      <c r="L26624" s="26">
        <v>1.38E-2</v>
      </c>
      <c r="M26624" s="26">
        <v>1.38E-2</v>
      </c>
      <c r="N26624" s="26">
        <v>5.7999999999999996E-3</v>
      </c>
      <c r="O26624" s="26">
        <v>1.2500000000000001E-2</v>
      </c>
      <c r="P26624" s="26">
        <v>1E-3</v>
      </c>
      <c r="Q26624" s="26">
        <v>1.38E-2</v>
      </c>
      <c r="R26624" s="26">
        <v>3.3999999999999998E-3</v>
      </c>
      <c r="S26624" s="26">
        <v>1.6999999999999999E-3</v>
      </c>
      <c r="U26624" s="26">
        <v>3.3999999999999998E-3</v>
      </c>
      <c r="W26624">
        <v>221</v>
      </c>
    </row>
    <row r="26625" spans="1:23" x14ac:dyDescent="0.35">
      <c r="A26625" t="s">
        <v>228</v>
      </c>
      <c r="B26625" t="s">
        <v>255</v>
      </c>
      <c r="C26625" s="26">
        <v>0.45369999999999999</v>
      </c>
      <c r="D26625" s="26">
        <v>0.25590000000000002</v>
      </c>
      <c r="E26625" s="26">
        <v>9.7600000000000006E-2</v>
      </c>
      <c r="F26625" s="26">
        <v>0.10440000000000001</v>
      </c>
      <c r="G26625" s="26">
        <v>5.6000000000000001E-2</v>
      </c>
      <c r="H26625" s="26">
        <v>5.3900000000000003E-2</v>
      </c>
      <c r="I26625" s="26">
        <v>1.5599999999999999E-2</v>
      </c>
      <c r="J26625" s="26">
        <v>1.4200000000000001E-2</v>
      </c>
      <c r="K26625" s="26">
        <v>1.6199999999999999E-2</v>
      </c>
      <c r="L26625" s="26">
        <v>1.4E-2</v>
      </c>
      <c r="M26625" s="26">
        <v>6.1999999999999998E-3</v>
      </c>
      <c r="N26625" s="26">
        <v>5.3E-3</v>
      </c>
      <c r="O26625" s="26">
        <v>1.1599999999999999E-2</v>
      </c>
      <c r="P26625" s="26">
        <v>1.7000000000000001E-2</v>
      </c>
      <c r="Q26625" s="26">
        <v>5.9999999999999995E-4</v>
      </c>
      <c r="R26625" s="26">
        <v>4.1999999999999997E-3</v>
      </c>
      <c r="S26625" s="26">
        <v>4.1000000000000003E-3</v>
      </c>
      <c r="T26625" s="26">
        <v>1.6999999999999999E-3</v>
      </c>
      <c r="U26625" s="26">
        <v>5.7999999999999996E-3</v>
      </c>
      <c r="V26625" s="26">
        <v>6.1000000000000004E-3</v>
      </c>
      <c r="W26625">
        <v>759</v>
      </c>
    </row>
    <row r="26626" spans="1:23" x14ac:dyDescent="0.35">
      <c r="A26626" t="s">
        <v>229</v>
      </c>
      <c r="B26626" t="s">
        <v>256</v>
      </c>
      <c r="C26626" s="26">
        <v>0.34460000000000002</v>
      </c>
      <c r="D26626" s="26">
        <v>0.42430000000000001</v>
      </c>
      <c r="E26626" s="26">
        <v>8.4599999999999995E-2</v>
      </c>
      <c r="F26626" s="26">
        <v>3.4200000000000001E-2</v>
      </c>
      <c r="G26626" s="26">
        <v>6.5199999999999994E-2</v>
      </c>
      <c r="H26626" s="26">
        <v>6.9500000000000006E-2</v>
      </c>
      <c r="I26626" s="26">
        <v>2.6499999999999999E-2</v>
      </c>
      <c r="J26626" s="26">
        <v>1.17E-2</v>
      </c>
      <c r="K26626" s="26">
        <v>2.4500000000000001E-2</v>
      </c>
      <c r="L26626" s="26">
        <v>1.14E-2</v>
      </c>
      <c r="M26626" s="26">
        <v>1E-3</v>
      </c>
      <c r="N26626" s="26">
        <v>1.11E-2</v>
      </c>
      <c r="O26626" s="26">
        <v>1.17E-2</v>
      </c>
      <c r="P26626" s="26">
        <v>1.11E-2</v>
      </c>
      <c r="Q26626" s="26">
        <v>2.5000000000000001E-3</v>
      </c>
      <c r="R26626" s="26">
        <v>9.1999999999999998E-3</v>
      </c>
      <c r="S26626" s="26">
        <v>2.5000000000000001E-3</v>
      </c>
      <c r="W26626">
        <v>206</v>
      </c>
    </row>
    <row r="26627" spans="1:23" x14ac:dyDescent="0.35">
      <c r="A26627" t="s">
        <v>229</v>
      </c>
      <c r="B26627" t="s">
        <v>255</v>
      </c>
      <c r="C26627" s="26">
        <v>0.45079999999999998</v>
      </c>
      <c r="D26627" s="26">
        <v>0.33989999999999998</v>
      </c>
      <c r="E26627" s="26">
        <v>8.2699999999999996E-2</v>
      </c>
      <c r="F26627" s="26">
        <v>9.0800000000000006E-2</v>
      </c>
      <c r="G26627" s="26">
        <v>4.7100000000000003E-2</v>
      </c>
      <c r="H26627" s="26">
        <v>4.4400000000000002E-2</v>
      </c>
      <c r="I26627" s="26">
        <v>1.38E-2</v>
      </c>
      <c r="J26627" s="26">
        <v>6.7000000000000002E-3</v>
      </c>
      <c r="K26627" s="26">
        <v>6.1000000000000004E-3</v>
      </c>
      <c r="L26627" s="26">
        <v>5.0000000000000001E-4</v>
      </c>
      <c r="M26627" s="26">
        <v>1.5E-3</v>
      </c>
      <c r="N26627" s="26">
        <v>1.24E-2</v>
      </c>
      <c r="O26627" s="26">
        <v>8.9999999999999998E-4</v>
      </c>
      <c r="P26627" s="26">
        <v>4.0000000000000002E-4</v>
      </c>
      <c r="Q26627" s="26">
        <v>7.4999999999999997E-3</v>
      </c>
      <c r="S26627" s="26">
        <v>5.0000000000000001E-4</v>
      </c>
      <c r="U26627" s="26">
        <v>1E-4</v>
      </c>
      <c r="V26627" s="26">
        <v>1.6000000000000001E-3</v>
      </c>
      <c r="W26627">
        <v>636</v>
      </c>
    </row>
    <row r="26628" spans="1:23" x14ac:dyDescent="0.35">
      <c r="A26628" t="s">
        <v>229</v>
      </c>
      <c r="B26628" t="s">
        <v>257</v>
      </c>
      <c r="C26628" s="26">
        <v>0.28570000000000001</v>
      </c>
      <c r="D26628" s="26">
        <v>0.21879999999999999</v>
      </c>
      <c r="E26628" s="26">
        <v>0.1835</v>
      </c>
      <c r="F26628" s="26">
        <v>0.1208</v>
      </c>
      <c r="G26628" s="26">
        <v>5.4100000000000002E-2</v>
      </c>
      <c r="H26628" s="26">
        <v>0.17610000000000001</v>
      </c>
      <c r="I26628" s="26">
        <v>4.6300000000000001E-2</v>
      </c>
      <c r="K26628" s="26">
        <v>5.8599999999999999E-2</v>
      </c>
      <c r="M26628" s="26">
        <v>4.6300000000000001E-2</v>
      </c>
      <c r="W26628">
        <v>50</v>
      </c>
    </row>
    <row r="26629" spans="1:23" x14ac:dyDescent="0.35">
      <c r="A26629" s="27" t="s">
        <v>229</v>
      </c>
      <c r="B26629" s="27" t="s">
        <v>258</v>
      </c>
      <c r="C26629" s="29"/>
      <c r="D26629" s="28">
        <v>0.22409999999999999</v>
      </c>
      <c r="E26629" s="29"/>
      <c r="F26629" s="28">
        <v>0.77590000000000003</v>
      </c>
      <c r="G26629" s="29"/>
      <c r="H26629" s="29"/>
      <c r="I26629" s="29"/>
      <c r="J26629" s="29"/>
      <c r="K26629" s="29"/>
      <c r="L26629" s="29"/>
      <c r="M26629" s="29"/>
      <c r="N26629" s="29"/>
      <c r="O26629" s="29"/>
      <c r="P26629" s="29"/>
      <c r="Q26629" s="29"/>
      <c r="R26629" s="29"/>
      <c r="S26629" s="29"/>
      <c r="T26629" s="29"/>
      <c r="U26629" s="29"/>
      <c r="V26629" s="29"/>
      <c r="W26629" s="29" t="s">
        <v>314</v>
      </c>
    </row>
    <row r="26630" spans="1:23" x14ac:dyDescent="0.35">
      <c r="A26630" t="s">
        <v>230</v>
      </c>
      <c r="B26630" t="s">
        <v>256</v>
      </c>
      <c r="C26630" s="26">
        <v>0.39660000000000001</v>
      </c>
      <c r="D26630" s="26">
        <v>0.29210000000000003</v>
      </c>
      <c r="E26630" s="26">
        <v>0.1057</v>
      </c>
      <c r="F26630" s="26">
        <v>4.0099999999999997E-2</v>
      </c>
      <c r="G26630" s="26">
        <v>5.5100000000000003E-2</v>
      </c>
      <c r="H26630" s="26">
        <v>9.0700000000000003E-2</v>
      </c>
      <c r="I26630" s="26">
        <v>1.0500000000000001E-2</v>
      </c>
      <c r="J26630" s="26">
        <v>8.5999999999999993E-2</v>
      </c>
      <c r="K26630" s="26">
        <v>4.4900000000000002E-2</v>
      </c>
      <c r="L26630" s="26">
        <v>2.07E-2</v>
      </c>
      <c r="N26630" s="26">
        <v>1.1000000000000001E-3</v>
      </c>
      <c r="O26630" s="26">
        <v>4.4999999999999997E-3</v>
      </c>
      <c r="P26630" s="26">
        <v>3.5000000000000001E-3</v>
      </c>
      <c r="Q26630" s="26">
        <v>3.5000000000000001E-3</v>
      </c>
      <c r="R26630" s="26">
        <v>2.18E-2</v>
      </c>
      <c r="U26630" s="26">
        <v>1.1000000000000001E-3</v>
      </c>
      <c r="W26630">
        <v>130</v>
      </c>
    </row>
    <row r="26631" spans="1:23" x14ac:dyDescent="0.35">
      <c r="A26631" t="s">
        <v>230</v>
      </c>
      <c r="B26631" t="s">
        <v>255</v>
      </c>
      <c r="C26631" s="26">
        <v>0.39250000000000002</v>
      </c>
      <c r="D26631" s="26">
        <v>0.3528</v>
      </c>
      <c r="E26631" s="26">
        <v>0.10340000000000001</v>
      </c>
      <c r="F26631" s="26">
        <v>6.8699999999999997E-2</v>
      </c>
      <c r="G26631" s="26">
        <v>8.9499999999999996E-2</v>
      </c>
      <c r="H26631" s="26">
        <v>3.1399999999999997E-2</v>
      </c>
      <c r="I26631" s="26">
        <v>1.2200000000000001E-2</v>
      </c>
      <c r="J26631" s="26">
        <v>1.84E-2</v>
      </c>
      <c r="K26631" s="26">
        <v>1.44E-2</v>
      </c>
      <c r="L26631" s="26">
        <v>1.2999999999999999E-2</v>
      </c>
      <c r="M26631" s="26">
        <v>5.7999999999999996E-3</v>
      </c>
      <c r="N26631" s="26">
        <v>2.7900000000000001E-2</v>
      </c>
      <c r="O26631" s="26">
        <v>2.7900000000000001E-2</v>
      </c>
      <c r="R26631" s="26">
        <v>1.4E-3</v>
      </c>
      <c r="U26631" s="26">
        <v>1.0699999999999999E-2</v>
      </c>
      <c r="V26631" s="26">
        <v>1.2999999999999999E-3</v>
      </c>
      <c r="W26631">
        <v>389</v>
      </c>
    </row>
    <row r="26632" spans="1:23" x14ac:dyDescent="0.35">
      <c r="A26632" t="s">
        <v>230</v>
      </c>
      <c r="B26632" t="s">
        <v>257</v>
      </c>
      <c r="C26632" s="26">
        <v>0.35820000000000002</v>
      </c>
      <c r="D26632" s="26">
        <v>0.22839999999999999</v>
      </c>
      <c r="E26632" s="26">
        <v>0.19400000000000001</v>
      </c>
      <c r="F26632" s="26">
        <v>0.2069</v>
      </c>
      <c r="G26632" s="26">
        <v>0.1137</v>
      </c>
      <c r="H26632" s="26">
        <v>2.5399999999999999E-2</v>
      </c>
      <c r="J26632" s="26">
        <v>3.8999999999999998E-3</v>
      </c>
      <c r="P26632" s="26">
        <v>7.6100000000000001E-2</v>
      </c>
      <c r="W26632">
        <v>38</v>
      </c>
    </row>
    <row r="26633" spans="1:23" x14ac:dyDescent="0.35">
      <c r="A26633" s="27" t="s">
        <v>230</v>
      </c>
      <c r="B26633" s="27" t="s">
        <v>258</v>
      </c>
      <c r="C26633" s="28">
        <v>1</v>
      </c>
      <c r="D26633" s="29"/>
      <c r="E26633" s="29"/>
      <c r="F26633" s="29"/>
      <c r="G26633" s="29"/>
      <c r="H26633" s="29"/>
      <c r="I26633" s="29"/>
      <c r="J26633" s="29"/>
      <c r="K26633" s="29"/>
      <c r="L26633" s="29"/>
      <c r="M26633" s="29"/>
      <c r="N26633" s="29"/>
      <c r="O26633" s="29"/>
      <c r="P26633" s="29"/>
      <c r="Q26633" s="29"/>
      <c r="R26633" s="29"/>
      <c r="S26633" s="29"/>
      <c r="T26633" s="29"/>
      <c r="U26633" s="29"/>
      <c r="V26633" s="29"/>
      <c r="W26633" s="29" t="s">
        <v>315</v>
      </c>
    </row>
    <row r="26634" spans="1:23" x14ac:dyDescent="0.35">
      <c r="A26634" s="27" t="s">
        <v>231</v>
      </c>
      <c r="B26634" s="27" t="s">
        <v>257</v>
      </c>
      <c r="C26634" s="28">
        <v>0.71430000000000005</v>
      </c>
      <c r="D26634" s="28">
        <v>0.28570000000000001</v>
      </c>
      <c r="E26634" s="29"/>
      <c r="F26634" s="29"/>
      <c r="G26634" s="29"/>
      <c r="H26634" s="29"/>
      <c r="I26634" s="29"/>
      <c r="J26634" s="29"/>
      <c r="K26634" s="29"/>
      <c r="L26634" s="29"/>
      <c r="M26634" s="29"/>
      <c r="N26634" s="29"/>
      <c r="O26634" s="29"/>
      <c r="P26634" s="29"/>
      <c r="Q26634" s="29"/>
      <c r="R26634" s="29"/>
      <c r="S26634" s="29"/>
      <c r="T26634" s="29"/>
      <c r="U26634" s="29"/>
      <c r="V26634" s="29"/>
      <c r="W26634" s="29" t="s">
        <v>339</v>
      </c>
    </row>
    <row r="26635" spans="1:23" x14ac:dyDescent="0.35">
      <c r="A26635" t="s">
        <v>231</v>
      </c>
      <c r="B26635" t="s">
        <v>255</v>
      </c>
      <c r="C26635" s="26">
        <v>0.4496</v>
      </c>
      <c r="D26635" s="26">
        <v>0.33329999999999999</v>
      </c>
      <c r="E26635" s="26">
        <v>0.124</v>
      </c>
      <c r="F26635" s="26">
        <v>0.1008</v>
      </c>
      <c r="G26635" s="26">
        <v>6.9800000000000001E-2</v>
      </c>
      <c r="H26635" s="26">
        <v>3.8800000000000001E-2</v>
      </c>
      <c r="I26635" s="26">
        <v>7.7999999999999996E-3</v>
      </c>
      <c r="J26635" s="26">
        <v>7.7999999999999996E-3</v>
      </c>
      <c r="L26635" s="26">
        <v>7.7999999999999996E-3</v>
      </c>
      <c r="M26635" s="26">
        <v>7.7999999999999996E-3</v>
      </c>
      <c r="W26635">
        <v>129</v>
      </c>
    </row>
    <row r="26636" spans="1:23" x14ac:dyDescent="0.35">
      <c r="A26636" s="27" t="s">
        <v>231</v>
      </c>
      <c r="B26636" s="27" t="s">
        <v>256</v>
      </c>
      <c r="C26636" s="28">
        <v>0.53569999999999995</v>
      </c>
      <c r="D26636" s="28">
        <v>0.28570000000000001</v>
      </c>
      <c r="E26636" s="29"/>
      <c r="F26636" s="29"/>
      <c r="G26636" s="28">
        <v>3.5700000000000003E-2</v>
      </c>
      <c r="H26636" s="28">
        <v>7.1400000000000005E-2</v>
      </c>
      <c r="I26636" s="28">
        <v>3.5700000000000003E-2</v>
      </c>
      <c r="J26636" s="29"/>
      <c r="K26636" s="29"/>
      <c r="L26636" s="29"/>
      <c r="M26636" s="28">
        <v>3.5700000000000003E-2</v>
      </c>
      <c r="N26636" s="29"/>
      <c r="O26636" s="29"/>
      <c r="P26636" s="29"/>
      <c r="Q26636" s="29"/>
      <c r="R26636" s="29"/>
      <c r="S26636" s="29"/>
      <c r="T26636" s="28">
        <v>3.5700000000000003E-2</v>
      </c>
      <c r="U26636" s="29"/>
      <c r="V26636" s="29"/>
      <c r="W26636" s="29" t="s">
        <v>336</v>
      </c>
    </row>
    <row r="26637" spans="1:23" x14ac:dyDescent="0.35">
      <c r="A26637" t="s">
        <v>232</v>
      </c>
      <c r="B26637" t="s">
        <v>232</v>
      </c>
      <c r="C26637" s="26">
        <v>0.42699999999999999</v>
      </c>
      <c r="D26637" s="26">
        <v>0.3271</v>
      </c>
      <c r="E26637" s="26">
        <v>9.3799999999999994E-2</v>
      </c>
      <c r="F26637" s="26">
        <v>8.3500000000000005E-2</v>
      </c>
      <c r="G26637" s="26">
        <v>6.6000000000000003E-2</v>
      </c>
      <c r="H26637" s="26">
        <v>5.57E-2</v>
      </c>
      <c r="I26637" s="26">
        <v>1.43E-2</v>
      </c>
      <c r="J26637" s="26">
        <v>1.0999999999999999E-2</v>
      </c>
      <c r="K26637" s="26">
        <v>1.0500000000000001E-2</v>
      </c>
      <c r="L26637" s="26">
        <v>8.8999999999999999E-3</v>
      </c>
      <c r="M26637" s="26">
        <v>7.1999999999999998E-3</v>
      </c>
      <c r="N26637" s="26">
        <v>6.3E-3</v>
      </c>
      <c r="O26637" s="26">
        <v>5.4000000000000003E-3</v>
      </c>
      <c r="P26637" s="26">
        <v>3.8999999999999998E-3</v>
      </c>
      <c r="Q26637" s="26">
        <v>2.3999999999999998E-3</v>
      </c>
      <c r="R26637" s="26">
        <v>2.0999999999999999E-3</v>
      </c>
      <c r="S26637" s="26">
        <v>1.9E-3</v>
      </c>
      <c r="T26637" s="26">
        <v>1.9E-3</v>
      </c>
      <c r="U26637" s="26">
        <v>1.8E-3</v>
      </c>
      <c r="V26637" s="26">
        <v>1.2999999999999999E-3</v>
      </c>
      <c r="W26637">
        <v>2812</v>
      </c>
    </row>
    <row r="26639" spans="1:23" x14ac:dyDescent="0.35">
      <c r="A26639" s="1" t="s">
        <v>2420</v>
      </c>
    </row>
    <row r="26640" spans="1:23" x14ac:dyDescent="0.35">
      <c r="A26640" t="s">
        <v>219</v>
      </c>
      <c r="B26640" t="s">
        <v>305</v>
      </c>
      <c r="C26640" t="s">
        <v>2392</v>
      </c>
      <c r="D26640" t="s">
        <v>2393</v>
      </c>
      <c r="E26640" t="s">
        <v>2394</v>
      </c>
      <c r="F26640" t="s">
        <v>2395</v>
      </c>
      <c r="G26640" t="s">
        <v>2396</v>
      </c>
      <c r="H26640" t="s">
        <v>2397</v>
      </c>
      <c r="I26640" t="s">
        <v>281</v>
      </c>
      <c r="J26640" t="s">
        <v>2398</v>
      </c>
      <c r="K26640" t="s">
        <v>2399</v>
      </c>
      <c r="L26640" t="s">
        <v>2400</v>
      </c>
      <c r="M26640" t="s">
        <v>2401</v>
      </c>
      <c r="N26640" t="s">
        <v>2402</v>
      </c>
      <c r="O26640" t="s">
        <v>2403</v>
      </c>
      <c r="P26640" t="s">
        <v>2404</v>
      </c>
      <c r="Q26640" t="s">
        <v>2405</v>
      </c>
      <c r="R26640" t="s">
        <v>2406</v>
      </c>
      <c r="S26640" t="s">
        <v>326</v>
      </c>
      <c r="T26640" t="s">
        <v>2407</v>
      </c>
      <c r="U26640" t="s">
        <v>2408</v>
      </c>
      <c r="V26640" t="s">
        <v>286</v>
      </c>
      <c r="W26640" t="s">
        <v>226</v>
      </c>
    </row>
    <row r="26641" spans="1:23" x14ac:dyDescent="0.35">
      <c r="A26641" t="s">
        <v>227</v>
      </c>
      <c r="B26641" t="s">
        <v>1341</v>
      </c>
      <c r="C26641" s="26">
        <v>0.44900000000000001</v>
      </c>
      <c r="D26641" s="26">
        <v>0.34689999999999999</v>
      </c>
      <c r="E26641" s="26">
        <v>0.10199999999999999</v>
      </c>
      <c r="F26641" s="26">
        <v>8.1600000000000006E-2</v>
      </c>
      <c r="G26641" s="26">
        <v>4.0800000000000003E-2</v>
      </c>
      <c r="H26641" s="26">
        <v>6.1199999999999997E-2</v>
      </c>
      <c r="W26641">
        <v>49</v>
      </c>
    </row>
    <row r="26642" spans="1:23" x14ac:dyDescent="0.35">
      <c r="A26642" s="27" t="s">
        <v>227</v>
      </c>
      <c r="B26642" s="27" t="s">
        <v>1342</v>
      </c>
      <c r="C26642" s="29"/>
      <c r="D26642" s="29"/>
      <c r="E26642" s="28">
        <v>1</v>
      </c>
      <c r="F26642" s="28">
        <v>1</v>
      </c>
      <c r="G26642" s="29"/>
      <c r="H26642" s="29"/>
      <c r="I26642" s="29"/>
      <c r="J26642" s="29"/>
      <c r="K26642" s="29"/>
      <c r="L26642" s="29"/>
      <c r="M26642" s="29"/>
      <c r="N26642" s="29"/>
      <c r="O26642" s="29"/>
      <c r="P26642" s="29"/>
      <c r="Q26642" s="29"/>
      <c r="R26642" s="29"/>
      <c r="S26642" s="29"/>
      <c r="T26642" s="29"/>
      <c r="U26642" s="29"/>
      <c r="V26642" s="29"/>
      <c r="W26642" s="29" t="s">
        <v>331</v>
      </c>
    </row>
    <row r="26643" spans="1:23" x14ac:dyDescent="0.35">
      <c r="A26643" t="s">
        <v>227</v>
      </c>
      <c r="B26643" t="s">
        <v>1343</v>
      </c>
      <c r="C26643" s="26">
        <v>0.30630000000000002</v>
      </c>
      <c r="D26643" s="26">
        <v>0.39639999999999997</v>
      </c>
      <c r="E26643" s="26">
        <v>7.2099999999999997E-2</v>
      </c>
      <c r="F26643" s="26">
        <v>8.1100000000000005E-2</v>
      </c>
      <c r="G26643" s="26">
        <v>0.1171</v>
      </c>
      <c r="H26643" s="26">
        <v>7.2099999999999997E-2</v>
      </c>
      <c r="I26643" s="26">
        <v>1.7999999999999999E-2</v>
      </c>
      <c r="J26643" s="26">
        <v>8.9999999999999993E-3</v>
      </c>
      <c r="K26643" s="26">
        <v>1.7999999999999999E-2</v>
      </c>
      <c r="L26643" s="26">
        <v>1.7999999999999999E-2</v>
      </c>
      <c r="M26643" s="26">
        <v>8.9999999999999993E-3</v>
      </c>
      <c r="S26643" s="26">
        <v>8.9999999999999993E-3</v>
      </c>
      <c r="W26643">
        <v>111</v>
      </c>
    </row>
    <row r="26644" spans="1:23" x14ac:dyDescent="0.35">
      <c r="A26644" t="s">
        <v>228</v>
      </c>
      <c r="B26644" t="s">
        <v>1341</v>
      </c>
      <c r="C26644" s="26">
        <v>0.49370000000000003</v>
      </c>
      <c r="D26644" s="26">
        <v>0.25950000000000001</v>
      </c>
      <c r="E26644" s="26">
        <v>7.6100000000000001E-2</v>
      </c>
      <c r="F26644" s="26">
        <v>7.8299999999999995E-2</v>
      </c>
      <c r="G26644" s="26">
        <v>6.8099999999999994E-2</v>
      </c>
      <c r="H26644" s="26">
        <v>3.2599999999999997E-2</v>
      </c>
      <c r="I26644" s="26">
        <v>1.9400000000000001E-2</v>
      </c>
      <c r="J26644" s="26">
        <v>1.61E-2</v>
      </c>
      <c r="K26644" s="26">
        <v>2.3599999999999999E-2</v>
      </c>
      <c r="L26644" s="26">
        <v>7.0000000000000001E-3</v>
      </c>
      <c r="M26644" s="26">
        <v>1.14E-2</v>
      </c>
      <c r="N26644" s="26">
        <v>8.0000000000000004E-4</v>
      </c>
      <c r="O26644" s="26">
        <v>2.23E-2</v>
      </c>
      <c r="P26644" s="26">
        <v>9.4999999999999998E-3</v>
      </c>
      <c r="Q26644" s="26">
        <v>1.2800000000000001E-2</v>
      </c>
      <c r="R26644" s="26">
        <v>1.2800000000000001E-2</v>
      </c>
      <c r="S26644" s="26">
        <v>1.1999999999999999E-3</v>
      </c>
      <c r="U26644" s="26">
        <v>1.0800000000000001E-2</v>
      </c>
      <c r="V26644" s="26">
        <v>1.32E-2</v>
      </c>
      <c r="W26644">
        <v>305</v>
      </c>
    </row>
    <row r="26645" spans="1:23" x14ac:dyDescent="0.35">
      <c r="A26645" s="27" t="s">
        <v>228</v>
      </c>
      <c r="B26645" s="27" t="s">
        <v>1342</v>
      </c>
      <c r="C26645" s="28">
        <v>1</v>
      </c>
      <c r="D26645" s="29"/>
      <c r="E26645" s="29"/>
      <c r="F26645" s="29"/>
      <c r="G26645" s="29"/>
      <c r="H26645" s="29"/>
      <c r="I26645" s="29"/>
      <c r="J26645" s="29"/>
      <c r="K26645" s="29"/>
      <c r="L26645" s="29"/>
      <c r="M26645" s="29"/>
      <c r="N26645" s="29"/>
      <c r="O26645" s="29"/>
      <c r="P26645" s="29"/>
      <c r="Q26645" s="29"/>
      <c r="R26645" s="29"/>
      <c r="S26645" s="29"/>
      <c r="T26645" s="29"/>
      <c r="U26645" s="29"/>
      <c r="V26645" s="29"/>
      <c r="W26645" s="29" t="s">
        <v>331</v>
      </c>
    </row>
    <row r="26646" spans="1:23" x14ac:dyDescent="0.35">
      <c r="A26646" t="s">
        <v>228</v>
      </c>
      <c r="B26646" t="s">
        <v>1343</v>
      </c>
      <c r="C26646" s="26">
        <v>0.43890000000000001</v>
      </c>
      <c r="D26646" s="26">
        <v>0.2475</v>
      </c>
      <c r="E26646" s="26">
        <v>0.1009</v>
      </c>
      <c r="F26646" s="26">
        <v>0.1128</v>
      </c>
      <c r="G26646" s="26">
        <v>6.2399999999999997E-2</v>
      </c>
      <c r="H26646" s="26">
        <v>7.9200000000000007E-2</v>
      </c>
      <c r="I26646" s="26">
        <v>1.1299999999999999E-2</v>
      </c>
      <c r="J26646" s="26">
        <v>1.46E-2</v>
      </c>
      <c r="K26646" s="26">
        <v>9.4000000000000004E-3</v>
      </c>
      <c r="L26646" s="26">
        <v>1.9199999999999998E-2</v>
      </c>
      <c r="M26646" s="26">
        <v>6.1999999999999998E-3</v>
      </c>
      <c r="N26646" s="26">
        <v>8.9999999999999993E-3</v>
      </c>
      <c r="O26646" s="26">
        <v>8.9999999999999993E-3</v>
      </c>
      <c r="P26646" s="26">
        <v>1.3599999999999999E-2</v>
      </c>
      <c r="S26646" s="26">
        <v>4.1000000000000003E-3</v>
      </c>
      <c r="T26646" s="26">
        <v>1.6999999999999999E-3</v>
      </c>
      <c r="U26646" s="26">
        <v>3.2000000000000002E-3</v>
      </c>
      <c r="V26646" s="26">
        <v>1.4E-3</v>
      </c>
      <c r="W26646">
        <v>727</v>
      </c>
    </row>
    <row r="26647" spans="1:23" x14ac:dyDescent="0.35">
      <c r="A26647" t="s">
        <v>229</v>
      </c>
      <c r="B26647" t="s">
        <v>1341</v>
      </c>
      <c r="C26647" s="26">
        <v>0.45019999999999999</v>
      </c>
      <c r="D26647" s="26">
        <v>0.37469999999999998</v>
      </c>
      <c r="E26647" s="26">
        <v>8.3199999999999996E-2</v>
      </c>
      <c r="F26647" s="26">
        <v>7.4800000000000005E-2</v>
      </c>
      <c r="G26647" s="26">
        <v>5.0500000000000003E-2</v>
      </c>
      <c r="H26647" s="26">
        <v>3.27E-2</v>
      </c>
      <c r="I26647" s="26">
        <v>2.01E-2</v>
      </c>
      <c r="J26647" s="26">
        <v>9.7999999999999997E-3</v>
      </c>
      <c r="K26647" s="26">
        <v>1.0800000000000001E-2</v>
      </c>
      <c r="L26647" s="26">
        <v>1E-3</v>
      </c>
      <c r="M26647" s="26">
        <v>5.0000000000000001E-4</v>
      </c>
      <c r="N26647" s="26">
        <v>1.0200000000000001E-2</v>
      </c>
      <c r="O26647" s="26">
        <v>1.0200000000000001E-2</v>
      </c>
      <c r="P26647" s="26">
        <v>9.1999999999999998E-3</v>
      </c>
      <c r="Q26647" s="26">
        <v>2.0999999999999999E-3</v>
      </c>
      <c r="R26647" s="26">
        <v>7.7000000000000002E-3</v>
      </c>
      <c r="W26647">
        <v>272</v>
      </c>
    </row>
    <row r="26648" spans="1:23" x14ac:dyDescent="0.35">
      <c r="A26648" t="s">
        <v>229</v>
      </c>
      <c r="B26648" t="s">
        <v>1343</v>
      </c>
      <c r="C26648" s="26">
        <v>0.3947</v>
      </c>
      <c r="D26648" s="26">
        <v>0.3473</v>
      </c>
      <c r="E26648" s="26">
        <v>9.1300000000000006E-2</v>
      </c>
      <c r="F26648" s="26">
        <v>7.8600000000000003E-2</v>
      </c>
      <c r="G26648" s="26">
        <v>5.33E-2</v>
      </c>
      <c r="H26648" s="26">
        <v>7.0800000000000002E-2</v>
      </c>
      <c r="I26648" s="26">
        <v>1.8499999999999999E-2</v>
      </c>
      <c r="J26648" s="26">
        <v>6.7000000000000002E-3</v>
      </c>
      <c r="K26648" s="26">
        <v>1.55E-2</v>
      </c>
      <c r="L26648" s="26">
        <v>4.5999999999999999E-3</v>
      </c>
      <c r="M26648" s="26">
        <v>5.4000000000000003E-3</v>
      </c>
      <c r="N26648" s="26">
        <v>1.1900000000000001E-2</v>
      </c>
      <c r="O26648" s="26">
        <v>5.9999999999999995E-4</v>
      </c>
      <c r="P26648" s="26">
        <v>4.0000000000000002E-4</v>
      </c>
      <c r="Q26648" s="26">
        <v>7.4999999999999997E-3</v>
      </c>
      <c r="S26648" s="26">
        <v>1.5E-3</v>
      </c>
      <c r="U26648" s="26">
        <v>1E-4</v>
      </c>
      <c r="V26648" s="26">
        <v>1.6000000000000001E-3</v>
      </c>
      <c r="W26648">
        <v>622</v>
      </c>
    </row>
    <row r="26649" spans="1:23" x14ac:dyDescent="0.35">
      <c r="A26649" t="s">
        <v>230</v>
      </c>
      <c r="B26649" t="s">
        <v>1341</v>
      </c>
      <c r="C26649" s="26">
        <v>0.38790000000000002</v>
      </c>
      <c r="D26649" s="26">
        <v>0.41349999999999998</v>
      </c>
      <c r="E26649" s="26">
        <v>7.5600000000000001E-2</v>
      </c>
      <c r="F26649" s="26">
        <v>5.7099999999999998E-2</v>
      </c>
      <c r="G26649" s="26">
        <v>5.62E-2</v>
      </c>
      <c r="H26649" s="26">
        <v>2.1299999999999999E-2</v>
      </c>
      <c r="I26649" s="26">
        <v>2.63E-2</v>
      </c>
      <c r="J26649" s="26">
        <v>5.7999999999999996E-3</v>
      </c>
      <c r="K26649" s="26">
        <v>1.9300000000000001E-2</v>
      </c>
      <c r="L26649" s="26">
        <v>8.6999999999999994E-3</v>
      </c>
      <c r="M26649" s="26">
        <v>8.9999999999999998E-4</v>
      </c>
      <c r="N26649" s="26">
        <v>2.0400000000000001E-2</v>
      </c>
      <c r="O26649" s="26">
        <v>2.3400000000000001E-2</v>
      </c>
      <c r="P26649" s="26">
        <v>3.0000000000000001E-3</v>
      </c>
      <c r="Q26649" s="26">
        <v>3.0000000000000001E-3</v>
      </c>
      <c r="R26649" s="26">
        <v>3.0000000000000001E-3</v>
      </c>
      <c r="U26649" s="26">
        <v>8.9999999999999998E-4</v>
      </c>
      <c r="W26649">
        <v>156</v>
      </c>
    </row>
    <row r="26650" spans="1:23" x14ac:dyDescent="0.35">
      <c r="A26650" t="s">
        <v>230</v>
      </c>
      <c r="B26650" t="s">
        <v>1343</v>
      </c>
      <c r="C26650" s="26">
        <v>0.39829999999999999</v>
      </c>
      <c r="D26650" s="26">
        <v>0.28699999999999998</v>
      </c>
      <c r="E26650" s="26">
        <v>0.1249</v>
      </c>
      <c r="F26650" s="26">
        <v>7.6499999999999999E-2</v>
      </c>
      <c r="G26650" s="26">
        <v>9.2999999999999999E-2</v>
      </c>
      <c r="H26650" s="26">
        <v>5.7299999999999997E-2</v>
      </c>
      <c r="I26650" s="26">
        <v>3.8999999999999998E-3</v>
      </c>
      <c r="J26650" s="26">
        <v>4.7699999999999999E-2</v>
      </c>
      <c r="K26650" s="26">
        <v>2.1999999999999999E-2</v>
      </c>
      <c r="L26650" s="26">
        <v>1.6400000000000001E-2</v>
      </c>
      <c r="M26650" s="26">
        <v>5.1999999999999998E-3</v>
      </c>
      <c r="N26650" s="26">
        <v>1.7999999999999999E-2</v>
      </c>
      <c r="O26650" s="26">
        <v>1.7999999999999999E-2</v>
      </c>
      <c r="P26650" s="26">
        <v>7.7999999999999996E-3</v>
      </c>
      <c r="R26650" s="26">
        <v>8.2000000000000007E-3</v>
      </c>
      <c r="U26650" s="26">
        <v>1.0200000000000001E-2</v>
      </c>
      <c r="V26650" s="26">
        <v>1.2999999999999999E-3</v>
      </c>
      <c r="W26650">
        <v>404</v>
      </c>
    </row>
    <row r="26651" spans="1:23" x14ac:dyDescent="0.35">
      <c r="A26651" t="s">
        <v>231</v>
      </c>
      <c r="B26651" t="s">
        <v>1341</v>
      </c>
      <c r="C26651" s="26">
        <v>0.52310000000000001</v>
      </c>
      <c r="D26651" s="26">
        <v>0.2923</v>
      </c>
      <c r="E26651" s="26">
        <v>6.1499999999999999E-2</v>
      </c>
      <c r="F26651" s="26">
        <v>6.1499999999999999E-2</v>
      </c>
      <c r="G26651" s="26">
        <v>6.1499999999999999E-2</v>
      </c>
      <c r="H26651" s="26">
        <v>6.1499999999999999E-2</v>
      </c>
      <c r="I26651" s="26">
        <v>1.54E-2</v>
      </c>
      <c r="J26651" s="26">
        <v>1.54E-2</v>
      </c>
      <c r="M26651" s="26">
        <v>1.54E-2</v>
      </c>
      <c r="W26651">
        <v>65</v>
      </c>
    </row>
    <row r="26652" spans="1:23" x14ac:dyDescent="0.35">
      <c r="A26652" t="s">
        <v>231</v>
      </c>
      <c r="B26652" t="s">
        <v>1343</v>
      </c>
      <c r="C26652" s="26">
        <v>0.44440000000000002</v>
      </c>
      <c r="D26652" s="26">
        <v>0.34339999999999998</v>
      </c>
      <c r="E26652" s="26">
        <v>0.1212</v>
      </c>
      <c r="F26652" s="26">
        <v>9.0899999999999995E-2</v>
      </c>
      <c r="G26652" s="26">
        <v>6.0600000000000001E-2</v>
      </c>
      <c r="H26652" s="26">
        <v>3.0300000000000001E-2</v>
      </c>
      <c r="I26652" s="26">
        <v>1.01E-2</v>
      </c>
      <c r="L26652" s="26">
        <v>1.01E-2</v>
      </c>
      <c r="M26652" s="26">
        <v>1.01E-2</v>
      </c>
      <c r="T26652" s="26">
        <v>1.01E-2</v>
      </c>
      <c r="W26652">
        <v>99</v>
      </c>
    </row>
    <row r="26653" spans="1:23" x14ac:dyDescent="0.35">
      <c r="A26653" t="s">
        <v>232</v>
      </c>
      <c r="B26653" t="s">
        <v>232</v>
      </c>
      <c r="C26653" s="26">
        <v>0.42699999999999999</v>
      </c>
      <c r="D26653" s="26">
        <v>0.3271</v>
      </c>
      <c r="E26653" s="26">
        <v>9.3799999999999994E-2</v>
      </c>
      <c r="F26653" s="26">
        <v>8.3500000000000005E-2</v>
      </c>
      <c r="G26653" s="26">
        <v>6.6000000000000003E-2</v>
      </c>
      <c r="H26653" s="26">
        <v>5.57E-2</v>
      </c>
      <c r="I26653" s="26">
        <v>1.43E-2</v>
      </c>
      <c r="J26653" s="26">
        <v>1.0999999999999999E-2</v>
      </c>
      <c r="K26653" s="26">
        <v>1.0500000000000001E-2</v>
      </c>
      <c r="L26653" s="26">
        <v>8.8999999999999999E-3</v>
      </c>
      <c r="M26653" s="26">
        <v>7.1999999999999998E-3</v>
      </c>
      <c r="N26653" s="26">
        <v>6.3E-3</v>
      </c>
      <c r="O26653" s="26">
        <v>5.4000000000000003E-3</v>
      </c>
      <c r="P26653" s="26">
        <v>3.8999999999999998E-3</v>
      </c>
      <c r="Q26653" s="26">
        <v>2.3999999999999998E-3</v>
      </c>
      <c r="R26653" s="26">
        <v>2.0999999999999999E-3</v>
      </c>
      <c r="S26653" s="26">
        <v>1.9E-3</v>
      </c>
      <c r="T26653" s="26">
        <v>1.9E-3</v>
      </c>
      <c r="U26653" s="26">
        <v>1.8E-3</v>
      </c>
      <c r="V26653" s="26">
        <v>1.2999999999999999E-3</v>
      </c>
      <c r="W26653">
        <v>2812</v>
      </c>
    </row>
    <row r="26655" spans="1:23" x14ac:dyDescent="0.35">
      <c r="A26655" s="1" t="s">
        <v>2421</v>
      </c>
    </row>
    <row r="26656" spans="1:23" x14ac:dyDescent="0.35">
      <c r="A26656" t="s">
        <v>219</v>
      </c>
      <c r="B26656" t="s">
        <v>305</v>
      </c>
      <c r="C26656" t="s">
        <v>2392</v>
      </c>
      <c r="D26656" t="s">
        <v>2393</v>
      </c>
      <c r="E26656" t="s">
        <v>2394</v>
      </c>
      <c r="F26656" t="s">
        <v>2395</v>
      </c>
      <c r="G26656" t="s">
        <v>2396</v>
      </c>
      <c r="H26656" t="s">
        <v>2397</v>
      </c>
      <c r="I26656" t="s">
        <v>281</v>
      </c>
      <c r="J26656" t="s">
        <v>2398</v>
      </c>
      <c r="K26656" t="s">
        <v>2399</v>
      </c>
      <c r="L26656" t="s">
        <v>2400</v>
      </c>
      <c r="M26656" t="s">
        <v>2401</v>
      </c>
      <c r="N26656" t="s">
        <v>2402</v>
      </c>
      <c r="O26656" t="s">
        <v>2403</v>
      </c>
      <c r="P26656" t="s">
        <v>2404</v>
      </c>
      <c r="Q26656" t="s">
        <v>2405</v>
      </c>
      <c r="R26656" t="s">
        <v>2406</v>
      </c>
      <c r="S26656" t="s">
        <v>326</v>
      </c>
      <c r="T26656" t="s">
        <v>2407</v>
      </c>
      <c r="U26656" t="s">
        <v>2408</v>
      </c>
      <c r="V26656" t="s">
        <v>286</v>
      </c>
      <c r="W26656" t="s">
        <v>226</v>
      </c>
    </row>
    <row r="26657" spans="1:23" x14ac:dyDescent="0.35">
      <c r="A26657" s="27" t="s">
        <v>227</v>
      </c>
      <c r="B26657" s="27" t="s">
        <v>1345</v>
      </c>
      <c r="C26657" s="28">
        <v>1</v>
      </c>
      <c r="D26657" s="29"/>
      <c r="E26657" s="29"/>
      <c r="F26657" s="29"/>
      <c r="G26657" s="29"/>
      <c r="H26657" s="29"/>
      <c r="I26657" s="29"/>
      <c r="J26657" s="29"/>
      <c r="K26657" s="29"/>
      <c r="L26657" s="29"/>
      <c r="M26657" s="29"/>
      <c r="N26657" s="29"/>
      <c r="O26657" s="29"/>
      <c r="P26657" s="29"/>
      <c r="Q26657" s="29"/>
      <c r="R26657" s="29"/>
      <c r="S26657" s="29"/>
      <c r="T26657" s="29"/>
      <c r="U26657" s="29"/>
      <c r="V26657" s="29"/>
      <c r="W26657" s="29" t="s">
        <v>314</v>
      </c>
    </row>
    <row r="26658" spans="1:23" x14ac:dyDescent="0.35">
      <c r="A26658" t="s">
        <v>227</v>
      </c>
      <c r="B26658" t="s">
        <v>1346</v>
      </c>
      <c r="C26658" s="26">
        <v>0.33329999999999999</v>
      </c>
      <c r="D26658" s="26">
        <v>0.4103</v>
      </c>
      <c r="E26658" s="26">
        <v>0.12820000000000001</v>
      </c>
      <c r="F26658" s="26">
        <v>0.1026</v>
      </c>
      <c r="G26658" s="26">
        <v>0.12820000000000001</v>
      </c>
      <c r="H26658" s="26">
        <v>2.5600000000000001E-2</v>
      </c>
      <c r="W26658">
        <v>39</v>
      </c>
    </row>
    <row r="26659" spans="1:23" x14ac:dyDescent="0.35">
      <c r="A26659" t="s">
        <v>227</v>
      </c>
      <c r="B26659" t="s">
        <v>1347</v>
      </c>
      <c r="C26659" s="26">
        <v>0.25</v>
      </c>
      <c r="D26659" s="26">
        <v>0.44440000000000002</v>
      </c>
      <c r="E26659" s="26">
        <v>8.3299999999999999E-2</v>
      </c>
      <c r="F26659" s="26">
        <v>8.3299999999999999E-2</v>
      </c>
      <c r="G26659" s="26">
        <v>8.3299999999999999E-2</v>
      </c>
      <c r="H26659" s="26">
        <v>0.1389</v>
      </c>
      <c r="K26659" s="26">
        <v>2.7799999999999998E-2</v>
      </c>
      <c r="L26659" s="26">
        <v>2.7799999999999998E-2</v>
      </c>
      <c r="M26659" s="26">
        <v>2.7799999999999998E-2</v>
      </c>
      <c r="S26659" s="26">
        <v>2.7799999999999998E-2</v>
      </c>
      <c r="W26659">
        <v>36</v>
      </c>
    </row>
    <row r="26660" spans="1:23" x14ac:dyDescent="0.35">
      <c r="A26660" t="s">
        <v>227</v>
      </c>
      <c r="B26660" t="s">
        <v>1348</v>
      </c>
      <c r="C26660" s="26">
        <v>0.38100000000000001</v>
      </c>
      <c r="D26660" s="26">
        <v>0.34520000000000001</v>
      </c>
      <c r="E26660" s="26">
        <v>7.1400000000000005E-2</v>
      </c>
      <c r="F26660" s="26">
        <v>8.3299999999999999E-2</v>
      </c>
      <c r="G26660" s="26">
        <v>8.3299999999999999E-2</v>
      </c>
      <c r="H26660" s="26">
        <v>5.9499999999999997E-2</v>
      </c>
      <c r="I26660" s="26">
        <v>2.3800000000000002E-2</v>
      </c>
      <c r="J26660" s="26">
        <v>1.1900000000000001E-2</v>
      </c>
      <c r="K26660" s="26">
        <v>1.1900000000000001E-2</v>
      </c>
      <c r="L26660" s="26">
        <v>1.1900000000000001E-2</v>
      </c>
      <c r="W26660">
        <v>84</v>
      </c>
    </row>
    <row r="26661" spans="1:23" x14ac:dyDescent="0.35">
      <c r="A26661" t="s">
        <v>228</v>
      </c>
      <c r="B26661" t="s">
        <v>1348</v>
      </c>
      <c r="C26661" s="26">
        <v>0.439</v>
      </c>
      <c r="D26661" s="26">
        <v>0.2802</v>
      </c>
      <c r="E26661" s="26">
        <v>8.8900000000000007E-2</v>
      </c>
      <c r="F26661" s="26">
        <v>9.4E-2</v>
      </c>
      <c r="G26661" s="26">
        <v>7.1900000000000006E-2</v>
      </c>
      <c r="H26661" s="26">
        <v>6.0199999999999997E-2</v>
      </c>
      <c r="I26661" s="26">
        <v>1.29E-2</v>
      </c>
      <c r="J26661" s="26">
        <v>1.2500000000000001E-2</v>
      </c>
      <c r="K26661" s="26">
        <v>1.6E-2</v>
      </c>
      <c r="L26661" s="26">
        <v>1.0699999999999999E-2</v>
      </c>
      <c r="M26661" s="26">
        <v>1.15E-2</v>
      </c>
      <c r="N26661" s="26">
        <v>5.8999999999999999E-3</v>
      </c>
      <c r="O26661" s="26">
        <v>1.2999999999999999E-2</v>
      </c>
      <c r="P26661" s="26">
        <v>5.1000000000000004E-3</v>
      </c>
      <c r="Q26661" s="26">
        <v>6.3E-3</v>
      </c>
      <c r="S26661" s="26">
        <v>2.3999999999999998E-3</v>
      </c>
      <c r="T26661" s="26">
        <v>2.2000000000000001E-3</v>
      </c>
      <c r="U26661" s="26">
        <v>4.1999999999999997E-3</v>
      </c>
      <c r="V26661" s="26">
        <v>8.0999999999999996E-3</v>
      </c>
      <c r="W26661">
        <v>532</v>
      </c>
    </row>
    <row r="26662" spans="1:23" x14ac:dyDescent="0.35">
      <c r="A26662" t="s">
        <v>228</v>
      </c>
      <c r="B26662" t="s">
        <v>1347</v>
      </c>
      <c r="C26662" s="26">
        <v>0.44109999999999999</v>
      </c>
      <c r="D26662" s="26">
        <v>0.23369999999999999</v>
      </c>
      <c r="E26662" s="26">
        <v>7.2599999999999998E-2</v>
      </c>
      <c r="F26662" s="26">
        <v>9.8299999999999998E-2</v>
      </c>
      <c r="G26662" s="26">
        <v>5.0799999999999998E-2</v>
      </c>
      <c r="H26662" s="26">
        <v>0.10050000000000001</v>
      </c>
      <c r="I26662" s="26">
        <v>8.3000000000000001E-3</v>
      </c>
      <c r="J26662" s="26">
        <v>4.4000000000000003E-3</v>
      </c>
      <c r="K26662" s="26">
        <v>7.0000000000000001E-3</v>
      </c>
      <c r="L26662" s="26">
        <v>2.0400000000000001E-2</v>
      </c>
      <c r="M26662" s="26">
        <v>1.2999999999999999E-3</v>
      </c>
      <c r="N26662" s="26">
        <v>6.1999999999999998E-3</v>
      </c>
      <c r="O26662" s="26">
        <v>1.6E-2</v>
      </c>
      <c r="P26662" s="26">
        <v>2.23E-2</v>
      </c>
      <c r="Q26662" s="26">
        <v>2.2000000000000001E-3</v>
      </c>
      <c r="R26662" s="26">
        <v>1.3599999999999999E-2</v>
      </c>
      <c r="S26662" s="26">
        <v>8.3000000000000001E-3</v>
      </c>
      <c r="U26662" s="26">
        <v>7.3000000000000001E-3</v>
      </c>
      <c r="V26662" s="26">
        <v>2.8999999999999998E-3</v>
      </c>
      <c r="W26662">
        <v>204</v>
      </c>
    </row>
    <row r="26663" spans="1:23" x14ac:dyDescent="0.35">
      <c r="A26663" t="s">
        <v>228</v>
      </c>
      <c r="B26663" t="s">
        <v>1346</v>
      </c>
      <c r="C26663" s="26">
        <v>0.51349999999999996</v>
      </c>
      <c r="D26663" s="26">
        <v>0.1852</v>
      </c>
      <c r="E26663" s="26">
        <v>0.12520000000000001</v>
      </c>
      <c r="F26663" s="26">
        <v>0.13070000000000001</v>
      </c>
      <c r="G26663" s="26">
        <v>4.9599999999999998E-2</v>
      </c>
      <c r="H26663" s="26">
        <v>5.5300000000000002E-2</v>
      </c>
      <c r="I26663" s="26">
        <v>2.0299999999999999E-2</v>
      </c>
      <c r="J26663" s="26">
        <v>2.9000000000000001E-2</v>
      </c>
      <c r="K26663" s="26">
        <v>1.44E-2</v>
      </c>
      <c r="L26663" s="26">
        <v>2.3300000000000001E-2</v>
      </c>
      <c r="M26663" s="26">
        <v>5.1000000000000004E-3</v>
      </c>
      <c r="N26663" s="26">
        <v>8.6E-3</v>
      </c>
      <c r="O26663" s="26">
        <v>1.12E-2</v>
      </c>
      <c r="P26663" s="26">
        <v>1.6500000000000001E-2</v>
      </c>
      <c r="S26663" s="26">
        <v>1.6000000000000001E-3</v>
      </c>
      <c r="U26663" s="26">
        <v>2.5000000000000001E-3</v>
      </c>
      <c r="W26663">
        <v>286</v>
      </c>
    </row>
    <row r="26664" spans="1:23" x14ac:dyDescent="0.35">
      <c r="A26664" s="27" t="s">
        <v>228</v>
      </c>
      <c r="B26664" s="27" t="s">
        <v>1345</v>
      </c>
      <c r="C26664" s="28">
        <v>0.34599999999999997</v>
      </c>
      <c r="D26664" s="28">
        <v>0.44450000000000001</v>
      </c>
      <c r="E26664" s="29"/>
      <c r="F26664" s="29"/>
      <c r="G26664" s="28">
        <v>0.155</v>
      </c>
      <c r="H26664" s="29"/>
      <c r="I26664" s="29"/>
      <c r="J26664" s="29"/>
      <c r="K26664" s="29"/>
      <c r="L26664" s="29"/>
      <c r="M26664" s="29"/>
      <c r="N26664" s="29"/>
      <c r="O26664" s="29"/>
      <c r="P26664" s="28">
        <v>5.45E-2</v>
      </c>
      <c r="Q26664" s="29"/>
      <c r="R26664" s="28">
        <v>5.45E-2</v>
      </c>
      <c r="S26664" s="29"/>
      <c r="T26664" s="29"/>
      <c r="U26664" s="28">
        <v>5.45E-2</v>
      </c>
      <c r="V26664" s="29"/>
      <c r="W26664" s="29" t="s">
        <v>352</v>
      </c>
    </row>
    <row r="26665" spans="1:23" x14ac:dyDescent="0.35">
      <c r="A26665" s="27" t="s">
        <v>229</v>
      </c>
      <c r="B26665" s="27" t="s">
        <v>1345</v>
      </c>
      <c r="C26665" s="28">
        <v>0.70050000000000001</v>
      </c>
      <c r="D26665" s="28">
        <v>0.18360000000000001</v>
      </c>
      <c r="E26665" s="29"/>
      <c r="F26665" s="29"/>
      <c r="G26665" s="28">
        <v>0.1065</v>
      </c>
      <c r="H26665" s="29"/>
      <c r="I26665" s="28">
        <v>3.3999999999999998E-3</v>
      </c>
      <c r="J26665" s="29"/>
      <c r="K26665" s="29"/>
      <c r="L26665" s="29"/>
      <c r="M26665" s="28">
        <v>6.0000000000000001E-3</v>
      </c>
      <c r="N26665" s="29"/>
      <c r="O26665" s="29"/>
      <c r="P26665" s="29"/>
      <c r="Q26665" s="29"/>
      <c r="R26665" s="29"/>
      <c r="S26665" s="29"/>
      <c r="T26665" s="29"/>
      <c r="U26665" s="29"/>
      <c r="V26665" s="29"/>
      <c r="W26665" s="29" t="s">
        <v>357</v>
      </c>
    </row>
    <row r="26666" spans="1:23" x14ac:dyDescent="0.35">
      <c r="A26666" t="s">
        <v>229</v>
      </c>
      <c r="B26666" t="s">
        <v>1346</v>
      </c>
      <c r="C26666" s="26">
        <v>0.46139999999999998</v>
      </c>
      <c r="D26666" s="26">
        <v>0.32950000000000002</v>
      </c>
      <c r="E26666" s="26">
        <v>8.9200000000000002E-2</v>
      </c>
      <c r="F26666" s="26">
        <v>0.11890000000000001</v>
      </c>
      <c r="G26666" s="26">
        <v>4.82E-2</v>
      </c>
      <c r="H26666" s="26">
        <v>1.44E-2</v>
      </c>
      <c r="I26666" s="26">
        <v>4.0000000000000001E-3</v>
      </c>
      <c r="J26666" s="26">
        <v>1.9699999999999999E-2</v>
      </c>
      <c r="K26666" s="26">
        <v>1.61E-2</v>
      </c>
      <c r="L26666" s="26">
        <v>1.6000000000000001E-3</v>
      </c>
      <c r="M26666" s="26">
        <v>1.6000000000000001E-3</v>
      </c>
      <c r="N26666" s="26">
        <v>1.6000000000000001E-3</v>
      </c>
      <c r="O26666" s="26">
        <v>1.6000000000000001E-3</v>
      </c>
      <c r="P26666" s="26">
        <v>1.2999999999999999E-3</v>
      </c>
      <c r="V26666" s="26">
        <v>3.2000000000000002E-3</v>
      </c>
      <c r="W26666">
        <v>184</v>
      </c>
    </row>
    <row r="26667" spans="1:23" x14ac:dyDescent="0.35">
      <c r="A26667" t="s">
        <v>229</v>
      </c>
      <c r="B26667" t="s">
        <v>1347</v>
      </c>
      <c r="C26667" s="26">
        <v>0.42170000000000002</v>
      </c>
      <c r="D26667" s="26">
        <v>0.3805</v>
      </c>
      <c r="E26667" s="26">
        <v>9.7199999999999995E-2</v>
      </c>
      <c r="F26667" s="26">
        <v>6.1400000000000003E-2</v>
      </c>
      <c r="G26667" s="26">
        <v>3.2500000000000001E-2</v>
      </c>
      <c r="H26667" s="26">
        <v>5.91E-2</v>
      </c>
      <c r="I26667" s="26">
        <v>2.3699999999999999E-2</v>
      </c>
      <c r="J26667" s="26">
        <v>5.9999999999999995E-4</v>
      </c>
      <c r="K26667" s="26">
        <v>1.0800000000000001E-2</v>
      </c>
      <c r="L26667" s="26">
        <v>2.9999999999999997E-4</v>
      </c>
      <c r="M26667" s="26">
        <v>8.6E-3</v>
      </c>
      <c r="Q26667" s="26">
        <v>1.0800000000000001E-2</v>
      </c>
      <c r="V26667" s="26">
        <v>2.9999999999999997E-4</v>
      </c>
      <c r="W26667">
        <v>301</v>
      </c>
    </row>
    <row r="26668" spans="1:23" x14ac:dyDescent="0.35">
      <c r="A26668" t="s">
        <v>229</v>
      </c>
      <c r="B26668" t="s">
        <v>1348</v>
      </c>
      <c r="C26668" s="26">
        <v>0.36830000000000002</v>
      </c>
      <c r="D26668" s="26">
        <v>0.36330000000000001</v>
      </c>
      <c r="E26668" s="26">
        <v>8.8300000000000003E-2</v>
      </c>
      <c r="F26668" s="26">
        <v>7.3499999999999996E-2</v>
      </c>
      <c r="G26668" s="26">
        <v>6.3399999999999998E-2</v>
      </c>
      <c r="H26668" s="26">
        <v>8.09E-2</v>
      </c>
      <c r="I26668" s="26">
        <v>2.3699999999999999E-2</v>
      </c>
      <c r="J26668" s="26">
        <v>7.3000000000000001E-3</v>
      </c>
      <c r="K26668" s="26">
        <v>1.5800000000000002E-2</v>
      </c>
      <c r="L26668" s="26">
        <v>6.4000000000000003E-3</v>
      </c>
      <c r="M26668" s="26">
        <v>1.6000000000000001E-3</v>
      </c>
      <c r="N26668" s="26">
        <v>2.35E-2</v>
      </c>
      <c r="O26668" s="26">
        <v>7.3000000000000001E-3</v>
      </c>
      <c r="P26668" s="26">
        <v>6.4000000000000003E-3</v>
      </c>
      <c r="Q26668" s="26">
        <v>5.4000000000000003E-3</v>
      </c>
      <c r="R26668" s="26">
        <v>5.4000000000000003E-3</v>
      </c>
      <c r="S26668" s="26">
        <v>2.0999999999999999E-3</v>
      </c>
      <c r="U26668" s="26">
        <v>2.0000000000000001E-4</v>
      </c>
      <c r="V26668" s="26">
        <v>6.9999999999999999E-4</v>
      </c>
      <c r="W26668">
        <v>383</v>
      </c>
    </row>
    <row r="26669" spans="1:23" x14ac:dyDescent="0.35">
      <c r="A26669" t="s">
        <v>230</v>
      </c>
      <c r="B26669" t="s">
        <v>1346</v>
      </c>
      <c r="C26669" s="26">
        <v>0.39029999999999998</v>
      </c>
      <c r="D26669" s="26">
        <v>0.31559999999999999</v>
      </c>
      <c r="E26669" s="26">
        <v>0.1343</v>
      </c>
      <c r="F26669" s="26">
        <v>8.09E-2</v>
      </c>
      <c r="G26669" s="26">
        <v>8.1199999999999994E-2</v>
      </c>
      <c r="H26669" s="26">
        <v>1.1900000000000001E-2</v>
      </c>
      <c r="I26669" s="26">
        <v>4.1000000000000003E-3</v>
      </c>
      <c r="J26669" s="26">
        <v>3.9800000000000002E-2</v>
      </c>
      <c r="K26669" s="26">
        <v>5.3E-3</v>
      </c>
      <c r="L26669" s="26">
        <v>2.1899999999999999E-2</v>
      </c>
      <c r="M26669" s="26">
        <v>4.1000000000000003E-3</v>
      </c>
      <c r="N26669" s="26">
        <v>5.6099999999999997E-2</v>
      </c>
      <c r="O26669" s="26">
        <v>5.3600000000000002E-2</v>
      </c>
      <c r="U26669" s="26">
        <v>4.1000000000000003E-3</v>
      </c>
      <c r="V26669" s="26">
        <v>4.1000000000000003E-3</v>
      </c>
      <c r="W26669">
        <v>140</v>
      </c>
    </row>
    <row r="26670" spans="1:23" x14ac:dyDescent="0.35">
      <c r="A26670" t="s">
        <v>230</v>
      </c>
      <c r="B26670" t="s">
        <v>1348</v>
      </c>
      <c r="C26670" s="26">
        <v>0.38779999999999998</v>
      </c>
      <c r="D26670" s="26">
        <v>0.35049999999999998</v>
      </c>
      <c r="E26670" s="26">
        <v>8.9200000000000002E-2</v>
      </c>
      <c r="F26670" s="26">
        <v>4.9000000000000002E-2</v>
      </c>
      <c r="G26670" s="26">
        <v>9.9699999999999997E-2</v>
      </c>
      <c r="H26670" s="26">
        <v>5.1299999999999998E-2</v>
      </c>
      <c r="I26670" s="26">
        <v>5.5999999999999999E-3</v>
      </c>
      <c r="J26670" s="26">
        <v>4.19E-2</v>
      </c>
      <c r="K26670" s="26">
        <v>2.8400000000000002E-2</v>
      </c>
      <c r="L26670" s="26">
        <v>1.9099999999999999E-2</v>
      </c>
      <c r="M26670" s="26">
        <v>6.1000000000000004E-3</v>
      </c>
      <c r="N26670" s="26">
        <v>1.3599999999999999E-2</v>
      </c>
      <c r="O26670" s="26">
        <v>1.47E-2</v>
      </c>
      <c r="R26670" s="26">
        <v>1.17E-2</v>
      </c>
      <c r="U26670" s="26">
        <v>1.2800000000000001E-2</v>
      </c>
      <c r="W26670">
        <v>259</v>
      </c>
    </row>
    <row r="26671" spans="1:23" x14ac:dyDescent="0.35">
      <c r="A26671" t="s">
        <v>230</v>
      </c>
      <c r="B26671" t="s">
        <v>1347</v>
      </c>
      <c r="C26671" s="26">
        <v>0.39489999999999997</v>
      </c>
      <c r="D26671" s="26">
        <v>0.28799999999999998</v>
      </c>
      <c r="E26671" s="26">
        <v>0.13400000000000001</v>
      </c>
      <c r="F26671" s="26">
        <v>0.105</v>
      </c>
      <c r="G26671" s="26">
        <v>5.67E-2</v>
      </c>
      <c r="H26671" s="26">
        <v>6.7400000000000002E-2</v>
      </c>
      <c r="I26671" s="26">
        <v>2.58E-2</v>
      </c>
      <c r="J26671" s="26">
        <v>2.1299999999999999E-2</v>
      </c>
      <c r="K26671" s="26">
        <v>2.2599999999999999E-2</v>
      </c>
      <c r="O26671" s="26">
        <v>3.3E-3</v>
      </c>
      <c r="P26671" s="26">
        <v>2.2599999999999999E-2</v>
      </c>
      <c r="Q26671" s="26">
        <v>3.3E-3</v>
      </c>
      <c r="R26671" s="26">
        <v>3.3E-3</v>
      </c>
      <c r="U26671" s="26">
        <v>1E-3</v>
      </c>
      <c r="W26671">
        <v>153</v>
      </c>
    </row>
    <row r="26672" spans="1:23" x14ac:dyDescent="0.35">
      <c r="A26672" s="27" t="s">
        <v>230</v>
      </c>
      <c r="B26672" s="27" t="s">
        <v>1345</v>
      </c>
      <c r="C26672" s="28">
        <v>0.62770000000000004</v>
      </c>
      <c r="D26672" s="28">
        <v>0.37230000000000002</v>
      </c>
      <c r="E26672" s="29"/>
      <c r="F26672" s="29"/>
      <c r="G26672" s="29"/>
      <c r="H26672" s="29"/>
      <c r="I26672" s="29"/>
      <c r="J26672" s="29"/>
      <c r="K26672" s="29"/>
      <c r="L26672" s="29"/>
      <c r="M26672" s="29"/>
      <c r="N26672" s="29"/>
      <c r="O26672" s="29"/>
      <c r="P26672" s="29"/>
      <c r="Q26672" s="29"/>
      <c r="R26672" s="29"/>
      <c r="S26672" s="29"/>
      <c r="T26672" s="29"/>
      <c r="U26672" s="29"/>
      <c r="V26672" s="29"/>
      <c r="W26672" s="29" t="s">
        <v>333</v>
      </c>
    </row>
    <row r="26673" spans="1:24" x14ac:dyDescent="0.35">
      <c r="A26673" s="27" t="s">
        <v>231</v>
      </c>
      <c r="B26673" s="27" t="s">
        <v>1345</v>
      </c>
      <c r="C26673" s="28">
        <v>0.75</v>
      </c>
      <c r="D26673" s="28">
        <v>0.25</v>
      </c>
      <c r="E26673" s="29"/>
      <c r="F26673" s="29"/>
      <c r="G26673" s="29"/>
      <c r="H26673" s="29"/>
      <c r="I26673" s="29"/>
      <c r="J26673" s="29"/>
      <c r="K26673" s="29"/>
      <c r="L26673" s="29"/>
      <c r="M26673" s="29"/>
      <c r="N26673" s="29"/>
      <c r="O26673" s="29"/>
      <c r="P26673" s="29"/>
      <c r="Q26673" s="29"/>
      <c r="R26673" s="29"/>
      <c r="S26673" s="29"/>
      <c r="T26673" s="29"/>
      <c r="U26673" s="29"/>
      <c r="V26673" s="29"/>
      <c r="W26673" s="29" t="s">
        <v>337</v>
      </c>
    </row>
    <row r="26674" spans="1:24" x14ac:dyDescent="0.35">
      <c r="A26674" t="s">
        <v>231</v>
      </c>
      <c r="B26674" t="s">
        <v>1346</v>
      </c>
      <c r="C26674" s="26">
        <v>0.52500000000000002</v>
      </c>
      <c r="D26674" s="26">
        <v>0.27500000000000002</v>
      </c>
      <c r="E26674" s="26">
        <v>0.125</v>
      </c>
      <c r="F26674" s="26">
        <v>7.4999999999999997E-2</v>
      </c>
      <c r="G26674" s="26">
        <v>2.5000000000000001E-2</v>
      </c>
      <c r="H26674" s="26">
        <v>7.4999999999999997E-2</v>
      </c>
      <c r="I26674" s="26">
        <v>2.5000000000000001E-2</v>
      </c>
      <c r="J26674" s="26">
        <v>2.5000000000000001E-2</v>
      </c>
      <c r="L26674" s="26">
        <v>2.5000000000000001E-2</v>
      </c>
      <c r="W26674">
        <v>40</v>
      </c>
    </row>
    <row r="26675" spans="1:24" x14ac:dyDescent="0.35">
      <c r="A26675" t="s">
        <v>231</v>
      </c>
      <c r="B26675" t="s">
        <v>1347</v>
      </c>
      <c r="C26675" s="26">
        <v>0.5</v>
      </c>
      <c r="D26675" s="26">
        <v>0.35289999999999999</v>
      </c>
      <c r="E26675" s="26">
        <v>5.8799999999999998E-2</v>
      </c>
      <c r="F26675" s="26">
        <v>5.8799999999999998E-2</v>
      </c>
      <c r="G26675" s="26">
        <v>2.9399999999999999E-2</v>
      </c>
      <c r="H26675" s="26">
        <v>2.9399999999999999E-2</v>
      </c>
      <c r="M26675" s="26">
        <v>2.9399999999999999E-2</v>
      </c>
      <c r="T26675" s="26">
        <v>2.9399999999999999E-2</v>
      </c>
      <c r="W26675">
        <v>34</v>
      </c>
    </row>
    <row r="26676" spans="1:24" x14ac:dyDescent="0.35">
      <c r="A26676" t="s">
        <v>231</v>
      </c>
      <c r="B26676" t="s">
        <v>1348</v>
      </c>
      <c r="C26676" s="26">
        <v>0.43020000000000003</v>
      </c>
      <c r="D26676" s="26">
        <v>0.3372</v>
      </c>
      <c r="E26676" s="26">
        <v>0.1047</v>
      </c>
      <c r="F26676" s="26">
        <v>9.2999999999999999E-2</v>
      </c>
      <c r="G26676" s="26">
        <v>9.2999999999999999E-2</v>
      </c>
      <c r="H26676" s="26">
        <v>3.49E-2</v>
      </c>
      <c r="I26676" s="26">
        <v>1.1599999999999999E-2</v>
      </c>
      <c r="M26676" s="26">
        <v>1.1599999999999999E-2</v>
      </c>
      <c r="W26676">
        <v>86</v>
      </c>
    </row>
    <row r="26677" spans="1:24" x14ac:dyDescent="0.35">
      <c r="A26677" t="s">
        <v>232</v>
      </c>
      <c r="B26677" t="s">
        <v>232</v>
      </c>
      <c r="C26677" s="26">
        <v>0.42699999999999999</v>
      </c>
      <c r="D26677" s="26">
        <v>0.3271</v>
      </c>
      <c r="E26677" s="26">
        <v>9.3799999999999994E-2</v>
      </c>
      <c r="F26677" s="26">
        <v>8.3500000000000005E-2</v>
      </c>
      <c r="G26677" s="26">
        <v>6.6000000000000003E-2</v>
      </c>
      <c r="H26677" s="26">
        <v>5.57E-2</v>
      </c>
      <c r="I26677" s="26">
        <v>1.43E-2</v>
      </c>
      <c r="J26677" s="26">
        <v>1.0999999999999999E-2</v>
      </c>
      <c r="K26677" s="26">
        <v>1.0500000000000001E-2</v>
      </c>
      <c r="L26677" s="26">
        <v>8.8999999999999999E-3</v>
      </c>
      <c r="M26677" s="26">
        <v>7.1999999999999998E-3</v>
      </c>
      <c r="N26677" s="26">
        <v>6.3E-3</v>
      </c>
      <c r="O26677" s="26">
        <v>5.4000000000000003E-3</v>
      </c>
      <c r="P26677" s="26">
        <v>3.8999999999999998E-3</v>
      </c>
      <c r="Q26677" s="26">
        <v>2.3999999999999998E-3</v>
      </c>
      <c r="R26677" s="26">
        <v>2.0999999999999999E-3</v>
      </c>
      <c r="S26677" s="26">
        <v>1.9E-3</v>
      </c>
      <c r="T26677" s="26">
        <v>1.9E-3</v>
      </c>
      <c r="U26677" s="26">
        <v>1.8E-3</v>
      </c>
      <c r="V26677" s="26">
        <v>1.2999999999999999E-3</v>
      </c>
      <c r="W26677">
        <v>2812</v>
      </c>
    </row>
    <row r="26679" spans="1:24" x14ac:dyDescent="0.35">
      <c r="A26679" s="1" t="s">
        <v>2422</v>
      </c>
    </row>
    <row r="26680" spans="1:24" x14ac:dyDescent="0.35">
      <c r="A26680" t="s">
        <v>219</v>
      </c>
      <c r="B26680" t="s">
        <v>305</v>
      </c>
      <c r="C26680" t="s">
        <v>345</v>
      </c>
      <c r="D26680" t="s">
        <v>2392</v>
      </c>
      <c r="E26680" t="s">
        <v>2393</v>
      </c>
      <c r="F26680" t="s">
        <v>2394</v>
      </c>
      <c r="G26680" t="s">
        <v>2395</v>
      </c>
      <c r="H26680" t="s">
        <v>2396</v>
      </c>
      <c r="I26680" t="s">
        <v>2397</v>
      </c>
      <c r="J26680" t="s">
        <v>281</v>
      </c>
      <c r="K26680" t="s">
        <v>2398</v>
      </c>
      <c r="L26680" t="s">
        <v>2399</v>
      </c>
      <c r="M26680" t="s">
        <v>2400</v>
      </c>
      <c r="N26680" t="s">
        <v>2401</v>
      </c>
      <c r="O26680" t="s">
        <v>2402</v>
      </c>
      <c r="P26680" t="s">
        <v>2403</v>
      </c>
      <c r="Q26680" t="s">
        <v>2404</v>
      </c>
      <c r="R26680" t="s">
        <v>2405</v>
      </c>
      <c r="S26680" t="s">
        <v>2406</v>
      </c>
      <c r="T26680" t="s">
        <v>326</v>
      </c>
      <c r="U26680" t="s">
        <v>2407</v>
      </c>
      <c r="V26680" t="s">
        <v>2408</v>
      </c>
      <c r="W26680" t="s">
        <v>286</v>
      </c>
      <c r="X26680" t="s">
        <v>226</v>
      </c>
    </row>
    <row r="26681" spans="1:24" x14ac:dyDescent="0.35">
      <c r="A26681" s="27" t="s">
        <v>227</v>
      </c>
      <c r="B26681" s="27" t="s">
        <v>1341</v>
      </c>
      <c r="C26681" s="27" t="s">
        <v>1345</v>
      </c>
      <c r="D26681" s="28">
        <v>1</v>
      </c>
      <c r="E26681" s="29"/>
      <c r="F26681" s="29"/>
      <c r="G26681" s="29"/>
      <c r="H26681" s="29"/>
      <c r="I26681" s="29"/>
      <c r="J26681" s="29"/>
      <c r="K26681" s="29"/>
      <c r="L26681" s="29"/>
      <c r="M26681" s="29"/>
      <c r="N26681" s="29"/>
      <c r="O26681" s="29"/>
      <c r="P26681" s="29"/>
      <c r="Q26681" s="29"/>
      <c r="R26681" s="29"/>
      <c r="S26681" s="29"/>
      <c r="T26681" s="29"/>
      <c r="U26681" s="29"/>
      <c r="V26681" s="29"/>
      <c r="W26681" s="29"/>
      <c r="X26681" s="29" t="s">
        <v>331</v>
      </c>
    </row>
    <row r="26682" spans="1:24" x14ac:dyDescent="0.35">
      <c r="A26682" s="27" t="s">
        <v>227</v>
      </c>
      <c r="B26682" s="27" t="s">
        <v>1343</v>
      </c>
      <c r="C26682" s="27" t="s">
        <v>1346</v>
      </c>
      <c r="D26682" s="28">
        <v>0.23080000000000001</v>
      </c>
      <c r="E26682" s="28">
        <v>0.5</v>
      </c>
      <c r="F26682" s="28">
        <v>0.1154</v>
      </c>
      <c r="G26682" s="28">
        <v>0.1154</v>
      </c>
      <c r="H26682" s="28">
        <v>0.15379999999999999</v>
      </c>
      <c r="I26682" s="28">
        <v>3.85E-2</v>
      </c>
      <c r="J26682" s="29"/>
      <c r="K26682" s="29"/>
      <c r="L26682" s="29"/>
      <c r="M26682" s="29"/>
      <c r="N26682" s="29"/>
      <c r="O26682" s="29"/>
      <c r="P26682" s="29"/>
      <c r="Q26682" s="29"/>
      <c r="R26682" s="29"/>
      <c r="S26682" s="29"/>
      <c r="T26682" s="29"/>
      <c r="U26682" s="29"/>
      <c r="V26682" s="29"/>
      <c r="W26682" s="29"/>
      <c r="X26682" s="29" t="s">
        <v>357</v>
      </c>
    </row>
    <row r="26683" spans="1:24" x14ac:dyDescent="0.35">
      <c r="A26683" t="s">
        <v>227</v>
      </c>
      <c r="B26683" t="s">
        <v>1343</v>
      </c>
      <c r="C26683" t="s">
        <v>1348</v>
      </c>
      <c r="D26683" s="26">
        <v>0.377</v>
      </c>
      <c r="E26683" s="26">
        <v>0.29509999999999997</v>
      </c>
      <c r="F26683" s="26">
        <v>6.5600000000000006E-2</v>
      </c>
      <c r="G26683" s="26">
        <v>8.2000000000000003E-2</v>
      </c>
      <c r="H26683" s="26">
        <v>9.8400000000000001E-2</v>
      </c>
      <c r="I26683" s="26">
        <v>6.5600000000000006E-2</v>
      </c>
      <c r="J26683" s="26">
        <v>3.2800000000000003E-2</v>
      </c>
      <c r="K26683" s="26">
        <v>1.6400000000000001E-2</v>
      </c>
      <c r="L26683" s="26">
        <v>1.6400000000000001E-2</v>
      </c>
      <c r="M26683" s="26">
        <v>1.6400000000000001E-2</v>
      </c>
      <c r="X26683">
        <v>61</v>
      </c>
    </row>
    <row r="26684" spans="1:24" x14ac:dyDescent="0.35">
      <c r="A26684" s="27" t="s">
        <v>227</v>
      </c>
      <c r="B26684" s="27" t="s">
        <v>1341</v>
      </c>
      <c r="C26684" s="27" t="s">
        <v>1347</v>
      </c>
      <c r="D26684" s="28">
        <v>0.3846</v>
      </c>
      <c r="E26684" s="28">
        <v>0.23080000000000001</v>
      </c>
      <c r="F26684" s="28">
        <v>0.15379999999999999</v>
      </c>
      <c r="G26684" s="28">
        <v>0.15379999999999999</v>
      </c>
      <c r="H26684" s="29"/>
      <c r="I26684" s="28">
        <v>0.15379999999999999</v>
      </c>
      <c r="J26684" s="29"/>
      <c r="K26684" s="29"/>
      <c r="L26684" s="29"/>
      <c r="M26684" s="29"/>
      <c r="N26684" s="29"/>
      <c r="O26684" s="29"/>
      <c r="P26684" s="29"/>
      <c r="Q26684" s="29"/>
      <c r="R26684" s="29"/>
      <c r="S26684" s="29"/>
      <c r="T26684" s="29"/>
      <c r="U26684" s="29"/>
      <c r="V26684" s="29"/>
      <c r="W26684" s="29"/>
      <c r="X26684" s="29" t="s">
        <v>341</v>
      </c>
    </row>
    <row r="26685" spans="1:24" x14ac:dyDescent="0.35">
      <c r="A26685" s="27" t="s">
        <v>227</v>
      </c>
      <c r="B26685" s="27" t="s">
        <v>1343</v>
      </c>
      <c r="C26685" s="27" t="s">
        <v>1347</v>
      </c>
      <c r="D26685" s="28">
        <v>0.1739</v>
      </c>
      <c r="E26685" s="28">
        <v>0.56520000000000004</v>
      </c>
      <c r="F26685" s="28">
        <v>4.3499999999999997E-2</v>
      </c>
      <c r="G26685" s="28">
        <v>4.3499999999999997E-2</v>
      </c>
      <c r="H26685" s="28">
        <v>0.13039999999999999</v>
      </c>
      <c r="I26685" s="28">
        <v>0.13039999999999999</v>
      </c>
      <c r="J26685" s="29"/>
      <c r="K26685" s="29"/>
      <c r="L26685" s="28">
        <v>4.3499999999999997E-2</v>
      </c>
      <c r="M26685" s="28">
        <v>4.3499999999999997E-2</v>
      </c>
      <c r="N26685" s="28">
        <v>4.3499999999999997E-2</v>
      </c>
      <c r="O26685" s="29"/>
      <c r="P26685" s="29"/>
      <c r="Q26685" s="29"/>
      <c r="R26685" s="29"/>
      <c r="S26685" s="29"/>
      <c r="T26685" s="28">
        <v>4.3499999999999997E-2</v>
      </c>
      <c r="U26685" s="29"/>
      <c r="V26685" s="29"/>
      <c r="W26685" s="29"/>
      <c r="X26685" s="29" t="s">
        <v>328</v>
      </c>
    </row>
    <row r="26686" spans="1:24" x14ac:dyDescent="0.35">
      <c r="A26686" s="27" t="s">
        <v>227</v>
      </c>
      <c r="B26686" s="27" t="s">
        <v>1343</v>
      </c>
      <c r="C26686" s="27" t="s">
        <v>1345</v>
      </c>
      <c r="D26686" s="28">
        <v>1</v>
      </c>
      <c r="E26686" s="29"/>
      <c r="F26686" s="29"/>
      <c r="G26686" s="29"/>
      <c r="H26686" s="29"/>
      <c r="I26686" s="29"/>
      <c r="J26686" s="29"/>
      <c r="K26686" s="29"/>
      <c r="L26686" s="29"/>
      <c r="M26686" s="29"/>
      <c r="N26686" s="29"/>
      <c r="O26686" s="29"/>
      <c r="P26686" s="29"/>
      <c r="Q26686" s="29"/>
      <c r="R26686" s="29"/>
      <c r="S26686" s="29"/>
      <c r="T26686" s="29"/>
      <c r="U26686" s="29"/>
      <c r="V26686" s="29"/>
      <c r="W26686" s="29"/>
      <c r="X26686" s="29" t="s">
        <v>331</v>
      </c>
    </row>
    <row r="26687" spans="1:24" x14ac:dyDescent="0.35">
      <c r="A26687" s="27" t="s">
        <v>227</v>
      </c>
      <c r="B26687" s="27" t="s">
        <v>1342</v>
      </c>
      <c r="C26687" s="27" t="s">
        <v>1348</v>
      </c>
      <c r="D26687" s="29"/>
      <c r="E26687" s="29"/>
      <c r="F26687" s="28">
        <v>1</v>
      </c>
      <c r="G26687" s="28">
        <v>1</v>
      </c>
      <c r="H26687" s="29"/>
      <c r="I26687" s="29"/>
      <c r="J26687" s="29"/>
      <c r="K26687" s="29"/>
      <c r="L26687" s="29"/>
      <c r="M26687" s="29"/>
      <c r="N26687" s="29"/>
      <c r="O26687" s="29"/>
      <c r="P26687" s="29"/>
      <c r="Q26687" s="29"/>
      <c r="R26687" s="29"/>
      <c r="S26687" s="29"/>
      <c r="T26687" s="29"/>
      <c r="U26687" s="29"/>
      <c r="V26687" s="29"/>
      <c r="W26687" s="29"/>
      <c r="X26687" s="29" t="s">
        <v>331</v>
      </c>
    </row>
    <row r="26688" spans="1:24" x14ac:dyDescent="0.35">
      <c r="A26688" s="27" t="s">
        <v>227</v>
      </c>
      <c r="B26688" s="27" t="s">
        <v>1341</v>
      </c>
      <c r="C26688" s="27" t="s">
        <v>1348</v>
      </c>
      <c r="D26688" s="28">
        <v>0.40910000000000002</v>
      </c>
      <c r="E26688" s="28">
        <v>0.5</v>
      </c>
      <c r="F26688" s="28">
        <v>4.5499999999999999E-2</v>
      </c>
      <c r="G26688" s="28">
        <v>4.5499999999999999E-2</v>
      </c>
      <c r="H26688" s="28">
        <v>4.5499999999999999E-2</v>
      </c>
      <c r="I26688" s="28">
        <v>4.5499999999999999E-2</v>
      </c>
      <c r="J26688" s="29"/>
      <c r="K26688" s="29"/>
      <c r="L26688" s="29"/>
      <c r="M26688" s="29"/>
      <c r="N26688" s="29"/>
      <c r="O26688" s="29"/>
      <c r="P26688" s="29"/>
      <c r="Q26688" s="29"/>
      <c r="R26688" s="29"/>
      <c r="S26688" s="29"/>
      <c r="T26688" s="29"/>
      <c r="U26688" s="29"/>
      <c r="V26688" s="29"/>
      <c r="W26688" s="29"/>
      <c r="X26688" s="29" t="s">
        <v>347</v>
      </c>
    </row>
    <row r="26689" spans="1:24" x14ac:dyDescent="0.35">
      <c r="A26689" s="27" t="s">
        <v>227</v>
      </c>
      <c r="B26689" s="27" t="s">
        <v>1341</v>
      </c>
      <c r="C26689" s="27" t="s">
        <v>1346</v>
      </c>
      <c r="D26689" s="28">
        <v>0.53849999999999998</v>
      </c>
      <c r="E26689" s="28">
        <v>0.23080000000000001</v>
      </c>
      <c r="F26689" s="28">
        <v>0.15379999999999999</v>
      </c>
      <c r="G26689" s="28">
        <v>7.6899999999999996E-2</v>
      </c>
      <c r="H26689" s="28">
        <v>7.6899999999999996E-2</v>
      </c>
      <c r="I26689" s="29"/>
      <c r="J26689" s="29"/>
      <c r="K26689" s="29"/>
      <c r="L26689" s="29"/>
      <c r="M26689" s="29"/>
      <c r="N26689" s="29"/>
      <c r="O26689" s="29"/>
      <c r="P26689" s="29"/>
      <c r="Q26689" s="29"/>
      <c r="R26689" s="29"/>
      <c r="S26689" s="29"/>
      <c r="T26689" s="29"/>
      <c r="U26689" s="29"/>
      <c r="V26689" s="29"/>
      <c r="W26689" s="29"/>
      <c r="X26689" s="29" t="s">
        <v>341</v>
      </c>
    </row>
    <row r="26690" spans="1:24" x14ac:dyDescent="0.35">
      <c r="A26690" t="s">
        <v>228</v>
      </c>
      <c r="B26690" t="s">
        <v>1343</v>
      </c>
      <c r="C26690" t="s">
        <v>1348</v>
      </c>
      <c r="D26690" s="26">
        <v>0.40670000000000001</v>
      </c>
      <c r="E26690" s="26">
        <v>0.30180000000000001</v>
      </c>
      <c r="F26690" s="26">
        <v>9.5799999999999996E-2</v>
      </c>
      <c r="G26690" s="26">
        <v>9.1399999999999995E-2</v>
      </c>
      <c r="H26690" s="26">
        <v>6.2100000000000002E-2</v>
      </c>
      <c r="I26690" s="26">
        <v>7.7200000000000005E-2</v>
      </c>
      <c r="J26690" s="26">
        <v>7.9000000000000008E-3</v>
      </c>
      <c r="K26690" s="26">
        <v>5.5999999999999999E-3</v>
      </c>
      <c r="L26690" s="26">
        <v>8.6E-3</v>
      </c>
      <c r="M26690" s="26">
        <v>1.0699999999999999E-2</v>
      </c>
      <c r="N26690" s="26">
        <v>8.2000000000000007E-3</v>
      </c>
      <c r="O26690" s="26">
        <v>8.6E-3</v>
      </c>
      <c r="P26690" s="26">
        <v>8.6E-3</v>
      </c>
      <c r="Q26690" s="26">
        <v>4.7999999999999996E-3</v>
      </c>
      <c r="T26690" s="26">
        <v>2.7000000000000001E-3</v>
      </c>
      <c r="U26690" s="26">
        <v>3.5000000000000001E-3</v>
      </c>
      <c r="V26690" s="26">
        <v>3.2000000000000002E-3</v>
      </c>
      <c r="W26690" s="26">
        <v>2.8E-3</v>
      </c>
      <c r="X26690">
        <v>352</v>
      </c>
    </row>
    <row r="26691" spans="1:24" x14ac:dyDescent="0.35">
      <c r="A26691" t="s">
        <v>228</v>
      </c>
      <c r="B26691" t="s">
        <v>1343</v>
      </c>
      <c r="C26691" t="s">
        <v>1347</v>
      </c>
      <c r="D26691" s="26">
        <v>0.4395</v>
      </c>
      <c r="E26691" s="26">
        <v>0.1983</v>
      </c>
      <c r="F26691" s="26">
        <v>6.6600000000000006E-2</v>
      </c>
      <c r="G26691" s="26">
        <v>0.1303</v>
      </c>
      <c r="H26691" s="26">
        <v>5.7700000000000001E-2</v>
      </c>
      <c r="I26691" s="26">
        <v>0.1227</v>
      </c>
      <c r="J26691" s="26">
        <v>3.3E-3</v>
      </c>
      <c r="K26691" s="26">
        <v>6.6E-3</v>
      </c>
      <c r="M26691" s="26">
        <v>3.0599999999999999E-2</v>
      </c>
      <c r="N26691" s="26">
        <v>1.9E-3</v>
      </c>
      <c r="O26691" s="26">
        <v>9.1999999999999998E-3</v>
      </c>
      <c r="P26691" s="26">
        <v>1.11E-2</v>
      </c>
      <c r="Q26691" s="26">
        <v>2.9100000000000001E-2</v>
      </c>
      <c r="T26691" s="26">
        <v>1.2500000000000001E-2</v>
      </c>
      <c r="V26691" s="26">
        <v>4.3E-3</v>
      </c>
      <c r="X26691">
        <v>130</v>
      </c>
    </row>
    <row r="26692" spans="1:24" x14ac:dyDescent="0.35">
      <c r="A26692" s="27" t="s">
        <v>228</v>
      </c>
      <c r="B26692" s="27" t="s">
        <v>1343</v>
      </c>
      <c r="C26692" s="27" t="s">
        <v>1345</v>
      </c>
      <c r="D26692" s="28">
        <v>0.44280000000000003</v>
      </c>
      <c r="E26692" s="28">
        <v>0.33579999999999999</v>
      </c>
      <c r="F26692" s="29"/>
      <c r="G26692" s="29"/>
      <c r="H26692" s="28">
        <v>0.22140000000000001</v>
      </c>
      <c r="I26692" s="29"/>
      <c r="J26692" s="29"/>
      <c r="K26692" s="29"/>
      <c r="L26692" s="29"/>
      <c r="M26692" s="29"/>
      <c r="N26692" s="29"/>
      <c r="O26692" s="29"/>
      <c r="P26692" s="29"/>
      <c r="Q26692" s="29"/>
      <c r="R26692" s="29"/>
      <c r="S26692" s="29"/>
      <c r="T26692" s="29"/>
      <c r="U26692" s="29"/>
      <c r="V26692" s="29"/>
      <c r="W26692" s="29"/>
      <c r="X26692" s="29" t="s">
        <v>335</v>
      </c>
    </row>
    <row r="26693" spans="1:24" x14ac:dyDescent="0.35">
      <c r="A26693" t="s">
        <v>228</v>
      </c>
      <c r="B26693" t="s">
        <v>1341</v>
      </c>
      <c r="C26693" t="s">
        <v>1346</v>
      </c>
      <c r="D26693" s="26">
        <v>0.68320000000000003</v>
      </c>
      <c r="E26693" s="26">
        <v>0.17069999999999999</v>
      </c>
      <c r="F26693" s="26">
        <v>6.4199999999999993E-2</v>
      </c>
      <c r="G26693" s="26">
        <v>5.3999999999999999E-2</v>
      </c>
      <c r="H26693" s="26">
        <v>1.55E-2</v>
      </c>
      <c r="I26693" s="26">
        <v>6.8999999999999999E-3</v>
      </c>
      <c r="J26693" s="26">
        <v>1.0200000000000001E-2</v>
      </c>
      <c r="P26693" s="26">
        <v>2.5700000000000001E-2</v>
      </c>
      <c r="X26693">
        <v>47</v>
      </c>
    </row>
    <row r="26694" spans="1:24" x14ac:dyDescent="0.35">
      <c r="A26694" t="s">
        <v>228</v>
      </c>
      <c r="B26694" t="s">
        <v>1341</v>
      </c>
      <c r="C26694" t="s">
        <v>1348</v>
      </c>
      <c r="D26694" s="26">
        <v>0.48759999999999998</v>
      </c>
      <c r="E26694" s="26">
        <v>0.246</v>
      </c>
      <c r="F26694" s="26">
        <v>7.8E-2</v>
      </c>
      <c r="G26694" s="26">
        <v>0.10050000000000001</v>
      </c>
      <c r="H26694" s="26">
        <v>9.0899999999999995E-2</v>
      </c>
      <c r="I26694" s="26">
        <v>3.0499999999999999E-2</v>
      </c>
      <c r="J26694" s="26">
        <v>2.2200000000000001E-2</v>
      </c>
      <c r="K26694" s="26">
        <v>2.5100000000000001E-2</v>
      </c>
      <c r="L26694" s="26">
        <v>2.98E-2</v>
      </c>
      <c r="M26694" s="26">
        <v>1.09E-2</v>
      </c>
      <c r="N26694" s="26">
        <v>1.77E-2</v>
      </c>
      <c r="O26694" s="26">
        <v>1.2999999999999999E-3</v>
      </c>
      <c r="P26694" s="26">
        <v>2.1299999999999999E-2</v>
      </c>
      <c r="Q26694" s="26">
        <v>5.7000000000000002E-3</v>
      </c>
      <c r="R26694" s="26">
        <v>1.77E-2</v>
      </c>
      <c r="T26694" s="26">
        <v>1.9E-3</v>
      </c>
      <c r="V26694" s="26">
        <v>6.1999999999999998E-3</v>
      </c>
      <c r="W26694" s="26">
        <v>1.77E-2</v>
      </c>
      <c r="X26694">
        <v>179</v>
      </c>
    </row>
    <row r="26695" spans="1:24" x14ac:dyDescent="0.35">
      <c r="A26695" s="27" t="s">
        <v>228</v>
      </c>
      <c r="B26695" s="27" t="s">
        <v>1342</v>
      </c>
      <c r="C26695" s="27" t="s">
        <v>1348</v>
      </c>
      <c r="D26695" s="28">
        <v>1</v>
      </c>
      <c r="E26695" s="29"/>
      <c r="F26695" s="29"/>
      <c r="G26695" s="29"/>
      <c r="H26695" s="29"/>
      <c r="I26695" s="29"/>
      <c r="J26695" s="29"/>
      <c r="K26695" s="29"/>
      <c r="L26695" s="29"/>
      <c r="M26695" s="29"/>
      <c r="N26695" s="29"/>
      <c r="O26695" s="29"/>
      <c r="P26695" s="29"/>
      <c r="Q26695" s="29"/>
      <c r="R26695" s="29"/>
      <c r="S26695" s="29"/>
      <c r="T26695" s="29"/>
      <c r="U26695" s="29"/>
      <c r="V26695" s="29"/>
      <c r="W26695" s="29"/>
      <c r="X26695" s="29" t="s">
        <v>331</v>
      </c>
    </row>
    <row r="26696" spans="1:24" x14ac:dyDescent="0.35">
      <c r="A26696" t="s">
        <v>228</v>
      </c>
      <c r="B26696" t="s">
        <v>1343</v>
      </c>
      <c r="C26696" t="s">
        <v>1346</v>
      </c>
      <c r="D26696" s="26">
        <v>0.48680000000000001</v>
      </c>
      <c r="E26696" s="26">
        <v>0.1875</v>
      </c>
      <c r="F26696" s="26">
        <v>0.1348</v>
      </c>
      <c r="G26696" s="26">
        <v>0.14280000000000001</v>
      </c>
      <c r="H26696" s="26">
        <v>5.4899999999999997E-2</v>
      </c>
      <c r="I26696" s="26">
        <v>6.2899999999999998E-2</v>
      </c>
      <c r="J26696" s="26">
        <v>2.1899999999999999E-2</v>
      </c>
      <c r="K26696" s="26">
        <v>3.3500000000000002E-2</v>
      </c>
      <c r="L26696" s="26">
        <v>1.66E-2</v>
      </c>
      <c r="M26696" s="26">
        <v>2.7E-2</v>
      </c>
      <c r="N26696" s="26">
        <v>5.8999999999999999E-3</v>
      </c>
      <c r="O26696" s="26">
        <v>0.01</v>
      </c>
      <c r="P26696" s="26">
        <v>8.9999999999999993E-3</v>
      </c>
      <c r="Q26696" s="26">
        <v>1.9099999999999999E-2</v>
      </c>
      <c r="T26696" s="26">
        <v>1.8E-3</v>
      </c>
      <c r="V26696" s="26">
        <v>2.8999999999999998E-3</v>
      </c>
      <c r="X26696">
        <v>239</v>
      </c>
    </row>
    <row r="26697" spans="1:24" x14ac:dyDescent="0.35">
      <c r="A26697" t="s">
        <v>228</v>
      </c>
      <c r="B26697" t="s">
        <v>1341</v>
      </c>
      <c r="C26697" t="s">
        <v>1347</v>
      </c>
      <c r="D26697" s="26">
        <v>0.44419999999999998</v>
      </c>
      <c r="E26697" s="26">
        <v>0.3044</v>
      </c>
      <c r="F26697" s="26">
        <v>8.4599999999999995E-2</v>
      </c>
      <c r="G26697" s="26">
        <v>3.4299999999999997E-2</v>
      </c>
      <c r="H26697" s="26">
        <v>3.6900000000000002E-2</v>
      </c>
      <c r="I26697" s="26">
        <v>5.62E-2</v>
      </c>
      <c r="J26697" s="26">
        <v>1.84E-2</v>
      </c>
      <c r="L26697" s="26">
        <v>2.0799999999999999E-2</v>
      </c>
      <c r="P26697" s="26">
        <v>2.5600000000000001E-2</v>
      </c>
      <c r="Q26697" s="26">
        <v>8.6E-3</v>
      </c>
      <c r="R26697" s="26">
        <v>6.4999999999999997E-3</v>
      </c>
      <c r="S26697" s="26">
        <v>4.0800000000000003E-2</v>
      </c>
      <c r="V26697" s="26">
        <v>1.3100000000000001E-2</v>
      </c>
      <c r="W26697" s="26">
        <v>8.6E-3</v>
      </c>
      <c r="X26697">
        <v>74</v>
      </c>
    </row>
    <row r="26698" spans="1:24" x14ac:dyDescent="0.35">
      <c r="A26698" s="27" t="s">
        <v>228</v>
      </c>
      <c r="B26698" s="27" t="s">
        <v>1341</v>
      </c>
      <c r="C26698" s="27" t="s">
        <v>1345</v>
      </c>
      <c r="D26698" s="28">
        <v>0.1201</v>
      </c>
      <c r="E26698" s="28">
        <v>0.69820000000000004</v>
      </c>
      <c r="F26698" s="29"/>
      <c r="G26698" s="29"/>
      <c r="H26698" s="29"/>
      <c r="I26698" s="29"/>
      <c r="J26698" s="29"/>
      <c r="K26698" s="29"/>
      <c r="L26698" s="29"/>
      <c r="M26698" s="29"/>
      <c r="N26698" s="29"/>
      <c r="O26698" s="29"/>
      <c r="P26698" s="29"/>
      <c r="Q26698" s="28">
        <v>0.1817</v>
      </c>
      <c r="R26698" s="29"/>
      <c r="S26698" s="28">
        <v>0.1817</v>
      </c>
      <c r="T26698" s="29"/>
      <c r="U26698" s="29"/>
      <c r="V26698" s="28">
        <v>0.1817</v>
      </c>
      <c r="W26698" s="29"/>
      <c r="X26698" s="29" t="s">
        <v>332</v>
      </c>
    </row>
    <row r="26699" spans="1:24" x14ac:dyDescent="0.35">
      <c r="A26699" t="s">
        <v>229</v>
      </c>
      <c r="B26699" t="s">
        <v>1343</v>
      </c>
      <c r="C26699" t="s">
        <v>1348</v>
      </c>
      <c r="D26699" s="26">
        <v>0.37569999999999998</v>
      </c>
      <c r="E26699" s="26">
        <v>0.3357</v>
      </c>
      <c r="F26699" s="26">
        <v>7.7399999999999997E-2</v>
      </c>
      <c r="G26699" s="26">
        <v>7.3599999999999999E-2</v>
      </c>
      <c r="H26699" s="26">
        <v>7.2499999999999995E-2</v>
      </c>
      <c r="I26699" s="26">
        <v>8.9899999999999994E-2</v>
      </c>
      <c r="J26699" s="26">
        <v>1.9199999999999998E-2</v>
      </c>
      <c r="K26699" s="26">
        <v>1.1000000000000001E-3</v>
      </c>
      <c r="L26699" s="26">
        <v>1.38E-2</v>
      </c>
      <c r="M26699" s="26">
        <v>9.5999999999999992E-3</v>
      </c>
      <c r="N26699" s="26">
        <v>2.3999999999999998E-3</v>
      </c>
      <c r="O26699" s="26">
        <v>2.5600000000000001E-2</v>
      </c>
      <c r="P26699" s="26">
        <v>1.4E-3</v>
      </c>
      <c r="R26699" s="26">
        <v>8.0000000000000002E-3</v>
      </c>
      <c r="T26699" s="26">
        <v>3.2000000000000002E-3</v>
      </c>
      <c r="V26699" s="26">
        <v>2.9999999999999997E-4</v>
      </c>
      <c r="W26699" s="26">
        <v>1.1000000000000001E-3</v>
      </c>
      <c r="X26699">
        <v>276</v>
      </c>
    </row>
    <row r="26700" spans="1:24" x14ac:dyDescent="0.35">
      <c r="A26700" t="s">
        <v>229</v>
      </c>
      <c r="B26700" t="s">
        <v>1341</v>
      </c>
      <c r="C26700" t="s">
        <v>1346</v>
      </c>
      <c r="D26700" s="26">
        <v>0.53129999999999999</v>
      </c>
      <c r="E26700" s="26">
        <v>0.30180000000000001</v>
      </c>
      <c r="F26700" s="26">
        <v>5.9700000000000003E-2</v>
      </c>
      <c r="G26700" s="26">
        <v>0.15260000000000001</v>
      </c>
      <c r="H26700" s="26">
        <v>5.7000000000000002E-3</v>
      </c>
      <c r="K26700" s="26">
        <v>1.6999999999999999E-3</v>
      </c>
      <c r="L26700" s="26">
        <v>7.4000000000000003E-3</v>
      </c>
      <c r="M26700" s="26">
        <v>5.7000000000000002E-3</v>
      </c>
      <c r="O26700" s="26">
        <v>5.7000000000000002E-3</v>
      </c>
      <c r="P26700" s="26">
        <v>5.7000000000000002E-3</v>
      </c>
      <c r="X26700">
        <v>53</v>
      </c>
    </row>
    <row r="26701" spans="1:24" x14ac:dyDescent="0.35">
      <c r="A26701" t="s">
        <v>229</v>
      </c>
      <c r="B26701" t="s">
        <v>1341</v>
      </c>
      <c r="C26701" t="s">
        <v>1347</v>
      </c>
      <c r="D26701" s="26">
        <v>0.55940000000000001</v>
      </c>
      <c r="E26701" s="26">
        <v>0.35399999999999998</v>
      </c>
      <c r="F26701" s="26">
        <v>6.3899999999999998E-2</v>
      </c>
      <c r="G26701" s="26">
        <v>4.07E-2</v>
      </c>
      <c r="H26701" s="26">
        <v>6.0699999999999997E-2</v>
      </c>
      <c r="I26701" s="26">
        <v>8.5000000000000006E-3</v>
      </c>
      <c r="J26701" s="26">
        <v>1.41E-2</v>
      </c>
      <c r="R26701" s="26">
        <v>6.6E-3</v>
      </c>
      <c r="X26701">
        <v>103</v>
      </c>
    </row>
    <row r="26702" spans="1:24" x14ac:dyDescent="0.35">
      <c r="A26702" t="s">
        <v>229</v>
      </c>
      <c r="B26702" t="s">
        <v>1343</v>
      </c>
      <c r="C26702" t="s">
        <v>1346</v>
      </c>
      <c r="D26702" s="26">
        <v>0.43469999999999998</v>
      </c>
      <c r="E26702" s="26">
        <v>0.34</v>
      </c>
      <c r="F26702" s="26">
        <v>0.1004</v>
      </c>
      <c r="G26702" s="26">
        <v>0.106</v>
      </c>
      <c r="H26702" s="26">
        <v>6.4399999999999999E-2</v>
      </c>
      <c r="I26702" s="26">
        <v>0.02</v>
      </c>
      <c r="J26702" s="26">
        <v>5.4999999999999997E-3</v>
      </c>
      <c r="K26702" s="26">
        <v>2.6499999999999999E-2</v>
      </c>
      <c r="L26702" s="26">
        <v>1.95E-2</v>
      </c>
      <c r="N26702" s="26">
        <v>2.2000000000000001E-3</v>
      </c>
      <c r="Q26702" s="26">
        <v>1.8E-3</v>
      </c>
      <c r="W26702" s="26">
        <v>4.4000000000000003E-3</v>
      </c>
      <c r="X26702">
        <v>131</v>
      </c>
    </row>
    <row r="26703" spans="1:24" x14ac:dyDescent="0.35">
      <c r="A26703" t="s">
        <v>229</v>
      </c>
      <c r="B26703" t="s">
        <v>1343</v>
      </c>
      <c r="C26703" t="s">
        <v>1347</v>
      </c>
      <c r="D26703" s="26">
        <v>0.3498</v>
      </c>
      <c r="E26703" s="26">
        <v>0.39429999999999998</v>
      </c>
      <c r="F26703" s="26">
        <v>0.11459999999999999</v>
      </c>
      <c r="G26703" s="26">
        <v>7.22E-2</v>
      </c>
      <c r="H26703" s="26">
        <v>1.78E-2</v>
      </c>
      <c r="I26703" s="26">
        <v>8.5500000000000007E-2</v>
      </c>
      <c r="J26703" s="26">
        <v>2.86E-2</v>
      </c>
      <c r="K26703" s="26">
        <v>8.9999999999999998E-4</v>
      </c>
      <c r="L26703" s="26">
        <v>1.6500000000000001E-2</v>
      </c>
      <c r="M26703" s="26">
        <v>5.0000000000000001E-4</v>
      </c>
      <c r="N26703" s="26">
        <v>1.2999999999999999E-2</v>
      </c>
      <c r="R26703" s="26">
        <v>1.2999999999999999E-2</v>
      </c>
      <c r="W26703" s="26">
        <v>5.0000000000000001E-4</v>
      </c>
      <c r="X26703">
        <v>198</v>
      </c>
    </row>
    <row r="26704" spans="1:24" x14ac:dyDescent="0.35">
      <c r="A26704" s="27" t="s">
        <v>229</v>
      </c>
      <c r="B26704" s="27" t="s">
        <v>1341</v>
      </c>
      <c r="C26704" s="27" t="s">
        <v>1345</v>
      </c>
      <c r="D26704" s="28">
        <v>0.39829999999999999</v>
      </c>
      <c r="E26704" s="28">
        <v>0.32279999999999998</v>
      </c>
      <c r="F26704" s="29"/>
      <c r="G26704" s="29"/>
      <c r="H26704" s="28">
        <v>0.26400000000000001</v>
      </c>
      <c r="I26704" s="29"/>
      <c r="J26704" s="29"/>
      <c r="K26704" s="29"/>
      <c r="L26704" s="29"/>
      <c r="M26704" s="29"/>
      <c r="N26704" s="28">
        <v>1.49E-2</v>
      </c>
      <c r="O26704" s="29"/>
      <c r="P26704" s="29"/>
      <c r="Q26704" s="29"/>
      <c r="R26704" s="29"/>
      <c r="S26704" s="29"/>
      <c r="T26704" s="29"/>
      <c r="U26704" s="29"/>
      <c r="V26704" s="29"/>
      <c r="W26704" s="29"/>
      <c r="X26704" s="29" t="s">
        <v>334</v>
      </c>
    </row>
    <row r="26705" spans="1:24" x14ac:dyDescent="0.35">
      <c r="A26705" s="27" t="s">
        <v>229</v>
      </c>
      <c r="B26705" s="27" t="s">
        <v>1343</v>
      </c>
      <c r="C26705" s="27" t="s">
        <v>1345</v>
      </c>
      <c r="D26705" s="28">
        <v>0.90480000000000005</v>
      </c>
      <c r="E26705" s="28">
        <v>8.9499999999999996E-2</v>
      </c>
      <c r="F26705" s="29"/>
      <c r="G26705" s="29"/>
      <c r="H26705" s="29"/>
      <c r="I26705" s="29"/>
      <c r="J26705" s="28">
        <v>5.7000000000000002E-3</v>
      </c>
      <c r="K26705" s="29"/>
      <c r="L26705" s="29"/>
      <c r="M26705" s="29"/>
      <c r="N26705" s="29"/>
      <c r="O26705" s="29"/>
      <c r="P26705" s="29"/>
      <c r="Q26705" s="29"/>
      <c r="R26705" s="29"/>
      <c r="S26705" s="29"/>
      <c r="T26705" s="29"/>
      <c r="U26705" s="29"/>
      <c r="V26705" s="29"/>
      <c r="W26705" s="29"/>
      <c r="X26705" s="29" t="s">
        <v>343</v>
      </c>
    </row>
    <row r="26706" spans="1:24" x14ac:dyDescent="0.35">
      <c r="A26706" t="s">
        <v>229</v>
      </c>
      <c r="B26706" t="s">
        <v>1341</v>
      </c>
      <c r="C26706" t="s">
        <v>1348</v>
      </c>
      <c r="D26706" s="26">
        <v>0.35360000000000003</v>
      </c>
      <c r="E26706" s="26">
        <v>0.41889999999999999</v>
      </c>
      <c r="F26706" s="26">
        <v>0.1104</v>
      </c>
      <c r="G26706" s="26">
        <v>7.3499999999999996E-2</v>
      </c>
      <c r="H26706" s="26">
        <v>4.4999999999999998E-2</v>
      </c>
      <c r="I26706" s="26">
        <v>6.2700000000000006E-2</v>
      </c>
      <c r="J26706" s="26">
        <v>3.2800000000000003E-2</v>
      </c>
      <c r="K26706" s="26">
        <v>1.9900000000000001E-2</v>
      </c>
      <c r="L26706" s="26">
        <v>1.9900000000000001E-2</v>
      </c>
      <c r="O26706" s="26">
        <v>1.9300000000000001E-2</v>
      </c>
      <c r="P26706" s="26">
        <v>1.9300000000000001E-2</v>
      </c>
      <c r="Q26706" s="26">
        <v>1.9300000000000001E-2</v>
      </c>
      <c r="S26706" s="26">
        <v>1.61E-2</v>
      </c>
      <c r="X26706">
        <v>107</v>
      </c>
    </row>
    <row r="26707" spans="1:24" x14ac:dyDescent="0.35">
      <c r="A26707" t="s">
        <v>230</v>
      </c>
      <c r="B26707" t="s">
        <v>1343</v>
      </c>
      <c r="C26707" t="s">
        <v>1346</v>
      </c>
      <c r="D26707" s="26">
        <v>0.3987</v>
      </c>
      <c r="E26707" s="26">
        <v>0.22450000000000001</v>
      </c>
      <c r="F26707" s="26">
        <v>0.15890000000000001</v>
      </c>
      <c r="G26707" s="26">
        <v>9.6699999999999994E-2</v>
      </c>
      <c r="H26707" s="26">
        <v>0.1011</v>
      </c>
      <c r="I26707" s="26">
        <v>1.6799999999999999E-2</v>
      </c>
      <c r="J26707" s="26">
        <v>5.7999999999999996E-3</v>
      </c>
      <c r="K26707" s="26">
        <v>5.0299999999999997E-2</v>
      </c>
      <c r="L26707" s="26">
        <v>5.7999999999999996E-3</v>
      </c>
      <c r="M26707" s="26">
        <v>2.52E-2</v>
      </c>
      <c r="N26707" s="26">
        <v>5.7999999999999996E-3</v>
      </c>
      <c r="O26707" s="26">
        <v>7.9299999999999995E-2</v>
      </c>
      <c r="P26707" s="26">
        <v>7.5800000000000006E-2</v>
      </c>
      <c r="V26707" s="26">
        <v>5.7999999999999996E-3</v>
      </c>
      <c r="W26707" s="26">
        <v>5.7999999999999996E-3</v>
      </c>
      <c r="X26707">
        <v>110</v>
      </c>
    </row>
    <row r="26708" spans="1:24" x14ac:dyDescent="0.35">
      <c r="A26708" s="27" t="s">
        <v>230</v>
      </c>
      <c r="B26708" s="27" t="s">
        <v>1341</v>
      </c>
      <c r="C26708" s="27" t="s">
        <v>1345</v>
      </c>
      <c r="D26708" s="28">
        <v>0.49919999999999998</v>
      </c>
      <c r="E26708" s="28">
        <v>0.50080000000000002</v>
      </c>
      <c r="F26708" s="29"/>
      <c r="G26708" s="29"/>
      <c r="H26708" s="29"/>
      <c r="I26708" s="29"/>
      <c r="J26708" s="29"/>
      <c r="K26708" s="29"/>
      <c r="L26708" s="29"/>
      <c r="M26708" s="29"/>
      <c r="N26708" s="29"/>
      <c r="O26708" s="29"/>
      <c r="P26708" s="29"/>
      <c r="Q26708" s="29"/>
      <c r="R26708" s="29"/>
      <c r="S26708" s="29"/>
      <c r="T26708" s="29"/>
      <c r="U26708" s="29"/>
      <c r="V26708" s="29"/>
      <c r="W26708" s="29"/>
      <c r="X26708" s="29" t="s">
        <v>337</v>
      </c>
    </row>
    <row r="26709" spans="1:24" x14ac:dyDescent="0.35">
      <c r="A26709" t="s">
        <v>230</v>
      </c>
      <c r="B26709" t="s">
        <v>1343</v>
      </c>
      <c r="C26709" t="s">
        <v>1348</v>
      </c>
      <c r="D26709" s="26">
        <v>0.37890000000000001</v>
      </c>
      <c r="E26709" s="26">
        <v>0.33090000000000003</v>
      </c>
      <c r="F26709" s="26">
        <v>0.10489999999999999</v>
      </c>
      <c r="G26709" s="26">
        <v>4.8800000000000003E-2</v>
      </c>
      <c r="H26709" s="26">
        <v>0.10150000000000001</v>
      </c>
      <c r="I26709" s="26">
        <v>5.28E-2</v>
      </c>
      <c r="J26709" s="26">
        <v>2.5999999999999999E-3</v>
      </c>
      <c r="K26709" s="26">
        <v>5.5899999999999998E-2</v>
      </c>
      <c r="L26709" s="26">
        <v>3.8899999999999997E-2</v>
      </c>
      <c r="M26709" s="26">
        <v>2.1499999999999998E-2</v>
      </c>
      <c r="N26709" s="26">
        <v>7.7000000000000002E-3</v>
      </c>
      <c r="O26709" s="26">
        <v>8.0000000000000004E-4</v>
      </c>
      <c r="P26709" s="26">
        <v>2.3999999999999998E-3</v>
      </c>
      <c r="S26709" s="26">
        <v>1.6299999999999999E-2</v>
      </c>
      <c r="V26709" s="26">
        <v>1.7100000000000001E-2</v>
      </c>
      <c r="X26709">
        <v>184</v>
      </c>
    </row>
    <row r="26710" spans="1:24" x14ac:dyDescent="0.35">
      <c r="A26710" t="s">
        <v>230</v>
      </c>
      <c r="B26710" t="s">
        <v>1343</v>
      </c>
      <c r="C26710" t="s">
        <v>1347</v>
      </c>
      <c r="D26710" s="26">
        <v>0.4163</v>
      </c>
      <c r="E26710" s="26">
        <v>0.26200000000000001</v>
      </c>
      <c r="F26710" s="26">
        <v>0.1391</v>
      </c>
      <c r="G26710" s="26">
        <v>0.1149</v>
      </c>
      <c r="H26710" s="26">
        <v>7.4200000000000002E-2</v>
      </c>
      <c r="I26710" s="26">
        <v>0.1018</v>
      </c>
      <c r="J26710" s="26">
        <v>4.8999999999999998E-3</v>
      </c>
      <c r="K26710" s="26">
        <v>3.2099999999999997E-2</v>
      </c>
      <c r="L26710" s="26">
        <v>4.8999999999999998E-3</v>
      </c>
      <c r="Q26710" s="26">
        <v>2.92E-2</v>
      </c>
      <c r="V26710" s="26">
        <v>1.5E-3</v>
      </c>
      <c r="X26710">
        <v>106</v>
      </c>
    </row>
    <row r="26711" spans="1:24" x14ac:dyDescent="0.35">
      <c r="A26711" t="s">
        <v>230</v>
      </c>
      <c r="B26711" t="s">
        <v>1341</v>
      </c>
      <c r="C26711" t="s">
        <v>1348</v>
      </c>
      <c r="D26711" s="26">
        <v>0.41</v>
      </c>
      <c r="E26711" s="26">
        <v>0.39979999999999999</v>
      </c>
      <c r="F26711" s="26">
        <v>4.9700000000000001E-2</v>
      </c>
      <c r="G26711" s="26">
        <v>4.9500000000000002E-2</v>
      </c>
      <c r="H26711" s="26">
        <v>9.5399999999999999E-2</v>
      </c>
      <c r="I26711" s="26">
        <v>4.7600000000000003E-2</v>
      </c>
      <c r="J26711" s="26">
        <v>1.32E-2</v>
      </c>
      <c r="K26711" s="26">
        <v>6.4000000000000003E-3</v>
      </c>
      <c r="L26711" s="26">
        <v>2E-3</v>
      </c>
      <c r="M26711" s="26">
        <v>1.2999999999999999E-2</v>
      </c>
      <c r="N26711" s="26">
        <v>2E-3</v>
      </c>
      <c r="O26711" s="26">
        <v>4.5699999999999998E-2</v>
      </c>
      <c r="P26711" s="26">
        <v>4.5699999999999998E-2</v>
      </c>
      <c r="V26711" s="26">
        <v>2E-3</v>
      </c>
      <c r="X26711">
        <v>75</v>
      </c>
    </row>
    <row r="26712" spans="1:24" x14ac:dyDescent="0.35">
      <c r="A26712" t="s">
        <v>230</v>
      </c>
      <c r="B26712" t="s">
        <v>1341</v>
      </c>
      <c r="C26712" t="s">
        <v>1347</v>
      </c>
      <c r="D26712" s="26">
        <v>0.35289999999999999</v>
      </c>
      <c r="E26712" s="26">
        <v>0.33879999999999999</v>
      </c>
      <c r="F26712" s="26">
        <v>0.124</v>
      </c>
      <c r="G26712" s="26">
        <v>8.5699999999999998E-2</v>
      </c>
      <c r="H26712" s="26">
        <v>2.2200000000000001E-2</v>
      </c>
      <c r="J26712" s="26">
        <v>6.6799999999999998E-2</v>
      </c>
      <c r="L26712" s="26">
        <v>5.7200000000000001E-2</v>
      </c>
      <c r="P26712" s="26">
        <v>9.5999999999999992E-3</v>
      </c>
      <c r="Q26712" s="26">
        <v>9.5999999999999992E-3</v>
      </c>
      <c r="R26712" s="26">
        <v>9.5999999999999992E-3</v>
      </c>
      <c r="S26712" s="26">
        <v>9.5999999999999992E-3</v>
      </c>
      <c r="X26712">
        <v>47</v>
      </c>
    </row>
    <row r="26713" spans="1:24" x14ac:dyDescent="0.35">
      <c r="A26713" s="27" t="s">
        <v>230</v>
      </c>
      <c r="B26713" s="27" t="s">
        <v>1343</v>
      </c>
      <c r="C26713" s="27" t="s">
        <v>1345</v>
      </c>
      <c r="D26713" s="28">
        <v>0.84430000000000005</v>
      </c>
      <c r="E26713" s="28">
        <v>0.15570000000000001</v>
      </c>
      <c r="F26713" s="29"/>
      <c r="G26713" s="29"/>
      <c r="H26713" s="29"/>
      <c r="I26713" s="29"/>
      <c r="J26713" s="29"/>
      <c r="K26713" s="29"/>
      <c r="L26713" s="29"/>
      <c r="M26713" s="29"/>
      <c r="N26713" s="29"/>
      <c r="O26713" s="29"/>
      <c r="P26713" s="29"/>
      <c r="Q26713" s="29"/>
      <c r="R26713" s="29"/>
      <c r="S26713" s="29"/>
      <c r="T26713" s="29"/>
      <c r="U26713" s="29"/>
      <c r="V26713" s="29"/>
      <c r="W26713" s="29"/>
      <c r="X26713" s="29" t="s">
        <v>337</v>
      </c>
    </row>
    <row r="26714" spans="1:24" x14ac:dyDescent="0.35">
      <c r="A26714" t="s">
        <v>230</v>
      </c>
      <c r="B26714" t="s">
        <v>1341</v>
      </c>
      <c r="C26714" t="s">
        <v>1346</v>
      </c>
      <c r="D26714" s="26">
        <v>0.37009999999999998</v>
      </c>
      <c r="E26714" s="26">
        <v>0.53659999999999997</v>
      </c>
      <c r="F26714" s="26">
        <v>7.4800000000000005E-2</v>
      </c>
      <c r="G26714" s="26">
        <v>4.2500000000000003E-2</v>
      </c>
      <c r="H26714" s="26">
        <v>3.2899999999999999E-2</v>
      </c>
      <c r="K26714" s="26">
        <v>1.43E-2</v>
      </c>
      <c r="L26714" s="26">
        <v>4.3E-3</v>
      </c>
      <c r="M26714" s="26">
        <v>1.4E-2</v>
      </c>
      <c r="X26714">
        <v>30</v>
      </c>
    </row>
    <row r="26715" spans="1:24" x14ac:dyDescent="0.35">
      <c r="A26715" t="s">
        <v>231</v>
      </c>
      <c r="B26715" t="s">
        <v>1343</v>
      </c>
      <c r="C26715" t="s">
        <v>1348</v>
      </c>
      <c r="D26715" s="26">
        <v>0.4</v>
      </c>
      <c r="E26715" s="26">
        <v>0.36</v>
      </c>
      <c r="F26715" s="26">
        <v>0.12</v>
      </c>
      <c r="G26715" s="26">
        <v>0.12</v>
      </c>
      <c r="H26715" s="26">
        <v>0.1</v>
      </c>
      <c r="I26715" s="26">
        <v>0.02</v>
      </c>
      <c r="J26715" s="26">
        <v>0.02</v>
      </c>
      <c r="X26715">
        <v>50</v>
      </c>
    </row>
    <row r="26716" spans="1:24" x14ac:dyDescent="0.35">
      <c r="A26716" s="27" t="s">
        <v>231</v>
      </c>
      <c r="B26716" s="27" t="s">
        <v>1343</v>
      </c>
      <c r="C26716" s="27" t="s">
        <v>1345</v>
      </c>
      <c r="D26716" s="28">
        <v>0.66669999999999996</v>
      </c>
      <c r="E26716" s="28">
        <v>0.33329999999999999</v>
      </c>
      <c r="F26716" s="29"/>
      <c r="G26716" s="29"/>
      <c r="H26716" s="29"/>
      <c r="I26716" s="29"/>
      <c r="J26716" s="29"/>
      <c r="K26716" s="29"/>
      <c r="L26716" s="29"/>
      <c r="M26716" s="29"/>
      <c r="N26716" s="29"/>
      <c r="O26716" s="29"/>
      <c r="P26716" s="29"/>
      <c r="Q26716" s="29"/>
      <c r="R26716" s="29"/>
      <c r="S26716" s="29"/>
      <c r="T26716" s="29"/>
      <c r="U26716" s="29"/>
      <c r="V26716" s="29"/>
      <c r="W26716" s="29"/>
      <c r="X26716" s="29" t="s">
        <v>315</v>
      </c>
    </row>
    <row r="26717" spans="1:24" x14ac:dyDescent="0.35">
      <c r="A26717" t="s">
        <v>231</v>
      </c>
      <c r="B26717" t="s">
        <v>1341</v>
      </c>
      <c r="C26717" t="s">
        <v>1348</v>
      </c>
      <c r="D26717" s="26">
        <v>0.47220000000000001</v>
      </c>
      <c r="E26717" s="26">
        <v>0.30559999999999998</v>
      </c>
      <c r="F26717" s="26">
        <v>8.3299999999999999E-2</v>
      </c>
      <c r="G26717" s="26">
        <v>5.5599999999999997E-2</v>
      </c>
      <c r="H26717" s="26">
        <v>8.3299999999999999E-2</v>
      </c>
      <c r="I26717" s="26">
        <v>5.5599999999999997E-2</v>
      </c>
      <c r="N26717" s="26">
        <v>2.7799999999999998E-2</v>
      </c>
      <c r="X26717">
        <v>36</v>
      </c>
    </row>
    <row r="26718" spans="1:24" x14ac:dyDescent="0.35">
      <c r="A26718" s="27" t="s">
        <v>231</v>
      </c>
      <c r="B26718" s="27" t="s">
        <v>1341</v>
      </c>
      <c r="C26718" s="27" t="s">
        <v>1345</v>
      </c>
      <c r="D26718" s="28">
        <v>1</v>
      </c>
      <c r="E26718" s="29"/>
      <c r="F26718" s="29"/>
      <c r="G26718" s="29"/>
      <c r="H26718" s="29"/>
      <c r="I26718" s="29"/>
      <c r="J26718" s="29"/>
      <c r="K26718" s="29"/>
      <c r="L26718" s="29"/>
      <c r="M26718" s="29"/>
      <c r="N26718" s="29"/>
      <c r="O26718" s="29"/>
      <c r="P26718" s="29"/>
      <c r="Q26718" s="29"/>
      <c r="R26718" s="29"/>
      <c r="S26718" s="29"/>
      <c r="T26718" s="29"/>
      <c r="U26718" s="29"/>
      <c r="V26718" s="29"/>
      <c r="W26718" s="29"/>
      <c r="X26718" s="29" t="s">
        <v>331</v>
      </c>
    </row>
    <row r="26719" spans="1:24" x14ac:dyDescent="0.35">
      <c r="A26719" s="27" t="s">
        <v>231</v>
      </c>
      <c r="B26719" s="27" t="s">
        <v>1343</v>
      </c>
      <c r="C26719" s="27" t="s">
        <v>1346</v>
      </c>
      <c r="D26719" s="28">
        <v>0.46150000000000002</v>
      </c>
      <c r="E26719" s="28">
        <v>0.30769999999999997</v>
      </c>
      <c r="F26719" s="28">
        <v>0.15379999999999999</v>
      </c>
      <c r="G26719" s="28">
        <v>7.6899999999999996E-2</v>
      </c>
      <c r="H26719" s="28">
        <v>3.85E-2</v>
      </c>
      <c r="I26719" s="28">
        <v>7.6899999999999996E-2</v>
      </c>
      <c r="J26719" s="29"/>
      <c r="K26719" s="29"/>
      <c r="L26719" s="29"/>
      <c r="M26719" s="28">
        <v>3.85E-2</v>
      </c>
      <c r="N26719" s="29"/>
      <c r="O26719" s="29"/>
      <c r="P26719" s="29"/>
      <c r="Q26719" s="29"/>
      <c r="R26719" s="29"/>
      <c r="S26719" s="29"/>
      <c r="T26719" s="29"/>
      <c r="U26719" s="29"/>
      <c r="V26719" s="29"/>
      <c r="W26719" s="29"/>
      <c r="X26719" s="29" t="s">
        <v>357</v>
      </c>
    </row>
    <row r="26720" spans="1:24" x14ac:dyDescent="0.35">
      <c r="A26720" s="27" t="s">
        <v>231</v>
      </c>
      <c r="B26720" s="27" t="s">
        <v>1341</v>
      </c>
      <c r="C26720" s="27" t="s">
        <v>1346</v>
      </c>
      <c r="D26720" s="28">
        <v>0.64290000000000003</v>
      </c>
      <c r="E26720" s="28">
        <v>0.21429999999999999</v>
      </c>
      <c r="F26720" s="28">
        <v>7.1400000000000005E-2</v>
      </c>
      <c r="G26720" s="28">
        <v>7.1400000000000005E-2</v>
      </c>
      <c r="H26720" s="29"/>
      <c r="I26720" s="28">
        <v>7.1400000000000005E-2</v>
      </c>
      <c r="J26720" s="28">
        <v>7.1400000000000005E-2</v>
      </c>
      <c r="K26720" s="28">
        <v>7.1400000000000005E-2</v>
      </c>
      <c r="L26720" s="29"/>
      <c r="M26720" s="29"/>
      <c r="N26720" s="29"/>
      <c r="O26720" s="29"/>
      <c r="P26720" s="29"/>
      <c r="Q26720" s="29"/>
      <c r="R26720" s="29"/>
      <c r="S26720" s="29"/>
      <c r="T26720" s="29"/>
      <c r="U26720" s="29"/>
      <c r="V26720" s="29"/>
      <c r="W26720" s="29"/>
      <c r="X26720" s="29" t="s">
        <v>379</v>
      </c>
    </row>
    <row r="26721" spans="1:24" x14ac:dyDescent="0.35">
      <c r="A26721" s="27" t="s">
        <v>231</v>
      </c>
      <c r="B26721" s="27" t="s">
        <v>1341</v>
      </c>
      <c r="C26721" s="27" t="s">
        <v>1347</v>
      </c>
      <c r="D26721" s="28">
        <v>0.5</v>
      </c>
      <c r="E26721" s="28">
        <v>0.35709999999999997</v>
      </c>
      <c r="F26721" s="29"/>
      <c r="G26721" s="28">
        <v>7.1400000000000005E-2</v>
      </c>
      <c r="H26721" s="28">
        <v>7.1400000000000005E-2</v>
      </c>
      <c r="I26721" s="28">
        <v>7.1400000000000005E-2</v>
      </c>
      <c r="J26721" s="29"/>
      <c r="K26721" s="29"/>
      <c r="L26721" s="29"/>
      <c r="M26721" s="29"/>
      <c r="N26721" s="29"/>
      <c r="O26721" s="29"/>
      <c r="P26721" s="29"/>
      <c r="Q26721" s="29"/>
      <c r="R26721" s="29"/>
      <c r="S26721" s="29"/>
      <c r="T26721" s="29"/>
      <c r="U26721" s="29"/>
      <c r="V26721" s="29"/>
      <c r="W26721" s="29"/>
      <c r="X26721" s="29" t="s">
        <v>379</v>
      </c>
    </row>
    <row r="26722" spans="1:24" x14ac:dyDescent="0.35">
      <c r="A26722" s="27" t="s">
        <v>231</v>
      </c>
      <c r="B26722" s="27" t="s">
        <v>1343</v>
      </c>
      <c r="C26722" s="27" t="s">
        <v>1347</v>
      </c>
      <c r="D26722" s="28">
        <v>0.5</v>
      </c>
      <c r="E26722" s="28">
        <v>0.35</v>
      </c>
      <c r="F26722" s="28">
        <v>0.1</v>
      </c>
      <c r="G26722" s="28">
        <v>0.05</v>
      </c>
      <c r="H26722" s="29"/>
      <c r="I26722" s="29"/>
      <c r="J26722" s="29"/>
      <c r="K26722" s="29"/>
      <c r="L26722" s="29"/>
      <c r="M26722" s="29"/>
      <c r="N26722" s="28">
        <v>0.05</v>
      </c>
      <c r="O26722" s="29"/>
      <c r="P26722" s="29"/>
      <c r="Q26722" s="29"/>
      <c r="R26722" s="29"/>
      <c r="S26722" s="29"/>
      <c r="T26722" s="29"/>
      <c r="U26722" s="28">
        <v>0.05</v>
      </c>
      <c r="V26722" s="29"/>
      <c r="W26722" s="29"/>
      <c r="X26722" s="29" t="s">
        <v>350</v>
      </c>
    </row>
    <row r="26723" spans="1:24" x14ac:dyDescent="0.35">
      <c r="A26723" t="s">
        <v>232</v>
      </c>
      <c r="B26723" t="s">
        <v>232</v>
      </c>
      <c r="C26723" t="s">
        <v>232</v>
      </c>
      <c r="D26723" s="26">
        <v>0.42699999999999999</v>
      </c>
      <c r="E26723" s="26">
        <v>0.3271</v>
      </c>
      <c r="F26723" s="26">
        <v>9.3799999999999994E-2</v>
      </c>
      <c r="G26723" s="26">
        <v>8.3500000000000005E-2</v>
      </c>
      <c r="H26723" s="26">
        <v>6.6000000000000003E-2</v>
      </c>
      <c r="I26723" s="26">
        <v>5.57E-2</v>
      </c>
      <c r="J26723" s="26">
        <v>1.43E-2</v>
      </c>
      <c r="K26723" s="26">
        <v>1.0999999999999999E-2</v>
      </c>
      <c r="L26723" s="26">
        <v>1.0500000000000001E-2</v>
      </c>
      <c r="M26723" s="26">
        <v>8.8999999999999999E-3</v>
      </c>
      <c r="N26723" s="26">
        <v>7.1999999999999998E-3</v>
      </c>
      <c r="O26723" s="26">
        <v>6.3E-3</v>
      </c>
      <c r="P26723" s="26">
        <v>5.4000000000000003E-3</v>
      </c>
      <c r="Q26723" s="26">
        <v>3.8999999999999998E-3</v>
      </c>
      <c r="R26723" s="26">
        <v>2.3999999999999998E-3</v>
      </c>
      <c r="S26723" s="26">
        <v>2.0999999999999999E-3</v>
      </c>
      <c r="T26723" s="26">
        <v>1.9E-3</v>
      </c>
      <c r="U26723" s="26">
        <v>1.9E-3</v>
      </c>
      <c r="V26723" s="26">
        <v>1.8E-3</v>
      </c>
      <c r="W26723" s="26">
        <v>1.2999999999999999E-3</v>
      </c>
      <c r="X26723">
        <v>2812</v>
      </c>
    </row>
    <row r="26725" spans="1:24" x14ac:dyDescent="0.35">
      <c r="A26725" s="1" t="s">
        <v>2423</v>
      </c>
    </row>
    <row r="26726" spans="1:24" x14ac:dyDescent="0.35">
      <c r="A26726" t="s">
        <v>219</v>
      </c>
      <c r="B26726" t="s">
        <v>2424</v>
      </c>
      <c r="C26726" t="s">
        <v>2425</v>
      </c>
      <c r="D26726" t="s">
        <v>2426</v>
      </c>
      <c r="E26726" t="s">
        <v>2427</v>
      </c>
      <c r="F26726" t="s">
        <v>2428</v>
      </c>
      <c r="G26726" t="s">
        <v>286</v>
      </c>
      <c r="H26726" t="s">
        <v>226</v>
      </c>
    </row>
    <row r="26727" spans="1:24" x14ac:dyDescent="0.35">
      <c r="A26727" s="27" t="s">
        <v>227</v>
      </c>
      <c r="B26727" s="28">
        <v>0.48280000000000001</v>
      </c>
      <c r="C26727" s="28">
        <v>0.13789999999999999</v>
      </c>
      <c r="D26727" s="28">
        <v>0.10340000000000001</v>
      </c>
      <c r="E26727" s="28">
        <v>0.1724</v>
      </c>
      <c r="F26727" s="28">
        <v>3.4500000000000003E-2</v>
      </c>
      <c r="G26727" s="28">
        <v>6.9000000000000006E-2</v>
      </c>
      <c r="H26727" s="29" t="s">
        <v>329</v>
      </c>
    </row>
    <row r="26728" spans="1:24" x14ac:dyDescent="0.35">
      <c r="A26728" t="s">
        <v>228</v>
      </c>
      <c r="B26728" s="26">
        <v>0.51119999999999999</v>
      </c>
      <c r="C26728" s="26">
        <v>0.2515</v>
      </c>
      <c r="D26728" s="26">
        <v>0.1512</v>
      </c>
      <c r="E26728" s="26">
        <v>6.3500000000000001E-2</v>
      </c>
      <c r="F26728" s="26">
        <v>1.06E-2</v>
      </c>
      <c r="G26728" s="26">
        <v>1.21E-2</v>
      </c>
      <c r="H26728">
        <v>441</v>
      </c>
    </row>
    <row r="26729" spans="1:24" x14ac:dyDescent="0.35">
      <c r="A26729" t="s">
        <v>229</v>
      </c>
      <c r="B26729" s="26">
        <v>0.53620000000000001</v>
      </c>
      <c r="C26729" s="26">
        <v>0.2084</v>
      </c>
      <c r="D26729" s="26">
        <v>0.2077</v>
      </c>
      <c r="E26729" s="26">
        <v>5.4999999999999997E-3</v>
      </c>
      <c r="F26729" s="26">
        <v>2.3099999999999999E-2</v>
      </c>
      <c r="G26729" s="26">
        <v>1.9199999999999998E-2</v>
      </c>
      <c r="H26729">
        <v>231</v>
      </c>
    </row>
    <row r="26730" spans="1:24" x14ac:dyDescent="0.35">
      <c r="A26730" t="s">
        <v>230</v>
      </c>
      <c r="B26730" s="26">
        <v>0.50839999999999996</v>
      </c>
      <c r="C26730" s="26">
        <v>0.2757</v>
      </c>
      <c r="D26730" s="26">
        <v>0.1656</v>
      </c>
      <c r="E26730" s="26">
        <v>1.21E-2</v>
      </c>
      <c r="F26730" s="26">
        <v>2.1399999999999999E-2</v>
      </c>
      <c r="G26730" s="26">
        <v>1.6799999999999999E-2</v>
      </c>
      <c r="H26730">
        <v>243</v>
      </c>
    </row>
    <row r="26731" spans="1:24" x14ac:dyDescent="0.35">
      <c r="A26731" t="s">
        <v>231</v>
      </c>
      <c r="B26731" s="26">
        <v>0.57889999999999997</v>
      </c>
      <c r="C26731" s="26">
        <v>0.21049999999999999</v>
      </c>
      <c r="D26731" s="26">
        <v>0.1053</v>
      </c>
      <c r="E26731" s="26">
        <v>5.2600000000000001E-2</v>
      </c>
      <c r="F26731" s="26">
        <v>5.2600000000000001E-2</v>
      </c>
      <c r="H26731">
        <v>38</v>
      </c>
    </row>
    <row r="26732" spans="1:24" x14ac:dyDescent="0.35">
      <c r="A26732" t="s">
        <v>232</v>
      </c>
      <c r="B26732" s="26">
        <v>0.53090000000000004</v>
      </c>
      <c r="C26732" s="26">
        <v>0.22140000000000001</v>
      </c>
      <c r="D26732" s="26">
        <v>0.15010000000000001</v>
      </c>
      <c r="E26732" s="26">
        <v>5.1700000000000003E-2</v>
      </c>
      <c r="F26732" s="26">
        <v>2.8199999999999999E-2</v>
      </c>
      <c r="G26732" s="26">
        <v>1.7500000000000002E-2</v>
      </c>
      <c r="H26732">
        <v>982</v>
      </c>
    </row>
    <row r="26734" spans="1:24" x14ac:dyDescent="0.35">
      <c r="A26734" s="1" t="s">
        <v>2429</v>
      </c>
    </row>
    <row r="26735" spans="1:24" x14ac:dyDescent="0.35">
      <c r="A26735" t="s">
        <v>219</v>
      </c>
      <c r="B26735" t="s">
        <v>305</v>
      </c>
      <c r="C26735" t="s">
        <v>2424</v>
      </c>
      <c r="D26735" t="s">
        <v>2425</v>
      </c>
      <c r="E26735" t="s">
        <v>2426</v>
      </c>
      <c r="F26735" t="s">
        <v>2427</v>
      </c>
      <c r="G26735" t="s">
        <v>2428</v>
      </c>
      <c r="H26735" t="s">
        <v>286</v>
      </c>
      <c r="I26735" t="s">
        <v>226</v>
      </c>
    </row>
    <row r="26736" spans="1:24" x14ac:dyDescent="0.35">
      <c r="A26736" s="27" t="s">
        <v>227</v>
      </c>
      <c r="B26736" s="27" t="s">
        <v>242</v>
      </c>
      <c r="C26736" s="28">
        <v>0.5625</v>
      </c>
      <c r="D26736" s="28">
        <v>0.125</v>
      </c>
      <c r="E26736" s="28">
        <v>6.25E-2</v>
      </c>
      <c r="F26736" s="28">
        <v>0.1875</v>
      </c>
      <c r="G26736" s="29"/>
      <c r="H26736" s="28">
        <v>6.25E-2</v>
      </c>
      <c r="I26736" s="29" t="s">
        <v>348</v>
      </c>
    </row>
    <row r="26737" spans="1:9" x14ac:dyDescent="0.35">
      <c r="A26737" s="27" t="s">
        <v>227</v>
      </c>
      <c r="B26737" s="27" t="s">
        <v>241</v>
      </c>
      <c r="C26737" s="28">
        <v>0.3846</v>
      </c>
      <c r="D26737" s="28">
        <v>0.15379999999999999</v>
      </c>
      <c r="E26737" s="28">
        <v>0.15379999999999999</v>
      </c>
      <c r="F26737" s="28">
        <v>0.15379999999999999</v>
      </c>
      <c r="G26737" s="28">
        <v>7.6899999999999996E-2</v>
      </c>
      <c r="H26737" s="28">
        <v>7.6899999999999996E-2</v>
      </c>
      <c r="I26737" s="29" t="s">
        <v>341</v>
      </c>
    </row>
    <row r="26738" spans="1:9" x14ac:dyDescent="0.35">
      <c r="A26738" t="s">
        <v>228</v>
      </c>
      <c r="B26738" t="s">
        <v>242</v>
      </c>
      <c r="C26738" s="26">
        <v>0.55800000000000005</v>
      </c>
      <c r="D26738" s="26">
        <v>0.21110000000000001</v>
      </c>
      <c r="E26738" s="26">
        <v>0.1537</v>
      </c>
      <c r="F26738" s="26">
        <v>6.6799999999999998E-2</v>
      </c>
      <c r="H26738" s="26">
        <v>1.03E-2</v>
      </c>
      <c r="I26738">
        <v>219</v>
      </c>
    </row>
    <row r="26739" spans="1:9" x14ac:dyDescent="0.35">
      <c r="A26739" t="s">
        <v>228</v>
      </c>
      <c r="B26739" t="s">
        <v>241</v>
      </c>
      <c r="C26739" s="26">
        <v>0.46810000000000002</v>
      </c>
      <c r="D26739" s="26">
        <v>0.28860000000000002</v>
      </c>
      <c r="E26739" s="26">
        <v>0.14879999999999999</v>
      </c>
      <c r="F26739" s="26">
        <v>6.0499999999999998E-2</v>
      </c>
      <c r="G26739" s="26">
        <v>2.0299999999999999E-2</v>
      </c>
      <c r="H26739" s="26">
        <v>1.37E-2</v>
      </c>
      <c r="I26739">
        <v>222</v>
      </c>
    </row>
    <row r="26740" spans="1:9" x14ac:dyDescent="0.35">
      <c r="A26740" t="s">
        <v>229</v>
      </c>
      <c r="B26740" t="s">
        <v>242</v>
      </c>
      <c r="C26740" s="26">
        <v>0.58220000000000005</v>
      </c>
      <c r="D26740" s="26">
        <v>0.20730000000000001</v>
      </c>
      <c r="E26740" s="26">
        <v>0.1822</v>
      </c>
      <c r="F26740" s="26">
        <v>8.0000000000000004E-4</v>
      </c>
      <c r="H26740" s="26">
        <v>2.76E-2</v>
      </c>
      <c r="I26740">
        <v>108</v>
      </c>
    </row>
    <row r="26741" spans="1:9" x14ac:dyDescent="0.35">
      <c r="A26741" t="s">
        <v>229</v>
      </c>
      <c r="B26741" t="s">
        <v>241</v>
      </c>
      <c r="C26741" s="26">
        <v>0.47860000000000003</v>
      </c>
      <c r="D26741" s="26">
        <v>0.2097</v>
      </c>
      <c r="E26741" s="26">
        <v>0.23960000000000001</v>
      </c>
      <c r="F26741" s="26">
        <v>1.1299999999999999E-2</v>
      </c>
      <c r="G26741" s="26">
        <v>5.1999999999999998E-2</v>
      </c>
      <c r="H26741" s="26">
        <v>8.8000000000000005E-3</v>
      </c>
      <c r="I26741">
        <v>123</v>
      </c>
    </row>
    <row r="26742" spans="1:9" x14ac:dyDescent="0.35">
      <c r="A26742" t="s">
        <v>230</v>
      </c>
      <c r="B26742" t="s">
        <v>242</v>
      </c>
      <c r="C26742" s="26">
        <v>0.62260000000000004</v>
      </c>
      <c r="D26742" s="26">
        <v>0.14749999999999999</v>
      </c>
      <c r="E26742" s="26">
        <v>0.15690000000000001</v>
      </c>
      <c r="F26742" s="26">
        <v>1.7399999999999999E-2</v>
      </c>
      <c r="G26742" s="26">
        <v>1.35E-2</v>
      </c>
      <c r="H26742" s="26">
        <v>4.2099999999999999E-2</v>
      </c>
      <c r="I26742">
        <v>102</v>
      </c>
    </row>
    <row r="26743" spans="1:9" x14ac:dyDescent="0.35">
      <c r="A26743" t="s">
        <v>230</v>
      </c>
      <c r="B26743" t="s">
        <v>241</v>
      </c>
      <c r="C26743" s="26">
        <v>0.43219999999999997</v>
      </c>
      <c r="D26743" s="26">
        <v>0.36120000000000002</v>
      </c>
      <c r="E26743" s="26">
        <v>0.1714</v>
      </c>
      <c r="F26743" s="26">
        <v>8.6E-3</v>
      </c>
      <c r="G26743" s="26">
        <v>2.6700000000000002E-2</v>
      </c>
      <c r="I26743">
        <v>141</v>
      </c>
    </row>
    <row r="26744" spans="1:9" x14ac:dyDescent="0.35">
      <c r="A26744" s="27" t="s">
        <v>231</v>
      </c>
      <c r="B26744" s="27" t="s">
        <v>242</v>
      </c>
      <c r="C26744" s="28">
        <v>0.53849999999999998</v>
      </c>
      <c r="D26744" s="28">
        <v>0.23080000000000001</v>
      </c>
      <c r="E26744" s="28">
        <v>0.15379999999999999</v>
      </c>
      <c r="F26744" s="28">
        <v>7.6899999999999996E-2</v>
      </c>
      <c r="G26744" s="29"/>
      <c r="H26744" s="29"/>
      <c r="I26744" s="29" t="s">
        <v>341</v>
      </c>
    </row>
    <row r="26745" spans="1:9" x14ac:dyDescent="0.35">
      <c r="A26745" s="27" t="s">
        <v>231</v>
      </c>
      <c r="B26745" s="27" t="s">
        <v>241</v>
      </c>
      <c r="C26745" s="28">
        <v>0.6</v>
      </c>
      <c r="D26745" s="28">
        <v>0.2</v>
      </c>
      <c r="E26745" s="28">
        <v>0.08</v>
      </c>
      <c r="F26745" s="28">
        <v>0.04</v>
      </c>
      <c r="G26745" s="28">
        <v>0.08</v>
      </c>
      <c r="H26745" s="29"/>
      <c r="I26745" s="29" t="s">
        <v>312</v>
      </c>
    </row>
    <row r="26746" spans="1:9" x14ac:dyDescent="0.35">
      <c r="A26746" t="s">
        <v>232</v>
      </c>
      <c r="B26746" t="s">
        <v>232</v>
      </c>
      <c r="C26746" s="26">
        <v>0.53090000000000004</v>
      </c>
      <c r="D26746" s="26">
        <v>0.22140000000000001</v>
      </c>
      <c r="E26746" s="26">
        <v>0.15010000000000001</v>
      </c>
      <c r="F26746" s="26">
        <v>5.1700000000000003E-2</v>
      </c>
      <c r="G26746" s="26">
        <v>2.8199999999999999E-2</v>
      </c>
      <c r="H26746" s="26">
        <v>1.7500000000000002E-2</v>
      </c>
      <c r="I26746">
        <v>982</v>
      </c>
    </row>
    <row r="26748" spans="1:9" x14ac:dyDescent="0.35">
      <c r="A26748" s="1" t="s">
        <v>2430</v>
      </c>
    </row>
    <row r="26749" spans="1:9" x14ac:dyDescent="0.35">
      <c r="A26749" t="s">
        <v>219</v>
      </c>
      <c r="B26749" t="s">
        <v>305</v>
      </c>
      <c r="C26749" t="s">
        <v>2424</v>
      </c>
      <c r="D26749" t="s">
        <v>2425</v>
      </c>
      <c r="E26749" t="s">
        <v>2426</v>
      </c>
      <c r="F26749" t="s">
        <v>2427</v>
      </c>
      <c r="G26749" t="s">
        <v>2428</v>
      </c>
      <c r="H26749" t="s">
        <v>286</v>
      </c>
      <c r="I26749" t="s">
        <v>226</v>
      </c>
    </row>
    <row r="26750" spans="1:9" x14ac:dyDescent="0.35">
      <c r="A26750" s="27" t="s">
        <v>227</v>
      </c>
      <c r="B26750" s="27" t="s">
        <v>239</v>
      </c>
      <c r="C26750" s="28">
        <v>0.46150000000000002</v>
      </c>
      <c r="D26750" s="28">
        <v>0.23080000000000001</v>
      </c>
      <c r="E26750" s="29"/>
      <c r="F26750" s="28">
        <v>0.23080000000000001</v>
      </c>
      <c r="G26750" s="29"/>
      <c r="H26750" s="28">
        <v>7.6899999999999996E-2</v>
      </c>
      <c r="I26750" s="29" t="s">
        <v>341</v>
      </c>
    </row>
    <row r="26751" spans="1:9" x14ac:dyDescent="0.35">
      <c r="A26751" s="27" t="s">
        <v>227</v>
      </c>
      <c r="B26751" s="27" t="s">
        <v>238</v>
      </c>
      <c r="C26751" s="28">
        <v>0.5</v>
      </c>
      <c r="D26751" s="28">
        <v>6.25E-2</v>
      </c>
      <c r="E26751" s="28">
        <v>0.1875</v>
      </c>
      <c r="F26751" s="28">
        <v>0.125</v>
      </c>
      <c r="G26751" s="28">
        <v>6.25E-2</v>
      </c>
      <c r="H26751" s="28">
        <v>6.25E-2</v>
      </c>
      <c r="I26751" s="29" t="s">
        <v>348</v>
      </c>
    </row>
    <row r="26752" spans="1:9" x14ac:dyDescent="0.35">
      <c r="A26752" t="s">
        <v>228</v>
      </c>
      <c r="B26752" t="s">
        <v>239</v>
      </c>
      <c r="C26752" s="26">
        <v>0.52629999999999999</v>
      </c>
      <c r="D26752" s="26">
        <v>0.2429</v>
      </c>
      <c r="E26752" s="26">
        <v>0.14199999999999999</v>
      </c>
      <c r="F26752" s="26">
        <v>4.7100000000000003E-2</v>
      </c>
      <c r="G26752" s="26">
        <v>3.2899999999999999E-2</v>
      </c>
      <c r="H26752" s="26">
        <v>8.8999999999999999E-3</v>
      </c>
      <c r="I26752">
        <v>176</v>
      </c>
    </row>
    <row r="26753" spans="1:9" x14ac:dyDescent="0.35">
      <c r="A26753" t="s">
        <v>228</v>
      </c>
      <c r="B26753" t="s">
        <v>238</v>
      </c>
      <c r="C26753" s="26">
        <v>0.505</v>
      </c>
      <c r="D26753" s="26">
        <v>0.255</v>
      </c>
      <c r="E26753" s="26">
        <v>0.15490000000000001</v>
      </c>
      <c r="F26753" s="26">
        <v>7.0199999999999999E-2</v>
      </c>
      <c r="G26753" s="26">
        <v>1.5E-3</v>
      </c>
      <c r="H26753" s="26">
        <v>1.34E-2</v>
      </c>
      <c r="I26753">
        <v>265</v>
      </c>
    </row>
    <row r="26754" spans="1:9" x14ac:dyDescent="0.35">
      <c r="A26754" t="s">
        <v>229</v>
      </c>
      <c r="B26754" t="s">
        <v>239</v>
      </c>
      <c r="C26754" s="26">
        <v>0.51690000000000003</v>
      </c>
      <c r="D26754" s="26">
        <v>0.22159999999999999</v>
      </c>
      <c r="E26754" s="26">
        <v>0.19650000000000001</v>
      </c>
      <c r="F26754" s="26">
        <v>8.0000000000000002E-3</v>
      </c>
      <c r="G26754" s="26">
        <v>4.7199999999999999E-2</v>
      </c>
      <c r="H26754" s="26">
        <v>9.7999999999999997E-3</v>
      </c>
      <c r="I26754">
        <v>94</v>
      </c>
    </row>
    <row r="26755" spans="1:9" x14ac:dyDescent="0.35">
      <c r="A26755" t="s">
        <v>229</v>
      </c>
      <c r="B26755" t="s">
        <v>238</v>
      </c>
      <c r="C26755" s="26">
        <v>0.54239999999999999</v>
      </c>
      <c r="D26755" s="26">
        <v>0.2041</v>
      </c>
      <c r="E26755" s="26">
        <v>0.21129999999999999</v>
      </c>
      <c r="F26755" s="26">
        <v>4.5999999999999999E-3</v>
      </c>
      <c r="G26755" s="26">
        <v>1.5299999999999999E-2</v>
      </c>
      <c r="H26755" s="26">
        <v>2.23E-2</v>
      </c>
      <c r="I26755">
        <v>137</v>
      </c>
    </row>
    <row r="26756" spans="1:9" x14ac:dyDescent="0.35">
      <c r="A26756" t="s">
        <v>230</v>
      </c>
      <c r="B26756" t="s">
        <v>239</v>
      </c>
      <c r="C26756" s="26">
        <v>0.45829999999999999</v>
      </c>
      <c r="D26756" s="26">
        <v>0.34560000000000002</v>
      </c>
      <c r="E26756" s="26">
        <v>0.1676</v>
      </c>
      <c r="F26756" s="26">
        <v>1.7500000000000002E-2</v>
      </c>
      <c r="G26756" s="26">
        <v>1.09E-2</v>
      </c>
      <c r="I26756">
        <v>99</v>
      </c>
    </row>
    <row r="26757" spans="1:9" x14ac:dyDescent="0.35">
      <c r="A26757" t="s">
        <v>230</v>
      </c>
      <c r="B26757" t="s">
        <v>238</v>
      </c>
      <c r="C26757" s="26">
        <v>0.52480000000000004</v>
      </c>
      <c r="D26757" s="26">
        <v>0.25269999999999998</v>
      </c>
      <c r="E26757" s="26">
        <v>0.16500000000000001</v>
      </c>
      <c r="F26757" s="26">
        <v>1.03E-2</v>
      </c>
      <c r="G26757" s="26">
        <v>2.4899999999999999E-2</v>
      </c>
      <c r="H26757" s="26">
        <v>2.24E-2</v>
      </c>
      <c r="I26757">
        <v>144</v>
      </c>
    </row>
    <row r="26758" spans="1:9" x14ac:dyDescent="0.35">
      <c r="A26758" s="27" t="s">
        <v>231</v>
      </c>
      <c r="B26758" s="27" t="s">
        <v>239</v>
      </c>
      <c r="C26758" s="28">
        <v>0.71430000000000005</v>
      </c>
      <c r="D26758" s="28">
        <v>0.28570000000000001</v>
      </c>
      <c r="E26758" s="29"/>
      <c r="F26758" s="29"/>
      <c r="G26758" s="29"/>
      <c r="H26758" s="29"/>
      <c r="I26758" s="29" t="s">
        <v>379</v>
      </c>
    </row>
    <row r="26759" spans="1:9" x14ac:dyDescent="0.35">
      <c r="A26759" s="27" t="s">
        <v>231</v>
      </c>
      <c r="B26759" s="27" t="s">
        <v>238</v>
      </c>
      <c r="C26759" s="28">
        <v>0.5</v>
      </c>
      <c r="D26759" s="28">
        <v>0.16669999999999999</v>
      </c>
      <c r="E26759" s="28">
        <v>0.16669999999999999</v>
      </c>
      <c r="F26759" s="28">
        <v>8.3299999999999999E-2</v>
      </c>
      <c r="G26759" s="28">
        <v>8.3299999999999999E-2</v>
      </c>
      <c r="H26759" s="29"/>
      <c r="I26759" s="29" t="s">
        <v>310</v>
      </c>
    </row>
    <row r="26760" spans="1:9" x14ac:dyDescent="0.35">
      <c r="A26760" t="s">
        <v>232</v>
      </c>
      <c r="B26760" t="s">
        <v>232</v>
      </c>
      <c r="C26760" s="26">
        <v>0.53090000000000004</v>
      </c>
      <c r="D26760" s="26">
        <v>0.22140000000000001</v>
      </c>
      <c r="E26760" s="26">
        <v>0.15010000000000001</v>
      </c>
      <c r="F26760" s="26">
        <v>5.1700000000000003E-2</v>
      </c>
      <c r="G26760" s="26">
        <v>2.8199999999999999E-2</v>
      </c>
      <c r="H26760" s="26">
        <v>1.7500000000000002E-2</v>
      </c>
      <c r="I26760">
        <v>982</v>
      </c>
    </row>
    <row r="26762" spans="1:9" x14ac:dyDescent="0.35">
      <c r="A26762" s="1" t="s">
        <v>2431</v>
      </c>
    </row>
    <row r="26763" spans="1:9" x14ac:dyDescent="0.35">
      <c r="A26763" t="s">
        <v>219</v>
      </c>
      <c r="B26763" t="s">
        <v>305</v>
      </c>
      <c r="C26763" t="s">
        <v>2424</v>
      </c>
      <c r="D26763" t="s">
        <v>2425</v>
      </c>
      <c r="E26763" t="s">
        <v>2426</v>
      </c>
      <c r="F26763" t="s">
        <v>2427</v>
      </c>
      <c r="G26763" t="s">
        <v>2428</v>
      </c>
      <c r="H26763" t="s">
        <v>286</v>
      </c>
      <c r="I26763" t="s">
        <v>226</v>
      </c>
    </row>
    <row r="26764" spans="1:9" x14ac:dyDescent="0.35">
      <c r="A26764" s="27" t="s">
        <v>227</v>
      </c>
      <c r="B26764" s="27" t="s">
        <v>244</v>
      </c>
      <c r="C26764" s="28">
        <v>0.52629999999999999</v>
      </c>
      <c r="D26764" s="28">
        <v>0.15790000000000001</v>
      </c>
      <c r="E26764" s="29"/>
      <c r="F26764" s="28">
        <v>0.21049999999999999</v>
      </c>
      <c r="G26764" s="29"/>
      <c r="H26764" s="28">
        <v>0.1053</v>
      </c>
      <c r="I26764" s="29" t="s">
        <v>349</v>
      </c>
    </row>
    <row r="26765" spans="1:9" x14ac:dyDescent="0.35">
      <c r="A26765" s="27" t="s">
        <v>227</v>
      </c>
      <c r="B26765" s="27" t="s">
        <v>245</v>
      </c>
      <c r="C26765" s="28">
        <v>0.33329999999999999</v>
      </c>
      <c r="D26765" s="29"/>
      <c r="E26765" s="28">
        <v>0.5</v>
      </c>
      <c r="F26765" s="28">
        <v>0.16669999999999999</v>
      </c>
      <c r="G26765" s="29"/>
      <c r="H26765" s="29"/>
      <c r="I26765" s="29" t="s">
        <v>335</v>
      </c>
    </row>
    <row r="26766" spans="1:9" x14ac:dyDescent="0.35">
      <c r="A26766" s="27" t="s">
        <v>227</v>
      </c>
      <c r="B26766" s="27" t="s">
        <v>246</v>
      </c>
      <c r="C26766" s="28">
        <v>0.5</v>
      </c>
      <c r="D26766" s="28">
        <v>0.25</v>
      </c>
      <c r="E26766" s="29"/>
      <c r="F26766" s="29"/>
      <c r="G26766" s="28">
        <v>0.25</v>
      </c>
      <c r="H26766" s="29"/>
      <c r="I26766" s="29" t="s">
        <v>337</v>
      </c>
    </row>
    <row r="26767" spans="1:9" x14ac:dyDescent="0.35">
      <c r="A26767" t="s">
        <v>228</v>
      </c>
      <c r="B26767" t="s">
        <v>244</v>
      </c>
      <c r="C26767" s="26">
        <v>0.46389999999999998</v>
      </c>
      <c r="D26767" s="26">
        <v>0.26090000000000002</v>
      </c>
      <c r="E26767" s="26">
        <v>0.16339999999999999</v>
      </c>
      <c r="F26767" s="26">
        <v>8.5099999999999995E-2</v>
      </c>
      <c r="G26767" s="26">
        <v>1.6799999999999999E-2</v>
      </c>
      <c r="H26767" s="26">
        <v>9.7999999999999997E-3</v>
      </c>
      <c r="I26767">
        <v>266</v>
      </c>
    </row>
    <row r="26768" spans="1:9" x14ac:dyDescent="0.35">
      <c r="A26768" t="s">
        <v>228</v>
      </c>
      <c r="B26768" t="s">
        <v>245</v>
      </c>
      <c r="C26768" s="26">
        <v>0.59360000000000002</v>
      </c>
      <c r="D26768" s="26">
        <v>0.21879999999999999</v>
      </c>
      <c r="E26768" s="26">
        <v>0.14530000000000001</v>
      </c>
      <c r="F26768" s="26">
        <v>2.0199999999999999E-2</v>
      </c>
      <c r="H26768" s="26">
        <v>2.2100000000000002E-2</v>
      </c>
      <c r="I26768">
        <v>140</v>
      </c>
    </row>
    <row r="26769" spans="1:9" x14ac:dyDescent="0.35">
      <c r="A26769" t="s">
        <v>228</v>
      </c>
      <c r="B26769" t="s">
        <v>246</v>
      </c>
      <c r="C26769" s="26">
        <v>0.58430000000000004</v>
      </c>
      <c r="D26769" s="26">
        <v>0.2797</v>
      </c>
      <c r="E26769" s="26">
        <v>9.1600000000000001E-2</v>
      </c>
      <c r="F26769" s="26">
        <v>4.4400000000000002E-2</v>
      </c>
      <c r="I26769">
        <v>35</v>
      </c>
    </row>
    <row r="26770" spans="1:9" x14ac:dyDescent="0.35">
      <c r="A26770" t="s">
        <v>229</v>
      </c>
      <c r="B26770" t="s">
        <v>244</v>
      </c>
      <c r="C26770" s="26">
        <v>0.52229999999999999</v>
      </c>
      <c r="D26770" s="26">
        <v>0.21540000000000001</v>
      </c>
      <c r="E26770" s="26">
        <v>0.20430000000000001</v>
      </c>
      <c r="F26770" s="26">
        <v>1.1999999999999999E-3</v>
      </c>
      <c r="G26770" s="26">
        <v>3.2500000000000001E-2</v>
      </c>
      <c r="H26770" s="26">
        <v>2.4299999999999999E-2</v>
      </c>
      <c r="I26770">
        <v>145</v>
      </c>
    </row>
    <row r="26771" spans="1:9" x14ac:dyDescent="0.35">
      <c r="A26771" t="s">
        <v>229</v>
      </c>
      <c r="B26771" t="s">
        <v>245</v>
      </c>
      <c r="C26771" s="26">
        <v>0.57230000000000003</v>
      </c>
      <c r="D26771" s="26">
        <v>0.1244</v>
      </c>
      <c r="E26771" s="26">
        <v>0.2742</v>
      </c>
      <c r="F26771" s="26">
        <v>2.0400000000000001E-2</v>
      </c>
      <c r="H26771" s="26">
        <v>8.6999999999999994E-3</v>
      </c>
      <c r="I26771">
        <v>71</v>
      </c>
    </row>
    <row r="26772" spans="1:9" x14ac:dyDescent="0.35">
      <c r="A26772" s="27" t="s">
        <v>229</v>
      </c>
      <c r="B26772" s="27" t="s">
        <v>246</v>
      </c>
      <c r="C26772" s="28">
        <v>0.56310000000000004</v>
      </c>
      <c r="D26772" s="28">
        <v>0.42480000000000001</v>
      </c>
      <c r="E26772" s="28">
        <v>1.21E-2</v>
      </c>
      <c r="F26772" s="29"/>
      <c r="G26772" s="29"/>
      <c r="H26772" s="29"/>
      <c r="I26772" s="29" t="s">
        <v>346</v>
      </c>
    </row>
    <row r="26773" spans="1:9" x14ac:dyDescent="0.35">
      <c r="A26773" t="s">
        <v>230</v>
      </c>
      <c r="B26773" t="s">
        <v>244</v>
      </c>
      <c r="C26773" s="26">
        <v>0.55230000000000001</v>
      </c>
      <c r="D26773" s="26">
        <v>0.2162</v>
      </c>
      <c r="E26773" s="26">
        <v>0.17330000000000001</v>
      </c>
      <c r="F26773" s="26">
        <v>9.4999999999999998E-3</v>
      </c>
      <c r="G26773" s="26">
        <v>2.5600000000000001E-2</v>
      </c>
      <c r="H26773" s="26">
        <v>2.3E-2</v>
      </c>
      <c r="I26773">
        <v>162</v>
      </c>
    </row>
    <row r="26774" spans="1:9" x14ac:dyDescent="0.35">
      <c r="A26774" t="s">
        <v>230</v>
      </c>
      <c r="B26774" t="s">
        <v>245</v>
      </c>
      <c r="C26774" s="26">
        <v>0.36199999999999999</v>
      </c>
      <c r="D26774" s="26">
        <v>0.41420000000000001</v>
      </c>
      <c r="E26774" s="26">
        <v>0.18640000000000001</v>
      </c>
      <c r="F26774" s="26">
        <v>2.46E-2</v>
      </c>
      <c r="G26774" s="26">
        <v>1.29E-2</v>
      </c>
      <c r="I26774">
        <v>65</v>
      </c>
    </row>
    <row r="26775" spans="1:9" x14ac:dyDescent="0.35">
      <c r="A26775" s="27" t="s">
        <v>230</v>
      </c>
      <c r="B26775" s="27" t="s">
        <v>246</v>
      </c>
      <c r="C26775" s="28">
        <v>0.48380000000000001</v>
      </c>
      <c r="D26775" s="28">
        <v>0.51619999999999999</v>
      </c>
      <c r="E26775" s="29"/>
      <c r="F26775" s="29"/>
      <c r="G26775" s="29"/>
      <c r="H26775" s="29"/>
      <c r="I26775" s="29" t="s">
        <v>348</v>
      </c>
    </row>
    <row r="26776" spans="1:9" x14ac:dyDescent="0.35">
      <c r="A26776" s="27" t="s">
        <v>231</v>
      </c>
      <c r="B26776" s="27" t="s">
        <v>244</v>
      </c>
      <c r="C26776" s="28">
        <v>0.61539999999999995</v>
      </c>
      <c r="D26776" s="28">
        <v>0.15379999999999999</v>
      </c>
      <c r="E26776" s="28">
        <v>0.1154</v>
      </c>
      <c r="F26776" s="28">
        <v>7.6899999999999996E-2</v>
      </c>
      <c r="G26776" s="28">
        <v>3.85E-2</v>
      </c>
      <c r="H26776" s="29"/>
      <c r="I26776" s="29" t="s">
        <v>357</v>
      </c>
    </row>
    <row r="26777" spans="1:9" x14ac:dyDescent="0.35">
      <c r="A26777" s="27" t="s">
        <v>231</v>
      </c>
      <c r="B26777" s="27" t="s">
        <v>245</v>
      </c>
      <c r="C26777" s="28">
        <v>0.44440000000000002</v>
      </c>
      <c r="D26777" s="28">
        <v>0.33329999999999999</v>
      </c>
      <c r="E26777" s="28">
        <v>0.1111</v>
      </c>
      <c r="F26777" s="29"/>
      <c r="G26777" s="28">
        <v>0.1111</v>
      </c>
      <c r="H26777" s="29"/>
      <c r="I26777" s="29" t="s">
        <v>334</v>
      </c>
    </row>
    <row r="26778" spans="1:9" x14ac:dyDescent="0.35">
      <c r="A26778" s="27" t="s">
        <v>231</v>
      </c>
      <c r="B26778" s="27" t="s">
        <v>246</v>
      </c>
      <c r="C26778" s="28">
        <v>0.66669999999999996</v>
      </c>
      <c r="D26778" s="28">
        <v>0.33329999999999999</v>
      </c>
      <c r="E26778" s="29"/>
      <c r="F26778" s="29"/>
      <c r="G26778" s="29"/>
      <c r="H26778" s="29"/>
      <c r="I26778" s="29" t="s">
        <v>315</v>
      </c>
    </row>
    <row r="26779" spans="1:9" x14ac:dyDescent="0.35">
      <c r="A26779" t="s">
        <v>232</v>
      </c>
      <c r="B26779" t="s">
        <v>232</v>
      </c>
      <c r="C26779" s="26">
        <v>0.53090000000000004</v>
      </c>
      <c r="D26779" s="26">
        <v>0.22140000000000001</v>
      </c>
      <c r="E26779" s="26">
        <v>0.15010000000000001</v>
      </c>
      <c r="F26779" s="26">
        <v>5.1700000000000003E-2</v>
      </c>
      <c r="G26779" s="26">
        <v>2.8199999999999999E-2</v>
      </c>
      <c r="H26779" s="26">
        <v>1.7500000000000002E-2</v>
      </c>
      <c r="I26779">
        <v>982</v>
      </c>
    </row>
    <row r="26781" spans="1:9" x14ac:dyDescent="0.35">
      <c r="A26781" s="1" t="s">
        <v>2432</v>
      </c>
    </row>
    <row r="26782" spans="1:9" x14ac:dyDescent="0.35">
      <c r="A26782" t="s">
        <v>219</v>
      </c>
      <c r="B26782" t="s">
        <v>305</v>
      </c>
      <c r="C26782" t="s">
        <v>2424</v>
      </c>
      <c r="D26782" t="s">
        <v>2425</v>
      </c>
      <c r="E26782" t="s">
        <v>2426</v>
      </c>
      <c r="F26782" t="s">
        <v>2427</v>
      </c>
      <c r="G26782" t="s">
        <v>2428</v>
      </c>
      <c r="H26782" t="s">
        <v>286</v>
      </c>
      <c r="I26782" t="s">
        <v>226</v>
      </c>
    </row>
    <row r="26783" spans="1:9" x14ac:dyDescent="0.35">
      <c r="A26783" s="27" t="s">
        <v>227</v>
      </c>
      <c r="B26783" s="27" t="s">
        <v>360</v>
      </c>
      <c r="C26783" s="28">
        <v>0.2</v>
      </c>
      <c r="D26783" s="28">
        <v>0.3</v>
      </c>
      <c r="E26783" s="28">
        <v>0.2</v>
      </c>
      <c r="F26783" s="28">
        <v>0.1</v>
      </c>
      <c r="G26783" s="28">
        <v>0.1</v>
      </c>
      <c r="H26783" s="28">
        <v>0.1</v>
      </c>
      <c r="I26783" s="29" t="s">
        <v>307</v>
      </c>
    </row>
    <row r="26784" spans="1:9" x14ac:dyDescent="0.35">
      <c r="A26784" s="27" t="s">
        <v>227</v>
      </c>
      <c r="B26784" s="27" t="s">
        <v>361</v>
      </c>
      <c r="C26784" s="28">
        <v>0.75</v>
      </c>
      <c r="D26784" s="29"/>
      <c r="E26784" s="29"/>
      <c r="F26784" s="28">
        <v>0.25</v>
      </c>
      <c r="G26784" s="29"/>
      <c r="H26784" s="29"/>
      <c r="I26784" s="29" t="s">
        <v>337</v>
      </c>
    </row>
    <row r="26785" spans="1:9" x14ac:dyDescent="0.35">
      <c r="A26785" s="27" t="s">
        <v>227</v>
      </c>
      <c r="B26785" s="27" t="s">
        <v>362</v>
      </c>
      <c r="C26785" s="28">
        <v>0.66669999999999996</v>
      </c>
      <c r="D26785" s="28">
        <v>0.1111</v>
      </c>
      <c r="E26785" s="28">
        <v>0.1111</v>
      </c>
      <c r="F26785" s="28">
        <v>0.1111</v>
      </c>
      <c r="G26785" s="29"/>
      <c r="H26785" s="29"/>
      <c r="I26785" s="29" t="s">
        <v>334</v>
      </c>
    </row>
    <row r="26786" spans="1:9" x14ac:dyDescent="0.35">
      <c r="A26786" s="27" t="s">
        <v>227</v>
      </c>
      <c r="B26786" s="27" t="s">
        <v>363</v>
      </c>
      <c r="C26786" s="28">
        <v>0.4</v>
      </c>
      <c r="D26786" s="29"/>
      <c r="E26786" s="29"/>
      <c r="F26786" s="28">
        <v>0.4</v>
      </c>
      <c r="G26786" s="29"/>
      <c r="H26786" s="28">
        <v>0.2</v>
      </c>
      <c r="I26786" s="29" t="s">
        <v>332</v>
      </c>
    </row>
    <row r="26787" spans="1:9" x14ac:dyDescent="0.35">
      <c r="A26787" t="s">
        <v>228</v>
      </c>
      <c r="B26787" t="s">
        <v>360</v>
      </c>
      <c r="C26787" s="26">
        <v>0.5484</v>
      </c>
      <c r="D26787" s="26">
        <v>0.22670000000000001</v>
      </c>
      <c r="E26787" s="26">
        <v>0.1391</v>
      </c>
      <c r="F26787" s="26">
        <v>7.5800000000000006E-2</v>
      </c>
      <c r="G26787" s="26">
        <v>3.5000000000000001E-3</v>
      </c>
      <c r="H26787" s="26">
        <v>6.4000000000000003E-3</v>
      </c>
      <c r="I26787">
        <v>140</v>
      </c>
    </row>
    <row r="26788" spans="1:9" x14ac:dyDescent="0.35">
      <c r="A26788" t="s">
        <v>228</v>
      </c>
      <c r="B26788" t="s">
        <v>361</v>
      </c>
      <c r="C26788" s="26">
        <v>0.46329999999999999</v>
      </c>
      <c r="D26788" s="26">
        <v>0.29310000000000003</v>
      </c>
      <c r="E26788" s="26">
        <v>0.1353</v>
      </c>
      <c r="F26788" s="26">
        <v>7.51E-2</v>
      </c>
      <c r="H26788" s="26">
        <v>3.32E-2</v>
      </c>
      <c r="I26788">
        <v>48</v>
      </c>
    </row>
    <row r="26789" spans="1:9" x14ac:dyDescent="0.35">
      <c r="A26789" t="s">
        <v>228</v>
      </c>
      <c r="B26789" t="s">
        <v>363</v>
      </c>
      <c r="C26789" s="26">
        <v>0.38929999999999998</v>
      </c>
      <c r="D26789" s="26">
        <v>0.2631</v>
      </c>
      <c r="E26789" s="26">
        <v>0.22339999999999999</v>
      </c>
      <c r="F26789" s="26">
        <v>0.10929999999999999</v>
      </c>
      <c r="H26789" s="26">
        <v>1.4999999999999999E-2</v>
      </c>
      <c r="I26789">
        <v>84</v>
      </c>
    </row>
    <row r="26790" spans="1:9" x14ac:dyDescent="0.35">
      <c r="A26790" t="s">
        <v>228</v>
      </c>
      <c r="B26790" t="s">
        <v>362</v>
      </c>
      <c r="C26790" s="26">
        <v>0.61080000000000001</v>
      </c>
      <c r="D26790" s="26">
        <v>0.21410000000000001</v>
      </c>
      <c r="E26790" s="26">
        <v>0.123</v>
      </c>
      <c r="F26790" s="26">
        <v>1.5699999999999999E-2</v>
      </c>
      <c r="G26790" s="26">
        <v>3.6400000000000002E-2</v>
      </c>
      <c r="I26790">
        <v>114</v>
      </c>
    </row>
    <row r="26791" spans="1:9" x14ac:dyDescent="0.35">
      <c r="A26791" t="s">
        <v>229</v>
      </c>
      <c r="B26791" t="s">
        <v>360</v>
      </c>
      <c r="C26791" s="26">
        <v>0.47960000000000003</v>
      </c>
      <c r="D26791" s="26">
        <v>0.31059999999999999</v>
      </c>
      <c r="E26791" s="26">
        <v>4.2999999999999997E-2</v>
      </c>
      <c r="G26791" s="26">
        <v>7.5899999999999995E-2</v>
      </c>
      <c r="H26791" s="26">
        <v>9.0800000000000006E-2</v>
      </c>
      <c r="I26791">
        <v>57</v>
      </c>
    </row>
    <row r="26792" spans="1:9" x14ac:dyDescent="0.35">
      <c r="A26792" t="s">
        <v>229</v>
      </c>
      <c r="B26792" t="s">
        <v>363</v>
      </c>
      <c r="C26792" s="26">
        <v>0.63749999999999996</v>
      </c>
      <c r="D26792" s="26">
        <v>0.1002</v>
      </c>
      <c r="E26792" s="26">
        <v>0.25540000000000002</v>
      </c>
      <c r="H26792" s="26">
        <v>6.8999999999999999E-3</v>
      </c>
      <c r="I26792">
        <v>45</v>
      </c>
    </row>
    <row r="26793" spans="1:9" x14ac:dyDescent="0.35">
      <c r="A26793" t="s">
        <v>229</v>
      </c>
      <c r="B26793" t="s">
        <v>361</v>
      </c>
      <c r="C26793" s="26">
        <v>0.46150000000000002</v>
      </c>
      <c r="D26793" s="26">
        <v>0.2427</v>
      </c>
      <c r="E26793" s="26">
        <v>0.2349</v>
      </c>
      <c r="F26793" s="26">
        <v>1.23E-2</v>
      </c>
      <c r="G26793" s="26">
        <v>4.0300000000000002E-2</v>
      </c>
      <c r="H26793" s="26">
        <v>8.3999999999999995E-3</v>
      </c>
      <c r="I26793">
        <v>44</v>
      </c>
    </row>
    <row r="26794" spans="1:9" x14ac:dyDescent="0.35">
      <c r="A26794" t="s">
        <v>229</v>
      </c>
      <c r="B26794" t="s">
        <v>362</v>
      </c>
      <c r="C26794" s="26">
        <v>0.49959999999999999</v>
      </c>
      <c r="D26794" s="26">
        <v>0.25779999999999997</v>
      </c>
      <c r="E26794" s="26">
        <v>0.2366</v>
      </c>
      <c r="F26794" s="26">
        <v>6.1000000000000004E-3</v>
      </c>
      <c r="I26794">
        <v>60</v>
      </c>
    </row>
    <row r="26795" spans="1:9" x14ac:dyDescent="0.35">
      <c r="A26795" t="s">
        <v>230</v>
      </c>
      <c r="B26795" t="s">
        <v>363</v>
      </c>
      <c r="C26795" s="26">
        <v>0.41749999999999998</v>
      </c>
      <c r="D26795" s="26">
        <v>0.34570000000000001</v>
      </c>
      <c r="E26795" s="26">
        <v>0.21590000000000001</v>
      </c>
      <c r="F26795" s="26">
        <v>1.0500000000000001E-2</v>
      </c>
      <c r="G26795" s="26">
        <v>1.0500000000000001E-2</v>
      </c>
      <c r="I26795">
        <v>48</v>
      </c>
    </row>
    <row r="26796" spans="1:9" x14ac:dyDescent="0.35">
      <c r="A26796" t="s">
        <v>230</v>
      </c>
      <c r="B26796" t="s">
        <v>360</v>
      </c>
      <c r="C26796" s="26">
        <v>0.67430000000000001</v>
      </c>
      <c r="D26796" s="26">
        <v>0.19389999999999999</v>
      </c>
      <c r="E26796" s="26">
        <v>0.1052</v>
      </c>
      <c r="F26796" s="26">
        <v>2.6599999999999999E-2</v>
      </c>
      <c r="I26796">
        <v>69</v>
      </c>
    </row>
    <row r="26797" spans="1:9" x14ac:dyDescent="0.35">
      <c r="A26797" t="s">
        <v>230</v>
      </c>
      <c r="B26797" t="s">
        <v>361</v>
      </c>
      <c r="C26797" s="26">
        <v>0.4259</v>
      </c>
      <c r="D26797" s="26">
        <v>0.29830000000000001</v>
      </c>
      <c r="E26797" s="26">
        <v>0.19550000000000001</v>
      </c>
      <c r="G26797" s="26">
        <v>8.0399999999999999E-2</v>
      </c>
      <c r="I26797">
        <v>31</v>
      </c>
    </row>
    <row r="26798" spans="1:9" x14ac:dyDescent="0.35">
      <c r="A26798" t="s">
        <v>230</v>
      </c>
      <c r="B26798" t="s">
        <v>362</v>
      </c>
      <c r="C26798" s="26">
        <v>0.44869999999999999</v>
      </c>
      <c r="D26798" s="26">
        <v>0.30309999999999998</v>
      </c>
      <c r="E26798" s="26">
        <v>0.16539999999999999</v>
      </c>
      <c r="F26798" s="26">
        <v>9.1999999999999998E-3</v>
      </c>
      <c r="G26798" s="26">
        <v>1.0200000000000001E-2</v>
      </c>
      <c r="H26798" s="26">
        <v>6.3500000000000001E-2</v>
      </c>
      <c r="I26798">
        <v>78</v>
      </c>
    </row>
    <row r="26799" spans="1:9" x14ac:dyDescent="0.35">
      <c r="A26799" s="27" t="s">
        <v>231</v>
      </c>
      <c r="B26799" s="27" t="s">
        <v>362</v>
      </c>
      <c r="C26799" s="28">
        <v>0.2</v>
      </c>
      <c r="D26799" s="28">
        <v>0.6</v>
      </c>
      <c r="E26799" s="28">
        <v>0.2</v>
      </c>
      <c r="F26799" s="29"/>
      <c r="G26799" s="29"/>
      <c r="H26799" s="29"/>
      <c r="I26799" s="29" t="s">
        <v>332</v>
      </c>
    </row>
    <row r="26800" spans="1:9" x14ac:dyDescent="0.35">
      <c r="A26800" s="27" t="s">
        <v>231</v>
      </c>
      <c r="B26800" s="27" t="s">
        <v>361</v>
      </c>
      <c r="C26800" s="28">
        <v>0.55559999999999998</v>
      </c>
      <c r="D26800" s="28">
        <v>0.1111</v>
      </c>
      <c r="E26800" s="28">
        <v>0.1111</v>
      </c>
      <c r="F26800" s="28">
        <v>0.1111</v>
      </c>
      <c r="G26800" s="28">
        <v>0.1111</v>
      </c>
      <c r="H26800" s="29"/>
      <c r="I26800" s="29" t="s">
        <v>334</v>
      </c>
    </row>
    <row r="26801" spans="1:9" x14ac:dyDescent="0.35">
      <c r="A26801" s="27" t="s">
        <v>231</v>
      </c>
      <c r="B26801" s="27" t="s">
        <v>360</v>
      </c>
      <c r="C26801" s="28">
        <v>0.69230000000000003</v>
      </c>
      <c r="D26801" s="28">
        <v>0.15379999999999999</v>
      </c>
      <c r="E26801" s="28">
        <v>7.6899999999999996E-2</v>
      </c>
      <c r="F26801" s="28">
        <v>7.6899999999999996E-2</v>
      </c>
      <c r="G26801" s="29"/>
      <c r="H26801" s="29"/>
      <c r="I26801" s="29" t="s">
        <v>341</v>
      </c>
    </row>
    <row r="26802" spans="1:9" x14ac:dyDescent="0.35">
      <c r="A26802" s="27" t="s">
        <v>231</v>
      </c>
      <c r="B26802" s="27" t="s">
        <v>363</v>
      </c>
      <c r="C26802" s="28">
        <v>0.625</v>
      </c>
      <c r="D26802" s="28">
        <v>0.125</v>
      </c>
      <c r="E26802" s="28">
        <v>0.125</v>
      </c>
      <c r="F26802" s="29"/>
      <c r="G26802" s="28">
        <v>0.125</v>
      </c>
      <c r="H26802" s="29"/>
      <c r="I26802" s="29" t="s">
        <v>333</v>
      </c>
    </row>
    <row r="26803" spans="1:9" x14ac:dyDescent="0.35">
      <c r="A26803" t="s">
        <v>232</v>
      </c>
      <c r="B26803" t="s">
        <v>232</v>
      </c>
      <c r="C26803" s="26">
        <v>0.53090000000000004</v>
      </c>
      <c r="D26803" s="26">
        <v>0.22140000000000001</v>
      </c>
      <c r="E26803" s="26">
        <v>0.15010000000000001</v>
      </c>
      <c r="F26803" s="26">
        <v>5.1700000000000003E-2</v>
      </c>
      <c r="G26803" s="26">
        <v>2.8199999999999999E-2</v>
      </c>
      <c r="H26803" s="26">
        <v>1.7500000000000002E-2</v>
      </c>
      <c r="I26803">
        <v>881</v>
      </c>
    </row>
    <row r="26805" spans="1:9" x14ac:dyDescent="0.35">
      <c r="A26805" s="1" t="s">
        <v>2433</v>
      </c>
    </row>
    <row r="26806" spans="1:9" x14ac:dyDescent="0.35">
      <c r="A26806" t="s">
        <v>219</v>
      </c>
      <c r="B26806" t="s">
        <v>305</v>
      </c>
      <c r="C26806" t="s">
        <v>2424</v>
      </c>
      <c r="D26806" t="s">
        <v>2425</v>
      </c>
      <c r="E26806" t="s">
        <v>2426</v>
      </c>
      <c r="F26806" t="s">
        <v>2427</v>
      </c>
      <c r="G26806" t="s">
        <v>2428</v>
      </c>
      <c r="H26806" t="s">
        <v>286</v>
      </c>
      <c r="I26806" t="s">
        <v>226</v>
      </c>
    </row>
    <row r="26807" spans="1:9" x14ac:dyDescent="0.35">
      <c r="A26807" s="27" t="s">
        <v>227</v>
      </c>
      <c r="B26807" s="27" t="s">
        <v>267</v>
      </c>
      <c r="C26807" s="28">
        <v>0.5</v>
      </c>
      <c r="D26807" s="29"/>
      <c r="E26807" s="28">
        <v>0.5</v>
      </c>
      <c r="F26807" s="29"/>
      <c r="G26807" s="29"/>
      <c r="H26807" s="29"/>
      <c r="I26807" s="29" t="s">
        <v>337</v>
      </c>
    </row>
    <row r="26808" spans="1:9" x14ac:dyDescent="0.35">
      <c r="A26808" s="27" t="s">
        <v>227</v>
      </c>
      <c r="B26808" s="27" t="s">
        <v>266</v>
      </c>
      <c r="C26808" s="28">
        <v>0.5</v>
      </c>
      <c r="D26808" s="28">
        <v>0.125</v>
      </c>
      <c r="E26808" s="28">
        <v>0.125</v>
      </c>
      <c r="F26808" s="28">
        <v>0.25</v>
      </c>
      <c r="G26808" s="29"/>
      <c r="H26808" s="29"/>
      <c r="I26808" s="29" t="s">
        <v>333</v>
      </c>
    </row>
    <row r="26809" spans="1:9" x14ac:dyDescent="0.35">
      <c r="A26809" s="27" t="s">
        <v>227</v>
      </c>
      <c r="B26809" s="27" t="s">
        <v>265</v>
      </c>
      <c r="C26809" s="28">
        <v>0.47060000000000002</v>
      </c>
      <c r="D26809" s="28">
        <v>0.17649999999999999</v>
      </c>
      <c r="E26809" s="29"/>
      <c r="F26809" s="28">
        <v>0.17649999999999999</v>
      </c>
      <c r="G26809" s="28">
        <v>5.8799999999999998E-2</v>
      </c>
      <c r="H26809" s="28">
        <v>0.1176</v>
      </c>
      <c r="I26809" s="29" t="s">
        <v>343</v>
      </c>
    </row>
    <row r="26810" spans="1:9" x14ac:dyDescent="0.35">
      <c r="A26810" t="s">
        <v>228</v>
      </c>
      <c r="B26810" t="s">
        <v>265</v>
      </c>
      <c r="C26810" s="26">
        <v>0.51559999999999995</v>
      </c>
      <c r="D26810" s="26">
        <v>0.23980000000000001</v>
      </c>
      <c r="E26810" s="26">
        <v>0.16289999999999999</v>
      </c>
      <c r="F26810" s="26">
        <v>6.3799999999999996E-2</v>
      </c>
      <c r="G26810" s="26">
        <v>2.8999999999999998E-3</v>
      </c>
      <c r="H26810" s="26">
        <v>1.5100000000000001E-2</v>
      </c>
      <c r="I26810">
        <v>151</v>
      </c>
    </row>
    <row r="26811" spans="1:9" x14ac:dyDescent="0.35">
      <c r="A26811" t="s">
        <v>228</v>
      </c>
      <c r="B26811" t="s">
        <v>267</v>
      </c>
      <c r="C26811" s="26">
        <v>0.48380000000000001</v>
      </c>
      <c r="D26811" s="26">
        <v>0.25009999999999999</v>
      </c>
      <c r="E26811" s="26">
        <v>0.1089</v>
      </c>
      <c r="F26811" s="26">
        <v>0.1268</v>
      </c>
      <c r="H26811" s="26">
        <v>3.04E-2</v>
      </c>
      <c r="I26811">
        <v>72</v>
      </c>
    </row>
    <row r="26812" spans="1:9" x14ac:dyDescent="0.35">
      <c r="A26812" s="27" t="s">
        <v>228</v>
      </c>
      <c r="B26812" s="27" t="s">
        <v>236</v>
      </c>
      <c r="C26812" s="28">
        <v>1</v>
      </c>
      <c r="D26812" s="29"/>
      <c r="E26812" s="29"/>
      <c r="F26812" s="29"/>
      <c r="G26812" s="29"/>
      <c r="H26812" s="29"/>
      <c r="I26812" s="29" t="s">
        <v>331</v>
      </c>
    </row>
    <row r="26813" spans="1:9" x14ac:dyDescent="0.35">
      <c r="A26813" t="s">
        <v>228</v>
      </c>
      <c r="B26813" t="s">
        <v>266</v>
      </c>
      <c r="C26813" s="26">
        <v>0.50700000000000001</v>
      </c>
      <c r="D26813" s="26">
        <v>0.26600000000000001</v>
      </c>
      <c r="E26813" s="26">
        <v>0.15920000000000001</v>
      </c>
      <c r="F26813" s="26">
        <v>4.36E-2</v>
      </c>
      <c r="G26813" s="26">
        <v>2.0199999999999999E-2</v>
      </c>
      <c r="H26813" s="26">
        <v>4.0000000000000001E-3</v>
      </c>
      <c r="I26813">
        <v>217</v>
      </c>
    </row>
    <row r="26814" spans="1:9" x14ac:dyDescent="0.35">
      <c r="A26814" t="s">
        <v>229</v>
      </c>
      <c r="B26814" t="s">
        <v>267</v>
      </c>
      <c r="C26814" s="26">
        <v>0.51759999999999995</v>
      </c>
      <c r="D26814" s="26">
        <v>6.3500000000000001E-2</v>
      </c>
      <c r="E26814" s="26">
        <v>0.37730000000000002</v>
      </c>
      <c r="F26814" s="26">
        <v>1.83E-2</v>
      </c>
      <c r="H26814" s="26">
        <v>2.3300000000000001E-2</v>
      </c>
      <c r="I26814">
        <v>42</v>
      </c>
    </row>
    <row r="26815" spans="1:9" x14ac:dyDescent="0.35">
      <c r="A26815" t="s">
        <v>229</v>
      </c>
      <c r="B26815" t="s">
        <v>265</v>
      </c>
      <c r="C26815" s="26">
        <v>0.51019999999999999</v>
      </c>
      <c r="D26815" s="26">
        <v>0.27739999999999998</v>
      </c>
      <c r="E26815" s="26">
        <v>0.15679999999999999</v>
      </c>
      <c r="F26815" s="26">
        <v>1E-3</v>
      </c>
      <c r="G26815" s="26">
        <v>5.1200000000000002E-2</v>
      </c>
      <c r="H26815" s="26">
        <v>3.3999999999999998E-3</v>
      </c>
      <c r="I26815">
        <v>93</v>
      </c>
    </row>
    <row r="26816" spans="1:9" x14ac:dyDescent="0.35">
      <c r="A26816" t="s">
        <v>229</v>
      </c>
      <c r="B26816" t="s">
        <v>266</v>
      </c>
      <c r="C26816" s="26">
        <v>0.57509999999999994</v>
      </c>
      <c r="D26816" s="26">
        <v>0.19040000000000001</v>
      </c>
      <c r="E26816" s="26">
        <v>0.19320000000000001</v>
      </c>
      <c r="F26816" s="26">
        <v>5.1000000000000004E-3</v>
      </c>
      <c r="H26816" s="26">
        <v>3.6200000000000003E-2</v>
      </c>
      <c r="I26816">
        <v>96</v>
      </c>
    </row>
    <row r="26817" spans="1:9" x14ac:dyDescent="0.35">
      <c r="A26817" t="s">
        <v>230</v>
      </c>
      <c r="B26817" t="s">
        <v>265</v>
      </c>
      <c r="C26817" s="26">
        <v>0.5373</v>
      </c>
      <c r="D26817" s="26">
        <v>0.27339999999999998</v>
      </c>
      <c r="E26817" s="26">
        <v>0.12570000000000001</v>
      </c>
      <c r="F26817" s="26">
        <v>1.5800000000000002E-2</v>
      </c>
      <c r="G26817" s="26">
        <v>4.7899999999999998E-2</v>
      </c>
      <c r="I26817">
        <v>88</v>
      </c>
    </row>
    <row r="26818" spans="1:9" x14ac:dyDescent="0.35">
      <c r="A26818" t="s">
        <v>230</v>
      </c>
      <c r="B26818" t="s">
        <v>266</v>
      </c>
      <c r="C26818" s="26">
        <v>0.4577</v>
      </c>
      <c r="D26818" s="26">
        <v>0.31869999999999998</v>
      </c>
      <c r="E26818" s="26">
        <v>0.21299999999999999</v>
      </c>
      <c r="F26818" s="26">
        <v>8.5000000000000006E-3</v>
      </c>
      <c r="H26818" s="26">
        <v>2.0999999999999999E-3</v>
      </c>
      <c r="I26818">
        <v>104</v>
      </c>
    </row>
    <row r="26819" spans="1:9" x14ac:dyDescent="0.35">
      <c r="A26819" t="s">
        <v>230</v>
      </c>
      <c r="B26819" t="s">
        <v>267</v>
      </c>
      <c r="C26819" s="26">
        <v>0.54339999999999999</v>
      </c>
      <c r="D26819" s="26">
        <v>0.2079</v>
      </c>
      <c r="E26819" s="26">
        <v>0.155</v>
      </c>
      <c r="F26819" s="26">
        <v>1.18E-2</v>
      </c>
      <c r="G26819" s="26">
        <v>1.18E-2</v>
      </c>
      <c r="H26819" s="26">
        <v>7.0000000000000007E-2</v>
      </c>
      <c r="I26819">
        <v>51</v>
      </c>
    </row>
    <row r="26820" spans="1:9" x14ac:dyDescent="0.35">
      <c r="A26820" s="27" t="s">
        <v>231</v>
      </c>
      <c r="B26820" s="27" t="s">
        <v>266</v>
      </c>
      <c r="C26820" s="28">
        <v>0.66669999999999996</v>
      </c>
      <c r="D26820" s="28">
        <v>0.2</v>
      </c>
      <c r="E26820" s="28">
        <v>6.6699999999999995E-2</v>
      </c>
      <c r="F26820" s="29"/>
      <c r="G26820" s="28">
        <v>6.6699999999999995E-2</v>
      </c>
      <c r="H26820" s="29"/>
      <c r="I26820" s="29" t="s">
        <v>346</v>
      </c>
    </row>
    <row r="26821" spans="1:9" x14ac:dyDescent="0.35">
      <c r="A26821" s="27" t="s">
        <v>231</v>
      </c>
      <c r="B26821" s="27" t="s">
        <v>267</v>
      </c>
      <c r="C26821" s="28">
        <v>0.5</v>
      </c>
      <c r="D26821" s="28">
        <v>0.2</v>
      </c>
      <c r="E26821" s="28">
        <v>0.1</v>
      </c>
      <c r="F26821" s="28">
        <v>0.1</v>
      </c>
      <c r="G26821" s="28">
        <v>0.1</v>
      </c>
      <c r="H26821" s="29"/>
      <c r="I26821" s="29" t="s">
        <v>307</v>
      </c>
    </row>
    <row r="26822" spans="1:9" x14ac:dyDescent="0.35">
      <c r="A26822" s="27" t="s">
        <v>231</v>
      </c>
      <c r="B26822" s="27" t="s">
        <v>265</v>
      </c>
      <c r="C26822" s="28">
        <v>0.53849999999999998</v>
      </c>
      <c r="D26822" s="28">
        <v>0.23080000000000001</v>
      </c>
      <c r="E26822" s="28">
        <v>0.15379999999999999</v>
      </c>
      <c r="F26822" s="28">
        <v>7.6899999999999996E-2</v>
      </c>
      <c r="G26822" s="29"/>
      <c r="H26822" s="29"/>
      <c r="I26822" s="29" t="s">
        <v>341</v>
      </c>
    </row>
    <row r="26823" spans="1:9" x14ac:dyDescent="0.35">
      <c r="A26823" t="s">
        <v>232</v>
      </c>
      <c r="B26823" t="s">
        <v>232</v>
      </c>
      <c r="C26823" s="26">
        <v>0.53090000000000004</v>
      </c>
      <c r="D26823" s="26">
        <v>0.22140000000000001</v>
      </c>
      <c r="E26823" s="26">
        <v>0.15010000000000001</v>
      </c>
      <c r="F26823" s="26">
        <v>5.1700000000000003E-2</v>
      </c>
      <c r="G26823" s="26">
        <v>2.8199999999999999E-2</v>
      </c>
      <c r="H26823" s="26">
        <v>1.7500000000000002E-2</v>
      </c>
      <c r="I26823">
        <v>982</v>
      </c>
    </row>
    <row r="26825" spans="1:9" x14ac:dyDescent="0.35">
      <c r="A26825" s="1" t="s">
        <v>2434</v>
      </c>
    </row>
    <row r="26826" spans="1:9" x14ac:dyDescent="0.35">
      <c r="A26826" t="s">
        <v>219</v>
      </c>
      <c r="B26826" t="s">
        <v>305</v>
      </c>
      <c r="C26826" t="s">
        <v>2424</v>
      </c>
      <c r="D26826" t="s">
        <v>2425</v>
      </c>
      <c r="E26826" t="s">
        <v>2426</v>
      </c>
      <c r="F26826" t="s">
        <v>2427</v>
      </c>
      <c r="G26826" t="s">
        <v>2428</v>
      </c>
      <c r="H26826" t="s">
        <v>286</v>
      </c>
      <c r="I26826" t="s">
        <v>226</v>
      </c>
    </row>
    <row r="26827" spans="1:9" x14ac:dyDescent="0.35">
      <c r="A26827" s="27" t="s">
        <v>227</v>
      </c>
      <c r="B26827" s="27" t="s">
        <v>252</v>
      </c>
      <c r="C26827" s="28">
        <v>0.55559999999999998</v>
      </c>
      <c r="D26827" s="29"/>
      <c r="E26827" s="28">
        <v>0.22220000000000001</v>
      </c>
      <c r="F26827" s="28">
        <v>0.22220000000000001</v>
      </c>
      <c r="G26827" s="29"/>
      <c r="H26827" s="29"/>
      <c r="I26827" s="29" t="s">
        <v>334</v>
      </c>
    </row>
    <row r="26828" spans="1:9" x14ac:dyDescent="0.35">
      <c r="A26828" s="27" t="s">
        <v>227</v>
      </c>
      <c r="B26828" s="27" t="s">
        <v>253</v>
      </c>
      <c r="C26828" s="28">
        <v>0.5</v>
      </c>
      <c r="D26828" s="28">
        <v>0.125</v>
      </c>
      <c r="E26828" s="29"/>
      <c r="F26828" s="28">
        <v>0.125</v>
      </c>
      <c r="G26828" s="29"/>
      <c r="H26828" s="28">
        <v>0.25</v>
      </c>
      <c r="I26828" s="29" t="s">
        <v>333</v>
      </c>
    </row>
    <row r="26829" spans="1:9" x14ac:dyDescent="0.35">
      <c r="A26829" s="27" t="s">
        <v>227</v>
      </c>
      <c r="B26829" s="27" t="s">
        <v>251</v>
      </c>
      <c r="C26829" s="28">
        <v>0.41670000000000001</v>
      </c>
      <c r="D26829" s="28">
        <v>0.25</v>
      </c>
      <c r="E26829" s="28">
        <v>8.3299999999999999E-2</v>
      </c>
      <c r="F26829" s="28">
        <v>0.16669999999999999</v>
      </c>
      <c r="G26829" s="28">
        <v>8.3299999999999999E-2</v>
      </c>
      <c r="H26829" s="29"/>
      <c r="I26829" s="29" t="s">
        <v>342</v>
      </c>
    </row>
    <row r="26830" spans="1:9" x14ac:dyDescent="0.35">
      <c r="A26830" t="s">
        <v>228</v>
      </c>
      <c r="B26830" t="s">
        <v>252</v>
      </c>
      <c r="C26830" s="26">
        <v>0.50070000000000003</v>
      </c>
      <c r="D26830" s="26">
        <v>0.22989999999999999</v>
      </c>
      <c r="E26830" s="26">
        <v>0.18540000000000001</v>
      </c>
      <c r="F26830" s="26">
        <v>5.0599999999999999E-2</v>
      </c>
      <c r="G26830" s="26">
        <v>2.3099999999999999E-2</v>
      </c>
      <c r="H26830" s="26">
        <v>1.03E-2</v>
      </c>
      <c r="I26830">
        <v>188</v>
      </c>
    </row>
    <row r="26831" spans="1:9" x14ac:dyDescent="0.35">
      <c r="A26831" t="s">
        <v>228</v>
      </c>
      <c r="B26831" t="s">
        <v>253</v>
      </c>
      <c r="C26831" s="26">
        <v>0.60850000000000004</v>
      </c>
      <c r="D26831" s="26">
        <v>0.23180000000000001</v>
      </c>
      <c r="E26831" s="26">
        <v>0.1308</v>
      </c>
      <c r="F26831" s="26">
        <v>1.89E-2</v>
      </c>
      <c r="G26831" s="26">
        <v>4.3E-3</v>
      </c>
      <c r="H26831" s="26">
        <v>5.7999999999999996E-3</v>
      </c>
      <c r="I26831">
        <v>111</v>
      </c>
    </row>
    <row r="26832" spans="1:9" x14ac:dyDescent="0.35">
      <c r="A26832" t="s">
        <v>228</v>
      </c>
      <c r="B26832" t="s">
        <v>251</v>
      </c>
      <c r="C26832" s="26">
        <v>0.45579999999999998</v>
      </c>
      <c r="D26832" s="26">
        <v>0.29099999999999998</v>
      </c>
      <c r="E26832" s="26">
        <v>0.1245</v>
      </c>
      <c r="F26832" s="26">
        <v>0.11</v>
      </c>
      <c r="H26832" s="26">
        <v>1.8599999999999998E-2</v>
      </c>
      <c r="I26832">
        <v>142</v>
      </c>
    </row>
    <row r="26833" spans="1:9" x14ac:dyDescent="0.35">
      <c r="A26833" t="s">
        <v>229</v>
      </c>
      <c r="B26833" t="s">
        <v>252</v>
      </c>
      <c r="C26833" s="26">
        <v>0.6109</v>
      </c>
      <c r="D26833" s="26">
        <v>0.1424</v>
      </c>
      <c r="E26833" s="26">
        <v>0.2359</v>
      </c>
      <c r="H26833" s="26">
        <v>1.0800000000000001E-2</v>
      </c>
      <c r="I26833">
        <v>65</v>
      </c>
    </row>
    <row r="26834" spans="1:9" x14ac:dyDescent="0.35">
      <c r="A26834" t="s">
        <v>229</v>
      </c>
      <c r="B26834" t="s">
        <v>253</v>
      </c>
      <c r="C26834" s="26">
        <v>0.46139999999999998</v>
      </c>
      <c r="D26834" s="26">
        <v>0.34739999999999999</v>
      </c>
      <c r="E26834" s="26">
        <v>7.6499999999999999E-2</v>
      </c>
      <c r="G26834" s="26">
        <v>5.2200000000000003E-2</v>
      </c>
      <c r="H26834" s="26">
        <v>6.25E-2</v>
      </c>
      <c r="I26834">
        <v>44</v>
      </c>
    </row>
    <row r="26835" spans="1:9" x14ac:dyDescent="0.35">
      <c r="A26835" t="s">
        <v>229</v>
      </c>
      <c r="B26835" t="s">
        <v>251</v>
      </c>
      <c r="C26835" s="26">
        <v>0.52739999999999998</v>
      </c>
      <c r="D26835" s="26">
        <v>0.18379999999999999</v>
      </c>
      <c r="E26835" s="26">
        <v>0.24990000000000001</v>
      </c>
      <c r="F26835" s="26">
        <v>1.09E-2</v>
      </c>
      <c r="G26835" s="26">
        <v>2.3099999999999999E-2</v>
      </c>
      <c r="H26835" s="26">
        <v>4.7999999999999996E-3</v>
      </c>
      <c r="I26835">
        <v>122</v>
      </c>
    </row>
    <row r="26836" spans="1:9" x14ac:dyDescent="0.35">
      <c r="A26836" t="s">
        <v>230</v>
      </c>
      <c r="B26836" t="s">
        <v>252</v>
      </c>
      <c r="C26836" s="26">
        <v>0.53129999999999999</v>
      </c>
      <c r="D26836" s="26">
        <v>0.216</v>
      </c>
      <c r="E26836" s="26">
        <v>0.2361</v>
      </c>
      <c r="F26836" s="26">
        <v>1.66E-2</v>
      </c>
      <c r="I26836">
        <v>83</v>
      </c>
    </row>
    <row r="26837" spans="1:9" x14ac:dyDescent="0.35">
      <c r="A26837" t="s">
        <v>230</v>
      </c>
      <c r="B26837" t="s">
        <v>253</v>
      </c>
      <c r="C26837" s="26">
        <v>0.54479999999999995</v>
      </c>
      <c r="D26837" s="26">
        <v>0.20119999999999999</v>
      </c>
      <c r="E26837" s="26">
        <v>0.23810000000000001</v>
      </c>
      <c r="G26837" s="26">
        <v>1.5900000000000001E-2</v>
      </c>
      <c r="I26837">
        <v>51</v>
      </c>
    </row>
    <row r="26838" spans="1:9" x14ac:dyDescent="0.35">
      <c r="A26838" t="s">
        <v>230</v>
      </c>
      <c r="B26838" t="s">
        <v>251</v>
      </c>
      <c r="C26838" s="26">
        <v>0.48699999999999999</v>
      </c>
      <c r="D26838" s="26">
        <v>0.32529999999999998</v>
      </c>
      <c r="E26838" s="26">
        <v>0.1116</v>
      </c>
      <c r="F26838" s="26">
        <v>1.37E-2</v>
      </c>
      <c r="G26838" s="26">
        <v>3.2899999999999999E-2</v>
      </c>
      <c r="H26838" s="26">
        <v>2.9600000000000001E-2</v>
      </c>
      <c r="I26838">
        <v>109</v>
      </c>
    </row>
    <row r="26839" spans="1:9" x14ac:dyDescent="0.35">
      <c r="A26839" s="27" t="s">
        <v>231</v>
      </c>
      <c r="B26839" s="27" t="s">
        <v>252</v>
      </c>
      <c r="C26839" s="28">
        <v>0.54549999999999998</v>
      </c>
      <c r="D26839" s="28">
        <v>0.2727</v>
      </c>
      <c r="E26839" s="28">
        <v>0.18179999999999999</v>
      </c>
      <c r="F26839" s="29"/>
      <c r="G26839" s="29"/>
      <c r="H26839" s="29"/>
      <c r="I26839" s="29" t="s">
        <v>352</v>
      </c>
    </row>
    <row r="26840" spans="1:9" x14ac:dyDescent="0.35">
      <c r="A26840" s="27" t="s">
        <v>231</v>
      </c>
      <c r="B26840" s="27" t="s">
        <v>253</v>
      </c>
      <c r="C26840" s="28">
        <v>0.81820000000000004</v>
      </c>
      <c r="D26840" s="28">
        <v>9.0899999999999995E-2</v>
      </c>
      <c r="E26840" s="29"/>
      <c r="F26840" s="28">
        <v>9.0899999999999995E-2</v>
      </c>
      <c r="G26840" s="29"/>
      <c r="H26840" s="29"/>
      <c r="I26840" s="29" t="s">
        <v>352</v>
      </c>
    </row>
    <row r="26841" spans="1:9" x14ac:dyDescent="0.35">
      <c r="A26841" s="27" t="s">
        <v>231</v>
      </c>
      <c r="B26841" s="27" t="s">
        <v>251</v>
      </c>
      <c r="C26841" s="28">
        <v>0.4375</v>
      </c>
      <c r="D26841" s="28">
        <v>0.25</v>
      </c>
      <c r="E26841" s="28">
        <v>0.125</v>
      </c>
      <c r="F26841" s="28">
        <v>6.25E-2</v>
      </c>
      <c r="G26841" s="28">
        <v>0.125</v>
      </c>
      <c r="H26841" s="29"/>
      <c r="I26841" s="29" t="s">
        <v>348</v>
      </c>
    </row>
    <row r="26842" spans="1:9" x14ac:dyDescent="0.35">
      <c r="A26842" t="s">
        <v>232</v>
      </c>
      <c r="B26842" t="s">
        <v>232</v>
      </c>
      <c r="C26842" s="26">
        <v>0.53090000000000004</v>
      </c>
      <c r="D26842" s="26">
        <v>0.22140000000000001</v>
      </c>
      <c r="E26842" s="26">
        <v>0.15010000000000001</v>
      </c>
      <c r="F26842" s="26">
        <v>5.1700000000000003E-2</v>
      </c>
      <c r="G26842" s="26">
        <v>2.8199999999999999E-2</v>
      </c>
      <c r="H26842" s="26">
        <v>1.7500000000000002E-2</v>
      </c>
      <c r="I26842">
        <v>982</v>
      </c>
    </row>
    <row r="26844" spans="1:9" x14ac:dyDescent="0.35">
      <c r="A26844" s="1" t="s">
        <v>2435</v>
      </c>
    </row>
    <row r="26845" spans="1:9" x14ac:dyDescent="0.35">
      <c r="A26845" t="s">
        <v>219</v>
      </c>
      <c r="B26845" t="s">
        <v>305</v>
      </c>
      <c r="C26845" t="s">
        <v>2424</v>
      </c>
      <c r="D26845" t="s">
        <v>2425</v>
      </c>
      <c r="E26845" t="s">
        <v>2426</v>
      </c>
      <c r="F26845" t="s">
        <v>2427</v>
      </c>
      <c r="G26845" t="s">
        <v>2428</v>
      </c>
      <c r="H26845" t="s">
        <v>286</v>
      </c>
      <c r="I26845" t="s">
        <v>226</v>
      </c>
    </row>
    <row r="26846" spans="1:9" x14ac:dyDescent="0.35">
      <c r="A26846" s="27" t="s">
        <v>227</v>
      </c>
      <c r="B26846" s="27" t="s">
        <v>249</v>
      </c>
      <c r="C26846" s="28">
        <v>0.5</v>
      </c>
      <c r="D26846" s="28">
        <v>0.25</v>
      </c>
      <c r="E26846" s="29"/>
      <c r="F26846" s="28">
        <v>0.125</v>
      </c>
      <c r="G26846" s="28">
        <v>0.125</v>
      </c>
      <c r="H26846" s="29"/>
      <c r="I26846" s="29" t="s">
        <v>333</v>
      </c>
    </row>
    <row r="26847" spans="1:9" x14ac:dyDescent="0.35">
      <c r="A26847" s="27" t="s">
        <v>227</v>
      </c>
      <c r="B26847" s="27" t="s">
        <v>248</v>
      </c>
      <c r="C26847" s="28">
        <v>0.47620000000000001</v>
      </c>
      <c r="D26847" s="28">
        <v>9.5200000000000007E-2</v>
      </c>
      <c r="E26847" s="28">
        <v>0.1429</v>
      </c>
      <c r="F26847" s="28">
        <v>0.1905</v>
      </c>
      <c r="G26847" s="29"/>
      <c r="H26847" s="28">
        <v>9.5200000000000007E-2</v>
      </c>
      <c r="I26847" s="29" t="s">
        <v>351</v>
      </c>
    </row>
    <row r="26848" spans="1:9" x14ac:dyDescent="0.35">
      <c r="A26848" t="s">
        <v>228</v>
      </c>
      <c r="B26848" t="s">
        <v>249</v>
      </c>
      <c r="C26848" s="26">
        <v>0.52259999999999995</v>
      </c>
      <c r="D26848" s="26">
        <v>0.25190000000000001</v>
      </c>
      <c r="E26848" s="26">
        <v>0.1211</v>
      </c>
      <c r="F26848" s="26">
        <v>6.6000000000000003E-2</v>
      </c>
      <c r="G26848" s="26">
        <v>3.0700000000000002E-2</v>
      </c>
      <c r="H26848" s="26">
        <v>7.7000000000000002E-3</v>
      </c>
      <c r="I26848">
        <v>116</v>
      </c>
    </row>
    <row r="26849" spans="1:9" x14ac:dyDescent="0.35">
      <c r="A26849" t="s">
        <v>228</v>
      </c>
      <c r="B26849" t="s">
        <v>248</v>
      </c>
      <c r="C26849" s="26">
        <v>0.50600000000000001</v>
      </c>
      <c r="D26849" s="26">
        <v>0.25130000000000002</v>
      </c>
      <c r="E26849" s="26">
        <v>0.1648</v>
      </c>
      <c r="F26849" s="26">
        <v>6.2399999999999997E-2</v>
      </c>
      <c r="G26849" s="26">
        <v>1.5E-3</v>
      </c>
      <c r="H26849" s="26">
        <v>1.41E-2</v>
      </c>
      <c r="I26849">
        <v>325</v>
      </c>
    </row>
    <row r="26850" spans="1:9" x14ac:dyDescent="0.35">
      <c r="A26850" t="s">
        <v>229</v>
      </c>
      <c r="B26850" t="s">
        <v>249</v>
      </c>
      <c r="C26850" s="26">
        <v>0.44640000000000002</v>
      </c>
      <c r="D26850" s="26">
        <v>0.39629999999999999</v>
      </c>
      <c r="E26850" s="26">
        <v>0.1132</v>
      </c>
      <c r="F26850" s="26">
        <v>3.0999999999999999E-3</v>
      </c>
      <c r="G26850" s="26">
        <v>4.1000000000000002E-2</v>
      </c>
      <c r="I26850">
        <v>61</v>
      </c>
    </row>
    <row r="26851" spans="1:9" x14ac:dyDescent="0.35">
      <c r="A26851" t="s">
        <v>229</v>
      </c>
      <c r="B26851" t="s">
        <v>248</v>
      </c>
      <c r="C26851" s="26">
        <v>0.57140000000000002</v>
      </c>
      <c r="D26851" s="26">
        <v>0.1346</v>
      </c>
      <c r="E26851" s="26">
        <v>0.2447</v>
      </c>
      <c r="F26851" s="26">
        <v>6.4000000000000003E-3</v>
      </c>
      <c r="G26851" s="26">
        <v>1.61E-2</v>
      </c>
      <c r="H26851" s="26">
        <v>2.6800000000000001E-2</v>
      </c>
      <c r="I26851">
        <v>170</v>
      </c>
    </row>
    <row r="26852" spans="1:9" x14ac:dyDescent="0.35">
      <c r="A26852" t="s">
        <v>230</v>
      </c>
      <c r="B26852" t="s">
        <v>249</v>
      </c>
      <c r="C26852" s="26">
        <v>0.57699999999999996</v>
      </c>
      <c r="D26852" s="26">
        <v>0.23769999999999999</v>
      </c>
      <c r="E26852" s="26">
        <v>0.1176</v>
      </c>
      <c r="F26852" s="26">
        <v>1.67E-2</v>
      </c>
      <c r="G26852" s="26">
        <v>5.0999999999999997E-2</v>
      </c>
      <c r="I26852">
        <v>73</v>
      </c>
    </row>
    <row r="26853" spans="1:9" x14ac:dyDescent="0.35">
      <c r="A26853" t="s">
        <v>230</v>
      </c>
      <c r="B26853" t="s">
        <v>248</v>
      </c>
      <c r="C26853" s="26">
        <v>0.46860000000000002</v>
      </c>
      <c r="D26853" s="26">
        <v>0.29770000000000002</v>
      </c>
      <c r="E26853" s="26">
        <v>0.19350000000000001</v>
      </c>
      <c r="F26853" s="26">
        <v>9.4000000000000004E-3</v>
      </c>
      <c r="G26853" s="26">
        <v>4.3E-3</v>
      </c>
      <c r="H26853" s="26">
        <v>2.6599999999999999E-2</v>
      </c>
      <c r="I26853">
        <v>170</v>
      </c>
    </row>
    <row r="26854" spans="1:9" x14ac:dyDescent="0.35">
      <c r="A26854" s="27" t="s">
        <v>231</v>
      </c>
      <c r="B26854" s="27" t="s">
        <v>249</v>
      </c>
      <c r="C26854" s="28">
        <v>0.55559999999999998</v>
      </c>
      <c r="D26854" s="29"/>
      <c r="E26854" s="28">
        <v>0.22220000000000001</v>
      </c>
      <c r="F26854" s="28">
        <v>0.1111</v>
      </c>
      <c r="G26854" s="28">
        <v>0.1111</v>
      </c>
      <c r="H26854" s="29"/>
      <c r="I26854" s="29" t="s">
        <v>334</v>
      </c>
    </row>
    <row r="26855" spans="1:9" x14ac:dyDescent="0.35">
      <c r="A26855" s="27" t="s">
        <v>231</v>
      </c>
      <c r="B26855" s="27" t="s">
        <v>248</v>
      </c>
      <c r="C26855" s="28">
        <v>0.58620000000000005</v>
      </c>
      <c r="D26855" s="28">
        <v>0.27589999999999998</v>
      </c>
      <c r="E26855" s="28">
        <v>6.9000000000000006E-2</v>
      </c>
      <c r="F26855" s="28">
        <v>3.4500000000000003E-2</v>
      </c>
      <c r="G26855" s="28">
        <v>3.4500000000000003E-2</v>
      </c>
      <c r="H26855" s="29"/>
      <c r="I26855" s="29" t="s">
        <v>329</v>
      </c>
    </row>
    <row r="26856" spans="1:9" x14ac:dyDescent="0.35">
      <c r="A26856" t="s">
        <v>232</v>
      </c>
      <c r="B26856" t="s">
        <v>232</v>
      </c>
      <c r="C26856" s="26">
        <v>0.53090000000000004</v>
      </c>
      <c r="D26856" s="26">
        <v>0.22140000000000001</v>
      </c>
      <c r="E26856" s="26">
        <v>0.15010000000000001</v>
      </c>
      <c r="F26856" s="26">
        <v>5.1700000000000003E-2</v>
      </c>
      <c r="G26856" s="26">
        <v>2.8199999999999999E-2</v>
      </c>
      <c r="H26856" s="26">
        <v>1.7500000000000002E-2</v>
      </c>
      <c r="I26856">
        <v>982</v>
      </c>
    </row>
    <row r="26858" spans="1:9" x14ac:dyDescent="0.35">
      <c r="A26858" s="1" t="s">
        <v>2436</v>
      </c>
    </row>
    <row r="26859" spans="1:9" x14ac:dyDescent="0.35">
      <c r="A26859" t="s">
        <v>219</v>
      </c>
      <c r="B26859" t="s">
        <v>305</v>
      </c>
      <c r="C26859" t="s">
        <v>2424</v>
      </c>
      <c r="D26859" t="s">
        <v>2425</v>
      </c>
      <c r="E26859" t="s">
        <v>2426</v>
      </c>
      <c r="F26859" t="s">
        <v>2427</v>
      </c>
      <c r="G26859" t="s">
        <v>2428</v>
      </c>
      <c r="H26859" t="s">
        <v>286</v>
      </c>
      <c r="I26859" t="s">
        <v>226</v>
      </c>
    </row>
    <row r="26860" spans="1:9" x14ac:dyDescent="0.35">
      <c r="A26860" s="27" t="s">
        <v>227</v>
      </c>
      <c r="B26860" s="27" t="s">
        <v>261</v>
      </c>
      <c r="C26860" s="28">
        <v>0.5</v>
      </c>
      <c r="D26860" s="28">
        <v>0.125</v>
      </c>
      <c r="E26860" s="28">
        <v>6.25E-2</v>
      </c>
      <c r="F26860" s="28">
        <v>0.25</v>
      </c>
      <c r="G26860" s="29"/>
      <c r="H26860" s="28">
        <v>6.25E-2</v>
      </c>
      <c r="I26860" s="29" t="s">
        <v>348</v>
      </c>
    </row>
    <row r="26861" spans="1:9" x14ac:dyDescent="0.35">
      <c r="A26861" s="27" t="s">
        <v>227</v>
      </c>
      <c r="B26861" s="27" t="s">
        <v>260</v>
      </c>
      <c r="C26861" s="28">
        <v>0.46150000000000002</v>
      </c>
      <c r="D26861" s="28">
        <v>0.15379999999999999</v>
      </c>
      <c r="E26861" s="28">
        <v>0.15379999999999999</v>
      </c>
      <c r="F26861" s="28">
        <v>7.6899999999999996E-2</v>
      </c>
      <c r="G26861" s="28">
        <v>7.6899999999999996E-2</v>
      </c>
      <c r="H26861" s="28">
        <v>7.6899999999999996E-2</v>
      </c>
      <c r="I26861" s="29" t="s">
        <v>341</v>
      </c>
    </row>
    <row r="26862" spans="1:9" x14ac:dyDescent="0.35">
      <c r="A26862" s="27" t="s">
        <v>228</v>
      </c>
      <c r="B26862" s="27" t="s">
        <v>263</v>
      </c>
      <c r="C26862" s="28">
        <v>0.3407</v>
      </c>
      <c r="D26862" s="28">
        <v>0.46250000000000002</v>
      </c>
      <c r="E26862" s="28">
        <v>0.1968</v>
      </c>
      <c r="F26862" s="29"/>
      <c r="G26862" s="29"/>
      <c r="H26862" s="29"/>
      <c r="I26862" s="29" t="s">
        <v>346</v>
      </c>
    </row>
    <row r="26863" spans="1:9" x14ac:dyDescent="0.35">
      <c r="A26863" t="s">
        <v>228</v>
      </c>
      <c r="B26863" t="s">
        <v>261</v>
      </c>
      <c r="C26863" s="26">
        <v>0.48209999999999997</v>
      </c>
      <c r="D26863" s="26">
        <v>0.2767</v>
      </c>
      <c r="E26863" s="26">
        <v>0.1157</v>
      </c>
      <c r="F26863" s="26">
        <v>0.105</v>
      </c>
      <c r="G26863" s="26">
        <v>2.8E-3</v>
      </c>
      <c r="H26863" s="26">
        <v>1.77E-2</v>
      </c>
      <c r="I26863">
        <v>130</v>
      </c>
    </row>
    <row r="26864" spans="1:9" x14ac:dyDescent="0.35">
      <c r="A26864" t="s">
        <v>228</v>
      </c>
      <c r="B26864" t="s">
        <v>262</v>
      </c>
      <c r="C26864" s="26">
        <v>0.41649999999999998</v>
      </c>
      <c r="D26864" s="26">
        <v>0.32969999999999999</v>
      </c>
      <c r="E26864" s="26">
        <v>0.19120000000000001</v>
      </c>
      <c r="F26864" s="26">
        <v>5.2400000000000002E-2</v>
      </c>
      <c r="H26864" s="26">
        <v>1.0200000000000001E-2</v>
      </c>
      <c r="I26864">
        <v>86</v>
      </c>
    </row>
    <row r="26865" spans="1:9" x14ac:dyDescent="0.35">
      <c r="A26865" t="s">
        <v>228</v>
      </c>
      <c r="B26865" t="s">
        <v>260</v>
      </c>
      <c r="C26865" s="26">
        <v>0.59640000000000004</v>
      </c>
      <c r="D26865" s="26">
        <v>0.17130000000000001</v>
      </c>
      <c r="E26865" s="26">
        <v>0.16250000000000001</v>
      </c>
      <c r="F26865" s="26">
        <v>3.7600000000000001E-2</v>
      </c>
      <c r="G26865" s="26">
        <v>2.3099999999999999E-2</v>
      </c>
      <c r="H26865" s="26">
        <v>9.1000000000000004E-3</v>
      </c>
      <c r="I26865">
        <v>207</v>
      </c>
    </row>
    <row r="26866" spans="1:9" x14ac:dyDescent="0.35">
      <c r="A26866" s="27" t="s">
        <v>228</v>
      </c>
      <c r="B26866" s="27" t="s">
        <v>236</v>
      </c>
      <c r="C26866" s="28">
        <v>0.16289999999999999</v>
      </c>
      <c r="D26866" s="28">
        <v>0.83709999999999996</v>
      </c>
      <c r="E26866" s="29"/>
      <c r="F26866" s="29"/>
      <c r="G26866" s="29"/>
      <c r="H26866" s="29"/>
      <c r="I26866" s="29" t="s">
        <v>315</v>
      </c>
    </row>
    <row r="26867" spans="1:9" x14ac:dyDescent="0.35">
      <c r="A26867" s="27" t="s">
        <v>229</v>
      </c>
      <c r="B26867" s="27" t="s">
        <v>263</v>
      </c>
      <c r="C26867" s="28">
        <v>0.45240000000000002</v>
      </c>
      <c r="D26867" s="28">
        <v>0.30120000000000002</v>
      </c>
      <c r="E26867" s="28">
        <v>0.24640000000000001</v>
      </c>
      <c r="F26867" s="29"/>
      <c r="G26867" s="29"/>
      <c r="H26867" s="29"/>
      <c r="I26867" s="29" t="s">
        <v>332</v>
      </c>
    </row>
    <row r="26868" spans="1:9" x14ac:dyDescent="0.35">
      <c r="A26868" t="s">
        <v>229</v>
      </c>
      <c r="B26868" t="s">
        <v>261</v>
      </c>
      <c r="C26868" s="26">
        <v>0.65810000000000002</v>
      </c>
      <c r="D26868" s="26">
        <v>0.16769999999999999</v>
      </c>
      <c r="E26868" s="26">
        <v>8.4599999999999995E-2</v>
      </c>
      <c r="G26868" s="26">
        <v>3.85E-2</v>
      </c>
      <c r="H26868" s="26">
        <v>5.11E-2</v>
      </c>
      <c r="I26868">
        <v>48</v>
      </c>
    </row>
    <row r="26869" spans="1:9" x14ac:dyDescent="0.35">
      <c r="A26869" t="s">
        <v>229</v>
      </c>
      <c r="B26869" t="s">
        <v>260</v>
      </c>
      <c r="C26869" s="26">
        <v>0.4501</v>
      </c>
      <c r="D26869" s="26">
        <v>0.23150000000000001</v>
      </c>
      <c r="E26869" s="26">
        <v>0.30630000000000002</v>
      </c>
      <c r="F26869" s="26">
        <v>2.2000000000000001E-3</v>
      </c>
      <c r="H26869" s="26">
        <v>9.9000000000000008E-3</v>
      </c>
      <c r="I26869">
        <v>138</v>
      </c>
    </row>
    <row r="26870" spans="1:9" x14ac:dyDescent="0.35">
      <c r="A26870" t="s">
        <v>229</v>
      </c>
      <c r="B26870" t="s">
        <v>262</v>
      </c>
      <c r="C26870" s="26">
        <v>0.54479999999999995</v>
      </c>
      <c r="D26870" s="26">
        <v>0.19969999999999999</v>
      </c>
      <c r="E26870" s="26">
        <v>0.19089999999999999</v>
      </c>
      <c r="F26870" s="26">
        <v>1.84E-2</v>
      </c>
      <c r="G26870" s="26">
        <v>4.6300000000000001E-2</v>
      </c>
      <c r="I26870">
        <v>40</v>
      </c>
    </row>
    <row r="26871" spans="1:9" x14ac:dyDescent="0.35">
      <c r="A26871" s="27" t="s">
        <v>230</v>
      </c>
      <c r="B26871" s="27" t="s">
        <v>263</v>
      </c>
      <c r="C26871" s="28">
        <v>0.57930000000000004</v>
      </c>
      <c r="D26871" s="28">
        <v>0.1898</v>
      </c>
      <c r="E26871" s="28">
        <v>0.20200000000000001</v>
      </c>
      <c r="F26871" s="29"/>
      <c r="G26871" s="29"/>
      <c r="H26871" s="28">
        <v>2.8899999999999999E-2</v>
      </c>
      <c r="I26871" s="29" t="s">
        <v>351</v>
      </c>
    </row>
    <row r="26872" spans="1:9" x14ac:dyDescent="0.35">
      <c r="A26872" t="s">
        <v>230</v>
      </c>
      <c r="B26872" t="s">
        <v>262</v>
      </c>
      <c r="C26872" s="26">
        <v>0.3422</v>
      </c>
      <c r="D26872" s="26">
        <v>0.48099999999999998</v>
      </c>
      <c r="E26872" s="26">
        <v>0.11840000000000001</v>
      </c>
      <c r="F26872" s="26">
        <v>2.1899999999999999E-2</v>
      </c>
      <c r="G26872" s="26">
        <v>3.6499999999999998E-2</v>
      </c>
      <c r="I26872">
        <v>53</v>
      </c>
    </row>
    <row r="26873" spans="1:9" x14ac:dyDescent="0.35">
      <c r="A26873" t="s">
        <v>230</v>
      </c>
      <c r="B26873" t="s">
        <v>261</v>
      </c>
      <c r="C26873" s="26">
        <v>0.77400000000000002</v>
      </c>
      <c r="D26873" s="26">
        <v>8.8700000000000001E-2</v>
      </c>
      <c r="E26873" s="26">
        <v>0.1268</v>
      </c>
      <c r="F26873" s="26">
        <v>1.04E-2</v>
      </c>
      <c r="I26873">
        <v>34</v>
      </c>
    </row>
    <row r="26874" spans="1:9" x14ac:dyDescent="0.35">
      <c r="A26874" t="s">
        <v>230</v>
      </c>
      <c r="B26874" t="s">
        <v>260</v>
      </c>
      <c r="C26874" s="26">
        <v>0.42449999999999999</v>
      </c>
      <c r="D26874" s="26">
        <v>0.31230000000000002</v>
      </c>
      <c r="E26874" s="26">
        <v>0.1951</v>
      </c>
      <c r="F26874" s="26">
        <v>1.0999999999999999E-2</v>
      </c>
      <c r="G26874" s="26">
        <v>2.8500000000000001E-2</v>
      </c>
      <c r="H26874" s="26">
        <v>2.8500000000000001E-2</v>
      </c>
      <c r="I26874">
        <v>133</v>
      </c>
    </row>
    <row r="26875" spans="1:9" x14ac:dyDescent="0.35">
      <c r="A26875" s="27" t="s">
        <v>230</v>
      </c>
      <c r="B26875" s="27" t="s">
        <v>236</v>
      </c>
      <c r="C26875" s="28">
        <v>0.76470000000000005</v>
      </c>
      <c r="D26875" s="28">
        <v>0.23530000000000001</v>
      </c>
      <c r="E26875" s="29"/>
      <c r="F26875" s="29"/>
      <c r="G26875" s="29"/>
      <c r="H26875" s="29"/>
      <c r="I26875" s="29" t="s">
        <v>314</v>
      </c>
    </row>
    <row r="26876" spans="1:9" x14ac:dyDescent="0.35">
      <c r="A26876" s="27" t="s">
        <v>231</v>
      </c>
      <c r="B26876" s="27" t="s">
        <v>260</v>
      </c>
      <c r="C26876" s="28">
        <v>0.5</v>
      </c>
      <c r="D26876" s="28">
        <v>0.15</v>
      </c>
      <c r="E26876" s="28">
        <v>0.15</v>
      </c>
      <c r="F26876" s="28">
        <v>0.1</v>
      </c>
      <c r="G26876" s="28">
        <v>0.1</v>
      </c>
      <c r="H26876" s="29"/>
      <c r="I26876" s="29" t="s">
        <v>350</v>
      </c>
    </row>
    <row r="26877" spans="1:9" x14ac:dyDescent="0.35">
      <c r="A26877" s="27" t="s">
        <v>231</v>
      </c>
      <c r="B26877" s="27" t="s">
        <v>261</v>
      </c>
      <c r="C26877" s="28">
        <v>0.73329999999999995</v>
      </c>
      <c r="D26877" s="28">
        <v>0.2</v>
      </c>
      <c r="E26877" s="28">
        <v>6.6699999999999995E-2</v>
      </c>
      <c r="F26877" s="29"/>
      <c r="G26877" s="29"/>
      <c r="H26877" s="29"/>
      <c r="I26877" s="29" t="s">
        <v>346</v>
      </c>
    </row>
    <row r="26878" spans="1:9" x14ac:dyDescent="0.35">
      <c r="A26878" s="27" t="s">
        <v>231</v>
      </c>
      <c r="B26878" s="27" t="s">
        <v>262</v>
      </c>
      <c r="C26878" s="28">
        <v>0.33329999999999999</v>
      </c>
      <c r="D26878" s="28">
        <v>0.66669999999999996</v>
      </c>
      <c r="E26878" s="29"/>
      <c r="F26878" s="29"/>
      <c r="G26878" s="29"/>
      <c r="H26878" s="29"/>
      <c r="I26878" s="29" t="s">
        <v>315</v>
      </c>
    </row>
    <row r="26879" spans="1:9" x14ac:dyDescent="0.35">
      <c r="A26879" t="s">
        <v>232</v>
      </c>
      <c r="B26879" t="s">
        <v>232</v>
      </c>
      <c r="C26879" s="26">
        <v>0.53090000000000004</v>
      </c>
      <c r="D26879" s="26">
        <v>0.22140000000000001</v>
      </c>
      <c r="E26879" s="26">
        <v>0.15010000000000001</v>
      </c>
      <c r="F26879" s="26">
        <v>5.1700000000000003E-2</v>
      </c>
      <c r="G26879" s="26">
        <v>2.8199999999999999E-2</v>
      </c>
      <c r="H26879" s="26">
        <v>1.7500000000000002E-2</v>
      </c>
      <c r="I26879">
        <v>982</v>
      </c>
    </row>
    <row r="26881" spans="1:9" x14ac:dyDescent="0.35">
      <c r="A26881" s="1" t="s">
        <v>2437</v>
      </c>
    </row>
    <row r="26882" spans="1:9" x14ac:dyDescent="0.35">
      <c r="A26882" t="s">
        <v>219</v>
      </c>
      <c r="B26882" t="s">
        <v>305</v>
      </c>
      <c r="C26882" t="s">
        <v>2424</v>
      </c>
      <c r="D26882" t="s">
        <v>2425</v>
      </c>
      <c r="E26882" t="s">
        <v>2426</v>
      </c>
      <c r="F26882" t="s">
        <v>2427</v>
      </c>
      <c r="G26882" t="s">
        <v>2428</v>
      </c>
      <c r="H26882" t="s">
        <v>286</v>
      </c>
      <c r="I26882" t="s">
        <v>226</v>
      </c>
    </row>
    <row r="26883" spans="1:9" x14ac:dyDescent="0.35">
      <c r="A26883" s="27" t="s">
        <v>227</v>
      </c>
      <c r="B26883" s="27" t="s">
        <v>368</v>
      </c>
      <c r="C26883" s="28">
        <v>0.5</v>
      </c>
      <c r="D26883" s="28">
        <v>0.125</v>
      </c>
      <c r="E26883" s="28">
        <v>6.25E-2</v>
      </c>
      <c r="F26883" s="28">
        <v>0.25</v>
      </c>
      <c r="G26883" s="29"/>
      <c r="H26883" s="28">
        <v>6.25E-2</v>
      </c>
      <c r="I26883" s="29" t="s">
        <v>348</v>
      </c>
    </row>
    <row r="26884" spans="1:9" x14ac:dyDescent="0.35">
      <c r="A26884" s="27" t="s">
        <v>227</v>
      </c>
      <c r="B26884" s="27" t="s">
        <v>369</v>
      </c>
      <c r="C26884" s="28">
        <v>0.46150000000000002</v>
      </c>
      <c r="D26884" s="28">
        <v>0.15379999999999999</v>
      </c>
      <c r="E26884" s="28">
        <v>0.15379999999999999</v>
      </c>
      <c r="F26884" s="28">
        <v>7.6899999999999996E-2</v>
      </c>
      <c r="G26884" s="28">
        <v>7.6899999999999996E-2</v>
      </c>
      <c r="H26884" s="28">
        <v>7.6899999999999996E-2</v>
      </c>
      <c r="I26884" s="29" t="s">
        <v>341</v>
      </c>
    </row>
    <row r="26885" spans="1:9" x14ac:dyDescent="0.35">
      <c r="A26885" t="s">
        <v>228</v>
      </c>
      <c r="B26885" t="s">
        <v>368</v>
      </c>
      <c r="C26885" s="26">
        <v>0.48209999999999997</v>
      </c>
      <c r="D26885" s="26">
        <v>0.2767</v>
      </c>
      <c r="E26885" s="26">
        <v>0.1157</v>
      </c>
      <c r="F26885" s="26">
        <v>0.105</v>
      </c>
      <c r="G26885" s="26">
        <v>2.8E-3</v>
      </c>
      <c r="H26885" s="26">
        <v>1.77E-2</v>
      </c>
      <c r="I26885">
        <v>130</v>
      </c>
    </row>
    <row r="26886" spans="1:9" x14ac:dyDescent="0.35">
      <c r="A26886" t="s">
        <v>228</v>
      </c>
      <c r="B26886" t="s">
        <v>369</v>
      </c>
      <c r="C26886" s="26">
        <v>0.52780000000000005</v>
      </c>
      <c r="D26886" s="26">
        <v>0.23699999999999999</v>
      </c>
      <c r="E26886" s="26">
        <v>0.1716</v>
      </c>
      <c r="F26886" s="26">
        <v>3.9699999999999999E-2</v>
      </c>
      <c r="G26886" s="26">
        <v>1.4999999999999999E-2</v>
      </c>
      <c r="H26886" s="26">
        <v>8.8999999999999999E-3</v>
      </c>
      <c r="I26886">
        <v>311</v>
      </c>
    </row>
    <row r="26887" spans="1:9" x14ac:dyDescent="0.35">
      <c r="A26887" t="s">
        <v>229</v>
      </c>
      <c r="B26887" t="s">
        <v>368</v>
      </c>
      <c r="C26887" s="26">
        <v>0.65810000000000002</v>
      </c>
      <c r="D26887" s="26">
        <v>0.16769999999999999</v>
      </c>
      <c r="E26887" s="26">
        <v>8.4599999999999995E-2</v>
      </c>
      <c r="G26887" s="26">
        <v>3.85E-2</v>
      </c>
      <c r="H26887" s="26">
        <v>5.11E-2</v>
      </c>
      <c r="I26887">
        <v>48</v>
      </c>
    </row>
    <row r="26888" spans="1:9" x14ac:dyDescent="0.35">
      <c r="A26888" t="s">
        <v>229</v>
      </c>
      <c r="B26888" t="s">
        <v>369</v>
      </c>
      <c r="C26888" s="26">
        <v>0.48399999999999999</v>
      </c>
      <c r="D26888" s="26">
        <v>0.2258</v>
      </c>
      <c r="E26888" s="26">
        <v>0.26040000000000002</v>
      </c>
      <c r="F26888" s="26">
        <v>7.7999999999999996E-3</v>
      </c>
      <c r="G26888" s="26">
        <v>1.6500000000000001E-2</v>
      </c>
      <c r="H26888" s="26">
        <v>5.5999999999999999E-3</v>
      </c>
      <c r="I26888">
        <v>183</v>
      </c>
    </row>
    <row r="26889" spans="1:9" x14ac:dyDescent="0.35">
      <c r="A26889" t="s">
        <v>230</v>
      </c>
      <c r="B26889" t="s">
        <v>368</v>
      </c>
      <c r="C26889" s="26">
        <v>0.77400000000000002</v>
      </c>
      <c r="D26889" s="26">
        <v>8.8700000000000001E-2</v>
      </c>
      <c r="E26889" s="26">
        <v>0.1268</v>
      </c>
      <c r="F26889" s="26">
        <v>1.04E-2</v>
      </c>
      <c r="I26889">
        <v>34</v>
      </c>
    </row>
    <row r="26890" spans="1:9" x14ac:dyDescent="0.35">
      <c r="A26890" t="s">
        <v>230</v>
      </c>
      <c r="B26890" t="s">
        <v>369</v>
      </c>
      <c r="C26890" s="26">
        <v>0.41560000000000002</v>
      </c>
      <c r="D26890" s="26">
        <v>0.34100000000000003</v>
      </c>
      <c r="E26890" s="26">
        <v>0.1792</v>
      </c>
      <c r="F26890" s="26">
        <v>1.2699999999999999E-2</v>
      </c>
      <c r="G26890" s="26">
        <v>2.8899999999999999E-2</v>
      </c>
      <c r="H26890" s="26">
        <v>2.2700000000000001E-2</v>
      </c>
      <c r="I26890">
        <v>209</v>
      </c>
    </row>
    <row r="26891" spans="1:9" x14ac:dyDescent="0.35">
      <c r="A26891" s="27" t="s">
        <v>231</v>
      </c>
      <c r="B26891" s="27" t="s">
        <v>368</v>
      </c>
      <c r="C26891" s="28">
        <v>0.73329999999999995</v>
      </c>
      <c r="D26891" s="28">
        <v>0.2</v>
      </c>
      <c r="E26891" s="28">
        <v>6.6699999999999995E-2</v>
      </c>
      <c r="F26891" s="29"/>
      <c r="G26891" s="29"/>
      <c r="H26891" s="29"/>
      <c r="I26891" s="29" t="s">
        <v>346</v>
      </c>
    </row>
    <row r="26892" spans="1:9" x14ac:dyDescent="0.35">
      <c r="A26892" s="27" t="s">
        <v>231</v>
      </c>
      <c r="B26892" s="27" t="s">
        <v>369</v>
      </c>
      <c r="C26892" s="28">
        <v>0.4783</v>
      </c>
      <c r="D26892" s="28">
        <v>0.21740000000000001</v>
      </c>
      <c r="E26892" s="28">
        <v>0.13039999999999999</v>
      </c>
      <c r="F26892" s="28">
        <v>8.6999999999999994E-2</v>
      </c>
      <c r="G26892" s="28">
        <v>8.6999999999999994E-2</v>
      </c>
      <c r="H26892" s="29"/>
      <c r="I26892" s="29" t="s">
        <v>328</v>
      </c>
    </row>
    <row r="26893" spans="1:9" x14ac:dyDescent="0.35">
      <c r="A26893" t="s">
        <v>232</v>
      </c>
      <c r="B26893" t="s">
        <v>232</v>
      </c>
      <c r="C26893" s="26">
        <v>0.53090000000000004</v>
      </c>
      <c r="D26893" s="26">
        <v>0.22140000000000001</v>
      </c>
      <c r="E26893" s="26">
        <v>0.15010000000000001</v>
      </c>
      <c r="F26893" s="26">
        <v>5.1700000000000003E-2</v>
      </c>
      <c r="G26893" s="26">
        <v>2.8199999999999999E-2</v>
      </c>
      <c r="H26893" s="26">
        <v>1.7500000000000002E-2</v>
      </c>
      <c r="I26893">
        <v>982</v>
      </c>
    </row>
    <row r="26895" spans="1:9" x14ac:dyDescent="0.35">
      <c r="A26895" s="1" t="s">
        <v>2438</v>
      </c>
    </row>
    <row r="26896" spans="1:9" x14ac:dyDescent="0.35">
      <c r="A26896" t="s">
        <v>219</v>
      </c>
      <c r="B26896" t="s">
        <v>305</v>
      </c>
      <c r="C26896" t="s">
        <v>2424</v>
      </c>
      <c r="D26896" t="s">
        <v>2425</v>
      </c>
      <c r="E26896" t="s">
        <v>2426</v>
      </c>
      <c r="F26896" t="s">
        <v>2427</v>
      </c>
      <c r="G26896" t="s">
        <v>2428</v>
      </c>
      <c r="H26896" t="s">
        <v>286</v>
      </c>
      <c r="I26896" t="s">
        <v>226</v>
      </c>
    </row>
    <row r="26897" spans="1:9" x14ac:dyDescent="0.35">
      <c r="A26897" s="27" t="s">
        <v>227</v>
      </c>
      <c r="B26897" s="27" t="s">
        <v>371</v>
      </c>
      <c r="C26897" s="28">
        <v>0.48280000000000001</v>
      </c>
      <c r="D26897" s="28">
        <v>0.13789999999999999</v>
      </c>
      <c r="E26897" s="28">
        <v>0.10340000000000001</v>
      </c>
      <c r="F26897" s="28">
        <v>0.1724</v>
      </c>
      <c r="G26897" s="28">
        <v>3.4500000000000003E-2</v>
      </c>
      <c r="H26897" s="28">
        <v>6.9000000000000006E-2</v>
      </c>
      <c r="I26897" s="29" t="s">
        <v>329</v>
      </c>
    </row>
    <row r="26898" spans="1:9" x14ac:dyDescent="0.35">
      <c r="A26898" t="s">
        <v>228</v>
      </c>
      <c r="B26898" t="s">
        <v>371</v>
      </c>
      <c r="C26898" s="26">
        <v>0.5514</v>
      </c>
      <c r="D26898" s="26">
        <v>0.24579999999999999</v>
      </c>
      <c r="E26898" s="26">
        <v>9.7199999999999995E-2</v>
      </c>
      <c r="F26898" s="26">
        <v>8.3699999999999997E-2</v>
      </c>
      <c r="G26898" s="26">
        <v>2.1999999999999999E-2</v>
      </c>
      <c r="I26898">
        <v>101</v>
      </c>
    </row>
    <row r="26899" spans="1:9" x14ac:dyDescent="0.35">
      <c r="A26899" t="s">
        <v>228</v>
      </c>
      <c r="B26899" t="s">
        <v>372</v>
      </c>
      <c r="C26899" s="26">
        <v>0.52790000000000004</v>
      </c>
      <c r="D26899" s="26">
        <v>0.22159999999999999</v>
      </c>
      <c r="E26899" s="26">
        <v>0.19339999999999999</v>
      </c>
      <c r="F26899" s="26">
        <v>2.8199999999999999E-2</v>
      </c>
      <c r="H26899" s="26">
        <v>2.8899999999999999E-2</v>
      </c>
      <c r="I26899">
        <v>137</v>
      </c>
    </row>
    <row r="26900" spans="1:9" x14ac:dyDescent="0.35">
      <c r="A26900" t="s">
        <v>228</v>
      </c>
      <c r="B26900" t="s">
        <v>373</v>
      </c>
      <c r="C26900" s="26">
        <v>0.45240000000000002</v>
      </c>
      <c r="D26900" s="26">
        <v>0.2707</v>
      </c>
      <c r="E26900" s="26">
        <v>0.2044</v>
      </c>
      <c r="F26900" s="26">
        <v>5.1400000000000001E-2</v>
      </c>
      <c r="H26900" s="26">
        <v>2.1100000000000001E-2</v>
      </c>
      <c r="I26900">
        <v>203</v>
      </c>
    </row>
    <row r="26901" spans="1:9" x14ac:dyDescent="0.35">
      <c r="A26901" t="s">
        <v>229</v>
      </c>
      <c r="B26901" t="s">
        <v>371</v>
      </c>
      <c r="C26901" s="26">
        <v>0.5413</v>
      </c>
      <c r="D26901" s="26">
        <v>0.19339999999999999</v>
      </c>
      <c r="E26901" s="26">
        <v>0.21870000000000001</v>
      </c>
      <c r="F26901" s="26">
        <v>4.1000000000000003E-3</v>
      </c>
      <c r="G26901" s="26">
        <v>2.6700000000000002E-2</v>
      </c>
      <c r="H26901" s="26">
        <v>1.5900000000000001E-2</v>
      </c>
      <c r="I26901">
        <v>118</v>
      </c>
    </row>
    <row r="26902" spans="1:9" x14ac:dyDescent="0.35">
      <c r="A26902" t="s">
        <v>229</v>
      </c>
      <c r="B26902" t="s">
        <v>372</v>
      </c>
      <c r="C26902" s="26">
        <v>0.52790000000000004</v>
      </c>
      <c r="D26902" s="26">
        <v>0.29480000000000001</v>
      </c>
      <c r="E26902" s="26">
        <v>0.13289999999999999</v>
      </c>
      <c r="F26902" s="26">
        <v>0.02</v>
      </c>
      <c r="H26902" s="26">
        <v>2.4400000000000002E-2</v>
      </c>
      <c r="I26902">
        <v>88</v>
      </c>
    </row>
    <row r="26903" spans="1:9" x14ac:dyDescent="0.35">
      <c r="A26903" s="27" t="s">
        <v>229</v>
      </c>
      <c r="B26903" s="27" t="s">
        <v>373</v>
      </c>
      <c r="C26903" s="28">
        <v>0.43759999999999999</v>
      </c>
      <c r="D26903" s="28">
        <v>0.33300000000000002</v>
      </c>
      <c r="E26903" s="28">
        <v>0.1462</v>
      </c>
      <c r="F26903" s="29"/>
      <c r="G26903" s="29"/>
      <c r="H26903" s="28">
        <v>8.3199999999999996E-2</v>
      </c>
      <c r="I26903" s="29" t="s">
        <v>312</v>
      </c>
    </row>
    <row r="26904" spans="1:9" x14ac:dyDescent="0.35">
      <c r="A26904" t="s">
        <v>230</v>
      </c>
      <c r="B26904" t="s">
        <v>371</v>
      </c>
      <c r="C26904" s="26">
        <v>0.50190000000000001</v>
      </c>
      <c r="D26904" s="26">
        <v>0.2666</v>
      </c>
      <c r="E26904" s="26">
        <v>0.17519999999999999</v>
      </c>
      <c r="F26904" s="26">
        <v>7.1000000000000004E-3</v>
      </c>
      <c r="G26904" s="26">
        <v>2.81E-2</v>
      </c>
      <c r="H26904" s="26">
        <v>2.1000000000000001E-2</v>
      </c>
      <c r="I26904">
        <v>85</v>
      </c>
    </row>
    <row r="26905" spans="1:9" x14ac:dyDescent="0.35">
      <c r="A26905" t="s">
        <v>230</v>
      </c>
      <c r="B26905" t="s">
        <v>372</v>
      </c>
      <c r="C26905" s="26">
        <v>0.53779999999999994</v>
      </c>
      <c r="D26905" s="26">
        <v>0.22500000000000001</v>
      </c>
      <c r="E26905" s="26">
        <v>0.1951</v>
      </c>
      <c r="F26905" s="26">
        <v>3.5200000000000002E-2</v>
      </c>
      <c r="H26905" s="26">
        <v>7.0000000000000001E-3</v>
      </c>
      <c r="I26905">
        <v>104</v>
      </c>
    </row>
    <row r="26906" spans="1:9" x14ac:dyDescent="0.35">
      <c r="A26906" t="s">
        <v>230</v>
      </c>
      <c r="B26906" t="s">
        <v>373</v>
      </c>
      <c r="C26906" s="26">
        <v>0.52070000000000005</v>
      </c>
      <c r="D26906" s="26">
        <v>0.37980000000000003</v>
      </c>
      <c r="E26906" s="26">
        <v>7.7899999999999997E-2</v>
      </c>
      <c r="F26906" s="26">
        <v>2.1600000000000001E-2</v>
      </c>
      <c r="I26906">
        <v>54</v>
      </c>
    </row>
    <row r="26907" spans="1:9" x14ac:dyDescent="0.35">
      <c r="A26907" t="s">
        <v>231</v>
      </c>
      <c r="B26907" t="s">
        <v>371</v>
      </c>
      <c r="C26907" s="26">
        <v>0.57889999999999997</v>
      </c>
      <c r="D26907" s="26">
        <v>0.21049999999999999</v>
      </c>
      <c r="E26907" s="26">
        <v>0.1053</v>
      </c>
      <c r="F26907" s="26">
        <v>5.2600000000000001E-2</v>
      </c>
      <c r="G26907" s="26">
        <v>5.2600000000000001E-2</v>
      </c>
      <c r="I26907">
        <v>38</v>
      </c>
    </row>
    <row r="26908" spans="1:9" x14ac:dyDescent="0.35">
      <c r="A26908" t="s">
        <v>232</v>
      </c>
      <c r="B26908" t="s">
        <v>232</v>
      </c>
      <c r="C26908" s="26">
        <v>0.53090000000000004</v>
      </c>
      <c r="D26908" s="26">
        <v>0.22140000000000001</v>
      </c>
      <c r="E26908" s="26">
        <v>0.15010000000000001</v>
      </c>
      <c r="F26908" s="26">
        <v>5.1700000000000003E-2</v>
      </c>
      <c r="G26908" s="26">
        <v>2.8199999999999999E-2</v>
      </c>
      <c r="H26908" s="26">
        <v>1.7500000000000002E-2</v>
      </c>
      <c r="I26908">
        <v>982</v>
      </c>
    </row>
    <row r="26910" spans="1:9" x14ac:dyDescent="0.35">
      <c r="A26910" s="1" t="s">
        <v>2439</v>
      </c>
    </row>
    <row r="26911" spans="1:9" x14ac:dyDescent="0.35">
      <c r="A26911" t="s">
        <v>219</v>
      </c>
      <c r="B26911" t="s">
        <v>305</v>
      </c>
      <c r="C26911" t="s">
        <v>2424</v>
      </c>
      <c r="D26911" t="s">
        <v>2425</v>
      </c>
      <c r="E26911" t="s">
        <v>2426</v>
      </c>
      <c r="F26911" t="s">
        <v>2427</v>
      </c>
      <c r="G26911" t="s">
        <v>2428</v>
      </c>
      <c r="H26911" t="s">
        <v>286</v>
      </c>
      <c r="I26911" t="s">
        <v>226</v>
      </c>
    </row>
    <row r="26912" spans="1:9" x14ac:dyDescent="0.35">
      <c r="A26912" s="27" t="s">
        <v>227</v>
      </c>
      <c r="B26912" s="27" t="s">
        <v>255</v>
      </c>
      <c r="C26912" s="28">
        <v>0.47620000000000001</v>
      </c>
      <c r="D26912" s="28">
        <v>9.5200000000000007E-2</v>
      </c>
      <c r="E26912" s="28">
        <v>0.1429</v>
      </c>
      <c r="F26912" s="28">
        <v>0.1905</v>
      </c>
      <c r="G26912" s="29"/>
      <c r="H26912" s="28">
        <v>9.5200000000000007E-2</v>
      </c>
      <c r="I26912" s="29" t="s">
        <v>351</v>
      </c>
    </row>
    <row r="26913" spans="1:9" x14ac:dyDescent="0.35">
      <c r="A26913" s="27" t="s">
        <v>227</v>
      </c>
      <c r="B26913" s="27" t="s">
        <v>257</v>
      </c>
      <c r="C26913" s="29"/>
      <c r="D26913" s="28">
        <v>0.5</v>
      </c>
      <c r="E26913" s="29"/>
      <c r="F26913" s="28">
        <v>0.5</v>
      </c>
      <c r="G26913" s="29"/>
      <c r="H26913" s="29"/>
      <c r="I26913" s="29" t="s">
        <v>314</v>
      </c>
    </row>
    <row r="26914" spans="1:9" x14ac:dyDescent="0.35">
      <c r="A26914" s="27" t="s">
        <v>227</v>
      </c>
      <c r="B26914" s="27" t="s">
        <v>256</v>
      </c>
      <c r="C26914" s="28">
        <v>0.66669999999999996</v>
      </c>
      <c r="D26914" s="28">
        <v>0.16669999999999999</v>
      </c>
      <c r="E26914" s="29"/>
      <c r="F26914" s="29"/>
      <c r="G26914" s="28">
        <v>0.16669999999999999</v>
      </c>
      <c r="H26914" s="29"/>
      <c r="I26914" s="29" t="s">
        <v>335</v>
      </c>
    </row>
    <row r="26915" spans="1:9" x14ac:dyDescent="0.35">
      <c r="A26915" s="27" t="s">
        <v>228</v>
      </c>
      <c r="B26915" s="27" t="s">
        <v>257</v>
      </c>
      <c r="C26915" s="28">
        <v>0.46279999999999999</v>
      </c>
      <c r="D26915" s="28">
        <v>0.30549999999999999</v>
      </c>
      <c r="E26915" s="28">
        <v>2.52E-2</v>
      </c>
      <c r="F26915" s="28">
        <v>5.3699999999999998E-2</v>
      </c>
      <c r="G26915" s="28">
        <v>0.15279999999999999</v>
      </c>
      <c r="H26915" s="29"/>
      <c r="I26915" s="29" t="s">
        <v>310</v>
      </c>
    </row>
    <row r="26916" spans="1:9" x14ac:dyDescent="0.35">
      <c r="A26916" s="27" t="s">
        <v>228</v>
      </c>
      <c r="B26916" s="27" t="s">
        <v>258</v>
      </c>
      <c r="C26916" s="29"/>
      <c r="D26916" s="28">
        <v>1</v>
      </c>
      <c r="E26916" s="29"/>
      <c r="F26916" s="29"/>
      <c r="G26916" s="29"/>
      <c r="H26916" s="29"/>
      <c r="I26916" s="29" t="s">
        <v>314</v>
      </c>
    </row>
    <row r="26917" spans="1:9" x14ac:dyDescent="0.35">
      <c r="A26917" t="s">
        <v>228</v>
      </c>
      <c r="B26917" t="s">
        <v>256</v>
      </c>
      <c r="C26917" s="26">
        <v>0.56279999999999997</v>
      </c>
      <c r="D26917" s="26">
        <v>0.20280000000000001</v>
      </c>
      <c r="E26917" s="26">
        <v>0.152</v>
      </c>
      <c r="F26917" s="26">
        <v>7.2300000000000003E-2</v>
      </c>
      <c r="H26917" s="26">
        <v>1.01E-2</v>
      </c>
      <c r="I26917">
        <v>90</v>
      </c>
    </row>
    <row r="26918" spans="1:9" x14ac:dyDescent="0.35">
      <c r="A26918" t="s">
        <v>228</v>
      </c>
      <c r="B26918" t="s">
        <v>255</v>
      </c>
      <c r="C26918" s="26">
        <v>0.50600000000000001</v>
      </c>
      <c r="D26918" s="26">
        <v>0.25130000000000002</v>
      </c>
      <c r="E26918" s="26">
        <v>0.1648</v>
      </c>
      <c r="F26918" s="26">
        <v>6.2399999999999997E-2</v>
      </c>
      <c r="G26918" s="26">
        <v>1.5E-3</v>
      </c>
      <c r="H26918" s="26">
        <v>1.41E-2</v>
      </c>
      <c r="I26918">
        <v>325</v>
      </c>
    </row>
    <row r="26919" spans="1:9" x14ac:dyDescent="0.35">
      <c r="A26919" t="s">
        <v>229</v>
      </c>
      <c r="B26919" t="s">
        <v>256</v>
      </c>
      <c r="C26919" s="26">
        <v>0.51249999999999996</v>
      </c>
      <c r="D26919" s="26">
        <v>0.41070000000000001</v>
      </c>
      <c r="E26919" s="26">
        <v>1.7399999999999999E-2</v>
      </c>
      <c r="F26919" s="26">
        <v>2.2000000000000001E-3</v>
      </c>
      <c r="G26919" s="26">
        <v>5.7200000000000001E-2</v>
      </c>
      <c r="I26919">
        <v>44</v>
      </c>
    </row>
    <row r="26920" spans="1:9" x14ac:dyDescent="0.35">
      <c r="A26920" t="s">
        <v>229</v>
      </c>
      <c r="B26920" t="s">
        <v>255</v>
      </c>
      <c r="C26920" s="26">
        <v>0.57140000000000002</v>
      </c>
      <c r="D26920" s="26">
        <v>0.1346</v>
      </c>
      <c r="E26920" s="26">
        <v>0.2447</v>
      </c>
      <c r="F26920" s="26">
        <v>6.4000000000000003E-3</v>
      </c>
      <c r="G26920" s="26">
        <v>1.61E-2</v>
      </c>
      <c r="H26920" s="26">
        <v>2.6800000000000001E-2</v>
      </c>
      <c r="I26920">
        <v>170</v>
      </c>
    </row>
    <row r="26921" spans="1:9" x14ac:dyDescent="0.35">
      <c r="A26921" s="27" t="s">
        <v>229</v>
      </c>
      <c r="B26921" s="27" t="s">
        <v>257</v>
      </c>
      <c r="C26921" s="28">
        <v>0.28539999999999999</v>
      </c>
      <c r="D26921" s="28">
        <v>0.3669</v>
      </c>
      <c r="E26921" s="28">
        <v>0.34210000000000002</v>
      </c>
      <c r="F26921" s="28">
        <v>5.5999999999999999E-3</v>
      </c>
      <c r="G26921" s="29"/>
      <c r="H26921" s="29"/>
      <c r="I26921" s="29" t="s">
        <v>348</v>
      </c>
    </row>
    <row r="26922" spans="1:9" x14ac:dyDescent="0.35">
      <c r="A26922" s="27" t="s">
        <v>229</v>
      </c>
      <c r="B26922" s="27" t="s">
        <v>258</v>
      </c>
      <c r="C26922" s="29"/>
      <c r="D26922" s="29"/>
      <c r="E26922" s="28">
        <v>1</v>
      </c>
      <c r="F26922" s="29"/>
      <c r="G26922" s="29"/>
      <c r="H26922" s="29"/>
      <c r="I26922" s="29" t="s">
        <v>331</v>
      </c>
    </row>
    <row r="26923" spans="1:9" x14ac:dyDescent="0.35">
      <c r="A26923" t="s">
        <v>230</v>
      </c>
      <c r="B26923" t="s">
        <v>256</v>
      </c>
      <c r="C26923" s="26">
        <v>0.56899999999999995</v>
      </c>
      <c r="D26923" s="26">
        <v>0.18720000000000001</v>
      </c>
      <c r="E26923" s="26">
        <v>0.1525</v>
      </c>
      <c r="F26923" s="26">
        <v>2.2599999999999999E-2</v>
      </c>
      <c r="G26923" s="26">
        <v>6.8699999999999997E-2</v>
      </c>
      <c r="I26923">
        <v>59</v>
      </c>
    </row>
    <row r="26924" spans="1:9" x14ac:dyDescent="0.35">
      <c r="A26924" t="s">
        <v>230</v>
      </c>
      <c r="B26924" t="s">
        <v>255</v>
      </c>
      <c r="C26924" s="26">
        <v>0.46860000000000002</v>
      </c>
      <c r="D26924" s="26">
        <v>0.29770000000000002</v>
      </c>
      <c r="E26924" s="26">
        <v>0.19350000000000001</v>
      </c>
      <c r="F26924" s="26">
        <v>9.4000000000000004E-3</v>
      </c>
      <c r="G26924" s="26">
        <v>4.3E-3</v>
      </c>
      <c r="H26924" s="26">
        <v>2.6599999999999999E-2</v>
      </c>
      <c r="I26924">
        <v>170</v>
      </c>
    </row>
    <row r="26925" spans="1:9" x14ac:dyDescent="0.35">
      <c r="A26925" s="27" t="s">
        <v>230</v>
      </c>
      <c r="B26925" s="27" t="s">
        <v>257</v>
      </c>
      <c r="C26925" s="28">
        <v>0.59640000000000004</v>
      </c>
      <c r="D26925" s="28">
        <v>0.38629999999999998</v>
      </c>
      <c r="E26925" s="28">
        <v>1.7299999999999999E-2</v>
      </c>
      <c r="F26925" s="29"/>
      <c r="G26925" s="29"/>
      <c r="H26925" s="29"/>
      <c r="I26925" s="29" t="s">
        <v>341</v>
      </c>
    </row>
    <row r="26926" spans="1:9" x14ac:dyDescent="0.35">
      <c r="A26926" s="27" t="s">
        <v>230</v>
      </c>
      <c r="B26926" s="27" t="s">
        <v>258</v>
      </c>
      <c r="C26926" s="28">
        <v>1</v>
      </c>
      <c r="D26926" s="29"/>
      <c r="E26926" s="29"/>
      <c r="F26926" s="29"/>
      <c r="G26926" s="29"/>
      <c r="H26926" s="29"/>
      <c r="I26926" s="29" t="s">
        <v>331</v>
      </c>
    </row>
    <row r="26927" spans="1:9" x14ac:dyDescent="0.35">
      <c r="A26927" s="27" t="s">
        <v>231</v>
      </c>
      <c r="B26927" s="27" t="s">
        <v>256</v>
      </c>
      <c r="C26927" s="28">
        <v>0.33329999999999999</v>
      </c>
      <c r="D26927" s="29"/>
      <c r="E26927" s="28">
        <v>0.33329999999999999</v>
      </c>
      <c r="F26927" s="28">
        <v>0.16669999999999999</v>
      </c>
      <c r="G26927" s="28">
        <v>0.16669999999999999</v>
      </c>
      <c r="H26927" s="29"/>
      <c r="I26927" s="29" t="s">
        <v>335</v>
      </c>
    </row>
    <row r="26928" spans="1:9" x14ac:dyDescent="0.35">
      <c r="A26928" s="27" t="s">
        <v>231</v>
      </c>
      <c r="B26928" s="27" t="s">
        <v>257</v>
      </c>
      <c r="C26928" s="28">
        <v>1</v>
      </c>
      <c r="D26928" s="29"/>
      <c r="E26928" s="29"/>
      <c r="F26928" s="29"/>
      <c r="G26928" s="29"/>
      <c r="H26928" s="29"/>
      <c r="I26928" s="29" t="s">
        <v>315</v>
      </c>
    </row>
    <row r="26929" spans="1:9" x14ac:dyDescent="0.35">
      <c r="A26929" s="27" t="s">
        <v>231</v>
      </c>
      <c r="B26929" s="27" t="s">
        <v>255</v>
      </c>
      <c r="C26929" s="28">
        <v>0.58620000000000005</v>
      </c>
      <c r="D26929" s="28">
        <v>0.27589999999999998</v>
      </c>
      <c r="E26929" s="28">
        <v>6.9000000000000006E-2</v>
      </c>
      <c r="F26929" s="28">
        <v>3.4500000000000003E-2</v>
      </c>
      <c r="G26929" s="28">
        <v>3.4500000000000003E-2</v>
      </c>
      <c r="H26929" s="29"/>
      <c r="I26929" s="29" t="s">
        <v>329</v>
      </c>
    </row>
    <row r="26930" spans="1:9" x14ac:dyDescent="0.35">
      <c r="A26930" t="s">
        <v>232</v>
      </c>
      <c r="B26930" t="s">
        <v>232</v>
      </c>
      <c r="C26930" s="26">
        <v>0.53090000000000004</v>
      </c>
      <c r="D26930" s="26">
        <v>0.22140000000000001</v>
      </c>
      <c r="E26930" s="26">
        <v>0.15010000000000001</v>
      </c>
      <c r="F26930" s="26">
        <v>5.1700000000000003E-2</v>
      </c>
      <c r="G26930" s="26">
        <v>2.8199999999999999E-2</v>
      </c>
      <c r="H26930" s="26">
        <v>1.7500000000000002E-2</v>
      </c>
      <c r="I26930">
        <v>982</v>
      </c>
    </row>
    <row r="26932" spans="1:9" x14ac:dyDescent="0.35">
      <c r="A26932" s="1" t="s">
        <v>2440</v>
      </c>
    </row>
    <row r="26933" spans="1:9" x14ac:dyDescent="0.35">
      <c r="A26933" t="s">
        <v>219</v>
      </c>
      <c r="B26933" t="s">
        <v>305</v>
      </c>
      <c r="C26933" t="s">
        <v>2424</v>
      </c>
      <c r="D26933" t="s">
        <v>2425</v>
      </c>
      <c r="E26933" t="s">
        <v>2426</v>
      </c>
      <c r="F26933" t="s">
        <v>2427</v>
      </c>
      <c r="G26933" t="s">
        <v>2428</v>
      </c>
      <c r="H26933" t="s">
        <v>286</v>
      </c>
      <c r="I26933" t="s">
        <v>226</v>
      </c>
    </row>
    <row r="26934" spans="1:9" x14ac:dyDescent="0.35">
      <c r="A26934" s="27" t="s">
        <v>227</v>
      </c>
      <c r="B26934" s="27" t="s">
        <v>1341</v>
      </c>
      <c r="C26934" s="28">
        <v>0.42859999999999998</v>
      </c>
      <c r="D26934" s="28">
        <v>0.1429</v>
      </c>
      <c r="E26934" s="28">
        <v>0.28570000000000001</v>
      </c>
      <c r="F26934" s="28">
        <v>0.1429</v>
      </c>
      <c r="G26934" s="29"/>
      <c r="H26934" s="29"/>
      <c r="I26934" s="29" t="s">
        <v>339</v>
      </c>
    </row>
    <row r="26935" spans="1:9" x14ac:dyDescent="0.35">
      <c r="A26935" s="27" t="s">
        <v>227</v>
      </c>
      <c r="B26935" s="27" t="s">
        <v>1343</v>
      </c>
      <c r="C26935" s="28">
        <v>0.5</v>
      </c>
      <c r="D26935" s="28">
        <v>0.13639999999999999</v>
      </c>
      <c r="E26935" s="28">
        <v>4.5499999999999999E-2</v>
      </c>
      <c r="F26935" s="28">
        <v>0.18179999999999999</v>
      </c>
      <c r="G26935" s="28">
        <v>4.5499999999999999E-2</v>
      </c>
      <c r="H26935" s="28">
        <v>9.0899999999999995E-2</v>
      </c>
      <c r="I26935" s="29" t="s">
        <v>347</v>
      </c>
    </row>
    <row r="26936" spans="1:9" x14ac:dyDescent="0.35">
      <c r="A26936" t="s">
        <v>228</v>
      </c>
      <c r="B26936" t="s">
        <v>1341</v>
      </c>
      <c r="C26936" s="26">
        <v>0.53490000000000004</v>
      </c>
      <c r="D26936" s="26">
        <v>0.23230000000000001</v>
      </c>
      <c r="E26936" s="26">
        <v>0.1202</v>
      </c>
      <c r="F26936" s="26">
        <v>9.2100000000000001E-2</v>
      </c>
      <c r="H26936" s="26">
        <v>2.0400000000000001E-2</v>
      </c>
      <c r="I26936">
        <v>110</v>
      </c>
    </row>
    <row r="26937" spans="1:9" x14ac:dyDescent="0.35">
      <c r="A26937" s="27" t="s">
        <v>228</v>
      </c>
      <c r="B26937" s="27" t="s">
        <v>1342</v>
      </c>
      <c r="C26937" s="28">
        <v>1</v>
      </c>
      <c r="D26937" s="29"/>
      <c r="E26937" s="29"/>
      <c r="F26937" s="29"/>
      <c r="G26937" s="29"/>
      <c r="H26937" s="29"/>
      <c r="I26937" s="29" t="s">
        <v>331</v>
      </c>
    </row>
    <row r="26938" spans="1:9" x14ac:dyDescent="0.35">
      <c r="A26938" t="s">
        <v>228</v>
      </c>
      <c r="B26938" t="s">
        <v>1343</v>
      </c>
      <c r="C26938" s="26">
        <v>0.49769999999999998</v>
      </c>
      <c r="D26938" s="26">
        <v>0.26050000000000001</v>
      </c>
      <c r="E26938" s="26">
        <v>0.16259999999999999</v>
      </c>
      <c r="F26938" s="26">
        <v>5.5500000000000001E-2</v>
      </c>
      <c r="G26938" s="26">
        <v>1.4E-2</v>
      </c>
      <c r="H26938" s="26">
        <v>9.7000000000000003E-3</v>
      </c>
      <c r="I26938">
        <v>330</v>
      </c>
    </row>
    <row r="26939" spans="1:9" x14ac:dyDescent="0.35">
      <c r="A26939" t="s">
        <v>229</v>
      </c>
      <c r="B26939" t="s">
        <v>1341</v>
      </c>
      <c r="C26939" s="26">
        <v>0.4728</v>
      </c>
      <c r="D26939" s="26">
        <v>0.22770000000000001</v>
      </c>
      <c r="E26939" s="26">
        <v>0.23230000000000001</v>
      </c>
      <c r="F26939" s="26">
        <v>1.14E-2</v>
      </c>
      <c r="G26939" s="26">
        <v>4.2900000000000001E-2</v>
      </c>
      <c r="H26939" s="26">
        <v>1.29E-2</v>
      </c>
      <c r="I26939">
        <v>59</v>
      </c>
    </row>
    <row r="26940" spans="1:9" x14ac:dyDescent="0.35">
      <c r="A26940" t="s">
        <v>229</v>
      </c>
      <c r="B26940" t="s">
        <v>1343</v>
      </c>
      <c r="C26940" s="26">
        <v>0.5595</v>
      </c>
      <c r="D26940" s="26">
        <v>0.20119999999999999</v>
      </c>
      <c r="E26940" s="26">
        <v>0.1986</v>
      </c>
      <c r="F26940" s="26">
        <v>3.3E-3</v>
      </c>
      <c r="G26940" s="26">
        <v>1.5800000000000002E-2</v>
      </c>
      <c r="H26940" s="26">
        <v>2.1600000000000001E-2</v>
      </c>
      <c r="I26940">
        <v>172</v>
      </c>
    </row>
    <row r="26941" spans="1:9" x14ac:dyDescent="0.35">
      <c r="A26941" t="s">
        <v>230</v>
      </c>
      <c r="B26941" t="s">
        <v>1341</v>
      </c>
      <c r="C26941" s="26">
        <v>0.49840000000000001</v>
      </c>
      <c r="D26941" s="26">
        <v>0.21740000000000001</v>
      </c>
      <c r="E26941" s="26">
        <v>0.2011</v>
      </c>
      <c r="F26941" s="26">
        <v>9.2999999999999992E-3</v>
      </c>
      <c r="G26941" s="26">
        <v>1.8599999999999998E-2</v>
      </c>
      <c r="H26941" s="26">
        <v>5.5199999999999999E-2</v>
      </c>
      <c r="I26941">
        <v>64</v>
      </c>
    </row>
    <row r="26942" spans="1:9" x14ac:dyDescent="0.35">
      <c r="A26942" t="s">
        <v>230</v>
      </c>
      <c r="B26942" t="s">
        <v>1343</v>
      </c>
      <c r="C26942" s="26">
        <v>0.51249999999999996</v>
      </c>
      <c r="D26942" s="26">
        <v>0.29949999999999999</v>
      </c>
      <c r="E26942" s="26">
        <v>0.15110000000000001</v>
      </c>
      <c r="F26942" s="26">
        <v>1.32E-2</v>
      </c>
      <c r="G26942" s="26">
        <v>2.2599999999999999E-2</v>
      </c>
      <c r="H26942" s="26">
        <v>1.1000000000000001E-3</v>
      </c>
      <c r="I26942">
        <v>179</v>
      </c>
    </row>
    <row r="26943" spans="1:9" x14ac:dyDescent="0.35">
      <c r="A26943" s="27" t="s">
        <v>231</v>
      </c>
      <c r="B26943" s="27" t="s">
        <v>1341</v>
      </c>
      <c r="C26943" s="28">
        <v>0.58330000000000004</v>
      </c>
      <c r="D26943" s="28">
        <v>0.16669999999999999</v>
      </c>
      <c r="E26943" s="28">
        <v>0.16669999999999999</v>
      </c>
      <c r="F26943" s="28">
        <v>8.3299999999999999E-2</v>
      </c>
      <c r="G26943" s="29"/>
      <c r="H26943" s="29"/>
      <c r="I26943" s="29" t="s">
        <v>342</v>
      </c>
    </row>
    <row r="26944" spans="1:9" x14ac:dyDescent="0.35">
      <c r="A26944" s="27" t="s">
        <v>231</v>
      </c>
      <c r="B26944" s="27" t="s">
        <v>1343</v>
      </c>
      <c r="C26944" s="28">
        <v>0.57689999999999997</v>
      </c>
      <c r="D26944" s="28">
        <v>0.23080000000000001</v>
      </c>
      <c r="E26944" s="28">
        <v>7.6899999999999996E-2</v>
      </c>
      <c r="F26944" s="28">
        <v>3.85E-2</v>
      </c>
      <c r="G26944" s="28">
        <v>7.6899999999999996E-2</v>
      </c>
      <c r="H26944" s="29"/>
      <c r="I26944" s="29" t="s">
        <v>357</v>
      </c>
    </row>
    <row r="26945" spans="1:9" x14ac:dyDescent="0.35">
      <c r="A26945" t="s">
        <v>232</v>
      </c>
      <c r="B26945" t="s">
        <v>232</v>
      </c>
      <c r="C26945" s="26">
        <v>0.53090000000000004</v>
      </c>
      <c r="D26945" s="26">
        <v>0.22140000000000001</v>
      </c>
      <c r="E26945" s="26">
        <v>0.15010000000000001</v>
      </c>
      <c r="F26945" s="26">
        <v>5.1700000000000003E-2</v>
      </c>
      <c r="G26945" s="26">
        <v>2.8199999999999999E-2</v>
      </c>
      <c r="H26945" s="26">
        <v>1.7500000000000002E-2</v>
      </c>
      <c r="I26945">
        <v>982</v>
      </c>
    </row>
    <row r="26947" spans="1:9" x14ac:dyDescent="0.35">
      <c r="A26947" s="1" t="s">
        <v>2441</v>
      </c>
    </row>
    <row r="26948" spans="1:9" x14ac:dyDescent="0.35">
      <c r="A26948" t="s">
        <v>219</v>
      </c>
      <c r="B26948" t="s">
        <v>305</v>
      </c>
      <c r="C26948" t="s">
        <v>2424</v>
      </c>
      <c r="D26948" t="s">
        <v>2425</v>
      </c>
      <c r="E26948" t="s">
        <v>2426</v>
      </c>
      <c r="F26948" t="s">
        <v>2427</v>
      </c>
      <c r="G26948" t="s">
        <v>2428</v>
      </c>
      <c r="H26948" t="s">
        <v>286</v>
      </c>
      <c r="I26948" t="s">
        <v>226</v>
      </c>
    </row>
    <row r="26949" spans="1:9" x14ac:dyDescent="0.35">
      <c r="A26949" s="27" t="s">
        <v>227</v>
      </c>
      <c r="B26949" s="27" t="s">
        <v>1347</v>
      </c>
      <c r="C26949" s="28">
        <v>0.66669999999999996</v>
      </c>
      <c r="D26949" s="28">
        <v>0.33329999999999999</v>
      </c>
      <c r="E26949" s="29"/>
      <c r="F26949" s="29"/>
      <c r="G26949" s="29"/>
      <c r="H26949" s="29"/>
      <c r="I26949" s="29" t="s">
        <v>315</v>
      </c>
    </row>
    <row r="26950" spans="1:9" x14ac:dyDescent="0.35">
      <c r="A26950" s="27" t="s">
        <v>227</v>
      </c>
      <c r="B26950" s="27" t="s">
        <v>1348</v>
      </c>
      <c r="C26950" s="28">
        <v>0.35289999999999999</v>
      </c>
      <c r="D26950" s="28">
        <v>0.17649999999999999</v>
      </c>
      <c r="E26950" s="28">
        <v>0.1176</v>
      </c>
      <c r="F26950" s="28">
        <v>0.17649999999999999</v>
      </c>
      <c r="G26950" s="28">
        <v>5.8799999999999998E-2</v>
      </c>
      <c r="H26950" s="28">
        <v>0.1176</v>
      </c>
      <c r="I26950" s="29" t="s">
        <v>343</v>
      </c>
    </row>
    <row r="26951" spans="1:9" x14ac:dyDescent="0.35">
      <c r="A26951" s="27" t="s">
        <v>227</v>
      </c>
      <c r="B26951" s="27" t="s">
        <v>1346</v>
      </c>
      <c r="C26951" s="28">
        <v>0.66669999999999996</v>
      </c>
      <c r="D26951" s="29"/>
      <c r="E26951" s="28">
        <v>0.1111</v>
      </c>
      <c r="F26951" s="28">
        <v>0.22220000000000001</v>
      </c>
      <c r="G26951" s="29"/>
      <c r="H26951" s="29"/>
      <c r="I26951" s="29" t="s">
        <v>334</v>
      </c>
    </row>
    <row r="26952" spans="1:9" x14ac:dyDescent="0.35">
      <c r="A26952" s="27" t="s">
        <v>228</v>
      </c>
      <c r="B26952" s="27" t="s">
        <v>1345</v>
      </c>
      <c r="C26952" s="28">
        <v>0.5</v>
      </c>
      <c r="D26952" s="28">
        <v>0.5</v>
      </c>
      <c r="E26952" s="29"/>
      <c r="F26952" s="29"/>
      <c r="G26952" s="29"/>
      <c r="H26952" s="29"/>
      <c r="I26952" s="29" t="s">
        <v>314</v>
      </c>
    </row>
    <row r="26953" spans="1:9" x14ac:dyDescent="0.35">
      <c r="A26953" t="s">
        <v>228</v>
      </c>
      <c r="B26953" t="s">
        <v>1347</v>
      </c>
      <c r="C26953" s="26">
        <v>0.50280000000000002</v>
      </c>
      <c r="D26953" s="26">
        <v>0.27960000000000002</v>
      </c>
      <c r="E26953" s="26">
        <v>0.20349999999999999</v>
      </c>
      <c r="F26953" s="26">
        <v>1.41E-2</v>
      </c>
      <c r="I26953">
        <v>72</v>
      </c>
    </row>
    <row r="26954" spans="1:9" x14ac:dyDescent="0.35">
      <c r="A26954" t="s">
        <v>228</v>
      </c>
      <c r="B26954" t="s">
        <v>1346</v>
      </c>
      <c r="C26954" s="26">
        <v>0.5242</v>
      </c>
      <c r="D26954" s="26">
        <v>0.22</v>
      </c>
      <c r="E26954" s="26">
        <v>0.15820000000000001</v>
      </c>
      <c r="F26954" s="26">
        <v>5.8700000000000002E-2</v>
      </c>
      <c r="G26954" s="26">
        <v>2.6800000000000001E-2</v>
      </c>
      <c r="H26954" s="26">
        <v>1.2E-2</v>
      </c>
      <c r="I26954">
        <v>155</v>
      </c>
    </row>
    <row r="26955" spans="1:9" x14ac:dyDescent="0.35">
      <c r="A26955" t="s">
        <v>228</v>
      </c>
      <c r="B26955" t="s">
        <v>1348</v>
      </c>
      <c r="C26955" s="26">
        <v>0.50449999999999995</v>
      </c>
      <c r="D26955" s="26">
        <v>0.25519999999999998</v>
      </c>
      <c r="E26955" s="26">
        <v>0.13250000000000001</v>
      </c>
      <c r="F26955" s="26">
        <v>8.8300000000000003E-2</v>
      </c>
      <c r="G26955" s="26">
        <v>2.3E-3</v>
      </c>
      <c r="H26955" s="26">
        <v>1.72E-2</v>
      </c>
      <c r="I26955">
        <v>212</v>
      </c>
    </row>
    <row r="26956" spans="1:9" x14ac:dyDescent="0.35">
      <c r="A26956" s="27" t="s">
        <v>229</v>
      </c>
      <c r="B26956" s="27" t="s">
        <v>1345</v>
      </c>
      <c r="C26956" s="28">
        <v>0.92959999999999998</v>
      </c>
      <c r="D26956" s="28">
        <v>6.3200000000000006E-2</v>
      </c>
      <c r="E26956" s="29"/>
      <c r="F26956" s="29"/>
      <c r="G26956" s="29"/>
      <c r="H26956" s="28">
        <v>7.3000000000000001E-3</v>
      </c>
      <c r="I26956" s="29" t="s">
        <v>334</v>
      </c>
    </row>
    <row r="26957" spans="1:9" x14ac:dyDescent="0.35">
      <c r="A26957" t="s">
        <v>229</v>
      </c>
      <c r="B26957" t="s">
        <v>1347</v>
      </c>
      <c r="C26957" s="26">
        <v>0.33339999999999997</v>
      </c>
      <c r="D26957" s="26">
        <v>0.25059999999999999</v>
      </c>
      <c r="E26957" s="26">
        <v>0.35120000000000001</v>
      </c>
      <c r="F26957" s="26">
        <v>1.2E-2</v>
      </c>
      <c r="G26957" s="26">
        <v>4.5100000000000001E-2</v>
      </c>
      <c r="H26957" s="26">
        <v>7.6E-3</v>
      </c>
      <c r="I26957">
        <v>59</v>
      </c>
    </row>
    <row r="26958" spans="1:9" x14ac:dyDescent="0.35">
      <c r="A26958" t="s">
        <v>229</v>
      </c>
      <c r="B26958" t="s">
        <v>1348</v>
      </c>
      <c r="C26958" s="26">
        <v>0.54720000000000002</v>
      </c>
      <c r="D26958" s="26">
        <v>0.2833</v>
      </c>
      <c r="E26958" s="26">
        <v>0.16339999999999999</v>
      </c>
      <c r="F26958" s="26">
        <v>6.1999999999999998E-3</v>
      </c>
      <c r="I26958">
        <v>98</v>
      </c>
    </row>
    <row r="26959" spans="1:9" x14ac:dyDescent="0.35">
      <c r="A26959" t="s">
        <v>229</v>
      </c>
      <c r="B26959" t="s">
        <v>1346</v>
      </c>
      <c r="C26959" s="26">
        <v>0.6169</v>
      </c>
      <c r="D26959" s="26">
        <v>0.1036</v>
      </c>
      <c r="E26959" s="26">
        <v>0.18390000000000001</v>
      </c>
      <c r="G26959" s="26">
        <v>3.8899999999999997E-2</v>
      </c>
      <c r="H26959" s="26">
        <v>5.6800000000000003E-2</v>
      </c>
      <c r="I26959">
        <v>65</v>
      </c>
    </row>
    <row r="26960" spans="1:9" x14ac:dyDescent="0.35">
      <c r="A26960" s="27" t="s">
        <v>230</v>
      </c>
      <c r="B26960" s="27" t="s">
        <v>1345</v>
      </c>
      <c r="C26960" s="28">
        <v>0.5</v>
      </c>
      <c r="D26960" s="28">
        <v>0.5</v>
      </c>
      <c r="E26960" s="29"/>
      <c r="F26960" s="29"/>
      <c r="G26960" s="29"/>
      <c r="H26960" s="29"/>
      <c r="I26960" s="29" t="s">
        <v>314</v>
      </c>
    </row>
    <row r="26961" spans="1:10" x14ac:dyDescent="0.35">
      <c r="A26961" t="s">
        <v>230</v>
      </c>
      <c r="B26961" t="s">
        <v>1346</v>
      </c>
      <c r="C26961" s="26">
        <v>0.5756</v>
      </c>
      <c r="D26961" s="26">
        <v>0.24410000000000001</v>
      </c>
      <c r="E26961" s="26">
        <v>0.1769</v>
      </c>
      <c r="F26961" s="26">
        <v>3.3999999999999998E-3</v>
      </c>
      <c r="I26961">
        <v>74</v>
      </c>
    </row>
    <row r="26962" spans="1:10" x14ac:dyDescent="0.35">
      <c r="A26962" t="s">
        <v>230</v>
      </c>
      <c r="B26962" t="s">
        <v>1347</v>
      </c>
      <c r="C26962" s="26">
        <v>0.52129999999999999</v>
      </c>
      <c r="D26962" s="26">
        <v>0.129</v>
      </c>
      <c r="E26962" s="26">
        <v>0.25330000000000003</v>
      </c>
      <c r="F26962" s="26">
        <v>1.52E-2</v>
      </c>
      <c r="G26962" s="26">
        <v>8.1199999999999994E-2</v>
      </c>
      <c r="I26962">
        <v>51</v>
      </c>
    </row>
    <row r="26963" spans="1:10" x14ac:dyDescent="0.35">
      <c r="A26963" t="s">
        <v>230</v>
      </c>
      <c r="B26963" t="s">
        <v>1348</v>
      </c>
      <c r="C26963" s="26">
        <v>0.4708</v>
      </c>
      <c r="D26963" s="26">
        <v>0.34420000000000001</v>
      </c>
      <c r="E26963" s="26">
        <v>0.1303</v>
      </c>
      <c r="F26963" s="26">
        <v>1.5599999999999999E-2</v>
      </c>
      <c r="G26963" s="26">
        <v>5.4000000000000003E-3</v>
      </c>
      <c r="H26963" s="26">
        <v>3.3700000000000001E-2</v>
      </c>
      <c r="I26963">
        <v>116</v>
      </c>
    </row>
    <row r="26964" spans="1:10" x14ac:dyDescent="0.35">
      <c r="A26964" s="27" t="s">
        <v>231</v>
      </c>
      <c r="B26964" s="27" t="s">
        <v>1348</v>
      </c>
      <c r="C26964" s="28">
        <v>0.52629999999999999</v>
      </c>
      <c r="D26964" s="28">
        <v>0.26319999999999999</v>
      </c>
      <c r="E26964" s="28">
        <v>5.2600000000000001E-2</v>
      </c>
      <c r="F26964" s="28">
        <v>0.1053</v>
      </c>
      <c r="G26964" s="28">
        <v>5.2600000000000001E-2</v>
      </c>
      <c r="H26964" s="29"/>
      <c r="I26964" s="29" t="s">
        <v>349</v>
      </c>
    </row>
    <row r="26965" spans="1:10" x14ac:dyDescent="0.35">
      <c r="A26965" s="27" t="s">
        <v>231</v>
      </c>
      <c r="B26965" s="27" t="s">
        <v>1347</v>
      </c>
      <c r="C26965" s="28">
        <v>0.7</v>
      </c>
      <c r="D26965" s="28">
        <v>0.1</v>
      </c>
      <c r="E26965" s="28">
        <v>0.1</v>
      </c>
      <c r="F26965" s="29"/>
      <c r="G26965" s="28">
        <v>0.1</v>
      </c>
      <c r="H26965" s="29"/>
      <c r="I26965" s="29" t="s">
        <v>307</v>
      </c>
    </row>
    <row r="26966" spans="1:10" x14ac:dyDescent="0.35">
      <c r="A26966" s="27" t="s">
        <v>231</v>
      </c>
      <c r="B26966" s="27" t="s">
        <v>1346</v>
      </c>
      <c r="C26966" s="28">
        <v>0.55559999999999998</v>
      </c>
      <c r="D26966" s="28">
        <v>0.22220000000000001</v>
      </c>
      <c r="E26966" s="28">
        <v>0.22220000000000001</v>
      </c>
      <c r="F26966" s="29"/>
      <c r="G26966" s="29"/>
      <c r="H26966" s="29"/>
      <c r="I26966" s="29" t="s">
        <v>334</v>
      </c>
    </row>
    <row r="26967" spans="1:10" x14ac:dyDescent="0.35">
      <c r="A26967" t="s">
        <v>232</v>
      </c>
      <c r="B26967" t="s">
        <v>232</v>
      </c>
      <c r="C26967" s="26">
        <v>0.53090000000000004</v>
      </c>
      <c r="D26967" s="26">
        <v>0.22140000000000001</v>
      </c>
      <c r="E26967" s="26">
        <v>0.15010000000000001</v>
      </c>
      <c r="F26967" s="26">
        <v>5.1700000000000003E-2</v>
      </c>
      <c r="G26967" s="26">
        <v>2.8199999999999999E-2</v>
      </c>
      <c r="H26967" s="26">
        <v>1.7500000000000002E-2</v>
      </c>
      <c r="I26967">
        <v>982</v>
      </c>
    </row>
    <row r="26969" spans="1:10" x14ac:dyDescent="0.35">
      <c r="A26969" s="1" t="s">
        <v>2442</v>
      </c>
    </row>
    <row r="26970" spans="1:10" x14ac:dyDescent="0.35">
      <c r="A26970" t="s">
        <v>219</v>
      </c>
      <c r="B26970" t="s">
        <v>305</v>
      </c>
      <c r="C26970" t="s">
        <v>345</v>
      </c>
      <c r="D26970" t="s">
        <v>2424</v>
      </c>
      <c r="E26970" t="s">
        <v>2425</v>
      </c>
      <c r="F26970" t="s">
        <v>2426</v>
      </c>
      <c r="G26970" t="s">
        <v>2427</v>
      </c>
      <c r="H26970" t="s">
        <v>2428</v>
      </c>
      <c r="I26970" t="s">
        <v>286</v>
      </c>
      <c r="J26970" t="s">
        <v>226</v>
      </c>
    </row>
    <row r="26971" spans="1:10" x14ac:dyDescent="0.35">
      <c r="A26971" s="27" t="s">
        <v>227</v>
      </c>
      <c r="B26971" s="27" t="s">
        <v>1343</v>
      </c>
      <c r="C26971" s="27" t="s">
        <v>1346</v>
      </c>
      <c r="D26971" s="28">
        <v>0.83330000000000004</v>
      </c>
      <c r="E26971" s="29"/>
      <c r="F26971" s="29"/>
      <c r="G26971" s="28">
        <v>0.16669999999999999</v>
      </c>
      <c r="H26971" s="29"/>
      <c r="I26971" s="29"/>
      <c r="J26971" s="29" t="s">
        <v>335</v>
      </c>
    </row>
    <row r="26972" spans="1:10" x14ac:dyDescent="0.35">
      <c r="A26972" s="27" t="s">
        <v>227</v>
      </c>
      <c r="B26972" s="27" t="s">
        <v>1341</v>
      </c>
      <c r="C26972" s="27" t="s">
        <v>1347</v>
      </c>
      <c r="D26972" s="28">
        <v>1</v>
      </c>
      <c r="E26972" s="29"/>
      <c r="F26972" s="29"/>
      <c r="G26972" s="29"/>
      <c r="H26972" s="29"/>
      <c r="I26972" s="29"/>
      <c r="J26972" s="29" t="s">
        <v>331</v>
      </c>
    </row>
    <row r="26973" spans="1:10" x14ac:dyDescent="0.35">
      <c r="A26973" s="27" t="s">
        <v>227</v>
      </c>
      <c r="B26973" s="27" t="s">
        <v>1343</v>
      </c>
      <c r="C26973" s="27" t="s">
        <v>1348</v>
      </c>
      <c r="D26973" s="28">
        <v>0.35709999999999997</v>
      </c>
      <c r="E26973" s="28">
        <v>0.1429</v>
      </c>
      <c r="F26973" s="28">
        <v>7.1400000000000005E-2</v>
      </c>
      <c r="G26973" s="28">
        <v>0.21429999999999999</v>
      </c>
      <c r="H26973" s="28">
        <v>7.1400000000000005E-2</v>
      </c>
      <c r="I26973" s="28">
        <v>0.1429</v>
      </c>
      <c r="J26973" s="29" t="s">
        <v>379</v>
      </c>
    </row>
    <row r="26974" spans="1:10" x14ac:dyDescent="0.35">
      <c r="A26974" s="27" t="s">
        <v>227</v>
      </c>
      <c r="B26974" s="27" t="s">
        <v>1343</v>
      </c>
      <c r="C26974" s="27" t="s">
        <v>1347</v>
      </c>
      <c r="D26974" s="28">
        <v>0.5</v>
      </c>
      <c r="E26974" s="28">
        <v>0.5</v>
      </c>
      <c r="F26974" s="29"/>
      <c r="G26974" s="29"/>
      <c r="H26974" s="29"/>
      <c r="I26974" s="29"/>
      <c r="J26974" s="29" t="s">
        <v>314</v>
      </c>
    </row>
    <row r="26975" spans="1:10" x14ac:dyDescent="0.35">
      <c r="A26975" s="27" t="s">
        <v>227</v>
      </c>
      <c r="B26975" s="27" t="s">
        <v>1341</v>
      </c>
      <c r="C26975" s="27" t="s">
        <v>1348</v>
      </c>
      <c r="D26975" s="28">
        <v>0.33329999999999999</v>
      </c>
      <c r="E26975" s="28">
        <v>0.33329999999999999</v>
      </c>
      <c r="F26975" s="28">
        <v>0.33329999999999999</v>
      </c>
      <c r="G26975" s="29"/>
      <c r="H26975" s="29"/>
      <c r="I26975" s="29"/>
      <c r="J26975" s="29" t="s">
        <v>315</v>
      </c>
    </row>
    <row r="26976" spans="1:10" x14ac:dyDescent="0.35">
      <c r="A26976" s="27" t="s">
        <v>227</v>
      </c>
      <c r="B26976" s="27" t="s">
        <v>1341</v>
      </c>
      <c r="C26976" s="27" t="s">
        <v>1346</v>
      </c>
      <c r="D26976" s="28">
        <v>0.33329999999999999</v>
      </c>
      <c r="E26976" s="29"/>
      <c r="F26976" s="28">
        <v>0.33329999999999999</v>
      </c>
      <c r="G26976" s="28">
        <v>0.33329999999999999</v>
      </c>
      <c r="H26976" s="29"/>
      <c r="I26976" s="29"/>
      <c r="J26976" s="29" t="s">
        <v>315</v>
      </c>
    </row>
    <row r="26977" spans="1:10" x14ac:dyDescent="0.35">
      <c r="A26977" s="27" t="s">
        <v>228</v>
      </c>
      <c r="B26977" s="27" t="s">
        <v>1341</v>
      </c>
      <c r="C26977" s="27" t="s">
        <v>1345</v>
      </c>
      <c r="D26977" s="28">
        <v>1</v>
      </c>
      <c r="E26977" s="29"/>
      <c r="F26977" s="29"/>
      <c r="G26977" s="29"/>
      <c r="H26977" s="29"/>
      <c r="I26977" s="29"/>
      <c r="J26977" s="29" t="s">
        <v>331</v>
      </c>
    </row>
    <row r="26978" spans="1:10" x14ac:dyDescent="0.35">
      <c r="A26978" t="s">
        <v>228</v>
      </c>
      <c r="B26978" t="s">
        <v>1343</v>
      </c>
      <c r="C26978" t="s">
        <v>1348</v>
      </c>
      <c r="D26978" s="26">
        <v>0.4531</v>
      </c>
      <c r="E26978" s="26">
        <v>0.27339999999999998</v>
      </c>
      <c r="F26978" s="26">
        <v>0.16520000000000001</v>
      </c>
      <c r="G26978" s="26">
        <v>9.1700000000000004E-2</v>
      </c>
      <c r="H26978" s="26">
        <v>3.5999999999999999E-3</v>
      </c>
      <c r="I26978" s="26">
        <v>1.2999999999999999E-2</v>
      </c>
      <c r="J26978">
        <v>149</v>
      </c>
    </row>
    <row r="26979" spans="1:10" x14ac:dyDescent="0.35">
      <c r="A26979" t="s">
        <v>228</v>
      </c>
      <c r="B26979" t="s">
        <v>1343</v>
      </c>
      <c r="C26979" t="s">
        <v>1347</v>
      </c>
      <c r="D26979" s="26">
        <v>0.52529999999999999</v>
      </c>
      <c r="E26979" s="26">
        <v>0.26750000000000002</v>
      </c>
      <c r="F26979" s="26">
        <v>0.2072</v>
      </c>
      <c r="J26979">
        <v>50</v>
      </c>
    </row>
    <row r="26980" spans="1:10" x14ac:dyDescent="0.35">
      <c r="A26980" s="27" t="s">
        <v>228</v>
      </c>
      <c r="B26980" s="27" t="s">
        <v>1343</v>
      </c>
      <c r="C26980" s="27" t="s">
        <v>1345</v>
      </c>
      <c r="D26980" s="29"/>
      <c r="E26980" s="28">
        <v>1</v>
      </c>
      <c r="F26980" s="29"/>
      <c r="G26980" s="29"/>
      <c r="H26980" s="29"/>
      <c r="I26980" s="29"/>
      <c r="J26980" s="29" t="s">
        <v>331</v>
      </c>
    </row>
    <row r="26981" spans="1:10" x14ac:dyDescent="0.35">
      <c r="A26981" s="27" t="s">
        <v>228</v>
      </c>
      <c r="B26981" s="27" t="s">
        <v>1341</v>
      </c>
      <c r="C26981" s="27" t="s">
        <v>1346</v>
      </c>
      <c r="D26981" s="28">
        <v>0.3538</v>
      </c>
      <c r="E26981" s="28">
        <v>0.1762</v>
      </c>
      <c r="F26981" s="28">
        <v>0.27679999999999999</v>
      </c>
      <c r="G26981" s="28">
        <v>0.17130000000000001</v>
      </c>
      <c r="H26981" s="29"/>
      <c r="I26981" s="28">
        <v>2.1999999999999999E-2</v>
      </c>
      <c r="J26981" s="29" t="s">
        <v>312</v>
      </c>
    </row>
    <row r="26982" spans="1:10" x14ac:dyDescent="0.35">
      <c r="A26982" t="s">
        <v>228</v>
      </c>
      <c r="B26982" t="s">
        <v>1341</v>
      </c>
      <c r="C26982" t="s">
        <v>1348</v>
      </c>
      <c r="D26982" s="26">
        <v>0.56999999999999995</v>
      </c>
      <c r="E26982" s="26">
        <v>0.23680000000000001</v>
      </c>
      <c r="F26982" s="26">
        <v>7.9799999999999996E-2</v>
      </c>
      <c r="G26982" s="26">
        <v>8.7400000000000005E-2</v>
      </c>
      <c r="I26982" s="26">
        <v>2.6100000000000002E-2</v>
      </c>
      <c r="J26982">
        <v>62</v>
      </c>
    </row>
    <row r="26983" spans="1:10" x14ac:dyDescent="0.35">
      <c r="A26983" s="27" t="s">
        <v>228</v>
      </c>
      <c r="B26983" s="27" t="s">
        <v>1342</v>
      </c>
      <c r="C26983" s="27" t="s">
        <v>1348</v>
      </c>
      <c r="D26983" s="28">
        <v>1</v>
      </c>
      <c r="E26983" s="29"/>
      <c r="F26983" s="29"/>
      <c r="G26983" s="29"/>
      <c r="H26983" s="29"/>
      <c r="I26983" s="29"/>
      <c r="J26983" s="29" t="s">
        <v>331</v>
      </c>
    </row>
    <row r="26984" spans="1:10" x14ac:dyDescent="0.35">
      <c r="A26984" t="s">
        <v>228</v>
      </c>
      <c r="B26984" t="s">
        <v>1343</v>
      </c>
      <c r="C26984" t="s">
        <v>1346</v>
      </c>
      <c r="D26984" s="26">
        <v>0.54090000000000005</v>
      </c>
      <c r="E26984" s="26">
        <v>0.2243</v>
      </c>
      <c r="F26984" s="26">
        <v>0.1467</v>
      </c>
      <c r="G26984" s="26">
        <v>4.7699999999999999E-2</v>
      </c>
      <c r="H26984" s="26">
        <v>2.9399999999999999E-2</v>
      </c>
      <c r="I26984" s="26">
        <v>1.0999999999999999E-2</v>
      </c>
      <c r="J26984">
        <v>130</v>
      </c>
    </row>
    <row r="26985" spans="1:10" x14ac:dyDescent="0.35">
      <c r="A26985" s="27" t="s">
        <v>228</v>
      </c>
      <c r="B26985" s="27" t="s">
        <v>1341</v>
      </c>
      <c r="C26985" s="27" t="s">
        <v>1347</v>
      </c>
      <c r="D26985" s="28">
        <v>0.41849999999999998</v>
      </c>
      <c r="E26985" s="28">
        <v>0.32490000000000002</v>
      </c>
      <c r="F26985" s="28">
        <v>0.18959999999999999</v>
      </c>
      <c r="G26985" s="28">
        <v>6.7000000000000004E-2</v>
      </c>
      <c r="H26985" s="29"/>
      <c r="I26985" s="29"/>
      <c r="J26985" s="29" t="s">
        <v>347</v>
      </c>
    </row>
    <row r="26986" spans="1:10" x14ac:dyDescent="0.35">
      <c r="A26986" s="27" t="s">
        <v>229</v>
      </c>
      <c r="B26986" s="27" t="s">
        <v>1341</v>
      </c>
      <c r="C26986" s="27" t="s">
        <v>1348</v>
      </c>
      <c r="D26986" s="28">
        <v>0.64400000000000002</v>
      </c>
      <c r="E26986" s="28">
        <v>0.1903</v>
      </c>
      <c r="F26986" s="28">
        <v>0.16569999999999999</v>
      </c>
      <c r="G26986" s="29"/>
      <c r="H26986" s="29"/>
      <c r="I26986" s="29"/>
      <c r="J26986" s="29" t="s">
        <v>343</v>
      </c>
    </row>
    <row r="26987" spans="1:10" x14ac:dyDescent="0.35">
      <c r="A26987" t="s">
        <v>229</v>
      </c>
      <c r="B26987" t="s">
        <v>1343</v>
      </c>
      <c r="C26987" t="s">
        <v>1346</v>
      </c>
      <c r="D26987" s="26">
        <v>0.63790000000000002</v>
      </c>
      <c r="E26987" s="26">
        <v>5.5399999999999998E-2</v>
      </c>
      <c r="F26987" s="26">
        <v>0.18609999999999999</v>
      </c>
      <c r="H26987" s="26">
        <v>5.1799999999999999E-2</v>
      </c>
      <c r="I26987" s="26">
        <v>6.88E-2</v>
      </c>
      <c r="J26987">
        <v>47</v>
      </c>
    </row>
    <row r="26988" spans="1:10" x14ac:dyDescent="0.35">
      <c r="A26988" s="27" t="s">
        <v>229</v>
      </c>
      <c r="B26988" s="27" t="s">
        <v>1341</v>
      </c>
      <c r="C26988" s="27" t="s">
        <v>1346</v>
      </c>
      <c r="D26988" s="28">
        <v>0.55320000000000003</v>
      </c>
      <c r="E26988" s="28">
        <v>0.24909999999999999</v>
      </c>
      <c r="F26988" s="28">
        <v>0.1772</v>
      </c>
      <c r="G26988" s="29"/>
      <c r="H26988" s="29"/>
      <c r="I26988" s="28">
        <v>2.06E-2</v>
      </c>
      <c r="J26988" s="29" t="s">
        <v>353</v>
      </c>
    </row>
    <row r="26989" spans="1:10" x14ac:dyDescent="0.35">
      <c r="A26989" s="27" t="s">
        <v>229</v>
      </c>
      <c r="B26989" s="27" t="s">
        <v>1341</v>
      </c>
      <c r="C26989" s="27" t="s">
        <v>1345</v>
      </c>
      <c r="D26989" s="28">
        <v>1</v>
      </c>
      <c r="E26989" s="29"/>
      <c r="F26989" s="29"/>
      <c r="G26989" s="29"/>
      <c r="H26989" s="29"/>
      <c r="I26989" s="29"/>
      <c r="J26989" s="29" t="s">
        <v>314</v>
      </c>
    </row>
    <row r="26990" spans="1:10" x14ac:dyDescent="0.35">
      <c r="A26990" s="27" t="s">
        <v>229</v>
      </c>
      <c r="B26990" s="27" t="s">
        <v>1341</v>
      </c>
      <c r="C26990" s="27" t="s">
        <v>1347</v>
      </c>
      <c r="D26990" s="28">
        <v>0.1167</v>
      </c>
      <c r="E26990" s="28">
        <v>0.29430000000000001</v>
      </c>
      <c r="F26990" s="28">
        <v>0.39660000000000001</v>
      </c>
      <c r="G26990" s="28">
        <v>3.5700000000000003E-2</v>
      </c>
      <c r="H26990" s="28">
        <v>0.13400000000000001</v>
      </c>
      <c r="I26990" s="28">
        <v>2.2700000000000001E-2</v>
      </c>
      <c r="J26990" s="29" t="s">
        <v>347</v>
      </c>
    </row>
    <row r="26991" spans="1:10" x14ac:dyDescent="0.35">
      <c r="A26991" t="s">
        <v>229</v>
      </c>
      <c r="B26991" t="s">
        <v>1343</v>
      </c>
      <c r="C26991" t="s">
        <v>1348</v>
      </c>
      <c r="D26991" s="26">
        <v>0.51680000000000004</v>
      </c>
      <c r="E26991" s="26">
        <v>0.31240000000000001</v>
      </c>
      <c r="F26991" s="26">
        <v>0.16270000000000001</v>
      </c>
      <c r="G26991" s="26">
        <v>8.0999999999999996E-3</v>
      </c>
      <c r="J26991">
        <v>81</v>
      </c>
    </row>
    <row r="26992" spans="1:10" x14ac:dyDescent="0.35">
      <c r="A26992" s="27" t="s">
        <v>229</v>
      </c>
      <c r="B26992" s="27" t="s">
        <v>1343</v>
      </c>
      <c r="C26992" s="27" t="s">
        <v>1345</v>
      </c>
      <c r="D26992" s="28">
        <v>0.9022</v>
      </c>
      <c r="E26992" s="28">
        <v>8.77E-2</v>
      </c>
      <c r="F26992" s="29"/>
      <c r="G26992" s="29"/>
      <c r="H26992" s="29"/>
      <c r="I26992" s="28">
        <v>1.01E-2</v>
      </c>
      <c r="J26992" s="29" t="s">
        <v>339</v>
      </c>
    </row>
    <row r="26993" spans="1:10" x14ac:dyDescent="0.35">
      <c r="A26993" t="s">
        <v>229</v>
      </c>
      <c r="B26993" t="s">
        <v>1343</v>
      </c>
      <c r="C26993" t="s">
        <v>1347</v>
      </c>
      <c r="D26993" s="26">
        <v>0.44340000000000002</v>
      </c>
      <c r="E26993" s="26">
        <v>0.22839999999999999</v>
      </c>
      <c r="F26993" s="26">
        <v>0.32819999999999999</v>
      </c>
      <c r="J26993">
        <v>37</v>
      </c>
    </row>
    <row r="26994" spans="1:10" x14ac:dyDescent="0.35">
      <c r="A26994" s="27" t="s">
        <v>230</v>
      </c>
      <c r="B26994" s="27" t="s">
        <v>1341</v>
      </c>
      <c r="C26994" s="27" t="s">
        <v>1345</v>
      </c>
      <c r="D26994" s="28">
        <v>1</v>
      </c>
      <c r="E26994" s="29"/>
      <c r="F26994" s="29"/>
      <c r="G26994" s="29"/>
      <c r="H26994" s="29"/>
      <c r="I26994" s="29"/>
      <c r="J26994" s="29" t="s">
        <v>331</v>
      </c>
    </row>
    <row r="26995" spans="1:10" x14ac:dyDescent="0.35">
      <c r="A26995" t="s">
        <v>230</v>
      </c>
      <c r="B26995" t="s">
        <v>1343</v>
      </c>
      <c r="C26995" t="s">
        <v>1348</v>
      </c>
      <c r="D26995" s="26">
        <v>0.44400000000000001</v>
      </c>
      <c r="E26995" s="26">
        <v>0.38229999999999997</v>
      </c>
      <c r="F26995" s="26">
        <v>0.15859999999999999</v>
      </c>
      <c r="G26995" s="26">
        <v>1.3100000000000001E-2</v>
      </c>
      <c r="I26995" s="26">
        <v>2.0999999999999999E-3</v>
      </c>
      <c r="J26995">
        <v>82</v>
      </c>
    </row>
    <row r="26996" spans="1:10" x14ac:dyDescent="0.35">
      <c r="A26996" s="27" t="s">
        <v>230</v>
      </c>
      <c r="B26996" s="27" t="s">
        <v>1341</v>
      </c>
      <c r="C26996" s="27" t="s">
        <v>1347</v>
      </c>
      <c r="D26996" s="28">
        <v>0.3548</v>
      </c>
      <c r="E26996" s="28">
        <v>0.17</v>
      </c>
      <c r="F26996" s="28">
        <v>0.45250000000000001</v>
      </c>
      <c r="G26996" s="29"/>
      <c r="H26996" s="28">
        <v>2.2599999999999999E-2</v>
      </c>
      <c r="I26996" s="29"/>
      <c r="J26996" s="29" t="s">
        <v>349</v>
      </c>
    </row>
    <row r="26997" spans="1:10" x14ac:dyDescent="0.35">
      <c r="A26997" t="s">
        <v>230</v>
      </c>
      <c r="B26997" t="s">
        <v>1343</v>
      </c>
      <c r="C26997" t="s">
        <v>1347</v>
      </c>
      <c r="D26997" s="26">
        <v>0.70079999999999998</v>
      </c>
      <c r="E26997" s="26">
        <v>8.48E-2</v>
      </c>
      <c r="F26997" s="26">
        <v>3.8399999999999997E-2</v>
      </c>
      <c r="G26997" s="26">
        <v>3.1699999999999999E-2</v>
      </c>
      <c r="H26997" s="26">
        <v>0.1444</v>
      </c>
      <c r="J26997">
        <v>32</v>
      </c>
    </row>
    <row r="26998" spans="1:10" x14ac:dyDescent="0.35">
      <c r="A26998" s="27" t="s">
        <v>230</v>
      </c>
      <c r="B26998" s="27" t="s">
        <v>1343</v>
      </c>
      <c r="C26998" s="27" t="s">
        <v>1345</v>
      </c>
      <c r="D26998" s="29"/>
      <c r="E26998" s="28">
        <v>1</v>
      </c>
      <c r="F26998" s="29"/>
      <c r="G26998" s="29"/>
      <c r="H26998" s="29"/>
      <c r="I26998" s="29"/>
      <c r="J26998" s="29" t="s">
        <v>331</v>
      </c>
    </row>
    <row r="26999" spans="1:10" x14ac:dyDescent="0.35">
      <c r="A26999" t="s">
        <v>230</v>
      </c>
      <c r="B26999" t="s">
        <v>1343</v>
      </c>
      <c r="C26999" t="s">
        <v>1346</v>
      </c>
      <c r="D26999" s="26">
        <v>0.58379999999999999</v>
      </c>
      <c r="E26999" s="26">
        <v>0.1993</v>
      </c>
      <c r="F26999" s="26">
        <v>0.2127</v>
      </c>
      <c r="G26999" s="26">
        <v>4.1999999999999997E-3</v>
      </c>
      <c r="J26999">
        <v>64</v>
      </c>
    </row>
    <row r="27000" spans="1:10" x14ac:dyDescent="0.35">
      <c r="A27000" s="27" t="s">
        <v>230</v>
      </c>
      <c r="B27000" s="27" t="s">
        <v>1341</v>
      </c>
      <c r="C27000" s="27" t="s">
        <v>1346</v>
      </c>
      <c r="D27000" s="28">
        <v>0.53920000000000001</v>
      </c>
      <c r="E27000" s="28">
        <v>0.44230000000000003</v>
      </c>
      <c r="F27000" s="28">
        <v>1.8499999999999999E-2</v>
      </c>
      <c r="G27000" s="29"/>
      <c r="H27000" s="29"/>
      <c r="I27000" s="29"/>
      <c r="J27000" s="29" t="s">
        <v>307</v>
      </c>
    </row>
    <row r="27001" spans="1:10" x14ac:dyDescent="0.35">
      <c r="A27001" t="s">
        <v>230</v>
      </c>
      <c r="B27001" t="s">
        <v>1341</v>
      </c>
      <c r="C27001" t="s">
        <v>1348</v>
      </c>
      <c r="D27001" s="26">
        <v>0.56469999999999998</v>
      </c>
      <c r="E27001" s="26">
        <v>0.2107</v>
      </c>
      <c r="F27001" s="26">
        <v>3.1199999999999999E-2</v>
      </c>
      <c r="G27001" s="26">
        <v>2.4400000000000002E-2</v>
      </c>
      <c r="H27001" s="26">
        <v>2.4400000000000002E-2</v>
      </c>
      <c r="I27001" s="26">
        <v>0.14460000000000001</v>
      </c>
      <c r="J27001">
        <v>34</v>
      </c>
    </row>
    <row r="27002" spans="1:10" x14ac:dyDescent="0.35">
      <c r="A27002" s="27" t="s">
        <v>231</v>
      </c>
      <c r="B27002" s="27" t="s">
        <v>1343</v>
      </c>
      <c r="C27002" s="27" t="s">
        <v>1347</v>
      </c>
      <c r="D27002" s="28">
        <v>0.71430000000000005</v>
      </c>
      <c r="E27002" s="29"/>
      <c r="F27002" s="28">
        <v>0.1429</v>
      </c>
      <c r="G27002" s="29"/>
      <c r="H27002" s="28">
        <v>0.1429</v>
      </c>
      <c r="I27002" s="29"/>
      <c r="J27002" s="29" t="s">
        <v>339</v>
      </c>
    </row>
    <row r="27003" spans="1:10" x14ac:dyDescent="0.35">
      <c r="A27003" s="27" t="s">
        <v>231</v>
      </c>
      <c r="B27003" s="27" t="s">
        <v>1343</v>
      </c>
      <c r="C27003" s="27" t="s">
        <v>1348</v>
      </c>
      <c r="D27003" s="28">
        <v>0.45450000000000002</v>
      </c>
      <c r="E27003" s="28">
        <v>0.36359999999999998</v>
      </c>
      <c r="F27003" s="29"/>
      <c r="G27003" s="28">
        <v>9.0899999999999995E-2</v>
      </c>
      <c r="H27003" s="28">
        <v>9.0899999999999995E-2</v>
      </c>
      <c r="I27003" s="29"/>
      <c r="J27003" s="29" t="s">
        <v>352</v>
      </c>
    </row>
    <row r="27004" spans="1:10" x14ac:dyDescent="0.35">
      <c r="A27004" s="27" t="s">
        <v>231</v>
      </c>
      <c r="B27004" s="27" t="s">
        <v>1341</v>
      </c>
      <c r="C27004" s="27" t="s">
        <v>1347</v>
      </c>
      <c r="D27004" s="28">
        <v>0.66669999999999996</v>
      </c>
      <c r="E27004" s="28">
        <v>0.33329999999999999</v>
      </c>
      <c r="F27004" s="29"/>
      <c r="G27004" s="29"/>
      <c r="H27004" s="29"/>
      <c r="I27004" s="29"/>
      <c r="J27004" s="29" t="s">
        <v>315</v>
      </c>
    </row>
    <row r="27005" spans="1:10" x14ac:dyDescent="0.35">
      <c r="A27005" s="27" t="s">
        <v>231</v>
      </c>
      <c r="B27005" s="27" t="s">
        <v>1341</v>
      </c>
      <c r="C27005" s="27" t="s">
        <v>1348</v>
      </c>
      <c r="D27005" s="28">
        <v>0.625</v>
      </c>
      <c r="E27005" s="28">
        <v>0.125</v>
      </c>
      <c r="F27005" s="28">
        <v>0.125</v>
      </c>
      <c r="G27005" s="28">
        <v>0.125</v>
      </c>
      <c r="H27005" s="29"/>
      <c r="I27005" s="29"/>
      <c r="J27005" s="29" t="s">
        <v>333</v>
      </c>
    </row>
    <row r="27006" spans="1:10" x14ac:dyDescent="0.35">
      <c r="A27006" s="27" t="s">
        <v>231</v>
      </c>
      <c r="B27006" s="27" t="s">
        <v>1343</v>
      </c>
      <c r="C27006" s="27" t="s">
        <v>1346</v>
      </c>
      <c r="D27006" s="28">
        <v>0.625</v>
      </c>
      <c r="E27006" s="28">
        <v>0.25</v>
      </c>
      <c r="F27006" s="28">
        <v>0.125</v>
      </c>
      <c r="G27006" s="29"/>
      <c r="H27006" s="29"/>
      <c r="I27006" s="29"/>
      <c r="J27006" s="29" t="s">
        <v>333</v>
      </c>
    </row>
    <row r="27007" spans="1:10" x14ac:dyDescent="0.35">
      <c r="A27007" s="27" t="s">
        <v>231</v>
      </c>
      <c r="B27007" s="27" t="s">
        <v>1341</v>
      </c>
      <c r="C27007" s="27" t="s">
        <v>1346</v>
      </c>
      <c r="D27007" s="29"/>
      <c r="E27007" s="29"/>
      <c r="F27007" s="28">
        <v>1</v>
      </c>
      <c r="G27007" s="29"/>
      <c r="H27007" s="29"/>
      <c r="I27007" s="29"/>
      <c r="J27007" s="29" t="s">
        <v>331</v>
      </c>
    </row>
    <row r="27008" spans="1:10" x14ac:dyDescent="0.35">
      <c r="A27008" t="s">
        <v>232</v>
      </c>
      <c r="B27008" t="s">
        <v>232</v>
      </c>
      <c r="C27008" t="s">
        <v>232</v>
      </c>
      <c r="D27008" s="26">
        <v>0.53090000000000004</v>
      </c>
      <c r="E27008" s="26">
        <v>0.22140000000000001</v>
      </c>
      <c r="F27008" s="26">
        <v>0.15010000000000001</v>
      </c>
      <c r="G27008" s="26">
        <v>5.1700000000000003E-2</v>
      </c>
      <c r="H27008" s="26">
        <v>2.8199999999999999E-2</v>
      </c>
      <c r="I27008" s="26">
        <v>1.7500000000000002E-2</v>
      </c>
      <c r="J27008">
        <v>982</v>
      </c>
    </row>
    <row r="27010" spans="1:11" x14ac:dyDescent="0.35">
      <c r="A27010" s="1" t="s">
        <v>2443</v>
      </c>
    </row>
    <row r="27011" spans="1:11" x14ac:dyDescent="0.35">
      <c r="A27011" t="s">
        <v>219</v>
      </c>
      <c r="B27011" t="s">
        <v>2444</v>
      </c>
      <c r="C27011" t="s">
        <v>2445</v>
      </c>
      <c r="D27011" t="s">
        <v>2446</v>
      </c>
      <c r="E27011" t="s">
        <v>2447</v>
      </c>
      <c r="F27011" t="s">
        <v>286</v>
      </c>
      <c r="G27011" t="s">
        <v>326</v>
      </c>
      <c r="H27011" t="s">
        <v>2448</v>
      </c>
      <c r="I27011" t="s">
        <v>2449</v>
      </c>
      <c r="J27011" t="s">
        <v>226</v>
      </c>
    </row>
    <row r="27012" spans="1:11" x14ac:dyDescent="0.35">
      <c r="A27012" s="27" t="s">
        <v>227</v>
      </c>
      <c r="B27012" s="28">
        <v>0.5</v>
      </c>
      <c r="C27012" s="28">
        <v>0.16669999999999999</v>
      </c>
      <c r="D27012" s="28">
        <v>0.16669999999999999</v>
      </c>
      <c r="E27012" s="28">
        <v>0.16669999999999999</v>
      </c>
      <c r="F27012" s="29"/>
      <c r="G27012" s="29"/>
      <c r="H27012" s="29"/>
      <c r="I27012" s="29"/>
      <c r="J27012" s="29" t="s">
        <v>335</v>
      </c>
    </row>
    <row r="27013" spans="1:11" x14ac:dyDescent="0.35">
      <c r="A27013" s="27" t="s">
        <v>228</v>
      </c>
      <c r="B27013" s="28">
        <v>0.62190000000000001</v>
      </c>
      <c r="C27013" s="28">
        <v>0.25890000000000002</v>
      </c>
      <c r="D27013" s="28">
        <v>2.3300000000000001E-2</v>
      </c>
      <c r="E27013" s="28">
        <v>2.12E-2</v>
      </c>
      <c r="F27013" s="28">
        <v>0.13830000000000001</v>
      </c>
      <c r="G27013" s="28">
        <v>3.2300000000000002E-2</v>
      </c>
      <c r="H27013" s="28">
        <v>1.6E-2</v>
      </c>
      <c r="I27013" s="28">
        <v>9.4000000000000004E-3</v>
      </c>
      <c r="J27013" s="29" t="s">
        <v>351</v>
      </c>
    </row>
    <row r="27014" spans="1:11" x14ac:dyDescent="0.35">
      <c r="A27014" s="27" t="s">
        <v>229</v>
      </c>
      <c r="B27014" s="28">
        <v>0.45739999999999997</v>
      </c>
      <c r="C27014" s="29"/>
      <c r="D27014" s="28">
        <v>0.435</v>
      </c>
      <c r="E27014" s="28">
        <v>0.1077</v>
      </c>
      <c r="F27014" s="29"/>
      <c r="G27014" s="29"/>
      <c r="H27014" s="29"/>
      <c r="I27014" s="29"/>
      <c r="J27014" s="29" t="s">
        <v>335</v>
      </c>
    </row>
    <row r="27015" spans="1:11" x14ac:dyDescent="0.35">
      <c r="A27015" s="27" t="s">
        <v>230</v>
      </c>
      <c r="B27015" s="28">
        <v>0.92730000000000001</v>
      </c>
      <c r="C27015" s="28">
        <v>0.12909999999999999</v>
      </c>
      <c r="D27015" s="28">
        <v>2.4199999999999999E-2</v>
      </c>
      <c r="E27015" s="28">
        <v>2.4199999999999999E-2</v>
      </c>
      <c r="F27015" s="29"/>
      <c r="G27015" s="29"/>
      <c r="H27015" s="29"/>
      <c r="I27015" s="28">
        <v>2.4199999999999999E-2</v>
      </c>
      <c r="J27015" s="29" t="s">
        <v>352</v>
      </c>
    </row>
    <row r="27016" spans="1:11" x14ac:dyDescent="0.35">
      <c r="A27016" s="27" t="s">
        <v>231</v>
      </c>
      <c r="B27016" s="28">
        <v>0.75</v>
      </c>
      <c r="C27016" s="28">
        <v>0.25</v>
      </c>
      <c r="D27016" s="29"/>
      <c r="E27016" s="29"/>
      <c r="F27016" s="29"/>
      <c r="G27016" s="29"/>
      <c r="H27016" s="29"/>
      <c r="I27016" s="29"/>
      <c r="J27016" s="29" t="s">
        <v>337</v>
      </c>
    </row>
    <row r="27017" spans="1:11" x14ac:dyDescent="0.35">
      <c r="A27017" t="s">
        <v>232</v>
      </c>
      <c r="B27017" s="26">
        <v>0.63229999999999997</v>
      </c>
      <c r="C27017" s="26">
        <v>0.2006</v>
      </c>
      <c r="D27017" s="26">
        <v>9.1700000000000004E-2</v>
      </c>
      <c r="E27017" s="26">
        <v>6.2600000000000003E-2</v>
      </c>
      <c r="F27017" s="26">
        <v>3.4299999999999997E-2</v>
      </c>
      <c r="G27017" s="26">
        <v>8.0000000000000002E-3</v>
      </c>
      <c r="H27017" s="26">
        <v>4.0000000000000001E-3</v>
      </c>
      <c r="I27017" s="26">
        <v>3.5999999999999999E-3</v>
      </c>
      <c r="J27017">
        <v>48</v>
      </c>
    </row>
    <row r="27019" spans="1:11" x14ac:dyDescent="0.35">
      <c r="A27019" s="1" t="s">
        <v>2450</v>
      </c>
    </row>
    <row r="27020" spans="1:11" x14ac:dyDescent="0.35">
      <c r="A27020" t="s">
        <v>219</v>
      </c>
      <c r="B27020" t="s">
        <v>305</v>
      </c>
      <c r="C27020" t="s">
        <v>2444</v>
      </c>
      <c r="D27020" t="s">
        <v>2445</v>
      </c>
      <c r="E27020" t="s">
        <v>2446</v>
      </c>
      <c r="F27020" t="s">
        <v>2447</v>
      </c>
      <c r="G27020" t="s">
        <v>286</v>
      </c>
      <c r="H27020" t="s">
        <v>326</v>
      </c>
      <c r="I27020" t="s">
        <v>2448</v>
      </c>
      <c r="J27020" t="s">
        <v>2449</v>
      </c>
      <c r="K27020" t="s">
        <v>226</v>
      </c>
    </row>
    <row r="27021" spans="1:11" x14ac:dyDescent="0.35">
      <c r="A27021" s="27" t="s">
        <v>227</v>
      </c>
      <c r="B27021" s="27" t="s">
        <v>242</v>
      </c>
      <c r="C27021" s="28">
        <v>0.33329999999999999</v>
      </c>
      <c r="D27021" s="29"/>
      <c r="E27021" s="28">
        <v>0.33329999999999999</v>
      </c>
      <c r="F27021" s="28">
        <v>0.33329999999999999</v>
      </c>
      <c r="G27021" s="29"/>
      <c r="H27021" s="29"/>
      <c r="I27021" s="29"/>
      <c r="J27021" s="29"/>
      <c r="K27021" s="29" t="s">
        <v>315</v>
      </c>
    </row>
    <row r="27022" spans="1:11" x14ac:dyDescent="0.35">
      <c r="A27022" s="27" t="s">
        <v>227</v>
      </c>
      <c r="B27022" s="27" t="s">
        <v>241</v>
      </c>
      <c r="C27022" s="28">
        <v>0.66669999999999996</v>
      </c>
      <c r="D27022" s="28">
        <v>0.33329999999999999</v>
      </c>
      <c r="E27022" s="29"/>
      <c r="F27022" s="29"/>
      <c r="G27022" s="29"/>
      <c r="H27022" s="29"/>
      <c r="I27022" s="29"/>
      <c r="J27022" s="29"/>
      <c r="K27022" s="29" t="s">
        <v>315</v>
      </c>
    </row>
    <row r="27023" spans="1:11" x14ac:dyDescent="0.35">
      <c r="A27023" s="27" t="s">
        <v>228</v>
      </c>
      <c r="B27023" s="27" t="s">
        <v>242</v>
      </c>
      <c r="C27023" s="28">
        <v>0.82820000000000005</v>
      </c>
      <c r="D27023" s="28">
        <v>0.1961</v>
      </c>
      <c r="E27023" s="28">
        <v>2.18E-2</v>
      </c>
      <c r="F27023" s="29"/>
      <c r="G27023" s="28">
        <v>2.18E-2</v>
      </c>
      <c r="H27023" s="29"/>
      <c r="I27023" s="28">
        <v>3.7100000000000001E-2</v>
      </c>
      <c r="J27023" s="29"/>
      <c r="K27023" s="29" t="s">
        <v>352</v>
      </c>
    </row>
    <row r="27024" spans="1:11" x14ac:dyDescent="0.35">
      <c r="A27024" s="27" t="s">
        <v>228</v>
      </c>
      <c r="B27024" s="27" t="s">
        <v>241</v>
      </c>
      <c r="C27024" s="28">
        <v>0.46500000000000002</v>
      </c>
      <c r="D27024" s="28">
        <v>0.30669999999999997</v>
      </c>
      <c r="E27024" s="28">
        <v>2.4500000000000001E-2</v>
      </c>
      <c r="F27024" s="28">
        <v>3.7400000000000003E-2</v>
      </c>
      <c r="G27024" s="28">
        <v>0.22689999999999999</v>
      </c>
      <c r="H27024" s="28">
        <v>5.6800000000000003E-2</v>
      </c>
      <c r="I27024" s="29"/>
      <c r="J27024" s="28">
        <v>1.66E-2</v>
      </c>
      <c r="K27024" s="29" t="s">
        <v>307</v>
      </c>
    </row>
    <row r="27025" spans="1:11" x14ac:dyDescent="0.35">
      <c r="A27025" s="27" t="s">
        <v>229</v>
      </c>
      <c r="B27025" s="27" t="s">
        <v>242</v>
      </c>
      <c r="C27025" s="29"/>
      <c r="D27025" s="29"/>
      <c r="E27025" s="28">
        <v>1</v>
      </c>
      <c r="F27025" s="29"/>
      <c r="G27025" s="29"/>
      <c r="H27025" s="29"/>
      <c r="I27025" s="29"/>
      <c r="J27025" s="29"/>
      <c r="K27025" s="29" t="s">
        <v>331</v>
      </c>
    </row>
    <row r="27026" spans="1:11" x14ac:dyDescent="0.35">
      <c r="A27026" s="27" t="s">
        <v>229</v>
      </c>
      <c r="B27026" s="27" t="s">
        <v>241</v>
      </c>
      <c r="C27026" s="28">
        <v>0.46450000000000002</v>
      </c>
      <c r="D27026" s="29"/>
      <c r="E27026" s="28">
        <v>0.42620000000000002</v>
      </c>
      <c r="F27026" s="28">
        <v>0.10929999999999999</v>
      </c>
      <c r="G27026" s="29"/>
      <c r="H27026" s="29"/>
      <c r="I27026" s="29"/>
      <c r="J27026" s="29"/>
      <c r="K27026" s="29" t="s">
        <v>332</v>
      </c>
    </row>
    <row r="27027" spans="1:11" x14ac:dyDescent="0.35">
      <c r="A27027" s="27" t="s">
        <v>230</v>
      </c>
      <c r="B27027" s="27" t="s">
        <v>242</v>
      </c>
      <c r="C27027" s="28">
        <v>1</v>
      </c>
      <c r="D27027" s="28">
        <v>0.21840000000000001</v>
      </c>
      <c r="E27027" s="29"/>
      <c r="F27027" s="28">
        <v>6.5699999999999995E-2</v>
      </c>
      <c r="G27027" s="29"/>
      <c r="H27027" s="29"/>
      <c r="I27027" s="29"/>
      <c r="J27027" s="28">
        <v>6.5699999999999995E-2</v>
      </c>
      <c r="K27027" s="29" t="s">
        <v>335</v>
      </c>
    </row>
    <row r="27028" spans="1:11" x14ac:dyDescent="0.35">
      <c r="A27028" s="27" t="s">
        <v>230</v>
      </c>
      <c r="B27028" s="27" t="s">
        <v>241</v>
      </c>
      <c r="C27028" s="28">
        <v>0.88480000000000003</v>
      </c>
      <c r="D27028" s="28">
        <v>7.6799999999999993E-2</v>
      </c>
      <c r="E27028" s="28">
        <v>3.8399999999999997E-2</v>
      </c>
      <c r="F27028" s="29"/>
      <c r="G27028" s="29"/>
      <c r="H27028" s="29"/>
      <c r="I27028" s="29"/>
      <c r="J27028" s="29"/>
      <c r="K27028" s="29" t="s">
        <v>332</v>
      </c>
    </row>
    <row r="27029" spans="1:11" x14ac:dyDescent="0.35">
      <c r="A27029" s="27" t="s">
        <v>231</v>
      </c>
      <c r="B27029" s="27" t="s">
        <v>242</v>
      </c>
      <c r="C27029" s="28">
        <v>1</v>
      </c>
      <c r="D27029" s="29"/>
      <c r="E27029" s="29"/>
      <c r="F27029" s="29"/>
      <c r="G27029" s="29"/>
      <c r="H27029" s="29"/>
      <c r="I27029" s="29"/>
      <c r="J27029" s="29"/>
      <c r="K27029" s="29" t="s">
        <v>331</v>
      </c>
    </row>
    <row r="27030" spans="1:11" x14ac:dyDescent="0.35">
      <c r="A27030" s="27" t="s">
        <v>231</v>
      </c>
      <c r="B27030" s="27" t="s">
        <v>241</v>
      </c>
      <c r="C27030" s="28">
        <v>0.66669999999999996</v>
      </c>
      <c r="D27030" s="28">
        <v>0.33329999999999999</v>
      </c>
      <c r="E27030" s="29"/>
      <c r="F27030" s="29"/>
      <c r="G27030" s="29"/>
      <c r="H27030" s="29"/>
      <c r="I27030" s="29"/>
      <c r="J27030" s="29"/>
      <c r="K27030" s="29" t="s">
        <v>315</v>
      </c>
    </row>
    <row r="27031" spans="1:11" x14ac:dyDescent="0.35">
      <c r="A27031" t="s">
        <v>232</v>
      </c>
      <c r="B27031" t="s">
        <v>232</v>
      </c>
      <c r="C27031" s="26">
        <v>0.63229999999999997</v>
      </c>
      <c r="D27031" s="26">
        <v>0.2006</v>
      </c>
      <c r="E27031" s="26">
        <v>9.1700000000000004E-2</v>
      </c>
      <c r="F27031" s="26">
        <v>6.2600000000000003E-2</v>
      </c>
      <c r="G27031" s="26">
        <v>3.4299999999999997E-2</v>
      </c>
      <c r="H27031" s="26">
        <v>8.0000000000000002E-3</v>
      </c>
      <c r="I27031" s="26">
        <v>4.0000000000000001E-3</v>
      </c>
      <c r="J27031" s="26">
        <v>3.5999999999999999E-3</v>
      </c>
      <c r="K27031">
        <v>48</v>
      </c>
    </row>
    <row r="27033" spans="1:11" x14ac:dyDescent="0.35">
      <c r="A27033" s="1" t="s">
        <v>2451</v>
      </c>
    </row>
    <row r="27034" spans="1:11" x14ac:dyDescent="0.35">
      <c r="A27034" t="s">
        <v>219</v>
      </c>
      <c r="B27034" t="s">
        <v>305</v>
      </c>
      <c r="C27034" t="s">
        <v>2444</v>
      </c>
      <c r="D27034" t="s">
        <v>2445</v>
      </c>
      <c r="E27034" t="s">
        <v>2446</v>
      </c>
      <c r="F27034" t="s">
        <v>2447</v>
      </c>
      <c r="G27034" t="s">
        <v>286</v>
      </c>
      <c r="H27034" t="s">
        <v>326</v>
      </c>
      <c r="I27034" t="s">
        <v>2448</v>
      </c>
      <c r="J27034" t="s">
        <v>2449</v>
      </c>
      <c r="K27034" t="s">
        <v>226</v>
      </c>
    </row>
    <row r="27035" spans="1:11" x14ac:dyDescent="0.35">
      <c r="A27035" s="27" t="s">
        <v>227</v>
      </c>
      <c r="B27035" s="27" t="s">
        <v>239</v>
      </c>
      <c r="C27035" s="28">
        <v>0.33329999999999999</v>
      </c>
      <c r="D27035" s="29"/>
      <c r="E27035" s="28">
        <v>0.33329999999999999</v>
      </c>
      <c r="F27035" s="28">
        <v>0.33329999999999999</v>
      </c>
      <c r="G27035" s="29"/>
      <c r="H27035" s="29"/>
      <c r="I27035" s="29"/>
      <c r="J27035" s="29"/>
      <c r="K27035" s="29" t="s">
        <v>315</v>
      </c>
    </row>
    <row r="27036" spans="1:11" x14ac:dyDescent="0.35">
      <c r="A27036" s="27" t="s">
        <v>227</v>
      </c>
      <c r="B27036" s="27" t="s">
        <v>238</v>
      </c>
      <c r="C27036" s="28">
        <v>0.66669999999999996</v>
      </c>
      <c r="D27036" s="28">
        <v>0.33329999999999999</v>
      </c>
      <c r="E27036" s="29"/>
      <c r="F27036" s="29"/>
      <c r="G27036" s="29"/>
      <c r="H27036" s="29"/>
      <c r="I27036" s="29"/>
      <c r="J27036" s="29"/>
      <c r="K27036" s="29" t="s">
        <v>315</v>
      </c>
    </row>
    <row r="27037" spans="1:11" x14ac:dyDescent="0.35">
      <c r="A27037" s="27" t="s">
        <v>228</v>
      </c>
      <c r="B27037" s="27" t="s">
        <v>239</v>
      </c>
      <c r="C27037" s="29"/>
      <c r="D27037" s="28">
        <v>0.50719999999999998</v>
      </c>
      <c r="E27037" s="28">
        <v>0.03</v>
      </c>
      <c r="F27037" s="29"/>
      <c r="G27037" s="28">
        <v>0.41149999999999998</v>
      </c>
      <c r="H27037" s="29"/>
      <c r="I27037" s="28">
        <v>5.1200000000000002E-2</v>
      </c>
      <c r="J27037" s="29"/>
      <c r="K27037" s="29" t="s">
        <v>335</v>
      </c>
    </row>
    <row r="27038" spans="1:11" x14ac:dyDescent="0.35">
      <c r="A27038" s="27" t="s">
        <v>228</v>
      </c>
      <c r="B27038" s="27" t="s">
        <v>238</v>
      </c>
      <c r="C27038" s="28">
        <v>0.90539999999999998</v>
      </c>
      <c r="D27038" s="28">
        <v>0.1457</v>
      </c>
      <c r="E27038" s="28">
        <v>2.0299999999999999E-2</v>
      </c>
      <c r="F27038" s="28">
        <v>3.09E-2</v>
      </c>
      <c r="G27038" s="28">
        <v>1.37E-2</v>
      </c>
      <c r="H27038" s="28">
        <v>4.7E-2</v>
      </c>
      <c r="I27038" s="29"/>
      <c r="J27038" s="28">
        <v>1.37E-2</v>
      </c>
      <c r="K27038" s="29" t="s">
        <v>346</v>
      </c>
    </row>
    <row r="27039" spans="1:11" x14ac:dyDescent="0.35">
      <c r="A27039" s="27" t="s">
        <v>229</v>
      </c>
      <c r="B27039" s="27" t="s">
        <v>239</v>
      </c>
      <c r="C27039" s="28">
        <v>0.96760000000000002</v>
      </c>
      <c r="D27039" s="29"/>
      <c r="E27039" s="28">
        <v>3.2399999999999998E-2</v>
      </c>
      <c r="F27039" s="29"/>
      <c r="G27039" s="29"/>
      <c r="H27039" s="29"/>
      <c r="I27039" s="29"/>
      <c r="J27039" s="29"/>
      <c r="K27039" s="29" t="s">
        <v>315</v>
      </c>
    </row>
    <row r="27040" spans="1:11" x14ac:dyDescent="0.35">
      <c r="A27040" s="27" t="s">
        <v>229</v>
      </c>
      <c r="B27040" s="27" t="s">
        <v>238</v>
      </c>
      <c r="C27040" s="29"/>
      <c r="D27040" s="29"/>
      <c r="E27040" s="28">
        <v>0.79579999999999995</v>
      </c>
      <c r="F27040" s="28">
        <v>0.20419999999999999</v>
      </c>
      <c r="G27040" s="29"/>
      <c r="H27040" s="29"/>
      <c r="I27040" s="29"/>
      <c r="J27040" s="29"/>
      <c r="K27040" s="29" t="s">
        <v>315</v>
      </c>
    </row>
    <row r="27041" spans="1:11" x14ac:dyDescent="0.35">
      <c r="A27041" s="27" t="s">
        <v>230</v>
      </c>
      <c r="B27041" s="27" t="s">
        <v>239</v>
      </c>
      <c r="C27041" s="28">
        <v>0.88439999999999996</v>
      </c>
      <c r="D27041" s="28">
        <v>0.11559999999999999</v>
      </c>
      <c r="E27041" s="29"/>
      <c r="F27041" s="29"/>
      <c r="G27041" s="29"/>
      <c r="H27041" s="29"/>
      <c r="I27041" s="29"/>
      <c r="J27041" s="29"/>
      <c r="K27041" s="29" t="s">
        <v>337</v>
      </c>
    </row>
    <row r="27042" spans="1:11" x14ac:dyDescent="0.35">
      <c r="A27042" s="27" t="s">
        <v>230</v>
      </c>
      <c r="B27042" s="27" t="s">
        <v>238</v>
      </c>
      <c r="C27042" s="28">
        <v>0.93869999999999998</v>
      </c>
      <c r="D27042" s="28">
        <v>0.1326</v>
      </c>
      <c r="E27042" s="28">
        <v>3.0700000000000002E-2</v>
      </c>
      <c r="F27042" s="28">
        <v>3.0700000000000002E-2</v>
      </c>
      <c r="G27042" s="29"/>
      <c r="H27042" s="29"/>
      <c r="I27042" s="29"/>
      <c r="J27042" s="28">
        <v>3.0700000000000002E-2</v>
      </c>
      <c r="K27042" s="29" t="s">
        <v>339</v>
      </c>
    </row>
    <row r="27043" spans="1:11" x14ac:dyDescent="0.35">
      <c r="A27043" s="27" t="s">
        <v>231</v>
      </c>
      <c r="B27043" s="27" t="s">
        <v>238</v>
      </c>
      <c r="C27043" s="28">
        <v>0.75</v>
      </c>
      <c r="D27043" s="28">
        <v>0.25</v>
      </c>
      <c r="E27043" s="29"/>
      <c r="F27043" s="29"/>
      <c r="G27043" s="29"/>
      <c r="H27043" s="29"/>
      <c r="I27043" s="29"/>
      <c r="J27043" s="29"/>
      <c r="K27043" s="29" t="s">
        <v>337</v>
      </c>
    </row>
    <row r="27044" spans="1:11" x14ac:dyDescent="0.35">
      <c r="A27044" t="s">
        <v>232</v>
      </c>
      <c r="B27044" t="s">
        <v>232</v>
      </c>
      <c r="C27044" s="26">
        <v>0.63229999999999997</v>
      </c>
      <c r="D27044" s="26">
        <v>0.2006</v>
      </c>
      <c r="E27044" s="26">
        <v>9.1700000000000004E-2</v>
      </c>
      <c r="F27044" s="26">
        <v>6.2600000000000003E-2</v>
      </c>
      <c r="G27044" s="26">
        <v>3.4299999999999997E-2</v>
      </c>
      <c r="H27044" s="26">
        <v>8.0000000000000002E-3</v>
      </c>
      <c r="I27044" s="26">
        <v>4.0000000000000001E-3</v>
      </c>
      <c r="J27044" s="26">
        <v>3.5999999999999999E-3</v>
      </c>
      <c r="K27044">
        <v>48</v>
      </c>
    </row>
    <row r="27046" spans="1:11" x14ac:dyDescent="0.35">
      <c r="A27046" s="1" t="s">
        <v>2452</v>
      </c>
    </row>
    <row r="27047" spans="1:11" x14ac:dyDescent="0.35">
      <c r="A27047" t="s">
        <v>219</v>
      </c>
      <c r="B27047" t="s">
        <v>305</v>
      </c>
      <c r="C27047" t="s">
        <v>2444</v>
      </c>
      <c r="D27047" t="s">
        <v>2445</v>
      </c>
      <c r="E27047" t="s">
        <v>2446</v>
      </c>
      <c r="F27047" t="s">
        <v>2447</v>
      </c>
      <c r="G27047" t="s">
        <v>286</v>
      </c>
      <c r="H27047" t="s">
        <v>326</v>
      </c>
      <c r="I27047" t="s">
        <v>2448</v>
      </c>
      <c r="J27047" t="s">
        <v>2449</v>
      </c>
      <c r="K27047" t="s">
        <v>226</v>
      </c>
    </row>
    <row r="27048" spans="1:11" x14ac:dyDescent="0.35">
      <c r="A27048" s="27" t="s">
        <v>227</v>
      </c>
      <c r="B27048" s="27" t="s">
        <v>244</v>
      </c>
      <c r="C27048" s="28">
        <v>0.5</v>
      </c>
      <c r="D27048" s="29"/>
      <c r="E27048" s="28">
        <v>0.25</v>
      </c>
      <c r="F27048" s="28">
        <v>0.25</v>
      </c>
      <c r="G27048" s="29"/>
      <c r="H27048" s="29"/>
      <c r="I27048" s="29"/>
      <c r="J27048" s="29"/>
      <c r="K27048" s="29" t="s">
        <v>337</v>
      </c>
    </row>
    <row r="27049" spans="1:11" x14ac:dyDescent="0.35">
      <c r="A27049" s="27" t="s">
        <v>227</v>
      </c>
      <c r="B27049" s="27" t="s">
        <v>245</v>
      </c>
      <c r="C27049" s="28">
        <v>1</v>
      </c>
      <c r="D27049" s="29"/>
      <c r="E27049" s="29"/>
      <c r="F27049" s="29"/>
      <c r="G27049" s="29"/>
      <c r="H27049" s="29"/>
      <c r="I27049" s="29"/>
      <c r="J27049" s="29"/>
      <c r="K27049" s="29" t="s">
        <v>331</v>
      </c>
    </row>
    <row r="27050" spans="1:11" x14ac:dyDescent="0.35">
      <c r="A27050" s="27" t="s">
        <v>227</v>
      </c>
      <c r="B27050" s="27" t="s">
        <v>246</v>
      </c>
      <c r="C27050" s="29"/>
      <c r="D27050" s="28">
        <v>1</v>
      </c>
      <c r="E27050" s="29"/>
      <c r="F27050" s="29"/>
      <c r="G27050" s="29"/>
      <c r="H27050" s="29"/>
      <c r="I27050" s="29"/>
      <c r="J27050" s="29"/>
      <c r="K27050" s="29" t="s">
        <v>331</v>
      </c>
    </row>
    <row r="27051" spans="1:11" x14ac:dyDescent="0.35">
      <c r="A27051" s="27" t="s">
        <v>228</v>
      </c>
      <c r="B27051" s="27" t="s">
        <v>244</v>
      </c>
      <c r="C27051" s="28">
        <v>0.61409999999999998</v>
      </c>
      <c r="D27051" s="28">
        <v>0.23599999999999999</v>
      </c>
      <c r="E27051" s="28">
        <v>1.61E-2</v>
      </c>
      <c r="F27051" s="28">
        <v>2.46E-2</v>
      </c>
      <c r="G27051" s="28">
        <v>0.1489</v>
      </c>
      <c r="H27051" s="28">
        <v>3.73E-2</v>
      </c>
      <c r="I27051" s="29"/>
      <c r="J27051" s="28">
        <v>1.09E-2</v>
      </c>
      <c r="K27051" s="29" t="s">
        <v>346</v>
      </c>
    </row>
    <row r="27052" spans="1:11" x14ac:dyDescent="0.35">
      <c r="A27052" s="27" t="s">
        <v>228</v>
      </c>
      <c r="B27052" s="27" t="s">
        <v>245</v>
      </c>
      <c r="C27052" s="28">
        <v>0.61639999999999995</v>
      </c>
      <c r="D27052" s="28">
        <v>0.74429999999999996</v>
      </c>
      <c r="E27052" s="28">
        <v>0.12790000000000001</v>
      </c>
      <c r="F27052" s="29"/>
      <c r="G27052" s="28">
        <v>0.12790000000000001</v>
      </c>
      <c r="H27052" s="29"/>
      <c r="I27052" s="29"/>
      <c r="J27052" s="29"/>
      <c r="K27052" s="29" t="s">
        <v>337</v>
      </c>
    </row>
    <row r="27053" spans="1:11" x14ac:dyDescent="0.35">
      <c r="A27053" s="27" t="s">
        <v>228</v>
      </c>
      <c r="B27053" s="27" t="s">
        <v>246</v>
      </c>
      <c r="C27053" s="28">
        <v>0.73870000000000002</v>
      </c>
      <c r="D27053" s="29"/>
      <c r="E27053" s="29"/>
      <c r="F27053" s="29"/>
      <c r="G27053" s="29"/>
      <c r="H27053" s="29"/>
      <c r="I27053" s="28">
        <v>0.26129999999999998</v>
      </c>
      <c r="J27053" s="29"/>
      <c r="K27053" s="29" t="s">
        <v>314</v>
      </c>
    </row>
    <row r="27054" spans="1:11" x14ac:dyDescent="0.35">
      <c r="A27054" s="27" t="s">
        <v>229</v>
      </c>
      <c r="B27054" s="27" t="s">
        <v>244</v>
      </c>
      <c r="C27054" s="28">
        <v>0.48170000000000002</v>
      </c>
      <c r="D27054" s="29"/>
      <c r="E27054" s="28">
        <v>0.51829999999999998</v>
      </c>
      <c r="F27054" s="29"/>
      <c r="G27054" s="29"/>
      <c r="H27054" s="29"/>
      <c r="I27054" s="29"/>
      <c r="J27054" s="29"/>
      <c r="K27054" s="29" t="s">
        <v>337</v>
      </c>
    </row>
    <row r="27055" spans="1:11" x14ac:dyDescent="0.35">
      <c r="A27055" s="27" t="s">
        <v>229</v>
      </c>
      <c r="B27055" s="27" t="s">
        <v>245</v>
      </c>
      <c r="C27055" s="28">
        <v>0.33019999999999999</v>
      </c>
      <c r="D27055" s="29"/>
      <c r="E27055" s="29"/>
      <c r="F27055" s="28">
        <v>0.66979999999999995</v>
      </c>
      <c r="G27055" s="29"/>
      <c r="H27055" s="29"/>
      <c r="I27055" s="29"/>
      <c r="J27055" s="29"/>
      <c r="K27055" s="29" t="s">
        <v>314</v>
      </c>
    </row>
    <row r="27056" spans="1:11" x14ac:dyDescent="0.35">
      <c r="A27056" s="27" t="s">
        <v>230</v>
      </c>
      <c r="B27056" s="27" t="s">
        <v>244</v>
      </c>
      <c r="C27056" s="28">
        <v>0.96840000000000004</v>
      </c>
      <c r="D27056" s="29"/>
      <c r="E27056" s="28">
        <v>3.1600000000000003E-2</v>
      </c>
      <c r="F27056" s="28">
        <v>3.1600000000000003E-2</v>
      </c>
      <c r="G27056" s="29"/>
      <c r="H27056" s="29"/>
      <c r="I27056" s="29"/>
      <c r="J27056" s="28">
        <v>3.1600000000000003E-2</v>
      </c>
      <c r="K27056" s="29" t="s">
        <v>335</v>
      </c>
    </row>
    <row r="27057" spans="1:11" x14ac:dyDescent="0.35">
      <c r="A27057" s="27" t="s">
        <v>230</v>
      </c>
      <c r="B27057" s="27" t="s">
        <v>245</v>
      </c>
      <c r="C27057" s="28">
        <v>0.79279999999999995</v>
      </c>
      <c r="D27057" s="28">
        <v>0.55179999999999996</v>
      </c>
      <c r="E27057" s="29"/>
      <c r="F27057" s="29"/>
      <c r="G27057" s="29"/>
      <c r="H27057" s="29"/>
      <c r="I27057" s="29"/>
      <c r="J27057" s="29"/>
      <c r="K27057" s="29" t="s">
        <v>332</v>
      </c>
    </row>
    <row r="27058" spans="1:11" x14ac:dyDescent="0.35">
      <c r="A27058" s="27" t="s">
        <v>231</v>
      </c>
      <c r="B27058" s="27" t="s">
        <v>244</v>
      </c>
      <c r="C27058" s="28">
        <v>0.66669999999999996</v>
      </c>
      <c r="D27058" s="28">
        <v>0.33329999999999999</v>
      </c>
      <c r="E27058" s="29"/>
      <c r="F27058" s="29"/>
      <c r="G27058" s="29"/>
      <c r="H27058" s="29"/>
      <c r="I27058" s="29"/>
      <c r="J27058" s="29"/>
      <c r="K27058" s="29" t="s">
        <v>315</v>
      </c>
    </row>
    <row r="27059" spans="1:11" x14ac:dyDescent="0.35">
      <c r="A27059" s="27" t="s">
        <v>231</v>
      </c>
      <c r="B27059" s="27" t="s">
        <v>245</v>
      </c>
      <c r="C27059" s="28">
        <v>1</v>
      </c>
      <c r="D27059" s="29"/>
      <c r="E27059" s="29"/>
      <c r="F27059" s="29"/>
      <c r="G27059" s="29"/>
      <c r="H27059" s="29"/>
      <c r="I27059" s="29"/>
      <c r="J27059" s="29"/>
      <c r="K27059" s="29" t="s">
        <v>331</v>
      </c>
    </row>
    <row r="27060" spans="1:11" x14ac:dyDescent="0.35">
      <c r="A27060" t="s">
        <v>232</v>
      </c>
      <c r="B27060" t="s">
        <v>232</v>
      </c>
      <c r="C27060" s="26">
        <v>0.63229999999999997</v>
      </c>
      <c r="D27060" s="26">
        <v>0.2006</v>
      </c>
      <c r="E27060" s="26">
        <v>9.1700000000000004E-2</v>
      </c>
      <c r="F27060" s="26">
        <v>6.2600000000000003E-2</v>
      </c>
      <c r="G27060" s="26">
        <v>3.4299999999999997E-2</v>
      </c>
      <c r="H27060" s="26">
        <v>8.0000000000000002E-3</v>
      </c>
      <c r="I27060" s="26">
        <v>4.0000000000000001E-3</v>
      </c>
      <c r="J27060" s="26">
        <v>3.5999999999999999E-3</v>
      </c>
      <c r="K27060">
        <v>48</v>
      </c>
    </row>
    <row r="27062" spans="1:11" x14ac:dyDescent="0.35">
      <c r="A27062" s="1" t="s">
        <v>2453</v>
      </c>
    </row>
    <row r="27063" spans="1:11" x14ac:dyDescent="0.35">
      <c r="A27063" t="s">
        <v>219</v>
      </c>
      <c r="B27063" t="s">
        <v>305</v>
      </c>
      <c r="C27063" t="s">
        <v>2444</v>
      </c>
      <c r="D27063" t="s">
        <v>2445</v>
      </c>
      <c r="E27063" t="s">
        <v>2446</v>
      </c>
      <c r="F27063" t="s">
        <v>2447</v>
      </c>
      <c r="G27063" t="s">
        <v>286</v>
      </c>
      <c r="H27063" t="s">
        <v>326</v>
      </c>
      <c r="I27063" t="s">
        <v>2448</v>
      </c>
      <c r="J27063" t="s">
        <v>2449</v>
      </c>
      <c r="K27063" t="s">
        <v>226</v>
      </c>
    </row>
    <row r="27064" spans="1:11" x14ac:dyDescent="0.35">
      <c r="A27064" s="27" t="s">
        <v>227</v>
      </c>
      <c r="B27064" s="27" t="s">
        <v>363</v>
      </c>
      <c r="C27064" s="28">
        <v>1</v>
      </c>
      <c r="D27064" s="29"/>
      <c r="E27064" s="29"/>
      <c r="F27064" s="29"/>
      <c r="G27064" s="29"/>
      <c r="H27064" s="29"/>
      <c r="I27064" s="29"/>
      <c r="J27064" s="29"/>
      <c r="K27064" s="29" t="s">
        <v>314</v>
      </c>
    </row>
    <row r="27065" spans="1:11" x14ac:dyDescent="0.35">
      <c r="A27065" s="27" t="s">
        <v>227</v>
      </c>
      <c r="B27065" s="27" t="s">
        <v>360</v>
      </c>
      <c r="C27065" s="29"/>
      <c r="D27065" s="28">
        <v>0.5</v>
      </c>
      <c r="E27065" s="28">
        <v>0.5</v>
      </c>
      <c r="F27065" s="29"/>
      <c r="G27065" s="29"/>
      <c r="H27065" s="29"/>
      <c r="I27065" s="29"/>
      <c r="J27065" s="29"/>
      <c r="K27065" s="29" t="s">
        <v>314</v>
      </c>
    </row>
    <row r="27066" spans="1:11" x14ac:dyDescent="0.35">
      <c r="A27066" s="27" t="s">
        <v>227</v>
      </c>
      <c r="B27066" s="27" t="s">
        <v>361</v>
      </c>
      <c r="C27066" s="28">
        <v>1</v>
      </c>
      <c r="D27066" s="29"/>
      <c r="E27066" s="29"/>
      <c r="F27066" s="29"/>
      <c r="G27066" s="29"/>
      <c r="H27066" s="29"/>
      <c r="I27066" s="29"/>
      <c r="J27066" s="29"/>
      <c r="K27066" s="29" t="s">
        <v>331</v>
      </c>
    </row>
    <row r="27067" spans="1:11" x14ac:dyDescent="0.35">
      <c r="A27067" s="27" t="s">
        <v>227</v>
      </c>
      <c r="B27067" s="27" t="s">
        <v>362</v>
      </c>
      <c r="C27067" s="29"/>
      <c r="D27067" s="29"/>
      <c r="E27067" s="29"/>
      <c r="F27067" s="28">
        <v>1</v>
      </c>
      <c r="G27067" s="29"/>
      <c r="H27067" s="29"/>
      <c r="I27067" s="29"/>
      <c r="J27067" s="29"/>
      <c r="K27067" s="29" t="s">
        <v>331</v>
      </c>
    </row>
    <row r="27068" spans="1:11" x14ac:dyDescent="0.35">
      <c r="A27068" s="27" t="s">
        <v>228</v>
      </c>
      <c r="B27068" s="27" t="s">
        <v>361</v>
      </c>
      <c r="C27068" s="28">
        <v>0.85509999999999997</v>
      </c>
      <c r="D27068" s="28">
        <v>9.1399999999999995E-2</v>
      </c>
      <c r="E27068" s="28">
        <v>5.3600000000000002E-2</v>
      </c>
      <c r="F27068" s="28">
        <v>0.121</v>
      </c>
      <c r="G27068" s="29"/>
      <c r="H27068" s="29"/>
      <c r="I27068" s="29"/>
      <c r="J27068" s="29"/>
      <c r="K27068" s="29" t="s">
        <v>337</v>
      </c>
    </row>
    <row r="27069" spans="1:11" x14ac:dyDescent="0.35">
      <c r="A27069" s="27" t="s">
        <v>228</v>
      </c>
      <c r="B27069" s="27" t="s">
        <v>362</v>
      </c>
      <c r="C27069" s="28">
        <v>0.1265</v>
      </c>
      <c r="D27069" s="29"/>
      <c r="E27069" s="29"/>
      <c r="F27069" s="29"/>
      <c r="G27069" s="28">
        <v>0.6986</v>
      </c>
      <c r="H27069" s="28">
        <v>0.1749</v>
      </c>
      <c r="I27069" s="29"/>
      <c r="J27069" s="29"/>
      <c r="K27069" s="29" t="s">
        <v>337</v>
      </c>
    </row>
    <row r="27070" spans="1:11" x14ac:dyDescent="0.35">
      <c r="A27070" s="27" t="s">
        <v>228</v>
      </c>
      <c r="B27070" s="27" t="s">
        <v>360</v>
      </c>
      <c r="C27070" s="28">
        <v>0.84450000000000003</v>
      </c>
      <c r="D27070" s="28">
        <v>0.31909999999999999</v>
      </c>
      <c r="E27070" s="28">
        <v>4.4400000000000002E-2</v>
      </c>
      <c r="F27070" s="29"/>
      <c r="G27070" s="28">
        <v>0.03</v>
      </c>
      <c r="H27070" s="29"/>
      <c r="I27070" s="28">
        <v>5.11E-2</v>
      </c>
      <c r="J27070" s="29"/>
      <c r="K27070" s="29" t="s">
        <v>333</v>
      </c>
    </row>
    <row r="27071" spans="1:11" x14ac:dyDescent="0.35">
      <c r="A27071" s="27" t="s">
        <v>228</v>
      </c>
      <c r="B27071" s="27" t="s">
        <v>363</v>
      </c>
      <c r="C27071" s="28">
        <v>0.57479999999999998</v>
      </c>
      <c r="D27071" s="28">
        <v>0.42520000000000002</v>
      </c>
      <c r="E27071" s="29"/>
      <c r="F27071" s="29"/>
      <c r="G27071" s="29"/>
      <c r="H27071" s="29"/>
      <c r="I27071" s="29"/>
      <c r="J27071" s="29"/>
      <c r="K27071" s="29" t="s">
        <v>315</v>
      </c>
    </row>
    <row r="27072" spans="1:11" x14ac:dyDescent="0.35">
      <c r="A27072" s="27" t="s">
        <v>229</v>
      </c>
      <c r="B27072" s="27" t="s">
        <v>362</v>
      </c>
      <c r="C27072" s="28">
        <v>1</v>
      </c>
      <c r="D27072" s="29"/>
      <c r="E27072" s="29"/>
      <c r="F27072" s="29"/>
      <c r="G27072" s="29"/>
      <c r="H27072" s="29"/>
      <c r="I27072" s="29"/>
      <c r="J27072" s="29"/>
      <c r="K27072" s="29" t="s">
        <v>331</v>
      </c>
    </row>
    <row r="27073" spans="1:11" x14ac:dyDescent="0.35">
      <c r="A27073" s="27" t="s">
        <v>229</v>
      </c>
      <c r="B27073" s="27" t="s">
        <v>360</v>
      </c>
      <c r="C27073" s="29"/>
      <c r="D27073" s="29"/>
      <c r="E27073" s="28">
        <v>1</v>
      </c>
      <c r="F27073" s="29"/>
      <c r="G27073" s="29"/>
      <c r="H27073" s="29"/>
      <c r="I27073" s="29"/>
      <c r="J27073" s="29"/>
      <c r="K27073" s="29" t="s">
        <v>331</v>
      </c>
    </row>
    <row r="27074" spans="1:11" x14ac:dyDescent="0.35">
      <c r="A27074" s="27" t="s">
        <v>229</v>
      </c>
      <c r="B27074" s="27" t="s">
        <v>361</v>
      </c>
      <c r="C27074" s="28">
        <v>0.76670000000000005</v>
      </c>
      <c r="D27074" s="29"/>
      <c r="E27074" s="28">
        <v>2.9100000000000001E-2</v>
      </c>
      <c r="F27074" s="28">
        <v>0.20419999999999999</v>
      </c>
      <c r="G27074" s="29"/>
      <c r="H27074" s="29"/>
      <c r="I27074" s="29"/>
      <c r="J27074" s="29"/>
      <c r="K27074" s="29" t="s">
        <v>315</v>
      </c>
    </row>
    <row r="27075" spans="1:11" x14ac:dyDescent="0.35">
      <c r="A27075" s="27" t="s">
        <v>230</v>
      </c>
      <c r="B27075" s="27" t="s">
        <v>361</v>
      </c>
      <c r="C27075" s="28">
        <v>1</v>
      </c>
      <c r="D27075" s="29"/>
      <c r="E27075" s="29"/>
      <c r="F27075" s="29"/>
      <c r="G27075" s="29"/>
      <c r="H27075" s="29"/>
      <c r="I27075" s="29"/>
      <c r="J27075" s="29"/>
      <c r="K27075" s="29" t="s">
        <v>331</v>
      </c>
    </row>
    <row r="27076" spans="1:11" x14ac:dyDescent="0.35">
      <c r="A27076" s="27" t="s">
        <v>230</v>
      </c>
      <c r="B27076" s="27" t="s">
        <v>360</v>
      </c>
      <c r="C27076" s="28">
        <v>1</v>
      </c>
      <c r="D27076" s="29"/>
      <c r="E27076" s="29"/>
      <c r="F27076" s="28">
        <v>0.13200000000000001</v>
      </c>
      <c r="G27076" s="29"/>
      <c r="H27076" s="29"/>
      <c r="I27076" s="29"/>
      <c r="J27076" s="28">
        <v>0.13200000000000001</v>
      </c>
      <c r="K27076" s="29" t="s">
        <v>315</v>
      </c>
    </row>
    <row r="27077" spans="1:11" x14ac:dyDescent="0.35">
      <c r="A27077" s="27" t="s">
        <v>230</v>
      </c>
      <c r="B27077" s="27" t="s">
        <v>362</v>
      </c>
      <c r="C27077" s="28">
        <v>0.68389999999999995</v>
      </c>
      <c r="D27077" s="28">
        <v>0.31609999999999999</v>
      </c>
      <c r="E27077" s="29"/>
      <c r="F27077" s="29"/>
      <c r="G27077" s="29"/>
      <c r="H27077" s="29"/>
      <c r="I27077" s="29"/>
      <c r="J27077" s="29"/>
      <c r="K27077" s="29" t="s">
        <v>337</v>
      </c>
    </row>
    <row r="27078" spans="1:11" x14ac:dyDescent="0.35">
      <c r="A27078" s="27" t="s">
        <v>230</v>
      </c>
      <c r="B27078" s="27" t="s">
        <v>363</v>
      </c>
      <c r="C27078" s="28">
        <v>1</v>
      </c>
      <c r="D27078" s="28">
        <v>0.5</v>
      </c>
      <c r="E27078" s="29"/>
      <c r="F27078" s="29"/>
      <c r="G27078" s="29"/>
      <c r="H27078" s="29"/>
      <c r="I27078" s="29"/>
      <c r="J27078" s="29"/>
      <c r="K27078" s="29" t="s">
        <v>314</v>
      </c>
    </row>
    <row r="27079" spans="1:11" x14ac:dyDescent="0.35">
      <c r="A27079" s="27" t="s">
        <v>231</v>
      </c>
      <c r="B27079" s="27" t="s">
        <v>361</v>
      </c>
      <c r="C27079" s="28">
        <v>1</v>
      </c>
      <c r="D27079" s="29"/>
      <c r="E27079" s="29"/>
      <c r="F27079" s="29"/>
      <c r="G27079" s="29"/>
      <c r="H27079" s="29"/>
      <c r="I27079" s="29"/>
      <c r="J27079" s="29"/>
      <c r="K27079" s="29" t="s">
        <v>314</v>
      </c>
    </row>
    <row r="27080" spans="1:11" x14ac:dyDescent="0.35">
      <c r="A27080" s="27" t="s">
        <v>231</v>
      </c>
      <c r="B27080" s="27" t="s">
        <v>363</v>
      </c>
      <c r="C27080" s="29"/>
      <c r="D27080" s="28">
        <v>1</v>
      </c>
      <c r="E27080" s="29"/>
      <c r="F27080" s="29"/>
      <c r="G27080" s="29"/>
      <c r="H27080" s="29"/>
      <c r="I27080" s="29"/>
      <c r="J27080" s="29"/>
      <c r="K27080" s="29" t="s">
        <v>331</v>
      </c>
    </row>
    <row r="27081" spans="1:11" x14ac:dyDescent="0.35">
      <c r="A27081" s="27" t="s">
        <v>231</v>
      </c>
      <c r="B27081" s="27" t="s">
        <v>360</v>
      </c>
      <c r="C27081" s="28">
        <v>1</v>
      </c>
      <c r="D27081" s="29"/>
      <c r="E27081" s="29"/>
      <c r="F27081" s="29"/>
      <c r="G27081" s="29"/>
      <c r="H27081" s="29"/>
      <c r="I27081" s="29"/>
      <c r="J27081" s="29"/>
      <c r="K27081" s="29" t="s">
        <v>331</v>
      </c>
    </row>
    <row r="27082" spans="1:11" x14ac:dyDescent="0.35">
      <c r="A27082" t="s">
        <v>232</v>
      </c>
      <c r="B27082" t="s">
        <v>232</v>
      </c>
      <c r="C27082" s="26">
        <v>0.63229999999999997</v>
      </c>
      <c r="D27082" s="26">
        <v>0.2006</v>
      </c>
      <c r="E27082" s="26">
        <v>9.1700000000000004E-2</v>
      </c>
      <c r="F27082" s="26">
        <v>6.2600000000000003E-2</v>
      </c>
      <c r="G27082" s="26">
        <v>3.4299999999999997E-2</v>
      </c>
      <c r="H27082" s="26">
        <v>8.0000000000000002E-3</v>
      </c>
      <c r="I27082" s="26">
        <v>4.0000000000000001E-3</v>
      </c>
      <c r="J27082" s="26">
        <v>3.5999999999999999E-3</v>
      </c>
      <c r="K27082">
        <v>44</v>
      </c>
    </row>
    <row r="27084" spans="1:11" x14ac:dyDescent="0.35">
      <c r="A27084" s="1" t="s">
        <v>2454</v>
      </c>
    </row>
    <row r="27085" spans="1:11" x14ac:dyDescent="0.35">
      <c r="A27085" t="s">
        <v>219</v>
      </c>
      <c r="B27085" t="s">
        <v>305</v>
      </c>
      <c r="C27085" t="s">
        <v>2444</v>
      </c>
      <c r="D27085" t="s">
        <v>2445</v>
      </c>
      <c r="E27085" t="s">
        <v>2446</v>
      </c>
      <c r="F27085" t="s">
        <v>2447</v>
      </c>
      <c r="G27085" t="s">
        <v>286</v>
      </c>
      <c r="H27085" t="s">
        <v>326</v>
      </c>
      <c r="I27085" t="s">
        <v>2448</v>
      </c>
      <c r="J27085" t="s">
        <v>2449</v>
      </c>
      <c r="K27085" t="s">
        <v>226</v>
      </c>
    </row>
    <row r="27086" spans="1:11" x14ac:dyDescent="0.35">
      <c r="A27086" s="27" t="s">
        <v>227</v>
      </c>
      <c r="B27086" s="27" t="s">
        <v>266</v>
      </c>
      <c r="C27086" s="28">
        <v>0.5</v>
      </c>
      <c r="D27086" s="29"/>
      <c r="E27086" s="29"/>
      <c r="F27086" s="28">
        <v>0.5</v>
      </c>
      <c r="G27086" s="29"/>
      <c r="H27086" s="29"/>
      <c r="I27086" s="29"/>
      <c r="J27086" s="29"/>
      <c r="K27086" s="29" t="s">
        <v>314</v>
      </c>
    </row>
    <row r="27087" spans="1:11" x14ac:dyDescent="0.35">
      <c r="A27087" s="27" t="s">
        <v>227</v>
      </c>
      <c r="B27087" s="27" t="s">
        <v>265</v>
      </c>
      <c r="C27087" s="28">
        <v>0.5</v>
      </c>
      <c r="D27087" s="28">
        <v>0.25</v>
      </c>
      <c r="E27087" s="28">
        <v>0.25</v>
      </c>
      <c r="F27087" s="29"/>
      <c r="G27087" s="29"/>
      <c r="H27087" s="29"/>
      <c r="I27087" s="29"/>
      <c r="J27087" s="29"/>
      <c r="K27087" s="29" t="s">
        <v>337</v>
      </c>
    </row>
    <row r="27088" spans="1:11" x14ac:dyDescent="0.35">
      <c r="A27088" s="27" t="s">
        <v>228</v>
      </c>
      <c r="B27088" s="27" t="s">
        <v>267</v>
      </c>
      <c r="C27088" s="28">
        <v>0.51759999999999995</v>
      </c>
      <c r="D27088" s="28">
        <v>0.4824</v>
      </c>
      <c r="E27088" s="29"/>
      <c r="F27088" s="29"/>
      <c r="G27088" s="29"/>
      <c r="H27088" s="29"/>
      <c r="I27088" s="29"/>
      <c r="J27088" s="29"/>
      <c r="K27088" s="29" t="s">
        <v>315</v>
      </c>
    </row>
    <row r="27089" spans="1:11" x14ac:dyDescent="0.35">
      <c r="A27089" s="27" t="s">
        <v>228</v>
      </c>
      <c r="B27089" s="27" t="s">
        <v>266</v>
      </c>
      <c r="C27089" s="28">
        <v>0.61429999999999996</v>
      </c>
      <c r="D27089" s="28">
        <v>0.2457</v>
      </c>
      <c r="E27089" s="28">
        <v>2.3099999999999999E-2</v>
      </c>
      <c r="F27089" s="28">
        <v>5.2200000000000003E-2</v>
      </c>
      <c r="G27089" s="28">
        <v>0.33950000000000002</v>
      </c>
      <c r="H27089" s="29"/>
      <c r="I27089" s="29"/>
      <c r="J27089" s="28">
        <v>2.3099999999999999E-2</v>
      </c>
      <c r="K27089" s="29" t="s">
        <v>334</v>
      </c>
    </row>
    <row r="27090" spans="1:11" x14ac:dyDescent="0.35">
      <c r="A27090" s="27" t="s">
        <v>228</v>
      </c>
      <c r="B27090" s="27" t="s">
        <v>265</v>
      </c>
      <c r="C27090" s="28">
        <v>0.71689999999999998</v>
      </c>
      <c r="D27090" s="28">
        <v>9.1999999999999998E-2</v>
      </c>
      <c r="E27090" s="28">
        <v>4.2799999999999998E-2</v>
      </c>
      <c r="F27090" s="29"/>
      <c r="G27090" s="29"/>
      <c r="H27090" s="28">
        <v>9.9000000000000005E-2</v>
      </c>
      <c r="I27090" s="28">
        <v>4.9200000000000001E-2</v>
      </c>
      <c r="J27090" s="29"/>
      <c r="K27090" s="29" t="s">
        <v>334</v>
      </c>
    </row>
    <row r="27091" spans="1:11" x14ac:dyDescent="0.35">
      <c r="A27091" s="27" t="s">
        <v>229</v>
      </c>
      <c r="B27091" s="27" t="s">
        <v>267</v>
      </c>
      <c r="C27091" s="29"/>
      <c r="D27091" s="29"/>
      <c r="E27091" s="29"/>
      <c r="F27091" s="28">
        <v>1</v>
      </c>
      <c r="G27091" s="29"/>
      <c r="H27091" s="29"/>
      <c r="I27091" s="29"/>
      <c r="J27091" s="29"/>
      <c r="K27091" s="29" t="s">
        <v>331</v>
      </c>
    </row>
    <row r="27092" spans="1:11" x14ac:dyDescent="0.35">
      <c r="A27092" s="27" t="s">
        <v>229</v>
      </c>
      <c r="B27092" s="27" t="s">
        <v>266</v>
      </c>
      <c r="C27092" s="28">
        <v>0.77590000000000003</v>
      </c>
      <c r="D27092" s="29"/>
      <c r="E27092" s="28">
        <v>0.22409999999999999</v>
      </c>
      <c r="F27092" s="29"/>
      <c r="G27092" s="29"/>
      <c r="H27092" s="29"/>
      <c r="I27092" s="29"/>
      <c r="J27092" s="29"/>
      <c r="K27092" s="29" t="s">
        <v>314</v>
      </c>
    </row>
    <row r="27093" spans="1:11" x14ac:dyDescent="0.35">
      <c r="A27093" s="27" t="s">
        <v>229</v>
      </c>
      <c r="B27093" s="27" t="s">
        <v>265</v>
      </c>
      <c r="C27093" s="28">
        <v>0.49070000000000003</v>
      </c>
      <c r="D27093" s="29"/>
      <c r="E27093" s="28">
        <v>0.50929999999999997</v>
      </c>
      <c r="F27093" s="29"/>
      <c r="G27093" s="29"/>
      <c r="H27093" s="29"/>
      <c r="I27093" s="29"/>
      <c r="J27093" s="29"/>
      <c r="K27093" s="29" t="s">
        <v>315</v>
      </c>
    </row>
    <row r="27094" spans="1:11" x14ac:dyDescent="0.35">
      <c r="A27094" s="27" t="s">
        <v>230</v>
      </c>
      <c r="B27094" s="27" t="s">
        <v>267</v>
      </c>
      <c r="C27094" s="28">
        <v>1</v>
      </c>
      <c r="D27094" s="28">
        <v>0.5</v>
      </c>
      <c r="E27094" s="29"/>
      <c r="F27094" s="29"/>
      <c r="G27094" s="29"/>
      <c r="H27094" s="29"/>
      <c r="I27094" s="29"/>
      <c r="J27094" s="29"/>
      <c r="K27094" s="29" t="s">
        <v>314</v>
      </c>
    </row>
    <row r="27095" spans="1:11" x14ac:dyDescent="0.35">
      <c r="A27095" s="27" t="s">
        <v>230</v>
      </c>
      <c r="B27095" s="27" t="s">
        <v>266</v>
      </c>
      <c r="C27095" s="28">
        <v>0.25</v>
      </c>
      <c r="D27095" s="28">
        <v>0.5</v>
      </c>
      <c r="E27095" s="28">
        <v>0.25</v>
      </c>
      <c r="F27095" s="29"/>
      <c r="G27095" s="29"/>
      <c r="H27095" s="29"/>
      <c r="I27095" s="29"/>
      <c r="J27095" s="29"/>
      <c r="K27095" s="29" t="s">
        <v>337</v>
      </c>
    </row>
    <row r="27096" spans="1:11" x14ac:dyDescent="0.35">
      <c r="A27096" s="27" t="s">
        <v>230</v>
      </c>
      <c r="B27096" s="27" t="s">
        <v>265</v>
      </c>
      <c r="C27096" s="28">
        <v>1</v>
      </c>
      <c r="D27096" s="29"/>
      <c r="E27096" s="29"/>
      <c r="F27096" s="28">
        <v>3.27E-2</v>
      </c>
      <c r="G27096" s="29"/>
      <c r="H27096" s="29"/>
      <c r="I27096" s="29"/>
      <c r="J27096" s="28">
        <v>3.27E-2</v>
      </c>
      <c r="K27096" s="29" t="s">
        <v>332</v>
      </c>
    </row>
    <row r="27097" spans="1:11" x14ac:dyDescent="0.35">
      <c r="A27097" s="27" t="s">
        <v>231</v>
      </c>
      <c r="B27097" s="27" t="s">
        <v>267</v>
      </c>
      <c r="C27097" s="28">
        <v>0.5</v>
      </c>
      <c r="D27097" s="28">
        <v>0.5</v>
      </c>
      <c r="E27097" s="29"/>
      <c r="F27097" s="29"/>
      <c r="G27097" s="29"/>
      <c r="H27097" s="29"/>
      <c r="I27097" s="29"/>
      <c r="J27097" s="29"/>
      <c r="K27097" s="29" t="s">
        <v>314</v>
      </c>
    </row>
    <row r="27098" spans="1:11" x14ac:dyDescent="0.35">
      <c r="A27098" s="27" t="s">
        <v>231</v>
      </c>
      <c r="B27098" s="27" t="s">
        <v>266</v>
      </c>
      <c r="C27098" s="28">
        <v>1</v>
      </c>
      <c r="D27098" s="29"/>
      <c r="E27098" s="29"/>
      <c r="F27098" s="29"/>
      <c r="G27098" s="29"/>
      <c r="H27098" s="29"/>
      <c r="I27098" s="29"/>
      <c r="J27098" s="29"/>
      <c r="K27098" s="29" t="s">
        <v>331</v>
      </c>
    </row>
    <row r="27099" spans="1:11" x14ac:dyDescent="0.35">
      <c r="A27099" s="27" t="s">
        <v>231</v>
      </c>
      <c r="B27099" s="27" t="s">
        <v>265</v>
      </c>
      <c r="C27099" s="28">
        <v>1</v>
      </c>
      <c r="D27099" s="29"/>
      <c r="E27099" s="29"/>
      <c r="F27099" s="29"/>
      <c r="G27099" s="29"/>
      <c r="H27099" s="29"/>
      <c r="I27099" s="29"/>
      <c r="J27099" s="29"/>
      <c r="K27099" s="29" t="s">
        <v>331</v>
      </c>
    </row>
    <row r="27100" spans="1:11" x14ac:dyDescent="0.35">
      <c r="A27100" t="s">
        <v>232</v>
      </c>
      <c r="B27100" t="s">
        <v>232</v>
      </c>
      <c r="C27100" s="26">
        <v>0.63229999999999997</v>
      </c>
      <c r="D27100" s="26">
        <v>0.2006</v>
      </c>
      <c r="E27100" s="26">
        <v>9.1700000000000004E-2</v>
      </c>
      <c r="F27100" s="26">
        <v>6.2600000000000003E-2</v>
      </c>
      <c r="G27100" s="26">
        <v>3.4299999999999997E-2</v>
      </c>
      <c r="H27100" s="26">
        <v>8.0000000000000002E-3</v>
      </c>
      <c r="I27100" s="26">
        <v>4.0000000000000001E-3</v>
      </c>
      <c r="J27100" s="26">
        <v>3.5999999999999999E-3</v>
      </c>
      <c r="K27100">
        <v>48</v>
      </c>
    </row>
    <row r="27102" spans="1:11" x14ac:dyDescent="0.35">
      <c r="A27102" s="1" t="s">
        <v>2455</v>
      </c>
    </row>
    <row r="27103" spans="1:11" x14ac:dyDescent="0.35">
      <c r="A27103" t="s">
        <v>219</v>
      </c>
      <c r="B27103" t="s">
        <v>305</v>
      </c>
      <c r="C27103" t="s">
        <v>2444</v>
      </c>
      <c r="D27103" t="s">
        <v>2445</v>
      </c>
      <c r="E27103" t="s">
        <v>2446</v>
      </c>
      <c r="F27103" t="s">
        <v>2447</v>
      </c>
      <c r="G27103" t="s">
        <v>286</v>
      </c>
      <c r="H27103" t="s">
        <v>326</v>
      </c>
      <c r="I27103" t="s">
        <v>2448</v>
      </c>
      <c r="J27103" t="s">
        <v>2449</v>
      </c>
      <c r="K27103" t="s">
        <v>226</v>
      </c>
    </row>
    <row r="27104" spans="1:11" x14ac:dyDescent="0.35">
      <c r="A27104" s="27" t="s">
        <v>227</v>
      </c>
      <c r="B27104" s="27" t="s">
        <v>252</v>
      </c>
      <c r="C27104" s="28">
        <v>0.5</v>
      </c>
      <c r="D27104" s="29"/>
      <c r="E27104" s="29"/>
      <c r="F27104" s="28">
        <v>0.5</v>
      </c>
      <c r="G27104" s="29"/>
      <c r="H27104" s="29"/>
      <c r="I27104" s="29"/>
      <c r="J27104" s="29"/>
      <c r="K27104" s="29" t="s">
        <v>314</v>
      </c>
    </row>
    <row r="27105" spans="1:11" x14ac:dyDescent="0.35">
      <c r="A27105" s="27" t="s">
        <v>227</v>
      </c>
      <c r="B27105" s="27" t="s">
        <v>253</v>
      </c>
      <c r="C27105" s="28">
        <v>1</v>
      </c>
      <c r="D27105" s="29"/>
      <c r="E27105" s="29"/>
      <c r="F27105" s="29"/>
      <c r="G27105" s="29"/>
      <c r="H27105" s="29"/>
      <c r="I27105" s="29"/>
      <c r="J27105" s="29"/>
      <c r="K27105" s="29" t="s">
        <v>331</v>
      </c>
    </row>
    <row r="27106" spans="1:11" x14ac:dyDescent="0.35">
      <c r="A27106" s="27" t="s">
        <v>227</v>
      </c>
      <c r="B27106" s="27" t="s">
        <v>251</v>
      </c>
      <c r="C27106" s="28">
        <v>0.33329999999999999</v>
      </c>
      <c r="D27106" s="28">
        <v>0.33329999999999999</v>
      </c>
      <c r="E27106" s="28">
        <v>0.33329999999999999</v>
      </c>
      <c r="F27106" s="29"/>
      <c r="G27106" s="29"/>
      <c r="H27106" s="29"/>
      <c r="I27106" s="29"/>
      <c r="J27106" s="29"/>
      <c r="K27106" s="29" t="s">
        <v>315</v>
      </c>
    </row>
    <row r="27107" spans="1:11" x14ac:dyDescent="0.35">
      <c r="A27107" s="27" t="s">
        <v>228</v>
      </c>
      <c r="B27107" s="27" t="s">
        <v>252</v>
      </c>
      <c r="C27107" s="28">
        <v>0.56789999999999996</v>
      </c>
      <c r="D27107" s="28">
        <v>0.20610000000000001</v>
      </c>
      <c r="E27107" s="29"/>
      <c r="F27107" s="29"/>
      <c r="G27107" s="28">
        <v>0.33629999999999999</v>
      </c>
      <c r="H27107" s="29"/>
      <c r="I27107" s="29"/>
      <c r="J27107" s="29"/>
      <c r="K27107" s="29" t="s">
        <v>334</v>
      </c>
    </row>
    <row r="27108" spans="1:11" x14ac:dyDescent="0.35">
      <c r="A27108" s="27" t="s">
        <v>228</v>
      </c>
      <c r="B27108" s="27" t="s">
        <v>253</v>
      </c>
      <c r="C27108" s="28">
        <v>0.60189999999999999</v>
      </c>
      <c r="D27108" s="29"/>
      <c r="E27108" s="28">
        <v>0.18509999999999999</v>
      </c>
      <c r="F27108" s="29"/>
      <c r="G27108" s="29"/>
      <c r="H27108" s="29"/>
      <c r="I27108" s="28">
        <v>0.21299999999999999</v>
      </c>
      <c r="J27108" s="29"/>
      <c r="K27108" s="29" t="s">
        <v>315</v>
      </c>
    </row>
    <row r="27109" spans="1:11" x14ac:dyDescent="0.35">
      <c r="A27109" s="27" t="s">
        <v>228</v>
      </c>
      <c r="B27109" s="27" t="s">
        <v>251</v>
      </c>
      <c r="C27109" s="28">
        <v>0.66800000000000004</v>
      </c>
      <c r="D27109" s="28">
        <v>0.33910000000000001</v>
      </c>
      <c r="E27109" s="28">
        <v>1.83E-2</v>
      </c>
      <c r="F27109" s="28">
        <v>4.1399999999999999E-2</v>
      </c>
      <c r="G27109" s="29"/>
      <c r="H27109" s="28">
        <v>6.2799999999999995E-2</v>
      </c>
      <c r="I27109" s="29"/>
      <c r="J27109" s="28">
        <v>1.83E-2</v>
      </c>
      <c r="K27109" s="29" t="s">
        <v>334</v>
      </c>
    </row>
    <row r="27110" spans="1:11" x14ac:dyDescent="0.35">
      <c r="A27110" s="27" t="s">
        <v>229</v>
      </c>
      <c r="B27110" s="27" t="s">
        <v>253</v>
      </c>
      <c r="C27110" s="29"/>
      <c r="D27110" s="29"/>
      <c r="E27110" s="28">
        <v>1</v>
      </c>
      <c r="F27110" s="29"/>
      <c r="G27110" s="29"/>
      <c r="H27110" s="29"/>
      <c r="I27110" s="29"/>
      <c r="J27110" s="29"/>
      <c r="K27110" s="29" t="s">
        <v>331</v>
      </c>
    </row>
    <row r="27111" spans="1:11" x14ac:dyDescent="0.35">
      <c r="A27111" s="27" t="s">
        <v>229</v>
      </c>
      <c r="B27111" s="27" t="s">
        <v>251</v>
      </c>
      <c r="C27111" s="28">
        <v>0.76780000000000004</v>
      </c>
      <c r="D27111" s="29"/>
      <c r="E27111" s="28">
        <v>5.1499999999999997E-2</v>
      </c>
      <c r="F27111" s="28">
        <v>0.1807</v>
      </c>
      <c r="G27111" s="29"/>
      <c r="H27111" s="29"/>
      <c r="I27111" s="29"/>
      <c r="J27111" s="29"/>
      <c r="K27111" s="29" t="s">
        <v>332</v>
      </c>
    </row>
    <row r="27112" spans="1:11" x14ac:dyDescent="0.35">
      <c r="A27112" s="27" t="s">
        <v>230</v>
      </c>
      <c r="B27112" s="27" t="s">
        <v>252</v>
      </c>
      <c r="C27112" s="28">
        <v>0.62460000000000004</v>
      </c>
      <c r="D27112" s="28">
        <v>0.37540000000000001</v>
      </c>
      <c r="E27112" s="29"/>
      <c r="F27112" s="29"/>
      <c r="G27112" s="29"/>
      <c r="H27112" s="29"/>
      <c r="I27112" s="29"/>
      <c r="J27112" s="29"/>
      <c r="K27112" s="29" t="s">
        <v>315</v>
      </c>
    </row>
    <row r="27113" spans="1:11" x14ac:dyDescent="0.35">
      <c r="A27113" s="27" t="s">
        <v>230</v>
      </c>
      <c r="B27113" s="27" t="s">
        <v>253</v>
      </c>
      <c r="C27113" s="28">
        <v>1</v>
      </c>
      <c r="D27113" s="29"/>
      <c r="E27113" s="29"/>
      <c r="F27113" s="29"/>
      <c r="G27113" s="29"/>
      <c r="H27113" s="29"/>
      <c r="I27113" s="29"/>
      <c r="J27113" s="29"/>
      <c r="K27113" s="29" t="s">
        <v>331</v>
      </c>
    </row>
    <row r="27114" spans="1:11" x14ac:dyDescent="0.35">
      <c r="A27114" s="27" t="s">
        <v>230</v>
      </c>
      <c r="B27114" s="27" t="s">
        <v>251</v>
      </c>
      <c r="C27114" s="28">
        <v>0.96930000000000005</v>
      </c>
      <c r="D27114" s="28">
        <v>0.10199999999999999</v>
      </c>
      <c r="E27114" s="28">
        <v>3.0700000000000002E-2</v>
      </c>
      <c r="F27114" s="28">
        <v>3.0700000000000002E-2</v>
      </c>
      <c r="G27114" s="29"/>
      <c r="H27114" s="29"/>
      <c r="I27114" s="29"/>
      <c r="J27114" s="28">
        <v>3.0700000000000002E-2</v>
      </c>
      <c r="K27114" s="29" t="s">
        <v>339</v>
      </c>
    </row>
    <row r="27115" spans="1:11" x14ac:dyDescent="0.35">
      <c r="A27115" s="27" t="s">
        <v>231</v>
      </c>
      <c r="B27115" s="27" t="s">
        <v>253</v>
      </c>
      <c r="C27115" s="28">
        <v>1</v>
      </c>
      <c r="D27115" s="29"/>
      <c r="E27115" s="29"/>
      <c r="F27115" s="29"/>
      <c r="G27115" s="29"/>
      <c r="H27115" s="29"/>
      <c r="I27115" s="29"/>
      <c r="J27115" s="29"/>
      <c r="K27115" s="29" t="s">
        <v>331</v>
      </c>
    </row>
    <row r="27116" spans="1:11" x14ac:dyDescent="0.35">
      <c r="A27116" s="27" t="s">
        <v>231</v>
      </c>
      <c r="B27116" s="27" t="s">
        <v>251</v>
      </c>
      <c r="C27116" s="28">
        <v>0.66669999999999996</v>
      </c>
      <c r="D27116" s="28">
        <v>0.33329999999999999</v>
      </c>
      <c r="E27116" s="29"/>
      <c r="F27116" s="29"/>
      <c r="G27116" s="29"/>
      <c r="H27116" s="29"/>
      <c r="I27116" s="29"/>
      <c r="J27116" s="29"/>
      <c r="K27116" s="29" t="s">
        <v>315</v>
      </c>
    </row>
    <row r="27117" spans="1:11" x14ac:dyDescent="0.35">
      <c r="A27117" t="s">
        <v>232</v>
      </c>
      <c r="B27117" t="s">
        <v>232</v>
      </c>
      <c r="C27117" s="26">
        <v>0.63229999999999997</v>
      </c>
      <c r="D27117" s="26">
        <v>0.2006</v>
      </c>
      <c r="E27117" s="26">
        <v>9.1700000000000004E-2</v>
      </c>
      <c r="F27117" s="26">
        <v>6.2600000000000003E-2</v>
      </c>
      <c r="G27117" s="26">
        <v>3.4299999999999997E-2</v>
      </c>
      <c r="H27117" s="26">
        <v>8.0000000000000002E-3</v>
      </c>
      <c r="I27117" s="26">
        <v>4.0000000000000001E-3</v>
      </c>
      <c r="J27117" s="26">
        <v>3.5999999999999999E-3</v>
      </c>
      <c r="K27117">
        <v>48</v>
      </c>
    </row>
    <row r="27119" spans="1:11" x14ac:dyDescent="0.35">
      <c r="A27119" s="1" t="s">
        <v>2456</v>
      </c>
    </row>
    <row r="27120" spans="1:11" x14ac:dyDescent="0.35">
      <c r="A27120" t="s">
        <v>219</v>
      </c>
      <c r="B27120" t="s">
        <v>305</v>
      </c>
      <c r="C27120" t="s">
        <v>2444</v>
      </c>
      <c r="D27120" t="s">
        <v>2445</v>
      </c>
      <c r="E27120" t="s">
        <v>2446</v>
      </c>
      <c r="F27120" t="s">
        <v>2447</v>
      </c>
      <c r="G27120" t="s">
        <v>286</v>
      </c>
      <c r="H27120" t="s">
        <v>326</v>
      </c>
      <c r="I27120" t="s">
        <v>2448</v>
      </c>
      <c r="J27120" t="s">
        <v>2449</v>
      </c>
      <c r="K27120" t="s">
        <v>226</v>
      </c>
    </row>
    <row r="27121" spans="1:11" x14ac:dyDescent="0.35">
      <c r="A27121" s="27" t="s">
        <v>227</v>
      </c>
      <c r="B27121" s="27" t="s">
        <v>249</v>
      </c>
      <c r="C27121" s="29"/>
      <c r="D27121" s="28">
        <v>0.5</v>
      </c>
      <c r="E27121" s="29"/>
      <c r="F27121" s="28">
        <v>0.5</v>
      </c>
      <c r="G27121" s="29"/>
      <c r="H27121" s="29"/>
      <c r="I27121" s="29"/>
      <c r="J27121" s="29"/>
      <c r="K27121" s="29" t="s">
        <v>314</v>
      </c>
    </row>
    <row r="27122" spans="1:11" x14ac:dyDescent="0.35">
      <c r="A27122" s="27" t="s">
        <v>227</v>
      </c>
      <c r="B27122" s="27" t="s">
        <v>248</v>
      </c>
      <c r="C27122" s="28">
        <v>0.75</v>
      </c>
      <c r="D27122" s="29"/>
      <c r="E27122" s="28">
        <v>0.25</v>
      </c>
      <c r="F27122" s="29"/>
      <c r="G27122" s="29"/>
      <c r="H27122" s="29"/>
      <c r="I27122" s="29"/>
      <c r="J27122" s="29"/>
      <c r="K27122" s="29" t="s">
        <v>337</v>
      </c>
    </row>
    <row r="27123" spans="1:11" x14ac:dyDescent="0.35">
      <c r="A27123" s="27" t="s">
        <v>228</v>
      </c>
      <c r="B27123" s="27" t="s">
        <v>249</v>
      </c>
      <c r="C27123" s="28">
        <v>0.56369999999999998</v>
      </c>
      <c r="D27123" s="28">
        <v>0.1116</v>
      </c>
      <c r="E27123" s="29"/>
      <c r="F27123" s="29"/>
      <c r="G27123" s="28">
        <v>0.31730000000000003</v>
      </c>
      <c r="H27123" s="28">
        <v>7.9399999999999998E-2</v>
      </c>
      <c r="I27123" s="28">
        <v>3.95E-2</v>
      </c>
      <c r="J27123" s="28">
        <v>2.3199999999999998E-2</v>
      </c>
      <c r="K27123" s="29" t="s">
        <v>339</v>
      </c>
    </row>
    <row r="27124" spans="1:11" x14ac:dyDescent="0.35">
      <c r="A27124" s="27" t="s">
        <v>228</v>
      </c>
      <c r="B27124" s="27" t="s">
        <v>248</v>
      </c>
      <c r="C27124" s="28">
        <v>0.66159999999999997</v>
      </c>
      <c r="D27124" s="28">
        <v>0.35959999999999998</v>
      </c>
      <c r="E27124" s="28">
        <v>3.9300000000000002E-2</v>
      </c>
      <c r="F27124" s="28">
        <v>3.5799999999999998E-2</v>
      </c>
      <c r="G27124" s="28">
        <v>1.5800000000000002E-2</v>
      </c>
      <c r="H27124" s="29"/>
      <c r="I27124" s="29"/>
      <c r="J27124" s="29"/>
      <c r="K27124" s="29" t="s">
        <v>379</v>
      </c>
    </row>
    <row r="27125" spans="1:11" x14ac:dyDescent="0.35">
      <c r="A27125" s="27" t="s">
        <v>229</v>
      </c>
      <c r="B27125" s="27" t="s">
        <v>249</v>
      </c>
      <c r="C27125" s="28">
        <v>0.92949999999999999</v>
      </c>
      <c r="D27125" s="29"/>
      <c r="E27125" s="28">
        <v>7.0499999999999993E-2</v>
      </c>
      <c r="F27125" s="29"/>
      <c r="G27125" s="29"/>
      <c r="H27125" s="29"/>
      <c r="I27125" s="29"/>
      <c r="J27125" s="29"/>
      <c r="K27125" s="29" t="s">
        <v>315</v>
      </c>
    </row>
    <row r="27126" spans="1:11" x14ac:dyDescent="0.35">
      <c r="A27126" s="27" t="s">
        <v>229</v>
      </c>
      <c r="B27126" s="27" t="s">
        <v>248</v>
      </c>
      <c r="C27126" s="28">
        <v>9.3899999999999997E-2</v>
      </c>
      <c r="D27126" s="29"/>
      <c r="E27126" s="28">
        <v>0.71550000000000002</v>
      </c>
      <c r="F27126" s="28">
        <v>0.1905</v>
      </c>
      <c r="G27126" s="29"/>
      <c r="H27126" s="29"/>
      <c r="I27126" s="29"/>
      <c r="J27126" s="29"/>
      <c r="K27126" s="29" t="s">
        <v>315</v>
      </c>
    </row>
    <row r="27127" spans="1:11" x14ac:dyDescent="0.35">
      <c r="A27127" s="27" t="s">
        <v>230</v>
      </c>
      <c r="B27127" s="27" t="s">
        <v>249</v>
      </c>
      <c r="C27127" s="28">
        <v>1</v>
      </c>
      <c r="D27127" s="29"/>
      <c r="E27127" s="29"/>
      <c r="F27127" s="28">
        <v>3.27E-2</v>
      </c>
      <c r="G27127" s="29"/>
      <c r="H27127" s="29"/>
      <c r="I27127" s="29"/>
      <c r="J27127" s="28">
        <v>3.27E-2</v>
      </c>
      <c r="K27127" s="29" t="s">
        <v>332</v>
      </c>
    </row>
    <row r="27128" spans="1:11" x14ac:dyDescent="0.35">
      <c r="A27128" s="27" t="s">
        <v>230</v>
      </c>
      <c r="B27128" s="27" t="s">
        <v>248</v>
      </c>
      <c r="C27128" s="28">
        <v>0.71840000000000004</v>
      </c>
      <c r="D27128" s="28">
        <v>0.5</v>
      </c>
      <c r="E27128" s="28">
        <v>9.3899999999999997E-2</v>
      </c>
      <c r="F27128" s="29"/>
      <c r="G27128" s="29"/>
      <c r="H27128" s="29"/>
      <c r="I27128" s="29"/>
      <c r="J27128" s="29"/>
      <c r="K27128" s="29" t="s">
        <v>335</v>
      </c>
    </row>
    <row r="27129" spans="1:11" x14ac:dyDescent="0.35">
      <c r="A27129" s="27" t="s">
        <v>231</v>
      </c>
      <c r="B27129" s="27" t="s">
        <v>249</v>
      </c>
      <c r="C27129" s="28">
        <v>0.5</v>
      </c>
      <c r="D27129" s="28">
        <v>0.5</v>
      </c>
      <c r="E27129" s="29"/>
      <c r="F27129" s="29"/>
      <c r="G27129" s="29"/>
      <c r="H27129" s="29"/>
      <c r="I27129" s="29"/>
      <c r="J27129" s="29"/>
      <c r="K27129" s="29" t="s">
        <v>314</v>
      </c>
    </row>
    <row r="27130" spans="1:11" x14ac:dyDescent="0.35">
      <c r="A27130" s="27" t="s">
        <v>231</v>
      </c>
      <c r="B27130" s="27" t="s">
        <v>248</v>
      </c>
      <c r="C27130" s="28">
        <v>1</v>
      </c>
      <c r="D27130" s="29"/>
      <c r="E27130" s="29"/>
      <c r="F27130" s="29"/>
      <c r="G27130" s="29"/>
      <c r="H27130" s="29"/>
      <c r="I27130" s="29"/>
      <c r="J27130" s="29"/>
      <c r="K27130" s="29" t="s">
        <v>314</v>
      </c>
    </row>
    <row r="27131" spans="1:11" x14ac:dyDescent="0.35">
      <c r="A27131" t="s">
        <v>232</v>
      </c>
      <c r="B27131" t="s">
        <v>232</v>
      </c>
      <c r="C27131" s="26">
        <v>0.63229999999999997</v>
      </c>
      <c r="D27131" s="26">
        <v>0.2006</v>
      </c>
      <c r="E27131" s="26">
        <v>9.1700000000000004E-2</v>
      </c>
      <c r="F27131" s="26">
        <v>6.2600000000000003E-2</v>
      </c>
      <c r="G27131" s="26">
        <v>3.4299999999999997E-2</v>
      </c>
      <c r="H27131" s="26">
        <v>8.0000000000000002E-3</v>
      </c>
      <c r="I27131" s="26">
        <v>4.0000000000000001E-3</v>
      </c>
      <c r="J27131" s="26">
        <v>3.5999999999999999E-3</v>
      </c>
      <c r="K27131">
        <v>48</v>
      </c>
    </row>
    <row r="27133" spans="1:11" x14ac:dyDescent="0.35">
      <c r="A27133" s="1" t="s">
        <v>2457</v>
      </c>
    </row>
    <row r="27134" spans="1:11" x14ac:dyDescent="0.35">
      <c r="A27134" t="s">
        <v>219</v>
      </c>
      <c r="B27134" t="s">
        <v>305</v>
      </c>
      <c r="C27134" t="s">
        <v>2444</v>
      </c>
      <c r="D27134" t="s">
        <v>2445</v>
      </c>
      <c r="E27134" t="s">
        <v>2446</v>
      </c>
      <c r="F27134" t="s">
        <v>2447</v>
      </c>
      <c r="G27134" t="s">
        <v>286</v>
      </c>
      <c r="H27134" t="s">
        <v>326</v>
      </c>
      <c r="I27134" t="s">
        <v>2448</v>
      </c>
      <c r="J27134" t="s">
        <v>2449</v>
      </c>
      <c r="K27134" t="s">
        <v>226</v>
      </c>
    </row>
    <row r="27135" spans="1:11" x14ac:dyDescent="0.35">
      <c r="A27135" s="27" t="s">
        <v>227</v>
      </c>
      <c r="B27135" s="27" t="s">
        <v>261</v>
      </c>
      <c r="C27135" s="28">
        <v>0.5</v>
      </c>
      <c r="D27135" s="29"/>
      <c r="E27135" s="28">
        <v>0.25</v>
      </c>
      <c r="F27135" s="28">
        <v>0.25</v>
      </c>
      <c r="G27135" s="29"/>
      <c r="H27135" s="29"/>
      <c r="I27135" s="29"/>
      <c r="J27135" s="29"/>
      <c r="K27135" s="29" t="s">
        <v>337</v>
      </c>
    </row>
    <row r="27136" spans="1:11" x14ac:dyDescent="0.35">
      <c r="A27136" s="27" t="s">
        <v>227</v>
      </c>
      <c r="B27136" s="27" t="s">
        <v>260</v>
      </c>
      <c r="C27136" s="28">
        <v>0.5</v>
      </c>
      <c r="D27136" s="28">
        <v>0.5</v>
      </c>
      <c r="E27136" s="29"/>
      <c r="F27136" s="29"/>
      <c r="G27136" s="29"/>
      <c r="H27136" s="29"/>
      <c r="I27136" s="29"/>
      <c r="J27136" s="29"/>
      <c r="K27136" s="29" t="s">
        <v>314</v>
      </c>
    </row>
    <row r="27137" spans="1:11" x14ac:dyDescent="0.35">
      <c r="A27137" s="27" t="s">
        <v>228</v>
      </c>
      <c r="B27137" s="27" t="s">
        <v>261</v>
      </c>
      <c r="C27137" s="28">
        <v>0.7006</v>
      </c>
      <c r="D27137" s="28">
        <v>0.35849999999999999</v>
      </c>
      <c r="E27137" s="28">
        <v>2.63E-2</v>
      </c>
      <c r="F27137" s="29"/>
      <c r="G27137" s="29"/>
      <c r="H27137" s="29"/>
      <c r="I27137" s="29"/>
      <c r="J27137" s="29"/>
      <c r="K27137" s="29" t="s">
        <v>334</v>
      </c>
    </row>
    <row r="27138" spans="1:11" x14ac:dyDescent="0.35">
      <c r="A27138" s="27" t="s">
        <v>228</v>
      </c>
      <c r="B27138" s="27" t="s">
        <v>260</v>
      </c>
      <c r="C27138" s="28">
        <v>0.38040000000000002</v>
      </c>
      <c r="D27138" s="28">
        <v>6.8900000000000003E-2</v>
      </c>
      <c r="E27138" s="28">
        <v>2.7799999999999998E-2</v>
      </c>
      <c r="F27138" s="29"/>
      <c r="G27138" s="28">
        <v>0.38040000000000002</v>
      </c>
      <c r="H27138" s="28">
        <v>9.5200000000000007E-2</v>
      </c>
      <c r="I27138" s="28">
        <v>4.7300000000000002E-2</v>
      </c>
      <c r="J27138" s="29"/>
      <c r="K27138" s="29" t="s">
        <v>339</v>
      </c>
    </row>
    <row r="27139" spans="1:11" x14ac:dyDescent="0.35">
      <c r="A27139" s="27" t="s">
        <v>228</v>
      </c>
      <c r="B27139" s="27" t="s">
        <v>262</v>
      </c>
      <c r="C27139" s="28">
        <v>0.92810000000000004</v>
      </c>
      <c r="D27139" s="28">
        <v>0.3468</v>
      </c>
      <c r="E27139" s="29"/>
      <c r="F27139" s="28">
        <v>0.16250000000000001</v>
      </c>
      <c r="G27139" s="28">
        <v>7.1900000000000006E-2</v>
      </c>
      <c r="H27139" s="29"/>
      <c r="I27139" s="29"/>
      <c r="J27139" s="28">
        <v>7.1900000000000006E-2</v>
      </c>
      <c r="K27139" s="29" t="s">
        <v>332</v>
      </c>
    </row>
    <row r="27140" spans="1:11" x14ac:dyDescent="0.35">
      <c r="A27140" s="27" t="s">
        <v>229</v>
      </c>
      <c r="B27140" s="27" t="s">
        <v>261</v>
      </c>
      <c r="C27140" s="29"/>
      <c r="D27140" s="29"/>
      <c r="E27140" s="28">
        <v>1</v>
      </c>
      <c r="F27140" s="29"/>
      <c r="G27140" s="29"/>
      <c r="H27140" s="29"/>
      <c r="I27140" s="29"/>
      <c r="J27140" s="29"/>
      <c r="K27140" s="29" t="s">
        <v>331</v>
      </c>
    </row>
    <row r="27141" spans="1:11" x14ac:dyDescent="0.35">
      <c r="A27141" s="27" t="s">
        <v>229</v>
      </c>
      <c r="B27141" s="27" t="s">
        <v>260</v>
      </c>
      <c r="C27141" s="29"/>
      <c r="D27141" s="29"/>
      <c r="E27141" s="28">
        <v>1</v>
      </c>
      <c r="F27141" s="29"/>
      <c r="G27141" s="29"/>
      <c r="H27141" s="29"/>
      <c r="I27141" s="29"/>
      <c r="J27141" s="29"/>
      <c r="K27141" s="29" t="s">
        <v>314</v>
      </c>
    </row>
    <row r="27142" spans="1:11" x14ac:dyDescent="0.35">
      <c r="A27142" s="27" t="s">
        <v>229</v>
      </c>
      <c r="B27142" s="27" t="s">
        <v>262</v>
      </c>
      <c r="C27142" s="28">
        <v>0.8095</v>
      </c>
      <c r="D27142" s="29"/>
      <c r="E27142" s="29"/>
      <c r="F27142" s="28">
        <v>0.1905</v>
      </c>
      <c r="G27142" s="29"/>
      <c r="H27142" s="29"/>
      <c r="I27142" s="29"/>
      <c r="J27142" s="29"/>
      <c r="K27142" s="29" t="s">
        <v>315</v>
      </c>
    </row>
    <row r="27143" spans="1:11" x14ac:dyDescent="0.35">
      <c r="A27143" s="27" t="s">
        <v>230</v>
      </c>
      <c r="B27143" s="27" t="s">
        <v>261</v>
      </c>
      <c r="C27143" s="28">
        <v>1</v>
      </c>
      <c r="D27143" s="29"/>
      <c r="E27143" s="29"/>
      <c r="F27143" s="29"/>
      <c r="G27143" s="29"/>
      <c r="H27143" s="29"/>
      <c r="I27143" s="29"/>
      <c r="J27143" s="29"/>
      <c r="K27143" s="29" t="s">
        <v>331</v>
      </c>
    </row>
    <row r="27144" spans="1:11" x14ac:dyDescent="0.35">
      <c r="A27144" s="27" t="s">
        <v>230</v>
      </c>
      <c r="B27144" s="27" t="s">
        <v>260</v>
      </c>
      <c r="C27144" s="28">
        <v>0.96340000000000003</v>
      </c>
      <c r="D27144" s="28">
        <v>3.6600000000000001E-2</v>
      </c>
      <c r="E27144" s="29"/>
      <c r="F27144" s="29"/>
      <c r="G27144" s="29"/>
      <c r="H27144" s="29"/>
      <c r="I27144" s="29"/>
      <c r="J27144" s="29"/>
      <c r="K27144" s="29" t="s">
        <v>337</v>
      </c>
    </row>
    <row r="27145" spans="1:11" x14ac:dyDescent="0.35">
      <c r="A27145" s="27" t="s">
        <v>230</v>
      </c>
      <c r="B27145" s="27" t="s">
        <v>262</v>
      </c>
      <c r="C27145" s="28">
        <v>0.81230000000000002</v>
      </c>
      <c r="D27145" s="28">
        <v>0.40610000000000002</v>
      </c>
      <c r="E27145" s="28">
        <v>9.3899999999999997E-2</v>
      </c>
      <c r="F27145" s="28">
        <v>9.3899999999999997E-2</v>
      </c>
      <c r="G27145" s="29"/>
      <c r="H27145" s="29"/>
      <c r="I27145" s="29"/>
      <c r="J27145" s="28">
        <v>9.3899999999999997E-2</v>
      </c>
      <c r="K27145" s="29" t="s">
        <v>335</v>
      </c>
    </row>
    <row r="27146" spans="1:11" x14ac:dyDescent="0.35">
      <c r="A27146" s="27" t="s">
        <v>231</v>
      </c>
      <c r="B27146" s="27" t="s">
        <v>260</v>
      </c>
      <c r="C27146" s="28">
        <v>0.75</v>
      </c>
      <c r="D27146" s="28">
        <v>0.25</v>
      </c>
      <c r="E27146" s="29"/>
      <c r="F27146" s="29"/>
      <c r="G27146" s="29"/>
      <c r="H27146" s="29"/>
      <c r="I27146" s="29"/>
      <c r="J27146" s="29"/>
      <c r="K27146" s="29" t="s">
        <v>337</v>
      </c>
    </row>
    <row r="27147" spans="1:11" x14ac:dyDescent="0.35">
      <c r="A27147" t="s">
        <v>232</v>
      </c>
      <c r="B27147" t="s">
        <v>232</v>
      </c>
      <c r="C27147" s="26">
        <v>0.63229999999999997</v>
      </c>
      <c r="D27147" s="26">
        <v>0.2006</v>
      </c>
      <c r="E27147" s="26">
        <v>9.1700000000000004E-2</v>
      </c>
      <c r="F27147" s="26">
        <v>6.2600000000000003E-2</v>
      </c>
      <c r="G27147" s="26">
        <v>3.4299999999999997E-2</v>
      </c>
      <c r="H27147" s="26">
        <v>8.0000000000000002E-3</v>
      </c>
      <c r="I27147" s="26">
        <v>4.0000000000000001E-3</v>
      </c>
      <c r="J27147" s="26">
        <v>3.5999999999999999E-3</v>
      </c>
      <c r="K27147">
        <v>48</v>
      </c>
    </row>
    <row r="27149" spans="1:11" x14ac:dyDescent="0.35">
      <c r="A27149" s="1" t="s">
        <v>2458</v>
      </c>
    </row>
    <row r="27150" spans="1:11" x14ac:dyDescent="0.35">
      <c r="A27150" t="s">
        <v>219</v>
      </c>
      <c r="B27150" t="s">
        <v>305</v>
      </c>
      <c r="C27150" t="s">
        <v>2444</v>
      </c>
      <c r="D27150" t="s">
        <v>2445</v>
      </c>
      <c r="E27150" t="s">
        <v>2446</v>
      </c>
      <c r="F27150" t="s">
        <v>2447</v>
      </c>
      <c r="G27150" t="s">
        <v>286</v>
      </c>
      <c r="H27150" t="s">
        <v>326</v>
      </c>
      <c r="I27150" t="s">
        <v>2448</v>
      </c>
      <c r="J27150" t="s">
        <v>2449</v>
      </c>
      <c r="K27150" t="s">
        <v>226</v>
      </c>
    </row>
    <row r="27151" spans="1:11" x14ac:dyDescent="0.35">
      <c r="A27151" s="27" t="s">
        <v>227</v>
      </c>
      <c r="B27151" s="27" t="s">
        <v>368</v>
      </c>
      <c r="C27151" s="28">
        <v>0.5</v>
      </c>
      <c r="D27151" s="29"/>
      <c r="E27151" s="28">
        <v>0.25</v>
      </c>
      <c r="F27151" s="28">
        <v>0.25</v>
      </c>
      <c r="G27151" s="29"/>
      <c r="H27151" s="29"/>
      <c r="I27151" s="29"/>
      <c r="J27151" s="29"/>
      <c r="K27151" s="29" t="s">
        <v>337</v>
      </c>
    </row>
    <row r="27152" spans="1:11" x14ac:dyDescent="0.35">
      <c r="A27152" s="27" t="s">
        <v>227</v>
      </c>
      <c r="B27152" s="27" t="s">
        <v>369</v>
      </c>
      <c r="C27152" s="28">
        <v>0.5</v>
      </c>
      <c r="D27152" s="28">
        <v>0.5</v>
      </c>
      <c r="E27152" s="29"/>
      <c r="F27152" s="29"/>
      <c r="G27152" s="29"/>
      <c r="H27152" s="29"/>
      <c r="I27152" s="29"/>
      <c r="J27152" s="29"/>
      <c r="K27152" s="29" t="s">
        <v>314</v>
      </c>
    </row>
    <row r="27153" spans="1:11" x14ac:dyDescent="0.35">
      <c r="A27153" s="27" t="s">
        <v>228</v>
      </c>
      <c r="B27153" s="27" t="s">
        <v>368</v>
      </c>
      <c r="C27153" s="28">
        <v>0.7006</v>
      </c>
      <c r="D27153" s="28">
        <v>0.35849999999999999</v>
      </c>
      <c r="E27153" s="28">
        <v>2.63E-2</v>
      </c>
      <c r="F27153" s="29"/>
      <c r="G27153" s="29"/>
      <c r="H27153" s="29"/>
      <c r="I27153" s="29"/>
      <c r="J27153" s="29"/>
      <c r="K27153" s="29" t="s">
        <v>334</v>
      </c>
    </row>
    <row r="27154" spans="1:11" x14ac:dyDescent="0.35">
      <c r="A27154" s="27" t="s">
        <v>228</v>
      </c>
      <c r="B27154" s="27" t="s">
        <v>369</v>
      </c>
      <c r="C27154" s="28">
        <v>0.53290000000000004</v>
      </c>
      <c r="D27154" s="28">
        <v>0.14630000000000001</v>
      </c>
      <c r="E27154" s="28">
        <v>0.02</v>
      </c>
      <c r="F27154" s="28">
        <v>4.53E-2</v>
      </c>
      <c r="G27154" s="28">
        <v>0.29449999999999998</v>
      </c>
      <c r="H27154" s="28">
        <v>6.8699999999999997E-2</v>
      </c>
      <c r="I27154" s="28">
        <v>3.4200000000000001E-2</v>
      </c>
      <c r="J27154" s="28">
        <v>0.02</v>
      </c>
      <c r="K27154" s="29" t="s">
        <v>342</v>
      </c>
    </row>
    <row r="27155" spans="1:11" x14ac:dyDescent="0.35">
      <c r="A27155" s="27" t="s">
        <v>229</v>
      </c>
      <c r="B27155" s="27" t="s">
        <v>368</v>
      </c>
      <c r="C27155" s="29"/>
      <c r="D27155" s="29"/>
      <c r="E27155" s="28">
        <v>1</v>
      </c>
      <c r="F27155" s="29"/>
      <c r="G27155" s="29"/>
      <c r="H27155" s="29"/>
      <c r="I27155" s="29"/>
      <c r="J27155" s="29"/>
      <c r="K27155" s="29" t="s">
        <v>331</v>
      </c>
    </row>
    <row r="27156" spans="1:11" x14ac:dyDescent="0.35">
      <c r="A27156" s="27" t="s">
        <v>229</v>
      </c>
      <c r="B27156" s="27" t="s">
        <v>369</v>
      </c>
      <c r="C27156" s="28">
        <v>0.76780000000000004</v>
      </c>
      <c r="D27156" s="29"/>
      <c r="E27156" s="28">
        <v>5.1499999999999997E-2</v>
      </c>
      <c r="F27156" s="28">
        <v>0.1807</v>
      </c>
      <c r="G27156" s="29"/>
      <c r="H27156" s="29"/>
      <c r="I27156" s="29"/>
      <c r="J27156" s="29"/>
      <c r="K27156" s="29" t="s">
        <v>332</v>
      </c>
    </row>
    <row r="27157" spans="1:11" x14ac:dyDescent="0.35">
      <c r="A27157" s="27" t="s">
        <v>230</v>
      </c>
      <c r="B27157" s="27" t="s">
        <v>368</v>
      </c>
      <c r="C27157" s="28">
        <v>1</v>
      </c>
      <c r="D27157" s="29"/>
      <c r="E27157" s="29"/>
      <c r="F27157" s="29"/>
      <c r="G27157" s="29"/>
      <c r="H27157" s="29"/>
      <c r="I27157" s="29"/>
      <c r="J27157" s="29"/>
      <c r="K27157" s="29" t="s">
        <v>331</v>
      </c>
    </row>
    <row r="27158" spans="1:11" x14ac:dyDescent="0.35">
      <c r="A27158" s="27" t="s">
        <v>230</v>
      </c>
      <c r="B27158" s="27" t="s">
        <v>369</v>
      </c>
      <c r="C27158" s="28">
        <v>0.92100000000000004</v>
      </c>
      <c r="D27158" s="28">
        <v>0.1404</v>
      </c>
      <c r="E27158" s="28">
        <v>2.63E-2</v>
      </c>
      <c r="F27158" s="28">
        <v>2.63E-2</v>
      </c>
      <c r="G27158" s="29"/>
      <c r="H27158" s="29"/>
      <c r="I27158" s="29"/>
      <c r="J27158" s="28">
        <v>2.63E-2</v>
      </c>
      <c r="K27158" s="29" t="s">
        <v>307</v>
      </c>
    </row>
    <row r="27159" spans="1:11" x14ac:dyDescent="0.35">
      <c r="A27159" s="27" t="s">
        <v>231</v>
      </c>
      <c r="B27159" s="27" t="s">
        <v>369</v>
      </c>
      <c r="C27159" s="28">
        <v>0.75</v>
      </c>
      <c r="D27159" s="28">
        <v>0.25</v>
      </c>
      <c r="E27159" s="29"/>
      <c r="F27159" s="29"/>
      <c r="G27159" s="29"/>
      <c r="H27159" s="29"/>
      <c r="I27159" s="29"/>
      <c r="J27159" s="29"/>
      <c r="K27159" s="29" t="s">
        <v>337</v>
      </c>
    </row>
    <row r="27160" spans="1:11" x14ac:dyDescent="0.35">
      <c r="A27160" t="s">
        <v>232</v>
      </c>
      <c r="B27160" t="s">
        <v>232</v>
      </c>
      <c r="C27160" s="26">
        <v>0.63229999999999997</v>
      </c>
      <c r="D27160" s="26">
        <v>0.2006</v>
      </c>
      <c r="E27160" s="26">
        <v>9.1700000000000004E-2</v>
      </c>
      <c r="F27160" s="26">
        <v>6.2600000000000003E-2</v>
      </c>
      <c r="G27160" s="26">
        <v>3.4299999999999997E-2</v>
      </c>
      <c r="H27160" s="26">
        <v>8.0000000000000002E-3</v>
      </c>
      <c r="I27160" s="26">
        <v>4.0000000000000001E-3</v>
      </c>
      <c r="J27160" s="26">
        <v>3.5999999999999999E-3</v>
      </c>
      <c r="K27160">
        <v>48</v>
      </c>
    </row>
    <row r="27162" spans="1:11" x14ac:dyDescent="0.35">
      <c r="A27162" s="1" t="s">
        <v>2459</v>
      </c>
    </row>
    <row r="27163" spans="1:11" x14ac:dyDescent="0.35">
      <c r="A27163" t="s">
        <v>219</v>
      </c>
      <c r="B27163" t="s">
        <v>305</v>
      </c>
      <c r="C27163" t="s">
        <v>2444</v>
      </c>
      <c r="D27163" t="s">
        <v>2445</v>
      </c>
      <c r="E27163" t="s">
        <v>2446</v>
      </c>
      <c r="F27163" t="s">
        <v>2447</v>
      </c>
      <c r="G27163" t="s">
        <v>286</v>
      </c>
      <c r="H27163" t="s">
        <v>326</v>
      </c>
      <c r="I27163" t="s">
        <v>2448</v>
      </c>
      <c r="J27163" t="s">
        <v>2449</v>
      </c>
      <c r="K27163" t="s">
        <v>226</v>
      </c>
    </row>
    <row r="27164" spans="1:11" x14ac:dyDescent="0.35">
      <c r="A27164" s="27" t="s">
        <v>227</v>
      </c>
      <c r="B27164" s="27" t="s">
        <v>371</v>
      </c>
      <c r="C27164" s="28">
        <v>0.5</v>
      </c>
      <c r="D27164" s="28">
        <v>0.16669999999999999</v>
      </c>
      <c r="E27164" s="28">
        <v>0.16669999999999999</v>
      </c>
      <c r="F27164" s="28">
        <v>0.16669999999999999</v>
      </c>
      <c r="G27164" s="29"/>
      <c r="H27164" s="29"/>
      <c r="I27164" s="29"/>
      <c r="J27164" s="29"/>
      <c r="K27164" s="29" t="s">
        <v>335</v>
      </c>
    </row>
    <row r="27165" spans="1:11" x14ac:dyDescent="0.35">
      <c r="A27165" s="27" t="s">
        <v>228</v>
      </c>
      <c r="B27165" s="27" t="s">
        <v>371</v>
      </c>
      <c r="C27165" s="28">
        <v>0.5837</v>
      </c>
      <c r="D27165" s="28">
        <v>0.20810000000000001</v>
      </c>
      <c r="E27165" s="28">
        <v>2.0299999999999999E-2</v>
      </c>
      <c r="F27165" s="29"/>
      <c r="G27165" s="28">
        <v>0.18779999999999999</v>
      </c>
      <c r="H27165" s="29"/>
      <c r="I27165" s="29"/>
      <c r="J27165" s="29"/>
      <c r="K27165" s="29" t="s">
        <v>333</v>
      </c>
    </row>
    <row r="27166" spans="1:11" x14ac:dyDescent="0.35">
      <c r="A27166" s="27" t="s">
        <v>228</v>
      </c>
      <c r="B27166" s="27" t="s">
        <v>372</v>
      </c>
      <c r="C27166" s="28">
        <v>0.5464</v>
      </c>
      <c r="D27166" s="28">
        <v>0.1676</v>
      </c>
      <c r="E27166" s="29"/>
      <c r="F27166" s="28">
        <v>0.37880000000000003</v>
      </c>
      <c r="G27166" s="29"/>
      <c r="H27166" s="29"/>
      <c r="I27166" s="28">
        <v>0.28599999999999998</v>
      </c>
      <c r="J27166" s="29"/>
      <c r="K27166" s="29" t="s">
        <v>337</v>
      </c>
    </row>
    <row r="27167" spans="1:11" x14ac:dyDescent="0.35">
      <c r="A27167" s="27" t="s">
        <v>228</v>
      </c>
      <c r="B27167" s="27" t="s">
        <v>373</v>
      </c>
      <c r="C27167" s="28">
        <v>0.73970000000000002</v>
      </c>
      <c r="D27167" s="28">
        <v>0.41389999999999999</v>
      </c>
      <c r="E27167" s="28">
        <v>3.6499999999999998E-2</v>
      </c>
      <c r="F27167" s="29"/>
      <c r="G27167" s="28">
        <v>3.6499999999999998E-2</v>
      </c>
      <c r="H27167" s="28">
        <v>0.12509999999999999</v>
      </c>
      <c r="I27167" s="29"/>
      <c r="J27167" s="28">
        <v>3.6499999999999998E-2</v>
      </c>
      <c r="K27167" s="29" t="s">
        <v>334</v>
      </c>
    </row>
    <row r="27168" spans="1:11" x14ac:dyDescent="0.35">
      <c r="A27168" s="27" t="s">
        <v>229</v>
      </c>
      <c r="B27168" s="27" t="s">
        <v>371</v>
      </c>
      <c r="C27168" s="28">
        <v>0.434</v>
      </c>
      <c r="D27168" s="29"/>
      <c r="E27168" s="28">
        <v>0.45040000000000002</v>
      </c>
      <c r="F27168" s="28">
        <v>0.11559999999999999</v>
      </c>
      <c r="G27168" s="29"/>
      <c r="H27168" s="29"/>
      <c r="I27168" s="29"/>
      <c r="J27168" s="29"/>
      <c r="K27168" s="29" t="s">
        <v>337</v>
      </c>
    </row>
    <row r="27169" spans="1:11" x14ac:dyDescent="0.35">
      <c r="A27169" s="27" t="s">
        <v>229</v>
      </c>
      <c r="B27169" s="27" t="s">
        <v>372</v>
      </c>
      <c r="C27169" s="28">
        <v>0.77590000000000003</v>
      </c>
      <c r="D27169" s="29"/>
      <c r="E27169" s="28">
        <v>0.22409999999999999</v>
      </c>
      <c r="F27169" s="29"/>
      <c r="G27169" s="29"/>
      <c r="H27169" s="29"/>
      <c r="I27169" s="29"/>
      <c r="J27169" s="29"/>
      <c r="K27169" s="29" t="s">
        <v>314</v>
      </c>
    </row>
    <row r="27170" spans="1:11" x14ac:dyDescent="0.35">
      <c r="A27170" s="27" t="s">
        <v>230</v>
      </c>
      <c r="B27170" s="27" t="s">
        <v>371</v>
      </c>
      <c r="C27170" s="28">
        <v>1</v>
      </c>
      <c r="D27170" s="28">
        <v>0.1007</v>
      </c>
      <c r="E27170" s="29"/>
      <c r="F27170" s="29"/>
      <c r="G27170" s="29"/>
      <c r="H27170" s="29"/>
      <c r="I27170" s="29"/>
      <c r="J27170" s="29"/>
      <c r="K27170" s="29" t="s">
        <v>332</v>
      </c>
    </row>
    <row r="27171" spans="1:11" x14ac:dyDescent="0.35">
      <c r="A27171" s="27" t="s">
        <v>230</v>
      </c>
      <c r="B27171" s="27" t="s">
        <v>372</v>
      </c>
      <c r="C27171" s="28">
        <v>0.4</v>
      </c>
      <c r="D27171" s="28">
        <v>0.4</v>
      </c>
      <c r="E27171" s="28">
        <v>0.2</v>
      </c>
      <c r="F27171" s="28">
        <v>0.2</v>
      </c>
      <c r="G27171" s="29"/>
      <c r="H27171" s="29"/>
      <c r="I27171" s="29"/>
      <c r="J27171" s="28">
        <v>0.2</v>
      </c>
      <c r="K27171" s="29" t="s">
        <v>332</v>
      </c>
    </row>
    <row r="27172" spans="1:11" x14ac:dyDescent="0.35">
      <c r="A27172" s="27" t="s">
        <v>230</v>
      </c>
      <c r="B27172" s="27" t="s">
        <v>373</v>
      </c>
      <c r="C27172" s="28">
        <v>1</v>
      </c>
      <c r="D27172" s="29"/>
      <c r="E27172" s="29"/>
      <c r="F27172" s="29"/>
      <c r="G27172" s="29"/>
      <c r="H27172" s="29"/>
      <c r="I27172" s="29"/>
      <c r="J27172" s="29"/>
      <c r="K27172" s="29" t="s">
        <v>331</v>
      </c>
    </row>
    <row r="27173" spans="1:11" x14ac:dyDescent="0.35">
      <c r="A27173" s="27" t="s">
        <v>231</v>
      </c>
      <c r="B27173" s="27" t="s">
        <v>371</v>
      </c>
      <c r="C27173" s="28">
        <v>0.75</v>
      </c>
      <c r="D27173" s="28">
        <v>0.25</v>
      </c>
      <c r="E27173" s="29"/>
      <c r="F27173" s="29"/>
      <c r="G27173" s="29"/>
      <c r="H27173" s="29"/>
      <c r="I27173" s="29"/>
      <c r="J27173" s="29"/>
      <c r="K27173" s="29" t="s">
        <v>337</v>
      </c>
    </row>
    <row r="27174" spans="1:11" x14ac:dyDescent="0.35">
      <c r="A27174" t="s">
        <v>232</v>
      </c>
      <c r="B27174" t="s">
        <v>232</v>
      </c>
      <c r="C27174" s="26">
        <v>0.63229999999999997</v>
      </c>
      <c r="D27174" s="26">
        <v>0.2006</v>
      </c>
      <c r="E27174" s="26">
        <v>9.1700000000000004E-2</v>
      </c>
      <c r="F27174" s="26">
        <v>6.2600000000000003E-2</v>
      </c>
      <c r="G27174" s="26">
        <v>3.4299999999999997E-2</v>
      </c>
      <c r="H27174" s="26">
        <v>8.0000000000000002E-3</v>
      </c>
      <c r="I27174" s="26">
        <v>4.0000000000000001E-3</v>
      </c>
      <c r="J27174" s="26">
        <v>3.5999999999999999E-3</v>
      </c>
      <c r="K27174">
        <v>48</v>
      </c>
    </row>
    <row r="27176" spans="1:11" x14ac:dyDescent="0.35">
      <c r="A27176" s="1" t="s">
        <v>2460</v>
      </c>
    </row>
    <row r="27177" spans="1:11" x14ac:dyDescent="0.35">
      <c r="A27177" t="s">
        <v>219</v>
      </c>
      <c r="B27177" t="s">
        <v>305</v>
      </c>
      <c r="C27177" t="s">
        <v>2444</v>
      </c>
      <c r="D27177" t="s">
        <v>2445</v>
      </c>
      <c r="E27177" t="s">
        <v>2446</v>
      </c>
      <c r="F27177" t="s">
        <v>2447</v>
      </c>
      <c r="G27177" t="s">
        <v>286</v>
      </c>
      <c r="H27177" t="s">
        <v>326</v>
      </c>
      <c r="I27177" t="s">
        <v>2448</v>
      </c>
      <c r="J27177" t="s">
        <v>2449</v>
      </c>
      <c r="K27177" t="s">
        <v>226</v>
      </c>
    </row>
    <row r="27178" spans="1:11" x14ac:dyDescent="0.35">
      <c r="A27178" s="27" t="s">
        <v>227</v>
      </c>
      <c r="B27178" s="27" t="s">
        <v>255</v>
      </c>
      <c r="C27178" s="28">
        <v>0.75</v>
      </c>
      <c r="D27178" s="29"/>
      <c r="E27178" s="28">
        <v>0.25</v>
      </c>
      <c r="F27178" s="29"/>
      <c r="G27178" s="29"/>
      <c r="H27178" s="29"/>
      <c r="I27178" s="29"/>
      <c r="J27178" s="29"/>
      <c r="K27178" s="29" t="s">
        <v>337</v>
      </c>
    </row>
    <row r="27179" spans="1:11" x14ac:dyDescent="0.35">
      <c r="A27179" s="27" t="s">
        <v>227</v>
      </c>
      <c r="B27179" s="27" t="s">
        <v>256</v>
      </c>
      <c r="C27179" s="29"/>
      <c r="D27179" s="28">
        <v>1</v>
      </c>
      <c r="E27179" s="29"/>
      <c r="F27179" s="29"/>
      <c r="G27179" s="29"/>
      <c r="H27179" s="29"/>
      <c r="I27179" s="29"/>
      <c r="J27179" s="29"/>
      <c r="K27179" s="29" t="s">
        <v>331</v>
      </c>
    </row>
    <row r="27180" spans="1:11" x14ac:dyDescent="0.35">
      <c r="A27180" s="27" t="s">
        <v>227</v>
      </c>
      <c r="B27180" s="27" t="s">
        <v>257</v>
      </c>
      <c r="C27180" s="29"/>
      <c r="D27180" s="29"/>
      <c r="E27180" s="29"/>
      <c r="F27180" s="28">
        <v>1</v>
      </c>
      <c r="G27180" s="29"/>
      <c r="H27180" s="29"/>
      <c r="I27180" s="29"/>
      <c r="J27180" s="29"/>
      <c r="K27180" s="29" t="s">
        <v>331</v>
      </c>
    </row>
    <row r="27181" spans="1:11" x14ac:dyDescent="0.35">
      <c r="A27181" s="27" t="s">
        <v>228</v>
      </c>
      <c r="B27181" s="27" t="s">
        <v>255</v>
      </c>
      <c r="C27181" s="28">
        <v>0.66159999999999997</v>
      </c>
      <c r="D27181" s="28">
        <v>0.35959999999999998</v>
      </c>
      <c r="E27181" s="28">
        <v>3.9300000000000002E-2</v>
      </c>
      <c r="F27181" s="28">
        <v>3.5799999999999998E-2</v>
      </c>
      <c r="G27181" s="28">
        <v>1.5800000000000002E-2</v>
      </c>
      <c r="H27181" s="29"/>
      <c r="I27181" s="29"/>
      <c r="J27181" s="29"/>
      <c r="K27181" s="29" t="s">
        <v>379</v>
      </c>
    </row>
    <row r="27182" spans="1:11" x14ac:dyDescent="0.35">
      <c r="A27182" s="27" t="s">
        <v>228</v>
      </c>
      <c r="B27182" s="27" t="s">
        <v>256</v>
      </c>
      <c r="C27182" s="28">
        <v>0.79169999999999996</v>
      </c>
      <c r="D27182" s="29"/>
      <c r="E27182" s="29"/>
      <c r="F27182" s="29"/>
      <c r="G27182" s="29"/>
      <c r="H27182" s="28">
        <v>0.1391</v>
      </c>
      <c r="I27182" s="28">
        <v>6.9199999999999998E-2</v>
      </c>
      <c r="J27182" s="28">
        <v>4.0500000000000001E-2</v>
      </c>
      <c r="K27182" s="29" t="s">
        <v>332</v>
      </c>
    </row>
    <row r="27183" spans="1:11" x14ac:dyDescent="0.35">
      <c r="A27183" s="27" t="s">
        <v>228</v>
      </c>
      <c r="B27183" s="27" t="s">
        <v>257</v>
      </c>
      <c r="C27183" s="28">
        <v>0.26019999999999999</v>
      </c>
      <c r="D27183" s="28">
        <v>0.26019999999999999</v>
      </c>
      <c r="E27183" s="29"/>
      <c r="F27183" s="29"/>
      <c r="G27183" s="28">
        <v>0.73980000000000001</v>
      </c>
      <c r="H27183" s="29"/>
      <c r="I27183" s="29"/>
      <c r="J27183" s="29"/>
      <c r="K27183" s="29" t="s">
        <v>314</v>
      </c>
    </row>
    <row r="27184" spans="1:11" x14ac:dyDescent="0.35">
      <c r="A27184" s="27" t="s">
        <v>229</v>
      </c>
      <c r="B27184" s="27" t="s">
        <v>255</v>
      </c>
      <c r="C27184" s="28">
        <v>9.3899999999999997E-2</v>
      </c>
      <c r="D27184" s="29"/>
      <c r="E27184" s="28">
        <v>0.71550000000000002</v>
      </c>
      <c r="F27184" s="28">
        <v>0.1905</v>
      </c>
      <c r="G27184" s="29"/>
      <c r="H27184" s="29"/>
      <c r="I27184" s="29"/>
      <c r="J27184" s="29"/>
      <c r="K27184" s="29" t="s">
        <v>315</v>
      </c>
    </row>
    <row r="27185" spans="1:11" x14ac:dyDescent="0.35">
      <c r="A27185" s="27" t="s">
        <v>229</v>
      </c>
      <c r="B27185" s="27" t="s">
        <v>256</v>
      </c>
      <c r="C27185" s="28">
        <v>0.96350000000000002</v>
      </c>
      <c r="D27185" s="29"/>
      <c r="E27185" s="28">
        <v>3.6499999999999998E-2</v>
      </c>
      <c r="F27185" s="29"/>
      <c r="G27185" s="29"/>
      <c r="H27185" s="29"/>
      <c r="I27185" s="29"/>
      <c r="J27185" s="29"/>
      <c r="K27185" s="29" t="s">
        <v>314</v>
      </c>
    </row>
    <row r="27186" spans="1:11" x14ac:dyDescent="0.35">
      <c r="A27186" s="27" t="s">
        <v>229</v>
      </c>
      <c r="B27186" s="27" t="s">
        <v>257</v>
      </c>
      <c r="C27186" s="29"/>
      <c r="D27186" s="29"/>
      <c r="E27186" s="28">
        <v>1</v>
      </c>
      <c r="F27186" s="29"/>
      <c r="G27186" s="29"/>
      <c r="H27186" s="29"/>
      <c r="I27186" s="29"/>
      <c r="J27186" s="29"/>
      <c r="K27186" s="29" t="s">
        <v>331</v>
      </c>
    </row>
    <row r="27187" spans="1:11" x14ac:dyDescent="0.35">
      <c r="A27187" s="27" t="s">
        <v>230</v>
      </c>
      <c r="B27187" s="27" t="s">
        <v>255</v>
      </c>
      <c r="C27187" s="28">
        <v>0.71840000000000004</v>
      </c>
      <c r="D27187" s="28">
        <v>0.5</v>
      </c>
      <c r="E27187" s="28">
        <v>9.3899999999999997E-2</v>
      </c>
      <c r="F27187" s="29"/>
      <c r="G27187" s="29"/>
      <c r="H27187" s="29"/>
      <c r="I27187" s="29"/>
      <c r="J27187" s="29"/>
      <c r="K27187" s="29" t="s">
        <v>335</v>
      </c>
    </row>
    <row r="27188" spans="1:11" x14ac:dyDescent="0.35">
      <c r="A27188" s="27" t="s">
        <v>230</v>
      </c>
      <c r="B27188" s="27" t="s">
        <v>256</v>
      </c>
      <c r="C27188" s="28">
        <v>1</v>
      </c>
      <c r="D27188" s="29"/>
      <c r="E27188" s="29"/>
      <c r="F27188" s="28">
        <v>3.27E-2</v>
      </c>
      <c r="G27188" s="29"/>
      <c r="H27188" s="29"/>
      <c r="I27188" s="29"/>
      <c r="J27188" s="28">
        <v>3.27E-2</v>
      </c>
      <c r="K27188" s="29" t="s">
        <v>332</v>
      </c>
    </row>
    <row r="27189" spans="1:11" x14ac:dyDescent="0.35">
      <c r="A27189" s="27" t="s">
        <v>231</v>
      </c>
      <c r="B27189" s="27" t="s">
        <v>255</v>
      </c>
      <c r="C27189" s="28">
        <v>1</v>
      </c>
      <c r="D27189" s="29"/>
      <c r="E27189" s="29"/>
      <c r="F27189" s="29"/>
      <c r="G27189" s="29"/>
      <c r="H27189" s="29"/>
      <c r="I27189" s="29"/>
      <c r="J27189" s="29"/>
      <c r="K27189" s="29" t="s">
        <v>314</v>
      </c>
    </row>
    <row r="27190" spans="1:11" x14ac:dyDescent="0.35">
      <c r="A27190" s="27" t="s">
        <v>231</v>
      </c>
      <c r="B27190" s="27" t="s">
        <v>256</v>
      </c>
      <c r="C27190" s="28">
        <v>0.5</v>
      </c>
      <c r="D27190" s="28">
        <v>0.5</v>
      </c>
      <c r="E27190" s="29"/>
      <c r="F27190" s="29"/>
      <c r="G27190" s="29"/>
      <c r="H27190" s="29"/>
      <c r="I27190" s="29"/>
      <c r="J27190" s="29"/>
      <c r="K27190" s="29" t="s">
        <v>314</v>
      </c>
    </row>
    <row r="27191" spans="1:11" x14ac:dyDescent="0.35">
      <c r="A27191" t="s">
        <v>232</v>
      </c>
      <c r="B27191" t="s">
        <v>232</v>
      </c>
      <c r="C27191" s="26">
        <v>0.63229999999999997</v>
      </c>
      <c r="D27191" s="26">
        <v>0.2006</v>
      </c>
      <c r="E27191" s="26">
        <v>9.1700000000000004E-2</v>
      </c>
      <c r="F27191" s="26">
        <v>6.2600000000000003E-2</v>
      </c>
      <c r="G27191" s="26">
        <v>3.4299999999999997E-2</v>
      </c>
      <c r="H27191" s="26">
        <v>8.0000000000000002E-3</v>
      </c>
      <c r="I27191" s="26">
        <v>4.0000000000000001E-3</v>
      </c>
      <c r="J27191" s="26">
        <v>3.5999999999999999E-3</v>
      </c>
      <c r="K27191">
        <v>48</v>
      </c>
    </row>
    <row r="27193" spans="1:11" x14ac:dyDescent="0.35">
      <c r="A27193" s="1" t="s">
        <v>2461</v>
      </c>
    </row>
    <row r="27194" spans="1:11" x14ac:dyDescent="0.35">
      <c r="A27194" t="s">
        <v>219</v>
      </c>
      <c r="B27194" t="s">
        <v>305</v>
      </c>
      <c r="C27194" t="s">
        <v>2444</v>
      </c>
      <c r="D27194" t="s">
        <v>2445</v>
      </c>
      <c r="E27194" t="s">
        <v>2446</v>
      </c>
      <c r="F27194" t="s">
        <v>2447</v>
      </c>
      <c r="G27194" t="s">
        <v>286</v>
      </c>
      <c r="H27194" t="s">
        <v>326</v>
      </c>
      <c r="I27194" t="s">
        <v>2448</v>
      </c>
      <c r="J27194" t="s">
        <v>2449</v>
      </c>
      <c r="K27194" t="s">
        <v>226</v>
      </c>
    </row>
    <row r="27195" spans="1:11" x14ac:dyDescent="0.35">
      <c r="A27195" s="27" t="s">
        <v>227</v>
      </c>
      <c r="B27195" s="27" t="s">
        <v>1341</v>
      </c>
      <c r="C27195" s="28">
        <v>1</v>
      </c>
      <c r="D27195" s="29"/>
      <c r="E27195" s="29"/>
      <c r="F27195" s="29"/>
      <c r="G27195" s="29"/>
      <c r="H27195" s="29"/>
      <c r="I27195" s="29"/>
      <c r="J27195" s="29"/>
      <c r="K27195" s="29" t="s">
        <v>331</v>
      </c>
    </row>
    <row r="27196" spans="1:11" x14ac:dyDescent="0.35">
      <c r="A27196" s="27" t="s">
        <v>227</v>
      </c>
      <c r="B27196" s="27" t="s">
        <v>1343</v>
      </c>
      <c r="C27196" s="28">
        <v>0.4</v>
      </c>
      <c r="D27196" s="28">
        <v>0.2</v>
      </c>
      <c r="E27196" s="28">
        <v>0.2</v>
      </c>
      <c r="F27196" s="28">
        <v>0.2</v>
      </c>
      <c r="G27196" s="29"/>
      <c r="H27196" s="29"/>
      <c r="I27196" s="29"/>
      <c r="J27196" s="29"/>
      <c r="K27196" s="29" t="s">
        <v>332</v>
      </c>
    </row>
    <row r="27197" spans="1:11" x14ac:dyDescent="0.35">
      <c r="A27197" s="27" t="s">
        <v>228</v>
      </c>
      <c r="B27197" s="27" t="s">
        <v>1341</v>
      </c>
      <c r="C27197" s="28">
        <v>0.39439999999999997</v>
      </c>
      <c r="D27197" s="28">
        <v>0.49399999999999999</v>
      </c>
      <c r="E27197" s="29"/>
      <c r="F27197" s="29"/>
      <c r="G27197" s="29"/>
      <c r="H27197" s="28">
        <v>0.1116</v>
      </c>
      <c r="I27197" s="29"/>
      <c r="J27197" s="29"/>
      <c r="K27197" s="29" t="s">
        <v>339</v>
      </c>
    </row>
    <row r="27198" spans="1:11" x14ac:dyDescent="0.35">
      <c r="A27198" s="27" t="s">
        <v>228</v>
      </c>
      <c r="B27198" s="27" t="s">
        <v>1343</v>
      </c>
      <c r="C27198" s="28">
        <v>0.71440000000000003</v>
      </c>
      <c r="D27198" s="28">
        <v>0.1633</v>
      </c>
      <c r="E27198" s="28">
        <v>3.2800000000000003E-2</v>
      </c>
      <c r="F27198" s="28">
        <v>2.9899999999999999E-2</v>
      </c>
      <c r="G27198" s="28">
        <v>0.19450000000000001</v>
      </c>
      <c r="H27198" s="29"/>
      <c r="I27198" s="28">
        <v>2.2599999999999999E-2</v>
      </c>
      <c r="J27198" s="28">
        <v>1.32E-2</v>
      </c>
      <c r="K27198" s="29" t="s">
        <v>379</v>
      </c>
    </row>
    <row r="27199" spans="1:11" x14ac:dyDescent="0.35">
      <c r="A27199" s="27" t="s">
        <v>229</v>
      </c>
      <c r="B27199" s="27" t="s">
        <v>1341</v>
      </c>
      <c r="C27199" s="28">
        <v>0.78969999999999996</v>
      </c>
      <c r="D27199" s="29"/>
      <c r="E27199" s="29"/>
      <c r="F27199" s="28">
        <v>0.21029999999999999</v>
      </c>
      <c r="G27199" s="29"/>
      <c r="H27199" s="29"/>
      <c r="I27199" s="29"/>
      <c r="J27199" s="29"/>
      <c r="K27199" s="29" t="s">
        <v>314</v>
      </c>
    </row>
    <row r="27200" spans="1:11" x14ac:dyDescent="0.35">
      <c r="A27200" s="27" t="s">
        <v>229</v>
      </c>
      <c r="B27200" s="27" t="s">
        <v>1343</v>
      </c>
      <c r="C27200" s="28">
        <v>0.10879999999999999</v>
      </c>
      <c r="D27200" s="29"/>
      <c r="E27200" s="28">
        <v>0.89119999999999999</v>
      </c>
      <c r="F27200" s="29"/>
      <c r="G27200" s="29"/>
      <c r="H27200" s="29"/>
      <c r="I27200" s="29"/>
      <c r="J27200" s="29"/>
      <c r="K27200" s="29" t="s">
        <v>337</v>
      </c>
    </row>
    <row r="27201" spans="1:11" x14ac:dyDescent="0.35">
      <c r="A27201" s="27" t="s">
        <v>230</v>
      </c>
      <c r="B27201" s="27" t="s">
        <v>1341</v>
      </c>
      <c r="C27201" s="28">
        <v>1</v>
      </c>
      <c r="D27201" s="28">
        <v>0.33329999999999999</v>
      </c>
      <c r="E27201" s="29"/>
      <c r="F27201" s="29"/>
      <c r="G27201" s="29"/>
      <c r="H27201" s="29"/>
      <c r="I27201" s="29"/>
      <c r="J27201" s="29"/>
      <c r="K27201" s="29" t="s">
        <v>315</v>
      </c>
    </row>
    <row r="27202" spans="1:11" x14ac:dyDescent="0.35">
      <c r="A27202" s="27" t="s">
        <v>230</v>
      </c>
      <c r="B27202" s="27" t="s">
        <v>1343</v>
      </c>
      <c r="C27202" s="28">
        <v>0.90410000000000001</v>
      </c>
      <c r="D27202" s="28">
        <v>6.3899999999999998E-2</v>
      </c>
      <c r="E27202" s="28">
        <v>3.2000000000000001E-2</v>
      </c>
      <c r="F27202" s="28">
        <v>3.2000000000000001E-2</v>
      </c>
      <c r="G27202" s="29"/>
      <c r="H27202" s="29"/>
      <c r="I27202" s="29"/>
      <c r="J27202" s="28">
        <v>3.2000000000000001E-2</v>
      </c>
      <c r="K27202" s="29" t="s">
        <v>333</v>
      </c>
    </row>
    <row r="27203" spans="1:11" x14ac:dyDescent="0.35">
      <c r="A27203" s="27" t="s">
        <v>231</v>
      </c>
      <c r="B27203" s="27" t="s">
        <v>1341</v>
      </c>
      <c r="C27203" s="28">
        <v>1</v>
      </c>
      <c r="D27203" s="29"/>
      <c r="E27203" s="29"/>
      <c r="F27203" s="29"/>
      <c r="G27203" s="29"/>
      <c r="H27203" s="29"/>
      <c r="I27203" s="29"/>
      <c r="J27203" s="29"/>
      <c r="K27203" s="29" t="s">
        <v>331</v>
      </c>
    </row>
    <row r="27204" spans="1:11" x14ac:dyDescent="0.35">
      <c r="A27204" s="27" t="s">
        <v>231</v>
      </c>
      <c r="B27204" s="27" t="s">
        <v>1343</v>
      </c>
      <c r="C27204" s="28">
        <v>0.66669999999999996</v>
      </c>
      <c r="D27204" s="28">
        <v>0.33329999999999999</v>
      </c>
      <c r="E27204" s="29"/>
      <c r="F27204" s="29"/>
      <c r="G27204" s="29"/>
      <c r="H27204" s="29"/>
      <c r="I27204" s="29"/>
      <c r="J27204" s="29"/>
      <c r="K27204" s="29" t="s">
        <v>315</v>
      </c>
    </row>
    <row r="27205" spans="1:11" x14ac:dyDescent="0.35">
      <c r="A27205" t="s">
        <v>232</v>
      </c>
      <c r="B27205" t="s">
        <v>232</v>
      </c>
      <c r="C27205" s="26">
        <v>0.63229999999999997</v>
      </c>
      <c r="D27205" s="26">
        <v>0.2006</v>
      </c>
      <c r="E27205" s="26">
        <v>9.1700000000000004E-2</v>
      </c>
      <c r="F27205" s="26">
        <v>6.2600000000000003E-2</v>
      </c>
      <c r="G27205" s="26">
        <v>3.4299999999999997E-2</v>
      </c>
      <c r="H27205" s="26">
        <v>8.0000000000000002E-3</v>
      </c>
      <c r="I27205" s="26">
        <v>4.0000000000000001E-3</v>
      </c>
      <c r="J27205" s="26">
        <v>3.5999999999999999E-3</v>
      </c>
      <c r="K27205">
        <v>48</v>
      </c>
    </row>
    <row r="27207" spans="1:11" x14ac:dyDescent="0.35">
      <c r="A27207" s="1" t="s">
        <v>2462</v>
      </c>
    </row>
    <row r="27208" spans="1:11" x14ac:dyDescent="0.35">
      <c r="A27208" t="s">
        <v>219</v>
      </c>
      <c r="B27208" t="s">
        <v>305</v>
      </c>
      <c r="C27208" t="s">
        <v>2444</v>
      </c>
      <c r="D27208" t="s">
        <v>2445</v>
      </c>
      <c r="E27208" t="s">
        <v>2446</v>
      </c>
      <c r="F27208" t="s">
        <v>2447</v>
      </c>
      <c r="G27208" t="s">
        <v>286</v>
      </c>
      <c r="H27208" t="s">
        <v>326</v>
      </c>
      <c r="I27208" t="s">
        <v>2448</v>
      </c>
      <c r="J27208" t="s">
        <v>2449</v>
      </c>
      <c r="K27208" t="s">
        <v>226</v>
      </c>
    </row>
    <row r="27209" spans="1:11" x14ac:dyDescent="0.35">
      <c r="A27209" s="27" t="s">
        <v>227</v>
      </c>
      <c r="B27209" s="27" t="s">
        <v>1348</v>
      </c>
      <c r="C27209" s="28">
        <v>0.25</v>
      </c>
      <c r="D27209" s="28">
        <v>0.25</v>
      </c>
      <c r="E27209" s="28">
        <v>0.25</v>
      </c>
      <c r="F27209" s="28">
        <v>0.25</v>
      </c>
      <c r="G27209" s="29"/>
      <c r="H27209" s="29"/>
      <c r="I27209" s="29"/>
      <c r="J27209" s="29"/>
      <c r="K27209" s="29" t="s">
        <v>337</v>
      </c>
    </row>
    <row r="27210" spans="1:11" x14ac:dyDescent="0.35">
      <c r="A27210" s="27" t="s">
        <v>227</v>
      </c>
      <c r="B27210" s="27" t="s">
        <v>1346</v>
      </c>
      <c r="C27210" s="28">
        <v>1</v>
      </c>
      <c r="D27210" s="29"/>
      <c r="E27210" s="29"/>
      <c r="F27210" s="29"/>
      <c r="G27210" s="29"/>
      <c r="H27210" s="29"/>
      <c r="I27210" s="29"/>
      <c r="J27210" s="29"/>
      <c r="K27210" s="29" t="s">
        <v>314</v>
      </c>
    </row>
    <row r="27211" spans="1:11" x14ac:dyDescent="0.35">
      <c r="A27211" s="27" t="s">
        <v>228</v>
      </c>
      <c r="B27211" s="27" t="s">
        <v>1347</v>
      </c>
      <c r="C27211" s="29"/>
      <c r="D27211" s="29"/>
      <c r="E27211" s="29"/>
      <c r="F27211" s="29"/>
      <c r="G27211" s="29"/>
      <c r="H27211" s="28">
        <v>1</v>
      </c>
      <c r="I27211" s="29"/>
      <c r="J27211" s="29"/>
      <c r="K27211" s="29" t="s">
        <v>331</v>
      </c>
    </row>
    <row r="27212" spans="1:11" x14ac:dyDescent="0.35">
      <c r="A27212" s="27" t="s">
        <v>228</v>
      </c>
      <c r="B27212" s="27" t="s">
        <v>1348</v>
      </c>
      <c r="C27212" s="28">
        <v>0.69779999999999998</v>
      </c>
      <c r="D27212" s="28">
        <v>0.3417</v>
      </c>
      <c r="E27212" s="28">
        <v>4.19E-2</v>
      </c>
      <c r="F27212" s="28">
        <v>3.8199999999999998E-2</v>
      </c>
      <c r="G27212" s="29"/>
      <c r="H27212" s="29"/>
      <c r="I27212" s="29"/>
      <c r="J27212" s="28">
        <v>1.6899999999999998E-2</v>
      </c>
      <c r="K27212" s="29" t="s">
        <v>352</v>
      </c>
    </row>
    <row r="27213" spans="1:11" x14ac:dyDescent="0.35">
      <c r="A27213" s="27" t="s">
        <v>228</v>
      </c>
      <c r="B27213" s="27" t="s">
        <v>1346</v>
      </c>
      <c r="C27213" s="28">
        <v>0.56789999999999996</v>
      </c>
      <c r="D27213" s="28">
        <v>0.16700000000000001</v>
      </c>
      <c r="E27213" s="29"/>
      <c r="F27213" s="29"/>
      <c r="G27213" s="28">
        <v>0.33629999999999999</v>
      </c>
      <c r="H27213" s="29"/>
      <c r="I27213" s="28">
        <v>3.9E-2</v>
      </c>
      <c r="J27213" s="29"/>
      <c r="K27213" s="29" t="s">
        <v>334</v>
      </c>
    </row>
    <row r="27214" spans="1:11" x14ac:dyDescent="0.35">
      <c r="A27214" s="27" t="s">
        <v>229</v>
      </c>
      <c r="B27214" s="27" t="s">
        <v>1347</v>
      </c>
      <c r="C27214" s="28">
        <v>0.78969999999999996</v>
      </c>
      <c r="D27214" s="29"/>
      <c r="E27214" s="29"/>
      <c r="F27214" s="28">
        <v>0.21029999999999999</v>
      </c>
      <c r="G27214" s="29"/>
      <c r="H27214" s="29"/>
      <c r="I27214" s="29"/>
      <c r="J27214" s="29"/>
      <c r="K27214" s="29" t="s">
        <v>314</v>
      </c>
    </row>
    <row r="27215" spans="1:11" x14ac:dyDescent="0.35">
      <c r="A27215" s="27" t="s">
        <v>229</v>
      </c>
      <c r="B27215" s="27" t="s">
        <v>1348</v>
      </c>
      <c r="C27215" s="28">
        <v>0.63380000000000003</v>
      </c>
      <c r="D27215" s="29"/>
      <c r="E27215" s="28">
        <v>0.36620000000000003</v>
      </c>
      <c r="F27215" s="29"/>
      <c r="G27215" s="29"/>
      <c r="H27215" s="29"/>
      <c r="I27215" s="29"/>
      <c r="J27215" s="29"/>
      <c r="K27215" s="29" t="s">
        <v>315</v>
      </c>
    </row>
    <row r="27216" spans="1:11" x14ac:dyDescent="0.35">
      <c r="A27216" s="27" t="s">
        <v>229</v>
      </c>
      <c r="B27216" s="27" t="s">
        <v>1346</v>
      </c>
      <c r="C27216" s="29"/>
      <c r="D27216" s="29"/>
      <c r="E27216" s="28">
        <v>1</v>
      </c>
      <c r="F27216" s="29"/>
      <c r="G27216" s="29"/>
      <c r="H27216" s="29"/>
      <c r="I27216" s="29"/>
      <c r="J27216" s="29"/>
      <c r="K27216" s="29" t="s">
        <v>331</v>
      </c>
    </row>
    <row r="27217" spans="1:12" x14ac:dyDescent="0.35">
      <c r="A27217" s="27" t="s">
        <v>230</v>
      </c>
      <c r="B27217" s="27" t="s">
        <v>1347</v>
      </c>
      <c r="C27217" s="28">
        <v>0.96350000000000002</v>
      </c>
      <c r="D27217" s="29"/>
      <c r="E27217" s="28">
        <v>3.6499999999999998E-2</v>
      </c>
      <c r="F27217" s="29"/>
      <c r="G27217" s="29"/>
      <c r="H27217" s="29"/>
      <c r="I27217" s="29"/>
      <c r="J27217" s="29"/>
      <c r="K27217" s="29" t="s">
        <v>337</v>
      </c>
    </row>
    <row r="27218" spans="1:12" x14ac:dyDescent="0.35">
      <c r="A27218" s="27" t="s">
        <v>230</v>
      </c>
      <c r="B27218" s="27" t="s">
        <v>1348</v>
      </c>
      <c r="C27218" s="28">
        <v>0.92249999999999999</v>
      </c>
      <c r="D27218" s="28">
        <v>0.33529999999999999</v>
      </c>
      <c r="E27218" s="29"/>
      <c r="F27218" s="28">
        <v>7.7499999999999999E-2</v>
      </c>
      <c r="G27218" s="29"/>
      <c r="H27218" s="29"/>
      <c r="I27218" s="29"/>
      <c r="J27218" s="28">
        <v>7.7499999999999999E-2</v>
      </c>
      <c r="K27218" s="29" t="s">
        <v>335</v>
      </c>
    </row>
    <row r="27219" spans="1:12" x14ac:dyDescent="0.35">
      <c r="A27219" s="27" t="s">
        <v>230</v>
      </c>
      <c r="B27219" s="27" t="s">
        <v>1346</v>
      </c>
      <c r="C27219" s="29"/>
      <c r="D27219" s="28">
        <v>1</v>
      </c>
      <c r="E27219" s="29"/>
      <c r="F27219" s="29"/>
      <c r="G27219" s="29"/>
      <c r="H27219" s="29"/>
      <c r="I27219" s="29"/>
      <c r="J27219" s="29"/>
      <c r="K27219" s="29" t="s">
        <v>331</v>
      </c>
    </row>
    <row r="27220" spans="1:12" x14ac:dyDescent="0.35">
      <c r="A27220" s="27" t="s">
        <v>231</v>
      </c>
      <c r="B27220" s="27" t="s">
        <v>1347</v>
      </c>
      <c r="C27220" s="29"/>
      <c r="D27220" s="28">
        <v>1</v>
      </c>
      <c r="E27220" s="29"/>
      <c r="F27220" s="29"/>
      <c r="G27220" s="29"/>
      <c r="H27220" s="29"/>
      <c r="I27220" s="29"/>
      <c r="J27220" s="29"/>
      <c r="K27220" s="29" t="s">
        <v>331</v>
      </c>
    </row>
    <row r="27221" spans="1:12" x14ac:dyDescent="0.35">
      <c r="A27221" s="27" t="s">
        <v>231</v>
      </c>
      <c r="B27221" s="27" t="s">
        <v>1348</v>
      </c>
      <c r="C27221" s="28">
        <v>1</v>
      </c>
      <c r="D27221" s="29"/>
      <c r="E27221" s="29"/>
      <c r="F27221" s="29"/>
      <c r="G27221" s="29"/>
      <c r="H27221" s="29"/>
      <c r="I27221" s="29"/>
      <c r="J27221" s="29"/>
      <c r="K27221" s="29" t="s">
        <v>315</v>
      </c>
    </row>
    <row r="27222" spans="1:12" x14ac:dyDescent="0.35">
      <c r="A27222" t="s">
        <v>232</v>
      </c>
      <c r="B27222" t="s">
        <v>232</v>
      </c>
      <c r="C27222" s="26">
        <v>0.63229999999999997</v>
      </c>
      <c r="D27222" s="26">
        <v>0.2006</v>
      </c>
      <c r="E27222" s="26">
        <v>9.1700000000000004E-2</v>
      </c>
      <c r="F27222" s="26">
        <v>6.2600000000000003E-2</v>
      </c>
      <c r="G27222" s="26">
        <v>3.4299999999999997E-2</v>
      </c>
      <c r="H27222" s="26">
        <v>8.0000000000000002E-3</v>
      </c>
      <c r="I27222" s="26">
        <v>4.0000000000000001E-3</v>
      </c>
      <c r="J27222" s="26">
        <v>3.5999999999999999E-3</v>
      </c>
      <c r="K27222">
        <v>48</v>
      </c>
    </row>
    <row r="27224" spans="1:12" x14ac:dyDescent="0.35">
      <c r="A27224" s="1" t="s">
        <v>2463</v>
      </c>
    </row>
    <row r="27225" spans="1:12" x14ac:dyDescent="0.35">
      <c r="A27225" t="s">
        <v>219</v>
      </c>
      <c r="B27225" t="s">
        <v>305</v>
      </c>
      <c r="C27225" t="s">
        <v>345</v>
      </c>
      <c r="D27225" t="s">
        <v>2444</v>
      </c>
      <c r="E27225" t="s">
        <v>2445</v>
      </c>
      <c r="F27225" t="s">
        <v>2446</v>
      </c>
      <c r="G27225" t="s">
        <v>2447</v>
      </c>
      <c r="H27225" t="s">
        <v>286</v>
      </c>
      <c r="I27225" t="s">
        <v>326</v>
      </c>
      <c r="J27225" t="s">
        <v>2448</v>
      </c>
      <c r="K27225" t="s">
        <v>2449</v>
      </c>
      <c r="L27225" t="s">
        <v>226</v>
      </c>
    </row>
    <row r="27226" spans="1:12" x14ac:dyDescent="0.35">
      <c r="A27226" s="27" t="s">
        <v>227</v>
      </c>
      <c r="B27226" s="27" t="s">
        <v>1343</v>
      </c>
      <c r="C27226" s="27" t="s">
        <v>1346</v>
      </c>
      <c r="D27226" s="28">
        <v>1</v>
      </c>
      <c r="E27226" s="29"/>
      <c r="F27226" s="29"/>
      <c r="G27226" s="29"/>
      <c r="H27226" s="29"/>
      <c r="I27226" s="29"/>
      <c r="J27226" s="29"/>
      <c r="K27226" s="29"/>
      <c r="L27226" s="29" t="s">
        <v>331</v>
      </c>
    </row>
    <row r="27227" spans="1:12" x14ac:dyDescent="0.35">
      <c r="A27227" s="27" t="s">
        <v>227</v>
      </c>
      <c r="B27227" s="27" t="s">
        <v>1343</v>
      </c>
      <c r="C27227" s="27" t="s">
        <v>1348</v>
      </c>
      <c r="D27227" s="28">
        <v>0.25</v>
      </c>
      <c r="E27227" s="28">
        <v>0.25</v>
      </c>
      <c r="F27227" s="28">
        <v>0.25</v>
      </c>
      <c r="G27227" s="28">
        <v>0.25</v>
      </c>
      <c r="H27227" s="29"/>
      <c r="I27227" s="29"/>
      <c r="J27227" s="29"/>
      <c r="K27227" s="29"/>
      <c r="L27227" s="29" t="s">
        <v>337</v>
      </c>
    </row>
    <row r="27228" spans="1:12" x14ac:dyDescent="0.35">
      <c r="A27228" s="27" t="s">
        <v>227</v>
      </c>
      <c r="B27228" s="27" t="s">
        <v>1341</v>
      </c>
      <c r="C27228" s="27" t="s">
        <v>1346</v>
      </c>
      <c r="D27228" s="28">
        <v>1</v>
      </c>
      <c r="E27228" s="29"/>
      <c r="F27228" s="29"/>
      <c r="G27228" s="29"/>
      <c r="H27228" s="29"/>
      <c r="I27228" s="29"/>
      <c r="J27228" s="29"/>
      <c r="K27228" s="29"/>
      <c r="L27228" s="29" t="s">
        <v>331</v>
      </c>
    </row>
    <row r="27229" spans="1:12" x14ac:dyDescent="0.35">
      <c r="A27229" s="27" t="s">
        <v>228</v>
      </c>
      <c r="B27229" s="27" t="s">
        <v>1341</v>
      </c>
      <c r="C27229" s="27" t="s">
        <v>1347</v>
      </c>
      <c r="D27229" s="29"/>
      <c r="E27229" s="29"/>
      <c r="F27229" s="29"/>
      <c r="G27229" s="29"/>
      <c r="H27229" s="29"/>
      <c r="I27229" s="28">
        <v>1</v>
      </c>
      <c r="J27229" s="29"/>
      <c r="K27229" s="29"/>
      <c r="L27229" s="29" t="s">
        <v>331</v>
      </c>
    </row>
    <row r="27230" spans="1:12" x14ac:dyDescent="0.35">
      <c r="A27230" s="27" t="s">
        <v>228</v>
      </c>
      <c r="B27230" s="27" t="s">
        <v>1343</v>
      </c>
      <c r="C27230" s="27" t="s">
        <v>1348</v>
      </c>
      <c r="D27230" s="28">
        <v>0.89439999999999997</v>
      </c>
      <c r="E27230" s="28">
        <v>0.16450000000000001</v>
      </c>
      <c r="F27230" s="28">
        <v>6.2600000000000003E-2</v>
      </c>
      <c r="G27230" s="28">
        <v>5.6899999999999999E-2</v>
      </c>
      <c r="H27230" s="29"/>
      <c r="I27230" s="29"/>
      <c r="J27230" s="29"/>
      <c r="K27230" s="28">
        <v>2.52E-2</v>
      </c>
      <c r="L27230" s="29" t="s">
        <v>333</v>
      </c>
    </row>
    <row r="27231" spans="1:12" x14ac:dyDescent="0.35">
      <c r="A27231" s="27" t="s">
        <v>228</v>
      </c>
      <c r="B27231" s="27" t="s">
        <v>1341</v>
      </c>
      <c r="C27231" s="27" t="s">
        <v>1346</v>
      </c>
      <c r="D27231" s="28">
        <v>0.80959999999999999</v>
      </c>
      <c r="E27231" s="28">
        <v>0.19040000000000001</v>
      </c>
      <c r="F27231" s="29"/>
      <c r="G27231" s="29"/>
      <c r="H27231" s="29"/>
      <c r="I27231" s="29"/>
      <c r="J27231" s="29"/>
      <c r="K27231" s="29"/>
      <c r="L27231" s="29" t="s">
        <v>315</v>
      </c>
    </row>
    <row r="27232" spans="1:12" x14ac:dyDescent="0.35">
      <c r="A27232" s="27" t="s">
        <v>228</v>
      </c>
      <c r="B27232" s="27" t="s">
        <v>1343</v>
      </c>
      <c r="C27232" s="27" t="s">
        <v>1346</v>
      </c>
      <c r="D27232" s="28">
        <v>0.51549999999999996</v>
      </c>
      <c r="E27232" s="28">
        <v>0.16200000000000001</v>
      </c>
      <c r="F27232" s="29"/>
      <c r="G27232" s="29"/>
      <c r="H27232" s="28">
        <v>0.40920000000000001</v>
      </c>
      <c r="I27232" s="29"/>
      <c r="J27232" s="28">
        <v>4.7500000000000001E-2</v>
      </c>
      <c r="K27232" s="29"/>
      <c r="L27232" s="29" t="s">
        <v>335</v>
      </c>
    </row>
    <row r="27233" spans="1:16" x14ac:dyDescent="0.35">
      <c r="A27233" s="27" t="s">
        <v>228</v>
      </c>
      <c r="B27233" s="27" t="s">
        <v>1341</v>
      </c>
      <c r="C27233" s="27" t="s">
        <v>1348</v>
      </c>
      <c r="D27233" s="28">
        <v>0.29809999999999998</v>
      </c>
      <c r="E27233" s="28">
        <v>0.70189999999999997</v>
      </c>
      <c r="F27233" s="29"/>
      <c r="G27233" s="29"/>
      <c r="H27233" s="29"/>
      <c r="I27233" s="29"/>
      <c r="J27233" s="29"/>
      <c r="K27233" s="29"/>
      <c r="L27233" s="29" t="s">
        <v>315</v>
      </c>
    </row>
    <row r="27234" spans="1:16" x14ac:dyDescent="0.35">
      <c r="A27234" s="27" t="s">
        <v>229</v>
      </c>
      <c r="B27234" s="27" t="s">
        <v>1343</v>
      </c>
      <c r="C27234" s="27" t="s">
        <v>1348</v>
      </c>
      <c r="D27234" s="28">
        <v>0.63380000000000003</v>
      </c>
      <c r="E27234" s="29"/>
      <c r="F27234" s="28">
        <v>0.36620000000000003</v>
      </c>
      <c r="G27234" s="29"/>
      <c r="H27234" s="29"/>
      <c r="I27234" s="29"/>
      <c r="J27234" s="29"/>
      <c r="K27234" s="29"/>
      <c r="L27234" s="29" t="s">
        <v>315</v>
      </c>
    </row>
    <row r="27235" spans="1:16" x14ac:dyDescent="0.35">
      <c r="A27235" s="27" t="s">
        <v>229</v>
      </c>
      <c r="B27235" s="27" t="s">
        <v>1341</v>
      </c>
      <c r="C27235" s="27" t="s">
        <v>1347</v>
      </c>
      <c r="D27235" s="28">
        <v>0.78969999999999996</v>
      </c>
      <c r="E27235" s="29"/>
      <c r="F27235" s="29"/>
      <c r="G27235" s="28">
        <v>0.21029999999999999</v>
      </c>
      <c r="H27235" s="29"/>
      <c r="I27235" s="29"/>
      <c r="J27235" s="29"/>
      <c r="K27235" s="29"/>
      <c r="L27235" s="29" t="s">
        <v>314</v>
      </c>
    </row>
    <row r="27236" spans="1:16" x14ac:dyDescent="0.35">
      <c r="A27236" s="27" t="s">
        <v>229</v>
      </c>
      <c r="B27236" s="27" t="s">
        <v>1343</v>
      </c>
      <c r="C27236" s="27" t="s">
        <v>1346</v>
      </c>
      <c r="D27236" s="29"/>
      <c r="E27236" s="29"/>
      <c r="F27236" s="28">
        <v>1</v>
      </c>
      <c r="G27236" s="29"/>
      <c r="H27236" s="29"/>
      <c r="I27236" s="29"/>
      <c r="J27236" s="29"/>
      <c r="K27236" s="29"/>
      <c r="L27236" s="29" t="s">
        <v>331</v>
      </c>
    </row>
    <row r="27237" spans="1:16" x14ac:dyDescent="0.35">
      <c r="A27237" s="27" t="s">
        <v>230</v>
      </c>
      <c r="B27237" s="27" t="s">
        <v>1341</v>
      </c>
      <c r="C27237" s="27" t="s">
        <v>1348</v>
      </c>
      <c r="D27237" s="28">
        <v>1</v>
      </c>
      <c r="E27237" s="28">
        <v>0.5</v>
      </c>
      <c r="F27237" s="29"/>
      <c r="G27237" s="29"/>
      <c r="H27237" s="29"/>
      <c r="I27237" s="29"/>
      <c r="J27237" s="29"/>
      <c r="K27237" s="29"/>
      <c r="L27237" s="29" t="s">
        <v>314</v>
      </c>
    </row>
    <row r="27238" spans="1:16" x14ac:dyDescent="0.35">
      <c r="A27238" s="27" t="s">
        <v>230</v>
      </c>
      <c r="B27238" s="27" t="s">
        <v>1343</v>
      </c>
      <c r="C27238" s="27" t="s">
        <v>1346</v>
      </c>
      <c r="D27238" s="29"/>
      <c r="E27238" s="28">
        <v>1</v>
      </c>
      <c r="F27238" s="29"/>
      <c r="G27238" s="29"/>
      <c r="H27238" s="29"/>
      <c r="I27238" s="29"/>
      <c r="J27238" s="29"/>
      <c r="K27238" s="29"/>
      <c r="L27238" s="29" t="s">
        <v>331</v>
      </c>
    </row>
    <row r="27239" spans="1:16" x14ac:dyDescent="0.35">
      <c r="A27239" s="27" t="s">
        <v>230</v>
      </c>
      <c r="B27239" s="27" t="s">
        <v>1343</v>
      </c>
      <c r="C27239" s="27" t="s">
        <v>1347</v>
      </c>
      <c r="D27239" s="28">
        <v>0.95840000000000003</v>
      </c>
      <c r="E27239" s="29"/>
      <c r="F27239" s="28">
        <v>4.1599999999999998E-2</v>
      </c>
      <c r="G27239" s="29"/>
      <c r="H27239" s="29"/>
      <c r="I27239" s="29"/>
      <c r="J27239" s="29"/>
      <c r="K27239" s="29"/>
      <c r="L27239" s="29" t="s">
        <v>315</v>
      </c>
    </row>
    <row r="27240" spans="1:16" x14ac:dyDescent="0.35">
      <c r="A27240" s="27" t="s">
        <v>230</v>
      </c>
      <c r="B27240" s="27" t="s">
        <v>1343</v>
      </c>
      <c r="C27240" s="27" t="s">
        <v>1348</v>
      </c>
      <c r="D27240" s="28">
        <v>0.84</v>
      </c>
      <c r="E27240" s="28">
        <v>0.16</v>
      </c>
      <c r="F27240" s="29"/>
      <c r="G27240" s="28">
        <v>0.16</v>
      </c>
      <c r="H27240" s="29"/>
      <c r="I27240" s="29"/>
      <c r="J27240" s="29"/>
      <c r="K27240" s="28">
        <v>0.16</v>
      </c>
      <c r="L27240" s="29" t="s">
        <v>337</v>
      </c>
    </row>
    <row r="27241" spans="1:16" x14ac:dyDescent="0.35">
      <c r="A27241" s="27" t="s">
        <v>230</v>
      </c>
      <c r="B27241" s="27" t="s">
        <v>1341</v>
      </c>
      <c r="C27241" s="27" t="s">
        <v>1347</v>
      </c>
      <c r="D27241" s="28">
        <v>1</v>
      </c>
      <c r="E27241" s="29"/>
      <c r="F27241" s="29"/>
      <c r="G27241" s="29"/>
      <c r="H27241" s="29"/>
      <c r="I27241" s="29"/>
      <c r="J27241" s="29"/>
      <c r="K27241" s="29"/>
      <c r="L27241" s="29" t="s">
        <v>331</v>
      </c>
    </row>
    <row r="27242" spans="1:16" x14ac:dyDescent="0.35">
      <c r="A27242" s="27" t="s">
        <v>231</v>
      </c>
      <c r="B27242" s="27" t="s">
        <v>1343</v>
      </c>
      <c r="C27242" s="27" t="s">
        <v>1348</v>
      </c>
      <c r="D27242" s="28">
        <v>1</v>
      </c>
      <c r="E27242" s="29"/>
      <c r="F27242" s="29"/>
      <c r="G27242" s="29"/>
      <c r="H27242" s="29"/>
      <c r="I27242" s="29"/>
      <c r="J27242" s="29"/>
      <c r="K27242" s="29"/>
      <c r="L27242" s="29" t="s">
        <v>314</v>
      </c>
    </row>
    <row r="27243" spans="1:16" x14ac:dyDescent="0.35">
      <c r="A27243" s="27" t="s">
        <v>231</v>
      </c>
      <c r="B27243" s="27" t="s">
        <v>1341</v>
      </c>
      <c r="C27243" s="27" t="s">
        <v>1348</v>
      </c>
      <c r="D27243" s="28">
        <v>1</v>
      </c>
      <c r="E27243" s="29"/>
      <c r="F27243" s="29"/>
      <c r="G27243" s="29"/>
      <c r="H27243" s="29"/>
      <c r="I27243" s="29"/>
      <c r="J27243" s="29"/>
      <c r="K27243" s="29"/>
      <c r="L27243" s="29" t="s">
        <v>331</v>
      </c>
    </row>
    <row r="27244" spans="1:16" x14ac:dyDescent="0.35">
      <c r="A27244" s="27" t="s">
        <v>231</v>
      </c>
      <c r="B27244" s="27" t="s">
        <v>1343</v>
      </c>
      <c r="C27244" s="27" t="s">
        <v>1347</v>
      </c>
      <c r="D27244" s="29"/>
      <c r="E27244" s="28">
        <v>1</v>
      </c>
      <c r="F27244" s="29"/>
      <c r="G27244" s="29"/>
      <c r="H27244" s="29"/>
      <c r="I27244" s="29"/>
      <c r="J27244" s="29"/>
      <c r="K27244" s="29"/>
      <c r="L27244" s="29" t="s">
        <v>331</v>
      </c>
    </row>
    <row r="27245" spans="1:16" x14ac:dyDescent="0.35">
      <c r="A27245" t="s">
        <v>232</v>
      </c>
      <c r="B27245" t="s">
        <v>232</v>
      </c>
      <c r="C27245" t="s">
        <v>232</v>
      </c>
      <c r="D27245" s="26">
        <v>0.63229999999999997</v>
      </c>
      <c r="E27245" s="26">
        <v>0.2006</v>
      </c>
      <c r="F27245" s="26">
        <v>9.1700000000000004E-2</v>
      </c>
      <c r="G27245" s="26">
        <v>6.2600000000000003E-2</v>
      </c>
      <c r="H27245" s="26">
        <v>3.4299999999999997E-2</v>
      </c>
      <c r="I27245" s="26">
        <v>8.0000000000000002E-3</v>
      </c>
      <c r="J27245" s="26">
        <v>4.0000000000000001E-3</v>
      </c>
      <c r="K27245" s="26">
        <v>3.5999999999999999E-3</v>
      </c>
      <c r="L27245">
        <v>48</v>
      </c>
    </row>
    <row r="27247" spans="1:16" x14ac:dyDescent="0.35">
      <c r="A27247" s="1" t="s">
        <v>2464</v>
      </c>
    </row>
    <row r="27248" spans="1:16" x14ac:dyDescent="0.35">
      <c r="A27248" t="s">
        <v>219</v>
      </c>
      <c r="B27248" t="s">
        <v>2465</v>
      </c>
      <c r="C27248" t="s">
        <v>2466</v>
      </c>
      <c r="D27248" t="s">
        <v>2467</v>
      </c>
      <c r="E27248" t="s">
        <v>2468</v>
      </c>
      <c r="F27248" t="s">
        <v>2469</v>
      </c>
      <c r="G27248" t="s">
        <v>2470</v>
      </c>
      <c r="H27248" t="s">
        <v>550</v>
      </c>
      <c r="I27248" t="s">
        <v>281</v>
      </c>
      <c r="J27248" t="s">
        <v>2471</v>
      </c>
      <c r="K27248" t="s">
        <v>2472</v>
      </c>
      <c r="L27248" t="s">
        <v>2473</v>
      </c>
      <c r="M27248" t="s">
        <v>2474</v>
      </c>
      <c r="N27248" t="s">
        <v>286</v>
      </c>
      <c r="O27248" t="s">
        <v>2475</v>
      </c>
      <c r="P27248" t="s">
        <v>226</v>
      </c>
    </row>
    <row r="27249" spans="1:17" x14ac:dyDescent="0.35">
      <c r="A27249" t="s">
        <v>227</v>
      </c>
      <c r="B27249" s="26">
        <v>0.32919999999999999</v>
      </c>
      <c r="C27249" s="26">
        <v>0.16769999999999999</v>
      </c>
      <c r="D27249" s="26">
        <v>0.18629999999999999</v>
      </c>
      <c r="E27249" s="26">
        <v>0.15529999999999999</v>
      </c>
      <c r="F27249" s="26">
        <v>0.11799999999999999</v>
      </c>
      <c r="G27249" s="26">
        <v>0.1366</v>
      </c>
      <c r="H27249" s="26">
        <v>0.11799999999999999</v>
      </c>
      <c r="I27249" s="26">
        <v>8.6999999999999994E-2</v>
      </c>
      <c r="J27249" s="26">
        <v>5.5899999999999998E-2</v>
      </c>
      <c r="K27249" s="26">
        <v>3.73E-2</v>
      </c>
      <c r="L27249" s="26">
        <v>6.2100000000000002E-2</v>
      </c>
      <c r="M27249" s="26">
        <v>2.4799999999999999E-2</v>
      </c>
      <c r="P27249">
        <v>161</v>
      </c>
    </row>
    <row r="27250" spans="1:17" x14ac:dyDescent="0.35">
      <c r="A27250" t="s">
        <v>228</v>
      </c>
      <c r="B27250" s="26">
        <v>0.46439999999999998</v>
      </c>
      <c r="C27250" s="26">
        <v>0.21659999999999999</v>
      </c>
      <c r="D27250" s="26">
        <v>0.1736</v>
      </c>
      <c r="E27250" s="26">
        <v>0.1145</v>
      </c>
      <c r="F27250" s="26">
        <v>0.1191</v>
      </c>
      <c r="G27250" s="26">
        <v>0.18990000000000001</v>
      </c>
      <c r="H27250" s="26">
        <v>0.13900000000000001</v>
      </c>
      <c r="I27250" s="26">
        <v>7.4200000000000002E-2</v>
      </c>
      <c r="J27250" s="26">
        <v>2.6599999999999999E-2</v>
      </c>
      <c r="K27250" s="26">
        <v>3.6499999999999998E-2</v>
      </c>
      <c r="L27250" s="26">
        <v>3.0099999999999998E-2</v>
      </c>
      <c r="M27250" s="26">
        <v>3.7400000000000003E-2</v>
      </c>
      <c r="N27250" s="26">
        <v>2.8E-3</v>
      </c>
      <c r="P27250">
        <v>1033</v>
      </c>
    </row>
    <row r="27251" spans="1:17" x14ac:dyDescent="0.35">
      <c r="A27251" t="s">
        <v>229</v>
      </c>
      <c r="B27251" s="26">
        <v>0.43169999999999997</v>
      </c>
      <c r="C27251" s="26">
        <v>0.24079999999999999</v>
      </c>
      <c r="D27251" s="26">
        <v>0.22700000000000001</v>
      </c>
      <c r="E27251" s="26">
        <v>0.18540000000000001</v>
      </c>
      <c r="F27251" s="26">
        <v>0.17080000000000001</v>
      </c>
      <c r="G27251" s="26">
        <v>0.1353</v>
      </c>
      <c r="H27251" s="26">
        <v>0.1134</v>
      </c>
      <c r="I27251" s="26">
        <v>7.9799999999999996E-2</v>
      </c>
      <c r="J27251" s="26">
        <v>3.1300000000000001E-2</v>
      </c>
      <c r="K27251" s="26">
        <v>5.1499999999999997E-2</v>
      </c>
      <c r="L27251" s="26">
        <v>4.5400000000000003E-2</v>
      </c>
      <c r="M27251" s="26">
        <v>3.9300000000000002E-2</v>
      </c>
      <c r="N27251" s="26">
        <v>1.1000000000000001E-3</v>
      </c>
      <c r="O27251" s="26">
        <v>1.2999999999999999E-3</v>
      </c>
      <c r="P27251">
        <v>895</v>
      </c>
    </row>
    <row r="27252" spans="1:17" x14ac:dyDescent="0.35">
      <c r="A27252" t="s">
        <v>230</v>
      </c>
      <c r="B27252" s="26">
        <v>0.4052</v>
      </c>
      <c r="C27252" s="26">
        <v>0.2873</v>
      </c>
      <c r="D27252" s="26">
        <v>0.19639999999999999</v>
      </c>
      <c r="E27252" s="26">
        <v>0.11600000000000001</v>
      </c>
      <c r="F27252" s="26">
        <v>0.20069999999999999</v>
      </c>
      <c r="G27252" s="26">
        <v>0.12790000000000001</v>
      </c>
      <c r="H27252" s="26">
        <v>0.13020000000000001</v>
      </c>
      <c r="I27252" s="26">
        <v>2.41E-2</v>
      </c>
      <c r="J27252" s="26">
        <v>1.43E-2</v>
      </c>
      <c r="K27252" s="26">
        <v>1.9699999999999999E-2</v>
      </c>
      <c r="L27252" s="26">
        <v>4.5100000000000001E-2</v>
      </c>
      <c r="M27252" s="26">
        <v>3.3700000000000001E-2</v>
      </c>
      <c r="N27252" s="26">
        <v>1.1999999999999999E-3</v>
      </c>
      <c r="P27252">
        <v>560</v>
      </c>
    </row>
    <row r="27253" spans="1:17" x14ac:dyDescent="0.35">
      <c r="A27253" t="s">
        <v>231</v>
      </c>
      <c r="B27253" s="26">
        <v>0.34150000000000003</v>
      </c>
      <c r="C27253" s="26">
        <v>0.17680000000000001</v>
      </c>
      <c r="D27253" s="26">
        <v>0.1951</v>
      </c>
      <c r="E27253" s="26">
        <v>0.189</v>
      </c>
      <c r="F27253" s="26">
        <v>0.15240000000000001</v>
      </c>
      <c r="G27253" s="26">
        <v>0.128</v>
      </c>
      <c r="H27253" s="26">
        <v>0.128</v>
      </c>
      <c r="I27253" s="26">
        <v>0.122</v>
      </c>
      <c r="J27253" s="26">
        <v>6.0999999999999999E-2</v>
      </c>
      <c r="K27253" s="26">
        <v>3.6600000000000001E-2</v>
      </c>
      <c r="L27253" s="26">
        <v>2.4400000000000002E-2</v>
      </c>
      <c r="M27253" s="26">
        <v>3.0499999999999999E-2</v>
      </c>
      <c r="N27253" s="26">
        <v>1.2200000000000001E-2</v>
      </c>
      <c r="P27253">
        <v>164</v>
      </c>
    </row>
    <row r="27254" spans="1:17" x14ac:dyDescent="0.35">
      <c r="A27254" t="s">
        <v>232</v>
      </c>
      <c r="B27254" s="26">
        <v>0.39529999999999998</v>
      </c>
      <c r="C27254" s="26">
        <v>0.21199999999999999</v>
      </c>
      <c r="D27254" s="26">
        <v>0.1988</v>
      </c>
      <c r="E27254" s="26">
        <v>0.16139999999999999</v>
      </c>
      <c r="F27254" s="26">
        <v>0.15060000000000001</v>
      </c>
      <c r="G27254" s="26">
        <v>0.1434</v>
      </c>
      <c r="H27254" s="26">
        <v>0.12470000000000001</v>
      </c>
      <c r="I27254" s="26">
        <v>8.5999999999999993E-2</v>
      </c>
      <c r="J27254" s="26">
        <v>4.0599999999999997E-2</v>
      </c>
      <c r="K27254" s="26">
        <v>3.9300000000000002E-2</v>
      </c>
      <c r="L27254" s="26">
        <v>3.9199999999999999E-2</v>
      </c>
      <c r="M27254" s="26">
        <v>3.3799999999999997E-2</v>
      </c>
      <c r="N27254" s="26">
        <v>4.3E-3</v>
      </c>
      <c r="O27254" s="26">
        <v>4.0000000000000002E-4</v>
      </c>
      <c r="P27254">
        <v>2813</v>
      </c>
    </row>
    <row r="27256" spans="1:17" x14ac:dyDescent="0.35">
      <c r="A27256" s="1" t="s">
        <v>2476</v>
      </c>
    </row>
    <row r="27257" spans="1:17" x14ac:dyDescent="0.35">
      <c r="A27257" t="s">
        <v>219</v>
      </c>
      <c r="B27257" t="s">
        <v>305</v>
      </c>
      <c r="C27257" t="s">
        <v>2465</v>
      </c>
      <c r="D27257" t="s">
        <v>2466</v>
      </c>
      <c r="E27257" t="s">
        <v>2467</v>
      </c>
      <c r="F27257" t="s">
        <v>2468</v>
      </c>
      <c r="G27257" t="s">
        <v>2469</v>
      </c>
      <c r="H27257" t="s">
        <v>2470</v>
      </c>
      <c r="I27257" t="s">
        <v>550</v>
      </c>
      <c r="J27257" t="s">
        <v>281</v>
      </c>
      <c r="K27257" t="s">
        <v>2471</v>
      </c>
      <c r="L27257" t="s">
        <v>2472</v>
      </c>
      <c r="M27257" t="s">
        <v>2473</v>
      </c>
      <c r="N27257" t="s">
        <v>2474</v>
      </c>
      <c r="O27257" t="s">
        <v>286</v>
      </c>
      <c r="P27257" t="s">
        <v>2475</v>
      </c>
      <c r="Q27257" t="s">
        <v>226</v>
      </c>
    </row>
    <row r="27258" spans="1:17" x14ac:dyDescent="0.35">
      <c r="A27258" t="s">
        <v>227</v>
      </c>
      <c r="B27258" t="s">
        <v>242</v>
      </c>
      <c r="C27258" s="26">
        <v>0.29409999999999997</v>
      </c>
      <c r="D27258" s="26">
        <v>0.1618</v>
      </c>
      <c r="E27258" s="26">
        <v>0.19120000000000001</v>
      </c>
      <c r="F27258" s="26">
        <v>0.1618</v>
      </c>
      <c r="G27258" s="26">
        <v>0.13239999999999999</v>
      </c>
      <c r="H27258" s="26">
        <v>0.2059</v>
      </c>
      <c r="I27258" s="26">
        <v>0.14710000000000001</v>
      </c>
      <c r="J27258" s="26">
        <v>4.41E-2</v>
      </c>
      <c r="K27258" s="26">
        <v>7.3499999999999996E-2</v>
      </c>
      <c r="M27258" s="26">
        <v>7.3499999999999996E-2</v>
      </c>
      <c r="N27258" s="26">
        <v>1.47E-2</v>
      </c>
      <c r="Q27258">
        <v>68</v>
      </c>
    </row>
    <row r="27259" spans="1:17" x14ac:dyDescent="0.35">
      <c r="A27259" t="s">
        <v>227</v>
      </c>
      <c r="B27259" t="s">
        <v>241</v>
      </c>
      <c r="C27259" s="26">
        <v>0.3548</v>
      </c>
      <c r="D27259" s="26">
        <v>0.17199999999999999</v>
      </c>
      <c r="E27259" s="26">
        <v>0.18279999999999999</v>
      </c>
      <c r="F27259" s="26">
        <v>0.15049999999999999</v>
      </c>
      <c r="G27259" s="26">
        <v>0.1075</v>
      </c>
      <c r="H27259" s="26">
        <v>8.5999999999999993E-2</v>
      </c>
      <c r="I27259" s="26">
        <v>9.6799999999999997E-2</v>
      </c>
      <c r="J27259" s="26">
        <v>0.1183</v>
      </c>
      <c r="K27259" s="26">
        <v>4.2999999999999997E-2</v>
      </c>
      <c r="L27259" s="26">
        <v>6.4500000000000002E-2</v>
      </c>
      <c r="M27259" s="26">
        <v>5.3800000000000001E-2</v>
      </c>
      <c r="N27259" s="26">
        <v>3.2300000000000002E-2</v>
      </c>
      <c r="Q27259">
        <v>93</v>
      </c>
    </row>
    <row r="27260" spans="1:17" x14ac:dyDescent="0.35">
      <c r="A27260" t="s">
        <v>228</v>
      </c>
      <c r="B27260" t="s">
        <v>242</v>
      </c>
      <c r="C27260" s="26">
        <v>0.42609999999999998</v>
      </c>
      <c r="D27260" s="26">
        <v>0.20349999999999999</v>
      </c>
      <c r="E27260" s="26">
        <v>0.14360000000000001</v>
      </c>
      <c r="F27260" s="26">
        <v>8.5099999999999995E-2</v>
      </c>
      <c r="G27260" s="26">
        <v>9.8000000000000004E-2</v>
      </c>
      <c r="H27260" s="26">
        <v>0.25629999999999997</v>
      </c>
      <c r="I27260" s="26">
        <v>0.14960000000000001</v>
      </c>
      <c r="J27260" s="26">
        <v>4.9299999999999997E-2</v>
      </c>
      <c r="K27260" s="26">
        <v>1.9E-2</v>
      </c>
      <c r="L27260" s="26">
        <v>2.47E-2</v>
      </c>
      <c r="M27260" s="26">
        <v>1.3599999999999999E-2</v>
      </c>
      <c r="N27260" s="26">
        <v>2.41E-2</v>
      </c>
      <c r="O27260" s="26">
        <v>1.5E-3</v>
      </c>
      <c r="Q27260">
        <v>402</v>
      </c>
    </row>
    <row r="27261" spans="1:17" x14ac:dyDescent="0.35">
      <c r="A27261" t="s">
        <v>228</v>
      </c>
      <c r="B27261" t="s">
        <v>241</v>
      </c>
      <c r="C27261" s="26">
        <v>0.48630000000000001</v>
      </c>
      <c r="D27261" s="26">
        <v>0.224</v>
      </c>
      <c r="E27261" s="26">
        <v>0.1908</v>
      </c>
      <c r="F27261" s="26">
        <v>0.13120000000000001</v>
      </c>
      <c r="G27261" s="26">
        <v>0.13109999999999999</v>
      </c>
      <c r="H27261" s="26">
        <v>0.152</v>
      </c>
      <c r="I27261" s="26">
        <v>0.13289999999999999</v>
      </c>
      <c r="J27261" s="26">
        <v>8.8499999999999995E-2</v>
      </c>
      <c r="K27261" s="26">
        <v>3.09E-2</v>
      </c>
      <c r="L27261" s="26">
        <v>4.3299999999999998E-2</v>
      </c>
      <c r="M27261" s="26">
        <v>3.9600000000000003E-2</v>
      </c>
      <c r="N27261" s="26">
        <v>4.4999999999999998E-2</v>
      </c>
      <c r="O27261" s="26">
        <v>3.5999999999999999E-3</v>
      </c>
      <c r="Q27261">
        <v>631</v>
      </c>
    </row>
    <row r="27262" spans="1:17" x14ac:dyDescent="0.35">
      <c r="A27262" t="s">
        <v>229</v>
      </c>
      <c r="B27262" t="s">
        <v>242</v>
      </c>
      <c r="C27262" s="26">
        <v>0.36330000000000001</v>
      </c>
      <c r="D27262" s="26">
        <v>0.25290000000000001</v>
      </c>
      <c r="E27262" s="26">
        <v>0.19189999999999999</v>
      </c>
      <c r="F27262" s="26">
        <v>0.19800000000000001</v>
      </c>
      <c r="G27262" s="26">
        <v>0.16600000000000001</v>
      </c>
      <c r="H27262" s="26">
        <v>0.1431</v>
      </c>
      <c r="I27262" s="26">
        <v>0.14599999999999999</v>
      </c>
      <c r="J27262" s="26">
        <v>7.3999999999999996E-2</v>
      </c>
      <c r="K27262" s="26">
        <v>5.2999999999999999E-2</v>
      </c>
      <c r="L27262" s="26">
        <v>5.21E-2</v>
      </c>
      <c r="M27262" s="26">
        <v>2.1999999999999999E-2</v>
      </c>
      <c r="N27262" s="26">
        <v>3.4200000000000001E-2</v>
      </c>
      <c r="P27262" s="26">
        <v>3.3999999999999998E-3</v>
      </c>
      <c r="Q27262">
        <v>292</v>
      </c>
    </row>
    <row r="27263" spans="1:17" x14ac:dyDescent="0.35">
      <c r="A27263" t="s">
        <v>229</v>
      </c>
      <c r="B27263" t="s">
        <v>241</v>
      </c>
      <c r="C27263" s="26">
        <v>0.47560000000000002</v>
      </c>
      <c r="D27263" s="26">
        <v>0.2331</v>
      </c>
      <c r="E27263" s="26">
        <v>0.24940000000000001</v>
      </c>
      <c r="F27263" s="26">
        <v>0.1774</v>
      </c>
      <c r="G27263" s="26">
        <v>0.17380000000000001</v>
      </c>
      <c r="H27263" s="26">
        <v>0.1303</v>
      </c>
      <c r="I27263" s="26">
        <v>9.2600000000000002E-2</v>
      </c>
      <c r="J27263" s="26">
        <v>8.3400000000000002E-2</v>
      </c>
      <c r="K27263" s="26">
        <v>1.7399999999999999E-2</v>
      </c>
      <c r="L27263" s="26">
        <v>5.11E-2</v>
      </c>
      <c r="M27263" s="26">
        <v>6.0400000000000002E-2</v>
      </c>
      <c r="N27263" s="26">
        <v>4.2500000000000003E-2</v>
      </c>
      <c r="O27263" s="26">
        <v>1.8E-3</v>
      </c>
      <c r="Q27263">
        <v>603</v>
      </c>
    </row>
    <row r="27264" spans="1:17" x14ac:dyDescent="0.35">
      <c r="A27264" t="s">
        <v>230</v>
      </c>
      <c r="B27264" t="s">
        <v>242</v>
      </c>
      <c r="C27264" s="26">
        <v>0.44969999999999999</v>
      </c>
      <c r="D27264" s="26">
        <v>0.31859999999999999</v>
      </c>
      <c r="E27264" s="26">
        <v>0.14860000000000001</v>
      </c>
      <c r="F27264" s="26">
        <v>6.9599999999999995E-2</v>
      </c>
      <c r="G27264" s="26">
        <v>0.15840000000000001</v>
      </c>
      <c r="H27264" s="26">
        <v>0.1656</v>
      </c>
      <c r="I27264" s="26">
        <v>0.13500000000000001</v>
      </c>
      <c r="J27264" s="26">
        <v>2.5399999999999999E-2</v>
      </c>
      <c r="K27264" s="26">
        <v>3.5000000000000001E-3</v>
      </c>
      <c r="L27264" s="26">
        <v>2.2800000000000001E-2</v>
      </c>
      <c r="M27264" s="26">
        <v>2.0199999999999999E-2</v>
      </c>
      <c r="N27264" s="26">
        <v>2.5999999999999999E-3</v>
      </c>
      <c r="O27264" s="26">
        <v>2.5999999999999999E-3</v>
      </c>
      <c r="Q27264">
        <v>189</v>
      </c>
    </row>
    <row r="27265" spans="1:17" x14ac:dyDescent="0.35">
      <c r="A27265" t="s">
        <v>230</v>
      </c>
      <c r="B27265" t="s">
        <v>241</v>
      </c>
      <c r="C27265" s="26">
        <v>0.38240000000000002</v>
      </c>
      <c r="D27265" s="26">
        <v>0.27139999999999997</v>
      </c>
      <c r="E27265" s="26">
        <v>0.22070000000000001</v>
      </c>
      <c r="F27265" s="26">
        <v>0.13980000000000001</v>
      </c>
      <c r="G27265" s="26">
        <v>0.22239999999999999</v>
      </c>
      <c r="H27265" s="26">
        <v>0.1087</v>
      </c>
      <c r="I27265" s="26">
        <v>0.12770000000000001</v>
      </c>
      <c r="J27265" s="26">
        <v>2.35E-2</v>
      </c>
      <c r="K27265" s="26">
        <v>1.9800000000000002E-2</v>
      </c>
      <c r="L27265" s="26">
        <v>1.7999999999999999E-2</v>
      </c>
      <c r="M27265" s="26">
        <v>5.7700000000000001E-2</v>
      </c>
      <c r="N27265" s="26">
        <v>4.9599999999999998E-2</v>
      </c>
      <c r="O27265" s="26">
        <v>4.0000000000000002E-4</v>
      </c>
      <c r="Q27265">
        <v>371</v>
      </c>
    </row>
    <row r="27266" spans="1:17" x14ac:dyDescent="0.35">
      <c r="A27266" t="s">
        <v>231</v>
      </c>
      <c r="B27266" t="s">
        <v>242</v>
      </c>
      <c r="C27266" s="26">
        <v>0.35189999999999999</v>
      </c>
      <c r="D27266" s="26">
        <v>0.22220000000000001</v>
      </c>
      <c r="E27266" s="26">
        <v>0.14810000000000001</v>
      </c>
      <c r="F27266" s="26">
        <v>0.2407</v>
      </c>
      <c r="G27266" s="26">
        <v>9.2600000000000002E-2</v>
      </c>
      <c r="H27266" s="26">
        <v>0.20369999999999999</v>
      </c>
      <c r="I27266" s="26">
        <v>0.16669999999999999</v>
      </c>
      <c r="J27266" s="26">
        <v>7.4099999999999999E-2</v>
      </c>
      <c r="K27266" s="26">
        <v>9.2600000000000002E-2</v>
      </c>
      <c r="L27266" s="26">
        <v>3.6999999999999998E-2</v>
      </c>
      <c r="M27266" s="26">
        <v>5.5599999999999997E-2</v>
      </c>
      <c r="N27266" s="26">
        <v>1.8499999999999999E-2</v>
      </c>
      <c r="Q27266">
        <v>54</v>
      </c>
    </row>
    <row r="27267" spans="1:17" x14ac:dyDescent="0.35">
      <c r="A27267" t="s">
        <v>231</v>
      </c>
      <c r="B27267" t="s">
        <v>241</v>
      </c>
      <c r="C27267" s="26">
        <v>0.33639999999999998</v>
      </c>
      <c r="D27267" s="26">
        <v>0.1545</v>
      </c>
      <c r="E27267" s="26">
        <v>0.21820000000000001</v>
      </c>
      <c r="F27267" s="26">
        <v>0.1636</v>
      </c>
      <c r="G27267" s="26">
        <v>0.18179999999999999</v>
      </c>
      <c r="H27267" s="26">
        <v>9.0899999999999995E-2</v>
      </c>
      <c r="I27267" s="26">
        <v>0.1091</v>
      </c>
      <c r="J27267" s="26">
        <v>0.14549999999999999</v>
      </c>
      <c r="K27267" s="26">
        <v>4.5499999999999999E-2</v>
      </c>
      <c r="L27267" s="26">
        <v>3.6400000000000002E-2</v>
      </c>
      <c r="M27267" s="26">
        <v>9.1000000000000004E-3</v>
      </c>
      <c r="N27267" s="26">
        <v>3.6400000000000002E-2</v>
      </c>
      <c r="O27267" s="26">
        <v>1.8200000000000001E-2</v>
      </c>
      <c r="Q27267">
        <v>110</v>
      </c>
    </row>
    <row r="27268" spans="1:17" x14ac:dyDescent="0.35">
      <c r="A27268" t="s">
        <v>232</v>
      </c>
      <c r="B27268" t="s">
        <v>232</v>
      </c>
      <c r="C27268" s="26">
        <v>0.39529999999999998</v>
      </c>
      <c r="D27268" s="26">
        <v>0.21199999999999999</v>
      </c>
      <c r="E27268" s="26">
        <v>0.1988</v>
      </c>
      <c r="F27268" s="26">
        <v>0.16139999999999999</v>
      </c>
      <c r="G27268" s="26">
        <v>0.15060000000000001</v>
      </c>
      <c r="H27268" s="26">
        <v>0.1434</v>
      </c>
      <c r="I27268" s="26">
        <v>0.12470000000000001</v>
      </c>
      <c r="J27268" s="26">
        <v>8.5999999999999993E-2</v>
      </c>
      <c r="K27268" s="26">
        <v>4.0599999999999997E-2</v>
      </c>
      <c r="L27268" s="26">
        <v>3.9300000000000002E-2</v>
      </c>
      <c r="M27268" s="26">
        <v>3.9199999999999999E-2</v>
      </c>
      <c r="N27268" s="26">
        <v>3.3799999999999997E-2</v>
      </c>
      <c r="O27268" s="26">
        <v>4.3E-3</v>
      </c>
      <c r="P27268" s="26">
        <v>4.0000000000000002E-4</v>
      </c>
      <c r="Q27268">
        <v>2813</v>
      </c>
    </row>
    <row r="27270" spans="1:17" x14ac:dyDescent="0.35">
      <c r="A27270" s="1" t="s">
        <v>2477</v>
      </c>
    </row>
    <row r="27271" spans="1:17" x14ac:dyDescent="0.35">
      <c r="A27271" t="s">
        <v>219</v>
      </c>
      <c r="B27271" t="s">
        <v>305</v>
      </c>
      <c r="C27271" t="s">
        <v>2465</v>
      </c>
      <c r="D27271" t="s">
        <v>2466</v>
      </c>
      <c r="E27271" t="s">
        <v>2467</v>
      </c>
      <c r="F27271" t="s">
        <v>2468</v>
      </c>
      <c r="G27271" t="s">
        <v>2469</v>
      </c>
      <c r="H27271" t="s">
        <v>2470</v>
      </c>
      <c r="I27271" t="s">
        <v>550</v>
      </c>
      <c r="J27271" t="s">
        <v>281</v>
      </c>
      <c r="K27271" t="s">
        <v>2471</v>
      </c>
      <c r="L27271" t="s">
        <v>2472</v>
      </c>
      <c r="M27271" t="s">
        <v>2473</v>
      </c>
      <c r="N27271" t="s">
        <v>2474</v>
      </c>
      <c r="O27271" t="s">
        <v>286</v>
      </c>
      <c r="P27271" t="s">
        <v>2475</v>
      </c>
      <c r="Q27271" t="s">
        <v>226</v>
      </c>
    </row>
    <row r="27272" spans="1:17" x14ac:dyDescent="0.35">
      <c r="A27272" t="s">
        <v>227</v>
      </c>
      <c r="B27272" t="s">
        <v>239</v>
      </c>
      <c r="C27272" s="26">
        <v>0.3226</v>
      </c>
      <c r="D27272" s="26">
        <v>0.2097</v>
      </c>
      <c r="E27272" s="26">
        <v>8.0600000000000005E-2</v>
      </c>
      <c r="F27272" s="26">
        <v>0.1129</v>
      </c>
      <c r="G27272" s="26">
        <v>9.6799999999999997E-2</v>
      </c>
      <c r="H27272" s="26">
        <v>0.1774</v>
      </c>
      <c r="I27272" s="26">
        <v>0.129</v>
      </c>
      <c r="J27272" s="26">
        <v>9.6799999999999997E-2</v>
      </c>
      <c r="K27272" s="26">
        <v>3.2300000000000002E-2</v>
      </c>
      <c r="L27272" s="26">
        <v>1.61E-2</v>
      </c>
      <c r="M27272" s="26">
        <v>4.8399999999999999E-2</v>
      </c>
      <c r="Q27272">
        <v>62</v>
      </c>
    </row>
    <row r="27273" spans="1:17" x14ac:dyDescent="0.35">
      <c r="A27273" t="s">
        <v>227</v>
      </c>
      <c r="B27273" t="s">
        <v>238</v>
      </c>
      <c r="C27273" s="26">
        <v>0.33329999999999999</v>
      </c>
      <c r="D27273" s="26">
        <v>0.1414</v>
      </c>
      <c r="E27273" s="26">
        <v>0.2525</v>
      </c>
      <c r="F27273" s="26">
        <v>0.18179999999999999</v>
      </c>
      <c r="G27273" s="26">
        <v>0.1313</v>
      </c>
      <c r="H27273" s="26">
        <v>0.1111</v>
      </c>
      <c r="I27273" s="26">
        <v>0.1111</v>
      </c>
      <c r="J27273" s="26">
        <v>8.0799999999999997E-2</v>
      </c>
      <c r="K27273" s="26">
        <v>7.0699999999999999E-2</v>
      </c>
      <c r="L27273" s="26">
        <v>5.0500000000000003E-2</v>
      </c>
      <c r="M27273" s="26">
        <v>7.0699999999999999E-2</v>
      </c>
      <c r="N27273" s="26">
        <v>4.0399999999999998E-2</v>
      </c>
      <c r="Q27273">
        <v>99</v>
      </c>
    </row>
    <row r="27274" spans="1:17" x14ac:dyDescent="0.35">
      <c r="A27274" t="s">
        <v>228</v>
      </c>
      <c r="B27274" t="s">
        <v>239</v>
      </c>
      <c r="C27274" s="26">
        <v>0.42320000000000002</v>
      </c>
      <c r="D27274" s="26">
        <v>0.22059999999999999</v>
      </c>
      <c r="E27274" s="26">
        <v>0.16539999999999999</v>
      </c>
      <c r="F27274" s="26">
        <v>9.9299999999999999E-2</v>
      </c>
      <c r="G27274" s="26">
        <v>9.4399999999999998E-2</v>
      </c>
      <c r="H27274" s="26">
        <v>0.2253</v>
      </c>
      <c r="I27274" s="26">
        <v>0.17799999999999999</v>
      </c>
      <c r="J27274" s="26">
        <v>6.0199999999999997E-2</v>
      </c>
      <c r="K27274" s="26">
        <v>2.4500000000000001E-2</v>
      </c>
      <c r="L27274" s="26">
        <v>5.0299999999999997E-2</v>
      </c>
      <c r="M27274" s="26">
        <v>2.5000000000000001E-2</v>
      </c>
      <c r="N27274" s="26">
        <v>2.47E-2</v>
      </c>
      <c r="O27274" s="26">
        <v>5.3E-3</v>
      </c>
      <c r="Q27274">
        <v>330</v>
      </c>
    </row>
    <row r="27275" spans="1:17" x14ac:dyDescent="0.35">
      <c r="A27275" t="s">
        <v>228</v>
      </c>
      <c r="B27275" t="s">
        <v>238</v>
      </c>
      <c r="C27275" s="26">
        <v>0.47510000000000002</v>
      </c>
      <c r="D27275" s="26">
        <v>0.2155</v>
      </c>
      <c r="E27275" s="26">
        <v>0.17580000000000001</v>
      </c>
      <c r="F27275" s="26">
        <v>0.11840000000000001</v>
      </c>
      <c r="G27275" s="26">
        <v>0.1255</v>
      </c>
      <c r="H27275" s="26">
        <v>0.1807</v>
      </c>
      <c r="I27275" s="26">
        <v>0.1288</v>
      </c>
      <c r="J27275" s="26">
        <v>7.7899999999999997E-2</v>
      </c>
      <c r="K27275" s="26">
        <v>2.7199999999999998E-2</v>
      </c>
      <c r="L27275" s="26">
        <v>3.2899999999999999E-2</v>
      </c>
      <c r="M27275" s="26">
        <v>3.15E-2</v>
      </c>
      <c r="N27275" s="26">
        <v>4.07E-2</v>
      </c>
      <c r="O27275" s="26">
        <v>2.2000000000000001E-3</v>
      </c>
      <c r="Q27275">
        <v>703</v>
      </c>
    </row>
    <row r="27276" spans="1:17" x14ac:dyDescent="0.35">
      <c r="A27276" t="s">
        <v>229</v>
      </c>
      <c r="B27276" t="s">
        <v>239</v>
      </c>
      <c r="C27276" s="26">
        <v>0.30549999999999999</v>
      </c>
      <c r="D27276" s="26">
        <v>0.25919999999999999</v>
      </c>
      <c r="E27276" s="26">
        <v>0.2001</v>
      </c>
      <c r="F27276" s="26">
        <v>0.14630000000000001</v>
      </c>
      <c r="G27276" s="26">
        <v>0.10920000000000001</v>
      </c>
      <c r="H27276" s="26">
        <v>0.15040000000000001</v>
      </c>
      <c r="I27276" s="26">
        <v>0.14560000000000001</v>
      </c>
      <c r="J27276" s="26">
        <v>0.1072</v>
      </c>
      <c r="K27276" s="26">
        <v>3.7199999999999997E-2</v>
      </c>
      <c r="L27276" s="26">
        <v>2.69E-2</v>
      </c>
      <c r="M27276" s="26">
        <v>2.3300000000000001E-2</v>
      </c>
      <c r="N27276" s="26">
        <v>4.8899999999999999E-2</v>
      </c>
      <c r="O27276" s="26">
        <v>3.0000000000000001E-3</v>
      </c>
      <c r="Q27276">
        <v>332</v>
      </c>
    </row>
    <row r="27277" spans="1:17" x14ac:dyDescent="0.35">
      <c r="A27277" t="s">
        <v>229</v>
      </c>
      <c r="B27277" t="s">
        <v>238</v>
      </c>
      <c r="C27277" s="26">
        <v>0.47489999999999999</v>
      </c>
      <c r="D27277" s="26">
        <v>0.23449999999999999</v>
      </c>
      <c r="E27277" s="26">
        <v>0.23619999999999999</v>
      </c>
      <c r="F27277" s="26">
        <v>0.1988</v>
      </c>
      <c r="G27277" s="26">
        <v>0.1918</v>
      </c>
      <c r="H27277" s="26">
        <v>0.13009999999999999</v>
      </c>
      <c r="I27277" s="26">
        <v>0.1024</v>
      </c>
      <c r="J27277" s="26">
        <v>7.0400000000000004E-2</v>
      </c>
      <c r="K27277" s="26">
        <v>2.93E-2</v>
      </c>
      <c r="L27277" s="26">
        <v>5.9900000000000002E-2</v>
      </c>
      <c r="M27277" s="26">
        <v>5.2999999999999999E-2</v>
      </c>
      <c r="N27277" s="26">
        <v>3.5999999999999997E-2</v>
      </c>
      <c r="O27277" s="26">
        <v>4.0000000000000002E-4</v>
      </c>
      <c r="P27277" s="26">
        <v>1.8E-3</v>
      </c>
      <c r="Q27277">
        <v>563</v>
      </c>
    </row>
    <row r="27278" spans="1:17" x14ac:dyDescent="0.35">
      <c r="A27278" t="s">
        <v>230</v>
      </c>
      <c r="B27278" t="s">
        <v>239</v>
      </c>
      <c r="C27278" s="26">
        <v>0.375</v>
      </c>
      <c r="D27278" s="26">
        <v>0.30709999999999998</v>
      </c>
      <c r="E27278" s="26">
        <v>0.246</v>
      </c>
      <c r="F27278" s="26">
        <v>0.1686</v>
      </c>
      <c r="G27278" s="26">
        <v>0.14749999999999999</v>
      </c>
      <c r="H27278" s="26">
        <v>0.13370000000000001</v>
      </c>
      <c r="I27278" s="26">
        <v>0.1328</v>
      </c>
      <c r="J27278" s="26">
        <v>2.8400000000000002E-2</v>
      </c>
      <c r="K27278" s="26">
        <v>2.6499999999999999E-2</v>
      </c>
      <c r="L27278" s="26">
        <v>2.3900000000000001E-2</v>
      </c>
      <c r="M27278" s="26">
        <v>2.18E-2</v>
      </c>
      <c r="N27278" s="26">
        <v>2.3900000000000001E-2</v>
      </c>
      <c r="Q27278">
        <v>211</v>
      </c>
    </row>
    <row r="27279" spans="1:17" x14ac:dyDescent="0.35">
      <c r="A27279" t="s">
        <v>230</v>
      </c>
      <c r="B27279" t="s">
        <v>238</v>
      </c>
      <c r="C27279" s="26">
        <v>0.41820000000000002</v>
      </c>
      <c r="D27279" s="26">
        <v>0.27879999999999999</v>
      </c>
      <c r="E27279" s="26">
        <v>0.17499999999999999</v>
      </c>
      <c r="F27279" s="26">
        <v>9.3399999999999997E-2</v>
      </c>
      <c r="G27279" s="26">
        <v>0.22370000000000001</v>
      </c>
      <c r="H27279" s="26">
        <v>0.1255</v>
      </c>
      <c r="I27279" s="26">
        <v>0.12909999999999999</v>
      </c>
      <c r="J27279" s="26">
        <v>2.23E-2</v>
      </c>
      <c r="K27279" s="26">
        <v>8.9999999999999993E-3</v>
      </c>
      <c r="L27279" s="26">
        <v>1.78E-2</v>
      </c>
      <c r="M27279" s="26">
        <v>5.5100000000000003E-2</v>
      </c>
      <c r="N27279" s="26">
        <v>3.7900000000000003E-2</v>
      </c>
      <c r="O27279" s="26">
        <v>1.6999999999999999E-3</v>
      </c>
      <c r="Q27279">
        <v>349</v>
      </c>
    </row>
    <row r="27280" spans="1:17" x14ac:dyDescent="0.35">
      <c r="A27280" t="s">
        <v>231</v>
      </c>
      <c r="B27280" t="s">
        <v>239</v>
      </c>
      <c r="C27280" s="26">
        <v>0.29820000000000002</v>
      </c>
      <c r="D27280" s="26">
        <v>0.21049999999999999</v>
      </c>
      <c r="E27280" s="26">
        <v>0.1754</v>
      </c>
      <c r="F27280" s="26">
        <v>0.2281</v>
      </c>
      <c r="G27280" s="26">
        <v>3.5099999999999999E-2</v>
      </c>
      <c r="H27280" s="26">
        <v>0.1754</v>
      </c>
      <c r="I27280" s="26">
        <v>8.77E-2</v>
      </c>
      <c r="J27280" s="26">
        <v>0.1053</v>
      </c>
      <c r="K27280" s="26">
        <v>3.5099999999999999E-2</v>
      </c>
      <c r="L27280" s="26">
        <v>3.5099999999999999E-2</v>
      </c>
      <c r="M27280" s="26">
        <v>1.7500000000000002E-2</v>
      </c>
      <c r="O27280" s="26">
        <v>1.7500000000000002E-2</v>
      </c>
      <c r="Q27280">
        <v>57</v>
      </c>
    </row>
    <row r="27281" spans="1:17" x14ac:dyDescent="0.35">
      <c r="A27281" t="s">
        <v>231</v>
      </c>
      <c r="B27281" t="s">
        <v>238</v>
      </c>
      <c r="C27281" s="26">
        <v>0.36449999999999999</v>
      </c>
      <c r="D27281" s="26">
        <v>0.15890000000000001</v>
      </c>
      <c r="E27281" s="26">
        <v>0.2056</v>
      </c>
      <c r="F27281" s="26">
        <v>0.16819999999999999</v>
      </c>
      <c r="G27281" s="26">
        <v>0.215</v>
      </c>
      <c r="H27281" s="26">
        <v>0.1028</v>
      </c>
      <c r="I27281" s="26">
        <v>0.14949999999999999</v>
      </c>
      <c r="J27281" s="26">
        <v>0.1308</v>
      </c>
      <c r="K27281" s="26">
        <v>7.4800000000000005E-2</v>
      </c>
      <c r="L27281" s="26">
        <v>3.7400000000000003E-2</v>
      </c>
      <c r="M27281" s="26">
        <v>2.8000000000000001E-2</v>
      </c>
      <c r="N27281" s="26">
        <v>4.6699999999999998E-2</v>
      </c>
      <c r="O27281" s="26">
        <v>9.2999999999999992E-3</v>
      </c>
      <c r="Q27281">
        <v>107</v>
      </c>
    </row>
    <row r="27282" spans="1:17" x14ac:dyDescent="0.35">
      <c r="A27282" t="s">
        <v>232</v>
      </c>
      <c r="B27282" t="s">
        <v>232</v>
      </c>
      <c r="C27282" s="26">
        <v>0.39529999999999998</v>
      </c>
      <c r="D27282" s="26">
        <v>0.21199999999999999</v>
      </c>
      <c r="E27282" s="26">
        <v>0.1988</v>
      </c>
      <c r="F27282" s="26">
        <v>0.16139999999999999</v>
      </c>
      <c r="G27282" s="26">
        <v>0.15060000000000001</v>
      </c>
      <c r="H27282" s="26">
        <v>0.1434</v>
      </c>
      <c r="I27282" s="26">
        <v>0.12470000000000001</v>
      </c>
      <c r="J27282" s="26">
        <v>8.5999999999999993E-2</v>
      </c>
      <c r="K27282" s="26">
        <v>4.0599999999999997E-2</v>
      </c>
      <c r="L27282" s="26">
        <v>3.9300000000000002E-2</v>
      </c>
      <c r="M27282" s="26">
        <v>3.9199999999999999E-2</v>
      </c>
      <c r="N27282" s="26">
        <v>3.3799999999999997E-2</v>
      </c>
      <c r="O27282" s="26">
        <v>4.3E-3</v>
      </c>
      <c r="P27282" s="26">
        <v>4.0000000000000002E-4</v>
      </c>
      <c r="Q27282">
        <v>2813</v>
      </c>
    </row>
    <row r="27284" spans="1:17" x14ac:dyDescent="0.35">
      <c r="A27284" s="1" t="s">
        <v>2478</v>
      </c>
    </row>
    <row r="27285" spans="1:17" x14ac:dyDescent="0.35">
      <c r="A27285" t="s">
        <v>219</v>
      </c>
      <c r="B27285" t="s">
        <v>305</v>
      </c>
      <c r="C27285" t="s">
        <v>2465</v>
      </c>
      <c r="D27285" t="s">
        <v>2466</v>
      </c>
      <c r="E27285" t="s">
        <v>2467</v>
      </c>
      <c r="F27285" t="s">
        <v>2468</v>
      </c>
      <c r="G27285" t="s">
        <v>2469</v>
      </c>
      <c r="H27285" t="s">
        <v>2470</v>
      </c>
      <c r="I27285" t="s">
        <v>550</v>
      </c>
      <c r="J27285" t="s">
        <v>281</v>
      </c>
      <c r="K27285" t="s">
        <v>2471</v>
      </c>
      <c r="L27285" t="s">
        <v>2472</v>
      </c>
      <c r="M27285" t="s">
        <v>2473</v>
      </c>
      <c r="N27285" t="s">
        <v>2474</v>
      </c>
      <c r="O27285" t="s">
        <v>286</v>
      </c>
      <c r="P27285" t="s">
        <v>2475</v>
      </c>
      <c r="Q27285" t="s">
        <v>226</v>
      </c>
    </row>
    <row r="27286" spans="1:17" x14ac:dyDescent="0.35">
      <c r="A27286" t="s">
        <v>227</v>
      </c>
      <c r="B27286" t="s">
        <v>244</v>
      </c>
      <c r="C27286" s="26">
        <v>0.33329999999999999</v>
      </c>
      <c r="D27286" s="26">
        <v>0.1875</v>
      </c>
      <c r="E27286" s="26">
        <v>0.22919999999999999</v>
      </c>
      <c r="F27286" s="26">
        <v>0.1875</v>
      </c>
      <c r="G27286" s="26">
        <v>0.14580000000000001</v>
      </c>
      <c r="H27286" s="26">
        <v>0.11459999999999999</v>
      </c>
      <c r="I27286" s="26">
        <v>0.1042</v>
      </c>
      <c r="J27286" s="26">
        <v>6.25E-2</v>
      </c>
      <c r="K27286" s="26">
        <v>6.25E-2</v>
      </c>
      <c r="L27286" s="26">
        <v>3.1199999999999999E-2</v>
      </c>
      <c r="M27286" s="26">
        <v>8.3299999999999999E-2</v>
      </c>
      <c r="N27286" s="26">
        <v>1.04E-2</v>
      </c>
      <c r="Q27286">
        <v>96</v>
      </c>
    </row>
    <row r="27287" spans="1:17" x14ac:dyDescent="0.35">
      <c r="A27287" t="s">
        <v>227</v>
      </c>
      <c r="B27287" t="s">
        <v>245</v>
      </c>
      <c r="C27287" s="26">
        <v>0.3019</v>
      </c>
      <c r="D27287" s="26">
        <v>0.1321</v>
      </c>
      <c r="E27287" s="26">
        <v>9.4299999999999995E-2</v>
      </c>
      <c r="F27287" s="26">
        <v>0.1132</v>
      </c>
      <c r="G27287" s="26">
        <v>5.6599999999999998E-2</v>
      </c>
      <c r="H27287" s="26">
        <v>0.15090000000000001</v>
      </c>
      <c r="I27287" s="26">
        <v>0.1321</v>
      </c>
      <c r="J27287" s="26">
        <v>0.15090000000000001</v>
      </c>
      <c r="K27287" s="26">
        <v>5.6599999999999998E-2</v>
      </c>
      <c r="L27287" s="26">
        <v>3.7699999999999997E-2</v>
      </c>
      <c r="M27287" s="26">
        <v>3.7699999999999997E-2</v>
      </c>
      <c r="N27287" s="26">
        <v>5.6599999999999998E-2</v>
      </c>
      <c r="Q27287">
        <v>53</v>
      </c>
    </row>
    <row r="27288" spans="1:17" x14ac:dyDescent="0.35">
      <c r="A27288" s="27" t="s">
        <v>227</v>
      </c>
      <c r="B27288" s="27" t="s">
        <v>246</v>
      </c>
      <c r="C27288" s="28">
        <v>0.41670000000000001</v>
      </c>
      <c r="D27288" s="28">
        <v>0.16669999999999999</v>
      </c>
      <c r="E27288" s="28">
        <v>0.25</v>
      </c>
      <c r="F27288" s="28">
        <v>8.3299999999999999E-2</v>
      </c>
      <c r="G27288" s="28">
        <v>0.16669999999999999</v>
      </c>
      <c r="H27288" s="28">
        <v>0.25</v>
      </c>
      <c r="I27288" s="28">
        <v>0.16669999999999999</v>
      </c>
      <c r="J27288" s="29"/>
      <c r="K27288" s="29"/>
      <c r="L27288" s="28">
        <v>8.3299999999999999E-2</v>
      </c>
      <c r="M27288" s="29"/>
      <c r="N27288" s="29"/>
      <c r="O27288" s="29"/>
      <c r="P27288" s="29"/>
      <c r="Q27288" s="29" t="s">
        <v>342</v>
      </c>
    </row>
    <row r="27289" spans="1:17" x14ac:dyDescent="0.35">
      <c r="A27289" t="s">
        <v>228</v>
      </c>
      <c r="B27289" t="s">
        <v>244</v>
      </c>
      <c r="C27289" s="26">
        <v>0.49280000000000002</v>
      </c>
      <c r="D27289" s="26">
        <v>0.2024</v>
      </c>
      <c r="E27289" s="26">
        <v>0.19</v>
      </c>
      <c r="F27289" s="26">
        <v>0.1192</v>
      </c>
      <c r="G27289" s="26">
        <v>0.13869999999999999</v>
      </c>
      <c r="H27289" s="26">
        <v>0.15820000000000001</v>
      </c>
      <c r="I27289" s="26">
        <v>0.13469999999999999</v>
      </c>
      <c r="J27289" s="26">
        <v>6.7400000000000002E-2</v>
      </c>
      <c r="K27289" s="26">
        <v>3.1300000000000001E-2</v>
      </c>
      <c r="L27289" s="26">
        <v>4.0500000000000001E-2</v>
      </c>
      <c r="M27289" s="26">
        <v>3.7100000000000001E-2</v>
      </c>
      <c r="N27289" s="26">
        <v>3.6999999999999998E-2</v>
      </c>
      <c r="O27289" s="26">
        <v>3.0999999999999999E-3</v>
      </c>
      <c r="Q27289">
        <v>638</v>
      </c>
    </row>
    <row r="27290" spans="1:17" x14ac:dyDescent="0.35">
      <c r="A27290" t="s">
        <v>228</v>
      </c>
      <c r="B27290" t="s">
        <v>245</v>
      </c>
      <c r="C27290" s="26">
        <v>0.38540000000000002</v>
      </c>
      <c r="D27290" s="26">
        <v>0.2356</v>
      </c>
      <c r="E27290" s="26">
        <v>0.13420000000000001</v>
      </c>
      <c r="F27290" s="26">
        <v>0.109</v>
      </c>
      <c r="G27290" s="26">
        <v>7.3099999999999998E-2</v>
      </c>
      <c r="H27290" s="26">
        <v>0.23419999999999999</v>
      </c>
      <c r="I27290" s="26">
        <v>0.1658</v>
      </c>
      <c r="J27290" s="26">
        <v>0.1031</v>
      </c>
      <c r="K27290" s="26">
        <v>2.0899999999999998E-2</v>
      </c>
      <c r="L27290" s="26">
        <v>3.6200000000000003E-2</v>
      </c>
      <c r="M27290" s="26">
        <v>2.12E-2</v>
      </c>
      <c r="N27290" s="26">
        <v>3.5799999999999998E-2</v>
      </c>
      <c r="O27290" s="26">
        <v>2.8E-3</v>
      </c>
      <c r="Q27290">
        <v>328</v>
      </c>
    </row>
    <row r="27291" spans="1:17" x14ac:dyDescent="0.35">
      <c r="A27291" t="s">
        <v>228</v>
      </c>
      <c r="B27291" t="s">
        <v>246</v>
      </c>
      <c r="C27291" s="26">
        <v>0.51429999999999998</v>
      </c>
      <c r="D27291" s="26">
        <v>0.27429999999999999</v>
      </c>
      <c r="E27291" s="26">
        <v>0.17760000000000001</v>
      </c>
      <c r="F27291" s="26">
        <v>9.0899999999999995E-2</v>
      </c>
      <c r="G27291" s="26">
        <v>0.11890000000000001</v>
      </c>
      <c r="H27291" s="26">
        <v>0.313</v>
      </c>
      <c r="I27291" s="26">
        <v>7.0800000000000002E-2</v>
      </c>
      <c r="J27291" s="26">
        <v>2.23E-2</v>
      </c>
      <c r="K27291" s="26">
        <v>5.1999999999999998E-3</v>
      </c>
      <c r="N27291" s="26">
        <v>4.7399999999999998E-2</v>
      </c>
      <c r="Q27291">
        <v>67</v>
      </c>
    </row>
    <row r="27292" spans="1:17" x14ac:dyDescent="0.35">
      <c r="A27292" t="s">
        <v>229</v>
      </c>
      <c r="B27292" t="s">
        <v>244</v>
      </c>
      <c r="C27292" s="26">
        <v>0.43280000000000002</v>
      </c>
      <c r="D27292" s="26">
        <v>0.2535</v>
      </c>
      <c r="E27292" s="26">
        <v>0.25090000000000001</v>
      </c>
      <c r="F27292" s="26">
        <v>0.19750000000000001</v>
      </c>
      <c r="G27292" s="26">
        <v>0.17829999999999999</v>
      </c>
      <c r="H27292" s="26">
        <v>0.14099999999999999</v>
      </c>
      <c r="I27292" s="26">
        <v>0.12130000000000001</v>
      </c>
      <c r="J27292" s="26">
        <v>7.2999999999999995E-2</v>
      </c>
      <c r="K27292" s="26">
        <v>3.1E-2</v>
      </c>
      <c r="L27292" s="26">
        <v>5.5500000000000001E-2</v>
      </c>
      <c r="M27292" s="26">
        <v>4.65E-2</v>
      </c>
      <c r="N27292" s="26">
        <v>4.6100000000000002E-2</v>
      </c>
      <c r="O27292" s="26">
        <v>1.4E-3</v>
      </c>
      <c r="Q27292">
        <v>557</v>
      </c>
    </row>
    <row r="27293" spans="1:17" x14ac:dyDescent="0.35">
      <c r="A27293" t="s">
        <v>229</v>
      </c>
      <c r="B27293" t="s">
        <v>245</v>
      </c>
      <c r="C27293" s="26">
        <v>0.4017</v>
      </c>
      <c r="D27293" s="26">
        <v>0.19650000000000001</v>
      </c>
      <c r="E27293" s="26">
        <v>0.19550000000000001</v>
      </c>
      <c r="F27293" s="26">
        <v>0.15770000000000001</v>
      </c>
      <c r="G27293" s="26">
        <v>0.1588</v>
      </c>
      <c r="H27293" s="26">
        <v>0.13250000000000001</v>
      </c>
      <c r="I27293" s="26">
        <v>9.8900000000000002E-2</v>
      </c>
      <c r="J27293" s="26">
        <v>0.1018</v>
      </c>
      <c r="K27293" s="26">
        <v>2.87E-2</v>
      </c>
      <c r="L27293" s="26">
        <v>5.1400000000000001E-2</v>
      </c>
      <c r="M27293" s="26">
        <v>5.1900000000000002E-2</v>
      </c>
      <c r="N27293" s="26">
        <v>1.7000000000000001E-2</v>
      </c>
      <c r="P27293" s="26">
        <v>5.3E-3</v>
      </c>
      <c r="Q27293">
        <v>293</v>
      </c>
    </row>
    <row r="27294" spans="1:17" x14ac:dyDescent="0.35">
      <c r="A27294" t="s">
        <v>229</v>
      </c>
      <c r="B27294" t="s">
        <v>246</v>
      </c>
      <c r="C27294" s="26">
        <v>0.56120000000000003</v>
      </c>
      <c r="D27294" s="26">
        <v>0.28710000000000002</v>
      </c>
      <c r="E27294" s="26">
        <v>6.4600000000000005E-2</v>
      </c>
      <c r="F27294" s="26">
        <v>0.1598</v>
      </c>
      <c r="G27294" s="26">
        <v>0.13</v>
      </c>
      <c r="H27294" s="26">
        <v>7.3999999999999996E-2</v>
      </c>
      <c r="I27294" s="26">
        <v>8.0199999999999994E-2</v>
      </c>
      <c r="J27294" s="26">
        <v>6.2799999999999995E-2</v>
      </c>
      <c r="K27294" s="26">
        <v>4.7100000000000003E-2</v>
      </c>
      <c r="N27294" s="26">
        <v>5.6399999999999999E-2</v>
      </c>
      <c r="O27294" s="26">
        <v>1.8E-3</v>
      </c>
      <c r="Q27294">
        <v>45</v>
      </c>
    </row>
    <row r="27295" spans="1:17" x14ac:dyDescent="0.35">
      <c r="A27295" t="s">
        <v>230</v>
      </c>
      <c r="B27295" t="s">
        <v>244</v>
      </c>
      <c r="C27295" s="26">
        <v>0.41560000000000002</v>
      </c>
      <c r="D27295" s="26">
        <v>0.27229999999999999</v>
      </c>
      <c r="E27295" s="26">
        <v>0.2097</v>
      </c>
      <c r="F27295" s="26">
        <v>0.11260000000000001</v>
      </c>
      <c r="G27295" s="26">
        <v>0.20269999999999999</v>
      </c>
      <c r="H27295" s="26">
        <v>0.1144</v>
      </c>
      <c r="I27295" s="26">
        <v>0.1303</v>
      </c>
      <c r="J27295" s="26">
        <v>2.23E-2</v>
      </c>
      <c r="K27295" s="26">
        <v>1.0800000000000001E-2</v>
      </c>
      <c r="L27295" s="26">
        <v>1.9E-2</v>
      </c>
      <c r="M27295" s="26">
        <v>3.9699999999999999E-2</v>
      </c>
      <c r="N27295" s="26">
        <v>1.0699999999999999E-2</v>
      </c>
      <c r="O27295" s="26">
        <v>1.6999999999999999E-3</v>
      </c>
      <c r="Q27295">
        <v>370</v>
      </c>
    </row>
    <row r="27296" spans="1:17" x14ac:dyDescent="0.35">
      <c r="A27296" t="s">
        <v>230</v>
      </c>
      <c r="B27296" t="s">
        <v>245</v>
      </c>
      <c r="C27296" s="26">
        <v>0.3281</v>
      </c>
      <c r="D27296" s="26">
        <v>0.31790000000000002</v>
      </c>
      <c r="E27296" s="26">
        <v>0.17330000000000001</v>
      </c>
      <c r="F27296" s="26">
        <v>0.1192</v>
      </c>
      <c r="G27296" s="26">
        <v>0.16739999999999999</v>
      </c>
      <c r="H27296" s="26">
        <v>0.17979999999999999</v>
      </c>
      <c r="I27296" s="26">
        <v>0.1507</v>
      </c>
      <c r="J27296" s="26">
        <v>3.1399999999999997E-2</v>
      </c>
      <c r="K27296" s="26">
        <v>2.63E-2</v>
      </c>
      <c r="L27296" s="26">
        <v>2.18E-2</v>
      </c>
      <c r="M27296" s="26">
        <v>6.7799999999999999E-2</v>
      </c>
      <c r="N27296" s="26">
        <v>0.1012</v>
      </c>
      <c r="Q27296">
        <v>161</v>
      </c>
    </row>
    <row r="27297" spans="1:17" x14ac:dyDescent="0.35">
      <c r="A27297" s="27" t="s">
        <v>230</v>
      </c>
      <c r="B27297" s="27" t="s">
        <v>246</v>
      </c>
      <c r="C27297" s="28">
        <v>0.66900000000000004</v>
      </c>
      <c r="D27297" s="28">
        <v>0.33839999999999998</v>
      </c>
      <c r="E27297" s="28">
        <v>0.129</v>
      </c>
      <c r="F27297" s="28">
        <v>0.1477</v>
      </c>
      <c r="G27297" s="28">
        <v>0.35060000000000002</v>
      </c>
      <c r="H27297" s="28">
        <v>4.2999999999999997E-2</v>
      </c>
      <c r="I27297" s="28">
        <v>1.83E-2</v>
      </c>
      <c r="J27297" s="28">
        <v>1.12E-2</v>
      </c>
      <c r="K27297" s="29"/>
      <c r="L27297" s="28">
        <v>1.83E-2</v>
      </c>
      <c r="M27297" s="29"/>
      <c r="N27297" s="29"/>
      <c r="O27297" s="29"/>
      <c r="P27297" s="29"/>
      <c r="Q27297" s="29" t="s">
        <v>329</v>
      </c>
    </row>
    <row r="27298" spans="1:17" x14ac:dyDescent="0.35">
      <c r="A27298" t="s">
        <v>231</v>
      </c>
      <c r="B27298" t="s">
        <v>244</v>
      </c>
      <c r="C27298" s="26">
        <v>0.36840000000000001</v>
      </c>
      <c r="D27298" s="26">
        <v>0.16839999999999999</v>
      </c>
      <c r="E27298" s="26">
        <v>0.22109999999999999</v>
      </c>
      <c r="F27298" s="26">
        <v>0.2</v>
      </c>
      <c r="G27298" s="26">
        <v>0.16839999999999999</v>
      </c>
      <c r="H27298" s="26">
        <v>0.1263</v>
      </c>
      <c r="I27298" s="26">
        <v>6.3200000000000006E-2</v>
      </c>
      <c r="J27298" s="26">
        <v>0.1158</v>
      </c>
      <c r="K27298" s="26">
        <v>7.3700000000000002E-2</v>
      </c>
      <c r="L27298" s="26">
        <v>5.2600000000000001E-2</v>
      </c>
      <c r="M27298" s="26">
        <v>4.2099999999999999E-2</v>
      </c>
      <c r="N27298" s="26">
        <v>3.1600000000000003E-2</v>
      </c>
      <c r="O27298" s="26">
        <v>1.0500000000000001E-2</v>
      </c>
      <c r="Q27298">
        <v>95</v>
      </c>
    </row>
    <row r="27299" spans="1:17" x14ac:dyDescent="0.35">
      <c r="A27299" t="s">
        <v>231</v>
      </c>
      <c r="B27299" t="s">
        <v>245</v>
      </c>
      <c r="C27299" s="26">
        <v>0.25</v>
      </c>
      <c r="D27299" s="26">
        <v>0.19639999999999999</v>
      </c>
      <c r="E27299" s="26">
        <v>0.1429</v>
      </c>
      <c r="F27299" s="26">
        <v>0.16070000000000001</v>
      </c>
      <c r="G27299" s="26">
        <v>0.1429</v>
      </c>
      <c r="H27299" s="26">
        <v>0.1071</v>
      </c>
      <c r="I27299" s="26">
        <v>0.25</v>
      </c>
      <c r="J27299" s="26">
        <v>0.1429</v>
      </c>
      <c r="K27299" s="26">
        <v>5.3600000000000002E-2</v>
      </c>
      <c r="L27299" s="26">
        <v>1.7899999999999999E-2</v>
      </c>
      <c r="N27299" s="26">
        <v>3.5700000000000003E-2</v>
      </c>
      <c r="O27299" s="26">
        <v>1.7899999999999999E-2</v>
      </c>
      <c r="Q27299">
        <v>56</v>
      </c>
    </row>
    <row r="27300" spans="1:17" x14ac:dyDescent="0.35">
      <c r="A27300" s="27" t="s">
        <v>231</v>
      </c>
      <c r="B27300" s="27" t="s">
        <v>246</v>
      </c>
      <c r="C27300" s="28">
        <v>0.53849999999999998</v>
      </c>
      <c r="D27300" s="28">
        <v>0.15379999999999999</v>
      </c>
      <c r="E27300" s="28">
        <v>0.23080000000000001</v>
      </c>
      <c r="F27300" s="28">
        <v>0.23080000000000001</v>
      </c>
      <c r="G27300" s="28">
        <v>7.6899999999999996E-2</v>
      </c>
      <c r="H27300" s="28">
        <v>0.23080000000000001</v>
      </c>
      <c r="I27300" s="28">
        <v>7.6899999999999996E-2</v>
      </c>
      <c r="J27300" s="28">
        <v>7.6899999999999996E-2</v>
      </c>
      <c r="K27300" s="29"/>
      <c r="L27300" s="29"/>
      <c r="M27300" s="29"/>
      <c r="N27300" s="29"/>
      <c r="O27300" s="29"/>
      <c r="P27300" s="29"/>
      <c r="Q27300" s="29" t="s">
        <v>341</v>
      </c>
    </row>
    <row r="27301" spans="1:17" x14ac:dyDescent="0.35">
      <c r="A27301" t="s">
        <v>232</v>
      </c>
      <c r="B27301" t="s">
        <v>232</v>
      </c>
      <c r="C27301" s="26">
        <v>0.39529999999999998</v>
      </c>
      <c r="D27301" s="26">
        <v>0.21199999999999999</v>
      </c>
      <c r="E27301" s="26">
        <v>0.1988</v>
      </c>
      <c r="F27301" s="26">
        <v>0.16139999999999999</v>
      </c>
      <c r="G27301" s="26">
        <v>0.15060000000000001</v>
      </c>
      <c r="H27301" s="26">
        <v>0.1434</v>
      </c>
      <c r="I27301" s="26">
        <v>0.12470000000000001</v>
      </c>
      <c r="J27301" s="26">
        <v>8.5999999999999993E-2</v>
      </c>
      <c r="K27301" s="26">
        <v>4.0599999999999997E-2</v>
      </c>
      <c r="L27301" s="26">
        <v>3.9300000000000002E-2</v>
      </c>
      <c r="M27301" s="26">
        <v>3.9199999999999999E-2</v>
      </c>
      <c r="N27301" s="26">
        <v>3.3799999999999997E-2</v>
      </c>
      <c r="O27301" s="26">
        <v>4.3E-3</v>
      </c>
      <c r="P27301" s="26">
        <v>4.0000000000000002E-4</v>
      </c>
      <c r="Q27301">
        <v>2813</v>
      </c>
    </row>
    <row r="27303" spans="1:17" x14ac:dyDescent="0.35">
      <c r="A27303" s="1" t="s">
        <v>2479</v>
      </c>
    </row>
    <row r="27304" spans="1:17" x14ac:dyDescent="0.35">
      <c r="A27304" t="s">
        <v>219</v>
      </c>
      <c r="B27304" t="s">
        <v>305</v>
      </c>
      <c r="C27304" t="s">
        <v>2465</v>
      </c>
      <c r="D27304" t="s">
        <v>2466</v>
      </c>
      <c r="E27304" t="s">
        <v>2467</v>
      </c>
      <c r="F27304" t="s">
        <v>2468</v>
      </c>
      <c r="G27304" t="s">
        <v>2469</v>
      </c>
      <c r="H27304" t="s">
        <v>2470</v>
      </c>
      <c r="I27304" t="s">
        <v>550</v>
      </c>
      <c r="J27304" t="s">
        <v>281</v>
      </c>
      <c r="K27304" t="s">
        <v>2471</v>
      </c>
      <c r="L27304" t="s">
        <v>2472</v>
      </c>
      <c r="M27304" t="s">
        <v>2473</v>
      </c>
      <c r="N27304" t="s">
        <v>2474</v>
      </c>
      <c r="O27304" t="s">
        <v>286</v>
      </c>
      <c r="P27304" t="s">
        <v>2475</v>
      </c>
      <c r="Q27304" t="s">
        <v>226</v>
      </c>
    </row>
    <row r="27305" spans="1:17" x14ac:dyDescent="0.35">
      <c r="A27305" t="s">
        <v>227</v>
      </c>
      <c r="B27305" t="s">
        <v>360</v>
      </c>
      <c r="C27305" s="26">
        <v>0.23080000000000001</v>
      </c>
      <c r="D27305" s="26">
        <v>0.12820000000000001</v>
      </c>
      <c r="E27305" s="26">
        <v>0.12820000000000001</v>
      </c>
      <c r="F27305" s="26">
        <v>0.12820000000000001</v>
      </c>
      <c r="G27305" s="26">
        <v>5.1299999999999998E-2</v>
      </c>
      <c r="H27305" s="26">
        <v>0.15379999999999999</v>
      </c>
      <c r="I27305" s="26">
        <v>0.17949999999999999</v>
      </c>
      <c r="J27305" s="26">
        <v>0.12820000000000001</v>
      </c>
      <c r="K27305" s="26">
        <v>7.6899999999999996E-2</v>
      </c>
      <c r="L27305" s="26">
        <v>5.1299999999999998E-2</v>
      </c>
      <c r="M27305" s="26">
        <v>5.1299999999999998E-2</v>
      </c>
      <c r="Q27305">
        <v>39</v>
      </c>
    </row>
    <row r="27306" spans="1:17" x14ac:dyDescent="0.35">
      <c r="A27306" t="s">
        <v>227</v>
      </c>
      <c r="B27306" t="s">
        <v>361</v>
      </c>
      <c r="C27306" s="26">
        <v>0.4375</v>
      </c>
      <c r="D27306" s="26">
        <v>0.21879999999999999</v>
      </c>
      <c r="E27306" s="26">
        <v>0.21879999999999999</v>
      </c>
      <c r="F27306" s="26">
        <v>0.28120000000000001</v>
      </c>
      <c r="G27306" s="26">
        <v>0.15620000000000001</v>
      </c>
      <c r="H27306" s="26">
        <v>6.25E-2</v>
      </c>
      <c r="I27306" s="26">
        <v>6.25E-2</v>
      </c>
      <c r="J27306" s="26">
        <v>9.3799999999999994E-2</v>
      </c>
      <c r="K27306" s="26">
        <v>6.25E-2</v>
      </c>
      <c r="L27306" s="26">
        <v>6.25E-2</v>
      </c>
      <c r="M27306" s="26">
        <v>9.3799999999999994E-2</v>
      </c>
      <c r="N27306" s="26">
        <v>6.25E-2</v>
      </c>
      <c r="Q27306">
        <v>32</v>
      </c>
    </row>
    <row r="27307" spans="1:17" x14ac:dyDescent="0.35">
      <c r="A27307" t="s">
        <v>227</v>
      </c>
      <c r="B27307" t="s">
        <v>362</v>
      </c>
      <c r="C27307" s="26">
        <v>0.29730000000000001</v>
      </c>
      <c r="D27307" s="26">
        <v>0.16220000000000001</v>
      </c>
      <c r="E27307" s="26">
        <v>0.1351</v>
      </c>
      <c r="F27307" s="26">
        <v>0.1351</v>
      </c>
      <c r="G27307" s="26">
        <v>0.1351</v>
      </c>
      <c r="H27307" s="26">
        <v>0.2162</v>
      </c>
      <c r="I27307" s="26">
        <v>0.1081</v>
      </c>
      <c r="J27307" s="26">
        <v>0.1351</v>
      </c>
      <c r="K27307" s="26">
        <v>5.4100000000000002E-2</v>
      </c>
      <c r="L27307" s="26">
        <v>2.7E-2</v>
      </c>
      <c r="M27307" s="26">
        <v>8.1100000000000005E-2</v>
      </c>
      <c r="Q27307">
        <v>37</v>
      </c>
    </row>
    <row r="27308" spans="1:17" x14ac:dyDescent="0.35">
      <c r="A27308" t="s">
        <v>227</v>
      </c>
      <c r="B27308" t="s">
        <v>363</v>
      </c>
      <c r="C27308" s="26">
        <v>0.37780000000000002</v>
      </c>
      <c r="D27308" s="26">
        <v>0.17780000000000001</v>
      </c>
      <c r="E27308" s="26">
        <v>0.17780000000000001</v>
      </c>
      <c r="F27308" s="26">
        <v>0.1333</v>
      </c>
      <c r="G27308" s="26">
        <v>0.1333</v>
      </c>
      <c r="H27308" s="26">
        <v>0.1111</v>
      </c>
      <c r="I27308" s="26">
        <v>0.1333</v>
      </c>
      <c r="J27308" s="26">
        <v>2.2200000000000001E-2</v>
      </c>
      <c r="K27308" s="26">
        <v>4.4400000000000002E-2</v>
      </c>
      <c r="M27308" s="26">
        <v>4.4400000000000002E-2</v>
      </c>
      <c r="N27308" s="26">
        <v>2.2200000000000001E-2</v>
      </c>
      <c r="Q27308">
        <v>45</v>
      </c>
    </row>
    <row r="27309" spans="1:17" x14ac:dyDescent="0.35">
      <c r="A27309" t="s">
        <v>228</v>
      </c>
      <c r="B27309" t="s">
        <v>360</v>
      </c>
      <c r="C27309" s="26">
        <v>0.39150000000000001</v>
      </c>
      <c r="D27309" s="26">
        <v>0.30430000000000001</v>
      </c>
      <c r="E27309" s="26">
        <v>0.12559999999999999</v>
      </c>
      <c r="F27309" s="26">
        <v>6.8199999999999997E-2</v>
      </c>
      <c r="G27309" s="26">
        <v>8.2400000000000001E-2</v>
      </c>
      <c r="H27309" s="26">
        <v>0.24229999999999999</v>
      </c>
      <c r="I27309" s="26">
        <v>0.12889999999999999</v>
      </c>
      <c r="J27309" s="26">
        <v>7.8100000000000003E-2</v>
      </c>
      <c r="K27309" s="26">
        <v>2.1399999999999999E-2</v>
      </c>
      <c r="L27309" s="26">
        <v>6.8000000000000005E-2</v>
      </c>
      <c r="M27309" s="26">
        <v>2.1399999999999999E-2</v>
      </c>
      <c r="N27309" s="26">
        <v>1.6400000000000001E-2</v>
      </c>
      <c r="O27309" s="26">
        <v>2.8E-3</v>
      </c>
      <c r="Q27309">
        <v>258</v>
      </c>
    </row>
    <row r="27310" spans="1:17" x14ac:dyDescent="0.35">
      <c r="A27310" t="s">
        <v>228</v>
      </c>
      <c r="B27310" t="s">
        <v>361</v>
      </c>
      <c r="C27310" s="26">
        <v>0.59830000000000005</v>
      </c>
      <c r="D27310" s="26">
        <v>0.2205</v>
      </c>
      <c r="E27310" s="26">
        <v>0.2157</v>
      </c>
      <c r="F27310" s="26">
        <v>0.1071</v>
      </c>
      <c r="G27310" s="26">
        <v>0.18679999999999999</v>
      </c>
      <c r="H27310" s="26">
        <v>0.1694</v>
      </c>
      <c r="I27310" s="26">
        <v>0.1177</v>
      </c>
      <c r="J27310" s="26">
        <v>5.9299999999999999E-2</v>
      </c>
      <c r="K27310" s="26">
        <v>6.2399999999999997E-2</v>
      </c>
      <c r="L27310" s="26">
        <v>3.9199999999999999E-2</v>
      </c>
      <c r="M27310" s="26">
        <v>5.9499999999999997E-2</v>
      </c>
      <c r="N27310" s="26">
        <v>5.04E-2</v>
      </c>
      <c r="Q27310">
        <v>194</v>
      </c>
    </row>
    <row r="27311" spans="1:17" x14ac:dyDescent="0.35">
      <c r="A27311" t="s">
        <v>228</v>
      </c>
      <c r="B27311" t="s">
        <v>363</v>
      </c>
      <c r="C27311" s="26">
        <v>0.44519999999999998</v>
      </c>
      <c r="D27311" s="26">
        <v>0.19189999999999999</v>
      </c>
      <c r="E27311" s="26">
        <v>0.22439999999999999</v>
      </c>
      <c r="F27311" s="26">
        <v>0.12189999999999999</v>
      </c>
      <c r="G27311" s="26">
        <v>0.12429999999999999</v>
      </c>
      <c r="H27311" s="26">
        <v>0.15409999999999999</v>
      </c>
      <c r="I27311" s="26">
        <v>0.13589999999999999</v>
      </c>
      <c r="J27311" s="26">
        <v>7.9299999999999995E-2</v>
      </c>
      <c r="K27311" s="26">
        <v>7.3000000000000001E-3</v>
      </c>
      <c r="L27311" s="26">
        <v>2.07E-2</v>
      </c>
      <c r="M27311" s="26">
        <v>2.06E-2</v>
      </c>
      <c r="N27311" s="26">
        <v>7.0699999999999999E-2</v>
      </c>
      <c r="O27311" s="26">
        <v>1E-3</v>
      </c>
      <c r="Q27311">
        <v>212</v>
      </c>
    </row>
    <row r="27312" spans="1:17" x14ac:dyDescent="0.35">
      <c r="A27312" t="s">
        <v>228</v>
      </c>
      <c r="B27312" t="s">
        <v>362</v>
      </c>
      <c r="C27312" s="26">
        <v>0.44159999999999999</v>
      </c>
      <c r="D27312" s="26">
        <v>0.15579999999999999</v>
      </c>
      <c r="E27312" s="26">
        <v>0.11020000000000001</v>
      </c>
      <c r="F27312" s="26">
        <v>0.1726</v>
      </c>
      <c r="G27312" s="26">
        <v>0.1024</v>
      </c>
      <c r="H27312" s="26">
        <v>0.223</v>
      </c>
      <c r="I27312" s="26">
        <v>0.1646</v>
      </c>
      <c r="J27312" s="26">
        <v>7.1999999999999995E-2</v>
      </c>
      <c r="K27312" s="26">
        <v>1.7299999999999999E-2</v>
      </c>
      <c r="L27312" s="26">
        <v>3.1600000000000003E-2</v>
      </c>
      <c r="M27312" s="26">
        <v>2.6800000000000001E-2</v>
      </c>
      <c r="N27312" s="26">
        <v>0.02</v>
      </c>
      <c r="O27312" s="26">
        <v>4.7000000000000002E-3</v>
      </c>
      <c r="Q27312">
        <v>236</v>
      </c>
    </row>
    <row r="27313" spans="1:17" x14ac:dyDescent="0.35">
      <c r="A27313" t="s">
        <v>229</v>
      </c>
      <c r="B27313" t="s">
        <v>363</v>
      </c>
      <c r="C27313" s="26">
        <v>0.42480000000000001</v>
      </c>
      <c r="D27313" s="26">
        <v>0.27839999999999998</v>
      </c>
      <c r="E27313" s="26">
        <v>0.16539999999999999</v>
      </c>
      <c r="F27313" s="26">
        <v>0.18679999999999999</v>
      </c>
      <c r="G27313" s="26">
        <v>0.18790000000000001</v>
      </c>
      <c r="H27313" s="26">
        <v>0.21920000000000001</v>
      </c>
      <c r="I27313" s="26">
        <v>0.10879999999999999</v>
      </c>
      <c r="J27313" s="26">
        <v>9.9000000000000005E-2</v>
      </c>
      <c r="K27313" s="26">
        <v>1.55E-2</v>
      </c>
      <c r="L27313" s="26">
        <v>6.2399999999999997E-2</v>
      </c>
      <c r="M27313" s="26">
        <v>2.4500000000000001E-2</v>
      </c>
      <c r="N27313" s="26">
        <v>3.3700000000000001E-2</v>
      </c>
      <c r="Q27313">
        <v>191</v>
      </c>
    </row>
    <row r="27314" spans="1:17" x14ac:dyDescent="0.35">
      <c r="A27314" t="s">
        <v>229</v>
      </c>
      <c r="B27314" t="s">
        <v>360</v>
      </c>
      <c r="C27314" s="26">
        <v>0.26579999999999998</v>
      </c>
      <c r="D27314" s="26">
        <v>0.23039999999999999</v>
      </c>
      <c r="E27314" s="26">
        <v>0.13650000000000001</v>
      </c>
      <c r="F27314" s="26">
        <v>0.18429999999999999</v>
      </c>
      <c r="G27314" s="26">
        <v>5.74E-2</v>
      </c>
      <c r="H27314" s="26">
        <v>0.1759</v>
      </c>
      <c r="I27314" s="26">
        <v>0.12959999999999999</v>
      </c>
      <c r="J27314" s="26">
        <v>0.1305</v>
      </c>
      <c r="K27314" s="26">
        <v>3.2000000000000002E-3</v>
      </c>
      <c r="L27314" s="26">
        <v>2.8199999999999999E-2</v>
      </c>
      <c r="M27314" s="26">
        <v>6.4999999999999997E-3</v>
      </c>
      <c r="N27314" s="26">
        <v>5.1900000000000002E-2</v>
      </c>
      <c r="O27314" s="26">
        <v>4.8999999999999998E-3</v>
      </c>
      <c r="Q27314">
        <v>164</v>
      </c>
    </row>
    <row r="27315" spans="1:17" x14ac:dyDescent="0.35">
      <c r="A27315" t="s">
        <v>229</v>
      </c>
      <c r="B27315" t="s">
        <v>361</v>
      </c>
      <c r="C27315" s="26">
        <v>0.4914</v>
      </c>
      <c r="D27315" s="26">
        <v>0.21870000000000001</v>
      </c>
      <c r="E27315" s="26">
        <v>0.31730000000000003</v>
      </c>
      <c r="F27315" s="26">
        <v>0.17319999999999999</v>
      </c>
      <c r="G27315" s="26">
        <v>0.23730000000000001</v>
      </c>
      <c r="H27315" s="26">
        <v>9.1800000000000007E-2</v>
      </c>
      <c r="I27315" s="26">
        <v>8.4699999999999998E-2</v>
      </c>
      <c r="J27315" s="26">
        <v>6.2300000000000001E-2</v>
      </c>
      <c r="K27315" s="26">
        <v>4.0399999999999998E-2</v>
      </c>
      <c r="L27315" s="26">
        <v>4.3499999999999997E-2</v>
      </c>
      <c r="M27315" s="26">
        <v>8.0399999999999999E-2</v>
      </c>
      <c r="N27315" s="26">
        <v>4.8899999999999999E-2</v>
      </c>
      <c r="P27315" s="26">
        <v>3.5000000000000001E-3</v>
      </c>
      <c r="Q27315">
        <v>243</v>
      </c>
    </row>
    <row r="27316" spans="1:17" x14ac:dyDescent="0.35">
      <c r="A27316" t="s">
        <v>229</v>
      </c>
      <c r="B27316" t="s">
        <v>362</v>
      </c>
      <c r="C27316" s="26">
        <v>0.36969999999999997</v>
      </c>
      <c r="D27316" s="26">
        <v>0.24529999999999999</v>
      </c>
      <c r="E27316" s="26">
        <v>0.1227</v>
      </c>
      <c r="F27316" s="26">
        <v>0.15770000000000001</v>
      </c>
      <c r="G27316" s="26">
        <v>8.6300000000000002E-2</v>
      </c>
      <c r="H27316" s="26">
        <v>0.14449999999999999</v>
      </c>
      <c r="I27316" s="26">
        <v>0.14499999999999999</v>
      </c>
      <c r="J27316" s="26">
        <v>7.1999999999999995E-2</v>
      </c>
      <c r="K27316" s="26">
        <v>4.0500000000000001E-2</v>
      </c>
      <c r="L27316" s="26">
        <v>5.3800000000000001E-2</v>
      </c>
      <c r="M27316" s="26">
        <v>1.9300000000000001E-2</v>
      </c>
      <c r="N27316" s="26">
        <v>2.5999999999999999E-3</v>
      </c>
      <c r="Q27316">
        <v>171</v>
      </c>
    </row>
    <row r="27317" spans="1:17" x14ac:dyDescent="0.35">
      <c r="A27317" t="s">
        <v>230</v>
      </c>
      <c r="B27317" t="s">
        <v>360</v>
      </c>
      <c r="C27317" s="26">
        <v>0.38250000000000001</v>
      </c>
      <c r="D27317" s="26">
        <v>0.34510000000000002</v>
      </c>
      <c r="E27317" s="26">
        <v>0.1036</v>
      </c>
      <c r="F27317" s="26">
        <v>9.69E-2</v>
      </c>
      <c r="G27317" s="26">
        <v>0.17660000000000001</v>
      </c>
      <c r="H27317" s="26">
        <v>0.13450000000000001</v>
      </c>
      <c r="I27317" s="26">
        <v>0.22819999999999999</v>
      </c>
      <c r="J27317" s="26">
        <v>4.5699999999999998E-2</v>
      </c>
      <c r="K27317" s="26">
        <v>4.7000000000000002E-3</v>
      </c>
      <c r="L27317" s="26">
        <v>4.7000000000000002E-3</v>
      </c>
      <c r="M27317" s="26">
        <v>3.0200000000000001E-2</v>
      </c>
      <c r="N27317" s="26">
        <v>2.8799999999999999E-2</v>
      </c>
      <c r="Q27317">
        <v>120</v>
      </c>
    </row>
    <row r="27318" spans="1:17" x14ac:dyDescent="0.35">
      <c r="A27318" t="s">
        <v>230</v>
      </c>
      <c r="B27318" t="s">
        <v>363</v>
      </c>
      <c r="C27318" s="26">
        <v>0.42849999999999999</v>
      </c>
      <c r="D27318" s="26">
        <v>0.26</v>
      </c>
      <c r="E27318" s="26">
        <v>0.1978</v>
      </c>
      <c r="F27318" s="26">
        <v>0.1457</v>
      </c>
      <c r="G27318" s="26">
        <v>0.1903</v>
      </c>
      <c r="H27318" s="26">
        <v>0.16220000000000001</v>
      </c>
      <c r="I27318" s="26">
        <v>0.12139999999999999</v>
      </c>
      <c r="J27318" s="26">
        <v>1.37E-2</v>
      </c>
      <c r="K27318" s="26">
        <v>2.8000000000000001E-2</v>
      </c>
      <c r="L27318" s="26">
        <v>2.69E-2</v>
      </c>
      <c r="M27318" s="26">
        <v>7.4200000000000002E-2</v>
      </c>
      <c r="N27318" s="26">
        <v>3.1800000000000002E-2</v>
      </c>
      <c r="Q27318">
        <v>127</v>
      </c>
    </row>
    <row r="27319" spans="1:17" x14ac:dyDescent="0.35">
      <c r="A27319" t="s">
        <v>230</v>
      </c>
      <c r="B27319" t="s">
        <v>361</v>
      </c>
      <c r="C27319" s="26">
        <v>0.3952</v>
      </c>
      <c r="D27319" s="26">
        <v>0.25509999999999999</v>
      </c>
      <c r="E27319" s="26">
        <v>0.307</v>
      </c>
      <c r="F27319" s="26">
        <v>0.1178</v>
      </c>
      <c r="G27319" s="26">
        <v>0.2646</v>
      </c>
      <c r="H27319" s="26">
        <v>6.83E-2</v>
      </c>
      <c r="I27319" s="26">
        <v>0.1285</v>
      </c>
      <c r="J27319" s="26">
        <v>7.1000000000000004E-3</v>
      </c>
      <c r="L27319" s="26">
        <v>4.2500000000000003E-2</v>
      </c>
      <c r="M27319" s="26">
        <v>2.12E-2</v>
      </c>
      <c r="N27319" s="26">
        <v>4.9500000000000002E-2</v>
      </c>
      <c r="Q27319">
        <v>109</v>
      </c>
    </row>
    <row r="27320" spans="1:17" x14ac:dyDescent="0.35">
      <c r="A27320" t="s">
        <v>230</v>
      </c>
      <c r="B27320" t="s">
        <v>362</v>
      </c>
      <c r="C27320" s="26">
        <v>0.42520000000000002</v>
      </c>
      <c r="D27320" s="26">
        <v>0.28170000000000001</v>
      </c>
      <c r="E27320" s="26">
        <v>0.14380000000000001</v>
      </c>
      <c r="F27320" s="26">
        <v>8.9300000000000004E-2</v>
      </c>
      <c r="G27320" s="26">
        <v>0.1231</v>
      </c>
      <c r="H27320" s="26">
        <v>0.1424</v>
      </c>
      <c r="I27320" s="26">
        <v>9.06E-2</v>
      </c>
      <c r="J27320" s="26">
        <v>2.4400000000000002E-2</v>
      </c>
      <c r="K27320" s="26">
        <v>4.7000000000000002E-3</v>
      </c>
      <c r="L27320" s="26">
        <v>6.8999999999999999E-3</v>
      </c>
      <c r="M27320" s="26">
        <v>2.2499999999999999E-2</v>
      </c>
      <c r="N27320" s="26">
        <v>1.18E-2</v>
      </c>
      <c r="Q27320">
        <v>148</v>
      </c>
    </row>
    <row r="27321" spans="1:17" x14ac:dyDescent="0.35">
      <c r="A27321" s="27" t="s">
        <v>231</v>
      </c>
      <c r="B27321" s="27" t="s">
        <v>362</v>
      </c>
      <c r="C27321" s="28">
        <v>0.2414</v>
      </c>
      <c r="D27321" s="28">
        <v>0.13789999999999999</v>
      </c>
      <c r="E27321" s="28">
        <v>0.13789999999999999</v>
      </c>
      <c r="F27321" s="28">
        <v>0.1724</v>
      </c>
      <c r="G27321" s="28">
        <v>0.10340000000000001</v>
      </c>
      <c r="H27321" s="28">
        <v>0.27589999999999998</v>
      </c>
      <c r="I27321" s="28">
        <v>0.13789999999999999</v>
      </c>
      <c r="J27321" s="28">
        <v>0.1724</v>
      </c>
      <c r="K27321" s="28">
        <v>3.4500000000000003E-2</v>
      </c>
      <c r="L27321" s="28">
        <v>0.10340000000000001</v>
      </c>
      <c r="M27321" s="28">
        <v>6.9000000000000006E-2</v>
      </c>
      <c r="N27321" s="28">
        <v>3.4500000000000003E-2</v>
      </c>
      <c r="O27321" s="28">
        <v>6.9000000000000006E-2</v>
      </c>
      <c r="P27321" s="29"/>
      <c r="Q27321" s="29" t="s">
        <v>329</v>
      </c>
    </row>
    <row r="27322" spans="1:17" x14ac:dyDescent="0.35">
      <c r="A27322" t="s">
        <v>231</v>
      </c>
      <c r="B27322" t="s">
        <v>361</v>
      </c>
      <c r="C27322" s="26">
        <v>0.46</v>
      </c>
      <c r="D27322" s="26">
        <v>0.22</v>
      </c>
      <c r="E27322" s="26">
        <v>0.32</v>
      </c>
      <c r="F27322" s="26">
        <v>0.2</v>
      </c>
      <c r="G27322" s="26">
        <v>0.28000000000000003</v>
      </c>
      <c r="H27322" s="26">
        <v>0.06</v>
      </c>
      <c r="I27322" s="26">
        <v>0.12</v>
      </c>
      <c r="J27322" s="26">
        <v>0.06</v>
      </c>
      <c r="K27322" s="26">
        <v>0.14000000000000001</v>
      </c>
      <c r="L27322" s="26">
        <v>0.02</v>
      </c>
      <c r="M27322" s="26">
        <v>0.04</v>
      </c>
      <c r="N27322" s="26">
        <v>0.04</v>
      </c>
      <c r="Q27322">
        <v>50</v>
      </c>
    </row>
    <row r="27323" spans="1:17" x14ac:dyDescent="0.35">
      <c r="A27323" t="s">
        <v>231</v>
      </c>
      <c r="B27323" t="s">
        <v>360</v>
      </c>
      <c r="C27323" s="26">
        <v>0.25</v>
      </c>
      <c r="D27323" s="26">
        <v>0.11360000000000001</v>
      </c>
      <c r="E27323" s="26">
        <v>9.0899999999999995E-2</v>
      </c>
      <c r="F27323" s="26">
        <v>0.2273</v>
      </c>
      <c r="G27323" s="26">
        <v>2.2700000000000001E-2</v>
      </c>
      <c r="H27323" s="26">
        <v>0.11360000000000001</v>
      </c>
      <c r="I27323" s="26">
        <v>0.13639999999999999</v>
      </c>
      <c r="J27323" s="26">
        <v>0.20449999999999999</v>
      </c>
      <c r="K27323" s="26">
        <v>2.2700000000000001E-2</v>
      </c>
      <c r="L27323" s="26">
        <v>4.5499999999999999E-2</v>
      </c>
      <c r="Q27323">
        <v>44</v>
      </c>
    </row>
    <row r="27324" spans="1:17" x14ac:dyDescent="0.35">
      <c r="A27324" s="27" t="s">
        <v>231</v>
      </c>
      <c r="B27324" s="27" t="s">
        <v>363</v>
      </c>
      <c r="C27324" s="28">
        <v>0.37040000000000001</v>
      </c>
      <c r="D27324" s="28">
        <v>0.1852</v>
      </c>
      <c r="E27324" s="28">
        <v>0.22220000000000001</v>
      </c>
      <c r="F27324" s="28">
        <v>0.1852</v>
      </c>
      <c r="G27324" s="28">
        <v>0.1111</v>
      </c>
      <c r="H27324" s="28">
        <v>7.4099999999999999E-2</v>
      </c>
      <c r="I27324" s="28">
        <v>0.1111</v>
      </c>
      <c r="J27324" s="28">
        <v>0.1111</v>
      </c>
      <c r="K27324" s="28">
        <v>3.6999999999999998E-2</v>
      </c>
      <c r="L27324" s="29"/>
      <c r="M27324" s="29"/>
      <c r="N27324" s="28">
        <v>7.4099999999999999E-2</v>
      </c>
      <c r="O27324" s="29"/>
      <c r="P27324" s="29"/>
      <c r="Q27324" s="29" t="s">
        <v>338</v>
      </c>
    </row>
    <row r="27325" spans="1:17" x14ac:dyDescent="0.35">
      <c r="A27325" t="s">
        <v>232</v>
      </c>
      <c r="B27325" t="s">
        <v>232</v>
      </c>
      <c r="C27325" s="26">
        <v>0.39529999999999998</v>
      </c>
      <c r="D27325" s="26">
        <v>0.21199999999999999</v>
      </c>
      <c r="E27325" s="26">
        <v>0.1988</v>
      </c>
      <c r="F27325" s="26">
        <v>0.16139999999999999</v>
      </c>
      <c r="G27325" s="26">
        <v>0.15060000000000001</v>
      </c>
      <c r="H27325" s="26">
        <v>0.1434</v>
      </c>
      <c r="I27325" s="26">
        <v>0.12470000000000001</v>
      </c>
      <c r="J27325" s="26">
        <v>8.5999999999999993E-2</v>
      </c>
      <c r="K27325" s="26">
        <v>4.0599999999999997E-2</v>
      </c>
      <c r="L27325" s="26">
        <v>3.9300000000000002E-2</v>
      </c>
      <c r="M27325" s="26">
        <v>3.9199999999999999E-2</v>
      </c>
      <c r="N27325" s="26">
        <v>3.3799999999999997E-2</v>
      </c>
      <c r="O27325" s="26">
        <v>4.3E-3</v>
      </c>
      <c r="P27325" s="26">
        <v>4.0000000000000002E-4</v>
      </c>
      <c r="Q27325">
        <v>2476</v>
      </c>
    </row>
    <row r="27327" spans="1:17" x14ac:dyDescent="0.35">
      <c r="A27327" s="1" t="s">
        <v>2480</v>
      </c>
    </row>
    <row r="27328" spans="1:17" x14ac:dyDescent="0.35">
      <c r="A27328" t="s">
        <v>219</v>
      </c>
      <c r="B27328" t="s">
        <v>305</v>
      </c>
      <c r="C27328" t="s">
        <v>2465</v>
      </c>
      <c r="D27328" t="s">
        <v>2466</v>
      </c>
      <c r="E27328" t="s">
        <v>2467</v>
      </c>
      <c r="F27328" t="s">
        <v>2468</v>
      </c>
      <c r="G27328" t="s">
        <v>2469</v>
      </c>
      <c r="H27328" t="s">
        <v>2470</v>
      </c>
      <c r="I27328" t="s">
        <v>550</v>
      </c>
      <c r="J27328" t="s">
        <v>281</v>
      </c>
      <c r="K27328" t="s">
        <v>2471</v>
      </c>
      <c r="L27328" t="s">
        <v>2472</v>
      </c>
      <c r="M27328" t="s">
        <v>2473</v>
      </c>
      <c r="N27328" t="s">
        <v>2474</v>
      </c>
      <c r="O27328" t="s">
        <v>286</v>
      </c>
      <c r="P27328" t="s">
        <v>2475</v>
      </c>
      <c r="Q27328" t="s">
        <v>226</v>
      </c>
    </row>
    <row r="27329" spans="1:17" x14ac:dyDescent="0.35">
      <c r="A27329" t="s">
        <v>227</v>
      </c>
      <c r="B27329" t="s">
        <v>267</v>
      </c>
      <c r="C27329" s="26">
        <v>0.27779999999999999</v>
      </c>
      <c r="D27329" s="26">
        <v>0.1389</v>
      </c>
      <c r="E27329" s="26">
        <v>0.16669999999999999</v>
      </c>
      <c r="F27329" s="26">
        <v>0.1389</v>
      </c>
      <c r="G27329" s="26">
        <v>0.1111</v>
      </c>
      <c r="H27329" s="26">
        <v>0.22220000000000001</v>
      </c>
      <c r="I27329" s="26">
        <v>0.1111</v>
      </c>
      <c r="J27329" s="26">
        <v>0.1111</v>
      </c>
      <c r="K27329" s="26">
        <v>5.5599999999999997E-2</v>
      </c>
      <c r="N27329" s="26">
        <v>2.7799999999999998E-2</v>
      </c>
      <c r="Q27329">
        <v>36</v>
      </c>
    </row>
    <row r="27330" spans="1:17" x14ac:dyDescent="0.35">
      <c r="A27330" t="s">
        <v>227</v>
      </c>
      <c r="B27330" t="s">
        <v>266</v>
      </c>
      <c r="C27330" s="26">
        <v>0.2712</v>
      </c>
      <c r="D27330" s="26">
        <v>0.1525</v>
      </c>
      <c r="E27330" s="26">
        <v>0.16950000000000001</v>
      </c>
      <c r="F27330" s="26">
        <v>0.1186</v>
      </c>
      <c r="G27330" s="26">
        <v>0.1017</v>
      </c>
      <c r="H27330" s="26">
        <v>0.1017</v>
      </c>
      <c r="I27330" s="26">
        <v>0.1356</v>
      </c>
      <c r="J27330" s="26">
        <v>0.1186</v>
      </c>
      <c r="K27330" s="26">
        <v>5.0799999999999998E-2</v>
      </c>
      <c r="L27330" s="26">
        <v>5.0799999999999998E-2</v>
      </c>
      <c r="M27330" s="26">
        <v>6.7799999999999999E-2</v>
      </c>
      <c r="N27330" s="26">
        <v>3.39E-2</v>
      </c>
      <c r="Q27330">
        <v>59</v>
      </c>
    </row>
    <row r="27331" spans="1:17" x14ac:dyDescent="0.35">
      <c r="A27331" t="s">
        <v>227</v>
      </c>
      <c r="B27331" t="s">
        <v>265</v>
      </c>
      <c r="C27331" s="26">
        <v>0.40910000000000002</v>
      </c>
      <c r="D27331" s="26">
        <v>0.19700000000000001</v>
      </c>
      <c r="E27331" s="26">
        <v>0.21210000000000001</v>
      </c>
      <c r="F27331" s="26">
        <v>0.19700000000000001</v>
      </c>
      <c r="G27331" s="26">
        <v>0.13639999999999999</v>
      </c>
      <c r="H27331" s="26">
        <v>0.1212</v>
      </c>
      <c r="I27331" s="26">
        <v>0.1061</v>
      </c>
      <c r="J27331" s="26">
        <v>4.5499999999999999E-2</v>
      </c>
      <c r="K27331" s="26">
        <v>6.0600000000000001E-2</v>
      </c>
      <c r="L27331" s="26">
        <v>4.5499999999999999E-2</v>
      </c>
      <c r="M27331" s="26">
        <v>9.0899999999999995E-2</v>
      </c>
      <c r="N27331" s="26">
        <v>1.52E-2</v>
      </c>
      <c r="Q27331">
        <v>66</v>
      </c>
    </row>
    <row r="27332" spans="1:17" x14ac:dyDescent="0.35">
      <c r="A27332" t="s">
        <v>228</v>
      </c>
      <c r="B27332" t="s">
        <v>267</v>
      </c>
      <c r="C27332" s="26">
        <v>0.48370000000000002</v>
      </c>
      <c r="D27332" s="26">
        <v>0.1971</v>
      </c>
      <c r="E27332" s="26">
        <v>0.13120000000000001</v>
      </c>
      <c r="F27332" s="26">
        <v>0.12089999999999999</v>
      </c>
      <c r="G27332" s="26">
        <v>8.2900000000000001E-2</v>
      </c>
      <c r="H27332" s="26">
        <v>0.15440000000000001</v>
      </c>
      <c r="I27332" s="26">
        <v>0.13489999999999999</v>
      </c>
      <c r="J27332" s="26">
        <v>0.1128</v>
      </c>
      <c r="K27332" s="26">
        <v>6.8999999999999999E-3</v>
      </c>
      <c r="L27332" s="26">
        <v>1.5100000000000001E-2</v>
      </c>
      <c r="M27332" s="26">
        <v>1.7000000000000001E-2</v>
      </c>
      <c r="N27332" s="26">
        <v>5.2699999999999997E-2</v>
      </c>
      <c r="O27332" s="26">
        <v>1.11E-2</v>
      </c>
      <c r="Q27332">
        <v>199</v>
      </c>
    </row>
    <row r="27333" spans="1:17" x14ac:dyDescent="0.35">
      <c r="A27333" t="s">
        <v>228</v>
      </c>
      <c r="B27333" t="s">
        <v>265</v>
      </c>
      <c r="C27333" s="26">
        <v>0.46929999999999999</v>
      </c>
      <c r="D27333" s="26">
        <v>0.2324</v>
      </c>
      <c r="E27333" s="26">
        <v>0.22459999999999999</v>
      </c>
      <c r="F27333" s="26">
        <v>0.13250000000000001</v>
      </c>
      <c r="G27333" s="26">
        <v>0.16769999999999999</v>
      </c>
      <c r="H27333" s="26">
        <v>0.17710000000000001</v>
      </c>
      <c r="I27333" s="26">
        <v>0.1183</v>
      </c>
      <c r="J27333" s="26">
        <v>6.9400000000000003E-2</v>
      </c>
      <c r="K27333" s="26">
        <v>3.7400000000000003E-2</v>
      </c>
      <c r="L27333" s="26">
        <v>5.5399999999999998E-2</v>
      </c>
      <c r="M27333" s="26">
        <v>4.4200000000000003E-2</v>
      </c>
      <c r="N27333" s="26">
        <v>2.52E-2</v>
      </c>
      <c r="O27333" s="26">
        <v>1E-3</v>
      </c>
      <c r="Q27333">
        <v>384</v>
      </c>
    </row>
    <row r="27334" spans="1:17" x14ac:dyDescent="0.35">
      <c r="A27334" s="27" t="s">
        <v>228</v>
      </c>
      <c r="B27334" s="27" t="s">
        <v>236</v>
      </c>
      <c r="C27334" s="29"/>
      <c r="D27334" s="28">
        <v>1</v>
      </c>
      <c r="E27334" s="28">
        <v>0.5</v>
      </c>
      <c r="F27334" s="29"/>
      <c r="G27334" s="28">
        <v>0.5</v>
      </c>
      <c r="H27334" s="28">
        <v>0.5</v>
      </c>
      <c r="I27334" s="29"/>
      <c r="J27334" s="29"/>
      <c r="K27334" s="29"/>
      <c r="L27334" s="29"/>
      <c r="M27334" s="29"/>
      <c r="N27334" s="29"/>
      <c r="O27334" s="29"/>
      <c r="P27334" s="29"/>
      <c r="Q27334" s="29" t="s">
        <v>314</v>
      </c>
    </row>
    <row r="27335" spans="1:17" x14ac:dyDescent="0.35">
      <c r="A27335" t="s">
        <v>228</v>
      </c>
      <c r="B27335" t="s">
        <v>266</v>
      </c>
      <c r="C27335" s="26">
        <v>0.45900000000000002</v>
      </c>
      <c r="D27335" s="26">
        <v>0.19589999999999999</v>
      </c>
      <c r="E27335" s="26">
        <v>0.13450000000000001</v>
      </c>
      <c r="F27335" s="26">
        <v>9.5500000000000002E-2</v>
      </c>
      <c r="G27335" s="26">
        <v>7.8799999999999995E-2</v>
      </c>
      <c r="H27335" s="26">
        <v>0.21249999999999999</v>
      </c>
      <c r="I27335" s="26">
        <v>0.16370000000000001</v>
      </c>
      <c r="J27335" s="26">
        <v>6.4399999999999999E-2</v>
      </c>
      <c r="K27335" s="26">
        <v>2.4299999999999999E-2</v>
      </c>
      <c r="L27335" s="26">
        <v>2.69E-2</v>
      </c>
      <c r="M27335" s="26">
        <v>2.18E-2</v>
      </c>
      <c r="N27335" s="26">
        <v>4.3900000000000002E-2</v>
      </c>
      <c r="O27335" s="26">
        <v>1.2999999999999999E-3</v>
      </c>
      <c r="Q27335">
        <v>448</v>
      </c>
    </row>
    <row r="27336" spans="1:17" x14ac:dyDescent="0.35">
      <c r="A27336" t="s">
        <v>229</v>
      </c>
      <c r="B27336" t="s">
        <v>266</v>
      </c>
      <c r="C27336" s="26">
        <v>0.37359999999999999</v>
      </c>
      <c r="D27336" s="26">
        <v>0.2389</v>
      </c>
      <c r="E27336" s="26">
        <v>0.18260000000000001</v>
      </c>
      <c r="F27336" s="26">
        <v>0.16159999999999999</v>
      </c>
      <c r="G27336" s="26">
        <v>0.16769999999999999</v>
      </c>
      <c r="H27336" s="26">
        <v>0.14419999999999999</v>
      </c>
      <c r="I27336" s="26">
        <v>0.10390000000000001</v>
      </c>
      <c r="J27336" s="26">
        <v>9.69E-2</v>
      </c>
      <c r="K27336" s="26">
        <v>3.49E-2</v>
      </c>
      <c r="L27336" s="26">
        <v>4.8099999999999997E-2</v>
      </c>
      <c r="M27336" s="26">
        <v>3.9699999999999999E-2</v>
      </c>
      <c r="N27336" s="26">
        <v>2.2599999999999999E-2</v>
      </c>
      <c r="P27336" s="26">
        <v>4.1000000000000003E-3</v>
      </c>
      <c r="Q27336">
        <v>359</v>
      </c>
    </row>
    <row r="27337" spans="1:17" x14ac:dyDescent="0.35">
      <c r="A27337" t="s">
        <v>229</v>
      </c>
      <c r="B27337" t="s">
        <v>267</v>
      </c>
      <c r="C27337" s="26">
        <v>0.4259</v>
      </c>
      <c r="D27337" s="26">
        <v>0.21060000000000001</v>
      </c>
      <c r="E27337" s="26">
        <v>0.2467</v>
      </c>
      <c r="F27337" s="26">
        <v>0.1883</v>
      </c>
      <c r="G27337" s="26">
        <v>0.1699</v>
      </c>
      <c r="H27337" s="26">
        <v>0.13980000000000001</v>
      </c>
      <c r="I27337" s="26">
        <v>0.1197</v>
      </c>
      <c r="J27337" s="26">
        <v>9.2899999999999996E-2</v>
      </c>
      <c r="K27337" s="26">
        <v>4.5199999999999997E-2</v>
      </c>
      <c r="L27337" s="26">
        <v>3.8600000000000002E-2</v>
      </c>
      <c r="M27337" s="26">
        <v>6.2300000000000001E-2</v>
      </c>
      <c r="N27337" s="26">
        <v>3.3000000000000002E-2</v>
      </c>
      <c r="Q27337">
        <v>201</v>
      </c>
    </row>
    <row r="27338" spans="1:17" x14ac:dyDescent="0.35">
      <c r="A27338" t="s">
        <v>229</v>
      </c>
      <c r="B27338" t="s">
        <v>265</v>
      </c>
      <c r="C27338" s="26">
        <v>0.47710000000000002</v>
      </c>
      <c r="D27338" s="26">
        <v>0.2571</v>
      </c>
      <c r="E27338" s="26">
        <v>0.24970000000000001</v>
      </c>
      <c r="F27338" s="26">
        <v>0.20130000000000001</v>
      </c>
      <c r="G27338" s="26">
        <v>0.1734</v>
      </c>
      <c r="H27338" s="26">
        <v>0.12659999999999999</v>
      </c>
      <c r="I27338" s="26">
        <v>0.1172</v>
      </c>
      <c r="J27338" s="26">
        <v>6.08E-2</v>
      </c>
      <c r="K27338" s="26">
        <v>2.1899999999999999E-2</v>
      </c>
      <c r="L27338" s="26">
        <v>6.0299999999999999E-2</v>
      </c>
      <c r="M27338" s="26">
        <v>4.1300000000000003E-2</v>
      </c>
      <c r="N27338" s="26">
        <v>5.45E-2</v>
      </c>
      <c r="O27338" s="26">
        <v>2.3999999999999998E-3</v>
      </c>
      <c r="Q27338">
        <v>335</v>
      </c>
    </row>
    <row r="27339" spans="1:17" x14ac:dyDescent="0.35">
      <c r="A27339" t="s">
        <v>230</v>
      </c>
      <c r="B27339" t="s">
        <v>267</v>
      </c>
      <c r="C27339" s="26">
        <v>0.40060000000000001</v>
      </c>
      <c r="D27339" s="26">
        <v>0.25230000000000002</v>
      </c>
      <c r="E27339" s="26">
        <v>0.22900000000000001</v>
      </c>
      <c r="F27339" s="26">
        <v>0.15859999999999999</v>
      </c>
      <c r="G27339" s="26">
        <v>0.1991</v>
      </c>
      <c r="H27339" s="26">
        <v>0.14369999999999999</v>
      </c>
      <c r="I27339" s="26">
        <v>0.1197</v>
      </c>
      <c r="J27339" s="26">
        <v>9.4000000000000004E-3</v>
      </c>
      <c r="K27339" s="26">
        <v>3.39E-2</v>
      </c>
      <c r="L27339" s="26">
        <v>5.3E-3</v>
      </c>
      <c r="M27339" s="26">
        <v>0.08</v>
      </c>
      <c r="N27339" s="26">
        <v>3.39E-2</v>
      </c>
      <c r="Q27339">
        <v>119</v>
      </c>
    </row>
    <row r="27340" spans="1:17" x14ac:dyDescent="0.35">
      <c r="A27340" t="s">
        <v>230</v>
      </c>
      <c r="B27340" t="s">
        <v>266</v>
      </c>
      <c r="C27340" s="26">
        <v>0.41610000000000003</v>
      </c>
      <c r="D27340" s="26">
        <v>0.28079999999999999</v>
      </c>
      <c r="E27340" s="26">
        <v>0.15260000000000001</v>
      </c>
      <c r="F27340" s="26">
        <v>9.98E-2</v>
      </c>
      <c r="G27340" s="26">
        <v>0.1472</v>
      </c>
      <c r="H27340" s="26">
        <v>0.16950000000000001</v>
      </c>
      <c r="I27340" s="26">
        <v>0.1221</v>
      </c>
      <c r="J27340" s="26">
        <v>3.4299999999999997E-2</v>
      </c>
      <c r="K27340" s="26">
        <v>3.2000000000000002E-3</v>
      </c>
      <c r="L27340" s="26">
        <v>1.7399999999999999E-2</v>
      </c>
      <c r="M27340" s="26">
        <v>1.49E-2</v>
      </c>
      <c r="N27340" s="26">
        <v>5.7799999999999997E-2</v>
      </c>
      <c r="Q27340">
        <v>232</v>
      </c>
    </row>
    <row r="27341" spans="1:17" x14ac:dyDescent="0.35">
      <c r="A27341" t="s">
        <v>230</v>
      </c>
      <c r="B27341" t="s">
        <v>265</v>
      </c>
      <c r="C27341" s="26">
        <v>0.3982</v>
      </c>
      <c r="D27341" s="26">
        <v>0.31140000000000001</v>
      </c>
      <c r="E27341" s="26">
        <v>0.21690000000000001</v>
      </c>
      <c r="F27341" s="26">
        <v>0.1077</v>
      </c>
      <c r="G27341" s="26">
        <v>0.24779999999999999</v>
      </c>
      <c r="H27341" s="26">
        <v>8.3799999999999999E-2</v>
      </c>
      <c r="I27341" s="26">
        <v>0.1426</v>
      </c>
      <c r="J27341" s="26">
        <v>2.3099999999999999E-2</v>
      </c>
      <c r="K27341" s="26">
        <v>1.35E-2</v>
      </c>
      <c r="L27341" s="26">
        <v>2.92E-2</v>
      </c>
      <c r="M27341" s="26">
        <v>5.2699999999999997E-2</v>
      </c>
      <c r="N27341" s="26">
        <v>1.29E-2</v>
      </c>
      <c r="O27341" s="26">
        <v>2.8E-3</v>
      </c>
      <c r="Q27341">
        <v>209</v>
      </c>
    </row>
    <row r="27342" spans="1:17" x14ac:dyDescent="0.35">
      <c r="A27342" t="s">
        <v>231</v>
      </c>
      <c r="B27342" t="s">
        <v>267</v>
      </c>
      <c r="C27342" s="26">
        <v>0.4118</v>
      </c>
      <c r="D27342" s="26">
        <v>0.29409999999999997</v>
      </c>
      <c r="E27342" s="26">
        <v>0.23530000000000001</v>
      </c>
      <c r="F27342" s="26">
        <v>0.14710000000000001</v>
      </c>
      <c r="G27342" s="26">
        <v>0.17649999999999999</v>
      </c>
      <c r="H27342" s="26">
        <v>0.1176</v>
      </c>
      <c r="I27342" s="26">
        <v>0.1176</v>
      </c>
      <c r="J27342" s="26">
        <v>0.1176</v>
      </c>
      <c r="K27342" s="26">
        <v>5.8799999999999998E-2</v>
      </c>
      <c r="L27342" s="26">
        <v>8.8200000000000001E-2</v>
      </c>
      <c r="M27342" s="26">
        <v>2.9399999999999999E-2</v>
      </c>
      <c r="N27342" s="26">
        <v>5.8799999999999998E-2</v>
      </c>
      <c r="O27342" s="26">
        <v>2.9399999999999999E-2</v>
      </c>
      <c r="Q27342">
        <v>34</v>
      </c>
    </row>
    <row r="27343" spans="1:17" x14ac:dyDescent="0.35">
      <c r="A27343" t="s">
        <v>231</v>
      </c>
      <c r="B27343" t="s">
        <v>266</v>
      </c>
      <c r="C27343" s="26">
        <v>0.2903</v>
      </c>
      <c r="D27343" s="26">
        <v>0.129</v>
      </c>
      <c r="E27343" s="26">
        <v>0.1452</v>
      </c>
      <c r="F27343" s="26">
        <v>0.1774</v>
      </c>
      <c r="G27343" s="26">
        <v>0.1452</v>
      </c>
      <c r="H27343" s="26">
        <v>0.129</v>
      </c>
      <c r="I27343" s="26">
        <v>0.1774</v>
      </c>
      <c r="J27343" s="26">
        <v>0.1452</v>
      </c>
      <c r="K27343" s="26">
        <v>4.8399999999999999E-2</v>
      </c>
      <c r="L27343" s="26">
        <v>3.2300000000000002E-2</v>
      </c>
      <c r="N27343" s="26">
        <v>3.2300000000000002E-2</v>
      </c>
      <c r="Q27343">
        <v>62</v>
      </c>
    </row>
    <row r="27344" spans="1:17" x14ac:dyDescent="0.35">
      <c r="A27344" t="s">
        <v>231</v>
      </c>
      <c r="B27344" t="s">
        <v>265</v>
      </c>
      <c r="C27344" s="26">
        <v>0.35289999999999999</v>
      </c>
      <c r="D27344" s="26">
        <v>0.1618</v>
      </c>
      <c r="E27344" s="26">
        <v>0.22059999999999999</v>
      </c>
      <c r="F27344" s="26">
        <v>0.22059999999999999</v>
      </c>
      <c r="G27344" s="26">
        <v>0.14710000000000001</v>
      </c>
      <c r="H27344" s="26">
        <v>0.13239999999999999</v>
      </c>
      <c r="I27344" s="26">
        <v>8.8200000000000001E-2</v>
      </c>
      <c r="J27344" s="26">
        <v>0.10290000000000001</v>
      </c>
      <c r="K27344" s="26">
        <v>7.3499999999999996E-2</v>
      </c>
      <c r="L27344" s="26">
        <v>1.47E-2</v>
      </c>
      <c r="M27344" s="26">
        <v>4.41E-2</v>
      </c>
      <c r="N27344" s="26">
        <v>1.47E-2</v>
      </c>
      <c r="O27344" s="26">
        <v>1.47E-2</v>
      </c>
      <c r="Q27344">
        <v>68</v>
      </c>
    </row>
    <row r="27345" spans="1:17" x14ac:dyDescent="0.35">
      <c r="A27345" t="s">
        <v>232</v>
      </c>
      <c r="B27345" t="s">
        <v>232</v>
      </c>
      <c r="C27345" s="26">
        <v>0.39529999999999998</v>
      </c>
      <c r="D27345" s="26">
        <v>0.21199999999999999</v>
      </c>
      <c r="E27345" s="26">
        <v>0.1988</v>
      </c>
      <c r="F27345" s="26">
        <v>0.16139999999999999</v>
      </c>
      <c r="G27345" s="26">
        <v>0.15060000000000001</v>
      </c>
      <c r="H27345" s="26">
        <v>0.1434</v>
      </c>
      <c r="I27345" s="26">
        <v>0.12470000000000001</v>
      </c>
      <c r="J27345" s="26">
        <v>8.5999999999999993E-2</v>
      </c>
      <c r="K27345" s="26">
        <v>4.0599999999999997E-2</v>
      </c>
      <c r="L27345" s="26">
        <v>3.9300000000000002E-2</v>
      </c>
      <c r="M27345" s="26">
        <v>3.9199999999999999E-2</v>
      </c>
      <c r="N27345" s="26">
        <v>3.3799999999999997E-2</v>
      </c>
      <c r="O27345" s="26">
        <v>4.3E-3</v>
      </c>
      <c r="P27345" s="26">
        <v>4.0000000000000002E-4</v>
      </c>
      <c r="Q27345">
        <v>2813</v>
      </c>
    </row>
    <row r="27347" spans="1:17" x14ac:dyDescent="0.35">
      <c r="A27347" s="1" t="s">
        <v>2481</v>
      </c>
    </row>
    <row r="27348" spans="1:17" x14ac:dyDescent="0.35">
      <c r="A27348" t="s">
        <v>219</v>
      </c>
      <c r="B27348" t="s">
        <v>305</v>
      </c>
      <c r="C27348" t="s">
        <v>2465</v>
      </c>
      <c r="D27348" t="s">
        <v>2466</v>
      </c>
      <c r="E27348" t="s">
        <v>2467</v>
      </c>
      <c r="F27348" t="s">
        <v>2468</v>
      </c>
      <c r="G27348" t="s">
        <v>2469</v>
      </c>
      <c r="H27348" t="s">
        <v>2470</v>
      </c>
      <c r="I27348" t="s">
        <v>550</v>
      </c>
      <c r="J27348" t="s">
        <v>281</v>
      </c>
      <c r="K27348" t="s">
        <v>2471</v>
      </c>
      <c r="L27348" t="s">
        <v>2472</v>
      </c>
      <c r="M27348" t="s">
        <v>2473</v>
      </c>
      <c r="N27348" t="s">
        <v>2474</v>
      </c>
      <c r="O27348" t="s">
        <v>286</v>
      </c>
      <c r="P27348" t="s">
        <v>2475</v>
      </c>
      <c r="Q27348" t="s">
        <v>226</v>
      </c>
    </row>
    <row r="27349" spans="1:17" x14ac:dyDescent="0.35">
      <c r="A27349" t="s">
        <v>227</v>
      </c>
      <c r="B27349" t="s">
        <v>252</v>
      </c>
      <c r="C27349" s="26">
        <v>0.2</v>
      </c>
      <c r="D27349" s="26">
        <v>0.1111</v>
      </c>
      <c r="E27349" s="26">
        <v>8.8900000000000007E-2</v>
      </c>
      <c r="F27349" s="26">
        <v>0.26669999999999999</v>
      </c>
      <c r="G27349" s="26">
        <v>4.4400000000000002E-2</v>
      </c>
      <c r="H27349" s="26">
        <v>0.22220000000000001</v>
      </c>
      <c r="I27349" s="26">
        <v>0.15559999999999999</v>
      </c>
      <c r="J27349" s="26">
        <v>8.8900000000000007E-2</v>
      </c>
      <c r="K27349" s="26">
        <v>8.8900000000000007E-2</v>
      </c>
      <c r="L27349" s="26">
        <v>2.2200000000000001E-2</v>
      </c>
      <c r="M27349" s="26">
        <v>2.2200000000000001E-2</v>
      </c>
      <c r="Q27349">
        <v>45</v>
      </c>
    </row>
    <row r="27350" spans="1:17" x14ac:dyDescent="0.35">
      <c r="A27350" t="s">
        <v>227</v>
      </c>
      <c r="B27350" t="s">
        <v>253</v>
      </c>
      <c r="C27350" s="26">
        <v>0.26469999999999999</v>
      </c>
      <c r="D27350" s="26">
        <v>0.29409999999999997</v>
      </c>
      <c r="E27350" s="26">
        <v>0.2059</v>
      </c>
      <c r="F27350" s="26">
        <v>0.1176</v>
      </c>
      <c r="G27350" s="26">
        <v>0.14710000000000001</v>
      </c>
      <c r="H27350" s="26">
        <v>0.14710000000000001</v>
      </c>
      <c r="I27350" s="26">
        <v>0.17649999999999999</v>
      </c>
      <c r="J27350" s="26">
        <v>8.8200000000000001E-2</v>
      </c>
      <c r="K27350" s="26">
        <v>0.1176</v>
      </c>
      <c r="L27350" s="26">
        <v>5.8799999999999998E-2</v>
      </c>
      <c r="M27350" s="26">
        <v>0.14710000000000001</v>
      </c>
      <c r="N27350" s="26">
        <v>2.9399999999999999E-2</v>
      </c>
      <c r="Q27350">
        <v>34</v>
      </c>
    </row>
    <row r="27351" spans="1:17" x14ac:dyDescent="0.35">
      <c r="A27351" t="s">
        <v>227</v>
      </c>
      <c r="B27351" t="s">
        <v>251</v>
      </c>
      <c r="C27351" s="26">
        <v>0.42680000000000001</v>
      </c>
      <c r="D27351" s="26">
        <v>0.14630000000000001</v>
      </c>
      <c r="E27351" s="26">
        <v>0.23169999999999999</v>
      </c>
      <c r="F27351" s="26">
        <v>0.10979999999999999</v>
      </c>
      <c r="G27351" s="26">
        <v>0.14630000000000001</v>
      </c>
      <c r="H27351" s="26">
        <v>8.5400000000000004E-2</v>
      </c>
      <c r="I27351" s="26">
        <v>7.3200000000000001E-2</v>
      </c>
      <c r="J27351" s="26">
        <v>8.5400000000000004E-2</v>
      </c>
      <c r="K27351" s="26">
        <v>1.2200000000000001E-2</v>
      </c>
      <c r="L27351" s="26">
        <v>3.6600000000000001E-2</v>
      </c>
      <c r="M27351" s="26">
        <v>4.8800000000000003E-2</v>
      </c>
      <c r="N27351" s="26">
        <v>3.6600000000000001E-2</v>
      </c>
      <c r="Q27351">
        <v>82</v>
      </c>
    </row>
    <row r="27352" spans="1:17" x14ac:dyDescent="0.35">
      <c r="A27352" t="s">
        <v>228</v>
      </c>
      <c r="B27352" t="s">
        <v>252</v>
      </c>
      <c r="C27352" s="26">
        <v>0.3604</v>
      </c>
      <c r="D27352" s="26">
        <v>0.21540000000000001</v>
      </c>
      <c r="E27352" s="26">
        <v>0.1201</v>
      </c>
      <c r="F27352" s="26">
        <v>0.13320000000000001</v>
      </c>
      <c r="G27352" s="26">
        <v>5.2600000000000001E-2</v>
      </c>
      <c r="H27352" s="26">
        <v>0.2099</v>
      </c>
      <c r="I27352" s="26">
        <v>0.1656</v>
      </c>
      <c r="J27352" s="26">
        <v>8.4000000000000005E-2</v>
      </c>
      <c r="K27352" s="26">
        <v>1.2699999999999999E-2</v>
      </c>
      <c r="L27352" s="26">
        <v>5.7000000000000002E-2</v>
      </c>
      <c r="M27352" s="26">
        <v>1.43E-2</v>
      </c>
      <c r="N27352" s="26">
        <v>2.4400000000000002E-2</v>
      </c>
      <c r="O27352" s="26">
        <v>5.4999999999999997E-3</v>
      </c>
      <c r="Q27352">
        <v>344</v>
      </c>
    </row>
    <row r="27353" spans="1:17" x14ac:dyDescent="0.35">
      <c r="A27353" t="s">
        <v>228</v>
      </c>
      <c r="B27353" t="s">
        <v>253</v>
      </c>
      <c r="C27353" s="26">
        <v>0.45240000000000002</v>
      </c>
      <c r="D27353" s="26">
        <v>0.2291</v>
      </c>
      <c r="E27353" s="26">
        <v>0.17050000000000001</v>
      </c>
      <c r="F27353" s="26">
        <v>0.1036</v>
      </c>
      <c r="G27353" s="26">
        <v>0.1434</v>
      </c>
      <c r="H27353" s="26">
        <v>0.1953</v>
      </c>
      <c r="I27353" s="26">
        <v>0.14019999999999999</v>
      </c>
      <c r="J27353" s="26">
        <v>5.33E-2</v>
      </c>
      <c r="K27353" s="26">
        <v>2.5999999999999999E-2</v>
      </c>
      <c r="L27353" s="26">
        <v>8.3999999999999995E-3</v>
      </c>
      <c r="M27353" s="26">
        <v>1.95E-2</v>
      </c>
      <c r="N27353" s="26">
        <v>4.0500000000000001E-2</v>
      </c>
      <c r="Q27353">
        <v>222</v>
      </c>
    </row>
    <row r="27354" spans="1:17" x14ac:dyDescent="0.35">
      <c r="A27354" t="s">
        <v>228</v>
      </c>
      <c r="B27354" t="s">
        <v>251</v>
      </c>
      <c r="C27354" s="26">
        <v>0.53969999999999996</v>
      </c>
      <c r="D27354" s="26">
        <v>0.21190000000000001</v>
      </c>
      <c r="E27354" s="26">
        <v>0.21099999999999999</v>
      </c>
      <c r="F27354" s="26">
        <v>0.1065</v>
      </c>
      <c r="G27354" s="26">
        <v>0.15340000000000001</v>
      </c>
      <c r="H27354" s="26">
        <v>0.1741</v>
      </c>
      <c r="I27354" s="26">
        <v>0.1205</v>
      </c>
      <c r="J27354" s="26">
        <v>7.6700000000000004E-2</v>
      </c>
      <c r="K27354" s="26">
        <v>3.6200000000000003E-2</v>
      </c>
      <c r="L27354" s="26">
        <v>3.49E-2</v>
      </c>
      <c r="M27354" s="26">
        <v>4.5400000000000003E-2</v>
      </c>
      <c r="N27354" s="26">
        <v>4.48E-2</v>
      </c>
      <c r="O27354" s="26">
        <v>2.3E-3</v>
      </c>
      <c r="Q27354">
        <v>467</v>
      </c>
    </row>
    <row r="27355" spans="1:17" x14ac:dyDescent="0.35">
      <c r="A27355" t="s">
        <v>229</v>
      </c>
      <c r="B27355" t="s">
        <v>252</v>
      </c>
      <c r="C27355" s="26">
        <v>0.28870000000000001</v>
      </c>
      <c r="D27355" s="26">
        <v>0.1966</v>
      </c>
      <c r="E27355" s="26">
        <v>0.13239999999999999</v>
      </c>
      <c r="F27355" s="26">
        <v>0.23100000000000001</v>
      </c>
      <c r="G27355" s="26">
        <v>0.1038</v>
      </c>
      <c r="H27355" s="26">
        <v>0.1411</v>
      </c>
      <c r="I27355" s="26">
        <v>0.14630000000000001</v>
      </c>
      <c r="J27355" s="26">
        <v>0.13639999999999999</v>
      </c>
      <c r="K27355" s="26">
        <v>1.7899999999999999E-2</v>
      </c>
      <c r="L27355" s="26">
        <v>4.6199999999999998E-2</v>
      </c>
      <c r="M27355" s="26">
        <v>1.26E-2</v>
      </c>
      <c r="N27355" s="26">
        <v>5.8999999999999999E-3</v>
      </c>
      <c r="Q27355">
        <v>199</v>
      </c>
    </row>
    <row r="27356" spans="1:17" x14ac:dyDescent="0.35">
      <c r="A27356" t="s">
        <v>229</v>
      </c>
      <c r="B27356" t="s">
        <v>253</v>
      </c>
      <c r="C27356" s="26">
        <v>0.31419999999999998</v>
      </c>
      <c r="D27356" s="26">
        <v>0.19570000000000001</v>
      </c>
      <c r="E27356" s="26">
        <v>0.18770000000000001</v>
      </c>
      <c r="F27356" s="26">
        <v>0.2233</v>
      </c>
      <c r="G27356" s="26">
        <v>0.1186</v>
      </c>
      <c r="H27356" s="26">
        <v>0.16800000000000001</v>
      </c>
      <c r="I27356" s="26">
        <v>0.17080000000000001</v>
      </c>
      <c r="J27356" s="26">
        <v>9.3200000000000005E-2</v>
      </c>
      <c r="K27356" s="26">
        <v>5.1700000000000003E-2</v>
      </c>
      <c r="L27356" s="26">
        <v>6.8699999999999997E-2</v>
      </c>
      <c r="M27356" s="26">
        <v>2.07E-2</v>
      </c>
      <c r="N27356" s="26">
        <v>7.4099999999999999E-2</v>
      </c>
      <c r="O27356" s="26">
        <v>4.0000000000000001E-3</v>
      </c>
      <c r="Q27356">
        <v>145</v>
      </c>
    </row>
    <row r="27357" spans="1:17" x14ac:dyDescent="0.35">
      <c r="A27357" t="s">
        <v>229</v>
      </c>
      <c r="B27357" t="s">
        <v>251</v>
      </c>
      <c r="C27357" s="26">
        <v>0.5242</v>
      </c>
      <c r="D27357" s="26">
        <v>0.2722</v>
      </c>
      <c r="E27357" s="26">
        <v>0.2757</v>
      </c>
      <c r="F27357" s="26">
        <v>0.15579999999999999</v>
      </c>
      <c r="G27357" s="26">
        <v>0.2132</v>
      </c>
      <c r="H27357" s="26">
        <v>0.1225</v>
      </c>
      <c r="I27357" s="26">
        <v>8.2400000000000001E-2</v>
      </c>
      <c r="J27357" s="26">
        <v>5.3800000000000001E-2</v>
      </c>
      <c r="K27357" s="26">
        <v>2.98E-2</v>
      </c>
      <c r="L27357" s="26">
        <v>4.8000000000000001E-2</v>
      </c>
      <c r="M27357" s="26">
        <v>6.59E-2</v>
      </c>
      <c r="N27357" s="26">
        <v>4.0800000000000003E-2</v>
      </c>
      <c r="O27357" s="26">
        <v>5.9999999999999995E-4</v>
      </c>
      <c r="P27357" s="26">
        <v>2.3E-3</v>
      </c>
      <c r="Q27357">
        <v>551</v>
      </c>
    </row>
    <row r="27358" spans="1:17" x14ac:dyDescent="0.35">
      <c r="A27358" t="s">
        <v>230</v>
      </c>
      <c r="B27358" t="s">
        <v>252</v>
      </c>
      <c r="C27358" s="26">
        <v>0.29399999999999998</v>
      </c>
      <c r="D27358" s="26">
        <v>0.30609999999999998</v>
      </c>
      <c r="E27358" s="26">
        <v>0.12559999999999999</v>
      </c>
      <c r="F27358" s="26">
        <v>0.14199999999999999</v>
      </c>
      <c r="G27358" s="26">
        <v>0.1037</v>
      </c>
      <c r="H27358" s="26">
        <v>0.2024</v>
      </c>
      <c r="I27358" s="26">
        <v>0.1762</v>
      </c>
      <c r="J27358" s="26">
        <v>5.5E-2</v>
      </c>
      <c r="K27358" s="26">
        <v>8.0999999999999996E-3</v>
      </c>
      <c r="L27358" s="26">
        <v>4.3099999999999999E-2</v>
      </c>
      <c r="M27358" s="26">
        <v>4.6699999999999998E-2</v>
      </c>
      <c r="N27358" s="26">
        <v>5.7099999999999998E-2</v>
      </c>
      <c r="O27358" s="26">
        <v>3.5000000000000001E-3</v>
      </c>
      <c r="Q27358">
        <v>159</v>
      </c>
    </row>
    <row r="27359" spans="1:17" x14ac:dyDescent="0.35">
      <c r="A27359" t="s">
        <v>230</v>
      </c>
      <c r="B27359" t="s">
        <v>253</v>
      </c>
      <c r="C27359" s="26">
        <v>0.4375</v>
      </c>
      <c r="D27359" s="26">
        <v>0.3392</v>
      </c>
      <c r="E27359" s="26">
        <v>0.26040000000000002</v>
      </c>
      <c r="F27359" s="26">
        <v>2.1499999999999998E-2</v>
      </c>
      <c r="G27359" s="26">
        <v>0.13200000000000001</v>
      </c>
      <c r="H27359" s="26">
        <v>0.1053</v>
      </c>
      <c r="I27359" s="26">
        <v>0.18479999999999999</v>
      </c>
      <c r="J27359" s="26">
        <v>1.23E-2</v>
      </c>
      <c r="L27359" s="26">
        <v>7.7000000000000002E-3</v>
      </c>
      <c r="M27359" s="26">
        <v>5.9900000000000002E-2</v>
      </c>
      <c r="N27359" s="26">
        <v>4.7000000000000002E-3</v>
      </c>
      <c r="Q27359">
        <v>110</v>
      </c>
    </row>
    <row r="27360" spans="1:17" x14ac:dyDescent="0.35">
      <c r="A27360" t="s">
        <v>230</v>
      </c>
      <c r="B27360" t="s">
        <v>251</v>
      </c>
      <c r="C27360" s="26">
        <v>0.44540000000000002</v>
      </c>
      <c r="D27360" s="26">
        <v>0.26100000000000001</v>
      </c>
      <c r="E27360" s="26">
        <v>0.2072</v>
      </c>
      <c r="F27360" s="26">
        <v>0.13619999999999999</v>
      </c>
      <c r="G27360" s="26">
        <v>0.26889999999999997</v>
      </c>
      <c r="H27360" s="26">
        <v>0.1013</v>
      </c>
      <c r="I27360" s="26">
        <v>9.0399999999999994E-2</v>
      </c>
      <c r="J27360" s="26">
        <v>1.3899999999999999E-2</v>
      </c>
      <c r="K27360" s="26">
        <v>2.1999999999999999E-2</v>
      </c>
      <c r="L27360" s="26">
        <v>1.29E-2</v>
      </c>
      <c r="M27360" s="26">
        <v>3.9300000000000002E-2</v>
      </c>
      <c r="N27360" s="26">
        <v>3.2800000000000003E-2</v>
      </c>
      <c r="O27360" s="26">
        <v>5.0000000000000001E-4</v>
      </c>
      <c r="Q27360">
        <v>291</v>
      </c>
    </row>
    <row r="27361" spans="1:17" x14ac:dyDescent="0.35">
      <c r="A27361" t="s">
        <v>231</v>
      </c>
      <c r="B27361" t="s">
        <v>252</v>
      </c>
      <c r="C27361" s="26">
        <v>0.1837</v>
      </c>
      <c r="D27361" s="26">
        <v>0.1837</v>
      </c>
      <c r="E27361" s="26">
        <v>8.1600000000000006E-2</v>
      </c>
      <c r="F27361" s="26">
        <v>0.22450000000000001</v>
      </c>
      <c r="G27361" s="26">
        <v>4.0800000000000003E-2</v>
      </c>
      <c r="H27361" s="26">
        <v>4.0800000000000003E-2</v>
      </c>
      <c r="I27361" s="26">
        <v>0.1837</v>
      </c>
      <c r="J27361" s="26">
        <v>0.1633</v>
      </c>
      <c r="K27361" s="26">
        <v>2.0400000000000001E-2</v>
      </c>
      <c r="M27361" s="26">
        <v>4.0800000000000003E-2</v>
      </c>
      <c r="N27361" s="26">
        <v>2.0400000000000001E-2</v>
      </c>
      <c r="O27361" s="26">
        <v>4.0800000000000003E-2</v>
      </c>
      <c r="Q27361">
        <v>49</v>
      </c>
    </row>
    <row r="27362" spans="1:17" x14ac:dyDescent="0.35">
      <c r="A27362" t="s">
        <v>231</v>
      </c>
      <c r="B27362" t="s">
        <v>253</v>
      </c>
      <c r="C27362" s="26">
        <v>0.33329999999999999</v>
      </c>
      <c r="D27362" s="26">
        <v>0.16669999999999999</v>
      </c>
      <c r="E27362" s="26">
        <v>0.26669999999999999</v>
      </c>
      <c r="F27362" s="26">
        <v>0.26669999999999999</v>
      </c>
      <c r="G27362" s="26">
        <v>0.1333</v>
      </c>
      <c r="H27362" s="26">
        <v>0.2</v>
      </c>
      <c r="I27362" s="26">
        <v>0.1</v>
      </c>
      <c r="J27362" s="26">
        <v>3.3300000000000003E-2</v>
      </c>
      <c r="K27362" s="26">
        <v>0.1</v>
      </c>
      <c r="L27362" s="26">
        <v>0.1333</v>
      </c>
      <c r="M27362" s="26">
        <v>3.3300000000000003E-2</v>
      </c>
      <c r="N27362" s="26">
        <v>6.6699999999999995E-2</v>
      </c>
      <c r="Q27362">
        <v>30</v>
      </c>
    </row>
    <row r="27363" spans="1:17" x14ac:dyDescent="0.35">
      <c r="A27363" t="s">
        <v>231</v>
      </c>
      <c r="B27363" t="s">
        <v>251</v>
      </c>
      <c r="C27363" s="26">
        <v>0.43530000000000002</v>
      </c>
      <c r="D27363" s="26">
        <v>0.17649999999999999</v>
      </c>
      <c r="E27363" s="26">
        <v>0.23530000000000001</v>
      </c>
      <c r="F27363" s="26">
        <v>0.14119999999999999</v>
      </c>
      <c r="G27363" s="26">
        <v>0.2235</v>
      </c>
      <c r="H27363" s="26">
        <v>0.15290000000000001</v>
      </c>
      <c r="I27363" s="26">
        <v>0.10589999999999999</v>
      </c>
      <c r="J27363" s="26">
        <v>0.12939999999999999</v>
      </c>
      <c r="K27363" s="26">
        <v>7.0599999999999996E-2</v>
      </c>
      <c r="L27363" s="26">
        <v>2.35E-2</v>
      </c>
      <c r="M27363" s="26">
        <v>1.18E-2</v>
      </c>
      <c r="N27363" s="26">
        <v>2.35E-2</v>
      </c>
      <c r="Q27363">
        <v>85</v>
      </c>
    </row>
    <row r="27364" spans="1:17" x14ac:dyDescent="0.35">
      <c r="A27364" t="s">
        <v>232</v>
      </c>
      <c r="B27364" t="s">
        <v>232</v>
      </c>
      <c r="C27364" s="26">
        <v>0.39529999999999998</v>
      </c>
      <c r="D27364" s="26">
        <v>0.21199999999999999</v>
      </c>
      <c r="E27364" s="26">
        <v>0.1988</v>
      </c>
      <c r="F27364" s="26">
        <v>0.16139999999999999</v>
      </c>
      <c r="G27364" s="26">
        <v>0.15060000000000001</v>
      </c>
      <c r="H27364" s="26">
        <v>0.1434</v>
      </c>
      <c r="I27364" s="26">
        <v>0.12470000000000001</v>
      </c>
      <c r="J27364" s="26">
        <v>8.5999999999999993E-2</v>
      </c>
      <c r="K27364" s="26">
        <v>4.0599999999999997E-2</v>
      </c>
      <c r="L27364" s="26">
        <v>3.9300000000000002E-2</v>
      </c>
      <c r="M27364" s="26">
        <v>3.9199999999999999E-2</v>
      </c>
      <c r="N27364" s="26">
        <v>3.3799999999999997E-2</v>
      </c>
      <c r="O27364" s="26">
        <v>4.3E-3</v>
      </c>
      <c r="P27364" s="26">
        <v>4.0000000000000002E-4</v>
      </c>
      <c r="Q27364">
        <v>2813</v>
      </c>
    </row>
    <row r="27366" spans="1:17" x14ac:dyDescent="0.35">
      <c r="A27366" s="1" t="s">
        <v>2482</v>
      </c>
    </row>
    <row r="27367" spans="1:17" x14ac:dyDescent="0.35">
      <c r="A27367" t="s">
        <v>219</v>
      </c>
      <c r="B27367" t="s">
        <v>305</v>
      </c>
      <c r="C27367" t="s">
        <v>2465</v>
      </c>
      <c r="D27367" t="s">
        <v>2466</v>
      </c>
      <c r="E27367" t="s">
        <v>2467</v>
      </c>
      <c r="F27367" t="s">
        <v>2468</v>
      </c>
      <c r="G27367" t="s">
        <v>2469</v>
      </c>
      <c r="H27367" t="s">
        <v>2470</v>
      </c>
      <c r="I27367" t="s">
        <v>550</v>
      </c>
      <c r="J27367" t="s">
        <v>281</v>
      </c>
      <c r="K27367" t="s">
        <v>2471</v>
      </c>
      <c r="L27367" t="s">
        <v>2472</v>
      </c>
      <c r="M27367" t="s">
        <v>2473</v>
      </c>
      <c r="N27367" t="s">
        <v>2474</v>
      </c>
      <c r="O27367" t="s">
        <v>286</v>
      </c>
      <c r="P27367" t="s">
        <v>2475</v>
      </c>
      <c r="Q27367" t="s">
        <v>226</v>
      </c>
    </row>
    <row r="27368" spans="1:17" x14ac:dyDescent="0.35">
      <c r="A27368" t="s">
        <v>227</v>
      </c>
      <c r="B27368" t="s">
        <v>249</v>
      </c>
      <c r="C27368" s="26">
        <v>0.36359999999999998</v>
      </c>
      <c r="D27368" s="26">
        <v>0.18179999999999999</v>
      </c>
      <c r="E27368" s="26">
        <v>0.2273</v>
      </c>
      <c r="F27368" s="26">
        <v>9.0899999999999995E-2</v>
      </c>
      <c r="G27368" s="26">
        <v>0.15909999999999999</v>
      </c>
      <c r="H27368" s="26">
        <v>0.11360000000000001</v>
      </c>
      <c r="I27368" s="26">
        <v>9.0899999999999995E-2</v>
      </c>
      <c r="J27368" s="26">
        <v>9.0899999999999995E-2</v>
      </c>
      <c r="L27368" s="26">
        <v>2.2700000000000001E-2</v>
      </c>
      <c r="M27368" s="26">
        <v>2.2700000000000001E-2</v>
      </c>
      <c r="Q27368">
        <v>44</v>
      </c>
    </row>
    <row r="27369" spans="1:17" x14ac:dyDescent="0.35">
      <c r="A27369" t="s">
        <v>227</v>
      </c>
      <c r="B27369" t="s">
        <v>248</v>
      </c>
      <c r="C27369" s="26">
        <v>0.31619999999999998</v>
      </c>
      <c r="D27369" s="26">
        <v>0.16239999999999999</v>
      </c>
      <c r="E27369" s="26">
        <v>0.1709</v>
      </c>
      <c r="F27369" s="26">
        <v>0.17949999999999999</v>
      </c>
      <c r="G27369" s="26">
        <v>0.1026</v>
      </c>
      <c r="H27369" s="26">
        <v>0.14530000000000001</v>
      </c>
      <c r="I27369" s="26">
        <v>0.12820000000000001</v>
      </c>
      <c r="J27369" s="26">
        <v>8.5500000000000007E-2</v>
      </c>
      <c r="K27369" s="26">
        <v>7.6899999999999996E-2</v>
      </c>
      <c r="L27369" s="26">
        <v>4.2700000000000002E-2</v>
      </c>
      <c r="M27369" s="26">
        <v>7.6899999999999996E-2</v>
      </c>
      <c r="N27369" s="26">
        <v>3.4200000000000001E-2</v>
      </c>
      <c r="Q27369">
        <v>117</v>
      </c>
    </row>
    <row r="27370" spans="1:17" x14ac:dyDescent="0.35">
      <c r="A27370" t="s">
        <v>228</v>
      </c>
      <c r="B27370" t="s">
        <v>249</v>
      </c>
      <c r="C27370" s="26">
        <v>0.51839999999999997</v>
      </c>
      <c r="D27370" s="26">
        <v>0.21099999999999999</v>
      </c>
      <c r="E27370" s="26">
        <v>0.21540000000000001</v>
      </c>
      <c r="F27370" s="26">
        <v>0.109</v>
      </c>
      <c r="G27370" s="26">
        <v>0.1537</v>
      </c>
      <c r="H27370" s="26">
        <v>0.22259999999999999</v>
      </c>
      <c r="I27370" s="26">
        <v>0.1043</v>
      </c>
      <c r="J27370" s="26">
        <v>4.2599999999999999E-2</v>
      </c>
      <c r="K27370" s="26">
        <v>2.01E-2</v>
      </c>
      <c r="L27370" s="26">
        <v>2.1000000000000001E-2</v>
      </c>
      <c r="M27370" s="26">
        <v>2.7E-2</v>
      </c>
      <c r="N27370" s="26">
        <v>0.03</v>
      </c>
      <c r="O27370" s="26">
        <v>1.8E-3</v>
      </c>
      <c r="Q27370">
        <v>274</v>
      </c>
    </row>
    <row r="27371" spans="1:17" x14ac:dyDescent="0.35">
      <c r="A27371" t="s">
        <v>228</v>
      </c>
      <c r="B27371" t="s">
        <v>248</v>
      </c>
      <c r="C27371" s="26">
        <v>0.44140000000000001</v>
      </c>
      <c r="D27371" s="26">
        <v>0.219</v>
      </c>
      <c r="E27371" s="26">
        <v>0.15579999999999999</v>
      </c>
      <c r="F27371" s="26">
        <v>0.1168</v>
      </c>
      <c r="G27371" s="26">
        <v>0.1043</v>
      </c>
      <c r="H27371" s="26">
        <v>0.17599999999999999</v>
      </c>
      <c r="I27371" s="26">
        <v>0.1537</v>
      </c>
      <c r="J27371" s="26">
        <v>8.77E-2</v>
      </c>
      <c r="K27371" s="26">
        <v>2.9399999999999999E-2</v>
      </c>
      <c r="L27371" s="26">
        <v>4.3200000000000002E-2</v>
      </c>
      <c r="M27371" s="26">
        <v>3.1399999999999997E-2</v>
      </c>
      <c r="N27371" s="26">
        <v>4.0500000000000001E-2</v>
      </c>
      <c r="O27371" s="26">
        <v>3.3E-3</v>
      </c>
      <c r="Q27371">
        <v>759</v>
      </c>
    </row>
    <row r="27372" spans="1:17" x14ac:dyDescent="0.35">
      <c r="A27372" t="s">
        <v>229</v>
      </c>
      <c r="B27372" t="s">
        <v>249</v>
      </c>
      <c r="C27372" s="26">
        <v>0.48110000000000003</v>
      </c>
      <c r="D27372" s="26">
        <v>0.31109999999999999</v>
      </c>
      <c r="E27372" s="26">
        <v>0.21590000000000001</v>
      </c>
      <c r="F27372" s="26">
        <v>0.18840000000000001</v>
      </c>
      <c r="G27372" s="26">
        <v>0.17580000000000001</v>
      </c>
      <c r="H27372" s="26">
        <v>0.11260000000000001</v>
      </c>
      <c r="I27372" s="26">
        <v>7.8399999999999997E-2</v>
      </c>
      <c r="J27372" s="26">
        <v>6.8099999999999994E-2</v>
      </c>
      <c r="K27372" s="26">
        <v>3.2199999999999999E-2</v>
      </c>
      <c r="L27372" s="26">
        <v>4.0800000000000003E-2</v>
      </c>
      <c r="M27372" s="26">
        <v>5.0200000000000002E-2</v>
      </c>
      <c r="N27372" s="26">
        <v>3.32E-2</v>
      </c>
      <c r="O27372" s="26">
        <v>2.9999999999999997E-4</v>
      </c>
      <c r="Q27372">
        <v>259</v>
      </c>
    </row>
    <row r="27373" spans="1:17" x14ac:dyDescent="0.35">
      <c r="A27373" t="s">
        <v>229</v>
      </c>
      <c r="B27373" t="s">
        <v>248</v>
      </c>
      <c r="C27373" s="26">
        <v>0.40760000000000002</v>
      </c>
      <c r="D27373" s="26">
        <v>0.2064</v>
      </c>
      <c r="E27373" s="26">
        <v>0.2324</v>
      </c>
      <c r="F27373" s="26">
        <v>0.184</v>
      </c>
      <c r="G27373" s="26">
        <v>0.16830000000000001</v>
      </c>
      <c r="H27373" s="26">
        <v>0.1464</v>
      </c>
      <c r="I27373" s="26">
        <v>0.1305</v>
      </c>
      <c r="J27373" s="26">
        <v>8.5500000000000007E-2</v>
      </c>
      <c r="K27373" s="26">
        <v>3.0800000000000001E-2</v>
      </c>
      <c r="L27373" s="26">
        <v>5.6800000000000003E-2</v>
      </c>
      <c r="M27373" s="26">
        <v>4.3099999999999999E-2</v>
      </c>
      <c r="N27373" s="26">
        <v>4.2200000000000001E-2</v>
      </c>
      <c r="O27373" s="26">
        <v>1.5E-3</v>
      </c>
      <c r="P27373" s="26">
        <v>2E-3</v>
      </c>
      <c r="Q27373">
        <v>636</v>
      </c>
    </row>
    <row r="27374" spans="1:17" x14ac:dyDescent="0.35">
      <c r="A27374" t="s">
        <v>230</v>
      </c>
      <c r="B27374" t="s">
        <v>249</v>
      </c>
      <c r="C27374" s="26">
        <v>0.48549999999999999</v>
      </c>
      <c r="D27374" s="26">
        <v>0.21429999999999999</v>
      </c>
      <c r="E27374" s="26">
        <v>0.17610000000000001</v>
      </c>
      <c r="F27374" s="26">
        <v>0.12520000000000001</v>
      </c>
      <c r="G27374" s="26">
        <v>0.22209999999999999</v>
      </c>
      <c r="H27374" s="26">
        <v>0.1113</v>
      </c>
      <c r="I27374" s="26">
        <v>0.1037</v>
      </c>
      <c r="J27374" s="26">
        <v>6.8999999999999999E-3</v>
      </c>
      <c r="K27374" s="26">
        <v>8.0000000000000004E-4</v>
      </c>
      <c r="L27374" s="26">
        <v>5.3E-3</v>
      </c>
      <c r="M27374" s="26">
        <v>3.1899999999999998E-2</v>
      </c>
      <c r="N27374" s="26">
        <v>3.3999999999999998E-3</v>
      </c>
      <c r="O27374" s="26">
        <v>8.0000000000000004E-4</v>
      </c>
      <c r="Q27374">
        <v>171</v>
      </c>
    </row>
    <row r="27375" spans="1:17" x14ac:dyDescent="0.35">
      <c r="A27375" t="s">
        <v>230</v>
      </c>
      <c r="B27375" t="s">
        <v>248</v>
      </c>
      <c r="C27375" s="26">
        <v>0.36430000000000001</v>
      </c>
      <c r="D27375" s="26">
        <v>0.32450000000000001</v>
      </c>
      <c r="E27375" s="26">
        <v>0.20660000000000001</v>
      </c>
      <c r="F27375" s="26">
        <v>0.1114</v>
      </c>
      <c r="G27375" s="26">
        <v>0.18990000000000001</v>
      </c>
      <c r="H27375" s="26">
        <v>0.13639999999999999</v>
      </c>
      <c r="I27375" s="26">
        <v>0.14360000000000001</v>
      </c>
      <c r="J27375" s="26">
        <v>3.2899999999999999E-2</v>
      </c>
      <c r="K27375" s="26">
        <v>2.1100000000000001E-2</v>
      </c>
      <c r="L27375" s="26">
        <v>2.7E-2</v>
      </c>
      <c r="M27375" s="26">
        <v>5.1700000000000003E-2</v>
      </c>
      <c r="N27375" s="26">
        <v>4.9099999999999998E-2</v>
      </c>
      <c r="O27375" s="26">
        <v>1.2999999999999999E-3</v>
      </c>
      <c r="Q27375">
        <v>389</v>
      </c>
    </row>
    <row r="27376" spans="1:17" x14ac:dyDescent="0.35">
      <c r="A27376" t="s">
        <v>231</v>
      </c>
      <c r="B27376" t="s">
        <v>249</v>
      </c>
      <c r="C27376" s="26">
        <v>0.48570000000000002</v>
      </c>
      <c r="D27376" s="26">
        <v>0.1143</v>
      </c>
      <c r="E27376" s="26">
        <v>0.2</v>
      </c>
      <c r="F27376" s="26">
        <v>0.1429</v>
      </c>
      <c r="G27376" s="26">
        <v>0.1429</v>
      </c>
      <c r="H27376" s="26">
        <v>0.1143</v>
      </c>
      <c r="I27376" s="26">
        <v>2.86E-2</v>
      </c>
      <c r="J27376" s="26">
        <v>0.1429</v>
      </c>
      <c r="L27376" s="26">
        <v>2.86E-2</v>
      </c>
      <c r="Q27376">
        <v>35</v>
      </c>
    </row>
    <row r="27377" spans="1:17" x14ac:dyDescent="0.35">
      <c r="A27377" t="s">
        <v>231</v>
      </c>
      <c r="B27377" t="s">
        <v>248</v>
      </c>
      <c r="C27377" s="26">
        <v>0.30230000000000001</v>
      </c>
      <c r="D27377" s="26">
        <v>0.1938</v>
      </c>
      <c r="E27377" s="26">
        <v>0.1938</v>
      </c>
      <c r="F27377" s="26">
        <v>0.2016</v>
      </c>
      <c r="G27377" s="26">
        <v>0.155</v>
      </c>
      <c r="H27377" s="26">
        <v>0.1318</v>
      </c>
      <c r="I27377" s="26">
        <v>0.155</v>
      </c>
      <c r="J27377" s="26">
        <v>0.1163</v>
      </c>
      <c r="K27377" s="26">
        <v>7.7499999999999999E-2</v>
      </c>
      <c r="L27377" s="26">
        <v>3.8800000000000001E-2</v>
      </c>
      <c r="M27377" s="26">
        <v>3.1E-2</v>
      </c>
      <c r="N27377" s="26">
        <v>3.8800000000000001E-2</v>
      </c>
      <c r="O27377" s="26">
        <v>1.55E-2</v>
      </c>
      <c r="Q27377">
        <v>129</v>
      </c>
    </row>
    <row r="27378" spans="1:17" x14ac:dyDescent="0.35">
      <c r="A27378" t="s">
        <v>232</v>
      </c>
      <c r="B27378" t="s">
        <v>232</v>
      </c>
      <c r="C27378" s="26">
        <v>0.39529999999999998</v>
      </c>
      <c r="D27378" s="26">
        <v>0.21199999999999999</v>
      </c>
      <c r="E27378" s="26">
        <v>0.1988</v>
      </c>
      <c r="F27378" s="26">
        <v>0.16139999999999999</v>
      </c>
      <c r="G27378" s="26">
        <v>0.15060000000000001</v>
      </c>
      <c r="H27378" s="26">
        <v>0.1434</v>
      </c>
      <c r="I27378" s="26">
        <v>0.12470000000000001</v>
      </c>
      <c r="J27378" s="26">
        <v>8.5999999999999993E-2</v>
      </c>
      <c r="K27378" s="26">
        <v>4.0599999999999997E-2</v>
      </c>
      <c r="L27378" s="26">
        <v>3.9300000000000002E-2</v>
      </c>
      <c r="M27378" s="26">
        <v>3.9199999999999999E-2</v>
      </c>
      <c r="N27378" s="26">
        <v>3.3799999999999997E-2</v>
      </c>
      <c r="O27378" s="26">
        <v>4.3E-3</v>
      </c>
      <c r="P27378" s="26">
        <v>4.0000000000000002E-4</v>
      </c>
      <c r="Q27378">
        <v>2813</v>
      </c>
    </row>
    <row r="27380" spans="1:17" x14ac:dyDescent="0.35">
      <c r="A27380" s="1" t="s">
        <v>2483</v>
      </c>
    </row>
    <row r="27381" spans="1:17" x14ac:dyDescent="0.35">
      <c r="A27381" t="s">
        <v>219</v>
      </c>
      <c r="B27381" t="s">
        <v>305</v>
      </c>
      <c r="C27381" t="s">
        <v>2465</v>
      </c>
      <c r="D27381" t="s">
        <v>2466</v>
      </c>
      <c r="E27381" t="s">
        <v>2467</v>
      </c>
      <c r="F27381" t="s">
        <v>2468</v>
      </c>
      <c r="G27381" t="s">
        <v>2469</v>
      </c>
      <c r="H27381" t="s">
        <v>2470</v>
      </c>
      <c r="I27381" t="s">
        <v>550</v>
      </c>
      <c r="J27381" t="s">
        <v>281</v>
      </c>
      <c r="K27381" t="s">
        <v>2471</v>
      </c>
      <c r="L27381" t="s">
        <v>2472</v>
      </c>
      <c r="M27381" t="s">
        <v>2473</v>
      </c>
      <c r="N27381" t="s">
        <v>2474</v>
      </c>
      <c r="O27381" t="s">
        <v>286</v>
      </c>
      <c r="P27381" t="s">
        <v>2475</v>
      </c>
      <c r="Q27381" t="s">
        <v>226</v>
      </c>
    </row>
    <row r="27382" spans="1:17" x14ac:dyDescent="0.35">
      <c r="A27382" s="27" t="s">
        <v>227</v>
      </c>
      <c r="B27382" s="27" t="s">
        <v>263</v>
      </c>
      <c r="C27382" s="28">
        <v>0.66669999999999996</v>
      </c>
      <c r="D27382" s="28">
        <v>0.33329999999999999</v>
      </c>
      <c r="E27382" s="29"/>
      <c r="F27382" s="29"/>
      <c r="G27382" s="29"/>
      <c r="H27382" s="29"/>
      <c r="I27382" s="29"/>
      <c r="J27382" s="29"/>
      <c r="K27382" s="29"/>
      <c r="L27382" s="29"/>
      <c r="M27382" s="28">
        <v>0.33329999999999999</v>
      </c>
      <c r="N27382" s="29"/>
      <c r="O27382" s="29"/>
      <c r="P27382" s="29"/>
      <c r="Q27382" s="29" t="s">
        <v>315</v>
      </c>
    </row>
    <row r="27383" spans="1:17" x14ac:dyDescent="0.35">
      <c r="A27383" t="s">
        <v>227</v>
      </c>
      <c r="B27383" t="s">
        <v>261</v>
      </c>
      <c r="C27383" s="26">
        <v>0.30299999999999999</v>
      </c>
      <c r="D27383" s="26">
        <v>0.1515</v>
      </c>
      <c r="E27383" s="26">
        <v>0.2424</v>
      </c>
      <c r="F27383" s="26">
        <v>6.0600000000000001E-2</v>
      </c>
      <c r="G27383" s="26">
        <v>0.1212</v>
      </c>
      <c r="H27383" s="26">
        <v>0.2727</v>
      </c>
      <c r="I27383" s="26">
        <v>9.0899999999999995E-2</v>
      </c>
      <c r="J27383" s="26">
        <v>3.0300000000000001E-2</v>
      </c>
      <c r="K27383" s="26">
        <v>3.0300000000000001E-2</v>
      </c>
      <c r="M27383" s="26">
        <v>6.0600000000000001E-2</v>
      </c>
      <c r="Q27383">
        <v>33</v>
      </c>
    </row>
    <row r="27384" spans="1:17" x14ac:dyDescent="0.35">
      <c r="A27384" s="27" t="s">
        <v>227</v>
      </c>
      <c r="B27384" s="27" t="s">
        <v>262</v>
      </c>
      <c r="C27384" s="28">
        <v>1</v>
      </c>
      <c r="D27384" s="29"/>
      <c r="E27384" s="29"/>
      <c r="F27384" s="29"/>
      <c r="G27384" s="29"/>
      <c r="H27384" s="29"/>
      <c r="I27384" s="29"/>
      <c r="J27384" s="29"/>
      <c r="K27384" s="29"/>
      <c r="L27384" s="29"/>
      <c r="M27384" s="28">
        <v>0.33329999999999999</v>
      </c>
      <c r="N27384" s="28">
        <v>0.33329999999999999</v>
      </c>
      <c r="O27384" s="29"/>
      <c r="P27384" s="29"/>
      <c r="Q27384" s="29" t="s">
        <v>315</v>
      </c>
    </row>
    <row r="27385" spans="1:17" x14ac:dyDescent="0.35">
      <c r="A27385" t="s">
        <v>227</v>
      </c>
      <c r="B27385" t="s">
        <v>260</v>
      </c>
      <c r="C27385" s="26">
        <v>0.3115</v>
      </c>
      <c r="D27385" s="26">
        <v>0.1721</v>
      </c>
      <c r="E27385" s="26">
        <v>0.18029999999999999</v>
      </c>
      <c r="F27385" s="26">
        <v>0.1885</v>
      </c>
      <c r="G27385" s="26">
        <v>0.123</v>
      </c>
      <c r="H27385" s="26">
        <v>0.1066</v>
      </c>
      <c r="I27385" s="26">
        <v>0.13109999999999999</v>
      </c>
      <c r="J27385" s="26">
        <v>0.1066</v>
      </c>
      <c r="K27385" s="26">
        <v>6.5600000000000006E-2</v>
      </c>
      <c r="L27385" s="26">
        <v>4.9200000000000001E-2</v>
      </c>
      <c r="M27385" s="26">
        <v>4.9200000000000001E-2</v>
      </c>
      <c r="N27385" s="26">
        <v>2.46E-2</v>
      </c>
      <c r="Q27385">
        <v>122</v>
      </c>
    </row>
    <row r="27386" spans="1:17" x14ac:dyDescent="0.35">
      <c r="A27386" t="s">
        <v>228</v>
      </c>
      <c r="B27386" t="s">
        <v>261</v>
      </c>
      <c r="C27386" s="26">
        <v>0.4617</v>
      </c>
      <c r="D27386" s="26">
        <v>0.2036</v>
      </c>
      <c r="E27386" s="26">
        <v>0.1051</v>
      </c>
      <c r="F27386" s="26">
        <v>5.3999999999999999E-2</v>
      </c>
      <c r="G27386" s="26">
        <v>6.6400000000000001E-2</v>
      </c>
      <c r="H27386" s="26">
        <v>0.2039</v>
      </c>
      <c r="I27386" s="26">
        <v>0.16520000000000001</v>
      </c>
      <c r="J27386" s="26">
        <v>4.9000000000000002E-2</v>
      </c>
      <c r="K27386" s="26">
        <v>4.2299999999999997E-2</v>
      </c>
      <c r="L27386" s="26">
        <v>2.7400000000000001E-2</v>
      </c>
      <c r="M27386" s="26">
        <v>2.6200000000000001E-2</v>
      </c>
      <c r="N27386" s="26">
        <v>1.54E-2</v>
      </c>
      <c r="O27386" s="26">
        <v>1.1999999999999999E-3</v>
      </c>
      <c r="Q27386">
        <v>192</v>
      </c>
    </row>
    <row r="27387" spans="1:17" x14ac:dyDescent="0.35">
      <c r="A27387" s="27" t="s">
        <v>228</v>
      </c>
      <c r="B27387" s="27" t="s">
        <v>263</v>
      </c>
      <c r="C27387" s="28">
        <v>0.63400000000000001</v>
      </c>
      <c r="D27387" s="28">
        <v>0.20699999999999999</v>
      </c>
      <c r="E27387" s="28">
        <v>0.18260000000000001</v>
      </c>
      <c r="F27387" s="28">
        <v>1.2999999999999999E-2</v>
      </c>
      <c r="G27387" s="28">
        <v>0.23619999999999999</v>
      </c>
      <c r="H27387" s="28">
        <v>0.1181</v>
      </c>
      <c r="I27387" s="28">
        <v>2.5899999999999999E-2</v>
      </c>
      <c r="J27387" s="28">
        <v>4.4499999999999998E-2</v>
      </c>
      <c r="K27387" s="29"/>
      <c r="L27387" s="28">
        <v>1.2999999999999999E-2</v>
      </c>
      <c r="M27387" s="28">
        <v>4.4499999999999998E-2</v>
      </c>
      <c r="N27387" s="28">
        <v>0.1071</v>
      </c>
      <c r="O27387" s="29"/>
      <c r="P27387" s="29"/>
      <c r="Q27387" s="29" t="s">
        <v>312</v>
      </c>
    </row>
    <row r="27388" spans="1:17" x14ac:dyDescent="0.35">
      <c r="A27388" s="27" t="s">
        <v>228</v>
      </c>
      <c r="B27388" s="27" t="s">
        <v>236</v>
      </c>
      <c r="C27388" s="28">
        <v>0.46600000000000003</v>
      </c>
      <c r="D27388" s="29"/>
      <c r="E27388" s="28">
        <v>0.2268</v>
      </c>
      <c r="F27388" s="29"/>
      <c r="G27388" s="28">
        <v>0.26579999999999998</v>
      </c>
      <c r="H27388" s="28">
        <v>0.18790000000000001</v>
      </c>
      <c r="I27388" s="28">
        <v>0.53400000000000003</v>
      </c>
      <c r="J27388" s="29"/>
      <c r="K27388" s="29"/>
      <c r="L27388" s="29"/>
      <c r="M27388" s="29"/>
      <c r="N27388" s="29"/>
      <c r="O27388" s="29"/>
      <c r="P27388" s="29"/>
      <c r="Q27388" s="29" t="s">
        <v>335</v>
      </c>
    </row>
    <row r="27389" spans="1:17" x14ac:dyDescent="0.35">
      <c r="A27389" t="s">
        <v>228</v>
      </c>
      <c r="B27389" t="s">
        <v>262</v>
      </c>
      <c r="C27389" s="26">
        <v>0.50019999999999998</v>
      </c>
      <c r="D27389" s="26">
        <v>0.29649999999999999</v>
      </c>
      <c r="E27389" s="26">
        <v>0.29320000000000002</v>
      </c>
      <c r="F27389" s="26">
        <v>7.8E-2</v>
      </c>
      <c r="G27389" s="26">
        <v>0.17419999999999999</v>
      </c>
      <c r="H27389" s="26">
        <v>0.20949999999999999</v>
      </c>
      <c r="I27389" s="26">
        <v>0.12839999999999999</v>
      </c>
      <c r="J27389" s="26">
        <v>4.0399999999999998E-2</v>
      </c>
      <c r="K27389" s="26">
        <v>2.3300000000000001E-2</v>
      </c>
      <c r="L27389" s="26">
        <v>7.6300000000000007E-2</v>
      </c>
      <c r="M27389" s="26">
        <v>2.23E-2</v>
      </c>
      <c r="N27389" s="26">
        <v>4.0399999999999998E-2</v>
      </c>
      <c r="O27389" s="26">
        <v>5.7999999999999996E-3</v>
      </c>
      <c r="Q27389">
        <v>201</v>
      </c>
    </row>
    <row r="27390" spans="1:17" x14ac:dyDescent="0.35">
      <c r="A27390" t="s">
        <v>228</v>
      </c>
      <c r="B27390" t="s">
        <v>260</v>
      </c>
      <c r="C27390" s="26">
        <v>0.45040000000000002</v>
      </c>
      <c r="D27390" s="26">
        <v>0.20150000000000001</v>
      </c>
      <c r="E27390" s="26">
        <v>0.16220000000000001</v>
      </c>
      <c r="F27390" s="26">
        <v>0.1477</v>
      </c>
      <c r="G27390" s="26">
        <v>0.1158</v>
      </c>
      <c r="H27390" s="26">
        <v>0.18240000000000001</v>
      </c>
      <c r="I27390" s="26">
        <v>0.13300000000000001</v>
      </c>
      <c r="J27390" s="26">
        <v>9.2999999999999999E-2</v>
      </c>
      <c r="K27390" s="26">
        <v>2.3599999999999999E-2</v>
      </c>
      <c r="L27390" s="26">
        <v>2.98E-2</v>
      </c>
      <c r="M27390" s="26">
        <v>3.3300000000000003E-2</v>
      </c>
      <c r="N27390" s="26">
        <v>4.1799999999999997E-2</v>
      </c>
      <c r="O27390" s="26">
        <v>2.7000000000000001E-3</v>
      </c>
      <c r="Q27390">
        <v>609</v>
      </c>
    </row>
    <row r="27391" spans="1:17" x14ac:dyDescent="0.35">
      <c r="A27391" s="27" t="s">
        <v>229</v>
      </c>
      <c r="B27391" s="27" t="s">
        <v>263</v>
      </c>
      <c r="C27391" s="28">
        <v>0.73540000000000005</v>
      </c>
      <c r="D27391" s="28">
        <v>3.9100000000000003E-2</v>
      </c>
      <c r="E27391" s="28">
        <v>0.31140000000000001</v>
      </c>
      <c r="F27391" s="28">
        <v>0.22500000000000001</v>
      </c>
      <c r="G27391" s="28">
        <v>0.15570000000000001</v>
      </c>
      <c r="H27391" s="28">
        <v>3.4200000000000001E-2</v>
      </c>
      <c r="I27391" s="28">
        <v>0.19040000000000001</v>
      </c>
      <c r="J27391" s="29"/>
      <c r="K27391" s="29"/>
      <c r="L27391" s="28">
        <v>1.7100000000000001E-2</v>
      </c>
      <c r="M27391" s="28">
        <v>0.15570000000000001</v>
      </c>
      <c r="N27391" s="29"/>
      <c r="O27391" s="29"/>
      <c r="P27391" s="29"/>
      <c r="Q27391" s="29" t="s">
        <v>379</v>
      </c>
    </row>
    <row r="27392" spans="1:17" x14ac:dyDescent="0.35">
      <c r="A27392" t="s">
        <v>229</v>
      </c>
      <c r="B27392" t="s">
        <v>262</v>
      </c>
      <c r="C27392" s="26">
        <v>0.50039999999999996</v>
      </c>
      <c r="D27392" s="26">
        <v>0.26979999999999998</v>
      </c>
      <c r="E27392" s="26">
        <v>0.31919999999999998</v>
      </c>
      <c r="F27392" s="26">
        <v>0.2036</v>
      </c>
      <c r="G27392" s="26">
        <v>0.21940000000000001</v>
      </c>
      <c r="H27392" s="26">
        <v>0.10390000000000001</v>
      </c>
      <c r="I27392" s="26">
        <v>8.2400000000000001E-2</v>
      </c>
      <c r="J27392" s="26">
        <v>9.1700000000000004E-2</v>
      </c>
      <c r="K27392" s="26">
        <v>1.9699999999999999E-2</v>
      </c>
      <c r="L27392" s="26">
        <v>6.5000000000000002E-2</v>
      </c>
      <c r="M27392" s="26">
        <v>5.6099999999999997E-2</v>
      </c>
      <c r="N27392" s="26">
        <v>6.3299999999999995E-2</v>
      </c>
      <c r="O27392" s="26">
        <v>1.1999999999999999E-3</v>
      </c>
      <c r="Q27392">
        <v>188</v>
      </c>
    </row>
    <row r="27393" spans="1:17" x14ac:dyDescent="0.35">
      <c r="A27393" t="s">
        <v>229</v>
      </c>
      <c r="B27393" t="s">
        <v>261</v>
      </c>
      <c r="C27393" s="26">
        <v>0.48049999999999998</v>
      </c>
      <c r="D27393" s="26">
        <v>0.18110000000000001</v>
      </c>
      <c r="E27393" s="26">
        <v>0.12590000000000001</v>
      </c>
      <c r="F27393" s="26">
        <v>0.1313</v>
      </c>
      <c r="G27393" s="26">
        <v>0.26050000000000001</v>
      </c>
      <c r="H27393" s="26">
        <v>0.1653</v>
      </c>
      <c r="I27393" s="26">
        <v>0.1051</v>
      </c>
      <c r="J27393" s="26">
        <v>5.4899999999999997E-2</v>
      </c>
      <c r="K27393" s="26">
        <v>3.6999999999999998E-2</v>
      </c>
      <c r="L27393" s="26">
        <v>7.9600000000000004E-2</v>
      </c>
      <c r="M27393" s="26">
        <v>5.7200000000000001E-2</v>
      </c>
      <c r="N27393" s="26">
        <v>3.9300000000000002E-2</v>
      </c>
      <c r="Q27393">
        <v>96</v>
      </c>
    </row>
    <row r="27394" spans="1:17" x14ac:dyDescent="0.35">
      <c r="A27394" s="27" t="s">
        <v>229</v>
      </c>
      <c r="B27394" s="27" t="s">
        <v>236</v>
      </c>
      <c r="C27394" s="29"/>
      <c r="D27394" s="28">
        <v>1</v>
      </c>
      <c r="E27394" s="29"/>
      <c r="F27394" s="29"/>
      <c r="G27394" s="28">
        <v>1</v>
      </c>
      <c r="H27394" s="29"/>
      <c r="I27394" s="29"/>
      <c r="J27394" s="29"/>
      <c r="K27394" s="29"/>
      <c r="L27394" s="29"/>
      <c r="M27394" s="29"/>
      <c r="N27394" s="29"/>
      <c r="O27394" s="29"/>
      <c r="P27394" s="29"/>
      <c r="Q27394" s="29" t="s">
        <v>331</v>
      </c>
    </row>
    <row r="27395" spans="1:17" x14ac:dyDescent="0.35">
      <c r="A27395" t="s">
        <v>229</v>
      </c>
      <c r="B27395" t="s">
        <v>260</v>
      </c>
      <c r="C27395" s="26">
        <v>0.3735</v>
      </c>
      <c r="D27395" s="26">
        <v>0.249</v>
      </c>
      <c r="E27395" s="26">
        <v>0.20469999999999999</v>
      </c>
      <c r="F27395" s="26">
        <v>0.1895</v>
      </c>
      <c r="G27395" s="26">
        <v>0.12239999999999999</v>
      </c>
      <c r="H27395" s="26">
        <v>0.14660000000000001</v>
      </c>
      <c r="I27395" s="26">
        <v>0.12859999999999999</v>
      </c>
      <c r="J27395" s="26">
        <v>8.3199999999999996E-2</v>
      </c>
      <c r="K27395" s="26">
        <v>3.6700000000000003E-2</v>
      </c>
      <c r="L27395" s="26">
        <v>3.8399999999999997E-2</v>
      </c>
      <c r="M27395" s="26">
        <v>3.3000000000000002E-2</v>
      </c>
      <c r="N27395" s="26">
        <v>2.8500000000000001E-2</v>
      </c>
      <c r="O27395" s="26">
        <v>1.4E-3</v>
      </c>
      <c r="P27395" s="26">
        <v>2.3999999999999998E-3</v>
      </c>
      <c r="Q27395">
        <v>596</v>
      </c>
    </row>
    <row r="27396" spans="1:17" x14ac:dyDescent="0.35">
      <c r="A27396" s="27" t="s">
        <v>230</v>
      </c>
      <c r="B27396" s="27" t="s">
        <v>236</v>
      </c>
      <c r="C27396" s="28">
        <v>0.11899999999999999</v>
      </c>
      <c r="D27396" s="28">
        <v>0.11899999999999999</v>
      </c>
      <c r="E27396" s="28">
        <v>0.11899999999999999</v>
      </c>
      <c r="F27396" s="29"/>
      <c r="G27396" s="29"/>
      <c r="H27396" s="28">
        <v>0.11899999999999999</v>
      </c>
      <c r="I27396" s="28">
        <v>0.72240000000000004</v>
      </c>
      <c r="J27396" s="28">
        <v>0.1585</v>
      </c>
      <c r="K27396" s="29"/>
      <c r="L27396" s="29"/>
      <c r="M27396" s="29"/>
      <c r="N27396" s="29"/>
      <c r="O27396" s="29"/>
      <c r="P27396" s="29"/>
      <c r="Q27396" s="29" t="s">
        <v>337</v>
      </c>
    </row>
    <row r="27397" spans="1:17" x14ac:dyDescent="0.35">
      <c r="A27397" t="s">
        <v>230</v>
      </c>
      <c r="B27397" t="s">
        <v>262</v>
      </c>
      <c r="C27397" s="26">
        <v>0.4143</v>
      </c>
      <c r="D27397" s="26">
        <v>0.33160000000000001</v>
      </c>
      <c r="E27397" s="26">
        <v>0.12</v>
      </c>
      <c r="F27397" s="26">
        <v>9.1399999999999995E-2</v>
      </c>
      <c r="G27397" s="26">
        <v>0.31319999999999998</v>
      </c>
      <c r="H27397" s="26">
        <v>0.14979999999999999</v>
      </c>
      <c r="I27397" s="26">
        <v>0.111</v>
      </c>
      <c r="J27397" s="26">
        <v>2.0899999999999998E-2</v>
      </c>
      <c r="K27397" s="26">
        <v>1.14E-2</v>
      </c>
      <c r="N27397" s="26">
        <v>4.36E-2</v>
      </c>
      <c r="Q27397">
        <v>122</v>
      </c>
    </row>
    <row r="27398" spans="1:17" x14ac:dyDescent="0.35">
      <c r="A27398" t="s">
        <v>230</v>
      </c>
      <c r="B27398" t="s">
        <v>261</v>
      </c>
      <c r="C27398" s="26">
        <v>0.46060000000000001</v>
      </c>
      <c r="D27398" s="26">
        <v>0.2281</v>
      </c>
      <c r="E27398" s="26">
        <v>0.1951</v>
      </c>
      <c r="F27398" s="26">
        <v>4.24E-2</v>
      </c>
      <c r="G27398" s="26">
        <v>0.23250000000000001</v>
      </c>
      <c r="H27398" s="26">
        <v>0.1159</v>
      </c>
      <c r="I27398" s="26">
        <v>5.57E-2</v>
      </c>
      <c r="J27398" s="26">
        <v>1.35E-2</v>
      </c>
      <c r="Q27398">
        <v>57</v>
      </c>
    </row>
    <row r="27399" spans="1:17" x14ac:dyDescent="0.35">
      <c r="A27399" s="27" t="s">
        <v>230</v>
      </c>
      <c r="B27399" s="27" t="s">
        <v>263</v>
      </c>
      <c r="C27399" s="28">
        <v>0.54520000000000002</v>
      </c>
      <c r="D27399" s="28">
        <v>0.26929999999999998</v>
      </c>
      <c r="E27399" s="28">
        <v>0.1227</v>
      </c>
      <c r="F27399" s="28">
        <v>3.3500000000000002E-2</v>
      </c>
      <c r="G27399" s="28">
        <v>0.38059999999999999</v>
      </c>
      <c r="H27399" s="28">
        <v>0.1047</v>
      </c>
      <c r="I27399" s="28">
        <v>8.9200000000000002E-2</v>
      </c>
      <c r="J27399" s="28">
        <v>3.3500000000000002E-2</v>
      </c>
      <c r="K27399" s="29"/>
      <c r="L27399" s="29"/>
      <c r="M27399" s="29"/>
      <c r="N27399" s="29"/>
      <c r="O27399" s="29"/>
      <c r="P27399" s="29"/>
      <c r="Q27399" s="29" t="s">
        <v>312</v>
      </c>
    </row>
    <row r="27400" spans="1:17" x14ac:dyDescent="0.35">
      <c r="A27400" t="s">
        <v>230</v>
      </c>
      <c r="B27400" t="s">
        <v>260</v>
      </c>
      <c r="C27400" s="26">
        <v>0.39229999999999998</v>
      </c>
      <c r="D27400" s="26">
        <v>0.29139999999999999</v>
      </c>
      <c r="E27400" s="26">
        <v>0.2157</v>
      </c>
      <c r="F27400" s="26">
        <v>0.13869999999999999</v>
      </c>
      <c r="G27400" s="26">
        <v>0.16819999999999999</v>
      </c>
      <c r="H27400" s="26">
        <v>0.12620000000000001</v>
      </c>
      <c r="I27400" s="26">
        <v>0.14319999999999999</v>
      </c>
      <c r="J27400" s="26">
        <v>2.52E-2</v>
      </c>
      <c r="K27400" s="26">
        <v>1.8100000000000002E-2</v>
      </c>
      <c r="L27400" s="26">
        <v>2.8400000000000002E-2</v>
      </c>
      <c r="M27400" s="26">
        <v>6.5000000000000002E-2</v>
      </c>
      <c r="N27400" s="26">
        <v>3.9199999999999999E-2</v>
      </c>
      <c r="O27400" s="26">
        <v>1.6999999999999999E-3</v>
      </c>
      <c r="Q27400">
        <v>352</v>
      </c>
    </row>
    <row r="27401" spans="1:17" x14ac:dyDescent="0.35">
      <c r="A27401" s="27" t="s">
        <v>231</v>
      </c>
      <c r="B27401" s="27" t="s">
        <v>263</v>
      </c>
      <c r="C27401" s="28">
        <v>0.5</v>
      </c>
      <c r="D27401" s="29"/>
      <c r="E27401" s="29"/>
      <c r="F27401" s="29"/>
      <c r="G27401" s="29"/>
      <c r="H27401" s="29"/>
      <c r="I27401" s="29"/>
      <c r="J27401" s="28">
        <v>0.5</v>
      </c>
      <c r="K27401" s="29"/>
      <c r="L27401" s="29"/>
      <c r="M27401" s="29"/>
      <c r="N27401" s="29"/>
      <c r="O27401" s="29"/>
      <c r="P27401" s="29"/>
      <c r="Q27401" s="29" t="s">
        <v>314</v>
      </c>
    </row>
    <row r="27402" spans="1:17" x14ac:dyDescent="0.35">
      <c r="A27402" t="s">
        <v>231</v>
      </c>
      <c r="B27402" t="s">
        <v>260</v>
      </c>
      <c r="C27402" s="26">
        <v>0.3226</v>
      </c>
      <c r="D27402" s="26">
        <v>0.121</v>
      </c>
      <c r="E27402" s="26">
        <v>0.2177</v>
      </c>
      <c r="F27402" s="26">
        <v>0.2177</v>
      </c>
      <c r="G27402" s="26">
        <v>0.1532</v>
      </c>
      <c r="H27402" s="26">
        <v>0.1048</v>
      </c>
      <c r="I27402" s="26">
        <v>0.1452</v>
      </c>
      <c r="J27402" s="26">
        <v>0.121</v>
      </c>
      <c r="K27402" s="26">
        <v>6.4500000000000002E-2</v>
      </c>
      <c r="L27402" s="26">
        <v>4.0300000000000002E-2</v>
      </c>
      <c r="M27402" s="26">
        <v>2.4199999999999999E-2</v>
      </c>
      <c r="N27402" s="26">
        <v>3.2300000000000002E-2</v>
      </c>
      <c r="O27402" s="26">
        <v>1.61E-2</v>
      </c>
      <c r="Q27402">
        <v>124</v>
      </c>
    </row>
    <row r="27403" spans="1:17" x14ac:dyDescent="0.35">
      <c r="A27403" s="27" t="s">
        <v>231</v>
      </c>
      <c r="B27403" s="27" t="s">
        <v>261</v>
      </c>
      <c r="C27403" s="28">
        <v>0.29630000000000001</v>
      </c>
      <c r="D27403" s="28">
        <v>0.33329999999999999</v>
      </c>
      <c r="E27403" s="28">
        <v>7.4099999999999999E-2</v>
      </c>
      <c r="F27403" s="28">
        <v>3.6999999999999998E-2</v>
      </c>
      <c r="G27403" s="28">
        <v>0.14810000000000001</v>
      </c>
      <c r="H27403" s="28">
        <v>0.1852</v>
      </c>
      <c r="I27403" s="28">
        <v>0.1111</v>
      </c>
      <c r="J27403" s="28">
        <v>0.1111</v>
      </c>
      <c r="K27403" s="29"/>
      <c r="L27403" s="29"/>
      <c r="M27403" s="29"/>
      <c r="N27403" s="29"/>
      <c r="O27403" s="29"/>
      <c r="P27403" s="29"/>
      <c r="Q27403" s="29" t="s">
        <v>338</v>
      </c>
    </row>
    <row r="27404" spans="1:17" x14ac:dyDescent="0.35">
      <c r="A27404" s="27" t="s">
        <v>231</v>
      </c>
      <c r="B27404" s="27" t="s">
        <v>262</v>
      </c>
      <c r="C27404" s="28">
        <v>0.63639999999999997</v>
      </c>
      <c r="D27404" s="28">
        <v>0.45450000000000002</v>
      </c>
      <c r="E27404" s="28">
        <v>0.2727</v>
      </c>
      <c r="F27404" s="28">
        <v>0.2727</v>
      </c>
      <c r="G27404" s="28">
        <v>0.18179999999999999</v>
      </c>
      <c r="H27404" s="28">
        <v>0.2727</v>
      </c>
      <c r="I27404" s="29"/>
      <c r="J27404" s="28">
        <v>9.0899999999999995E-2</v>
      </c>
      <c r="K27404" s="28">
        <v>0.18179999999999999</v>
      </c>
      <c r="L27404" s="28">
        <v>9.0899999999999995E-2</v>
      </c>
      <c r="M27404" s="28">
        <v>9.0899999999999995E-2</v>
      </c>
      <c r="N27404" s="28">
        <v>9.0899999999999995E-2</v>
      </c>
      <c r="O27404" s="29"/>
      <c r="P27404" s="29"/>
      <c r="Q27404" s="29" t="s">
        <v>352</v>
      </c>
    </row>
    <row r="27405" spans="1:17" x14ac:dyDescent="0.35">
      <c r="A27405" t="s">
        <v>232</v>
      </c>
      <c r="B27405" t="s">
        <v>232</v>
      </c>
      <c r="C27405" s="26">
        <v>0.39529999999999998</v>
      </c>
      <c r="D27405" s="26">
        <v>0.21199999999999999</v>
      </c>
      <c r="E27405" s="26">
        <v>0.1988</v>
      </c>
      <c r="F27405" s="26">
        <v>0.16139999999999999</v>
      </c>
      <c r="G27405" s="26">
        <v>0.15060000000000001</v>
      </c>
      <c r="H27405" s="26">
        <v>0.1434</v>
      </c>
      <c r="I27405" s="26">
        <v>0.12470000000000001</v>
      </c>
      <c r="J27405" s="26">
        <v>8.5999999999999993E-2</v>
      </c>
      <c r="K27405" s="26">
        <v>4.0599999999999997E-2</v>
      </c>
      <c r="L27405" s="26">
        <v>3.9300000000000002E-2</v>
      </c>
      <c r="M27405" s="26">
        <v>3.9199999999999999E-2</v>
      </c>
      <c r="N27405" s="26">
        <v>3.3799999999999997E-2</v>
      </c>
      <c r="O27405" s="26">
        <v>4.3E-3</v>
      </c>
      <c r="P27405" s="26">
        <v>4.0000000000000002E-4</v>
      </c>
      <c r="Q27405">
        <v>2813</v>
      </c>
    </row>
    <row r="27407" spans="1:17" x14ac:dyDescent="0.35">
      <c r="A27407" s="1" t="s">
        <v>2484</v>
      </c>
    </row>
    <row r="27408" spans="1:17" x14ac:dyDescent="0.35">
      <c r="A27408" t="s">
        <v>219</v>
      </c>
      <c r="B27408" t="s">
        <v>305</v>
      </c>
      <c r="C27408" t="s">
        <v>2465</v>
      </c>
      <c r="D27408" t="s">
        <v>2466</v>
      </c>
      <c r="E27408" t="s">
        <v>2467</v>
      </c>
      <c r="F27408" t="s">
        <v>2468</v>
      </c>
      <c r="G27408" t="s">
        <v>2469</v>
      </c>
      <c r="H27408" t="s">
        <v>2470</v>
      </c>
      <c r="I27408" t="s">
        <v>550</v>
      </c>
      <c r="J27408" t="s">
        <v>281</v>
      </c>
      <c r="K27408" t="s">
        <v>2471</v>
      </c>
      <c r="L27408" t="s">
        <v>2472</v>
      </c>
      <c r="M27408" t="s">
        <v>2473</v>
      </c>
      <c r="N27408" t="s">
        <v>2474</v>
      </c>
      <c r="O27408" t="s">
        <v>286</v>
      </c>
      <c r="P27408" t="s">
        <v>2475</v>
      </c>
      <c r="Q27408" t="s">
        <v>226</v>
      </c>
    </row>
    <row r="27409" spans="1:17" x14ac:dyDescent="0.35">
      <c r="A27409" t="s">
        <v>227</v>
      </c>
      <c r="B27409" t="s">
        <v>368</v>
      </c>
      <c r="C27409" s="26">
        <v>0.30299999999999999</v>
      </c>
      <c r="D27409" s="26">
        <v>0.1515</v>
      </c>
      <c r="E27409" s="26">
        <v>0.2424</v>
      </c>
      <c r="F27409" s="26">
        <v>6.0600000000000001E-2</v>
      </c>
      <c r="G27409" s="26">
        <v>0.1212</v>
      </c>
      <c r="H27409" s="26">
        <v>0.2727</v>
      </c>
      <c r="I27409" s="26">
        <v>9.0899999999999995E-2</v>
      </c>
      <c r="J27409" s="26">
        <v>3.0300000000000001E-2</v>
      </c>
      <c r="K27409" s="26">
        <v>3.0300000000000001E-2</v>
      </c>
      <c r="M27409" s="26">
        <v>6.0600000000000001E-2</v>
      </c>
      <c r="Q27409">
        <v>33</v>
      </c>
    </row>
    <row r="27410" spans="1:17" x14ac:dyDescent="0.35">
      <c r="A27410" t="s">
        <v>227</v>
      </c>
      <c r="B27410" t="s">
        <v>369</v>
      </c>
      <c r="C27410" s="26">
        <v>0.33589999999999998</v>
      </c>
      <c r="D27410" s="26">
        <v>0.1719</v>
      </c>
      <c r="E27410" s="26">
        <v>0.1719</v>
      </c>
      <c r="F27410" s="26">
        <v>0.1797</v>
      </c>
      <c r="G27410" s="26">
        <v>0.1172</v>
      </c>
      <c r="H27410" s="26">
        <v>0.1016</v>
      </c>
      <c r="I27410" s="26">
        <v>0.125</v>
      </c>
      <c r="J27410" s="26">
        <v>0.1016</v>
      </c>
      <c r="K27410" s="26">
        <v>6.25E-2</v>
      </c>
      <c r="L27410" s="26">
        <v>4.6899999999999997E-2</v>
      </c>
      <c r="M27410" s="26">
        <v>6.25E-2</v>
      </c>
      <c r="N27410" s="26">
        <v>3.1199999999999999E-2</v>
      </c>
      <c r="Q27410">
        <v>128</v>
      </c>
    </row>
    <row r="27411" spans="1:17" x14ac:dyDescent="0.35">
      <c r="A27411" t="s">
        <v>228</v>
      </c>
      <c r="B27411" t="s">
        <v>368</v>
      </c>
      <c r="C27411" s="26">
        <v>0.4617</v>
      </c>
      <c r="D27411" s="26">
        <v>0.2036</v>
      </c>
      <c r="E27411" s="26">
        <v>0.1051</v>
      </c>
      <c r="F27411" s="26">
        <v>5.3999999999999999E-2</v>
      </c>
      <c r="G27411" s="26">
        <v>6.6400000000000001E-2</v>
      </c>
      <c r="H27411" s="26">
        <v>0.2039</v>
      </c>
      <c r="I27411" s="26">
        <v>0.16520000000000001</v>
      </c>
      <c r="J27411" s="26">
        <v>4.9000000000000002E-2</v>
      </c>
      <c r="K27411" s="26">
        <v>4.2299999999999997E-2</v>
      </c>
      <c r="L27411" s="26">
        <v>2.7400000000000001E-2</v>
      </c>
      <c r="M27411" s="26">
        <v>2.6200000000000001E-2</v>
      </c>
      <c r="N27411" s="26">
        <v>1.54E-2</v>
      </c>
      <c r="O27411" s="26">
        <v>1.1999999999999999E-3</v>
      </c>
      <c r="Q27411">
        <v>192</v>
      </c>
    </row>
    <row r="27412" spans="1:17" x14ac:dyDescent="0.35">
      <c r="A27412" t="s">
        <v>228</v>
      </c>
      <c r="B27412" t="s">
        <v>369</v>
      </c>
      <c r="C27412" s="26">
        <v>0.46510000000000001</v>
      </c>
      <c r="D27412" s="26">
        <v>0.21970000000000001</v>
      </c>
      <c r="E27412" s="26">
        <v>0.19020000000000001</v>
      </c>
      <c r="F27412" s="26">
        <v>0.12909999999999999</v>
      </c>
      <c r="G27412" s="26">
        <v>0.1318</v>
      </c>
      <c r="H27412" s="26">
        <v>0.18659999999999999</v>
      </c>
      <c r="I27412" s="26">
        <v>0.1326</v>
      </c>
      <c r="J27412" s="26">
        <v>8.0299999999999996E-2</v>
      </c>
      <c r="K27412" s="26">
        <v>2.2800000000000001E-2</v>
      </c>
      <c r="L27412" s="26">
        <v>3.8699999999999998E-2</v>
      </c>
      <c r="M27412" s="26">
        <v>3.1099999999999999E-2</v>
      </c>
      <c r="N27412" s="26">
        <v>4.2700000000000002E-2</v>
      </c>
      <c r="O27412" s="26">
        <v>3.2000000000000002E-3</v>
      </c>
      <c r="Q27412">
        <v>841</v>
      </c>
    </row>
    <row r="27413" spans="1:17" x14ac:dyDescent="0.35">
      <c r="A27413" t="s">
        <v>229</v>
      </c>
      <c r="B27413" t="s">
        <v>368</v>
      </c>
      <c r="C27413" s="26">
        <v>0.48049999999999998</v>
      </c>
      <c r="D27413" s="26">
        <v>0.18110000000000001</v>
      </c>
      <c r="E27413" s="26">
        <v>0.12590000000000001</v>
      </c>
      <c r="F27413" s="26">
        <v>0.1313</v>
      </c>
      <c r="G27413" s="26">
        <v>0.26050000000000001</v>
      </c>
      <c r="H27413" s="26">
        <v>0.1653</v>
      </c>
      <c r="I27413" s="26">
        <v>0.1051</v>
      </c>
      <c r="J27413" s="26">
        <v>5.4899999999999997E-2</v>
      </c>
      <c r="K27413" s="26">
        <v>3.6999999999999998E-2</v>
      </c>
      <c r="L27413" s="26">
        <v>7.9600000000000004E-2</v>
      </c>
      <c r="M27413" s="26">
        <v>5.7200000000000001E-2</v>
      </c>
      <c r="N27413" s="26">
        <v>3.9300000000000002E-2</v>
      </c>
      <c r="Q27413">
        <v>96</v>
      </c>
    </row>
    <row r="27414" spans="1:17" x14ac:dyDescent="0.35">
      <c r="A27414" t="s">
        <v>229</v>
      </c>
      <c r="B27414" t="s">
        <v>369</v>
      </c>
      <c r="C27414" s="26">
        <v>0.42320000000000002</v>
      </c>
      <c r="D27414" s="26">
        <v>0.25119999999999998</v>
      </c>
      <c r="E27414" s="26">
        <v>0.24460000000000001</v>
      </c>
      <c r="F27414" s="26">
        <v>0.1948</v>
      </c>
      <c r="G27414" s="26">
        <v>0.15509999999999999</v>
      </c>
      <c r="H27414" s="26">
        <v>0.13</v>
      </c>
      <c r="I27414" s="26">
        <v>0.1148</v>
      </c>
      <c r="J27414" s="26">
        <v>8.4099999999999994E-2</v>
      </c>
      <c r="K27414" s="26">
        <v>3.0300000000000001E-2</v>
      </c>
      <c r="L27414" s="26">
        <v>4.6600000000000003E-2</v>
      </c>
      <c r="M27414" s="26">
        <v>4.3400000000000001E-2</v>
      </c>
      <c r="N27414" s="26">
        <v>3.9300000000000002E-2</v>
      </c>
      <c r="O27414" s="26">
        <v>1.2999999999999999E-3</v>
      </c>
      <c r="P27414" s="26">
        <v>1.6000000000000001E-3</v>
      </c>
      <c r="Q27414">
        <v>799</v>
      </c>
    </row>
    <row r="27415" spans="1:17" x14ac:dyDescent="0.35">
      <c r="A27415" t="s">
        <v>230</v>
      </c>
      <c r="B27415" t="s">
        <v>368</v>
      </c>
      <c r="C27415" s="26">
        <v>0.46060000000000001</v>
      </c>
      <c r="D27415" s="26">
        <v>0.2281</v>
      </c>
      <c r="E27415" s="26">
        <v>0.1951</v>
      </c>
      <c r="F27415" s="26">
        <v>4.24E-2</v>
      </c>
      <c r="G27415" s="26">
        <v>0.23250000000000001</v>
      </c>
      <c r="H27415" s="26">
        <v>0.1159</v>
      </c>
      <c r="I27415" s="26">
        <v>5.57E-2</v>
      </c>
      <c r="J27415" s="26">
        <v>1.35E-2</v>
      </c>
      <c r="Q27415">
        <v>57</v>
      </c>
    </row>
    <row r="27416" spans="1:17" x14ac:dyDescent="0.35">
      <c r="A27416" t="s">
        <v>230</v>
      </c>
      <c r="B27416" t="s">
        <v>369</v>
      </c>
      <c r="C27416" s="26">
        <v>0.39660000000000001</v>
      </c>
      <c r="D27416" s="26">
        <v>0.29649999999999999</v>
      </c>
      <c r="E27416" s="26">
        <v>0.1966</v>
      </c>
      <c r="F27416" s="26">
        <v>0.12740000000000001</v>
      </c>
      <c r="G27416" s="26">
        <v>0.1958</v>
      </c>
      <c r="H27416" s="26">
        <v>0.1298</v>
      </c>
      <c r="I27416" s="26">
        <v>0.1416</v>
      </c>
      <c r="J27416" s="26">
        <v>2.58E-2</v>
      </c>
      <c r="K27416" s="26">
        <v>1.6500000000000001E-2</v>
      </c>
      <c r="L27416" s="26">
        <v>2.2700000000000001E-2</v>
      </c>
      <c r="M27416" s="26">
        <v>5.1999999999999998E-2</v>
      </c>
      <c r="N27416" s="26">
        <v>3.8899999999999997E-2</v>
      </c>
      <c r="O27416" s="26">
        <v>1.2999999999999999E-3</v>
      </c>
      <c r="Q27416">
        <v>503</v>
      </c>
    </row>
    <row r="27417" spans="1:17" x14ac:dyDescent="0.35">
      <c r="A27417" s="27" t="s">
        <v>231</v>
      </c>
      <c r="B27417" s="27" t="s">
        <v>368</v>
      </c>
      <c r="C27417" s="28">
        <v>0.29630000000000001</v>
      </c>
      <c r="D27417" s="28">
        <v>0.33329999999999999</v>
      </c>
      <c r="E27417" s="28">
        <v>7.4099999999999999E-2</v>
      </c>
      <c r="F27417" s="28">
        <v>3.6999999999999998E-2</v>
      </c>
      <c r="G27417" s="28">
        <v>0.14810000000000001</v>
      </c>
      <c r="H27417" s="28">
        <v>0.1852</v>
      </c>
      <c r="I27417" s="28">
        <v>0.1111</v>
      </c>
      <c r="J27417" s="28">
        <v>0.1111</v>
      </c>
      <c r="K27417" s="29"/>
      <c r="L27417" s="29"/>
      <c r="M27417" s="29"/>
      <c r="N27417" s="29"/>
      <c r="O27417" s="29"/>
      <c r="P27417" s="29"/>
      <c r="Q27417" s="29" t="s">
        <v>338</v>
      </c>
    </row>
    <row r="27418" spans="1:17" x14ac:dyDescent="0.35">
      <c r="A27418" t="s">
        <v>231</v>
      </c>
      <c r="B27418" t="s">
        <v>369</v>
      </c>
      <c r="C27418" s="26">
        <v>0.35039999999999999</v>
      </c>
      <c r="D27418" s="26">
        <v>0.14599999999999999</v>
      </c>
      <c r="E27418" s="26">
        <v>0.219</v>
      </c>
      <c r="F27418" s="26">
        <v>0.219</v>
      </c>
      <c r="G27418" s="26">
        <v>0.15329999999999999</v>
      </c>
      <c r="H27418" s="26">
        <v>0.1168</v>
      </c>
      <c r="I27418" s="26">
        <v>0.13139999999999999</v>
      </c>
      <c r="J27418" s="26">
        <v>0.1241</v>
      </c>
      <c r="K27418" s="26">
        <v>7.2999999999999995E-2</v>
      </c>
      <c r="L27418" s="26">
        <v>4.3799999999999999E-2</v>
      </c>
      <c r="M27418" s="26">
        <v>2.92E-2</v>
      </c>
      <c r="N27418" s="26">
        <v>3.6499999999999998E-2</v>
      </c>
      <c r="O27418" s="26">
        <v>1.46E-2</v>
      </c>
      <c r="Q27418">
        <v>137</v>
      </c>
    </row>
    <row r="27419" spans="1:17" x14ac:dyDescent="0.35">
      <c r="A27419" t="s">
        <v>232</v>
      </c>
      <c r="B27419" t="s">
        <v>232</v>
      </c>
      <c r="C27419" s="26">
        <v>0.39529999999999998</v>
      </c>
      <c r="D27419" s="26">
        <v>0.21199999999999999</v>
      </c>
      <c r="E27419" s="26">
        <v>0.1988</v>
      </c>
      <c r="F27419" s="26">
        <v>0.16139999999999999</v>
      </c>
      <c r="G27419" s="26">
        <v>0.15060000000000001</v>
      </c>
      <c r="H27419" s="26">
        <v>0.1434</v>
      </c>
      <c r="I27419" s="26">
        <v>0.12470000000000001</v>
      </c>
      <c r="J27419" s="26">
        <v>8.5999999999999993E-2</v>
      </c>
      <c r="K27419" s="26">
        <v>4.0599999999999997E-2</v>
      </c>
      <c r="L27419" s="26">
        <v>3.9300000000000002E-2</v>
      </c>
      <c r="M27419" s="26">
        <v>3.9199999999999999E-2</v>
      </c>
      <c r="N27419" s="26">
        <v>3.3799999999999997E-2</v>
      </c>
      <c r="O27419" s="26">
        <v>4.3E-3</v>
      </c>
      <c r="P27419" s="26">
        <v>4.0000000000000002E-4</v>
      </c>
      <c r="Q27419">
        <v>2813</v>
      </c>
    </row>
    <row r="27421" spans="1:17" x14ac:dyDescent="0.35">
      <c r="A27421" s="1" t="s">
        <v>2485</v>
      </c>
    </row>
    <row r="27422" spans="1:17" x14ac:dyDescent="0.35">
      <c r="A27422" t="s">
        <v>219</v>
      </c>
      <c r="B27422" t="s">
        <v>305</v>
      </c>
      <c r="C27422" t="s">
        <v>2465</v>
      </c>
      <c r="D27422" t="s">
        <v>2466</v>
      </c>
      <c r="E27422" t="s">
        <v>2467</v>
      </c>
      <c r="F27422" t="s">
        <v>2468</v>
      </c>
      <c r="G27422" t="s">
        <v>2469</v>
      </c>
      <c r="H27422" t="s">
        <v>2470</v>
      </c>
      <c r="I27422" t="s">
        <v>550</v>
      </c>
      <c r="J27422" t="s">
        <v>281</v>
      </c>
      <c r="K27422" t="s">
        <v>2471</v>
      </c>
      <c r="L27422" t="s">
        <v>2472</v>
      </c>
      <c r="M27422" t="s">
        <v>2473</v>
      </c>
      <c r="N27422" t="s">
        <v>2474</v>
      </c>
      <c r="O27422" t="s">
        <v>286</v>
      </c>
      <c r="P27422" t="s">
        <v>2475</v>
      </c>
      <c r="Q27422" t="s">
        <v>226</v>
      </c>
    </row>
    <row r="27423" spans="1:17" x14ac:dyDescent="0.35">
      <c r="A27423" t="s">
        <v>227</v>
      </c>
      <c r="B27423" t="s">
        <v>371</v>
      </c>
      <c r="C27423" s="26">
        <v>0.32919999999999999</v>
      </c>
      <c r="D27423" s="26">
        <v>0.16769999999999999</v>
      </c>
      <c r="E27423" s="26">
        <v>0.18629999999999999</v>
      </c>
      <c r="F27423" s="26">
        <v>0.15529999999999999</v>
      </c>
      <c r="G27423" s="26">
        <v>0.11799999999999999</v>
      </c>
      <c r="H27423" s="26">
        <v>0.1366</v>
      </c>
      <c r="I27423" s="26">
        <v>0.11799999999999999</v>
      </c>
      <c r="J27423" s="26">
        <v>8.6999999999999994E-2</v>
      </c>
      <c r="K27423" s="26">
        <v>5.5899999999999998E-2</v>
      </c>
      <c r="L27423" s="26">
        <v>3.73E-2</v>
      </c>
      <c r="M27423" s="26">
        <v>6.2100000000000002E-2</v>
      </c>
      <c r="N27423" s="26">
        <v>2.4799999999999999E-2</v>
      </c>
      <c r="Q27423">
        <v>161</v>
      </c>
    </row>
    <row r="27424" spans="1:17" x14ac:dyDescent="0.35">
      <c r="A27424" t="s">
        <v>228</v>
      </c>
      <c r="B27424" t="s">
        <v>371</v>
      </c>
      <c r="C27424" s="26">
        <v>0.43609999999999999</v>
      </c>
      <c r="D27424" s="26">
        <v>0.16139999999999999</v>
      </c>
      <c r="E27424" s="26">
        <v>0.1721</v>
      </c>
      <c r="F27424" s="26">
        <v>0.1328</v>
      </c>
      <c r="G27424" s="26">
        <v>0.1066</v>
      </c>
      <c r="H27424" s="26">
        <v>0.15179999999999999</v>
      </c>
      <c r="I27424" s="26">
        <v>0.1842</v>
      </c>
      <c r="J27424" s="26">
        <v>7.4200000000000002E-2</v>
      </c>
      <c r="K27424" s="26">
        <v>2.18E-2</v>
      </c>
      <c r="L27424" s="26">
        <v>3.4599999999999999E-2</v>
      </c>
      <c r="M27424" s="26">
        <v>2.12E-2</v>
      </c>
      <c r="N27424" s="26">
        <v>2.8299999999999999E-2</v>
      </c>
      <c r="Q27424">
        <v>292</v>
      </c>
    </row>
    <row r="27425" spans="1:17" x14ac:dyDescent="0.35">
      <c r="A27425" t="s">
        <v>228</v>
      </c>
      <c r="B27425" t="s">
        <v>372</v>
      </c>
      <c r="C27425" s="26">
        <v>0.49270000000000003</v>
      </c>
      <c r="D27425" s="26">
        <v>0.27050000000000002</v>
      </c>
      <c r="E27425" s="26">
        <v>0.1115</v>
      </c>
      <c r="F27425" s="26">
        <v>7.0999999999999994E-2</v>
      </c>
      <c r="G27425" s="26">
        <v>7.1099999999999997E-2</v>
      </c>
      <c r="H27425" s="26">
        <v>0.26669999999999999</v>
      </c>
      <c r="I27425" s="26">
        <v>7.9600000000000004E-2</v>
      </c>
      <c r="J27425" s="26">
        <v>5.8900000000000001E-2</v>
      </c>
      <c r="K27425" s="26">
        <v>4.8999999999999998E-3</v>
      </c>
      <c r="L27425" s="26">
        <v>1.1299999999999999E-2</v>
      </c>
      <c r="M27425" s="26">
        <v>4.8999999999999998E-3</v>
      </c>
      <c r="N27425" s="26">
        <v>8.5000000000000006E-3</v>
      </c>
      <c r="O27425" s="26">
        <v>1.1299999999999999E-2</v>
      </c>
      <c r="Q27425">
        <v>218</v>
      </c>
    </row>
    <row r="27426" spans="1:17" x14ac:dyDescent="0.35">
      <c r="A27426" t="s">
        <v>228</v>
      </c>
      <c r="B27426" t="s">
        <v>373</v>
      </c>
      <c r="C27426" s="26">
        <v>0.496</v>
      </c>
      <c r="D27426" s="26">
        <v>0.27829999999999999</v>
      </c>
      <c r="E27426" s="26">
        <v>0.18909999999999999</v>
      </c>
      <c r="F27426" s="26">
        <v>9.9400000000000002E-2</v>
      </c>
      <c r="G27426" s="26">
        <v>0.14599999999999999</v>
      </c>
      <c r="H27426" s="26">
        <v>0.22389999999999999</v>
      </c>
      <c r="I27426" s="26">
        <v>9.1700000000000004E-2</v>
      </c>
      <c r="J27426" s="26">
        <v>7.7600000000000002E-2</v>
      </c>
      <c r="K27426" s="26">
        <v>3.7699999999999997E-2</v>
      </c>
      <c r="L27426" s="26">
        <v>4.4499999999999998E-2</v>
      </c>
      <c r="M27426" s="26">
        <v>4.7500000000000001E-2</v>
      </c>
      <c r="N27426" s="26">
        <v>5.5800000000000002E-2</v>
      </c>
      <c r="O27426" s="26">
        <v>4.7999999999999996E-3</v>
      </c>
      <c r="Q27426">
        <v>523</v>
      </c>
    </row>
    <row r="27427" spans="1:17" x14ac:dyDescent="0.35">
      <c r="A27427" t="s">
        <v>229</v>
      </c>
      <c r="B27427" t="s">
        <v>371</v>
      </c>
      <c r="C27427" s="26">
        <v>0.42909999999999998</v>
      </c>
      <c r="D27427" s="26">
        <v>0.2369</v>
      </c>
      <c r="E27427" s="26">
        <v>0.2293</v>
      </c>
      <c r="F27427" s="26">
        <v>0.1898</v>
      </c>
      <c r="G27427" s="26">
        <v>0.17480000000000001</v>
      </c>
      <c r="H27427" s="26">
        <v>0.128</v>
      </c>
      <c r="I27427" s="26">
        <v>0.1167</v>
      </c>
      <c r="J27427" s="26">
        <v>8.0500000000000002E-2</v>
      </c>
      <c r="K27427" s="26">
        <v>3.0200000000000001E-2</v>
      </c>
      <c r="L27427" s="26">
        <v>5.0500000000000003E-2</v>
      </c>
      <c r="M27427" s="26">
        <v>4.6399999999999997E-2</v>
      </c>
      <c r="N27427" s="26">
        <v>3.9899999999999998E-2</v>
      </c>
      <c r="O27427" s="26">
        <v>6.9999999999999999E-4</v>
      </c>
      <c r="P27427" s="26">
        <v>1.4E-3</v>
      </c>
      <c r="Q27427">
        <v>584</v>
      </c>
    </row>
    <row r="27428" spans="1:17" x14ac:dyDescent="0.35">
      <c r="A27428" t="s">
        <v>229</v>
      </c>
      <c r="B27428" t="s">
        <v>372</v>
      </c>
      <c r="C27428" s="26">
        <v>0.51380000000000003</v>
      </c>
      <c r="D27428" s="26">
        <v>0.28260000000000002</v>
      </c>
      <c r="E27428" s="26">
        <v>0.19600000000000001</v>
      </c>
      <c r="F27428" s="26">
        <v>0.15440000000000001</v>
      </c>
      <c r="G27428" s="26">
        <v>0.1168</v>
      </c>
      <c r="H27428" s="26">
        <v>0.21740000000000001</v>
      </c>
      <c r="I27428" s="26">
        <v>5.1700000000000003E-2</v>
      </c>
      <c r="J27428" s="26">
        <v>7.0599999999999996E-2</v>
      </c>
      <c r="K27428" s="26">
        <v>4.24E-2</v>
      </c>
      <c r="L27428" s="26">
        <v>6.4000000000000001E-2</v>
      </c>
      <c r="M27428" s="26">
        <v>3.2000000000000001E-2</v>
      </c>
      <c r="N27428" s="26">
        <v>2.8199999999999999E-2</v>
      </c>
      <c r="O27428" s="26">
        <v>6.6E-3</v>
      </c>
      <c r="Q27428">
        <v>221</v>
      </c>
    </row>
    <row r="27429" spans="1:17" x14ac:dyDescent="0.35">
      <c r="A27429" t="s">
        <v>229</v>
      </c>
      <c r="B27429" t="s">
        <v>373</v>
      </c>
      <c r="C27429" s="26">
        <v>0.37119999999999997</v>
      </c>
      <c r="D27429" s="26">
        <v>0.29730000000000001</v>
      </c>
      <c r="E27429" s="26">
        <v>0.20349999999999999</v>
      </c>
      <c r="F27429" s="26">
        <v>9.2600000000000002E-2</v>
      </c>
      <c r="G27429" s="26">
        <v>0.1331</v>
      </c>
      <c r="H27429" s="26">
        <v>0.23449999999999999</v>
      </c>
      <c r="I27429" s="26">
        <v>0.1145</v>
      </c>
      <c r="J27429" s="26">
        <v>7.1499999999999994E-2</v>
      </c>
      <c r="K27429" s="26">
        <v>4.9299999999999997E-2</v>
      </c>
      <c r="L27429" s="26">
        <v>6.1600000000000002E-2</v>
      </c>
      <c r="M27429" s="26">
        <v>3.6999999999999998E-2</v>
      </c>
      <c r="N27429" s="26">
        <v>3.6999999999999998E-2</v>
      </c>
      <c r="O27429" s="26">
        <v>3.5999999999999999E-3</v>
      </c>
      <c r="Q27429">
        <v>90</v>
      </c>
    </row>
    <row r="27430" spans="1:17" x14ac:dyDescent="0.35">
      <c r="A27430" t="s">
        <v>230</v>
      </c>
      <c r="B27430" t="s">
        <v>371</v>
      </c>
      <c r="C27430" s="26">
        <v>0.39689999999999998</v>
      </c>
      <c r="D27430" s="26">
        <v>0.28889999999999999</v>
      </c>
      <c r="E27430" s="26">
        <v>0.2049</v>
      </c>
      <c r="F27430" s="26">
        <v>0.12670000000000001</v>
      </c>
      <c r="G27430" s="26">
        <v>0.20930000000000001</v>
      </c>
      <c r="H27430" s="26">
        <v>0.1137</v>
      </c>
      <c r="I27430" s="26">
        <v>0.1411</v>
      </c>
      <c r="J27430" s="26">
        <v>1.2200000000000001E-2</v>
      </c>
      <c r="K27430" s="26">
        <v>1.43E-2</v>
      </c>
      <c r="L27430" s="26">
        <v>2.1999999999999999E-2</v>
      </c>
      <c r="M27430" s="26">
        <v>5.3900000000000003E-2</v>
      </c>
      <c r="N27430" s="26">
        <v>3.4099999999999998E-2</v>
      </c>
      <c r="Q27430">
        <v>262</v>
      </c>
    </row>
    <row r="27431" spans="1:17" x14ac:dyDescent="0.35">
      <c r="A27431" t="s">
        <v>230</v>
      </c>
      <c r="B27431" t="s">
        <v>372</v>
      </c>
      <c r="C27431" s="26">
        <v>0.3231</v>
      </c>
      <c r="D27431" s="26">
        <v>0.29699999999999999</v>
      </c>
      <c r="E27431" s="26">
        <v>0.18579999999999999</v>
      </c>
      <c r="F27431" s="26">
        <v>8.2799999999999999E-2</v>
      </c>
      <c r="G27431" s="26">
        <v>0.1704</v>
      </c>
      <c r="H27431" s="26">
        <v>0.2177</v>
      </c>
      <c r="I27431" s="26">
        <v>0.12540000000000001</v>
      </c>
      <c r="J27431" s="26">
        <v>8.2799999999999999E-2</v>
      </c>
      <c r="K27431" s="26">
        <v>9.4999999999999998E-3</v>
      </c>
      <c r="L27431" s="26">
        <v>1.4200000000000001E-2</v>
      </c>
      <c r="M27431" s="26">
        <v>1.89E-2</v>
      </c>
      <c r="N27431" s="26">
        <v>9.4999999999999998E-3</v>
      </c>
      <c r="O27431" s="26">
        <v>4.7000000000000002E-3</v>
      </c>
      <c r="Q27431">
        <v>146</v>
      </c>
    </row>
    <row r="27432" spans="1:17" x14ac:dyDescent="0.35">
      <c r="A27432" t="s">
        <v>230</v>
      </c>
      <c r="B27432" t="s">
        <v>373</v>
      </c>
      <c r="C27432" s="26">
        <v>0.49519999999999997</v>
      </c>
      <c r="D27432" s="26">
        <v>0.27289999999999998</v>
      </c>
      <c r="E27432" s="26">
        <v>0.14630000000000001</v>
      </c>
      <c r="F27432" s="26">
        <v>6.2600000000000003E-2</v>
      </c>
      <c r="G27432" s="26">
        <v>0.16</v>
      </c>
      <c r="H27432" s="26">
        <v>0.1782</v>
      </c>
      <c r="I27432" s="26">
        <v>6.2600000000000003E-2</v>
      </c>
      <c r="J27432" s="26">
        <v>7.3999999999999996E-2</v>
      </c>
      <c r="K27432" s="26">
        <v>1.61E-2</v>
      </c>
      <c r="L27432" s="26">
        <v>7.0000000000000001E-3</v>
      </c>
      <c r="N27432" s="26">
        <v>4.19E-2</v>
      </c>
      <c r="O27432" s="26">
        <v>7.0000000000000001E-3</v>
      </c>
      <c r="Q27432">
        <v>152</v>
      </c>
    </row>
    <row r="27433" spans="1:17" x14ac:dyDescent="0.35">
      <c r="A27433" t="s">
        <v>231</v>
      </c>
      <c r="B27433" t="s">
        <v>371</v>
      </c>
      <c r="C27433" s="26">
        <v>0.34150000000000003</v>
      </c>
      <c r="D27433" s="26">
        <v>0.17680000000000001</v>
      </c>
      <c r="E27433" s="26">
        <v>0.1951</v>
      </c>
      <c r="F27433" s="26">
        <v>0.189</v>
      </c>
      <c r="G27433" s="26">
        <v>0.15240000000000001</v>
      </c>
      <c r="H27433" s="26">
        <v>0.128</v>
      </c>
      <c r="I27433" s="26">
        <v>0.128</v>
      </c>
      <c r="J27433" s="26">
        <v>0.122</v>
      </c>
      <c r="K27433" s="26">
        <v>6.0999999999999999E-2</v>
      </c>
      <c r="L27433" s="26">
        <v>3.6600000000000001E-2</v>
      </c>
      <c r="M27433" s="26">
        <v>2.4400000000000002E-2</v>
      </c>
      <c r="N27433" s="26">
        <v>3.0499999999999999E-2</v>
      </c>
      <c r="O27433" s="26">
        <v>1.2200000000000001E-2</v>
      </c>
      <c r="Q27433">
        <v>164</v>
      </c>
    </row>
    <row r="27434" spans="1:17" x14ac:dyDescent="0.35">
      <c r="A27434" t="s">
        <v>232</v>
      </c>
      <c r="B27434" t="s">
        <v>232</v>
      </c>
      <c r="C27434" s="26">
        <v>0.39529999999999998</v>
      </c>
      <c r="D27434" s="26">
        <v>0.21199999999999999</v>
      </c>
      <c r="E27434" s="26">
        <v>0.1988</v>
      </c>
      <c r="F27434" s="26">
        <v>0.16139999999999999</v>
      </c>
      <c r="G27434" s="26">
        <v>0.15060000000000001</v>
      </c>
      <c r="H27434" s="26">
        <v>0.1434</v>
      </c>
      <c r="I27434" s="26">
        <v>0.12470000000000001</v>
      </c>
      <c r="J27434" s="26">
        <v>8.5999999999999993E-2</v>
      </c>
      <c r="K27434" s="26">
        <v>4.0599999999999997E-2</v>
      </c>
      <c r="L27434" s="26">
        <v>3.9300000000000002E-2</v>
      </c>
      <c r="M27434" s="26">
        <v>3.9199999999999999E-2</v>
      </c>
      <c r="N27434" s="26">
        <v>3.3799999999999997E-2</v>
      </c>
      <c r="O27434" s="26">
        <v>4.3E-3</v>
      </c>
      <c r="P27434" s="26">
        <v>4.0000000000000002E-4</v>
      </c>
      <c r="Q27434">
        <v>2813</v>
      </c>
    </row>
    <row r="27436" spans="1:17" x14ac:dyDescent="0.35">
      <c r="A27436" s="1" t="s">
        <v>2486</v>
      </c>
    </row>
    <row r="27437" spans="1:17" x14ac:dyDescent="0.35">
      <c r="A27437" t="s">
        <v>219</v>
      </c>
      <c r="B27437" t="s">
        <v>305</v>
      </c>
      <c r="C27437" t="s">
        <v>2465</v>
      </c>
      <c r="D27437" t="s">
        <v>2466</v>
      </c>
      <c r="E27437" t="s">
        <v>2467</v>
      </c>
      <c r="F27437" t="s">
        <v>2468</v>
      </c>
      <c r="G27437" t="s">
        <v>2469</v>
      </c>
      <c r="H27437" t="s">
        <v>2470</v>
      </c>
      <c r="I27437" t="s">
        <v>550</v>
      </c>
      <c r="J27437" t="s">
        <v>281</v>
      </c>
      <c r="K27437" t="s">
        <v>2471</v>
      </c>
      <c r="L27437" t="s">
        <v>2472</v>
      </c>
      <c r="M27437" t="s">
        <v>2473</v>
      </c>
      <c r="N27437" t="s">
        <v>2474</v>
      </c>
      <c r="O27437" t="s">
        <v>286</v>
      </c>
      <c r="P27437" t="s">
        <v>2475</v>
      </c>
      <c r="Q27437" t="s">
        <v>226</v>
      </c>
    </row>
    <row r="27438" spans="1:17" x14ac:dyDescent="0.35">
      <c r="A27438" t="s">
        <v>227</v>
      </c>
      <c r="B27438" t="s">
        <v>255</v>
      </c>
      <c r="C27438" s="26">
        <v>0.31619999999999998</v>
      </c>
      <c r="D27438" s="26">
        <v>0.16239999999999999</v>
      </c>
      <c r="E27438" s="26">
        <v>0.1709</v>
      </c>
      <c r="F27438" s="26">
        <v>0.17949999999999999</v>
      </c>
      <c r="G27438" s="26">
        <v>0.1026</v>
      </c>
      <c r="H27438" s="26">
        <v>0.14530000000000001</v>
      </c>
      <c r="I27438" s="26">
        <v>0.12820000000000001</v>
      </c>
      <c r="J27438" s="26">
        <v>8.5500000000000007E-2</v>
      </c>
      <c r="K27438" s="26">
        <v>7.6899999999999996E-2</v>
      </c>
      <c r="L27438" s="26">
        <v>4.2700000000000002E-2</v>
      </c>
      <c r="M27438" s="26">
        <v>7.6899999999999996E-2</v>
      </c>
      <c r="N27438" s="26">
        <v>3.4200000000000001E-2</v>
      </c>
      <c r="Q27438">
        <v>117</v>
      </c>
    </row>
    <row r="27439" spans="1:17" x14ac:dyDescent="0.35">
      <c r="A27439" s="27" t="s">
        <v>227</v>
      </c>
      <c r="B27439" s="27" t="s">
        <v>257</v>
      </c>
      <c r="C27439" s="28">
        <v>0.22220000000000001</v>
      </c>
      <c r="D27439" s="28">
        <v>0.22220000000000001</v>
      </c>
      <c r="E27439" s="28">
        <v>0.33329999999999999</v>
      </c>
      <c r="F27439" s="29"/>
      <c r="G27439" s="28">
        <v>0.1111</v>
      </c>
      <c r="H27439" s="28">
        <v>0.1111</v>
      </c>
      <c r="I27439" s="29"/>
      <c r="J27439" s="28">
        <v>0.1111</v>
      </c>
      <c r="K27439" s="29"/>
      <c r="L27439" s="29"/>
      <c r="M27439" s="29"/>
      <c r="N27439" s="29"/>
      <c r="O27439" s="29"/>
      <c r="P27439" s="29"/>
      <c r="Q27439" s="29" t="s">
        <v>334</v>
      </c>
    </row>
    <row r="27440" spans="1:17" x14ac:dyDescent="0.35">
      <c r="A27440" t="s">
        <v>227</v>
      </c>
      <c r="B27440" t="s">
        <v>256</v>
      </c>
      <c r="C27440" s="26">
        <v>0.4</v>
      </c>
      <c r="D27440" s="26">
        <v>0.1714</v>
      </c>
      <c r="E27440" s="26">
        <v>0.2</v>
      </c>
      <c r="F27440" s="26">
        <v>0.1143</v>
      </c>
      <c r="G27440" s="26">
        <v>0.1714</v>
      </c>
      <c r="H27440" s="26">
        <v>0.1143</v>
      </c>
      <c r="I27440" s="26">
        <v>0.1143</v>
      </c>
      <c r="J27440" s="26">
        <v>8.5699999999999998E-2</v>
      </c>
      <c r="L27440" s="26">
        <v>2.86E-2</v>
      </c>
      <c r="M27440" s="26">
        <v>2.86E-2</v>
      </c>
      <c r="Q27440">
        <v>35</v>
      </c>
    </row>
    <row r="27441" spans="1:17" x14ac:dyDescent="0.35">
      <c r="A27441" t="s">
        <v>228</v>
      </c>
      <c r="B27441" t="s">
        <v>257</v>
      </c>
      <c r="C27441" s="26">
        <v>0.59019999999999995</v>
      </c>
      <c r="D27441" s="26">
        <v>0.24679999999999999</v>
      </c>
      <c r="E27441" s="26">
        <v>0.18859999999999999</v>
      </c>
      <c r="F27441" s="26">
        <v>9.3399999999999997E-2</v>
      </c>
      <c r="G27441" s="26">
        <v>0.1169</v>
      </c>
      <c r="H27441" s="26">
        <v>0.29470000000000002</v>
      </c>
      <c r="I27441" s="26">
        <v>7.4300000000000005E-2</v>
      </c>
      <c r="L27441" s="26">
        <v>7.9000000000000008E-3</v>
      </c>
      <c r="M27441" s="26">
        <v>3.73E-2</v>
      </c>
      <c r="N27441" s="26">
        <v>7.8600000000000003E-2</v>
      </c>
      <c r="Q27441">
        <v>49</v>
      </c>
    </row>
    <row r="27442" spans="1:17" x14ac:dyDescent="0.35">
      <c r="A27442" s="27" t="s">
        <v>228</v>
      </c>
      <c r="B27442" s="27" t="s">
        <v>258</v>
      </c>
      <c r="C27442" s="28">
        <v>0.90190000000000003</v>
      </c>
      <c r="D27442" s="28">
        <v>9.8100000000000007E-2</v>
      </c>
      <c r="E27442" s="29"/>
      <c r="F27442" s="28">
        <v>0.2092</v>
      </c>
      <c r="G27442" s="29"/>
      <c r="H27442" s="28">
        <v>0.30730000000000002</v>
      </c>
      <c r="I27442" s="29"/>
      <c r="J27442" s="29"/>
      <c r="K27442" s="29"/>
      <c r="L27442" s="29"/>
      <c r="M27442" s="29"/>
      <c r="N27442" s="29"/>
      <c r="O27442" s="28">
        <v>9.8100000000000007E-2</v>
      </c>
      <c r="P27442" s="29"/>
      <c r="Q27442" s="29" t="s">
        <v>337</v>
      </c>
    </row>
    <row r="27443" spans="1:17" x14ac:dyDescent="0.35">
      <c r="A27443" t="s">
        <v>228</v>
      </c>
      <c r="B27443" t="s">
        <v>256</v>
      </c>
      <c r="C27443" s="26">
        <v>0.49399999999999999</v>
      </c>
      <c r="D27443" s="26">
        <v>0.20580000000000001</v>
      </c>
      <c r="E27443" s="26">
        <v>0.22620000000000001</v>
      </c>
      <c r="F27443" s="26">
        <v>0.11</v>
      </c>
      <c r="G27443" s="26">
        <v>0.16520000000000001</v>
      </c>
      <c r="H27443" s="26">
        <v>0.20499999999999999</v>
      </c>
      <c r="I27443" s="26">
        <v>0.1132</v>
      </c>
      <c r="J27443" s="26">
        <v>5.28E-2</v>
      </c>
      <c r="K27443" s="26">
        <v>2.4899999999999999E-2</v>
      </c>
      <c r="L27443" s="26">
        <v>2.4299999999999999E-2</v>
      </c>
      <c r="M27443" s="26">
        <v>2.5499999999999998E-2</v>
      </c>
      <c r="N27443" s="26">
        <v>2.0199999999999999E-2</v>
      </c>
      <c r="Q27443">
        <v>221</v>
      </c>
    </row>
    <row r="27444" spans="1:17" x14ac:dyDescent="0.35">
      <c r="A27444" t="s">
        <v>228</v>
      </c>
      <c r="B27444" t="s">
        <v>255</v>
      </c>
      <c r="C27444" s="26">
        <v>0.44140000000000001</v>
      </c>
      <c r="D27444" s="26">
        <v>0.219</v>
      </c>
      <c r="E27444" s="26">
        <v>0.15579999999999999</v>
      </c>
      <c r="F27444" s="26">
        <v>0.1168</v>
      </c>
      <c r="G27444" s="26">
        <v>0.1043</v>
      </c>
      <c r="H27444" s="26">
        <v>0.17599999999999999</v>
      </c>
      <c r="I27444" s="26">
        <v>0.1537</v>
      </c>
      <c r="J27444" s="26">
        <v>8.77E-2</v>
      </c>
      <c r="K27444" s="26">
        <v>2.9399999999999999E-2</v>
      </c>
      <c r="L27444" s="26">
        <v>4.3200000000000002E-2</v>
      </c>
      <c r="M27444" s="26">
        <v>3.1399999999999997E-2</v>
      </c>
      <c r="N27444" s="26">
        <v>4.0500000000000001E-2</v>
      </c>
      <c r="O27444" s="26">
        <v>3.3E-3</v>
      </c>
      <c r="Q27444">
        <v>759</v>
      </c>
    </row>
    <row r="27445" spans="1:17" x14ac:dyDescent="0.35">
      <c r="A27445" t="s">
        <v>229</v>
      </c>
      <c r="B27445" t="s">
        <v>256</v>
      </c>
      <c r="C27445" s="26">
        <v>0.48089999999999999</v>
      </c>
      <c r="D27445" s="26">
        <v>0.28339999999999999</v>
      </c>
      <c r="E27445" s="26">
        <v>0.1961</v>
      </c>
      <c r="F27445" s="26">
        <v>0.19350000000000001</v>
      </c>
      <c r="G27445" s="26">
        <v>0.1804</v>
      </c>
      <c r="H27445" s="26">
        <v>0.10929999999999999</v>
      </c>
      <c r="I27445" s="26">
        <v>9.2799999999999994E-2</v>
      </c>
      <c r="J27445" s="26">
        <v>7.8600000000000003E-2</v>
      </c>
      <c r="K27445" s="26">
        <v>3.56E-2</v>
      </c>
      <c r="L27445" s="26">
        <v>4.8899999999999999E-2</v>
      </c>
      <c r="M27445" s="26">
        <v>4.6899999999999997E-2</v>
      </c>
      <c r="N27445" s="26">
        <v>3.9800000000000002E-2</v>
      </c>
      <c r="O27445" s="26">
        <v>2.9999999999999997E-4</v>
      </c>
      <c r="Q27445">
        <v>207</v>
      </c>
    </row>
    <row r="27446" spans="1:17" x14ac:dyDescent="0.35">
      <c r="A27446" t="s">
        <v>229</v>
      </c>
      <c r="B27446" t="s">
        <v>255</v>
      </c>
      <c r="C27446" s="26">
        <v>0.40760000000000002</v>
      </c>
      <c r="D27446" s="26">
        <v>0.2064</v>
      </c>
      <c r="E27446" s="26">
        <v>0.2324</v>
      </c>
      <c r="F27446" s="26">
        <v>0.184</v>
      </c>
      <c r="G27446" s="26">
        <v>0.16830000000000001</v>
      </c>
      <c r="H27446" s="26">
        <v>0.1464</v>
      </c>
      <c r="I27446" s="26">
        <v>0.1305</v>
      </c>
      <c r="J27446" s="26">
        <v>8.5500000000000007E-2</v>
      </c>
      <c r="K27446" s="26">
        <v>3.0800000000000001E-2</v>
      </c>
      <c r="L27446" s="26">
        <v>5.6800000000000003E-2</v>
      </c>
      <c r="M27446" s="26">
        <v>4.3099999999999999E-2</v>
      </c>
      <c r="N27446" s="26">
        <v>4.2200000000000001E-2</v>
      </c>
      <c r="O27446" s="26">
        <v>1.5E-3</v>
      </c>
      <c r="P27446" s="26">
        <v>2E-3</v>
      </c>
      <c r="Q27446">
        <v>636</v>
      </c>
    </row>
    <row r="27447" spans="1:17" x14ac:dyDescent="0.35">
      <c r="A27447" t="s">
        <v>229</v>
      </c>
      <c r="B27447" t="s">
        <v>257</v>
      </c>
      <c r="C27447" s="26">
        <v>0.48599999999999999</v>
      </c>
      <c r="D27447" s="26">
        <v>0.4521</v>
      </c>
      <c r="E27447" s="26">
        <v>0.31790000000000002</v>
      </c>
      <c r="F27447" s="26">
        <v>0.16350000000000001</v>
      </c>
      <c r="G27447" s="26">
        <v>0.15390000000000001</v>
      </c>
      <c r="H27447" s="26">
        <v>0.1298</v>
      </c>
      <c r="J27447" s="26">
        <v>1.54E-2</v>
      </c>
      <c r="K27447" s="26">
        <v>1.54E-2</v>
      </c>
      <c r="M27447" s="26">
        <v>6.7699999999999996E-2</v>
      </c>
      <c r="Q27447">
        <v>50</v>
      </c>
    </row>
    <row r="27448" spans="1:17" x14ac:dyDescent="0.35">
      <c r="A27448" s="27" t="s">
        <v>229</v>
      </c>
      <c r="B27448" s="27" t="s">
        <v>258</v>
      </c>
      <c r="C27448" s="29"/>
      <c r="D27448" s="28">
        <v>0.22409999999999999</v>
      </c>
      <c r="E27448" s="29"/>
      <c r="F27448" s="29"/>
      <c r="G27448" s="29"/>
      <c r="H27448" s="29"/>
      <c r="I27448" s="28">
        <v>0.77590000000000003</v>
      </c>
      <c r="J27448" s="29"/>
      <c r="K27448" s="29"/>
      <c r="L27448" s="29"/>
      <c r="M27448" s="29"/>
      <c r="N27448" s="29"/>
      <c r="O27448" s="29"/>
      <c r="P27448" s="29"/>
      <c r="Q27448" s="29" t="s">
        <v>314</v>
      </c>
    </row>
    <row r="27449" spans="1:17" x14ac:dyDescent="0.35">
      <c r="A27449" t="s">
        <v>230</v>
      </c>
      <c r="B27449" t="s">
        <v>256</v>
      </c>
      <c r="C27449" s="26">
        <v>0.47139999999999999</v>
      </c>
      <c r="D27449" s="26">
        <v>0.20699999999999999</v>
      </c>
      <c r="E27449" s="26">
        <v>0.18590000000000001</v>
      </c>
      <c r="F27449" s="26">
        <v>0.13819999999999999</v>
      </c>
      <c r="G27449" s="26">
        <v>0.25290000000000001</v>
      </c>
      <c r="H27449" s="26">
        <v>0.12509999999999999</v>
      </c>
      <c r="I27449" s="26">
        <v>8.6300000000000002E-2</v>
      </c>
      <c r="J27449" s="26">
        <v>8.9999999999999993E-3</v>
      </c>
      <c r="K27449" s="26">
        <v>1.1000000000000001E-3</v>
      </c>
      <c r="L27449" s="26">
        <v>3.3999999999999998E-3</v>
      </c>
      <c r="M27449" s="26">
        <v>4.1399999999999999E-2</v>
      </c>
      <c r="N27449" s="26">
        <v>3.3999999999999998E-3</v>
      </c>
      <c r="O27449" s="26">
        <v>1.1000000000000001E-3</v>
      </c>
      <c r="Q27449">
        <v>130</v>
      </c>
    </row>
    <row r="27450" spans="1:17" x14ac:dyDescent="0.35">
      <c r="A27450" t="s">
        <v>230</v>
      </c>
      <c r="B27450" t="s">
        <v>255</v>
      </c>
      <c r="C27450" s="26">
        <v>0.36430000000000001</v>
      </c>
      <c r="D27450" s="26">
        <v>0.32450000000000001</v>
      </c>
      <c r="E27450" s="26">
        <v>0.20660000000000001</v>
      </c>
      <c r="F27450" s="26">
        <v>0.1114</v>
      </c>
      <c r="G27450" s="26">
        <v>0.18990000000000001</v>
      </c>
      <c r="H27450" s="26">
        <v>0.13639999999999999</v>
      </c>
      <c r="I27450" s="26">
        <v>0.14360000000000001</v>
      </c>
      <c r="J27450" s="26">
        <v>3.2899999999999999E-2</v>
      </c>
      <c r="K27450" s="26">
        <v>2.1100000000000001E-2</v>
      </c>
      <c r="L27450" s="26">
        <v>2.7E-2</v>
      </c>
      <c r="M27450" s="26">
        <v>5.1700000000000003E-2</v>
      </c>
      <c r="N27450" s="26">
        <v>4.9099999999999998E-2</v>
      </c>
      <c r="O27450" s="26">
        <v>1.2999999999999999E-3</v>
      </c>
      <c r="Q27450">
        <v>389</v>
      </c>
    </row>
    <row r="27451" spans="1:17" x14ac:dyDescent="0.35">
      <c r="A27451" t="s">
        <v>230</v>
      </c>
      <c r="B27451" t="s">
        <v>257</v>
      </c>
      <c r="C27451" s="26">
        <v>0.58240000000000003</v>
      </c>
      <c r="D27451" s="26">
        <v>0.24479999999999999</v>
      </c>
      <c r="E27451" s="26">
        <v>0.15640000000000001</v>
      </c>
      <c r="F27451" s="26">
        <v>1.2800000000000001E-2</v>
      </c>
      <c r="G27451" s="26">
        <v>0.1298</v>
      </c>
      <c r="H27451" s="26">
        <v>5.8200000000000002E-2</v>
      </c>
      <c r="I27451" s="26">
        <v>0.17730000000000001</v>
      </c>
      <c r="L27451" s="26">
        <v>1.2800000000000001E-2</v>
      </c>
      <c r="N27451" s="26">
        <v>3.8999999999999998E-3</v>
      </c>
      <c r="Q27451">
        <v>38</v>
      </c>
    </row>
    <row r="27452" spans="1:17" x14ac:dyDescent="0.35">
      <c r="A27452" s="27" t="s">
        <v>230</v>
      </c>
      <c r="B27452" s="27" t="s">
        <v>258</v>
      </c>
      <c r="C27452" s="29"/>
      <c r="D27452" s="28">
        <v>0.17730000000000001</v>
      </c>
      <c r="E27452" s="29"/>
      <c r="F27452" s="28">
        <v>0.82269999999999999</v>
      </c>
      <c r="G27452" s="29"/>
      <c r="H27452" s="28">
        <v>0.1356</v>
      </c>
      <c r="I27452" s="29"/>
      <c r="J27452" s="29"/>
      <c r="K27452" s="29"/>
      <c r="L27452" s="29"/>
      <c r="M27452" s="29"/>
      <c r="N27452" s="29"/>
      <c r="O27452" s="29"/>
      <c r="P27452" s="29"/>
      <c r="Q27452" s="29" t="s">
        <v>315</v>
      </c>
    </row>
    <row r="27453" spans="1:17" x14ac:dyDescent="0.35">
      <c r="A27453" s="27" t="s">
        <v>231</v>
      </c>
      <c r="B27453" s="27" t="s">
        <v>257</v>
      </c>
      <c r="C27453" s="28">
        <v>0.57140000000000002</v>
      </c>
      <c r="D27453" s="28">
        <v>0.1429</v>
      </c>
      <c r="E27453" s="28">
        <v>0.28570000000000001</v>
      </c>
      <c r="F27453" s="29"/>
      <c r="G27453" s="29"/>
      <c r="H27453" s="29"/>
      <c r="I27453" s="29"/>
      <c r="J27453" s="28">
        <v>0.28570000000000001</v>
      </c>
      <c r="K27453" s="29"/>
      <c r="L27453" s="29"/>
      <c r="M27453" s="29"/>
      <c r="N27453" s="29"/>
      <c r="O27453" s="29"/>
      <c r="P27453" s="29"/>
      <c r="Q27453" s="29" t="s">
        <v>339</v>
      </c>
    </row>
    <row r="27454" spans="1:17" x14ac:dyDescent="0.35">
      <c r="A27454" t="s">
        <v>231</v>
      </c>
      <c r="B27454" t="s">
        <v>255</v>
      </c>
      <c r="C27454" s="26">
        <v>0.30230000000000001</v>
      </c>
      <c r="D27454" s="26">
        <v>0.1938</v>
      </c>
      <c r="E27454" s="26">
        <v>0.1938</v>
      </c>
      <c r="F27454" s="26">
        <v>0.2016</v>
      </c>
      <c r="G27454" s="26">
        <v>0.155</v>
      </c>
      <c r="H27454" s="26">
        <v>0.1318</v>
      </c>
      <c r="I27454" s="26">
        <v>0.155</v>
      </c>
      <c r="J27454" s="26">
        <v>0.1163</v>
      </c>
      <c r="K27454" s="26">
        <v>7.7499999999999999E-2</v>
      </c>
      <c r="L27454" s="26">
        <v>3.8800000000000001E-2</v>
      </c>
      <c r="M27454" s="26">
        <v>3.1E-2</v>
      </c>
      <c r="N27454" s="26">
        <v>3.8800000000000001E-2</v>
      </c>
      <c r="O27454" s="26">
        <v>1.55E-2</v>
      </c>
      <c r="Q27454">
        <v>129</v>
      </c>
    </row>
    <row r="27455" spans="1:17" x14ac:dyDescent="0.35">
      <c r="A27455" s="27" t="s">
        <v>231</v>
      </c>
      <c r="B27455" s="27" t="s">
        <v>256</v>
      </c>
      <c r="C27455" s="28">
        <v>0.46429999999999999</v>
      </c>
      <c r="D27455" s="28">
        <v>0.1071</v>
      </c>
      <c r="E27455" s="28">
        <v>0.17860000000000001</v>
      </c>
      <c r="F27455" s="28">
        <v>0.17860000000000001</v>
      </c>
      <c r="G27455" s="28">
        <v>0.17860000000000001</v>
      </c>
      <c r="H27455" s="28">
        <v>0.1429</v>
      </c>
      <c r="I27455" s="28">
        <v>3.5700000000000003E-2</v>
      </c>
      <c r="J27455" s="28">
        <v>0.1071</v>
      </c>
      <c r="K27455" s="29"/>
      <c r="L27455" s="28">
        <v>3.5700000000000003E-2</v>
      </c>
      <c r="M27455" s="29"/>
      <c r="N27455" s="29"/>
      <c r="O27455" s="29"/>
      <c r="P27455" s="29"/>
      <c r="Q27455" s="29" t="s">
        <v>336</v>
      </c>
    </row>
    <row r="27456" spans="1:17" x14ac:dyDescent="0.35">
      <c r="A27456" t="s">
        <v>232</v>
      </c>
      <c r="B27456" t="s">
        <v>232</v>
      </c>
      <c r="C27456" s="26">
        <v>0.39529999999999998</v>
      </c>
      <c r="D27456" s="26">
        <v>0.21199999999999999</v>
      </c>
      <c r="E27456" s="26">
        <v>0.1988</v>
      </c>
      <c r="F27456" s="26">
        <v>0.16139999999999999</v>
      </c>
      <c r="G27456" s="26">
        <v>0.15060000000000001</v>
      </c>
      <c r="H27456" s="26">
        <v>0.1434</v>
      </c>
      <c r="I27456" s="26">
        <v>0.12470000000000001</v>
      </c>
      <c r="J27456" s="26">
        <v>8.5999999999999993E-2</v>
      </c>
      <c r="K27456" s="26">
        <v>4.0599999999999997E-2</v>
      </c>
      <c r="L27456" s="26">
        <v>3.9300000000000002E-2</v>
      </c>
      <c r="M27456" s="26">
        <v>3.9199999999999999E-2</v>
      </c>
      <c r="N27456" s="26">
        <v>3.3799999999999997E-2</v>
      </c>
      <c r="O27456" s="26">
        <v>4.3E-3</v>
      </c>
      <c r="P27456" s="26">
        <v>4.0000000000000002E-4</v>
      </c>
      <c r="Q27456">
        <v>2813</v>
      </c>
    </row>
    <row r="27458" spans="1:17" x14ac:dyDescent="0.35">
      <c r="A27458" s="1" t="s">
        <v>2487</v>
      </c>
    </row>
    <row r="27459" spans="1:17" x14ac:dyDescent="0.35">
      <c r="A27459" t="s">
        <v>219</v>
      </c>
      <c r="B27459" t="s">
        <v>305</v>
      </c>
      <c r="C27459" t="s">
        <v>2465</v>
      </c>
      <c r="D27459" t="s">
        <v>2466</v>
      </c>
      <c r="E27459" t="s">
        <v>2467</v>
      </c>
      <c r="F27459" t="s">
        <v>2468</v>
      </c>
      <c r="G27459" t="s">
        <v>2469</v>
      </c>
      <c r="H27459" t="s">
        <v>2470</v>
      </c>
      <c r="I27459" t="s">
        <v>550</v>
      </c>
      <c r="J27459" t="s">
        <v>281</v>
      </c>
      <c r="K27459" t="s">
        <v>2471</v>
      </c>
      <c r="L27459" t="s">
        <v>2472</v>
      </c>
      <c r="M27459" t="s">
        <v>2473</v>
      </c>
      <c r="N27459" t="s">
        <v>2474</v>
      </c>
      <c r="O27459" t="s">
        <v>286</v>
      </c>
      <c r="P27459" t="s">
        <v>2475</v>
      </c>
      <c r="Q27459" t="s">
        <v>226</v>
      </c>
    </row>
    <row r="27460" spans="1:17" x14ac:dyDescent="0.35">
      <c r="A27460" t="s">
        <v>227</v>
      </c>
      <c r="B27460" t="s">
        <v>1341</v>
      </c>
      <c r="C27460" s="26">
        <v>0.30609999999999998</v>
      </c>
      <c r="D27460" s="26">
        <v>0.1837</v>
      </c>
      <c r="E27460" s="26">
        <v>0.1837</v>
      </c>
      <c r="F27460" s="26">
        <v>0.1633</v>
      </c>
      <c r="G27460" s="26">
        <v>0.1429</v>
      </c>
      <c r="H27460" s="26">
        <v>0.12239999999999999</v>
      </c>
      <c r="I27460" s="26">
        <v>0.12239999999999999</v>
      </c>
      <c r="J27460" s="26">
        <v>0.10199999999999999</v>
      </c>
      <c r="K27460" s="26">
        <v>4.0800000000000003E-2</v>
      </c>
      <c r="M27460" s="26">
        <v>4.0800000000000003E-2</v>
      </c>
      <c r="N27460" s="26">
        <v>2.0400000000000001E-2</v>
      </c>
      <c r="Q27460">
        <v>49</v>
      </c>
    </row>
    <row r="27461" spans="1:17" x14ac:dyDescent="0.35">
      <c r="A27461" s="27" t="s">
        <v>227</v>
      </c>
      <c r="B27461" s="27" t="s">
        <v>1342</v>
      </c>
      <c r="C27461" s="29"/>
      <c r="D27461" s="29"/>
      <c r="E27461" s="29"/>
      <c r="F27461" s="29"/>
      <c r="G27461" s="29"/>
      <c r="H27461" s="28">
        <v>1</v>
      </c>
      <c r="I27461" s="29"/>
      <c r="J27461" s="29"/>
      <c r="K27461" s="29"/>
      <c r="L27461" s="29"/>
      <c r="M27461" s="29"/>
      <c r="N27461" s="29"/>
      <c r="O27461" s="29"/>
      <c r="P27461" s="29"/>
      <c r="Q27461" s="29" t="s">
        <v>331</v>
      </c>
    </row>
    <row r="27462" spans="1:17" x14ac:dyDescent="0.35">
      <c r="A27462" t="s">
        <v>227</v>
      </c>
      <c r="B27462" t="s">
        <v>1343</v>
      </c>
      <c r="C27462" s="26">
        <v>0.34229999999999999</v>
      </c>
      <c r="D27462" s="26">
        <v>0.16220000000000001</v>
      </c>
      <c r="E27462" s="26">
        <v>0.18920000000000001</v>
      </c>
      <c r="F27462" s="26">
        <v>0.1532</v>
      </c>
      <c r="G27462" s="26">
        <v>0.1081</v>
      </c>
      <c r="H27462" s="26">
        <v>0.1351</v>
      </c>
      <c r="I27462" s="26">
        <v>0.1171</v>
      </c>
      <c r="J27462" s="26">
        <v>8.1100000000000005E-2</v>
      </c>
      <c r="K27462" s="26">
        <v>6.3100000000000003E-2</v>
      </c>
      <c r="L27462" s="26">
        <v>5.4100000000000002E-2</v>
      </c>
      <c r="M27462" s="26">
        <v>7.2099999999999997E-2</v>
      </c>
      <c r="N27462" s="26">
        <v>2.7E-2</v>
      </c>
      <c r="Q27462">
        <v>111</v>
      </c>
    </row>
    <row r="27463" spans="1:17" x14ac:dyDescent="0.35">
      <c r="A27463" t="s">
        <v>228</v>
      </c>
      <c r="B27463" t="s">
        <v>1341</v>
      </c>
      <c r="C27463" s="26">
        <v>0.52490000000000003</v>
      </c>
      <c r="D27463" s="26">
        <v>0.27339999999999998</v>
      </c>
      <c r="E27463" s="26">
        <v>0.16569999999999999</v>
      </c>
      <c r="F27463" s="26">
        <v>0.14699999999999999</v>
      </c>
      <c r="G27463" s="26">
        <v>0.1681</v>
      </c>
      <c r="H27463" s="26">
        <v>0.17100000000000001</v>
      </c>
      <c r="I27463" s="26">
        <v>9.2499999999999999E-2</v>
      </c>
      <c r="J27463" s="26">
        <v>0.10489999999999999</v>
      </c>
      <c r="K27463" s="26">
        <v>3.73E-2</v>
      </c>
      <c r="L27463" s="26">
        <v>3.3599999999999998E-2</v>
      </c>
      <c r="M27463" s="26">
        <v>4.4299999999999999E-2</v>
      </c>
      <c r="N27463" s="26">
        <v>4.65E-2</v>
      </c>
      <c r="O27463" s="26">
        <v>2.7000000000000001E-3</v>
      </c>
      <c r="Q27463">
        <v>305</v>
      </c>
    </row>
    <row r="27464" spans="1:17" x14ac:dyDescent="0.35">
      <c r="A27464" s="27" t="s">
        <v>228</v>
      </c>
      <c r="B27464" s="27" t="s">
        <v>1342</v>
      </c>
      <c r="C27464" s="29"/>
      <c r="D27464" s="28">
        <v>1</v>
      </c>
      <c r="E27464" s="28">
        <v>1</v>
      </c>
      <c r="F27464" s="29"/>
      <c r="G27464" s="28">
        <v>1</v>
      </c>
      <c r="H27464" s="28">
        <v>1</v>
      </c>
      <c r="I27464" s="29"/>
      <c r="J27464" s="29"/>
      <c r="K27464" s="29"/>
      <c r="L27464" s="29"/>
      <c r="M27464" s="29"/>
      <c r="N27464" s="29"/>
      <c r="O27464" s="29"/>
      <c r="P27464" s="29"/>
      <c r="Q27464" s="29" t="s">
        <v>331</v>
      </c>
    </row>
    <row r="27465" spans="1:17" x14ac:dyDescent="0.35">
      <c r="A27465" t="s">
        <v>228</v>
      </c>
      <c r="B27465" t="s">
        <v>1343</v>
      </c>
      <c r="C27465" s="26">
        <v>0.4415</v>
      </c>
      <c r="D27465" s="26">
        <v>0.1893</v>
      </c>
      <c r="E27465" s="26">
        <v>0.17299999999999999</v>
      </c>
      <c r="F27465" s="26">
        <v>0.10150000000000001</v>
      </c>
      <c r="G27465" s="26">
        <v>9.4500000000000001E-2</v>
      </c>
      <c r="H27465" s="26">
        <v>0.19400000000000001</v>
      </c>
      <c r="I27465" s="26">
        <v>0.15890000000000001</v>
      </c>
      <c r="J27465" s="26">
        <v>6.1899999999999997E-2</v>
      </c>
      <c r="K27465" s="26">
        <v>2.23E-2</v>
      </c>
      <c r="L27465" s="26">
        <v>3.7900000000000003E-2</v>
      </c>
      <c r="M27465" s="26">
        <v>2.4400000000000002E-2</v>
      </c>
      <c r="N27465" s="26">
        <v>3.3799999999999997E-2</v>
      </c>
      <c r="O27465" s="26">
        <v>2.8999999999999998E-3</v>
      </c>
      <c r="Q27465">
        <v>727</v>
      </c>
    </row>
    <row r="27466" spans="1:17" x14ac:dyDescent="0.35">
      <c r="A27466" t="s">
        <v>229</v>
      </c>
      <c r="B27466" t="s">
        <v>1341</v>
      </c>
      <c r="C27466" s="26">
        <v>0.4985</v>
      </c>
      <c r="D27466" s="26">
        <v>0.2571</v>
      </c>
      <c r="E27466" s="26">
        <v>0.21249999999999999</v>
      </c>
      <c r="F27466" s="26">
        <v>0.2223</v>
      </c>
      <c r="G27466" s="26">
        <v>0.18659999999999999</v>
      </c>
      <c r="H27466" s="26">
        <v>0.1434</v>
      </c>
      <c r="I27466" s="26">
        <v>0.12909999999999999</v>
      </c>
      <c r="J27466" s="26">
        <v>6.6199999999999995E-2</v>
      </c>
      <c r="K27466" s="26">
        <v>4.2000000000000003E-2</v>
      </c>
      <c r="L27466" s="26">
        <v>5.0599999999999999E-2</v>
      </c>
      <c r="M27466" s="26">
        <v>6.2399999999999997E-2</v>
      </c>
      <c r="N27466" s="26">
        <v>5.0299999999999997E-2</v>
      </c>
      <c r="Q27466">
        <v>273</v>
      </c>
    </row>
    <row r="27467" spans="1:17" x14ac:dyDescent="0.35">
      <c r="A27467" t="s">
        <v>229</v>
      </c>
      <c r="B27467" t="s">
        <v>1343</v>
      </c>
      <c r="C27467" s="26">
        <v>0.3992</v>
      </c>
      <c r="D27467" s="26">
        <v>0.23280000000000001</v>
      </c>
      <c r="E27467" s="26">
        <v>0.23400000000000001</v>
      </c>
      <c r="F27467" s="26">
        <v>0.16739999999999999</v>
      </c>
      <c r="G27467" s="26">
        <v>0.16309999999999999</v>
      </c>
      <c r="H27467" s="26">
        <v>0.1313</v>
      </c>
      <c r="I27467" s="26">
        <v>0.10580000000000001</v>
      </c>
      <c r="J27467" s="26">
        <v>8.6300000000000002E-2</v>
      </c>
      <c r="K27467" s="26">
        <v>2.6100000000000002E-2</v>
      </c>
      <c r="L27467" s="26">
        <v>5.1999999999999998E-2</v>
      </c>
      <c r="M27467" s="26">
        <v>3.7100000000000001E-2</v>
      </c>
      <c r="N27467" s="26">
        <v>3.39E-2</v>
      </c>
      <c r="O27467" s="26">
        <v>1.6000000000000001E-3</v>
      </c>
      <c r="P27467" s="26">
        <v>2E-3</v>
      </c>
      <c r="Q27467">
        <v>622</v>
      </c>
    </row>
    <row r="27468" spans="1:17" x14ac:dyDescent="0.35">
      <c r="A27468" t="s">
        <v>230</v>
      </c>
      <c r="B27468" t="s">
        <v>1341</v>
      </c>
      <c r="C27468" s="26">
        <v>0.38879999999999998</v>
      </c>
      <c r="D27468" s="26">
        <v>0.26340000000000002</v>
      </c>
      <c r="E27468" s="26">
        <v>0.29370000000000002</v>
      </c>
      <c r="F27468" s="26">
        <v>0.18010000000000001</v>
      </c>
      <c r="G27468" s="26">
        <v>0.251</v>
      </c>
      <c r="H27468" s="26">
        <v>0.1129</v>
      </c>
      <c r="I27468" s="26">
        <v>0.15429999999999999</v>
      </c>
      <c r="J27468" s="26">
        <v>6.4000000000000003E-3</v>
      </c>
      <c r="K27468" s="26">
        <v>3.5900000000000001E-2</v>
      </c>
      <c r="L27468" s="26">
        <v>2.2100000000000002E-2</v>
      </c>
      <c r="M27468" s="26">
        <v>9.3899999999999997E-2</v>
      </c>
      <c r="N27468" s="26">
        <v>3.8800000000000001E-2</v>
      </c>
      <c r="Q27468">
        <v>156</v>
      </c>
    </row>
    <row r="27469" spans="1:17" x14ac:dyDescent="0.35">
      <c r="A27469" t="s">
        <v>230</v>
      </c>
      <c r="B27469" t="s">
        <v>1343</v>
      </c>
      <c r="C27469" s="26">
        <v>0.41249999999999998</v>
      </c>
      <c r="D27469" s="26">
        <v>0.29799999999999999</v>
      </c>
      <c r="E27469" s="26">
        <v>0.15310000000000001</v>
      </c>
      <c r="F27469" s="26">
        <v>8.7599999999999997E-2</v>
      </c>
      <c r="G27469" s="26">
        <v>0.1784</v>
      </c>
      <c r="H27469" s="26">
        <v>0.1346</v>
      </c>
      <c r="I27469" s="26">
        <v>0.11940000000000001</v>
      </c>
      <c r="J27469" s="26">
        <v>3.2000000000000001E-2</v>
      </c>
      <c r="K27469" s="26">
        <v>4.7000000000000002E-3</v>
      </c>
      <c r="L27469" s="26">
        <v>1.8599999999999998E-2</v>
      </c>
      <c r="M27469" s="26">
        <v>2.3300000000000001E-2</v>
      </c>
      <c r="N27469" s="26">
        <v>3.1399999999999997E-2</v>
      </c>
      <c r="O27469" s="26">
        <v>1.6999999999999999E-3</v>
      </c>
      <c r="Q27469">
        <v>404</v>
      </c>
    </row>
    <row r="27470" spans="1:17" x14ac:dyDescent="0.35">
      <c r="A27470" t="s">
        <v>231</v>
      </c>
      <c r="B27470" t="s">
        <v>1341</v>
      </c>
      <c r="C27470" s="26">
        <v>0.3231</v>
      </c>
      <c r="D27470" s="26">
        <v>0.2</v>
      </c>
      <c r="E27470" s="26">
        <v>0.21540000000000001</v>
      </c>
      <c r="F27470" s="26">
        <v>0.26150000000000001</v>
      </c>
      <c r="G27470" s="26">
        <v>0.1231</v>
      </c>
      <c r="H27470" s="26">
        <v>0.1077</v>
      </c>
      <c r="I27470" s="26">
        <v>0.13850000000000001</v>
      </c>
      <c r="J27470" s="26">
        <v>7.6899999999999996E-2</v>
      </c>
      <c r="K27470" s="26">
        <v>7.6899999999999996E-2</v>
      </c>
      <c r="L27470" s="26">
        <v>7.6899999999999996E-2</v>
      </c>
      <c r="M27470" s="26">
        <v>6.1499999999999999E-2</v>
      </c>
      <c r="N27470" s="26">
        <v>4.6199999999999998E-2</v>
      </c>
      <c r="O27470" s="26">
        <v>3.0800000000000001E-2</v>
      </c>
      <c r="Q27470">
        <v>65</v>
      </c>
    </row>
    <row r="27471" spans="1:17" x14ac:dyDescent="0.35">
      <c r="A27471" t="s">
        <v>231</v>
      </c>
      <c r="B27471" t="s">
        <v>1343</v>
      </c>
      <c r="C27471" s="26">
        <v>0.35349999999999998</v>
      </c>
      <c r="D27471" s="26">
        <v>0.16159999999999999</v>
      </c>
      <c r="E27471" s="26">
        <v>0.18179999999999999</v>
      </c>
      <c r="F27471" s="26">
        <v>0.1414</v>
      </c>
      <c r="G27471" s="26">
        <v>0.17169999999999999</v>
      </c>
      <c r="H27471" s="26">
        <v>0.1414</v>
      </c>
      <c r="I27471" s="26">
        <v>0.1212</v>
      </c>
      <c r="J27471" s="26">
        <v>0.1515</v>
      </c>
      <c r="K27471" s="26">
        <v>5.0500000000000003E-2</v>
      </c>
      <c r="L27471" s="26">
        <v>1.01E-2</v>
      </c>
      <c r="N27471" s="26">
        <v>2.0199999999999999E-2</v>
      </c>
      <c r="Q27471">
        <v>99</v>
      </c>
    </row>
    <row r="27472" spans="1:17" x14ac:dyDescent="0.35">
      <c r="A27472" t="s">
        <v>232</v>
      </c>
      <c r="B27472" t="s">
        <v>232</v>
      </c>
      <c r="C27472" s="26">
        <v>0.39529999999999998</v>
      </c>
      <c r="D27472" s="26">
        <v>0.21199999999999999</v>
      </c>
      <c r="E27472" s="26">
        <v>0.1988</v>
      </c>
      <c r="F27472" s="26">
        <v>0.16139999999999999</v>
      </c>
      <c r="G27472" s="26">
        <v>0.15060000000000001</v>
      </c>
      <c r="H27472" s="26">
        <v>0.1434</v>
      </c>
      <c r="I27472" s="26">
        <v>0.12470000000000001</v>
      </c>
      <c r="J27472" s="26">
        <v>8.5999999999999993E-2</v>
      </c>
      <c r="K27472" s="26">
        <v>4.0599999999999997E-2</v>
      </c>
      <c r="L27472" s="26">
        <v>3.9300000000000002E-2</v>
      </c>
      <c r="M27472" s="26">
        <v>3.9199999999999999E-2</v>
      </c>
      <c r="N27472" s="26">
        <v>3.3799999999999997E-2</v>
      </c>
      <c r="O27472" s="26">
        <v>4.3E-3</v>
      </c>
      <c r="P27472" s="26">
        <v>4.0000000000000002E-4</v>
      </c>
      <c r="Q27472">
        <v>2813</v>
      </c>
    </row>
    <row r="27474" spans="1:17" x14ac:dyDescent="0.35">
      <c r="A27474" s="1" t="s">
        <v>2488</v>
      </c>
    </row>
    <row r="27475" spans="1:17" x14ac:dyDescent="0.35">
      <c r="A27475" t="s">
        <v>219</v>
      </c>
      <c r="B27475" t="s">
        <v>305</v>
      </c>
      <c r="C27475" t="s">
        <v>2465</v>
      </c>
      <c r="D27475" t="s">
        <v>2466</v>
      </c>
      <c r="E27475" t="s">
        <v>2467</v>
      </c>
      <c r="F27475" t="s">
        <v>2468</v>
      </c>
      <c r="G27475" t="s">
        <v>2469</v>
      </c>
      <c r="H27475" t="s">
        <v>2470</v>
      </c>
      <c r="I27475" t="s">
        <v>550</v>
      </c>
      <c r="J27475" t="s">
        <v>281</v>
      </c>
      <c r="K27475" t="s">
        <v>2471</v>
      </c>
      <c r="L27475" t="s">
        <v>2472</v>
      </c>
      <c r="M27475" t="s">
        <v>2473</v>
      </c>
      <c r="N27475" t="s">
        <v>2474</v>
      </c>
      <c r="O27475" t="s">
        <v>286</v>
      </c>
      <c r="P27475" t="s">
        <v>2475</v>
      </c>
      <c r="Q27475" t="s">
        <v>226</v>
      </c>
    </row>
    <row r="27476" spans="1:17" x14ac:dyDescent="0.35">
      <c r="A27476" s="27" t="s">
        <v>227</v>
      </c>
      <c r="B27476" s="27" t="s">
        <v>1345</v>
      </c>
      <c r="C27476" s="28">
        <v>1</v>
      </c>
      <c r="D27476" s="29"/>
      <c r="E27476" s="29"/>
      <c r="F27476" s="29"/>
      <c r="G27476" s="29"/>
      <c r="H27476" s="29"/>
      <c r="I27476" s="29"/>
      <c r="J27476" s="29"/>
      <c r="K27476" s="29"/>
      <c r="L27476" s="29"/>
      <c r="M27476" s="29"/>
      <c r="N27476" s="29"/>
      <c r="O27476" s="29"/>
      <c r="P27476" s="29"/>
      <c r="Q27476" s="29" t="s">
        <v>314</v>
      </c>
    </row>
    <row r="27477" spans="1:17" x14ac:dyDescent="0.35">
      <c r="A27477" t="s">
        <v>227</v>
      </c>
      <c r="B27477" t="s">
        <v>1346</v>
      </c>
      <c r="C27477" s="26">
        <v>0.23080000000000001</v>
      </c>
      <c r="D27477" s="26">
        <v>0.12820000000000001</v>
      </c>
      <c r="E27477" s="26">
        <v>0.1026</v>
      </c>
      <c r="F27477" s="26">
        <v>0.25640000000000002</v>
      </c>
      <c r="G27477" s="26">
        <v>5.1299999999999998E-2</v>
      </c>
      <c r="H27477" s="26">
        <v>0.25640000000000002</v>
      </c>
      <c r="I27477" s="26">
        <v>0.1026</v>
      </c>
      <c r="J27477" s="26">
        <v>0.1026</v>
      </c>
      <c r="K27477" s="26">
        <v>0.12820000000000001</v>
      </c>
      <c r="L27477" s="26">
        <v>2.5600000000000001E-2</v>
      </c>
      <c r="M27477" s="26">
        <v>5.1299999999999998E-2</v>
      </c>
      <c r="Q27477">
        <v>39</v>
      </c>
    </row>
    <row r="27478" spans="1:17" x14ac:dyDescent="0.35">
      <c r="A27478" t="s">
        <v>227</v>
      </c>
      <c r="B27478" t="s">
        <v>1347</v>
      </c>
      <c r="C27478" s="26">
        <v>0.52780000000000005</v>
      </c>
      <c r="D27478" s="26">
        <v>8.3299999999999999E-2</v>
      </c>
      <c r="E27478" s="26">
        <v>0.19439999999999999</v>
      </c>
      <c r="F27478" s="26">
        <v>0.1389</v>
      </c>
      <c r="G27478" s="26">
        <v>0.16669999999999999</v>
      </c>
      <c r="H27478" s="26">
        <v>8.3299999999999999E-2</v>
      </c>
      <c r="I27478" s="26">
        <v>5.5599999999999997E-2</v>
      </c>
      <c r="J27478" s="26">
        <v>5.5599999999999997E-2</v>
      </c>
      <c r="K27478" s="26">
        <v>5.5599999999999997E-2</v>
      </c>
      <c r="L27478" s="26">
        <v>2.7799999999999998E-2</v>
      </c>
      <c r="M27478" s="26">
        <v>5.5599999999999997E-2</v>
      </c>
      <c r="N27478" s="26">
        <v>8.3299999999999999E-2</v>
      </c>
      <c r="Q27478">
        <v>36</v>
      </c>
    </row>
    <row r="27479" spans="1:17" x14ac:dyDescent="0.35">
      <c r="A27479" t="s">
        <v>227</v>
      </c>
      <c r="B27479" t="s">
        <v>1348</v>
      </c>
      <c r="C27479" s="26">
        <v>0.27379999999999999</v>
      </c>
      <c r="D27479" s="26">
        <v>0.22620000000000001</v>
      </c>
      <c r="E27479" s="26">
        <v>0.22620000000000001</v>
      </c>
      <c r="F27479" s="26">
        <v>0.11899999999999999</v>
      </c>
      <c r="G27479" s="26">
        <v>0.13100000000000001</v>
      </c>
      <c r="H27479" s="26">
        <v>0.1071</v>
      </c>
      <c r="I27479" s="26">
        <v>0.15479999999999999</v>
      </c>
      <c r="J27479" s="26">
        <v>9.5200000000000007E-2</v>
      </c>
      <c r="K27479" s="26">
        <v>2.3800000000000002E-2</v>
      </c>
      <c r="L27479" s="26">
        <v>4.7600000000000003E-2</v>
      </c>
      <c r="M27479" s="26">
        <v>7.1400000000000005E-2</v>
      </c>
      <c r="N27479" s="26">
        <v>1.1900000000000001E-2</v>
      </c>
      <c r="Q27479">
        <v>84</v>
      </c>
    </row>
    <row r="27480" spans="1:17" x14ac:dyDescent="0.35">
      <c r="A27480" t="s">
        <v>228</v>
      </c>
      <c r="B27480" t="s">
        <v>1348</v>
      </c>
      <c r="C27480" s="26">
        <v>0.43969999999999998</v>
      </c>
      <c r="D27480" s="26">
        <v>0.22550000000000001</v>
      </c>
      <c r="E27480" s="26">
        <v>0.18759999999999999</v>
      </c>
      <c r="F27480" s="26">
        <v>0.13009999999999999</v>
      </c>
      <c r="G27480" s="26">
        <v>0.12670000000000001</v>
      </c>
      <c r="H27480" s="26">
        <v>0.20930000000000001</v>
      </c>
      <c r="I27480" s="26">
        <v>0.1195</v>
      </c>
      <c r="J27480" s="26">
        <v>9.5899999999999999E-2</v>
      </c>
      <c r="K27480" s="26">
        <v>2.6700000000000002E-2</v>
      </c>
      <c r="L27480" s="26">
        <v>3.4299999999999997E-2</v>
      </c>
      <c r="M27480" s="26">
        <v>3.9800000000000002E-2</v>
      </c>
      <c r="N27480" s="26">
        <v>5.21E-2</v>
      </c>
      <c r="O27480" s="26">
        <v>2.8999999999999998E-3</v>
      </c>
      <c r="Q27480">
        <v>532</v>
      </c>
    </row>
    <row r="27481" spans="1:17" x14ac:dyDescent="0.35">
      <c r="A27481" t="s">
        <v>228</v>
      </c>
      <c r="B27481" t="s">
        <v>1347</v>
      </c>
      <c r="C27481" s="26">
        <v>0.66120000000000001</v>
      </c>
      <c r="D27481" s="26">
        <v>0.21429999999999999</v>
      </c>
      <c r="E27481" s="26">
        <v>0.25879999999999997</v>
      </c>
      <c r="F27481" s="26">
        <v>6.3399999999999998E-2</v>
      </c>
      <c r="G27481" s="26">
        <v>0.2145</v>
      </c>
      <c r="H27481" s="26">
        <v>0.13719999999999999</v>
      </c>
      <c r="I27481" s="26">
        <v>0.1075</v>
      </c>
      <c r="J27481" s="26">
        <v>2.8500000000000001E-2</v>
      </c>
      <c r="K27481" s="26">
        <v>2.69E-2</v>
      </c>
      <c r="L27481" s="26">
        <v>3.4599999999999999E-2</v>
      </c>
      <c r="M27481" s="26">
        <v>2.5000000000000001E-2</v>
      </c>
      <c r="N27481" s="26">
        <v>3.09E-2</v>
      </c>
      <c r="O27481" s="26">
        <v>2.8999999999999998E-3</v>
      </c>
      <c r="Q27481">
        <v>204</v>
      </c>
    </row>
    <row r="27482" spans="1:17" x14ac:dyDescent="0.35">
      <c r="A27482" t="s">
        <v>228</v>
      </c>
      <c r="B27482" t="s">
        <v>1346</v>
      </c>
      <c r="C27482" s="26">
        <v>0.36909999999999998</v>
      </c>
      <c r="D27482" s="26">
        <v>0.20519999999999999</v>
      </c>
      <c r="E27482" s="26">
        <v>7.8600000000000003E-2</v>
      </c>
      <c r="F27482" s="26">
        <v>0.12790000000000001</v>
      </c>
      <c r="G27482" s="26">
        <v>3.7699999999999997E-2</v>
      </c>
      <c r="H27482" s="26">
        <v>0.1986</v>
      </c>
      <c r="I27482" s="26">
        <v>0.183</v>
      </c>
      <c r="J27482" s="26">
        <v>6.7599999999999993E-2</v>
      </c>
      <c r="K27482" s="26">
        <v>2.4E-2</v>
      </c>
      <c r="L27482" s="26">
        <v>4.5600000000000002E-2</v>
      </c>
      <c r="M27482" s="26">
        <v>1.2200000000000001E-2</v>
      </c>
      <c r="N27482" s="26">
        <v>1.0699999999999999E-2</v>
      </c>
      <c r="O27482" s="26">
        <v>3.0000000000000001E-3</v>
      </c>
      <c r="Q27482">
        <v>286</v>
      </c>
    </row>
    <row r="27483" spans="1:17" x14ac:dyDescent="0.35">
      <c r="A27483" s="27" t="s">
        <v>228</v>
      </c>
      <c r="B27483" s="27" t="s">
        <v>1345</v>
      </c>
      <c r="C27483" s="28">
        <v>0.48420000000000002</v>
      </c>
      <c r="D27483" s="28">
        <v>0.155</v>
      </c>
      <c r="E27483" s="28">
        <v>0.22620000000000001</v>
      </c>
      <c r="F27483" s="28">
        <v>1.6799999999999999E-2</v>
      </c>
      <c r="G27483" s="28">
        <v>7.1300000000000002E-2</v>
      </c>
      <c r="H27483" s="28">
        <v>7.3800000000000004E-2</v>
      </c>
      <c r="I27483" s="28">
        <v>0.36449999999999999</v>
      </c>
      <c r="J27483" s="28">
        <v>2.5600000000000001E-2</v>
      </c>
      <c r="K27483" s="28">
        <v>5.45E-2</v>
      </c>
      <c r="L27483" s="29"/>
      <c r="M27483" s="28">
        <v>5.45E-2</v>
      </c>
      <c r="N27483" s="28">
        <v>5.45E-2</v>
      </c>
      <c r="O27483" s="29"/>
      <c r="P27483" s="29"/>
      <c r="Q27483" s="29" t="s">
        <v>352</v>
      </c>
    </row>
    <row r="27484" spans="1:17" x14ac:dyDescent="0.35">
      <c r="A27484" s="27" t="s">
        <v>229</v>
      </c>
      <c r="B27484" s="27" t="s">
        <v>1345</v>
      </c>
      <c r="C27484" s="28">
        <v>0.72550000000000003</v>
      </c>
      <c r="D27484" s="28">
        <v>0.44379999999999997</v>
      </c>
      <c r="E27484" s="28">
        <v>0.35549999999999998</v>
      </c>
      <c r="F27484" s="29"/>
      <c r="G27484" s="28">
        <v>0.32890000000000003</v>
      </c>
      <c r="H27484" s="28">
        <v>3.9100000000000003E-2</v>
      </c>
      <c r="I27484" s="29"/>
      <c r="J27484" s="28">
        <v>3.3999999999999998E-3</v>
      </c>
      <c r="K27484" s="29"/>
      <c r="L27484" s="29"/>
      <c r="M27484" s="28">
        <v>0.1065</v>
      </c>
      <c r="N27484" s="28">
        <v>2.3699999999999999E-2</v>
      </c>
      <c r="O27484" s="28">
        <v>3.3999999999999998E-3</v>
      </c>
      <c r="P27484" s="29"/>
      <c r="Q27484" s="29" t="s">
        <v>357</v>
      </c>
    </row>
    <row r="27485" spans="1:17" x14ac:dyDescent="0.35">
      <c r="A27485" t="s">
        <v>229</v>
      </c>
      <c r="B27485" t="s">
        <v>1346</v>
      </c>
      <c r="C27485" s="26">
        <v>0.22359999999999999</v>
      </c>
      <c r="D27485" s="26">
        <v>0.18659999999999999</v>
      </c>
      <c r="E27485" s="26">
        <v>8.0699999999999994E-2</v>
      </c>
      <c r="F27485" s="26">
        <v>0.2334</v>
      </c>
      <c r="G27485" s="26">
        <v>4.3999999999999997E-2</v>
      </c>
      <c r="H27485" s="26">
        <v>0.15570000000000001</v>
      </c>
      <c r="I27485" s="26">
        <v>0.1993</v>
      </c>
      <c r="J27485" s="26">
        <v>0.14860000000000001</v>
      </c>
      <c r="K27485" s="26">
        <v>2.41E-2</v>
      </c>
      <c r="L27485" s="26">
        <v>6.7400000000000002E-2</v>
      </c>
      <c r="M27485" s="26">
        <v>1.6000000000000001E-3</v>
      </c>
      <c r="N27485" s="26">
        <v>6.4000000000000003E-3</v>
      </c>
      <c r="O27485" s="26">
        <v>3.2000000000000002E-3</v>
      </c>
      <c r="Q27485">
        <v>184</v>
      </c>
    </row>
    <row r="27486" spans="1:17" x14ac:dyDescent="0.35">
      <c r="A27486" t="s">
        <v>229</v>
      </c>
      <c r="B27486" t="s">
        <v>1347</v>
      </c>
      <c r="C27486" s="26">
        <v>0.52739999999999998</v>
      </c>
      <c r="D27486" s="26">
        <v>0.23219999999999999</v>
      </c>
      <c r="E27486" s="26">
        <v>0.29470000000000002</v>
      </c>
      <c r="F27486" s="26">
        <v>0.1477</v>
      </c>
      <c r="G27486" s="26">
        <v>0.21879999999999999</v>
      </c>
      <c r="H27486" s="26">
        <v>0.12470000000000001</v>
      </c>
      <c r="I27486" s="26">
        <v>6.5000000000000002E-2</v>
      </c>
      <c r="J27486" s="26">
        <v>5.1700000000000003E-2</v>
      </c>
      <c r="K27486" s="26">
        <v>2.5700000000000001E-2</v>
      </c>
      <c r="L27486" s="26">
        <v>6.2100000000000002E-2</v>
      </c>
      <c r="M27486" s="26">
        <v>7.1300000000000002E-2</v>
      </c>
      <c r="N27486" s="26">
        <v>2.6800000000000001E-2</v>
      </c>
      <c r="Q27486">
        <v>302</v>
      </c>
    </row>
    <row r="27487" spans="1:17" x14ac:dyDescent="0.35">
      <c r="A27487" t="s">
        <v>229</v>
      </c>
      <c r="B27487" t="s">
        <v>1348</v>
      </c>
      <c r="C27487" s="26">
        <v>0.44619999999999999</v>
      </c>
      <c r="D27487" s="26">
        <v>0.2581</v>
      </c>
      <c r="E27487" s="26">
        <v>0.24149999999999999</v>
      </c>
      <c r="F27487" s="26">
        <v>0.1991</v>
      </c>
      <c r="G27487" s="26">
        <v>0.18729999999999999</v>
      </c>
      <c r="H27487" s="26">
        <v>0.13869999999999999</v>
      </c>
      <c r="I27487" s="26">
        <v>0.11260000000000001</v>
      </c>
      <c r="J27487" s="26">
        <v>7.1499999999999994E-2</v>
      </c>
      <c r="K27487" s="26">
        <v>3.9899999999999998E-2</v>
      </c>
      <c r="L27487" s="26">
        <v>4.0899999999999999E-2</v>
      </c>
      <c r="M27487" s="26">
        <v>4.4900000000000002E-2</v>
      </c>
      <c r="N27487" s="26">
        <v>6.2700000000000006E-2</v>
      </c>
      <c r="O27487" s="26">
        <v>6.9999999999999999E-4</v>
      </c>
      <c r="P27487" s="26">
        <v>2.8999999999999998E-3</v>
      </c>
      <c r="Q27487">
        <v>383</v>
      </c>
    </row>
    <row r="27488" spans="1:17" x14ac:dyDescent="0.35">
      <c r="A27488" t="s">
        <v>230</v>
      </c>
      <c r="B27488" t="s">
        <v>1346</v>
      </c>
      <c r="C27488" s="26">
        <v>0.29970000000000002</v>
      </c>
      <c r="D27488" s="26">
        <v>0.30380000000000001</v>
      </c>
      <c r="E27488" s="26">
        <v>0.1394</v>
      </c>
      <c r="F27488" s="26">
        <v>9.5600000000000004E-2</v>
      </c>
      <c r="G27488" s="26">
        <v>9.4700000000000006E-2</v>
      </c>
      <c r="H27488" s="26">
        <v>0.21759999999999999</v>
      </c>
      <c r="I27488" s="26">
        <v>0.20319999999999999</v>
      </c>
      <c r="J27488" s="26">
        <v>5.28E-2</v>
      </c>
      <c r="K27488" s="26">
        <v>9.4999999999999998E-3</v>
      </c>
      <c r="L27488" s="26">
        <v>2.5000000000000001E-3</v>
      </c>
      <c r="M27488" s="26">
        <v>5.4899999999999997E-2</v>
      </c>
      <c r="N27488" s="26">
        <v>4.2500000000000003E-2</v>
      </c>
      <c r="O27488" s="26">
        <v>4.1000000000000003E-3</v>
      </c>
      <c r="Q27488">
        <v>140</v>
      </c>
    </row>
    <row r="27489" spans="1:18" x14ac:dyDescent="0.35">
      <c r="A27489" t="s">
        <v>230</v>
      </c>
      <c r="B27489" t="s">
        <v>1348</v>
      </c>
      <c r="C27489" s="26">
        <v>0.43059999999999998</v>
      </c>
      <c r="D27489" s="26">
        <v>0.32500000000000001</v>
      </c>
      <c r="E27489" s="26">
        <v>0.16450000000000001</v>
      </c>
      <c r="F27489" s="26">
        <v>0.1129</v>
      </c>
      <c r="G27489" s="26">
        <v>0.1938</v>
      </c>
      <c r="H27489" s="26">
        <v>0.11269999999999999</v>
      </c>
      <c r="I27489" s="26">
        <v>0.13450000000000001</v>
      </c>
      <c r="J27489" s="26">
        <v>2.1299999999999999E-2</v>
      </c>
      <c r="K27489" s="26">
        <v>1.23E-2</v>
      </c>
      <c r="L27489" s="26">
        <v>3.7100000000000001E-2</v>
      </c>
      <c r="M27489" s="26">
        <v>4.6199999999999998E-2</v>
      </c>
      <c r="N27489" s="26">
        <v>4.6300000000000001E-2</v>
      </c>
      <c r="Q27489">
        <v>259</v>
      </c>
    </row>
    <row r="27490" spans="1:18" x14ac:dyDescent="0.35">
      <c r="A27490" t="s">
        <v>230</v>
      </c>
      <c r="B27490" t="s">
        <v>1347</v>
      </c>
      <c r="C27490" s="26">
        <v>0.4587</v>
      </c>
      <c r="D27490" s="26">
        <v>0.20730000000000001</v>
      </c>
      <c r="E27490" s="26">
        <v>0.28770000000000001</v>
      </c>
      <c r="F27490" s="26">
        <v>0.12330000000000001</v>
      </c>
      <c r="G27490" s="26">
        <v>0.26819999999999999</v>
      </c>
      <c r="H27490" s="26">
        <v>9.3600000000000003E-2</v>
      </c>
      <c r="I27490" s="26">
        <v>7.4999999999999997E-2</v>
      </c>
      <c r="J27490" s="26">
        <v>8.3999999999999995E-3</v>
      </c>
      <c r="K27490" s="26">
        <v>2.2499999999999999E-2</v>
      </c>
      <c r="L27490" s="26">
        <v>4.1999999999999997E-3</v>
      </c>
      <c r="M27490" s="26">
        <v>3.8600000000000002E-2</v>
      </c>
      <c r="N27490" s="26">
        <v>7.3000000000000001E-3</v>
      </c>
      <c r="O27490" s="26">
        <v>1E-3</v>
      </c>
      <c r="Q27490">
        <v>153</v>
      </c>
    </row>
    <row r="27491" spans="1:18" x14ac:dyDescent="0.35">
      <c r="A27491" s="27" t="s">
        <v>230</v>
      </c>
      <c r="B27491" s="27" t="s">
        <v>1345</v>
      </c>
      <c r="C27491" s="28">
        <v>0.193</v>
      </c>
      <c r="D27491" s="28">
        <v>0.31330000000000002</v>
      </c>
      <c r="E27491" s="28">
        <v>0.31330000000000002</v>
      </c>
      <c r="F27491" s="28">
        <v>0.31440000000000001</v>
      </c>
      <c r="G27491" s="28">
        <v>0.58230000000000004</v>
      </c>
      <c r="H27491" s="29"/>
      <c r="I27491" s="29"/>
      <c r="J27491" s="29"/>
      <c r="K27491" s="29"/>
      <c r="L27491" s="29"/>
      <c r="M27491" s="29"/>
      <c r="N27491" s="29"/>
      <c r="O27491" s="29"/>
      <c r="P27491" s="29"/>
      <c r="Q27491" s="29" t="s">
        <v>333</v>
      </c>
    </row>
    <row r="27492" spans="1:18" x14ac:dyDescent="0.35">
      <c r="A27492" s="27" t="s">
        <v>231</v>
      </c>
      <c r="B27492" s="27" t="s">
        <v>1345</v>
      </c>
      <c r="C27492" s="28">
        <v>0.75</v>
      </c>
      <c r="D27492" s="28">
        <v>1</v>
      </c>
      <c r="E27492" s="28">
        <v>0.5</v>
      </c>
      <c r="F27492" s="28">
        <v>0.5</v>
      </c>
      <c r="G27492" s="28">
        <v>0.5</v>
      </c>
      <c r="H27492" s="28">
        <v>0.5</v>
      </c>
      <c r="I27492" s="29"/>
      <c r="J27492" s="29"/>
      <c r="K27492" s="28">
        <v>0.25</v>
      </c>
      <c r="L27492" s="28">
        <v>0.25</v>
      </c>
      <c r="M27492" s="29"/>
      <c r="N27492" s="29"/>
      <c r="O27492" s="29"/>
      <c r="P27492" s="29"/>
      <c r="Q27492" s="29" t="s">
        <v>337</v>
      </c>
    </row>
    <row r="27493" spans="1:18" x14ac:dyDescent="0.35">
      <c r="A27493" t="s">
        <v>231</v>
      </c>
      <c r="B27493" t="s">
        <v>1346</v>
      </c>
      <c r="C27493" s="26">
        <v>0.125</v>
      </c>
      <c r="D27493" s="26">
        <v>0.17499999999999999</v>
      </c>
      <c r="E27493" s="26">
        <v>0.05</v>
      </c>
      <c r="F27493" s="26">
        <v>0.25</v>
      </c>
      <c r="G27493" s="26">
        <v>2.5000000000000001E-2</v>
      </c>
      <c r="H27493" s="26">
        <v>7.4999999999999997E-2</v>
      </c>
      <c r="I27493" s="26">
        <v>0.2</v>
      </c>
      <c r="J27493" s="26">
        <v>0.17499999999999999</v>
      </c>
      <c r="K27493" s="26">
        <v>2.5000000000000001E-2</v>
      </c>
      <c r="L27493" s="26">
        <v>2.5000000000000001E-2</v>
      </c>
      <c r="M27493" s="26">
        <v>0.05</v>
      </c>
      <c r="N27493" s="26">
        <v>2.5000000000000001E-2</v>
      </c>
      <c r="O27493" s="26">
        <v>2.5000000000000001E-2</v>
      </c>
      <c r="Q27493">
        <v>40</v>
      </c>
    </row>
    <row r="27494" spans="1:18" x14ac:dyDescent="0.35">
      <c r="A27494" t="s">
        <v>231</v>
      </c>
      <c r="B27494" t="s">
        <v>1347</v>
      </c>
      <c r="C27494" s="26">
        <v>0.38240000000000002</v>
      </c>
      <c r="D27494" s="26">
        <v>8.8200000000000001E-2</v>
      </c>
      <c r="E27494" s="26">
        <v>0.35289999999999999</v>
      </c>
      <c r="F27494" s="26">
        <v>0.14710000000000001</v>
      </c>
      <c r="G27494" s="26">
        <v>0.23530000000000001</v>
      </c>
      <c r="H27494" s="26">
        <v>0.1176</v>
      </c>
      <c r="I27494" s="26">
        <v>0.14710000000000001</v>
      </c>
      <c r="J27494" s="26">
        <v>8.8200000000000001E-2</v>
      </c>
      <c r="K27494" s="26">
        <v>2.9399999999999999E-2</v>
      </c>
      <c r="L27494" s="26">
        <v>2.9399999999999999E-2</v>
      </c>
      <c r="M27494" s="26">
        <v>2.9399999999999999E-2</v>
      </c>
      <c r="N27494" s="26">
        <v>2.9399999999999999E-2</v>
      </c>
      <c r="Q27494">
        <v>34</v>
      </c>
    </row>
    <row r="27495" spans="1:18" x14ac:dyDescent="0.35">
      <c r="A27495" t="s">
        <v>231</v>
      </c>
      <c r="B27495" t="s">
        <v>1348</v>
      </c>
      <c r="C27495" s="26">
        <v>0.40699999999999997</v>
      </c>
      <c r="D27495" s="26">
        <v>0.1744</v>
      </c>
      <c r="E27495" s="26">
        <v>0.186</v>
      </c>
      <c r="F27495" s="26">
        <v>0.1628</v>
      </c>
      <c r="G27495" s="26">
        <v>0.1628</v>
      </c>
      <c r="H27495" s="26">
        <v>0.13950000000000001</v>
      </c>
      <c r="I27495" s="26">
        <v>9.2999999999999999E-2</v>
      </c>
      <c r="J27495" s="26">
        <v>0.1163</v>
      </c>
      <c r="K27495" s="26">
        <v>8.14E-2</v>
      </c>
      <c r="L27495" s="26">
        <v>3.49E-2</v>
      </c>
      <c r="M27495" s="26">
        <v>1.1599999999999999E-2</v>
      </c>
      <c r="N27495" s="26">
        <v>3.49E-2</v>
      </c>
      <c r="O27495" s="26">
        <v>1.1599999999999999E-2</v>
      </c>
      <c r="Q27495">
        <v>86</v>
      </c>
    </row>
    <row r="27496" spans="1:18" x14ac:dyDescent="0.35">
      <c r="A27496" t="s">
        <v>232</v>
      </c>
      <c r="B27496" t="s">
        <v>232</v>
      </c>
      <c r="C27496" s="26">
        <v>0.39529999999999998</v>
      </c>
      <c r="D27496" s="26">
        <v>0.21199999999999999</v>
      </c>
      <c r="E27496" s="26">
        <v>0.1988</v>
      </c>
      <c r="F27496" s="26">
        <v>0.16139999999999999</v>
      </c>
      <c r="G27496" s="26">
        <v>0.15060000000000001</v>
      </c>
      <c r="H27496" s="26">
        <v>0.1434</v>
      </c>
      <c r="I27496" s="26">
        <v>0.12470000000000001</v>
      </c>
      <c r="J27496" s="26">
        <v>8.5999999999999993E-2</v>
      </c>
      <c r="K27496" s="26">
        <v>4.0599999999999997E-2</v>
      </c>
      <c r="L27496" s="26">
        <v>3.9300000000000002E-2</v>
      </c>
      <c r="M27496" s="26">
        <v>3.9199999999999999E-2</v>
      </c>
      <c r="N27496" s="26">
        <v>3.3799999999999997E-2</v>
      </c>
      <c r="O27496" s="26">
        <v>4.3E-3</v>
      </c>
      <c r="P27496" s="26">
        <v>4.0000000000000002E-4</v>
      </c>
      <c r="Q27496">
        <v>2813</v>
      </c>
    </row>
    <row r="27498" spans="1:18" x14ac:dyDescent="0.35">
      <c r="A27498" s="1" t="s">
        <v>2489</v>
      </c>
    </row>
    <row r="27499" spans="1:18" x14ac:dyDescent="0.35">
      <c r="A27499" t="s">
        <v>219</v>
      </c>
      <c r="B27499" t="s">
        <v>305</v>
      </c>
      <c r="C27499" t="s">
        <v>345</v>
      </c>
      <c r="D27499" t="s">
        <v>2465</v>
      </c>
      <c r="E27499" t="s">
        <v>2466</v>
      </c>
      <c r="F27499" t="s">
        <v>2467</v>
      </c>
      <c r="G27499" t="s">
        <v>2468</v>
      </c>
      <c r="H27499" t="s">
        <v>2469</v>
      </c>
      <c r="I27499" t="s">
        <v>2470</v>
      </c>
      <c r="J27499" t="s">
        <v>550</v>
      </c>
      <c r="K27499" t="s">
        <v>281</v>
      </c>
      <c r="L27499" t="s">
        <v>2471</v>
      </c>
      <c r="M27499" t="s">
        <v>2472</v>
      </c>
      <c r="N27499" t="s">
        <v>2473</v>
      </c>
      <c r="O27499" t="s">
        <v>2474</v>
      </c>
      <c r="P27499" t="s">
        <v>286</v>
      </c>
      <c r="Q27499" t="s">
        <v>2475</v>
      </c>
      <c r="R27499" t="s">
        <v>226</v>
      </c>
    </row>
    <row r="27500" spans="1:18" x14ac:dyDescent="0.35">
      <c r="A27500" s="27" t="s">
        <v>227</v>
      </c>
      <c r="B27500" s="27" t="s">
        <v>1341</v>
      </c>
      <c r="C27500" s="27" t="s">
        <v>1345</v>
      </c>
      <c r="D27500" s="28">
        <v>1</v>
      </c>
      <c r="E27500" s="29"/>
      <c r="F27500" s="29"/>
      <c r="G27500" s="29"/>
      <c r="H27500" s="29"/>
      <c r="I27500" s="29"/>
      <c r="J27500" s="29"/>
      <c r="K27500" s="29"/>
      <c r="L27500" s="29"/>
      <c r="M27500" s="29"/>
      <c r="N27500" s="29"/>
      <c r="O27500" s="29"/>
      <c r="P27500" s="29"/>
      <c r="Q27500" s="29"/>
      <c r="R27500" s="29" t="s">
        <v>331</v>
      </c>
    </row>
    <row r="27501" spans="1:18" x14ac:dyDescent="0.35">
      <c r="A27501" s="27" t="s">
        <v>227</v>
      </c>
      <c r="B27501" s="27" t="s">
        <v>1343</v>
      </c>
      <c r="C27501" s="27" t="s">
        <v>1346</v>
      </c>
      <c r="D27501" s="28">
        <v>0.23080000000000001</v>
      </c>
      <c r="E27501" s="28">
        <v>0.15379999999999999</v>
      </c>
      <c r="F27501" s="28">
        <v>0.1154</v>
      </c>
      <c r="G27501" s="28">
        <v>0.26919999999999999</v>
      </c>
      <c r="H27501" s="28">
        <v>3.85E-2</v>
      </c>
      <c r="I27501" s="28">
        <v>0.34620000000000001</v>
      </c>
      <c r="J27501" s="28">
        <v>7.6899999999999996E-2</v>
      </c>
      <c r="K27501" s="28">
        <v>0.1154</v>
      </c>
      <c r="L27501" s="28">
        <v>0.15379999999999999</v>
      </c>
      <c r="M27501" s="28">
        <v>3.85E-2</v>
      </c>
      <c r="N27501" s="28">
        <v>3.85E-2</v>
      </c>
      <c r="O27501" s="29"/>
      <c r="P27501" s="29"/>
      <c r="Q27501" s="29"/>
      <c r="R27501" s="29" t="s">
        <v>357</v>
      </c>
    </row>
    <row r="27502" spans="1:18" x14ac:dyDescent="0.35">
      <c r="A27502" t="s">
        <v>227</v>
      </c>
      <c r="B27502" t="s">
        <v>1343</v>
      </c>
      <c r="C27502" t="s">
        <v>1348</v>
      </c>
      <c r="D27502" s="26">
        <v>0.3115</v>
      </c>
      <c r="E27502" s="26">
        <v>0.19670000000000001</v>
      </c>
      <c r="F27502" s="26">
        <v>0.21310000000000001</v>
      </c>
      <c r="G27502" s="26">
        <v>0.13109999999999999</v>
      </c>
      <c r="H27502" s="26">
        <v>0.13109999999999999</v>
      </c>
      <c r="I27502" s="26">
        <v>6.5600000000000006E-2</v>
      </c>
      <c r="J27502" s="26">
        <v>0.16389999999999999</v>
      </c>
      <c r="K27502" s="26">
        <v>8.2000000000000003E-2</v>
      </c>
      <c r="L27502" s="26">
        <v>3.2800000000000003E-2</v>
      </c>
      <c r="M27502" s="26">
        <v>6.5600000000000006E-2</v>
      </c>
      <c r="N27502" s="26">
        <v>8.2000000000000003E-2</v>
      </c>
      <c r="O27502" s="26">
        <v>1.6400000000000001E-2</v>
      </c>
      <c r="R27502">
        <v>61</v>
      </c>
    </row>
    <row r="27503" spans="1:18" x14ac:dyDescent="0.35">
      <c r="A27503" s="27" t="s">
        <v>227</v>
      </c>
      <c r="B27503" s="27" t="s">
        <v>1341</v>
      </c>
      <c r="C27503" s="27" t="s">
        <v>1347</v>
      </c>
      <c r="D27503" s="28">
        <v>0.53849999999999998</v>
      </c>
      <c r="E27503" s="28">
        <v>7.6899999999999996E-2</v>
      </c>
      <c r="F27503" s="28">
        <v>0.15379999999999999</v>
      </c>
      <c r="G27503" s="28">
        <v>0.23080000000000001</v>
      </c>
      <c r="H27503" s="28">
        <v>0.23080000000000001</v>
      </c>
      <c r="I27503" s="28">
        <v>7.6899999999999996E-2</v>
      </c>
      <c r="J27503" s="28">
        <v>7.6899999999999996E-2</v>
      </c>
      <c r="K27503" s="28">
        <v>7.6899999999999996E-2</v>
      </c>
      <c r="L27503" s="28">
        <v>7.6899999999999996E-2</v>
      </c>
      <c r="M27503" s="29"/>
      <c r="N27503" s="29"/>
      <c r="O27503" s="28">
        <v>7.6899999999999996E-2</v>
      </c>
      <c r="P27503" s="29"/>
      <c r="Q27503" s="29"/>
      <c r="R27503" s="29" t="s">
        <v>341</v>
      </c>
    </row>
    <row r="27504" spans="1:18" x14ac:dyDescent="0.35">
      <c r="A27504" s="27" t="s">
        <v>227</v>
      </c>
      <c r="B27504" s="27" t="s">
        <v>1343</v>
      </c>
      <c r="C27504" s="27" t="s">
        <v>1347</v>
      </c>
      <c r="D27504" s="28">
        <v>0.52170000000000005</v>
      </c>
      <c r="E27504" s="28">
        <v>8.6999999999999994E-2</v>
      </c>
      <c r="F27504" s="28">
        <v>0.21740000000000001</v>
      </c>
      <c r="G27504" s="28">
        <v>8.6999999999999994E-2</v>
      </c>
      <c r="H27504" s="28">
        <v>0.13039999999999999</v>
      </c>
      <c r="I27504" s="28">
        <v>8.6999999999999994E-2</v>
      </c>
      <c r="J27504" s="28">
        <v>4.3499999999999997E-2</v>
      </c>
      <c r="K27504" s="28">
        <v>4.3499999999999997E-2</v>
      </c>
      <c r="L27504" s="28">
        <v>4.3499999999999997E-2</v>
      </c>
      <c r="M27504" s="28">
        <v>4.3499999999999997E-2</v>
      </c>
      <c r="N27504" s="28">
        <v>8.6999999999999994E-2</v>
      </c>
      <c r="O27504" s="28">
        <v>8.6999999999999994E-2</v>
      </c>
      <c r="P27504" s="29"/>
      <c r="Q27504" s="29"/>
      <c r="R27504" s="29" t="s">
        <v>328</v>
      </c>
    </row>
    <row r="27505" spans="1:18" x14ac:dyDescent="0.35">
      <c r="A27505" s="27" t="s">
        <v>227</v>
      </c>
      <c r="B27505" s="27" t="s">
        <v>1343</v>
      </c>
      <c r="C27505" s="27" t="s">
        <v>1345</v>
      </c>
      <c r="D27505" s="28">
        <v>1</v>
      </c>
      <c r="E27505" s="29"/>
      <c r="F27505" s="29"/>
      <c r="G27505" s="29"/>
      <c r="H27505" s="29"/>
      <c r="I27505" s="29"/>
      <c r="J27505" s="29"/>
      <c r="K27505" s="29"/>
      <c r="L27505" s="29"/>
      <c r="M27505" s="29"/>
      <c r="N27505" s="29"/>
      <c r="O27505" s="29"/>
      <c r="P27505" s="29"/>
      <c r="Q27505" s="29"/>
      <c r="R27505" s="29" t="s">
        <v>331</v>
      </c>
    </row>
    <row r="27506" spans="1:18" x14ac:dyDescent="0.35">
      <c r="A27506" s="27" t="s">
        <v>227</v>
      </c>
      <c r="B27506" s="27" t="s">
        <v>1342</v>
      </c>
      <c r="C27506" s="27" t="s">
        <v>1348</v>
      </c>
      <c r="D27506" s="29"/>
      <c r="E27506" s="29"/>
      <c r="F27506" s="29"/>
      <c r="G27506" s="29"/>
      <c r="H27506" s="29"/>
      <c r="I27506" s="28">
        <v>1</v>
      </c>
      <c r="J27506" s="29"/>
      <c r="K27506" s="29"/>
      <c r="L27506" s="29"/>
      <c r="M27506" s="29"/>
      <c r="N27506" s="29"/>
      <c r="O27506" s="29"/>
      <c r="P27506" s="29"/>
      <c r="Q27506" s="29"/>
      <c r="R27506" s="29" t="s">
        <v>331</v>
      </c>
    </row>
    <row r="27507" spans="1:18" x14ac:dyDescent="0.35">
      <c r="A27507" s="27" t="s">
        <v>227</v>
      </c>
      <c r="B27507" s="27" t="s">
        <v>1341</v>
      </c>
      <c r="C27507" s="27" t="s">
        <v>1348</v>
      </c>
      <c r="D27507" s="28">
        <v>0.18179999999999999</v>
      </c>
      <c r="E27507" s="28">
        <v>0.31819999999999998</v>
      </c>
      <c r="F27507" s="28">
        <v>0.2727</v>
      </c>
      <c r="G27507" s="28">
        <v>9.0899999999999995E-2</v>
      </c>
      <c r="H27507" s="28">
        <v>0.13639999999999999</v>
      </c>
      <c r="I27507" s="28">
        <v>0.18179999999999999</v>
      </c>
      <c r="J27507" s="28">
        <v>0.13639999999999999</v>
      </c>
      <c r="K27507" s="28">
        <v>0.13639999999999999</v>
      </c>
      <c r="L27507" s="29"/>
      <c r="M27507" s="29"/>
      <c r="N27507" s="28">
        <v>4.5499999999999999E-2</v>
      </c>
      <c r="O27507" s="29"/>
      <c r="P27507" s="29"/>
      <c r="Q27507" s="29"/>
      <c r="R27507" s="29" t="s">
        <v>347</v>
      </c>
    </row>
    <row r="27508" spans="1:18" x14ac:dyDescent="0.35">
      <c r="A27508" s="27" t="s">
        <v>227</v>
      </c>
      <c r="B27508" s="27" t="s">
        <v>1341</v>
      </c>
      <c r="C27508" s="27" t="s">
        <v>1346</v>
      </c>
      <c r="D27508" s="28">
        <v>0.23080000000000001</v>
      </c>
      <c r="E27508" s="28">
        <v>7.6899999999999996E-2</v>
      </c>
      <c r="F27508" s="28">
        <v>7.6899999999999996E-2</v>
      </c>
      <c r="G27508" s="28">
        <v>0.23080000000000001</v>
      </c>
      <c r="H27508" s="28">
        <v>7.6899999999999996E-2</v>
      </c>
      <c r="I27508" s="28">
        <v>7.6899999999999996E-2</v>
      </c>
      <c r="J27508" s="28">
        <v>0.15379999999999999</v>
      </c>
      <c r="K27508" s="28">
        <v>7.6899999999999996E-2</v>
      </c>
      <c r="L27508" s="28">
        <v>7.6899999999999996E-2</v>
      </c>
      <c r="M27508" s="29"/>
      <c r="N27508" s="28">
        <v>7.6899999999999996E-2</v>
      </c>
      <c r="O27508" s="29"/>
      <c r="P27508" s="29"/>
      <c r="Q27508" s="29"/>
      <c r="R27508" s="29" t="s">
        <v>341</v>
      </c>
    </row>
    <row r="27509" spans="1:18" x14ac:dyDescent="0.35">
      <c r="A27509" t="s">
        <v>228</v>
      </c>
      <c r="B27509" t="s">
        <v>1343</v>
      </c>
      <c r="C27509" t="s">
        <v>1348</v>
      </c>
      <c r="D27509" s="26">
        <v>0.41789999999999999</v>
      </c>
      <c r="E27509" s="26">
        <v>0.18959999999999999</v>
      </c>
      <c r="F27509" s="26">
        <v>0.18740000000000001</v>
      </c>
      <c r="G27509" s="26">
        <v>0.1143</v>
      </c>
      <c r="H27509" s="26">
        <v>0.10539999999999999</v>
      </c>
      <c r="I27509" s="26">
        <v>0.2172</v>
      </c>
      <c r="J27509" s="26">
        <v>0.1381</v>
      </c>
      <c r="K27509" s="26">
        <v>6.9800000000000001E-2</v>
      </c>
      <c r="L27509" s="26">
        <v>2.5000000000000001E-2</v>
      </c>
      <c r="M27509" s="26">
        <v>3.4000000000000002E-2</v>
      </c>
      <c r="N27509" s="26">
        <v>3.7900000000000003E-2</v>
      </c>
      <c r="O27509" s="26">
        <v>5.6099999999999997E-2</v>
      </c>
      <c r="P27509" s="26">
        <v>4.4999999999999997E-3</v>
      </c>
      <c r="R27509">
        <v>352</v>
      </c>
    </row>
    <row r="27510" spans="1:18" x14ac:dyDescent="0.35">
      <c r="A27510" t="s">
        <v>228</v>
      </c>
      <c r="B27510" t="s">
        <v>1343</v>
      </c>
      <c r="C27510" t="s">
        <v>1347</v>
      </c>
      <c r="D27510" s="26">
        <v>0.6169</v>
      </c>
      <c r="E27510" s="26">
        <v>0.18509999999999999</v>
      </c>
      <c r="F27510" s="26">
        <v>0.29699999999999999</v>
      </c>
      <c r="G27510" s="26">
        <v>6.7799999999999999E-2</v>
      </c>
      <c r="H27510" s="26">
        <v>0.19839999999999999</v>
      </c>
      <c r="I27510" s="26">
        <v>0.14630000000000001</v>
      </c>
      <c r="J27510" s="26">
        <v>0.1202</v>
      </c>
      <c r="K27510" s="26">
        <v>3.4299999999999997E-2</v>
      </c>
      <c r="L27510" s="26">
        <v>2.8299999999999999E-2</v>
      </c>
      <c r="M27510" s="26">
        <v>3.8699999999999998E-2</v>
      </c>
      <c r="N27510" s="26">
        <v>2.5000000000000001E-2</v>
      </c>
      <c r="O27510" s="26">
        <v>1.5800000000000002E-2</v>
      </c>
      <c r="R27510">
        <v>130</v>
      </c>
    </row>
    <row r="27511" spans="1:18" x14ac:dyDescent="0.35">
      <c r="A27511" s="27" t="s">
        <v>228</v>
      </c>
      <c r="B27511" s="27" t="s">
        <v>1343</v>
      </c>
      <c r="C27511" s="27" t="s">
        <v>1345</v>
      </c>
      <c r="D27511" s="28">
        <v>0.44280000000000003</v>
      </c>
      <c r="E27511" s="28">
        <v>0.22140000000000001</v>
      </c>
      <c r="F27511" s="28">
        <v>0.29930000000000001</v>
      </c>
      <c r="G27511" s="29"/>
      <c r="H27511" s="28">
        <v>7.7899999999999997E-2</v>
      </c>
      <c r="I27511" s="28">
        <v>7.7899999999999997E-2</v>
      </c>
      <c r="J27511" s="28">
        <v>0.44280000000000003</v>
      </c>
      <c r="K27511" s="28">
        <v>3.6499999999999998E-2</v>
      </c>
      <c r="L27511" s="29"/>
      <c r="M27511" s="29"/>
      <c r="N27511" s="29"/>
      <c r="O27511" s="28">
        <v>7.7899999999999997E-2</v>
      </c>
      <c r="P27511" s="29"/>
      <c r="Q27511" s="29"/>
      <c r="R27511" s="29" t="s">
        <v>335</v>
      </c>
    </row>
    <row r="27512" spans="1:18" x14ac:dyDescent="0.35">
      <c r="A27512" t="s">
        <v>228</v>
      </c>
      <c r="B27512" t="s">
        <v>1341</v>
      </c>
      <c r="C27512" t="s">
        <v>1346</v>
      </c>
      <c r="D27512" s="26">
        <v>0.31080000000000002</v>
      </c>
      <c r="E27512" s="26">
        <v>0.30809999999999998</v>
      </c>
      <c r="F27512" s="26">
        <v>0.1144</v>
      </c>
      <c r="G27512" s="26">
        <v>0.25509999999999999</v>
      </c>
      <c r="H27512" s="26">
        <v>0.1459</v>
      </c>
      <c r="I27512" s="26">
        <v>0.23080000000000001</v>
      </c>
      <c r="J27512" s="26">
        <v>0.1193</v>
      </c>
      <c r="K27512" s="26">
        <v>7.0000000000000007E-2</v>
      </c>
      <c r="L27512" s="26">
        <v>7.22E-2</v>
      </c>
      <c r="M27512" s="26">
        <v>4.3299999999999998E-2</v>
      </c>
      <c r="N27512" s="26">
        <v>5.67E-2</v>
      </c>
      <c r="O27512" s="26">
        <v>3.3099999999999997E-2</v>
      </c>
      <c r="P27512" s="26">
        <v>6.8999999999999999E-3</v>
      </c>
      <c r="R27512">
        <v>47</v>
      </c>
    </row>
    <row r="27513" spans="1:18" x14ac:dyDescent="0.35">
      <c r="A27513" t="s">
        <v>228</v>
      </c>
      <c r="B27513" t="s">
        <v>1341</v>
      </c>
      <c r="C27513" t="s">
        <v>1348</v>
      </c>
      <c r="D27513" s="26">
        <v>0.48709999999999998</v>
      </c>
      <c r="E27513" s="26">
        <v>0.27660000000000001</v>
      </c>
      <c r="F27513" s="26">
        <v>0.1734</v>
      </c>
      <c r="G27513" s="26">
        <v>0.161</v>
      </c>
      <c r="H27513" s="26">
        <v>0.14960000000000001</v>
      </c>
      <c r="I27513" s="26">
        <v>0.18099999999999999</v>
      </c>
      <c r="J27513" s="26">
        <v>8.7999999999999995E-2</v>
      </c>
      <c r="K27513" s="26">
        <v>0.14480000000000001</v>
      </c>
      <c r="L27513" s="26">
        <v>3.0200000000000001E-2</v>
      </c>
      <c r="M27513" s="26">
        <v>3.5400000000000001E-2</v>
      </c>
      <c r="N27513" s="26">
        <v>4.3799999999999999E-2</v>
      </c>
      <c r="O27513" s="26">
        <v>4.58E-2</v>
      </c>
      <c r="R27513">
        <v>179</v>
      </c>
    </row>
    <row r="27514" spans="1:18" x14ac:dyDescent="0.35">
      <c r="A27514" s="27" t="s">
        <v>228</v>
      </c>
      <c r="B27514" s="27" t="s">
        <v>1342</v>
      </c>
      <c r="C27514" s="27" t="s">
        <v>1348</v>
      </c>
      <c r="D27514" s="29"/>
      <c r="E27514" s="28">
        <v>1</v>
      </c>
      <c r="F27514" s="28">
        <v>1</v>
      </c>
      <c r="G27514" s="29"/>
      <c r="H27514" s="28">
        <v>1</v>
      </c>
      <c r="I27514" s="28">
        <v>1</v>
      </c>
      <c r="J27514" s="29"/>
      <c r="K27514" s="29"/>
      <c r="L27514" s="29"/>
      <c r="M27514" s="29"/>
      <c r="N27514" s="29"/>
      <c r="O27514" s="29"/>
      <c r="P27514" s="29"/>
      <c r="Q27514" s="29"/>
      <c r="R27514" s="29" t="s">
        <v>331</v>
      </c>
    </row>
    <row r="27515" spans="1:18" x14ac:dyDescent="0.35">
      <c r="A27515" t="s">
        <v>228</v>
      </c>
      <c r="B27515" t="s">
        <v>1343</v>
      </c>
      <c r="C27515" t="s">
        <v>1346</v>
      </c>
      <c r="D27515" s="26">
        <v>0.37830000000000003</v>
      </c>
      <c r="E27515" s="26">
        <v>0.18909999999999999</v>
      </c>
      <c r="F27515" s="26">
        <v>7.2999999999999995E-2</v>
      </c>
      <c r="G27515" s="26">
        <v>0.1079</v>
      </c>
      <c r="H27515" s="26">
        <v>2.07E-2</v>
      </c>
      <c r="I27515" s="26">
        <v>0.19359999999999999</v>
      </c>
      <c r="J27515" s="26">
        <v>0.193</v>
      </c>
      <c r="K27515" s="26">
        <v>6.7199999999999996E-2</v>
      </c>
      <c r="L27515" s="26">
        <v>1.6400000000000001E-2</v>
      </c>
      <c r="M27515" s="26">
        <v>4.5999999999999999E-2</v>
      </c>
      <c r="N27515" s="26">
        <v>5.1999999999999998E-3</v>
      </c>
      <c r="O27515" s="26">
        <v>7.1999999999999998E-3</v>
      </c>
      <c r="P27515" s="26">
        <v>2.3999999999999998E-3</v>
      </c>
      <c r="R27515">
        <v>239</v>
      </c>
    </row>
    <row r="27516" spans="1:18" x14ac:dyDescent="0.35">
      <c r="A27516" t="s">
        <v>228</v>
      </c>
      <c r="B27516" t="s">
        <v>1341</v>
      </c>
      <c r="C27516" t="s">
        <v>1347</v>
      </c>
      <c r="D27516" s="26">
        <v>0.74990000000000001</v>
      </c>
      <c r="E27516" s="26">
        <v>0.27250000000000002</v>
      </c>
      <c r="F27516" s="26">
        <v>0.1825</v>
      </c>
      <c r="G27516" s="26">
        <v>5.4600000000000003E-2</v>
      </c>
      <c r="H27516" s="26">
        <v>0.24660000000000001</v>
      </c>
      <c r="I27516" s="26">
        <v>0.11890000000000001</v>
      </c>
      <c r="J27516" s="26">
        <v>8.2100000000000006E-2</v>
      </c>
      <c r="K27516" s="26">
        <v>1.7000000000000001E-2</v>
      </c>
      <c r="L27516" s="26">
        <v>2.41E-2</v>
      </c>
      <c r="M27516" s="26">
        <v>2.63E-2</v>
      </c>
      <c r="N27516" s="26">
        <v>2.5000000000000001E-2</v>
      </c>
      <c r="O27516" s="26">
        <v>6.0999999999999999E-2</v>
      </c>
      <c r="P27516" s="26">
        <v>8.6E-3</v>
      </c>
      <c r="R27516">
        <v>74</v>
      </c>
    </row>
    <row r="27517" spans="1:18" x14ac:dyDescent="0.35">
      <c r="A27517" s="27" t="s">
        <v>228</v>
      </c>
      <c r="B27517" s="27" t="s">
        <v>1341</v>
      </c>
      <c r="C27517" s="27" t="s">
        <v>1345</v>
      </c>
      <c r="D27517" s="28">
        <v>0.58079999999999998</v>
      </c>
      <c r="E27517" s="29"/>
      <c r="F27517" s="28">
        <v>5.5899999999999998E-2</v>
      </c>
      <c r="G27517" s="28">
        <v>5.5899999999999998E-2</v>
      </c>
      <c r="H27517" s="28">
        <v>5.5899999999999998E-2</v>
      </c>
      <c r="I27517" s="28">
        <v>6.4299999999999996E-2</v>
      </c>
      <c r="J27517" s="28">
        <v>0.1817</v>
      </c>
      <c r="K27517" s="29"/>
      <c r="L27517" s="28">
        <v>0.1817</v>
      </c>
      <c r="M27517" s="29"/>
      <c r="N27517" s="28">
        <v>0.1817</v>
      </c>
      <c r="O27517" s="29"/>
      <c r="P27517" s="29"/>
      <c r="Q27517" s="29"/>
      <c r="R27517" s="29" t="s">
        <v>332</v>
      </c>
    </row>
    <row r="27518" spans="1:18" x14ac:dyDescent="0.35">
      <c r="A27518" t="s">
        <v>229</v>
      </c>
      <c r="B27518" t="s">
        <v>1343</v>
      </c>
      <c r="C27518" t="s">
        <v>1348</v>
      </c>
      <c r="D27518" s="26">
        <v>0.4531</v>
      </c>
      <c r="E27518" s="26">
        <v>0.26169999999999999</v>
      </c>
      <c r="F27518" s="26">
        <v>0.23169999999999999</v>
      </c>
      <c r="G27518" s="26">
        <v>0.1605</v>
      </c>
      <c r="H27518" s="26">
        <v>0.1633</v>
      </c>
      <c r="I27518" s="26">
        <v>0.1547</v>
      </c>
      <c r="J27518" s="26">
        <v>9.3700000000000006E-2</v>
      </c>
      <c r="K27518" s="26">
        <v>7.4800000000000005E-2</v>
      </c>
      <c r="L27518" s="26">
        <v>3.15E-2</v>
      </c>
      <c r="M27518" s="26">
        <v>3.8899999999999997E-2</v>
      </c>
      <c r="N27518" s="26">
        <v>2.6200000000000001E-2</v>
      </c>
      <c r="O27518" s="26">
        <v>5.8099999999999999E-2</v>
      </c>
      <c r="P27518" s="26">
        <v>1.1000000000000001E-3</v>
      </c>
      <c r="Q27518" s="26">
        <v>4.3E-3</v>
      </c>
      <c r="R27518">
        <v>276</v>
      </c>
    </row>
    <row r="27519" spans="1:18" x14ac:dyDescent="0.35">
      <c r="A27519" t="s">
        <v>229</v>
      </c>
      <c r="B27519" t="s">
        <v>1341</v>
      </c>
      <c r="C27519" t="s">
        <v>1346</v>
      </c>
      <c r="D27519" s="26">
        <v>0.24329999999999999</v>
      </c>
      <c r="E27519" s="26">
        <v>0.27600000000000002</v>
      </c>
      <c r="F27519" s="26">
        <v>0.13819999999999999</v>
      </c>
      <c r="G27519" s="26">
        <v>0.34229999999999999</v>
      </c>
      <c r="H27519" s="26">
        <v>4.9299999999999997E-2</v>
      </c>
      <c r="I27519" s="26">
        <v>0.13950000000000001</v>
      </c>
      <c r="J27519" s="26">
        <v>0.18290000000000001</v>
      </c>
      <c r="K27519" s="26">
        <v>6.3899999999999998E-2</v>
      </c>
      <c r="L27519" s="26">
        <v>1.9E-2</v>
      </c>
      <c r="M27519" s="26">
        <v>1.1599999999999999E-2</v>
      </c>
      <c r="N27519" s="26">
        <v>5.7000000000000002E-3</v>
      </c>
      <c r="O27519" s="26">
        <v>5.7000000000000002E-3</v>
      </c>
      <c r="R27519">
        <v>53</v>
      </c>
    </row>
    <row r="27520" spans="1:18" x14ac:dyDescent="0.35">
      <c r="A27520" t="s">
        <v>229</v>
      </c>
      <c r="B27520" t="s">
        <v>1341</v>
      </c>
      <c r="C27520" t="s">
        <v>1347</v>
      </c>
      <c r="D27520" s="26">
        <v>0.69989999999999997</v>
      </c>
      <c r="E27520" s="26">
        <v>0.22639999999999999</v>
      </c>
      <c r="F27520" s="26">
        <v>0.19600000000000001</v>
      </c>
      <c r="G27520" s="26">
        <v>9.8500000000000004E-2</v>
      </c>
      <c r="H27520" s="26">
        <v>0.18010000000000001</v>
      </c>
      <c r="I27520" s="26">
        <v>0.21029999999999999</v>
      </c>
      <c r="J27520" s="26">
        <v>8.0799999999999997E-2</v>
      </c>
      <c r="K27520" s="26">
        <v>7.5800000000000006E-2</v>
      </c>
      <c r="L27520" s="26">
        <v>3.7199999999999997E-2</v>
      </c>
      <c r="M27520" s="26">
        <v>8.6300000000000002E-2</v>
      </c>
      <c r="N27520" s="26">
        <v>7.0800000000000002E-2</v>
      </c>
      <c r="O27520" s="26">
        <v>4.1799999999999997E-2</v>
      </c>
      <c r="R27520">
        <v>104</v>
      </c>
    </row>
    <row r="27521" spans="1:18" x14ac:dyDescent="0.35">
      <c r="A27521" t="s">
        <v>229</v>
      </c>
      <c r="B27521" t="s">
        <v>1343</v>
      </c>
      <c r="C27521" t="s">
        <v>1346</v>
      </c>
      <c r="D27521" s="26">
        <v>0.216</v>
      </c>
      <c r="E27521" s="26">
        <v>0.15240000000000001</v>
      </c>
      <c r="F27521" s="26">
        <v>5.8799999999999998E-2</v>
      </c>
      <c r="G27521" s="26">
        <v>0.1918</v>
      </c>
      <c r="H27521" s="26">
        <v>4.2000000000000003E-2</v>
      </c>
      <c r="I27521" s="26">
        <v>0.1618</v>
      </c>
      <c r="J27521" s="26">
        <v>0.2056</v>
      </c>
      <c r="K27521" s="26">
        <v>0.18090000000000001</v>
      </c>
      <c r="L27521" s="26">
        <v>2.6100000000000002E-2</v>
      </c>
      <c r="M27521" s="26">
        <v>8.8599999999999998E-2</v>
      </c>
      <c r="O27521" s="26">
        <v>6.6E-3</v>
      </c>
      <c r="P27521" s="26">
        <v>4.4000000000000003E-3</v>
      </c>
      <c r="R27521">
        <v>131</v>
      </c>
    </row>
    <row r="27522" spans="1:18" x14ac:dyDescent="0.35">
      <c r="A27522" t="s">
        <v>229</v>
      </c>
      <c r="B27522" t="s">
        <v>1343</v>
      </c>
      <c r="C27522" t="s">
        <v>1347</v>
      </c>
      <c r="D27522" s="26">
        <v>0.43469999999999998</v>
      </c>
      <c r="E27522" s="26">
        <v>0.2354</v>
      </c>
      <c r="F27522" s="26">
        <v>0.3478</v>
      </c>
      <c r="G27522" s="26">
        <v>0.17419999999999999</v>
      </c>
      <c r="H27522" s="26">
        <v>0.23960000000000001</v>
      </c>
      <c r="I27522" s="26">
        <v>7.8700000000000006E-2</v>
      </c>
      <c r="J27522" s="26">
        <v>5.6500000000000002E-2</v>
      </c>
      <c r="K27522" s="26">
        <v>3.8699999999999998E-2</v>
      </c>
      <c r="L27522" s="26">
        <v>1.9599999999999999E-2</v>
      </c>
      <c r="M27522" s="26">
        <v>4.9099999999999998E-2</v>
      </c>
      <c r="N27522" s="26">
        <v>7.1499999999999994E-2</v>
      </c>
      <c r="O27522" s="26">
        <v>1.8700000000000001E-2</v>
      </c>
      <c r="R27522">
        <v>198</v>
      </c>
    </row>
    <row r="27523" spans="1:18" x14ac:dyDescent="0.35">
      <c r="A27523" s="27" t="s">
        <v>229</v>
      </c>
      <c r="B27523" s="27" t="s">
        <v>1341</v>
      </c>
      <c r="C27523" s="27" t="s">
        <v>1345</v>
      </c>
      <c r="D27523" s="28">
        <v>0.86570000000000003</v>
      </c>
      <c r="E27523" s="28">
        <v>0.52810000000000001</v>
      </c>
      <c r="F27523" s="28">
        <v>7.3599999999999999E-2</v>
      </c>
      <c r="G27523" s="29"/>
      <c r="H27523" s="28">
        <v>0.27239999999999998</v>
      </c>
      <c r="I27523" s="28">
        <v>5.8799999999999998E-2</v>
      </c>
      <c r="J27523" s="29"/>
      <c r="K27523" s="28">
        <v>8.3999999999999995E-3</v>
      </c>
      <c r="L27523" s="29"/>
      <c r="M27523" s="29"/>
      <c r="N27523" s="29"/>
      <c r="O27523" s="28">
        <v>5.8799999999999998E-2</v>
      </c>
      <c r="P27523" s="29"/>
      <c r="Q27523" s="29"/>
      <c r="R27523" s="29" t="s">
        <v>334</v>
      </c>
    </row>
    <row r="27524" spans="1:18" x14ac:dyDescent="0.35">
      <c r="A27524" s="27" t="s">
        <v>229</v>
      </c>
      <c r="B27524" s="27" t="s">
        <v>1343</v>
      </c>
      <c r="C27524" s="27" t="s">
        <v>1345</v>
      </c>
      <c r="D27524" s="28">
        <v>0.63070000000000004</v>
      </c>
      <c r="E27524" s="28">
        <v>0.38679999999999998</v>
      </c>
      <c r="F27524" s="28">
        <v>0.54610000000000003</v>
      </c>
      <c r="G27524" s="29"/>
      <c r="H27524" s="28">
        <v>0.36720000000000003</v>
      </c>
      <c r="I27524" s="28">
        <v>2.58E-2</v>
      </c>
      <c r="J27524" s="29"/>
      <c r="K27524" s="29"/>
      <c r="L27524" s="29"/>
      <c r="M27524" s="29"/>
      <c r="N27524" s="28">
        <v>0.17860000000000001</v>
      </c>
      <c r="O27524" s="29"/>
      <c r="P27524" s="28">
        <v>5.7000000000000002E-3</v>
      </c>
      <c r="Q27524" s="29"/>
      <c r="R27524" s="29" t="s">
        <v>343</v>
      </c>
    </row>
    <row r="27525" spans="1:18" x14ac:dyDescent="0.35">
      <c r="A27525" t="s">
        <v>229</v>
      </c>
      <c r="B27525" t="s">
        <v>1341</v>
      </c>
      <c r="C27525" t="s">
        <v>1348</v>
      </c>
      <c r="D27525" s="26">
        <v>0.43219999999999997</v>
      </c>
      <c r="E27525" s="26">
        <v>0.25080000000000002</v>
      </c>
      <c r="F27525" s="26">
        <v>0.2611</v>
      </c>
      <c r="G27525" s="26">
        <v>0.27660000000000001</v>
      </c>
      <c r="H27525" s="26">
        <v>0.23549999999999999</v>
      </c>
      <c r="I27525" s="26">
        <v>0.1065</v>
      </c>
      <c r="J27525" s="26">
        <v>0.1507</v>
      </c>
      <c r="K27525" s="26">
        <v>6.4899999999999999E-2</v>
      </c>
      <c r="L27525" s="26">
        <v>5.6800000000000003E-2</v>
      </c>
      <c r="M27525" s="26">
        <v>4.4900000000000002E-2</v>
      </c>
      <c r="N27525" s="26">
        <v>8.2400000000000001E-2</v>
      </c>
      <c r="O27525" s="26">
        <v>7.1800000000000003E-2</v>
      </c>
      <c r="R27525">
        <v>107</v>
      </c>
    </row>
    <row r="27526" spans="1:18" x14ac:dyDescent="0.35">
      <c r="A27526" t="s">
        <v>230</v>
      </c>
      <c r="B27526" t="s">
        <v>1343</v>
      </c>
      <c r="C27526" t="s">
        <v>1346</v>
      </c>
      <c r="D27526" s="26">
        <v>0.31840000000000002</v>
      </c>
      <c r="E27526" s="26">
        <v>0.25669999999999998</v>
      </c>
      <c r="F27526" s="26">
        <v>7.6999999999999999E-2</v>
      </c>
      <c r="G27526" s="26">
        <v>8.1100000000000005E-2</v>
      </c>
      <c r="H27526" s="26">
        <v>4.6399999999999997E-2</v>
      </c>
      <c r="I27526" s="26">
        <v>0.29380000000000001</v>
      </c>
      <c r="J27526" s="26">
        <v>0.2112</v>
      </c>
      <c r="K27526" s="26">
        <v>7.2800000000000004E-2</v>
      </c>
      <c r="L27526" s="26">
        <v>1.1599999999999999E-2</v>
      </c>
      <c r="M27526" s="26">
        <v>1.8E-3</v>
      </c>
      <c r="N27526" s="26">
        <v>3.49E-2</v>
      </c>
      <c r="O27526" s="26">
        <v>5.2299999999999999E-2</v>
      </c>
      <c r="P27526" s="26">
        <v>5.7999999999999996E-3</v>
      </c>
      <c r="R27526">
        <v>110</v>
      </c>
    </row>
    <row r="27527" spans="1:18" x14ac:dyDescent="0.35">
      <c r="A27527" s="27" t="s">
        <v>230</v>
      </c>
      <c r="B27527" s="27" t="s">
        <v>1341</v>
      </c>
      <c r="C27527" s="27" t="s">
        <v>1345</v>
      </c>
      <c r="D27527" s="28">
        <v>0.1429</v>
      </c>
      <c r="E27527" s="28">
        <v>0.42849999999999999</v>
      </c>
      <c r="F27527" s="28">
        <v>0.42849999999999999</v>
      </c>
      <c r="G27527" s="28">
        <v>0.42849999999999999</v>
      </c>
      <c r="H27527" s="28">
        <v>0.42849999999999999</v>
      </c>
      <c r="I27527" s="29"/>
      <c r="J27527" s="29"/>
      <c r="K27527" s="29"/>
      <c r="L27527" s="29"/>
      <c r="M27527" s="29"/>
      <c r="N27527" s="29"/>
      <c r="O27527" s="29"/>
      <c r="P27527" s="29"/>
      <c r="Q27527" s="29"/>
      <c r="R27527" s="29" t="s">
        <v>337</v>
      </c>
    </row>
    <row r="27528" spans="1:18" x14ac:dyDescent="0.35">
      <c r="A27528" t="s">
        <v>230</v>
      </c>
      <c r="B27528" t="s">
        <v>1343</v>
      </c>
      <c r="C27528" t="s">
        <v>1348</v>
      </c>
      <c r="D27528" s="26">
        <v>0.4249</v>
      </c>
      <c r="E27528" s="26">
        <v>0.3654</v>
      </c>
      <c r="F27528" s="26">
        <v>0.15060000000000001</v>
      </c>
      <c r="G27528" s="26">
        <v>0.1027</v>
      </c>
      <c r="H27528" s="26">
        <v>0.1993</v>
      </c>
      <c r="I27528" s="26">
        <v>8.8700000000000001E-2</v>
      </c>
      <c r="J27528" s="26">
        <v>0.10340000000000001</v>
      </c>
      <c r="K27528" s="26">
        <v>2.4799999999999999E-2</v>
      </c>
      <c r="L27528" s="26">
        <v>1.6000000000000001E-3</v>
      </c>
      <c r="M27528" s="26">
        <v>3.6299999999999999E-2</v>
      </c>
      <c r="N27528" s="26">
        <v>3.1099999999999999E-2</v>
      </c>
      <c r="O27528" s="26">
        <v>3.3599999999999998E-2</v>
      </c>
      <c r="R27528">
        <v>184</v>
      </c>
    </row>
    <row r="27529" spans="1:18" x14ac:dyDescent="0.35">
      <c r="A27529" t="s">
        <v>230</v>
      </c>
      <c r="B27529" t="s">
        <v>1343</v>
      </c>
      <c r="C27529" t="s">
        <v>1347</v>
      </c>
      <c r="D27529" s="26">
        <v>0.47310000000000002</v>
      </c>
      <c r="E27529" s="26">
        <v>0.21329999999999999</v>
      </c>
      <c r="F27529" s="26">
        <v>0.22270000000000001</v>
      </c>
      <c r="G27529" s="26">
        <v>6.3200000000000006E-2</v>
      </c>
      <c r="H27529" s="26">
        <v>0.22259999999999999</v>
      </c>
      <c r="I27529" s="26">
        <v>9.3399999999999997E-2</v>
      </c>
      <c r="J27529" s="26">
        <v>7.7700000000000005E-2</v>
      </c>
      <c r="K27529" s="26">
        <v>1.2699999999999999E-2</v>
      </c>
      <c r="L27529" s="26">
        <v>4.7999999999999996E-3</v>
      </c>
      <c r="O27529" s="26">
        <v>1.11E-2</v>
      </c>
      <c r="P27529" s="26">
        <v>1.5E-3</v>
      </c>
      <c r="R27529">
        <v>106</v>
      </c>
    </row>
    <row r="27530" spans="1:18" x14ac:dyDescent="0.35">
      <c r="A27530" t="s">
        <v>230</v>
      </c>
      <c r="B27530" t="s">
        <v>1341</v>
      </c>
      <c r="C27530" t="s">
        <v>1348</v>
      </c>
      <c r="D27530" s="26">
        <v>0.44500000000000001</v>
      </c>
      <c r="E27530" s="26">
        <v>0.22339999999999999</v>
      </c>
      <c r="F27530" s="26">
        <v>0.1996</v>
      </c>
      <c r="G27530" s="26">
        <v>0.13850000000000001</v>
      </c>
      <c r="H27530" s="26">
        <v>0.18010000000000001</v>
      </c>
      <c r="I27530" s="26">
        <v>0.17319999999999999</v>
      </c>
      <c r="J27530" s="26">
        <v>0.21260000000000001</v>
      </c>
      <c r="K27530" s="26">
        <v>1.24E-2</v>
      </c>
      <c r="L27530" s="26">
        <v>3.9100000000000003E-2</v>
      </c>
      <c r="M27530" s="26">
        <v>3.9100000000000003E-2</v>
      </c>
      <c r="N27530" s="26">
        <v>8.4199999999999997E-2</v>
      </c>
      <c r="O27530" s="26">
        <v>7.8200000000000006E-2</v>
      </c>
      <c r="R27530">
        <v>75</v>
      </c>
    </row>
    <row r="27531" spans="1:18" x14ac:dyDescent="0.35">
      <c r="A27531" t="s">
        <v>230</v>
      </c>
      <c r="B27531" t="s">
        <v>1341</v>
      </c>
      <c r="C27531" t="s">
        <v>1347</v>
      </c>
      <c r="D27531" s="26">
        <v>0.43030000000000002</v>
      </c>
      <c r="E27531" s="26">
        <v>0.19550000000000001</v>
      </c>
      <c r="F27531" s="26">
        <v>0.41499999999999998</v>
      </c>
      <c r="G27531" s="26">
        <v>0.24099999999999999</v>
      </c>
      <c r="H27531" s="26">
        <v>0.35759999999999997</v>
      </c>
      <c r="I27531" s="26">
        <v>9.4100000000000003E-2</v>
      </c>
      <c r="J27531" s="26">
        <v>6.9699999999999998E-2</v>
      </c>
      <c r="L27531" s="26">
        <v>5.7200000000000001E-2</v>
      </c>
      <c r="M27531" s="26">
        <v>1.23E-2</v>
      </c>
      <c r="N27531" s="26">
        <v>0.1144</v>
      </c>
      <c r="R27531">
        <v>47</v>
      </c>
    </row>
    <row r="27532" spans="1:18" x14ac:dyDescent="0.35">
      <c r="A27532" s="27" t="s">
        <v>230</v>
      </c>
      <c r="B27532" s="27" t="s">
        <v>1343</v>
      </c>
      <c r="C27532" s="27" t="s">
        <v>1345</v>
      </c>
      <c r="D27532" s="28">
        <v>0.27760000000000001</v>
      </c>
      <c r="E27532" s="28">
        <v>0.11899999999999999</v>
      </c>
      <c r="F27532" s="28">
        <v>0.11899999999999999</v>
      </c>
      <c r="G27532" s="28">
        <v>0.12189999999999999</v>
      </c>
      <c r="H27532" s="28">
        <v>0.84150000000000003</v>
      </c>
      <c r="I27532" s="29"/>
      <c r="J27532" s="29"/>
      <c r="K27532" s="29"/>
      <c r="L27532" s="29"/>
      <c r="M27532" s="29"/>
      <c r="N27532" s="29"/>
      <c r="O27532" s="29"/>
      <c r="P27532" s="29"/>
      <c r="Q27532" s="29"/>
      <c r="R27532" s="29" t="s">
        <v>337</v>
      </c>
    </row>
    <row r="27533" spans="1:18" x14ac:dyDescent="0.35">
      <c r="A27533" t="s">
        <v>230</v>
      </c>
      <c r="B27533" t="s">
        <v>1341</v>
      </c>
      <c r="C27533" t="s">
        <v>1346</v>
      </c>
      <c r="D27533" s="26">
        <v>0.25419999999999998</v>
      </c>
      <c r="E27533" s="26">
        <v>0.41789999999999999</v>
      </c>
      <c r="F27533" s="26">
        <v>0.29099999999999998</v>
      </c>
      <c r="G27533" s="26">
        <v>0.13089999999999999</v>
      </c>
      <c r="H27533" s="26">
        <v>0.2117</v>
      </c>
      <c r="I27533" s="26">
        <v>3.2500000000000001E-2</v>
      </c>
      <c r="J27533" s="26">
        <v>0.1837</v>
      </c>
      <c r="K27533" s="26">
        <v>4.3E-3</v>
      </c>
      <c r="L27533" s="26">
        <v>4.3E-3</v>
      </c>
      <c r="M27533" s="26">
        <v>4.3E-3</v>
      </c>
      <c r="N27533" s="26">
        <v>0.1033</v>
      </c>
      <c r="O27533" s="26">
        <v>1.8599999999999998E-2</v>
      </c>
      <c r="R27533">
        <v>30</v>
      </c>
    </row>
    <row r="27534" spans="1:18" x14ac:dyDescent="0.35">
      <c r="A27534" t="s">
        <v>231</v>
      </c>
      <c r="B27534" t="s">
        <v>1343</v>
      </c>
      <c r="C27534" t="s">
        <v>1348</v>
      </c>
      <c r="D27534" s="26">
        <v>0.44</v>
      </c>
      <c r="E27534" s="26">
        <v>0.16</v>
      </c>
      <c r="F27534" s="26">
        <v>0.2</v>
      </c>
      <c r="G27534" s="26">
        <v>0.12</v>
      </c>
      <c r="H27534" s="26">
        <v>0.22</v>
      </c>
      <c r="I27534" s="26">
        <v>0.16</v>
      </c>
      <c r="J27534" s="26">
        <v>0.08</v>
      </c>
      <c r="K27534" s="26">
        <v>0.14000000000000001</v>
      </c>
      <c r="L27534" s="26">
        <v>0.1</v>
      </c>
      <c r="O27534" s="26">
        <v>0.04</v>
      </c>
      <c r="R27534">
        <v>50</v>
      </c>
    </row>
    <row r="27535" spans="1:18" x14ac:dyDescent="0.35">
      <c r="A27535" s="27" t="s">
        <v>231</v>
      </c>
      <c r="B27535" s="27" t="s">
        <v>1343</v>
      </c>
      <c r="C27535" s="27" t="s">
        <v>1345</v>
      </c>
      <c r="D27535" s="28">
        <v>0.66669999999999996</v>
      </c>
      <c r="E27535" s="28">
        <v>1</v>
      </c>
      <c r="F27535" s="28">
        <v>0.33329999999999999</v>
      </c>
      <c r="G27535" s="28">
        <v>0.33329999999999999</v>
      </c>
      <c r="H27535" s="28">
        <v>0.33329999999999999</v>
      </c>
      <c r="I27535" s="28">
        <v>0.66669999999999996</v>
      </c>
      <c r="J27535" s="29"/>
      <c r="K27535" s="29"/>
      <c r="L27535" s="29"/>
      <c r="M27535" s="29"/>
      <c r="N27535" s="29"/>
      <c r="O27535" s="29"/>
      <c r="P27535" s="29"/>
      <c r="Q27535" s="29"/>
      <c r="R27535" s="29" t="s">
        <v>315</v>
      </c>
    </row>
    <row r="27536" spans="1:18" x14ac:dyDescent="0.35">
      <c r="A27536" t="s">
        <v>231</v>
      </c>
      <c r="B27536" t="s">
        <v>1341</v>
      </c>
      <c r="C27536" t="s">
        <v>1348</v>
      </c>
      <c r="D27536" s="26">
        <v>0.36109999999999998</v>
      </c>
      <c r="E27536" s="26">
        <v>0.19439999999999999</v>
      </c>
      <c r="F27536" s="26">
        <v>0.16669999999999999</v>
      </c>
      <c r="G27536" s="26">
        <v>0.22220000000000001</v>
      </c>
      <c r="H27536" s="26">
        <v>8.3299999999999999E-2</v>
      </c>
      <c r="I27536" s="26">
        <v>0.1111</v>
      </c>
      <c r="J27536" s="26">
        <v>0.1111</v>
      </c>
      <c r="K27536" s="26">
        <v>8.3299999999999999E-2</v>
      </c>
      <c r="L27536" s="26">
        <v>5.5599999999999997E-2</v>
      </c>
      <c r="M27536" s="26">
        <v>8.3299999999999999E-2</v>
      </c>
      <c r="N27536" s="26">
        <v>2.7799999999999998E-2</v>
      </c>
      <c r="O27536" s="26">
        <v>2.7799999999999998E-2</v>
      </c>
      <c r="P27536" s="26">
        <v>2.7799999999999998E-2</v>
      </c>
      <c r="R27536">
        <v>36</v>
      </c>
    </row>
    <row r="27537" spans="1:18" x14ac:dyDescent="0.35">
      <c r="A27537" s="27" t="s">
        <v>231</v>
      </c>
      <c r="B27537" s="27" t="s">
        <v>1341</v>
      </c>
      <c r="C27537" s="27" t="s">
        <v>1345</v>
      </c>
      <c r="D27537" s="28">
        <v>1</v>
      </c>
      <c r="E27537" s="28">
        <v>1</v>
      </c>
      <c r="F27537" s="28">
        <v>1</v>
      </c>
      <c r="G27537" s="28">
        <v>1</v>
      </c>
      <c r="H27537" s="28">
        <v>1</v>
      </c>
      <c r="I27537" s="29"/>
      <c r="J27537" s="29"/>
      <c r="K27537" s="29"/>
      <c r="L27537" s="28">
        <v>1</v>
      </c>
      <c r="M27537" s="28">
        <v>1</v>
      </c>
      <c r="N27537" s="29"/>
      <c r="O27537" s="29"/>
      <c r="P27537" s="29"/>
      <c r="Q27537" s="29"/>
      <c r="R27537" s="29" t="s">
        <v>331</v>
      </c>
    </row>
    <row r="27538" spans="1:18" x14ac:dyDescent="0.35">
      <c r="A27538" s="27" t="s">
        <v>231</v>
      </c>
      <c r="B27538" s="27" t="s">
        <v>1343</v>
      </c>
      <c r="C27538" s="27" t="s">
        <v>1346</v>
      </c>
      <c r="D27538" s="28">
        <v>7.6899999999999996E-2</v>
      </c>
      <c r="E27538" s="28">
        <v>0.15379999999999999</v>
      </c>
      <c r="F27538" s="29"/>
      <c r="G27538" s="28">
        <v>0.23080000000000001</v>
      </c>
      <c r="H27538" s="29"/>
      <c r="I27538" s="28">
        <v>7.6899999999999996E-2</v>
      </c>
      <c r="J27538" s="28">
        <v>0.1923</v>
      </c>
      <c r="K27538" s="28">
        <v>0.26919999999999999</v>
      </c>
      <c r="L27538" s="29"/>
      <c r="M27538" s="28">
        <v>3.85E-2</v>
      </c>
      <c r="N27538" s="29"/>
      <c r="O27538" s="29"/>
      <c r="P27538" s="29"/>
      <c r="Q27538" s="29"/>
      <c r="R27538" s="29" t="s">
        <v>357</v>
      </c>
    </row>
    <row r="27539" spans="1:18" x14ac:dyDescent="0.35">
      <c r="A27539" s="27" t="s">
        <v>231</v>
      </c>
      <c r="B27539" s="27" t="s">
        <v>1341</v>
      </c>
      <c r="C27539" s="27" t="s">
        <v>1346</v>
      </c>
      <c r="D27539" s="28">
        <v>0.21429999999999999</v>
      </c>
      <c r="E27539" s="28">
        <v>0.21429999999999999</v>
      </c>
      <c r="F27539" s="28">
        <v>0.1429</v>
      </c>
      <c r="G27539" s="28">
        <v>0.28570000000000001</v>
      </c>
      <c r="H27539" s="28">
        <v>7.1400000000000005E-2</v>
      </c>
      <c r="I27539" s="28">
        <v>7.1400000000000005E-2</v>
      </c>
      <c r="J27539" s="28">
        <v>0.21429999999999999</v>
      </c>
      <c r="K27539" s="29"/>
      <c r="L27539" s="28">
        <v>7.1400000000000005E-2</v>
      </c>
      <c r="M27539" s="29"/>
      <c r="N27539" s="28">
        <v>0.1429</v>
      </c>
      <c r="O27539" s="28">
        <v>7.1400000000000005E-2</v>
      </c>
      <c r="P27539" s="28">
        <v>7.1400000000000005E-2</v>
      </c>
      <c r="Q27539" s="29"/>
      <c r="R27539" s="29" t="s">
        <v>379</v>
      </c>
    </row>
    <row r="27540" spans="1:18" x14ac:dyDescent="0.35">
      <c r="A27540" s="27" t="s">
        <v>231</v>
      </c>
      <c r="B27540" s="27" t="s">
        <v>1341</v>
      </c>
      <c r="C27540" s="27" t="s">
        <v>1347</v>
      </c>
      <c r="D27540" s="28">
        <v>0.28570000000000001</v>
      </c>
      <c r="E27540" s="28">
        <v>0.1429</v>
      </c>
      <c r="F27540" s="28">
        <v>0.35709999999999997</v>
      </c>
      <c r="G27540" s="28">
        <v>0.28570000000000001</v>
      </c>
      <c r="H27540" s="28">
        <v>0.21429999999999999</v>
      </c>
      <c r="I27540" s="28">
        <v>0.1429</v>
      </c>
      <c r="J27540" s="28">
        <v>0.1429</v>
      </c>
      <c r="K27540" s="28">
        <v>0.1429</v>
      </c>
      <c r="L27540" s="28">
        <v>7.1400000000000005E-2</v>
      </c>
      <c r="M27540" s="28">
        <v>7.1400000000000005E-2</v>
      </c>
      <c r="N27540" s="28">
        <v>7.1400000000000005E-2</v>
      </c>
      <c r="O27540" s="28">
        <v>7.1400000000000005E-2</v>
      </c>
      <c r="P27540" s="29"/>
      <c r="Q27540" s="29"/>
      <c r="R27540" s="29" t="s">
        <v>379</v>
      </c>
    </row>
    <row r="27541" spans="1:18" x14ac:dyDescent="0.35">
      <c r="A27541" s="27" t="s">
        <v>231</v>
      </c>
      <c r="B27541" s="27" t="s">
        <v>1343</v>
      </c>
      <c r="C27541" s="27" t="s">
        <v>1347</v>
      </c>
      <c r="D27541" s="28">
        <v>0.45</v>
      </c>
      <c r="E27541" s="28">
        <v>0.05</v>
      </c>
      <c r="F27541" s="28">
        <v>0.35</v>
      </c>
      <c r="G27541" s="28">
        <v>0.05</v>
      </c>
      <c r="H27541" s="28">
        <v>0.25</v>
      </c>
      <c r="I27541" s="28">
        <v>0.1</v>
      </c>
      <c r="J27541" s="28">
        <v>0.15</v>
      </c>
      <c r="K27541" s="28">
        <v>0.05</v>
      </c>
      <c r="L27541" s="29"/>
      <c r="M27541" s="29"/>
      <c r="N27541" s="29"/>
      <c r="O27541" s="29"/>
      <c r="P27541" s="29"/>
      <c r="Q27541" s="29"/>
      <c r="R27541" s="29" t="s">
        <v>350</v>
      </c>
    </row>
    <row r="27542" spans="1:18" x14ac:dyDescent="0.35">
      <c r="A27542" t="s">
        <v>232</v>
      </c>
      <c r="B27542" t="s">
        <v>232</v>
      </c>
      <c r="C27542" t="s">
        <v>232</v>
      </c>
      <c r="D27542" s="26">
        <v>0.39529999999999998</v>
      </c>
      <c r="E27542" s="26">
        <v>0.21199999999999999</v>
      </c>
      <c r="F27542" s="26">
        <v>0.1988</v>
      </c>
      <c r="G27542" s="26">
        <v>0.16139999999999999</v>
      </c>
      <c r="H27542" s="26">
        <v>0.15060000000000001</v>
      </c>
      <c r="I27542" s="26">
        <v>0.1434</v>
      </c>
      <c r="J27542" s="26">
        <v>0.12470000000000001</v>
      </c>
      <c r="K27542" s="26">
        <v>8.5999999999999993E-2</v>
      </c>
      <c r="L27542" s="26">
        <v>4.0599999999999997E-2</v>
      </c>
      <c r="M27542" s="26">
        <v>3.9300000000000002E-2</v>
      </c>
      <c r="N27542" s="26">
        <v>3.9199999999999999E-2</v>
      </c>
      <c r="O27542" s="26">
        <v>3.3799999999999997E-2</v>
      </c>
      <c r="P27542" s="26">
        <v>4.3E-3</v>
      </c>
      <c r="Q27542" s="26">
        <v>4.0000000000000002E-4</v>
      </c>
      <c r="R27542">
        <v>2813</v>
      </c>
    </row>
    <row r="27544" spans="1:18" x14ac:dyDescent="0.35">
      <c r="A27544" s="1" t="s">
        <v>2490</v>
      </c>
    </row>
    <row r="27545" spans="1:18" x14ac:dyDescent="0.35">
      <c r="A27545" t="s">
        <v>219</v>
      </c>
      <c r="B27545" t="s">
        <v>550</v>
      </c>
      <c r="C27545" t="s">
        <v>2491</v>
      </c>
      <c r="D27545" t="s">
        <v>2492</v>
      </c>
      <c r="E27545" t="s">
        <v>2493</v>
      </c>
      <c r="F27545" t="s">
        <v>2494</v>
      </c>
      <c r="G27545" t="s">
        <v>281</v>
      </c>
      <c r="H27545" t="s">
        <v>2495</v>
      </c>
      <c r="I27545" t="s">
        <v>286</v>
      </c>
      <c r="J27545" t="s">
        <v>226</v>
      </c>
    </row>
    <row r="27546" spans="1:18" x14ac:dyDescent="0.35">
      <c r="A27546" t="s">
        <v>227</v>
      </c>
      <c r="B27546" s="26">
        <v>0.86339999999999995</v>
      </c>
      <c r="C27546" s="26">
        <v>7.4499999999999997E-2</v>
      </c>
      <c r="D27546" s="26">
        <v>2.4799999999999999E-2</v>
      </c>
      <c r="E27546" s="26">
        <v>1.8599999999999998E-2</v>
      </c>
      <c r="F27546" s="26">
        <v>1.8599999999999998E-2</v>
      </c>
      <c r="H27546" s="26">
        <v>1.8599999999999998E-2</v>
      </c>
      <c r="J27546">
        <v>161</v>
      </c>
    </row>
    <row r="27547" spans="1:18" x14ac:dyDescent="0.35">
      <c r="A27547" t="s">
        <v>228</v>
      </c>
      <c r="B27547" s="26">
        <v>0.88029999999999997</v>
      </c>
      <c r="C27547" s="26">
        <v>6.0499999999999998E-2</v>
      </c>
      <c r="D27547" s="26">
        <v>1.83E-2</v>
      </c>
      <c r="E27547" s="26">
        <v>2.29E-2</v>
      </c>
      <c r="F27547" s="26">
        <v>1.9300000000000001E-2</v>
      </c>
      <c r="G27547" s="26">
        <v>6.4999999999999997E-3</v>
      </c>
      <c r="H27547" s="26">
        <v>4.7999999999999996E-3</v>
      </c>
      <c r="I27547" s="26">
        <v>5.1000000000000004E-3</v>
      </c>
      <c r="J27547">
        <v>1033</v>
      </c>
    </row>
    <row r="27548" spans="1:18" x14ac:dyDescent="0.35">
      <c r="A27548" t="s">
        <v>229</v>
      </c>
      <c r="B27548" s="26">
        <v>0.86399999999999999</v>
      </c>
      <c r="C27548" s="26">
        <v>7.2499999999999995E-2</v>
      </c>
      <c r="D27548" s="26">
        <v>3.3399999999999999E-2</v>
      </c>
      <c r="E27548" s="26">
        <v>3.7499999999999999E-2</v>
      </c>
      <c r="F27548" s="26">
        <v>1.4500000000000001E-2</v>
      </c>
      <c r="G27548" s="26">
        <v>1.14E-2</v>
      </c>
      <c r="I27548" s="26">
        <v>1E-3</v>
      </c>
      <c r="J27548">
        <v>895</v>
      </c>
    </row>
    <row r="27549" spans="1:18" x14ac:dyDescent="0.35">
      <c r="A27549" t="s">
        <v>230</v>
      </c>
      <c r="B27549" s="26">
        <v>0.84289999999999998</v>
      </c>
      <c r="C27549" s="26">
        <v>6.4000000000000001E-2</v>
      </c>
      <c r="D27549" s="26">
        <v>4.1599999999999998E-2</v>
      </c>
      <c r="E27549" s="26">
        <v>2.4899999999999999E-2</v>
      </c>
      <c r="F27549" s="26">
        <v>2.9399999999999999E-2</v>
      </c>
      <c r="G27549" s="26">
        <v>9.9000000000000008E-3</v>
      </c>
      <c r="H27549" s="26">
        <v>2.3E-3</v>
      </c>
      <c r="I27549" s="26">
        <v>1.8E-3</v>
      </c>
      <c r="J27549">
        <v>559</v>
      </c>
    </row>
    <row r="27550" spans="1:18" x14ac:dyDescent="0.35">
      <c r="A27550" t="s">
        <v>231</v>
      </c>
      <c r="B27550" s="26">
        <v>0.90849999999999997</v>
      </c>
      <c r="C27550" s="26">
        <v>3.0499999999999999E-2</v>
      </c>
      <c r="D27550" s="26">
        <v>2.4400000000000002E-2</v>
      </c>
      <c r="E27550" s="26">
        <v>2.4400000000000002E-2</v>
      </c>
      <c r="F27550" s="26">
        <v>1.2200000000000001E-2</v>
      </c>
      <c r="G27550" s="26">
        <v>1.2200000000000001E-2</v>
      </c>
      <c r="H27550" s="26">
        <v>1.2200000000000001E-2</v>
      </c>
      <c r="J27550">
        <v>164</v>
      </c>
    </row>
    <row r="27551" spans="1:18" x14ac:dyDescent="0.35">
      <c r="A27551" t="s">
        <v>232</v>
      </c>
      <c r="B27551" s="26">
        <v>0.87729999999999997</v>
      </c>
      <c r="C27551" s="26">
        <v>5.8099999999999999E-2</v>
      </c>
      <c r="D27551" s="26">
        <v>2.75E-2</v>
      </c>
      <c r="E27551" s="26">
        <v>2.7E-2</v>
      </c>
      <c r="F27551" s="26">
        <v>1.6799999999999999E-2</v>
      </c>
      <c r="G27551" s="26">
        <v>8.8000000000000005E-3</v>
      </c>
      <c r="H27551" s="26">
        <v>7.3000000000000001E-3</v>
      </c>
      <c r="I27551" s="26">
        <v>1.4E-3</v>
      </c>
      <c r="J27551">
        <v>2812</v>
      </c>
    </row>
    <row r="27553" spans="1:11" x14ac:dyDescent="0.35">
      <c r="A27553" s="1" t="s">
        <v>2496</v>
      </c>
    </row>
    <row r="27554" spans="1:11" x14ac:dyDescent="0.35">
      <c r="A27554" t="s">
        <v>219</v>
      </c>
      <c r="B27554" t="s">
        <v>305</v>
      </c>
      <c r="C27554" t="s">
        <v>550</v>
      </c>
      <c r="D27554" t="s">
        <v>2491</v>
      </c>
      <c r="E27554" t="s">
        <v>2492</v>
      </c>
      <c r="F27554" t="s">
        <v>2493</v>
      </c>
      <c r="G27554" t="s">
        <v>2494</v>
      </c>
      <c r="H27554" t="s">
        <v>281</v>
      </c>
      <c r="I27554" t="s">
        <v>2495</v>
      </c>
      <c r="J27554" t="s">
        <v>286</v>
      </c>
      <c r="K27554" t="s">
        <v>226</v>
      </c>
    </row>
    <row r="27555" spans="1:11" x14ac:dyDescent="0.35">
      <c r="A27555" t="s">
        <v>227</v>
      </c>
      <c r="B27555" t="s">
        <v>242</v>
      </c>
      <c r="C27555" s="26">
        <v>0.88239999999999996</v>
      </c>
      <c r="D27555" s="26">
        <v>5.8799999999999998E-2</v>
      </c>
      <c r="E27555" s="26">
        <v>1.47E-2</v>
      </c>
      <c r="F27555" s="26">
        <v>4.41E-2</v>
      </c>
      <c r="I27555" s="26">
        <v>1.47E-2</v>
      </c>
      <c r="K27555">
        <v>68</v>
      </c>
    </row>
    <row r="27556" spans="1:11" x14ac:dyDescent="0.35">
      <c r="A27556" t="s">
        <v>227</v>
      </c>
      <c r="B27556" t="s">
        <v>241</v>
      </c>
      <c r="C27556" s="26">
        <v>0.84950000000000003</v>
      </c>
      <c r="D27556" s="26">
        <v>8.5999999999999993E-2</v>
      </c>
      <c r="E27556" s="26">
        <v>3.2300000000000002E-2</v>
      </c>
      <c r="G27556" s="26">
        <v>3.2300000000000002E-2</v>
      </c>
      <c r="I27556" s="26">
        <v>2.1499999999999998E-2</v>
      </c>
      <c r="K27556">
        <v>93</v>
      </c>
    </row>
    <row r="27557" spans="1:11" x14ac:dyDescent="0.35">
      <c r="A27557" t="s">
        <v>228</v>
      </c>
      <c r="B27557" t="s">
        <v>242</v>
      </c>
      <c r="C27557" s="26">
        <v>0.88090000000000002</v>
      </c>
      <c r="D27557" s="26">
        <v>7.0699999999999999E-2</v>
      </c>
      <c r="E27557" s="26">
        <v>1.1900000000000001E-2</v>
      </c>
      <c r="F27557" s="26">
        <v>1.78E-2</v>
      </c>
      <c r="G27557" s="26">
        <v>2.58E-2</v>
      </c>
      <c r="H27557" s="26">
        <v>4.3E-3</v>
      </c>
      <c r="I27557" s="26">
        <v>1.0800000000000001E-2</v>
      </c>
      <c r="J27557" s="26">
        <v>1.06E-2</v>
      </c>
      <c r="K27557">
        <v>402</v>
      </c>
    </row>
    <row r="27558" spans="1:11" x14ac:dyDescent="0.35">
      <c r="A27558" t="s">
        <v>228</v>
      </c>
      <c r="B27558" t="s">
        <v>241</v>
      </c>
      <c r="C27558" s="26">
        <v>0.88</v>
      </c>
      <c r="D27558" s="26">
        <v>5.4699999999999999E-2</v>
      </c>
      <c r="E27558" s="26">
        <v>2.1999999999999999E-2</v>
      </c>
      <c r="F27558" s="26">
        <v>2.58E-2</v>
      </c>
      <c r="G27558" s="26">
        <v>1.5599999999999999E-2</v>
      </c>
      <c r="H27558" s="26">
        <v>7.7999999999999996E-3</v>
      </c>
      <c r="I27558" s="26">
        <v>1.2999999999999999E-3</v>
      </c>
      <c r="J27558" s="26">
        <v>1.9E-3</v>
      </c>
      <c r="K27558">
        <v>631</v>
      </c>
    </row>
    <row r="27559" spans="1:11" x14ac:dyDescent="0.35">
      <c r="A27559" t="s">
        <v>229</v>
      </c>
      <c r="B27559" t="s">
        <v>242</v>
      </c>
      <c r="C27559" s="26">
        <v>0.86890000000000001</v>
      </c>
      <c r="D27559" s="26">
        <v>5.2600000000000001E-2</v>
      </c>
      <c r="E27559" s="26">
        <v>3.9300000000000002E-2</v>
      </c>
      <c r="F27559" s="26">
        <v>4.2700000000000002E-2</v>
      </c>
      <c r="G27559" s="26">
        <v>1.0699999999999999E-2</v>
      </c>
      <c r="H27559" s="26">
        <v>2.12E-2</v>
      </c>
      <c r="K27559">
        <v>292</v>
      </c>
    </row>
    <row r="27560" spans="1:11" x14ac:dyDescent="0.35">
      <c r="A27560" t="s">
        <v>229</v>
      </c>
      <c r="B27560" t="s">
        <v>241</v>
      </c>
      <c r="C27560" s="26">
        <v>0.8609</v>
      </c>
      <c r="D27560" s="26">
        <v>8.5300000000000001E-2</v>
      </c>
      <c r="E27560" s="26">
        <v>2.9600000000000001E-2</v>
      </c>
      <c r="F27560" s="26">
        <v>3.4200000000000001E-2</v>
      </c>
      <c r="G27560" s="26">
        <v>1.6899999999999998E-2</v>
      </c>
      <c r="H27560" s="26">
        <v>5.1999999999999998E-3</v>
      </c>
      <c r="J27560" s="26">
        <v>1.6000000000000001E-3</v>
      </c>
      <c r="K27560">
        <v>603</v>
      </c>
    </row>
    <row r="27561" spans="1:11" x14ac:dyDescent="0.35">
      <c r="A27561" t="s">
        <v>230</v>
      </c>
      <c r="B27561" t="s">
        <v>242</v>
      </c>
      <c r="C27561" s="26">
        <v>0.7913</v>
      </c>
      <c r="D27561" s="26">
        <v>9.8500000000000004E-2</v>
      </c>
      <c r="E27561" s="26">
        <v>5.5500000000000001E-2</v>
      </c>
      <c r="F27561" s="26">
        <v>2.8799999999999999E-2</v>
      </c>
      <c r="G27561" s="26">
        <v>6.1000000000000004E-3</v>
      </c>
      <c r="H27561" s="26">
        <v>2.12E-2</v>
      </c>
      <c r="I27561" s="26">
        <v>2.5999999999999999E-3</v>
      </c>
      <c r="J27561" s="26">
        <v>5.3E-3</v>
      </c>
      <c r="K27561">
        <v>188</v>
      </c>
    </row>
    <row r="27562" spans="1:11" x14ac:dyDescent="0.35">
      <c r="A27562" t="s">
        <v>230</v>
      </c>
      <c r="B27562" t="s">
        <v>241</v>
      </c>
      <c r="C27562" s="26">
        <v>0.86929999999999996</v>
      </c>
      <c r="D27562" s="26">
        <v>4.6399999999999997E-2</v>
      </c>
      <c r="E27562" s="26">
        <v>3.4500000000000003E-2</v>
      </c>
      <c r="F27562" s="26">
        <v>2.29E-2</v>
      </c>
      <c r="G27562" s="26">
        <v>4.1300000000000003E-2</v>
      </c>
      <c r="H27562" s="26">
        <v>4.1000000000000003E-3</v>
      </c>
      <c r="I27562" s="26">
        <v>2.2000000000000001E-3</v>
      </c>
      <c r="K27562">
        <v>371</v>
      </c>
    </row>
    <row r="27563" spans="1:11" x14ac:dyDescent="0.35">
      <c r="A27563" t="s">
        <v>231</v>
      </c>
      <c r="B27563" t="s">
        <v>242</v>
      </c>
      <c r="C27563" s="26">
        <v>0.87039999999999995</v>
      </c>
      <c r="D27563" s="26">
        <v>3.6999999999999998E-2</v>
      </c>
      <c r="E27563" s="26">
        <v>7.4099999999999999E-2</v>
      </c>
      <c r="F27563" s="26">
        <v>3.6999999999999998E-2</v>
      </c>
      <c r="G27563" s="26">
        <v>1.8499999999999999E-2</v>
      </c>
      <c r="K27563">
        <v>54</v>
      </c>
    </row>
    <row r="27564" spans="1:11" x14ac:dyDescent="0.35">
      <c r="A27564" t="s">
        <v>231</v>
      </c>
      <c r="B27564" t="s">
        <v>241</v>
      </c>
      <c r="C27564" s="26">
        <v>0.92730000000000001</v>
      </c>
      <c r="D27564" s="26">
        <v>2.7300000000000001E-2</v>
      </c>
      <c r="F27564" s="26">
        <v>1.8200000000000001E-2</v>
      </c>
      <c r="G27564" s="26">
        <v>9.1000000000000004E-3</v>
      </c>
      <c r="H27564" s="26">
        <v>1.8200000000000001E-2</v>
      </c>
      <c r="I27564" s="26">
        <v>1.8200000000000001E-2</v>
      </c>
      <c r="K27564">
        <v>110</v>
      </c>
    </row>
    <row r="27565" spans="1:11" x14ac:dyDescent="0.35">
      <c r="A27565" t="s">
        <v>232</v>
      </c>
      <c r="B27565" t="s">
        <v>232</v>
      </c>
      <c r="C27565" s="26">
        <v>0.87729999999999997</v>
      </c>
      <c r="D27565" s="26">
        <v>5.8099999999999999E-2</v>
      </c>
      <c r="E27565" s="26">
        <v>2.75E-2</v>
      </c>
      <c r="F27565" s="26">
        <v>2.7E-2</v>
      </c>
      <c r="G27565" s="26">
        <v>1.6799999999999999E-2</v>
      </c>
      <c r="H27565" s="26">
        <v>8.8000000000000005E-3</v>
      </c>
      <c r="I27565" s="26">
        <v>7.3000000000000001E-3</v>
      </c>
      <c r="J27565" s="26">
        <v>1.4E-3</v>
      </c>
      <c r="K27565">
        <v>2812</v>
      </c>
    </row>
    <row r="27567" spans="1:11" x14ac:dyDescent="0.35">
      <c r="A27567" s="1" t="s">
        <v>2497</v>
      </c>
    </row>
    <row r="27568" spans="1:11" x14ac:dyDescent="0.35">
      <c r="A27568" t="s">
        <v>219</v>
      </c>
      <c r="B27568" t="s">
        <v>305</v>
      </c>
      <c r="C27568" t="s">
        <v>550</v>
      </c>
      <c r="D27568" t="s">
        <v>2491</v>
      </c>
      <c r="E27568" t="s">
        <v>2492</v>
      </c>
      <c r="F27568" t="s">
        <v>2493</v>
      </c>
      <c r="G27568" t="s">
        <v>2494</v>
      </c>
      <c r="H27568" t="s">
        <v>281</v>
      </c>
      <c r="I27568" t="s">
        <v>2495</v>
      </c>
      <c r="J27568" t="s">
        <v>286</v>
      </c>
      <c r="K27568" t="s">
        <v>226</v>
      </c>
    </row>
    <row r="27569" spans="1:11" x14ac:dyDescent="0.35">
      <c r="A27569" t="s">
        <v>227</v>
      </c>
      <c r="B27569" t="s">
        <v>239</v>
      </c>
      <c r="C27569" s="26">
        <v>0.7903</v>
      </c>
      <c r="D27569" s="26">
        <v>0.129</v>
      </c>
      <c r="E27569" s="26">
        <v>1.61E-2</v>
      </c>
      <c r="F27569" s="26">
        <v>3.2300000000000002E-2</v>
      </c>
      <c r="G27569" s="26">
        <v>4.8399999999999999E-2</v>
      </c>
      <c r="I27569" s="26">
        <v>1.61E-2</v>
      </c>
      <c r="K27569">
        <v>62</v>
      </c>
    </row>
    <row r="27570" spans="1:11" x14ac:dyDescent="0.35">
      <c r="A27570" t="s">
        <v>227</v>
      </c>
      <c r="B27570" t="s">
        <v>238</v>
      </c>
      <c r="C27570" s="26">
        <v>0.90910000000000002</v>
      </c>
      <c r="D27570" s="26">
        <v>4.0399999999999998E-2</v>
      </c>
      <c r="E27570" s="26">
        <v>3.0300000000000001E-2</v>
      </c>
      <c r="F27570" s="26">
        <v>1.01E-2</v>
      </c>
      <c r="I27570" s="26">
        <v>2.0199999999999999E-2</v>
      </c>
      <c r="K27570">
        <v>99</v>
      </c>
    </row>
    <row r="27571" spans="1:11" x14ac:dyDescent="0.35">
      <c r="A27571" t="s">
        <v>228</v>
      </c>
      <c r="B27571" t="s">
        <v>239</v>
      </c>
      <c r="C27571" s="26">
        <v>0.872</v>
      </c>
      <c r="D27571" s="26">
        <v>6.0299999999999999E-2</v>
      </c>
      <c r="E27571" s="26">
        <v>2.5000000000000001E-2</v>
      </c>
      <c r="F27571" s="26">
        <v>2.9600000000000001E-2</v>
      </c>
      <c r="G27571" s="26">
        <v>2.1700000000000001E-2</v>
      </c>
      <c r="H27571" s="26">
        <v>6.4000000000000003E-3</v>
      </c>
      <c r="I27571" s="26">
        <v>2.8999999999999998E-3</v>
      </c>
      <c r="K27571">
        <v>330</v>
      </c>
    </row>
    <row r="27572" spans="1:11" x14ac:dyDescent="0.35">
      <c r="A27572" t="s">
        <v>228</v>
      </c>
      <c r="B27572" t="s">
        <v>238</v>
      </c>
      <c r="C27572" s="26">
        <v>0.88239999999999996</v>
      </c>
      <c r="D27572" s="26">
        <v>6.0600000000000001E-2</v>
      </c>
      <c r="E27572" s="26">
        <v>1.66E-2</v>
      </c>
      <c r="F27572" s="26">
        <v>2.1100000000000001E-2</v>
      </c>
      <c r="G27572" s="26">
        <v>1.8700000000000001E-2</v>
      </c>
      <c r="H27572" s="26">
        <v>6.6E-3</v>
      </c>
      <c r="I27572" s="26">
        <v>5.1999999999999998E-3</v>
      </c>
      <c r="J27572" s="26">
        <v>6.4000000000000003E-3</v>
      </c>
      <c r="K27572">
        <v>703</v>
      </c>
    </row>
    <row r="27573" spans="1:11" x14ac:dyDescent="0.35">
      <c r="A27573" t="s">
        <v>229</v>
      </c>
      <c r="B27573" t="s">
        <v>239</v>
      </c>
      <c r="C27573" s="26">
        <v>0.876</v>
      </c>
      <c r="D27573" s="26">
        <v>5.16E-2</v>
      </c>
      <c r="E27573" s="26">
        <v>2.3E-2</v>
      </c>
      <c r="F27573" s="26">
        <v>2.5999999999999999E-2</v>
      </c>
      <c r="G27573" s="26">
        <v>2.3800000000000002E-2</v>
      </c>
      <c r="H27573" s="26">
        <v>2.07E-2</v>
      </c>
      <c r="J27573" s="26">
        <v>2.5999999999999999E-3</v>
      </c>
      <c r="K27573">
        <v>332</v>
      </c>
    </row>
    <row r="27574" spans="1:11" x14ac:dyDescent="0.35">
      <c r="A27574" t="s">
        <v>229</v>
      </c>
      <c r="B27574" t="s">
        <v>238</v>
      </c>
      <c r="C27574" s="26">
        <v>0.8599</v>
      </c>
      <c r="D27574" s="26">
        <v>7.9600000000000004E-2</v>
      </c>
      <c r="E27574" s="26">
        <v>3.6999999999999998E-2</v>
      </c>
      <c r="F27574" s="26">
        <v>4.1500000000000002E-2</v>
      </c>
      <c r="G27574" s="26">
        <v>1.1299999999999999E-2</v>
      </c>
      <c r="H27574" s="26">
        <v>8.3000000000000001E-3</v>
      </c>
      <c r="J27574" s="26">
        <v>4.0000000000000002E-4</v>
      </c>
      <c r="K27574">
        <v>563</v>
      </c>
    </row>
    <row r="27575" spans="1:11" x14ac:dyDescent="0.35">
      <c r="A27575" t="s">
        <v>230</v>
      </c>
      <c r="B27575" t="s">
        <v>239</v>
      </c>
      <c r="C27575" s="26">
        <v>0.85070000000000001</v>
      </c>
      <c r="D27575" s="26">
        <v>7.9200000000000007E-2</v>
      </c>
      <c r="E27575" s="26">
        <v>2.3800000000000002E-2</v>
      </c>
      <c r="F27575" s="26">
        <v>1.0699999999999999E-2</v>
      </c>
      <c r="G27575" s="26">
        <v>2.86E-2</v>
      </c>
      <c r="H27575" s="26">
        <v>8.9999999999999993E-3</v>
      </c>
      <c r="I27575" s="26">
        <v>3.8E-3</v>
      </c>
      <c r="J27575" s="26">
        <v>3.0000000000000001E-3</v>
      </c>
      <c r="K27575">
        <v>211</v>
      </c>
    </row>
    <row r="27576" spans="1:11" x14ac:dyDescent="0.35">
      <c r="A27576" t="s">
        <v>230</v>
      </c>
      <c r="B27576" t="s">
        <v>238</v>
      </c>
      <c r="C27576" s="26">
        <v>0.83960000000000001</v>
      </c>
      <c r="D27576" s="26">
        <v>5.74E-2</v>
      </c>
      <c r="E27576" s="26">
        <v>4.9299999999999997E-2</v>
      </c>
      <c r="F27576" s="26">
        <v>3.1E-2</v>
      </c>
      <c r="G27576" s="26">
        <v>2.98E-2</v>
      </c>
      <c r="H27576" s="26">
        <v>1.0200000000000001E-2</v>
      </c>
      <c r="I27576" s="26">
        <v>1.6999999999999999E-3</v>
      </c>
      <c r="J27576" s="26">
        <v>1.2999999999999999E-3</v>
      </c>
      <c r="K27576">
        <v>348</v>
      </c>
    </row>
    <row r="27577" spans="1:11" x14ac:dyDescent="0.35">
      <c r="A27577" t="s">
        <v>231</v>
      </c>
      <c r="B27577" t="s">
        <v>239</v>
      </c>
      <c r="C27577" s="26">
        <v>0.9123</v>
      </c>
      <c r="D27577" s="26">
        <v>3.5099999999999999E-2</v>
      </c>
      <c r="E27577" s="26">
        <v>3.5099999999999999E-2</v>
      </c>
      <c r="F27577" s="26">
        <v>1.7500000000000002E-2</v>
      </c>
      <c r="I27577" s="26">
        <v>1.7500000000000002E-2</v>
      </c>
      <c r="K27577">
        <v>57</v>
      </c>
    </row>
    <row r="27578" spans="1:11" x14ac:dyDescent="0.35">
      <c r="A27578" t="s">
        <v>231</v>
      </c>
      <c r="B27578" t="s">
        <v>238</v>
      </c>
      <c r="C27578" s="26">
        <v>0.90649999999999997</v>
      </c>
      <c r="D27578" s="26">
        <v>2.8000000000000001E-2</v>
      </c>
      <c r="E27578" s="26">
        <v>1.8700000000000001E-2</v>
      </c>
      <c r="F27578" s="26">
        <v>2.8000000000000001E-2</v>
      </c>
      <c r="G27578" s="26">
        <v>1.8700000000000001E-2</v>
      </c>
      <c r="H27578" s="26">
        <v>1.8700000000000001E-2</v>
      </c>
      <c r="I27578" s="26">
        <v>9.2999999999999992E-3</v>
      </c>
      <c r="K27578">
        <v>107</v>
      </c>
    </row>
    <row r="27579" spans="1:11" x14ac:dyDescent="0.35">
      <c r="A27579" t="s">
        <v>232</v>
      </c>
      <c r="B27579" t="s">
        <v>232</v>
      </c>
      <c r="C27579" s="26">
        <v>0.87729999999999997</v>
      </c>
      <c r="D27579" s="26">
        <v>5.8099999999999999E-2</v>
      </c>
      <c r="E27579" s="26">
        <v>2.75E-2</v>
      </c>
      <c r="F27579" s="26">
        <v>2.7E-2</v>
      </c>
      <c r="G27579" s="26">
        <v>1.6799999999999999E-2</v>
      </c>
      <c r="H27579" s="26">
        <v>8.8000000000000005E-3</v>
      </c>
      <c r="I27579" s="26">
        <v>7.3000000000000001E-3</v>
      </c>
      <c r="J27579" s="26">
        <v>1.4E-3</v>
      </c>
      <c r="K27579">
        <v>2812</v>
      </c>
    </row>
    <row r="27581" spans="1:11" x14ac:dyDescent="0.35">
      <c r="A27581" s="1" t="s">
        <v>2498</v>
      </c>
    </row>
    <row r="27582" spans="1:11" x14ac:dyDescent="0.35">
      <c r="A27582" t="s">
        <v>219</v>
      </c>
      <c r="B27582" t="s">
        <v>305</v>
      </c>
      <c r="C27582" t="s">
        <v>550</v>
      </c>
      <c r="D27582" t="s">
        <v>2491</v>
      </c>
      <c r="E27582" t="s">
        <v>2492</v>
      </c>
      <c r="F27582" t="s">
        <v>2493</v>
      </c>
      <c r="G27582" t="s">
        <v>2494</v>
      </c>
      <c r="H27582" t="s">
        <v>281</v>
      </c>
      <c r="I27582" t="s">
        <v>2495</v>
      </c>
      <c r="J27582" t="s">
        <v>286</v>
      </c>
      <c r="K27582" t="s">
        <v>226</v>
      </c>
    </row>
    <row r="27583" spans="1:11" x14ac:dyDescent="0.35">
      <c r="A27583" t="s">
        <v>227</v>
      </c>
      <c r="B27583" t="s">
        <v>244</v>
      </c>
      <c r="C27583" s="26">
        <v>0.85419999999999996</v>
      </c>
      <c r="D27583" s="26">
        <v>7.2900000000000006E-2</v>
      </c>
      <c r="E27583" s="26">
        <v>2.0799999999999999E-2</v>
      </c>
      <c r="F27583" s="26">
        <v>3.1199999999999999E-2</v>
      </c>
      <c r="G27583" s="26">
        <v>2.0799999999999999E-2</v>
      </c>
      <c r="I27583" s="26">
        <v>2.0799999999999999E-2</v>
      </c>
      <c r="K27583">
        <v>96</v>
      </c>
    </row>
    <row r="27584" spans="1:11" x14ac:dyDescent="0.35">
      <c r="A27584" t="s">
        <v>227</v>
      </c>
      <c r="B27584" t="s">
        <v>245</v>
      </c>
      <c r="C27584" s="26">
        <v>0.88680000000000003</v>
      </c>
      <c r="D27584" s="26">
        <v>7.5499999999999998E-2</v>
      </c>
      <c r="E27584" s="26">
        <v>1.89E-2</v>
      </c>
      <c r="G27584" s="26">
        <v>1.89E-2</v>
      </c>
      <c r="I27584" s="26">
        <v>1.89E-2</v>
      </c>
      <c r="K27584">
        <v>53</v>
      </c>
    </row>
    <row r="27585" spans="1:11" x14ac:dyDescent="0.35">
      <c r="A27585" s="27" t="s">
        <v>227</v>
      </c>
      <c r="B27585" s="27" t="s">
        <v>246</v>
      </c>
      <c r="C27585" s="28">
        <v>0.83330000000000004</v>
      </c>
      <c r="D27585" s="28">
        <v>8.3299999999999999E-2</v>
      </c>
      <c r="E27585" s="28">
        <v>8.3299999999999999E-2</v>
      </c>
      <c r="F27585" s="29"/>
      <c r="G27585" s="29"/>
      <c r="H27585" s="29"/>
      <c r="I27585" s="29"/>
      <c r="J27585" s="29"/>
      <c r="K27585" s="29" t="s">
        <v>342</v>
      </c>
    </row>
    <row r="27586" spans="1:11" x14ac:dyDescent="0.35">
      <c r="A27586" t="s">
        <v>228</v>
      </c>
      <c r="B27586" t="s">
        <v>244</v>
      </c>
      <c r="C27586" s="26">
        <v>0.87839999999999996</v>
      </c>
      <c r="D27586" s="26">
        <v>5.7099999999999998E-2</v>
      </c>
      <c r="E27586" s="26">
        <v>2.2200000000000001E-2</v>
      </c>
      <c r="F27586" s="26">
        <v>2.4899999999999999E-2</v>
      </c>
      <c r="G27586" s="26">
        <v>0.02</v>
      </c>
      <c r="H27586" s="26">
        <v>3.7000000000000002E-3</v>
      </c>
      <c r="I27586" s="26">
        <v>8.9999999999999998E-4</v>
      </c>
      <c r="J27586" s="26">
        <v>7.4000000000000003E-3</v>
      </c>
      <c r="K27586">
        <v>638</v>
      </c>
    </row>
    <row r="27587" spans="1:11" x14ac:dyDescent="0.35">
      <c r="A27587" t="s">
        <v>228</v>
      </c>
      <c r="B27587" t="s">
        <v>245</v>
      </c>
      <c r="C27587" s="26">
        <v>0.87090000000000001</v>
      </c>
      <c r="D27587" s="26">
        <v>7.1300000000000002E-2</v>
      </c>
      <c r="E27587" s="26">
        <v>1.17E-2</v>
      </c>
      <c r="F27587" s="26">
        <v>2.1100000000000001E-2</v>
      </c>
      <c r="G27587" s="26">
        <v>2.24E-2</v>
      </c>
      <c r="H27587" s="26">
        <v>1.4800000000000001E-2</v>
      </c>
      <c r="I27587" s="26">
        <v>1.49E-2</v>
      </c>
      <c r="J27587" s="26">
        <v>8.9999999999999998E-4</v>
      </c>
      <c r="K27587">
        <v>328</v>
      </c>
    </row>
    <row r="27588" spans="1:11" x14ac:dyDescent="0.35">
      <c r="A27588" t="s">
        <v>228</v>
      </c>
      <c r="B27588" t="s">
        <v>246</v>
      </c>
      <c r="C27588" s="26">
        <v>0.93669999999999998</v>
      </c>
      <c r="D27588" s="26">
        <v>4.9299999999999997E-2</v>
      </c>
      <c r="E27588" s="26">
        <v>8.0000000000000002E-3</v>
      </c>
      <c r="F27588" s="26">
        <v>1.1299999999999999E-2</v>
      </c>
      <c r="K27588">
        <v>67</v>
      </c>
    </row>
    <row r="27589" spans="1:11" x14ac:dyDescent="0.35">
      <c r="A27589" t="s">
        <v>229</v>
      </c>
      <c r="B27589" t="s">
        <v>244</v>
      </c>
      <c r="C27589" s="26">
        <v>0.85089999999999999</v>
      </c>
      <c r="D27589" s="26">
        <v>8.5099999999999995E-2</v>
      </c>
      <c r="E27589" s="26">
        <v>3.49E-2</v>
      </c>
      <c r="F27589" s="26">
        <v>4.9700000000000001E-2</v>
      </c>
      <c r="G27589" s="26">
        <v>1.04E-2</v>
      </c>
      <c r="H27589" s="26">
        <v>1.17E-2</v>
      </c>
      <c r="J27589" s="26">
        <v>1.4E-3</v>
      </c>
      <c r="K27589">
        <v>557</v>
      </c>
    </row>
    <row r="27590" spans="1:11" x14ac:dyDescent="0.35">
      <c r="A27590" t="s">
        <v>229</v>
      </c>
      <c r="B27590" t="s">
        <v>245</v>
      </c>
      <c r="C27590" s="26">
        <v>0.89810000000000001</v>
      </c>
      <c r="D27590" s="26">
        <v>5.0700000000000002E-2</v>
      </c>
      <c r="E27590" s="26">
        <v>2.6100000000000002E-2</v>
      </c>
      <c r="F27590" s="26">
        <v>1E-3</v>
      </c>
      <c r="G27590" s="26">
        <v>1.4200000000000001E-2</v>
      </c>
      <c r="H27590" s="26">
        <v>1.32E-2</v>
      </c>
      <c r="K27590">
        <v>293</v>
      </c>
    </row>
    <row r="27591" spans="1:11" x14ac:dyDescent="0.35">
      <c r="A27591" t="s">
        <v>229</v>
      </c>
      <c r="B27591" t="s">
        <v>246</v>
      </c>
      <c r="C27591" s="26">
        <v>0.87270000000000003</v>
      </c>
      <c r="D27591" s="26">
        <v>1.2500000000000001E-2</v>
      </c>
      <c r="E27591" s="26">
        <v>4.8899999999999999E-2</v>
      </c>
      <c r="F27591" s="26">
        <v>5.33E-2</v>
      </c>
      <c r="G27591" s="26">
        <v>6.9000000000000006E-2</v>
      </c>
      <c r="K27591">
        <v>45</v>
      </c>
    </row>
    <row r="27592" spans="1:11" x14ac:dyDescent="0.35">
      <c r="A27592" t="s">
        <v>230</v>
      </c>
      <c r="B27592" t="s">
        <v>244</v>
      </c>
      <c r="C27592" s="26">
        <v>0.83579999999999999</v>
      </c>
      <c r="D27592" s="26">
        <v>5.5899999999999998E-2</v>
      </c>
      <c r="E27592" s="26">
        <v>4.6399999999999997E-2</v>
      </c>
      <c r="F27592" s="26">
        <v>3.5499999999999997E-2</v>
      </c>
      <c r="G27592" s="26">
        <v>3.1800000000000002E-2</v>
      </c>
      <c r="H27592" s="26">
        <v>1.17E-2</v>
      </c>
      <c r="I27592" s="26">
        <v>3.3999999999999998E-3</v>
      </c>
      <c r="J27592" s="26">
        <v>2.5999999999999999E-3</v>
      </c>
      <c r="K27592">
        <v>370</v>
      </c>
    </row>
    <row r="27593" spans="1:11" x14ac:dyDescent="0.35">
      <c r="A27593" t="s">
        <v>230</v>
      </c>
      <c r="B27593" t="s">
        <v>245</v>
      </c>
      <c r="C27593" s="26">
        <v>0.86819999999999997</v>
      </c>
      <c r="D27593" s="26">
        <v>6.88E-2</v>
      </c>
      <c r="E27593" s="26">
        <v>2.9700000000000001E-2</v>
      </c>
      <c r="F27593" s="26">
        <v>1.1000000000000001E-3</v>
      </c>
      <c r="G27593" s="26">
        <v>2.53E-2</v>
      </c>
      <c r="H27593" s="26">
        <v>6.8999999999999999E-3</v>
      </c>
      <c r="K27593">
        <v>160</v>
      </c>
    </row>
    <row r="27594" spans="1:11" x14ac:dyDescent="0.35">
      <c r="A27594" s="27" t="s">
        <v>230</v>
      </c>
      <c r="B27594" s="27" t="s">
        <v>246</v>
      </c>
      <c r="C27594" s="28">
        <v>0.81020000000000003</v>
      </c>
      <c r="D27594" s="28">
        <v>0.15329999999999999</v>
      </c>
      <c r="E27594" s="28">
        <v>3.6499999999999998E-2</v>
      </c>
      <c r="F27594" s="29"/>
      <c r="G27594" s="28">
        <v>1.83E-2</v>
      </c>
      <c r="H27594" s="29"/>
      <c r="I27594" s="29"/>
      <c r="J27594" s="29"/>
      <c r="K27594" s="29" t="s">
        <v>329</v>
      </c>
    </row>
    <row r="27595" spans="1:11" x14ac:dyDescent="0.35">
      <c r="A27595" t="s">
        <v>231</v>
      </c>
      <c r="B27595" t="s">
        <v>244</v>
      </c>
      <c r="C27595" s="26">
        <v>0.87370000000000003</v>
      </c>
      <c r="D27595" s="26">
        <v>5.2600000000000001E-2</v>
      </c>
      <c r="E27595" s="26">
        <v>4.2099999999999999E-2</v>
      </c>
      <c r="F27595" s="26">
        <v>4.2099999999999999E-2</v>
      </c>
      <c r="G27595" s="26">
        <v>1.0500000000000001E-2</v>
      </c>
      <c r="H27595" s="26">
        <v>1.0500000000000001E-2</v>
      </c>
      <c r="I27595" s="26">
        <v>1.0500000000000001E-2</v>
      </c>
      <c r="K27595">
        <v>95</v>
      </c>
    </row>
    <row r="27596" spans="1:11" x14ac:dyDescent="0.35">
      <c r="A27596" t="s">
        <v>231</v>
      </c>
      <c r="B27596" t="s">
        <v>245</v>
      </c>
      <c r="C27596" s="26">
        <v>0.94640000000000002</v>
      </c>
      <c r="G27596" s="26">
        <v>1.7899999999999999E-2</v>
      </c>
      <c r="H27596" s="26">
        <v>1.7899999999999999E-2</v>
      </c>
      <c r="I27596" s="26">
        <v>1.7899999999999999E-2</v>
      </c>
      <c r="K27596">
        <v>56</v>
      </c>
    </row>
    <row r="27597" spans="1:11" x14ac:dyDescent="0.35">
      <c r="A27597" s="27" t="s">
        <v>231</v>
      </c>
      <c r="B27597" s="27" t="s">
        <v>246</v>
      </c>
      <c r="C27597" s="28">
        <v>1</v>
      </c>
      <c r="D27597" s="29"/>
      <c r="E27597" s="29"/>
      <c r="F27597" s="29"/>
      <c r="G27597" s="29"/>
      <c r="H27597" s="29"/>
      <c r="I27597" s="29"/>
      <c r="J27597" s="29"/>
      <c r="K27597" s="29" t="s">
        <v>341</v>
      </c>
    </row>
    <row r="27598" spans="1:11" x14ac:dyDescent="0.35">
      <c r="A27598" t="s">
        <v>232</v>
      </c>
      <c r="B27598" t="s">
        <v>232</v>
      </c>
      <c r="C27598" s="26">
        <v>0.87729999999999997</v>
      </c>
      <c r="D27598" s="26">
        <v>5.8099999999999999E-2</v>
      </c>
      <c r="E27598" s="26">
        <v>2.75E-2</v>
      </c>
      <c r="F27598" s="26">
        <v>2.7E-2</v>
      </c>
      <c r="G27598" s="26">
        <v>1.6799999999999999E-2</v>
      </c>
      <c r="H27598" s="26">
        <v>8.8000000000000005E-3</v>
      </c>
      <c r="I27598" s="26">
        <v>7.3000000000000001E-3</v>
      </c>
      <c r="J27598" s="26">
        <v>1.4E-3</v>
      </c>
      <c r="K27598">
        <v>2812</v>
      </c>
    </row>
    <row r="27600" spans="1:11" x14ac:dyDescent="0.35">
      <c r="A27600" s="1" t="s">
        <v>2499</v>
      </c>
    </row>
    <row r="27601" spans="1:11" x14ac:dyDescent="0.35">
      <c r="A27601" t="s">
        <v>219</v>
      </c>
      <c r="B27601" t="s">
        <v>305</v>
      </c>
      <c r="C27601" t="s">
        <v>550</v>
      </c>
      <c r="D27601" t="s">
        <v>2491</v>
      </c>
      <c r="E27601" t="s">
        <v>2492</v>
      </c>
      <c r="F27601" t="s">
        <v>2493</v>
      </c>
      <c r="G27601" t="s">
        <v>2494</v>
      </c>
      <c r="H27601" t="s">
        <v>281</v>
      </c>
      <c r="I27601" t="s">
        <v>2495</v>
      </c>
      <c r="J27601" t="s">
        <v>286</v>
      </c>
      <c r="K27601" t="s">
        <v>226</v>
      </c>
    </row>
    <row r="27602" spans="1:11" x14ac:dyDescent="0.35">
      <c r="A27602" t="s">
        <v>227</v>
      </c>
      <c r="B27602" t="s">
        <v>360</v>
      </c>
      <c r="C27602" s="26">
        <v>0.79490000000000005</v>
      </c>
      <c r="D27602" s="26">
        <v>7.6899999999999996E-2</v>
      </c>
      <c r="E27602" s="26">
        <v>7.6899999999999996E-2</v>
      </c>
      <c r="F27602" s="26">
        <v>5.1299999999999998E-2</v>
      </c>
      <c r="I27602" s="26">
        <v>5.1299999999999998E-2</v>
      </c>
      <c r="K27602">
        <v>39</v>
      </c>
    </row>
    <row r="27603" spans="1:11" x14ac:dyDescent="0.35">
      <c r="A27603" t="s">
        <v>227</v>
      </c>
      <c r="B27603" t="s">
        <v>361</v>
      </c>
      <c r="C27603" s="26">
        <v>0.90620000000000001</v>
      </c>
      <c r="D27603" s="26">
        <v>6.25E-2</v>
      </c>
      <c r="E27603" s="26">
        <v>3.1199999999999999E-2</v>
      </c>
      <c r="K27603">
        <v>32</v>
      </c>
    </row>
    <row r="27604" spans="1:11" x14ac:dyDescent="0.35">
      <c r="A27604" t="s">
        <v>227</v>
      </c>
      <c r="B27604" t="s">
        <v>362</v>
      </c>
      <c r="C27604" s="26">
        <v>0.83779999999999999</v>
      </c>
      <c r="D27604" s="26">
        <v>8.1100000000000005E-2</v>
      </c>
      <c r="F27604" s="26">
        <v>2.7E-2</v>
      </c>
      <c r="G27604" s="26">
        <v>8.1100000000000005E-2</v>
      </c>
      <c r="K27604">
        <v>37</v>
      </c>
    </row>
    <row r="27605" spans="1:11" x14ac:dyDescent="0.35">
      <c r="A27605" t="s">
        <v>227</v>
      </c>
      <c r="B27605" t="s">
        <v>363</v>
      </c>
      <c r="C27605" s="26">
        <v>0.88890000000000002</v>
      </c>
      <c r="D27605" s="26">
        <v>8.8900000000000007E-2</v>
      </c>
      <c r="I27605" s="26">
        <v>2.2200000000000001E-2</v>
      </c>
      <c r="K27605">
        <v>45</v>
      </c>
    </row>
    <row r="27606" spans="1:11" x14ac:dyDescent="0.35">
      <c r="A27606" t="s">
        <v>228</v>
      </c>
      <c r="B27606" t="s">
        <v>360</v>
      </c>
      <c r="C27606" s="26">
        <v>0.875</v>
      </c>
      <c r="D27606" s="26">
        <v>7.4999999999999997E-2</v>
      </c>
      <c r="E27606" s="26">
        <v>2.0199999999999999E-2</v>
      </c>
      <c r="F27606" s="26">
        <v>1.09E-2</v>
      </c>
      <c r="G27606" s="26">
        <v>3.85E-2</v>
      </c>
      <c r="H27606" s="26">
        <v>8.2000000000000007E-3</v>
      </c>
      <c r="I27606" s="26">
        <v>1.6799999999999999E-2</v>
      </c>
      <c r="K27606">
        <v>258</v>
      </c>
    </row>
    <row r="27607" spans="1:11" x14ac:dyDescent="0.35">
      <c r="A27607" t="s">
        <v>228</v>
      </c>
      <c r="B27607" t="s">
        <v>361</v>
      </c>
      <c r="C27607" s="26">
        <v>0.90359999999999996</v>
      </c>
      <c r="D27607" s="26">
        <v>4.3499999999999997E-2</v>
      </c>
      <c r="E27607" s="26">
        <v>5.4999999999999997E-3</v>
      </c>
      <c r="F27607" s="26">
        <v>2.8199999999999999E-2</v>
      </c>
      <c r="G27607" s="26">
        <v>1.14E-2</v>
      </c>
      <c r="H27607" s="26">
        <v>1.23E-2</v>
      </c>
      <c r="I27607" s="26">
        <v>3.3999999999999998E-3</v>
      </c>
      <c r="K27607">
        <v>194</v>
      </c>
    </row>
    <row r="27608" spans="1:11" x14ac:dyDescent="0.35">
      <c r="A27608" t="s">
        <v>228</v>
      </c>
      <c r="B27608" t="s">
        <v>363</v>
      </c>
      <c r="C27608" s="26">
        <v>0.89629999999999999</v>
      </c>
      <c r="D27608" s="26">
        <v>3.9699999999999999E-2</v>
      </c>
      <c r="E27608" s="26">
        <v>2.5600000000000001E-2</v>
      </c>
      <c r="F27608" s="26">
        <v>3.1300000000000001E-2</v>
      </c>
      <c r="G27608" s="26">
        <v>6.3E-3</v>
      </c>
      <c r="I27608" s="26">
        <v>2.5000000000000001E-3</v>
      </c>
      <c r="J27608" s="26">
        <v>1.49E-2</v>
      </c>
      <c r="K27608">
        <v>212</v>
      </c>
    </row>
    <row r="27609" spans="1:11" x14ac:dyDescent="0.35">
      <c r="A27609" t="s">
        <v>228</v>
      </c>
      <c r="B27609" t="s">
        <v>362</v>
      </c>
      <c r="C27609" s="26">
        <v>0.86950000000000005</v>
      </c>
      <c r="D27609" s="26">
        <v>7.5499999999999998E-2</v>
      </c>
      <c r="E27609" s="26">
        <v>2.1399999999999999E-2</v>
      </c>
      <c r="F27609" s="26">
        <v>1.7999999999999999E-2</v>
      </c>
      <c r="G27609" s="26">
        <v>1.5100000000000001E-2</v>
      </c>
      <c r="H27609" s="26">
        <v>6.1000000000000004E-3</v>
      </c>
      <c r="J27609" s="26">
        <v>2.3999999999999998E-3</v>
      </c>
      <c r="K27609">
        <v>236</v>
      </c>
    </row>
    <row r="27610" spans="1:11" x14ac:dyDescent="0.35">
      <c r="A27610" t="s">
        <v>229</v>
      </c>
      <c r="B27610" t="s">
        <v>363</v>
      </c>
      <c r="C27610" s="26">
        <v>0.80210000000000004</v>
      </c>
      <c r="D27610" s="26">
        <v>6.9900000000000004E-2</v>
      </c>
      <c r="E27610" s="26">
        <v>9.7199999999999995E-2</v>
      </c>
      <c r="F27610" s="26">
        <v>4.8800000000000003E-2</v>
      </c>
      <c r="G27610" s="26">
        <v>1.6899999999999998E-2</v>
      </c>
      <c r="H27610" s="26">
        <v>3.1600000000000003E-2</v>
      </c>
      <c r="K27610">
        <v>191</v>
      </c>
    </row>
    <row r="27611" spans="1:11" x14ac:dyDescent="0.35">
      <c r="A27611" t="s">
        <v>229</v>
      </c>
      <c r="B27611" t="s">
        <v>360</v>
      </c>
      <c r="C27611" s="26">
        <v>0.89400000000000002</v>
      </c>
      <c r="D27611" s="26">
        <v>3.9399999999999998E-2</v>
      </c>
      <c r="E27611" s="26">
        <v>4.3E-3</v>
      </c>
      <c r="F27611" s="26">
        <v>3.8E-3</v>
      </c>
      <c r="G27611" s="26">
        <v>2.7699999999999999E-2</v>
      </c>
      <c r="H27611" s="26">
        <v>3.6700000000000003E-2</v>
      </c>
      <c r="J27611" s="26">
        <v>4.3E-3</v>
      </c>
      <c r="K27611">
        <v>164</v>
      </c>
    </row>
    <row r="27612" spans="1:11" x14ac:dyDescent="0.35">
      <c r="A27612" t="s">
        <v>229</v>
      </c>
      <c r="B27612" t="s">
        <v>361</v>
      </c>
      <c r="C27612" s="26">
        <v>0.86660000000000004</v>
      </c>
      <c r="D27612" s="26">
        <v>7.8E-2</v>
      </c>
      <c r="E27612" s="26">
        <v>2.3699999999999999E-2</v>
      </c>
      <c r="F27612" s="26">
        <v>3.8899999999999997E-2</v>
      </c>
      <c r="G27612" s="26">
        <v>1.7000000000000001E-2</v>
      </c>
      <c r="K27612">
        <v>243</v>
      </c>
    </row>
    <row r="27613" spans="1:11" x14ac:dyDescent="0.35">
      <c r="A27613" t="s">
        <v>229</v>
      </c>
      <c r="B27613" t="s">
        <v>362</v>
      </c>
      <c r="C27613" s="26">
        <v>0.92430000000000001</v>
      </c>
      <c r="D27613" s="26">
        <v>6.6299999999999998E-2</v>
      </c>
      <c r="E27613" s="26">
        <v>5.9999999999999995E-4</v>
      </c>
      <c r="F27613" s="26">
        <v>3.7199999999999997E-2</v>
      </c>
      <c r="G27613" s="26">
        <v>3.7000000000000002E-3</v>
      </c>
      <c r="K27613">
        <v>171</v>
      </c>
    </row>
    <row r="27614" spans="1:11" x14ac:dyDescent="0.35">
      <c r="A27614" t="s">
        <v>230</v>
      </c>
      <c r="B27614" t="s">
        <v>360</v>
      </c>
      <c r="C27614" s="26">
        <v>0.82850000000000001</v>
      </c>
      <c r="D27614" s="26">
        <v>2.64E-2</v>
      </c>
      <c r="E27614" s="26">
        <v>0.1003</v>
      </c>
      <c r="F27614" s="26">
        <v>3.95E-2</v>
      </c>
      <c r="G27614" s="26">
        <v>9.1000000000000004E-3</v>
      </c>
      <c r="H27614" s="26">
        <v>3.3599999999999998E-2</v>
      </c>
      <c r="I27614" s="26">
        <v>6.1999999999999998E-3</v>
      </c>
      <c r="J27614" s="26">
        <v>4.8999999999999998E-3</v>
      </c>
      <c r="K27614">
        <v>119</v>
      </c>
    </row>
    <row r="27615" spans="1:11" x14ac:dyDescent="0.35">
      <c r="A27615" t="s">
        <v>230</v>
      </c>
      <c r="B27615" t="s">
        <v>363</v>
      </c>
      <c r="C27615" s="26">
        <v>0.83919999999999995</v>
      </c>
      <c r="D27615" s="26">
        <v>8.8300000000000003E-2</v>
      </c>
      <c r="E27615" s="26">
        <v>5.0000000000000001E-3</v>
      </c>
      <c r="F27615" s="26">
        <v>1.37E-2</v>
      </c>
      <c r="G27615" s="26">
        <v>5.4899999999999997E-2</v>
      </c>
      <c r="H27615" s="26">
        <v>3.8E-3</v>
      </c>
      <c r="I27615" s="26">
        <v>3.8E-3</v>
      </c>
      <c r="K27615">
        <v>127</v>
      </c>
    </row>
    <row r="27616" spans="1:11" x14ac:dyDescent="0.35">
      <c r="A27616" t="s">
        <v>230</v>
      </c>
      <c r="B27616" t="s">
        <v>361</v>
      </c>
      <c r="C27616" s="26">
        <v>0.8448</v>
      </c>
      <c r="D27616" s="26">
        <v>5.1700000000000003E-2</v>
      </c>
      <c r="E27616" s="26">
        <v>5.6500000000000002E-2</v>
      </c>
      <c r="F27616" s="26">
        <v>4.5999999999999999E-2</v>
      </c>
      <c r="G27616" s="26">
        <v>2.23E-2</v>
      </c>
      <c r="K27616">
        <v>109</v>
      </c>
    </row>
    <row r="27617" spans="1:11" x14ac:dyDescent="0.35">
      <c r="A27617" t="s">
        <v>230</v>
      </c>
      <c r="B27617" t="s">
        <v>362</v>
      </c>
      <c r="C27617" s="26">
        <v>0.84350000000000003</v>
      </c>
      <c r="D27617" s="26">
        <v>9.98E-2</v>
      </c>
      <c r="E27617" s="26">
        <v>3.3E-3</v>
      </c>
      <c r="F27617" s="26">
        <v>6.7999999999999996E-3</v>
      </c>
      <c r="G27617" s="26">
        <v>3.6900000000000002E-2</v>
      </c>
      <c r="H27617" s="26">
        <v>1.0800000000000001E-2</v>
      </c>
      <c r="K27617">
        <v>148</v>
      </c>
    </row>
    <row r="27618" spans="1:11" x14ac:dyDescent="0.35">
      <c r="A27618" s="27" t="s">
        <v>231</v>
      </c>
      <c r="B27618" s="27" t="s">
        <v>362</v>
      </c>
      <c r="C27618" s="28">
        <v>0.8276</v>
      </c>
      <c r="D27618" s="28">
        <v>6.9000000000000006E-2</v>
      </c>
      <c r="E27618" s="28">
        <v>3.4500000000000003E-2</v>
      </c>
      <c r="F27618" s="28">
        <v>6.9000000000000006E-2</v>
      </c>
      <c r="G27618" s="28">
        <v>3.4500000000000003E-2</v>
      </c>
      <c r="H27618" s="29"/>
      <c r="I27618" s="29"/>
      <c r="J27618" s="29"/>
      <c r="K27618" s="29" t="s">
        <v>329</v>
      </c>
    </row>
    <row r="27619" spans="1:11" x14ac:dyDescent="0.35">
      <c r="A27619" t="s">
        <v>231</v>
      </c>
      <c r="B27619" t="s">
        <v>361</v>
      </c>
      <c r="C27619" s="26">
        <v>0.94</v>
      </c>
      <c r="D27619" s="26">
        <v>0.02</v>
      </c>
      <c r="F27619" s="26">
        <v>0.04</v>
      </c>
      <c r="I27619" s="26">
        <v>0.02</v>
      </c>
      <c r="K27619">
        <v>50</v>
      </c>
    </row>
    <row r="27620" spans="1:11" x14ac:dyDescent="0.35">
      <c r="A27620" t="s">
        <v>231</v>
      </c>
      <c r="B27620" t="s">
        <v>360</v>
      </c>
      <c r="C27620" s="26">
        <v>0.93179999999999996</v>
      </c>
      <c r="D27620" s="26">
        <v>2.2700000000000001E-2</v>
      </c>
      <c r="E27620" s="26">
        <v>2.2700000000000001E-2</v>
      </c>
      <c r="H27620" s="26">
        <v>4.5499999999999999E-2</v>
      </c>
      <c r="K27620">
        <v>44</v>
      </c>
    </row>
    <row r="27621" spans="1:11" x14ac:dyDescent="0.35">
      <c r="A27621" s="27" t="s">
        <v>231</v>
      </c>
      <c r="B27621" s="27" t="s">
        <v>363</v>
      </c>
      <c r="C27621" s="28">
        <v>0.88890000000000002</v>
      </c>
      <c r="D27621" s="28">
        <v>3.6999999999999998E-2</v>
      </c>
      <c r="E27621" s="28">
        <v>7.4099999999999999E-2</v>
      </c>
      <c r="F27621" s="29"/>
      <c r="G27621" s="28">
        <v>3.6999999999999998E-2</v>
      </c>
      <c r="H27621" s="29"/>
      <c r="I27621" s="29"/>
      <c r="J27621" s="29"/>
      <c r="K27621" s="29" t="s">
        <v>338</v>
      </c>
    </row>
    <row r="27622" spans="1:11" x14ac:dyDescent="0.35">
      <c r="A27622" t="s">
        <v>232</v>
      </c>
      <c r="B27622" t="s">
        <v>232</v>
      </c>
      <c r="C27622" s="26">
        <v>0.87729999999999997</v>
      </c>
      <c r="D27622" s="26">
        <v>5.8099999999999999E-2</v>
      </c>
      <c r="E27622" s="26">
        <v>2.75E-2</v>
      </c>
      <c r="F27622" s="26">
        <v>2.7E-2</v>
      </c>
      <c r="G27622" s="26">
        <v>1.6799999999999999E-2</v>
      </c>
      <c r="H27622" s="26">
        <v>8.8000000000000005E-3</v>
      </c>
      <c r="I27622" s="26">
        <v>7.3000000000000001E-3</v>
      </c>
      <c r="J27622" s="26">
        <v>1.4E-3</v>
      </c>
      <c r="K27622">
        <v>2475</v>
      </c>
    </row>
    <row r="27624" spans="1:11" x14ac:dyDescent="0.35">
      <c r="A27624" s="1" t="s">
        <v>2500</v>
      </c>
    </row>
    <row r="27625" spans="1:11" x14ac:dyDescent="0.35">
      <c r="A27625" t="s">
        <v>219</v>
      </c>
      <c r="B27625" t="s">
        <v>305</v>
      </c>
      <c r="C27625" t="s">
        <v>550</v>
      </c>
      <c r="D27625" t="s">
        <v>2491</v>
      </c>
      <c r="E27625" t="s">
        <v>2492</v>
      </c>
      <c r="F27625" t="s">
        <v>2493</v>
      </c>
      <c r="G27625" t="s">
        <v>2494</v>
      </c>
      <c r="H27625" t="s">
        <v>281</v>
      </c>
      <c r="I27625" t="s">
        <v>2495</v>
      </c>
      <c r="J27625" t="s">
        <v>286</v>
      </c>
      <c r="K27625" t="s">
        <v>226</v>
      </c>
    </row>
    <row r="27626" spans="1:11" x14ac:dyDescent="0.35">
      <c r="A27626" t="s">
        <v>227</v>
      </c>
      <c r="B27626" t="s">
        <v>267</v>
      </c>
      <c r="C27626" s="26">
        <v>0.77780000000000005</v>
      </c>
      <c r="D27626" s="26">
        <v>0.16669999999999999</v>
      </c>
      <c r="E27626" s="26">
        <v>2.7799999999999998E-2</v>
      </c>
      <c r="G27626" s="26">
        <v>2.7799999999999998E-2</v>
      </c>
      <c r="I27626" s="26">
        <v>5.5599999999999997E-2</v>
      </c>
      <c r="K27626">
        <v>36</v>
      </c>
    </row>
    <row r="27627" spans="1:11" x14ac:dyDescent="0.35">
      <c r="A27627" t="s">
        <v>227</v>
      </c>
      <c r="B27627" t="s">
        <v>266</v>
      </c>
      <c r="C27627" s="26">
        <v>0.9153</v>
      </c>
      <c r="D27627" s="26">
        <v>3.39E-2</v>
      </c>
      <c r="F27627" s="26">
        <v>3.39E-2</v>
      </c>
      <c r="G27627" s="26">
        <v>1.6899999999999998E-2</v>
      </c>
      <c r="K27627">
        <v>59</v>
      </c>
    </row>
    <row r="27628" spans="1:11" x14ac:dyDescent="0.35">
      <c r="A27628" t="s">
        <v>227</v>
      </c>
      <c r="B27628" t="s">
        <v>265</v>
      </c>
      <c r="C27628" s="26">
        <v>0.86360000000000003</v>
      </c>
      <c r="D27628" s="26">
        <v>6.0600000000000001E-2</v>
      </c>
      <c r="E27628" s="26">
        <v>4.5499999999999999E-2</v>
      </c>
      <c r="F27628" s="26">
        <v>1.52E-2</v>
      </c>
      <c r="G27628" s="26">
        <v>1.52E-2</v>
      </c>
      <c r="I27628" s="26">
        <v>1.52E-2</v>
      </c>
      <c r="K27628">
        <v>66</v>
      </c>
    </row>
    <row r="27629" spans="1:11" x14ac:dyDescent="0.35">
      <c r="A27629" t="s">
        <v>228</v>
      </c>
      <c r="B27629" t="s">
        <v>267</v>
      </c>
      <c r="C27629" s="26">
        <v>0.89139999999999997</v>
      </c>
      <c r="D27629" s="26">
        <v>2.5999999999999999E-2</v>
      </c>
      <c r="E27629" s="26">
        <v>2.3800000000000002E-2</v>
      </c>
      <c r="F27629" s="26">
        <v>4.6199999999999998E-2</v>
      </c>
      <c r="G27629" s="26">
        <v>3.2000000000000002E-3</v>
      </c>
      <c r="H27629" s="26">
        <v>1.83E-2</v>
      </c>
      <c r="J27629" s="26">
        <v>7.9000000000000008E-3</v>
      </c>
      <c r="K27629">
        <v>199</v>
      </c>
    </row>
    <row r="27630" spans="1:11" x14ac:dyDescent="0.35">
      <c r="A27630" t="s">
        <v>228</v>
      </c>
      <c r="B27630" t="s">
        <v>265</v>
      </c>
      <c r="C27630" s="26">
        <v>0.88619999999999999</v>
      </c>
      <c r="D27630" s="26">
        <v>5.0299999999999997E-2</v>
      </c>
      <c r="E27630" s="26">
        <v>2.1600000000000001E-2</v>
      </c>
      <c r="F27630" s="26">
        <v>1.89E-2</v>
      </c>
      <c r="G27630" s="26">
        <v>1.7999999999999999E-2</v>
      </c>
      <c r="H27630" s="26">
        <v>4.7999999999999996E-3</v>
      </c>
      <c r="I27630" s="26">
        <v>8.9999999999999998E-4</v>
      </c>
      <c r="J27630" s="26">
        <v>8.9999999999999993E-3</v>
      </c>
      <c r="K27630">
        <v>384</v>
      </c>
    </row>
    <row r="27631" spans="1:11" x14ac:dyDescent="0.35">
      <c r="A27631" s="27" t="s">
        <v>228</v>
      </c>
      <c r="B27631" s="27" t="s">
        <v>236</v>
      </c>
      <c r="C27631" s="28">
        <v>0.5</v>
      </c>
      <c r="D27631" s="28">
        <v>0.5</v>
      </c>
      <c r="E27631" s="29"/>
      <c r="F27631" s="29"/>
      <c r="G27631" s="29"/>
      <c r="H27631" s="29"/>
      <c r="I27631" s="29"/>
      <c r="J27631" s="29"/>
      <c r="K27631" s="29" t="s">
        <v>314</v>
      </c>
    </row>
    <row r="27632" spans="1:11" x14ac:dyDescent="0.35">
      <c r="A27632" t="s">
        <v>228</v>
      </c>
      <c r="B27632" t="s">
        <v>266</v>
      </c>
      <c r="C27632" s="26">
        <v>0.87590000000000001</v>
      </c>
      <c r="D27632" s="26">
        <v>7.7899999999999997E-2</v>
      </c>
      <c r="E27632" s="26">
        <v>1.2999999999999999E-2</v>
      </c>
      <c r="F27632" s="26">
        <v>1.77E-2</v>
      </c>
      <c r="G27632" s="26">
        <v>2.76E-2</v>
      </c>
      <c r="H27632" s="26">
        <v>3.5000000000000001E-3</v>
      </c>
      <c r="I27632" s="26">
        <v>1.0699999999999999E-2</v>
      </c>
      <c r="K27632">
        <v>448</v>
      </c>
    </row>
    <row r="27633" spans="1:11" x14ac:dyDescent="0.35">
      <c r="A27633" t="s">
        <v>229</v>
      </c>
      <c r="B27633" t="s">
        <v>266</v>
      </c>
      <c r="C27633" s="26">
        <v>0.84560000000000002</v>
      </c>
      <c r="D27633" s="26">
        <v>5.0599999999999999E-2</v>
      </c>
      <c r="E27633" s="26">
        <v>4.5999999999999999E-2</v>
      </c>
      <c r="F27633" s="26">
        <v>4.7E-2</v>
      </c>
      <c r="G27633" s="26">
        <v>2.3199999999999998E-2</v>
      </c>
      <c r="H27633" s="26">
        <v>1.9599999999999999E-2</v>
      </c>
      <c r="K27633">
        <v>359</v>
      </c>
    </row>
    <row r="27634" spans="1:11" x14ac:dyDescent="0.35">
      <c r="A27634" t="s">
        <v>229</v>
      </c>
      <c r="B27634" t="s">
        <v>267</v>
      </c>
      <c r="C27634" s="26">
        <v>0.94020000000000004</v>
      </c>
      <c r="D27634" s="26">
        <v>4.2500000000000003E-2</v>
      </c>
      <c r="E27634" s="26">
        <v>3.0000000000000001E-3</v>
      </c>
      <c r="F27634" s="26">
        <v>3.0000000000000001E-3</v>
      </c>
      <c r="G27634" s="26">
        <v>1.35E-2</v>
      </c>
      <c r="H27634" s="26">
        <v>1.1299999999999999E-2</v>
      </c>
      <c r="K27634">
        <v>201</v>
      </c>
    </row>
    <row r="27635" spans="1:11" x14ac:dyDescent="0.35">
      <c r="A27635" t="s">
        <v>229</v>
      </c>
      <c r="B27635" t="s">
        <v>265</v>
      </c>
      <c r="C27635" s="26">
        <v>0.83989999999999998</v>
      </c>
      <c r="D27635" s="26">
        <v>0.1033</v>
      </c>
      <c r="E27635" s="26">
        <v>3.9199999999999999E-2</v>
      </c>
      <c r="F27635" s="26">
        <v>4.7600000000000003E-2</v>
      </c>
      <c r="G27635" s="26">
        <v>8.6E-3</v>
      </c>
      <c r="H27635" s="26">
        <v>5.5999999999999999E-3</v>
      </c>
      <c r="J27635" s="26">
        <v>2.2000000000000001E-3</v>
      </c>
      <c r="K27635">
        <v>335</v>
      </c>
    </row>
    <row r="27636" spans="1:11" x14ac:dyDescent="0.35">
      <c r="A27636" t="s">
        <v>230</v>
      </c>
      <c r="B27636" t="s">
        <v>267</v>
      </c>
      <c r="C27636" s="26">
        <v>0.82809999999999995</v>
      </c>
      <c r="D27636" s="26">
        <v>5.8200000000000002E-2</v>
      </c>
      <c r="E27636" s="26">
        <v>6.2300000000000001E-2</v>
      </c>
      <c r="F27636" s="26">
        <v>2.5700000000000001E-2</v>
      </c>
      <c r="G27636" s="26">
        <v>2.5700000000000001E-2</v>
      </c>
      <c r="K27636">
        <v>119</v>
      </c>
    </row>
    <row r="27637" spans="1:11" x14ac:dyDescent="0.35">
      <c r="A27637" t="s">
        <v>230</v>
      </c>
      <c r="B27637" t="s">
        <v>266</v>
      </c>
      <c r="C27637" s="26">
        <v>0.83309999999999995</v>
      </c>
      <c r="D27637" s="26">
        <v>6.1600000000000002E-2</v>
      </c>
      <c r="E27637" s="26">
        <v>4.19E-2</v>
      </c>
      <c r="F27637" s="26">
        <v>3.0300000000000001E-2</v>
      </c>
      <c r="G27637" s="26">
        <v>2.7099999999999999E-2</v>
      </c>
      <c r="H27637" s="26">
        <v>2.23E-2</v>
      </c>
      <c r="I27637" s="26">
        <v>5.7000000000000002E-3</v>
      </c>
      <c r="J27637" s="26">
        <v>2.5000000000000001E-3</v>
      </c>
      <c r="K27637">
        <v>231</v>
      </c>
    </row>
    <row r="27638" spans="1:11" x14ac:dyDescent="0.35">
      <c r="A27638" t="s">
        <v>230</v>
      </c>
      <c r="B27638" t="s">
        <v>265</v>
      </c>
      <c r="C27638" s="26">
        <v>0.85929999999999995</v>
      </c>
      <c r="D27638" s="26">
        <v>6.9000000000000006E-2</v>
      </c>
      <c r="E27638" s="26">
        <v>3.04E-2</v>
      </c>
      <c r="F27638" s="26">
        <v>1.9699999999999999E-2</v>
      </c>
      <c r="G27638" s="26">
        <v>3.3399999999999999E-2</v>
      </c>
      <c r="H27638" s="26">
        <v>4.3E-3</v>
      </c>
      <c r="I27638" s="26">
        <v>6.9999999999999999E-4</v>
      </c>
      <c r="J27638" s="26">
        <v>2.0999999999999999E-3</v>
      </c>
      <c r="K27638">
        <v>209</v>
      </c>
    </row>
    <row r="27639" spans="1:11" x14ac:dyDescent="0.35">
      <c r="A27639" t="s">
        <v>231</v>
      </c>
      <c r="B27639" t="s">
        <v>267</v>
      </c>
      <c r="C27639" s="26">
        <v>0.88239999999999996</v>
      </c>
      <c r="D27639" s="26">
        <v>2.9399999999999999E-2</v>
      </c>
      <c r="E27639" s="26">
        <v>5.8799999999999998E-2</v>
      </c>
      <c r="F27639" s="26">
        <v>2.9399999999999999E-2</v>
      </c>
      <c r="I27639" s="26">
        <v>2.9399999999999999E-2</v>
      </c>
      <c r="K27639">
        <v>34</v>
      </c>
    </row>
    <row r="27640" spans="1:11" x14ac:dyDescent="0.35">
      <c r="A27640" t="s">
        <v>231</v>
      </c>
      <c r="B27640" t="s">
        <v>266</v>
      </c>
      <c r="C27640" s="26">
        <v>0.9355</v>
      </c>
      <c r="D27640" s="26">
        <v>1.61E-2</v>
      </c>
      <c r="G27640" s="26">
        <v>1.61E-2</v>
      </c>
      <c r="H27640" s="26">
        <v>1.61E-2</v>
      </c>
      <c r="I27640" s="26">
        <v>1.61E-2</v>
      </c>
      <c r="K27640">
        <v>62</v>
      </c>
    </row>
    <row r="27641" spans="1:11" x14ac:dyDescent="0.35">
      <c r="A27641" t="s">
        <v>231</v>
      </c>
      <c r="B27641" t="s">
        <v>265</v>
      </c>
      <c r="C27641" s="26">
        <v>0.89710000000000001</v>
      </c>
      <c r="D27641" s="26">
        <v>4.41E-2</v>
      </c>
      <c r="E27641" s="26">
        <v>2.9399999999999999E-2</v>
      </c>
      <c r="F27641" s="26">
        <v>4.41E-2</v>
      </c>
      <c r="G27641" s="26">
        <v>1.47E-2</v>
      </c>
      <c r="H27641" s="26">
        <v>1.47E-2</v>
      </c>
      <c r="K27641">
        <v>68</v>
      </c>
    </row>
    <row r="27642" spans="1:11" x14ac:dyDescent="0.35">
      <c r="A27642" t="s">
        <v>232</v>
      </c>
      <c r="B27642" t="s">
        <v>232</v>
      </c>
      <c r="C27642" s="26">
        <v>0.87729999999999997</v>
      </c>
      <c r="D27642" s="26">
        <v>5.8099999999999999E-2</v>
      </c>
      <c r="E27642" s="26">
        <v>2.75E-2</v>
      </c>
      <c r="F27642" s="26">
        <v>2.7E-2</v>
      </c>
      <c r="G27642" s="26">
        <v>1.6799999999999999E-2</v>
      </c>
      <c r="H27642" s="26">
        <v>8.8000000000000005E-3</v>
      </c>
      <c r="I27642" s="26">
        <v>7.3000000000000001E-3</v>
      </c>
      <c r="J27642" s="26">
        <v>1.4E-3</v>
      </c>
      <c r="K27642">
        <v>2812</v>
      </c>
    </row>
    <row r="27644" spans="1:11" x14ac:dyDescent="0.35">
      <c r="A27644" s="1" t="s">
        <v>2501</v>
      </c>
    </row>
    <row r="27645" spans="1:11" x14ac:dyDescent="0.35">
      <c r="A27645" t="s">
        <v>219</v>
      </c>
      <c r="B27645" t="s">
        <v>305</v>
      </c>
      <c r="C27645" t="s">
        <v>550</v>
      </c>
      <c r="D27645" t="s">
        <v>2491</v>
      </c>
      <c r="E27645" t="s">
        <v>2492</v>
      </c>
      <c r="F27645" t="s">
        <v>2493</v>
      </c>
      <c r="G27645" t="s">
        <v>2494</v>
      </c>
      <c r="H27645" t="s">
        <v>281</v>
      </c>
      <c r="I27645" t="s">
        <v>2495</v>
      </c>
      <c r="J27645" t="s">
        <v>286</v>
      </c>
      <c r="K27645" t="s">
        <v>226</v>
      </c>
    </row>
    <row r="27646" spans="1:11" x14ac:dyDescent="0.35">
      <c r="A27646" t="s">
        <v>227</v>
      </c>
      <c r="B27646" t="s">
        <v>252</v>
      </c>
      <c r="C27646" s="26">
        <v>0.88890000000000002</v>
      </c>
      <c r="D27646" s="26">
        <v>6.6699999999999995E-2</v>
      </c>
      <c r="G27646" s="26">
        <v>4.4400000000000002E-2</v>
      </c>
      <c r="K27646">
        <v>45</v>
      </c>
    </row>
    <row r="27647" spans="1:11" x14ac:dyDescent="0.35">
      <c r="A27647" t="s">
        <v>227</v>
      </c>
      <c r="B27647" t="s">
        <v>253</v>
      </c>
      <c r="C27647" s="26">
        <v>0.88239999999999996</v>
      </c>
      <c r="D27647" s="26">
        <v>5.8799999999999998E-2</v>
      </c>
      <c r="F27647" s="26">
        <v>5.8799999999999998E-2</v>
      </c>
      <c r="G27647" s="26">
        <v>2.9399999999999999E-2</v>
      </c>
      <c r="K27647">
        <v>34</v>
      </c>
    </row>
    <row r="27648" spans="1:11" x14ac:dyDescent="0.35">
      <c r="A27648" t="s">
        <v>227</v>
      </c>
      <c r="B27648" t="s">
        <v>251</v>
      </c>
      <c r="C27648" s="26">
        <v>0.84150000000000003</v>
      </c>
      <c r="D27648" s="26">
        <v>8.5400000000000004E-2</v>
      </c>
      <c r="E27648" s="26">
        <v>4.8800000000000003E-2</v>
      </c>
      <c r="F27648" s="26">
        <v>1.2200000000000001E-2</v>
      </c>
      <c r="I27648" s="26">
        <v>3.6600000000000001E-2</v>
      </c>
      <c r="K27648">
        <v>82</v>
      </c>
    </row>
    <row r="27649" spans="1:11" x14ac:dyDescent="0.35">
      <c r="A27649" t="s">
        <v>228</v>
      </c>
      <c r="B27649" t="s">
        <v>252</v>
      </c>
      <c r="C27649" s="26">
        <v>0.88519999999999999</v>
      </c>
      <c r="D27649" s="26">
        <v>7.1999999999999995E-2</v>
      </c>
      <c r="E27649" s="26">
        <v>3.3999999999999998E-3</v>
      </c>
      <c r="F27649" s="26">
        <v>2E-3</v>
      </c>
      <c r="G27649" s="26">
        <v>2.8899999999999999E-2</v>
      </c>
      <c r="H27649" s="26">
        <v>6.4000000000000003E-3</v>
      </c>
      <c r="I27649" s="26">
        <v>1.04E-2</v>
      </c>
      <c r="J27649" s="26">
        <v>1.24E-2</v>
      </c>
      <c r="K27649">
        <v>344</v>
      </c>
    </row>
    <row r="27650" spans="1:11" x14ac:dyDescent="0.35">
      <c r="A27650" t="s">
        <v>228</v>
      </c>
      <c r="B27650" t="s">
        <v>253</v>
      </c>
      <c r="C27650" s="26">
        <v>0.89839999999999998</v>
      </c>
      <c r="D27650" s="26">
        <v>6.8599999999999994E-2</v>
      </c>
      <c r="E27650" s="26">
        <v>1.84E-2</v>
      </c>
      <c r="F27650" s="26">
        <v>2.7099999999999999E-2</v>
      </c>
      <c r="G27650" s="26">
        <v>1.1999999999999999E-3</v>
      </c>
      <c r="H27650" s="26">
        <v>2E-3</v>
      </c>
      <c r="I27650" s="26">
        <v>1.1999999999999999E-3</v>
      </c>
      <c r="K27650">
        <v>222</v>
      </c>
    </row>
    <row r="27651" spans="1:11" x14ac:dyDescent="0.35">
      <c r="A27651" t="s">
        <v>228</v>
      </c>
      <c r="B27651" t="s">
        <v>251</v>
      </c>
      <c r="C27651" s="26">
        <v>0.86919999999999997</v>
      </c>
      <c r="D27651" s="26">
        <v>4.9299999999999997E-2</v>
      </c>
      <c r="E27651" s="26">
        <v>2.8400000000000002E-2</v>
      </c>
      <c r="F27651" s="26">
        <v>3.5099999999999999E-2</v>
      </c>
      <c r="G27651" s="26">
        <v>2.06E-2</v>
      </c>
      <c r="H27651" s="26">
        <v>8.6E-3</v>
      </c>
      <c r="I27651" s="26">
        <v>2.5000000000000001E-3</v>
      </c>
      <c r="J27651" s="26">
        <v>2.3E-3</v>
      </c>
      <c r="K27651">
        <v>467</v>
      </c>
    </row>
    <row r="27652" spans="1:11" x14ac:dyDescent="0.35">
      <c r="A27652" t="s">
        <v>229</v>
      </c>
      <c r="B27652" t="s">
        <v>252</v>
      </c>
      <c r="C27652" s="26">
        <v>0.90329999999999999</v>
      </c>
      <c r="D27652" s="26">
        <v>3.6600000000000001E-2</v>
      </c>
      <c r="E27652" s="26">
        <v>2.24E-2</v>
      </c>
      <c r="F27652" s="26">
        <v>1.1599999999999999E-2</v>
      </c>
      <c r="G27652" s="26">
        <v>2.5399999999999999E-2</v>
      </c>
      <c r="H27652" s="26">
        <v>1.24E-2</v>
      </c>
      <c r="K27652">
        <v>199</v>
      </c>
    </row>
    <row r="27653" spans="1:11" x14ac:dyDescent="0.35">
      <c r="A27653" t="s">
        <v>229</v>
      </c>
      <c r="B27653" t="s">
        <v>253</v>
      </c>
      <c r="C27653" s="26">
        <v>0.89690000000000003</v>
      </c>
      <c r="D27653" s="26">
        <v>5.2900000000000003E-2</v>
      </c>
      <c r="F27653" s="26">
        <v>1.8499999999999999E-2</v>
      </c>
      <c r="G27653" s="26">
        <v>1.5900000000000001E-2</v>
      </c>
      <c r="H27653" s="26">
        <v>1.5900000000000001E-2</v>
      </c>
      <c r="J27653" s="26">
        <v>3.5000000000000001E-3</v>
      </c>
      <c r="K27653">
        <v>145</v>
      </c>
    </row>
    <row r="27654" spans="1:11" x14ac:dyDescent="0.35">
      <c r="A27654" t="s">
        <v>229</v>
      </c>
      <c r="B27654" t="s">
        <v>251</v>
      </c>
      <c r="C27654" s="26">
        <v>0.83850000000000002</v>
      </c>
      <c r="D27654" s="26">
        <v>9.2499999999999999E-2</v>
      </c>
      <c r="E27654" s="26">
        <v>4.8399999999999999E-2</v>
      </c>
      <c r="F27654" s="26">
        <v>5.3499999999999999E-2</v>
      </c>
      <c r="G27654" s="26">
        <v>9.7999999999999997E-3</v>
      </c>
      <c r="H27654" s="26">
        <v>9.7000000000000003E-3</v>
      </c>
      <c r="J27654" s="26">
        <v>5.9999999999999995E-4</v>
      </c>
      <c r="K27654">
        <v>551</v>
      </c>
    </row>
    <row r="27655" spans="1:11" x14ac:dyDescent="0.35">
      <c r="A27655" t="s">
        <v>230</v>
      </c>
      <c r="B27655" t="s">
        <v>252</v>
      </c>
      <c r="C27655" s="26">
        <v>0.78559999999999997</v>
      </c>
      <c r="D27655" s="26">
        <v>0.11650000000000001</v>
      </c>
      <c r="E27655" s="26">
        <v>8.0000000000000002E-3</v>
      </c>
      <c r="F27655" s="26">
        <v>8.0999999999999996E-3</v>
      </c>
      <c r="G27655" s="26">
        <v>5.3699999999999998E-2</v>
      </c>
      <c r="H27655" s="26">
        <v>2.4500000000000001E-2</v>
      </c>
      <c r="I27655" s="26">
        <v>3.5000000000000001E-3</v>
      </c>
      <c r="J27655" s="26">
        <v>7.0000000000000001E-3</v>
      </c>
      <c r="K27655">
        <v>158</v>
      </c>
    </row>
    <row r="27656" spans="1:11" x14ac:dyDescent="0.35">
      <c r="A27656" t="s">
        <v>230</v>
      </c>
      <c r="B27656" t="s">
        <v>253</v>
      </c>
      <c r="C27656" s="26">
        <v>0.91269999999999996</v>
      </c>
      <c r="D27656" s="26">
        <v>6.08E-2</v>
      </c>
      <c r="E27656" s="26">
        <v>7.6E-3</v>
      </c>
      <c r="F27656" s="26">
        <v>8.9999999999999993E-3</v>
      </c>
      <c r="G27656" s="26">
        <v>1.09E-2</v>
      </c>
      <c r="H27656" s="26">
        <v>4.7000000000000002E-3</v>
      </c>
      <c r="K27656">
        <v>110</v>
      </c>
    </row>
    <row r="27657" spans="1:11" x14ac:dyDescent="0.35">
      <c r="A27657" t="s">
        <v>230</v>
      </c>
      <c r="B27657" t="s">
        <v>251</v>
      </c>
      <c r="C27657" s="26">
        <v>0.84560000000000002</v>
      </c>
      <c r="D27657" s="26">
        <v>4.0899999999999999E-2</v>
      </c>
      <c r="E27657" s="26">
        <v>6.8599999999999994E-2</v>
      </c>
      <c r="F27657" s="26">
        <v>3.7999999999999999E-2</v>
      </c>
      <c r="G27657" s="26">
        <v>2.4500000000000001E-2</v>
      </c>
      <c r="H27657" s="26">
        <v>4.8999999999999998E-3</v>
      </c>
      <c r="I27657" s="26">
        <v>2.5999999999999999E-3</v>
      </c>
      <c r="K27657">
        <v>291</v>
      </c>
    </row>
    <row r="27658" spans="1:11" x14ac:dyDescent="0.35">
      <c r="A27658" t="s">
        <v>231</v>
      </c>
      <c r="B27658" t="s">
        <v>252</v>
      </c>
      <c r="C27658" s="26">
        <v>0.95920000000000005</v>
      </c>
      <c r="G27658" s="26">
        <v>2.0400000000000001E-2</v>
      </c>
      <c r="H27658" s="26">
        <v>2.0400000000000001E-2</v>
      </c>
      <c r="K27658">
        <v>49</v>
      </c>
    </row>
    <row r="27659" spans="1:11" x14ac:dyDescent="0.35">
      <c r="A27659" t="s">
        <v>231</v>
      </c>
      <c r="B27659" t="s">
        <v>253</v>
      </c>
      <c r="C27659" s="26">
        <v>0.86670000000000003</v>
      </c>
      <c r="D27659" s="26">
        <v>6.6699999999999995E-2</v>
      </c>
      <c r="E27659" s="26">
        <v>6.6699999999999995E-2</v>
      </c>
      <c r="F27659" s="26">
        <v>3.3300000000000003E-2</v>
      </c>
      <c r="G27659" s="26">
        <v>3.3300000000000003E-2</v>
      </c>
      <c r="K27659">
        <v>30</v>
      </c>
    </row>
    <row r="27660" spans="1:11" x14ac:dyDescent="0.35">
      <c r="A27660" t="s">
        <v>231</v>
      </c>
      <c r="B27660" t="s">
        <v>251</v>
      </c>
      <c r="C27660" s="26">
        <v>0.89410000000000001</v>
      </c>
      <c r="D27660" s="26">
        <v>3.5299999999999998E-2</v>
      </c>
      <c r="E27660" s="26">
        <v>2.35E-2</v>
      </c>
      <c r="F27660" s="26">
        <v>3.5299999999999998E-2</v>
      </c>
      <c r="H27660" s="26">
        <v>1.18E-2</v>
      </c>
      <c r="I27660" s="26">
        <v>2.35E-2</v>
      </c>
      <c r="K27660">
        <v>85</v>
      </c>
    </row>
    <row r="27661" spans="1:11" x14ac:dyDescent="0.35">
      <c r="A27661" t="s">
        <v>232</v>
      </c>
      <c r="B27661" t="s">
        <v>232</v>
      </c>
      <c r="C27661" s="26">
        <v>0.87729999999999997</v>
      </c>
      <c r="D27661" s="26">
        <v>5.8099999999999999E-2</v>
      </c>
      <c r="E27661" s="26">
        <v>2.75E-2</v>
      </c>
      <c r="F27661" s="26">
        <v>2.7E-2</v>
      </c>
      <c r="G27661" s="26">
        <v>1.6799999999999999E-2</v>
      </c>
      <c r="H27661" s="26">
        <v>8.8000000000000005E-3</v>
      </c>
      <c r="I27661" s="26">
        <v>7.3000000000000001E-3</v>
      </c>
      <c r="J27661" s="26">
        <v>1.4E-3</v>
      </c>
      <c r="K27661">
        <v>2812</v>
      </c>
    </row>
    <row r="27663" spans="1:11" x14ac:dyDescent="0.35">
      <c r="A27663" s="1" t="s">
        <v>2502</v>
      </c>
    </row>
    <row r="27664" spans="1:11" x14ac:dyDescent="0.35">
      <c r="A27664" t="s">
        <v>219</v>
      </c>
      <c r="B27664" t="s">
        <v>305</v>
      </c>
      <c r="C27664" t="s">
        <v>550</v>
      </c>
      <c r="D27664" t="s">
        <v>2491</v>
      </c>
      <c r="E27664" t="s">
        <v>2492</v>
      </c>
      <c r="F27664" t="s">
        <v>2493</v>
      </c>
      <c r="G27664" t="s">
        <v>2494</v>
      </c>
      <c r="H27664" t="s">
        <v>281</v>
      </c>
      <c r="I27664" t="s">
        <v>2495</v>
      </c>
      <c r="J27664" t="s">
        <v>286</v>
      </c>
      <c r="K27664" t="s">
        <v>226</v>
      </c>
    </row>
    <row r="27665" spans="1:11" x14ac:dyDescent="0.35">
      <c r="A27665" t="s">
        <v>227</v>
      </c>
      <c r="B27665" t="s">
        <v>249</v>
      </c>
      <c r="C27665" s="26">
        <v>0.81820000000000004</v>
      </c>
      <c r="D27665" s="26">
        <v>0.13639999999999999</v>
      </c>
      <c r="E27665" s="26">
        <v>2.2700000000000001E-2</v>
      </c>
      <c r="G27665" s="26">
        <v>2.2700000000000001E-2</v>
      </c>
      <c r="I27665" s="26">
        <v>2.2700000000000001E-2</v>
      </c>
      <c r="K27665">
        <v>44</v>
      </c>
    </row>
    <row r="27666" spans="1:11" x14ac:dyDescent="0.35">
      <c r="A27666" t="s">
        <v>227</v>
      </c>
      <c r="B27666" t="s">
        <v>248</v>
      </c>
      <c r="C27666" s="26">
        <v>0.88029999999999997</v>
      </c>
      <c r="D27666" s="26">
        <v>5.1299999999999998E-2</v>
      </c>
      <c r="E27666" s="26">
        <v>2.5600000000000001E-2</v>
      </c>
      <c r="F27666" s="26">
        <v>2.5600000000000001E-2</v>
      </c>
      <c r="G27666" s="26">
        <v>1.7100000000000001E-2</v>
      </c>
      <c r="I27666" s="26">
        <v>1.7100000000000001E-2</v>
      </c>
      <c r="K27666">
        <v>117</v>
      </c>
    </row>
    <row r="27667" spans="1:11" x14ac:dyDescent="0.35">
      <c r="A27667" t="s">
        <v>228</v>
      </c>
      <c r="B27667" t="s">
        <v>249</v>
      </c>
      <c r="C27667" s="26">
        <v>0.86060000000000003</v>
      </c>
      <c r="D27667" s="26">
        <v>5.8000000000000003E-2</v>
      </c>
      <c r="E27667" s="26">
        <v>3.5999999999999997E-2</v>
      </c>
      <c r="F27667" s="26">
        <v>3.4799999999999998E-2</v>
      </c>
      <c r="G27667" s="26">
        <v>2.52E-2</v>
      </c>
      <c r="H27667" s="26">
        <v>2.8E-3</v>
      </c>
      <c r="I27667" s="26">
        <v>1.1999999999999999E-3</v>
      </c>
      <c r="J27667" s="26">
        <v>1.8E-3</v>
      </c>
      <c r="K27667">
        <v>274</v>
      </c>
    </row>
    <row r="27668" spans="1:11" x14ac:dyDescent="0.35">
      <c r="A27668" t="s">
        <v>228</v>
      </c>
      <c r="B27668" t="s">
        <v>248</v>
      </c>
      <c r="C27668" s="26">
        <v>0.88870000000000005</v>
      </c>
      <c r="D27668" s="26">
        <v>6.1600000000000002E-2</v>
      </c>
      <c r="E27668" s="26">
        <v>1.0800000000000001E-2</v>
      </c>
      <c r="F27668" s="26">
        <v>1.78E-2</v>
      </c>
      <c r="G27668" s="26">
        <v>1.6799999999999999E-2</v>
      </c>
      <c r="H27668" s="26">
        <v>8.0999999999999996E-3</v>
      </c>
      <c r="I27668" s="26">
        <v>6.3E-3</v>
      </c>
      <c r="J27668" s="26">
        <v>6.4999999999999997E-3</v>
      </c>
      <c r="K27668">
        <v>759</v>
      </c>
    </row>
    <row r="27669" spans="1:11" x14ac:dyDescent="0.35">
      <c r="A27669" t="s">
        <v>229</v>
      </c>
      <c r="B27669" t="s">
        <v>249</v>
      </c>
      <c r="C27669" s="26">
        <v>0.85189999999999999</v>
      </c>
      <c r="D27669" s="26">
        <v>7.9399999999999998E-2</v>
      </c>
      <c r="E27669" s="26">
        <v>5.3800000000000001E-2</v>
      </c>
      <c r="F27669" s="26">
        <v>6.3899999999999998E-2</v>
      </c>
      <c r="G27669" s="26">
        <v>1.7500000000000002E-2</v>
      </c>
      <c r="K27669">
        <v>259</v>
      </c>
    </row>
    <row r="27670" spans="1:11" x14ac:dyDescent="0.35">
      <c r="A27670" t="s">
        <v>229</v>
      </c>
      <c r="B27670" t="s">
        <v>248</v>
      </c>
      <c r="C27670" s="26">
        <v>0.87</v>
      </c>
      <c r="D27670" s="26">
        <v>6.9099999999999995E-2</v>
      </c>
      <c r="E27670" s="26">
        <v>2.3400000000000001E-2</v>
      </c>
      <c r="F27670" s="26">
        <v>2.46E-2</v>
      </c>
      <c r="G27670" s="26">
        <v>1.2999999999999999E-2</v>
      </c>
      <c r="H27670" s="26">
        <v>1.7000000000000001E-2</v>
      </c>
      <c r="J27670" s="26">
        <v>1.5E-3</v>
      </c>
      <c r="K27670">
        <v>636</v>
      </c>
    </row>
    <row r="27671" spans="1:11" x14ac:dyDescent="0.35">
      <c r="A27671" t="s">
        <v>230</v>
      </c>
      <c r="B27671" t="s">
        <v>249</v>
      </c>
      <c r="C27671" s="26">
        <v>0.8538</v>
      </c>
      <c r="D27671" s="26">
        <v>3.4299999999999997E-2</v>
      </c>
      <c r="E27671" s="26">
        <v>7.7600000000000002E-2</v>
      </c>
      <c r="F27671" s="26">
        <v>4.3099999999999999E-2</v>
      </c>
      <c r="G27671" s="26">
        <v>2.7199999999999998E-2</v>
      </c>
      <c r="H27671" s="26">
        <v>2.7000000000000001E-3</v>
      </c>
      <c r="I27671" s="26">
        <v>4.1999999999999997E-3</v>
      </c>
      <c r="K27671">
        <v>171</v>
      </c>
    </row>
    <row r="27672" spans="1:11" x14ac:dyDescent="0.35">
      <c r="A27672" t="s">
        <v>230</v>
      </c>
      <c r="B27672" t="s">
        <v>248</v>
      </c>
      <c r="C27672" s="26">
        <v>0.83740000000000003</v>
      </c>
      <c r="D27672" s="26">
        <v>7.9100000000000004E-2</v>
      </c>
      <c r="E27672" s="26">
        <v>2.3199999999999998E-2</v>
      </c>
      <c r="F27672" s="26">
        <v>1.5599999999999999E-2</v>
      </c>
      <c r="G27672" s="26">
        <v>3.0599999999999999E-2</v>
      </c>
      <c r="H27672" s="26">
        <v>1.35E-2</v>
      </c>
      <c r="I27672" s="26">
        <v>1.2999999999999999E-3</v>
      </c>
      <c r="J27672" s="26">
        <v>2.7000000000000001E-3</v>
      </c>
      <c r="K27672">
        <v>388</v>
      </c>
    </row>
    <row r="27673" spans="1:11" x14ac:dyDescent="0.35">
      <c r="A27673" t="s">
        <v>231</v>
      </c>
      <c r="B27673" t="s">
        <v>249</v>
      </c>
      <c r="C27673" s="26">
        <v>0.9143</v>
      </c>
      <c r="F27673" s="26">
        <v>5.7099999999999998E-2</v>
      </c>
      <c r="H27673" s="26">
        <v>2.86E-2</v>
      </c>
      <c r="I27673" s="26">
        <v>2.86E-2</v>
      </c>
      <c r="K27673">
        <v>35</v>
      </c>
    </row>
    <row r="27674" spans="1:11" x14ac:dyDescent="0.35">
      <c r="A27674" t="s">
        <v>231</v>
      </c>
      <c r="B27674" t="s">
        <v>248</v>
      </c>
      <c r="C27674" s="26">
        <v>0.90700000000000003</v>
      </c>
      <c r="D27674" s="26">
        <v>3.8800000000000001E-2</v>
      </c>
      <c r="E27674" s="26">
        <v>3.1E-2</v>
      </c>
      <c r="F27674" s="26">
        <v>1.55E-2</v>
      </c>
      <c r="G27674" s="26">
        <v>1.55E-2</v>
      </c>
      <c r="H27674" s="26">
        <v>7.7999999999999996E-3</v>
      </c>
      <c r="I27674" s="26">
        <v>7.7999999999999996E-3</v>
      </c>
      <c r="K27674">
        <v>129</v>
      </c>
    </row>
    <row r="27675" spans="1:11" x14ac:dyDescent="0.35">
      <c r="A27675" t="s">
        <v>232</v>
      </c>
      <c r="B27675" t="s">
        <v>232</v>
      </c>
      <c r="C27675" s="26">
        <v>0.87729999999999997</v>
      </c>
      <c r="D27675" s="26">
        <v>5.8099999999999999E-2</v>
      </c>
      <c r="E27675" s="26">
        <v>2.75E-2</v>
      </c>
      <c r="F27675" s="26">
        <v>2.7E-2</v>
      </c>
      <c r="G27675" s="26">
        <v>1.6799999999999999E-2</v>
      </c>
      <c r="H27675" s="26">
        <v>8.8000000000000005E-3</v>
      </c>
      <c r="I27675" s="26">
        <v>7.3000000000000001E-3</v>
      </c>
      <c r="J27675" s="26">
        <v>1.4E-3</v>
      </c>
      <c r="K27675">
        <v>2812</v>
      </c>
    </row>
    <row r="27677" spans="1:11" x14ac:dyDescent="0.35">
      <c r="A27677" s="1" t="s">
        <v>2503</v>
      </c>
    </row>
    <row r="27678" spans="1:11" x14ac:dyDescent="0.35">
      <c r="A27678" t="s">
        <v>219</v>
      </c>
      <c r="B27678" t="s">
        <v>305</v>
      </c>
      <c r="C27678" t="s">
        <v>550</v>
      </c>
      <c r="D27678" t="s">
        <v>2491</v>
      </c>
      <c r="E27678" t="s">
        <v>2492</v>
      </c>
      <c r="F27678" t="s">
        <v>2493</v>
      </c>
      <c r="G27678" t="s">
        <v>2494</v>
      </c>
      <c r="H27678" t="s">
        <v>281</v>
      </c>
      <c r="I27678" t="s">
        <v>2495</v>
      </c>
      <c r="J27678" t="s">
        <v>286</v>
      </c>
      <c r="K27678" t="s">
        <v>226</v>
      </c>
    </row>
    <row r="27679" spans="1:11" x14ac:dyDescent="0.35">
      <c r="A27679" s="27" t="s">
        <v>227</v>
      </c>
      <c r="B27679" s="27" t="s">
        <v>263</v>
      </c>
      <c r="C27679" s="28">
        <v>1</v>
      </c>
      <c r="D27679" s="29"/>
      <c r="E27679" s="29"/>
      <c r="F27679" s="29"/>
      <c r="G27679" s="29"/>
      <c r="H27679" s="29"/>
      <c r="I27679" s="29"/>
      <c r="J27679" s="29"/>
      <c r="K27679" s="29" t="s">
        <v>315</v>
      </c>
    </row>
    <row r="27680" spans="1:11" x14ac:dyDescent="0.35">
      <c r="A27680" t="s">
        <v>227</v>
      </c>
      <c r="B27680" t="s">
        <v>261</v>
      </c>
      <c r="C27680" s="26">
        <v>0.69699999999999995</v>
      </c>
      <c r="D27680" s="26">
        <v>9.0899999999999995E-2</v>
      </c>
      <c r="E27680" s="26">
        <v>9.0899999999999995E-2</v>
      </c>
      <c r="F27680" s="26">
        <v>9.0899999999999995E-2</v>
      </c>
      <c r="G27680" s="26">
        <v>3.0300000000000001E-2</v>
      </c>
      <c r="I27680" s="26">
        <v>3.0300000000000001E-2</v>
      </c>
      <c r="K27680">
        <v>33</v>
      </c>
    </row>
    <row r="27681" spans="1:11" x14ac:dyDescent="0.35">
      <c r="A27681" s="27" t="s">
        <v>227</v>
      </c>
      <c r="B27681" s="27" t="s">
        <v>262</v>
      </c>
      <c r="C27681" s="28">
        <v>0.66669999999999996</v>
      </c>
      <c r="D27681" s="28">
        <v>0.33329999999999999</v>
      </c>
      <c r="E27681" s="29"/>
      <c r="F27681" s="29"/>
      <c r="G27681" s="29"/>
      <c r="H27681" s="29"/>
      <c r="I27681" s="29"/>
      <c r="J27681" s="29"/>
      <c r="K27681" s="29" t="s">
        <v>315</v>
      </c>
    </row>
    <row r="27682" spans="1:11" x14ac:dyDescent="0.35">
      <c r="A27682" t="s">
        <v>227</v>
      </c>
      <c r="B27682" t="s">
        <v>260</v>
      </c>
      <c r="C27682" s="26">
        <v>0.90980000000000005</v>
      </c>
      <c r="D27682" s="26">
        <v>6.5600000000000006E-2</v>
      </c>
      <c r="E27682" s="26">
        <v>8.2000000000000007E-3</v>
      </c>
      <c r="G27682" s="26">
        <v>1.6400000000000001E-2</v>
      </c>
      <c r="I27682" s="26">
        <v>1.6400000000000001E-2</v>
      </c>
      <c r="K27682">
        <v>122</v>
      </c>
    </row>
    <row r="27683" spans="1:11" x14ac:dyDescent="0.35">
      <c r="A27683" t="s">
        <v>228</v>
      </c>
      <c r="B27683" t="s">
        <v>261</v>
      </c>
      <c r="C27683" s="26">
        <v>0.86140000000000005</v>
      </c>
      <c r="D27683" s="26">
        <v>5.3600000000000002E-2</v>
      </c>
      <c r="E27683" s="26">
        <v>1.04E-2</v>
      </c>
      <c r="F27683" s="26">
        <v>2.9100000000000001E-2</v>
      </c>
      <c r="G27683" s="26">
        <v>3.5999999999999997E-2</v>
      </c>
      <c r="H27683" s="26">
        <v>1.1999999999999999E-3</v>
      </c>
      <c r="I27683" s="26">
        <v>6.1000000000000004E-3</v>
      </c>
      <c r="J27683" s="26">
        <v>1.83E-2</v>
      </c>
      <c r="K27683">
        <v>192</v>
      </c>
    </row>
    <row r="27684" spans="1:11" x14ac:dyDescent="0.35">
      <c r="A27684" s="27" t="s">
        <v>228</v>
      </c>
      <c r="B27684" s="27" t="s">
        <v>263</v>
      </c>
      <c r="C27684" s="28">
        <v>0.86180000000000001</v>
      </c>
      <c r="D27684" s="28">
        <v>3.5099999999999999E-2</v>
      </c>
      <c r="E27684" s="28">
        <v>2.93E-2</v>
      </c>
      <c r="F27684" s="29"/>
      <c r="G27684" s="28">
        <v>4.4499999999999998E-2</v>
      </c>
      <c r="H27684" s="28">
        <v>2.93E-2</v>
      </c>
      <c r="I27684" s="29"/>
      <c r="J27684" s="29"/>
      <c r="K27684" s="29" t="s">
        <v>312</v>
      </c>
    </row>
    <row r="27685" spans="1:11" x14ac:dyDescent="0.35">
      <c r="A27685" s="27" t="s">
        <v>228</v>
      </c>
      <c r="B27685" s="27" t="s">
        <v>236</v>
      </c>
      <c r="C27685" s="28">
        <v>0.76090000000000002</v>
      </c>
      <c r="D27685" s="28">
        <v>6.6500000000000004E-2</v>
      </c>
      <c r="E27685" s="28">
        <v>0.13370000000000001</v>
      </c>
      <c r="F27685" s="29"/>
      <c r="G27685" s="28">
        <v>0.17269999999999999</v>
      </c>
      <c r="H27685" s="29"/>
      <c r="I27685" s="29"/>
      <c r="J27685" s="29"/>
      <c r="K27685" s="29" t="s">
        <v>335</v>
      </c>
    </row>
    <row r="27686" spans="1:11" x14ac:dyDescent="0.35">
      <c r="A27686" t="s">
        <v>228</v>
      </c>
      <c r="B27686" t="s">
        <v>262</v>
      </c>
      <c r="C27686" s="26">
        <v>0.84050000000000002</v>
      </c>
      <c r="D27686" s="26">
        <v>7.8299999999999995E-2</v>
      </c>
      <c r="E27686" s="26">
        <v>2.9000000000000001E-2</v>
      </c>
      <c r="F27686" s="26">
        <v>3.2899999999999999E-2</v>
      </c>
      <c r="G27686" s="26">
        <v>1.8599999999999998E-2</v>
      </c>
      <c r="H27686" s="26">
        <v>7.0000000000000001E-3</v>
      </c>
      <c r="J27686" s="26">
        <v>5.7999999999999996E-3</v>
      </c>
      <c r="K27686">
        <v>201</v>
      </c>
    </row>
    <row r="27687" spans="1:11" x14ac:dyDescent="0.35">
      <c r="A27687" t="s">
        <v>228</v>
      </c>
      <c r="B27687" t="s">
        <v>260</v>
      </c>
      <c r="C27687" s="26">
        <v>0.89880000000000004</v>
      </c>
      <c r="D27687" s="26">
        <v>5.8599999999999999E-2</v>
      </c>
      <c r="E27687" s="26">
        <v>1.6500000000000001E-2</v>
      </c>
      <c r="F27687" s="26">
        <v>1.9099999999999999E-2</v>
      </c>
      <c r="G27687" s="26">
        <v>1.1900000000000001E-2</v>
      </c>
      <c r="H27687" s="26">
        <v>7.4999999999999997E-3</v>
      </c>
      <c r="I27687" s="26">
        <v>5.7999999999999996E-3</v>
      </c>
      <c r="J27687" s="26">
        <v>8.9999999999999998E-4</v>
      </c>
      <c r="K27687">
        <v>609</v>
      </c>
    </row>
    <row r="27688" spans="1:11" x14ac:dyDescent="0.35">
      <c r="A27688" s="27" t="s">
        <v>229</v>
      </c>
      <c r="B27688" s="27" t="s">
        <v>263</v>
      </c>
      <c r="C27688" s="28">
        <v>0.71419999999999995</v>
      </c>
      <c r="D27688" s="28">
        <v>0.15570000000000001</v>
      </c>
      <c r="E27688" s="29"/>
      <c r="F27688" s="29"/>
      <c r="G27688" s="29"/>
      <c r="H27688" s="28">
        <v>0.13009999999999999</v>
      </c>
      <c r="I27688" s="29"/>
      <c r="J27688" s="29"/>
      <c r="K27688" s="29" t="s">
        <v>379</v>
      </c>
    </row>
    <row r="27689" spans="1:11" x14ac:dyDescent="0.35">
      <c r="A27689" t="s">
        <v>229</v>
      </c>
      <c r="B27689" t="s">
        <v>262</v>
      </c>
      <c r="C27689" s="26">
        <v>0.83560000000000001</v>
      </c>
      <c r="D27689" s="26">
        <v>8.9800000000000005E-2</v>
      </c>
      <c r="E27689" s="26">
        <v>5.11E-2</v>
      </c>
      <c r="F27689" s="26">
        <v>4.5900000000000003E-2</v>
      </c>
      <c r="G27689" s="26">
        <v>2.4500000000000001E-2</v>
      </c>
      <c r="H27689" s="26">
        <v>8.9999999999999993E-3</v>
      </c>
      <c r="J27689" s="26">
        <v>1.1999999999999999E-3</v>
      </c>
      <c r="K27689">
        <v>188</v>
      </c>
    </row>
    <row r="27690" spans="1:11" x14ac:dyDescent="0.35">
      <c r="A27690" t="s">
        <v>229</v>
      </c>
      <c r="B27690" t="s">
        <v>261</v>
      </c>
      <c r="C27690" s="26">
        <v>0.80679999999999996</v>
      </c>
      <c r="D27690" s="26">
        <v>0.1118</v>
      </c>
      <c r="E27690" s="26">
        <v>7.8E-2</v>
      </c>
      <c r="F27690" s="26">
        <v>6.0600000000000001E-2</v>
      </c>
      <c r="G27690" s="26">
        <v>1.1000000000000001E-3</v>
      </c>
      <c r="H27690" s="26">
        <v>2.0199999999999999E-2</v>
      </c>
      <c r="K27690">
        <v>96</v>
      </c>
    </row>
    <row r="27691" spans="1:11" x14ac:dyDescent="0.35">
      <c r="A27691" s="27" t="s">
        <v>229</v>
      </c>
      <c r="B27691" s="27" t="s">
        <v>236</v>
      </c>
      <c r="C27691" s="28">
        <v>1</v>
      </c>
      <c r="D27691" s="29"/>
      <c r="E27691" s="29"/>
      <c r="F27691" s="29"/>
      <c r="G27691" s="29"/>
      <c r="H27691" s="29"/>
      <c r="I27691" s="29"/>
      <c r="J27691" s="29"/>
      <c r="K27691" s="29" t="s">
        <v>331</v>
      </c>
    </row>
    <row r="27692" spans="1:11" x14ac:dyDescent="0.35">
      <c r="A27692" t="s">
        <v>229</v>
      </c>
      <c r="B27692" t="s">
        <v>260</v>
      </c>
      <c r="C27692" s="26">
        <v>0.89890000000000003</v>
      </c>
      <c r="D27692" s="26">
        <v>5.04E-2</v>
      </c>
      <c r="E27692" s="26">
        <v>1.3599999999999999E-2</v>
      </c>
      <c r="F27692" s="26">
        <v>2.8400000000000002E-2</v>
      </c>
      <c r="G27692" s="26">
        <v>1.35E-2</v>
      </c>
      <c r="H27692" s="26">
        <v>6.1999999999999998E-3</v>
      </c>
      <c r="J27692" s="26">
        <v>1.1999999999999999E-3</v>
      </c>
      <c r="K27692">
        <v>596</v>
      </c>
    </row>
    <row r="27693" spans="1:11" x14ac:dyDescent="0.35">
      <c r="A27693" s="27" t="s">
        <v>230</v>
      </c>
      <c r="B27693" s="27" t="s">
        <v>236</v>
      </c>
      <c r="C27693" s="28">
        <v>0.87809999999999999</v>
      </c>
      <c r="D27693" s="29"/>
      <c r="E27693" s="29"/>
      <c r="F27693" s="29"/>
      <c r="G27693" s="29"/>
      <c r="H27693" s="28">
        <v>0.12189999999999999</v>
      </c>
      <c r="I27693" s="29"/>
      <c r="J27693" s="29"/>
      <c r="K27693" s="29" t="s">
        <v>337</v>
      </c>
    </row>
    <row r="27694" spans="1:11" x14ac:dyDescent="0.35">
      <c r="A27694" t="s">
        <v>230</v>
      </c>
      <c r="B27694" t="s">
        <v>262</v>
      </c>
      <c r="C27694" s="26">
        <v>0.83320000000000005</v>
      </c>
      <c r="D27694" s="26">
        <v>4.1000000000000002E-2</v>
      </c>
      <c r="E27694" s="26">
        <v>1.7299999999999999E-2</v>
      </c>
      <c r="F27694" s="26">
        <v>2.5000000000000001E-2</v>
      </c>
      <c r="G27694" s="26">
        <v>8.3099999999999993E-2</v>
      </c>
      <c r="H27694" s="26">
        <v>5.8999999999999999E-3</v>
      </c>
      <c r="I27694" s="26">
        <v>5.8999999999999999E-3</v>
      </c>
      <c r="K27694">
        <v>122</v>
      </c>
    </row>
    <row r="27695" spans="1:11" x14ac:dyDescent="0.35">
      <c r="A27695" t="s">
        <v>230</v>
      </c>
      <c r="B27695" t="s">
        <v>261</v>
      </c>
      <c r="C27695" s="26">
        <v>0.67510000000000003</v>
      </c>
      <c r="D27695" s="26">
        <v>4.0399999999999998E-2</v>
      </c>
      <c r="E27695" s="26">
        <v>0.13650000000000001</v>
      </c>
      <c r="F27695" s="26">
        <v>8.7400000000000005E-2</v>
      </c>
      <c r="G27695" s="26">
        <v>0.1009</v>
      </c>
      <c r="H27695" s="26">
        <v>6.7999999999999996E-3</v>
      </c>
      <c r="K27695">
        <v>57</v>
      </c>
    </row>
    <row r="27696" spans="1:11" x14ac:dyDescent="0.35">
      <c r="A27696" s="27" t="s">
        <v>230</v>
      </c>
      <c r="B27696" s="27" t="s">
        <v>263</v>
      </c>
      <c r="C27696" s="28">
        <v>0.53149999999999997</v>
      </c>
      <c r="D27696" s="28">
        <v>0.38059999999999999</v>
      </c>
      <c r="E27696" s="28">
        <v>7.1199999999999999E-2</v>
      </c>
      <c r="F27696" s="28">
        <v>1.6799999999999999E-2</v>
      </c>
      <c r="G27696" s="28">
        <v>1.6799999999999999E-2</v>
      </c>
      <c r="H27696" s="29"/>
      <c r="I27696" s="29"/>
      <c r="J27696" s="29"/>
      <c r="K27696" s="29" t="s">
        <v>312</v>
      </c>
    </row>
    <row r="27697" spans="1:11" x14ac:dyDescent="0.35">
      <c r="A27697" t="s">
        <v>230</v>
      </c>
      <c r="B27697" t="s">
        <v>260</v>
      </c>
      <c r="C27697" s="26">
        <v>0.88429999999999997</v>
      </c>
      <c r="D27697" s="26">
        <v>6.6699999999999995E-2</v>
      </c>
      <c r="E27697" s="26">
        <v>2.8299999999999999E-2</v>
      </c>
      <c r="F27697" s="26">
        <v>1.32E-2</v>
      </c>
      <c r="G27697" s="26">
        <v>4.7000000000000002E-3</v>
      </c>
      <c r="H27697" s="26">
        <v>1.03E-2</v>
      </c>
      <c r="I27697" s="26">
        <v>2.0999999999999999E-3</v>
      </c>
      <c r="J27697" s="26">
        <v>2.5999999999999999E-3</v>
      </c>
      <c r="K27697">
        <v>351</v>
      </c>
    </row>
    <row r="27698" spans="1:11" x14ac:dyDescent="0.35">
      <c r="A27698" s="27" t="s">
        <v>231</v>
      </c>
      <c r="B27698" s="27" t="s">
        <v>263</v>
      </c>
      <c r="C27698" s="28">
        <v>0.5</v>
      </c>
      <c r="D27698" s="29"/>
      <c r="E27698" s="29"/>
      <c r="F27698" s="28">
        <v>0.5</v>
      </c>
      <c r="G27698" s="29"/>
      <c r="H27698" s="29"/>
      <c r="I27698" s="29"/>
      <c r="J27698" s="29"/>
      <c r="K27698" s="29" t="s">
        <v>314</v>
      </c>
    </row>
    <row r="27699" spans="1:11" x14ac:dyDescent="0.35">
      <c r="A27699" t="s">
        <v>231</v>
      </c>
      <c r="B27699" t="s">
        <v>260</v>
      </c>
      <c r="C27699" s="26">
        <v>0.9194</v>
      </c>
      <c r="D27699" s="26">
        <v>3.2300000000000002E-2</v>
      </c>
      <c r="E27699" s="26">
        <v>1.61E-2</v>
      </c>
      <c r="F27699" s="26">
        <v>8.0999999999999996E-3</v>
      </c>
      <c r="G27699" s="26">
        <v>8.0999999999999996E-3</v>
      </c>
      <c r="H27699" s="26">
        <v>1.61E-2</v>
      </c>
      <c r="I27699" s="26">
        <v>1.61E-2</v>
      </c>
      <c r="K27699">
        <v>124</v>
      </c>
    </row>
    <row r="27700" spans="1:11" x14ac:dyDescent="0.35">
      <c r="A27700" s="27" t="s">
        <v>231</v>
      </c>
      <c r="B27700" s="27" t="s">
        <v>261</v>
      </c>
      <c r="C27700" s="28">
        <v>0.88890000000000002</v>
      </c>
      <c r="D27700" s="29"/>
      <c r="E27700" s="28">
        <v>7.4099999999999999E-2</v>
      </c>
      <c r="F27700" s="28">
        <v>3.6999999999999998E-2</v>
      </c>
      <c r="G27700" s="28">
        <v>3.6999999999999998E-2</v>
      </c>
      <c r="H27700" s="29"/>
      <c r="I27700" s="29"/>
      <c r="J27700" s="29"/>
      <c r="K27700" s="29" t="s">
        <v>338</v>
      </c>
    </row>
    <row r="27701" spans="1:11" x14ac:dyDescent="0.35">
      <c r="A27701" s="27" t="s">
        <v>231</v>
      </c>
      <c r="B27701" s="27" t="s">
        <v>262</v>
      </c>
      <c r="C27701" s="28">
        <v>0.90910000000000002</v>
      </c>
      <c r="D27701" s="28">
        <v>9.0899999999999995E-2</v>
      </c>
      <c r="E27701" s="29"/>
      <c r="F27701" s="28">
        <v>9.0899999999999995E-2</v>
      </c>
      <c r="G27701" s="29"/>
      <c r="H27701" s="29"/>
      <c r="I27701" s="29"/>
      <c r="J27701" s="29"/>
      <c r="K27701" s="29" t="s">
        <v>352</v>
      </c>
    </row>
    <row r="27702" spans="1:11" x14ac:dyDescent="0.35">
      <c r="A27702" t="s">
        <v>232</v>
      </c>
      <c r="B27702" t="s">
        <v>232</v>
      </c>
      <c r="C27702" s="26">
        <v>0.87729999999999997</v>
      </c>
      <c r="D27702" s="26">
        <v>5.8099999999999999E-2</v>
      </c>
      <c r="E27702" s="26">
        <v>2.75E-2</v>
      </c>
      <c r="F27702" s="26">
        <v>2.7E-2</v>
      </c>
      <c r="G27702" s="26">
        <v>1.6799999999999999E-2</v>
      </c>
      <c r="H27702" s="26">
        <v>8.8000000000000005E-3</v>
      </c>
      <c r="I27702" s="26">
        <v>7.3000000000000001E-3</v>
      </c>
      <c r="J27702" s="26">
        <v>1.4E-3</v>
      </c>
      <c r="K27702">
        <v>2812</v>
      </c>
    </row>
    <row r="27704" spans="1:11" x14ac:dyDescent="0.35">
      <c r="A27704" s="1" t="s">
        <v>2504</v>
      </c>
    </row>
    <row r="27705" spans="1:11" x14ac:dyDescent="0.35">
      <c r="A27705" t="s">
        <v>219</v>
      </c>
      <c r="B27705" t="s">
        <v>305</v>
      </c>
      <c r="C27705" t="s">
        <v>550</v>
      </c>
      <c r="D27705" t="s">
        <v>2491</v>
      </c>
      <c r="E27705" t="s">
        <v>2492</v>
      </c>
      <c r="F27705" t="s">
        <v>2493</v>
      </c>
      <c r="G27705" t="s">
        <v>2494</v>
      </c>
      <c r="H27705" t="s">
        <v>281</v>
      </c>
      <c r="I27705" t="s">
        <v>2495</v>
      </c>
      <c r="J27705" t="s">
        <v>286</v>
      </c>
      <c r="K27705" t="s">
        <v>226</v>
      </c>
    </row>
    <row r="27706" spans="1:11" x14ac:dyDescent="0.35">
      <c r="A27706" t="s">
        <v>227</v>
      </c>
      <c r="B27706" t="s">
        <v>368</v>
      </c>
      <c r="C27706" s="26">
        <v>0.69699999999999995</v>
      </c>
      <c r="D27706" s="26">
        <v>9.0899999999999995E-2</v>
      </c>
      <c r="E27706" s="26">
        <v>9.0899999999999995E-2</v>
      </c>
      <c r="F27706" s="26">
        <v>9.0899999999999995E-2</v>
      </c>
      <c r="G27706" s="26">
        <v>3.0300000000000001E-2</v>
      </c>
      <c r="I27706" s="26">
        <v>3.0300000000000001E-2</v>
      </c>
      <c r="K27706">
        <v>33</v>
      </c>
    </row>
    <row r="27707" spans="1:11" x14ac:dyDescent="0.35">
      <c r="A27707" t="s">
        <v>227</v>
      </c>
      <c r="B27707" t="s">
        <v>369</v>
      </c>
      <c r="C27707" s="26">
        <v>0.90620000000000001</v>
      </c>
      <c r="D27707" s="26">
        <v>7.0300000000000001E-2</v>
      </c>
      <c r="E27707" s="26">
        <v>7.7999999999999996E-3</v>
      </c>
      <c r="G27707" s="26">
        <v>1.5599999999999999E-2</v>
      </c>
      <c r="I27707" s="26">
        <v>1.5599999999999999E-2</v>
      </c>
      <c r="K27707">
        <v>128</v>
      </c>
    </row>
    <row r="27708" spans="1:11" x14ac:dyDescent="0.35">
      <c r="A27708" t="s">
        <v>228</v>
      </c>
      <c r="B27708" t="s">
        <v>368</v>
      </c>
      <c r="C27708" s="26">
        <v>0.86140000000000005</v>
      </c>
      <c r="D27708" s="26">
        <v>5.3600000000000002E-2</v>
      </c>
      <c r="E27708" s="26">
        <v>1.04E-2</v>
      </c>
      <c r="F27708" s="26">
        <v>2.9100000000000001E-2</v>
      </c>
      <c r="G27708" s="26">
        <v>3.5999999999999997E-2</v>
      </c>
      <c r="H27708" s="26">
        <v>1.1999999999999999E-3</v>
      </c>
      <c r="I27708" s="26">
        <v>6.1000000000000004E-3</v>
      </c>
      <c r="J27708" s="26">
        <v>1.83E-2</v>
      </c>
      <c r="K27708">
        <v>192</v>
      </c>
    </row>
    <row r="27709" spans="1:11" x14ac:dyDescent="0.35">
      <c r="A27709" t="s">
        <v>228</v>
      </c>
      <c r="B27709" t="s">
        <v>369</v>
      </c>
      <c r="C27709" s="26">
        <v>0.88490000000000002</v>
      </c>
      <c r="D27709" s="26">
        <v>6.2199999999999998E-2</v>
      </c>
      <c r="E27709" s="26">
        <v>2.0199999999999999E-2</v>
      </c>
      <c r="F27709" s="26">
        <v>2.1399999999999999E-2</v>
      </c>
      <c r="G27709" s="26">
        <v>1.5299999999999999E-2</v>
      </c>
      <c r="H27709" s="26">
        <v>7.7999999999999996E-3</v>
      </c>
      <c r="I27709" s="26">
        <v>4.4000000000000003E-3</v>
      </c>
      <c r="J27709" s="26">
        <v>1.9E-3</v>
      </c>
      <c r="K27709">
        <v>841</v>
      </c>
    </row>
    <row r="27710" spans="1:11" x14ac:dyDescent="0.35">
      <c r="A27710" t="s">
        <v>229</v>
      </c>
      <c r="B27710" t="s">
        <v>368</v>
      </c>
      <c r="C27710" s="26">
        <v>0.80679999999999996</v>
      </c>
      <c r="D27710" s="26">
        <v>0.1118</v>
      </c>
      <c r="E27710" s="26">
        <v>7.8E-2</v>
      </c>
      <c r="F27710" s="26">
        <v>6.0600000000000001E-2</v>
      </c>
      <c r="G27710" s="26">
        <v>1.1000000000000001E-3</v>
      </c>
      <c r="H27710" s="26">
        <v>2.0199999999999999E-2</v>
      </c>
      <c r="K27710">
        <v>96</v>
      </c>
    </row>
    <row r="27711" spans="1:11" x14ac:dyDescent="0.35">
      <c r="A27711" t="s">
        <v>229</v>
      </c>
      <c r="B27711" t="s">
        <v>369</v>
      </c>
      <c r="C27711" s="26">
        <v>0.874</v>
      </c>
      <c r="D27711" s="26">
        <v>6.5600000000000006E-2</v>
      </c>
      <c r="E27711" s="26">
        <v>2.5600000000000001E-2</v>
      </c>
      <c r="F27711" s="26">
        <v>3.3500000000000002E-2</v>
      </c>
      <c r="G27711" s="26">
        <v>1.6799999999999999E-2</v>
      </c>
      <c r="H27711" s="26">
        <v>9.9000000000000008E-3</v>
      </c>
      <c r="J27711" s="26">
        <v>1.1999999999999999E-3</v>
      </c>
      <c r="K27711">
        <v>799</v>
      </c>
    </row>
    <row r="27712" spans="1:11" x14ac:dyDescent="0.35">
      <c r="A27712" t="s">
        <v>230</v>
      </c>
      <c r="B27712" t="s">
        <v>368</v>
      </c>
      <c r="C27712" s="26">
        <v>0.67510000000000003</v>
      </c>
      <c r="D27712" s="26">
        <v>4.0399999999999998E-2</v>
      </c>
      <c r="E27712" s="26">
        <v>0.13650000000000001</v>
      </c>
      <c r="F27712" s="26">
        <v>8.7400000000000005E-2</v>
      </c>
      <c r="G27712" s="26">
        <v>0.1009</v>
      </c>
      <c r="H27712" s="26">
        <v>6.7999999999999996E-3</v>
      </c>
      <c r="K27712">
        <v>57</v>
      </c>
    </row>
    <row r="27713" spans="1:11" x14ac:dyDescent="0.35">
      <c r="A27713" t="s">
        <v>230</v>
      </c>
      <c r="B27713" t="s">
        <v>369</v>
      </c>
      <c r="C27713" s="26">
        <v>0.86880000000000002</v>
      </c>
      <c r="D27713" s="26">
        <v>6.7599999999999993E-2</v>
      </c>
      <c r="E27713" s="26">
        <v>2.7E-2</v>
      </c>
      <c r="F27713" s="26">
        <v>1.52E-2</v>
      </c>
      <c r="G27713" s="26">
        <v>1.8499999999999999E-2</v>
      </c>
      <c r="H27713" s="26">
        <v>1.03E-2</v>
      </c>
      <c r="I27713" s="26">
        <v>2.7000000000000001E-3</v>
      </c>
      <c r="J27713" s="26">
        <v>2.0999999999999999E-3</v>
      </c>
      <c r="K27713">
        <v>502</v>
      </c>
    </row>
    <row r="27714" spans="1:11" x14ac:dyDescent="0.35">
      <c r="A27714" s="27" t="s">
        <v>231</v>
      </c>
      <c r="B27714" s="27" t="s">
        <v>368</v>
      </c>
      <c r="C27714" s="28">
        <v>0.88890000000000002</v>
      </c>
      <c r="D27714" s="29"/>
      <c r="E27714" s="28">
        <v>7.4099999999999999E-2</v>
      </c>
      <c r="F27714" s="28">
        <v>3.6999999999999998E-2</v>
      </c>
      <c r="G27714" s="28">
        <v>3.6999999999999998E-2</v>
      </c>
      <c r="H27714" s="29"/>
      <c r="I27714" s="29"/>
      <c r="J27714" s="29"/>
      <c r="K27714" s="29" t="s">
        <v>338</v>
      </c>
    </row>
    <row r="27715" spans="1:11" x14ac:dyDescent="0.35">
      <c r="A27715" t="s">
        <v>231</v>
      </c>
      <c r="B27715" t="s">
        <v>369</v>
      </c>
      <c r="C27715" s="26">
        <v>0.91239999999999999</v>
      </c>
      <c r="D27715" s="26">
        <v>3.6499999999999998E-2</v>
      </c>
      <c r="E27715" s="26">
        <v>1.46E-2</v>
      </c>
      <c r="F27715" s="26">
        <v>2.1899999999999999E-2</v>
      </c>
      <c r="G27715" s="26">
        <v>7.3000000000000001E-3</v>
      </c>
      <c r="H27715" s="26">
        <v>1.46E-2</v>
      </c>
      <c r="I27715" s="26">
        <v>1.46E-2</v>
      </c>
      <c r="K27715">
        <v>137</v>
      </c>
    </row>
    <row r="27716" spans="1:11" x14ac:dyDescent="0.35">
      <c r="A27716" t="s">
        <v>232</v>
      </c>
      <c r="B27716" t="s">
        <v>232</v>
      </c>
      <c r="C27716" s="26">
        <v>0.87729999999999997</v>
      </c>
      <c r="D27716" s="26">
        <v>5.8099999999999999E-2</v>
      </c>
      <c r="E27716" s="26">
        <v>2.75E-2</v>
      </c>
      <c r="F27716" s="26">
        <v>2.7E-2</v>
      </c>
      <c r="G27716" s="26">
        <v>1.6799999999999999E-2</v>
      </c>
      <c r="H27716" s="26">
        <v>8.8000000000000005E-3</v>
      </c>
      <c r="I27716" s="26">
        <v>7.3000000000000001E-3</v>
      </c>
      <c r="J27716" s="26">
        <v>1.4E-3</v>
      </c>
      <c r="K27716">
        <v>2812</v>
      </c>
    </row>
    <row r="27718" spans="1:11" x14ac:dyDescent="0.35">
      <c r="A27718" s="1" t="s">
        <v>2505</v>
      </c>
    </row>
    <row r="27719" spans="1:11" x14ac:dyDescent="0.35">
      <c r="A27719" t="s">
        <v>219</v>
      </c>
      <c r="B27719" t="s">
        <v>305</v>
      </c>
      <c r="C27719" t="s">
        <v>550</v>
      </c>
      <c r="D27719" t="s">
        <v>2491</v>
      </c>
      <c r="E27719" t="s">
        <v>2492</v>
      </c>
      <c r="F27719" t="s">
        <v>2493</v>
      </c>
      <c r="G27719" t="s">
        <v>2494</v>
      </c>
      <c r="H27719" t="s">
        <v>281</v>
      </c>
      <c r="I27719" t="s">
        <v>2495</v>
      </c>
      <c r="J27719" t="s">
        <v>286</v>
      </c>
      <c r="K27719" t="s">
        <v>226</v>
      </c>
    </row>
    <row r="27720" spans="1:11" x14ac:dyDescent="0.35">
      <c r="A27720" t="s">
        <v>227</v>
      </c>
      <c r="B27720" t="s">
        <v>371</v>
      </c>
      <c r="C27720" s="26">
        <v>0.86339999999999995</v>
      </c>
      <c r="D27720" s="26">
        <v>7.4499999999999997E-2</v>
      </c>
      <c r="E27720" s="26">
        <v>2.4799999999999999E-2</v>
      </c>
      <c r="F27720" s="26">
        <v>1.8599999999999998E-2</v>
      </c>
      <c r="G27720" s="26">
        <v>1.8599999999999998E-2</v>
      </c>
      <c r="I27720" s="26">
        <v>1.8599999999999998E-2</v>
      </c>
      <c r="K27720">
        <v>161</v>
      </c>
    </row>
    <row r="27721" spans="1:11" x14ac:dyDescent="0.35">
      <c r="A27721" t="s">
        <v>228</v>
      </c>
      <c r="B27721" t="s">
        <v>371</v>
      </c>
      <c r="C27721" s="26">
        <v>0.91469999999999996</v>
      </c>
      <c r="D27721" s="26">
        <v>5.3999999999999999E-2</v>
      </c>
      <c r="E27721" s="26">
        <v>7.7000000000000002E-3</v>
      </c>
      <c r="F27721" s="26">
        <v>9.1000000000000004E-3</v>
      </c>
      <c r="G27721" s="26">
        <v>1.5100000000000001E-2</v>
      </c>
      <c r="H27721" s="26">
        <v>1.4E-3</v>
      </c>
      <c r="I27721" s="26">
        <v>7.0000000000000001E-3</v>
      </c>
      <c r="J27721" s="26">
        <v>6.4000000000000003E-3</v>
      </c>
      <c r="K27721">
        <v>292</v>
      </c>
    </row>
    <row r="27722" spans="1:11" x14ac:dyDescent="0.35">
      <c r="A27722" t="s">
        <v>228</v>
      </c>
      <c r="B27722" t="s">
        <v>372</v>
      </c>
      <c r="C27722" s="26">
        <v>0.79149999999999998</v>
      </c>
      <c r="D27722" s="26">
        <v>8.9099999999999999E-2</v>
      </c>
      <c r="E27722" s="26">
        <v>4.53E-2</v>
      </c>
      <c r="F27722" s="26">
        <v>4.7699999999999999E-2</v>
      </c>
      <c r="G27722" s="26">
        <v>1.4999999999999999E-2</v>
      </c>
      <c r="H27722" s="26">
        <v>2.2100000000000002E-2</v>
      </c>
      <c r="J27722" s="26">
        <v>1.1299999999999999E-2</v>
      </c>
      <c r="K27722">
        <v>218</v>
      </c>
    </row>
    <row r="27723" spans="1:11" x14ac:dyDescent="0.35">
      <c r="A27723" t="s">
        <v>228</v>
      </c>
      <c r="B27723" t="s">
        <v>373</v>
      </c>
      <c r="C27723" s="26">
        <v>0.8538</v>
      </c>
      <c r="D27723" s="26">
        <v>6.3E-2</v>
      </c>
      <c r="E27723" s="26">
        <v>2.6599999999999999E-2</v>
      </c>
      <c r="F27723" s="26">
        <v>3.5799999999999998E-2</v>
      </c>
      <c r="G27723" s="26">
        <v>2.58E-2</v>
      </c>
      <c r="H27723" s="26">
        <v>0.01</v>
      </c>
      <c r="I27723" s="26">
        <v>2.7000000000000001E-3</v>
      </c>
      <c r="J27723" s="26">
        <v>2E-3</v>
      </c>
      <c r="K27723">
        <v>523</v>
      </c>
    </row>
    <row r="27724" spans="1:11" x14ac:dyDescent="0.35">
      <c r="A27724" t="s">
        <v>229</v>
      </c>
      <c r="B27724" t="s">
        <v>371</v>
      </c>
      <c r="C27724" s="26">
        <v>0.86170000000000002</v>
      </c>
      <c r="D27724" s="26">
        <v>7.3800000000000004E-2</v>
      </c>
      <c r="E27724" s="26">
        <v>3.5200000000000002E-2</v>
      </c>
      <c r="F27724" s="26">
        <v>3.8800000000000001E-2</v>
      </c>
      <c r="G27724" s="26">
        <v>1.37E-2</v>
      </c>
      <c r="H27724" s="26">
        <v>1.21E-2</v>
      </c>
      <c r="J27724" s="26">
        <v>6.9999999999999999E-4</v>
      </c>
      <c r="K27724">
        <v>584</v>
      </c>
    </row>
    <row r="27725" spans="1:11" x14ac:dyDescent="0.35">
      <c r="A27725" t="s">
        <v>229</v>
      </c>
      <c r="B27725" t="s">
        <v>372</v>
      </c>
      <c r="C27725" s="26">
        <v>0.87939999999999996</v>
      </c>
      <c r="D27725" s="26">
        <v>5.74E-2</v>
      </c>
      <c r="E27725" s="26">
        <v>7.6E-3</v>
      </c>
      <c r="F27725" s="26">
        <v>3.0099999999999998E-2</v>
      </c>
      <c r="G27725" s="26">
        <v>3.5799999999999998E-2</v>
      </c>
      <c r="J27725" s="26">
        <v>6.6E-3</v>
      </c>
      <c r="K27725">
        <v>221</v>
      </c>
    </row>
    <row r="27726" spans="1:11" x14ac:dyDescent="0.35">
      <c r="A27726" t="s">
        <v>229</v>
      </c>
      <c r="B27726" t="s">
        <v>373</v>
      </c>
      <c r="C27726" s="26">
        <v>0.91579999999999995</v>
      </c>
      <c r="D27726" s="26">
        <v>5.5599999999999997E-2</v>
      </c>
      <c r="E27726" s="26">
        <v>1.8700000000000001E-2</v>
      </c>
      <c r="F27726" s="26">
        <v>6.3E-3</v>
      </c>
      <c r="H27726" s="26">
        <v>9.9000000000000008E-3</v>
      </c>
      <c r="K27726">
        <v>90</v>
      </c>
    </row>
    <row r="27727" spans="1:11" x14ac:dyDescent="0.35">
      <c r="A27727" t="s">
        <v>230</v>
      </c>
      <c r="B27727" t="s">
        <v>371</v>
      </c>
      <c r="C27727" s="26">
        <v>0.8468</v>
      </c>
      <c r="D27727" s="26">
        <v>6.5000000000000002E-2</v>
      </c>
      <c r="E27727" s="26">
        <v>3.9600000000000003E-2</v>
      </c>
      <c r="F27727" s="26">
        <v>2.1999999999999999E-2</v>
      </c>
      <c r="G27727" s="26">
        <v>2.98E-2</v>
      </c>
      <c r="H27727" s="26">
        <v>8.8000000000000005E-3</v>
      </c>
      <c r="J27727" s="26">
        <v>1.1000000000000001E-3</v>
      </c>
      <c r="K27727">
        <v>262</v>
      </c>
    </row>
    <row r="27728" spans="1:11" x14ac:dyDescent="0.35">
      <c r="A27728" t="s">
        <v>230</v>
      </c>
      <c r="B27728" t="s">
        <v>372</v>
      </c>
      <c r="C27728" s="26">
        <v>0.84540000000000004</v>
      </c>
      <c r="D27728" s="26">
        <v>6.7799999999999999E-2</v>
      </c>
      <c r="E27728" s="26">
        <v>3.8100000000000002E-2</v>
      </c>
      <c r="F27728" s="26">
        <v>5.8299999999999998E-2</v>
      </c>
      <c r="G27728" s="26">
        <v>3.9199999999999999E-2</v>
      </c>
      <c r="I27728" s="26">
        <v>9.4999999999999998E-3</v>
      </c>
      <c r="K27728">
        <v>145</v>
      </c>
    </row>
    <row r="27729" spans="1:11" x14ac:dyDescent="0.35">
      <c r="A27729" t="s">
        <v>230</v>
      </c>
      <c r="B27729" t="s">
        <v>373</v>
      </c>
      <c r="C27729" s="26">
        <v>0.81699999999999995</v>
      </c>
      <c r="D27729" s="26">
        <v>5.57E-2</v>
      </c>
      <c r="E27729" s="26">
        <v>5.57E-2</v>
      </c>
      <c r="F27729" s="26">
        <v>2.7799999999999998E-2</v>
      </c>
      <c r="G27729" s="26">
        <v>2.3E-2</v>
      </c>
      <c r="H27729" s="26">
        <v>2.0899999999999998E-2</v>
      </c>
      <c r="I27729" s="26">
        <v>1.3899999999999999E-2</v>
      </c>
      <c r="J27729" s="26">
        <v>7.0000000000000001E-3</v>
      </c>
      <c r="K27729">
        <v>152</v>
      </c>
    </row>
    <row r="27730" spans="1:11" x14ac:dyDescent="0.35">
      <c r="A27730" t="s">
        <v>231</v>
      </c>
      <c r="B27730" t="s">
        <v>371</v>
      </c>
      <c r="C27730" s="26">
        <v>0.90849999999999997</v>
      </c>
      <c r="D27730" s="26">
        <v>3.0499999999999999E-2</v>
      </c>
      <c r="E27730" s="26">
        <v>2.4400000000000002E-2</v>
      </c>
      <c r="F27730" s="26">
        <v>2.4400000000000002E-2</v>
      </c>
      <c r="G27730" s="26">
        <v>1.2200000000000001E-2</v>
      </c>
      <c r="H27730" s="26">
        <v>1.2200000000000001E-2</v>
      </c>
      <c r="I27730" s="26">
        <v>1.2200000000000001E-2</v>
      </c>
      <c r="K27730">
        <v>164</v>
      </c>
    </row>
    <row r="27731" spans="1:11" x14ac:dyDescent="0.35">
      <c r="A27731" t="s">
        <v>232</v>
      </c>
      <c r="B27731" t="s">
        <v>232</v>
      </c>
      <c r="C27731" s="26">
        <v>0.87729999999999997</v>
      </c>
      <c r="D27731" s="26">
        <v>5.8099999999999999E-2</v>
      </c>
      <c r="E27731" s="26">
        <v>2.75E-2</v>
      </c>
      <c r="F27731" s="26">
        <v>2.7E-2</v>
      </c>
      <c r="G27731" s="26">
        <v>1.6799999999999999E-2</v>
      </c>
      <c r="H27731" s="26">
        <v>8.8000000000000005E-3</v>
      </c>
      <c r="I27731" s="26">
        <v>7.3000000000000001E-3</v>
      </c>
      <c r="J27731" s="26">
        <v>1.4E-3</v>
      </c>
      <c r="K27731">
        <v>2812</v>
      </c>
    </row>
    <row r="27733" spans="1:11" x14ac:dyDescent="0.35">
      <c r="A27733" s="1" t="s">
        <v>2506</v>
      </c>
    </row>
    <row r="27734" spans="1:11" x14ac:dyDescent="0.35">
      <c r="A27734" t="s">
        <v>219</v>
      </c>
      <c r="B27734" t="s">
        <v>305</v>
      </c>
      <c r="C27734" t="s">
        <v>550</v>
      </c>
      <c r="D27734" t="s">
        <v>2491</v>
      </c>
      <c r="E27734" t="s">
        <v>2492</v>
      </c>
      <c r="F27734" t="s">
        <v>2493</v>
      </c>
      <c r="G27734" t="s">
        <v>2494</v>
      </c>
      <c r="H27734" t="s">
        <v>281</v>
      </c>
      <c r="I27734" t="s">
        <v>2495</v>
      </c>
      <c r="J27734" t="s">
        <v>286</v>
      </c>
      <c r="K27734" t="s">
        <v>226</v>
      </c>
    </row>
    <row r="27735" spans="1:11" x14ac:dyDescent="0.35">
      <c r="A27735" t="s">
        <v>227</v>
      </c>
      <c r="B27735" t="s">
        <v>255</v>
      </c>
      <c r="C27735" s="26">
        <v>0.88029999999999997</v>
      </c>
      <c r="D27735" s="26">
        <v>5.1299999999999998E-2</v>
      </c>
      <c r="E27735" s="26">
        <v>2.5600000000000001E-2</v>
      </c>
      <c r="F27735" s="26">
        <v>2.5600000000000001E-2</v>
      </c>
      <c r="G27735" s="26">
        <v>1.7100000000000001E-2</v>
      </c>
      <c r="I27735" s="26">
        <v>1.7100000000000001E-2</v>
      </c>
      <c r="K27735">
        <v>117</v>
      </c>
    </row>
    <row r="27736" spans="1:11" x14ac:dyDescent="0.35">
      <c r="A27736" s="27" t="s">
        <v>227</v>
      </c>
      <c r="B27736" s="27" t="s">
        <v>257</v>
      </c>
      <c r="C27736" s="28">
        <v>1</v>
      </c>
      <c r="D27736" s="29"/>
      <c r="E27736" s="29"/>
      <c r="F27736" s="29"/>
      <c r="G27736" s="29"/>
      <c r="H27736" s="29"/>
      <c r="I27736" s="29"/>
      <c r="J27736" s="29"/>
      <c r="K27736" s="29" t="s">
        <v>334</v>
      </c>
    </row>
    <row r="27737" spans="1:11" x14ac:dyDescent="0.35">
      <c r="A27737" t="s">
        <v>227</v>
      </c>
      <c r="B27737" t="s">
        <v>256</v>
      </c>
      <c r="C27737" s="26">
        <v>0.77139999999999997</v>
      </c>
      <c r="D27737" s="26">
        <v>0.1714</v>
      </c>
      <c r="E27737" s="26">
        <v>2.86E-2</v>
      </c>
      <c r="G27737" s="26">
        <v>2.86E-2</v>
      </c>
      <c r="I27737" s="26">
        <v>2.86E-2</v>
      </c>
      <c r="K27737">
        <v>35</v>
      </c>
    </row>
    <row r="27738" spans="1:11" x14ac:dyDescent="0.35">
      <c r="A27738" t="s">
        <v>228</v>
      </c>
      <c r="B27738" t="s">
        <v>257</v>
      </c>
      <c r="C27738" s="26">
        <v>0.71230000000000004</v>
      </c>
      <c r="D27738" s="26">
        <v>0.15290000000000001</v>
      </c>
      <c r="E27738" s="26">
        <v>6.4799999999999996E-2</v>
      </c>
      <c r="F27738" s="26">
        <v>6.1400000000000003E-2</v>
      </c>
      <c r="G27738" s="26">
        <v>5.0999999999999997E-2</v>
      </c>
      <c r="K27738">
        <v>49</v>
      </c>
    </row>
    <row r="27739" spans="1:11" x14ac:dyDescent="0.35">
      <c r="A27739" s="27" t="s">
        <v>228</v>
      </c>
      <c r="B27739" s="27" t="s">
        <v>258</v>
      </c>
      <c r="C27739" s="28">
        <v>0.90190000000000003</v>
      </c>
      <c r="D27739" s="29"/>
      <c r="E27739" s="29"/>
      <c r="F27739" s="29"/>
      <c r="G27739" s="29"/>
      <c r="H27739" s="29"/>
      <c r="I27739" s="29"/>
      <c r="J27739" s="28">
        <v>9.8100000000000007E-2</v>
      </c>
      <c r="K27739" s="29" t="s">
        <v>337</v>
      </c>
    </row>
    <row r="27740" spans="1:11" x14ac:dyDescent="0.35">
      <c r="A27740" t="s">
        <v>228</v>
      </c>
      <c r="B27740" t="s">
        <v>256</v>
      </c>
      <c r="C27740" s="26">
        <v>0.89170000000000005</v>
      </c>
      <c r="D27740" s="26">
        <v>3.8800000000000001E-2</v>
      </c>
      <c r="E27740" s="26">
        <v>3.0599999999999999E-2</v>
      </c>
      <c r="F27740" s="26">
        <v>2.9899999999999999E-2</v>
      </c>
      <c r="G27740" s="26">
        <v>2.0199999999999999E-2</v>
      </c>
      <c r="H27740" s="26">
        <v>3.3999999999999998E-3</v>
      </c>
      <c r="I27740" s="26">
        <v>1.5E-3</v>
      </c>
      <c r="K27740">
        <v>221</v>
      </c>
    </row>
    <row r="27741" spans="1:11" x14ac:dyDescent="0.35">
      <c r="A27741" t="s">
        <v>228</v>
      </c>
      <c r="B27741" t="s">
        <v>255</v>
      </c>
      <c r="C27741" s="26">
        <v>0.88870000000000005</v>
      </c>
      <c r="D27741" s="26">
        <v>6.1600000000000002E-2</v>
      </c>
      <c r="E27741" s="26">
        <v>1.0800000000000001E-2</v>
      </c>
      <c r="F27741" s="26">
        <v>1.78E-2</v>
      </c>
      <c r="G27741" s="26">
        <v>1.6799999999999999E-2</v>
      </c>
      <c r="H27741" s="26">
        <v>8.0999999999999996E-3</v>
      </c>
      <c r="I27741" s="26">
        <v>6.3E-3</v>
      </c>
      <c r="J27741" s="26">
        <v>6.4999999999999997E-3</v>
      </c>
      <c r="K27741">
        <v>759</v>
      </c>
    </row>
    <row r="27742" spans="1:11" x14ac:dyDescent="0.35">
      <c r="A27742" t="s">
        <v>229</v>
      </c>
      <c r="B27742" t="s">
        <v>256</v>
      </c>
      <c r="C27742" s="26">
        <v>0.86960000000000004</v>
      </c>
      <c r="D27742" s="26">
        <v>7.2300000000000003E-2</v>
      </c>
      <c r="E27742" s="26">
        <v>5.3499999999999999E-2</v>
      </c>
      <c r="F27742" s="26">
        <v>4.4400000000000002E-2</v>
      </c>
      <c r="G27742" s="26">
        <v>1.7399999999999999E-2</v>
      </c>
      <c r="K27742">
        <v>207</v>
      </c>
    </row>
    <row r="27743" spans="1:11" x14ac:dyDescent="0.35">
      <c r="A27743" t="s">
        <v>229</v>
      </c>
      <c r="B27743" t="s">
        <v>255</v>
      </c>
      <c r="C27743" s="26">
        <v>0.87</v>
      </c>
      <c r="D27743" s="26">
        <v>6.9099999999999995E-2</v>
      </c>
      <c r="E27743" s="26">
        <v>2.3400000000000001E-2</v>
      </c>
      <c r="F27743" s="26">
        <v>2.46E-2</v>
      </c>
      <c r="G27743" s="26">
        <v>1.2999999999999999E-2</v>
      </c>
      <c r="H27743" s="26">
        <v>1.7000000000000001E-2</v>
      </c>
      <c r="J27743" s="26">
        <v>1.5E-3</v>
      </c>
      <c r="K27743">
        <v>636</v>
      </c>
    </row>
    <row r="27744" spans="1:11" x14ac:dyDescent="0.35">
      <c r="A27744" t="s">
        <v>229</v>
      </c>
      <c r="B27744" t="s">
        <v>257</v>
      </c>
      <c r="C27744" s="26">
        <v>0.76300000000000001</v>
      </c>
      <c r="D27744" s="26">
        <v>0.11409999999999999</v>
      </c>
      <c r="E27744" s="26">
        <v>5.5399999999999998E-2</v>
      </c>
      <c r="F27744" s="26">
        <v>0.16309999999999999</v>
      </c>
      <c r="G27744" s="26">
        <v>1.84E-2</v>
      </c>
      <c r="K27744">
        <v>50</v>
      </c>
    </row>
    <row r="27745" spans="1:11" x14ac:dyDescent="0.35">
      <c r="A27745" s="27" t="s">
        <v>229</v>
      </c>
      <c r="B27745" s="27" t="s">
        <v>258</v>
      </c>
      <c r="C27745" s="28">
        <v>0.77590000000000003</v>
      </c>
      <c r="D27745" s="28">
        <v>0.22409999999999999</v>
      </c>
      <c r="E27745" s="29"/>
      <c r="F27745" s="29"/>
      <c r="G27745" s="29"/>
      <c r="H27745" s="29"/>
      <c r="I27745" s="29"/>
      <c r="J27745" s="29"/>
      <c r="K27745" s="29" t="s">
        <v>314</v>
      </c>
    </row>
    <row r="27746" spans="1:11" x14ac:dyDescent="0.35">
      <c r="A27746" t="s">
        <v>230</v>
      </c>
      <c r="B27746" t="s">
        <v>256</v>
      </c>
      <c r="C27746" s="26">
        <v>0.87070000000000003</v>
      </c>
      <c r="D27746" s="26">
        <v>3.7600000000000001E-2</v>
      </c>
      <c r="E27746" s="26">
        <v>5.3800000000000001E-2</v>
      </c>
      <c r="F27746" s="26">
        <v>2.9600000000000001E-2</v>
      </c>
      <c r="G27746" s="26">
        <v>3.2099999999999997E-2</v>
      </c>
      <c r="H27746" s="26">
        <v>3.5000000000000001E-3</v>
      </c>
      <c r="I27746" s="26">
        <v>1.1000000000000001E-3</v>
      </c>
      <c r="K27746">
        <v>130</v>
      </c>
    </row>
    <row r="27747" spans="1:11" x14ac:dyDescent="0.35">
      <c r="A27747" t="s">
        <v>230</v>
      </c>
      <c r="B27747" t="s">
        <v>255</v>
      </c>
      <c r="C27747" s="26">
        <v>0.83740000000000003</v>
      </c>
      <c r="D27747" s="26">
        <v>7.9100000000000004E-2</v>
      </c>
      <c r="E27747" s="26">
        <v>2.3199999999999998E-2</v>
      </c>
      <c r="F27747" s="26">
        <v>1.5599999999999999E-2</v>
      </c>
      <c r="G27747" s="26">
        <v>3.0599999999999999E-2</v>
      </c>
      <c r="H27747" s="26">
        <v>1.35E-2</v>
      </c>
      <c r="I27747" s="26">
        <v>1.2999999999999999E-3</v>
      </c>
      <c r="J27747" s="26">
        <v>2.7000000000000001E-3</v>
      </c>
      <c r="K27747">
        <v>388</v>
      </c>
    </row>
    <row r="27748" spans="1:11" x14ac:dyDescent="0.35">
      <c r="A27748" t="s">
        <v>230</v>
      </c>
      <c r="B27748" t="s">
        <v>257</v>
      </c>
      <c r="C27748" s="26">
        <v>0.77800000000000002</v>
      </c>
      <c r="D27748" s="26">
        <v>2.5399999999999999E-2</v>
      </c>
      <c r="E27748" s="26">
        <v>0.17249999999999999</v>
      </c>
      <c r="F27748" s="26">
        <v>9.64E-2</v>
      </c>
      <c r="G27748" s="26">
        <v>1.1599999999999999E-2</v>
      </c>
      <c r="I27748" s="26">
        <v>1.6400000000000001E-2</v>
      </c>
      <c r="K27748">
        <v>38</v>
      </c>
    </row>
    <row r="27749" spans="1:11" x14ac:dyDescent="0.35">
      <c r="A27749" s="27" t="s">
        <v>230</v>
      </c>
      <c r="B27749" s="27" t="s">
        <v>258</v>
      </c>
      <c r="C27749" s="28">
        <v>1</v>
      </c>
      <c r="D27749" s="29"/>
      <c r="E27749" s="29"/>
      <c r="F27749" s="29"/>
      <c r="G27749" s="29"/>
      <c r="H27749" s="29"/>
      <c r="I27749" s="29"/>
      <c r="J27749" s="29"/>
      <c r="K27749" s="29" t="s">
        <v>315</v>
      </c>
    </row>
    <row r="27750" spans="1:11" x14ac:dyDescent="0.35">
      <c r="A27750" s="27" t="s">
        <v>231</v>
      </c>
      <c r="B27750" s="27" t="s">
        <v>257</v>
      </c>
      <c r="C27750" s="28">
        <v>1</v>
      </c>
      <c r="D27750" s="29"/>
      <c r="E27750" s="29"/>
      <c r="F27750" s="29"/>
      <c r="G27750" s="29"/>
      <c r="H27750" s="29"/>
      <c r="I27750" s="29"/>
      <c r="J27750" s="29"/>
      <c r="K27750" s="29" t="s">
        <v>339</v>
      </c>
    </row>
    <row r="27751" spans="1:11" x14ac:dyDescent="0.35">
      <c r="A27751" t="s">
        <v>231</v>
      </c>
      <c r="B27751" t="s">
        <v>255</v>
      </c>
      <c r="C27751" s="26">
        <v>0.90700000000000003</v>
      </c>
      <c r="D27751" s="26">
        <v>3.8800000000000001E-2</v>
      </c>
      <c r="E27751" s="26">
        <v>3.1E-2</v>
      </c>
      <c r="F27751" s="26">
        <v>1.55E-2</v>
      </c>
      <c r="G27751" s="26">
        <v>1.55E-2</v>
      </c>
      <c r="H27751" s="26">
        <v>7.7999999999999996E-3</v>
      </c>
      <c r="I27751" s="26">
        <v>7.7999999999999996E-3</v>
      </c>
      <c r="K27751">
        <v>129</v>
      </c>
    </row>
    <row r="27752" spans="1:11" x14ac:dyDescent="0.35">
      <c r="A27752" s="27" t="s">
        <v>231</v>
      </c>
      <c r="B27752" s="27" t="s">
        <v>256</v>
      </c>
      <c r="C27752" s="28">
        <v>0.89290000000000003</v>
      </c>
      <c r="D27752" s="29"/>
      <c r="E27752" s="29"/>
      <c r="F27752" s="28">
        <v>7.1400000000000005E-2</v>
      </c>
      <c r="G27752" s="29"/>
      <c r="H27752" s="28">
        <v>3.5700000000000003E-2</v>
      </c>
      <c r="I27752" s="28">
        <v>3.5700000000000003E-2</v>
      </c>
      <c r="J27752" s="29"/>
      <c r="K27752" s="29" t="s">
        <v>336</v>
      </c>
    </row>
    <row r="27753" spans="1:11" x14ac:dyDescent="0.35">
      <c r="A27753" t="s">
        <v>232</v>
      </c>
      <c r="B27753" t="s">
        <v>232</v>
      </c>
      <c r="C27753" s="26">
        <v>0.87729999999999997</v>
      </c>
      <c r="D27753" s="26">
        <v>5.8099999999999999E-2</v>
      </c>
      <c r="E27753" s="26">
        <v>2.75E-2</v>
      </c>
      <c r="F27753" s="26">
        <v>2.7E-2</v>
      </c>
      <c r="G27753" s="26">
        <v>1.6799999999999999E-2</v>
      </c>
      <c r="H27753" s="26">
        <v>8.8000000000000005E-3</v>
      </c>
      <c r="I27753" s="26">
        <v>7.3000000000000001E-3</v>
      </c>
      <c r="J27753" s="26">
        <v>1.4E-3</v>
      </c>
      <c r="K27753">
        <v>2812</v>
      </c>
    </row>
    <row r="27755" spans="1:11" x14ac:dyDescent="0.35">
      <c r="A27755" s="1" t="s">
        <v>2507</v>
      </c>
    </row>
    <row r="27756" spans="1:11" x14ac:dyDescent="0.35">
      <c r="A27756" t="s">
        <v>219</v>
      </c>
      <c r="B27756" t="s">
        <v>305</v>
      </c>
      <c r="C27756" t="s">
        <v>550</v>
      </c>
      <c r="D27756" t="s">
        <v>2491</v>
      </c>
      <c r="E27756" t="s">
        <v>2492</v>
      </c>
      <c r="F27756" t="s">
        <v>2493</v>
      </c>
      <c r="G27756" t="s">
        <v>2494</v>
      </c>
      <c r="H27756" t="s">
        <v>281</v>
      </c>
      <c r="I27756" t="s">
        <v>2495</v>
      </c>
      <c r="J27756" t="s">
        <v>286</v>
      </c>
      <c r="K27756" t="s">
        <v>226</v>
      </c>
    </row>
    <row r="27757" spans="1:11" x14ac:dyDescent="0.35">
      <c r="A27757" t="s">
        <v>227</v>
      </c>
      <c r="B27757" t="s">
        <v>1341</v>
      </c>
      <c r="C27757" s="26">
        <v>0.85709999999999997</v>
      </c>
      <c r="D27757" s="26">
        <v>0.10199999999999999</v>
      </c>
      <c r="E27757" s="26">
        <v>2.0400000000000001E-2</v>
      </c>
      <c r="G27757" s="26">
        <v>2.0400000000000001E-2</v>
      </c>
      <c r="I27757" s="26">
        <v>2.0400000000000001E-2</v>
      </c>
      <c r="K27757">
        <v>49</v>
      </c>
    </row>
    <row r="27758" spans="1:11" x14ac:dyDescent="0.35">
      <c r="A27758" s="27" t="s">
        <v>227</v>
      </c>
      <c r="B27758" s="27" t="s">
        <v>1342</v>
      </c>
      <c r="C27758" s="28">
        <v>1</v>
      </c>
      <c r="D27758" s="29"/>
      <c r="E27758" s="29"/>
      <c r="F27758" s="29"/>
      <c r="G27758" s="29"/>
      <c r="H27758" s="29"/>
      <c r="I27758" s="29"/>
      <c r="J27758" s="29"/>
      <c r="K27758" s="29" t="s">
        <v>331</v>
      </c>
    </row>
    <row r="27759" spans="1:11" x14ac:dyDescent="0.35">
      <c r="A27759" t="s">
        <v>227</v>
      </c>
      <c r="B27759" t="s">
        <v>1343</v>
      </c>
      <c r="C27759" s="26">
        <v>0.8649</v>
      </c>
      <c r="D27759" s="26">
        <v>6.3100000000000003E-2</v>
      </c>
      <c r="E27759" s="26">
        <v>2.7E-2</v>
      </c>
      <c r="F27759" s="26">
        <v>2.7E-2</v>
      </c>
      <c r="G27759" s="26">
        <v>1.7999999999999999E-2</v>
      </c>
      <c r="I27759" s="26">
        <v>1.7999999999999999E-2</v>
      </c>
      <c r="K27759">
        <v>111</v>
      </c>
    </row>
    <row r="27760" spans="1:11" x14ac:dyDescent="0.35">
      <c r="A27760" t="s">
        <v>228</v>
      </c>
      <c r="B27760" t="s">
        <v>1341</v>
      </c>
      <c r="C27760" s="26">
        <v>0.8609</v>
      </c>
      <c r="D27760" s="26">
        <v>4.87E-2</v>
      </c>
      <c r="E27760" s="26">
        <v>2.7799999999999998E-2</v>
      </c>
      <c r="F27760" s="26">
        <v>4.19E-2</v>
      </c>
      <c r="G27760" s="26">
        <v>7.7999999999999996E-3</v>
      </c>
      <c r="H27760" s="26">
        <v>1.34E-2</v>
      </c>
      <c r="J27760" s="26">
        <v>1.41E-2</v>
      </c>
      <c r="K27760">
        <v>305</v>
      </c>
    </row>
    <row r="27761" spans="1:11" x14ac:dyDescent="0.35">
      <c r="A27761" s="27" t="s">
        <v>228</v>
      </c>
      <c r="B27761" s="27" t="s">
        <v>1342</v>
      </c>
      <c r="C27761" s="29"/>
      <c r="D27761" s="28">
        <v>1</v>
      </c>
      <c r="E27761" s="29"/>
      <c r="F27761" s="29"/>
      <c r="G27761" s="29"/>
      <c r="H27761" s="29"/>
      <c r="I27761" s="29"/>
      <c r="J27761" s="29"/>
      <c r="K27761" s="29" t="s">
        <v>331</v>
      </c>
    </row>
    <row r="27762" spans="1:11" x14ac:dyDescent="0.35">
      <c r="A27762" t="s">
        <v>228</v>
      </c>
      <c r="B27762" t="s">
        <v>1343</v>
      </c>
      <c r="C27762" s="26">
        <v>0.89249999999999996</v>
      </c>
      <c r="D27762" s="26">
        <v>6.0999999999999999E-2</v>
      </c>
      <c r="E27762" s="26">
        <v>1.4500000000000001E-2</v>
      </c>
      <c r="F27762" s="26">
        <v>1.5100000000000001E-2</v>
      </c>
      <c r="G27762" s="26">
        <v>2.4199999999999999E-2</v>
      </c>
      <c r="H27762" s="26">
        <v>3.7000000000000002E-3</v>
      </c>
      <c r="I27762" s="26">
        <v>6.7000000000000002E-3</v>
      </c>
      <c r="J27762" s="26">
        <v>1.4E-3</v>
      </c>
      <c r="K27762">
        <v>727</v>
      </c>
    </row>
    <row r="27763" spans="1:11" x14ac:dyDescent="0.35">
      <c r="A27763" t="s">
        <v>229</v>
      </c>
      <c r="B27763" t="s">
        <v>1341</v>
      </c>
      <c r="C27763" s="26">
        <v>0.876</v>
      </c>
      <c r="D27763" s="26">
        <v>8.4000000000000005E-2</v>
      </c>
      <c r="E27763" s="26">
        <v>2.0400000000000001E-2</v>
      </c>
      <c r="F27763" s="26">
        <v>2.12E-2</v>
      </c>
      <c r="G27763" s="26">
        <v>1.7299999999999999E-2</v>
      </c>
      <c r="H27763" s="26">
        <v>7.6E-3</v>
      </c>
      <c r="K27763">
        <v>273</v>
      </c>
    </row>
    <row r="27764" spans="1:11" x14ac:dyDescent="0.35">
      <c r="A27764" t="s">
        <v>229</v>
      </c>
      <c r="B27764" t="s">
        <v>1343</v>
      </c>
      <c r="C27764" s="26">
        <v>0.85819999999999996</v>
      </c>
      <c r="D27764" s="26">
        <v>6.6900000000000001E-2</v>
      </c>
      <c r="E27764" s="26">
        <v>3.9699999999999999E-2</v>
      </c>
      <c r="F27764" s="26">
        <v>4.5499999999999999E-2</v>
      </c>
      <c r="G27764" s="26">
        <v>1.3100000000000001E-2</v>
      </c>
      <c r="H27764" s="26">
        <v>1.3299999999999999E-2</v>
      </c>
      <c r="J27764" s="26">
        <v>1.5E-3</v>
      </c>
      <c r="K27764">
        <v>622</v>
      </c>
    </row>
    <row r="27765" spans="1:11" x14ac:dyDescent="0.35">
      <c r="A27765" t="s">
        <v>230</v>
      </c>
      <c r="B27765" t="s">
        <v>1341</v>
      </c>
      <c r="C27765" s="26">
        <v>0.89849999999999997</v>
      </c>
      <c r="D27765" s="26">
        <v>1.9300000000000001E-2</v>
      </c>
      <c r="E27765" s="26">
        <v>4.0500000000000001E-2</v>
      </c>
      <c r="F27765" s="26">
        <v>3.9699999999999999E-2</v>
      </c>
      <c r="G27765" s="26">
        <v>1.84E-2</v>
      </c>
      <c r="H27765" s="26">
        <v>3.0000000000000001E-3</v>
      </c>
      <c r="K27765">
        <v>156</v>
      </c>
    </row>
    <row r="27766" spans="1:11" x14ac:dyDescent="0.35">
      <c r="A27766" t="s">
        <v>230</v>
      </c>
      <c r="B27766" t="s">
        <v>1343</v>
      </c>
      <c r="C27766" s="26">
        <v>0.81830000000000003</v>
      </c>
      <c r="D27766" s="26">
        <v>8.3900000000000002E-2</v>
      </c>
      <c r="E27766" s="26">
        <v>4.2000000000000003E-2</v>
      </c>
      <c r="F27766" s="26">
        <v>1.83E-2</v>
      </c>
      <c r="G27766" s="26">
        <v>3.44E-2</v>
      </c>
      <c r="H27766" s="26">
        <v>1.29E-2</v>
      </c>
      <c r="I27766" s="26">
        <v>3.3999999999999998E-3</v>
      </c>
      <c r="J27766" s="26">
        <v>2.5999999999999999E-3</v>
      </c>
      <c r="K27766">
        <v>403</v>
      </c>
    </row>
    <row r="27767" spans="1:11" x14ac:dyDescent="0.35">
      <c r="A27767" t="s">
        <v>231</v>
      </c>
      <c r="B27767" t="s">
        <v>1341</v>
      </c>
      <c r="C27767" s="26">
        <v>0.95379999999999998</v>
      </c>
      <c r="D27767" s="26">
        <v>3.0800000000000001E-2</v>
      </c>
      <c r="E27767" s="26">
        <v>3.0800000000000001E-2</v>
      </c>
      <c r="K27767">
        <v>65</v>
      </c>
    </row>
    <row r="27768" spans="1:11" x14ac:dyDescent="0.35">
      <c r="A27768" t="s">
        <v>231</v>
      </c>
      <c r="B27768" t="s">
        <v>1343</v>
      </c>
      <c r="C27768" s="26">
        <v>0.87880000000000003</v>
      </c>
      <c r="D27768" s="26">
        <v>3.0300000000000001E-2</v>
      </c>
      <c r="E27768" s="26">
        <v>2.0199999999999999E-2</v>
      </c>
      <c r="F27768" s="26">
        <v>4.0399999999999998E-2</v>
      </c>
      <c r="G27768" s="26">
        <v>2.0199999999999999E-2</v>
      </c>
      <c r="H27768" s="26">
        <v>2.0199999999999999E-2</v>
      </c>
      <c r="I27768" s="26">
        <v>2.0199999999999999E-2</v>
      </c>
      <c r="K27768">
        <v>99</v>
      </c>
    </row>
    <row r="27769" spans="1:11" x14ac:dyDescent="0.35">
      <c r="A27769" t="s">
        <v>232</v>
      </c>
      <c r="B27769" t="s">
        <v>232</v>
      </c>
      <c r="C27769" s="26">
        <v>0.87729999999999997</v>
      </c>
      <c r="D27769" s="26">
        <v>5.8099999999999999E-2</v>
      </c>
      <c r="E27769" s="26">
        <v>2.75E-2</v>
      </c>
      <c r="F27769" s="26">
        <v>2.7E-2</v>
      </c>
      <c r="G27769" s="26">
        <v>1.6799999999999999E-2</v>
      </c>
      <c r="H27769" s="26">
        <v>8.8000000000000005E-3</v>
      </c>
      <c r="I27769" s="26">
        <v>7.3000000000000001E-3</v>
      </c>
      <c r="J27769" s="26">
        <v>1.4E-3</v>
      </c>
      <c r="K27769">
        <v>2812</v>
      </c>
    </row>
    <row r="27771" spans="1:11" x14ac:dyDescent="0.35">
      <c r="A27771" s="1" t="s">
        <v>2508</v>
      </c>
    </row>
    <row r="27772" spans="1:11" x14ac:dyDescent="0.35">
      <c r="A27772" t="s">
        <v>219</v>
      </c>
      <c r="B27772" t="s">
        <v>305</v>
      </c>
      <c r="C27772" t="s">
        <v>550</v>
      </c>
      <c r="D27772" t="s">
        <v>2491</v>
      </c>
      <c r="E27772" t="s">
        <v>2492</v>
      </c>
      <c r="F27772" t="s">
        <v>2493</v>
      </c>
      <c r="G27772" t="s">
        <v>2494</v>
      </c>
      <c r="H27772" t="s">
        <v>281</v>
      </c>
      <c r="I27772" t="s">
        <v>2495</v>
      </c>
      <c r="J27772" t="s">
        <v>286</v>
      </c>
      <c r="K27772" t="s">
        <v>226</v>
      </c>
    </row>
    <row r="27773" spans="1:11" x14ac:dyDescent="0.35">
      <c r="A27773" s="27" t="s">
        <v>227</v>
      </c>
      <c r="B27773" s="27" t="s">
        <v>1345</v>
      </c>
      <c r="C27773" s="28">
        <v>1</v>
      </c>
      <c r="D27773" s="29"/>
      <c r="E27773" s="29"/>
      <c r="F27773" s="29"/>
      <c r="G27773" s="29"/>
      <c r="H27773" s="29"/>
      <c r="I27773" s="29"/>
      <c r="J27773" s="29"/>
      <c r="K27773" s="29" t="s">
        <v>314</v>
      </c>
    </row>
    <row r="27774" spans="1:11" x14ac:dyDescent="0.35">
      <c r="A27774" t="s">
        <v>227</v>
      </c>
      <c r="B27774" t="s">
        <v>1346</v>
      </c>
      <c r="C27774" s="26">
        <v>0.84619999999999995</v>
      </c>
      <c r="D27774" s="26">
        <v>7.6899999999999996E-2</v>
      </c>
      <c r="F27774" s="26">
        <v>2.5600000000000001E-2</v>
      </c>
      <c r="G27774" s="26">
        <v>5.1299999999999998E-2</v>
      </c>
      <c r="K27774">
        <v>39</v>
      </c>
    </row>
    <row r="27775" spans="1:11" x14ac:dyDescent="0.35">
      <c r="A27775" t="s">
        <v>227</v>
      </c>
      <c r="B27775" t="s">
        <v>1347</v>
      </c>
      <c r="C27775" s="26">
        <v>0.75</v>
      </c>
      <c r="D27775" s="26">
        <v>0.1389</v>
      </c>
      <c r="E27775" s="26">
        <v>8.3299999999999999E-2</v>
      </c>
      <c r="G27775" s="26">
        <v>2.7799999999999998E-2</v>
      </c>
      <c r="I27775" s="26">
        <v>5.5599999999999997E-2</v>
      </c>
      <c r="K27775">
        <v>36</v>
      </c>
    </row>
    <row r="27776" spans="1:11" x14ac:dyDescent="0.35">
      <c r="A27776" t="s">
        <v>227</v>
      </c>
      <c r="B27776" t="s">
        <v>1348</v>
      </c>
      <c r="C27776" s="26">
        <v>0.91669999999999996</v>
      </c>
      <c r="D27776" s="26">
        <v>4.7600000000000003E-2</v>
      </c>
      <c r="E27776" s="26">
        <v>1.1900000000000001E-2</v>
      </c>
      <c r="F27776" s="26">
        <v>2.3800000000000002E-2</v>
      </c>
      <c r="I27776" s="26">
        <v>1.1900000000000001E-2</v>
      </c>
      <c r="K27776">
        <v>84</v>
      </c>
    </row>
    <row r="27777" spans="1:11" x14ac:dyDescent="0.35">
      <c r="A27777" t="s">
        <v>228</v>
      </c>
      <c r="B27777" t="s">
        <v>1348</v>
      </c>
      <c r="C27777" s="26">
        <v>0.86380000000000001</v>
      </c>
      <c r="D27777" s="26">
        <v>7.4499999999999997E-2</v>
      </c>
      <c r="E27777" s="26">
        <v>2.4199999999999999E-2</v>
      </c>
      <c r="F27777" s="26">
        <v>1.9E-2</v>
      </c>
      <c r="G27777" s="26">
        <v>1.9E-2</v>
      </c>
      <c r="H27777" s="26">
        <v>6.3E-3</v>
      </c>
      <c r="I27777" s="26">
        <v>8.3000000000000001E-3</v>
      </c>
      <c r="J27777" s="26">
        <v>8.0999999999999996E-3</v>
      </c>
      <c r="K27777">
        <v>532</v>
      </c>
    </row>
    <row r="27778" spans="1:11" x14ac:dyDescent="0.35">
      <c r="A27778" t="s">
        <v>228</v>
      </c>
      <c r="B27778" t="s">
        <v>1347</v>
      </c>
      <c r="C27778" s="26">
        <v>0.85709999999999997</v>
      </c>
      <c r="D27778" s="26">
        <v>4.65E-2</v>
      </c>
      <c r="E27778" s="26">
        <v>2.35E-2</v>
      </c>
      <c r="F27778" s="26">
        <v>6.6299999999999998E-2</v>
      </c>
      <c r="G27778" s="26">
        <v>2.4400000000000002E-2</v>
      </c>
      <c r="H27778" s="26">
        <v>6.1999999999999998E-3</v>
      </c>
      <c r="I27778" s="26">
        <v>1.9E-3</v>
      </c>
      <c r="J27778" s="26">
        <v>2.8999999999999998E-3</v>
      </c>
      <c r="K27778">
        <v>204</v>
      </c>
    </row>
    <row r="27779" spans="1:11" x14ac:dyDescent="0.35">
      <c r="A27779" t="s">
        <v>228</v>
      </c>
      <c r="B27779" t="s">
        <v>1346</v>
      </c>
      <c r="C27779" s="26">
        <v>0.92100000000000004</v>
      </c>
      <c r="D27779" s="26">
        <v>4.7300000000000002E-2</v>
      </c>
      <c r="E27779" s="26">
        <v>4.1000000000000003E-3</v>
      </c>
      <c r="F27779" s="26">
        <v>8.9999999999999998E-4</v>
      </c>
      <c r="G27779" s="26">
        <v>1.78E-2</v>
      </c>
      <c r="H27779" s="26">
        <v>7.9000000000000008E-3</v>
      </c>
      <c r="J27779" s="26">
        <v>8.9999999999999998E-4</v>
      </c>
      <c r="K27779">
        <v>286</v>
      </c>
    </row>
    <row r="27780" spans="1:11" x14ac:dyDescent="0.35">
      <c r="A27780" s="27" t="s">
        <v>228</v>
      </c>
      <c r="B27780" s="27" t="s">
        <v>1345</v>
      </c>
      <c r="C27780" s="28">
        <v>1</v>
      </c>
      <c r="D27780" s="29"/>
      <c r="E27780" s="29"/>
      <c r="F27780" s="29"/>
      <c r="G27780" s="29"/>
      <c r="H27780" s="29"/>
      <c r="I27780" s="29"/>
      <c r="J27780" s="29"/>
      <c r="K27780" s="29" t="s">
        <v>352</v>
      </c>
    </row>
    <row r="27781" spans="1:11" x14ac:dyDescent="0.35">
      <c r="A27781" s="27" t="s">
        <v>229</v>
      </c>
      <c r="B27781" s="27" t="s">
        <v>1345</v>
      </c>
      <c r="C27781" s="28">
        <v>0.90159999999999996</v>
      </c>
      <c r="D27781" s="28">
        <v>9.5000000000000001E-2</v>
      </c>
      <c r="E27781" s="28">
        <v>3.3999999999999998E-3</v>
      </c>
      <c r="F27781" s="29"/>
      <c r="G27781" s="28">
        <v>6.0000000000000001E-3</v>
      </c>
      <c r="H27781" s="29"/>
      <c r="I27781" s="29"/>
      <c r="J27781" s="29"/>
      <c r="K27781" s="29" t="s">
        <v>357</v>
      </c>
    </row>
    <row r="27782" spans="1:11" x14ac:dyDescent="0.35">
      <c r="A27782" t="s">
        <v>229</v>
      </c>
      <c r="B27782" t="s">
        <v>1346</v>
      </c>
      <c r="C27782" s="26">
        <v>0.92490000000000006</v>
      </c>
      <c r="D27782" s="26">
        <v>1.5699999999999999E-2</v>
      </c>
      <c r="E27782" s="26">
        <v>1.2E-2</v>
      </c>
      <c r="F27782" s="26">
        <v>1.41E-2</v>
      </c>
      <c r="G27782" s="26">
        <v>1.44E-2</v>
      </c>
      <c r="H27782" s="26">
        <v>2.7699999999999999E-2</v>
      </c>
      <c r="J27782" s="26">
        <v>3.2000000000000002E-3</v>
      </c>
      <c r="K27782">
        <v>184</v>
      </c>
    </row>
    <row r="27783" spans="1:11" x14ac:dyDescent="0.35">
      <c r="A27783" t="s">
        <v>229</v>
      </c>
      <c r="B27783" t="s">
        <v>1347</v>
      </c>
      <c r="C27783" s="26">
        <v>0.8498</v>
      </c>
      <c r="D27783" s="26">
        <v>7.0000000000000007E-2</v>
      </c>
      <c r="E27783" s="26">
        <v>5.45E-2</v>
      </c>
      <c r="F27783" s="26">
        <v>6.4000000000000001E-2</v>
      </c>
      <c r="G27783" s="26">
        <v>2.4500000000000001E-2</v>
      </c>
      <c r="K27783">
        <v>302</v>
      </c>
    </row>
    <row r="27784" spans="1:11" x14ac:dyDescent="0.35">
      <c r="A27784" t="s">
        <v>229</v>
      </c>
      <c r="B27784" t="s">
        <v>1348</v>
      </c>
      <c r="C27784" s="26">
        <v>0.84370000000000001</v>
      </c>
      <c r="D27784" s="26">
        <v>9.8000000000000004E-2</v>
      </c>
      <c r="E27784" s="26">
        <v>3.1300000000000001E-2</v>
      </c>
      <c r="F27784" s="26">
        <v>3.3399999999999999E-2</v>
      </c>
      <c r="G27784" s="26">
        <v>8.6999999999999994E-3</v>
      </c>
      <c r="H27784" s="26">
        <v>1.21E-2</v>
      </c>
      <c r="J27784" s="26">
        <v>6.9999999999999999E-4</v>
      </c>
      <c r="K27784">
        <v>383</v>
      </c>
    </row>
    <row r="27785" spans="1:11" x14ac:dyDescent="0.35">
      <c r="A27785" t="s">
        <v>230</v>
      </c>
      <c r="B27785" t="s">
        <v>1346</v>
      </c>
      <c r="C27785" s="26">
        <v>0.82310000000000005</v>
      </c>
      <c r="D27785" s="26">
        <v>8.3699999999999997E-2</v>
      </c>
      <c r="E27785" s="26">
        <v>9.4000000000000004E-3</v>
      </c>
      <c r="F27785" s="26">
        <v>8.3000000000000001E-3</v>
      </c>
      <c r="G27785" s="26">
        <v>3.85E-2</v>
      </c>
      <c r="H27785" s="26">
        <v>3.2899999999999999E-2</v>
      </c>
      <c r="I27785" s="26">
        <v>4.1000000000000003E-3</v>
      </c>
      <c r="J27785" s="26">
        <v>8.3000000000000001E-3</v>
      </c>
      <c r="K27785">
        <v>139</v>
      </c>
    </row>
    <row r="27786" spans="1:11" x14ac:dyDescent="0.35">
      <c r="A27786" t="s">
        <v>230</v>
      </c>
      <c r="B27786" t="s">
        <v>1348</v>
      </c>
      <c r="C27786" s="26">
        <v>0.86140000000000005</v>
      </c>
      <c r="D27786" s="26">
        <v>5.3999999999999999E-2</v>
      </c>
      <c r="E27786" s="26">
        <v>4.2999999999999997E-2</v>
      </c>
      <c r="F27786" s="26">
        <v>1.37E-2</v>
      </c>
      <c r="G27786" s="26">
        <v>2.9399999999999999E-2</v>
      </c>
      <c r="H27786" s="26">
        <v>3.7000000000000002E-3</v>
      </c>
      <c r="I27786" s="26">
        <v>2.3999999999999998E-3</v>
      </c>
      <c r="K27786">
        <v>259</v>
      </c>
    </row>
    <row r="27787" spans="1:11" x14ac:dyDescent="0.35">
      <c r="A27787" t="s">
        <v>230</v>
      </c>
      <c r="B27787" t="s">
        <v>1347</v>
      </c>
      <c r="C27787" s="26">
        <v>0.81510000000000005</v>
      </c>
      <c r="D27787" s="26">
        <v>7.0499999999999993E-2</v>
      </c>
      <c r="E27787" s="26">
        <v>6.7299999999999999E-2</v>
      </c>
      <c r="F27787" s="26">
        <v>5.8900000000000001E-2</v>
      </c>
      <c r="G27787" s="26">
        <v>2.4500000000000001E-2</v>
      </c>
      <c r="H27787" s="26">
        <v>3.3E-3</v>
      </c>
      <c r="I27787" s="26">
        <v>1E-3</v>
      </c>
      <c r="K27787">
        <v>153</v>
      </c>
    </row>
    <row r="27788" spans="1:11" x14ac:dyDescent="0.35">
      <c r="A27788" s="27" t="s">
        <v>230</v>
      </c>
      <c r="B27788" s="27" t="s">
        <v>1345</v>
      </c>
      <c r="C27788" s="28">
        <v>1</v>
      </c>
      <c r="D27788" s="29"/>
      <c r="E27788" s="29"/>
      <c r="F27788" s="29"/>
      <c r="G27788" s="29"/>
      <c r="H27788" s="29"/>
      <c r="I27788" s="29"/>
      <c r="J27788" s="29"/>
      <c r="K27788" s="29" t="s">
        <v>333</v>
      </c>
    </row>
    <row r="27789" spans="1:11" x14ac:dyDescent="0.35">
      <c r="A27789" s="27" t="s">
        <v>231</v>
      </c>
      <c r="B27789" s="27" t="s">
        <v>1345</v>
      </c>
      <c r="C27789" s="28">
        <v>1</v>
      </c>
      <c r="D27789" s="29"/>
      <c r="E27789" s="29"/>
      <c r="F27789" s="29"/>
      <c r="G27789" s="29"/>
      <c r="H27789" s="29"/>
      <c r="I27789" s="29"/>
      <c r="J27789" s="29"/>
      <c r="K27789" s="29" t="s">
        <v>337</v>
      </c>
    </row>
    <row r="27790" spans="1:11" x14ac:dyDescent="0.35">
      <c r="A27790" t="s">
        <v>231</v>
      </c>
      <c r="B27790" t="s">
        <v>1346</v>
      </c>
      <c r="C27790" s="26">
        <v>0.95</v>
      </c>
      <c r="G27790" s="26">
        <v>2.5000000000000001E-2</v>
      </c>
      <c r="H27790" s="26">
        <v>2.5000000000000001E-2</v>
      </c>
      <c r="K27790">
        <v>40</v>
      </c>
    </row>
    <row r="27791" spans="1:11" x14ac:dyDescent="0.35">
      <c r="A27791" t="s">
        <v>231</v>
      </c>
      <c r="B27791" t="s">
        <v>1347</v>
      </c>
      <c r="C27791" s="26">
        <v>0.88239999999999996</v>
      </c>
      <c r="D27791" s="26">
        <v>5.8799999999999998E-2</v>
      </c>
      <c r="E27791" s="26">
        <v>2.9399999999999999E-2</v>
      </c>
      <c r="F27791" s="26">
        <v>5.8799999999999998E-2</v>
      </c>
      <c r="I27791" s="26">
        <v>2.9399999999999999E-2</v>
      </c>
      <c r="K27791">
        <v>34</v>
      </c>
    </row>
    <row r="27792" spans="1:11" x14ac:dyDescent="0.35">
      <c r="A27792" t="s">
        <v>231</v>
      </c>
      <c r="B27792" t="s">
        <v>1348</v>
      </c>
      <c r="C27792" s="26">
        <v>0.89529999999999998</v>
      </c>
      <c r="D27792" s="26">
        <v>3.49E-2</v>
      </c>
      <c r="E27792" s="26">
        <v>3.49E-2</v>
      </c>
      <c r="F27792" s="26">
        <v>2.3300000000000001E-2</v>
      </c>
      <c r="G27792" s="26">
        <v>1.1599999999999999E-2</v>
      </c>
      <c r="H27792" s="26">
        <v>1.1599999999999999E-2</v>
      </c>
      <c r="I27792" s="26">
        <v>1.1599999999999999E-2</v>
      </c>
      <c r="K27792">
        <v>86</v>
      </c>
    </row>
    <row r="27793" spans="1:12" x14ac:dyDescent="0.35">
      <c r="A27793" t="s">
        <v>232</v>
      </c>
      <c r="B27793" t="s">
        <v>232</v>
      </c>
      <c r="C27793" s="26">
        <v>0.87729999999999997</v>
      </c>
      <c r="D27793" s="26">
        <v>5.8099999999999999E-2</v>
      </c>
      <c r="E27793" s="26">
        <v>2.75E-2</v>
      </c>
      <c r="F27793" s="26">
        <v>2.7E-2</v>
      </c>
      <c r="G27793" s="26">
        <v>1.6799999999999999E-2</v>
      </c>
      <c r="H27793" s="26">
        <v>8.8000000000000005E-3</v>
      </c>
      <c r="I27793" s="26">
        <v>7.3000000000000001E-3</v>
      </c>
      <c r="J27793" s="26">
        <v>1.4E-3</v>
      </c>
      <c r="K27793">
        <v>2812</v>
      </c>
    </row>
    <row r="27795" spans="1:12" x14ac:dyDescent="0.35">
      <c r="A27795" s="1" t="s">
        <v>2509</v>
      </c>
    </row>
    <row r="27796" spans="1:12" x14ac:dyDescent="0.35">
      <c r="A27796" t="s">
        <v>219</v>
      </c>
      <c r="B27796" t="s">
        <v>305</v>
      </c>
      <c r="C27796" t="s">
        <v>345</v>
      </c>
      <c r="D27796" t="s">
        <v>550</v>
      </c>
      <c r="E27796" t="s">
        <v>2491</v>
      </c>
      <c r="F27796" t="s">
        <v>2492</v>
      </c>
      <c r="G27796" t="s">
        <v>2493</v>
      </c>
      <c r="H27796" t="s">
        <v>2494</v>
      </c>
      <c r="I27796" t="s">
        <v>281</v>
      </c>
      <c r="J27796" t="s">
        <v>2495</v>
      </c>
      <c r="K27796" t="s">
        <v>286</v>
      </c>
      <c r="L27796" t="s">
        <v>226</v>
      </c>
    </row>
    <row r="27797" spans="1:12" x14ac:dyDescent="0.35">
      <c r="A27797" s="27" t="s">
        <v>227</v>
      </c>
      <c r="B27797" s="27" t="s">
        <v>1341</v>
      </c>
      <c r="C27797" s="27" t="s">
        <v>1345</v>
      </c>
      <c r="D27797" s="28">
        <v>1</v>
      </c>
      <c r="E27797" s="29"/>
      <c r="F27797" s="29"/>
      <c r="G27797" s="29"/>
      <c r="H27797" s="29"/>
      <c r="I27797" s="29"/>
      <c r="J27797" s="29"/>
      <c r="K27797" s="29"/>
      <c r="L27797" s="29" t="s">
        <v>331</v>
      </c>
    </row>
    <row r="27798" spans="1:12" x14ac:dyDescent="0.35">
      <c r="A27798" s="27" t="s">
        <v>227</v>
      </c>
      <c r="B27798" s="27" t="s">
        <v>1343</v>
      </c>
      <c r="C27798" s="27" t="s">
        <v>1346</v>
      </c>
      <c r="D27798" s="28">
        <v>0.80769999999999997</v>
      </c>
      <c r="E27798" s="28">
        <v>0.1154</v>
      </c>
      <c r="F27798" s="29"/>
      <c r="G27798" s="28">
        <v>3.85E-2</v>
      </c>
      <c r="H27798" s="28">
        <v>3.85E-2</v>
      </c>
      <c r="I27798" s="29"/>
      <c r="J27798" s="29"/>
      <c r="K27798" s="29"/>
      <c r="L27798" s="29" t="s">
        <v>357</v>
      </c>
    </row>
    <row r="27799" spans="1:12" x14ac:dyDescent="0.35">
      <c r="A27799" t="s">
        <v>227</v>
      </c>
      <c r="B27799" t="s">
        <v>1343</v>
      </c>
      <c r="C27799" t="s">
        <v>1348</v>
      </c>
      <c r="D27799" s="26">
        <v>0.93440000000000001</v>
      </c>
      <c r="E27799" s="26">
        <v>1.6400000000000001E-2</v>
      </c>
      <c r="F27799" s="26">
        <v>1.6400000000000001E-2</v>
      </c>
      <c r="G27799" s="26">
        <v>3.2800000000000003E-2</v>
      </c>
      <c r="J27799" s="26">
        <v>1.6400000000000001E-2</v>
      </c>
      <c r="L27799">
        <v>61</v>
      </c>
    </row>
    <row r="27800" spans="1:12" x14ac:dyDescent="0.35">
      <c r="A27800" s="27" t="s">
        <v>227</v>
      </c>
      <c r="B27800" s="27" t="s">
        <v>1341</v>
      </c>
      <c r="C27800" s="27" t="s">
        <v>1347</v>
      </c>
      <c r="D27800" s="28">
        <v>0.76919999999999999</v>
      </c>
      <c r="E27800" s="28">
        <v>0.15379999999999999</v>
      </c>
      <c r="F27800" s="28">
        <v>7.6899999999999996E-2</v>
      </c>
      <c r="G27800" s="29"/>
      <c r="H27800" s="29"/>
      <c r="I27800" s="29"/>
      <c r="J27800" s="28">
        <v>7.6899999999999996E-2</v>
      </c>
      <c r="K27800" s="29"/>
      <c r="L27800" s="29" t="s">
        <v>341</v>
      </c>
    </row>
    <row r="27801" spans="1:12" x14ac:dyDescent="0.35">
      <c r="A27801" s="27" t="s">
        <v>227</v>
      </c>
      <c r="B27801" s="27" t="s">
        <v>1343</v>
      </c>
      <c r="C27801" s="27" t="s">
        <v>1347</v>
      </c>
      <c r="D27801" s="28">
        <v>0.73909999999999998</v>
      </c>
      <c r="E27801" s="28">
        <v>0.13039999999999999</v>
      </c>
      <c r="F27801" s="28">
        <v>8.6999999999999994E-2</v>
      </c>
      <c r="G27801" s="29"/>
      <c r="H27801" s="28">
        <v>4.3499999999999997E-2</v>
      </c>
      <c r="I27801" s="29"/>
      <c r="J27801" s="28">
        <v>4.3499999999999997E-2</v>
      </c>
      <c r="K27801" s="29"/>
      <c r="L27801" s="29" t="s">
        <v>328</v>
      </c>
    </row>
    <row r="27802" spans="1:12" x14ac:dyDescent="0.35">
      <c r="A27802" s="27" t="s">
        <v>227</v>
      </c>
      <c r="B27802" s="27" t="s">
        <v>1343</v>
      </c>
      <c r="C27802" s="27" t="s">
        <v>1345</v>
      </c>
      <c r="D27802" s="28">
        <v>1</v>
      </c>
      <c r="E27802" s="29"/>
      <c r="F27802" s="29"/>
      <c r="G27802" s="29"/>
      <c r="H27802" s="29"/>
      <c r="I27802" s="29"/>
      <c r="J27802" s="29"/>
      <c r="K27802" s="29"/>
      <c r="L27802" s="29" t="s">
        <v>331</v>
      </c>
    </row>
    <row r="27803" spans="1:12" x14ac:dyDescent="0.35">
      <c r="A27803" s="27" t="s">
        <v>227</v>
      </c>
      <c r="B27803" s="27" t="s">
        <v>1342</v>
      </c>
      <c r="C27803" s="27" t="s">
        <v>1348</v>
      </c>
      <c r="D27803" s="28">
        <v>1</v>
      </c>
      <c r="E27803" s="29"/>
      <c r="F27803" s="29"/>
      <c r="G27803" s="29"/>
      <c r="H27803" s="29"/>
      <c r="I27803" s="29"/>
      <c r="J27803" s="29"/>
      <c r="K27803" s="29"/>
      <c r="L27803" s="29" t="s">
        <v>331</v>
      </c>
    </row>
    <row r="27804" spans="1:12" x14ac:dyDescent="0.35">
      <c r="A27804" s="27" t="s">
        <v>227</v>
      </c>
      <c r="B27804" s="27" t="s">
        <v>1341</v>
      </c>
      <c r="C27804" s="27" t="s">
        <v>1348</v>
      </c>
      <c r="D27804" s="28">
        <v>0.86360000000000003</v>
      </c>
      <c r="E27804" s="28">
        <v>0.13639999999999999</v>
      </c>
      <c r="F27804" s="29"/>
      <c r="G27804" s="29"/>
      <c r="H27804" s="29"/>
      <c r="I27804" s="29"/>
      <c r="J27804" s="29"/>
      <c r="K27804" s="29"/>
      <c r="L27804" s="29" t="s">
        <v>347</v>
      </c>
    </row>
    <row r="27805" spans="1:12" x14ac:dyDescent="0.35">
      <c r="A27805" s="27" t="s">
        <v>227</v>
      </c>
      <c r="B27805" s="27" t="s">
        <v>1341</v>
      </c>
      <c r="C27805" s="27" t="s">
        <v>1346</v>
      </c>
      <c r="D27805" s="28">
        <v>0.92310000000000003</v>
      </c>
      <c r="E27805" s="29"/>
      <c r="F27805" s="29"/>
      <c r="G27805" s="29"/>
      <c r="H27805" s="28">
        <v>7.6899999999999996E-2</v>
      </c>
      <c r="I27805" s="29"/>
      <c r="J27805" s="29"/>
      <c r="K27805" s="29"/>
      <c r="L27805" s="29" t="s">
        <v>341</v>
      </c>
    </row>
    <row r="27806" spans="1:12" x14ac:dyDescent="0.35">
      <c r="A27806" t="s">
        <v>228</v>
      </c>
      <c r="B27806" t="s">
        <v>1343</v>
      </c>
      <c r="C27806" t="s">
        <v>1348</v>
      </c>
      <c r="D27806" s="26">
        <v>0.88070000000000004</v>
      </c>
      <c r="E27806" s="26">
        <v>7.5899999999999995E-2</v>
      </c>
      <c r="F27806" s="26">
        <v>1.55E-2</v>
      </c>
      <c r="G27806" s="26">
        <v>1.26E-2</v>
      </c>
      <c r="H27806" s="26">
        <v>2.7199999999999998E-2</v>
      </c>
      <c r="J27806" s="26">
        <v>1.2999999999999999E-2</v>
      </c>
      <c r="K27806" s="26">
        <v>2.8E-3</v>
      </c>
      <c r="L27806">
        <v>352</v>
      </c>
    </row>
    <row r="27807" spans="1:12" x14ac:dyDescent="0.35">
      <c r="A27807" t="s">
        <v>228</v>
      </c>
      <c r="B27807" t="s">
        <v>1343</v>
      </c>
      <c r="C27807" t="s">
        <v>1347</v>
      </c>
      <c r="D27807" s="26">
        <v>0.86040000000000005</v>
      </c>
      <c r="E27807" s="26">
        <v>4.8000000000000001E-2</v>
      </c>
      <c r="F27807" s="26">
        <v>3.0499999999999999E-2</v>
      </c>
      <c r="G27807" s="26">
        <v>4.8500000000000001E-2</v>
      </c>
      <c r="H27807" s="26">
        <v>3.2399999999999998E-2</v>
      </c>
      <c r="I27807" s="26">
        <v>9.1999999999999998E-3</v>
      </c>
      <c r="J27807" s="26">
        <v>2.8E-3</v>
      </c>
      <c r="L27807">
        <v>130</v>
      </c>
    </row>
    <row r="27808" spans="1:12" x14ac:dyDescent="0.35">
      <c r="A27808" s="27" t="s">
        <v>228</v>
      </c>
      <c r="B27808" s="27" t="s">
        <v>1343</v>
      </c>
      <c r="C27808" s="27" t="s">
        <v>1345</v>
      </c>
      <c r="D27808" s="28">
        <v>1</v>
      </c>
      <c r="E27808" s="29"/>
      <c r="F27808" s="29"/>
      <c r="G27808" s="29"/>
      <c r="H27808" s="29"/>
      <c r="I27808" s="29"/>
      <c r="J27808" s="29"/>
      <c r="K27808" s="29"/>
      <c r="L27808" s="29" t="s">
        <v>335</v>
      </c>
    </row>
    <row r="27809" spans="1:12" x14ac:dyDescent="0.35">
      <c r="A27809" t="s">
        <v>228</v>
      </c>
      <c r="B27809" t="s">
        <v>1341</v>
      </c>
      <c r="C27809" t="s">
        <v>1346</v>
      </c>
      <c r="D27809" s="26">
        <v>0.92</v>
      </c>
      <c r="E27809" s="26">
        <v>3.0300000000000001E-2</v>
      </c>
      <c r="H27809" s="26">
        <v>2.5700000000000001E-2</v>
      </c>
      <c r="I27809" s="26">
        <v>1.7100000000000001E-2</v>
      </c>
      <c r="K27809" s="26">
        <v>6.8999999999999999E-3</v>
      </c>
      <c r="L27809">
        <v>47</v>
      </c>
    </row>
    <row r="27810" spans="1:12" x14ac:dyDescent="0.35">
      <c r="A27810" t="s">
        <v>228</v>
      </c>
      <c r="B27810" t="s">
        <v>1341</v>
      </c>
      <c r="C27810" t="s">
        <v>1348</v>
      </c>
      <c r="D27810" s="26">
        <v>0.84850000000000003</v>
      </c>
      <c r="E27810" s="26">
        <v>5.5500000000000001E-2</v>
      </c>
      <c r="F27810" s="26">
        <v>4.02E-2</v>
      </c>
      <c r="G27810" s="26">
        <v>3.09E-2</v>
      </c>
      <c r="H27810" s="26">
        <v>4.4000000000000003E-3</v>
      </c>
      <c r="I27810" s="26">
        <v>1.77E-2</v>
      </c>
      <c r="K27810" s="26">
        <v>1.77E-2</v>
      </c>
      <c r="L27810">
        <v>179</v>
      </c>
    </row>
    <row r="27811" spans="1:12" x14ac:dyDescent="0.35">
      <c r="A27811" s="27" t="s">
        <v>228</v>
      </c>
      <c r="B27811" s="27" t="s">
        <v>1342</v>
      </c>
      <c r="C27811" s="27" t="s">
        <v>1348</v>
      </c>
      <c r="D27811" s="29"/>
      <c r="E27811" s="28">
        <v>1</v>
      </c>
      <c r="F27811" s="29"/>
      <c r="G27811" s="29"/>
      <c r="H27811" s="29"/>
      <c r="I27811" s="29"/>
      <c r="J27811" s="29"/>
      <c r="K27811" s="29"/>
      <c r="L27811" s="29" t="s">
        <v>331</v>
      </c>
    </row>
    <row r="27812" spans="1:12" x14ac:dyDescent="0.35">
      <c r="A27812" t="s">
        <v>228</v>
      </c>
      <c r="B27812" t="s">
        <v>1343</v>
      </c>
      <c r="C27812" t="s">
        <v>1346</v>
      </c>
      <c r="D27812" s="26">
        <v>0.92110000000000003</v>
      </c>
      <c r="E27812" s="26">
        <v>0.05</v>
      </c>
      <c r="F27812" s="26">
        <v>4.7999999999999996E-3</v>
      </c>
      <c r="G27812" s="26">
        <v>1.1000000000000001E-3</v>
      </c>
      <c r="H27812" s="26">
        <v>1.6500000000000001E-2</v>
      </c>
      <c r="I27812" s="26">
        <v>6.4999999999999997E-3</v>
      </c>
      <c r="L27812">
        <v>239</v>
      </c>
    </row>
    <row r="27813" spans="1:12" x14ac:dyDescent="0.35">
      <c r="A27813" t="s">
        <v>228</v>
      </c>
      <c r="B27813" t="s">
        <v>1341</v>
      </c>
      <c r="C27813" t="s">
        <v>1347</v>
      </c>
      <c r="D27813" s="26">
        <v>0.85050000000000003</v>
      </c>
      <c r="E27813" s="26">
        <v>4.3499999999999997E-2</v>
      </c>
      <c r="F27813" s="26">
        <v>9.4999999999999998E-3</v>
      </c>
      <c r="G27813" s="26">
        <v>0.1019</v>
      </c>
      <c r="H27813" s="26">
        <v>8.6E-3</v>
      </c>
      <c r="K27813" s="26">
        <v>8.6E-3</v>
      </c>
      <c r="L27813">
        <v>74</v>
      </c>
    </row>
    <row r="27814" spans="1:12" x14ac:dyDescent="0.35">
      <c r="A27814" s="27" t="s">
        <v>228</v>
      </c>
      <c r="B27814" s="27" t="s">
        <v>1341</v>
      </c>
      <c r="C27814" s="27" t="s">
        <v>1345</v>
      </c>
      <c r="D27814" s="28">
        <v>1</v>
      </c>
      <c r="E27814" s="29"/>
      <c r="F27814" s="29"/>
      <c r="G27814" s="29"/>
      <c r="H27814" s="29"/>
      <c r="I27814" s="29"/>
      <c r="J27814" s="29"/>
      <c r="K27814" s="29"/>
      <c r="L27814" s="29" t="s">
        <v>332</v>
      </c>
    </row>
    <row r="27815" spans="1:12" x14ac:dyDescent="0.35">
      <c r="A27815" t="s">
        <v>229</v>
      </c>
      <c r="B27815" t="s">
        <v>1343</v>
      </c>
      <c r="C27815" t="s">
        <v>1348</v>
      </c>
      <c r="D27815" s="26">
        <v>0.85899999999999999</v>
      </c>
      <c r="E27815" s="26">
        <v>7.9299999999999995E-2</v>
      </c>
      <c r="F27815" s="26">
        <v>3.73E-2</v>
      </c>
      <c r="G27815" s="26">
        <v>4.0500000000000001E-2</v>
      </c>
      <c r="H27815" s="26">
        <v>4.8999999999999998E-3</v>
      </c>
      <c r="I27815" s="26">
        <v>1.01E-2</v>
      </c>
      <c r="K27815" s="26">
        <v>1.1000000000000001E-3</v>
      </c>
      <c r="L27815">
        <v>276</v>
      </c>
    </row>
    <row r="27816" spans="1:12" x14ac:dyDescent="0.35">
      <c r="A27816" t="s">
        <v>229</v>
      </c>
      <c r="B27816" t="s">
        <v>1341</v>
      </c>
      <c r="C27816" t="s">
        <v>1346</v>
      </c>
      <c r="D27816" s="26">
        <v>0.95069999999999999</v>
      </c>
      <c r="E27816" s="26">
        <v>4.9299999999999997E-2</v>
      </c>
      <c r="G27816" s="26">
        <v>4.36E-2</v>
      </c>
      <c r="L27816">
        <v>53</v>
      </c>
    </row>
    <row r="27817" spans="1:12" x14ac:dyDescent="0.35">
      <c r="A27817" t="s">
        <v>229</v>
      </c>
      <c r="B27817" t="s">
        <v>1341</v>
      </c>
      <c r="C27817" t="s">
        <v>1347</v>
      </c>
      <c r="D27817" s="26">
        <v>0.91820000000000002</v>
      </c>
      <c r="E27817" s="26">
        <v>3.32E-2</v>
      </c>
      <c r="F27817" s="26">
        <v>3.4799999999999998E-2</v>
      </c>
      <c r="G27817" s="26">
        <v>1.38E-2</v>
      </c>
      <c r="H27817" s="26">
        <v>2.9000000000000001E-2</v>
      </c>
      <c r="L27817">
        <v>104</v>
      </c>
    </row>
    <row r="27818" spans="1:12" x14ac:dyDescent="0.35">
      <c r="A27818" t="s">
        <v>229</v>
      </c>
      <c r="B27818" t="s">
        <v>1343</v>
      </c>
      <c r="C27818" t="s">
        <v>1346</v>
      </c>
      <c r="D27818" s="26">
        <v>0.91510000000000002</v>
      </c>
      <c r="E27818" s="26">
        <v>2.8E-3</v>
      </c>
      <c r="F27818" s="26">
        <v>1.66E-2</v>
      </c>
      <c r="G27818" s="26">
        <v>2.8E-3</v>
      </c>
      <c r="H27818" s="26">
        <v>1.9900000000000001E-2</v>
      </c>
      <c r="I27818" s="26">
        <v>3.8300000000000001E-2</v>
      </c>
      <c r="K27818" s="26">
        <v>4.4000000000000003E-3</v>
      </c>
      <c r="L27818">
        <v>131</v>
      </c>
    </row>
    <row r="27819" spans="1:12" x14ac:dyDescent="0.35">
      <c r="A27819" t="s">
        <v>229</v>
      </c>
      <c r="B27819" t="s">
        <v>1343</v>
      </c>
      <c r="C27819" t="s">
        <v>1347</v>
      </c>
      <c r="D27819" s="26">
        <v>0.81299999999999994</v>
      </c>
      <c r="E27819" s="26">
        <v>8.9800000000000005E-2</v>
      </c>
      <c r="F27819" s="26">
        <v>6.5100000000000005E-2</v>
      </c>
      <c r="G27819" s="26">
        <v>9.0999999999999998E-2</v>
      </c>
      <c r="H27819" s="26">
        <v>2.2100000000000002E-2</v>
      </c>
      <c r="L27819">
        <v>198</v>
      </c>
    </row>
    <row r="27820" spans="1:12" x14ac:dyDescent="0.35">
      <c r="A27820" s="27" t="s">
        <v>229</v>
      </c>
      <c r="B27820" s="27" t="s">
        <v>1341</v>
      </c>
      <c r="C27820" s="27" t="s">
        <v>1345</v>
      </c>
      <c r="D27820" s="28">
        <v>0.9768</v>
      </c>
      <c r="E27820" s="28">
        <v>1.49E-2</v>
      </c>
      <c r="F27820" s="28">
        <v>8.3999999999999995E-3</v>
      </c>
      <c r="G27820" s="29"/>
      <c r="H27820" s="28">
        <v>1.49E-2</v>
      </c>
      <c r="I27820" s="29"/>
      <c r="J27820" s="29"/>
      <c r="K27820" s="29"/>
      <c r="L27820" s="29" t="s">
        <v>334</v>
      </c>
    </row>
    <row r="27821" spans="1:12" x14ac:dyDescent="0.35">
      <c r="A27821" s="27" t="s">
        <v>229</v>
      </c>
      <c r="B27821" s="27" t="s">
        <v>1343</v>
      </c>
      <c r="C27821" s="27" t="s">
        <v>1345</v>
      </c>
      <c r="D27821" s="28">
        <v>0.85070000000000001</v>
      </c>
      <c r="E27821" s="28">
        <v>0.14929999999999999</v>
      </c>
      <c r="F27821" s="29"/>
      <c r="G27821" s="29"/>
      <c r="H27821" s="29"/>
      <c r="I27821" s="29"/>
      <c r="J27821" s="29"/>
      <c r="K27821" s="29"/>
      <c r="L27821" s="29" t="s">
        <v>343</v>
      </c>
    </row>
    <row r="27822" spans="1:12" x14ac:dyDescent="0.35">
      <c r="A27822" t="s">
        <v>229</v>
      </c>
      <c r="B27822" t="s">
        <v>1341</v>
      </c>
      <c r="C27822" t="s">
        <v>1348</v>
      </c>
      <c r="D27822" s="26">
        <v>0.81289999999999996</v>
      </c>
      <c r="E27822" s="26">
        <v>0.1356</v>
      </c>
      <c r="F27822" s="26">
        <v>1.9300000000000001E-2</v>
      </c>
      <c r="G27822" s="26">
        <v>1.9300000000000001E-2</v>
      </c>
      <c r="H27822" s="26">
        <v>1.61E-2</v>
      </c>
      <c r="I27822" s="26">
        <v>1.61E-2</v>
      </c>
      <c r="L27822">
        <v>107</v>
      </c>
    </row>
    <row r="27823" spans="1:12" x14ac:dyDescent="0.35">
      <c r="A27823" t="s">
        <v>230</v>
      </c>
      <c r="B27823" t="s">
        <v>1343</v>
      </c>
      <c r="C27823" t="s">
        <v>1346</v>
      </c>
      <c r="D27823" s="26">
        <v>0.79069999999999996</v>
      </c>
      <c r="E27823" s="26">
        <v>0.1183</v>
      </c>
      <c r="F27823" s="26">
        <v>7.4999999999999997E-3</v>
      </c>
      <c r="G27823" s="26">
        <v>1.17E-2</v>
      </c>
      <c r="H27823" s="26">
        <v>1.9300000000000001E-2</v>
      </c>
      <c r="I27823" s="26">
        <v>4.65E-2</v>
      </c>
      <c r="J27823" s="26">
        <v>5.7999999999999996E-3</v>
      </c>
      <c r="K27823" s="26">
        <v>1.17E-2</v>
      </c>
      <c r="L27823">
        <v>109</v>
      </c>
    </row>
    <row r="27824" spans="1:12" x14ac:dyDescent="0.35">
      <c r="A27824" s="27" t="s">
        <v>230</v>
      </c>
      <c r="B27824" s="27" t="s">
        <v>1341</v>
      </c>
      <c r="C27824" s="27" t="s">
        <v>1345</v>
      </c>
      <c r="D27824" s="28">
        <v>1</v>
      </c>
      <c r="E27824" s="29"/>
      <c r="F27824" s="29"/>
      <c r="G27824" s="29"/>
      <c r="H27824" s="29"/>
      <c r="I27824" s="29"/>
      <c r="J27824" s="29"/>
      <c r="K27824" s="29"/>
      <c r="L27824" s="29" t="s">
        <v>337</v>
      </c>
    </row>
    <row r="27825" spans="1:12" x14ac:dyDescent="0.35">
      <c r="A27825" t="s">
        <v>230</v>
      </c>
      <c r="B27825" t="s">
        <v>1343</v>
      </c>
      <c r="C27825" t="s">
        <v>1348</v>
      </c>
      <c r="D27825" s="26">
        <v>0.82769999999999999</v>
      </c>
      <c r="E27825" s="26">
        <v>7.46E-2</v>
      </c>
      <c r="F27825" s="26">
        <v>4.2900000000000001E-2</v>
      </c>
      <c r="G27825" s="26">
        <v>1.4999999999999999E-2</v>
      </c>
      <c r="H27825" s="26">
        <v>4.0300000000000002E-2</v>
      </c>
      <c r="I27825" s="26">
        <v>5.1999999999999998E-3</v>
      </c>
      <c r="J27825" s="26">
        <v>3.3E-3</v>
      </c>
      <c r="L27825">
        <v>184</v>
      </c>
    </row>
    <row r="27826" spans="1:12" x14ac:dyDescent="0.35">
      <c r="A27826" t="s">
        <v>230</v>
      </c>
      <c r="B27826" t="s">
        <v>1343</v>
      </c>
      <c r="C27826" t="s">
        <v>1347</v>
      </c>
      <c r="D27826" s="26">
        <v>0.81620000000000004</v>
      </c>
      <c r="E27826" s="26">
        <v>7.5800000000000006E-2</v>
      </c>
      <c r="F27826" s="26">
        <v>7.0900000000000005E-2</v>
      </c>
      <c r="G27826" s="26">
        <v>3.0700000000000002E-2</v>
      </c>
      <c r="H27826" s="26">
        <v>3.7100000000000001E-2</v>
      </c>
      <c r="J27826" s="26">
        <v>1.5E-3</v>
      </c>
      <c r="L27826">
        <v>106</v>
      </c>
    </row>
    <row r="27827" spans="1:12" x14ac:dyDescent="0.35">
      <c r="A27827" t="s">
        <v>230</v>
      </c>
      <c r="B27827" t="s">
        <v>1341</v>
      </c>
      <c r="C27827" t="s">
        <v>1348</v>
      </c>
      <c r="D27827" s="26">
        <v>0.94630000000000003</v>
      </c>
      <c r="E27827" s="26">
        <v>2E-3</v>
      </c>
      <c r="F27827" s="26">
        <v>4.3099999999999999E-2</v>
      </c>
      <c r="G27827" s="26">
        <v>1.06E-2</v>
      </c>
      <c r="H27827" s="26">
        <v>2E-3</v>
      </c>
      <c r="L27827">
        <v>75</v>
      </c>
    </row>
    <row r="27828" spans="1:12" x14ac:dyDescent="0.35">
      <c r="A27828" t="s">
        <v>230</v>
      </c>
      <c r="B27828" t="s">
        <v>1341</v>
      </c>
      <c r="C27828" t="s">
        <v>1347</v>
      </c>
      <c r="D27828" s="26">
        <v>0.81299999999999994</v>
      </c>
      <c r="E27828" s="26">
        <v>6.0100000000000001E-2</v>
      </c>
      <c r="F27828" s="26">
        <v>6.0100000000000001E-2</v>
      </c>
      <c r="G27828" s="26">
        <v>0.1144</v>
      </c>
      <c r="I27828" s="26">
        <v>9.5999999999999992E-3</v>
      </c>
      <c r="L27828">
        <v>47</v>
      </c>
    </row>
    <row r="27829" spans="1:12" x14ac:dyDescent="0.35">
      <c r="A27829" s="27" t="s">
        <v>230</v>
      </c>
      <c r="B27829" s="27" t="s">
        <v>1343</v>
      </c>
      <c r="C27829" s="27" t="s">
        <v>1345</v>
      </c>
      <c r="D27829" s="28">
        <v>1</v>
      </c>
      <c r="E27829" s="29"/>
      <c r="F27829" s="29"/>
      <c r="G27829" s="29"/>
      <c r="H27829" s="29"/>
      <c r="I27829" s="29"/>
      <c r="J27829" s="29"/>
      <c r="K27829" s="29"/>
      <c r="L27829" s="29" t="s">
        <v>337</v>
      </c>
    </row>
    <row r="27830" spans="1:12" x14ac:dyDescent="0.35">
      <c r="A27830" t="s">
        <v>230</v>
      </c>
      <c r="B27830" t="s">
        <v>1341</v>
      </c>
      <c r="C27830" t="s">
        <v>1346</v>
      </c>
      <c r="D27830" s="26">
        <v>0.90129999999999999</v>
      </c>
      <c r="F27830" s="26">
        <v>1.4E-2</v>
      </c>
      <c r="H27830" s="26">
        <v>8.4699999999999998E-2</v>
      </c>
      <c r="L27830">
        <v>30</v>
      </c>
    </row>
    <row r="27831" spans="1:12" x14ac:dyDescent="0.35">
      <c r="A27831" t="s">
        <v>231</v>
      </c>
      <c r="B27831" t="s">
        <v>1343</v>
      </c>
      <c r="C27831" t="s">
        <v>1348</v>
      </c>
      <c r="D27831" s="26">
        <v>0.84</v>
      </c>
      <c r="E27831" s="26">
        <v>0.06</v>
      </c>
      <c r="F27831" s="26">
        <v>0.04</v>
      </c>
      <c r="G27831" s="26">
        <v>0.04</v>
      </c>
      <c r="H27831" s="26">
        <v>0.02</v>
      </c>
      <c r="I27831" s="26">
        <v>0.02</v>
      </c>
      <c r="J27831" s="26">
        <v>0.02</v>
      </c>
      <c r="L27831">
        <v>50</v>
      </c>
    </row>
    <row r="27832" spans="1:12" x14ac:dyDescent="0.35">
      <c r="A27832" s="27" t="s">
        <v>231</v>
      </c>
      <c r="B27832" s="27" t="s">
        <v>1343</v>
      </c>
      <c r="C27832" s="27" t="s">
        <v>1345</v>
      </c>
      <c r="D27832" s="28">
        <v>1</v>
      </c>
      <c r="E27832" s="29"/>
      <c r="F27832" s="29"/>
      <c r="G27832" s="29"/>
      <c r="H27832" s="29"/>
      <c r="I27832" s="29"/>
      <c r="J27832" s="29"/>
      <c r="K27832" s="29"/>
      <c r="L27832" s="29" t="s">
        <v>315</v>
      </c>
    </row>
    <row r="27833" spans="1:12" x14ac:dyDescent="0.35">
      <c r="A27833" t="s">
        <v>231</v>
      </c>
      <c r="B27833" t="s">
        <v>1341</v>
      </c>
      <c r="C27833" t="s">
        <v>1348</v>
      </c>
      <c r="D27833" s="26">
        <v>0.97219999999999995</v>
      </c>
      <c r="F27833" s="26">
        <v>2.7799999999999998E-2</v>
      </c>
      <c r="L27833">
        <v>36</v>
      </c>
    </row>
    <row r="27834" spans="1:12" x14ac:dyDescent="0.35">
      <c r="A27834" s="27" t="s">
        <v>231</v>
      </c>
      <c r="B27834" s="27" t="s">
        <v>1341</v>
      </c>
      <c r="C27834" s="27" t="s">
        <v>1345</v>
      </c>
      <c r="D27834" s="28">
        <v>1</v>
      </c>
      <c r="E27834" s="29"/>
      <c r="F27834" s="29"/>
      <c r="G27834" s="29"/>
      <c r="H27834" s="29"/>
      <c r="I27834" s="29"/>
      <c r="J27834" s="29"/>
      <c r="K27834" s="29"/>
      <c r="L27834" s="29" t="s">
        <v>331</v>
      </c>
    </row>
    <row r="27835" spans="1:12" x14ac:dyDescent="0.35">
      <c r="A27835" s="27" t="s">
        <v>231</v>
      </c>
      <c r="B27835" s="27" t="s">
        <v>1343</v>
      </c>
      <c r="C27835" s="27" t="s">
        <v>1346</v>
      </c>
      <c r="D27835" s="28">
        <v>0.92310000000000003</v>
      </c>
      <c r="E27835" s="29"/>
      <c r="F27835" s="29"/>
      <c r="G27835" s="29"/>
      <c r="H27835" s="28">
        <v>3.85E-2</v>
      </c>
      <c r="I27835" s="28">
        <v>3.85E-2</v>
      </c>
      <c r="J27835" s="29"/>
      <c r="K27835" s="29"/>
      <c r="L27835" s="29" t="s">
        <v>357</v>
      </c>
    </row>
    <row r="27836" spans="1:12" x14ac:dyDescent="0.35">
      <c r="A27836" s="27" t="s">
        <v>231</v>
      </c>
      <c r="B27836" s="27" t="s">
        <v>1341</v>
      </c>
      <c r="C27836" s="27" t="s">
        <v>1346</v>
      </c>
      <c r="D27836" s="28">
        <v>1</v>
      </c>
      <c r="E27836" s="29"/>
      <c r="F27836" s="29"/>
      <c r="G27836" s="29"/>
      <c r="H27836" s="29"/>
      <c r="I27836" s="29"/>
      <c r="J27836" s="29"/>
      <c r="K27836" s="29"/>
      <c r="L27836" s="29" t="s">
        <v>379</v>
      </c>
    </row>
    <row r="27837" spans="1:12" x14ac:dyDescent="0.35">
      <c r="A27837" s="27" t="s">
        <v>231</v>
      </c>
      <c r="B27837" s="27" t="s">
        <v>1341</v>
      </c>
      <c r="C27837" s="27" t="s">
        <v>1347</v>
      </c>
      <c r="D27837" s="28">
        <v>0.85709999999999997</v>
      </c>
      <c r="E27837" s="28">
        <v>0.1429</v>
      </c>
      <c r="F27837" s="28">
        <v>7.1400000000000005E-2</v>
      </c>
      <c r="G27837" s="29"/>
      <c r="H27837" s="29"/>
      <c r="I27837" s="29"/>
      <c r="J27837" s="29"/>
      <c r="K27837" s="29"/>
      <c r="L27837" s="29" t="s">
        <v>379</v>
      </c>
    </row>
    <row r="27838" spans="1:12" x14ac:dyDescent="0.35">
      <c r="A27838" s="27" t="s">
        <v>231</v>
      </c>
      <c r="B27838" s="27" t="s">
        <v>1343</v>
      </c>
      <c r="C27838" s="27" t="s">
        <v>1347</v>
      </c>
      <c r="D27838" s="28">
        <v>0.9</v>
      </c>
      <c r="E27838" s="29"/>
      <c r="F27838" s="29"/>
      <c r="G27838" s="28">
        <v>0.1</v>
      </c>
      <c r="H27838" s="29"/>
      <c r="I27838" s="29"/>
      <c r="J27838" s="28">
        <v>0.05</v>
      </c>
      <c r="K27838" s="29"/>
      <c r="L27838" s="29" t="s">
        <v>350</v>
      </c>
    </row>
    <row r="27839" spans="1:12" x14ac:dyDescent="0.35">
      <c r="A27839" t="s">
        <v>232</v>
      </c>
      <c r="B27839" t="s">
        <v>232</v>
      </c>
      <c r="C27839" t="s">
        <v>232</v>
      </c>
      <c r="D27839" s="26">
        <v>0.87729999999999997</v>
      </c>
      <c r="E27839" s="26">
        <v>5.8099999999999999E-2</v>
      </c>
      <c r="F27839" s="26">
        <v>2.75E-2</v>
      </c>
      <c r="G27839" s="26">
        <v>2.7E-2</v>
      </c>
      <c r="H27839" s="26">
        <v>1.6799999999999999E-2</v>
      </c>
      <c r="I27839" s="26">
        <v>8.8000000000000005E-3</v>
      </c>
      <c r="J27839" s="26">
        <v>7.3000000000000001E-3</v>
      </c>
      <c r="K27839" s="26">
        <v>1.4E-3</v>
      </c>
      <c r="L27839">
        <v>2812</v>
      </c>
    </row>
    <row r="27841" spans="1:6" x14ac:dyDescent="0.35">
      <c r="A27841" s="1" t="s">
        <v>2510</v>
      </c>
    </row>
    <row r="27842" spans="1:6" x14ac:dyDescent="0.35">
      <c r="A27842" t="s">
        <v>219</v>
      </c>
      <c r="B27842" t="s">
        <v>303</v>
      </c>
      <c r="C27842" t="s">
        <v>302</v>
      </c>
      <c r="D27842" t="s">
        <v>281</v>
      </c>
      <c r="E27842" t="s">
        <v>226</v>
      </c>
    </row>
    <row r="27843" spans="1:6" x14ac:dyDescent="0.35">
      <c r="A27843" s="27" t="s">
        <v>227</v>
      </c>
      <c r="B27843" s="28">
        <v>0.63639999999999997</v>
      </c>
      <c r="C27843" s="28">
        <v>0.36359999999999998</v>
      </c>
      <c r="D27843" s="29"/>
      <c r="E27843" s="29" t="s">
        <v>347</v>
      </c>
    </row>
    <row r="27844" spans="1:6" x14ac:dyDescent="0.35">
      <c r="A27844" t="s">
        <v>228</v>
      </c>
      <c r="B27844" s="26">
        <v>0.67079999999999995</v>
      </c>
      <c r="C27844" s="26">
        <v>0.27460000000000001</v>
      </c>
      <c r="D27844" s="26">
        <v>5.4600000000000003E-2</v>
      </c>
      <c r="E27844">
        <v>142</v>
      </c>
    </row>
    <row r="27845" spans="1:6" x14ac:dyDescent="0.35">
      <c r="A27845" t="s">
        <v>229</v>
      </c>
      <c r="B27845" s="26">
        <v>0.53480000000000005</v>
      </c>
      <c r="C27845" s="26">
        <v>0.4652</v>
      </c>
      <c r="E27845">
        <v>98</v>
      </c>
    </row>
    <row r="27846" spans="1:6" x14ac:dyDescent="0.35">
      <c r="A27846" t="s">
        <v>230</v>
      </c>
      <c r="B27846" s="26">
        <v>0.81889999999999996</v>
      </c>
      <c r="C27846" s="26">
        <v>0.1749</v>
      </c>
      <c r="D27846" s="26">
        <v>6.1999999999999998E-3</v>
      </c>
      <c r="E27846">
        <v>82</v>
      </c>
    </row>
    <row r="27847" spans="1:6" x14ac:dyDescent="0.35">
      <c r="A27847" s="27" t="s">
        <v>231</v>
      </c>
      <c r="B27847" s="28">
        <v>0.46150000000000002</v>
      </c>
      <c r="C27847" s="28">
        <v>0.53849999999999998</v>
      </c>
      <c r="D27847" s="29"/>
      <c r="E27847" s="29" t="s">
        <v>341</v>
      </c>
    </row>
    <row r="27848" spans="1:6" x14ac:dyDescent="0.35">
      <c r="A27848" t="s">
        <v>232</v>
      </c>
      <c r="B27848" s="26">
        <v>0.59989999999999999</v>
      </c>
      <c r="C27848" s="26">
        <v>0.38919999999999999</v>
      </c>
      <c r="D27848" s="26">
        <v>1.09E-2</v>
      </c>
      <c r="E27848">
        <v>357</v>
      </c>
    </row>
    <row r="27850" spans="1:6" x14ac:dyDescent="0.35">
      <c r="A27850" s="1" t="s">
        <v>2511</v>
      </c>
    </row>
    <row r="27851" spans="1:6" x14ac:dyDescent="0.35">
      <c r="A27851" t="s">
        <v>219</v>
      </c>
      <c r="B27851" t="s">
        <v>305</v>
      </c>
      <c r="C27851" t="s">
        <v>303</v>
      </c>
      <c r="D27851" t="s">
        <v>302</v>
      </c>
      <c r="E27851" t="s">
        <v>281</v>
      </c>
      <c r="F27851" t="s">
        <v>226</v>
      </c>
    </row>
    <row r="27852" spans="1:6" x14ac:dyDescent="0.35">
      <c r="A27852" s="27" t="s">
        <v>227</v>
      </c>
      <c r="B27852" s="27" t="s">
        <v>242</v>
      </c>
      <c r="C27852" s="28">
        <v>0.5</v>
      </c>
      <c r="D27852" s="28">
        <v>0.5</v>
      </c>
      <c r="E27852" s="29"/>
      <c r="F27852" s="29" t="s">
        <v>333</v>
      </c>
    </row>
    <row r="27853" spans="1:6" x14ac:dyDescent="0.35">
      <c r="A27853" s="27" t="s">
        <v>227</v>
      </c>
      <c r="B27853" s="27" t="s">
        <v>241</v>
      </c>
      <c r="C27853" s="28">
        <v>0.71430000000000005</v>
      </c>
      <c r="D27853" s="28">
        <v>0.28570000000000001</v>
      </c>
      <c r="E27853" s="29"/>
      <c r="F27853" s="29" t="s">
        <v>379</v>
      </c>
    </row>
    <row r="27854" spans="1:6" x14ac:dyDescent="0.35">
      <c r="A27854" t="s">
        <v>228</v>
      </c>
      <c r="B27854" t="s">
        <v>242</v>
      </c>
      <c r="C27854" s="26">
        <v>0.68740000000000001</v>
      </c>
      <c r="D27854" s="26">
        <v>0.28079999999999999</v>
      </c>
      <c r="E27854" s="26">
        <v>3.1800000000000002E-2</v>
      </c>
      <c r="F27854">
        <v>63</v>
      </c>
    </row>
    <row r="27855" spans="1:6" x14ac:dyDescent="0.35">
      <c r="A27855" t="s">
        <v>228</v>
      </c>
      <c r="B27855" t="s">
        <v>241</v>
      </c>
      <c r="C27855" s="26">
        <v>0.66180000000000005</v>
      </c>
      <c r="D27855" s="26">
        <v>0.27129999999999999</v>
      </c>
      <c r="E27855" s="26">
        <v>6.6900000000000001E-2</v>
      </c>
      <c r="F27855">
        <v>79</v>
      </c>
    </row>
    <row r="27856" spans="1:6" x14ac:dyDescent="0.35">
      <c r="A27856" t="s">
        <v>229</v>
      </c>
      <c r="B27856" t="s">
        <v>242</v>
      </c>
      <c r="C27856" s="26">
        <v>0.34720000000000001</v>
      </c>
      <c r="D27856" s="26">
        <v>0.65280000000000005</v>
      </c>
      <c r="F27856">
        <v>37</v>
      </c>
    </row>
    <row r="27857" spans="1:6" x14ac:dyDescent="0.35">
      <c r="A27857" t="s">
        <v>229</v>
      </c>
      <c r="B27857" t="s">
        <v>241</v>
      </c>
      <c r="C27857" s="26">
        <v>0.63439999999999996</v>
      </c>
      <c r="D27857" s="26">
        <v>0.36559999999999998</v>
      </c>
      <c r="F27857">
        <v>61</v>
      </c>
    </row>
    <row r="27858" spans="1:6" x14ac:dyDescent="0.35">
      <c r="A27858" t="s">
        <v>230</v>
      </c>
      <c r="B27858" t="s">
        <v>242</v>
      </c>
      <c r="C27858" s="26">
        <v>0.9677</v>
      </c>
      <c r="D27858" s="26">
        <v>1.77E-2</v>
      </c>
      <c r="E27858" s="26">
        <v>1.47E-2</v>
      </c>
      <c r="F27858">
        <v>33</v>
      </c>
    </row>
    <row r="27859" spans="1:6" x14ac:dyDescent="0.35">
      <c r="A27859" t="s">
        <v>230</v>
      </c>
      <c r="B27859" t="s">
        <v>241</v>
      </c>
      <c r="C27859" s="26">
        <v>0.70920000000000005</v>
      </c>
      <c r="D27859" s="26">
        <v>0.2908</v>
      </c>
      <c r="F27859">
        <v>49</v>
      </c>
    </row>
    <row r="27860" spans="1:6" x14ac:dyDescent="0.35">
      <c r="A27860" s="27" t="s">
        <v>231</v>
      </c>
      <c r="B27860" s="27" t="s">
        <v>242</v>
      </c>
      <c r="C27860" s="28">
        <v>0.42859999999999998</v>
      </c>
      <c r="D27860" s="28">
        <v>0.57140000000000002</v>
      </c>
      <c r="E27860" s="29"/>
      <c r="F27860" s="29" t="s">
        <v>339</v>
      </c>
    </row>
    <row r="27861" spans="1:6" x14ac:dyDescent="0.35">
      <c r="A27861" s="27" t="s">
        <v>231</v>
      </c>
      <c r="B27861" s="27" t="s">
        <v>241</v>
      </c>
      <c r="C27861" s="28">
        <v>0.5</v>
      </c>
      <c r="D27861" s="28">
        <v>0.5</v>
      </c>
      <c r="E27861" s="29"/>
      <c r="F27861" s="29" t="s">
        <v>335</v>
      </c>
    </row>
    <row r="27862" spans="1:6" x14ac:dyDescent="0.35">
      <c r="A27862" t="s">
        <v>232</v>
      </c>
      <c r="B27862" t="s">
        <v>232</v>
      </c>
      <c r="C27862" s="26">
        <v>0.59989999999999999</v>
      </c>
      <c r="D27862" s="26">
        <v>0.38919999999999999</v>
      </c>
      <c r="E27862" s="26">
        <v>1.09E-2</v>
      </c>
      <c r="F27862">
        <v>357</v>
      </c>
    </row>
    <row r="27864" spans="1:6" x14ac:dyDescent="0.35">
      <c r="A27864" s="1" t="s">
        <v>2512</v>
      </c>
    </row>
    <row r="27865" spans="1:6" x14ac:dyDescent="0.35">
      <c r="A27865" t="s">
        <v>219</v>
      </c>
      <c r="B27865" t="s">
        <v>305</v>
      </c>
      <c r="C27865" t="s">
        <v>303</v>
      </c>
      <c r="D27865" t="s">
        <v>302</v>
      </c>
      <c r="E27865" t="s">
        <v>281</v>
      </c>
      <c r="F27865" t="s">
        <v>226</v>
      </c>
    </row>
    <row r="27866" spans="1:6" x14ac:dyDescent="0.35">
      <c r="A27866" s="27" t="s">
        <v>227</v>
      </c>
      <c r="B27866" s="27" t="s">
        <v>239</v>
      </c>
      <c r="C27866" s="28">
        <v>0.69230000000000003</v>
      </c>
      <c r="D27866" s="28">
        <v>0.30769999999999997</v>
      </c>
      <c r="E27866" s="29"/>
      <c r="F27866" s="29" t="s">
        <v>341</v>
      </c>
    </row>
    <row r="27867" spans="1:6" x14ac:dyDescent="0.35">
      <c r="A27867" s="27" t="s">
        <v>227</v>
      </c>
      <c r="B27867" s="27" t="s">
        <v>238</v>
      </c>
      <c r="C27867" s="28">
        <v>0.55559999999999998</v>
      </c>
      <c r="D27867" s="28">
        <v>0.44440000000000002</v>
      </c>
      <c r="E27867" s="29"/>
      <c r="F27867" s="29" t="s">
        <v>334</v>
      </c>
    </row>
    <row r="27868" spans="1:6" x14ac:dyDescent="0.35">
      <c r="A27868" t="s">
        <v>228</v>
      </c>
      <c r="B27868" t="s">
        <v>239</v>
      </c>
      <c r="C27868" s="26">
        <v>0.74460000000000004</v>
      </c>
      <c r="D27868" s="26">
        <v>0.21179999999999999</v>
      </c>
      <c r="E27868" s="26">
        <v>4.36E-2</v>
      </c>
      <c r="F27868">
        <v>53</v>
      </c>
    </row>
    <row r="27869" spans="1:6" x14ac:dyDescent="0.35">
      <c r="A27869" t="s">
        <v>228</v>
      </c>
      <c r="B27869" t="s">
        <v>238</v>
      </c>
      <c r="C27869" s="26">
        <v>0.64839999999999998</v>
      </c>
      <c r="D27869" s="26">
        <v>0.29360000000000003</v>
      </c>
      <c r="E27869" s="26">
        <v>5.79E-2</v>
      </c>
      <c r="F27869">
        <v>89</v>
      </c>
    </row>
    <row r="27870" spans="1:6" x14ac:dyDescent="0.35">
      <c r="A27870" t="s">
        <v>229</v>
      </c>
      <c r="B27870" t="s">
        <v>239</v>
      </c>
      <c r="C27870" s="26">
        <v>0.61429999999999996</v>
      </c>
      <c r="D27870" s="26">
        <v>0.38569999999999999</v>
      </c>
      <c r="F27870">
        <v>33</v>
      </c>
    </row>
    <row r="27871" spans="1:6" x14ac:dyDescent="0.35">
      <c r="A27871" t="s">
        <v>229</v>
      </c>
      <c r="B27871" t="s">
        <v>238</v>
      </c>
      <c r="C27871" s="26">
        <v>0.51390000000000002</v>
      </c>
      <c r="D27871" s="26">
        <v>0.48609999999999998</v>
      </c>
      <c r="F27871">
        <v>65</v>
      </c>
    </row>
    <row r="27872" spans="1:6" x14ac:dyDescent="0.35">
      <c r="A27872" s="27" t="s">
        <v>230</v>
      </c>
      <c r="B27872" s="27" t="s">
        <v>239</v>
      </c>
      <c r="C27872" s="28">
        <v>0.86370000000000002</v>
      </c>
      <c r="D27872" s="28">
        <v>0.1143</v>
      </c>
      <c r="E27872" s="28">
        <v>2.1999999999999999E-2</v>
      </c>
      <c r="F27872" s="29" t="s">
        <v>357</v>
      </c>
    </row>
    <row r="27873" spans="1:6" x14ac:dyDescent="0.35">
      <c r="A27873" t="s">
        <v>230</v>
      </c>
      <c r="B27873" t="s">
        <v>238</v>
      </c>
      <c r="C27873" s="26">
        <v>0.80110000000000003</v>
      </c>
      <c r="D27873" s="26">
        <v>0.19889999999999999</v>
      </c>
      <c r="F27873">
        <v>56</v>
      </c>
    </row>
    <row r="27874" spans="1:6" x14ac:dyDescent="0.35">
      <c r="A27874" s="27" t="s">
        <v>231</v>
      </c>
      <c r="B27874" s="27" t="s">
        <v>239</v>
      </c>
      <c r="C27874" s="28">
        <v>0.4</v>
      </c>
      <c r="D27874" s="28">
        <v>0.6</v>
      </c>
      <c r="E27874" s="29"/>
      <c r="F27874" s="29" t="s">
        <v>332</v>
      </c>
    </row>
    <row r="27875" spans="1:6" x14ac:dyDescent="0.35">
      <c r="A27875" s="27" t="s">
        <v>231</v>
      </c>
      <c r="B27875" s="27" t="s">
        <v>238</v>
      </c>
      <c r="C27875" s="28">
        <v>0.5</v>
      </c>
      <c r="D27875" s="28">
        <v>0.5</v>
      </c>
      <c r="E27875" s="29"/>
      <c r="F27875" s="29" t="s">
        <v>333</v>
      </c>
    </row>
    <row r="27876" spans="1:6" x14ac:dyDescent="0.35">
      <c r="A27876" t="s">
        <v>232</v>
      </c>
      <c r="B27876" t="s">
        <v>232</v>
      </c>
      <c r="C27876" s="26">
        <v>0.59989999999999999</v>
      </c>
      <c r="D27876" s="26">
        <v>0.38919999999999999</v>
      </c>
      <c r="E27876" s="26">
        <v>1.09E-2</v>
      </c>
      <c r="F27876">
        <v>357</v>
      </c>
    </row>
    <row r="27878" spans="1:6" x14ac:dyDescent="0.35">
      <c r="A27878" s="1" t="s">
        <v>2513</v>
      </c>
    </row>
    <row r="27879" spans="1:6" x14ac:dyDescent="0.35">
      <c r="A27879" t="s">
        <v>219</v>
      </c>
      <c r="B27879" t="s">
        <v>305</v>
      </c>
      <c r="C27879" t="s">
        <v>303</v>
      </c>
      <c r="D27879" t="s">
        <v>302</v>
      </c>
      <c r="E27879" t="s">
        <v>281</v>
      </c>
      <c r="F27879" t="s">
        <v>226</v>
      </c>
    </row>
    <row r="27880" spans="1:6" x14ac:dyDescent="0.35">
      <c r="A27880" s="27" t="s">
        <v>227</v>
      </c>
      <c r="B27880" s="27" t="s">
        <v>244</v>
      </c>
      <c r="C27880" s="28">
        <v>0.64290000000000003</v>
      </c>
      <c r="D27880" s="28">
        <v>0.35709999999999997</v>
      </c>
      <c r="E27880" s="29"/>
      <c r="F27880" s="29" t="s">
        <v>379</v>
      </c>
    </row>
    <row r="27881" spans="1:6" x14ac:dyDescent="0.35">
      <c r="A27881" s="27" t="s">
        <v>227</v>
      </c>
      <c r="B27881" s="27" t="s">
        <v>245</v>
      </c>
      <c r="C27881" s="28">
        <v>0.66669999999999996</v>
      </c>
      <c r="D27881" s="28">
        <v>0.33329999999999999</v>
      </c>
      <c r="E27881" s="29"/>
      <c r="F27881" s="29" t="s">
        <v>335</v>
      </c>
    </row>
    <row r="27882" spans="1:6" x14ac:dyDescent="0.35">
      <c r="A27882" s="27" t="s">
        <v>227</v>
      </c>
      <c r="B27882" s="27" t="s">
        <v>246</v>
      </c>
      <c r="C27882" s="28">
        <v>0.5</v>
      </c>
      <c r="D27882" s="28">
        <v>0.5</v>
      </c>
      <c r="E27882" s="29"/>
      <c r="F27882" s="29" t="s">
        <v>314</v>
      </c>
    </row>
    <row r="27883" spans="1:6" x14ac:dyDescent="0.35">
      <c r="A27883" t="s">
        <v>228</v>
      </c>
      <c r="B27883" t="s">
        <v>244</v>
      </c>
      <c r="C27883" s="26">
        <v>0.64600000000000002</v>
      </c>
      <c r="D27883" s="26">
        <v>0.32979999999999998</v>
      </c>
      <c r="E27883" s="26">
        <v>2.4199999999999999E-2</v>
      </c>
      <c r="F27883">
        <v>96</v>
      </c>
    </row>
    <row r="27884" spans="1:6" x14ac:dyDescent="0.35">
      <c r="A27884" t="s">
        <v>228</v>
      </c>
      <c r="B27884" t="s">
        <v>245</v>
      </c>
      <c r="C27884" s="26">
        <v>0.68989999999999996</v>
      </c>
      <c r="D27884" s="26">
        <v>0.17849999999999999</v>
      </c>
      <c r="E27884" s="26">
        <v>0.13159999999999999</v>
      </c>
      <c r="F27884">
        <v>38</v>
      </c>
    </row>
    <row r="27885" spans="1:6" x14ac:dyDescent="0.35">
      <c r="A27885" s="27" t="s">
        <v>228</v>
      </c>
      <c r="B27885" s="27" t="s">
        <v>246</v>
      </c>
      <c r="C27885" s="28">
        <v>0.94410000000000005</v>
      </c>
      <c r="D27885" s="28">
        <v>5.5899999999999998E-2</v>
      </c>
      <c r="E27885" s="29"/>
      <c r="F27885" s="29" t="s">
        <v>333</v>
      </c>
    </row>
    <row r="27886" spans="1:6" x14ac:dyDescent="0.35">
      <c r="A27886" t="s">
        <v>229</v>
      </c>
      <c r="B27886" t="s">
        <v>244</v>
      </c>
      <c r="C27886" s="26">
        <v>0.53849999999999998</v>
      </c>
      <c r="D27886" s="26">
        <v>0.46150000000000002</v>
      </c>
      <c r="F27886">
        <v>65</v>
      </c>
    </row>
    <row r="27887" spans="1:6" x14ac:dyDescent="0.35">
      <c r="A27887" s="27" t="s">
        <v>229</v>
      </c>
      <c r="B27887" s="27" t="s">
        <v>245</v>
      </c>
      <c r="C27887" s="28">
        <v>0.49540000000000001</v>
      </c>
      <c r="D27887" s="28">
        <v>0.50460000000000005</v>
      </c>
      <c r="E27887" s="29"/>
      <c r="F27887" s="29" t="s">
        <v>312</v>
      </c>
    </row>
    <row r="27888" spans="1:6" x14ac:dyDescent="0.35">
      <c r="A27888" s="27" t="s">
        <v>229</v>
      </c>
      <c r="B27888" s="27" t="s">
        <v>246</v>
      </c>
      <c r="C27888" s="28">
        <v>0.61580000000000001</v>
      </c>
      <c r="D27888" s="28">
        <v>0.38419999999999999</v>
      </c>
      <c r="E27888" s="29"/>
      <c r="F27888" s="29" t="s">
        <v>333</v>
      </c>
    </row>
    <row r="27889" spans="1:6" x14ac:dyDescent="0.35">
      <c r="A27889" t="s">
        <v>230</v>
      </c>
      <c r="B27889" t="s">
        <v>244</v>
      </c>
      <c r="C27889" s="26">
        <v>0.82289999999999996</v>
      </c>
      <c r="D27889" s="26">
        <v>0.16839999999999999</v>
      </c>
      <c r="E27889" s="26">
        <v>8.8000000000000005E-3</v>
      </c>
      <c r="F27889">
        <v>59</v>
      </c>
    </row>
    <row r="27890" spans="1:6" x14ac:dyDescent="0.35">
      <c r="A27890" s="27" t="s">
        <v>230</v>
      </c>
      <c r="B27890" s="27" t="s">
        <v>245</v>
      </c>
      <c r="C27890" s="28">
        <v>0.81850000000000001</v>
      </c>
      <c r="D27890" s="28">
        <v>0.18149999999999999</v>
      </c>
      <c r="E27890" s="29"/>
      <c r="F27890" s="29" t="s">
        <v>343</v>
      </c>
    </row>
    <row r="27891" spans="1:6" x14ac:dyDescent="0.35">
      <c r="A27891" s="27" t="s">
        <v>230</v>
      </c>
      <c r="B27891" s="27" t="s">
        <v>246</v>
      </c>
      <c r="C27891" s="28">
        <v>0.77580000000000005</v>
      </c>
      <c r="D27891" s="28">
        <v>0.22420000000000001</v>
      </c>
      <c r="E27891" s="29"/>
      <c r="F27891" s="29" t="s">
        <v>335</v>
      </c>
    </row>
    <row r="27892" spans="1:6" x14ac:dyDescent="0.35">
      <c r="A27892" s="27" t="s">
        <v>231</v>
      </c>
      <c r="B27892" s="27" t="s">
        <v>244</v>
      </c>
      <c r="C27892" s="28">
        <v>0.45450000000000002</v>
      </c>
      <c r="D27892" s="28">
        <v>0.54549999999999998</v>
      </c>
      <c r="E27892" s="29"/>
      <c r="F27892" s="29" t="s">
        <v>352</v>
      </c>
    </row>
    <row r="27893" spans="1:6" x14ac:dyDescent="0.35">
      <c r="A27893" s="27" t="s">
        <v>231</v>
      </c>
      <c r="B27893" s="27" t="s">
        <v>245</v>
      </c>
      <c r="C27893" s="28">
        <v>0.5</v>
      </c>
      <c r="D27893" s="28">
        <v>0.5</v>
      </c>
      <c r="E27893" s="29"/>
      <c r="F27893" s="29" t="s">
        <v>314</v>
      </c>
    </row>
    <row r="27894" spans="1:6" x14ac:dyDescent="0.35">
      <c r="A27894" t="s">
        <v>232</v>
      </c>
      <c r="B27894" t="s">
        <v>232</v>
      </c>
      <c r="C27894" s="26">
        <v>0.59989999999999999</v>
      </c>
      <c r="D27894" s="26">
        <v>0.38919999999999999</v>
      </c>
      <c r="E27894" s="26">
        <v>1.09E-2</v>
      </c>
      <c r="F27894">
        <v>357</v>
      </c>
    </row>
    <row r="27896" spans="1:6" x14ac:dyDescent="0.35">
      <c r="A27896" s="1" t="s">
        <v>2514</v>
      </c>
    </row>
    <row r="27897" spans="1:6" x14ac:dyDescent="0.35">
      <c r="A27897" t="s">
        <v>219</v>
      </c>
      <c r="B27897" t="s">
        <v>305</v>
      </c>
      <c r="C27897" t="s">
        <v>303</v>
      </c>
      <c r="D27897" t="s">
        <v>302</v>
      </c>
      <c r="E27897" t="s">
        <v>281</v>
      </c>
      <c r="F27897" t="s">
        <v>226</v>
      </c>
    </row>
    <row r="27898" spans="1:6" x14ac:dyDescent="0.35">
      <c r="A27898" s="27" t="s">
        <v>227</v>
      </c>
      <c r="B27898" s="27" t="s">
        <v>363</v>
      </c>
      <c r="C27898" s="28">
        <v>1</v>
      </c>
      <c r="D27898" s="29"/>
      <c r="E27898" s="29"/>
      <c r="F27898" s="29" t="s">
        <v>332</v>
      </c>
    </row>
    <row r="27899" spans="1:6" x14ac:dyDescent="0.35">
      <c r="A27899" s="27" t="s">
        <v>227</v>
      </c>
      <c r="B27899" s="27" t="s">
        <v>360</v>
      </c>
      <c r="C27899" s="28">
        <v>0.25</v>
      </c>
      <c r="D27899" s="28">
        <v>0.75</v>
      </c>
      <c r="E27899" s="29"/>
      <c r="F27899" s="29" t="s">
        <v>333</v>
      </c>
    </row>
    <row r="27900" spans="1:6" x14ac:dyDescent="0.35">
      <c r="A27900" s="27" t="s">
        <v>227</v>
      </c>
      <c r="B27900" s="27" t="s">
        <v>362</v>
      </c>
      <c r="C27900" s="28">
        <v>0.66669999999999996</v>
      </c>
      <c r="D27900" s="28">
        <v>0.33329999999999999</v>
      </c>
      <c r="E27900" s="29"/>
      <c r="F27900" s="29" t="s">
        <v>335</v>
      </c>
    </row>
    <row r="27901" spans="1:6" x14ac:dyDescent="0.35">
      <c r="A27901" s="27" t="s">
        <v>227</v>
      </c>
      <c r="B27901" s="27" t="s">
        <v>361</v>
      </c>
      <c r="C27901" s="28">
        <v>1</v>
      </c>
      <c r="D27901" s="29"/>
      <c r="E27901" s="29"/>
      <c r="F27901" s="29" t="s">
        <v>315</v>
      </c>
    </row>
    <row r="27902" spans="1:6" x14ac:dyDescent="0.35">
      <c r="A27902" t="s">
        <v>228</v>
      </c>
      <c r="B27902" t="s">
        <v>362</v>
      </c>
      <c r="C27902" s="26">
        <v>0.72289999999999999</v>
      </c>
      <c r="D27902" s="26">
        <v>0.27710000000000001</v>
      </c>
      <c r="F27902">
        <v>38</v>
      </c>
    </row>
    <row r="27903" spans="1:6" x14ac:dyDescent="0.35">
      <c r="A27903" t="s">
        <v>228</v>
      </c>
      <c r="B27903" t="s">
        <v>363</v>
      </c>
      <c r="C27903" s="26">
        <v>0.76780000000000004</v>
      </c>
      <c r="D27903" s="26">
        <v>0.18679999999999999</v>
      </c>
      <c r="E27903" s="26">
        <v>4.5400000000000003E-2</v>
      </c>
      <c r="F27903">
        <v>30</v>
      </c>
    </row>
    <row r="27904" spans="1:6" x14ac:dyDescent="0.35">
      <c r="A27904" s="27" t="s">
        <v>228</v>
      </c>
      <c r="B27904" s="27" t="s">
        <v>361</v>
      </c>
      <c r="C27904" s="28">
        <v>0.51060000000000005</v>
      </c>
      <c r="D27904" s="28">
        <v>0.28470000000000001</v>
      </c>
      <c r="E27904" s="28">
        <v>0.20469999999999999</v>
      </c>
      <c r="F27904" s="29" t="s">
        <v>349</v>
      </c>
    </row>
    <row r="27905" spans="1:6" x14ac:dyDescent="0.35">
      <c r="A27905" t="s">
        <v>228</v>
      </c>
      <c r="B27905" t="s">
        <v>360</v>
      </c>
      <c r="C27905" s="26">
        <v>0.61329999999999996</v>
      </c>
      <c r="D27905" s="26">
        <v>0.35249999999999998</v>
      </c>
      <c r="E27905" s="26">
        <v>3.4200000000000001E-2</v>
      </c>
      <c r="F27905">
        <v>36</v>
      </c>
    </row>
    <row r="27906" spans="1:6" x14ac:dyDescent="0.35">
      <c r="A27906" s="27" t="s">
        <v>229</v>
      </c>
      <c r="B27906" s="27" t="s">
        <v>361</v>
      </c>
      <c r="C27906" s="28">
        <v>0.55100000000000005</v>
      </c>
      <c r="D27906" s="28">
        <v>0.44900000000000001</v>
      </c>
      <c r="E27906" s="29"/>
      <c r="F27906" s="29" t="s">
        <v>338</v>
      </c>
    </row>
    <row r="27907" spans="1:6" x14ac:dyDescent="0.35">
      <c r="A27907" s="27" t="s">
        <v>229</v>
      </c>
      <c r="B27907" s="27" t="s">
        <v>362</v>
      </c>
      <c r="C27907" s="28">
        <v>0.47960000000000003</v>
      </c>
      <c r="D27907" s="28">
        <v>0.52039999999999997</v>
      </c>
      <c r="E27907" s="29"/>
      <c r="F27907" s="29" t="s">
        <v>379</v>
      </c>
    </row>
    <row r="27908" spans="1:6" x14ac:dyDescent="0.35">
      <c r="A27908" s="27" t="s">
        <v>229</v>
      </c>
      <c r="B27908" s="27" t="s">
        <v>360</v>
      </c>
      <c r="C27908" s="28">
        <v>0.6</v>
      </c>
      <c r="D27908" s="28">
        <v>0.4</v>
      </c>
      <c r="E27908" s="29"/>
      <c r="F27908" s="29" t="s">
        <v>349</v>
      </c>
    </row>
    <row r="27909" spans="1:6" x14ac:dyDescent="0.35">
      <c r="A27909" s="27" t="s">
        <v>229</v>
      </c>
      <c r="B27909" s="27" t="s">
        <v>363</v>
      </c>
      <c r="C27909" s="28">
        <v>0.32419999999999999</v>
      </c>
      <c r="D27909" s="28">
        <v>0.67579999999999996</v>
      </c>
      <c r="E27909" s="29"/>
      <c r="F27909" s="29" t="s">
        <v>347</v>
      </c>
    </row>
    <row r="27910" spans="1:6" x14ac:dyDescent="0.35">
      <c r="A27910" s="27" t="s">
        <v>230</v>
      </c>
      <c r="B27910" s="27" t="s">
        <v>361</v>
      </c>
      <c r="C27910" s="28">
        <v>0.8337</v>
      </c>
      <c r="D27910" s="28">
        <v>0.1663</v>
      </c>
      <c r="E27910" s="29"/>
      <c r="F27910" s="29" t="s">
        <v>348</v>
      </c>
    </row>
    <row r="27911" spans="1:6" x14ac:dyDescent="0.35">
      <c r="A27911" s="27" t="s">
        <v>230</v>
      </c>
      <c r="B27911" s="27" t="s">
        <v>363</v>
      </c>
      <c r="C27911" s="28">
        <v>0.96830000000000005</v>
      </c>
      <c r="D27911" s="28">
        <v>3.1699999999999999E-2</v>
      </c>
      <c r="E27911" s="29"/>
      <c r="F27911" s="29" t="s">
        <v>353</v>
      </c>
    </row>
    <row r="27912" spans="1:6" x14ac:dyDescent="0.35">
      <c r="A27912" s="27" t="s">
        <v>230</v>
      </c>
      <c r="B27912" s="27" t="s">
        <v>360</v>
      </c>
      <c r="C27912" s="28">
        <v>0.622</v>
      </c>
      <c r="D27912" s="28">
        <v>0.378</v>
      </c>
      <c r="E27912" s="29"/>
      <c r="F27912" s="29" t="s">
        <v>350</v>
      </c>
    </row>
    <row r="27913" spans="1:6" x14ac:dyDescent="0.35">
      <c r="A27913" s="27" t="s">
        <v>230</v>
      </c>
      <c r="B27913" s="27" t="s">
        <v>362</v>
      </c>
      <c r="C27913" s="28">
        <v>0.92849999999999999</v>
      </c>
      <c r="D27913" s="28">
        <v>7.1499999999999994E-2</v>
      </c>
      <c r="E27913" s="29"/>
      <c r="F27913" s="29" t="s">
        <v>347</v>
      </c>
    </row>
    <row r="27914" spans="1:6" x14ac:dyDescent="0.35">
      <c r="A27914" s="27" t="s">
        <v>231</v>
      </c>
      <c r="B27914" s="27" t="s">
        <v>360</v>
      </c>
      <c r="C27914" s="28">
        <v>1</v>
      </c>
      <c r="D27914" s="29"/>
      <c r="E27914" s="29"/>
      <c r="F27914" s="29" t="s">
        <v>331</v>
      </c>
    </row>
    <row r="27915" spans="1:6" x14ac:dyDescent="0.35">
      <c r="A27915" s="27" t="s">
        <v>231</v>
      </c>
      <c r="B27915" s="27" t="s">
        <v>362</v>
      </c>
      <c r="C27915" s="28">
        <v>0.2</v>
      </c>
      <c r="D27915" s="28">
        <v>0.8</v>
      </c>
      <c r="E27915" s="29"/>
      <c r="F27915" s="29" t="s">
        <v>332</v>
      </c>
    </row>
    <row r="27916" spans="1:6" x14ac:dyDescent="0.35">
      <c r="A27916" s="27" t="s">
        <v>231</v>
      </c>
      <c r="B27916" s="27" t="s">
        <v>361</v>
      </c>
      <c r="C27916" s="28">
        <v>0.66669999999999996</v>
      </c>
      <c r="D27916" s="28">
        <v>0.33329999999999999</v>
      </c>
      <c r="E27916" s="29"/>
      <c r="F27916" s="29" t="s">
        <v>315</v>
      </c>
    </row>
    <row r="27917" spans="1:6" x14ac:dyDescent="0.35">
      <c r="A27917" s="27" t="s">
        <v>231</v>
      </c>
      <c r="B27917" s="27" t="s">
        <v>363</v>
      </c>
      <c r="C27917" s="28">
        <v>0.66669999999999996</v>
      </c>
      <c r="D27917" s="28">
        <v>0.33329999999999999</v>
      </c>
      <c r="E27917" s="29"/>
      <c r="F27917" s="29" t="s">
        <v>315</v>
      </c>
    </row>
    <row r="27918" spans="1:6" x14ac:dyDescent="0.35">
      <c r="A27918" t="s">
        <v>232</v>
      </c>
      <c r="B27918" t="s">
        <v>232</v>
      </c>
      <c r="C27918" s="26">
        <v>0.59989999999999999</v>
      </c>
      <c r="D27918" s="26">
        <v>0.38919999999999999</v>
      </c>
      <c r="E27918" s="26">
        <v>1.09E-2</v>
      </c>
      <c r="F27918">
        <v>315</v>
      </c>
    </row>
    <row r="27920" spans="1:6" x14ac:dyDescent="0.35">
      <c r="A27920" s="1" t="s">
        <v>2515</v>
      </c>
    </row>
    <row r="27921" spans="1:6" x14ac:dyDescent="0.35">
      <c r="A27921" t="s">
        <v>219</v>
      </c>
      <c r="B27921" t="s">
        <v>305</v>
      </c>
      <c r="C27921" t="s">
        <v>303</v>
      </c>
      <c r="D27921" t="s">
        <v>302</v>
      </c>
      <c r="E27921" t="s">
        <v>281</v>
      </c>
      <c r="F27921" t="s">
        <v>226</v>
      </c>
    </row>
    <row r="27922" spans="1:6" x14ac:dyDescent="0.35">
      <c r="A27922" s="27" t="s">
        <v>227</v>
      </c>
      <c r="B27922" s="27" t="s">
        <v>267</v>
      </c>
      <c r="C27922" s="28">
        <v>0.625</v>
      </c>
      <c r="D27922" s="28">
        <v>0.375</v>
      </c>
      <c r="E27922" s="29"/>
      <c r="F27922" s="29" t="s">
        <v>333</v>
      </c>
    </row>
    <row r="27923" spans="1:6" x14ac:dyDescent="0.35">
      <c r="A27923" s="27" t="s">
        <v>227</v>
      </c>
      <c r="B27923" s="27" t="s">
        <v>266</v>
      </c>
      <c r="C27923" s="28">
        <v>0.6</v>
      </c>
      <c r="D27923" s="28">
        <v>0.4</v>
      </c>
      <c r="E27923" s="29"/>
      <c r="F27923" s="29" t="s">
        <v>332</v>
      </c>
    </row>
    <row r="27924" spans="1:6" x14ac:dyDescent="0.35">
      <c r="A27924" s="27" t="s">
        <v>227</v>
      </c>
      <c r="B27924" s="27" t="s">
        <v>265</v>
      </c>
      <c r="C27924" s="28">
        <v>0.66669999999999996</v>
      </c>
      <c r="D27924" s="28">
        <v>0.33329999999999999</v>
      </c>
      <c r="E27924" s="29"/>
      <c r="F27924" s="29" t="s">
        <v>334</v>
      </c>
    </row>
    <row r="27925" spans="1:6" x14ac:dyDescent="0.35">
      <c r="A27925" s="27" t="s">
        <v>228</v>
      </c>
      <c r="B27925" s="27" t="s">
        <v>267</v>
      </c>
      <c r="C27925" s="28">
        <v>0.64339999999999997</v>
      </c>
      <c r="D27925" s="28">
        <v>0.11849999999999999</v>
      </c>
      <c r="E27925" s="28">
        <v>0.23810000000000001</v>
      </c>
      <c r="F27925" s="29" t="s">
        <v>349</v>
      </c>
    </row>
    <row r="27926" spans="1:6" x14ac:dyDescent="0.35">
      <c r="A27926" t="s">
        <v>228</v>
      </c>
      <c r="B27926" t="s">
        <v>265</v>
      </c>
      <c r="C27926" s="26">
        <v>0.71779999999999999</v>
      </c>
      <c r="D27926" s="26">
        <v>0.2457</v>
      </c>
      <c r="E27926" s="26">
        <v>3.6499999999999998E-2</v>
      </c>
      <c r="F27926">
        <v>54</v>
      </c>
    </row>
    <row r="27927" spans="1:6" x14ac:dyDescent="0.35">
      <c r="A27927" s="27" t="s">
        <v>228</v>
      </c>
      <c r="B27927" s="27" t="s">
        <v>236</v>
      </c>
      <c r="C27927" s="28">
        <v>1</v>
      </c>
      <c r="D27927" s="29"/>
      <c r="E27927" s="29"/>
      <c r="F27927" s="29" t="s">
        <v>331</v>
      </c>
    </row>
    <row r="27928" spans="1:6" x14ac:dyDescent="0.35">
      <c r="A27928" t="s">
        <v>228</v>
      </c>
      <c r="B27928" t="s">
        <v>266</v>
      </c>
      <c r="C27928" s="26">
        <v>0.61699999999999999</v>
      </c>
      <c r="D27928" s="26">
        <v>0.36130000000000001</v>
      </c>
      <c r="E27928" s="26">
        <v>2.1700000000000001E-2</v>
      </c>
      <c r="F27928">
        <v>68</v>
      </c>
    </row>
    <row r="27929" spans="1:6" x14ac:dyDescent="0.35">
      <c r="A27929" t="s">
        <v>229</v>
      </c>
      <c r="B27929" t="s">
        <v>266</v>
      </c>
      <c r="C27929" s="26">
        <v>0.45789999999999997</v>
      </c>
      <c r="D27929" s="26">
        <v>0.54210000000000003</v>
      </c>
      <c r="F27929">
        <v>42</v>
      </c>
    </row>
    <row r="27930" spans="1:6" x14ac:dyDescent="0.35">
      <c r="A27930" s="27" t="s">
        <v>229</v>
      </c>
      <c r="B27930" s="27" t="s">
        <v>267</v>
      </c>
      <c r="C27930" s="28">
        <v>0.72160000000000002</v>
      </c>
      <c r="D27930" s="28">
        <v>0.27839999999999998</v>
      </c>
      <c r="E27930" s="29"/>
      <c r="F27930" s="29" t="s">
        <v>307</v>
      </c>
    </row>
    <row r="27931" spans="1:6" x14ac:dyDescent="0.35">
      <c r="A27931" t="s">
        <v>229</v>
      </c>
      <c r="B27931" t="s">
        <v>265</v>
      </c>
      <c r="C27931" s="26">
        <v>0.5554</v>
      </c>
      <c r="D27931" s="26">
        <v>0.4446</v>
      </c>
      <c r="F27931">
        <v>46</v>
      </c>
    </row>
    <row r="27932" spans="1:6" x14ac:dyDescent="0.35">
      <c r="A27932" s="27" t="s">
        <v>230</v>
      </c>
      <c r="B27932" s="27" t="s">
        <v>267</v>
      </c>
      <c r="C27932" s="28">
        <v>0.82699999999999996</v>
      </c>
      <c r="D27932" s="28">
        <v>0.17299999999999999</v>
      </c>
      <c r="E27932" s="29"/>
      <c r="F27932" s="29" t="s">
        <v>346</v>
      </c>
    </row>
    <row r="27933" spans="1:6" x14ac:dyDescent="0.35">
      <c r="A27933" t="s">
        <v>230</v>
      </c>
      <c r="B27933" t="s">
        <v>266</v>
      </c>
      <c r="C27933" s="26">
        <v>0.81059999999999999</v>
      </c>
      <c r="D27933" s="26">
        <v>0.17180000000000001</v>
      </c>
      <c r="E27933" s="26">
        <v>1.7600000000000001E-2</v>
      </c>
      <c r="F27933">
        <v>38</v>
      </c>
    </row>
    <row r="27934" spans="1:6" x14ac:dyDescent="0.35">
      <c r="A27934" s="27" t="s">
        <v>230</v>
      </c>
      <c r="B27934" s="27" t="s">
        <v>265</v>
      </c>
      <c r="C27934" s="28">
        <v>0.82110000000000005</v>
      </c>
      <c r="D27934" s="28">
        <v>0.1789</v>
      </c>
      <c r="E27934" s="29"/>
      <c r="F27934" s="29" t="s">
        <v>329</v>
      </c>
    </row>
    <row r="27935" spans="1:6" x14ac:dyDescent="0.35">
      <c r="A27935" s="27" t="s">
        <v>231</v>
      </c>
      <c r="B27935" s="27" t="s">
        <v>267</v>
      </c>
      <c r="C27935" s="28">
        <v>0.5</v>
      </c>
      <c r="D27935" s="28">
        <v>0.5</v>
      </c>
      <c r="E27935" s="29"/>
      <c r="F27935" s="29" t="s">
        <v>337</v>
      </c>
    </row>
    <row r="27936" spans="1:6" x14ac:dyDescent="0.35">
      <c r="A27936" s="27" t="s">
        <v>231</v>
      </c>
      <c r="B27936" s="27" t="s">
        <v>266</v>
      </c>
      <c r="C27936" s="28">
        <v>0.33329999999999999</v>
      </c>
      <c r="D27936" s="28">
        <v>0.66669999999999996</v>
      </c>
      <c r="E27936" s="29"/>
      <c r="F27936" s="29" t="s">
        <v>315</v>
      </c>
    </row>
    <row r="27937" spans="1:6" x14ac:dyDescent="0.35">
      <c r="A27937" s="27" t="s">
        <v>231</v>
      </c>
      <c r="B27937" s="27" t="s">
        <v>265</v>
      </c>
      <c r="C27937" s="28">
        <v>0.5</v>
      </c>
      <c r="D27937" s="28">
        <v>0.5</v>
      </c>
      <c r="E27937" s="29"/>
      <c r="F27937" s="29" t="s">
        <v>335</v>
      </c>
    </row>
    <row r="27938" spans="1:6" x14ac:dyDescent="0.35">
      <c r="A27938" t="s">
        <v>232</v>
      </c>
      <c r="B27938" t="s">
        <v>232</v>
      </c>
      <c r="C27938" s="26">
        <v>0.59989999999999999</v>
      </c>
      <c r="D27938" s="26">
        <v>0.38919999999999999</v>
      </c>
      <c r="E27938" s="26">
        <v>1.09E-2</v>
      </c>
      <c r="F27938">
        <v>357</v>
      </c>
    </row>
    <row r="27940" spans="1:6" x14ac:dyDescent="0.35">
      <c r="A27940" s="1" t="s">
        <v>2516</v>
      </c>
    </row>
    <row r="27941" spans="1:6" x14ac:dyDescent="0.35">
      <c r="A27941" t="s">
        <v>219</v>
      </c>
      <c r="B27941" t="s">
        <v>305</v>
      </c>
      <c r="C27941" t="s">
        <v>303</v>
      </c>
      <c r="D27941" t="s">
        <v>302</v>
      </c>
      <c r="E27941" t="s">
        <v>281</v>
      </c>
      <c r="F27941" t="s">
        <v>226</v>
      </c>
    </row>
    <row r="27942" spans="1:6" x14ac:dyDescent="0.35">
      <c r="A27942" s="27" t="s">
        <v>227</v>
      </c>
      <c r="B27942" s="27" t="s">
        <v>252</v>
      </c>
      <c r="C27942" s="28">
        <v>0.8</v>
      </c>
      <c r="D27942" s="28">
        <v>0.2</v>
      </c>
      <c r="E27942" s="29"/>
      <c r="F27942" s="29" t="s">
        <v>332</v>
      </c>
    </row>
    <row r="27943" spans="1:6" x14ac:dyDescent="0.35">
      <c r="A27943" s="27" t="s">
        <v>227</v>
      </c>
      <c r="B27943" s="27" t="s">
        <v>253</v>
      </c>
      <c r="C27943" s="28">
        <v>0.25</v>
      </c>
      <c r="D27943" s="28">
        <v>0.75</v>
      </c>
      <c r="E27943" s="29"/>
      <c r="F27943" s="29" t="s">
        <v>337</v>
      </c>
    </row>
    <row r="27944" spans="1:6" x14ac:dyDescent="0.35">
      <c r="A27944" s="27" t="s">
        <v>227</v>
      </c>
      <c r="B27944" s="27" t="s">
        <v>251</v>
      </c>
      <c r="C27944" s="28">
        <v>0.69230000000000003</v>
      </c>
      <c r="D27944" s="28">
        <v>0.30769999999999997</v>
      </c>
      <c r="E27944" s="29"/>
      <c r="F27944" s="29" t="s">
        <v>341</v>
      </c>
    </row>
    <row r="27945" spans="1:6" x14ac:dyDescent="0.35">
      <c r="A27945" t="s">
        <v>228</v>
      </c>
      <c r="B27945" t="s">
        <v>252</v>
      </c>
      <c r="C27945" s="26">
        <v>0.75970000000000004</v>
      </c>
      <c r="D27945" s="26">
        <v>0.2225</v>
      </c>
      <c r="E27945" s="26">
        <v>1.78E-2</v>
      </c>
      <c r="F27945">
        <v>42</v>
      </c>
    </row>
    <row r="27946" spans="1:6" x14ac:dyDescent="0.35">
      <c r="A27946" t="s">
        <v>228</v>
      </c>
      <c r="B27946" t="s">
        <v>253</v>
      </c>
      <c r="C27946" s="26">
        <v>0.76339999999999997</v>
      </c>
      <c r="D27946" s="26">
        <v>0.18940000000000001</v>
      </c>
      <c r="E27946" s="26">
        <v>4.7199999999999999E-2</v>
      </c>
      <c r="F27946">
        <v>32</v>
      </c>
    </row>
    <row r="27947" spans="1:6" x14ac:dyDescent="0.35">
      <c r="A27947" t="s">
        <v>228</v>
      </c>
      <c r="B27947" t="s">
        <v>251</v>
      </c>
      <c r="C27947" s="26">
        <v>0.5897</v>
      </c>
      <c r="D27947" s="26">
        <v>0.3332</v>
      </c>
      <c r="E27947" s="26">
        <v>7.7100000000000002E-2</v>
      </c>
      <c r="F27947">
        <v>68</v>
      </c>
    </row>
    <row r="27948" spans="1:6" x14ac:dyDescent="0.35">
      <c r="A27948" s="27" t="s">
        <v>229</v>
      </c>
      <c r="B27948" s="27" t="s">
        <v>252</v>
      </c>
      <c r="C27948" s="28">
        <v>0.56640000000000001</v>
      </c>
      <c r="D27948" s="28">
        <v>0.43359999999999999</v>
      </c>
      <c r="E27948" s="29"/>
      <c r="F27948" s="29" t="s">
        <v>341</v>
      </c>
    </row>
    <row r="27949" spans="1:6" x14ac:dyDescent="0.35">
      <c r="A27949" s="27" t="s">
        <v>229</v>
      </c>
      <c r="B27949" s="27" t="s">
        <v>253</v>
      </c>
      <c r="C27949" s="28">
        <v>0.56899999999999995</v>
      </c>
      <c r="D27949" s="28">
        <v>0.43099999999999999</v>
      </c>
      <c r="E27949" s="29"/>
      <c r="F27949" s="29" t="s">
        <v>342</v>
      </c>
    </row>
    <row r="27950" spans="1:6" x14ac:dyDescent="0.35">
      <c r="A27950" t="s">
        <v>229</v>
      </c>
      <c r="B27950" t="s">
        <v>251</v>
      </c>
      <c r="C27950" s="26">
        <v>0.52200000000000002</v>
      </c>
      <c r="D27950" s="26">
        <v>0.47799999999999998</v>
      </c>
      <c r="F27950">
        <v>73</v>
      </c>
    </row>
    <row r="27951" spans="1:6" x14ac:dyDescent="0.35">
      <c r="A27951" s="27" t="s">
        <v>230</v>
      </c>
      <c r="B27951" s="27" t="s">
        <v>252</v>
      </c>
      <c r="C27951" s="28">
        <v>0.93669999999999998</v>
      </c>
      <c r="D27951" s="28">
        <v>4.3999999999999997E-2</v>
      </c>
      <c r="E27951" s="28">
        <v>1.9300000000000001E-2</v>
      </c>
      <c r="F27951" s="29" t="s">
        <v>328</v>
      </c>
    </row>
    <row r="27952" spans="1:6" x14ac:dyDescent="0.35">
      <c r="A27952" s="27" t="s">
        <v>230</v>
      </c>
      <c r="B27952" s="27" t="s">
        <v>253</v>
      </c>
      <c r="C27952" s="28">
        <v>0.96499999999999997</v>
      </c>
      <c r="D27952" s="28">
        <v>3.5000000000000003E-2</v>
      </c>
      <c r="E27952" s="29"/>
      <c r="F27952" s="29" t="s">
        <v>353</v>
      </c>
    </row>
    <row r="27953" spans="1:6" x14ac:dyDescent="0.35">
      <c r="A27953" t="s">
        <v>230</v>
      </c>
      <c r="B27953" t="s">
        <v>251</v>
      </c>
      <c r="C27953" s="26">
        <v>0.72470000000000001</v>
      </c>
      <c r="D27953" s="26">
        <v>0.27529999999999999</v>
      </c>
      <c r="F27953">
        <v>41</v>
      </c>
    </row>
    <row r="27954" spans="1:6" x14ac:dyDescent="0.35">
      <c r="A27954" s="27" t="s">
        <v>231</v>
      </c>
      <c r="B27954" s="27" t="s">
        <v>252</v>
      </c>
      <c r="C27954" s="28">
        <v>1</v>
      </c>
      <c r="D27954" s="29"/>
      <c r="E27954" s="29"/>
      <c r="F27954" s="29" t="s">
        <v>331</v>
      </c>
    </row>
    <row r="27955" spans="1:6" x14ac:dyDescent="0.35">
      <c r="A27955" s="27" t="s">
        <v>231</v>
      </c>
      <c r="B27955" s="27" t="s">
        <v>253</v>
      </c>
      <c r="C27955" s="28">
        <v>0.5</v>
      </c>
      <c r="D27955" s="28">
        <v>0.5</v>
      </c>
      <c r="E27955" s="29"/>
      <c r="F27955" s="29" t="s">
        <v>337</v>
      </c>
    </row>
    <row r="27956" spans="1:6" x14ac:dyDescent="0.35">
      <c r="A27956" s="27" t="s">
        <v>231</v>
      </c>
      <c r="B27956" s="27" t="s">
        <v>251</v>
      </c>
      <c r="C27956" s="28">
        <v>0.375</v>
      </c>
      <c r="D27956" s="28">
        <v>0.625</v>
      </c>
      <c r="E27956" s="29"/>
      <c r="F27956" s="29" t="s">
        <v>333</v>
      </c>
    </row>
    <row r="27957" spans="1:6" x14ac:dyDescent="0.35">
      <c r="A27957" t="s">
        <v>232</v>
      </c>
      <c r="B27957" t="s">
        <v>232</v>
      </c>
      <c r="C27957" s="26">
        <v>0.59989999999999999</v>
      </c>
      <c r="D27957" s="26">
        <v>0.38919999999999999</v>
      </c>
      <c r="E27957" s="26">
        <v>1.09E-2</v>
      </c>
      <c r="F27957">
        <v>357</v>
      </c>
    </row>
    <row r="27959" spans="1:6" x14ac:dyDescent="0.35">
      <c r="A27959" s="1" t="s">
        <v>2517</v>
      </c>
    </row>
    <row r="27960" spans="1:6" x14ac:dyDescent="0.35">
      <c r="A27960" t="s">
        <v>219</v>
      </c>
      <c r="B27960" t="s">
        <v>305</v>
      </c>
      <c r="C27960" t="s">
        <v>303</v>
      </c>
      <c r="D27960" t="s">
        <v>302</v>
      </c>
      <c r="E27960" t="s">
        <v>281</v>
      </c>
      <c r="F27960" t="s">
        <v>226</v>
      </c>
    </row>
    <row r="27961" spans="1:6" x14ac:dyDescent="0.35">
      <c r="A27961" s="27" t="s">
        <v>227</v>
      </c>
      <c r="B27961" s="27" t="s">
        <v>249</v>
      </c>
      <c r="C27961" s="28">
        <v>0.625</v>
      </c>
      <c r="D27961" s="28">
        <v>0.375</v>
      </c>
      <c r="E27961" s="29"/>
      <c r="F27961" s="29" t="s">
        <v>333</v>
      </c>
    </row>
    <row r="27962" spans="1:6" x14ac:dyDescent="0.35">
      <c r="A27962" s="27" t="s">
        <v>227</v>
      </c>
      <c r="B27962" s="27" t="s">
        <v>248</v>
      </c>
      <c r="C27962" s="28">
        <v>0.64290000000000003</v>
      </c>
      <c r="D27962" s="28">
        <v>0.35709999999999997</v>
      </c>
      <c r="E27962" s="29"/>
      <c r="F27962" s="29" t="s">
        <v>379</v>
      </c>
    </row>
    <row r="27963" spans="1:6" x14ac:dyDescent="0.35">
      <c r="A27963" t="s">
        <v>228</v>
      </c>
      <c r="B27963" t="s">
        <v>249</v>
      </c>
      <c r="C27963" s="26">
        <v>0.64180000000000004</v>
      </c>
      <c r="D27963" s="26">
        <v>0.35820000000000002</v>
      </c>
      <c r="F27963">
        <v>49</v>
      </c>
    </row>
    <row r="27964" spans="1:6" x14ac:dyDescent="0.35">
      <c r="A27964" t="s">
        <v>228</v>
      </c>
      <c r="B27964" t="s">
        <v>248</v>
      </c>
      <c r="C27964" s="26">
        <v>0.68799999999999994</v>
      </c>
      <c r="D27964" s="26">
        <v>0.22489999999999999</v>
      </c>
      <c r="E27964" s="26">
        <v>8.7099999999999997E-2</v>
      </c>
      <c r="F27964">
        <v>93</v>
      </c>
    </row>
    <row r="27965" spans="1:6" x14ac:dyDescent="0.35">
      <c r="A27965" t="s">
        <v>229</v>
      </c>
      <c r="B27965" t="s">
        <v>249</v>
      </c>
      <c r="C27965" s="26">
        <v>0.44359999999999999</v>
      </c>
      <c r="D27965" s="26">
        <v>0.55640000000000001</v>
      </c>
      <c r="F27965">
        <v>33</v>
      </c>
    </row>
    <row r="27966" spans="1:6" x14ac:dyDescent="0.35">
      <c r="A27966" t="s">
        <v>229</v>
      </c>
      <c r="B27966" t="s">
        <v>248</v>
      </c>
      <c r="C27966" s="26">
        <v>0.59399999999999997</v>
      </c>
      <c r="D27966" s="26">
        <v>0.40600000000000003</v>
      </c>
      <c r="F27966">
        <v>65</v>
      </c>
    </row>
    <row r="27967" spans="1:6" x14ac:dyDescent="0.35">
      <c r="A27967" t="s">
        <v>230</v>
      </c>
      <c r="B27967" t="s">
        <v>249</v>
      </c>
      <c r="C27967" s="26">
        <v>0.6502</v>
      </c>
      <c r="D27967" s="26">
        <v>0.3498</v>
      </c>
      <c r="F27967">
        <v>31</v>
      </c>
    </row>
    <row r="27968" spans="1:6" x14ac:dyDescent="0.35">
      <c r="A27968" t="s">
        <v>230</v>
      </c>
      <c r="B27968" t="s">
        <v>248</v>
      </c>
      <c r="C27968" s="26">
        <v>0.90280000000000005</v>
      </c>
      <c r="D27968" s="26">
        <v>8.7800000000000003E-2</v>
      </c>
      <c r="E27968" s="26">
        <v>9.2999999999999992E-3</v>
      </c>
      <c r="F27968">
        <v>51</v>
      </c>
    </row>
    <row r="27969" spans="1:6" x14ac:dyDescent="0.35">
      <c r="A27969" s="27" t="s">
        <v>231</v>
      </c>
      <c r="B27969" s="27" t="s">
        <v>249</v>
      </c>
      <c r="C27969" s="28">
        <v>0.5</v>
      </c>
      <c r="D27969" s="28">
        <v>0.5</v>
      </c>
      <c r="E27969" s="29"/>
      <c r="F27969" s="29" t="s">
        <v>314</v>
      </c>
    </row>
    <row r="27970" spans="1:6" x14ac:dyDescent="0.35">
      <c r="A27970" s="27" t="s">
        <v>231</v>
      </c>
      <c r="B27970" s="27" t="s">
        <v>248</v>
      </c>
      <c r="C27970" s="28">
        <v>0.45450000000000002</v>
      </c>
      <c r="D27970" s="28">
        <v>0.54549999999999998</v>
      </c>
      <c r="E27970" s="29"/>
      <c r="F27970" s="29" t="s">
        <v>352</v>
      </c>
    </row>
    <row r="27971" spans="1:6" x14ac:dyDescent="0.35">
      <c r="A27971" t="s">
        <v>232</v>
      </c>
      <c r="B27971" t="s">
        <v>232</v>
      </c>
      <c r="C27971" s="26">
        <v>0.59989999999999999</v>
      </c>
      <c r="D27971" s="26">
        <v>0.38919999999999999</v>
      </c>
      <c r="E27971" s="26">
        <v>1.09E-2</v>
      </c>
      <c r="F27971">
        <v>357</v>
      </c>
    </row>
    <row r="27973" spans="1:6" x14ac:dyDescent="0.35">
      <c r="A27973" s="1" t="s">
        <v>2518</v>
      </c>
    </row>
    <row r="27974" spans="1:6" x14ac:dyDescent="0.35">
      <c r="A27974" t="s">
        <v>219</v>
      </c>
      <c r="B27974" t="s">
        <v>305</v>
      </c>
      <c r="C27974" t="s">
        <v>303</v>
      </c>
      <c r="D27974" t="s">
        <v>302</v>
      </c>
      <c r="E27974" t="s">
        <v>281</v>
      </c>
      <c r="F27974" t="s">
        <v>226</v>
      </c>
    </row>
    <row r="27975" spans="1:6" x14ac:dyDescent="0.35">
      <c r="A27975" s="27" t="s">
        <v>227</v>
      </c>
      <c r="B27975" s="27" t="s">
        <v>260</v>
      </c>
      <c r="C27975" s="28">
        <v>0.63639999999999997</v>
      </c>
      <c r="D27975" s="28">
        <v>0.36359999999999998</v>
      </c>
      <c r="E27975" s="29"/>
      <c r="F27975" s="29" t="s">
        <v>352</v>
      </c>
    </row>
    <row r="27976" spans="1:6" x14ac:dyDescent="0.35">
      <c r="A27976" s="27" t="s">
        <v>227</v>
      </c>
      <c r="B27976" s="27" t="s">
        <v>262</v>
      </c>
      <c r="C27976" s="29"/>
      <c r="D27976" s="28">
        <v>1</v>
      </c>
      <c r="E27976" s="29"/>
      <c r="F27976" s="29" t="s">
        <v>331</v>
      </c>
    </row>
    <row r="27977" spans="1:6" x14ac:dyDescent="0.35">
      <c r="A27977" s="27" t="s">
        <v>227</v>
      </c>
      <c r="B27977" s="27" t="s">
        <v>261</v>
      </c>
      <c r="C27977" s="28">
        <v>0.7</v>
      </c>
      <c r="D27977" s="28">
        <v>0.3</v>
      </c>
      <c r="E27977" s="29"/>
      <c r="F27977" s="29" t="s">
        <v>307</v>
      </c>
    </row>
    <row r="27978" spans="1:6" x14ac:dyDescent="0.35">
      <c r="A27978" s="27" t="s">
        <v>228</v>
      </c>
      <c r="B27978" s="27" t="s">
        <v>263</v>
      </c>
      <c r="C27978" s="28">
        <v>0.67769999999999997</v>
      </c>
      <c r="D27978" s="28">
        <v>0.20319999999999999</v>
      </c>
      <c r="E27978" s="28">
        <v>0.1191</v>
      </c>
      <c r="F27978" s="29" t="s">
        <v>337</v>
      </c>
    </row>
    <row r="27979" spans="1:6" x14ac:dyDescent="0.35">
      <c r="A27979" s="27" t="s">
        <v>228</v>
      </c>
      <c r="B27979" s="27" t="s">
        <v>236</v>
      </c>
      <c r="C27979" s="28">
        <v>0.83709999999999996</v>
      </c>
      <c r="D27979" s="28">
        <v>0.16289999999999999</v>
      </c>
      <c r="E27979" s="29"/>
      <c r="F27979" s="29" t="s">
        <v>315</v>
      </c>
    </row>
    <row r="27980" spans="1:6" x14ac:dyDescent="0.35">
      <c r="A27980" t="s">
        <v>228</v>
      </c>
      <c r="B27980" t="s">
        <v>260</v>
      </c>
      <c r="C27980" s="26">
        <v>0.71250000000000002</v>
      </c>
      <c r="D27980" s="26">
        <v>0.21249999999999999</v>
      </c>
      <c r="E27980" s="26">
        <v>7.51E-2</v>
      </c>
      <c r="F27980">
        <v>62</v>
      </c>
    </row>
    <row r="27981" spans="1:6" x14ac:dyDescent="0.35">
      <c r="A27981" t="s">
        <v>228</v>
      </c>
      <c r="B27981" t="s">
        <v>261</v>
      </c>
      <c r="C27981" s="26">
        <v>0.63419999999999999</v>
      </c>
      <c r="D27981" s="26">
        <v>0.32990000000000003</v>
      </c>
      <c r="E27981" s="26">
        <v>3.5900000000000001E-2</v>
      </c>
      <c r="F27981">
        <v>37</v>
      </c>
    </row>
    <row r="27982" spans="1:6" x14ac:dyDescent="0.35">
      <c r="A27982" t="s">
        <v>228</v>
      </c>
      <c r="B27982" t="s">
        <v>262</v>
      </c>
      <c r="C27982" s="26">
        <v>0.59719999999999995</v>
      </c>
      <c r="D27982" s="26">
        <v>0.38030000000000003</v>
      </c>
      <c r="E27982" s="26">
        <v>2.2499999999999999E-2</v>
      </c>
      <c r="F27982">
        <v>36</v>
      </c>
    </row>
    <row r="27983" spans="1:6" x14ac:dyDescent="0.35">
      <c r="A27983" s="27" t="s">
        <v>229</v>
      </c>
      <c r="B27983" s="27" t="s">
        <v>262</v>
      </c>
      <c r="C27983" s="28">
        <v>0.45079999999999998</v>
      </c>
      <c r="D27983" s="28">
        <v>0.54920000000000002</v>
      </c>
      <c r="E27983" s="29"/>
      <c r="F27983" s="29" t="s">
        <v>351</v>
      </c>
    </row>
    <row r="27984" spans="1:6" x14ac:dyDescent="0.35">
      <c r="A27984" t="s">
        <v>229</v>
      </c>
      <c r="B27984" t="s">
        <v>260</v>
      </c>
      <c r="C27984" s="26">
        <v>0.51290000000000002</v>
      </c>
      <c r="D27984" s="26">
        <v>0.48709999999999998</v>
      </c>
      <c r="F27984">
        <v>61</v>
      </c>
    </row>
    <row r="27985" spans="1:6" x14ac:dyDescent="0.35">
      <c r="A27985" s="27" t="s">
        <v>229</v>
      </c>
      <c r="B27985" s="27" t="s">
        <v>263</v>
      </c>
      <c r="C27985" s="28">
        <v>1</v>
      </c>
      <c r="D27985" s="29"/>
      <c r="E27985" s="29"/>
      <c r="F27985" s="29" t="s">
        <v>331</v>
      </c>
    </row>
    <row r="27986" spans="1:6" x14ac:dyDescent="0.35">
      <c r="A27986" s="27" t="s">
        <v>229</v>
      </c>
      <c r="B27986" s="27" t="s">
        <v>261</v>
      </c>
      <c r="C27986" s="28">
        <v>0.66559999999999997</v>
      </c>
      <c r="D27986" s="28">
        <v>0.33439999999999998</v>
      </c>
      <c r="E27986" s="29"/>
      <c r="F27986" s="29" t="s">
        <v>346</v>
      </c>
    </row>
    <row r="27987" spans="1:6" x14ac:dyDescent="0.35">
      <c r="A27987" t="s">
        <v>230</v>
      </c>
      <c r="B27987" t="s">
        <v>260</v>
      </c>
      <c r="C27987" s="26">
        <v>0.78739999999999999</v>
      </c>
      <c r="D27987" s="26">
        <v>0.19989999999999999</v>
      </c>
      <c r="E27987" s="26">
        <v>1.2699999999999999E-2</v>
      </c>
      <c r="F27987">
        <v>38</v>
      </c>
    </row>
    <row r="27988" spans="1:6" x14ac:dyDescent="0.35">
      <c r="A27988" s="27" t="s">
        <v>230</v>
      </c>
      <c r="B27988" s="27" t="s">
        <v>261</v>
      </c>
      <c r="C27988" s="28">
        <v>0.86660000000000004</v>
      </c>
      <c r="D27988" s="28">
        <v>0.13339999999999999</v>
      </c>
      <c r="E27988" s="29"/>
      <c r="F27988" s="29" t="s">
        <v>341</v>
      </c>
    </row>
    <row r="27989" spans="1:6" x14ac:dyDescent="0.35">
      <c r="A27989" s="27" t="s">
        <v>230</v>
      </c>
      <c r="B27989" s="27" t="s">
        <v>263</v>
      </c>
      <c r="C27989" s="28">
        <v>1</v>
      </c>
      <c r="D27989" s="29"/>
      <c r="E27989" s="29"/>
      <c r="F27989" s="29" t="s">
        <v>339</v>
      </c>
    </row>
    <row r="27990" spans="1:6" x14ac:dyDescent="0.35">
      <c r="A27990" s="27" t="s">
        <v>230</v>
      </c>
      <c r="B27990" s="27" t="s">
        <v>262</v>
      </c>
      <c r="C27990" s="28">
        <v>0.77129999999999999</v>
      </c>
      <c r="D27990" s="28">
        <v>0.22869999999999999</v>
      </c>
      <c r="E27990" s="29"/>
      <c r="F27990" s="29" t="s">
        <v>310</v>
      </c>
    </row>
    <row r="27991" spans="1:6" x14ac:dyDescent="0.35">
      <c r="A27991" s="27" t="s">
        <v>231</v>
      </c>
      <c r="B27991" s="27" t="s">
        <v>261</v>
      </c>
      <c r="C27991" s="28">
        <v>0.66669999999999996</v>
      </c>
      <c r="D27991" s="28">
        <v>0.33329999999999999</v>
      </c>
      <c r="E27991" s="29"/>
      <c r="F27991" s="29" t="s">
        <v>315</v>
      </c>
    </row>
    <row r="27992" spans="1:6" x14ac:dyDescent="0.35">
      <c r="A27992" s="27" t="s">
        <v>231</v>
      </c>
      <c r="B27992" s="27" t="s">
        <v>262</v>
      </c>
      <c r="C27992" s="29"/>
      <c r="D27992" s="28">
        <v>1</v>
      </c>
      <c r="E27992" s="29"/>
      <c r="F27992" s="29" t="s">
        <v>331</v>
      </c>
    </row>
    <row r="27993" spans="1:6" x14ac:dyDescent="0.35">
      <c r="A27993" s="27" t="s">
        <v>231</v>
      </c>
      <c r="B27993" s="27" t="s">
        <v>263</v>
      </c>
      <c r="C27993" s="29"/>
      <c r="D27993" s="28">
        <v>1</v>
      </c>
      <c r="E27993" s="29"/>
      <c r="F27993" s="29" t="s">
        <v>331</v>
      </c>
    </row>
    <row r="27994" spans="1:6" x14ac:dyDescent="0.35">
      <c r="A27994" s="27" t="s">
        <v>231</v>
      </c>
      <c r="B27994" s="27" t="s">
        <v>260</v>
      </c>
      <c r="C27994" s="28">
        <v>0.5</v>
      </c>
      <c r="D27994" s="28">
        <v>0.5</v>
      </c>
      <c r="E27994" s="29"/>
      <c r="F27994" s="29" t="s">
        <v>333</v>
      </c>
    </row>
    <row r="27995" spans="1:6" x14ac:dyDescent="0.35">
      <c r="A27995" t="s">
        <v>232</v>
      </c>
      <c r="B27995" t="s">
        <v>232</v>
      </c>
      <c r="C27995" s="26">
        <v>0.59989999999999999</v>
      </c>
      <c r="D27995" s="26">
        <v>0.38919999999999999</v>
      </c>
      <c r="E27995" s="26">
        <v>1.09E-2</v>
      </c>
      <c r="F27995">
        <v>357</v>
      </c>
    </row>
    <row r="27997" spans="1:6" x14ac:dyDescent="0.35">
      <c r="A27997" s="1" t="s">
        <v>2519</v>
      </c>
    </row>
    <row r="27998" spans="1:6" x14ac:dyDescent="0.35">
      <c r="A27998" t="s">
        <v>219</v>
      </c>
      <c r="B27998" t="s">
        <v>305</v>
      </c>
      <c r="C27998" t="s">
        <v>303</v>
      </c>
      <c r="D27998" t="s">
        <v>302</v>
      </c>
      <c r="E27998" t="s">
        <v>281</v>
      </c>
      <c r="F27998" t="s">
        <v>226</v>
      </c>
    </row>
    <row r="27999" spans="1:6" x14ac:dyDescent="0.35">
      <c r="A27999" s="27" t="s">
        <v>227</v>
      </c>
      <c r="B27999" s="27" t="s">
        <v>368</v>
      </c>
      <c r="C27999" s="28">
        <v>0.7</v>
      </c>
      <c r="D27999" s="28">
        <v>0.3</v>
      </c>
      <c r="E27999" s="29"/>
      <c r="F27999" s="29" t="s">
        <v>307</v>
      </c>
    </row>
    <row r="28000" spans="1:6" x14ac:dyDescent="0.35">
      <c r="A28000" s="27" t="s">
        <v>227</v>
      </c>
      <c r="B28000" s="27" t="s">
        <v>369</v>
      </c>
      <c r="C28000" s="28">
        <v>0.58330000000000004</v>
      </c>
      <c r="D28000" s="28">
        <v>0.41670000000000001</v>
      </c>
      <c r="E28000" s="29"/>
      <c r="F28000" s="29" t="s">
        <v>342</v>
      </c>
    </row>
    <row r="28001" spans="1:6" x14ac:dyDescent="0.35">
      <c r="A28001" t="s">
        <v>228</v>
      </c>
      <c r="B28001" t="s">
        <v>368</v>
      </c>
      <c r="C28001" s="26">
        <v>0.63419999999999999</v>
      </c>
      <c r="D28001" s="26">
        <v>0.32990000000000003</v>
      </c>
      <c r="E28001" s="26">
        <v>3.5900000000000001E-2</v>
      </c>
      <c r="F28001">
        <v>37</v>
      </c>
    </row>
    <row r="28002" spans="1:6" x14ac:dyDescent="0.35">
      <c r="A28002" t="s">
        <v>228</v>
      </c>
      <c r="B28002" t="s">
        <v>369</v>
      </c>
      <c r="C28002" s="26">
        <v>0.68069999999999997</v>
      </c>
      <c r="D28002" s="26">
        <v>0.25950000000000001</v>
      </c>
      <c r="E28002" s="26">
        <v>5.9700000000000003E-2</v>
      </c>
      <c r="F28002">
        <v>105</v>
      </c>
    </row>
    <row r="28003" spans="1:6" x14ac:dyDescent="0.35">
      <c r="A28003" s="27" t="s">
        <v>229</v>
      </c>
      <c r="B28003" s="27" t="s">
        <v>368</v>
      </c>
      <c r="C28003" s="28">
        <v>0.66559999999999997</v>
      </c>
      <c r="D28003" s="28">
        <v>0.33439999999999998</v>
      </c>
      <c r="E28003" s="29"/>
      <c r="F28003" s="29" t="s">
        <v>346</v>
      </c>
    </row>
    <row r="28004" spans="1:6" x14ac:dyDescent="0.35">
      <c r="A28004" t="s">
        <v>229</v>
      </c>
      <c r="B28004" t="s">
        <v>369</v>
      </c>
      <c r="C28004" s="26">
        <v>0.50049999999999994</v>
      </c>
      <c r="D28004" s="26">
        <v>0.4995</v>
      </c>
      <c r="F28004">
        <v>83</v>
      </c>
    </row>
    <row r="28005" spans="1:6" x14ac:dyDescent="0.35">
      <c r="A28005" s="27" t="s">
        <v>230</v>
      </c>
      <c r="B28005" s="27" t="s">
        <v>368</v>
      </c>
      <c r="C28005" s="28">
        <v>0.86660000000000004</v>
      </c>
      <c r="D28005" s="28">
        <v>0.13339999999999999</v>
      </c>
      <c r="E28005" s="29"/>
      <c r="F28005" s="29" t="s">
        <v>341</v>
      </c>
    </row>
    <row r="28006" spans="1:6" x14ac:dyDescent="0.35">
      <c r="A28006" t="s">
        <v>230</v>
      </c>
      <c r="B28006" t="s">
        <v>369</v>
      </c>
      <c r="C28006" s="26">
        <v>0.79930000000000001</v>
      </c>
      <c r="D28006" s="26">
        <v>0.19189999999999999</v>
      </c>
      <c r="E28006" s="26">
        <v>8.8000000000000005E-3</v>
      </c>
      <c r="F28006">
        <v>69</v>
      </c>
    </row>
    <row r="28007" spans="1:6" x14ac:dyDescent="0.35">
      <c r="A28007" s="27" t="s">
        <v>231</v>
      </c>
      <c r="B28007" s="27" t="s">
        <v>368</v>
      </c>
      <c r="C28007" s="28">
        <v>0.66669999999999996</v>
      </c>
      <c r="D28007" s="28">
        <v>0.33329999999999999</v>
      </c>
      <c r="E28007" s="29"/>
      <c r="F28007" s="29" t="s">
        <v>315</v>
      </c>
    </row>
    <row r="28008" spans="1:6" x14ac:dyDescent="0.35">
      <c r="A28008" s="27" t="s">
        <v>231</v>
      </c>
      <c r="B28008" s="27" t="s">
        <v>369</v>
      </c>
      <c r="C28008" s="28">
        <v>0.4</v>
      </c>
      <c r="D28008" s="28">
        <v>0.6</v>
      </c>
      <c r="E28008" s="29"/>
      <c r="F28008" s="29" t="s">
        <v>307</v>
      </c>
    </row>
    <row r="28009" spans="1:6" x14ac:dyDescent="0.35">
      <c r="A28009" t="s">
        <v>232</v>
      </c>
      <c r="B28009" t="s">
        <v>232</v>
      </c>
      <c r="C28009" s="26">
        <v>0.59989999999999999</v>
      </c>
      <c r="D28009" s="26">
        <v>0.38919999999999999</v>
      </c>
      <c r="E28009" s="26">
        <v>1.09E-2</v>
      </c>
      <c r="F28009">
        <v>357</v>
      </c>
    </row>
    <row r="28011" spans="1:6" x14ac:dyDescent="0.35">
      <c r="A28011" s="1" t="s">
        <v>2520</v>
      </c>
    </row>
    <row r="28012" spans="1:6" x14ac:dyDescent="0.35">
      <c r="A28012" t="s">
        <v>219</v>
      </c>
      <c r="B28012" t="s">
        <v>305</v>
      </c>
      <c r="C28012" t="s">
        <v>303</v>
      </c>
      <c r="D28012" t="s">
        <v>302</v>
      </c>
      <c r="E28012" t="s">
        <v>281</v>
      </c>
      <c r="F28012" t="s">
        <v>226</v>
      </c>
    </row>
    <row r="28013" spans="1:6" x14ac:dyDescent="0.35">
      <c r="A28013" s="27" t="s">
        <v>227</v>
      </c>
      <c r="B28013" s="27" t="s">
        <v>371</v>
      </c>
      <c r="C28013" s="28">
        <v>0.63639999999999997</v>
      </c>
      <c r="D28013" s="28">
        <v>0.36359999999999998</v>
      </c>
      <c r="E28013" s="29"/>
      <c r="F28013" s="29" t="s">
        <v>347</v>
      </c>
    </row>
    <row r="28014" spans="1:6" x14ac:dyDescent="0.35">
      <c r="A28014" s="27" t="s">
        <v>228</v>
      </c>
      <c r="B28014" s="27" t="s">
        <v>371</v>
      </c>
      <c r="C28014" s="28">
        <v>0.70979999999999999</v>
      </c>
      <c r="D28014" s="28">
        <v>0.2082</v>
      </c>
      <c r="E28014" s="28">
        <v>8.2000000000000003E-2</v>
      </c>
      <c r="F28014" s="29" t="s">
        <v>329</v>
      </c>
    </row>
    <row r="28015" spans="1:6" x14ac:dyDescent="0.35">
      <c r="A28015" t="s">
        <v>228</v>
      </c>
      <c r="B28015" t="s">
        <v>372</v>
      </c>
      <c r="C28015" s="26">
        <v>0.5585</v>
      </c>
      <c r="D28015" s="26">
        <v>0.39750000000000002</v>
      </c>
      <c r="E28015" s="26">
        <v>4.3900000000000002E-2</v>
      </c>
      <c r="F28015">
        <v>41</v>
      </c>
    </row>
    <row r="28016" spans="1:6" x14ac:dyDescent="0.35">
      <c r="A28016" t="s">
        <v>228</v>
      </c>
      <c r="B28016" t="s">
        <v>373</v>
      </c>
      <c r="C28016" s="26">
        <v>0.67249999999999999</v>
      </c>
      <c r="D28016" s="26">
        <v>0.29089999999999999</v>
      </c>
      <c r="E28016" s="26">
        <v>3.6600000000000001E-2</v>
      </c>
      <c r="F28016">
        <v>72</v>
      </c>
    </row>
    <row r="28017" spans="1:6" x14ac:dyDescent="0.35">
      <c r="A28017" t="s">
        <v>229</v>
      </c>
      <c r="B28017" t="s">
        <v>371</v>
      </c>
      <c r="C28017" s="26">
        <v>0.52569999999999995</v>
      </c>
      <c r="D28017" s="26">
        <v>0.4743</v>
      </c>
      <c r="F28017">
        <v>63</v>
      </c>
    </row>
    <row r="28018" spans="1:6" x14ac:dyDescent="0.35">
      <c r="A28018" s="27" t="s">
        <v>229</v>
      </c>
      <c r="B28018" s="27" t="s">
        <v>372</v>
      </c>
      <c r="C28018" s="28">
        <v>0.7026</v>
      </c>
      <c r="D28018" s="28">
        <v>0.2974</v>
      </c>
      <c r="E28018" s="29"/>
      <c r="F28018" s="29" t="s">
        <v>336</v>
      </c>
    </row>
    <row r="28019" spans="1:6" x14ac:dyDescent="0.35">
      <c r="A28019" s="27" t="s">
        <v>229</v>
      </c>
      <c r="B28019" s="27" t="s">
        <v>373</v>
      </c>
      <c r="C28019" s="28">
        <v>0.58299999999999996</v>
      </c>
      <c r="D28019" s="28">
        <v>0.41699999999999998</v>
      </c>
      <c r="E28019" s="29"/>
      <c r="F28019" s="29" t="s">
        <v>339</v>
      </c>
    </row>
    <row r="28020" spans="1:6" x14ac:dyDescent="0.35">
      <c r="A28020" t="s">
        <v>230</v>
      </c>
      <c r="B28020" t="s">
        <v>371</v>
      </c>
      <c r="C28020" s="26">
        <v>0.83830000000000005</v>
      </c>
      <c r="D28020" s="26">
        <v>0.15390000000000001</v>
      </c>
      <c r="E28020" s="26">
        <v>7.7999999999999996E-3</v>
      </c>
      <c r="F28020">
        <v>30</v>
      </c>
    </row>
    <row r="28021" spans="1:6" x14ac:dyDescent="0.35">
      <c r="A28021" s="27" t="s">
        <v>230</v>
      </c>
      <c r="B28021" s="27" t="s">
        <v>372</v>
      </c>
      <c r="C28021" s="28">
        <v>0.76119999999999999</v>
      </c>
      <c r="D28021" s="28">
        <v>0.23880000000000001</v>
      </c>
      <c r="E28021" s="29"/>
      <c r="F28021" s="29" t="s">
        <v>329</v>
      </c>
    </row>
    <row r="28022" spans="1:6" x14ac:dyDescent="0.35">
      <c r="A28022" s="27" t="s">
        <v>230</v>
      </c>
      <c r="B28022" s="27" t="s">
        <v>373</v>
      </c>
      <c r="C28022" s="28">
        <v>0.73099999999999998</v>
      </c>
      <c r="D28022" s="28">
        <v>0.26900000000000002</v>
      </c>
      <c r="E28022" s="29"/>
      <c r="F28022" s="29" t="s">
        <v>328</v>
      </c>
    </row>
    <row r="28023" spans="1:6" x14ac:dyDescent="0.35">
      <c r="A28023" s="27" t="s">
        <v>231</v>
      </c>
      <c r="B28023" s="27" t="s">
        <v>371</v>
      </c>
      <c r="C28023" s="28">
        <v>0.46150000000000002</v>
      </c>
      <c r="D28023" s="28">
        <v>0.53849999999999998</v>
      </c>
      <c r="E28023" s="29"/>
      <c r="F28023" s="29" t="s">
        <v>341</v>
      </c>
    </row>
    <row r="28024" spans="1:6" x14ac:dyDescent="0.35">
      <c r="A28024" t="s">
        <v>232</v>
      </c>
      <c r="B28024" t="s">
        <v>232</v>
      </c>
      <c r="C28024" s="26">
        <v>0.59989999999999999</v>
      </c>
      <c r="D28024" s="26">
        <v>0.38919999999999999</v>
      </c>
      <c r="E28024" s="26">
        <v>1.09E-2</v>
      </c>
      <c r="F28024">
        <v>357</v>
      </c>
    </row>
    <row r="28026" spans="1:6" x14ac:dyDescent="0.35">
      <c r="A28026" s="1" t="s">
        <v>2521</v>
      </c>
    </row>
    <row r="28027" spans="1:6" x14ac:dyDescent="0.35">
      <c r="A28027" t="s">
        <v>219</v>
      </c>
      <c r="B28027" t="s">
        <v>305</v>
      </c>
      <c r="C28027" t="s">
        <v>303</v>
      </c>
      <c r="D28027" t="s">
        <v>302</v>
      </c>
      <c r="E28027" t="s">
        <v>281</v>
      </c>
      <c r="F28027" t="s">
        <v>226</v>
      </c>
    </row>
    <row r="28028" spans="1:6" x14ac:dyDescent="0.35">
      <c r="A28028" s="27" t="s">
        <v>227</v>
      </c>
      <c r="B28028" s="27" t="s">
        <v>255</v>
      </c>
      <c r="C28028" s="28">
        <v>0.64290000000000003</v>
      </c>
      <c r="D28028" s="28">
        <v>0.35709999999999997</v>
      </c>
      <c r="E28028" s="29"/>
      <c r="F28028" s="29" t="s">
        <v>379</v>
      </c>
    </row>
    <row r="28029" spans="1:6" x14ac:dyDescent="0.35">
      <c r="A28029" s="27" t="s">
        <v>227</v>
      </c>
      <c r="B28029" s="27" t="s">
        <v>256</v>
      </c>
      <c r="C28029" s="28">
        <v>0.625</v>
      </c>
      <c r="D28029" s="28">
        <v>0.375</v>
      </c>
      <c r="E28029" s="29"/>
      <c r="F28029" s="29" t="s">
        <v>333</v>
      </c>
    </row>
    <row r="28030" spans="1:6" x14ac:dyDescent="0.35">
      <c r="A28030" t="s">
        <v>228</v>
      </c>
      <c r="B28030" t="s">
        <v>255</v>
      </c>
      <c r="C28030" s="26">
        <v>0.68799999999999994</v>
      </c>
      <c r="D28030" s="26">
        <v>0.22489999999999999</v>
      </c>
      <c r="E28030" s="26">
        <v>8.7099999999999997E-2</v>
      </c>
      <c r="F28030">
        <v>93</v>
      </c>
    </row>
    <row r="28031" spans="1:6" x14ac:dyDescent="0.35">
      <c r="A28031" t="s">
        <v>228</v>
      </c>
      <c r="B28031" t="s">
        <v>256</v>
      </c>
      <c r="C28031" s="26">
        <v>0.71099999999999997</v>
      </c>
      <c r="D28031" s="26">
        <v>0.28899999999999998</v>
      </c>
      <c r="F28031">
        <v>33</v>
      </c>
    </row>
    <row r="28032" spans="1:6" x14ac:dyDescent="0.35">
      <c r="A28032" s="27" t="s">
        <v>228</v>
      </c>
      <c r="B28032" s="27" t="s">
        <v>257</v>
      </c>
      <c r="C28032" s="28">
        <v>0.52480000000000004</v>
      </c>
      <c r="D28032" s="28">
        <v>0.47520000000000001</v>
      </c>
      <c r="E28032" s="29"/>
      <c r="F28032" s="29" t="s">
        <v>348</v>
      </c>
    </row>
    <row r="28033" spans="1:6" x14ac:dyDescent="0.35">
      <c r="A28033" t="s">
        <v>229</v>
      </c>
      <c r="B28033" t="s">
        <v>255</v>
      </c>
      <c r="C28033" s="26">
        <v>0.59399999999999997</v>
      </c>
      <c r="D28033" s="26">
        <v>0.40600000000000003</v>
      </c>
      <c r="F28033">
        <v>65</v>
      </c>
    </row>
    <row r="28034" spans="1:6" x14ac:dyDescent="0.35">
      <c r="A28034" s="27" t="s">
        <v>229</v>
      </c>
      <c r="B28034" s="27" t="s">
        <v>256</v>
      </c>
      <c r="C28034" s="28">
        <v>0.4148</v>
      </c>
      <c r="D28034" s="28">
        <v>0.58520000000000005</v>
      </c>
      <c r="E28034" s="29"/>
      <c r="F28034" s="29" t="s">
        <v>328</v>
      </c>
    </row>
    <row r="28035" spans="1:6" x14ac:dyDescent="0.35">
      <c r="A28035" s="27" t="s">
        <v>229</v>
      </c>
      <c r="B28035" s="27" t="s">
        <v>257</v>
      </c>
      <c r="C28035" s="28">
        <v>0.51980000000000004</v>
      </c>
      <c r="D28035" s="28">
        <v>0.48020000000000002</v>
      </c>
      <c r="E28035" s="29"/>
      <c r="F28035" s="29" t="s">
        <v>334</v>
      </c>
    </row>
    <row r="28036" spans="1:6" x14ac:dyDescent="0.35">
      <c r="A28036" s="27" t="s">
        <v>229</v>
      </c>
      <c r="B28036" s="27" t="s">
        <v>258</v>
      </c>
      <c r="C28036" s="28">
        <v>1</v>
      </c>
      <c r="D28036" s="29"/>
      <c r="E28036" s="29"/>
      <c r="F28036" s="29" t="s">
        <v>331</v>
      </c>
    </row>
    <row r="28037" spans="1:6" x14ac:dyDescent="0.35">
      <c r="A28037" t="s">
        <v>230</v>
      </c>
      <c r="B28037" t="s">
        <v>255</v>
      </c>
      <c r="C28037" s="26">
        <v>0.90280000000000005</v>
      </c>
      <c r="D28037" s="26">
        <v>8.7800000000000003E-2</v>
      </c>
      <c r="E28037" s="26">
        <v>9.2999999999999992E-3</v>
      </c>
      <c r="F28037">
        <v>51</v>
      </c>
    </row>
    <row r="28038" spans="1:6" x14ac:dyDescent="0.35">
      <c r="A28038" s="27" t="s">
        <v>230</v>
      </c>
      <c r="B28038" s="27" t="s">
        <v>256</v>
      </c>
      <c r="C28038" s="28">
        <v>0.70950000000000002</v>
      </c>
      <c r="D28038" s="28">
        <v>0.29049999999999998</v>
      </c>
      <c r="E28038" s="29"/>
      <c r="F28038" s="29" t="s">
        <v>350</v>
      </c>
    </row>
    <row r="28039" spans="1:6" x14ac:dyDescent="0.35">
      <c r="A28039" s="27" t="s">
        <v>230</v>
      </c>
      <c r="B28039" s="27" t="s">
        <v>257</v>
      </c>
      <c r="C28039" s="28">
        <v>0.52680000000000005</v>
      </c>
      <c r="D28039" s="28">
        <v>0.47320000000000001</v>
      </c>
      <c r="E28039" s="29"/>
      <c r="F28039" s="29" t="s">
        <v>352</v>
      </c>
    </row>
    <row r="28040" spans="1:6" x14ac:dyDescent="0.35">
      <c r="A28040" s="27" t="s">
        <v>231</v>
      </c>
      <c r="B28040" s="27" t="s">
        <v>255</v>
      </c>
      <c r="C28040" s="28">
        <v>0.45450000000000002</v>
      </c>
      <c r="D28040" s="28">
        <v>0.54549999999999998</v>
      </c>
      <c r="E28040" s="29"/>
      <c r="F28040" s="29" t="s">
        <v>352</v>
      </c>
    </row>
    <row r="28041" spans="1:6" x14ac:dyDescent="0.35">
      <c r="A28041" s="27" t="s">
        <v>231</v>
      </c>
      <c r="B28041" s="27" t="s">
        <v>256</v>
      </c>
      <c r="C28041" s="28">
        <v>0.5</v>
      </c>
      <c r="D28041" s="28">
        <v>0.5</v>
      </c>
      <c r="E28041" s="29"/>
      <c r="F28041" s="29" t="s">
        <v>314</v>
      </c>
    </row>
    <row r="28042" spans="1:6" x14ac:dyDescent="0.35">
      <c r="A28042" t="s">
        <v>232</v>
      </c>
      <c r="B28042" t="s">
        <v>232</v>
      </c>
      <c r="C28042" s="26">
        <v>0.59989999999999999</v>
      </c>
      <c r="D28042" s="26">
        <v>0.38919999999999999</v>
      </c>
      <c r="E28042" s="26">
        <v>1.09E-2</v>
      </c>
      <c r="F28042">
        <v>357</v>
      </c>
    </row>
    <row r="28044" spans="1:6" x14ac:dyDescent="0.35">
      <c r="A28044" s="1" t="s">
        <v>2522</v>
      </c>
    </row>
    <row r="28045" spans="1:6" x14ac:dyDescent="0.35">
      <c r="A28045" t="s">
        <v>219</v>
      </c>
      <c r="B28045" t="s">
        <v>305</v>
      </c>
      <c r="C28045" t="s">
        <v>303</v>
      </c>
      <c r="D28045" t="s">
        <v>302</v>
      </c>
      <c r="E28045" t="s">
        <v>281</v>
      </c>
      <c r="F28045" t="s">
        <v>226</v>
      </c>
    </row>
    <row r="28046" spans="1:6" x14ac:dyDescent="0.35">
      <c r="A28046" s="27" t="s">
        <v>227</v>
      </c>
      <c r="B28046" s="27" t="s">
        <v>1341</v>
      </c>
      <c r="C28046" s="28">
        <v>0.71430000000000005</v>
      </c>
      <c r="D28046" s="28">
        <v>0.28570000000000001</v>
      </c>
      <c r="E28046" s="29"/>
      <c r="F28046" s="29" t="s">
        <v>339</v>
      </c>
    </row>
    <row r="28047" spans="1:6" x14ac:dyDescent="0.35">
      <c r="A28047" s="27" t="s">
        <v>227</v>
      </c>
      <c r="B28047" s="27" t="s">
        <v>1343</v>
      </c>
      <c r="C28047" s="28">
        <v>0.6</v>
      </c>
      <c r="D28047" s="28">
        <v>0.4</v>
      </c>
      <c r="E28047" s="29"/>
      <c r="F28047" s="29" t="s">
        <v>346</v>
      </c>
    </row>
    <row r="28048" spans="1:6" x14ac:dyDescent="0.35">
      <c r="A28048" t="s">
        <v>228</v>
      </c>
      <c r="B28048" t="s">
        <v>1341</v>
      </c>
      <c r="C28048" s="26">
        <v>0.66310000000000002</v>
      </c>
      <c r="D28048" s="26">
        <v>0.20569999999999999</v>
      </c>
      <c r="E28048" s="26">
        <v>0.1313</v>
      </c>
      <c r="F28048">
        <v>41</v>
      </c>
    </row>
    <row r="28049" spans="1:6" x14ac:dyDescent="0.35">
      <c r="A28049" s="27" t="s">
        <v>228</v>
      </c>
      <c r="B28049" s="27" t="s">
        <v>1342</v>
      </c>
      <c r="C28049" s="28">
        <v>1</v>
      </c>
      <c r="D28049" s="29"/>
      <c r="E28049" s="29"/>
      <c r="F28049" s="29" t="s">
        <v>331</v>
      </c>
    </row>
    <row r="28050" spans="1:6" x14ac:dyDescent="0.35">
      <c r="A28050" t="s">
        <v>228</v>
      </c>
      <c r="B28050" t="s">
        <v>1343</v>
      </c>
      <c r="C28050" s="26">
        <v>0.65910000000000002</v>
      </c>
      <c r="D28050" s="26">
        <v>0.31850000000000001</v>
      </c>
      <c r="E28050" s="26">
        <v>2.2499999999999999E-2</v>
      </c>
      <c r="F28050">
        <v>100</v>
      </c>
    </row>
    <row r="28051" spans="1:6" x14ac:dyDescent="0.35">
      <c r="A28051" s="27" t="s">
        <v>229</v>
      </c>
      <c r="B28051" s="27" t="s">
        <v>1341</v>
      </c>
      <c r="C28051" s="28">
        <v>0.66549999999999998</v>
      </c>
      <c r="D28051" s="28">
        <v>0.33450000000000002</v>
      </c>
      <c r="E28051" s="29"/>
      <c r="F28051" s="29" t="s">
        <v>336</v>
      </c>
    </row>
    <row r="28052" spans="1:6" x14ac:dyDescent="0.35">
      <c r="A28052" t="s">
        <v>229</v>
      </c>
      <c r="B28052" t="s">
        <v>1343</v>
      </c>
      <c r="C28052" s="26">
        <v>0.47660000000000002</v>
      </c>
      <c r="D28052" s="26">
        <v>0.52339999999999998</v>
      </c>
      <c r="F28052">
        <v>70</v>
      </c>
    </row>
    <row r="28053" spans="1:6" x14ac:dyDescent="0.35">
      <c r="A28053" s="27" t="s">
        <v>230</v>
      </c>
      <c r="B28053" s="27" t="s">
        <v>1341</v>
      </c>
      <c r="C28053" s="28">
        <v>0.61829999999999996</v>
      </c>
      <c r="D28053" s="28">
        <v>0.38169999999999998</v>
      </c>
      <c r="E28053" s="29"/>
      <c r="F28053" s="29" t="s">
        <v>341</v>
      </c>
    </row>
    <row r="28054" spans="1:6" x14ac:dyDescent="0.35">
      <c r="A28054" t="s">
        <v>230</v>
      </c>
      <c r="B28054" t="s">
        <v>1343</v>
      </c>
      <c r="C28054" s="26">
        <v>0.87170000000000003</v>
      </c>
      <c r="D28054" s="26">
        <v>0.12039999999999999</v>
      </c>
      <c r="E28054" s="26">
        <v>7.9000000000000008E-3</v>
      </c>
      <c r="F28054">
        <v>69</v>
      </c>
    </row>
    <row r="28055" spans="1:6" x14ac:dyDescent="0.35">
      <c r="A28055" s="27" t="s">
        <v>231</v>
      </c>
      <c r="B28055" s="27" t="s">
        <v>1341</v>
      </c>
      <c r="C28055" s="28">
        <v>0.66669999999999996</v>
      </c>
      <c r="D28055" s="28">
        <v>0.33329999999999999</v>
      </c>
      <c r="E28055" s="29"/>
      <c r="F28055" s="29" t="s">
        <v>315</v>
      </c>
    </row>
    <row r="28056" spans="1:6" x14ac:dyDescent="0.35">
      <c r="A28056" s="27" t="s">
        <v>231</v>
      </c>
      <c r="B28056" s="27" t="s">
        <v>1343</v>
      </c>
      <c r="C28056" s="28">
        <v>0.4</v>
      </c>
      <c r="D28056" s="28">
        <v>0.6</v>
      </c>
      <c r="E28056" s="29"/>
      <c r="F28056" s="29" t="s">
        <v>307</v>
      </c>
    </row>
    <row r="28057" spans="1:6" x14ac:dyDescent="0.35">
      <c r="A28057" t="s">
        <v>232</v>
      </c>
      <c r="B28057" t="s">
        <v>232</v>
      </c>
      <c r="C28057" s="26">
        <v>0.59989999999999999</v>
      </c>
      <c r="D28057" s="26">
        <v>0.38919999999999999</v>
      </c>
      <c r="E28057" s="26">
        <v>1.09E-2</v>
      </c>
      <c r="F28057">
        <v>357</v>
      </c>
    </row>
    <row r="28059" spans="1:6" x14ac:dyDescent="0.35">
      <c r="A28059" s="1" t="s">
        <v>2523</v>
      </c>
    </row>
    <row r="28060" spans="1:6" x14ac:dyDescent="0.35">
      <c r="A28060" t="s">
        <v>219</v>
      </c>
      <c r="B28060" t="s">
        <v>305</v>
      </c>
      <c r="C28060" t="s">
        <v>303</v>
      </c>
      <c r="D28060" t="s">
        <v>302</v>
      </c>
      <c r="E28060" t="s">
        <v>281</v>
      </c>
      <c r="F28060" t="s">
        <v>226</v>
      </c>
    </row>
    <row r="28061" spans="1:6" x14ac:dyDescent="0.35">
      <c r="A28061" s="27" t="s">
        <v>227</v>
      </c>
      <c r="B28061" s="27" t="s">
        <v>1347</v>
      </c>
      <c r="C28061" s="28">
        <v>0.66669999999999996</v>
      </c>
      <c r="D28061" s="28">
        <v>0.33329999999999999</v>
      </c>
      <c r="E28061" s="29"/>
      <c r="F28061" s="29" t="s">
        <v>334</v>
      </c>
    </row>
    <row r="28062" spans="1:6" x14ac:dyDescent="0.35">
      <c r="A28062" s="27" t="s">
        <v>227</v>
      </c>
      <c r="B28062" s="27" t="s">
        <v>1348</v>
      </c>
      <c r="C28062" s="28">
        <v>0.42859999999999998</v>
      </c>
      <c r="D28062" s="28">
        <v>0.57140000000000002</v>
      </c>
      <c r="E28062" s="29"/>
      <c r="F28062" s="29" t="s">
        <v>339</v>
      </c>
    </row>
    <row r="28063" spans="1:6" x14ac:dyDescent="0.35">
      <c r="A28063" s="27" t="s">
        <v>227</v>
      </c>
      <c r="B28063" s="27" t="s">
        <v>1346</v>
      </c>
      <c r="C28063" s="28">
        <v>0.83330000000000004</v>
      </c>
      <c r="D28063" s="28">
        <v>0.16669999999999999</v>
      </c>
      <c r="E28063" s="29"/>
      <c r="F28063" s="29" t="s">
        <v>335</v>
      </c>
    </row>
    <row r="28064" spans="1:6" x14ac:dyDescent="0.35">
      <c r="A28064" t="s">
        <v>228</v>
      </c>
      <c r="B28064" t="s">
        <v>1347</v>
      </c>
      <c r="C28064" s="26">
        <v>0.58169999999999999</v>
      </c>
      <c r="D28064" s="26">
        <v>0.26600000000000001</v>
      </c>
      <c r="E28064" s="26">
        <v>0.1522</v>
      </c>
      <c r="F28064">
        <v>37</v>
      </c>
    </row>
    <row r="28065" spans="1:7" x14ac:dyDescent="0.35">
      <c r="A28065" s="27" t="s">
        <v>228</v>
      </c>
      <c r="B28065" s="27" t="s">
        <v>1346</v>
      </c>
      <c r="C28065" s="28">
        <v>0.85429999999999995</v>
      </c>
      <c r="D28065" s="28">
        <v>0.11559999999999999</v>
      </c>
      <c r="E28065" s="28">
        <v>3.0099999999999998E-2</v>
      </c>
      <c r="F28065" s="29" t="s">
        <v>329</v>
      </c>
    </row>
    <row r="28066" spans="1:7" x14ac:dyDescent="0.35">
      <c r="A28066" t="s">
        <v>228</v>
      </c>
      <c r="B28066" t="s">
        <v>1348</v>
      </c>
      <c r="C28066" s="26">
        <v>0.65400000000000003</v>
      </c>
      <c r="D28066" s="26">
        <v>0.32290000000000002</v>
      </c>
      <c r="E28066" s="26">
        <v>2.3099999999999999E-2</v>
      </c>
      <c r="F28066">
        <v>76</v>
      </c>
    </row>
    <row r="28067" spans="1:7" x14ac:dyDescent="0.35">
      <c r="A28067" s="27" t="s">
        <v>229</v>
      </c>
      <c r="B28067" s="27" t="s">
        <v>1345</v>
      </c>
      <c r="C28067" s="28">
        <v>0.9657</v>
      </c>
      <c r="D28067" s="28">
        <v>3.4299999999999997E-2</v>
      </c>
      <c r="E28067" s="29"/>
      <c r="F28067" s="29" t="s">
        <v>315</v>
      </c>
    </row>
    <row r="28068" spans="1:7" x14ac:dyDescent="0.35">
      <c r="A28068" s="27" t="s">
        <v>229</v>
      </c>
      <c r="B28068" s="27" t="s">
        <v>1346</v>
      </c>
      <c r="C28068" s="28">
        <v>4.6199999999999998E-2</v>
      </c>
      <c r="D28068" s="28">
        <v>0.95379999999999998</v>
      </c>
      <c r="E28068" s="29"/>
      <c r="F28068" s="29" t="s">
        <v>333</v>
      </c>
    </row>
    <row r="28069" spans="1:7" x14ac:dyDescent="0.35">
      <c r="A28069" t="s">
        <v>229</v>
      </c>
      <c r="B28069" t="s">
        <v>1347</v>
      </c>
      <c r="C28069" s="26">
        <v>0.50239999999999996</v>
      </c>
      <c r="D28069" s="26">
        <v>0.49759999999999999</v>
      </c>
      <c r="F28069">
        <v>41</v>
      </c>
    </row>
    <row r="28070" spans="1:7" x14ac:dyDescent="0.35">
      <c r="A28070" t="s">
        <v>229</v>
      </c>
      <c r="B28070" t="s">
        <v>1348</v>
      </c>
      <c r="C28070" s="26">
        <v>0.60509999999999997</v>
      </c>
      <c r="D28070" s="26">
        <v>0.39489999999999997</v>
      </c>
      <c r="F28070">
        <v>46</v>
      </c>
    </row>
    <row r="28071" spans="1:7" x14ac:dyDescent="0.35">
      <c r="A28071" s="27" t="s">
        <v>230</v>
      </c>
      <c r="B28071" s="27" t="s">
        <v>1346</v>
      </c>
      <c r="C28071" s="28">
        <v>0.90010000000000001</v>
      </c>
      <c r="D28071" s="28">
        <v>6.9400000000000003E-2</v>
      </c>
      <c r="E28071" s="28">
        <v>3.0499999999999999E-2</v>
      </c>
      <c r="F28071" s="29" t="s">
        <v>348</v>
      </c>
    </row>
    <row r="28072" spans="1:7" x14ac:dyDescent="0.35">
      <c r="A28072" t="s">
        <v>230</v>
      </c>
      <c r="B28072" t="s">
        <v>1348</v>
      </c>
      <c r="C28072" s="26">
        <v>0.83289999999999997</v>
      </c>
      <c r="D28072" s="26">
        <v>0.1671</v>
      </c>
      <c r="F28072">
        <v>44</v>
      </c>
    </row>
    <row r="28073" spans="1:7" x14ac:dyDescent="0.35">
      <c r="A28073" s="27" t="s">
        <v>230</v>
      </c>
      <c r="B28073" s="27" t="s">
        <v>1347</v>
      </c>
      <c r="C28073" s="28">
        <v>0.75319999999999998</v>
      </c>
      <c r="D28073" s="28">
        <v>0.24679999999999999</v>
      </c>
      <c r="E28073" s="29"/>
      <c r="F28073" s="29" t="s">
        <v>347</v>
      </c>
    </row>
    <row r="28074" spans="1:7" x14ac:dyDescent="0.35">
      <c r="A28074" s="27" t="s">
        <v>231</v>
      </c>
      <c r="B28074" s="27" t="s">
        <v>1348</v>
      </c>
      <c r="C28074" s="28">
        <v>0.375</v>
      </c>
      <c r="D28074" s="28">
        <v>0.625</v>
      </c>
      <c r="E28074" s="29"/>
      <c r="F28074" s="29" t="s">
        <v>333</v>
      </c>
    </row>
    <row r="28075" spans="1:7" x14ac:dyDescent="0.35">
      <c r="A28075" s="27" t="s">
        <v>231</v>
      </c>
      <c r="B28075" s="27" t="s">
        <v>1347</v>
      </c>
      <c r="C28075" s="28">
        <v>0.5</v>
      </c>
      <c r="D28075" s="28">
        <v>0.5</v>
      </c>
      <c r="E28075" s="29"/>
      <c r="F28075" s="29" t="s">
        <v>337</v>
      </c>
    </row>
    <row r="28076" spans="1:7" x14ac:dyDescent="0.35">
      <c r="A28076" s="27" t="s">
        <v>231</v>
      </c>
      <c r="B28076" s="27" t="s">
        <v>1346</v>
      </c>
      <c r="C28076" s="28">
        <v>1</v>
      </c>
      <c r="D28076" s="29"/>
      <c r="E28076" s="29"/>
      <c r="F28076" s="29" t="s">
        <v>331</v>
      </c>
    </row>
    <row r="28077" spans="1:7" x14ac:dyDescent="0.35">
      <c r="A28077" t="s">
        <v>232</v>
      </c>
      <c r="B28077" t="s">
        <v>232</v>
      </c>
      <c r="C28077" s="26">
        <v>0.59989999999999999</v>
      </c>
      <c r="D28077" s="26">
        <v>0.38919999999999999</v>
      </c>
      <c r="E28077" s="26">
        <v>1.09E-2</v>
      </c>
      <c r="F28077">
        <v>357</v>
      </c>
    </row>
    <row r="28079" spans="1:7" x14ac:dyDescent="0.35">
      <c r="A28079" s="1" t="s">
        <v>2524</v>
      </c>
    </row>
    <row r="28080" spans="1:7" x14ac:dyDescent="0.35">
      <c r="A28080" t="s">
        <v>219</v>
      </c>
      <c r="B28080" t="s">
        <v>305</v>
      </c>
      <c r="C28080" t="s">
        <v>345</v>
      </c>
      <c r="D28080" t="s">
        <v>303</v>
      </c>
      <c r="E28080" t="s">
        <v>302</v>
      </c>
      <c r="F28080" t="s">
        <v>281</v>
      </c>
      <c r="G28080" t="s">
        <v>226</v>
      </c>
    </row>
    <row r="28081" spans="1:7" x14ac:dyDescent="0.35">
      <c r="A28081" s="27" t="s">
        <v>227</v>
      </c>
      <c r="B28081" s="27" t="s">
        <v>1343</v>
      </c>
      <c r="C28081" s="27" t="s">
        <v>1348</v>
      </c>
      <c r="D28081" s="28">
        <v>0.25</v>
      </c>
      <c r="E28081" s="28">
        <v>0.75</v>
      </c>
      <c r="F28081" s="29"/>
      <c r="G28081" s="29" t="s">
        <v>337</v>
      </c>
    </row>
    <row r="28082" spans="1:7" x14ac:dyDescent="0.35">
      <c r="A28082" s="27" t="s">
        <v>227</v>
      </c>
      <c r="B28082" s="27" t="s">
        <v>1341</v>
      </c>
      <c r="C28082" s="27" t="s">
        <v>1347</v>
      </c>
      <c r="D28082" s="28">
        <v>0.66669999999999996</v>
      </c>
      <c r="E28082" s="28">
        <v>0.33329999999999999</v>
      </c>
      <c r="F28082" s="29"/>
      <c r="G28082" s="29" t="s">
        <v>315</v>
      </c>
    </row>
    <row r="28083" spans="1:7" x14ac:dyDescent="0.35">
      <c r="A28083" s="27" t="s">
        <v>227</v>
      </c>
      <c r="B28083" s="27" t="s">
        <v>1343</v>
      </c>
      <c r="C28083" s="27" t="s">
        <v>1346</v>
      </c>
      <c r="D28083" s="28">
        <v>0.8</v>
      </c>
      <c r="E28083" s="28">
        <v>0.2</v>
      </c>
      <c r="F28083" s="29"/>
      <c r="G28083" s="29" t="s">
        <v>332</v>
      </c>
    </row>
    <row r="28084" spans="1:7" x14ac:dyDescent="0.35">
      <c r="A28084" s="27" t="s">
        <v>227</v>
      </c>
      <c r="B28084" s="27" t="s">
        <v>1343</v>
      </c>
      <c r="C28084" s="27" t="s">
        <v>1347</v>
      </c>
      <c r="D28084" s="28">
        <v>0.66669999999999996</v>
      </c>
      <c r="E28084" s="28">
        <v>0.33329999999999999</v>
      </c>
      <c r="F28084" s="29"/>
      <c r="G28084" s="29" t="s">
        <v>335</v>
      </c>
    </row>
    <row r="28085" spans="1:7" x14ac:dyDescent="0.35">
      <c r="A28085" s="27" t="s">
        <v>227</v>
      </c>
      <c r="B28085" s="27" t="s">
        <v>1341</v>
      </c>
      <c r="C28085" s="27" t="s">
        <v>1346</v>
      </c>
      <c r="D28085" s="28">
        <v>1</v>
      </c>
      <c r="E28085" s="29"/>
      <c r="F28085" s="29"/>
      <c r="G28085" s="29" t="s">
        <v>331</v>
      </c>
    </row>
    <row r="28086" spans="1:7" x14ac:dyDescent="0.35">
      <c r="A28086" s="27" t="s">
        <v>227</v>
      </c>
      <c r="B28086" s="27" t="s">
        <v>1341</v>
      </c>
      <c r="C28086" s="27" t="s">
        <v>1348</v>
      </c>
      <c r="D28086" s="28">
        <v>0.66669999999999996</v>
      </c>
      <c r="E28086" s="28">
        <v>0.33329999999999999</v>
      </c>
      <c r="F28086" s="29"/>
      <c r="G28086" s="29" t="s">
        <v>315</v>
      </c>
    </row>
    <row r="28087" spans="1:7" x14ac:dyDescent="0.35">
      <c r="A28087" s="27" t="s">
        <v>228</v>
      </c>
      <c r="B28087" s="27" t="s">
        <v>1341</v>
      </c>
      <c r="C28087" s="27" t="s">
        <v>1346</v>
      </c>
      <c r="D28087" s="28">
        <v>0.72289999999999999</v>
      </c>
      <c r="E28087" s="28">
        <v>0.27710000000000001</v>
      </c>
      <c r="F28087" s="29"/>
      <c r="G28087" s="29" t="s">
        <v>332</v>
      </c>
    </row>
    <row r="28088" spans="1:7" x14ac:dyDescent="0.35">
      <c r="A28088" s="27" t="s">
        <v>228</v>
      </c>
      <c r="B28088" s="27" t="s">
        <v>1343</v>
      </c>
      <c r="C28088" s="27" t="s">
        <v>1347</v>
      </c>
      <c r="D28088" s="28">
        <v>0.73640000000000005</v>
      </c>
      <c r="E28088" s="28">
        <v>0.2636</v>
      </c>
      <c r="F28088" s="29"/>
      <c r="G28088" s="29" t="s">
        <v>312</v>
      </c>
    </row>
    <row r="28089" spans="1:7" x14ac:dyDescent="0.35">
      <c r="A28089" s="27" t="s">
        <v>228</v>
      </c>
      <c r="B28089" s="27" t="s">
        <v>1341</v>
      </c>
      <c r="C28089" s="27" t="s">
        <v>1348</v>
      </c>
      <c r="D28089" s="28">
        <v>0.80840000000000001</v>
      </c>
      <c r="E28089" s="28">
        <v>0.17249999999999999</v>
      </c>
      <c r="F28089" s="28">
        <v>1.9E-2</v>
      </c>
      <c r="G28089" s="29" t="s">
        <v>310</v>
      </c>
    </row>
    <row r="28090" spans="1:7" x14ac:dyDescent="0.35">
      <c r="A28090" s="27" t="s">
        <v>228</v>
      </c>
      <c r="B28090" s="27" t="s">
        <v>1343</v>
      </c>
      <c r="C28090" s="27" t="s">
        <v>1346</v>
      </c>
      <c r="D28090" s="28">
        <v>0.87029999999999996</v>
      </c>
      <c r="E28090" s="28">
        <v>9.6000000000000002E-2</v>
      </c>
      <c r="F28090" s="28">
        <v>3.3700000000000001E-2</v>
      </c>
      <c r="G28090" s="29" t="s">
        <v>310</v>
      </c>
    </row>
    <row r="28091" spans="1:7" x14ac:dyDescent="0.35">
      <c r="A28091" s="27" t="s">
        <v>228</v>
      </c>
      <c r="B28091" s="27" t="s">
        <v>1342</v>
      </c>
      <c r="C28091" s="27" t="s">
        <v>1348</v>
      </c>
      <c r="D28091" s="28">
        <v>1</v>
      </c>
      <c r="E28091" s="29"/>
      <c r="F28091" s="29"/>
      <c r="G28091" s="29" t="s">
        <v>331</v>
      </c>
    </row>
    <row r="28092" spans="1:7" x14ac:dyDescent="0.35">
      <c r="A28092" s="27" t="s">
        <v>228</v>
      </c>
      <c r="B28092" s="27" t="s">
        <v>1341</v>
      </c>
      <c r="C28092" s="27" t="s">
        <v>1347</v>
      </c>
      <c r="D28092" s="28">
        <v>0.2959</v>
      </c>
      <c r="E28092" s="28">
        <v>0.27050000000000002</v>
      </c>
      <c r="F28092" s="28">
        <v>0.43359999999999999</v>
      </c>
      <c r="G28092" s="29" t="s">
        <v>342</v>
      </c>
    </row>
    <row r="28093" spans="1:7" x14ac:dyDescent="0.35">
      <c r="A28093" t="s">
        <v>228</v>
      </c>
      <c r="B28093" t="s">
        <v>1343</v>
      </c>
      <c r="C28093" t="s">
        <v>1348</v>
      </c>
      <c r="D28093" s="26">
        <v>0.53979999999999995</v>
      </c>
      <c r="E28093" s="26">
        <v>0.433</v>
      </c>
      <c r="F28093" s="26">
        <v>2.7199999999999998E-2</v>
      </c>
      <c r="G28093">
        <v>51</v>
      </c>
    </row>
    <row r="28094" spans="1:7" x14ac:dyDescent="0.35">
      <c r="A28094" t="s">
        <v>229</v>
      </c>
      <c r="B28094" t="s">
        <v>1343</v>
      </c>
      <c r="C28094" t="s">
        <v>1348</v>
      </c>
      <c r="D28094" s="26">
        <v>0.49459999999999998</v>
      </c>
      <c r="E28094" s="26">
        <v>0.50539999999999996</v>
      </c>
      <c r="G28094">
        <v>33</v>
      </c>
    </row>
    <row r="28095" spans="1:7" x14ac:dyDescent="0.35">
      <c r="A28095" s="27" t="s">
        <v>229</v>
      </c>
      <c r="B28095" s="27" t="s">
        <v>1343</v>
      </c>
      <c r="C28095" s="27" t="s">
        <v>1346</v>
      </c>
      <c r="D28095" s="28">
        <v>1.4999999999999999E-2</v>
      </c>
      <c r="E28095" s="28">
        <v>0.98499999999999999</v>
      </c>
      <c r="F28095" s="29"/>
      <c r="G28095" s="29" t="s">
        <v>335</v>
      </c>
    </row>
    <row r="28096" spans="1:7" x14ac:dyDescent="0.35">
      <c r="A28096" t="s">
        <v>229</v>
      </c>
      <c r="B28096" t="s">
        <v>1343</v>
      </c>
      <c r="C28096" t="s">
        <v>1347</v>
      </c>
      <c r="D28096" s="26">
        <v>0.50109999999999999</v>
      </c>
      <c r="E28096" s="26">
        <v>0.49890000000000001</v>
      </c>
      <c r="G28096">
        <v>30</v>
      </c>
    </row>
    <row r="28097" spans="1:7" x14ac:dyDescent="0.35">
      <c r="A28097" s="27" t="s">
        <v>229</v>
      </c>
      <c r="B28097" s="27" t="s">
        <v>1343</v>
      </c>
      <c r="C28097" s="27" t="s">
        <v>1345</v>
      </c>
      <c r="D28097" s="28">
        <v>1</v>
      </c>
      <c r="E28097" s="29"/>
      <c r="F28097" s="29"/>
      <c r="G28097" s="29" t="s">
        <v>331</v>
      </c>
    </row>
    <row r="28098" spans="1:7" x14ac:dyDescent="0.35">
      <c r="A28098" s="27" t="s">
        <v>229</v>
      </c>
      <c r="B28098" s="27" t="s">
        <v>1341</v>
      </c>
      <c r="C28098" s="27" t="s">
        <v>1345</v>
      </c>
      <c r="D28098" s="28">
        <v>0.63980000000000004</v>
      </c>
      <c r="E28098" s="28">
        <v>0.36020000000000002</v>
      </c>
      <c r="F28098" s="29"/>
      <c r="G28098" s="29" t="s">
        <v>314</v>
      </c>
    </row>
    <row r="28099" spans="1:7" x14ac:dyDescent="0.35">
      <c r="A28099" s="27" t="s">
        <v>229</v>
      </c>
      <c r="B28099" s="27" t="s">
        <v>1341</v>
      </c>
      <c r="C28099" s="27" t="s">
        <v>1346</v>
      </c>
      <c r="D28099" s="28">
        <v>0.11609999999999999</v>
      </c>
      <c r="E28099" s="28">
        <v>0.88390000000000002</v>
      </c>
      <c r="F28099" s="29"/>
      <c r="G28099" s="29" t="s">
        <v>314</v>
      </c>
    </row>
    <row r="28100" spans="1:7" x14ac:dyDescent="0.35">
      <c r="A28100" s="27" t="s">
        <v>229</v>
      </c>
      <c r="B28100" s="27" t="s">
        <v>1341</v>
      </c>
      <c r="C28100" s="27" t="s">
        <v>1348</v>
      </c>
      <c r="D28100" s="28">
        <v>0.77449999999999997</v>
      </c>
      <c r="E28100" s="28">
        <v>0.22550000000000001</v>
      </c>
      <c r="F28100" s="29"/>
      <c r="G28100" s="29" t="s">
        <v>341</v>
      </c>
    </row>
    <row r="28101" spans="1:7" x14ac:dyDescent="0.35">
      <c r="A28101" s="27" t="s">
        <v>229</v>
      </c>
      <c r="B28101" s="27" t="s">
        <v>1341</v>
      </c>
      <c r="C28101" s="27" t="s">
        <v>1347</v>
      </c>
      <c r="D28101" s="28">
        <v>0.50780000000000003</v>
      </c>
      <c r="E28101" s="28">
        <v>0.49220000000000003</v>
      </c>
      <c r="F28101" s="29"/>
      <c r="G28101" s="29" t="s">
        <v>352</v>
      </c>
    </row>
    <row r="28102" spans="1:7" x14ac:dyDescent="0.35">
      <c r="A28102" s="27" t="s">
        <v>230</v>
      </c>
      <c r="B28102" s="27" t="s">
        <v>1341</v>
      </c>
      <c r="C28102" s="27" t="s">
        <v>1346</v>
      </c>
      <c r="D28102" s="28">
        <v>1</v>
      </c>
      <c r="E28102" s="29"/>
      <c r="F28102" s="29"/>
      <c r="G28102" s="29" t="s">
        <v>314</v>
      </c>
    </row>
    <row r="28103" spans="1:7" x14ac:dyDescent="0.35">
      <c r="A28103" s="27" t="s">
        <v>230</v>
      </c>
      <c r="B28103" s="27" t="s">
        <v>1343</v>
      </c>
      <c r="C28103" s="27" t="s">
        <v>1347</v>
      </c>
      <c r="D28103" s="28">
        <v>0.80649999999999999</v>
      </c>
      <c r="E28103" s="28">
        <v>0.19350000000000001</v>
      </c>
      <c r="F28103" s="29"/>
      <c r="G28103" s="29" t="s">
        <v>343</v>
      </c>
    </row>
    <row r="28104" spans="1:7" x14ac:dyDescent="0.35">
      <c r="A28104" s="27" t="s">
        <v>230</v>
      </c>
      <c r="B28104" s="27" t="s">
        <v>1341</v>
      </c>
      <c r="C28104" s="27" t="s">
        <v>1348</v>
      </c>
      <c r="D28104" s="28">
        <v>0.2339</v>
      </c>
      <c r="E28104" s="28">
        <v>0.7661</v>
      </c>
      <c r="F28104" s="29"/>
      <c r="G28104" s="29" t="s">
        <v>335</v>
      </c>
    </row>
    <row r="28105" spans="1:7" x14ac:dyDescent="0.35">
      <c r="A28105" t="s">
        <v>230</v>
      </c>
      <c r="B28105" t="s">
        <v>1343</v>
      </c>
      <c r="C28105" t="s">
        <v>1348</v>
      </c>
      <c r="D28105" s="26">
        <v>0.9093</v>
      </c>
      <c r="E28105" s="26">
        <v>9.0700000000000003E-2</v>
      </c>
      <c r="G28105">
        <v>38</v>
      </c>
    </row>
    <row r="28106" spans="1:7" x14ac:dyDescent="0.35">
      <c r="A28106" s="27" t="s">
        <v>230</v>
      </c>
      <c r="B28106" s="27" t="s">
        <v>1341</v>
      </c>
      <c r="C28106" s="27" t="s">
        <v>1347</v>
      </c>
      <c r="D28106" s="28">
        <v>0.64490000000000003</v>
      </c>
      <c r="E28106" s="28">
        <v>0.35510000000000003</v>
      </c>
      <c r="F28106" s="29"/>
      <c r="G28106" s="29" t="s">
        <v>332</v>
      </c>
    </row>
    <row r="28107" spans="1:7" x14ac:dyDescent="0.35">
      <c r="A28107" s="27" t="s">
        <v>230</v>
      </c>
      <c r="B28107" s="27" t="s">
        <v>1343</v>
      </c>
      <c r="C28107" s="27" t="s">
        <v>1346</v>
      </c>
      <c r="D28107" s="28">
        <v>0.87339999999999995</v>
      </c>
      <c r="E28107" s="28">
        <v>8.7999999999999995E-2</v>
      </c>
      <c r="F28107" s="28">
        <v>3.8600000000000002E-2</v>
      </c>
      <c r="G28107" s="29" t="s">
        <v>379</v>
      </c>
    </row>
    <row r="28108" spans="1:7" x14ac:dyDescent="0.35">
      <c r="A28108" s="27" t="s">
        <v>231</v>
      </c>
      <c r="B28108" s="27" t="s">
        <v>1343</v>
      </c>
      <c r="C28108" s="27" t="s">
        <v>1347</v>
      </c>
      <c r="D28108" s="28">
        <v>0.5</v>
      </c>
      <c r="E28108" s="28">
        <v>0.5</v>
      </c>
      <c r="F28108" s="29"/>
      <c r="G28108" s="29" t="s">
        <v>314</v>
      </c>
    </row>
    <row r="28109" spans="1:7" x14ac:dyDescent="0.35">
      <c r="A28109" s="27" t="s">
        <v>231</v>
      </c>
      <c r="B28109" s="27" t="s">
        <v>1343</v>
      </c>
      <c r="C28109" s="27" t="s">
        <v>1348</v>
      </c>
      <c r="D28109" s="28">
        <v>0.28570000000000001</v>
      </c>
      <c r="E28109" s="28">
        <v>0.71430000000000005</v>
      </c>
      <c r="F28109" s="29"/>
      <c r="G28109" s="29" t="s">
        <v>339</v>
      </c>
    </row>
    <row r="28110" spans="1:7" x14ac:dyDescent="0.35">
      <c r="A28110" s="27" t="s">
        <v>231</v>
      </c>
      <c r="B28110" s="27" t="s">
        <v>1341</v>
      </c>
      <c r="C28110" s="27" t="s">
        <v>1348</v>
      </c>
      <c r="D28110" s="28">
        <v>1</v>
      </c>
      <c r="E28110" s="29"/>
      <c r="F28110" s="29"/>
      <c r="G28110" s="29" t="s">
        <v>331</v>
      </c>
    </row>
    <row r="28111" spans="1:7" x14ac:dyDescent="0.35">
      <c r="A28111" s="27" t="s">
        <v>231</v>
      </c>
      <c r="B28111" s="27" t="s">
        <v>1343</v>
      </c>
      <c r="C28111" s="27" t="s">
        <v>1346</v>
      </c>
      <c r="D28111" s="28">
        <v>1</v>
      </c>
      <c r="E28111" s="29"/>
      <c r="F28111" s="29"/>
      <c r="G28111" s="29" t="s">
        <v>331</v>
      </c>
    </row>
    <row r="28112" spans="1:7" x14ac:dyDescent="0.35">
      <c r="A28112" s="27" t="s">
        <v>231</v>
      </c>
      <c r="B28112" s="27" t="s">
        <v>1341</v>
      </c>
      <c r="C28112" s="27" t="s">
        <v>1347</v>
      </c>
      <c r="D28112" s="28">
        <v>0.5</v>
      </c>
      <c r="E28112" s="28">
        <v>0.5</v>
      </c>
      <c r="F28112" s="29"/>
      <c r="G28112" s="29" t="s">
        <v>314</v>
      </c>
    </row>
    <row r="28113" spans="1:13" x14ac:dyDescent="0.35">
      <c r="A28113" t="s">
        <v>232</v>
      </c>
      <c r="B28113" t="s">
        <v>232</v>
      </c>
      <c r="C28113" t="s">
        <v>232</v>
      </c>
      <c r="D28113" s="26">
        <v>0.59989999999999999</v>
      </c>
      <c r="E28113" s="26">
        <v>0.38919999999999999</v>
      </c>
      <c r="F28113" s="26">
        <v>1.09E-2</v>
      </c>
      <c r="G28113">
        <v>357</v>
      </c>
    </row>
    <row r="28115" spans="1:13" x14ac:dyDescent="0.35">
      <c r="A28115" s="1" t="s">
        <v>2525</v>
      </c>
    </row>
    <row r="28116" spans="1:13" x14ac:dyDescent="0.35">
      <c r="A28116" t="s">
        <v>219</v>
      </c>
      <c r="B28116" t="s">
        <v>302</v>
      </c>
      <c r="C28116" t="s">
        <v>2526</v>
      </c>
      <c r="D28116" t="s">
        <v>2527</v>
      </c>
      <c r="E28116" t="s">
        <v>281</v>
      </c>
      <c r="F28116" t="s">
        <v>2528</v>
      </c>
      <c r="G28116" t="s">
        <v>2529</v>
      </c>
      <c r="H28116" t="s">
        <v>2530</v>
      </c>
      <c r="I28116" t="s">
        <v>286</v>
      </c>
      <c r="J28116" t="s">
        <v>326</v>
      </c>
      <c r="K28116" t="s">
        <v>2531</v>
      </c>
      <c r="L28116" t="s">
        <v>226</v>
      </c>
    </row>
    <row r="28117" spans="1:13" x14ac:dyDescent="0.35">
      <c r="A28117" t="s">
        <v>227</v>
      </c>
      <c r="B28117" s="26">
        <v>0.94940000000000002</v>
      </c>
      <c r="C28117" s="26">
        <v>2.53E-2</v>
      </c>
      <c r="D28117" s="26">
        <v>6.3E-3</v>
      </c>
      <c r="E28117" s="26">
        <v>6.3E-3</v>
      </c>
      <c r="F28117" s="26">
        <v>6.3E-3</v>
      </c>
      <c r="G28117" s="26">
        <v>6.3E-3</v>
      </c>
      <c r="L28117">
        <v>158</v>
      </c>
    </row>
    <row r="28118" spans="1:13" x14ac:dyDescent="0.35">
      <c r="A28118" t="s">
        <v>228</v>
      </c>
      <c r="B28118" s="26">
        <v>0.88429999999999997</v>
      </c>
      <c r="C28118" s="26">
        <v>5.7299999999999997E-2</v>
      </c>
      <c r="D28118" s="26">
        <v>2.93E-2</v>
      </c>
      <c r="E28118" s="26">
        <v>9.1000000000000004E-3</v>
      </c>
      <c r="F28118" s="26">
        <v>2.5999999999999999E-3</v>
      </c>
      <c r="G28118" s="26">
        <v>4.4000000000000003E-3</v>
      </c>
      <c r="H28118" s="26">
        <v>7.7000000000000002E-3</v>
      </c>
      <c r="I28118" s="26">
        <v>5.7000000000000002E-3</v>
      </c>
      <c r="J28118" s="26">
        <v>2E-3</v>
      </c>
      <c r="K28118" s="26">
        <v>8.9999999999999998E-4</v>
      </c>
      <c r="L28118">
        <v>1021</v>
      </c>
    </row>
    <row r="28119" spans="1:13" x14ac:dyDescent="0.35">
      <c r="A28119" t="s">
        <v>229</v>
      </c>
      <c r="B28119" s="26">
        <v>0.9355</v>
      </c>
      <c r="C28119" s="26">
        <v>3.2500000000000001E-2</v>
      </c>
      <c r="D28119" s="26">
        <v>1.3899999999999999E-2</v>
      </c>
      <c r="E28119" s="26">
        <v>7.0000000000000001E-3</v>
      </c>
      <c r="F28119" s="26">
        <v>3.2000000000000002E-3</v>
      </c>
      <c r="G28119" s="26">
        <v>8.3999999999999995E-3</v>
      </c>
      <c r="H28119" s="26">
        <v>2.9999999999999997E-4</v>
      </c>
      <c r="I28119" s="26">
        <v>1.4E-3</v>
      </c>
      <c r="K28119" s="26">
        <v>6.9999999999999999E-4</v>
      </c>
      <c r="L28119">
        <v>886</v>
      </c>
    </row>
    <row r="28120" spans="1:13" x14ac:dyDescent="0.35">
      <c r="A28120" t="s">
        <v>230</v>
      </c>
      <c r="B28120" s="26">
        <v>0.91859999999999997</v>
      </c>
      <c r="C28120" s="26">
        <v>3.1800000000000002E-2</v>
      </c>
      <c r="D28120" s="26">
        <v>2.4500000000000001E-2</v>
      </c>
      <c r="E28120" s="26">
        <v>8.9999999999999993E-3</v>
      </c>
      <c r="F28120" s="26">
        <v>5.8999999999999999E-3</v>
      </c>
      <c r="G28120" s="26">
        <v>1.8E-3</v>
      </c>
      <c r="H28120" s="26">
        <v>6.7999999999999996E-3</v>
      </c>
      <c r="I28120" s="26">
        <v>7.4999999999999997E-3</v>
      </c>
      <c r="J28120" s="26">
        <v>2.9999999999999997E-4</v>
      </c>
      <c r="L28120">
        <v>558</v>
      </c>
    </row>
    <row r="28121" spans="1:13" x14ac:dyDescent="0.35">
      <c r="A28121" t="s">
        <v>231</v>
      </c>
      <c r="B28121" s="26">
        <v>0.91359999999999997</v>
      </c>
      <c r="C28121" s="26">
        <v>3.09E-2</v>
      </c>
      <c r="D28121" s="26">
        <v>1.23E-2</v>
      </c>
      <c r="E28121" s="26">
        <v>1.23E-2</v>
      </c>
      <c r="F28121" s="26">
        <v>1.8499999999999999E-2</v>
      </c>
      <c r="G28121" s="26">
        <v>6.1999999999999998E-3</v>
      </c>
      <c r="H28121" s="26">
        <v>6.1999999999999998E-3</v>
      </c>
      <c r="L28121">
        <v>162</v>
      </c>
    </row>
    <row r="28122" spans="1:13" x14ac:dyDescent="0.35">
      <c r="A28122" t="s">
        <v>232</v>
      </c>
      <c r="B28122" s="26">
        <v>0.92</v>
      </c>
      <c r="C28122" s="26">
        <v>3.5700000000000003E-2</v>
      </c>
      <c r="D28122" s="26">
        <v>1.6400000000000001E-2</v>
      </c>
      <c r="E28122" s="26">
        <v>8.9999999999999993E-3</v>
      </c>
      <c r="F28122" s="26">
        <v>8.0000000000000002E-3</v>
      </c>
      <c r="G28122" s="26">
        <v>6.1000000000000004E-3</v>
      </c>
      <c r="H28122" s="26">
        <v>4.0000000000000001E-3</v>
      </c>
      <c r="I28122" s="26">
        <v>2.2000000000000001E-3</v>
      </c>
      <c r="J28122" s="26">
        <v>4.0000000000000002E-4</v>
      </c>
      <c r="K28122" s="26">
        <v>4.0000000000000002E-4</v>
      </c>
      <c r="L28122">
        <v>2785</v>
      </c>
    </row>
    <row r="28124" spans="1:13" x14ac:dyDescent="0.35">
      <c r="A28124" s="1" t="s">
        <v>2532</v>
      </c>
    </row>
    <row r="28125" spans="1:13" x14ac:dyDescent="0.35">
      <c r="A28125" t="s">
        <v>219</v>
      </c>
      <c r="B28125" t="s">
        <v>305</v>
      </c>
      <c r="C28125" t="s">
        <v>302</v>
      </c>
      <c r="D28125" t="s">
        <v>2526</v>
      </c>
      <c r="E28125" t="s">
        <v>2527</v>
      </c>
      <c r="F28125" t="s">
        <v>281</v>
      </c>
      <c r="G28125" t="s">
        <v>2528</v>
      </c>
      <c r="H28125" t="s">
        <v>2529</v>
      </c>
      <c r="I28125" t="s">
        <v>2530</v>
      </c>
      <c r="J28125" t="s">
        <v>286</v>
      </c>
      <c r="K28125" t="s">
        <v>326</v>
      </c>
      <c r="L28125" t="s">
        <v>2531</v>
      </c>
      <c r="M28125" t="s">
        <v>226</v>
      </c>
    </row>
    <row r="28126" spans="1:13" x14ac:dyDescent="0.35">
      <c r="A28126" t="s">
        <v>227</v>
      </c>
      <c r="B28126" t="s">
        <v>242</v>
      </c>
      <c r="C28126" s="26">
        <v>0.94030000000000002</v>
      </c>
      <c r="D28126" s="26">
        <v>2.9899999999999999E-2</v>
      </c>
      <c r="E28126" s="26">
        <v>1.49E-2</v>
      </c>
      <c r="H28126" s="26">
        <v>1.49E-2</v>
      </c>
      <c r="M28126">
        <v>67</v>
      </c>
    </row>
    <row r="28127" spans="1:13" x14ac:dyDescent="0.35">
      <c r="A28127" t="s">
        <v>227</v>
      </c>
      <c r="B28127" t="s">
        <v>241</v>
      </c>
      <c r="C28127" s="26">
        <v>0.95599999999999996</v>
      </c>
      <c r="D28127" s="26">
        <v>2.1999999999999999E-2</v>
      </c>
      <c r="F28127" s="26">
        <v>1.0999999999999999E-2</v>
      </c>
      <c r="G28127" s="26">
        <v>1.0999999999999999E-2</v>
      </c>
      <c r="M28127">
        <v>91</v>
      </c>
    </row>
    <row r="28128" spans="1:13" x14ac:dyDescent="0.35">
      <c r="A28128" t="s">
        <v>228</v>
      </c>
      <c r="B28128" t="s">
        <v>242</v>
      </c>
      <c r="C28128" s="26">
        <v>0.83879999999999999</v>
      </c>
      <c r="D28128" s="26">
        <v>7.9000000000000001E-2</v>
      </c>
      <c r="E28128" s="26">
        <v>3.7600000000000001E-2</v>
      </c>
      <c r="F28128" s="26">
        <v>5.1999999999999998E-3</v>
      </c>
      <c r="G28128" s="26">
        <v>3.2000000000000002E-3</v>
      </c>
      <c r="H28128" s="26">
        <v>1.2E-2</v>
      </c>
      <c r="I28128" s="26">
        <v>1.2699999999999999E-2</v>
      </c>
      <c r="J28128" s="26">
        <v>1.2200000000000001E-2</v>
      </c>
      <c r="L28128" s="26">
        <v>1.1000000000000001E-3</v>
      </c>
      <c r="M28128">
        <v>398</v>
      </c>
    </row>
    <row r="28129" spans="1:13" x14ac:dyDescent="0.35">
      <c r="A28129" t="s">
        <v>228</v>
      </c>
      <c r="B28129" t="s">
        <v>241</v>
      </c>
      <c r="C28129" s="26">
        <v>0.9103</v>
      </c>
      <c r="D28129" s="26">
        <v>4.4900000000000002E-2</v>
      </c>
      <c r="E28129" s="26">
        <v>2.46E-2</v>
      </c>
      <c r="F28129" s="26">
        <v>1.1299999999999999E-2</v>
      </c>
      <c r="G28129" s="26">
        <v>2.2000000000000001E-3</v>
      </c>
      <c r="I28129" s="26">
        <v>4.8999999999999998E-3</v>
      </c>
      <c r="J28129" s="26">
        <v>1.9E-3</v>
      </c>
      <c r="K28129" s="26">
        <v>3.2000000000000002E-3</v>
      </c>
      <c r="L28129" s="26">
        <v>8.0000000000000004E-4</v>
      </c>
      <c r="M28129">
        <v>623</v>
      </c>
    </row>
    <row r="28130" spans="1:13" x14ac:dyDescent="0.35">
      <c r="A28130" t="s">
        <v>229</v>
      </c>
      <c r="B28130" t="s">
        <v>242</v>
      </c>
      <c r="C28130" s="26">
        <v>0.89280000000000004</v>
      </c>
      <c r="D28130" s="26">
        <v>5.0099999999999999E-2</v>
      </c>
      <c r="E28130" s="26">
        <v>3.0599999999999999E-2</v>
      </c>
      <c r="F28130" s="26">
        <v>1.01E-2</v>
      </c>
      <c r="H28130" s="26">
        <v>2.1600000000000001E-2</v>
      </c>
      <c r="J28130" s="26">
        <v>8.9999999999999998E-4</v>
      </c>
      <c r="L28130" s="26">
        <v>1.6999999999999999E-3</v>
      </c>
      <c r="M28130">
        <v>289</v>
      </c>
    </row>
    <row r="28131" spans="1:13" x14ac:dyDescent="0.35">
      <c r="A28131" t="s">
        <v>229</v>
      </c>
      <c r="B28131" t="s">
        <v>241</v>
      </c>
      <c r="C28131" s="26">
        <v>0.96299999999999997</v>
      </c>
      <c r="D28131" s="26">
        <v>2.12E-2</v>
      </c>
      <c r="E28131" s="26">
        <v>3.2000000000000002E-3</v>
      </c>
      <c r="F28131" s="26">
        <v>4.8999999999999998E-3</v>
      </c>
      <c r="G28131" s="26">
        <v>5.3E-3</v>
      </c>
      <c r="I28131" s="26">
        <v>5.0000000000000001E-4</v>
      </c>
      <c r="J28131" s="26">
        <v>1.8E-3</v>
      </c>
      <c r="M28131">
        <v>597</v>
      </c>
    </row>
    <row r="28132" spans="1:13" x14ac:dyDescent="0.35">
      <c r="A28132" t="s">
        <v>230</v>
      </c>
      <c r="B28132" t="s">
        <v>242</v>
      </c>
      <c r="C28132" s="26">
        <v>0.83440000000000003</v>
      </c>
      <c r="D28132" s="26">
        <v>7.8700000000000006E-2</v>
      </c>
      <c r="E28132" s="26">
        <v>1.6E-2</v>
      </c>
      <c r="F28132" s="26">
        <v>2.6700000000000002E-2</v>
      </c>
      <c r="G28132" s="26">
        <v>1.6799999999999999E-2</v>
      </c>
      <c r="H28132" s="26">
        <v>5.4000000000000003E-3</v>
      </c>
      <c r="I28132" s="26">
        <v>1.6E-2</v>
      </c>
      <c r="J28132" s="26">
        <v>2.1299999999999999E-2</v>
      </c>
      <c r="K28132" s="26">
        <v>8.0000000000000004E-4</v>
      </c>
      <c r="M28132">
        <v>188</v>
      </c>
    </row>
    <row r="28133" spans="1:13" x14ac:dyDescent="0.35">
      <c r="A28133" t="s">
        <v>230</v>
      </c>
      <c r="B28133" t="s">
        <v>241</v>
      </c>
      <c r="C28133" s="26">
        <v>0.96150000000000002</v>
      </c>
      <c r="D28133" s="26">
        <v>7.9000000000000008E-3</v>
      </c>
      <c r="E28133" s="26">
        <v>2.8899999999999999E-2</v>
      </c>
      <c r="G28133" s="26">
        <v>4.0000000000000002E-4</v>
      </c>
      <c r="I28133" s="26">
        <v>2.2000000000000001E-3</v>
      </c>
      <c r="J28133" s="26">
        <v>4.0000000000000002E-4</v>
      </c>
      <c r="M28133">
        <v>370</v>
      </c>
    </row>
    <row r="28134" spans="1:13" x14ac:dyDescent="0.35">
      <c r="A28134" t="s">
        <v>231</v>
      </c>
      <c r="B28134" t="s">
        <v>242</v>
      </c>
      <c r="C28134" s="26">
        <v>0.94340000000000002</v>
      </c>
      <c r="D28134" s="26">
        <v>1.89E-2</v>
      </c>
      <c r="H28134" s="26">
        <v>1.89E-2</v>
      </c>
      <c r="I28134" s="26">
        <v>1.89E-2</v>
      </c>
      <c r="M28134">
        <v>53</v>
      </c>
    </row>
    <row r="28135" spans="1:13" x14ac:dyDescent="0.35">
      <c r="A28135" t="s">
        <v>231</v>
      </c>
      <c r="B28135" t="s">
        <v>241</v>
      </c>
      <c r="C28135" s="26">
        <v>0.89910000000000001</v>
      </c>
      <c r="D28135" s="26">
        <v>3.6700000000000003E-2</v>
      </c>
      <c r="E28135" s="26">
        <v>1.83E-2</v>
      </c>
      <c r="F28135" s="26">
        <v>1.83E-2</v>
      </c>
      <c r="G28135" s="26">
        <v>2.75E-2</v>
      </c>
      <c r="M28135">
        <v>109</v>
      </c>
    </row>
    <row r="28136" spans="1:13" x14ac:dyDescent="0.35">
      <c r="A28136" t="s">
        <v>232</v>
      </c>
      <c r="B28136" t="s">
        <v>232</v>
      </c>
      <c r="C28136" s="26">
        <v>0.92</v>
      </c>
      <c r="D28136" s="26">
        <v>3.5700000000000003E-2</v>
      </c>
      <c r="E28136" s="26">
        <v>1.6400000000000001E-2</v>
      </c>
      <c r="F28136" s="26">
        <v>8.9999999999999993E-3</v>
      </c>
      <c r="G28136" s="26">
        <v>8.0000000000000002E-3</v>
      </c>
      <c r="H28136" s="26">
        <v>6.1000000000000004E-3</v>
      </c>
      <c r="I28136" s="26">
        <v>4.0000000000000001E-3</v>
      </c>
      <c r="J28136" s="26">
        <v>2.2000000000000001E-3</v>
      </c>
      <c r="K28136" s="26">
        <v>4.0000000000000002E-4</v>
      </c>
      <c r="L28136" s="26">
        <v>4.0000000000000002E-4</v>
      </c>
      <c r="M28136">
        <v>2785</v>
      </c>
    </row>
    <row r="28138" spans="1:13" x14ac:dyDescent="0.35">
      <c r="A28138" s="1" t="s">
        <v>2533</v>
      </c>
    </row>
    <row r="28139" spans="1:13" x14ac:dyDescent="0.35">
      <c r="A28139" t="s">
        <v>219</v>
      </c>
      <c r="B28139" t="s">
        <v>305</v>
      </c>
      <c r="C28139" t="s">
        <v>302</v>
      </c>
      <c r="D28139" t="s">
        <v>2526</v>
      </c>
      <c r="E28139" t="s">
        <v>2527</v>
      </c>
      <c r="F28139" t="s">
        <v>281</v>
      </c>
      <c r="G28139" t="s">
        <v>2528</v>
      </c>
      <c r="H28139" t="s">
        <v>2529</v>
      </c>
      <c r="I28139" t="s">
        <v>2530</v>
      </c>
      <c r="J28139" t="s">
        <v>286</v>
      </c>
      <c r="K28139" t="s">
        <v>326</v>
      </c>
      <c r="L28139" t="s">
        <v>2531</v>
      </c>
      <c r="M28139" t="s">
        <v>226</v>
      </c>
    </row>
    <row r="28140" spans="1:13" x14ac:dyDescent="0.35">
      <c r="A28140" t="s">
        <v>227</v>
      </c>
      <c r="B28140" t="s">
        <v>239</v>
      </c>
      <c r="C28140" s="26">
        <v>0.9516</v>
      </c>
      <c r="D28140" s="26">
        <v>3.2300000000000002E-2</v>
      </c>
      <c r="H28140" s="26">
        <v>1.61E-2</v>
      </c>
      <c r="M28140">
        <v>62</v>
      </c>
    </row>
    <row r="28141" spans="1:13" x14ac:dyDescent="0.35">
      <c r="A28141" t="s">
        <v>227</v>
      </c>
      <c r="B28141" t="s">
        <v>238</v>
      </c>
      <c r="C28141" s="26">
        <v>0.94789999999999996</v>
      </c>
      <c r="D28141" s="26">
        <v>2.0799999999999999E-2</v>
      </c>
      <c r="E28141" s="26">
        <v>1.04E-2</v>
      </c>
      <c r="F28141" s="26">
        <v>1.04E-2</v>
      </c>
      <c r="G28141" s="26">
        <v>1.04E-2</v>
      </c>
      <c r="M28141">
        <v>96</v>
      </c>
    </row>
    <row r="28142" spans="1:13" x14ac:dyDescent="0.35">
      <c r="A28142" t="s">
        <v>228</v>
      </c>
      <c r="B28142" t="s">
        <v>239</v>
      </c>
      <c r="C28142" s="26">
        <v>0.871</v>
      </c>
      <c r="D28142" s="26">
        <v>7.3400000000000007E-2</v>
      </c>
      <c r="E28142" s="26">
        <v>4.02E-2</v>
      </c>
      <c r="F28142" s="26">
        <v>3.8E-3</v>
      </c>
      <c r="G28142" s="26">
        <v>3.2000000000000002E-3</v>
      </c>
      <c r="H28142" s="26">
        <v>1.6999999999999999E-3</v>
      </c>
      <c r="I28142" s="26">
        <v>2.7000000000000001E-3</v>
      </c>
      <c r="K28142" s="26">
        <v>4.0000000000000001E-3</v>
      </c>
      <c r="L28142" s="26">
        <v>1.1999999999999999E-3</v>
      </c>
      <c r="M28142">
        <v>327</v>
      </c>
    </row>
    <row r="28143" spans="1:13" x14ac:dyDescent="0.35">
      <c r="A28143" t="s">
        <v>228</v>
      </c>
      <c r="B28143" t="s">
        <v>238</v>
      </c>
      <c r="C28143" s="26">
        <v>0.88780000000000003</v>
      </c>
      <c r="D28143" s="26">
        <v>5.3100000000000001E-2</v>
      </c>
      <c r="E28143" s="26">
        <v>2.6499999999999999E-2</v>
      </c>
      <c r="F28143" s="26">
        <v>1.04E-2</v>
      </c>
      <c r="G28143" s="26">
        <v>2.3999999999999998E-3</v>
      </c>
      <c r="H28143" s="26">
        <v>5.0000000000000001E-3</v>
      </c>
      <c r="I28143" s="26">
        <v>9.1000000000000004E-3</v>
      </c>
      <c r="J28143" s="26">
        <v>7.1000000000000004E-3</v>
      </c>
      <c r="K28143" s="26">
        <v>1.5E-3</v>
      </c>
      <c r="L28143" s="26">
        <v>8.0000000000000004E-4</v>
      </c>
      <c r="M28143">
        <v>694</v>
      </c>
    </row>
    <row r="28144" spans="1:13" x14ac:dyDescent="0.35">
      <c r="A28144" t="s">
        <v>229</v>
      </c>
      <c r="B28144" t="s">
        <v>239</v>
      </c>
      <c r="C28144" s="26">
        <v>0.93310000000000004</v>
      </c>
      <c r="D28144" s="26">
        <v>1.32E-2</v>
      </c>
      <c r="E28144" s="26">
        <v>1.3299999999999999E-2</v>
      </c>
      <c r="F28144" s="26">
        <v>6.1000000000000004E-3</v>
      </c>
      <c r="G28144" s="26">
        <v>0.01</v>
      </c>
      <c r="H28144" s="26">
        <v>2.12E-2</v>
      </c>
      <c r="J28144" s="26">
        <v>3.0000000000000001E-3</v>
      </c>
      <c r="M28144">
        <v>330</v>
      </c>
    </row>
    <row r="28145" spans="1:13" x14ac:dyDescent="0.35">
      <c r="A28145" t="s">
        <v>229</v>
      </c>
      <c r="B28145" t="s">
        <v>238</v>
      </c>
      <c r="C28145" s="26">
        <v>0.93630000000000002</v>
      </c>
      <c r="D28145" s="26">
        <v>3.9100000000000003E-2</v>
      </c>
      <c r="E28145" s="26">
        <v>1.4200000000000001E-2</v>
      </c>
      <c r="F28145" s="26">
        <v>7.1999999999999998E-3</v>
      </c>
      <c r="G28145" s="26">
        <v>8.9999999999999998E-4</v>
      </c>
      <c r="H28145" s="26">
        <v>4.1000000000000003E-3</v>
      </c>
      <c r="I28145" s="26">
        <v>4.0000000000000002E-4</v>
      </c>
      <c r="J28145" s="26">
        <v>8.9999999999999998E-4</v>
      </c>
      <c r="L28145" s="26">
        <v>8.9999999999999998E-4</v>
      </c>
      <c r="M28145">
        <v>556</v>
      </c>
    </row>
    <row r="28146" spans="1:13" x14ac:dyDescent="0.35">
      <c r="A28146" t="s">
        <v>230</v>
      </c>
      <c r="B28146" t="s">
        <v>239</v>
      </c>
      <c r="C28146" s="26">
        <v>0.92469999999999997</v>
      </c>
      <c r="D28146" s="26">
        <v>1.77E-2</v>
      </c>
      <c r="E28146" s="26">
        <v>4.2799999999999998E-2</v>
      </c>
      <c r="F28146" s="26">
        <v>3.0000000000000001E-3</v>
      </c>
      <c r="H28146" s="26">
        <v>6.0000000000000001E-3</v>
      </c>
      <c r="I28146" s="26">
        <v>4.7999999999999996E-3</v>
      </c>
      <c r="J28146" s="26">
        <v>3.0000000000000001E-3</v>
      </c>
      <c r="K28146" s="26">
        <v>8.9999999999999998E-4</v>
      </c>
      <c r="M28146">
        <v>210</v>
      </c>
    </row>
    <row r="28147" spans="1:13" x14ac:dyDescent="0.35">
      <c r="A28147" t="s">
        <v>230</v>
      </c>
      <c r="B28147" t="s">
        <v>238</v>
      </c>
      <c r="C28147" s="26">
        <v>0.91590000000000005</v>
      </c>
      <c r="D28147" s="26">
        <v>3.7900000000000003E-2</v>
      </c>
      <c r="E28147" s="26">
        <v>1.67E-2</v>
      </c>
      <c r="F28147" s="26">
        <v>1.1599999999999999E-2</v>
      </c>
      <c r="G28147" s="26">
        <v>8.5000000000000006E-3</v>
      </c>
      <c r="I28147" s="26">
        <v>7.7000000000000002E-3</v>
      </c>
      <c r="J28147" s="26">
        <v>9.4000000000000004E-3</v>
      </c>
      <c r="M28147">
        <v>348</v>
      </c>
    </row>
    <row r="28148" spans="1:13" x14ac:dyDescent="0.35">
      <c r="A28148" t="s">
        <v>231</v>
      </c>
      <c r="B28148" t="s">
        <v>239</v>
      </c>
      <c r="C28148" s="26">
        <v>0.85709999999999997</v>
      </c>
      <c r="D28148" s="26">
        <v>3.5700000000000003E-2</v>
      </c>
      <c r="E28148" s="26">
        <v>1.7899999999999999E-2</v>
      </c>
      <c r="F28148" s="26">
        <v>1.7899999999999999E-2</v>
      </c>
      <c r="G28148" s="26">
        <v>5.3600000000000002E-2</v>
      </c>
      <c r="H28148" s="26">
        <v>1.7899999999999999E-2</v>
      </c>
      <c r="M28148">
        <v>56</v>
      </c>
    </row>
    <row r="28149" spans="1:13" x14ac:dyDescent="0.35">
      <c r="A28149" t="s">
        <v>231</v>
      </c>
      <c r="B28149" t="s">
        <v>238</v>
      </c>
      <c r="C28149" s="26">
        <v>0.94340000000000002</v>
      </c>
      <c r="D28149" s="26">
        <v>2.8299999999999999E-2</v>
      </c>
      <c r="E28149" s="26">
        <v>9.4000000000000004E-3</v>
      </c>
      <c r="F28149" s="26">
        <v>9.4000000000000004E-3</v>
      </c>
      <c r="I28149" s="26">
        <v>9.4000000000000004E-3</v>
      </c>
      <c r="M28149">
        <v>106</v>
      </c>
    </row>
    <row r="28150" spans="1:13" x14ac:dyDescent="0.35">
      <c r="A28150" t="s">
        <v>232</v>
      </c>
      <c r="B28150" t="s">
        <v>232</v>
      </c>
      <c r="C28150" s="26">
        <v>0.92</v>
      </c>
      <c r="D28150" s="26">
        <v>3.5700000000000003E-2</v>
      </c>
      <c r="E28150" s="26">
        <v>1.6400000000000001E-2</v>
      </c>
      <c r="F28150" s="26">
        <v>8.9999999999999993E-3</v>
      </c>
      <c r="G28150" s="26">
        <v>8.0000000000000002E-3</v>
      </c>
      <c r="H28150" s="26">
        <v>6.1000000000000004E-3</v>
      </c>
      <c r="I28150" s="26">
        <v>4.0000000000000001E-3</v>
      </c>
      <c r="J28150" s="26">
        <v>2.2000000000000001E-3</v>
      </c>
      <c r="K28150" s="26">
        <v>4.0000000000000002E-4</v>
      </c>
      <c r="L28150" s="26">
        <v>4.0000000000000002E-4</v>
      </c>
      <c r="M28150">
        <v>2785</v>
      </c>
    </row>
    <row r="28152" spans="1:13" x14ac:dyDescent="0.35">
      <c r="A28152" s="1" t="s">
        <v>2534</v>
      </c>
    </row>
    <row r="28153" spans="1:13" x14ac:dyDescent="0.35">
      <c r="A28153" t="s">
        <v>219</v>
      </c>
      <c r="B28153" t="s">
        <v>305</v>
      </c>
      <c r="C28153" t="s">
        <v>302</v>
      </c>
      <c r="D28153" t="s">
        <v>2526</v>
      </c>
      <c r="E28153" t="s">
        <v>2527</v>
      </c>
      <c r="F28153" t="s">
        <v>281</v>
      </c>
      <c r="G28153" t="s">
        <v>2528</v>
      </c>
      <c r="H28153" t="s">
        <v>2529</v>
      </c>
      <c r="I28153" t="s">
        <v>2530</v>
      </c>
      <c r="J28153" t="s">
        <v>286</v>
      </c>
      <c r="K28153" t="s">
        <v>326</v>
      </c>
      <c r="L28153" t="s">
        <v>2531</v>
      </c>
      <c r="M28153" t="s">
        <v>226</v>
      </c>
    </row>
    <row r="28154" spans="1:13" x14ac:dyDescent="0.35">
      <c r="A28154" t="s">
        <v>227</v>
      </c>
      <c r="B28154" t="s">
        <v>244</v>
      </c>
      <c r="C28154" s="26">
        <v>0.91400000000000003</v>
      </c>
      <c r="D28154" s="26">
        <v>4.2999999999999997E-2</v>
      </c>
      <c r="E28154" s="26">
        <v>1.0800000000000001E-2</v>
      </c>
      <c r="F28154" s="26">
        <v>1.0800000000000001E-2</v>
      </c>
      <c r="G28154" s="26">
        <v>1.0800000000000001E-2</v>
      </c>
      <c r="H28154" s="26">
        <v>1.0800000000000001E-2</v>
      </c>
      <c r="M28154">
        <v>93</v>
      </c>
    </row>
    <row r="28155" spans="1:13" x14ac:dyDescent="0.35">
      <c r="A28155" t="s">
        <v>227</v>
      </c>
      <c r="B28155" t="s">
        <v>245</v>
      </c>
      <c r="C28155" s="26">
        <v>1</v>
      </c>
      <c r="M28155">
        <v>53</v>
      </c>
    </row>
    <row r="28156" spans="1:13" x14ac:dyDescent="0.35">
      <c r="A28156" s="27" t="s">
        <v>227</v>
      </c>
      <c r="B28156" s="27" t="s">
        <v>246</v>
      </c>
      <c r="C28156" s="28">
        <v>1</v>
      </c>
      <c r="D28156" s="29"/>
      <c r="E28156" s="29"/>
      <c r="F28156" s="29"/>
      <c r="G28156" s="29"/>
      <c r="H28156" s="29"/>
      <c r="I28156" s="29"/>
      <c r="J28156" s="29"/>
      <c r="K28156" s="29"/>
      <c r="L28156" s="29"/>
      <c r="M28156" s="29" t="s">
        <v>342</v>
      </c>
    </row>
    <row r="28157" spans="1:13" x14ac:dyDescent="0.35">
      <c r="A28157" t="s">
        <v>228</v>
      </c>
      <c r="B28157" t="s">
        <v>244</v>
      </c>
      <c r="C28157" s="26">
        <v>0.87239999999999995</v>
      </c>
      <c r="D28157" s="26">
        <v>5.6800000000000003E-2</v>
      </c>
      <c r="E28157" s="26">
        <v>3.5999999999999997E-2</v>
      </c>
      <c r="F28157" s="26">
        <v>0.01</v>
      </c>
      <c r="G28157" s="26">
        <v>2.2000000000000001E-3</v>
      </c>
      <c r="H28157" s="26">
        <v>5.7999999999999996E-3</v>
      </c>
      <c r="I28157" s="26">
        <v>1.15E-2</v>
      </c>
      <c r="J28157" s="26">
        <v>7.4000000000000003E-3</v>
      </c>
      <c r="K28157" s="26">
        <v>1.2999999999999999E-3</v>
      </c>
      <c r="L28157" s="26">
        <v>1.4E-3</v>
      </c>
      <c r="M28157">
        <v>631</v>
      </c>
    </row>
    <row r="28158" spans="1:13" x14ac:dyDescent="0.35">
      <c r="A28158" t="s">
        <v>228</v>
      </c>
      <c r="B28158" t="s">
        <v>245</v>
      </c>
      <c r="C28158" s="26">
        <v>0.92330000000000001</v>
      </c>
      <c r="D28158" s="26">
        <v>4.2799999999999998E-2</v>
      </c>
      <c r="E28158" s="26">
        <v>1.26E-2</v>
      </c>
      <c r="F28158" s="26">
        <v>7.7999999999999996E-3</v>
      </c>
      <c r="G28158" s="26">
        <v>4.1000000000000003E-3</v>
      </c>
      <c r="H28158" s="26">
        <v>2.2000000000000001E-3</v>
      </c>
      <c r="I28158" s="26">
        <v>8.9999999999999998E-4</v>
      </c>
      <c r="J28158" s="26">
        <v>2.8999999999999998E-3</v>
      </c>
      <c r="K28158" s="26">
        <v>4.1999999999999997E-3</v>
      </c>
      <c r="M28158">
        <v>323</v>
      </c>
    </row>
    <row r="28159" spans="1:13" x14ac:dyDescent="0.35">
      <c r="A28159" t="s">
        <v>228</v>
      </c>
      <c r="B28159" t="s">
        <v>246</v>
      </c>
      <c r="C28159" s="26">
        <v>0.84060000000000001</v>
      </c>
      <c r="D28159" s="26">
        <v>0.1201</v>
      </c>
      <c r="E28159" s="26">
        <v>3.4099999999999998E-2</v>
      </c>
      <c r="F28159" s="26">
        <v>5.1999999999999998E-3</v>
      </c>
      <c r="M28159">
        <v>67</v>
      </c>
    </row>
    <row r="28160" spans="1:13" x14ac:dyDescent="0.35">
      <c r="A28160" t="s">
        <v>229</v>
      </c>
      <c r="B28160" t="s">
        <v>244</v>
      </c>
      <c r="C28160" s="26">
        <v>0.92520000000000002</v>
      </c>
      <c r="D28160" s="26">
        <v>3.78E-2</v>
      </c>
      <c r="E28160" s="26">
        <v>1.8200000000000001E-2</v>
      </c>
      <c r="F28160" s="26">
        <v>7.4999999999999997E-3</v>
      </c>
      <c r="G28160" s="26">
        <v>5.0000000000000001E-4</v>
      </c>
      <c r="H28160" s="26">
        <v>1.21E-2</v>
      </c>
      <c r="I28160" s="26">
        <v>5.0000000000000001E-4</v>
      </c>
      <c r="J28160" s="26">
        <v>1.6000000000000001E-3</v>
      </c>
      <c r="L28160" s="26">
        <v>1E-3</v>
      </c>
      <c r="M28160">
        <v>553</v>
      </c>
    </row>
    <row r="28161" spans="1:13" x14ac:dyDescent="0.35">
      <c r="A28161" t="s">
        <v>229</v>
      </c>
      <c r="B28161" t="s">
        <v>245</v>
      </c>
      <c r="C28161" s="26">
        <v>0.95760000000000001</v>
      </c>
      <c r="D28161" s="26">
        <v>2.47E-2</v>
      </c>
      <c r="F28161" s="26">
        <v>6.4000000000000003E-3</v>
      </c>
      <c r="G28161" s="26">
        <v>0.01</v>
      </c>
      <c r="J28161" s="26">
        <v>1.2999999999999999E-3</v>
      </c>
      <c r="M28161">
        <v>289</v>
      </c>
    </row>
    <row r="28162" spans="1:13" x14ac:dyDescent="0.35">
      <c r="A28162" t="s">
        <v>229</v>
      </c>
      <c r="B28162" t="s">
        <v>246</v>
      </c>
      <c r="C28162" s="26">
        <v>0.96679999999999999</v>
      </c>
      <c r="E28162" s="26">
        <v>2.4899999999999999E-2</v>
      </c>
      <c r="F28162" s="26">
        <v>1.9E-3</v>
      </c>
      <c r="G28162" s="26">
        <v>6.4999999999999997E-3</v>
      </c>
      <c r="M28162">
        <v>44</v>
      </c>
    </row>
    <row r="28163" spans="1:13" x14ac:dyDescent="0.35">
      <c r="A28163" t="s">
        <v>230</v>
      </c>
      <c r="B28163" t="s">
        <v>244</v>
      </c>
      <c r="C28163" s="26">
        <v>0.91720000000000002</v>
      </c>
      <c r="D28163" s="26">
        <v>3.44E-2</v>
      </c>
      <c r="E28163" s="26">
        <v>1.7299999999999999E-2</v>
      </c>
      <c r="F28163" s="26">
        <v>1.04E-2</v>
      </c>
      <c r="G28163" s="26">
        <v>8.6E-3</v>
      </c>
      <c r="H28163" s="26">
        <v>1.2999999999999999E-3</v>
      </c>
      <c r="I28163" s="26">
        <v>9.1000000000000004E-3</v>
      </c>
      <c r="J28163" s="26">
        <v>1.0800000000000001E-2</v>
      </c>
      <c r="M28163">
        <v>369</v>
      </c>
    </row>
    <row r="28164" spans="1:13" x14ac:dyDescent="0.35">
      <c r="A28164" t="s">
        <v>230</v>
      </c>
      <c r="B28164" t="s">
        <v>245</v>
      </c>
      <c r="C28164" s="26">
        <v>0.96099999999999997</v>
      </c>
      <c r="D28164" s="26">
        <v>6.7000000000000002E-3</v>
      </c>
      <c r="E28164" s="26">
        <v>2.4299999999999999E-2</v>
      </c>
      <c r="F28164" s="26">
        <v>3.3999999999999998E-3</v>
      </c>
      <c r="H28164" s="26">
        <v>3.5000000000000001E-3</v>
      </c>
      <c r="K28164" s="26">
        <v>1.1000000000000001E-3</v>
      </c>
      <c r="M28164">
        <v>160</v>
      </c>
    </row>
    <row r="28165" spans="1:13" x14ac:dyDescent="0.35">
      <c r="A28165" s="27" t="s">
        <v>230</v>
      </c>
      <c r="B28165" s="27" t="s">
        <v>246</v>
      </c>
      <c r="C28165" s="28">
        <v>0.71160000000000001</v>
      </c>
      <c r="D28165" s="28">
        <v>0.1295</v>
      </c>
      <c r="E28165" s="28">
        <v>0.129</v>
      </c>
      <c r="F28165" s="28">
        <v>1.8700000000000001E-2</v>
      </c>
      <c r="G28165" s="29"/>
      <c r="H28165" s="29"/>
      <c r="I28165" s="28">
        <v>1.12E-2</v>
      </c>
      <c r="J28165" s="29"/>
      <c r="K28165" s="29"/>
      <c r="L28165" s="29"/>
      <c r="M28165" s="29" t="s">
        <v>329</v>
      </c>
    </row>
    <row r="28166" spans="1:13" x14ac:dyDescent="0.35">
      <c r="A28166" t="s">
        <v>231</v>
      </c>
      <c r="B28166" t="s">
        <v>244</v>
      </c>
      <c r="C28166" s="26">
        <v>0.90429999999999999</v>
      </c>
      <c r="D28166" s="26">
        <v>2.1299999999999999E-2</v>
      </c>
      <c r="E28166" s="26">
        <v>1.06E-2</v>
      </c>
      <c r="F28166" s="26">
        <v>2.1299999999999999E-2</v>
      </c>
      <c r="G28166" s="26">
        <v>2.1299999999999999E-2</v>
      </c>
      <c r="H28166" s="26">
        <v>1.06E-2</v>
      </c>
      <c r="I28166" s="26">
        <v>1.06E-2</v>
      </c>
      <c r="M28166">
        <v>94</v>
      </c>
    </row>
    <row r="28167" spans="1:13" x14ac:dyDescent="0.35">
      <c r="A28167" t="s">
        <v>231</v>
      </c>
      <c r="B28167" t="s">
        <v>245</v>
      </c>
      <c r="C28167" s="26">
        <v>0.94550000000000001</v>
      </c>
      <c r="D28167" s="26">
        <v>3.6400000000000002E-2</v>
      </c>
      <c r="G28167" s="26">
        <v>1.8200000000000001E-2</v>
      </c>
      <c r="M28167">
        <v>55</v>
      </c>
    </row>
    <row r="28168" spans="1:13" x14ac:dyDescent="0.35">
      <c r="A28168" s="27" t="s">
        <v>231</v>
      </c>
      <c r="B28168" s="27" t="s">
        <v>246</v>
      </c>
      <c r="C28168" s="28">
        <v>0.84619999999999995</v>
      </c>
      <c r="D28168" s="28">
        <v>7.6899999999999996E-2</v>
      </c>
      <c r="E28168" s="28">
        <v>7.6899999999999996E-2</v>
      </c>
      <c r="F28168" s="29"/>
      <c r="G28168" s="29"/>
      <c r="H28168" s="29"/>
      <c r="I28168" s="29"/>
      <c r="J28168" s="29"/>
      <c r="K28168" s="29"/>
      <c r="L28168" s="29"/>
      <c r="M28168" s="29" t="s">
        <v>341</v>
      </c>
    </row>
    <row r="28169" spans="1:13" x14ac:dyDescent="0.35">
      <c r="A28169" t="s">
        <v>232</v>
      </c>
      <c r="B28169" t="s">
        <v>232</v>
      </c>
      <c r="C28169" s="26">
        <v>0.92</v>
      </c>
      <c r="D28169" s="26">
        <v>3.5700000000000003E-2</v>
      </c>
      <c r="E28169" s="26">
        <v>1.6400000000000001E-2</v>
      </c>
      <c r="F28169" s="26">
        <v>8.9999999999999993E-3</v>
      </c>
      <c r="G28169" s="26">
        <v>8.0000000000000002E-3</v>
      </c>
      <c r="H28169" s="26">
        <v>6.1000000000000004E-3</v>
      </c>
      <c r="I28169" s="26">
        <v>4.0000000000000001E-3</v>
      </c>
      <c r="J28169" s="26">
        <v>2.2000000000000001E-3</v>
      </c>
      <c r="K28169" s="26">
        <v>4.0000000000000002E-4</v>
      </c>
      <c r="L28169" s="26">
        <v>4.0000000000000002E-4</v>
      </c>
      <c r="M28169">
        <v>2785</v>
      </c>
    </row>
    <row r="28171" spans="1:13" x14ac:dyDescent="0.35">
      <c r="A28171" s="1" t="s">
        <v>2535</v>
      </c>
    </row>
    <row r="28172" spans="1:13" x14ac:dyDescent="0.35">
      <c r="A28172" t="s">
        <v>219</v>
      </c>
      <c r="B28172" t="s">
        <v>305</v>
      </c>
      <c r="C28172" t="s">
        <v>302</v>
      </c>
      <c r="D28172" t="s">
        <v>2526</v>
      </c>
      <c r="E28172" t="s">
        <v>2527</v>
      </c>
      <c r="F28172" t="s">
        <v>281</v>
      </c>
      <c r="G28172" t="s">
        <v>2528</v>
      </c>
      <c r="H28172" t="s">
        <v>2529</v>
      </c>
      <c r="I28172" t="s">
        <v>2530</v>
      </c>
      <c r="J28172" t="s">
        <v>286</v>
      </c>
      <c r="K28172" t="s">
        <v>326</v>
      </c>
      <c r="L28172" t="s">
        <v>2531</v>
      </c>
      <c r="M28172" t="s">
        <v>226</v>
      </c>
    </row>
    <row r="28173" spans="1:13" x14ac:dyDescent="0.35">
      <c r="A28173" t="s">
        <v>227</v>
      </c>
      <c r="B28173" t="s">
        <v>360</v>
      </c>
      <c r="C28173" s="26">
        <v>0.92310000000000003</v>
      </c>
      <c r="D28173" s="26">
        <v>5.1299999999999998E-2</v>
      </c>
      <c r="E28173" s="26">
        <v>2.5600000000000001E-2</v>
      </c>
      <c r="M28173">
        <v>39</v>
      </c>
    </row>
    <row r="28174" spans="1:13" x14ac:dyDescent="0.35">
      <c r="A28174" t="s">
        <v>227</v>
      </c>
      <c r="B28174" t="s">
        <v>361</v>
      </c>
      <c r="C28174" s="26">
        <v>0.96879999999999999</v>
      </c>
      <c r="G28174" s="26">
        <v>3.1199999999999999E-2</v>
      </c>
      <c r="M28174">
        <v>32</v>
      </c>
    </row>
    <row r="28175" spans="1:13" x14ac:dyDescent="0.35">
      <c r="A28175" t="s">
        <v>227</v>
      </c>
      <c r="B28175" t="s">
        <v>362</v>
      </c>
      <c r="C28175" s="26">
        <v>0.94440000000000002</v>
      </c>
      <c r="D28175" s="26">
        <v>2.7799999999999998E-2</v>
      </c>
      <c r="F28175" s="26">
        <v>2.7799999999999998E-2</v>
      </c>
      <c r="M28175">
        <v>36</v>
      </c>
    </row>
    <row r="28176" spans="1:13" x14ac:dyDescent="0.35">
      <c r="A28176" t="s">
        <v>227</v>
      </c>
      <c r="B28176" t="s">
        <v>363</v>
      </c>
      <c r="C28176" s="26">
        <v>0.9556</v>
      </c>
      <c r="D28176" s="26">
        <v>2.2200000000000001E-2</v>
      </c>
      <c r="H28176" s="26">
        <v>2.2200000000000001E-2</v>
      </c>
      <c r="M28176">
        <v>45</v>
      </c>
    </row>
    <row r="28177" spans="1:13" x14ac:dyDescent="0.35">
      <c r="A28177" t="s">
        <v>228</v>
      </c>
      <c r="B28177" t="s">
        <v>360</v>
      </c>
      <c r="C28177" s="26">
        <v>0.85809999999999997</v>
      </c>
      <c r="D28177" s="26">
        <v>9.7299999999999998E-2</v>
      </c>
      <c r="E28177" s="26">
        <v>2.4199999999999999E-2</v>
      </c>
      <c r="F28177" s="26">
        <v>1.0699999999999999E-2</v>
      </c>
      <c r="G28177" s="26">
        <v>1.18E-2</v>
      </c>
      <c r="H28177" s="26">
        <v>3.0999999999999999E-3</v>
      </c>
      <c r="I28177" s="26">
        <v>8.0999999999999996E-3</v>
      </c>
      <c r="L28177" s="26">
        <v>2.0999999999999999E-3</v>
      </c>
      <c r="M28177">
        <v>255</v>
      </c>
    </row>
    <row r="28178" spans="1:13" x14ac:dyDescent="0.35">
      <c r="A28178" t="s">
        <v>228</v>
      </c>
      <c r="B28178" t="s">
        <v>361</v>
      </c>
      <c r="C28178" s="26">
        <v>0.91920000000000002</v>
      </c>
      <c r="D28178" s="26">
        <v>7.1400000000000005E-2</v>
      </c>
      <c r="F28178" s="26">
        <v>7.1999999999999998E-3</v>
      </c>
      <c r="I28178" s="26">
        <v>2.3E-3</v>
      </c>
      <c r="M28178">
        <v>191</v>
      </c>
    </row>
    <row r="28179" spans="1:13" x14ac:dyDescent="0.35">
      <c r="A28179" t="s">
        <v>228</v>
      </c>
      <c r="B28179" t="s">
        <v>363</v>
      </c>
      <c r="C28179" s="26">
        <v>0.9</v>
      </c>
      <c r="D28179" s="26">
        <v>4.7199999999999999E-2</v>
      </c>
      <c r="E28179" s="26">
        <v>2.06E-2</v>
      </c>
      <c r="F28179" s="26">
        <v>1E-3</v>
      </c>
      <c r="H28179" s="26">
        <v>1.6999999999999999E-3</v>
      </c>
      <c r="I28179" s="26">
        <v>5.8999999999999999E-3</v>
      </c>
      <c r="J28179" s="26">
        <v>1.4999999999999999E-2</v>
      </c>
      <c r="K28179" s="26">
        <v>8.3999999999999995E-3</v>
      </c>
      <c r="M28179">
        <v>210</v>
      </c>
    </row>
    <row r="28180" spans="1:13" x14ac:dyDescent="0.35">
      <c r="A28180" t="s">
        <v>228</v>
      </c>
      <c r="B28180" t="s">
        <v>362</v>
      </c>
      <c r="C28180" s="26">
        <v>0.84350000000000003</v>
      </c>
      <c r="D28180" s="26">
        <v>3.1E-2</v>
      </c>
      <c r="E28180" s="26">
        <v>8.43E-2</v>
      </c>
      <c r="F28180" s="26">
        <v>2.0999999999999999E-3</v>
      </c>
      <c r="G28180" s="26">
        <v>1E-3</v>
      </c>
      <c r="H28180" s="26">
        <v>1.43E-2</v>
      </c>
      <c r="I28180" s="26">
        <v>1.7899999999999999E-2</v>
      </c>
      <c r="J28180" s="26">
        <v>4.7000000000000002E-3</v>
      </c>
      <c r="L28180" s="26">
        <v>2.0999999999999999E-3</v>
      </c>
      <c r="M28180">
        <v>235</v>
      </c>
    </row>
    <row r="28181" spans="1:13" x14ac:dyDescent="0.35">
      <c r="A28181" t="s">
        <v>229</v>
      </c>
      <c r="B28181" t="s">
        <v>363</v>
      </c>
      <c r="C28181" s="26">
        <v>0.90049999999999997</v>
      </c>
      <c r="D28181" s="26">
        <v>5.0900000000000001E-2</v>
      </c>
      <c r="E28181" s="26">
        <v>1.67E-2</v>
      </c>
      <c r="F28181" s="26">
        <v>2.64E-2</v>
      </c>
      <c r="H28181" s="26">
        <v>1.8499999999999999E-2</v>
      </c>
      <c r="L28181" s="26">
        <v>3.7000000000000002E-3</v>
      </c>
      <c r="M28181">
        <v>188</v>
      </c>
    </row>
    <row r="28182" spans="1:13" x14ac:dyDescent="0.35">
      <c r="A28182" t="s">
        <v>229</v>
      </c>
      <c r="B28182" t="s">
        <v>360</v>
      </c>
      <c r="C28182" s="26">
        <v>0.91290000000000004</v>
      </c>
      <c r="D28182" s="26">
        <v>3.5200000000000002E-2</v>
      </c>
      <c r="E28182" s="26">
        <v>2.64E-2</v>
      </c>
      <c r="F28182" s="26">
        <v>3.8999999999999998E-3</v>
      </c>
      <c r="H28182" s="26">
        <v>1.6500000000000001E-2</v>
      </c>
      <c r="J28182" s="26">
        <v>5.0000000000000001E-3</v>
      </c>
      <c r="M28182">
        <v>162</v>
      </c>
    </row>
    <row r="28183" spans="1:13" x14ac:dyDescent="0.35">
      <c r="A28183" t="s">
        <v>229</v>
      </c>
      <c r="B28183" t="s">
        <v>361</v>
      </c>
      <c r="C28183" s="26">
        <v>0.95240000000000002</v>
      </c>
      <c r="D28183" s="26">
        <v>2.2800000000000001E-2</v>
      </c>
      <c r="E28183" s="26">
        <v>1.46E-2</v>
      </c>
      <c r="F28183" s="26">
        <v>3.5000000000000001E-3</v>
      </c>
      <c r="H28183" s="26">
        <v>6.6E-3</v>
      </c>
      <c r="M28183">
        <v>240</v>
      </c>
    </row>
    <row r="28184" spans="1:13" x14ac:dyDescent="0.35">
      <c r="A28184" t="s">
        <v>229</v>
      </c>
      <c r="B28184" t="s">
        <v>362</v>
      </c>
      <c r="C28184" s="26">
        <v>0.95420000000000005</v>
      </c>
      <c r="D28184" s="26">
        <v>1.89E-2</v>
      </c>
      <c r="E28184" s="26">
        <v>6.8999999999999999E-3</v>
      </c>
      <c r="G28184" s="26">
        <v>1.7899999999999999E-2</v>
      </c>
      <c r="J28184" s="26">
        <v>2.0999999999999999E-3</v>
      </c>
      <c r="M28184">
        <v>170</v>
      </c>
    </row>
    <row r="28185" spans="1:13" x14ac:dyDescent="0.35">
      <c r="A28185" t="s">
        <v>230</v>
      </c>
      <c r="B28185" t="s">
        <v>360</v>
      </c>
      <c r="C28185" s="26">
        <v>0.8831</v>
      </c>
      <c r="D28185" s="26">
        <v>4.6399999999999997E-2</v>
      </c>
      <c r="E28185" s="26">
        <v>3.04E-2</v>
      </c>
      <c r="F28185" s="26">
        <v>4.8999999999999998E-3</v>
      </c>
      <c r="G28185" s="26">
        <v>1.5E-3</v>
      </c>
      <c r="I28185" s="26">
        <v>2.8899999999999999E-2</v>
      </c>
      <c r="J28185" s="26">
        <v>3.3799999999999997E-2</v>
      </c>
      <c r="M28185">
        <v>119</v>
      </c>
    </row>
    <row r="28186" spans="1:13" x14ac:dyDescent="0.35">
      <c r="A28186" t="s">
        <v>230</v>
      </c>
      <c r="B28186" t="s">
        <v>363</v>
      </c>
      <c r="C28186" s="26">
        <v>0.93730000000000002</v>
      </c>
      <c r="D28186" s="26">
        <v>5.0000000000000001E-3</v>
      </c>
      <c r="E28186" s="26">
        <v>2.69E-2</v>
      </c>
      <c r="F28186" s="26">
        <v>3.8E-3</v>
      </c>
      <c r="G28186" s="26">
        <v>2.3099999999999999E-2</v>
      </c>
      <c r="H28186" s="26">
        <v>3.8999999999999998E-3</v>
      </c>
      <c r="I28186" s="26">
        <v>3.8999999999999998E-3</v>
      </c>
      <c r="M28186">
        <v>127</v>
      </c>
    </row>
    <row r="28187" spans="1:13" x14ac:dyDescent="0.35">
      <c r="A28187" t="s">
        <v>230</v>
      </c>
      <c r="B28187" t="s">
        <v>361</v>
      </c>
      <c r="C28187" s="26">
        <v>0.96499999999999997</v>
      </c>
      <c r="D28187" s="26">
        <v>1.26E-2</v>
      </c>
      <c r="F28187" s="26">
        <v>2.12E-2</v>
      </c>
      <c r="K28187" s="26">
        <v>1.1000000000000001E-3</v>
      </c>
      <c r="M28187">
        <v>109</v>
      </c>
    </row>
    <row r="28188" spans="1:13" x14ac:dyDescent="0.35">
      <c r="A28188" t="s">
        <v>230</v>
      </c>
      <c r="B28188" t="s">
        <v>362</v>
      </c>
      <c r="C28188" s="26">
        <v>0.86409999999999998</v>
      </c>
      <c r="D28188" s="26">
        <v>7.51E-2</v>
      </c>
      <c r="E28188" s="26">
        <v>5.0200000000000002E-2</v>
      </c>
      <c r="F28188" s="26">
        <v>3.5999999999999999E-3</v>
      </c>
      <c r="G28188" s="26">
        <v>1.1000000000000001E-3</v>
      </c>
      <c r="H28188" s="26">
        <v>3.5999999999999999E-3</v>
      </c>
      <c r="I28188" s="26">
        <v>2.2000000000000001E-3</v>
      </c>
      <c r="M28188">
        <v>147</v>
      </c>
    </row>
    <row r="28189" spans="1:13" x14ac:dyDescent="0.35">
      <c r="A28189" s="27" t="s">
        <v>231</v>
      </c>
      <c r="B28189" s="27" t="s">
        <v>362</v>
      </c>
      <c r="C28189" s="28">
        <v>0.96550000000000002</v>
      </c>
      <c r="D28189" s="29"/>
      <c r="E28189" s="29"/>
      <c r="F28189" s="29"/>
      <c r="G28189" s="28">
        <v>3.4500000000000003E-2</v>
      </c>
      <c r="H28189" s="29"/>
      <c r="I28189" s="29"/>
      <c r="J28189" s="29"/>
      <c r="K28189" s="29"/>
      <c r="L28189" s="29"/>
      <c r="M28189" s="29" t="s">
        <v>329</v>
      </c>
    </row>
    <row r="28190" spans="1:13" x14ac:dyDescent="0.35">
      <c r="A28190" t="s">
        <v>231</v>
      </c>
      <c r="B28190" t="s">
        <v>361</v>
      </c>
      <c r="C28190" s="26">
        <v>0.9375</v>
      </c>
      <c r="D28190" s="26">
        <v>2.0799999999999999E-2</v>
      </c>
      <c r="H28190" s="26">
        <v>2.0799999999999999E-2</v>
      </c>
      <c r="I28190" s="26">
        <v>2.0799999999999999E-2</v>
      </c>
      <c r="M28190">
        <v>48</v>
      </c>
    </row>
    <row r="28191" spans="1:13" x14ac:dyDescent="0.35">
      <c r="A28191" t="s">
        <v>231</v>
      </c>
      <c r="B28191" t="s">
        <v>360</v>
      </c>
      <c r="C28191" s="26">
        <v>0.86360000000000003</v>
      </c>
      <c r="E28191" s="26">
        <v>4.5499999999999999E-2</v>
      </c>
      <c r="F28191" s="26">
        <v>4.5499999999999999E-2</v>
      </c>
      <c r="G28191" s="26">
        <v>4.5499999999999999E-2</v>
      </c>
      <c r="M28191">
        <v>44</v>
      </c>
    </row>
    <row r="28192" spans="1:13" x14ac:dyDescent="0.35">
      <c r="A28192" s="27" t="s">
        <v>231</v>
      </c>
      <c r="B28192" s="27" t="s">
        <v>363</v>
      </c>
      <c r="C28192" s="28">
        <v>0.92589999999999995</v>
      </c>
      <c r="D28192" s="28">
        <v>7.4099999999999999E-2</v>
      </c>
      <c r="E28192" s="29"/>
      <c r="F28192" s="29"/>
      <c r="G28192" s="29"/>
      <c r="H28192" s="29"/>
      <c r="I28192" s="29"/>
      <c r="J28192" s="29"/>
      <c r="K28192" s="29"/>
      <c r="L28192" s="29"/>
      <c r="M28192" s="29" t="s">
        <v>338</v>
      </c>
    </row>
    <row r="28193" spans="1:13" x14ac:dyDescent="0.35">
      <c r="A28193" t="s">
        <v>232</v>
      </c>
      <c r="B28193" t="s">
        <v>232</v>
      </c>
      <c r="C28193" s="26">
        <v>0.92</v>
      </c>
      <c r="D28193" s="26">
        <v>3.5700000000000003E-2</v>
      </c>
      <c r="E28193" s="26">
        <v>1.6400000000000001E-2</v>
      </c>
      <c r="F28193" s="26">
        <v>8.9999999999999993E-3</v>
      </c>
      <c r="G28193" s="26">
        <v>8.0000000000000002E-3</v>
      </c>
      <c r="H28193" s="26">
        <v>6.1000000000000004E-3</v>
      </c>
      <c r="I28193" s="26">
        <v>4.0000000000000001E-3</v>
      </c>
      <c r="J28193" s="26">
        <v>2.2000000000000001E-3</v>
      </c>
      <c r="K28193" s="26">
        <v>4.0000000000000002E-4</v>
      </c>
      <c r="L28193" s="26">
        <v>4.0000000000000002E-4</v>
      </c>
      <c r="M28193">
        <v>2453</v>
      </c>
    </row>
    <row r="28195" spans="1:13" x14ac:dyDescent="0.35">
      <c r="A28195" s="1" t="s">
        <v>2536</v>
      </c>
    </row>
    <row r="28196" spans="1:13" x14ac:dyDescent="0.35">
      <c r="A28196" t="s">
        <v>219</v>
      </c>
      <c r="B28196" t="s">
        <v>305</v>
      </c>
      <c r="C28196" t="s">
        <v>302</v>
      </c>
      <c r="D28196" t="s">
        <v>2526</v>
      </c>
      <c r="E28196" t="s">
        <v>2527</v>
      </c>
      <c r="F28196" t="s">
        <v>281</v>
      </c>
      <c r="G28196" t="s">
        <v>2528</v>
      </c>
      <c r="H28196" t="s">
        <v>2529</v>
      </c>
      <c r="I28196" t="s">
        <v>2530</v>
      </c>
      <c r="J28196" t="s">
        <v>286</v>
      </c>
      <c r="K28196" t="s">
        <v>326</v>
      </c>
      <c r="L28196" t="s">
        <v>2531</v>
      </c>
      <c r="M28196" t="s">
        <v>226</v>
      </c>
    </row>
    <row r="28197" spans="1:13" x14ac:dyDescent="0.35">
      <c r="A28197" t="s">
        <v>227</v>
      </c>
      <c r="B28197" t="s">
        <v>267</v>
      </c>
      <c r="C28197" s="26">
        <v>1</v>
      </c>
      <c r="M28197">
        <v>35</v>
      </c>
    </row>
    <row r="28198" spans="1:13" x14ac:dyDescent="0.35">
      <c r="A28198" t="s">
        <v>227</v>
      </c>
      <c r="B28198" t="s">
        <v>266</v>
      </c>
      <c r="C28198" s="26">
        <v>0.96609999999999996</v>
      </c>
      <c r="D28198" s="26">
        <v>1.6899999999999998E-2</v>
      </c>
      <c r="F28198" s="26">
        <v>1.6899999999999998E-2</v>
      </c>
      <c r="M28198">
        <v>59</v>
      </c>
    </row>
    <row r="28199" spans="1:13" x14ac:dyDescent="0.35">
      <c r="A28199" t="s">
        <v>227</v>
      </c>
      <c r="B28199" t="s">
        <v>265</v>
      </c>
      <c r="C28199" s="26">
        <v>0.90620000000000001</v>
      </c>
      <c r="D28199" s="26">
        <v>4.6899999999999997E-2</v>
      </c>
      <c r="E28199" s="26">
        <v>1.5599999999999999E-2</v>
      </c>
      <c r="G28199" s="26">
        <v>1.5599999999999999E-2</v>
      </c>
      <c r="H28199" s="26">
        <v>1.5599999999999999E-2</v>
      </c>
      <c r="M28199">
        <v>64</v>
      </c>
    </row>
    <row r="28200" spans="1:13" x14ac:dyDescent="0.35">
      <c r="A28200" t="s">
        <v>228</v>
      </c>
      <c r="B28200" t="s">
        <v>267</v>
      </c>
      <c r="C28200" s="26">
        <v>0.88780000000000003</v>
      </c>
      <c r="D28200" s="26">
        <v>5.4100000000000002E-2</v>
      </c>
      <c r="E28200" s="26">
        <v>2.7099999999999999E-2</v>
      </c>
      <c r="F28200" s="26">
        <v>9.1000000000000004E-3</v>
      </c>
      <c r="G28200" s="26">
        <v>8.5000000000000006E-3</v>
      </c>
      <c r="H28200" s="26">
        <v>2.2000000000000001E-3</v>
      </c>
      <c r="J28200" s="26">
        <v>1.14E-2</v>
      </c>
      <c r="K28200" s="26">
        <v>7.0000000000000001E-3</v>
      </c>
      <c r="M28200">
        <v>192</v>
      </c>
    </row>
    <row r="28201" spans="1:13" x14ac:dyDescent="0.35">
      <c r="A28201" t="s">
        <v>228</v>
      </c>
      <c r="B28201" t="s">
        <v>265</v>
      </c>
      <c r="C28201" s="26">
        <v>0.86019999999999996</v>
      </c>
      <c r="D28201" s="26">
        <v>7.1400000000000005E-2</v>
      </c>
      <c r="E28201" s="26">
        <v>2.69E-2</v>
      </c>
      <c r="F28201" s="26">
        <v>1.09E-2</v>
      </c>
      <c r="G28201" s="26">
        <v>5.9999999999999995E-4</v>
      </c>
      <c r="H28201" s="26">
        <v>8.0999999999999996E-3</v>
      </c>
      <c r="I28201" s="26">
        <v>1.32E-2</v>
      </c>
      <c r="J28201" s="26">
        <v>9.1000000000000004E-3</v>
      </c>
      <c r="L28201" s="26">
        <v>1.1999999999999999E-3</v>
      </c>
      <c r="M28201">
        <v>382</v>
      </c>
    </row>
    <row r="28202" spans="1:13" x14ac:dyDescent="0.35">
      <c r="A28202" s="27" t="s">
        <v>228</v>
      </c>
      <c r="B28202" s="27" t="s">
        <v>236</v>
      </c>
      <c r="C28202" s="28">
        <v>0.5</v>
      </c>
      <c r="D28202" s="29"/>
      <c r="E28202" s="28">
        <v>0.5</v>
      </c>
      <c r="F28202" s="29"/>
      <c r="G28202" s="29"/>
      <c r="H28202" s="29"/>
      <c r="I28202" s="29"/>
      <c r="J28202" s="29"/>
      <c r="K28202" s="29"/>
      <c r="L28202" s="29"/>
      <c r="M28202" s="29" t="s">
        <v>314</v>
      </c>
    </row>
    <row r="28203" spans="1:13" x14ac:dyDescent="0.35">
      <c r="A28203" t="s">
        <v>228</v>
      </c>
      <c r="B28203" t="s">
        <v>266</v>
      </c>
      <c r="C28203" s="26">
        <v>0.91349999999999998</v>
      </c>
      <c r="D28203" s="26">
        <v>4.5199999999999997E-2</v>
      </c>
      <c r="E28203" s="26">
        <v>2.5000000000000001E-2</v>
      </c>
      <c r="F28203" s="26">
        <v>7.4000000000000003E-3</v>
      </c>
      <c r="G28203" s="26">
        <v>2.2000000000000001E-3</v>
      </c>
      <c r="H28203" s="26">
        <v>1.6000000000000001E-3</v>
      </c>
      <c r="I28203" s="26">
        <v>5.4999999999999997E-3</v>
      </c>
      <c r="K28203" s="26">
        <v>2E-3</v>
      </c>
      <c r="L28203" s="26">
        <v>1E-3</v>
      </c>
      <c r="M28203">
        <v>445</v>
      </c>
    </row>
    <row r="28204" spans="1:13" x14ac:dyDescent="0.35">
      <c r="A28204" t="s">
        <v>229</v>
      </c>
      <c r="B28204" t="s">
        <v>266</v>
      </c>
      <c r="C28204" s="26">
        <v>0.94199999999999995</v>
      </c>
      <c r="D28204" s="26">
        <v>3.6600000000000001E-2</v>
      </c>
      <c r="E28204" s="26">
        <v>4.1999999999999997E-3</v>
      </c>
      <c r="F28204" s="26">
        <v>7.1000000000000004E-3</v>
      </c>
      <c r="G28204" s="26">
        <v>7.9000000000000008E-3</v>
      </c>
      <c r="I28204" s="26">
        <v>1E-3</v>
      </c>
      <c r="J28204" s="26">
        <v>1.2999999999999999E-3</v>
      </c>
      <c r="M28204">
        <v>353</v>
      </c>
    </row>
    <row r="28205" spans="1:13" x14ac:dyDescent="0.35">
      <c r="A28205" t="s">
        <v>229</v>
      </c>
      <c r="B28205" t="s">
        <v>267</v>
      </c>
      <c r="C28205" s="26">
        <v>0.9133</v>
      </c>
      <c r="D28205" s="26">
        <v>3.8899999999999997E-2</v>
      </c>
      <c r="E28205" s="26">
        <v>2.8199999999999999E-2</v>
      </c>
      <c r="F28205" s="26">
        <v>3.5000000000000001E-3</v>
      </c>
      <c r="G28205" s="26">
        <v>3.0000000000000001E-3</v>
      </c>
      <c r="H28205" s="26">
        <v>2.6700000000000002E-2</v>
      </c>
      <c r="M28205">
        <v>198</v>
      </c>
    </row>
    <row r="28206" spans="1:13" x14ac:dyDescent="0.35">
      <c r="A28206" t="s">
        <v>229</v>
      </c>
      <c r="B28206" t="s">
        <v>265</v>
      </c>
      <c r="C28206" s="26">
        <v>0.94169999999999998</v>
      </c>
      <c r="D28206" s="26">
        <v>2.6499999999999999E-2</v>
      </c>
      <c r="E28206" s="26">
        <v>1.3899999999999999E-2</v>
      </c>
      <c r="F28206" s="26">
        <v>8.6E-3</v>
      </c>
      <c r="H28206" s="26">
        <v>5.5999999999999999E-3</v>
      </c>
      <c r="J28206" s="26">
        <v>2.2000000000000001E-3</v>
      </c>
      <c r="L28206" s="26">
        <v>1.5E-3</v>
      </c>
      <c r="M28206">
        <v>335</v>
      </c>
    </row>
    <row r="28207" spans="1:13" x14ac:dyDescent="0.35">
      <c r="A28207" t="s">
        <v>230</v>
      </c>
      <c r="B28207" t="s">
        <v>267</v>
      </c>
      <c r="C28207" s="26">
        <v>0.95940000000000003</v>
      </c>
      <c r="D28207" s="26">
        <v>2.8199999999999999E-2</v>
      </c>
      <c r="F28207" s="26">
        <v>1.24E-2</v>
      </c>
      <c r="M28207">
        <v>119</v>
      </c>
    </row>
    <row r="28208" spans="1:13" x14ac:dyDescent="0.35">
      <c r="A28208" t="s">
        <v>230</v>
      </c>
      <c r="B28208" t="s">
        <v>266</v>
      </c>
      <c r="C28208" s="26">
        <v>0.92390000000000005</v>
      </c>
      <c r="D28208" s="26">
        <v>1.72E-2</v>
      </c>
      <c r="E28208" s="26">
        <v>3.49E-2</v>
      </c>
      <c r="F28208" s="26">
        <v>2.5000000000000001E-3</v>
      </c>
      <c r="H28208" s="26">
        <v>2.5000000000000001E-3</v>
      </c>
      <c r="I28208" s="26">
        <v>2.5000000000000001E-3</v>
      </c>
      <c r="J28208" s="26">
        <v>1.8200000000000001E-2</v>
      </c>
      <c r="K28208" s="26">
        <v>8.0000000000000004E-4</v>
      </c>
      <c r="M28208">
        <v>231</v>
      </c>
    </row>
    <row r="28209" spans="1:13" x14ac:dyDescent="0.35">
      <c r="A28209" t="s">
        <v>230</v>
      </c>
      <c r="B28209" t="s">
        <v>265</v>
      </c>
      <c r="C28209" s="26">
        <v>0.89239999999999997</v>
      </c>
      <c r="D28209" s="26">
        <v>4.6399999999999997E-2</v>
      </c>
      <c r="E28209" s="26">
        <v>2.8500000000000001E-2</v>
      </c>
      <c r="F28209" s="26">
        <v>1.29E-2</v>
      </c>
      <c r="G28209" s="26">
        <v>1.4200000000000001E-2</v>
      </c>
      <c r="H28209" s="26">
        <v>2.2000000000000001E-3</v>
      </c>
      <c r="I28209" s="26">
        <v>1.4200000000000001E-2</v>
      </c>
      <c r="J28209" s="26">
        <v>2.0999999999999999E-3</v>
      </c>
      <c r="M28209">
        <v>208</v>
      </c>
    </row>
    <row r="28210" spans="1:13" x14ac:dyDescent="0.35">
      <c r="A28210" t="s">
        <v>231</v>
      </c>
      <c r="B28210" t="s">
        <v>267</v>
      </c>
      <c r="C28210" s="26">
        <v>0.93940000000000001</v>
      </c>
      <c r="D28210" s="26">
        <v>3.0300000000000001E-2</v>
      </c>
      <c r="G28210" s="26">
        <v>3.0300000000000001E-2</v>
      </c>
      <c r="M28210">
        <v>33</v>
      </c>
    </row>
    <row r="28211" spans="1:13" x14ac:dyDescent="0.35">
      <c r="A28211" t="s">
        <v>231</v>
      </c>
      <c r="B28211" t="s">
        <v>266</v>
      </c>
      <c r="C28211" s="26">
        <v>0.9355</v>
      </c>
      <c r="D28211" s="26">
        <v>3.2300000000000002E-2</v>
      </c>
      <c r="F28211" s="26">
        <v>1.61E-2</v>
      </c>
      <c r="G28211" s="26">
        <v>1.61E-2</v>
      </c>
      <c r="M28211">
        <v>62</v>
      </c>
    </row>
    <row r="28212" spans="1:13" x14ac:dyDescent="0.35">
      <c r="A28212" t="s">
        <v>231</v>
      </c>
      <c r="B28212" t="s">
        <v>265</v>
      </c>
      <c r="C28212" s="26">
        <v>0.88060000000000005</v>
      </c>
      <c r="D28212" s="26">
        <v>2.9899999999999999E-2</v>
      </c>
      <c r="E28212" s="26">
        <v>2.9899999999999999E-2</v>
      </c>
      <c r="F28212" s="26">
        <v>1.49E-2</v>
      </c>
      <c r="G28212" s="26">
        <v>1.49E-2</v>
      </c>
      <c r="H28212" s="26">
        <v>1.49E-2</v>
      </c>
      <c r="I28212" s="26">
        <v>1.49E-2</v>
      </c>
      <c r="M28212">
        <v>67</v>
      </c>
    </row>
    <row r="28213" spans="1:13" x14ac:dyDescent="0.35">
      <c r="A28213" t="s">
        <v>232</v>
      </c>
      <c r="B28213" t="s">
        <v>232</v>
      </c>
      <c r="C28213" s="26">
        <v>0.92</v>
      </c>
      <c r="D28213" s="26">
        <v>3.5700000000000003E-2</v>
      </c>
      <c r="E28213" s="26">
        <v>1.6400000000000001E-2</v>
      </c>
      <c r="F28213" s="26">
        <v>8.9999999999999993E-3</v>
      </c>
      <c r="G28213" s="26">
        <v>8.0000000000000002E-3</v>
      </c>
      <c r="H28213" s="26">
        <v>6.1000000000000004E-3</v>
      </c>
      <c r="I28213" s="26">
        <v>4.0000000000000001E-3</v>
      </c>
      <c r="J28213" s="26">
        <v>2.2000000000000001E-3</v>
      </c>
      <c r="K28213" s="26">
        <v>4.0000000000000002E-4</v>
      </c>
      <c r="L28213" s="26">
        <v>4.0000000000000002E-4</v>
      </c>
      <c r="M28213">
        <v>2785</v>
      </c>
    </row>
    <row r="28215" spans="1:13" x14ac:dyDescent="0.35">
      <c r="A28215" s="1" t="s">
        <v>2537</v>
      </c>
    </row>
    <row r="28216" spans="1:13" x14ac:dyDescent="0.35">
      <c r="A28216" t="s">
        <v>219</v>
      </c>
      <c r="B28216" t="s">
        <v>305</v>
      </c>
      <c r="C28216" t="s">
        <v>302</v>
      </c>
      <c r="D28216" t="s">
        <v>2526</v>
      </c>
      <c r="E28216" t="s">
        <v>2527</v>
      </c>
      <c r="F28216" t="s">
        <v>281</v>
      </c>
      <c r="G28216" t="s">
        <v>2528</v>
      </c>
      <c r="H28216" t="s">
        <v>2529</v>
      </c>
      <c r="I28216" t="s">
        <v>2530</v>
      </c>
      <c r="J28216" t="s">
        <v>286</v>
      </c>
      <c r="K28216" t="s">
        <v>326</v>
      </c>
      <c r="L28216" t="s">
        <v>2531</v>
      </c>
      <c r="M28216" t="s">
        <v>226</v>
      </c>
    </row>
    <row r="28217" spans="1:13" x14ac:dyDescent="0.35">
      <c r="A28217" t="s">
        <v>227</v>
      </c>
      <c r="B28217" t="s">
        <v>252</v>
      </c>
      <c r="C28217" s="26">
        <v>0.97729999999999995</v>
      </c>
      <c r="F28217" s="26">
        <v>2.2700000000000001E-2</v>
      </c>
      <c r="M28217">
        <v>44</v>
      </c>
    </row>
    <row r="28218" spans="1:13" x14ac:dyDescent="0.35">
      <c r="A28218" t="s">
        <v>227</v>
      </c>
      <c r="B28218" t="s">
        <v>253</v>
      </c>
      <c r="C28218" s="26">
        <v>0.88239999999999996</v>
      </c>
      <c r="D28218" s="26">
        <v>5.8799999999999998E-2</v>
      </c>
      <c r="G28218" s="26">
        <v>2.9399999999999999E-2</v>
      </c>
      <c r="H28218" s="26">
        <v>2.9399999999999999E-2</v>
      </c>
      <c r="M28218">
        <v>34</v>
      </c>
    </row>
    <row r="28219" spans="1:13" x14ac:dyDescent="0.35">
      <c r="A28219" t="s">
        <v>227</v>
      </c>
      <c r="B28219" t="s">
        <v>251</v>
      </c>
      <c r="C28219" s="26">
        <v>0.96250000000000002</v>
      </c>
      <c r="D28219" s="26">
        <v>2.5000000000000001E-2</v>
      </c>
      <c r="E28219" s="26">
        <v>1.2500000000000001E-2</v>
      </c>
      <c r="M28219">
        <v>80</v>
      </c>
    </row>
    <row r="28220" spans="1:13" x14ac:dyDescent="0.35">
      <c r="A28220" t="s">
        <v>228</v>
      </c>
      <c r="B28220" t="s">
        <v>252</v>
      </c>
      <c r="C28220" s="26">
        <v>0.90059999999999996</v>
      </c>
      <c r="D28220" s="26">
        <v>2.6599999999999999E-2</v>
      </c>
      <c r="E28220" s="26">
        <v>4.5400000000000003E-2</v>
      </c>
      <c r="F28220" s="26">
        <v>7.6E-3</v>
      </c>
      <c r="G28220" s="26">
        <v>8.0000000000000002E-3</v>
      </c>
      <c r="H28220" s="26">
        <v>1.9E-3</v>
      </c>
      <c r="J28220" s="26">
        <v>1.43E-2</v>
      </c>
      <c r="M28220">
        <v>340</v>
      </c>
    </row>
    <row r="28221" spans="1:13" x14ac:dyDescent="0.35">
      <c r="A28221" t="s">
        <v>228</v>
      </c>
      <c r="B28221" t="s">
        <v>253</v>
      </c>
      <c r="C28221" s="26">
        <v>0.85489999999999999</v>
      </c>
      <c r="D28221" s="26">
        <v>6.6900000000000001E-2</v>
      </c>
      <c r="E28221" s="26">
        <v>2.8199999999999999E-2</v>
      </c>
      <c r="F28221" s="26">
        <v>1.14E-2</v>
      </c>
      <c r="H28221" s="26">
        <v>1.6299999999999999E-2</v>
      </c>
      <c r="I28221" s="26">
        <v>1.6299999999999999E-2</v>
      </c>
      <c r="K28221" s="26">
        <v>4.1000000000000003E-3</v>
      </c>
      <c r="L28221" s="26">
        <v>3.2000000000000002E-3</v>
      </c>
      <c r="M28221">
        <v>220</v>
      </c>
    </row>
    <row r="28222" spans="1:13" x14ac:dyDescent="0.35">
      <c r="A28222" t="s">
        <v>228</v>
      </c>
      <c r="B28222" t="s">
        <v>251</v>
      </c>
      <c r="C28222" s="26">
        <v>0.8861</v>
      </c>
      <c r="D28222" s="26">
        <v>7.3700000000000002E-2</v>
      </c>
      <c r="E28222" s="26">
        <v>1.9E-2</v>
      </c>
      <c r="F28222" s="26">
        <v>9.1000000000000004E-3</v>
      </c>
      <c r="H28222" s="26">
        <v>8.9999999999999998E-4</v>
      </c>
      <c r="I28222" s="26">
        <v>9.2999999999999992E-3</v>
      </c>
      <c r="J28222" s="26">
        <v>2.3E-3</v>
      </c>
      <c r="K28222" s="26">
        <v>2.5000000000000001E-3</v>
      </c>
      <c r="L28222" s="26">
        <v>5.0000000000000001E-4</v>
      </c>
      <c r="M28222">
        <v>461</v>
      </c>
    </row>
    <row r="28223" spans="1:13" x14ac:dyDescent="0.35">
      <c r="A28223" t="s">
        <v>229</v>
      </c>
      <c r="B28223" t="s">
        <v>252</v>
      </c>
      <c r="C28223" s="26">
        <v>0.9254</v>
      </c>
      <c r="D28223" s="26">
        <v>3.6200000000000003E-2</v>
      </c>
      <c r="E28223" s="26">
        <v>1.35E-2</v>
      </c>
      <c r="F28223" s="26">
        <v>8.0000000000000004E-4</v>
      </c>
      <c r="G28223" s="26">
        <v>1.1299999999999999E-2</v>
      </c>
      <c r="H28223" s="26">
        <v>2.4899999999999999E-2</v>
      </c>
      <c r="J28223" s="26">
        <v>1.5E-3</v>
      </c>
      <c r="M28223">
        <v>197</v>
      </c>
    </row>
    <row r="28224" spans="1:13" x14ac:dyDescent="0.35">
      <c r="A28224" t="s">
        <v>229</v>
      </c>
      <c r="B28224" t="s">
        <v>253</v>
      </c>
      <c r="C28224" s="26">
        <v>0.92969999999999997</v>
      </c>
      <c r="D28224" s="26">
        <v>1.52E-2</v>
      </c>
      <c r="E28224" s="26">
        <v>3.4000000000000002E-2</v>
      </c>
      <c r="F28224" s="26">
        <v>2.3E-3</v>
      </c>
      <c r="G28224" s="26">
        <v>1.8E-3</v>
      </c>
      <c r="H28224" s="26">
        <v>1.34E-2</v>
      </c>
      <c r="J28224" s="26">
        <v>3.5999999999999999E-3</v>
      </c>
      <c r="M28224">
        <v>144</v>
      </c>
    </row>
    <row r="28225" spans="1:13" x14ac:dyDescent="0.35">
      <c r="A28225" t="s">
        <v>229</v>
      </c>
      <c r="B28225" t="s">
        <v>251</v>
      </c>
      <c r="C28225" s="26">
        <v>0.94120000000000004</v>
      </c>
      <c r="D28225" s="26">
        <v>3.6700000000000003E-2</v>
      </c>
      <c r="E28225" s="26">
        <v>7.6E-3</v>
      </c>
      <c r="F28225" s="26">
        <v>1.0800000000000001E-2</v>
      </c>
      <c r="G28225" s="26">
        <v>5.9999999999999995E-4</v>
      </c>
      <c r="H28225" s="26">
        <v>5.9999999999999995E-4</v>
      </c>
      <c r="I28225" s="26">
        <v>5.9999999999999995E-4</v>
      </c>
      <c r="J28225" s="26">
        <v>6.9999999999999999E-4</v>
      </c>
      <c r="L28225" s="26">
        <v>1.1999999999999999E-3</v>
      </c>
      <c r="M28225">
        <v>545</v>
      </c>
    </row>
    <row r="28226" spans="1:13" x14ac:dyDescent="0.35">
      <c r="A28226" t="s">
        <v>230</v>
      </c>
      <c r="B28226" t="s">
        <v>252</v>
      </c>
      <c r="C28226" s="26">
        <v>0.89829999999999999</v>
      </c>
      <c r="D28226" s="26">
        <v>2.0999999999999999E-3</v>
      </c>
      <c r="E28226" s="26">
        <v>4.58E-2</v>
      </c>
      <c r="F28226" s="26">
        <v>3.5000000000000001E-3</v>
      </c>
      <c r="G28226" s="26">
        <v>2.1100000000000001E-2</v>
      </c>
      <c r="J28226" s="26">
        <v>2.81E-2</v>
      </c>
      <c r="K28226" s="26">
        <v>1.1000000000000001E-3</v>
      </c>
      <c r="M28226">
        <v>158</v>
      </c>
    </row>
    <row r="28227" spans="1:13" x14ac:dyDescent="0.35">
      <c r="A28227" t="s">
        <v>230</v>
      </c>
      <c r="B28227" t="s">
        <v>253</v>
      </c>
      <c r="C28227" s="26">
        <v>0.96579999999999999</v>
      </c>
      <c r="D28227" s="26">
        <v>2.6599999999999999E-2</v>
      </c>
      <c r="E28227" s="26">
        <v>6.1000000000000004E-3</v>
      </c>
      <c r="G28227" s="26">
        <v>1.4E-3</v>
      </c>
      <c r="M28227">
        <v>110</v>
      </c>
    </row>
    <row r="28228" spans="1:13" x14ac:dyDescent="0.35">
      <c r="A28228" t="s">
        <v>230</v>
      </c>
      <c r="B28228" t="s">
        <v>251</v>
      </c>
      <c r="C28228" s="26">
        <v>0.91180000000000005</v>
      </c>
      <c r="D28228" s="26">
        <v>4.7300000000000002E-2</v>
      </c>
      <c r="E28228" s="26">
        <v>2.1100000000000001E-2</v>
      </c>
      <c r="F28228" s="26">
        <v>1.46E-2</v>
      </c>
      <c r="G28228" s="26">
        <v>5.0000000000000001E-4</v>
      </c>
      <c r="H28228" s="26">
        <v>3.3E-3</v>
      </c>
      <c r="I28228" s="26">
        <v>1.23E-2</v>
      </c>
      <c r="J28228" s="26">
        <v>5.0000000000000001E-4</v>
      </c>
      <c r="M28228">
        <v>290</v>
      </c>
    </row>
    <row r="28229" spans="1:13" x14ac:dyDescent="0.35">
      <c r="A28229" t="s">
        <v>231</v>
      </c>
      <c r="B28229" t="s">
        <v>252</v>
      </c>
      <c r="C28229" s="26">
        <v>0.91839999999999999</v>
      </c>
      <c r="D28229" s="26">
        <v>4.0800000000000003E-2</v>
      </c>
      <c r="F28229" s="26">
        <v>2.0400000000000001E-2</v>
      </c>
      <c r="G28229" s="26">
        <v>2.0400000000000001E-2</v>
      </c>
      <c r="M28229">
        <v>49</v>
      </c>
    </row>
    <row r="28230" spans="1:13" x14ac:dyDescent="0.35">
      <c r="A28230" s="27" t="s">
        <v>231</v>
      </c>
      <c r="B28230" s="27" t="s">
        <v>253</v>
      </c>
      <c r="C28230" s="28">
        <v>0.89659999999999995</v>
      </c>
      <c r="D28230" s="28">
        <v>3.4500000000000003E-2</v>
      </c>
      <c r="E28230" s="29"/>
      <c r="F28230" s="29"/>
      <c r="G28230" s="28">
        <v>6.9000000000000006E-2</v>
      </c>
      <c r="H28230" s="29"/>
      <c r="I28230" s="29"/>
      <c r="J28230" s="29"/>
      <c r="K28230" s="29"/>
      <c r="L28230" s="29"/>
      <c r="M28230" s="29" t="s">
        <v>329</v>
      </c>
    </row>
    <row r="28231" spans="1:13" x14ac:dyDescent="0.35">
      <c r="A28231" t="s">
        <v>231</v>
      </c>
      <c r="B28231" t="s">
        <v>251</v>
      </c>
      <c r="C28231" s="26">
        <v>0.91669999999999996</v>
      </c>
      <c r="D28231" s="26">
        <v>2.3800000000000002E-2</v>
      </c>
      <c r="E28231" s="26">
        <v>2.3800000000000002E-2</v>
      </c>
      <c r="F28231" s="26">
        <v>1.1900000000000001E-2</v>
      </c>
      <c r="H28231" s="26">
        <v>1.1900000000000001E-2</v>
      </c>
      <c r="I28231" s="26">
        <v>1.1900000000000001E-2</v>
      </c>
      <c r="M28231">
        <v>84</v>
      </c>
    </row>
    <row r="28232" spans="1:13" x14ac:dyDescent="0.35">
      <c r="A28232" t="s">
        <v>232</v>
      </c>
      <c r="B28232" t="s">
        <v>232</v>
      </c>
      <c r="C28232" s="26">
        <v>0.92</v>
      </c>
      <c r="D28232" s="26">
        <v>3.5700000000000003E-2</v>
      </c>
      <c r="E28232" s="26">
        <v>1.6400000000000001E-2</v>
      </c>
      <c r="F28232" s="26">
        <v>8.9999999999999993E-3</v>
      </c>
      <c r="G28232" s="26">
        <v>8.0000000000000002E-3</v>
      </c>
      <c r="H28232" s="26">
        <v>6.1000000000000004E-3</v>
      </c>
      <c r="I28232" s="26">
        <v>4.0000000000000001E-3</v>
      </c>
      <c r="J28232" s="26">
        <v>2.2000000000000001E-3</v>
      </c>
      <c r="K28232" s="26">
        <v>4.0000000000000002E-4</v>
      </c>
      <c r="L28232" s="26">
        <v>4.0000000000000002E-4</v>
      </c>
      <c r="M28232">
        <v>2785</v>
      </c>
    </row>
    <row r="28234" spans="1:13" x14ac:dyDescent="0.35">
      <c r="A28234" s="1" t="s">
        <v>2538</v>
      </c>
    </row>
    <row r="28235" spans="1:13" x14ac:dyDescent="0.35">
      <c r="A28235" t="s">
        <v>219</v>
      </c>
      <c r="B28235" t="s">
        <v>305</v>
      </c>
      <c r="C28235" t="s">
        <v>302</v>
      </c>
      <c r="D28235" t="s">
        <v>2526</v>
      </c>
      <c r="E28235" t="s">
        <v>2527</v>
      </c>
      <c r="F28235" t="s">
        <v>281</v>
      </c>
      <c r="G28235" t="s">
        <v>2528</v>
      </c>
      <c r="H28235" t="s">
        <v>2529</v>
      </c>
      <c r="I28235" t="s">
        <v>2530</v>
      </c>
      <c r="J28235" t="s">
        <v>286</v>
      </c>
      <c r="K28235" t="s">
        <v>326</v>
      </c>
      <c r="L28235" t="s">
        <v>2531</v>
      </c>
      <c r="M28235" t="s">
        <v>226</v>
      </c>
    </row>
    <row r="28236" spans="1:13" x14ac:dyDescent="0.35">
      <c r="A28236" t="s">
        <v>227</v>
      </c>
      <c r="B28236" t="s">
        <v>249</v>
      </c>
      <c r="C28236" s="26">
        <v>0.95450000000000002</v>
      </c>
      <c r="D28236" s="26">
        <v>4.5499999999999999E-2</v>
      </c>
      <c r="M28236">
        <v>44</v>
      </c>
    </row>
    <row r="28237" spans="1:13" x14ac:dyDescent="0.35">
      <c r="A28237" t="s">
        <v>227</v>
      </c>
      <c r="B28237" t="s">
        <v>248</v>
      </c>
      <c r="C28237" s="26">
        <v>0.94740000000000002</v>
      </c>
      <c r="D28237" s="26">
        <v>1.7500000000000002E-2</v>
      </c>
      <c r="E28237" s="26">
        <v>8.8000000000000005E-3</v>
      </c>
      <c r="F28237" s="26">
        <v>8.8000000000000005E-3</v>
      </c>
      <c r="G28237" s="26">
        <v>8.8000000000000005E-3</v>
      </c>
      <c r="H28237" s="26">
        <v>8.8000000000000005E-3</v>
      </c>
      <c r="M28237">
        <v>114</v>
      </c>
    </row>
    <row r="28238" spans="1:13" x14ac:dyDescent="0.35">
      <c r="A28238" t="s">
        <v>228</v>
      </c>
      <c r="B28238" t="s">
        <v>249</v>
      </c>
      <c r="C28238" s="26">
        <v>0.85360000000000003</v>
      </c>
      <c r="D28238" s="26">
        <v>7.5300000000000006E-2</v>
      </c>
      <c r="E28238" s="26">
        <v>2.9100000000000001E-2</v>
      </c>
      <c r="F28238" s="26">
        <v>5.1999999999999998E-3</v>
      </c>
      <c r="H28238" s="26">
        <v>1.2500000000000001E-2</v>
      </c>
      <c r="I28238" s="26">
        <v>2.5000000000000001E-2</v>
      </c>
      <c r="J28238" s="26">
        <v>1.8E-3</v>
      </c>
      <c r="K28238" s="26">
        <v>2.8E-3</v>
      </c>
      <c r="L28238" s="26">
        <v>8.0000000000000004E-4</v>
      </c>
      <c r="M28238">
        <v>272</v>
      </c>
    </row>
    <row r="28239" spans="1:13" x14ac:dyDescent="0.35">
      <c r="A28239" t="s">
        <v>228</v>
      </c>
      <c r="B28239" t="s">
        <v>248</v>
      </c>
      <c r="C28239" s="26">
        <v>0.89749999999999996</v>
      </c>
      <c r="D28239" s="26">
        <v>4.9500000000000002E-2</v>
      </c>
      <c r="E28239" s="26">
        <v>2.9399999999999999E-2</v>
      </c>
      <c r="F28239" s="26">
        <v>1.0699999999999999E-2</v>
      </c>
      <c r="G28239" s="26">
        <v>3.7000000000000002E-3</v>
      </c>
      <c r="H28239" s="26">
        <v>8.9999999999999998E-4</v>
      </c>
      <c r="I28239" s="26">
        <v>2.9999999999999997E-4</v>
      </c>
      <c r="J28239" s="26">
        <v>7.3000000000000001E-3</v>
      </c>
      <c r="K28239" s="26">
        <v>1.6999999999999999E-3</v>
      </c>
      <c r="L28239" s="26">
        <v>8.9999999999999998E-4</v>
      </c>
      <c r="M28239">
        <v>749</v>
      </c>
    </row>
    <row r="28240" spans="1:13" x14ac:dyDescent="0.35">
      <c r="A28240" t="s">
        <v>229</v>
      </c>
      <c r="B28240" t="s">
        <v>249</v>
      </c>
      <c r="C28240" s="26">
        <v>0.92659999999999998</v>
      </c>
      <c r="D28240" s="26">
        <v>3.6299999999999999E-2</v>
      </c>
      <c r="E28240" s="26">
        <v>2.4500000000000001E-2</v>
      </c>
      <c r="F28240" s="26">
        <v>1.0500000000000001E-2</v>
      </c>
      <c r="G28240" s="26">
        <v>1E-3</v>
      </c>
      <c r="I28240" s="26">
        <v>1E-3</v>
      </c>
      <c r="M28240">
        <v>258</v>
      </c>
    </row>
    <row r="28241" spans="1:13" x14ac:dyDescent="0.35">
      <c r="A28241" t="s">
        <v>229</v>
      </c>
      <c r="B28241" t="s">
        <v>248</v>
      </c>
      <c r="C28241" s="26">
        <v>0.93989999999999996</v>
      </c>
      <c r="D28241" s="26">
        <v>3.0599999999999999E-2</v>
      </c>
      <c r="E28241" s="26">
        <v>8.6999999999999994E-3</v>
      </c>
      <c r="F28241" s="26">
        <v>5.1999999999999998E-3</v>
      </c>
      <c r="G28241" s="26">
        <v>4.3E-3</v>
      </c>
      <c r="H28241" s="26">
        <v>1.26E-2</v>
      </c>
      <c r="J28241" s="26">
        <v>2.0999999999999999E-3</v>
      </c>
      <c r="L28241" s="26">
        <v>1E-3</v>
      </c>
      <c r="M28241">
        <v>628</v>
      </c>
    </row>
    <row r="28242" spans="1:13" x14ac:dyDescent="0.35">
      <c r="A28242" t="s">
        <v>230</v>
      </c>
      <c r="B28242" t="s">
        <v>249</v>
      </c>
      <c r="C28242" s="26">
        <v>0.89170000000000005</v>
      </c>
      <c r="D28242" s="26">
        <v>4.36E-2</v>
      </c>
      <c r="E28242" s="26">
        <v>3.8199999999999998E-2</v>
      </c>
      <c r="F28242" s="26">
        <v>2.1399999999999999E-2</v>
      </c>
      <c r="G28242" s="26">
        <v>8.0000000000000004E-4</v>
      </c>
      <c r="H28242" s="26">
        <v>2.7000000000000001E-3</v>
      </c>
      <c r="I28242" s="26">
        <v>2.0299999999999999E-2</v>
      </c>
      <c r="M28242">
        <v>170</v>
      </c>
    </row>
    <row r="28243" spans="1:13" x14ac:dyDescent="0.35">
      <c r="A28243" t="s">
        <v>230</v>
      </c>
      <c r="B28243" t="s">
        <v>248</v>
      </c>
      <c r="C28243" s="26">
        <v>0.93220000000000003</v>
      </c>
      <c r="D28243" s="26">
        <v>2.5899999999999999E-2</v>
      </c>
      <c r="E28243" s="26">
        <v>1.7600000000000001E-2</v>
      </c>
      <c r="F28243" s="26">
        <v>2.7000000000000001E-3</v>
      </c>
      <c r="G28243" s="26">
        <v>8.5000000000000006E-3</v>
      </c>
      <c r="H28243" s="26">
        <v>1.4E-3</v>
      </c>
      <c r="J28243" s="26">
        <v>1.1299999999999999E-2</v>
      </c>
      <c r="K28243" s="26">
        <v>4.0000000000000002E-4</v>
      </c>
      <c r="M28243">
        <v>388</v>
      </c>
    </row>
    <row r="28244" spans="1:13" x14ac:dyDescent="0.35">
      <c r="A28244" t="s">
        <v>231</v>
      </c>
      <c r="B28244" t="s">
        <v>249</v>
      </c>
      <c r="C28244" s="26">
        <v>0.9143</v>
      </c>
      <c r="D28244" s="26">
        <v>2.86E-2</v>
      </c>
      <c r="E28244" s="26">
        <v>5.7099999999999998E-2</v>
      </c>
      <c r="M28244">
        <v>35</v>
      </c>
    </row>
    <row r="28245" spans="1:13" x14ac:dyDescent="0.35">
      <c r="A28245" t="s">
        <v>231</v>
      </c>
      <c r="B28245" t="s">
        <v>248</v>
      </c>
      <c r="C28245" s="26">
        <v>0.91339999999999999</v>
      </c>
      <c r="D28245" s="26">
        <v>3.15E-2</v>
      </c>
      <c r="F28245" s="26">
        <v>1.5699999999999999E-2</v>
      </c>
      <c r="G28245" s="26">
        <v>2.3599999999999999E-2</v>
      </c>
      <c r="H28245" s="26">
        <v>7.9000000000000008E-3</v>
      </c>
      <c r="I28245" s="26">
        <v>7.9000000000000008E-3</v>
      </c>
      <c r="M28245">
        <v>127</v>
      </c>
    </row>
    <row r="28246" spans="1:13" x14ac:dyDescent="0.35">
      <c r="A28246" t="s">
        <v>232</v>
      </c>
      <c r="B28246" t="s">
        <v>232</v>
      </c>
      <c r="C28246" s="26">
        <v>0.92</v>
      </c>
      <c r="D28246" s="26">
        <v>3.5700000000000003E-2</v>
      </c>
      <c r="E28246" s="26">
        <v>1.6400000000000001E-2</v>
      </c>
      <c r="F28246" s="26">
        <v>8.9999999999999993E-3</v>
      </c>
      <c r="G28246" s="26">
        <v>8.0000000000000002E-3</v>
      </c>
      <c r="H28246" s="26">
        <v>6.1000000000000004E-3</v>
      </c>
      <c r="I28246" s="26">
        <v>4.0000000000000001E-3</v>
      </c>
      <c r="J28246" s="26">
        <v>2.2000000000000001E-3</v>
      </c>
      <c r="K28246" s="26">
        <v>4.0000000000000002E-4</v>
      </c>
      <c r="L28246" s="26">
        <v>4.0000000000000002E-4</v>
      </c>
      <c r="M28246">
        <v>2785</v>
      </c>
    </row>
    <row r="28248" spans="1:13" x14ac:dyDescent="0.35">
      <c r="A28248" s="1" t="s">
        <v>2539</v>
      </c>
    </row>
    <row r="28249" spans="1:13" x14ac:dyDescent="0.35">
      <c r="A28249" t="s">
        <v>219</v>
      </c>
      <c r="B28249" t="s">
        <v>305</v>
      </c>
      <c r="C28249" t="s">
        <v>302</v>
      </c>
      <c r="D28249" t="s">
        <v>2526</v>
      </c>
      <c r="E28249" t="s">
        <v>2527</v>
      </c>
      <c r="F28249" t="s">
        <v>281</v>
      </c>
      <c r="G28249" t="s">
        <v>2528</v>
      </c>
      <c r="H28249" t="s">
        <v>2529</v>
      </c>
      <c r="I28249" t="s">
        <v>2530</v>
      </c>
      <c r="J28249" t="s">
        <v>286</v>
      </c>
      <c r="K28249" t="s">
        <v>326</v>
      </c>
      <c r="L28249" t="s">
        <v>2531</v>
      </c>
      <c r="M28249" t="s">
        <v>226</v>
      </c>
    </row>
    <row r="28250" spans="1:13" x14ac:dyDescent="0.35">
      <c r="A28250" s="27" t="s">
        <v>227</v>
      </c>
      <c r="B28250" s="27" t="s">
        <v>263</v>
      </c>
      <c r="C28250" s="28">
        <v>1</v>
      </c>
      <c r="D28250" s="29"/>
      <c r="E28250" s="29"/>
      <c r="F28250" s="29"/>
      <c r="G28250" s="29"/>
      <c r="H28250" s="29"/>
      <c r="I28250" s="29"/>
      <c r="J28250" s="29"/>
      <c r="K28250" s="29"/>
      <c r="L28250" s="29"/>
      <c r="M28250" s="29" t="s">
        <v>315</v>
      </c>
    </row>
    <row r="28251" spans="1:13" x14ac:dyDescent="0.35">
      <c r="A28251" t="s">
        <v>227</v>
      </c>
      <c r="B28251" t="s">
        <v>261</v>
      </c>
      <c r="C28251" s="26">
        <v>0.84850000000000003</v>
      </c>
      <c r="D28251" s="26">
        <v>0.1212</v>
      </c>
      <c r="F28251" s="26">
        <v>3.0300000000000001E-2</v>
      </c>
      <c r="M28251">
        <v>33</v>
      </c>
    </row>
    <row r="28252" spans="1:13" x14ac:dyDescent="0.35">
      <c r="A28252" s="27" t="s">
        <v>227</v>
      </c>
      <c r="B28252" s="27" t="s">
        <v>262</v>
      </c>
      <c r="C28252" s="28">
        <v>1</v>
      </c>
      <c r="D28252" s="29"/>
      <c r="E28252" s="29"/>
      <c r="F28252" s="29"/>
      <c r="G28252" s="29"/>
      <c r="H28252" s="29"/>
      <c r="I28252" s="29"/>
      <c r="J28252" s="29"/>
      <c r="K28252" s="29"/>
      <c r="L28252" s="29"/>
      <c r="M28252" s="29" t="s">
        <v>315</v>
      </c>
    </row>
    <row r="28253" spans="1:13" x14ac:dyDescent="0.35">
      <c r="A28253" t="s">
        <v>227</v>
      </c>
      <c r="B28253" t="s">
        <v>260</v>
      </c>
      <c r="C28253" s="26">
        <v>0.9748</v>
      </c>
      <c r="E28253" s="26">
        <v>8.3999999999999995E-3</v>
      </c>
      <c r="G28253" s="26">
        <v>8.3999999999999995E-3</v>
      </c>
      <c r="H28253" s="26">
        <v>8.3999999999999995E-3</v>
      </c>
      <c r="M28253">
        <v>119</v>
      </c>
    </row>
    <row r="28254" spans="1:13" x14ac:dyDescent="0.35">
      <c r="A28254" t="s">
        <v>228</v>
      </c>
      <c r="B28254" t="s">
        <v>261</v>
      </c>
      <c r="C28254" s="26">
        <v>0.73599999999999999</v>
      </c>
      <c r="D28254" s="26">
        <v>0.23019999999999999</v>
      </c>
      <c r="E28254" s="26">
        <v>3.8E-3</v>
      </c>
      <c r="F28254" s="26">
        <v>4.1000000000000003E-3</v>
      </c>
      <c r="I28254" s="26">
        <v>7.3000000000000001E-3</v>
      </c>
      <c r="J28254" s="26">
        <v>1.8499999999999999E-2</v>
      </c>
      <c r="L28254" s="26">
        <v>1.2999999999999999E-3</v>
      </c>
      <c r="M28254">
        <v>190</v>
      </c>
    </row>
    <row r="28255" spans="1:13" x14ac:dyDescent="0.35">
      <c r="A28255" s="27" t="s">
        <v>228</v>
      </c>
      <c r="B28255" s="27" t="s">
        <v>263</v>
      </c>
      <c r="C28255" s="28">
        <v>0.9204</v>
      </c>
      <c r="D28255" s="29"/>
      <c r="E28255" s="28">
        <v>2.2100000000000002E-2</v>
      </c>
      <c r="F28255" s="28">
        <v>1.2999999999999999E-2</v>
      </c>
      <c r="G28255" s="29"/>
      <c r="H28255" s="29"/>
      <c r="I28255" s="28">
        <v>6.6600000000000006E-2</v>
      </c>
      <c r="J28255" s="29"/>
      <c r="K28255" s="29"/>
      <c r="L28255" s="29"/>
      <c r="M28255" s="29" t="s">
        <v>312</v>
      </c>
    </row>
    <row r="28256" spans="1:13" x14ac:dyDescent="0.35">
      <c r="A28256" s="27" t="s">
        <v>228</v>
      </c>
      <c r="B28256" s="27" t="s">
        <v>236</v>
      </c>
      <c r="C28256" s="28">
        <v>1</v>
      </c>
      <c r="D28256" s="29"/>
      <c r="E28256" s="29"/>
      <c r="F28256" s="29"/>
      <c r="G28256" s="29"/>
      <c r="H28256" s="29"/>
      <c r="I28256" s="29"/>
      <c r="J28256" s="29"/>
      <c r="K28256" s="29"/>
      <c r="L28256" s="29"/>
      <c r="M28256" s="29" t="s">
        <v>335</v>
      </c>
    </row>
    <row r="28257" spans="1:13" x14ac:dyDescent="0.35">
      <c r="A28257" t="s">
        <v>228</v>
      </c>
      <c r="B28257" t="s">
        <v>262</v>
      </c>
      <c r="C28257" s="26">
        <v>0.86780000000000002</v>
      </c>
      <c r="D28257" s="26">
        <v>5.3600000000000002E-2</v>
      </c>
      <c r="E28257" s="26">
        <v>4.3900000000000002E-2</v>
      </c>
      <c r="F28257" s="26">
        <v>1.5E-3</v>
      </c>
      <c r="H28257" s="26">
        <v>2.2599999999999999E-2</v>
      </c>
      <c r="I28257" s="26">
        <v>3.3E-3</v>
      </c>
      <c r="J28257" s="26">
        <v>5.7999999999999996E-3</v>
      </c>
      <c r="L28257" s="26">
        <v>1.5E-3</v>
      </c>
      <c r="M28257">
        <v>199</v>
      </c>
    </row>
    <row r="28258" spans="1:13" x14ac:dyDescent="0.35">
      <c r="A28258" t="s">
        <v>228</v>
      </c>
      <c r="B28258" t="s">
        <v>260</v>
      </c>
      <c r="C28258" s="26">
        <v>0.93320000000000003</v>
      </c>
      <c r="D28258" s="26">
        <v>6.1000000000000004E-3</v>
      </c>
      <c r="E28258" s="26">
        <v>3.4000000000000002E-2</v>
      </c>
      <c r="F28258" s="26">
        <v>1.26E-2</v>
      </c>
      <c r="G28258" s="26">
        <v>4.1999999999999997E-3</v>
      </c>
      <c r="H28258" s="26">
        <v>1E-3</v>
      </c>
      <c r="I28258" s="26">
        <v>7.3000000000000001E-3</v>
      </c>
      <c r="J28258" s="26">
        <v>1.8E-3</v>
      </c>
      <c r="K28258" s="26">
        <v>3.3E-3</v>
      </c>
      <c r="L28258" s="26">
        <v>6.9999999999999999E-4</v>
      </c>
      <c r="M28258">
        <v>601</v>
      </c>
    </row>
    <row r="28259" spans="1:13" x14ac:dyDescent="0.35">
      <c r="A28259" s="27" t="s">
        <v>229</v>
      </c>
      <c r="B28259" s="27" t="s">
        <v>263</v>
      </c>
      <c r="C28259" s="28">
        <v>1</v>
      </c>
      <c r="D28259" s="29"/>
      <c r="E28259" s="29"/>
      <c r="F28259" s="29"/>
      <c r="G28259" s="29"/>
      <c r="H28259" s="29"/>
      <c r="I28259" s="29"/>
      <c r="J28259" s="29"/>
      <c r="K28259" s="29"/>
      <c r="L28259" s="29"/>
      <c r="M28259" s="29" t="s">
        <v>379</v>
      </c>
    </row>
    <row r="28260" spans="1:13" x14ac:dyDescent="0.35">
      <c r="A28260" t="s">
        <v>229</v>
      </c>
      <c r="B28260" t="s">
        <v>262</v>
      </c>
      <c r="C28260" s="26">
        <v>0.95030000000000003</v>
      </c>
      <c r="D28260" s="26">
        <v>2.1999999999999999E-2</v>
      </c>
      <c r="E28260" s="26">
        <v>1.4500000000000001E-2</v>
      </c>
      <c r="F28260" s="26">
        <v>1.09E-2</v>
      </c>
      <c r="H28260" s="26">
        <v>1.1999999999999999E-3</v>
      </c>
      <c r="J28260" s="26">
        <v>1.1999999999999999E-3</v>
      </c>
      <c r="M28260">
        <v>187</v>
      </c>
    </row>
    <row r="28261" spans="1:13" x14ac:dyDescent="0.35">
      <c r="A28261" t="s">
        <v>229</v>
      </c>
      <c r="B28261" t="s">
        <v>261</v>
      </c>
      <c r="C28261" s="26">
        <v>0.82069999999999999</v>
      </c>
      <c r="D28261" s="26">
        <v>0.15240000000000001</v>
      </c>
      <c r="E28261" s="26">
        <v>7.4999999999999997E-3</v>
      </c>
      <c r="G28261" s="26">
        <v>1.95E-2</v>
      </c>
      <c r="H28261" s="26">
        <v>2.06E-2</v>
      </c>
      <c r="M28261">
        <v>95</v>
      </c>
    </row>
    <row r="28262" spans="1:13" x14ac:dyDescent="0.35">
      <c r="A28262" s="27" t="s">
        <v>229</v>
      </c>
      <c r="B28262" s="27" t="s">
        <v>236</v>
      </c>
      <c r="C28262" s="28">
        <v>1</v>
      </c>
      <c r="D28262" s="29"/>
      <c r="E28262" s="29"/>
      <c r="F28262" s="29"/>
      <c r="G28262" s="29"/>
      <c r="H28262" s="29"/>
      <c r="I28262" s="29"/>
      <c r="J28262" s="29"/>
      <c r="K28262" s="29"/>
      <c r="L28262" s="29"/>
      <c r="M28262" s="29" t="s">
        <v>331</v>
      </c>
    </row>
    <row r="28263" spans="1:13" x14ac:dyDescent="0.35">
      <c r="A28263" t="s">
        <v>229</v>
      </c>
      <c r="B28263" t="s">
        <v>260</v>
      </c>
      <c r="C28263" s="26">
        <v>0.95640000000000003</v>
      </c>
      <c r="D28263" s="26">
        <v>7.0000000000000001E-3</v>
      </c>
      <c r="E28263" s="26">
        <v>1.5900000000000001E-2</v>
      </c>
      <c r="F28263" s="26">
        <v>7.1000000000000004E-3</v>
      </c>
      <c r="G28263" s="26">
        <v>5.9999999999999995E-4</v>
      </c>
      <c r="H28263" s="26">
        <v>9.1999999999999998E-3</v>
      </c>
      <c r="I28263" s="26">
        <v>5.9999999999999995E-4</v>
      </c>
      <c r="J28263" s="26">
        <v>2E-3</v>
      </c>
      <c r="L28263" s="26">
        <v>1.1999999999999999E-3</v>
      </c>
      <c r="M28263">
        <v>589</v>
      </c>
    </row>
    <row r="28264" spans="1:13" x14ac:dyDescent="0.35">
      <c r="A28264" s="27" t="s">
        <v>230</v>
      </c>
      <c r="B28264" s="27" t="s">
        <v>236</v>
      </c>
      <c r="C28264" s="28">
        <v>1</v>
      </c>
      <c r="D28264" s="29"/>
      <c r="E28264" s="29"/>
      <c r="F28264" s="29"/>
      <c r="G28264" s="29"/>
      <c r="H28264" s="29"/>
      <c r="I28264" s="29"/>
      <c r="J28264" s="29"/>
      <c r="K28264" s="29"/>
      <c r="L28264" s="29"/>
      <c r="M28264" s="29" t="s">
        <v>337</v>
      </c>
    </row>
    <row r="28265" spans="1:13" x14ac:dyDescent="0.35">
      <c r="A28265" t="s">
        <v>230</v>
      </c>
      <c r="B28265" t="s">
        <v>262</v>
      </c>
      <c r="C28265" s="26">
        <v>0.92400000000000004</v>
      </c>
      <c r="D28265" s="26">
        <v>2.3199999999999998E-2</v>
      </c>
      <c r="E28265" s="26">
        <v>3.7699999999999997E-2</v>
      </c>
      <c r="G28265" s="26">
        <v>1.8E-3</v>
      </c>
      <c r="H28265" s="26">
        <v>6.0000000000000001E-3</v>
      </c>
      <c r="I28265" s="26">
        <v>3.5999999999999999E-3</v>
      </c>
      <c r="J28265" s="26">
        <v>1.8E-3</v>
      </c>
      <c r="K28265" s="26">
        <v>1.8E-3</v>
      </c>
      <c r="M28265">
        <v>122</v>
      </c>
    </row>
    <row r="28266" spans="1:13" x14ac:dyDescent="0.35">
      <c r="A28266" t="s">
        <v>230</v>
      </c>
      <c r="B28266" t="s">
        <v>261</v>
      </c>
      <c r="C28266" s="26">
        <v>0.74280000000000002</v>
      </c>
      <c r="D28266" s="26">
        <v>0.15620000000000001</v>
      </c>
      <c r="E28266" s="26">
        <v>4.7E-2</v>
      </c>
      <c r="F28266" s="26">
        <v>1.3599999999999999E-2</v>
      </c>
      <c r="G28266" s="26">
        <v>4.0399999999999998E-2</v>
      </c>
      <c r="I28266" s="26">
        <v>4.0399999999999998E-2</v>
      </c>
      <c r="M28266">
        <v>57</v>
      </c>
    </row>
    <row r="28267" spans="1:13" x14ac:dyDescent="0.35">
      <c r="A28267" s="27" t="s">
        <v>230</v>
      </c>
      <c r="B28267" s="27" t="s">
        <v>263</v>
      </c>
      <c r="C28267" s="28">
        <v>0.92749999999999999</v>
      </c>
      <c r="D28267" s="28">
        <v>1.6799999999999999E-2</v>
      </c>
      <c r="E28267" s="29"/>
      <c r="F28267" s="28">
        <v>5.57E-2</v>
      </c>
      <c r="G28267" s="29"/>
      <c r="H28267" s="29"/>
      <c r="I28267" s="29"/>
      <c r="J28267" s="29"/>
      <c r="K28267" s="29"/>
      <c r="L28267" s="29"/>
      <c r="M28267" s="29" t="s">
        <v>312</v>
      </c>
    </row>
    <row r="28268" spans="1:13" x14ac:dyDescent="0.35">
      <c r="A28268" t="s">
        <v>230</v>
      </c>
      <c r="B28268" t="s">
        <v>260</v>
      </c>
      <c r="C28268" s="26">
        <v>0.95020000000000004</v>
      </c>
      <c r="D28268" s="26">
        <v>1.04E-2</v>
      </c>
      <c r="E28268" s="26">
        <v>1.8200000000000001E-2</v>
      </c>
      <c r="F28268" s="26">
        <v>9.1000000000000004E-3</v>
      </c>
      <c r="G28268" s="26">
        <v>4.0000000000000002E-4</v>
      </c>
      <c r="H28268" s="26">
        <v>1.2999999999999999E-3</v>
      </c>
      <c r="I28268" s="26">
        <v>1.2999999999999999E-3</v>
      </c>
      <c r="J28268" s="26">
        <v>1.04E-2</v>
      </c>
      <c r="M28268">
        <v>350</v>
      </c>
    </row>
    <row r="28269" spans="1:13" x14ac:dyDescent="0.35">
      <c r="A28269" s="27" t="s">
        <v>231</v>
      </c>
      <c r="B28269" s="27" t="s">
        <v>263</v>
      </c>
      <c r="C28269" s="28">
        <v>1</v>
      </c>
      <c r="D28269" s="29"/>
      <c r="E28269" s="29"/>
      <c r="F28269" s="29"/>
      <c r="G28269" s="29"/>
      <c r="H28269" s="29"/>
      <c r="I28269" s="29"/>
      <c r="J28269" s="29"/>
      <c r="K28269" s="29"/>
      <c r="L28269" s="29"/>
      <c r="M28269" s="29" t="s">
        <v>314</v>
      </c>
    </row>
    <row r="28270" spans="1:13" x14ac:dyDescent="0.35">
      <c r="A28270" t="s">
        <v>231</v>
      </c>
      <c r="B28270" t="s">
        <v>260</v>
      </c>
      <c r="C28270" s="26">
        <v>0.94350000000000001</v>
      </c>
      <c r="E28270" s="26">
        <v>1.61E-2</v>
      </c>
      <c r="F28270" s="26">
        <v>8.0999999999999996E-3</v>
      </c>
      <c r="G28270" s="26">
        <v>1.61E-2</v>
      </c>
      <c r="H28270" s="26">
        <v>8.0999999999999996E-3</v>
      </c>
      <c r="I28270" s="26">
        <v>8.0999999999999996E-3</v>
      </c>
      <c r="M28270">
        <v>124</v>
      </c>
    </row>
    <row r="28271" spans="1:13" x14ac:dyDescent="0.35">
      <c r="A28271" s="27" t="s">
        <v>231</v>
      </c>
      <c r="B28271" s="27" t="s">
        <v>261</v>
      </c>
      <c r="C28271" s="28">
        <v>0.76</v>
      </c>
      <c r="D28271" s="28">
        <v>0.2</v>
      </c>
      <c r="E28271" s="29"/>
      <c r="F28271" s="28">
        <v>0.04</v>
      </c>
      <c r="G28271" s="29"/>
      <c r="H28271" s="29"/>
      <c r="I28271" s="29"/>
      <c r="J28271" s="29"/>
      <c r="K28271" s="29"/>
      <c r="L28271" s="29"/>
      <c r="M28271" s="29" t="s">
        <v>312</v>
      </c>
    </row>
    <row r="28272" spans="1:13" x14ac:dyDescent="0.35">
      <c r="A28272" s="27" t="s">
        <v>231</v>
      </c>
      <c r="B28272" s="27" t="s">
        <v>262</v>
      </c>
      <c r="C28272" s="28">
        <v>0.90910000000000002</v>
      </c>
      <c r="D28272" s="29"/>
      <c r="E28272" s="29"/>
      <c r="F28272" s="29"/>
      <c r="G28272" s="28">
        <v>9.0899999999999995E-2</v>
      </c>
      <c r="H28272" s="29"/>
      <c r="I28272" s="29"/>
      <c r="J28272" s="29"/>
      <c r="K28272" s="29"/>
      <c r="L28272" s="29"/>
      <c r="M28272" s="29" t="s">
        <v>352</v>
      </c>
    </row>
    <row r="28273" spans="1:13" x14ac:dyDescent="0.35">
      <c r="A28273" t="s">
        <v>232</v>
      </c>
      <c r="B28273" t="s">
        <v>232</v>
      </c>
      <c r="C28273" s="26">
        <v>0.92</v>
      </c>
      <c r="D28273" s="26">
        <v>3.5700000000000003E-2</v>
      </c>
      <c r="E28273" s="26">
        <v>1.6400000000000001E-2</v>
      </c>
      <c r="F28273" s="26">
        <v>8.9999999999999993E-3</v>
      </c>
      <c r="G28273" s="26">
        <v>8.0000000000000002E-3</v>
      </c>
      <c r="H28273" s="26">
        <v>6.1000000000000004E-3</v>
      </c>
      <c r="I28273" s="26">
        <v>4.0000000000000001E-3</v>
      </c>
      <c r="J28273" s="26">
        <v>2.2000000000000001E-3</v>
      </c>
      <c r="K28273" s="26">
        <v>4.0000000000000002E-4</v>
      </c>
      <c r="L28273" s="26">
        <v>4.0000000000000002E-4</v>
      </c>
      <c r="M28273">
        <v>2785</v>
      </c>
    </row>
    <row r="28275" spans="1:13" x14ac:dyDescent="0.35">
      <c r="A28275" s="1" t="s">
        <v>2540</v>
      </c>
    </row>
    <row r="28276" spans="1:13" x14ac:dyDescent="0.35">
      <c r="A28276" t="s">
        <v>219</v>
      </c>
      <c r="B28276" t="s">
        <v>305</v>
      </c>
      <c r="C28276" t="s">
        <v>302</v>
      </c>
      <c r="D28276" t="s">
        <v>2526</v>
      </c>
      <c r="E28276" t="s">
        <v>2527</v>
      </c>
      <c r="F28276" t="s">
        <v>281</v>
      </c>
      <c r="G28276" t="s">
        <v>2528</v>
      </c>
      <c r="H28276" t="s">
        <v>2529</v>
      </c>
      <c r="I28276" t="s">
        <v>2530</v>
      </c>
      <c r="J28276" t="s">
        <v>286</v>
      </c>
      <c r="K28276" t="s">
        <v>326</v>
      </c>
      <c r="L28276" t="s">
        <v>2531</v>
      </c>
      <c r="M28276" t="s">
        <v>226</v>
      </c>
    </row>
    <row r="28277" spans="1:13" x14ac:dyDescent="0.35">
      <c r="A28277" t="s">
        <v>227</v>
      </c>
      <c r="B28277" t="s">
        <v>368</v>
      </c>
      <c r="C28277" s="26">
        <v>0.84850000000000003</v>
      </c>
      <c r="D28277" s="26">
        <v>0.1212</v>
      </c>
      <c r="F28277" s="26">
        <v>3.0300000000000001E-2</v>
      </c>
      <c r="M28277">
        <v>33</v>
      </c>
    </row>
    <row r="28278" spans="1:13" x14ac:dyDescent="0.35">
      <c r="A28278" t="s">
        <v>227</v>
      </c>
      <c r="B28278" t="s">
        <v>369</v>
      </c>
      <c r="C28278" s="26">
        <v>0.97599999999999998</v>
      </c>
      <c r="E28278" s="26">
        <v>8.0000000000000002E-3</v>
      </c>
      <c r="G28278" s="26">
        <v>8.0000000000000002E-3</v>
      </c>
      <c r="H28278" s="26">
        <v>8.0000000000000002E-3</v>
      </c>
      <c r="M28278">
        <v>125</v>
      </c>
    </row>
    <row r="28279" spans="1:13" x14ac:dyDescent="0.35">
      <c r="A28279" t="s">
        <v>228</v>
      </c>
      <c r="B28279" t="s">
        <v>368</v>
      </c>
      <c r="C28279" s="26">
        <v>0.73599999999999999</v>
      </c>
      <c r="D28279" s="26">
        <v>0.23019999999999999</v>
      </c>
      <c r="E28279" s="26">
        <v>3.8E-3</v>
      </c>
      <c r="F28279" s="26">
        <v>4.1000000000000003E-3</v>
      </c>
      <c r="I28279" s="26">
        <v>7.3000000000000001E-3</v>
      </c>
      <c r="J28279" s="26">
        <v>1.8499999999999999E-2</v>
      </c>
      <c r="L28279" s="26">
        <v>1.2999999999999999E-3</v>
      </c>
      <c r="M28279">
        <v>190</v>
      </c>
    </row>
    <row r="28280" spans="1:13" x14ac:dyDescent="0.35">
      <c r="A28280" t="s">
        <v>228</v>
      </c>
      <c r="B28280" t="s">
        <v>369</v>
      </c>
      <c r="C28280" s="26">
        <v>0.92</v>
      </c>
      <c r="D28280" s="26">
        <v>1.5699999999999999E-2</v>
      </c>
      <c r="E28280" s="26">
        <v>3.5499999999999997E-2</v>
      </c>
      <c r="F28280" s="26">
        <v>1.03E-2</v>
      </c>
      <c r="G28280" s="26">
        <v>3.2000000000000002E-3</v>
      </c>
      <c r="H28280" s="26">
        <v>5.4000000000000003E-3</v>
      </c>
      <c r="I28280" s="26">
        <v>7.7999999999999996E-3</v>
      </c>
      <c r="J28280" s="26">
        <v>2.5999999999999999E-3</v>
      </c>
      <c r="K28280" s="26">
        <v>2.5000000000000001E-3</v>
      </c>
      <c r="L28280" s="26">
        <v>8.0000000000000004E-4</v>
      </c>
      <c r="M28280">
        <v>831</v>
      </c>
    </row>
    <row r="28281" spans="1:13" x14ac:dyDescent="0.35">
      <c r="A28281" t="s">
        <v>229</v>
      </c>
      <c r="B28281" t="s">
        <v>368</v>
      </c>
      <c r="C28281" s="26">
        <v>0.82069999999999999</v>
      </c>
      <c r="D28281" s="26">
        <v>0.15240000000000001</v>
      </c>
      <c r="E28281" s="26">
        <v>7.4999999999999997E-3</v>
      </c>
      <c r="G28281" s="26">
        <v>1.95E-2</v>
      </c>
      <c r="H28281" s="26">
        <v>2.06E-2</v>
      </c>
      <c r="M28281">
        <v>95</v>
      </c>
    </row>
    <row r="28282" spans="1:13" x14ac:dyDescent="0.35">
      <c r="A28282" t="s">
        <v>229</v>
      </c>
      <c r="B28282" t="s">
        <v>369</v>
      </c>
      <c r="C28282" s="26">
        <v>0.95540000000000003</v>
      </c>
      <c r="D28282" s="26">
        <v>1.18E-2</v>
      </c>
      <c r="E28282" s="26">
        <v>1.5100000000000001E-2</v>
      </c>
      <c r="F28282" s="26">
        <v>8.2000000000000007E-3</v>
      </c>
      <c r="G28282" s="26">
        <v>4.0000000000000002E-4</v>
      </c>
      <c r="H28282" s="26">
        <v>6.3E-3</v>
      </c>
      <c r="I28282" s="26">
        <v>4.0000000000000002E-4</v>
      </c>
      <c r="J28282" s="26">
        <v>1.6999999999999999E-3</v>
      </c>
      <c r="L28282" s="26">
        <v>8.0000000000000004E-4</v>
      </c>
      <c r="M28282">
        <v>791</v>
      </c>
    </row>
    <row r="28283" spans="1:13" x14ac:dyDescent="0.35">
      <c r="A28283" t="s">
        <v>230</v>
      </c>
      <c r="B28283" t="s">
        <v>368</v>
      </c>
      <c r="C28283" s="26">
        <v>0.74280000000000002</v>
      </c>
      <c r="D28283" s="26">
        <v>0.15620000000000001</v>
      </c>
      <c r="E28283" s="26">
        <v>4.7E-2</v>
      </c>
      <c r="F28283" s="26">
        <v>1.3599999999999999E-2</v>
      </c>
      <c r="G28283" s="26">
        <v>4.0399999999999998E-2</v>
      </c>
      <c r="I28283" s="26">
        <v>4.0399999999999998E-2</v>
      </c>
      <c r="M28283">
        <v>57</v>
      </c>
    </row>
    <row r="28284" spans="1:13" x14ac:dyDescent="0.35">
      <c r="A28284" t="s">
        <v>230</v>
      </c>
      <c r="B28284" t="s">
        <v>369</v>
      </c>
      <c r="C28284" s="26">
        <v>0.94569999999999999</v>
      </c>
      <c r="D28284" s="26">
        <v>1.2699999999999999E-2</v>
      </c>
      <c r="E28284" s="26">
        <v>2.1100000000000001E-2</v>
      </c>
      <c r="F28284" s="26">
        <v>8.3000000000000001E-3</v>
      </c>
      <c r="G28284" s="26">
        <v>5.9999999999999995E-4</v>
      </c>
      <c r="H28284" s="26">
        <v>2.0999999999999999E-3</v>
      </c>
      <c r="I28284" s="26">
        <v>1.6999999999999999E-3</v>
      </c>
      <c r="J28284" s="26">
        <v>8.6E-3</v>
      </c>
      <c r="K28284" s="26">
        <v>2.9999999999999997E-4</v>
      </c>
      <c r="M28284">
        <v>501</v>
      </c>
    </row>
    <row r="28285" spans="1:13" x14ac:dyDescent="0.35">
      <c r="A28285" s="27" t="s">
        <v>231</v>
      </c>
      <c r="B28285" s="27" t="s">
        <v>368</v>
      </c>
      <c r="C28285" s="28">
        <v>0.76</v>
      </c>
      <c r="D28285" s="28">
        <v>0.2</v>
      </c>
      <c r="E28285" s="29"/>
      <c r="F28285" s="28">
        <v>0.04</v>
      </c>
      <c r="G28285" s="29"/>
      <c r="H28285" s="29"/>
      <c r="I28285" s="29"/>
      <c r="J28285" s="29"/>
      <c r="K28285" s="29"/>
      <c r="L28285" s="29"/>
      <c r="M28285" s="29" t="s">
        <v>312</v>
      </c>
    </row>
    <row r="28286" spans="1:13" x14ac:dyDescent="0.35">
      <c r="A28286" t="s">
        <v>231</v>
      </c>
      <c r="B28286" t="s">
        <v>369</v>
      </c>
      <c r="C28286" s="26">
        <v>0.94159999999999999</v>
      </c>
      <c r="E28286" s="26">
        <v>1.46E-2</v>
      </c>
      <c r="F28286" s="26">
        <v>7.3000000000000001E-3</v>
      </c>
      <c r="G28286" s="26">
        <v>2.1899999999999999E-2</v>
      </c>
      <c r="H28286" s="26">
        <v>7.3000000000000001E-3</v>
      </c>
      <c r="I28286" s="26">
        <v>7.3000000000000001E-3</v>
      </c>
      <c r="M28286">
        <v>137</v>
      </c>
    </row>
    <row r="28287" spans="1:13" x14ac:dyDescent="0.35">
      <c r="A28287" t="s">
        <v>232</v>
      </c>
      <c r="B28287" t="s">
        <v>232</v>
      </c>
      <c r="C28287" s="26">
        <v>0.92</v>
      </c>
      <c r="D28287" s="26">
        <v>3.5700000000000003E-2</v>
      </c>
      <c r="E28287" s="26">
        <v>1.6400000000000001E-2</v>
      </c>
      <c r="F28287" s="26">
        <v>8.9999999999999993E-3</v>
      </c>
      <c r="G28287" s="26">
        <v>8.0000000000000002E-3</v>
      </c>
      <c r="H28287" s="26">
        <v>6.1000000000000004E-3</v>
      </c>
      <c r="I28287" s="26">
        <v>4.0000000000000001E-3</v>
      </c>
      <c r="J28287" s="26">
        <v>2.2000000000000001E-3</v>
      </c>
      <c r="K28287" s="26">
        <v>4.0000000000000002E-4</v>
      </c>
      <c r="L28287" s="26">
        <v>4.0000000000000002E-4</v>
      </c>
      <c r="M28287">
        <v>2785</v>
      </c>
    </row>
    <row r="28289" spans="1:13" x14ac:dyDescent="0.35">
      <c r="A28289" s="1" t="s">
        <v>2541</v>
      </c>
    </row>
    <row r="28290" spans="1:13" x14ac:dyDescent="0.35">
      <c r="A28290" t="s">
        <v>219</v>
      </c>
      <c r="B28290" t="s">
        <v>305</v>
      </c>
      <c r="C28290" t="s">
        <v>302</v>
      </c>
      <c r="D28290" t="s">
        <v>2526</v>
      </c>
      <c r="E28290" t="s">
        <v>2527</v>
      </c>
      <c r="F28290" t="s">
        <v>281</v>
      </c>
      <c r="G28290" t="s">
        <v>2528</v>
      </c>
      <c r="H28290" t="s">
        <v>2529</v>
      </c>
      <c r="I28290" t="s">
        <v>2530</v>
      </c>
      <c r="J28290" t="s">
        <v>286</v>
      </c>
      <c r="K28290" t="s">
        <v>326</v>
      </c>
      <c r="L28290" t="s">
        <v>2531</v>
      </c>
      <c r="M28290" t="s">
        <v>226</v>
      </c>
    </row>
    <row r="28291" spans="1:13" x14ac:dyDescent="0.35">
      <c r="A28291" t="s">
        <v>227</v>
      </c>
      <c r="B28291" t="s">
        <v>371</v>
      </c>
      <c r="C28291" s="26">
        <v>0.94940000000000002</v>
      </c>
      <c r="D28291" s="26">
        <v>2.53E-2</v>
      </c>
      <c r="E28291" s="26">
        <v>6.3E-3</v>
      </c>
      <c r="F28291" s="26">
        <v>6.3E-3</v>
      </c>
      <c r="G28291" s="26">
        <v>6.3E-3</v>
      </c>
      <c r="H28291" s="26">
        <v>6.3E-3</v>
      </c>
      <c r="M28291">
        <v>158</v>
      </c>
    </row>
    <row r="28292" spans="1:13" x14ac:dyDescent="0.35">
      <c r="A28292" t="s">
        <v>228</v>
      </c>
      <c r="B28292" t="s">
        <v>371</v>
      </c>
      <c r="C28292" s="26">
        <v>0.87450000000000006</v>
      </c>
      <c r="D28292" s="26">
        <v>6.3299999999999995E-2</v>
      </c>
      <c r="E28292" s="26">
        <v>3.4599999999999999E-2</v>
      </c>
      <c r="F28292" s="26">
        <v>7.1000000000000004E-3</v>
      </c>
      <c r="G28292" s="26">
        <v>8.0000000000000004E-4</v>
      </c>
      <c r="H28292" s="26">
        <v>7.1000000000000004E-3</v>
      </c>
      <c r="I28292" s="26">
        <v>6.4000000000000003E-3</v>
      </c>
      <c r="J28292" s="26">
        <v>6.4000000000000003E-3</v>
      </c>
      <c r="M28292">
        <v>291</v>
      </c>
    </row>
    <row r="28293" spans="1:13" x14ac:dyDescent="0.35">
      <c r="A28293" t="s">
        <v>228</v>
      </c>
      <c r="B28293" t="s">
        <v>372</v>
      </c>
      <c r="C28293" s="26">
        <v>0.89829999999999999</v>
      </c>
      <c r="D28293" s="26">
        <v>2.6499999999999999E-2</v>
      </c>
      <c r="E28293" s="26">
        <v>1.9800000000000002E-2</v>
      </c>
      <c r="F28293" s="26">
        <v>2.24E-2</v>
      </c>
      <c r="G28293" s="26">
        <v>8.6999999999999994E-3</v>
      </c>
      <c r="H28293" s="26">
        <v>7.9000000000000008E-3</v>
      </c>
      <c r="I28293" s="26">
        <v>5.0000000000000001E-3</v>
      </c>
      <c r="J28293" s="26">
        <v>1.15E-2</v>
      </c>
      <c r="L28293" s="26">
        <v>7.9000000000000008E-3</v>
      </c>
      <c r="M28293">
        <v>213</v>
      </c>
    </row>
    <row r="28294" spans="1:13" x14ac:dyDescent="0.35">
      <c r="A28294" t="s">
        <v>228</v>
      </c>
      <c r="B28294" t="s">
        <v>373</v>
      </c>
      <c r="C28294" s="26">
        <v>0.89459999999999995</v>
      </c>
      <c r="D28294" s="26">
        <v>5.57E-2</v>
      </c>
      <c r="E28294" s="26">
        <v>2.4299999999999999E-2</v>
      </c>
      <c r="F28294" s="26">
        <v>8.8999999999999999E-3</v>
      </c>
      <c r="G28294" s="26">
        <v>3.5999999999999999E-3</v>
      </c>
      <c r="I28294" s="26">
        <v>1.0200000000000001E-2</v>
      </c>
      <c r="J28294" s="26">
        <v>3.5000000000000001E-3</v>
      </c>
      <c r="K28294" s="26">
        <v>5.1999999999999998E-3</v>
      </c>
      <c r="L28294" s="26">
        <v>5.9999999999999995E-4</v>
      </c>
      <c r="M28294">
        <v>517</v>
      </c>
    </row>
    <row r="28295" spans="1:13" x14ac:dyDescent="0.35">
      <c r="A28295" t="s">
        <v>229</v>
      </c>
      <c r="B28295" t="s">
        <v>371</v>
      </c>
      <c r="C28295" s="26">
        <v>0.93630000000000002</v>
      </c>
      <c r="D28295" s="26">
        <v>3.3700000000000001E-2</v>
      </c>
      <c r="E28295" s="26">
        <v>1.3899999999999999E-2</v>
      </c>
      <c r="F28295" s="26">
        <v>6.3E-3</v>
      </c>
      <c r="G28295" s="26">
        <v>2.8E-3</v>
      </c>
      <c r="H28295" s="26">
        <v>8.8000000000000005E-3</v>
      </c>
      <c r="J28295" s="26">
        <v>6.9999999999999999E-4</v>
      </c>
      <c r="L28295" s="26">
        <v>6.9999999999999999E-4</v>
      </c>
      <c r="M28295">
        <v>575</v>
      </c>
    </row>
    <row r="28296" spans="1:13" x14ac:dyDescent="0.35">
      <c r="A28296" t="s">
        <v>229</v>
      </c>
      <c r="B28296" t="s">
        <v>372</v>
      </c>
      <c r="C28296" s="26">
        <v>0.91159999999999997</v>
      </c>
      <c r="D28296" s="26">
        <v>2.1600000000000001E-2</v>
      </c>
      <c r="E28296" s="26">
        <v>2.1600000000000001E-2</v>
      </c>
      <c r="F28296" s="26">
        <v>1.04E-2</v>
      </c>
      <c r="G28296" s="26">
        <v>6.6E-3</v>
      </c>
      <c r="H28296" s="26">
        <v>6.6E-3</v>
      </c>
      <c r="I28296" s="26">
        <v>6.6E-3</v>
      </c>
      <c r="J28296" s="26">
        <v>1.5100000000000001E-2</v>
      </c>
      <c r="M28296">
        <v>221</v>
      </c>
    </row>
    <row r="28297" spans="1:13" x14ac:dyDescent="0.35">
      <c r="A28297" t="s">
        <v>229</v>
      </c>
      <c r="B28297" t="s">
        <v>373</v>
      </c>
      <c r="C28297" s="26">
        <v>0.95309999999999995</v>
      </c>
      <c r="D28297" s="26">
        <v>1.23E-2</v>
      </c>
      <c r="F28297" s="26">
        <v>2.2200000000000001E-2</v>
      </c>
      <c r="G28297" s="26">
        <v>1.23E-2</v>
      </c>
      <c r="M28297">
        <v>90</v>
      </c>
    </row>
    <row r="28298" spans="1:13" x14ac:dyDescent="0.35">
      <c r="A28298" t="s">
        <v>230</v>
      </c>
      <c r="B28298" t="s">
        <v>371</v>
      </c>
      <c r="C28298" s="26">
        <v>0.91379999999999995</v>
      </c>
      <c r="D28298" s="26">
        <v>3.09E-2</v>
      </c>
      <c r="E28298" s="26">
        <v>2.87E-2</v>
      </c>
      <c r="F28298" s="26">
        <v>0.01</v>
      </c>
      <c r="G28298" s="26">
        <v>6.6E-3</v>
      </c>
      <c r="H28298" s="26">
        <v>2.2000000000000001E-3</v>
      </c>
      <c r="I28298" s="26">
        <v>7.7000000000000002E-3</v>
      </c>
      <c r="J28298" s="26">
        <v>7.7000000000000002E-3</v>
      </c>
      <c r="M28298">
        <v>260</v>
      </c>
    </row>
    <row r="28299" spans="1:13" x14ac:dyDescent="0.35">
      <c r="A28299" t="s">
        <v>230</v>
      </c>
      <c r="B28299" t="s">
        <v>372</v>
      </c>
      <c r="C28299" s="26">
        <v>0.89229999999999998</v>
      </c>
      <c r="D28299" s="26">
        <v>7.9299999999999995E-2</v>
      </c>
      <c r="G28299" s="26">
        <v>9.4999999999999998E-3</v>
      </c>
      <c r="I28299" s="26">
        <v>9.4999999999999998E-3</v>
      </c>
      <c r="J28299" s="26">
        <v>4.7000000000000002E-3</v>
      </c>
      <c r="K28299" s="26">
        <v>4.7000000000000002E-3</v>
      </c>
      <c r="M28299">
        <v>146</v>
      </c>
    </row>
    <row r="28300" spans="1:13" x14ac:dyDescent="0.35">
      <c r="A28300" t="s">
        <v>230</v>
      </c>
      <c r="B28300" t="s">
        <v>373</v>
      </c>
      <c r="C28300" s="26">
        <v>0.96089999999999998</v>
      </c>
      <c r="D28300" s="26">
        <v>1.61E-2</v>
      </c>
      <c r="E28300" s="26">
        <v>9.1000000000000004E-3</v>
      </c>
      <c r="F28300" s="26">
        <v>7.0000000000000001E-3</v>
      </c>
      <c r="J28300" s="26">
        <v>7.0000000000000001E-3</v>
      </c>
      <c r="M28300">
        <v>152</v>
      </c>
    </row>
    <row r="28301" spans="1:13" x14ac:dyDescent="0.35">
      <c r="A28301" t="s">
        <v>231</v>
      </c>
      <c r="B28301" t="s">
        <v>371</v>
      </c>
      <c r="C28301" s="26">
        <v>0.91359999999999997</v>
      </c>
      <c r="D28301" s="26">
        <v>3.09E-2</v>
      </c>
      <c r="E28301" s="26">
        <v>1.23E-2</v>
      </c>
      <c r="F28301" s="26">
        <v>1.23E-2</v>
      </c>
      <c r="G28301" s="26">
        <v>1.8499999999999999E-2</v>
      </c>
      <c r="H28301" s="26">
        <v>6.1999999999999998E-3</v>
      </c>
      <c r="I28301" s="26">
        <v>6.1999999999999998E-3</v>
      </c>
      <c r="M28301">
        <v>162</v>
      </c>
    </row>
    <row r="28302" spans="1:13" x14ac:dyDescent="0.35">
      <c r="A28302" t="s">
        <v>232</v>
      </c>
      <c r="B28302" t="s">
        <v>232</v>
      </c>
      <c r="C28302" s="26">
        <v>0.92</v>
      </c>
      <c r="D28302" s="26">
        <v>3.5700000000000003E-2</v>
      </c>
      <c r="E28302" s="26">
        <v>1.6400000000000001E-2</v>
      </c>
      <c r="F28302" s="26">
        <v>8.9999999999999993E-3</v>
      </c>
      <c r="G28302" s="26">
        <v>8.0000000000000002E-3</v>
      </c>
      <c r="H28302" s="26">
        <v>6.1000000000000004E-3</v>
      </c>
      <c r="I28302" s="26">
        <v>4.0000000000000001E-3</v>
      </c>
      <c r="J28302" s="26">
        <v>2.2000000000000001E-3</v>
      </c>
      <c r="K28302" s="26">
        <v>4.0000000000000002E-4</v>
      </c>
      <c r="L28302" s="26">
        <v>4.0000000000000002E-4</v>
      </c>
      <c r="M28302">
        <v>2785</v>
      </c>
    </row>
    <row r="28304" spans="1:13" x14ac:dyDescent="0.35">
      <c r="A28304" s="1" t="s">
        <v>2542</v>
      </c>
    </row>
    <row r="28305" spans="1:13" x14ac:dyDescent="0.35">
      <c r="A28305" t="s">
        <v>219</v>
      </c>
      <c r="B28305" t="s">
        <v>305</v>
      </c>
      <c r="C28305" t="s">
        <v>302</v>
      </c>
      <c r="D28305" t="s">
        <v>2526</v>
      </c>
      <c r="E28305" t="s">
        <v>2527</v>
      </c>
      <c r="F28305" t="s">
        <v>281</v>
      </c>
      <c r="G28305" t="s">
        <v>2528</v>
      </c>
      <c r="H28305" t="s">
        <v>2529</v>
      </c>
      <c r="I28305" t="s">
        <v>2530</v>
      </c>
      <c r="J28305" t="s">
        <v>286</v>
      </c>
      <c r="K28305" t="s">
        <v>326</v>
      </c>
      <c r="L28305" t="s">
        <v>2531</v>
      </c>
      <c r="M28305" t="s">
        <v>226</v>
      </c>
    </row>
    <row r="28306" spans="1:13" x14ac:dyDescent="0.35">
      <c r="A28306" t="s">
        <v>227</v>
      </c>
      <c r="B28306" t="s">
        <v>255</v>
      </c>
      <c r="C28306" s="26">
        <v>0.94740000000000002</v>
      </c>
      <c r="D28306" s="26">
        <v>1.7500000000000002E-2</v>
      </c>
      <c r="E28306" s="26">
        <v>8.8000000000000005E-3</v>
      </c>
      <c r="F28306" s="26">
        <v>8.8000000000000005E-3</v>
      </c>
      <c r="G28306" s="26">
        <v>8.8000000000000005E-3</v>
      </c>
      <c r="H28306" s="26">
        <v>8.8000000000000005E-3</v>
      </c>
      <c r="M28306">
        <v>114</v>
      </c>
    </row>
    <row r="28307" spans="1:13" x14ac:dyDescent="0.35">
      <c r="A28307" s="27" t="s">
        <v>227</v>
      </c>
      <c r="B28307" s="27" t="s">
        <v>257</v>
      </c>
      <c r="C28307" s="28">
        <v>0.88890000000000002</v>
      </c>
      <c r="D28307" s="28">
        <v>0.1111</v>
      </c>
      <c r="E28307" s="29"/>
      <c r="F28307" s="29"/>
      <c r="G28307" s="29"/>
      <c r="H28307" s="29"/>
      <c r="I28307" s="29"/>
      <c r="J28307" s="29"/>
      <c r="K28307" s="29"/>
      <c r="L28307" s="29"/>
      <c r="M28307" s="29" t="s">
        <v>334</v>
      </c>
    </row>
    <row r="28308" spans="1:13" x14ac:dyDescent="0.35">
      <c r="A28308" t="s">
        <v>227</v>
      </c>
      <c r="B28308" t="s">
        <v>256</v>
      </c>
      <c r="C28308" s="26">
        <v>0.97140000000000004</v>
      </c>
      <c r="D28308" s="26">
        <v>2.86E-2</v>
      </c>
      <c r="M28308">
        <v>35</v>
      </c>
    </row>
    <row r="28309" spans="1:13" x14ac:dyDescent="0.35">
      <c r="A28309" t="s">
        <v>228</v>
      </c>
      <c r="B28309" t="s">
        <v>257</v>
      </c>
      <c r="C28309" s="26">
        <v>0.8226</v>
      </c>
      <c r="D28309" s="26">
        <v>6.8400000000000002E-2</v>
      </c>
      <c r="E28309" s="26">
        <v>9.3100000000000002E-2</v>
      </c>
      <c r="F28309" s="26">
        <v>7.9000000000000008E-3</v>
      </c>
      <c r="H28309" s="26">
        <v>7.9000000000000008E-3</v>
      </c>
      <c r="I28309" s="26">
        <v>2.24E-2</v>
      </c>
      <c r="M28309">
        <v>49</v>
      </c>
    </row>
    <row r="28310" spans="1:13" x14ac:dyDescent="0.35">
      <c r="A28310" s="27" t="s">
        <v>228</v>
      </c>
      <c r="B28310" s="27" t="s">
        <v>258</v>
      </c>
      <c r="C28310" s="28">
        <v>0.90190000000000003</v>
      </c>
      <c r="D28310" s="29"/>
      <c r="E28310" s="29"/>
      <c r="F28310" s="29"/>
      <c r="G28310" s="29"/>
      <c r="H28310" s="29"/>
      <c r="I28310" s="29"/>
      <c r="J28310" s="28">
        <v>9.8100000000000007E-2</v>
      </c>
      <c r="K28310" s="29"/>
      <c r="L28310" s="29"/>
      <c r="M28310" s="29" t="s">
        <v>337</v>
      </c>
    </row>
    <row r="28311" spans="1:13" x14ac:dyDescent="0.35">
      <c r="A28311" t="s">
        <v>228</v>
      </c>
      <c r="B28311" t="s">
        <v>256</v>
      </c>
      <c r="C28311" s="26">
        <v>0.85919999999999996</v>
      </c>
      <c r="D28311" s="26">
        <v>7.85E-2</v>
      </c>
      <c r="E28311" s="26">
        <v>1.5900000000000001E-2</v>
      </c>
      <c r="F28311" s="26">
        <v>4.7999999999999996E-3</v>
      </c>
      <c r="H28311" s="26">
        <v>1.38E-2</v>
      </c>
      <c r="I28311" s="26">
        <v>2.6100000000000002E-2</v>
      </c>
      <c r="K28311" s="26">
        <v>3.5000000000000001E-3</v>
      </c>
      <c r="L28311" s="26">
        <v>1E-3</v>
      </c>
      <c r="M28311">
        <v>219</v>
      </c>
    </row>
    <row r="28312" spans="1:13" x14ac:dyDescent="0.35">
      <c r="A28312" t="s">
        <v>228</v>
      </c>
      <c r="B28312" t="s">
        <v>255</v>
      </c>
      <c r="C28312" s="26">
        <v>0.89749999999999996</v>
      </c>
      <c r="D28312" s="26">
        <v>4.9500000000000002E-2</v>
      </c>
      <c r="E28312" s="26">
        <v>2.9399999999999999E-2</v>
      </c>
      <c r="F28312" s="26">
        <v>1.0699999999999999E-2</v>
      </c>
      <c r="G28312" s="26">
        <v>3.7000000000000002E-3</v>
      </c>
      <c r="H28312" s="26">
        <v>8.9999999999999998E-4</v>
      </c>
      <c r="I28312" s="26">
        <v>2.9999999999999997E-4</v>
      </c>
      <c r="J28312" s="26">
        <v>7.3000000000000001E-3</v>
      </c>
      <c r="K28312" s="26">
        <v>1.6999999999999999E-3</v>
      </c>
      <c r="L28312" s="26">
        <v>8.9999999999999998E-4</v>
      </c>
      <c r="M28312">
        <v>749</v>
      </c>
    </row>
    <row r="28313" spans="1:13" x14ac:dyDescent="0.35">
      <c r="A28313" t="s">
        <v>229</v>
      </c>
      <c r="B28313" t="s">
        <v>256</v>
      </c>
      <c r="C28313" s="26">
        <v>0.92549999999999999</v>
      </c>
      <c r="D28313" s="26">
        <v>3.4000000000000002E-2</v>
      </c>
      <c r="E28313" s="26">
        <v>2.8000000000000001E-2</v>
      </c>
      <c r="F28313" s="26">
        <v>1.1299999999999999E-2</v>
      </c>
      <c r="G28313" s="26">
        <v>1.1999999999999999E-3</v>
      </c>
      <c r="M28313">
        <v>207</v>
      </c>
    </row>
    <row r="28314" spans="1:13" x14ac:dyDescent="0.35">
      <c r="A28314" t="s">
        <v>229</v>
      </c>
      <c r="B28314" t="s">
        <v>255</v>
      </c>
      <c r="C28314" s="26">
        <v>0.93989999999999996</v>
      </c>
      <c r="D28314" s="26">
        <v>3.0599999999999999E-2</v>
      </c>
      <c r="E28314" s="26">
        <v>8.6999999999999994E-3</v>
      </c>
      <c r="F28314" s="26">
        <v>5.1999999999999998E-3</v>
      </c>
      <c r="G28314" s="26">
        <v>4.3E-3</v>
      </c>
      <c r="H28314" s="26">
        <v>1.26E-2</v>
      </c>
      <c r="J28314" s="26">
        <v>2.0999999999999999E-3</v>
      </c>
      <c r="L28314" s="26">
        <v>1E-3</v>
      </c>
      <c r="M28314">
        <v>628</v>
      </c>
    </row>
    <row r="28315" spans="1:13" x14ac:dyDescent="0.35">
      <c r="A28315" t="s">
        <v>229</v>
      </c>
      <c r="B28315" t="s">
        <v>257</v>
      </c>
      <c r="C28315" s="26">
        <v>0.93169999999999997</v>
      </c>
      <c r="D28315" s="26">
        <v>4.9000000000000002E-2</v>
      </c>
      <c r="E28315" s="26">
        <v>6.4000000000000003E-3</v>
      </c>
      <c r="F28315" s="26">
        <v>6.4000000000000003E-3</v>
      </c>
      <c r="I28315" s="26">
        <v>6.4000000000000003E-3</v>
      </c>
      <c r="M28315">
        <v>49</v>
      </c>
    </row>
    <row r="28316" spans="1:13" x14ac:dyDescent="0.35">
      <c r="A28316" s="27" t="s">
        <v>229</v>
      </c>
      <c r="B28316" s="27" t="s">
        <v>258</v>
      </c>
      <c r="C28316" s="28">
        <v>1</v>
      </c>
      <c r="D28316" s="29"/>
      <c r="E28316" s="29"/>
      <c r="F28316" s="29"/>
      <c r="G28316" s="29"/>
      <c r="H28316" s="29"/>
      <c r="I28316" s="29"/>
      <c r="J28316" s="29"/>
      <c r="K28316" s="29"/>
      <c r="L28316" s="29"/>
      <c r="M28316" s="29" t="s">
        <v>314</v>
      </c>
    </row>
    <row r="28317" spans="1:13" x14ac:dyDescent="0.35">
      <c r="A28317" t="s">
        <v>230</v>
      </c>
      <c r="B28317" t="s">
        <v>256</v>
      </c>
      <c r="C28317" s="26">
        <v>0.88370000000000004</v>
      </c>
      <c r="D28317" s="26">
        <v>5.6599999999999998E-2</v>
      </c>
      <c r="E28317" s="26">
        <v>2.53E-2</v>
      </c>
      <c r="F28317" s="26">
        <v>2.7799999999999998E-2</v>
      </c>
      <c r="G28317" s="26">
        <v>1.1000000000000001E-3</v>
      </c>
      <c r="H28317" s="26">
        <v>3.5000000000000001E-3</v>
      </c>
      <c r="I28317" s="26">
        <v>2.29E-2</v>
      </c>
      <c r="M28317">
        <v>129</v>
      </c>
    </row>
    <row r="28318" spans="1:13" x14ac:dyDescent="0.35">
      <c r="A28318" t="s">
        <v>230</v>
      </c>
      <c r="B28318" t="s">
        <v>255</v>
      </c>
      <c r="C28318" s="26">
        <v>0.93220000000000003</v>
      </c>
      <c r="D28318" s="26">
        <v>2.5899999999999999E-2</v>
      </c>
      <c r="E28318" s="26">
        <v>1.7600000000000001E-2</v>
      </c>
      <c r="F28318" s="26">
        <v>2.7000000000000001E-3</v>
      </c>
      <c r="G28318" s="26">
        <v>8.5000000000000006E-3</v>
      </c>
      <c r="H28318" s="26">
        <v>1.4E-3</v>
      </c>
      <c r="J28318" s="26">
        <v>1.1299999999999999E-2</v>
      </c>
      <c r="K28318" s="26">
        <v>4.0000000000000002E-4</v>
      </c>
      <c r="M28318">
        <v>388</v>
      </c>
    </row>
    <row r="28319" spans="1:13" x14ac:dyDescent="0.35">
      <c r="A28319" t="s">
        <v>230</v>
      </c>
      <c r="B28319" t="s">
        <v>257</v>
      </c>
      <c r="C28319" s="26">
        <v>0.91100000000000003</v>
      </c>
      <c r="E28319" s="26">
        <v>8.8999999999999996E-2</v>
      </c>
      <c r="I28319" s="26">
        <v>1.2800000000000001E-2</v>
      </c>
      <c r="M28319">
        <v>38</v>
      </c>
    </row>
    <row r="28320" spans="1:13" x14ac:dyDescent="0.35">
      <c r="A28320" s="27" t="s">
        <v>230</v>
      </c>
      <c r="B28320" s="27" t="s">
        <v>258</v>
      </c>
      <c r="C28320" s="28">
        <v>1</v>
      </c>
      <c r="D28320" s="29"/>
      <c r="E28320" s="29"/>
      <c r="F28320" s="29"/>
      <c r="G28320" s="29"/>
      <c r="H28320" s="29"/>
      <c r="I28320" s="29"/>
      <c r="J28320" s="29"/>
      <c r="K28320" s="29"/>
      <c r="L28320" s="29"/>
      <c r="M28320" s="29" t="s">
        <v>315</v>
      </c>
    </row>
    <row r="28321" spans="1:13" x14ac:dyDescent="0.35">
      <c r="A28321" s="27" t="s">
        <v>231</v>
      </c>
      <c r="B28321" s="27" t="s">
        <v>257</v>
      </c>
      <c r="C28321" s="28">
        <v>1</v>
      </c>
      <c r="D28321" s="29"/>
      <c r="E28321" s="29"/>
      <c r="F28321" s="29"/>
      <c r="G28321" s="29"/>
      <c r="H28321" s="29"/>
      <c r="I28321" s="29"/>
      <c r="J28321" s="29"/>
      <c r="K28321" s="29"/>
      <c r="L28321" s="29"/>
      <c r="M28321" s="29" t="s">
        <v>339</v>
      </c>
    </row>
    <row r="28322" spans="1:13" x14ac:dyDescent="0.35">
      <c r="A28322" t="s">
        <v>231</v>
      </c>
      <c r="B28322" t="s">
        <v>255</v>
      </c>
      <c r="C28322" s="26">
        <v>0.91339999999999999</v>
      </c>
      <c r="D28322" s="26">
        <v>3.15E-2</v>
      </c>
      <c r="F28322" s="26">
        <v>1.5699999999999999E-2</v>
      </c>
      <c r="G28322" s="26">
        <v>2.3599999999999999E-2</v>
      </c>
      <c r="H28322" s="26">
        <v>7.9000000000000008E-3</v>
      </c>
      <c r="I28322" s="26">
        <v>7.9000000000000008E-3</v>
      </c>
      <c r="M28322">
        <v>127</v>
      </c>
    </row>
    <row r="28323" spans="1:13" x14ac:dyDescent="0.35">
      <c r="A28323" s="27" t="s">
        <v>231</v>
      </c>
      <c r="B28323" s="27" t="s">
        <v>256</v>
      </c>
      <c r="C28323" s="28">
        <v>0.89290000000000003</v>
      </c>
      <c r="D28323" s="28">
        <v>3.5700000000000003E-2</v>
      </c>
      <c r="E28323" s="28">
        <v>7.1400000000000005E-2</v>
      </c>
      <c r="F28323" s="29"/>
      <c r="G28323" s="29"/>
      <c r="H28323" s="29"/>
      <c r="I28323" s="29"/>
      <c r="J28323" s="29"/>
      <c r="K28323" s="29"/>
      <c r="L28323" s="29"/>
      <c r="M28323" s="29" t="s">
        <v>336</v>
      </c>
    </row>
    <row r="28324" spans="1:13" x14ac:dyDescent="0.35">
      <c r="A28324" t="s">
        <v>232</v>
      </c>
      <c r="B28324" t="s">
        <v>232</v>
      </c>
      <c r="C28324" s="26">
        <v>0.92</v>
      </c>
      <c r="D28324" s="26">
        <v>3.5700000000000003E-2</v>
      </c>
      <c r="E28324" s="26">
        <v>1.6400000000000001E-2</v>
      </c>
      <c r="F28324" s="26">
        <v>8.9999999999999993E-3</v>
      </c>
      <c r="G28324" s="26">
        <v>8.0000000000000002E-3</v>
      </c>
      <c r="H28324" s="26">
        <v>6.1000000000000004E-3</v>
      </c>
      <c r="I28324" s="26">
        <v>4.0000000000000001E-3</v>
      </c>
      <c r="J28324" s="26">
        <v>2.2000000000000001E-3</v>
      </c>
      <c r="K28324" s="26">
        <v>4.0000000000000002E-4</v>
      </c>
      <c r="L28324" s="26">
        <v>4.0000000000000002E-4</v>
      </c>
      <c r="M28324">
        <v>2785</v>
      </c>
    </row>
    <row r="28326" spans="1:13" x14ac:dyDescent="0.35">
      <c r="A28326" s="1" t="s">
        <v>2543</v>
      </c>
    </row>
    <row r="28327" spans="1:13" x14ac:dyDescent="0.35">
      <c r="A28327" t="s">
        <v>219</v>
      </c>
      <c r="B28327" t="s">
        <v>305</v>
      </c>
      <c r="C28327" t="s">
        <v>302</v>
      </c>
      <c r="D28327" t="s">
        <v>2526</v>
      </c>
      <c r="E28327" t="s">
        <v>2527</v>
      </c>
      <c r="F28327" t="s">
        <v>281</v>
      </c>
      <c r="G28327" t="s">
        <v>2528</v>
      </c>
      <c r="H28327" t="s">
        <v>2529</v>
      </c>
      <c r="I28327" t="s">
        <v>2530</v>
      </c>
      <c r="J28327" t="s">
        <v>286</v>
      </c>
      <c r="K28327" t="s">
        <v>326</v>
      </c>
      <c r="L28327" t="s">
        <v>2531</v>
      </c>
      <c r="M28327" t="s">
        <v>226</v>
      </c>
    </row>
    <row r="28328" spans="1:13" x14ac:dyDescent="0.35">
      <c r="A28328" t="s">
        <v>227</v>
      </c>
      <c r="B28328" t="s">
        <v>1341</v>
      </c>
      <c r="C28328" s="26">
        <v>0.93620000000000003</v>
      </c>
      <c r="F28328" s="26">
        <v>2.1299999999999999E-2</v>
      </c>
      <c r="G28328" s="26">
        <v>2.1299999999999999E-2</v>
      </c>
      <c r="H28328" s="26">
        <v>2.1299999999999999E-2</v>
      </c>
      <c r="M28328">
        <v>47</v>
      </c>
    </row>
    <row r="28329" spans="1:13" x14ac:dyDescent="0.35">
      <c r="A28329" s="27" t="s">
        <v>227</v>
      </c>
      <c r="B28329" s="27" t="s">
        <v>1342</v>
      </c>
      <c r="C28329" s="28">
        <v>1</v>
      </c>
      <c r="D28329" s="29"/>
      <c r="E28329" s="29"/>
      <c r="F28329" s="29"/>
      <c r="G28329" s="29"/>
      <c r="H28329" s="29"/>
      <c r="I28329" s="29"/>
      <c r="J28329" s="29"/>
      <c r="K28329" s="29"/>
      <c r="L28329" s="29"/>
      <c r="M28329" s="29" t="s">
        <v>331</v>
      </c>
    </row>
    <row r="28330" spans="1:13" x14ac:dyDescent="0.35">
      <c r="A28330" t="s">
        <v>227</v>
      </c>
      <c r="B28330" t="s">
        <v>1343</v>
      </c>
      <c r="C28330" s="26">
        <v>0.95450000000000002</v>
      </c>
      <c r="D28330" s="26">
        <v>3.6400000000000002E-2</v>
      </c>
      <c r="E28330" s="26">
        <v>9.1000000000000004E-3</v>
      </c>
      <c r="M28330">
        <v>110</v>
      </c>
    </row>
    <row r="28331" spans="1:13" x14ac:dyDescent="0.35">
      <c r="A28331" t="s">
        <v>228</v>
      </c>
      <c r="B28331" t="s">
        <v>1341</v>
      </c>
      <c r="C28331" s="26">
        <v>0.8901</v>
      </c>
      <c r="D28331" s="26">
        <v>5.3199999999999997E-2</v>
      </c>
      <c r="E28331" s="26">
        <v>6.3E-3</v>
      </c>
      <c r="F28331" s="26">
        <v>2.0799999999999999E-2</v>
      </c>
      <c r="G28331" s="26">
        <v>8.0000000000000004E-4</v>
      </c>
      <c r="H28331" s="26">
        <v>1.1999999999999999E-3</v>
      </c>
      <c r="I28331" s="26">
        <v>5.8999999999999999E-3</v>
      </c>
      <c r="J28331" s="26">
        <v>1.61E-2</v>
      </c>
      <c r="K28331" s="26">
        <v>4.0000000000000001E-3</v>
      </c>
      <c r="L28331" s="26">
        <v>1.4E-3</v>
      </c>
      <c r="M28331">
        <v>299</v>
      </c>
    </row>
    <row r="28332" spans="1:13" x14ac:dyDescent="0.35">
      <c r="A28332" s="27" t="s">
        <v>228</v>
      </c>
      <c r="B28332" s="27" t="s">
        <v>1342</v>
      </c>
      <c r="C28332" s="28">
        <v>1</v>
      </c>
      <c r="D28332" s="29"/>
      <c r="E28332" s="29"/>
      <c r="F28332" s="29"/>
      <c r="G28332" s="29"/>
      <c r="H28332" s="29"/>
      <c r="I28332" s="29"/>
      <c r="J28332" s="29"/>
      <c r="K28332" s="29"/>
      <c r="L28332" s="29"/>
      <c r="M28332" s="29" t="s">
        <v>331</v>
      </c>
    </row>
    <row r="28333" spans="1:13" x14ac:dyDescent="0.35">
      <c r="A28333" t="s">
        <v>228</v>
      </c>
      <c r="B28333" t="s">
        <v>1343</v>
      </c>
      <c r="C28333" s="26">
        <v>0.88139999999999996</v>
      </c>
      <c r="D28333" s="26">
        <v>5.9200000000000003E-2</v>
      </c>
      <c r="E28333" s="26">
        <v>3.9E-2</v>
      </c>
      <c r="F28333" s="26">
        <v>4.3E-3</v>
      </c>
      <c r="G28333" s="26">
        <v>3.3E-3</v>
      </c>
      <c r="H28333" s="26">
        <v>5.7000000000000002E-3</v>
      </c>
      <c r="I28333" s="26">
        <v>8.5000000000000006E-3</v>
      </c>
      <c r="J28333" s="26">
        <v>1.4E-3</v>
      </c>
      <c r="K28333" s="26">
        <v>1.1999999999999999E-3</v>
      </c>
      <c r="L28333" s="26">
        <v>6.9999999999999999E-4</v>
      </c>
      <c r="M28333">
        <v>721</v>
      </c>
    </row>
    <row r="28334" spans="1:13" x14ac:dyDescent="0.35">
      <c r="A28334" t="s">
        <v>229</v>
      </c>
      <c r="B28334" t="s">
        <v>1341</v>
      </c>
      <c r="C28334" s="26">
        <v>0.92279999999999995</v>
      </c>
      <c r="D28334" s="26">
        <v>1.7000000000000001E-2</v>
      </c>
      <c r="E28334" s="26">
        <v>2.8799999999999999E-2</v>
      </c>
      <c r="F28334" s="26">
        <v>1.3899999999999999E-2</v>
      </c>
      <c r="G28334" s="26">
        <v>1E-3</v>
      </c>
      <c r="H28334" s="26">
        <v>1.6500000000000001E-2</v>
      </c>
      <c r="M28334">
        <v>270</v>
      </c>
    </row>
    <row r="28335" spans="1:13" x14ac:dyDescent="0.35">
      <c r="A28335" t="s">
        <v>229</v>
      </c>
      <c r="B28335" t="s">
        <v>1343</v>
      </c>
      <c r="C28335" s="26">
        <v>0.94169999999999998</v>
      </c>
      <c r="D28335" s="26">
        <v>4.0099999999999997E-2</v>
      </c>
      <c r="E28335" s="26">
        <v>6.7000000000000002E-3</v>
      </c>
      <c r="F28335" s="26">
        <v>3.5000000000000001E-3</v>
      </c>
      <c r="G28335" s="26">
        <v>4.3E-3</v>
      </c>
      <c r="H28335" s="26">
        <v>4.4999999999999997E-3</v>
      </c>
      <c r="I28335" s="26">
        <v>5.0000000000000001E-4</v>
      </c>
      <c r="J28335" s="26">
        <v>2.0999999999999999E-3</v>
      </c>
      <c r="L28335" s="26">
        <v>1E-3</v>
      </c>
      <c r="M28335">
        <v>616</v>
      </c>
    </row>
    <row r="28336" spans="1:13" x14ac:dyDescent="0.35">
      <c r="A28336" t="s">
        <v>230</v>
      </c>
      <c r="B28336" t="s">
        <v>1341</v>
      </c>
      <c r="C28336" s="26">
        <v>0.91779999999999995</v>
      </c>
      <c r="D28336" s="26">
        <v>5.8900000000000001E-2</v>
      </c>
      <c r="E28336" s="26">
        <v>2.0400000000000001E-2</v>
      </c>
      <c r="F28336" s="26">
        <v>3.0000000000000001E-3</v>
      </c>
      <c r="I28336" s="26">
        <v>1.7500000000000002E-2</v>
      </c>
      <c r="M28336">
        <v>156</v>
      </c>
    </row>
    <row r="28337" spans="1:13" x14ac:dyDescent="0.35">
      <c r="A28337" t="s">
        <v>230</v>
      </c>
      <c r="B28337" t="s">
        <v>1343</v>
      </c>
      <c r="C28337" s="26">
        <v>0.91890000000000005</v>
      </c>
      <c r="D28337" s="26">
        <v>1.9800000000000002E-2</v>
      </c>
      <c r="E28337" s="26">
        <v>2.64E-2</v>
      </c>
      <c r="F28337" s="26">
        <v>1.17E-2</v>
      </c>
      <c r="G28337" s="26">
        <v>8.6E-3</v>
      </c>
      <c r="H28337" s="26">
        <v>2.5999999999999999E-3</v>
      </c>
      <c r="I28337" s="26">
        <v>2.0999999999999999E-3</v>
      </c>
      <c r="J28337" s="26">
        <v>1.0800000000000001E-2</v>
      </c>
      <c r="K28337" s="26">
        <v>4.0000000000000002E-4</v>
      </c>
      <c r="M28337">
        <v>402</v>
      </c>
    </row>
    <row r="28338" spans="1:13" x14ac:dyDescent="0.35">
      <c r="A28338" t="s">
        <v>231</v>
      </c>
      <c r="B28338" t="s">
        <v>1341</v>
      </c>
      <c r="C28338" s="26">
        <v>0.92190000000000005</v>
      </c>
      <c r="D28338" s="26">
        <v>1.5599999999999999E-2</v>
      </c>
      <c r="E28338" s="26">
        <v>1.5599999999999999E-2</v>
      </c>
      <c r="G28338" s="26">
        <v>4.6899999999999997E-2</v>
      </c>
      <c r="M28338">
        <v>64</v>
      </c>
    </row>
    <row r="28339" spans="1:13" x14ac:dyDescent="0.35">
      <c r="A28339" t="s">
        <v>231</v>
      </c>
      <c r="B28339" t="s">
        <v>1343</v>
      </c>
      <c r="C28339" s="26">
        <v>0.90820000000000001</v>
      </c>
      <c r="D28339" s="26">
        <v>4.0800000000000003E-2</v>
      </c>
      <c r="E28339" s="26">
        <v>1.0200000000000001E-2</v>
      </c>
      <c r="F28339" s="26">
        <v>2.0400000000000001E-2</v>
      </c>
      <c r="H28339" s="26">
        <v>1.0200000000000001E-2</v>
      </c>
      <c r="I28339" s="26">
        <v>1.0200000000000001E-2</v>
      </c>
      <c r="M28339">
        <v>98</v>
      </c>
    </row>
    <row r="28340" spans="1:13" x14ac:dyDescent="0.35">
      <c r="A28340" t="s">
        <v>232</v>
      </c>
      <c r="B28340" t="s">
        <v>232</v>
      </c>
      <c r="C28340" s="26">
        <v>0.92</v>
      </c>
      <c r="D28340" s="26">
        <v>3.5700000000000003E-2</v>
      </c>
      <c r="E28340" s="26">
        <v>1.6400000000000001E-2</v>
      </c>
      <c r="F28340" s="26">
        <v>8.9999999999999993E-3</v>
      </c>
      <c r="G28340" s="26">
        <v>8.0000000000000002E-3</v>
      </c>
      <c r="H28340" s="26">
        <v>6.1000000000000004E-3</v>
      </c>
      <c r="I28340" s="26">
        <v>4.0000000000000001E-3</v>
      </c>
      <c r="J28340" s="26">
        <v>2.2000000000000001E-3</v>
      </c>
      <c r="K28340" s="26">
        <v>4.0000000000000002E-4</v>
      </c>
      <c r="L28340" s="26">
        <v>4.0000000000000002E-4</v>
      </c>
      <c r="M28340">
        <v>2785</v>
      </c>
    </row>
    <row r="28342" spans="1:13" x14ac:dyDescent="0.35">
      <c r="A28342" s="1" t="s">
        <v>2544</v>
      </c>
    </row>
    <row r="28343" spans="1:13" x14ac:dyDescent="0.35">
      <c r="A28343" t="s">
        <v>219</v>
      </c>
      <c r="B28343" t="s">
        <v>305</v>
      </c>
      <c r="C28343" t="s">
        <v>302</v>
      </c>
      <c r="D28343" t="s">
        <v>2526</v>
      </c>
      <c r="E28343" t="s">
        <v>2527</v>
      </c>
      <c r="F28343" t="s">
        <v>281</v>
      </c>
      <c r="G28343" t="s">
        <v>2528</v>
      </c>
      <c r="H28343" t="s">
        <v>2529</v>
      </c>
      <c r="I28343" t="s">
        <v>2530</v>
      </c>
      <c r="J28343" t="s">
        <v>286</v>
      </c>
      <c r="K28343" t="s">
        <v>326</v>
      </c>
      <c r="L28343" t="s">
        <v>2531</v>
      </c>
      <c r="M28343" t="s">
        <v>226</v>
      </c>
    </row>
    <row r="28344" spans="1:13" x14ac:dyDescent="0.35">
      <c r="A28344" s="27" t="s">
        <v>227</v>
      </c>
      <c r="B28344" s="27" t="s">
        <v>1345</v>
      </c>
      <c r="C28344" s="28">
        <v>1</v>
      </c>
      <c r="D28344" s="29"/>
      <c r="E28344" s="29"/>
      <c r="F28344" s="29"/>
      <c r="G28344" s="29"/>
      <c r="H28344" s="29"/>
      <c r="I28344" s="29"/>
      <c r="J28344" s="29"/>
      <c r="K28344" s="29"/>
      <c r="L28344" s="29"/>
      <c r="M28344" s="29" t="s">
        <v>314</v>
      </c>
    </row>
    <row r="28345" spans="1:13" x14ac:dyDescent="0.35">
      <c r="A28345" t="s">
        <v>227</v>
      </c>
      <c r="B28345" t="s">
        <v>1346</v>
      </c>
      <c r="C28345" s="26">
        <v>0.97370000000000001</v>
      </c>
      <c r="F28345" s="26">
        <v>2.63E-2</v>
      </c>
      <c r="M28345">
        <v>38</v>
      </c>
    </row>
    <row r="28346" spans="1:13" x14ac:dyDescent="0.35">
      <c r="A28346" t="s">
        <v>227</v>
      </c>
      <c r="B28346" t="s">
        <v>1347</v>
      </c>
      <c r="C28346" s="26">
        <v>0.97219999999999995</v>
      </c>
      <c r="D28346" s="26">
        <v>2.7799999999999998E-2</v>
      </c>
      <c r="M28346">
        <v>36</v>
      </c>
    </row>
    <row r="28347" spans="1:13" x14ac:dyDescent="0.35">
      <c r="A28347" t="s">
        <v>227</v>
      </c>
      <c r="B28347" t="s">
        <v>1348</v>
      </c>
      <c r="C28347" s="26">
        <v>0.92679999999999996</v>
      </c>
      <c r="D28347" s="26">
        <v>3.6600000000000001E-2</v>
      </c>
      <c r="E28347" s="26">
        <v>1.2200000000000001E-2</v>
      </c>
      <c r="G28347" s="26">
        <v>1.2200000000000001E-2</v>
      </c>
      <c r="H28347" s="26">
        <v>1.2200000000000001E-2</v>
      </c>
      <c r="M28347">
        <v>82</v>
      </c>
    </row>
    <row r="28348" spans="1:13" x14ac:dyDescent="0.35">
      <c r="A28348" t="s">
        <v>228</v>
      </c>
      <c r="B28348" t="s">
        <v>1348</v>
      </c>
      <c r="C28348" s="26">
        <v>0.87260000000000004</v>
      </c>
      <c r="D28348" s="26">
        <v>5.5199999999999999E-2</v>
      </c>
      <c r="E28348" s="26">
        <v>2.9499999999999998E-2</v>
      </c>
      <c r="F28348" s="26">
        <v>1.17E-2</v>
      </c>
      <c r="G28348" s="26">
        <v>2.2000000000000001E-3</v>
      </c>
      <c r="H28348" s="26">
        <v>7.0000000000000001E-3</v>
      </c>
      <c r="I28348" s="26">
        <v>1.38E-2</v>
      </c>
      <c r="J28348" s="26">
        <v>8.0999999999999996E-3</v>
      </c>
      <c r="K28348" s="26">
        <v>3.8E-3</v>
      </c>
      <c r="L28348" s="26">
        <v>8.9999999999999998E-4</v>
      </c>
      <c r="M28348">
        <v>527</v>
      </c>
    </row>
    <row r="28349" spans="1:13" x14ac:dyDescent="0.35">
      <c r="A28349" t="s">
        <v>228</v>
      </c>
      <c r="B28349" t="s">
        <v>1347</v>
      </c>
      <c r="C28349" s="26">
        <v>0.88109999999999999</v>
      </c>
      <c r="D28349" s="26">
        <v>9.6600000000000005E-2</v>
      </c>
      <c r="E28349" s="26">
        <v>1.2800000000000001E-2</v>
      </c>
      <c r="F28349" s="26">
        <v>2.2000000000000001E-3</v>
      </c>
      <c r="H28349" s="26">
        <v>2.2000000000000001E-3</v>
      </c>
      <c r="I28349" s="26">
        <v>2.2000000000000001E-3</v>
      </c>
      <c r="J28349" s="26">
        <v>2.8999999999999998E-3</v>
      </c>
      <c r="L28349" s="26">
        <v>2.2000000000000001E-3</v>
      </c>
      <c r="M28349">
        <v>200</v>
      </c>
    </row>
    <row r="28350" spans="1:13" x14ac:dyDescent="0.35">
      <c r="A28350" t="s">
        <v>228</v>
      </c>
      <c r="B28350" t="s">
        <v>1346</v>
      </c>
      <c r="C28350" s="26">
        <v>0.91410000000000002</v>
      </c>
      <c r="D28350" s="26">
        <v>2.46E-2</v>
      </c>
      <c r="E28350" s="26">
        <v>4.36E-2</v>
      </c>
      <c r="F28350" s="26">
        <v>9.2999999999999992E-3</v>
      </c>
      <c r="G28350" s="26">
        <v>5.4000000000000003E-3</v>
      </c>
      <c r="H28350" s="26">
        <v>8.9999999999999998E-4</v>
      </c>
      <c r="J28350" s="26">
        <v>3.0999999999999999E-3</v>
      </c>
      <c r="M28350">
        <v>283</v>
      </c>
    </row>
    <row r="28351" spans="1:13" x14ac:dyDescent="0.35">
      <c r="A28351" s="27" t="s">
        <v>228</v>
      </c>
      <c r="B28351" s="27" t="s">
        <v>1345</v>
      </c>
      <c r="C28351" s="28">
        <v>0.84499999999999997</v>
      </c>
      <c r="D28351" s="28">
        <v>0.155</v>
      </c>
      <c r="E28351" s="29"/>
      <c r="F28351" s="29"/>
      <c r="G28351" s="29"/>
      <c r="H28351" s="29"/>
      <c r="I28351" s="29"/>
      <c r="J28351" s="29"/>
      <c r="K28351" s="29"/>
      <c r="L28351" s="29"/>
      <c r="M28351" s="29" t="s">
        <v>352</v>
      </c>
    </row>
    <row r="28352" spans="1:13" x14ac:dyDescent="0.35">
      <c r="A28352" s="27" t="s">
        <v>229</v>
      </c>
      <c r="B28352" s="27" t="s">
        <v>1345</v>
      </c>
      <c r="C28352" s="28">
        <v>0.9042</v>
      </c>
      <c r="D28352" s="29"/>
      <c r="E28352" s="28">
        <v>8.8999999999999996E-2</v>
      </c>
      <c r="F28352" s="28">
        <v>6.7999999999999996E-3</v>
      </c>
      <c r="G28352" s="29"/>
      <c r="H28352" s="29"/>
      <c r="I28352" s="29"/>
      <c r="J28352" s="29"/>
      <c r="K28352" s="29"/>
      <c r="L28352" s="29"/>
      <c r="M28352" s="29" t="s">
        <v>357</v>
      </c>
    </row>
    <row r="28353" spans="1:14" x14ac:dyDescent="0.35">
      <c r="A28353" t="s">
        <v>229</v>
      </c>
      <c r="B28353" t="s">
        <v>1346</v>
      </c>
      <c r="C28353" s="26">
        <v>0.91639999999999999</v>
      </c>
      <c r="D28353" s="26">
        <v>3.9E-2</v>
      </c>
      <c r="E28353" s="26">
        <v>1.46E-2</v>
      </c>
      <c r="F28353" s="26">
        <v>8.0000000000000004E-4</v>
      </c>
      <c r="G28353" s="26">
        <v>1.2200000000000001E-2</v>
      </c>
      <c r="H28353" s="26">
        <v>2.6800000000000001E-2</v>
      </c>
      <c r="J28353" s="26">
        <v>4.7999999999999996E-3</v>
      </c>
      <c r="M28353">
        <v>183</v>
      </c>
    </row>
    <row r="28354" spans="1:14" x14ac:dyDescent="0.35">
      <c r="A28354" t="s">
        <v>229</v>
      </c>
      <c r="B28354" t="s">
        <v>1347</v>
      </c>
      <c r="C28354" s="26">
        <v>0.93489999999999995</v>
      </c>
      <c r="D28354" s="26">
        <v>4.9700000000000001E-2</v>
      </c>
      <c r="E28354" s="26">
        <v>5.4999999999999997E-3</v>
      </c>
      <c r="F28354" s="26">
        <v>6.1000000000000004E-3</v>
      </c>
      <c r="G28354" s="26">
        <v>2.3E-3</v>
      </c>
      <c r="H28354" s="26">
        <v>1.1000000000000001E-3</v>
      </c>
      <c r="J28354" s="26">
        <v>2.9999999999999997E-4</v>
      </c>
      <c r="M28354">
        <v>298</v>
      </c>
    </row>
    <row r="28355" spans="1:14" x14ac:dyDescent="0.35">
      <c r="A28355" t="s">
        <v>229</v>
      </c>
      <c r="B28355" t="s">
        <v>1348</v>
      </c>
      <c r="C28355" s="26">
        <v>0.94620000000000004</v>
      </c>
      <c r="D28355" s="26">
        <v>2.1100000000000001E-2</v>
      </c>
      <c r="E28355" s="26">
        <v>1.43E-2</v>
      </c>
      <c r="F28355" s="26">
        <v>1.0200000000000001E-2</v>
      </c>
      <c r="H28355" s="26">
        <v>5.4000000000000003E-3</v>
      </c>
      <c r="I28355" s="26">
        <v>6.9999999999999999E-4</v>
      </c>
      <c r="J28355" s="26">
        <v>6.9999999999999999E-4</v>
      </c>
      <c r="L28355" s="26">
        <v>1.4E-3</v>
      </c>
      <c r="M28355">
        <v>379</v>
      </c>
    </row>
    <row r="28356" spans="1:14" x14ac:dyDescent="0.35">
      <c r="A28356" t="s">
        <v>230</v>
      </c>
      <c r="B28356" t="s">
        <v>1346</v>
      </c>
      <c r="C28356" s="26">
        <v>0.88280000000000003</v>
      </c>
      <c r="D28356" s="26">
        <v>1.2999999999999999E-3</v>
      </c>
      <c r="E28356" s="26">
        <v>5.3900000000000003E-2</v>
      </c>
      <c r="F28356" s="26">
        <v>4.1000000000000003E-3</v>
      </c>
      <c r="G28356" s="26">
        <v>2.4799999999999999E-2</v>
      </c>
      <c r="J28356" s="26">
        <v>3.3099999999999997E-2</v>
      </c>
      <c r="M28356">
        <v>139</v>
      </c>
    </row>
    <row r="28357" spans="1:14" x14ac:dyDescent="0.35">
      <c r="A28357" t="s">
        <v>230</v>
      </c>
      <c r="B28357" t="s">
        <v>1348</v>
      </c>
      <c r="C28357" s="26">
        <v>0.91690000000000005</v>
      </c>
      <c r="D28357" s="26">
        <v>6.0400000000000002E-2</v>
      </c>
      <c r="E28357" s="26">
        <v>4.3E-3</v>
      </c>
      <c r="F28357" s="26">
        <v>1.49E-2</v>
      </c>
      <c r="G28357" s="26">
        <v>1.1000000000000001E-3</v>
      </c>
      <c r="H28357" s="26">
        <v>1.9E-3</v>
      </c>
      <c r="I28357" s="26">
        <v>1.2999999999999999E-2</v>
      </c>
      <c r="K28357" s="26">
        <v>5.9999999999999995E-4</v>
      </c>
      <c r="M28357">
        <v>258</v>
      </c>
    </row>
    <row r="28358" spans="1:14" x14ac:dyDescent="0.35">
      <c r="A28358" t="s">
        <v>230</v>
      </c>
      <c r="B28358" t="s">
        <v>1347</v>
      </c>
      <c r="C28358" s="26">
        <v>0.94679999999999997</v>
      </c>
      <c r="D28358" s="26">
        <v>8.3999999999999995E-3</v>
      </c>
      <c r="E28358" s="26">
        <v>3.8600000000000002E-2</v>
      </c>
      <c r="F28358" s="26">
        <v>3.3E-3</v>
      </c>
      <c r="I28358" s="26">
        <v>2E-3</v>
      </c>
      <c r="J28358" s="26">
        <v>1E-3</v>
      </c>
      <c r="M28358">
        <v>153</v>
      </c>
    </row>
    <row r="28359" spans="1:14" x14ac:dyDescent="0.35">
      <c r="A28359" s="27" t="s">
        <v>230</v>
      </c>
      <c r="B28359" s="27" t="s">
        <v>1345</v>
      </c>
      <c r="C28359" s="28">
        <v>0.9546</v>
      </c>
      <c r="D28359" s="29"/>
      <c r="E28359" s="29"/>
      <c r="F28359" s="29"/>
      <c r="G28359" s="29"/>
      <c r="H28359" s="28">
        <v>4.5400000000000003E-2</v>
      </c>
      <c r="I28359" s="29"/>
      <c r="J28359" s="29"/>
      <c r="K28359" s="29"/>
      <c r="L28359" s="29"/>
      <c r="M28359" s="29" t="s">
        <v>333</v>
      </c>
    </row>
    <row r="28360" spans="1:14" x14ac:dyDescent="0.35">
      <c r="A28360" s="27" t="s">
        <v>231</v>
      </c>
      <c r="B28360" s="27" t="s">
        <v>1345</v>
      </c>
      <c r="C28360" s="28">
        <v>0.75</v>
      </c>
      <c r="D28360" s="29"/>
      <c r="E28360" s="29"/>
      <c r="F28360" s="29"/>
      <c r="G28360" s="29"/>
      <c r="H28360" s="29"/>
      <c r="I28360" s="28">
        <v>0.25</v>
      </c>
      <c r="J28360" s="29"/>
      <c r="K28360" s="29"/>
      <c r="L28360" s="29"/>
      <c r="M28360" s="29" t="s">
        <v>337</v>
      </c>
    </row>
    <row r="28361" spans="1:14" x14ac:dyDescent="0.35">
      <c r="A28361" t="s">
        <v>231</v>
      </c>
      <c r="B28361" t="s">
        <v>1346</v>
      </c>
      <c r="C28361" s="26">
        <v>0.95</v>
      </c>
      <c r="D28361" s="26">
        <v>0.05</v>
      </c>
      <c r="M28361">
        <v>40</v>
      </c>
    </row>
    <row r="28362" spans="1:14" x14ac:dyDescent="0.35">
      <c r="A28362" t="s">
        <v>231</v>
      </c>
      <c r="B28362" t="s">
        <v>1347</v>
      </c>
      <c r="C28362" s="26">
        <v>0.93940000000000001</v>
      </c>
      <c r="D28362" s="26">
        <v>3.0300000000000001E-2</v>
      </c>
      <c r="G28362" s="26">
        <v>3.0300000000000001E-2</v>
      </c>
      <c r="M28362">
        <v>33</v>
      </c>
    </row>
    <row r="28363" spans="1:14" x14ac:dyDescent="0.35">
      <c r="A28363" t="s">
        <v>231</v>
      </c>
      <c r="B28363" t="s">
        <v>1348</v>
      </c>
      <c r="C28363" s="26">
        <v>0.89410000000000001</v>
      </c>
      <c r="D28363" s="26">
        <v>2.35E-2</v>
      </c>
      <c r="E28363" s="26">
        <v>2.35E-2</v>
      </c>
      <c r="F28363" s="26">
        <v>2.35E-2</v>
      </c>
      <c r="G28363" s="26">
        <v>2.35E-2</v>
      </c>
      <c r="H28363" s="26">
        <v>1.18E-2</v>
      </c>
      <c r="M28363">
        <v>85</v>
      </c>
    </row>
    <row r="28364" spans="1:14" x14ac:dyDescent="0.35">
      <c r="A28364" t="s">
        <v>232</v>
      </c>
      <c r="B28364" t="s">
        <v>232</v>
      </c>
      <c r="C28364" s="26">
        <v>0.92</v>
      </c>
      <c r="D28364" s="26">
        <v>3.5700000000000003E-2</v>
      </c>
      <c r="E28364" s="26">
        <v>1.6400000000000001E-2</v>
      </c>
      <c r="F28364" s="26">
        <v>8.9999999999999993E-3</v>
      </c>
      <c r="G28364" s="26">
        <v>8.0000000000000002E-3</v>
      </c>
      <c r="H28364" s="26">
        <v>6.1000000000000004E-3</v>
      </c>
      <c r="I28364" s="26">
        <v>4.0000000000000001E-3</v>
      </c>
      <c r="J28364" s="26">
        <v>2.2000000000000001E-3</v>
      </c>
      <c r="K28364" s="26">
        <v>4.0000000000000002E-4</v>
      </c>
      <c r="L28364" s="26">
        <v>4.0000000000000002E-4</v>
      </c>
      <c r="M28364">
        <v>2785</v>
      </c>
    </row>
    <row r="28366" spans="1:14" x14ac:dyDescent="0.35">
      <c r="A28366" s="1" t="s">
        <v>2545</v>
      </c>
    </row>
    <row r="28367" spans="1:14" x14ac:dyDescent="0.35">
      <c r="A28367" t="s">
        <v>219</v>
      </c>
      <c r="B28367" t="s">
        <v>305</v>
      </c>
      <c r="C28367" t="s">
        <v>345</v>
      </c>
      <c r="D28367" t="s">
        <v>302</v>
      </c>
      <c r="E28367" t="s">
        <v>2526</v>
      </c>
      <c r="F28367" t="s">
        <v>2527</v>
      </c>
      <c r="G28367" t="s">
        <v>281</v>
      </c>
      <c r="H28367" t="s">
        <v>2528</v>
      </c>
      <c r="I28367" t="s">
        <v>2529</v>
      </c>
      <c r="J28367" t="s">
        <v>2530</v>
      </c>
      <c r="K28367" t="s">
        <v>286</v>
      </c>
      <c r="L28367" t="s">
        <v>326</v>
      </c>
      <c r="M28367" t="s">
        <v>2531</v>
      </c>
      <c r="N28367" t="s">
        <v>226</v>
      </c>
    </row>
    <row r="28368" spans="1:14" x14ac:dyDescent="0.35">
      <c r="A28368" s="27" t="s">
        <v>227</v>
      </c>
      <c r="B28368" s="27" t="s">
        <v>1341</v>
      </c>
      <c r="C28368" s="27" t="s">
        <v>1345</v>
      </c>
      <c r="D28368" s="28">
        <v>1</v>
      </c>
      <c r="E28368" s="29"/>
      <c r="F28368" s="29"/>
      <c r="G28368" s="29"/>
      <c r="H28368" s="29"/>
      <c r="I28368" s="29"/>
      <c r="J28368" s="29"/>
      <c r="K28368" s="29"/>
      <c r="L28368" s="29"/>
      <c r="M28368" s="29"/>
      <c r="N28368" s="29" t="s">
        <v>331</v>
      </c>
    </row>
    <row r="28369" spans="1:14" x14ac:dyDescent="0.35">
      <c r="A28369" s="27" t="s">
        <v>227</v>
      </c>
      <c r="B28369" s="27" t="s">
        <v>1343</v>
      </c>
      <c r="C28369" s="27" t="s">
        <v>1346</v>
      </c>
      <c r="D28369" s="28">
        <v>1</v>
      </c>
      <c r="E28369" s="29"/>
      <c r="F28369" s="29"/>
      <c r="G28369" s="29"/>
      <c r="H28369" s="29"/>
      <c r="I28369" s="29"/>
      <c r="J28369" s="29"/>
      <c r="K28369" s="29"/>
      <c r="L28369" s="29"/>
      <c r="M28369" s="29"/>
      <c r="N28369" s="29" t="s">
        <v>312</v>
      </c>
    </row>
    <row r="28370" spans="1:14" x14ac:dyDescent="0.35">
      <c r="A28370" t="s">
        <v>227</v>
      </c>
      <c r="B28370" t="s">
        <v>1343</v>
      </c>
      <c r="C28370" t="s">
        <v>1348</v>
      </c>
      <c r="D28370" s="26">
        <v>0.93440000000000001</v>
      </c>
      <c r="E28370" s="26">
        <v>4.9200000000000001E-2</v>
      </c>
      <c r="F28370" s="26">
        <v>1.6400000000000001E-2</v>
      </c>
      <c r="N28370">
        <v>61</v>
      </c>
    </row>
    <row r="28371" spans="1:14" x14ac:dyDescent="0.35">
      <c r="A28371" s="27" t="s">
        <v>227</v>
      </c>
      <c r="B28371" s="27" t="s">
        <v>1341</v>
      </c>
      <c r="C28371" s="27" t="s">
        <v>1347</v>
      </c>
      <c r="D28371" s="28">
        <v>1</v>
      </c>
      <c r="E28371" s="29"/>
      <c r="F28371" s="29"/>
      <c r="G28371" s="29"/>
      <c r="H28371" s="29"/>
      <c r="I28371" s="29"/>
      <c r="J28371" s="29"/>
      <c r="K28371" s="29"/>
      <c r="L28371" s="29"/>
      <c r="M28371" s="29"/>
      <c r="N28371" s="29" t="s">
        <v>341</v>
      </c>
    </row>
    <row r="28372" spans="1:14" x14ac:dyDescent="0.35">
      <c r="A28372" s="27" t="s">
        <v>227</v>
      </c>
      <c r="B28372" s="27" t="s">
        <v>1343</v>
      </c>
      <c r="C28372" s="27" t="s">
        <v>1347</v>
      </c>
      <c r="D28372" s="28">
        <v>0.95650000000000002</v>
      </c>
      <c r="E28372" s="28">
        <v>4.3499999999999997E-2</v>
      </c>
      <c r="F28372" s="29"/>
      <c r="G28372" s="29"/>
      <c r="H28372" s="29"/>
      <c r="I28372" s="29"/>
      <c r="J28372" s="29"/>
      <c r="K28372" s="29"/>
      <c r="L28372" s="29"/>
      <c r="M28372" s="29"/>
      <c r="N28372" s="29" t="s">
        <v>328</v>
      </c>
    </row>
    <row r="28373" spans="1:14" x14ac:dyDescent="0.35">
      <c r="A28373" s="27" t="s">
        <v>227</v>
      </c>
      <c r="B28373" s="27" t="s">
        <v>1343</v>
      </c>
      <c r="C28373" s="27" t="s">
        <v>1345</v>
      </c>
      <c r="D28373" s="28">
        <v>1</v>
      </c>
      <c r="E28373" s="29"/>
      <c r="F28373" s="29"/>
      <c r="G28373" s="29"/>
      <c r="H28373" s="29"/>
      <c r="I28373" s="29"/>
      <c r="J28373" s="29"/>
      <c r="K28373" s="29"/>
      <c r="L28373" s="29"/>
      <c r="M28373" s="29"/>
      <c r="N28373" s="29" t="s">
        <v>331</v>
      </c>
    </row>
    <row r="28374" spans="1:14" x14ac:dyDescent="0.35">
      <c r="A28374" s="27" t="s">
        <v>227</v>
      </c>
      <c r="B28374" s="27" t="s">
        <v>1342</v>
      </c>
      <c r="C28374" s="27" t="s">
        <v>1348</v>
      </c>
      <c r="D28374" s="28">
        <v>1</v>
      </c>
      <c r="E28374" s="29"/>
      <c r="F28374" s="29"/>
      <c r="G28374" s="29"/>
      <c r="H28374" s="29"/>
      <c r="I28374" s="29"/>
      <c r="J28374" s="29"/>
      <c r="K28374" s="29"/>
      <c r="L28374" s="29"/>
      <c r="M28374" s="29"/>
      <c r="N28374" s="29" t="s">
        <v>331</v>
      </c>
    </row>
    <row r="28375" spans="1:14" x14ac:dyDescent="0.35">
      <c r="A28375" s="27" t="s">
        <v>227</v>
      </c>
      <c r="B28375" s="27" t="s">
        <v>1341</v>
      </c>
      <c r="C28375" s="27" t="s">
        <v>1348</v>
      </c>
      <c r="D28375" s="28">
        <v>0.9</v>
      </c>
      <c r="E28375" s="29"/>
      <c r="F28375" s="29"/>
      <c r="G28375" s="29"/>
      <c r="H28375" s="28">
        <v>0.05</v>
      </c>
      <c r="I28375" s="28">
        <v>0.05</v>
      </c>
      <c r="J28375" s="29"/>
      <c r="K28375" s="29"/>
      <c r="L28375" s="29"/>
      <c r="M28375" s="29"/>
      <c r="N28375" s="29" t="s">
        <v>350</v>
      </c>
    </row>
    <row r="28376" spans="1:14" x14ac:dyDescent="0.35">
      <c r="A28376" s="27" t="s">
        <v>227</v>
      </c>
      <c r="B28376" s="27" t="s">
        <v>1341</v>
      </c>
      <c r="C28376" s="27" t="s">
        <v>1346</v>
      </c>
      <c r="D28376" s="28">
        <v>0.92310000000000003</v>
      </c>
      <c r="E28376" s="29"/>
      <c r="F28376" s="29"/>
      <c r="G28376" s="28">
        <v>7.6899999999999996E-2</v>
      </c>
      <c r="H28376" s="29"/>
      <c r="I28376" s="29"/>
      <c r="J28376" s="29"/>
      <c r="K28376" s="29"/>
      <c r="L28376" s="29"/>
      <c r="M28376" s="29"/>
      <c r="N28376" s="29" t="s">
        <v>341</v>
      </c>
    </row>
    <row r="28377" spans="1:14" x14ac:dyDescent="0.35">
      <c r="A28377" t="s">
        <v>228</v>
      </c>
      <c r="B28377" t="s">
        <v>1343</v>
      </c>
      <c r="C28377" t="s">
        <v>1348</v>
      </c>
      <c r="D28377" s="26">
        <v>0.87929999999999997</v>
      </c>
      <c r="E28377" s="26">
        <v>4.8099999999999997E-2</v>
      </c>
      <c r="F28377" s="26">
        <v>4.1300000000000003E-2</v>
      </c>
      <c r="G28377" s="26">
        <v>2.3E-3</v>
      </c>
      <c r="H28377" s="26">
        <v>3.5000000000000001E-3</v>
      </c>
      <c r="I28377" s="26">
        <v>9.7999999999999997E-3</v>
      </c>
      <c r="J28377" s="26">
        <v>1.6500000000000001E-2</v>
      </c>
      <c r="K28377" s="26">
        <v>2.8E-3</v>
      </c>
      <c r="L28377" s="26">
        <v>2.5000000000000001E-3</v>
      </c>
      <c r="M28377" s="26">
        <v>1.4E-3</v>
      </c>
      <c r="N28377">
        <v>349</v>
      </c>
    </row>
    <row r="28378" spans="1:14" x14ac:dyDescent="0.35">
      <c r="A28378" t="s">
        <v>228</v>
      </c>
      <c r="B28378" t="s">
        <v>1343</v>
      </c>
      <c r="C28378" t="s">
        <v>1347</v>
      </c>
      <c r="D28378" s="26">
        <v>0.84970000000000001</v>
      </c>
      <c r="E28378" s="26">
        <v>0.1245</v>
      </c>
      <c r="F28378" s="26">
        <v>1.9199999999999998E-2</v>
      </c>
      <c r="G28378" s="26">
        <v>3.3E-3</v>
      </c>
      <c r="I28378" s="26">
        <v>3.3E-3</v>
      </c>
      <c r="J28378" s="26">
        <v>3.3E-3</v>
      </c>
      <c r="N28378">
        <v>129</v>
      </c>
    </row>
    <row r="28379" spans="1:14" x14ac:dyDescent="0.35">
      <c r="A28379" s="27" t="s">
        <v>228</v>
      </c>
      <c r="B28379" s="27" t="s">
        <v>1343</v>
      </c>
      <c r="C28379" s="27" t="s">
        <v>1345</v>
      </c>
      <c r="D28379" s="28">
        <v>0.77859999999999996</v>
      </c>
      <c r="E28379" s="28">
        <v>0.22140000000000001</v>
      </c>
      <c r="F28379" s="29"/>
      <c r="G28379" s="29"/>
      <c r="H28379" s="29"/>
      <c r="I28379" s="29"/>
      <c r="J28379" s="29"/>
      <c r="K28379" s="29"/>
      <c r="L28379" s="29"/>
      <c r="M28379" s="29"/>
      <c r="N28379" s="29" t="s">
        <v>335</v>
      </c>
    </row>
    <row r="28380" spans="1:14" x14ac:dyDescent="0.35">
      <c r="A28380" t="s">
        <v>228</v>
      </c>
      <c r="B28380" t="s">
        <v>1341</v>
      </c>
      <c r="C28380" t="s">
        <v>1346</v>
      </c>
      <c r="D28380" s="26">
        <v>0.94499999999999995</v>
      </c>
      <c r="F28380" s="26">
        <v>7.1000000000000004E-3</v>
      </c>
      <c r="G28380" s="26">
        <v>1.7600000000000001E-2</v>
      </c>
      <c r="H28380" s="26">
        <v>7.1000000000000004E-3</v>
      </c>
      <c r="K28380" s="26">
        <v>2.3199999999999998E-2</v>
      </c>
      <c r="N28380">
        <v>46</v>
      </c>
    </row>
    <row r="28381" spans="1:14" x14ac:dyDescent="0.35">
      <c r="A28381" t="s">
        <v>228</v>
      </c>
      <c r="B28381" t="s">
        <v>1341</v>
      </c>
      <c r="C28381" t="s">
        <v>1348</v>
      </c>
      <c r="D28381" s="26">
        <v>0.85809999999999997</v>
      </c>
      <c r="E28381" s="26">
        <v>6.9099999999999995E-2</v>
      </c>
      <c r="F28381" s="26">
        <v>8.5000000000000006E-3</v>
      </c>
      <c r="G28381" s="26">
        <v>2.9000000000000001E-2</v>
      </c>
      <c r="I28381" s="26">
        <v>1.9E-3</v>
      </c>
      <c r="J28381" s="26">
        <v>9.1999999999999998E-3</v>
      </c>
      <c r="K28381" s="26">
        <v>1.7899999999999999E-2</v>
      </c>
      <c r="L28381" s="26">
        <v>6.3E-3</v>
      </c>
      <c r="N28381">
        <v>177</v>
      </c>
    </row>
    <row r="28382" spans="1:14" x14ac:dyDescent="0.35">
      <c r="A28382" s="27" t="s">
        <v>228</v>
      </c>
      <c r="B28382" s="27" t="s">
        <v>1342</v>
      </c>
      <c r="C28382" s="27" t="s">
        <v>1348</v>
      </c>
      <c r="D28382" s="28">
        <v>1</v>
      </c>
      <c r="E28382" s="29"/>
      <c r="F28382" s="29"/>
      <c r="G28382" s="29"/>
      <c r="H28382" s="29"/>
      <c r="I28382" s="29"/>
      <c r="J28382" s="29"/>
      <c r="K28382" s="29"/>
      <c r="L28382" s="29"/>
      <c r="M28382" s="29"/>
      <c r="N28382" s="29" t="s">
        <v>331</v>
      </c>
    </row>
    <row r="28383" spans="1:14" x14ac:dyDescent="0.35">
      <c r="A28383" t="s">
        <v>228</v>
      </c>
      <c r="B28383" t="s">
        <v>1343</v>
      </c>
      <c r="C28383" t="s">
        <v>1346</v>
      </c>
      <c r="D28383" s="26">
        <v>0.9093</v>
      </c>
      <c r="E28383" s="26">
        <v>2.8299999999999999E-2</v>
      </c>
      <c r="F28383" s="26">
        <v>4.9200000000000001E-2</v>
      </c>
      <c r="G28383" s="26">
        <v>8.0999999999999996E-3</v>
      </c>
      <c r="H28383" s="26">
        <v>5.1000000000000004E-3</v>
      </c>
      <c r="I28383" s="26">
        <v>1.1000000000000001E-3</v>
      </c>
      <c r="N28383">
        <v>237</v>
      </c>
    </row>
    <row r="28384" spans="1:14" x14ac:dyDescent="0.35">
      <c r="A28384" t="s">
        <v>228</v>
      </c>
      <c r="B28384" t="s">
        <v>1341</v>
      </c>
      <c r="C28384" t="s">
        <v>1347</v>
      </c>
      <c r="D28384" s="26">
        <v>0.94430000000000003</v>
      </c>
      <c r="E28384" s="26">
        <v>4.02E-2</v>
      </c>
      <c r="K28384" s="26">
        <v>8.8000000000000005E-3</v>
      </c>
      <c r="M28384" s="26">
        <v>6.6E-3</v>
      </c>
      <c r="N28384">
        <v>71</v>
      </c>
    </row>
    <row r="28385" spans="1:14" x14ac:dyDescent="0.35">
      <c r="A28385" s="27" t="s">
        <v>228</v>
      </c>
      <c r="B28385" s="27" t="s">
        <v>1341</v>
      </c>
      <c r="C28385" s="27" t="s">
        <v>1345</v>
      </c>
      <c r="D28385" s="28">
        <v>1</v>
      </c>
      <c r="E28385" s="29"/>
      <c r="F28385" s="29"/>
      <c r="G28385" s="29"/>
      <c r="H28385" s="29"/>
      <c r="I28385" s="29"/>
      <c r="J28385" s="29"/>
      <c r="K28385" s="29"/>
      <c r="L28385" s="29"/>
      <c r="M28385" s="29"/>
      <c r="N28385" s="29" t="s">
        <v>332</v>
      </c>
    </row>
    <row r="28386" spans="1:14" x14ac:dyDescent="0.35">
      <c r="A28386" t="s">
        <v>229</v>
      </c>
      <c r="B28386" t="s">
        <v>1343</v>
      </c>
      <c r="C28386" t="s">
        <v>1348</v>
      </c>
      <c r="D28386" s="26">
        <v>0.95750000000000002</v>
      </c>
      <c r="E28386" s="26">
        <v>3.15E-2</v>
      </c>
      <c r="F28386" s="26">
        <v>3.2000000000000002E-3</v>
      </c>
      <c r="G28386" s="26">
        <v>3.5000000000000001E-3</v>
      </c>
      <c r="J28386" s="26">
        <v>1.1000000000000001E-3</v>
      </c>
      <c r="K28386" s="26">
        <v>1.1000000000000001E-3</v>
      </c>
      <c r="M28386" s="26">
        <v>2.0999999999999999E-3</v>
      </c>
      <c r="N28386">
        <v>273</v>
      </c>
    </row>
    <row r="28387" spans="1:14" x14ac:dyDescent="0.35">
      <c r="A28387" t="s">
        <v>229</v>
      </c>
      <c r="B28387" t="s">
        <v>1341</v>
      </c>
      <c r="C28387" t="s">
        <v>1346</v>
      </c>
      <c r="D28387" s="26">
        <v>0.86070000000000002</v>
      </c>
      <c r="E28387" s="26">
        <v>4.36E-2</v>
      </c>
      <c r="F28387" s="26">
        <v>5.2200000000000003E-2</v>
      </c>
      <c r="I28387" s="26">
        <v>4.36E-2</v>
      </c>
      <c r="N28387">
        <v>53</v>
      </c>
    </row>
    <row r="28388" spans="1:14" x14ac:dyDescent="0.35">
      <c r="A28388" t="s">
        <v>229</v>
      </c>
      <c r="B28388" t="s">
        <v>1341</v>
      </c>
      <c r="C28388" t="s">
        <v>1347</v>
      </c>
      <c r="D28388" s="26">
        <v>0.94930000000000003</v>
      </c>
      <c r="E28388" s="26">
        <v>2.9899999999999999E-2</v>
      </c>
      <c r="F28388" s="26">
        <v>6.7000000000000002E-3</v>
      </c>
      <c r="G28388" s="26">
        <v>7.6E-3</v>
      </c>
      <c r="H28388" s="26">
        <v>3.3E-3</v>
      </c>
      <c r="I28388" s="26">
        <v>3.3E-3</v>
      </c>
      <c r="N28388">
        <v>102</v>
      </c>
    </row>
    <row r="28389" spans="1:14" x14ac:dyDescent="0.35">
      <c r="A28389" t="s">
        <v>229</v>
      </c>
      <c r="B28389" t="s">
        <v>1343</v>
      </c>
      <c r="C28389" t="s">
        <v>1346</v>
      </c>
      <c r="D28389" s="26">
        <v>0.93799999999999994</v>
      </c>
      <c r="E28389" s="26">
        <v>3.7199999999999997E-2</v>
      </c>
      <c r="G28389" s="26">
        <v>1.1000000000000001E-3</v>
      </c>
      <c r="H28389" s="26">
        <v>1.6899999999999998E-2</v>
      </c>
      <c r="I28389" s="26">
        <v>2.0299999999999999E-2</v>
      </c>
      <c r="K28389" s="26">
        <v>6.7000000000000002E-3</v>
      </c>
      <c r="N28389">
        <v>130</v>
      </c>
    </row>
    <row r="28390" spans="1:14" x14ac:dyDescent="0.35">
      <c r="A28390" t="s">
        <v>229</v>
      </c>
      <c r="B28390" t="s">
        <v>1343</v>
      </c>
      <c r="C28390" t="s">
        <v>1347</v>
      </c>
      <c r="D28390" s="26">
        <v>0.92710000000000004</v>
      </c>
      <c r="E28390" s="26">
        <v>6.0299999999999999E-2</v>
      </c>
      <c r="F28390" s="26">
        <v>4.8999999999999998E-3</v>
      </c>
      <c r="G28390" s="26">
        <v>5.3E-3</v>
      </c>
      <c r="H28390" s="26">
        <v>1.8E-3</v>
      </c>
      <c r="K28390" s="26">
        <v>5.0000000000000001E-4</v>
      </c>
      <c r="N28390">
        <v>196</v>
      </c>
    </row>
    <row r="28391" spans="1:14" x14ac:dyDescent="0.35">
      <c r="A28391" s="27" t="s">
        <v>229</v>
      </c>
      <c r="B28391" s="27" t="s">
        <v>1341</v>
      </c>
      <c r="C28391" s="27" t="s">
        <v>1345</v>
      </c>
      <c r="D28391" s="28">
        <v>0.99160000000000004</v>
      </c>
      <c r="E28391" s="29"/>
      <c r="F28391" s="29"/>
      <c r="G28391" s="28">
        <v>8.3999999999999995E-3</v>
      </c>
      <c r="H28391" s="29"/>
      <c r="I28391" s="29"/>
      <c r="J28391" s="29"/>
      <c r="K28391" s="29"/>
      <c r="L28391" s="29"/>
      <c r="M28391" s="29"/>
      <c r="N28391" s="29" t="s">
        <v>334</v>
      </c>
    </row>
    <row r="28392" spans="1:14" x14ac:dyDescent="0.35">
      <c r="A28392" s="27" t="s">
        <v>229</v>
      </c>
      <c r="B28392" s="27" t="s">
        <v>1343</v>
      </c>
      <c r="C28392" s="27" t="s">
        <v>1345</v>
      </c>
      <c r="D28392" s="28">
        <v>0.84509999999999996</v>
      </c>
      <c r="E28392" s="29"/>
      <c r="F28392" s="28">
        <v>0.14929999999999999</v>
      </c>
      <c r="G28392" s="28">
        <v>5.7000000000000002E-3</v>
      </c>
      <c r="H28392" s="29"/>
      <c r="I28392" s="29"/>
      <c r="J28392" s="29"/>
      <c r="K28392" s="29"/>
      <c r="L28392" s="29"/>
      <c r="M28392" s="29"/>
      <c r="N28392" s="29" t="s">
        <v>343</v>
      </c>
    </row>
    <row r="28393" spans="1:14" x14ac:dyDescent="0.35">
      <c r="A28393" t="s">
        <v>229</v>
      </c>
      <c r="B28393" t="s">
        <v>1341</v>
      </c>
      <c r="C28393" t="s">
        <v>1348</v>
      </c>
      <c r="D28393" s="26">
        <v>0.92369999999999997</v>
      </c>
      <c r="F28393" s="26">
        <v>3.6600000000000001E-2</v>
      </c>
      <c r="G28393" s="26">
        <v>2.3599999999999999E-2</v>
      </c>
      <c r="I28393" s="26">
        <v>1.61E-2</v>
      </c>
      <c r="N28393">
        <v>106</v>
      </c>
    </row>
    <row r="28394" spans="1:14" x14ac:dyDescent="0.35">
      <c r="A28394" t="s">
        <v>230</v>
      </c>
      <c r="B28394" t="s">
        <v>1343</v>
      </c>
      <c r="C28394" t="s">
        <v>1346</v>
      </c>
      <c r="D28394" s="26">
        <v>0.83420000000000005</v>
      </c>
      <c r="E28394" s="26">
        <v>1.8E-3</v>
      </c>
      <c r="F28394" s="26">
        <v>7.6200000000000004E-2</v>
      </c>
      <c r="G28394" s="26">
        <v>5.7999999999999996E-3</v>
      </c>
      <c r="H28394" s="26">
        <v>3.5099999999999999E-2</v>
      </c>
      <c r="K28394" s="26">
        <v>4.6899999999999997E-2</v>
      </c>
      <c r="N28394">
        <v>109</v>
      </c>
    </row>
    <row r="28395" spans="1:14" x14ac:dyDescent="0.35">
      <c r="A28395" s="27" t="s">
        <v>230</v>
      </c>
      <c r="B28395" s="27" t="s">
        <v>1341</v>
      </c>
      <c r="C28395" s="27" t="s">
        <v>1345</v>
      </c>
      <c r="D28395" s="28">
        <v>1</v>
      </c>
      <c r="E28395" s="29"/>
      <c r="F28395" s="29"/>
      <c r="G28395" s="29"/>
      <c r="H28395" s="29"/>
      <c r="I28395" s="29"/>
      <c r="J28395" s="29"/>
      <c r="K28395" s="29"/>
      <c r="L28395" s="29"/>
      <c r="M28395" s="29"/>
      <c r="N28395" s="29" t="s">
        <v>337</v>
      </c>
    </row>
    <row r="28396" spans="1:14" x14ac:dyDescent="0.35">
      <c r="A28396" t="s">
        <v>230</v>
      </c>
      <c r="B28396" t="s">
        <v>1343</v>
      </c>
      <c r="C28396" t="s">
        <v>1348</v>
      </c>
      <c r="D28396" s="26">
        <v>0.93810000000000004</v>
      </c>
      <c r="E28396" s="26">
        <v>3.5299999999999998E-2</v>
      </c>
      <c r="F28396" s="26">
        <v>3.3999999999999998E-3</v>
      </c>
      <c r="G28396" s="26">
        <v>1.8200000000000001E-2</v>
      </c>
      <c r="H28396" s="26">
        <v>1.6000000000000001E-3</v>
      </c>
      <c r="I28396" s="26">
        <v>2.5999999999999999E-3</v>
      </c>
      <c r="J28396" s="26">
        <v>2.5999999999999999E-3</v>
      </c>
      <c r="L28396" s="26">
        <v>8.0000000000000004E-4</v>
      </c>
      <c r="N28396">
        <v>183</v>
      </c>
    </row>
    <row r="28397" spans="1:14" x14ac:dyDescent="0.35">
      <c r="A28397" t="s">
        <v>230</v>
      </c>
      <c r="B28397" t="s">
        <v>1343</v>
      </c>
      <c r="C28397" t="s">
        <v>1347</v>
      </c>
      <c r="D28397" s="26">
        <v>0.95509999999999995</v>
      </c>
      <c r="E28397" s="26">
        <v>6.4000000000000003E-3</v>
      </c>
      <c r="F28397" s="26">
        <v>2.92E-2</v>
      </c>
      <c r="G28397" s="26">
        <v>4.8999999999999998E-3</v>
      </c>
      <c r="J28397" s="26">
        <v>3.0000000000000001E-3</v>
      </c>
      <c r="K28397" s="26">
        <v>1.5E-3</v>
      </c>
      <c r="N28397">
        <v>106</v>
      </c>
    </row>
    <row r="28398" spans="1:14" x14ac:dyDescent="0.35">
      <c r="A28398" t="s">
        <v>230</v>
      </c>
      <c r="B28398" t="s">
        <v>1341</v>
      </c>
      <c r="C28398" t="s">
        <v>1348</v>
      </c>
      <c r="D28398" s="26">
        <v>0.86360000000000003</v>
      </c>
      <c r="E28398" s="26">
        <v>0.12330000000000001</v>
      </c>
      <c r="F28398" s="26">
        <v>6.4000000000000003E-3</v>
      </c>
      <c r="G28398" s="26">
        <v>6.6E-3</v>
      </c>
      <c r="J28398" s="26">
        <v>3.9100000000000003E-2</v>
      </c>
      <c r="N28398">
        <v>75</v>
      </c>
    </row>
    <row r="28399" spans="1:14" x14ac:dyDescent="0.35">
      <c r="A28399" t="s">
        <v>230</v>
      </c>
      <c r="B28399" t="s">
        <v>1341</v>
      </c>
      <c r="C28399" t="s">
        <v>1347</v>
      </c>
      <c r="D28399" s="26">
        <v>0.93049999999999999</v>
      </c>
      <c r="E28399" s="26">
        <v>1.23E-2</v>
      </c>
      <c r="F28399" s="26">
        <v>5.7200000000000001E-2</v>
      </c>
      <c r="N28399">
        <v>47</v>
      </c>
    </row>
    <row r="28400" spans="1:14" x14ac:dyDescent="0.35">
      <c r="A28400" s="27" t="s">
        <v>230</v>
      </c>
      <c r="B28400" s="27" t="s">
        <v>1343</v>
      </c>
      <c r="C28400" s="27" t="s">
        <v>1345</v>
      </c>
      <c r="D28400" s="28">
        <v>0.87809999999999999</v>
      </c>
      <c r="E28400" s="29"/>
      <c r="F28400" s="29"/>
      <c r="G28400" s="29"/>
      <c r="H28400" s="29"/>
      <c r="I28400" s="28">
        <v>0.12189999999999999</v>
      </c>
      <c r="J28400" s="29"/>
      <c r="K28400" s="29"/>
      <c r="L28400" s="29"/>
      <c r="M28400" s="29"/>
      <c r="N28400" s="29" t="s">
        <v>337</v>
      </c>
    </row>
    <row r="28401" spans="1:15" x14ac:dyDescent="0.35">
      <c r="A28401" t="s">
        <v>230</v>
      </c>
      <c r="B28401" t="s">
        <v>1341</v>
      </c>
      <c r="C28401" t="s">
        <v>1346</v>
      </c>
      <c r="D28401" s="26">
        <v>1</v>
      </c>
      <c r="N28401">
        <v>30</v>
      </c>
    </row>
    <row r="28402" spans="1:15" x14ac:dyDescent="0.35">
      <c r="A28402" t="s">
        <v>231</v>
      </c>
      <c r="B28402" t="s">
        <v>1343</v>
      </c>
      <c r="C28402" t="s">
        <v>1348</v>
      </c>
      <c r="D28402" s="26">
        <v>0.9</v>
      </c>
      <c r="E28402" s="26">
        <v>0.02</v>
      </c>
      <c r="F28402" s="26">
        <v>0.02</v>
      </c>
      <c r="G28402" s="26">
        <v>0.04</v>
      </c>
      <c r="I28402" s="26">
        <v>0.02</v>
      </c>
      <c r="N28402">
        <v>50</v>
      </c>
    </row>
    <row r="28403" spans="1:15" x14ac:dyDescent="0.35">
      <c r="A28403" s="27" t="s">
        <v>231</v>
      </c>
      <c r="B28403" s="27" t="s">
        <v>1343</v>
      </c>
      <c r="C28403" s="27" t="s">
        <v>1345</v>
      </c>
      <c r="D28403" s="28">
        <v>0.66669999999999996</v>
      </c>
      <c r="E28403" s="29"/>
      <c r="F28403" s="29"/>
      <c r="G28403" s="29"/>
      <c r="H28403" s="29"/>
      <c r="I28403" s="29"/>
      <c r="J28403" s="28">
        <v>0.33329999999999999</v>
      </c>
      <c r="K28403" s="29"/>
      <c r="L28403" s="29"/>
      <c r="M28403" s="29"/>
      <c r="N28403" s="29" t="s">
        <v>315</v>
      </c>
    </row>
    <row r="28404" spans="1:15" x14ac:dyDescent="0.35">
      <c r="A28404" t="s">
        <v>231</v>
      </c>
      <c r="B28404" t="s">
        <v>1341</v>
      </c>
      <c r="C28404" t="s">
        <v>1348</v>
      </c>
      <c r="D28404" s="26">
        <v>0.88570000000000004</v>
      </c>
      <c r="E28404" s="26">
        <v>2.86E-2</v>
      </c>
      <c r="F28404" s="26">
        <v>2.86E-2</v>
      </c>
      <c r="H28404" s="26">
        <v>5.7099999999999998E-2</v>
      </c>
      <c r="N28404">
        <v>35</v>
      </c>
    </row>
    <row r="28405" spans="1:15" x14ac:dyDescent="0.35">
      <c r="A28405" s="27" t="s">
        <v>231</v>
      </c>
      <c r="B28405" s="27" t="s">
        <v>1341</v>
      </c>
      <c r="C28405" s="27" t="s">
        <v>1345</v>
      </c>
      <c r="D28405" s="28">
        <v>1</v>
      </c>
      <c r="E28405" s="29"/>
      <c r="F28405" s="29"/>
      <c r="G28405" s="29"/>
      <c r="H28405" s="29"/>
      <c r="I28405" s="29"/>
      <c r="J28405" s="29"/>
      <c r="K28405" s="29"/>
      <c r="L28405" s="29"/>
      <c r="M28405" s="29"/>
      <c r="N28405" s="29" t="s">
        <v>331</v>
      </c>
    </row>
    <row r="28406" spans="1:15" x14ac:dyDescent="0.35">
      <c r="A28406" s="27" t="s">
        <v>231</v>
      </c>
      <c r="B28406" s="27" t="s">
        <v>1343</v>
      </c>
      <c r="C28406" s="27" t="s">
        <v>1346</v>
      </c>
      <c r="D28406" s="28">
        <v>0.92310000000000003</v>
      </c>
      <c r="E28406" s="28">
        <v>7.6899999999999996E-2</v>
      </c>
      <c r="F28406" s="29"/>
      <c r="G28406" s="29"/>
      <c r="H28406" s="29"/>
      <c r="I28406" s="29"/>
      <c r="J28406" s="29"/>
      <c r="K28406" s="29"/>
      <c r="L28406" s="29"/>
      <c r="M28406" s="29"/>
      <c r="N28406" s="29" t="s">
        <v>357</v>
      </c>
    </row>
    <row r="28407" spans="1:15" x14ac:dyDescent="0.35">
      <c r="A28407" s="27" t="s">
        <v>231</v>
      </c>
      <c r="B28407" s="27" t="s">
        <v>1341</v>
      </c>
      <c r="C28407" s="27" t="s">
        <v>1346</v>
      </c>
      <c r="D28407" s="28">
        <v>1</v>
      </c>
      <c r="E28407" s="29"/>
      <c r="F28407" s="29"/>
      <c r="G28407" s="29"/>
      <c r="H28407" s="29"/>
      <c r="I28407" s="29"/>
      <c r="J28407" s="29"/>
      <c r="K28407" s="29"/>
      <c r="L28407" s="29"/>
      <c r="M28407" s="29"/>
      <c r="N28407" s="29" t="s">
        <v>379</v>
      </c>
    </row>
    <row r="28408" spans="1:15" x14ac:dyDescent="0.35">
      <c r="A28408" s="27" t="s">
        <v>231</v>
      </c>
      <c r="B28408" s="27" t="s">
        <v>1341</v>
      </c>
      <c r="C28408" s="27" t="s">
        <v>1347</v>
      </c>
      <c r="D28408" s="28">
        <v>0.92859999999999998</v>
      </c>
      <c r="E28408" s="29"/>
      <c r="F28408" s="29"/>
      <c r="G28408" s="29"/>
      <c r="H28408" s="28">
        <v>7.1400000000000005E-2</v>
      </c>
      <c r="I28408" s="29"/>
      <c r="J28408" s="29"/>
      <c r="K28408" s="29"/>
      <c r="L28408" s="29"/>
      <c r="M28408" s="29"/>
      <c r="N28408" s="29" t="s">
        <v>379</v>
      </c>
    </row>
    <row r="28409" spans="1:15" x14ac:dyDescent="0.35">
      <c r="A28409" s="27" t="s">
        <v>231</v>
      </c>
      <c r="B28409" s="27" t="s">
        <v>1343</v>
      </c>
      <c r="C28409" s="27" t="s">
        <v>1347</v>
      </c>
      <c r="D28409" s="28">
        <v>0.94740000000000002</v>
      </c>
      <c r="E28409" s="28">
        <v>5.2600000000000001E-2</v>
      </c>
      <c r="F28409" s="29"/>
      <c r="G28409" s="29"/>
      <c r="H28409" s="29"/>
      <c r="I28409" s="29"/>
      <c r="J28409" s="29"/>
      <c r="K28409" s="29"/>
      <c r="L28409" s="29"/>
      <c r="M28409" s="29"/>
      <c r="N28409" s="29" t="s">
        <v>349</v>
      </c>
    </row>
    <row r="28410" spans="1:15" x14ac:dyDescent="0.35">
      <c r="A28410" t="s">
        <v>232</v>
      </c>
      <c r="B28410" t="s">
        <v>232</v>
      </c>
      <c r="C28410" t="s">
        <v>232</v>
      </c>
      <c r="D28410" s="26">
        <v>0.92</v>
      </c>
      <c r="E28410" s="26">
        <v>3.5700000000000003E-2</v>
      </c>
      <c r="F28410" s="26">
        <v>1.6400000000000001E-2</v>
      </c>
      <c r="G28410" s="26">
        <v>8.9999999999999993E-3</v>
      </c>
      <c r="H28410" s="26">
        <v>8.0000000000000002E-3</v>
      </c>
      <c r="I28410" s="26">
        <v>6.1000000000000004E-3</v>
      </c>
      <c r="J28410" s="26">
        <v>4.0000000000000001E-3</v>
      </c>
      <c r="K28410" s="26">
        <v>2.2000000000000001E-3</v>
      </c>
      <c r="L28410" s="26">
        <v>4.0000000000000002E-4</v>
      </c>
      <c r="M28410" s="26">
        <v>4.0000000000000002E-4</v>
      </c>
      <c r="N28410">
        <v>2785</v>
      </c>
    </row>
    <row r="28412" spans="1:15" x14ac:dyDescent="0.35">
      <c r="A28412" s="1" t="s">
        <v>2546</v>
      </c>
    </row>
    <row r="28413" spans="1:15" x14ac:dyDescent="0.35">
      <c r="A28413" t="s">
        <v>219</v>
      </c>
      <c r="B28413" t="s">
        <v>550</v>
      </c>
      <c r="C28413" t="s">
        <v>2547</v>
      </c>
      <c r="D28413" t="s">
        <v>2548</v>
      </c>
      <c r="E28413" t="s">
        <v>2549</v>
      </c>
      <c r="F28413" t="s">
        <v>2550</v>
      </c>
      <c r="G28413" t="s">
        <v>2551</v>
      </c>
      <c r="H28413" t="s">
        <v>2552</v>
      </c>
      <c r="I28413" t="s">
        <v>281</v>
      </c>
      <c r="J28413" t="s">
        <v>2553</v>
      </c>
      <c r="K28413" t="s">
        <v>2554</v>
      </c>
      <c r="L28413" t="s">
        <v>286</v>
      </c>
      <c r="M28413" t="s">
        <v>2555</v>
      </c>
      <c r="N28413" t="s">
        <v>326</v>
      </c>
      <c r="O28413" t="s">
        <v>226</v>
      </c>
    </row>
    <row r="28414" spans="1:15" x14ac:dyDescent="0.35">
      <c r="A28414" t="s">
        <v>227</v>
      </c>
      <c r="B28414" s="26">
        <v>0.94369999999999998</v>
      </c>
      <c r="C28414" s="26">
        <v>4.3799999999999999E-2</v>
      </c>
      <c r="G28414" s="26">
        <v>1.2500000000000001E-2</v>
      </c>
      <c r="H28414" s="26">
        <v>6.1999999999999998E-3</v>
      </c>
      <c r="M28414" s="26">
        <v>6.1999999999999998E-3</v>
      </c>
      <c r="O28414">
        <v>160</v>
      </c>
    </row>
    <row r="28415" spans="1:15" x14ac:dyDescent="0.35">
      <c r="A28415" t="s">
        <v>228</v>
      </c>
      <c r="B28415" s="26">
        <v>0.93610000000000004</v>
      </c>
      <c r="C28415" s="26">
        <v>4.4000000000000003E-3</v>
      </c>
      <c r="D28415" s="26">
        <v>8.3000000000000001E-3</v>
      </c>
      <c r="E28415" s="26">
        <v>8.3999999999999995E-3</v>
      </c>
      <c r="F28415" s="26">
        <v>1.3599999999999999E-2</v>
      </c>
      <c r="G28415" s="26">
        <v>2.2000000000000001E-3</v>
      </c>
      <c r="H28415" s="26">
        <v>1.4200000000000001E-2</v>
      </c>
      <c r="I28415" s="26">
        <v>6.0000000000000001E-3</v>
      </c>
      <c r="J28415" s="26">
        <v>1.8E-3</v>
      </c>
      <c r="K28415" s="26">
        <v>4.5999999999999999E-3</v>
      </c>
      <c r="L28415" s="26">
        <v>5.7000000000000002E-3</v>
      </c>
      <c r="M28415" s="26">
        <v>5.9999999999999995E-4</v>
      </c>
      <c r="N28415" s="26">
        <v>2.3999999999999998E-3</v>
      </c>
      <c r="O28415">
        <v>1026</v>
      </c>
    </row>
    <row r="28416" spans="1:15" x14ac:dyDescent="0.35">
      <c r="A28416" t="s">
        <v>229</v>
      </c>
      <c r="B28416" s="26">
        <v>0.91769999999999996</v>
      </c>
      <c r="C28416" s="26">
        <v>1.23E-2</v>
      </c>
      <c r="D28416" s="26">
        <v>1.83E-2</v>
      </c>
      <c r="E28416" s="26">
        <v>1.8499999999999999E-2</v>
      </c>
      <c r="F28416" s="26">
        <v>1.0999999999999999E-2</v>
      </c>
      <c r="G28416" s="26">
        <v>8.6999999999999994E-3</v>
      </c>
      <c r="H28416" s="26">
        <v>5.5999999999999999E-3</v>
      </c>
      <c r="I28416" s="26">
        <v>5.7999999999999996E-3</v>
      </c>
      <c r="J28416" s="26">
        <v>9.1000000000000004E-3</v>
      </c>
      <c r="K28416" s="26">
        <v>3.7000000000000002E-3</v>
      </c>
      <c r="L28416" s="26">
        <v>3.5000000000000001E-3</v>
      </c>
      <c r="M28416" s="26">
        <v>3.2000000000000002E-3</v>
      </c>
      <c r="N28416" s="26">
        <v>2.9999999999999997E-4</v>
      </c>
      <c r="O28416">
        <v>890</v>
      </c>
    </row>
    <row r="28417" spans="1:16" x14ac:dyDescent="0.35">
      <c r="A28417" t="s">
        <v>230</v>
      </c>
      <c r="B28417" s="26">
        <v>0.94289999999999996</v>
      </c>
      <c r="C28417" s="26">
        <v>2.0999999999999999E-3</v>
      </c>
      <c r="D28417" s="26">
        <v>6.6E-3</v>
      </c>
      <c r="E28417" s="26">
        <v>6.8999999999999999E-3</v>
      </c>
      <c r="F28417" s="26">
        <v>7.6E-3</v>
      </c>
      <c r="G28417" s="26">
        <v>1.2E-2</v>
      </c>
      <c r="H28417" s="26">
        <v>5.4000000000000003E-3</v>
      </c>
      <c r="I28417" s="26">
        <v>2.0999999999999999E-3</v>
      </c>
      <c r="J28417" s="26">
        <v>5.0000000000000001E-4</v>
      </c>
      <c r="K28417" s="26">
        <v>6.3E-3</v>
      </c>
      <c r="L28417" s="26">
        <v>2.7000000000000001E-3</v>
      </c>
      <c r="M28417" s="26">
        <v>2.9999999999999997E-4</v>
      </c>
      <c r="N28417" s="26">
        <v>5.4000000000000003E-3</v>
      </c>
      <c r="O28417">
        <v>558</v>
      </c>
    </row>
    <row r="28418" spans="1:16" x14ac:dyDescent="0.35">
      <c r="A28418" t="s">
        <v>231</v>
      </c>
      <c r="B28418" s="26">
        <v>0.93830000000000002</v>
      </c>
      <c r="C28418" s="26">
        <v>6.1999999999999998E-3</v>
      </c>
      <c r="D28418" s="26">
        <v>1.23E-2</v>
      </c>
      <c r="E28418" s="26">
        <v>6.1999999999999998E-3</v>
      </c>
      <c r="F28418" s="26">
        <v>6.1999999999999998E-3</v>
      </c>
      <c r="G28418" s="26">
        <v>6.1999999999999998E-3</v>
      </c>
      <c r="H28418" s="26">
        <v>6.1999999999999998E-3</v>
      </c>
      <c r="I28418" s="26">
        <v>6.1999999999999998E-3</v>
      </c>
      <c r="J28418" s="26">
        <v>6.1999999999999998E-3</v>
      </c>
      <c r="K28418" s="26">
        <v>6.1999999999999998E-3</v>
      </c>
      <c r="O28418">
        <v>162</v>
      </c>
    </row>
    <row r="28419" spans="1:16" x14ac:dyDescent="0.35">
      <c r="A28419" t="s">
        <v>232</v>
      </c>
      <c r="B28419" s="26">
        <v>0.93330000000000002</v>
      </c>
      <c r="C28419" s="26">
        <v>1.29E-2</v>
      </c>
      <c r="D28419" s="26">
        <v>1.0800000000000001E-2</v>
      </c>
      <c r="E28419" s="26">
        <v>9.1999999999999998E-3</v>
      </c>
      <c r="F28419" s="26">
        <v>8.2000000000000007E-3</v>
      </c>
      <c r="G28419" s="26">
        <v>7.6E-3</v>
      </c>
      <c r="H28419" s="26">
        <v>7.4999999999999997E-3</v>
      </c>
      <c r="I28419" s="26">
        <v>4.7000000000000002E-3</v>
      </c>
      <c r="J28419" s="26">
        <v>4.7000000000000002E-3</v>
      </c>
      <c r="K28419" s="26">
        <v>4.1999999999999997E-3</v>
      </c>
      <c r="L28419" s="26">
        <v>2.3999999999999998E-3</v>
      </c>
      <c r="M28419" s="26">
        <v>2E-3</v>
      </c>
      <c r="N28419" s="26">
        <v>1.1000000000000001E-3</v>
      </c>
      <c r="O28419">
        <v>2796</v>
      </c>
    </row>
    <row r="28421" spans="1:16" x14ac:dyDescent="0.35">
      <c r="A28421" s="1" t="s">
        <v>2556</v>
      </c>
    </row>
    <row r="28422" spans="1:16" x14ac:dyDescent="0.35">
      <c r="A28422" t="s">
        <v>219</v>
      </c>
      <c r="B28422" t="s">
        <v>305</v>
      </c>
      <c r="C28422" t="s">
        <v>550</v>
      </c>
      <c r="D28422" t="s">
        <v>2547</v>
      </c>
      <c r="E28422" t="s">
        <v>2548</v>
      </c>
      <c r="F28422" t="s">
        <v>2549</v>
      </c>
      <c r="G28422" t="s">
        <v>2550</v>
      </c>
      <c r="H28422" t="s">
        <v>2551</v>
      </c>
      <c r="I28422" t="s">
        <v>2552</v>
      </c>
      <c r="J28422" t="s">
        <v>281</v>
      </c>
      <c r="K28422" t="s">
        <v>2553</v>
      </c>
      <c r="L28422" t="s">
        <v>2554</v>
      </c>
      <c r="M28422" t="s">
        <v>286</v>
      </c>
      <c r="N28422" t="s">
        <v>2555</v>
      </c>
      <c r="O28422" t="s">
        <v>326</v>
      </c>
      <c r="P28422" t="s">
        <v>226</v>
      </c>
    </row>
    <row r="28423" spans="1:16" x14ac:dyDescent="0.35">
      <c r="A28423" t="s">
        <v>227</v>
      </c>
      <c r="B28423" t="s">
        <v>242</v>
      </c>
      <c r="C28423" s="26">
        <v>0.89549999999999996</v>
      </c>
      <c r="D28423" s="26">
        <v>7.46E-2</v>
      </c>
      <c r="H28423" s="26">
        <v>1.49E-2</v>
      </c>
      <c r="I28423" s="26">
        <v>1.49E-2</v>
      </c>
      <c r="N28423" s="26">
        <v>1.49E-2</v>
      </c>
      <c r="P28423">
        <v>67</v>
      </c>
    </row>
    <row r="28424" spans="1:16" x14ac:dyDescent="0.35">
      <c r="A28424" t="s">
        <v>227</v>
      </c>
      <c r="B28424" t="s">
        <v>241</v>
      </c>
      <c r="C28424" s="26">
        <v>0.97850000000000004</v>
      </c>
      <c r="D28424" s="26">
        <v>2.1499999999999998E-2</v>
      </c>
      <c r="H28424" s="26">
        <v>1.0800000000000001E-2</v>
      </c>
      <c r="P28424">
        <v>93</v>
      </c>
    </row>
    <row r="28425" spans="1:16" x14ac:dyDescent="0.35">
      <c r="A28425" t="s">
        <v>228</v>
      </c>
      <c r="B28425" t="s">
        <v>242</v>
      </c>
      <c r="C28425" s="26">
        <v>0.88429999999999997</v>
      </c>
      <c r="D28425" s="26">
        <v>1.03E-2</v>
      </c>
      <c r="E28425" s="26">
        <v>1.6400000000000001E-2</v>
      </c>
      <c r="F28425" s="26">
        <v>1.84E-2</v>
      </c>
      <c r="G28425" s="26">
        <v>3.5099999999999999E-2</v>
      </c>
      <c r="I28425" s="26">
        <v>1.95E-2</v>
      </c>
      <c r="J28425" s="26">
        <v>7.4999999999999997E-3</v>
      </c>
      <c r="K28425" s="26">
        <v>1.5E-3</v>
      </c>
      <c r="L28425" s="26">
        <v>1.26E-2</v>
      </c>
      <c r="M28425" s="26">
        <v>1.2200000000000001E-2</v>
      </c>
      <c r="N28425" s="26">
        <v>1.5E-3</v>
      </c>
      <c r="O28425" s="26">
        <v>3.3E-3</v>
      </c>
      <c r="P28425">
        <v>399</v>
      </c>
    </row>
    <row r="28426" spans="1:16" x14ac:dyDescent="0.35">
      <c r="A28426" t="s">
        <v>228</v>
      </c>
      <c r="B28426" t="s">
        <v>241</v>
      </c>
      <c r="C28426" s="26">
        <v>0.96579999999999999</v>
      </c>
      <c r="D28426" s="26">
        <v>1E-3</v>
      </c>
      <c r="E28426" s="26">
        <v>3.5999999999999999E-3</v>
      </c>
      <c r="F28426" s="26">
        <v>2.7000000000000001E-3</v>
      </c>
      <c r="G28426" s="26">
        <v>1.2999999999999999E-3</v>
      </c>
      <c r="H28426" s="26">
        <v>3.5000000000000001E-3</v>
      </c>
      <c r="I28426" s="26">
        <v>1.12E-2</v>
      </c>
      <c r="J28426" s="26">
        <v>5.1000000000000004E-3</v>
      </c>
      <c r="K28426" s="26">
        <v>2E-3</v>
      </c>
      <c r="M28426" s="26">
        <v>1.9E-3</v>
      </c>
      <c r="O28426" s="26">
        <v>1.9E-3</v>
      </c>
      <c r="P28426">
        <v>627</v>
      </c>
    </row>
    <row r="28427" spans="1:16" x14ac:dyDescent="0.35">
      <c r="A28427" t="s">
        <v>229</v>
      </c>
      <c r="B28427" t="s">
        <v>242</v>
      </c>
      <c r="C28427" s="26">
        <v>0.89149999999999996</v>
      </c>
      <c r="D28427" s="26">
        <v>2.4799999999999999E-2</v>
      </c>
      <c r="E28427" s="26">
        <v>2.3099999999999999E-2</v>
      </c>
      <c r="F28427" s="26">
        <v>1.5800000000000002E-2</v>
      </c>
      <c r="G28427" s="26">
        <v>2.06E-2</v>
      </c>
      <c r="H28427" s="26">
        <v>7.9000000000000008E-3</v>
      </c>
      <c r="I28427" s="26">
        <v>6.4000000000000003E-3</v>
      </c>
      <c r="J28427" s="26">
        <v>1.0699999999999999E-2</v>
      </c>
      <c r="K28427" s="26">
        <v>1.54E-2</v>
      </c>
      <c r="L28427" s="26">
        <v>1.6999999999999999E-3</v>
      </c>
      <c r="M28427" s="26">
        <v>6.4000000000000003E-3</v>
      </c>
      <c r="N28427" s="26">
        <v>6.4000000000000003E-3</v>
      </c>
      <c r="P28427">
        <v>291</v>
      </c>
    </row>
    <row r="28428" spans="1:16" x14ac:dyDescent="0.35">
      <c r="A28428" t="s">
        <v>229</v>
      </c>
      <c r="B28428" t="s">
        <v>241</v>
      </c>
      <c r="C28428" s="26">
        <v>0.93469999999999998</v>
      </c>
      <c r="D28428" s="26">
        <v>4.1999999999999997E-3</v>
      </c>
      <c r="E28428" s="26">
        <v>1.52E-2</v>
      </c>
      <c r="F28428" s="26">
        <v>2.0199999999999999E-2</v>
      </c>
      <c r="G28428" s="26">
        <v>4.7000000000000002E-3</v>
      </c>
      <c r="H28428" s="26">
        <v>9.1999999999999998E-3</v>
      </c>
      <c r="I28428" s="26">
        <v>5.0000000000000001E-3</v>
      </c>
      <c r="J28428" s="26">
        <v>2.5000000000000001E-3</v>
      </c>
      <c r="K28428" s="26">
        <v>5.0000000000000001E-3</v>
      </c>
      <c r="L28428" s="26">
        <v>5.0000000000000001E-3</v>
      </c>
      <c r="M28428" s="26">
        <v>1.6999999999999999E-3</v>
      </c>
      <c r="N28428" s="26">
        <v>1.1000000000000001E-3</v>
      </c>
      <c r="O28428" s="26">
        <v>5.0000000000000001E-4</v>
      </c>
      <c r="P28428">
        <v>599</v>
      </c>
    </row>
    <row r="28429" spans="1:16" x14ac:dyDescent="0.35">
      <c r="A28429" t="s">
        <v>230</v>
      </c>
      <c r="B28429" t="s">
        <v>242</v>
      </c>
      <c r="C28429" s="26">
        <v>0.90580000000000005</v>
      </c>
      <c r="D28429" s="26">
        <v>3.3999999999999998E-3</v>
      </c>
      <c r="E28429" s="26">
        <v>6.1000000000000004E-3</v>
      </c>
      <c r="F28429" s="26">
        <v>1.7500000000000002E-2</v>
      </c>
      <c r="G28429" s="26">
        <v>1.83E-2</v>
      </c>
      <c r="H28429" s="26">
        <v>1.8499999999999999E-2</v>
      </c>
      <c r="I28429" s="26">
        <v>1.5900000000000001E-2</v>
      </c>
      <c r="J28429" s="26">
        <v>5.1999999999999998E-3</v>
      </c>
      <c r="L28429" s="26">
        <v>2.7000000000000001E-3</v>
      </c>
      <c r="M28429" s="26">
        <v>8.0000000000000002E-3</v>
      </c>
      <c r="P28429">
        <v>189</v>
      </c>
    </row>
    <row r="28430" spans="1:16" x14ac:dyDescent="0.35">
      <c r="A28430" t="s">
        <v>230</v>
      </c>
      <c r="B28430" t="s">
        <v>241</v>
      </c>
      <c r="C28430" s="26">
        <v>0.96199999999999997</v>
      </c>
      <c r="D28430" s="26">
        <v>1.4E-3</v>
      </c>
      <c r="E28430" s="26">
        <v>6.8999999999999999E-3</v>
      </c>
      <c r="F28430" s="26">
        <v>1.4E-3</v>
      </c>
      <c r="G28430" s="26">
        <v>2.0999999999999999E-3</v>
      </c>
      <c r="H28430" s="26">
        <v>8.6E-3</v>
      </c>
      <c r="J28430" s="26">
        <v>4.0000000000000002E-4</v>
      </c>
      <c r="K28430" s="26">
        <v>8.0000000000000004E-4</v>
      </c>
      <c r="L28430" s="26">
        <v>8.2000000000000007E-3</v>
      </c>
      <c r="N28430" s="26">
        <v>4.0000000000000002E-4</v>
      </c>
      <c r="O28430" s="26">
        <v>8.2000000000000007E-3</v>
      </c>
      <c r="P28430">
        <v>369</v>
      </c>
    </row>
    <row r="28431" spans="1:16" x14ac:dyDescent="0.35">
      <c r="A28431" t="s">
        <v>231</v>
      </c>
      <c r="B28431" t="s">
        <v>242</v>
      </c>
      <c r="C28431" s="26">
        <v>0.94230000000000003</v>
      </c>
      <c r="E28431" s="26">
        <v>1.9199999999999998E-2</v>
      </c>
      <c r="I28431" s="26">
        <v>1.9199999999999998E-2</v>
      </c>
      <c r="L28431" s="26">
        <v>1.9199999999999998E-2</v>
      </c>
      <c r="P28431">
        <v>52</v>
      </c>
    </row>
    <row r="28432" spans="1:16" x14ac:dyDescent="0.35">
      <c r="A28432" t="s">
        <v>231</v>
      </c>
      <c r="B28432" t="s">
        <v>241</v>
      </c>
      <c r="C28432" s="26">
        <v>0.93640000000000001</v>
      </c>
      <c r="D28432" s="26">
        <v>9.1000000000000004E-3</v>
      </c>
      <c r="E28432" s="26">
        <v>9.1000000000000004E-3</v>
      </c>
      <c r="F28432" s="26">
        <v>9.1000000000000004E-3</v>
      </c>
      <c r="G28432" s="26">
        <v>9.1000000000000004E-3</v>
      </c>
      <c r="H28432" s="26">
        <v>9.1000000000000004E-3</v>
      </c>
      <c r="J28432" s="26">
        <v>9.1000000000000004E-3</v>
      </c>
      <c r="K28432" s="26">
        <v>9.1000000000000004E-3</v>
      </c>
      <c r="P28432">
        <v>110</v>
      </c>
    </row>
    <row r="28433" spans="1:16" x14ac:dyDescent="0.35">
      <c r="A28433" t="s">
        <v>232</v>
      </c>
      <c r="B28433" t="s">
        <v>232</v>
      </c>
      <c r="C28433" s="26">
        <v>0.93330000000000002</v>
      </c>
      <c r="D28433" s="26">
        <v>1.29E-2</v>
      </c>
      <c r="E28433" s="26">
        <v>1.0800000000000001E-2</v>
      </c>
      <c r="F28433" s="26">
        <v>9.1999999999999998E-3</v>
      </c>
      <c r="G28433" s="26">
        <v>8.2000000000000007E-3</v>
      </c>
      <c r="H28433" s="26">
        <v>7.6E-3</v>
      </c>
      <c r="I28433" s="26">
        <v>7.4999999999999997E-3</v>
      </c>
      <c r="J28433" s="26">
        <v>4.7000000000000002E-3</v>
      </c>
      <c r="K28433" s="26">
        <v>4.7000000000000002E-3</v>
      </c>
      <c r="L28433" s="26">
        <v>4.1999999999999997E-3</v>
      </c>
      <c r="M28433" s="26">
        <v>2.3999999999999998E-3</v>
      </c>
      <c r="N28433" s="26">
        <v>2E-3</v>
      </c>
      <c r="O28433" s="26">
        <v>1.1000000000000001E-3</v>
      </c>
      <c r="P28433">
        <v>2796</v>
      </c>
    </row>
    <row r="28435" spans="1:16" x14ac:dyDescent="0.35">
      <c r="A28435" s="1" t="s">
        <v>2557</v>
      </c>
    </row>
    <row r="28436" spans="1:16" x14ac:dyDescent="0.35">
      <c r="A28436" t="s">
        <v>219</v>
      </c>
      <c r="B28436" t="s">
        <v>305</v>
      </c>
      <c r="C28436" t="s">
        <v>550</v>
      </c>
      <c r="D28436" t="s">
        <v>2547</v>
      </c>
      <c r="E28436" t="s">
        <v>2548</v>
      </c>
      <c r="F28436" t="s">
        <v>2549</v>
      </c>
      <c r="G28436" t="s">
        <v>2550</v>
      </c>
      <c r="H28436" t="s">
        <v>2551</v>
      </c>
      <c r="I28436" t="s">
        <v>2552</v>
      </c>
      <c r="J28436" t="s">
        <v>281</v>
      </c>
      <c r="K28436" t="s">
        <v>2553</v>
      </c>
      <c r="L28436" t="s">
        <v>2554</v>
      </c>
      <c r="M28436" t="s">
        <v>286</v>
      </c>
      <c r="N28436" t="s">
        <v>2555</v>
      </c>
      <c r="O28436" t="s">
        <v>326</v>
      </c>
      <c r="P28436" t="s">
        <v>226</v>
      </c>
    </row>
    <row r="28437" spans="1:16" x14ac:dyDescent="0.35">
      <c r="A28437" t="s">
        <v>227</v>
      </c>
      <c r="B28437" t="s">
        <v>239</v>
      </c>
      <c r="C28437" s="26">
        <v>0.93440000000000001</v>
      </c>
      <c r="D28437" s="26">
        <v>6.5600000000000006E-2</v>
      </c>
      <c r="P28437">
        <v>61</v>
      </c>
    </row>
    <row r="28438" spans="1:16" x14ac:dyDescent="0.35">
      <c r="A28438" t="s">
        <v>227</v>
      </c>
      <c r="B28438" t="s">
        <v>238</v>
      </c>
      <c r="C28438" s="26">
        <v>0.94950000000000001</v>
      </c>
      <c r="D28438" s="26">
        <v>3.0300000000000001E-2</v>
      </c>
      <c r="H28438" s="26">
        <v>2.0199999999999999E-2</v>
      </c>
      <c r="I28438" s="26">
        <v>1.01E-2</v>
      </c>
      <c r="N28438" s="26">
        <v>1.01E-2</v>
      </c>
      <c r="P28438">
        <v>99</v>
      </c>
    </row>
    <row r="28439" spans="1:16" x14ac:dyDescent="0.35">
      <c r="A28439" t="s">
        <v>228</v>
      </c>
      <c r="B28439" t="s">
        <v>239</v>
      </c>
      <c r="C28439" s="26">
        <v>0.91520000000000001</v>
      </c>
      <c r="D28439" s="26">
        <v>1.8200000000000001E-2</v>
      </c>
      <c r="E28439" s="26">
        <v>1.46E-2</v>
      </c>
      <c r="F28439" s="26">
        <v>1.2500000000000001E-2</v>
      </c>
      <c r="G28439" s="26">
        <v>2.8400000000000002E-2</v>
      </c>
      <c r="H28439" s="26">
        <v>2.7000000000000001E-3</v>
      </c>
      <c r="I28439" s="26">
        <v>4.0000000000000001E-3</v>
      </c>
      <c r="J28439" s="26">
        <v>2.8999999999999998E-3</v>
      </c>
      <c r="K28439" s="26">
        <v>4.7000000000000002E-3</v>
      </c>
      <c r="L28439" s="26">
        <v>2E-3</v>
      </c>
      <c r="N28439" s="26">
        <v>2.7000000000000001E-3</v>
      </c>
      <c r="P28439">
        <v>328</v>
      </c>
    </row>
    <row r="28440" spans="1:16" x14ac:dyDescent="0.35">
      <c r="A28440" t="s">
        <v>228</v>
      </c>
      <c r="B28440" t="s">
        <v>238</v>
      </c>
      <c r="C28440" s="26">
        <v>0.94159999999999999</v>
      </c>
      <c r="D28440" s="26">
        <v>8.0000000000000004E-4</v>
      </c>
      <c r="E28440" s="26">
        <v>6.7000000000000002E-3</v>
      </c>
      <c r="F28440" s="26">
        <v>7.4000000000000003E-3</v>
      </c>
      <c r="G28440" s="26">
        <v>9.7999999999999997E-3</v>
      </c>
      <c r="H28440" s="26">
        <v>2.0999999999999999E-3</v>
      </c>
      <c r="I28440" s="26">
        <v>1.6899999999999998E-2</v>
      </c>
      <c r="J28440" s="26">
        <v>6.7999999999999996E-3</v>
      </c>
      <c r="K28440" s="26">
        <v>1.1000000000000001E-3</v>
      </c>
      <c r="L28440" s="26">
        <v>5.3E-3</v>
      </c>
      <c r="M28440" s="26">
        <v>7.1000000000000004E-3</v>
      </c>
      <c r="O28440" s="26">
        <v>3.0000000000000001E-3</v>
      </c>
      <c r="P28440">
        <v>698</v>
      </c>
    </row>
    <row r="28441" spans="1:16" x14ac:dyDescent="0.35">
      <c r="A28441" t="s">
        <v>229</v>
      </c>
      <c r="B28441" t="s">
        <v>239</v>
      </c>
      <c r="C28441" s="26">
        <v>0.93689999999999996</v>
      </c>
      <c r="E28441" s="26">
        <v>1.3599999999999999E-2</v>
      </c>
      <c r="F28441" s="26">
        <v>9.9000000000000008E-3</v>
      </c>
      <c r="G28441" s="26">
        <v>9.9000000000000008E-3</v>
      </c>
      <c r="H28441" s="26">
        <v>1.03E-2</v>
      </c>
      <c r="J28441" s="26">
        <v>4.1000000000000003E-3</v>
      </c>
      <c r="L28441" s="26">
        <v>2.5999999999999999E-3</v>
      </c>
      <c r="M28441" s="26">
        <v>1.26E-2</v>
      </c>
      <c r="P28441">
        <v>331</v>
      </c>
    </row>
    <row r="28442" spans="1:16" x14ac:dyDescent="0.35">
      <c r="A28442" t="s">
        <v>229</v>
      </c>
      <c r="B28442" t="s">
        <v>238</v>
      </c>
      <c r="C28442" s="26">
        <v>0.91110000000000002</v>
      </c>
      <c r="D28442" s="26">
        <v>1.6500000000000001E-2</v>
      </c>
      <c r="E28442" s="26">
        <v>1.9900000000000001E-2</v>
      </c>
      <c r="F28442" s="26">
        <v>2.1399999999999999E-2</v>
      </c>
      <c r="G28442" s="26">
        <v>1.1299999999999999E-2</v>
      </c>
      <c r="H28442" s="26">
        <v>8.0999999999999996E-3</v>
      </c>
      <c r="I28442" s="26">
        <v>7.4999999999999997E-3</v>
      </c>
      <c r="J28442" s="26">
        <v>6.3E-3</v>
      </c>
      <c r="K28442" s="26">
        <v>1.2200000000000001E-2</v>
      </c>
      <c r="L28442" s="26">
        <v>4.1000000000000003E-3</v>
      </c>
      <c r="M28442" s="26">
        <v>4.0000000000000002E-4</v>
      </c>
      <c r="N28442" s="26">
        <v>4.3E-3</v>
      </c>
      <c r="O28442" s="26">
        <v>4.0000000000000002E-4</v>
      </c>
      <c r="P28442">
        <v>559</v>
      </c>
    </row>
    <row r="28443" spans="1:16" x14ac:dyDescent="0.35">
      <c r="A28443" t="s">
        <v>230</v>
      </c>
      <c r="B28443" t="s">
        <v>239</v>
      </c>
      <c r="C28443" s="26">
        <v>0.91290000000000004</v>
      </c>
      <c r="D28443" s="26">
        <v>6.0000000000000001E-3</v>
      </c>
      <c r="E28443" s="26">
        <v>9.9000000000000008E-3</v>
      </c>
      <c r="F28443" s="26">
        <v>2.8999999999999998E-3</v>
      </c>
      <c r="G28443" s="26">
        <v>2.7000000000000001E-3</v>
      </c>
      <c r="H28443" s="26">
        <v>2.0799999999999999E-2</v>
      </c>
      <c r="L28443" s="26">
        <v>2.0899999999999998E-2</v>
      </c>
      <c r="M28443" s="26">
        <v>6.0000000000000001E-3</v>
      </c>
      <c r="N28443" s="26">
        <v>8.9999999999999998E-4</v>
      </c>
      <c r="O28443" s="26">
        <v>1.7899999999999999E-2</v>
      </c>
      <c r="P28443">
        <v>211</v>
      </c>
    </row>
    <row r="28444" spans="1:16" x14ac:dyDescent="0.35">
      <c r="A28444" t="s">
        <v>230</v>
      </c>
      <c r="B28444" t="s">
        <v>238</v>
      </c>
      <c r="C28444" s="26">
        <v>0.95599999999999996</v>
      </c>
      <c r="D28444" s="26">
        <v>4.0000000000000002E-4</v>
      </c>
      <c r="E28444" s="26">
        <v>5.1999999999999998E-3</v>
      </c>
      <c r="F28444" s="26">
        <v>8.6E-3</v>
      </c>
      <c r="G28444" s="26">
        <v>9.7000000000000003E-3</v>
      </c>
      <c r="H28444" s="26">
        <v>8.2000000000000007E-3</v>
      </c>
      <c r="I28444" s="26">
        <v>7.7999999999999996E-3</v>
      </c>
      <c r="J28444" s="26">
        <v>3.0000000000000001E-3</v>
      </c>
      <c r="K28444" s="26">
        <v>8.0000000000000004E-4</v>
      </c>
      <c r="M28444" s="26">
        <v>1.2999999999999999E-3</v>
      </c>
      <c r="P28444">
        <v>347</v>
      </c>
    </row>
    <row r="28445" spans="1:16" x14ac:dyDescent="0.35">
      <c r="A28445" t="s">
        <v>231</v>
      </c>
      <c r="B28445" t="s">
        <v>239</v>
      </c>
      <c r="C28445" s="26">
        <v>0.875</v>
      </c>
      <c r="D28445" s="26">
        <v>1.7899999999999999E-2</v>
      </c>
      <c r="E28445" s="26">
        <v>3.5700000000000003E-2</v>
      </c>
      <c r="F28445" s="26">
        <v>1.7899999999999999E-2</v>
      </c>
      <c r="H28445" s="26">
        <v>1.7899999999999999E-2</v>
      </c>
      <c r="I28445" s="26">
        <v>1.7899999999999999E-2</v>
      </c>
      <c r="J28445" s="26">
        <v>1.7899999999999999E-2</v>
      </c>
      <c r="P28445">
        <v>56</v>
      </c>
    </row>
    <row r="28446" spans="1:16" x14ac:dyDescent="0.35">
      <c r="A28446" t="s">
        <v>231</v>
      </c>
      <c r="B28446" t="s">
        <v>238</v>
      </c>
      <c r="C28446" s="26">
        <v>0.97170000000000001</v>
      </c>
      <c r="G28446" s="26">
        <v>9.4000000000000004E-3</v>
      </c>
      <c r="K28446" s="26">
        <v>9.4000000000000004E-3</v>
      </c>
      <c r="L28446" s="26">
        <v>9.4000000000000004E-3</v>
      </c>
      <c r="P28446">
        <v>106</v>
      </c>
    </row>
    <row r="28447" spans="1:16" x14ac:dyDescent="0.35">
      <c r="A28447" t="s">
        <v>232</v>
      </c>
      <c r="B28447" t="s">
        <v>232</v>
      </c>
      <c r="C28447" s="26">
        <v>0.93330000000000002</v>
      </c>
      <c r="D28447" s="26">
        <v>1.29E-2</v>
      </c>
      <c r="E28447" s="26">
        <v>1.0800000000000001E-2</v>
      </c>
      <c r="F28447" s="26">
        <v>9.1999999999999998E-3</v>
      </c>
      <c r="G28447" s="26">
        <v>8.2000000000000007E-3</v>
      </c>
      <c r="H28447" s="26">
        <v>7.6E-3</v>
      </c>
      <c r="I28447" s="26">
        <v>7.4999999999999997E-3</v>
      </c>
      <c r="J28447" s="26">
        <v>4.7000000000000002E-3</v>
      </c>
      <c r="K28447" s="26">
        <v>4.7000000000000002E-3</v>
      </c>
      <c r="L28447" s="26">
        <v>4.1999999999999997E-3</v>
      </c>
      <c r="M28447" s="26">
        <v>2.3999999999999998E-3</v>
      </c>
      <c r="N28447" s="26">
        <v>2E-3</v>
      </c>
      <c r="O28447" s="26">
        <v>1.1000000000000001E-3</v>
      </c>
      <c r="P28447">
        <v>2796</v>
      </c>
    </row>
    <row r="28449" spans="1:16" x14ac:dyDescent="0.35">
      <c r="A28449" s="1" t="s">
        <v>2558</v>
      </c>
    </row>
    <row r="28450" spans="1:16" x14ac:dyDescent="0.35">
      <c r="A28450" t="s">
        <v>219</v>
      </c>
      <c r="B28450" t="s">
        <v>305</v>
      </c>
      <c r="C28450" t="s">
        <v>550</v>
      </c>
      <c r="D28450" t="s">
        <v>2547</v>
      </c>
      <c r="E28450" t="s">
        <v>2548</v>
      </c>
      <c r="F28450" t="s">
        <v>2549</v>
      </c>
      <c r="G28450" t="s">
        <v>2550</v>
      </c>
      <c r="H28450" t="s">
        <v>2551</v>
      </c>
      <c r="I28450" t="s">
        <v>2552</v>
      </c>
      <c r="J28450" t="s">
        <v>281</v>
      </c>
      <c r="K28450" t="s">
        <v>2553</v>
      </c>
      <c r="L28450" t="s">
        <v>2554</v>
      </c>
      <c r="M28450" t="s">
        <v>286</v>
      </c>
      <c r="N28450" t="s">
        <v>2555</v>
      </c>
      <c r="O28450" t="s">
        <v>326</v>
      </c>
      <c r="P28450" t="s">
        <v>226</v>
      </c>
    </row>
    <row r="28451" spans="1:16" x14ac:dyDescent="0.35">
      <c r="A28451" t="s">
        <v>227</v>
      </c>
      <c r="B28451" t="s">
        <v>244</v>
      </c>
      <c r="C28451" s="26">
        <v>0.95789999999999997</v>
      </c>
      <c r="D28451" s="26">
        <v>2.1100000000000001E-2</v>
      </c>
      <c r="H28451" s="26">
        <v>1.0500000000000001E-2</v>
      </c>
      <c r="I28451" s="26">
        <v>1.0500000000000001E-2</v>
      </c>
      <c r="N28451" s="26">
        <v>1.0500000000000001E-2</v>
      </c>
      <c r="P28451">
        <v>95</v>
      </c>
    </row>
    <row r="28452" spans="1:16" x14ac:dyDescent="0.35">
      <c r="A28452" t="s">
        <v>227</v>
      </c>
      <c r="B28452" t="s">
        <v>245</v>
      </c>
      <c r="C28452" s="26">
        <v>0.92449999999999999</v>
      </c>
      <c r="D28452" s="26">
        <v>7.5499999999999998E-2</v>
      </c>
      <c r="H28452" s="26">
        <v>1.89E-2</v>
      </c>
      <c r="P28452">
        <v>53</v>
      </c>
    </row>
    <row r="28453" spans="1:16" x14ac:dyDescent="0.35">
      <c r="A28453" s="27" t="s">
        <v>227</v>
      </c>
      <c r="B28453" s="27" t="s">
        <v>246</v>
      </c>
      <c r="C28453" s="28">
        <v>0.91669999999999996</v>
      </c>
      <c r="D28453" s="28">
        <v>8.3299999999999999E-2</v>
      </c>
      <c r="E28453" s="29"/>
      <c r="F28453" s="29"/>
      <c r="G28453" s="29"/>
      <c r="H28453" s="29"/>
      <c r="I28453" s="29"/>
      <c r="J28453" s="29"/>
      <c r="K28453" s="29"/>
      <c r="L28453" s="29"/>
      <c r="M28453" s="29"/>
      <c r="N28453" s="29"/>
      <c r="O28453" s="29"/>
      <c r="P28453" s="29" t="s">
        <v>342</v>
      </c>
    </row>
    <row r="28454" spans="1:16" x14ac:dyDescent="0.35">
      <c r="A28454" t="s">
        <v>228</v>
      </c>
      <c r="B28454" t="s">
        <v>244</v>
      </c>
      <c r="C28454" s="26">
        <v>0.9304</v>
      </c>
      <c r="D28454" s="26">
        <v>5.4999999999999997E-3</v>
      </c>
      <c r="E28454" s="26">
        <v>8.9999999999999993E-3</v>
      </c>
      <c r="F28454" s="26">
        <v>7.1000000000000004E-3</v>
      </c>
      <c r="G28454" s="26">
        <v>1.24E-2</v>
      </c>
      <c r="H28454" s="26">
        <v>2.5999999999999999E-3</v>
      </c>
      <c r="I28454" s="26">
        <v>1.5900000000000001E-2</v>
      </c>
      <c r="J28454" s="26">
        <v>6.6E-3</v>
      </c>
      <c r="K28454" s="26">
        <v>1.5E-3</v>
      </c>
      <c r="L28454" s="26">
        <v>7.0000000000000001E-3</v>
      </c>
      <c r="M28454" s="26">
        <v>8.3000000000000001E-3</v>
      </c>
      <c r="P28454">
        <v>636</v>
      </c>
    </row>
    <row r="28455" spans="1:16" x14ac:dyDescent="0.35">
      <c r="A28455" t="s">
        <v>228</v>
      </c>
      <c r="B28455" t="s">
        <v>245</v>
      </c>
      <c r="C28455" s="26">
        <v>0.95679999999999998</v>
      </c>
      <c r="D28455" s="26">
        <v>3.0000000000000001E-3</v>
      </c>
      <c r="E28455" s="26">
        <v>4.4000000000000003E-3</v>
      </c>
      <c r="F28455" s="26">
        <v>1.3599999999999999E-2</v>
      </c>
      <c r="G28455" s="26">
        <v>6.7000000000000002E-3</v>
      </c>
      <c r="H28455" s="26">
        <v>1.8E-3</v>
      </c>
      <c r="I28455" s="26">
        <v>1.3599999999999999E-2</v>
      </c>
      <c r="J28455" s="26">
        <v>4.0000000000000001E-3</v>
      </c>
      <c r="K28455" s="26">
        <v>3.0000000000000001E-3</v>
      </c>
      <c r="M28455" s="26">
        <v>8.9999999999999998E-4</v>
      </c>
      <c r="O28455" s="26">
        <v>7.3000000000000001E-3</v>
      </c>
      <c r="P28455">
        <v>323</v>
      </c>
    </row>
    <row r="28456" spans="1:16" x14ac:dyDescent="0.35">
      <c r="A28456" t="s">
        <v>228</v>
      </c>
      <c r="B28456" t="s">
        <v>246</v>
      </c>
      <c r="C28456" s="26">
        <v>0.90800000000000003</v>
      </c>
      <c r="E28456" s="26">
        <v>1.7100000000000001E-2</v>
      </c>
      <c r="G28456" s="26">
        <v>5.3699999999999998E-2</v>
      </c>
      <c r="J28456" s="26">
        <v>8.0000000000000002E-3</v>
      </c>
      <c r="N28456" s="26">
        <v>8.0000000000000002E-3</v>
      </c>
      <c r="O28456" s="26">
        <v>5.1999999999999998E-3</v>
      </c>
      <c r="P28456">
        <v>67</v>
      </c>
    </row>
    <row r="28457" spans="1:16" x14ac:dyDescent="0.35">
      <c r="A28457" t="s">
        <v>229</v>
      </c>
      <c r="B28457" t="s">
        <v>244</v>
      </c>
      <c r="C28457" s="26">
        <v>0.90449999999999997</v>
      </c>
      <c r="D28457" s="26">
        <v>1.41E-2</v>
      </c>
      <c r="E28457" s="26">
        <v>2.1299999999999999E-2</v>
      </c>
      <c r="F28457" s="26">
        <v>1.7399999999999999E-2</v>
      </c>
      <c r="G28457" s="26">
        <v>1.21E-2</v>
      </c>
      <c r="H28457" s="26">
        <v>1.2500000000000001E-2</v>
      </c>
      <c r="I28457" s="26">
        <v>8.0000000000000002E-3</v>
      </c>
      <c r="J28457" s="26">
        <v>6.8999999999999999E-3</v>
      </c>
      <c r="K28457" s="26">
        <v>8.6999999999999994E-3</v>
      </c>
      <c r="L28457" s="26">
        <v>5.3E-3</v>
      </c>
      <c r="M28457" s="26">
        <v>5.1000000000000004E-3</v>
      </c>
      <c r="N28457" s="26">
        <v>4.5999999999999999E-3</v>
      </c>
      <c r="O28457" s="26">
        <v>5.0000000000000001E-4</v>
      </c>
      <c r="P28457">
        <v>554</v>
      </c>
    </row>
    <row r="28458" spans="1:16" x14ac:dyDescent="0.35">
      <c r="A28458" t="s">
        <v>229</v>
      </c>
      <c r="B28458" t="s">
        <v>245</v>
      </c>
      <c r="C28458" s="26">
        <v>0.93889999999999996</v>
      </c>
      <c r="D28458" s="26">
        <v>1.01E-2</v>
      </c>
      <c r="E28458" s="26">
        <v>1.34E-2</v>
      </c>
      <c r="F28458" s="26">
        <v>2.4199999999999999E-2</v>
      </c>
      <c r="G28458" s="26">
        <v>1.01E-2</v>
      </c>
      <c r="J28458" s="26">
        <v>3.3999999999999998E-3</v>
      </c>
      <c r="K28458" s="26">
        <v>1.21E-2</v>
      </c>
      <c r="P28458">
        <v>291</v>
      </c>
    </row>
    <row r="28459" spans="1:16" x14ac:dyDescent="0.35">
      <c r="A28459" t="s">
        <v>229</v>
      </c>
      <c r="B28459" t="s">
        <v>246</v>
      </c>
      <c r="C28459" s="26">
        <v>0.9889</v>
      </c>
      <c r="E28459" s="26">
        <v>3.2000000000000002E-3</v>
      </c>
      <c r="F28459" s="26">
        <v>6.1999999999999998E-3</v>
      </c>
      <c r="J28459" s="26">
        <v>1.8E-3</v>
      </c>
      <c r="P28459">
        <v>45</v>
      </c>
    </row>
    <row r="28460" spans="1:16" x14ac:dyDescent="0.35">
      <c r="A28460" t="s">
        <v>230</v>
      </c>
      <c r="B28460" t="s">
        <v>244</v>
      </c>
      <c r="C28460" s="26">
        <v>0.93710000000000004</v>
      </c>
      <c r="D28460" s="26">
        <v>1.6999999999999999E-3</v>
      </c>
      <c r="E28460" s="26">
        <v>3.8999999999999998E-3</v>
      </c>
      <c r="F28460" s="26">
        <v>9.9000000000000008E-3</v>
      </c>
      <c r="G28460" s="26">
        <v>8.9999999999999993E-3</v>
      </c>
      <c r="H28460" s="26">
        <v>9.1000000000000004E-3</v>
      </c>
      <c r="I28460" s="26">
        <v>7.7999999999999996E-3</v>
      </c>
      <c r="J28460" s="26">
        <v>1.6999999999999999E-3</v>
      </c>
      <c r="K28460" s="26">
        <v>8.0000000000000004E-4</v>
      </c>
      <c r="L28460" s="26">
        <v>7.7999999999999996E-3</v>
      </c>
      <c r="M28460" s="26">
        <v>3.8999999999999998E-3</v>
      </c>
      <c r="O28460" s="26">
        <v>7.7999999999999996E-3</v>
      </c>
      <c r="P28460">
        <v>368</v>
      </c>
    </row>
    <row r="28461" spans="1:16" x14ac:dyDescent="0.35">
      <c r="A28461" t="s">
        <v>230</v>
      </c>
      <c r="B28461" t="s">
        <v>245</v>
      </c>
      <c r="C28461" s="26">
        <v>0.97640000000000005</v>
      </c>
      <c r="D28461" s="26">
        <v>3.3999999999999998E-3</v>
      </c>
      <c r="E28461" s="26">
        <v>1.15E-2</v>
      </c>
      <c r="G28461" s="26">
        <v>5.3E-3</v>
      </c>
      <c r="J28461" s="26">
        <v>3.3999999999999998E-3</v>
      </c>
      <c r="N28461" s="26">
        <v>1.1000000000000001E-3</v>
      </c>
      <c r="P28461">
        <v>161</v>
      </c>
    </row>
    <row r="28462" spans="1:16" x14ac:dyDescent="0.35">
      <c r="A28462" s="27" t="s">
        <v>230</v>
      </c>
      <c r="B28462" s="27" t="s">
        <v>246</v>
      </c>
      <c r="C28462" s="28">
        <v>0.84670000000000001</v>
      </c>
      <c r="D28462" s="29"/>
      <c r="E28462" s="28">
        <v>1.83E-2</v>
      </c>
      <c r="F28462" s="29"/>
      <c r="G28462" s="29"/>
      <c r="H28462" s="28">
        <v>0.1164</v>
      </c>
      <c r="I28462" s="29"/>
      <c r="J28462" s="29"/>
      <c r="K28462" s="29"/>
      <c r="L28462" s="28">
        <v>1.8700000000000001E-2</v>
      </c>
      <c r="M28462" s="29"/>
      <c r="N28462" s="29"/>
      <c r="O28462" s="29"/>
      <c r="P28462" s="29" t="s">
        <v>329</v>
      </c>
    </row>
    <row r="28463" spans="1:16" x14ac:dyDescent="0.35">
      <c r="A28463" t="s">
        <v>231</v>
      </c>
      <c r="B28463" t="s">
        <v>244</v>
      </c>
      <c r="C28463" s="26">
        <v>0.95740000000000003</v>
      </c>
      <c r="E28463" s="26">
        <v>1.06E-2</v>
      </c>
      <c r="H28463" s="26">
        <v>1.06E-2</v>
      </c>
      <c r="J28463" s="26">
        <v>1.06E-2</v>
      </c>
      <c r="L28463" s="26">
        <v>1.06E-2</v>
      </c>
      <c r="P28463">
        <v>94</v>
      </c>
    </row>
    <row r="28464" spans="1:16" x14ac:dyDescent="0.35">
      <c r="A28464" t="s">
        <v>231</v>
      </c>
      <c r="B28464" t="s">
        <v>245</v>
      </c>
      <c r="C28464" s="26">
        <v>0.94550000000000001</v>
      </c>
      <c r="E28464" s="26">
        <v>1.8200000000000001E-2</v>
      </c>
      <c r="G28464" s="26">
        <v>1.8200000000000001E-2</v>
      </c>
      <c r="K28464" s="26">
        <v>1.8200000000000001E-2</v>
      </c>
      <c r="P28464">
        <v>55</v>
      </c>
    </row>
    <row r="28465" spans="1:16" x14ac:dyDescent="0.35">
      <c r="A28465" s="27" t="s">
        <v>231</v>
      </c>
      <c r="B28465" s="27" t="s">
        <v>246</v>
      </c>
      <c r="C28465" s="28">
        <v>0.76919999999999999</v>
      </c>
      <c r="D28465" s="28">
        <v>7.6899999999999996E-2</v>
      </c>
      <c r="E28465" s="29"/>
      <c r="F28465" s="28">
        <v>7.6899999999999996E-2</v>
      </c>
      <c r="G28465" s="29"/>
      <c r="H28465" s="29"/>
      <c r="I28465" s="28">
        <v>7.6899999999999996E-2</v>
      </c>
      <c r="J28465" s="29"/>
      <c r="K28465" s="29"/>
      <c r="L28465" s="29"/>
      <c r="M28465" s="29"/>
      <c r="N28465" s="29"/>
      <c r="O28465" s="29"/>
      <c r="P28465" s="29" t="s">
        <v>341</v>
      </c>
    </row>
    <row r="28466" spans="1:16" x14ac:dyDescent="0.35">
      <c r="A28466" t="s">
        <v>232</v>
      </c>
      <c r="B28466" t="s">
        <v>232</v>
      </c>
      <c r="C28466" s="26">
        <v>0.93330000000000002</v>
      </c>
      <c r="D28466" s="26">
        <v>1.29E-2</v>
      </c>
      <c r="E28466" s="26">
        <v>1.0800000000000001E-2</v>
      </c>
      <c r="F28466" s="26">
        <v>9.1999999999999998E-3</v>
      </c>
      <c r="G28466" s="26">
        <v>8.2000000000000007E-3</v>
      </c>
      <c r="H28466" s="26">
        <v>7.6E-3</v>
      </c>
      <c r="I28466" s="26">
        <v>7.4999999999999997E-3</v>
      </c>
      <c r="J28466" s="26">
        <v>4.7000000000000002E-3</v>
      </c>
      <c r="K28466" s="26">
        <v>4.7000000000000002E-3</v>
      </c>
      <c r="L28466" s="26">
        <v>4.1999999999999997E-3</v>
      </c>
      <c r="M28466" s="26">
        <v>2.3999999999999998E-3</v>
      </c>
      <c r="N28466" s="26">
        <v>2E-3</v>
      </c>
      <c r="O28466" s="26">
        <v>1.1000000000000001E-3</v>
      </c>
      <c r="P28466">
        <v>2796</v>
      </c>
    </row>
    <row r="28468" spans="1:16" x14ac:dyDescent="0.35">
      <c r="A28468" s="1" t="s">
        <v>2559</v>
      </c>
    </row>
    <row r="28469" spans="1:16" x14ac:dyDescent="0.35">
      <c r="A28469" t="s">
        <v>219</v>
      </c>
      <c r="B28469" t="s">
        <v>305</v>
      </c>
      <c r="C28469" t="s">
        <v>550</v>
      </c>
      <c r="D28469" t="s">
        <v>2547</v>
      </c>
      <c r="E28469" t="s">
        <v>2548</v>
      </c>
      <c r="F28469" t="s">
        <v>2549</v>
      </c>
      <c r="G28469" t="s">
        <v>2550</v>
      </c>
      <c r="H28469" t="s">
        <v>2551</v>
      </c>
      <c r="I28469" t="s">
        <v>2552</v>
      </c>
      <c r="J28469" t="s">
        <v>281</v>
      </c>
      <c r="K28469" t="s">
        <v>2553</v>
      </c>
      <c r="L28469" t="s">
        <v>2554</v>
      </c>
      <c r="M28469" t="s">
        <v>286</v>
      </c>
      <c r="N28469" t="s">
        <v>2555</v>
      </c>
      <c r="O28469" t="s">
        <v>326</v>
      </c>
      <c r="P28469" t="s">
        <v>226</v>
      </c>
    </row>
    <row r="28470" spans="1:16" x14ac:dyDescent="0.35">
      <c r="A28470" t="s">
        <v>227</v>
      </c>
      <c r="B28470" t="s">
        <v>360</v>
      </c>
      <c r="C28470" s="26">
        <v>0.92110000000000003</v>
      </c>
      <c r="D28470" s="26">
        <v>7.8899999999999998E-2</v>
      </c>
      <c r="H28470" s="26">
        <v>2.63E-2</v>
      </c>
      <c r="P28470">
        <v>38</v>
      </c>
    </row>
    <row r="28471" spans="1:16" x14ac:dyDescent="0.35">
      <c r="A28471" t="s">
        <v>227</v>
      </c>
      <c r="B28471" t="s">
        <v>361</v>
      </c>
      <c r="C28471" s="26">
        <v>1</v>
      </c>
      <c r="P28471">
        <v>32</v>
      </c>
    </row>
    <row r="28472" spans="1:16" x14ac:dyDescent="0.35">
      <c r="A28472" t="s">
        <v>227</v>
      </c>
      <c r="B28472" t="s">
        <v>362</v>
      </c>
      <c r="C28472" s="26">
        <v>0.91890000000000005</v>
      </c>
      <c r="D28472" s="26">
        <v>8.1100000000000005E-2</v>
      </c>
      <c r="P28472">
        <v>37</v>
      </c>
    </row>
    <row r="28473" spans="1:16" x14ac:dyDescent="0.35">
      <c r="A28473" t="s">
        <v>227</v>
      </c>
      <c r="B28473" t="s">
        <v>363</v>
      </c>
      <c r="C28473" s="26">
        <v>0.93330000000000002</v>
      </c>
      <c r="D28473" s="26">
        <v>2.2200000000000001E-2</v>
      </c>
      <c r="H28473" s="26">
        <v>2.2200000000000001E-2</v>
      </c>
      <c r="I28473" s="26">
        <v>2.2200000000000001E-2</v>
      </c>
      <c r="N28473" s="26">
        <v>2.2200000000000001E-2</v>
      </c>
      <c r="P28473">
        <v>45</v>
      </c>
    </row>
    <row r="28474" spans="1:16" x14ac:dyDescent="0.35">
      <c r="A28474" t="s">
        <v>228</v>
      </c>
      <c r="B28474" t="s">
        <v>360</v>
      </c>
      <c r="C28474" s="26">
        <v>0.87919999999999998</v>
      </c>
      <c r="D28474" s="26">
        <v>2.0999999999999999E-3</v>
      </c>
      <c r="E28474" s="26">
        <v>3.8999999999999998E-3</v>
      </c>
      <c r="F28474" s="26">
        <v>3.5700000000000003E-2</v>
      </c>
      <c r="G28474" s="26">
        <v>3.7900000000000003E-2</v>
      </c>
      <c r="H28474" s="26">
        <v>7.1999999999999998E-3</v>
      </c>
      <c r="I28474" s="26">
        <v>1.9E-2</v>
      </c>
      <c r="J28474" s="26">
        <v>1.6400000000000001E-2</v>
      </c>
      <c r="K28474" s="26">
        <v>2.8E-3</v>
      </c>
      <c r="L28474" s="26">
        <v>4.1999999999999997E-3</v>
      </c>
      <c r="M28474" s="26">
        <v>2.8E-3</v>
      </c>
      <c r="O28474" s="26">
        <v>7.7999999999999996E-3</v>
      </c>
      <c r="P28474">
        <v>255</v>
      </c>
    </row>
    <row r="28475" spans="1:16" x14ac:dyDescent="0.35">
      <c r="A28475" t="s">
        <v>228</v>
      </c>
      <c r="B28475" t="s">
        <v>361</v>
      </c>
      <c r="C28475" s="26">
        <v>0.96050000000000002</v>
      </c>
      <c r="E28475" s="26">
        <v>2.3E-3</v>
      </c>
      <c r="H28475" s="26">
        <v>2.3E-3</v>
      </c>
      <c r="I28475" s="26">
        <v>2.7900000000000001E-2</v>
      </c>
      <c r="K28475" s="26">
        <v>3.5000000000000001E-3</v>
      </c>
      <c r="O28475" s="26">
        <v>3.5000000000000001E-3</v>
      </c>
      <c r="P28475">
        <v>193</v>
      </c>
    </row>
    <row r="28476" spans="1:16" x14ac:dyDescent="0.35">
      <c r="A28476" t="s">
        <v>228</v>
      </c>
      <c r="B28476" t="s">
        <v>363</v>
      </c>
      <c r="C28476" s="26">
        <v>0.92920000000000003</v>
      </c>
      <c r="D28476" s="26">
        <v>1.6999999999999999E-3</v>
      </c>
      <c r="E28476" s="26">
        <v>0.01</v>
      </c>
      <c r="F28476" s="26">
        <v>1.6999999999999999E-3</v>
      </c>
      <c r="G28476" s="26">
        <v>1.5800000000000002E-2</v>
      </c>
      <c r="I28476" s="26">
        <v>1.5800000000000002E-2</v>
      </c>
      <c r="J28476" s="26">
        <v>8.3999999999999995E-3</v>
      </c>
      <c r="K28476" s="26">
        <v>1.6999999999999999E-3</v>
      </c>
      <c r="L28476" s="26">
        <v>1.4E-2</v>
      </c>
      <c r="M28476" s="26">
        <v>1.4999999999999999E-2</v>
      </c>
      <c r="N28476" s="26">
        <v>2.3E-3</v>
      </c>
      <c r="P28476">
        <v>210</v>
      </c>
    </row>
    <row r="28477" spans="1:16" x14ac:dyDescent="0.35">
      <c r="A28477" t="s">
        <v>228</v>
      </c>
      <c r="B28477" t="s">
        <v>362</v>
      </c>
      <c r="C28477" s="26">
        <v>0.95330000000000004</v>
      </c>
      <c r="D28477" s="26">
        <v>1.5299999999999999E-2</v>
      </c>
      <c r="E28477" s="26">
        <v>1.8100000000000002E-2</v>
      </c>
      <c r="F28477" s="26">
        <v>1.8E-3</v>
      </c>
      <c r="G28477" s="26">
        <v>7.1000000000000004E-3</v>
      </c>
      <c r="J28477" s="26">
        <v>2.0999999999999999E-3</v>
      </c>
      <c r="L28477" s="26">
        <v>1.8E-3</v>
      </c>
      <c r="M28477" s="26">
        <v>2.3999999999999998E-3</v>
      </c>
      <c r="P28477">
        <v>236</v>
      </c>
    </row>
    <row r="28478" spans="1:16" x14ac:dyDescent="0.35">
      <c r="A28478" t="s">
        <v>229</v>
      </c>
      <c r="B28478" t="s">
        <v>363</v>
      </c>
      <c r="C28478" s="26">
        <v>0.90149999999999997</v>
      </c>
      <c r="D28478" s="26">
        <v>3.2800000000000003E-2</v>
      </c>
      <c r="F28478" s="26">
        <v>1.6400000000000001E-2</v>
      </c>
      <c r="G28478" s="26">
        <v>1.37E-2</v>
      </c>
      <c r="J28478" s="26">
        <v>2.01E-2</v>
      </c>
      <c r="K28478" s="26">
        <v>4.9200000000000001E-2</v>
      </c>
      <c r="M28478" s="26">
        <v>1.37E-2</v>
      </c>
      <c r="O28478" s="26">
        <v>1.8E-3</v>
      </c>
      <c r="P28478">
        <v>191</v>
      </c>
    </row>
    <row r="28479" spans="1:16" x14ac:dyDescent="0.35">
      <c r="A28479" t="s">
        <v>229</v>
      </c>
      <c r="B28479" t="s">
        <v>360</v>
      </c>
      <c r="C28479" s="26">
        <v>0.97170000000000001</v>
      </c>
      <c r="E28479" s="26">
        <v>2.1700000000000001E-2</v>
      </c>
      <c r="F28479" s="26">
        <v>5.9999999999999995E-4</v>
      </c>
      <c r="J28479" s="26">
        <v>1.6999999999999999E-3</v>
      </c>
      <c r="M28479" s="26">
        <v>4.3E-3</v>
      </c>
      <c r="P28479">
        <v>163</v>
      </c>
    </row>
    <row r="28480" spans="1:16" x14ac:dyDescent="0.35">
      <c r="A28480" t="s">
        <v>229</v>
      </c>
      <c r="B28480" t="s">
        <v>361</v>
      </c>
      <c r="C28480" s="26">
        <v>0.93710000000000004</v>
      </c>
      <c r="D28480" s="26">
        <v>8.0999999999999996E-3</v>
      </c>
      <c r="E28480" s="26">
        <v>2.3199999999999998E-2</v>
      </c>
      <c r="F28480" s="26">
        <v>2.2100000000000002E-2</v>
      </c>
      <c r="G28480" s="26">
        <v>8.9999999999999998E-4</v>
      </c>
      <c r="H28480" s="26">
        <v>1.49E-2</v>
      </c>
      <c r="I28480" s="26">
        <v>1.49E-2</v>
      </c>
      <c r="J28480" s="26">
        <v>1.8E-3</v>
      </c>
      <c r="P28480">
        <v>239</v>
      </c>
    </row>
    <row r="28481" spans="1:16" x14ac:dyDescent="0.35">
      <c r="A28481" t="s">
        <v>229</v>
      </c>
      <c r="B28481" t="s">
        <v>362</v>
      </c>
      <c r="C28481" s="26">
        <v>0.9093</v>
      </c>
      <c r="D28481" s="26">
        <v>4.1000000000000003E-3</v>
      </c>
      <c r="E28481" s="26">
        <v>1.9599999999999999E-2</v>
      </c>
      <c r="F28481" s="26">
        <v>4.3299999999999998E-2</v>
      </c>
      <c r="G28481" s="26">
        <v>1.55E-2</v>
      </c>
      <c r="L28481" s="26">
        <v>4.1000000000000003E-3</v>
      </c>
      <c r="N28481" s="26">
        <v>4.1000000000000003E-3</v>
      </c>
      <c r="P28481">
        <v>171</v>
      </c>
    </row>
    <row r="28482" spans="1:16" x14ac:dyDescent="0.35">
      <c r="A28482" t="s">
        <v>230</v>
      </c>
      <c r="B28482" t="s">
        <v>360</v>
      </c>
      <c r="C28482" s="26">
        <v>0.9385</v>
      </c>
      <c r="D28482" s="26">
        <v>6.4999999999999997E-3</v>
      </c>
      <c r="F28482" s="26">
        <v>3.0000000000000001E-3</v>
      </c>
      <c r="G28482" s="26">
        <v>3.8600000000000002E-2</v>
      </c>
      <c r="H28482" s="26">
        <v>4.8999999999999998E-3</v>
      </c>
      <c r="K28482" s="26">
        <v>1.5E-3</v>
      </c>
      <c r="L28482" s="26">
        <v>5.0000000000000001E-3</v>
      </c>
      <c r="M28482" s="26">
        <v>5.0000000000000001E-3</v>
      </c>
      <c r="N28482" s="26">
        <v>1.5E-3</v>
      </c>
      <c r="P28482">
        <v>119</v>
      </c>
    </row>
    <row r="28483" spans="1:16" x14ac:dyDescent="0.35">
      <c r="A28483" t="s">
        <v>230</v>
      </c>
      <c r="B28483" t="s">
        <v>363</v>
      </c>
      <c r="C28483" s="26">
        <v>0.93730000000000002</v>
      </c>
      <c r="D28483" s="26">
        <v>3.8E-3</v>
      </c>
      <c r="E28483" s="26">
        <v>1.2699999999999999E-2</v>
      </c>
      <c r="I28483" s="26">
        <v>2.3099999999999999E-2</v>
      </c>
      <c r="O28483" s="26">
        <v>2.3099999999999999E-2</v>
      </c>
      <c r="P28483">
        <v>127</v>
      </c>
    </row>
    <row r="28484" spans="1:16" x14ac:dyDescent="0.35">
      <c r="A28484" t="s">
        <v>230</v>
      </c>
      <c r="B28484" t="s">
        <v>361</v>
      </c>
      <c r="C28484" s="26">
        <v>0.96220000000000006</v>
      </c>
      <c r="E28484" s="26">
        <v>7.1999999999999998E-3</v>
      </c>
      <c r="F28484" s="26">
        <v>3.5000000000000001E-3</v>
      </c>
      <c r="G28484" s="26">
        <v>1.1000000000000001E-3</v>
      </c>
      <c r="H28484" s="26">
        <v>1.1000000000000001E-3</v>
      </c>
      <c r="L28484" s="26">
        <v>2.1299999999999999E-2</v>
      </c>
      <c r="M28484" s="26">
        <v>3.5999999999999999E-3</v>
      </c>
      <c r="P28484">
        <v>108</v>
      </c>
    </row>
    <row r="28485" spans="1:16" x14ac:dyDescent="0.35">
      <c r="A28485" t="s">
        <v>230</v>
      </c>
      <c r="B28485" t="s">
        <v>362</v>
      </c>
      <c r="C28485" s="26">
        <v>0.91820000000000002</v>
      </c>
      <c r="E28485" s="26">
        <v>7.1000000000000004E-3</v>
      </c>
      <c r="F28485" s="26">
        <v>2.1499999999999998E-2</v>
      </c>
      <c r="G28485" s="26">
        <v>1.1000000000000001E-3</v>
      </c>
      <c r="H28485" s="26">
        <v>4.2900000000000001E-2</v>
      </c>
      <c r="J28485" s="26">
        <v>8.2000000000000007E-3</v>
      </c>
      <c r="K28485" s="26">
        <v>1.1000000000000001E-3</v>
      </c>
      <c r="P28485">
        <v>148</v>
      </c>
    </row>
    <row r="28486" spans="1:16" x14ac:dyDescent="0.35">
      <c r="A28486" s="27" t="s">
        <v>231</v>
      </c>
      <c r="B28486" s="27" t="s">
        <v>362</v>
      </c>
      <c r="C28486" s="28">
        <v>0.93100000000000005</v>
      </c>
      <c r="D28486" s="29"/>
      <c r="E28486" s="29"/>
      <c r="F28486" s="29"/>
      <c r="G28486" s="28">
        <v>3.4500000000000003E-2</v>
      </c>
      <c r="H28486" s="28">
        <v>3.4500000000000003E-2</v>
      </c>
      <c r="I28486" s="29"/>
      <c r="J28486" s="29"/>
      <c r="K28486" s="29"/>
      <c r="L28486" s="29"/>
      <c r="M28486" s="29"/>
      <c r="N28486" s="29"/>
      <c r="O28486" s="29"/>
      <c r="P28486" s="29" t="s">
        <v>329</v>
      </c>
    </row>
    <row r="28487" spans="1:16" x14ac:dyDescent="0.35">
      <c r="A28487" t="s">
        <v>231</v>
      </c>
      <c r="B28487" t="s">
        <v>361</v>
      </c>
      <c r="C28487" s="26">
        <v>0.91839999999999999</v>
      </c>
      <c r="E28487" s="26">
        <v>4.0800000000000003E-2</v>
      </c>
      <c r="K28487" s="26">
        <v>2.0400000000000001E-2</v>
      </c>
      <c r="L28487" s="26">
        <v>2.0400000000000001E-2</v>
      </c>
      <c r="P28487">
        <v>49</v>
      </c>
    </row>
    <row r="28488" spans="1:16" x14ac:dyDescent="0.35">
      <c r="A28488" t="s">
        <v>231</v>
      </c>
      <c r="B28488" t="s">
        <v>360</v>
      </c>
      <c r="C28488" s="26">
        <v>0.90910000000000002</v>
      </c>
      <c r="D28488" s="26">
        <v>2.2700000000000001E-2</v>
      </c>
      <c r="F28488" s="26">
        <v>2.2700000000000001E-2</v>
      </c>
      <c r="I28488" s="26">
        <v>2.2700000000000001E-2</v>
      </c>
      <c r="J28488" s="26">
        <v>2.2700000000000001E-2</v>
      </c>
      <c r="P28488">
        <v>44</v>
      </c>
    </row>
    <row r="28489" spans="1:16" x14ac:dyDescent="0.35">
      <c r="A28489" s="27" t="s">
        <v>231</v>
      </c>
      <c r="B28489" s="27" t="s">
        <v>363</v>
      </c>
      <c r="C28489" s="28">
        <v>1</v>
      </c>
      <c r="D28489" s="29"/>
      <c r="E28489" s="29"/>
      <c r="F28489" s="29"/>
      <c r="G28489" s="29"/>
      <c r="H28489" s="29"/>
      <c r="I28489" s="29"/>
      <c r="J28489" s="29"/>
      <c r="K28489" s="29"/>
      <c r="L28489" s="29"/>
      <c r="M28489" s="29"/>
      <c r="N28489" s="29"/>
      <c r="O28489" s="29"/>
      <c r="P28489" s="29" t="s">
        <v>357</v>
      </c>
    </row>
    <row r="28490" spans="1:16" x14ac:dyDescent="0.35">
      <c r="A28490" t="s">
        <v>232</v>
      </c>
      <c r="B28490" t="s">
        <v>232</v>
      </c>
      <c r="C28490" s="26">
        <v>0.93330000000000002</v>
      </c>
      <c r="D28490" s="26">
        <v>1.29E-2</v>
      </c>
      <c r="E28490" s="26">
        <v>1.0800000000000001E-2</v>
      </c>
      <c r="F28490" s="26">
        <v>9.1999999999999998E-3</v>
      </c>
      <c r="G28490" s="26">
        <v>8.2000000000000007E-3</v>
      </c>
      <c r="H28490" s="26">
        <v>7.6E-3</v>
      </c>
      <c r="I28490" s="26">
        <v>7.4999999999999997E-3</v>
      </c>
      <c r="J28490" s="26">
        <v>4.7000000000000002E-3</v>
      </c>
      <c r="K28490" s="26">
        <v>4.7000000000000002E-3</v>
      </c>
      <c r="L28490" s="26">
        <v>4.1999999999999997E-3</v>
      </c>
      <c r="M28490" s="26">
        <v>2.3999999999999998E-3</v>
      </c>
      <c r="N28490" s="26">
        <v>2E-3</v>
      </c>
      <c r="O28490" s="26">
        <v>1.1000000000000001E-3</v>
      </c>
      <c r="P28490">
        <v>2460</v>
      </c>
    </row>
    <row r="28492" spans="1:16" x14ac:dyDescent="0.35">
      <c r="A28492" s="1" t="s">
        <v>2560</v>
      </c>
    </row>
    <row r="28493" spans="1:16" x14ac:dyDescent="0.35">
      <c r="A28493" t="s">
        <v>219</v>
      </c>
      <c r="B28493" t="s">
        <v>305</v>
      </c>
      <c r="C28493" t="s">
        <v>550</v>
      </c>
      <c r="D28493" t="s">
        <v>2547</v>
      </c>
      <c r="E28493" t="s">
        <v>2548</v>
      </c>
      <c r="F28493" t="s">
        <v>2549</v>
      </c>
      <c r="G28493" t="s">
        <v>2550</v>
      </c>
      <c r="H28493" t="s">
        <v>2551</v>
      </c>
      <c r="I28493" t="s">
        <v>2552</v>
      </c>
      <c r="J28493" t="s">
        <v>281</v>
      </c>
      <c r="K28493" t="s">
        <v>2553</v>
      </c>
      <c r="L28493" t="s">
        <v>2554</v>
      </c>
      <c r="M28493" t="s">
        <v>286</v>
      </c>
      <c r="N28493" t="s">
        <v>2555</v>
      </c>
      <c r="O28493" t="s">
        <v>326</v>
      </c>
      <c r="P28493" t="s">
        <v>226</v>
      </c>
    </row>
    <row r="28494" spans="1:16" x14ac:dyDescent="0.35">
      <c r="A28494" t="s">
        <v>227</v>
      </c>
      <c r="B28494" t="s">
        <v>267</v>
      </c>
      <c r="C28494" s="26">
        <v>0.91669999999999996</v>
      </c>
      <c r="D28494" s="26">
        <v>8.3299999999999999E-2</v>
      </c>
      <c r="H28494" s="26">
        <v>2.7799999999999998E-2</v>
      </c>
      <c r="P28494">
        <v>36</v>
      </c>
    </row>
    <row r="28495" spans="1:16" x14ac:dyDescent="0.35">
      <c r="A28495" t="s">
        <v>227</v>
      </c>
      <c r="B28495" t="s">
        <v>266</v>
      </c>
      <c r="C28495" s="26">
        <v>0.94920000000000004</v>
      </c>
      <c r="D28495" s="26">
        <v>3.39E-2</v>
      </c>
      <c r="I28495" s="26">
        <v>1.6899999999999998E-2</v>
      </c>
      <c r="P28495">
        <v>59</v>
      </c>
    </row>
    <row r="28496" spans="1:16" x14ac:dyDescent="0.35">
      <c r="A28496" t="s">
        <v>227</v>
      </c>
      <c r="B28496" t="s">
        <v>265</v>
      </c>
      <c r="C28496" s="26">
        <v>0.95379999999999998</v>
      </c>
      <c r="D28496" s="26">
        <v>3.0800000000000001E-2</v>
      </c>
      <c r="H28496" s="26">
        <v>1.54E-2</v>
      </c>
      <c r="N28496" s="26">
        <v>1.54E-2</v>
      </c>
      <c r="P28496">
        <v>65</v>
      </c>
    </row>
    <row r="28497" spans="1:16" x14ac:dyDescent="0.35">
      <c r="A28497" t="s">
        <v>228</v>
      </c>
      <c r="B28497" t="s">
        <v>267</v>
      </c>
      <c r="C28497" s="26">
        <v>0.92610000000000003</v>
      </c>
      <c r="E28497" s="26">
        <v>4.0000000000000001E-3</v>
      </c>
      <c r="F28497" s="26">
        <v>7.1000000000000004E-3</v>
      </c>
      <c r="G28497" s="26">
        <v>5.7999999999999996E-3</v>
      </c>
      <c r="H28497" s="26">
        <v>3.3E-3</v>
      </c>
      <c r="I28497" s="26">
        <v>2.01E-2</v>
      </c>
      <c r="J28497" s="26">
        <v>1.34E-2</v>
      </c>
      <c r="K28497" s="26">
        <v>2.5000000000000001E-3</v>
      </c>
      <c r="M28497" s="26">
        <v>8.0999999999999996E-3</v>
      </c>
      <c r="O28497" s="26">
        <v>1.21E-2</v>
      </c>
      <c r="P28497">
        <v>197</v>
      </c>
    </row>
    <row r="28498" spans="1:16" x14ac:dyDescent="0.35">
      <c r="A28498" t="s">
        <v>228</v>
      </c>
      <c r="B28498" t="s">
        <v>265</v>
      </c>
      <c r="C28498" s="26">
        <v>0.9466</v>
      </c>
      <c r="D28498" s="26">
        <v>5.9999999999999995E-4</v>
      </c>
      <c r="E28498" s="26">
        <v>8.3999999999999995E-3</v>
      </c>
      <c r="F28498" s="26">
        <v>4.1999999999999997E-3</v>
      </c>
      <c r="G28498" s="26">
        <v>1.35E-2</v>
      </c>
      <c r="I28498" s="26">
        <v>9.1000000000000004E-3</v>
      </c>
      <c r="J28498" s="26">
        <v>5.0000000000000001E-3</v>
      </c>
      <c r="L28498" s="26">
        <v>9.1000000000000004E-3</v>
      </c>
      <c r="M28498" s="26">
        <v>1.04E-2</v>
      </c>
      <c r="N28498" s="26">
        <v>1.2999999999999999E-3</v>
      </c>
      <c r="O28498" s="26">
        <v>8.9999999999999998E-4</v>
      </c>
      <c r="P28498">
        <v>383</v>
      </c>
    </row>
    <row r="28499" spans="1:16" x14ac:dyDescent="0.35">
      <c r="A28499" s="27" t="s">
        <v>228</v>
      </c>
      <c r="B28499" s="27" t="s">
        <v>236</v>
      </c>
      <c r="C28499" s="28">
        <v>0.5</v>
      </c>
      <c r="D28499" s="28">
        <v>0.5</v>
      </c>
      <c r="E28499" s="29"/>
      <c r="F28499" s="29"/>
      <c r="G28499" s="29"/>
      <c r="H28499" s="29"/>
      <c r="I28499" s="29"/>
      <c r="J28499" s="29"/>
      <c r="K28499" s="29"/>
      <c r="L28499" s="29"/>
      <c r="M28499" s="29"/>
      <c r="N28499" s="29"/>
      <c r="O28499" s="29"/>
      <c r="P28499" s="29" t="s">
        <v>314</v>
      </c>
    </row>
    <row r="28500" spans="1:16" x14ac:dyDescent="0.35">
      <c r="A28500" t="s">
        <v>228</v>
      </c>
      <c r="B28500" t="s">
        <v>266</v>
      </c>
      <c r="C28500" s="26">
        <v>0.93669999999999998</v>
      </c>
      <c r="D28500" s="26">
        <v>2E-3</v>
      </c>
      <c r="E28500" s="26">
        <v>0.01</v>
      </c>
      <c r="F28500" s="26">
        <v>1.34E-2</v>
      </c>
      <c r="G28500" s="26">
        <v>1.72E-2</v>
      </c>
      <c r="H28500" s="26">
        <v>4.0000000000000001E-3</v>
      </c>
      <c r="I28500" s="26">
        <v>1.72E-2</v>
      </c>
      <c r="J28500" s="26">
        <v>4.0000000000000001E-3</v>
      </c>
      <c r="K28500" s="26">
        <v>3.3999999999999998E-3</v>
      </c>
      <c r="L28500" s="26">
        <v>2E-3</v>
      </c>
      <c r="P28500">
        <v>444</v>
      </c>
    </row>
    <row r="28501" spans="1:16" x14ac:dyDescent="0.35">
      <c r="A28501" t="s">
        <v>229</v>
      </c>
      <c r="B28501" t="s">
        <v>266</v>
      </c>
      <c r="C28501" s="26">
        <v>0.9304</v>
      </c>
      <c r="E28501" s="26">
        <v>1.9900000000000001E-2</v>
      </c>
      <c r="F28501" s="26">
        <v>3.5299999999999998E-2</v>
      </c>
      <c r="G28501" s="26">
        <v>1.54E-2</v>
      </c>
      <c r="J28501" s="26">
        <v>2.5999999999999999E-3</v>
      </c>
      <c r="K28501" s="26">
        <v>9.1999999999999998E-3</v>
      </c>
      <c r="L28501" s="26">
        <v>2E-3</v>
      </c>
      <c r="N28501" s="26">
        <v>2E-3</v>
      </c>
      <c r="P28501">
        <v>358</v>
      </c>
    </row>
    <row r="28502" spans="1:16" x14ac:dyDescent="0.35">
      <c r="A28502" t="s">
        <v>229</v>
      </c>
      <c r="B28502" t="s">
        <v>267</v>
      </c>
      <c r="C28502" s="26">
        <v>0.91949999999999998</v>
      </c>
      <c r="D28502" s="26">
        <v>3.9399999999999998E-2</v>
      </c>
      <c r="E28502" s="26">
        <v>2.5999999999999999E-2</v>
      </c>
      <c r="G28502" s="26">
        <v>1.54E-2</v>
      </c>
      <c r="H28502" s="26">
        <v>1.3899999999999999E-2</v>
      </c>
      <c r="J28502" s="26">
        <v>4.0000000000000002E-4</v>
      </c>
      <c r="K28502" s="26">
        <v>1.3899999999999999E-2</v>
      </c>
      <c r="N28502" s="26">
        <v>1.1599999999999999E-2</v>
      </c>
      <c r="O28502" s="26">
        <v>1.5E-3</v>
      </c>
      <c r="P28502">
        <v>198</v>
      </c>
    </row>
    <row r="28503" spans="1:16" x14ac:dyDescent="0.35">
      <c r="A28503" t="s">
        <v>229</v>
      </c>
      <c r="B28503" t="s">
        <v>265</v>
      </c>
      <c r="C28503" s="26">
        <v>0.90759999999999996</v>
      </c>
      <c r="D28503" s="26">
        <v>8.2000000000000007E-3</v>
      </c>
      <c r="E28503" s="26">
        <v>1.34E-2</v>
      </c>
      <c r="F28503" s="26">
        <v>1.52E-2</v>
      </c>
      <c r="G28503" s="26">
        <v>5.5999999999999999E-3</v>
      </c>
      <c r="H28503" s="26">
        <v>1.2500000000000001E-2</v>
      </c>
      <c r="I28503" s="26">
        <v>1.23E-2</v>
      </c>
      <c r="J28503" s="26">
        <v>1.06E-2</v>
      </c>
      <c r="K28503" s="26">
        <v>6.7000000000000002E-3</v>
      </c>
      <c r="L28503" s="26">
        <v>6.7000000000000002E-3</v>
      </c>
      <c r="M28503" s="26">
        <v>7.7999999999999996E-3</v>
      </c>
      <c r="P28503">
        <v>334</v>
      </c>
    </row>
    <row r="28504" spans="1:16" x14ac:dyDescent="0.35">
      <c r="A28504" t="s">
        <v>230</v>
      </c>
      <c r="B28504" t="s">
        <v>267</v>
      </c>
      <c r="C28504" s="26">
        <v>0.97289999999999999</v>
      </c>
      <c r="E28504" s="26">
        <v>1.6400000000000001E-2</v>
      </c>
      <c r="G28504" s="26">
        <v>2.5000000000000001E-3</v>
      </c>
      <c r="H28504" s="26">
        <v>4.0000000000000001E-3</v>
      </c>
      <c r="L28504" s="26">
        <v>4.1000000000000003E-3</v>
      </c>
      <c r="P28504">
        <v>119</v>
      </c>
    </row>
    <row r="28505" spans="1:16" x14ac:dyDescent="0.35">
      <c r="A28505" t="s">
        <v>230</v>
      </c>
      <c r="B28505" t="s">
        <v>266</v>
      </c>
      <c r="C28505" s="26">
        <v>0.97519999999999996</v>
      </c>
      <c r="D28505" s="26">
        <v>5.0000000000000001E-3</v>
      </c>
      <c r="E28505" s="26">
        <v>5.7999999999999996E-3</v>
      </c>
      <c r="F28505" s="26">
        <v>2.5000000000000001E-3</v>
      </c>
      <c r="G28505" s="26">
        <v>2.3E-3</v>
      </c>
      <c r="J28505" s="26">
        <v>3.3E-3</v>
      </c>
      <c r="K28505" s="26">
        <v>8.0000000000000004E-4</v>
      </c>
      <c r="M28505" s="26">
        <v>5.1000000000000004E-3</v>
      </c>
      <c r="N28505" s="26">
        <v>8.0000000000000004E-4</v>
      </c>
      <c r="P28505">
        <v>231</v>
      </c>
    </row>
    <row r="28506" spans="1:16" x14ac:dyDescent="0.35">
      <c r="A28506" t="s">
        <v>230</v>
      </c>
      <c r="B28506" t="s">
        <v>265</v>
      </c>
      <c r="C28506" s="26">
        <v>0.89959999999999996</v>
      </c>
      <c r="D28506" s="26">
        <v>6.9999999999999999E-4</v>
      </c>
      <c r="E28506" s="26">
        <v>2.0999999999999999E-3</v>
      </c>
      <c r="F28506" s="26">
        <v>1.4200000000000001E-2</v>
      </c>
      <c r="G28506" s="26">
        <v>1.4800000000000001E-2</v>
      </c>
      <c r="H28506" s="26">
        <v>2.64E-2</v>
      </c>
      <c r="I28506" s="26">
        <v>1.29E-2</v>
      </c>
      <c r="J28506" s="26">
        <v>2.0999999999999999E-3</v>
      </c>
      <c r="K28506" s="26">
        <v>6.9999999999999999E-4</v>
      </c>
      <c r="L28506" s="26">
        <v>1.29E-2</v>
      </c>
      <c r="M28506" s="26">
        <v>2.0999999999999999E-3</v>
      </c>
      <c r="O28506" s="26">
        <v>1.29E-2</v>
      </c>
      <c r="P28506">
        <v>208</v>
      </c>
    </row>
    <row r="28507" spans="1:16" x14ac:dyDescent="0.35">
      <c r="A28507" t="s">
        <v>231</v>
      </c>
      <c r="B28507" t="s">
        <v>267</v>
      </c>
      <c r="C28507" s="26">
        <v>0.97060000000000002</v>
      </c>
      <c r="K28507" s="26">
        <v>2.9399999999999999E-2</v>
      </c>
      <c r="P28507">
        <v>34</v>
      </c>
    </row>
    <row r="28508" spans="1:16" x14ac:dyDescent="0.35">
      <c r="A28508" t="s">
        <v>231</v>
      </c>
      <c r="B28508" t="s">
        <v>266</v>
      </c>
      <c r="C28508" s="26">
        <v>0.95079999999999998</v>
      </c>
      <c r="E28508" s="26">
        <v>1.6400000000000001E-2</v>
      </c>
      <c r="G28508" s="26">
        <v>1.6400000000000001E-2</v>
      </c>
      <c r="J28508" s="26">
        <v>1.6400000000000001E-2</v>
      </c>
      <c r="P28508">
        <v>61</v>
      </c>
    </row>
    <row r="28509" spans="1:16" x14ac:dyDescent="0.35">
      <c r="A28509" t="s">
        <v>231</v>
      </c>
      <c r="B28509" t="s">
        <v>265</v>
      </c>
      <c r="C28509" s="26">
        <v>0.91039999999999999</v>
      </c>
      <c r="D28509" s="26">
        <v>1.49E-2</v>
      </c>
      <c r="E28509" s="26">
        <v>1.49E-2</v>
      </c>
      <c r="F28509" s="26">
        <v>1.49E-2</v>
      </c>
      <c r="H28509" s="26">
        <v>1.49E-2</v>
      </c>
      <c r="I28509" s="26">
        <v>1.49E-2</v>
      </c>
      <c r="L28509" s="26">
        <v>1.49E-2</v>
      </c>
      <c r="P28509">
        <v>67</v>
      </c>
    </row>
    <row r="28510" spans="1:16" x14ac:dyDescent="0.35">
      <c r="A28510" t="s">
        <v>232</v>
      </c>
      <c r="B28510" t="s">
        <v>232</v>
      </c>
      <c r="C28510" s="26">
        <v>0.93330000000000002</v>
      </c>
      <c r="D28510" s="26">
        <v>1.29E-2</v>
      </c>
      <c r="E28510" s="26">
        <v>1.0800000000000001E-2</v>
      </c>
      <c r="F28510" s="26">
        <v>9.1999999999999998E-3</v>
      </c>
      <c r="G28510" s="26">
        <v>8.2000000000000007E-3</v>
      </c>
      <c r="H28510" s="26">
        <v>7.6E-3</v>
      </c>
      <c r="I28510" s="26">
        <v>7.4999999999999997E-3</v>
      </c>
      <c r="J28510" s="26">
        <v>4.7000000000000002E-3</v>
      </c>
      <c r="K28510" s="26">
        <v>4.7000000000000002E-3</v>
      </c>
      <c r="L28510" s="26">
        <v>4.1999999999999997E-3</v>
      </c>
      <c r="M28510" s="26">
        <v>2.3999999999999998E-3</v>
      </c>
      <c r="N28510" s="26">
        <v>2E-3</v>
      </c>
      <c r="O28510" s="26">
        <v>1.1000000000000001E-3</v>
      </c>
      <c r="P28510">
        <v>2796</v>
      </c>
    </row>
    <row r="28512" spans="1:16" x14ac:dyDescent="0.35">
      <c r="A28512" s="1" t="s">
        <v>2561</v>
      </c>
    </row>
    <row r="28513" spans="1:16" x14ac:dyDescent="0.35">
      <c r="A28513" t="s">
        <v>219</v>
      </c>
      <c r="B28513" t="s">
        <v>305</v>
      </c>
      <c r="C28513" t="s">
        <v>550</v>
      </c>
      <c r="D28513" t="s">
        <v>2547</v>
      </c>
      <c r="E28513" t="s">
        <v>2548</v>
      </c>
      <c r="F28513" t="s">
        <v>2549</v>
      </c>
      <c r="G28513" t="s">
        <v>2550</v>
      </c>
      <c r="H28513" t="s">
        <v>2551</v>
      </c>
      <c r="I28513" t="s">
        <v>2552</v>
      </c>
      <c r="J28513" t="s">
        <v>281</v>
      </c>
      <c r="K28513" t="s">
        <v>2553</v>
      </c>
      <c r="L28513" t="s">
        <v>2554</v>
      </c>
      <c r="M28513" t="s">
        <v>286</v>
      </c>
      <c r="N28513" t="s">
        <v>2555</v>
      </c>
      <c r="O28513" t="s">
        <v>326</v>
      </c>
      <c r="P28513" t="s">
        <v>226</v>
      </c>
    </row>
    <row r="28514" spans="1:16" x14ac:dyDescent="0.35">
      <c r="A28514" t="s">
        <v>227</v>
      </c>
      <c r="B28514" t="s">
        <v>252</v>
      </c>
      <c r="C28514" s="26">
        <v>0.91110000000000002</v>
      </c>
      <c r="D28514" s="26">
        <v>8.8900000000000007E-2</v>
      </c>
      <c r="P28514">
        <v>45</v>
      </c>
    </row>
    <row r="28515" spans="1:16" x14ac:dyDescent="0.35">
      <c r="A28515" t="s">
        <v>227</v>
      </c>
      <c r="B28515" t="s">
        <v>253</v>
      </c>
      <c r="C28515" s="26">
        <v>0.91180000000000005</v>
      </c>
      <c r="D28515" s="26">
        <v>2.9399999999999999E-2</v>
      </c>
      <c r="H28515" s="26">
        <v>2.9399999999999999E-2</v>
      </c>
      <c r="I28515" s="26">
        <v>2.9399999999999999E-2</v>
      </c>
      <c r="N28515" s="26">
        <v>2.9399999999999999E-2</v>
      </c>
      <c r="P28515">
        <v>34</v>
      </c>
    </row>
    <row r="28516" spans="1:16" x14ac:dyDescent="0.35">
      <c r="A28516" t="s">
        <v>227</v>
      </c>
      <c r="B28516" t="s">
        <v>251</v>
      </c>
      <c r="C28516" s="26">
        <v>0.97529999999999994</v>
      </c>
      <c r="D28516" s="26">
        <v>2.47E-2</v>
      </c>
      <c r="H28516" s="26">
        <v>1.23E-2</v>
      </c>
      <c r="P28516">
        <v>81</v>
      </c>
    </row>
    <row r="28517" spans="1:16" x14ac:dyDescent="0.35">
      <c r="A28517" t="s">
        <v>228</v>
      </c>
      <c r="B28517" t="s">
        <v>252</v>
      </c>
      <c r="C28517" s="26">
        <v>0.93510000000000004</v>
      </c>
      <c r="D28517" s="26">
        <v>2.5999999999999999E-3</v>
      </c>
      <c r="E28517" s="26">
        <v>6.4000000000000003E-3</v>
      </c>
      <c r="F28517" s="26">
        <v>1.54E-2</v>
      </c>
      <c r="G28517" s="26">
        <v>2.5999999999999999E-2</v>
      </c>
      <c r="I28517" s="26">
        <v>1.17E-2</v>
      </c>
      <c r="J28517" s="26">
        <v>3.3999999999999998E-3</v>
      </c>
      <c r="M28517" s="26">
        <v>1.2500000000000001E-2</v>
      </c>
      <c r="P28517">
        <v>341</v>
      </c>
    </row>
    <row r="28518" spans="1:16" x14ac:dyDescent="0.35">
      <c r="A28518" t="s">
        <v>228</v>
      </c>
      <c r="B28518" t="s">
        <v>253</v>
      </c>
      <c r="C28518" s="26">
        <v>0.9173</v>
      </c>
      <c r="D28518" s="26">
        <v>1.6299999999999999E-2</v>
      </c>
      <c r="E28518" s="26">
        <v>1.43E-2</v>
      </c>
      <c r="F28518" s="26">
        <v>9.7000000000000003E-3</v>
      </c>
      <c r="G28518" s="26">
        <v>2.3900000000000001E-2</v>
      </c>
      <c r="J28518" s="26">
        <v>1.0200000000000001E-2</v>
      </c>
      <c r="K28518" s="26">
        <v>4.7000000000000002E-3</v>
      </c>
      <c r="L28518" s="26">
        <v>2E-3</v>
      </c>
      <c r="M28518" s="26">
        <v>2.7000000000000001E-3</v>
      </c>
      <c r="N28518" s="26">
        <v>2.7000000000000001E-3</v>
      </c>
      <c r="P28518">
        <v>221</v>
      </c>
    </row>
    <row r="28519" spans="1:16" x14ac:dyDescent="0.35">
      <c r="A28519" t="s">
        <v>228</v>
      </c>
      <c r="B28519" t="s">
        <v>251</v>
      </c>
      <c r="C28519" s="26">
        <v>0.94489999999999996</v>
      </c>
      <c r="D28519" s="26">
        <v>5.0000000000000001E-4</v>
      </c>
      <c r="E28519" s="26">
        <v>7.0000000000000001E-3</v>
      </c>
      <c r="F28519" s="26">
        <v>3.2000000000000002E-3</v>
      </c>
      <c r="G28519" s="26">
        <v>8.0000000000000004E-4</v>
      </c>
      <c r="H28519" s="26">
        <v>4.7000000000000002E-3</v>
      </c>
      <c r="I28519" s="26">
        <v>2.2100000000000002E-2</v>
      </c>
      <c r="J28519" s="26">
        <v>5.8999999999999999E-3</v>
      </c>
      <c r="K28519" s="26">
        <v>1.8E-3</v>
      </c>
      <c r="L28519" s="26">
        <v>8.8000000000000005E-3</v>
      </c>
      <c r="M28519" s="26">
        <v>2.3E-3</v>
      </c>
      <c r="O28519" s="26">
        <v>5.0000000000000001E-3</v>
      </c>
      <c r="P28519">
        <v>464</v>
      </c>
    </row>
    <row r="28520" spans="1:16" x14ac:dyDescent="0.35">
      <c r="A28520" t="s">
        <v>229</v>
      </c>
      <c r="B28520" t="s">
        <v>252</v>
      </c>
      <c r="C28520" s="26">
        <v>0.87350000000000005</v>
      </c>
      <c r="D28520" s="26">
        <v>2.46E-2</v>
      </c>
      <c r="E28520" s="26">
        <v>1.6299999999999999E-2</v>
      </c>
      <c r="F28520" s="26">
        <v>3.7900000000000003E-2</v>
      </c>
      <c r="G28520" s="26">
        <v>3.3500000000000002E-2</v>
      </c>
      <c r="J28520" s="26">
        <v>8.0000000000000004E-4</v>
      </c>
      <c r="K28520" s="26">
        <v>2.6700000000000002E-2</v>
      </c>
      <c r="L28520" s="26">
        <v>1.34E-2</v>
      </c>
      <c r="P28520">
        <v>199</v>
      </c>
    </row>
    <row r="28521" spans="1:16" x14ac:dyDescent="0.35">
      <c r="A28521" t="s">
        <v>229</v>
      </c>
      <c r="B28521" t="s">
        <v>253</v>
      </c>
      <c r="C28521" s="26">
        <v>0.92410000000000003</v>
      </c>
      <c r="D28521" s="26">
        <v>1.5900000000000001E-2</v>
      </c>
      <c r="E28521" s="26">
        <v>2.92E-2</v>
      </c>
      <c r="F28521" s="26">
        <v>4.0000000000000001E-3</v>
      </c>
      <c r="H28521" s="26">
        <v>1.6400000000000001E-2</v>
      </c>
      <c r="J28521" s="26">
        <v>2.1700000000000001E-2</v>
      </c>
      <c r="L28521" s="26">
        <v>3.5000000000000001E-3</v>
      </c>
      <c r="M28521" s="26">
        <v>3.5000000000000001E-3</v>
      </c>
      <c r="N28521" s="26">
        <v>1.3299999999999999E-2</v>
      </c>
      <c r="P28521">
        <v>144</v>
      </c>
    </row>
    <row r="28522" spans="1:16" x14ac:dyDescent="0.35">
      <c r="A28522" t="s">
        <v>229</v>
      </c>
      <c r="B28522" t="s">
        <v>251</v>
      </c>
      <c r="C28522" s="26">
        <v>0.93279999999999996</v>
      </c>
      <c r="D28522" s="26">
        <v>6.4000000000000003E-3</v>
      </c>
      <c r="E28522" s="26">
        <v>1.55E-2</v>
      </c>
      <c r="F28522" s="26">
        <v>1.5699999999999999E-2</v>
      </c>
      <c r="G28522" s="26">
        <v>5.7999999999999996E-3</v>
      </c>
      <c r="H28522" s="26">
        <v>9.5999999999999992E-3</v>
      </c>
      <c r="I28522" s="26">
        <v>9.5999999999999992E-3</v>
      </c>
      <c r="J28522" s="26">
        <v>2.5000000000000001E-3</v>
      </c>
      <c r="K28522" s="26">
        <v>5.1999999999999998E-3</v>
      </c>
      <c r="M28522" s="26">
        <v>4.8999999999999998E-3</v>
      </c>
      <c r="N28522" s="26">
        <v>1.1999999999999999E-3</v>
      </c>
      <c r="O28522" s="26">
        <v>5.9999999999999995E-4</v>
      </c>
      <c r="P28522">
        <v>547</v>
      </c>
    </row>
    <row r="28523" spans="1:16" x14ac:dyDescent="0.35">
      <c r="A28523" t="s">
        <v>230</v>
      </c>
      <c r="B28523" t="s">
        <v>252</v>
      </c>
      <c r="C28523" s="26">
        <v>0.96889999999999998</v>
      </c>
      <c r="D28523" s="26">
        <v>3.5000000000000001E-3</v>
      </c>
      <c r="E28523" s="26">
        <v>7.0000000000000001E-3</v>
      </c>
      <c r="G28523" s="26">
        <v>3.2000000000000002E-3</v>
      </c>
      <c r="H28523" s="26">
        <v>3.5000000000000001E-3</v>
      </c>
      <c r="J28523" s="26">
        <v>6.8999999999999999E-3</v>
      </c>
      <c r="M28523" s="26">
        <v>7.0000000000000001E-3</v>
      </c>
      <c r="P28523">
        <v>159</v>
      </c>
    </row>
    <row r="28524" spans="1:16" x14ac:dyDescent="0.35">
      <c r="A28524" t="s">
        <v>230</v>
      </c>
      <c r="B28524" t="s">
        <v>253</v>
      </c>
      <c r="C28524" s="26">
        <v>0.95140000000000002</v>
      </c>
      <c r="D28524" s="26">
        <v>1.5E-3</v>
      </c>
      <c r="E28524" s="26">
        <v>9.4000000000000004E-3</v>
      </c>
      <c r="F28524" s="26">
        <v>6.1999999999999998E-3</v>
      </c>
      <c r="G28524" s="26">
        <v>4.4000000000000003E-3</v>
      </c>
      <c r="H28524" s="26">
        <v>3.0099999999999998E-2</v>
      </c>
      <c r="P28524">
        <v>109</v>
      </c>
    </row>
    <row r="28525" spans="1:16" x14ac:dyDescent="0.35">
      <c r="A28525" t="s">
        <v>230</v>
      </c>
      <c r="B28525" t="s">
        <v>251</v>
      </c>
      <c r="C28525" s="26">
        <v>0.92789999999999995</v>
      </c>
      <c r="D28525" s="26">
        <v>1.6999999999999999E-3</v>
      </c>
      <c r="E28525" s="26">
        <v>5.4999999999999997E-3</v>
      </c>
      <c r="F28525" s="26">
        <v>1.03E-2</v>
      </c>
      <c r="G28525" s="26">
        <v>1.0800000000000001E-2</v>
      </c>
      <c r="H28525" s="26">
        <v>9.7999999999999997E-3</v>
      </c>
      <c r="I28525" s="26">
        <v>9.7999999999999997E-3</v>
      </c>
      <c r="J28525" s="26">
        <v>5.0000000000000001E-4</v>
      </c>
      <c r="K28525" s="26">
        <v>1E-3</v>
      </c>
      <c r="L28525" s="26">
        <v>1.14E-2</v>
      </c>
      <c r="M28525" s="26">
        <v>1.6999999999999999E-3</v>
      </c>
      <c r="N28525" s="26">
        <v>5.0000000000000001E-4</v>
      </c>
      <c r="O28525" s="26">
        <v>9.7999999999999997E-3</v>
      </c>
      <c r="P28525">
        <v>290</v>
      </c>
    </row>
    <row r="28526" spans="1:16" x14ac:dyDescent="0.35">
      <c r="A28526" t="s">
        <v>231</v>
      </c>
      <c r="B28526" t="s">
        <v>252</v>
      </c>
      <c r="C28526" s="26">
        <v>1</v>
      </c>
      <c r="P28526">
        <v>48</v>
      </c>
    </row>
    <row r="28527" spans="1:16" x14ac:dyDescent="0.35">
      <c r="A28527" s="27" t="s">
        <v>231</v>
      </c>
      <c r="B28527" s="27" t="s">
        <v>253</v>
      </c>
      <c r="C28527" s="28">
        <v>1</v>
      </c>
      <c r="D28527" s="29"/>
      <c r="E28527" s="29"/>
      <c r="F28527" s="29"/>
      <c r="G28527" s="29"/>
      <c r="H28527" s="29"/>
      <c r="I28527" s="29"/>
      <c r="J28527" s="29"/>
      <c r="K28527" s="29"/>
      <c r="L28527" s="29"/>
      <c r="M28527" s="29"/>
      <c r="N28527" s="29"/>
      <c r="O28527" s="29"/>
      <c r="P28527" s="29" t="s">
        <v>329</v>
      </c>
    </row>
    <row r="28528" spans="1:16" x14ac:dyDescent="0.35">
      <c r="A28528" t="s">
        <v>231</v>
      </c>
      <c r="B28528" t="s">
        <v>251</v>
      </c>
      <c r="C28528" s="26">
        <v>0.88239999999999996</v>
      </c>
      <c r="D28528" s="26">
        <v>1.18E-2</v>
      </c>
      <c r="E28528" s="26">
        <v>2.35E-2</v>
      </c>
      <c r="F28528" s="26">
        <v>1.18E-2</v>
      </c>
      <c r="G28528" s="26">
        <v>1.18E-2</v>
      </c>
      <c r="H28528" s="26">
        <v>1.18E-2</v>
      </c>
      <c r="I28528" s="26">
        <v>1.18E-2</v>
      </c>
      <c r="J28528" s="26">
        <v>1.18E-2</v>
      </c>
      <c r="K28528" s="26">
        <v>1.18E-2</v>
      </c>
      <c r="L28528" s="26">
        <v>1.18E-2</v>
      </c>
      <c r="P28528">
        <v>85</v>
      </c>
    </row>
    <row r="28529" spans="1:16" x14ac:dyDescent="0.35">
      <c r="A28529" t="s">
        <v>232</v>
      </c>
      <c r="B28529" t="s">
        <v>232</v>
      </c>
      <c r="C28529" s="26">
        <v>0.93330000000000002</v>
      </c>
      <c r="D28529" s="26">
        <v>1.29E-2</v>
      </c>
      <c r="E28529" s="26">
        <v>1.0800000000000001E-2</v>
      </c>
      <c r="F28529" s="26">
        <v>9.1999999999999998E-3</v>
      </c>
      <c r="G28529" s="26">
        <v>8.2000000000000007E-3</v>
      </c>
      <c r="H28529" s="26">
        <v>7.6E-3</v>
      </c>
      <c r="I28529" s="26">
        <v>7.4999999999999997E-3</v>
      </c>
      <c r="J28529" s="26">
        <v>4.7000000000000002E-3</v>
      </c>
      <c r="K28529" s="26">
        <v>4.7000000000000002E-3</v>
      </c>
      <c r="L28529" s="26">
        <v>4.1999999999999997E-3</v>
      </c>
      <c r="M28529" s="26">
        <v>2.3999999999999998E-3</v>
      </c>
      <c r="N28529" s="26">
        <v>2E-3</v>
      </c>
      <c r="O28529" s="26">
        <v>1.1000000000000001E-3</v>
      </c>
      <c r="P28529">
        <v>2796</v>
      </c>
    </row>
    <row r="28531" spans="1:16" x14ac:dyDescent="0.35">
      <c r="A28531" s="1" t="s">
        <v>2562</v>
      </c>
    </row>
    <row r="28532" spans="1:16" x14ac:dyDescent="0.35">
      <c r="A28532" t="s">
        <v>219</v>
      </c>
      <c r="B28532" t="s">
        <v>305</v>
      </c>
      <c r="C28532" t="s">
        <v>550</v>
      </c>
      <c r="D28532" t="s">
        <v>2547</v>
      </c>
      <c r="E28532" t="s">
        <v>2548</v>
      </c>
      <c r="F28532" t="s">
        <v>2549</v>
      </c>
      <c r="G28532" t="s">
        <v>2550</v>
      </c>
      <c r="H28532" t="s">
        <v>2551</v>
      </c>
      <c r="I28532" t="s">
        <v>2552</v>
      </c>
      <c r="J28532" t="s">
        <v>281</v>
      </c>
      <c r="K28532" t="s">
        <v>2553</v>
      </c>
      <c r="L28532" t="s">
        <v>2554</v>
      </c>
      <c r="M28532" t="s">
        <v>286</v>
      </c>
      <c r="N28532" t="s">
        <v>2555</v>
      </c>
      <c r="O28532" t="s">
        <v>326</v>
      </c>
      <c r="P28532" t="s">
        <v>226</v>
      </c>
    </row>
    <row r="28533" spans="1:16" x14ac:dyDescent="0.35">
      <c r="A28533" t="s">
        <v>227</v>
      </c>
      <c r="B28533" t="s">
        <v>249</v>
      </c>
      <c r="C28533" s="26">
        <v>0.97729999999999995</v>
      </c>
      <c r="D28533" s="26">
        <v>2.2700000000000001E-2</v>
      </c>
      <c r="P28533">
        <v>44</v>
      </c>
    </row>
    <row r="28534" spans="1:16" x14ac:dyDescent="0.35">
      <c r="A28534" t="s">
        <v>227</v>
      </c>
      <c r="B28534" t="s">
        <v>248</v>
      </c>
      <c r="C28534" s="26">
        <v>0.93100000000000005</v>
      </c>
      <c r="D28534" s="26">
        <v>5.1700000000000003E-2</v>
      </c>
      <c r="H28534" s="26">
        <v>1.72E-2</v>
      </c>
      <c r="I28534" s="26">
        <v>8.6E-3</v>
      </c>
      <c r="N28534" s="26">
        <v>8.6E-3</v>
      </c>
      <c r="P28534">
        <v>116</v>
      </c>
    </row>
    <row r="28535" spans="1:16" x14ac:dyDescent="0.35">
      <c r="A28535" t="s">
        <v>228</v>
      </c>
      <c r="B28535" t="s">
        <v>249</v>
      </c>
      <c r="C28535" s="26">
        <v>0.93369999999999997</v>
      </c>
      <c r="E28535" s="26">
        <v>1.01E-2</v>
      </c>
      <c r="F28535" s="26">
        <v>6.6E-3</v>
      </c>
      <c r="G28535" s="26">
        <v>1.1999999999999999E-3</v>
      </c>
      <c r="H28535" s="26">
        <v>3.8999999999999998E-3</v>
      </c>
      <c r="I28535" s="26">
        <v>3.3500000000000002E-2</v>
      </c>
      <c r="J28535" s="26">
        <v>1.8E-3</v>
      </c>
      <c r="K28535" s="26">
        <v>1.4E-3</v>
      </c>
      <c r="L28535" s="26">
        <v>1.54E-2</v>
      </c>
      <c r="M28535" s="26">
        <v>1.8E-3</v>
      </c>
      <c r="N28535" s="26">
        <v>1.8E-3</v>
      </c>
      <c r="O28535" s="26">
        <v>1.1999999999999999E-3</v>
      </c>
      <c r="P28535">
        <v>272</v>
      </c>
    </row>
    <row r="28536" spans="1:16" x14ac:dyDescent="0.35">
      <c r="A28536" t="s">
        <v>228</v>
      </c>
      <c r="B28536" t="s">
        <v>248</v>
      </c>
      <c r="C28536" s="26">
        <v>0.93710000000000004</v>
      </c>
      <c r="D28536" s="26">
        <v>6.3E-3</v>
      </c>
      <c r="E28536" s="26">
        <v>7.6E-3</v>
      </c>
      <c r="F28536" s="26">
        <v>9.1999999999999998E-3</v>
      </c>
      <c r="G28536" s="26">
        <v>1.9E-2</v>
      </c>
      <c r="H28536" s="26">
        <v>1.5E-3</v>
      </c>
      <c r="I28536" s="26">
        <v>6.0000000000000001E-3</v>
      </c>
      <c r="J28536" s="26">
        <v>7.7999999999999996E-3</v>
      </c>
      <c r="K28536" s="26">
        <v>2E-3</v>
      </c>
      <c r="M28536" s="26">
        <v>7.3000000000000001E-3</v>
      </c>
      <c r="O28536" s="26">
        <v>2.8999999999999998E-3</v>
      </c>
      <c r="P28536">
        <v>754</v>
      </c>
    </row>
    <row r="28537" spans="1:16" x14ac:dyDescent="0.35">
      <c r="A28537" t="s">
        <v>229</v>
      </c>
      <c r="B28537" t="s">
        <v>249</v>
      </c>
      <c r="C28537" s="26">
        <v>0.90700000000000003</v>
      </c>
      <c r="D28537" s="26">
        <v>2.07E-2</v>
      </c>
      <c r="E28537" s="26">
        <v>2.7900000000000001E-2</v>
      </c>
      <c r="F28537" s="26">
        <v>1.8100000000000002E-2</v>
      </c>
      <c r="G28537" s="26">
        <v>9.2999999999999992E-3</v>
      </c>
      <c r="H28537" s="26">
        <v>1.89E-2</v>
      </c>
      <c r="I28537" s="26">
        <v>1.7100000000000001E-2</v>
      </c>
      <c r="J28537" s="26">
        <v>2.3999999999999998E-3</v>
      </c>
      <c r="K28537" s="26">
        <v>9.2999999999999992E-3</v>
      </c>
      <c r="L28537" s="26">
        <v>2.0999999999999999E-3</v>
      </c>
      <c r="N28537" s="26">
        <v>2.0999999999999999E-3</v>
      </c>
      <c r="O28537" s="26">
        <v>1E-3</v>
      </c>
      <c r="P28537">
        <v>257</v>
      </c>
    </row>
    <row r="28538" spans="1:16" x14ac:dyDescent="0.35">
      <c r="A28538" t="s">
        <v>229</v>
      </c>
      <c r="B28538" t="s">
        <v>248</v>
      </c>
      <c r="C28538" s="26">
        <v>0.92290000000000005</v>
      </c>
      <c r="D28538" s="26">
        <v>8.3000000000000001E-3</v>
      </c>
      <c r="E28538" s="26">
        <v>1.37E-2</v>
      </c>
      <c r="F28538" s="26">
        <v>1.8700000000000001E-2</v>
      </c>
      <c r="G28538" s="26">
        <v>1.18E-2</v>
      </c>
      <c r="H28538" s="26">
        <v>3.8E-3</v>
      </c>
      <c r="J28538" s="26">
        <v>7.4000000000000003E-3</v>
      </c>
      <c r="K28538" s="26">
        <v>8.9999999999999993E-3</v>
      </c>
      <c r="L28538" s="26">
        <v>4.4999999999999997E-3</v>
      </c>
      <c r="M28538" s="26">
        <v>5.3E-3</v>
      </c>
      <c r="N28538" s="26">
        <v>3.8E-3</v>
      </c>
      <c r="P28538">
        <v>633</v>
      </c>
    </row>
    <row r="28539" spans="1:16" x14ac:dyDescent="0.35">
      <c r="A28539" t="s">
        <v>230</v>
      </c>
      <c r="B28539" t="s">
        <v>249</v>
      </c>
      <c r="C28539" s="26">
        <v>0.91900000000000004</v>
      </c>
      <c r="D28539" s="26">
        <v>2.7000000000000001E-3</v>
      </c>
      <c r="E28539" s="26">
        <v>5.4000000000000003E-3</v>
      </c>
      <c r="F28539" s="26">
        <v>8.0000000000000004E-4</v>
      </c>
      <c r="G28539" s="26">
        <v>1.7000000000000001E-2</v>
      </c>
      <c r="H28539" s="26">
        <v>1.7000000000000001E-2</v>
      </c>
      <c r="I28539" s="26">
        <v>1.6199999999999999E-2</v>
      </c>
      <c r="L28539" s="26">
        <v>2.7000000000000001E-3</v>
      </c>
      <c r="M28539" s="26">
        <v>2.7000000000000001E-3</v>
      </c>
      <c r="O28539" s="26">
        <v>1.6199999999999999E-2</v>
      </c>
      <c r="P28539">
        <v>170</v>
      </c>
    </row>
    <row r="28540" spans="1:16" x14ac:dyDescent="0.35">
      <c r="A28540" t="s">
        <v>230</v>
      </c>
      <c r="B28540" t="s">
        <v>248</v>
      </c>
      <c r="C28540" s="26">
        <v>0.95489999999999997</v>
      </c>
      <c r="D28540" s="26">
        <v>1.8E-3</v>
      </c>
      <c r="E28540" s="26">
        <v>7.1999999999999998E-3</v>
      </c>
      <c r="F28540" s="26">
        <v>9.9000000000000008E-3</v>
      </c>
      <c r="G28540" s="26">
        <v>2.8999999999999998E-3</v>
      </c>
      <c r="H28540" s="26">
        <v>9.4999999999999998E-3</v>
      </c>
      <c r="J28540" s="26">
        <v>3.0999999999999999E-3</v>
      </c>
      <c r="K28540" s="26">
        <v>8.0000000000000004E-4</v>
      </c>
      <c r="L28540" s="26">
        <v>8.0999999999999996E-3</v>
      </c>
      <c r="M28540" s="26">
        <v>2.7000000000000001E-3</v>
      </c>
      <c r="N28540" s="26">
        <v>4.0000000000000002E-4</v>
      </c>
      <c r="P28540">
        <v>388</v>
      </c>
    </row>
    <row r="28541" spans="1:16" x14ac:dyDescent="0.35">
      <c r="A28541" t="s">
        <v>231</v>
      </c>
      <c r="B28541" t="s">
        <v>249</v>
      </c>
      <c r="C28541" s="26">
        <v>0.88570000000000004</v>
      </c>
      <c r="D28541" s="26">
        <v>2.86E-2</v>
      </c>
      <c r="F28541" s="26">
        <v>2.86E-2</v>
      </c>
      <c r="H28541" s="26">
        <v>2.86E-2</v>
      </c>
      <c r="I28541" s="26">
        <v>2.86E-2</v>
      </c>
      <c r="P28541">
        <v>35</v>
      </c>
    </row>
    <row r="28542" spans="1:16" x14ac:dyDescent="0.35">
      <c r="A28542" t="s">
        <v>231</v>
      </c>
      <c r="B28542" t="s">
        <v>248</v>
      </c>
      <c r="C28542" s="26">
        <v>0.95279999999999998</v>
      </c>
      <c r="E28542" s="26">
        <v>1.5699999999999999E-2</v>
      </c>
      <c r="G28542" s="26">
        <v>7.9000000000000008E-3</v>
      </c>
      <c r="J28542" s="26">
        <v>7.9000000000000008E-3</v>
      </c>
      <c r="K28542" s="26">
        <v>7.9000000000000008E-3</v>
      </c>
      <c r="L28542" s="26">
        <v>7.9000000000000008E-3</v>
      </c>
      <c r="P28542">
        <v>127</v>
      </c>
    </row>
    <row r="28543" spans="1:16" x14ac:dyDescent="0.35">
      <c r="A28543" t="s">
        <v>232</v>
      </c>
      <c r="B28543" t="s">
        <v>232</v>
      </c>
      <c r="C28543" s="26">
        <v>0.93330000000000002</v>
      </c>
      <c r="D28543" s="26">
        <v>1.29E-2</v>
      </c>
      <c r="E28543" s="26">
        <v>1.0800000000000001E-2</v>
      </c>
      <c r="F28543" s="26">
        <v>9.1999999999999998E-3</v>
      </c>
      <c r="G28543" s="26">
        <v>8.2000000000000007E-3</v>
      </c>
      <c r="H28543" s="26">
        <v>7.6E-3</v>
      </c>
      <c r="I28543" s="26">
        <v>7.4999999999999997E-3</v>
      </c>
      <c r="J28543" s="26">
        <v>4.7000000000000002E-3</v>
      </c>
      <c r="K28543" s="26">
        <v>4.7000000000000002E-3</v>
      </c>
      <c r="L28543" s="26">
        <v>4.1999999999999997E-3</v>
      </c>
      <c r="M28543" s="26">
        <v>2.3999999999999998E-3</v>
      </c>
      <c r="N28543" s="26">
        <v>2E-3</v>
      </c>
      <c r="O28543" s="26">
        <v>1.1000000000000001E-3</v>
      </c>
      <c r="P28543">
        <v>2796</v>
      </c>
    </row>
    <row r="28545" spans="1:16" x14ac:dyDescent="0.35">
      <c r="A28545" s="1" t="s">
        <v>2563</v>
      </c>
    </row>
    <row r="28546" spans="1:16" x14ac:dyDescent="0.35">
      <c r="A28546" t="s">
        <v>219</v>
      </c>
      <c r="B28546" t="s">
        <v>305</v>
      </c>
      <c r="C28546" t="s">
        <v>550</v>
      </c>
      <c r="D28546" t="s">
        <v>2547</v>
      </c>
      <c r="E28546" t="s">
        <v>2548</v>
      </c>
      <c r="F28546" t="s">
        <v>2549</v>
      </c>
      <c r="G28546" t="s">
        <v>2550</v>
      </c>
      <c r="H28546" t="s">
        <v>2551</v>
      </c>
      <c r="I28546" t="s">
        <v>2552</v>
      </c>
      <c r="J28546" t="s">
        <v>281</v>
      </c>
      <c r="K28546" t="s">
        <v>2553</v>
      </c>
      <c r="L28546" t="s">
        <v>2554</v>
      </c>
      <c r="M28546" t="s">
        <v>286</v>
      </c>
      <c r="N28546" t="s">
        <v>2555</v>
      </c>
      <c r="O28546" t="s">
        <v>326</v>
      </c>
      <c r="P28546" t="s">
        <v>226</v>
      </c>
    </row>
    <row r="28547" spans="1:16" x14ac:dyDescent="0.35">
      <c r="A28547" s="27" t="s">
        <v>227</v>
      </c>
      <c r="B28547" s="27" t="s">
        <v>263</v>
      </c>
      <c r="C28547" s="28">
        <v>0.66669999999999996</v>
      </c>
      <c r="D28547" s="29"/>
      <c r="E28547" s="29"/>
      <c r="F28547" s="29"/>
      <c r="G28547" s="29"/>
      <c r="H28547" s="29"/>
      <c r="I28547" s="28">
        <v>0.33329999999999999</v>
      </c>
      <c r="J28547" s="29"/>
      <c r="K28547" s="29"/>
      <c r="L28547" s="29"/>
      <c r="M28547" s="29"/>
      <c r="N28547" s="29"/>
      <c r="O28547" s="29"/>
      <c r="P28547" s="29" t="s">
        <v>315</v>
      </c>
    </row>
    <row r="28548" spans="1:16" x14ac:dyDescent="0.35">
      <c r="A28548" t="s">
        <v>227</v>
      </c>
      <c r="B28548" t="s">
        <v>261</v>
      </c>
      <c r="C28548" s="26">
        <v>0.96879999999999999</v>
      </c>
      <c r="H28548" s="26">
        <v>3.1199999999999999E-2</v>
      </c>
      <c r="N28548" s="26">
        <v>3.1199999999999999E-2</v>
      </c>
      <c r="P28548">
        <v>32</v>
      </c>
    </row>
    <row r="28549" spans="1:16" x14ac:dyDescent="0.35">
      <c r="A28549" s="27" t="s">
        <v>227</v>
      </c>
      <c r="B28549" s="27" t="s">
        <v>262</v>
      </c>
      <c r="C28549" s="28">
        <v>1</v>
      </c>
      <c r="D28549" s="29"/>
      <c r="E28549" s="29"/>
      <c r="F28549" s="29"/>
      <c r="G28549" s="29"/>
      <c r="H28549" s="29"/>
      <c r="I28549" s="29"/>
      <c r="J28549" s="29"/>
      <c r="K28549" s="29"/>
      <c r="L28549" s="29"/>
      <c r="M28549" s="29"/>
      <c r="N28549" s="29"/>
      <c r="O28549" s="29"/>
      <c r="P28549" s="29" t="s">
        <v>315</v>
      </c>
    </row>
    <row r="28550" spans="1:16" x14ac:dyDescent="0.35">
      <c r="A28550" t="s">
        <v>227</v>
      </c>
      <c r="B28550" t="s">
        <v>260</v>
      </c>
      <c r="C28550" s="26">
        <v>0.94259999999999999</v>
      </c>
      <c r="D28550" s="26">
        <v>5.74E-2</v>
      </c>
      <c r="H28550" s="26">
        <v>8.2000000000000007E-3</v>
      </c>
      <c r="P28550">
        <v>122</v>
      </c>
    </row>
    <row r="28551" spans="1:16" x14ac:dyDescent="0.35">
      <c r="A28551" t="s">
        <v>228</v>
      </c>
      <c r="B28551" t="s">
        <v>261</v>
      </c>
      <c r="C28551" s="26">
        <v>0.90239999999999998</v>
      </c>
      <c r="E28551" s="26">
        <v>1.6899999999999998E-2</v>
      </c>
      <c r="F28551" s="26">
        <v>4.0000000000000001E-3</v>
      </c>
      <c r="G28551" s="26">
        <v>5.7799999999999997E-2</v>
      </c>
      <c r="J28551" s="26">
        <v>4.4000000000000003E-3</v>
      </c>
      <c r="L28551" s="26">
        <v>2.0999999999999999E-3</v>
      </c>
      <c r="M28551" s="26">
        <v>1.8499999999999999E-2</v>
      </c>
      <c r="P28551">
        <v>190</v>
      </c>
    </row>
    <row r="28552" spans="1:16" x14ac:dyDescent="0.35">
      <c r="A28552" s="27" t="s">
        <v>228</v>
      </c>
      <c r="B28552" s="27" t="s">
        <v>263</v>
      </c>
      <c r="C28552" s="28">
        <v>0.79290000000000005</v>
      </c>
      <c r="D28552" s="29"/>
      <c r="E28552" s="29"/>
      <c r="F28552" s="29"/>
      <c r="G28552" s="28">
        <v>2.93E-2</v>
      </c>
      <c r="H28552" s="29"/>
      <c r="I28552" s="28">
        <v>0.17780000000000001</v>
      </c>
      <c r="J28552" s="29"/>
      <c r="K28552" s="29"/>
      <c r="L28552" s="29"/>
      <c r="M28552" s="29"/>
      <c r="N28552" s="29"/>
      <c r="O28552" s="29"/>
      <c r="P28552" s="29" t="s">
        <v>312</v>
      </c>
    </row>
    <row r="28553" spans="1:16" x14ac:dyDescent="0.35">
      <c r="A28553" s="27" t="s">
        <v>228</v>
      </c>
      <c r="B28553" s="27" t="s">
        <v>236</v>
      </c>
      <c r="C28553" s="28">
        <v>0.86629999999999996</v>
      </c>
      <c r="D28553" s="29"/>
      <c r="E28553" s="29"/>
      <c r="F28553" s="29"/>
      <c r="G28553" s="29"/>
      <c r="H28553" s="29"/>
      <c r="I28553" s="29"/>
      <c r="J28553" s="29"/>
      <c r="K28553" s="29"/>
      <c r="L28553" s="28">
        <v>0.13370000000000001</v>
      </c>
      <c r="M28553" s="29"/>
      <c r="N28553" s="29"/>
      <c r="O28553" s="29"/>
      <c r="P28553" s="29" t="s">
        <v>335</v>
      </c>
    </row>
    <row r="28554" spans="1:16" x14ac:dyDescent="0.35">
      <c r="A28554" t="s">
        <v>228</v>
      </c>
      <c r="B28554" t="s">
        <v>262</v>
      </c>
      <c r="C28554" s="26">
        <v>0.91569999999999996</v>
      </c>
      <c r="D28554" s="26">
        <v>1.5E-3</v>
      </c>
      <c r="E28554" s="26">
        <v>8.5000000000000006E-3</v>
      </c>
      <c r="F28554" s="26">
        <v>4.0000000000000001E-3</v>
      </c>
      <c r="G28554" s="26">
        <v>3.5999999999999999E-3</v>
      </c>
      <c r="H28554" s="26">
        <v>1.18E-2</v>
      </c>
      <c r="I28554" s="26">
        <v>0.02</v>
      </c>
      <c r="J28554" s="26">
        <v>1.41E-2</v>
      </c>
      <c r="K28554" s="26">
        <v>2.5000000000000001E-3</v>
      </c>
      <c r="M28554" s="26">
        <v>5.7999999999999996E-3</v>
      </c>
      <c r="N28554" s="26">
        <v>3.3E-3</v>
      </c>
      <c r="O28554" s="26">
        <v>9.1999999999999998E-3</v>
      </c>
      <c r="P28554">
        <v>200</v>
      </c>
    </row>
    <row r="28555" spans="1:16" x14ac:dyDescent="0.35">
      <c r="A28555" t="s">
        <v>228</v>
      </c>
      <c r="B28555" t="s">
        <v>260</v>
      </c>
      <c r="C28555" s="26">
        <v>0.95740000000000003</v>
      </c>
      <c r="D28555" s="26">
        <v>6.7999999999999996E-3</v>
      </c>
      <c r="E28555" s="26">
        <v>5.8999999999999999E-3</v>
      </c>
      <c r="F28555" s="26">
        <v>1.14E-2</v>
      </c>
      <c r="G28555" s="26">
        <v>2E-3</v>
      </c>
      <c r="H28555" s="26">
        <v>4.0000000000000002E-4</v>
      </c>
      <c r="I28555" s="26">
        <v>1.2200000000000001E-2</v>
      </c>
      <c r="J28555" s="26">
        <v>4.4999999999999997E-3</v>
      </c>
      <c r="K28555" s="26">
        <v>2.3E-3</v>
      </c>
      <c r="L28555" s="26">
        <v>5.4000000000000003E-3</v>
      </c>
      <c r="M28555" s="26">
        <v>1.8E-3</v>
      </c>
      <c r="O28555" s="26">
        <v>1.4E-3</v>
      </c>
      <c r="P28555">
        <v>605</v>
      </c>
    </row>
    <row r="28556" spans="1:16" x14ac:dyDescent="0.35">
      <c r="A28556" s="27" t="s">
        <v>229</v>
      </c>
      <c r="B28556" s="27" t="s">
        <v>263</v>
      </c>
      <c r="C28556" s="28">
        <v>0.93069999999999997</v>
      </c>
      <c r="D28556" s="28">
        <v>3.4700000000000002E-2</v>
      </c>
      <c r="E28556" s="29"/>
      <c r="F28556" s="29"/>
      <c r="G28556" s="29"/>
      <c r="H28556" s="29"/>
      <c r="I28556" s="29"/>
      <c r="J28556" s="28">
        <v>3.4700000000000002E-2</v>
      </c>
      <c r="K28556" s="29"/>
      <c r="L28556" s="29"/>
      <c r="M28556" s="29"/>
      <c r="N28556" s="29"/>
      <c r="O28556" s="29"/>
      <c r="P28556" s="29" t="s">
        <v>379</v>
      </c>
    </row>
    <row r="28557" spans="1:16" x14ac:dyDescent="0.35">
      <c r="A28557" t="s">
        <v>229</v>
      </c>
      <c r="B28557" t="s">
        <v>262</v>
      </c>
      <c r="C28557" s="26">
        <v>0.89590000000000003</v>
      </c>
      <c r="E28557" s="26">
        <v>2.1499999999999998E-2</v>
      </c>
      <c r="F28557" s="26">
        <v>2.9000000000000001E-2</v>
      </c>
      <c r="H28557" s="26">
        <v>1.9900000000000001E-2</v>
      </c>
      <c r="I28557" s="26">
        <v>1.9900000000000001E-2</v>
      </c>
      <c r="J28557" s="26">
        <v>1.09E-2</v>
      </c>
      <c r="L28557" s="26">
        <v>1.09E-2</v>
      </c>
      <c r="M28557" s="26">
        <v>1.1999999999999999E-3</v>
      </c>
      <c r="P28557">
        <v>187</v>
      </c>
    </row>
    <row r="28558" spans="1:16" x14ac:dyDescent="0.35">
      <c r="A28558" t="s">
        <v>229</v>
      </c>
      <c r="B28558" t="s">
        <v>261</v>
      </c>
      <c r="C28558" s="26">
        <v>0.85119999999999996</v>
      </c>
      <c r="D28558" s="26">
        <v>4.1200000000000001E-2</v>
      </c>
      <c r="F28558" s="26">
        <v>4.3400000000000001E-2</v>
      </c>
      <c r="G28558" s="26">
        <v>5.5E-2</v>
      </c>
      <c r="K28558" s="26">
        <v>6.1800000000000001E-2</v>
      </c>
      <c r="L28558" s="26">
        <v>4.5999999999999999E-3</v>
      </c>
      <c r="N28558" s="26">
        <v>4.5999999999999999E-3</v>
      </c>
      <c r="P28558">
        <v>95</v>
      </c>
    </row>
    <row r="28559" spans="1:16" x14ac:dyDescent="0.35">
      <c r="A28559" s="27" t="s">
        <v>229</v>
      </c>
      <c r="B28559" s="27" t="s">
        <v>236</v>
      </c>
      <c r="C28559" s="28">
        <v>1</v>
      </c>
      <c r="D28559" s="29"/>
      <c r="E28559" s="29"/>
      <c r="F28559" s="29"/>
      <c r="G28559" s="29"/>
      <c r="H28559" s="29"/>
      <c r="I28559" s="29"/>
      <c r="J28559" s="29"/>
      <c r="K28559" s="29"/>
      <c r="L28559" s="29"/>
      <c r="M28559" s="29"/>
      <c r="N28559" s="29"/>
      <c r="O28559" s="29"/>
      <c r="P28559" s="29" t="s">
        <v>331</v>
      </c>
    </row>
    <row r="28560" spans="1:16" x14ac:dyDescent="0.35">
      <c r="A28560" t="s">
        <v>229</v>
      </c>
      <c r="B28560" t="s">
        <v>260</v>
      </c>
      <c r="C28560" s="26">
        <v>0.94589999999999996</v>
      </c>
      <c r="D28560" s="26">
        <v>1.01E-2</v>
      </c>
      <c r="E28560" s="26">
        <v>2.23E-2</v>
      </c>
      <c r="F28560" s="26">
        <v>7.1999999999999998E-3</v>
      </c>
      <c r="G28560" s="26">
        <v>5.1999999999999998E-3</v>
      </c>
      <c r="H28560" s="26">
        <v>5.7000000000000002E-3</v>
      </c>
      <c r="J28560" s="26">
        <v>3.7000000000000002E-3</v>
      </c>
      <c r="M28560" s="26">
        <v>5.7999999999999996E-3</v>
      </c>
      <c r="N28560" s="26">
        <v>4.5999999999999999E-3</v>
      </c>
      <c r="O28560" s="26">
        <v>5.9999999999999995E-4</v>
      </c>
      <c r="P28560">
        <v>593</v>
      </c>
    </row>
    <row r="28561" spans="1:16" x14ac:dyDescent="0.35">
      <c r="A28561" s="27" t="s">
        <v>230</v>
      </c>
      <c r="B28561" s="27" t="s">
        <v>236</v>
      </c>
      <c r="C28561" s="28">
        <v>1</v>
      </c>
      <c r="D28561" s="29"/>
      <c r="E28561" s="29"/>
      <c r="F28561" s="29"/>
      <c r="G28561" s="29"/>
      <c r="H28561" s="29"/>
      <c r="I28561" s="29"/>
      <c r="J28561" s="29"/>
      <c r="K28561" s="29"/>
      <c r="L28561" s="29"/>
      <c r="M28561" s="29"/>
      <c r="N28561" s="29"/>
      <c r="O28561" s="29"/>
      <c r="P28561" s="29" t="s">
        <v>337</v>
      </c>
    </row>
    <row r="28562" spans="1:16" x14ac:dyDescent="0.35">
      <c r="A28562" t="s">
        <v>230</v>
      </c>
      <c r="B28562" t="s">
        <v>262</v>
      </c>
      <c r="C28562" s="26">
        <v>0.96099999999999997</v>
      </c>
      <c r="D28562" s="26">
        <v>6.0000000000000001E-3</v>
      </c>
      <c r="E28562" s="26">
        <v>7.9000000000000008E-3</v>
      </c>
      <c r="F28562" s="26">
        <v>7.7000000000000002E-3</v>
      </c>
      <c r="G28562" s="26">
        <v>1.8E-3</v>
      </c>
      <c r="H28562" s="26">
        <v>1.8E-3</v>
      </c>
      <c r="J28562" s="26">
        <v>5.8999999999999999E-3</v>
      </c>
      <c r="K28562" s="26">
        <v>1.8E-3</v>
      </c>
      <c r="M28562" s="26">
        <v>6.0000000000000001E-3</v>
      </c>
      <c r="P28562">
        <v>122</v>
      </c>
    </row>
    <row r="28563" spans="1:16" x14ac:dyDescent="0.35">
      <c r="A28563" t="s">
        <v>230</v>
      </c>
      <c r="B28563" t="s">
        <v>261</v>
      </c>
      <c r="C28563" s="26">
        <v>0.86470000000000002</v>
      </c>
      <c r="E28563" s="26">
        <v>6.8999999999999999E-3</v>
      </c>
      <c r="F28563" s="26">
        <v>4.2099999999999999E-2</v>
      </c>
      <c r="G28563" s="26">
        <v>4.4200000000000003E-2</v>
      </c>
      <c r="I28563" s="26">
        <v>4.2099999999999999E-2</v>
      </c>
      <c r="N28563" s="26">
        <v>2.0999999999999999E-3</v>
      </c>
      <c r="P28563">
        <v>56</v>
      </c>
    </row>
    <row r="28564" spans="1:16" x14ac:dyDescent="0.35">
      <c r="A28564" s="27" t="s">
        <v>230</v>
      </c>
      <c r="B28564" s="27" t="s">
        <v>263</v>
      </c>
      <c r="C28564" s="28">
        <v>0.61939999999999995</v>
      </c>
      <c r="D28564" s="29"/>
      <c r="E28564" s="29"/>
      <c r="F28564" s="29"/>
      <c r="G28564" s="28">
        <v>5.0299999999999997E-2</v>
      </c>
      <c r="H28564" s="28">
        <v>0.33029999999999998</v>
      </c>
      <c r="I28564" s="29"/>
      <c r="J28564" s="29"/>
      <c r="K28564" s="29"/>
      <c r="L28564" s="29"/>
      <c r="M28564" s="29"/>
      <c r="N28564" s="29"/>
      <c r="O28564" s="29"/>
      <c r="P28564" s="29" t="s">
        <v>312</v>
      </c>
    </row>
    <row r="28565" spans="1:16" x14ac:dyDescent="0.35">
      <c r="A28565" t="s">
        <v>230</v>
      </c>
      <c r="B28565" t="s">
        <v>260</v>
      </c>
      <c r="C28565" s="26">
        <v>0.96040000000000003</v>
      </c>
      <c r="D28565" s="26">
        <v>1.6999999999999999E-3</v>
      </c>
      <c r="E28565" s="26">
        <v>6.4999999999999997E-3</v>
      </c>
      <c r="F28565" s="26">
        <v>4.0000000000000002E-4</v>
      </c>
      <c r="G28565" s="26">
        <v>1.1999999999999999E-3</v>
      </c>
      <c r="H28565" s="26">
        <v>9.1000000000000004E-3</v>
      </c>
      <c r="J28565" s="26">
        <v>1.6999999999999999E-3</v>
      </c>
      <c r="K28565" s="26">
        <v>4.0000000000000002E-4</v>
      </c>
      <c r="L28565" s="26">
        <v>9.1000000000000004E-3</v>
      </c>
      <c r="M28565" s="26">
        <v>2.5999999999999999E-3</v>
      </c>
      <c r="O28565" s="26">
        <v>7.7999999999999996E-3</v>
      </c>
      <c r="P28565">
        <v>351</v>
      </c>
    </row>
    <row r="28566" spans="1:16" x14ac:dyDescent="0.35">
      <c r="A28566" s="27" t="s">
        <v>231</v>
      </c>
      <c r="B28566" s="27" t="s">
        <v>263</v>
      </c>
      <c r="C28566" s="28">
        <v>1</v>
      </c>
      <c r="D28566" s="29"/>
      <c r="E28566" s="29"/>
      <c r="F28566" s="29"/>
      <c r="G28566" s="29"/>
      <c r="H28566" s="29"/>
      <c r="I28566" s="29"/>
      <c r="J28566" s="29"/>
      <c r="K28566" s="29"/>
      <c r="L28566" s="29"/>
      <c r="M28566" s="29"/>
      <c r="N28566" s="29"/>
      <c r="O28566" s="29"/>
      <c r="P28566" s="29" t="s">
        <v>314</v>
      </c>
    </row>
    <row r="28567" spans="1:16" x14ac:dyDescent="0.35">
      <c r="A28567" t="s">
        <v>231</v>
      </c>
      <c r="B28567" t="s">
        <v>260</v>
      </c>
      <c r="C28567" s="26">
        <v>0.93500000000000005</v>
      </c>
      <c r="D28567" s="26">
        <v>8.0999999999999996E-3</v>
      </c>
      <c r="E28567" s="26">
        <v>1.6299999999999999E-2</v>
      </c>
      <c r="F28567" s="26">
        <v>8.0999999999999996E-3</v>
      </c>
      <c r="H28567" s="26">
        <v>8.0999999999999996E-3</v>
      </c>
      <c r="I28567" s="26">
        <v>8.0999999999999996E-3</v>
      </c>
      <c r="J28567" s="26">
        <v>8.0999999999999996E-3</v>
      </c>
      <c r="L28567" s="26">
        <v>8.0999999999999996E-3</v>
      </c>
      <c r="P28567">
        <v>123</v>
      </c>
    </row>
    <row r="28568" spans="1:16" x14ac:dyDescent="0.35">
      <c r="A28568" s="27" t="s">
        <v>231</v>
      </c>
      <c r="B28568" s="27" t="s">
        <v>261</v>
      </c>
      <c r="C28568" s="28">
        <v>0.92310000000000003</v>
      </c>
      <c r="D28568" s="29"/>
      <c r="E28568" s="29"/>
      <c r="F28568" s="29"/>
      <c r="G28568" s="28">
        <v>3.85E-2</v>
      </c>
      <c r="H28568" s="29"/>
      <c r="I28568" s="29"/>
      <c r="J28568" s="29"/>
      <c r="K28568" s="28">
        <v>3.85E-2</v>
      </c>
      <c r="L28568" s="29"/>
      <c r="M28568" s="29"/>
      <c r="N28568" s="29"/>
      <c r="O28568" s="29"/>
      <c r="P28568" s="29" t="s">
        <v>357</v>
      </c>
    </row>
    <row r="28569" spans="1:16" x14ac:dyDescent="0.35">
      <c r="A28569" s="27" t="s">
        <v>231</v>
      </c>
      <c r="B28569" s="27" t="s">
        <v>262</v>
      </c>
      <c r="C28569" s="28">
        <v>1</v>
      </c>
      <c r="D28569" s="29"/>
      <c r="E28569" s="29"/>
      <c r="F28569" s="29"/>
      <c r="G28569" s="29"/>
      <c r="H28569" s="29"/>
      <c r="I28569" s="29"/>
      <c r="J28569" s="29"/>
      <c r="K28569" s="29"/>
      <c r="L28569" s="29"/>
      <c r="M28569" s="29"/>
      <c r="N28569" s="29"/>
      <c r="O28569" s="29"/>
      <c r="P28569" s="29" t="s">
        <v>352</v>
      </c>
    </row>
    <row r="28570" spans="1:16" x14ac:dyDescent="0.35">
      <c r="A28570" t="s">
        <v>232</v>
      </c>
      <c r="B28570" t="s">
        <v>232</v>
      </c>
      <c r="C28570" s="26">
        <v>0.93330000000000002</v>
      </c>
      <c r="D28570" s="26">
        <v>1.29E-2</v>
      </c>
      <c r="E28570" s="26">
        <v>1.0800000000000001E-2</v>
      </c>
      <c r="F28570" s="26">
        <v>9.1999999999999998E-3</v>
      </c>
      <c r="G28570" s="26">
        <v>8.2000000000000007E-3</v>
      </c>
      <c r="H28570" s="26">
        <v>7.6E-3</v>
      </c>
      <c r="I28570" s="26">
        <v>7.4999999999999997E-3</v>
      </c>
      <c r="J28570" s="26">
        <v>4.7000000000000002E-3</v>
      </c>
      <c r="K28570" s="26">
        <v>4.7000000000000002E-3</v>
      </c>
      <c r="L28570" s="26">
        <v>4.1999999999999997E-3</v>
      </c>
      <c r="M28570" s="26">
        <v>2.3999999999999998E-3</v>
      </c>
      <c r="N28570" s="26">
        <v>2E-3</v>
      </c>
      <c r="O28570" s="26">
        <v>1.1000000000000001E-3</v>
      </c>
      <c r="P28570">
        <v>2796</v>
      </c>
    </row>
    <row r="28572" spans="1:16" x14ac:dyDescent="0.35">
      <c r="A28572" s="1" t="s">
        <v>2564</v>
      </c>
    </row>
    <row r="28573" spans="1:16" x14ac:dyDescent="0.35">
      <c r="A28573" t="s">
        <v>219</v>
      </c>
      <c r="B28573" t="s">
        <v>305</v>
      </c>
      <c r="C28573" t="s">
        <v>550</v>
      </c>
      <c r="D28573" t="s">
        <v>2547</v>
      </c>
      <c r="E28573" t="s">
        <v>2548</v>
      </c>
      <c r="F28573" t="s">
        <v>2549</v>
      </c>
      <c r="G28573" t="s">
        <v>2550</v>
      </c>
      <c r="H28573" t="s">
        <v>2551</v>
      </c>
      <c r="I28573" t="s">
        <v>2552</v>
      </c>
      <c r="J28573" t="s">
        <v>281</v>
      </c>
      <c r="K28573" t="s">
        <v>2553</v>
      </c>
      <c r="L28573" t="s">
        <v>2554</v>
      </c>
      <c r="M28573" t="s">
        <v>286</v>
      </c>
      <c r="N28573" t="s">
        <v>2555</v>
      </c>
      <c r="O28573" t="s">
        <v>326</v>
      </c>
      <c r="P28573" t="s">
        <v>226</v>
      </c>
    </row>
    <row r="28574" spans="1:16" x14ac:dyDescent="0.35">
      <c r="A28574" t="s">
        <v>227</v>
      </c>
      <c r="B28574" t="s">
        <v>368</v>
      </c>
      <c r="C28574" s="26">
        <v>0.96879999999999999</v>
      </c>
      <c r="H28574" s="26">
        <v>3.1199999999999999E-2</v>
      </c>
      <c r="N28574" s="26">
        <v>3.1199999999999999E-2</v>
      </c>
      <c r="P28574">
        <v>32</v>
      </c>
    </row>
    <row r="28575" spans="1:16" x14ac:dyDescent="0.35">
      <c r="A28575" t="s">
        <v>227</v>
      </c>
      <c r="B28575" t="s">
        <v>369</v>
      </c>
      <c r="C28575" s="26">
        <v>0.9375</v>
      </c>
      <c r="D28575" s="26">
        <v>5.4699999999999999E-2</v>
      </c>
      <c r="H28575" s="26">
        <v>7.7999999999999996E-3</v>
      </c>
      <c r="I28575" s="26">
        <v>7.7999999999999996E-3</v>
      </c>
      <c r="P28575">
        <v>128</v>
      </c>
    </row>
    <row r="28576" spans="1:16" x14ac:dyDescent="0.35">
      <c r="A28576" t="s">
        <v>228</v>
      </c>
      <c r="B28576" t="s">
        <v>368</v>
      </c>
      <c r="C28576" s="26">
        <v>0.90239999999999998</v>
      </c>
      <c r="E28576" s="26">
        <v>1.6899999999999998E-2</v>
      </c>
      <c r="F28576" s="26">
        <v>4.0000000000000001E-3</v>
      </c>
      <c r="G28576" s="26">
        <v>5.7799999999999997E-2</v>
      </c>
      <c r="J28576" s="26">
        <v>4.4000000000000003E-3</v>
      </c>
      <c r="L28576" s="26">
        <v>2.0999999999999999E-3</v>
      </c>
      <c r="M28576" s="26">
        <v>1.8499999999999999E-2</v>
      </c>
      <c r="P28576">
        <v>190</v>
      </c>
    </row>
    <row r="28577" spans="1:16" x14ac:dyDescent="0.35">
      <c r="A28577" t="s">
        <v>228</v>
      </c>
      <c r="B28577" t="s">
        <v>369</v>
      </c>
      <c r="C28577" s="26">
        <v>0.94420000000000004</v>
      </c>
      <c r="D28577" s="26">
        <v>5.4999999999999997E-3</v>
      </c>
      <c r="E28577" s="26">
        <v>6.1999999999999998E-3</v>
      </c>
      <c r="F28577" s="26">
        <v>9.4999999999999998E-3</v>
      </c>
      <c r="G28577" s="26">
        <v>3.0000000000000001E-3</v>
      </c>
      <c r="H28577" s="26">
        <v>2.7000000000000001E-3</v>
      </c>
      <c r="I28577" s="26">
        <v>1.7600000000000001E-2</v>
      </c>
      <c r="J28577" s="26">
        <v>6.4000000000000003E-3</v>
      </c>
      <c r="K28577" s="26">
        <v>2.2000000000000001E-3</v>
      </c>
      <c r="L28577" s="26">
        <v>5.1999999999999998E-3</v>
      </c>
      <c r="M28577" s="26">
        <v>2.5999999999999999E-3</v>
      </c>
      <c r="N28577" s="26">
        <v>6.9999999999999999E-4</v>
      </c>
      <c r="O28577" s="26">
        <v>2.8999999999999998E-3</v>
      </c>
      <c r="P28577">
        <v>836</v>
      </c>
    </row>
    <row r="28578" spans="1:16" x14ac:dyDescent="0.35">
      <c r="A28578" t="s">
        <v>229</v>
      </c>
      <c r="B28578" t="s">
        <v>368</v>
      </c>
      <c r="C28578" s="26">
        <v>0.85119999999999996</v>
      </c>
      <c r="D28578" s="26">
        <v>4.1200000000000001E-2</v>
      </c>
      <c r="F28578" s="26">
        <v>4.3400000000000001E-2</v>
      </c>
      <c r="G28578" s="26">
        <v>5.5E-2</v>
      </c>
      <c r="K28578" s="26">
        <v>6.1800000000000001E-2</v>
      </c>
      <c r="L28578" s="26">
        <v>4.5999999999999999E-3</v>
      </c>
      <c r="N28578" s="26">
        <v>4.5999999999999999E-3</v>
      </c>
      <c r="P28578">
        <v>95</v>
      </c>
    </row>
    <row r="28579" spans="1:16" x14ac:dyDescent="0.35">
      <c r="A28579" t="s">
        <v>229</v>
      </c>
      <c r="B28579" t="s">
        <v>369</v>
      </c>
      <c r="C28579" s="26">
        <v>0.92920000000000003</v>
      </c>
      <c r="D28579" s="26">
        <v>7.3000000000000001E-3</v>
      </c>
      <c r="E28579" s="26">
        <v>2.1499999999999998E-2</v>
      </c>
      <c r="F28579" s="26">
        <v>1.4200000000000001E-2</v>
      </c>
      <c r="G28579" s="26">
        <v>3.3999999999999998E-3</v>
      </c>
      <c r="H28579" s="26">
        <v>1.0200000000000001E-2</v>
      </c>
      <c r="I28579" s="26">
        <v>6.4999999999999997E-3</v>
      </c>
      <c r="J28579" s="26">
        <v>6.7999999999999996E-3</v>
      </c>
      <c r="L28579" s="26">
        <v>3.5999999999999999E-3</v>
      </c>
      <c r="M28579" s="26">
        <v>4.1999999999999997E-3</v>
      </c>
      <c r="N28579" s="26">
        <v>3.0000000000000001E-3</v>
      </c>
      <c r="O28579" s="26">
        <v>4.0000000000000002E-4</v>
      </c>
      <c r="P28579">
        <v>795</v>
      </c>
    </row>
    <row r="28580" spans="1:16" x14ac:dyDescent="0.35">
      <c r="A28580" t="s">
        <v>230</v>
      </c>
      <c r="B28580" t="s">
        <v>368</v>
      </c>
      <c r="C28580" s="26">
        <v>0.86470000000000002</v>
      </c>
      <c r="E28580" s="26">
        <v>6.8999999999999999E-3</v>
      </c>
      <c r="F28580" s="26">
        <v>4.2099999999999999E-2</v>
      </c>
      <c r="G28580" s="26">
        <v>4.4200000000000003E-2</v>
      </c>
      <c r="I28580" s="26">
        <v>4.2099999999999999E-2</v>
      </c>
      <c r="N28580" s="26">
        <v>2.0999999999999999E-3</v>
      </c>
      <c r="P28580">
        <v>56</v>
      </c>
    </row>
    <row r="28581" spans="1:16" x14ac:dyDescent="0.35">
      <c r="A28581" t="s">
        <v>230</v>
      </c>
      <c r="B28581" t="s">
        <v>369</v>
      </c>
      <c r="C28581" s="26">
        <v>0.95450000000000002</v>
      </c>
      <c r="D28581" s="26">
        <v>2.3999999999999998E-3</v>
      </c>
      <c r="E28581" s="26">
        <v>6.6E-3</v>
      </c>
      <c r="F28581" s="26">
        <v>1.6999999999999999E-3</v>
      </c>
      <c r="G28581" s="26">
        <v>2.2000000000000001E-3</v>
      </c>
      <c r="H28581" s="26">
        <v>1.38E-2</v>
      </c>
      <c r="J28581" s="26">
        <v>2.3999999999999998E-3</v>
      </c>
      <c r="K28581" s="26">
        <v>5.9999999999999995E-4</v>
      </c>
      <c r="L28581" s="26">
        <v>7.3000000000000001E-3</v>
      </c>
      <c r="M28581" s="26">
        <v>3.0999999999999999E-3</v>
      </c>
      <c r="O28581" s="26">
        <v>6.1999999999999998E-3</v>
      </c>
      <c r="P28581">
        <v>502</v>
      </c>
    </row>
    <row r="28582" spans="1:16" x14ac:dyDescent="0.35">
      <c r="A28582" s="27" t="s">
        <v>231</v>
      </c>
      <c r="B28582" s="27" t="s">
        <v>368</v>
      </c>
      <c r="C28582" s="28">
        <v>0.92310000000000003</v>
      </c>
      <c r="D28582" s="29"/>
      <c r="E28582" s="29"/>
      <c r="F28582" s="29"/>
      <c r="G28582" s="28">
        <v>3.85E-2</v>
      </c>
      <c r="H28582" s="29"/>
      <c r="I28582" s="29"/>
      <c r="J28582" s="29"/>
      <c r="K28582" s="28">
        <v>3.85E-2</v>
      </c>
      <c r="L28582" s="29"/>
      <c r="M28582" s="29"/>
      <c r="N28582" s="29"/>
      <c r="O28582" s="29"/>
      <c r="P28582" s="29" t="s">
        <v>357</v>
      </c>
    </row>
    <row r="28583" spans="1:16" x14ac:dyDescent="0.35">
      <c r="A28583" t="s">
        <v>231</v>
      </c>
      <c r="B28583" t="s">
        <v>369</v>
      </c>
      <c r="C28583" s="26">
        <v>0.94120000000000004</v>
      </c>
      <c r="D28583" s="26">
        <v>7.4000000000000003E-3</v>
      </c>
      <c r="E28583" s="26">
        <v>1.47E-2</v>
      </c>
      <c r="F28583" s="26">
        <v>7.4000000000000003E-3</v>
      </c>
      <c r="H28583" s="26">
        <v>7.4000000000000003E-3</v>
      </c>
      <c r="I28583" s="26">
        <v>7.4000000000000003E-3</v>
      </c>
      <c r="J28583" s="26">
        <v>7.4000000000000003E-3</v>
      </c>
      <c r="L28583" s="26">
        <v>7.4000000000000003E-3</v>
      </c>
      <c r="P28583">
        <v>136</v>
      </c>
    </row>
    <row r="28584" spans="1:16" x14ac:dyDescent="0.35">
      <c r="A28584" t="s">
        <v>232</v>
      </c>
      <c r="B28584" t="s">
        <v>232</v>
      </c>
      <c r="C28584" s="26">
        <v>0.93330000000000002</v>
      </c>
      <c r="D28584" s="26">
        <v>1.29E-2</v>
      </c>
      <c r="E28584" s="26">
        <v>1.0800000000000001E-2</v>
      </c>
      <c r="F28584" s="26">
        <v>9.1999999999999998E-3</v>
      </c>
      <c r="G28584" s="26">
        <v>8.2000000000000007E-3</v>
      </c>
      <c r="H28584" s="26">
        <v>7.6E-3</v>
      </c>
      <c r="I28584" s="26">
        <v>7.4999999999999997E-3</v>
      </c>
      <c r="J28584" s="26">
        <v>4.7000000000000002E-3</v>
      </c>
      <c r="K28584" s="26">
        <v>4.7000000000000002E-3</v>
      </c>
      <c r="L28584" s="26">
        <v>4.1999999999999997E-3</v>
      </c>
      <c r="M28584" s="26">
        <v>2.3999999999999998E-3</v>
      </c>
      <c r="N28584" s="26">
        <v>2E-3</v>
      </c>
      <c r="O28584" s="26">
        <v>1.1000000000000001E-3</v>
      </c>
      <c r="P28584">
        <v>2796</v>
      </c>
    </row>
    <row r="28586" spans="1:16" x14ac:dyDescent="0.35">
      <c r="A28586" s="1" t="s">
        <v>2565</v>
      </c>
    </row>
    <row r="28587" spans="1:16" x14ac:dyDescent="0.35">
      <c r="A28587" t="s">
        <v>219</v>
      </c>
      <c r="B28587" t="s">
        <v>305</v>
      </c>
      <c r="C28587" t="s">
        <v>550</v>
      </c>
      <c r="D28587" t="s">
        <v>2547</v>
      </c>
      <c r="E28587" t="s">
        <v>2548</v>
      </c>
      <c r="F28587" t="s">
        <v>2549</v>
      </c>
      <c r="G28587" t="s">
        <v>2550</v>
      </c>
      <c r="H28587" t="s">
        <v>2551</v>
      </c>
      <c r="I28587" t="s">
        <v>2552</v>
      </c>
      <c r="J28587" t="s">
        <v>281</v>
      </c>
      <c r="K28587" t="s">
        <v>2553</v>
      </c>
      <c r="L28587" t="s">
        <v>2554</v>
      </c>
      <c r="M28587" t="s">
        <v>286</v>
      </c>
      <c r="N28587" t="s">
        <v>2555</v>
      </c>
      <c r="O28587" t="s">
        <v>326</v>
      </c>
      <c r="P28587" t="s">
        <v>226</v>
      </c>
    </row>
    <row r="28588" spans="1:16" x14ac:dyDescent="0.35">
      <c r="A28588" t="s">
        <v>227</v>
      </c>
      <c r="B28588" t="s">
        <v>371</v>
      </c>
      <c r="C28588" s="26">
        <v>0.94369999999999998</v>
      </c>
      <c r="D28588" s="26">
        <v>4.3799999999999999E-2</v>
      </c>
      <c r="H28588" s="26">
        <v>1.2500000000000001E-2</v>
      </c>
      <c r="I28588" s="26">
        <v>6.1999999999999998E-3</v>
      </c>
      <c r="N28588" s="26">
        <v>6.1999999999999998E-3</v>
      </c>
      <c r="P28588">
        <v>160</v>
      </c>
    </row>
    <row r="28589" spans="1:16" x14ac:dyDescent="0.35">
      <c r="A28589" t="s">
        <v>228</v>
      </c>
      <c r="B28589" t="s">
        <v>371</v>
      </c>
      <c r="C28589" s="26">
        <v>0.94369999999999998</v>
      </c>
      <c r="D28589" s="26">
        <v>6.4000000000000003E-3</v>
      </c>
      <c r="E28589" s="26">
        <v>1.5E-3</v>
      </c>
      <c r="F28589" s="26">
        <v>7.9000000000000008E-3</v>
      </c>
      <c r="G28589" s="26">
        <v>1.43E-2</v>
      </c>
      <c r="I28589" s="26">
        <v>2.5600000000000001E-2</v>
      </c>
      <c r="J28589" s="26">
        <v>6.9999999999999999E-4</v>
      </c>
      <c r="L28589" s="26">
        <v>6.4000000000000003E-3</v>
      </c>
      <c r="M28589" s="26">
        <v>6.4000000000000003E-3</v>
      </c>
      <c r="O28589" s="26">
        <v>6.9999999999999999E-4</v>
      </c>
      <c r="P28589">
        <v>289</v>
      </c>
    </row>
    <row r="28590" spans="1:16" x14ac:dyDescent="0.35">
      <c r="A28590" t="s">
        <v>228</v>
      </c>
      <c r="B28590" t="s">
        <v>372</v>
      </c>
      <c r="C28590" s="26">
        <v>0.89180000000000004</v>
      </c>
      <c r="D28590" s="26">
        <v>7.7000000000000002E-3</v>
      </c>
      <c r="E28590" s="26">
        <v>2.1999999999999999E-2</v>
      </c>
      <c r="F28590" s="26">
        <v>1.6199999999999999E-2</v>
      </c>
      <c r="G28590" s="26">
        <v>2.69E-2</v>
      </c>
      <c r="H28590" s="26">
        <v>2.8999999999999998E-3</v>
      </c>
      <c r="I28590" s="26">
        <v>4.8999999999999998E-3</v>
      </c>
      <c r="J28590" s="26">
        <v>1.14E-2</v>
      </c>
      <c r="K28590" s="26">
        <v>4.8999999999999998E-3</v>
      </c>
      <c r="L28590" s="26">
        <v>4.8999999999999998E-3</v>
      </c>
      <c r="M28590" s="26">
        <v>1.1299999999999999E-2</v>
      </c>
      <c r="P28590">
        <v>216</v>
      </c>
    </row>
    <row r="28591" spans="1:16" x14ac:dyDescent="0.35">
      <c r="A28591" t="s">
        <v>228</v>
      </c>
      <c r="B28591" t="s">
        <v>373</v>
      </c>
      <c r="C28591" s="26">
        <v>0.93569999999999998</v>
      </c>
      <c r="D28591" s="26">
        <v>1.1000000000000001E-3</v>
      </c>
      <c r="E28591" s="26">
        <v>1.44E-2</v>
      </c>
      <c r="F28591" s="26">
        <v>7.4999999999999997E-3</v>
      </c>
      <c r="G28591" s="26">
        <v>9.9000000000000008E-3</v>
      </c>
      <c r="H28591" s="26">
        <v>5.0000000000000001E-3</v>
      </c>
      <c r="I28591" s="26">
        <v>1.1000000000000001E-3</v>
      </c>
      <c r="J28591" s="26">
        <v>1.18E-2</v>
      </c>
      <c r="K28591" s="26">
        <v>3.5000000000000001E-3</v>
      </c>
      <c r="L28591" s="26">
        <v>2.0999999999999999E-3</v>
      </c>
      <c r="M28591" s="26">
        <v>3.3999999999999998E-3</v>
      </c>
      <c r="N28591" s="26">
        <v>1.4E-3</v>
      </c>
      <c r="O28591" s="26">
        <v>5.1000000000000004E-3</v>
      </c>
      <c r="P28591">
        <v>521</v>
      </c>
    </row>
    <row r="28592" spans="1:16" x14ac:dyDescent="0.35">
      <c r="A28592" t="s">
        <v>229</v>
      </c>
      <c r="B28592" t="s">
        <v>371</v>
      </c>
      <c r="C28592" s="26">
        <v>0.91459999999999997</v>
      </c>
      <c r="D28592" s="26">
        <v>1.34E-2</v>
      </c>
      <c r="E28592" s="26">
        <v>1.83E-2</v>
      </c>
      <c r="F28592" s="26">
        <v>1.9599999999999999E-2</v>
      </c>
      <c r="G28592" s="26">
        <v>1.15E-2</v>
      </c>
      <c r="H28592" s="26">
        <v>9.2999999999999992E-3</v>
      </c>
      <c r="I28592" s="26">
        <v>6.0000000000000001E-3</v>
      </c>
      <c r="J28592" s="26">
        <v>5.5999999999999999E-3</v>
      </c>
      <c r="K28592" s="26">
        <v>9.9000000000000008E-3</v>
      </c>
      <c r="L28592" s="26">
        <v>4.0000000000000001E-3</v>
      </c>
      <c r="M28592" s="26">
        <v>3.5000000000000001E-3</v>
      </c>
      <c r="N28592" s="26">
        <v>3.5000000000000001E-3</v>
      </c>
      <c r="P28592">
        <v>579</v>
      </c>
    </row>
    <row r="28593" spans="1:16" x14ac:dyDescent="0.35">
      <c r="A28593" t="s">
        <v>229</v>
      </c>
      <c r="B28593" t="s">
        <v>372</v>
      </c>
      <c r="C28593" s="26">
        <v>0.94169999999999998</v>
      </c>
      <c r="E28593" s="26">
        <v>2.1600000000000001E-2</v>
      </c>
      <c r="F28593" s="26">
        <v>8.5000000000000006E-3</v>
      </c>
      <c r="G28593" s="26">
        <v>6.6E-3</v>
      </c>
      <c r="H28593" s="26">
        <v>1.9E-3</v>
      </c>
      <c r="J28593" s="26">
        <v>6.6E-3</v>
      </c>
      <c r="M28593" s="26">
        <v>6.6E-3</v>
      </c>
      <c r="O28593" s="26">
        <v>6.6E-3</v>
      </c>
      <c r="P28593">
        <v>221</v>
      </c>
    </row>
    <row r="28594" spans="1:16" x14ac:dyDescent="0.35">
      <c r="A28594" t="s">
        <v>229</v>
      </c>
      <c r="B28594" t="s">
        <v>373</v>
      </c>
      <c r="C28594" s="26">
        <v>0.9778</v>
      </c>
      <c r="E28594" s="26">
        <v>1.23E-2</v>
      </c>
      <c r="J28594" s="26">
        <v>9.9000000000000008E-3</v>
      </c>
      <c r="P28594">
        <v>90</v>
      </c>
    </row>
    <row r="28595" spans="1:16" x14ac:dyDescent="0.35">
      <c r="A28595" t="s">
        <v>230</v>
      </c>
      <c r="B28595" t="s">
        <v>371</v>
      </c>
      <c r="C28595" s="26">
        <v>0.94450000000000001</v>
      </c>
      <c r="D28595" s="26">
        <v>1.1000000000000001E-3</v>
      </c>
      <c r="E28595" s="26">
        <v>4.4999999999999997E-3</v>
      </c>
      <c r="F28595" s="26">
        <v>6.6E-3</v>
      </c>
      <c r="G28595" s="26">
        <v>6.6E-3</v>
      </c>
      <c r="H28595" s="26">
        <v>1.3299999999999999E-2</v>
      </c>
      <c r="I28595" s="26">
        <v>6.6E-3</v>
      </c>
      <c r="L28595" s="26">
        <v>7.7999999999999996E-3</v>
      </c>
      <c r="M28595" s="26">
        <v>2.2000000000000001E-3</v>
      </c>
      <c r="O28595" s="26">
        <v>6.6E-3</v>
      </c>
      <c r="P28595">
        <v>261</v>
      </c>
    </row>
    <row r="28596" spans="1:16" x14ac:dyDescent="0.35">
      <c r="A28596" t="s">
        <v>230</v>
      </c>
      <c r="B28596" t="s">
        <v>372</v>
      </c>
      <c r="C28596" s="26">
        <v>0.90769999999999995</v>
      </c>
      <c r="D28596" s="26">
        <v>2.01E-2</v>
      </c>
      <c r="E28596" s="26">
        <v>4.7000000000000002E-3</v>
      </c>
      <c r="F28596" s="26">
        <v>2.4899999999999999E-2</v>
      </c>
      <c r="G28596" s="26">
        <v>3.3099999999999997E-2</v>
      </c>
      <c r="H28596" s="26">
        <v>4.7000000000000002E-3</v>
      </c>
      <c r="J28596" s="26">
        <v>4.7000000000000002E-3</v>
      </c>
      <c r="K28596" s="26">
        <v>9.4999999999999998E-3</v>
      </c>
      <c r="N28596" s="26">
        <v>4.7000000000000002E-3</v>
      </c>
      <c r="P28596">
        <v>146</v>
      </c>
    </row>
    <row r="28597" spans="1:16" x14ac:dyDescent="0.35">
      <c r="A28597" t="s">
        <v>230</v>
      </c>
      <c r="B28597" t="s">
        <v>373</v>
      </c>
      <c r="C28597" s="26">
        <v>0.94879999999999998</v>
      </c>
      <c r="E28597" s="26">
        <v>2.1000000000000001E-2</v>
      </c>
      <c r="G28597" s="26">
        <v>2.2000000000000001E-3</v>
      </c>
      <c r="H28597" s="26">
        <v>7.0000000000000001E-3</v>
      </c>
      <c r="J28597" s="26">
        <v>1.4E-2</v>
      </c>
      <c r="M28597" s="26">
        <v>7.0000000000000001E-3</v>
      </c>
      <c r="P28597">
        <v>151</v>
      </c>
    </row>
    <row r="28598" spans="1:16" x14ac:dyDescent="0.35">
      <c r="A28598" t="s">
        <v>231</v>
      </c>
      <c r="B28598" t="s">
        <v>371</v>
      </c>
      <c r="C28598" s="26">
        <v>0.93830000000000002</v>
      </c>
      <c r="D28598" s="26">
        <v>6.1999999999999998E-3</v>
      </c>
      <c r="E28598" s="26">
        <v>1.23E-2</v>
      </c>
      <c r="F28598" s="26">
        <v>6.1999999999999998E-3</v>
      </c>
      <c r="G28598" s="26">
        <v>6.1999999999999998E-3</v>
      </c>
      <c r="H28598" s="26">
        <v>6.1999999999999998E-3</v>
      </c>
      <c r="I28598" s="26">
        <v>6.1999999999999998E-3</v>
      </c>
      <c r="J28598" s="26">
        <v>6.1999999999999998E-3</v>
      </c>
      <c r="K28598" s="26">
        <v>6.1999999999999998E-3</v>
      </c>
      <c r="L28598" s="26">
        <v>6.1999999999999998E-3</v>
      </c>
      <c r="P28598">
        <v>162</v>
      </c>
    </row>
    <row r="28599" spans="1:16" x14ac:dyDescent="0.35">
      <c r="A28599" t="s">
        <v>232</v>
      </c>
      <c r="B28599" t="s">
        <v>232</v>
      </c>
      <c r="C28599" s="26">
        <v>0.93330000000000002</v>
      </c>
      <c r="D28599" s="26">
        <v>1.29E-2</v>
      </c>
      <c r="E28599" s="26">
        <v>1.0800000000000001E-2</v>
      </c>
      <c r="F28599" s="26">
        <v>9.1999999999999998E-3</v>
      </c>
      <c r="G28599" s="26">
        <v>8.2000000000000007E-3</v>
      </c>
      <c r="H28599" s="26">
        <v>7.6E-3</v>
      </c>
      <c r="I28599" s="26">
        <v>7.4999999999999997E-3</v>
      </c>
      <c r="J28599" s="26">
        <v>4.7000000000000002E-3</v>
      </c>
      <c r="K28599" s="26">
        <v>4.7000000000000002E-3</v>
      </c>
      <c r="L28599" s="26">
        <v>4.1999999999999997E-3</v>
      </c>
      <c r="M28599" s="26">
        <v>2.3999999999999998E-3</v>
      </c>
      <c r="N28599" s="26">
        <v>2E-3</v>
      </c>
      <c r="O28599" s="26">
        <v>1.1000000000000001E-3</v>
      </c>
      <c r="P28599">
        <v>2796</v>
      </c>
    </row>
    <row r="28601" spans="1:16" x14ac:dyDescent="0.35">
      <c r="A28601" s="1" t="s">
        <v>2566</v>
      </c>
    </row>
    <row r="28602" spans="1:16" x14ac:dyDescent="0.35">
      <c r="A28602" t="s">
        <v>219</v>
      </c>
      <c r="B28602" t="s">
        <v>305</v>
      </c>
      <c r="C28602" t="s">
        <v>550</v>
      </c>
      <c r="D28602" t="s">
        <v>2547</v>
      </c>
      <c r="E28602" t="s">
        <v>2548</v>
      </c>
      <c r="F28602" t="s">
        <v>2549</v>
      </c>
      <c r="G28602" t="s">
        <v>2550</v>
      </c>
      <c r="H28602" t="s">
        <v>2551</v>
      </c>
      <c r="I28602" t="s">
        <v>2552</v>
      </c>
      <c r="J28602" t="s">
        <v>281</v>
      </c>
      <c r="K28602" t="s">
        <v>2553</v>
      </c>
      <c r="L28602" t="s">
        <v>2554</v>
      </c>
      <c r="M28602" t="s">
        <v>286</v>
      </c>
      <c r="N28602" t="s">
        <v>2555</v>
      </c>
      <c r="O28602" t="s">
        <v>326</v>
      </c>
      <c r="P28602" t="s">
        <v>226</v>
      </c>
    </row>
    <row r="28603" spans="1:16" x14ac:dyDescent="0.35">
      <c r="A28603" t="s">
        <v>227</v>
      </c>
      <c r="B28603" t="s">
        <v>255</v>
      </c>
      <c r="C28603" s="26">
        <v>0.93100000000000005</v>
      </c>
      <c r="D28603" s="26">
        <v>5.1700000000000003E-2</v>
      </c>
      <c r="H28603" s="26">
        <v>1.72E-2</v>
      </c>
      <c r="I28603" s="26">
        <v>8.6E-3</v>
      </c>
      <c r="N28603" s="26">
        <v>8.6E-3</v>
      </c>
      <c r="P28603">
        <v>116</v>
      </c>
    </row>
    <row r="28604" spans="1:16" x14ac:dyDescent="0.35">
      <c r="A28604" s="27" t="s">
        <v>227</v>
      </c>
      <c r="B28604" s="27" t="s">
        <v>257</v>
      </c>
      <c r="C28604" s="28">
        <v>1</v>
      </c>
      <c r="D28604" s="29"/>
      <c r="E28604" s="29"/>
      <c r="F28604" s="29"/>
      <c r="G28604" s="29"/>
      <c r="H28604" s="29"/>
      <c r="I28604" s="29"/>
      <c r="J28604" s="29"/>
      <c r="K28604" s="29"/>
      <c r="L28604" s="29"/>
      <c r="M28604" s="29"/>
      <c r="N28604" s="29"/>
      <c r="O28604" s="29"/>
      <c r="P28604" s="29" t="s">
        <v>334</v>
      </c>
    </row>
    <row r="28605" spans="1:16" x14ac:dyDescent="0.35">
      <c r="A28605" t="s">
        <v>227</v>
      </c>
      <c r="B28605" t="s">
        <v>256</v>
      </c>
      <c r="C28605" s="26">
        <v>0.97140000000000004</v>
      </c>
      <c r="D28605" s="26">
        <v>2.86E-2</v>
      </c>
      <c r="P28605">
        <v>35</v>
      </c>
    </row>
    <row r="28606" spans="1:16" x14ac:dyDescent="0.35">
      <c r="A28606" t="s">
        <v>228</v>
      </c>
      <c r="B28606" t="s">
        <v>257</v>
      </c>
      <c r="C28606" s="26">
        <v>0.94569999999999999</v>
      </c>
      <c r="E28606" s="26">
        <v>7.9000000000000008E-3</v>
      </c>
      <c r="F28606" s="26">
        <v>7.9000000000000008E-3</v>
      </c>
      <c r="H28606" s="26">
        <v>2.24E-2</v>
      </c>
      <c r="L28606" s="26">
        <v>1.6E-2</v>
      </c>
      <c r="P28606">
        <v>49</v>
      </c>
    </row>
    <row r="28607" spans="1:16" x14ac:dyDescent="0.35">
      <c r="A28607" s="27" t="s">
        <v>228</v>
      </c>
      <c r="B28607" s="27" t="s">
        <v>258</v>
      </c>
      <c r="C28607" s="28">
        <v>0.30730000000000002</v>
      </c>
      <c r="D28607" s="29"/>
      <c r="E28607" s="29"/>
      <c r="F28607" s="29"/>
      <c r="G28607" s="29"/>
      <c r="H28607" s="29"/>
      <c r="I28607" s="28">
        <v>0.59470000000000001</v>
      </c>
      <c r="J28607" s="29"/>
      <c r="K28607" s="29"/>
      <c r="L28607" s="29"/>
      <c r="M28607" s="28">
        <v>9.8100000000000007E-2</v>
      </c>
      <c r="N28607" s="29"/>
      <c r="O28607" s="29"/>
      <c r="P28607" s="29" t="s">
        <v>337</v>
      </c>
    </row>
    <row r="28608" spans="1:16" x14ac:dyDescent="0.35">
      <c r="A28608" t="s">
        <v>228</v>
      </c>
      <c r="B28608" t="s">
        <v>256</v>
      </c>
      <c r="C28608" s="26">
        <v>0.94569999999999999</v>
      </c>
      <c r="E28608" s="26">
        <v>1.0800000000000001E-2</v>
      </c>
      <c r="F28608" s="26">
        <v>6.4999999999999997E-3</v>
      </c>
      <c r="G28608" s="26">
        <v>1.5E-3</v>
      </c>
      <c r="I28608" s="26">
        <v>2.7699999999999999E-2</v>
      </c>
      <c r="J28608" s="26">
        <v>2.3E-3</v>
      </c>
      <c r="K28608" s="26">
        <v>1.6999999999999999E-3</v>
      </c>
      <c r="L28608" s="26">
        <v>1.5599999999999999E-2</v>
      </c>
      <c r="N28608" s="26">
        <v>2.3E-3</v>
      </c>
      <c r="O28608" s="26">
        <v>1.5E-3</v>
      </c>
      <c r="P28608">
        <v>219</v>
      </c>
    </row>
    <row r="28609" spans="1:16" x14ac:dyDescent="0.35">
      <c r="A28609" t="s">
        <v>228</v>
      </c>
      <c r="B28609" t="s">
        <v>255</v>
      </c>
      <c r="C28609" s="26">
        <v>0.93710000000000004</v>
      </c>
      <c r="D28609" s="26">
        <v>6.3E-3</v>
      </c>
      <c r="E28609" s="26">
        <v>7.6E-3</v>
      </c>
      <c r="F28609" s="26">
        <v>9.1999999999999998E-3</v>
      </c>
      <c r="G28609" s="26">
        <v>1.9E-2</v>
      </c>
      <c r="H28609" s="26">
        <v>1.5E-3</v>
      </c>
      <c r="I28609" s="26">
        <v>6.0000000000000001E-3</v>
      </c>
      <c r="J28609" s="26">
        <v>7.7999999999999996E-3</v>
      </c>
      <c r="K28609" s="26">
        <v>2E-3</v>
      </c>
      <c r="M28609" s="26">
        <v>7.3000000000000001E-3</v>
      </c>
      <c r="O28609" s="26">
        <v>2.8999999999999998E-3</v>
      </c>
      <c r="P28609">
        <v>754</v>
      </c>
    </row>
    <row r="28610" spans="1:16" x14ac:dyDescent="0.35">
      <c r="A28610" t="s">
        <v>229</v>
      </c>
      <c r="B28610" t="s">
        <v>256</v>
      </c>
      <c r="C28610" s="26">
        <v>0.91110000000000002</v>
      </c>
      <c r="D28610" s="26">
        <v>2.4899999999999999E-2</v>
      </c>
      <c r="E28610" s="26">
        <v>2.4199999999999999E-2</v>
      </c>
      <c r="F28610" s="26">
        <v>1.1999999999999999E-3</v>
      </c>
      <c r="G28610" s="26">
        <v>1.12E-2</v>
      </c>
      <c r="H28610" s="26">
        <v>2.2700000000000001E-2</v>
      </c>
      <c r="I28610" s="26">
        <v>2.0500000000000001E-2</v>
      </c>
      <c r="J28610" s="26">
        <v>2.8E-3</v>
      </c>
      <c r="K28610" s="26">
        <v>1.12E-2</v>
      </c>
      <c r="L28610" s="26">
        <v>2.5000000000000001E-3</v>
      </c>
      <c r="O28610" s="26">
        <v>1.1999999999999999E-3</v>
      </c>
      <c r="P28610">
        <v>205</v>
      </c>
    </row>
    <row r="28611" spans="1:16" x14ac:dyDescent="0.35">
      <c r="A28611" t="s">
        <v>229</v>
      </c>
      <c r="B28611" t="s">
        <v>255</v>
      </c>
      <c r="C28611" s="26">
        <v>0.92290000000000005</v>
      </c>
      <c r="D28611" s="26">
        <v>8.3000000000000001E-3</v>
      </c>
      <c r="E28611" s="26">
        <v>1.37E-2</v>
      </c>
      <c r="F28611" s="26">
        <v>1.8700000000000001E-2</v>
      </c>
      <c r="G28611" s="26">
        <v>1.18E-2</v>
      </c>
      <c r="H28611" s="26">
        <v>3.8E-3</v>
      </c>
      <c r="J28611" s="26">
        <v>7.4000000000000003E-3</v>
      </c>
      <c r="K28611" s="26">
        <v>8.9999999999999993E-3</v>
      </c>
      <c r="L28611" s="26">
        <v>4.4999999999999997E-3</v>
      </c>
      <c r="M28611" s="26">
        <v>5.3E-3</v>
      </c>
      <c r="N28611" s="26">
        <v>3.8E-3</v>
      </c>
      <c r="P28611">
        <v>633</v>
      </c>
    </row>
    <row r="28612" spans="1:16" x14ac:dyDescent="0.35">
      <c r="A28612" t="s">
        <v>229</v>
      </c>
      <c r="B28612" t="s">
        <v>257</v>
      </c>
      <c r="C28612" s="26">
        <v>0.88600000000000001</v>
      </c>
      <c r="E28612" s="26">
        <v>4.6300000000000001E-2</v>
      </c>
      <c r="F28612" s="26">
        <v>0.1017</v>
      </c>
      <c r="N28612" s="26">
        <v>1.23E-2</v>
      </c>
      <c r="P28612">
        <v>50</v>
      </c>
    </row>
    <row r="28613" spans="1:16" x14ac:dyDescent="0.35">
      <c r="A28613" s="27" t="s">
        <v>229</v>
      </c>
      <c r="B28613" s="27" t="s">
        <v>258</v>
      </c>
      <c r="C28613" s="28">
        <v>1</v>
      </c>
      <c r="D28613" s="29"/>
      <c r="E28613" s="29"/>
      <c r="F28613" s="29"/>
      <c r="G28613" s="29"/>
      <c r="H28613" s="29"/>
      <c r="I28613" s="29"/>
      <c r="J28613" s="29"/>
      <c r="K28613" s="29"/>
      <c r="L28613" s="29"/>
      <c r="M28613" s="29"/>
      <c r="N28613" s="29"/>
      <c r="O28613" s="29"/>
      <c r="P28613" s="29" t="s">
        <v>314</v>
      </c>
    </row>
    <row r="28614" spans="1:16" x14ac:dyDescent="0.35">
      <c r="A28614" t="s">
        <v>230</v>
      </c>
      <c r="B28614" t="s">
        <v>256</v>
      </c>
      <c r="C28614" s="26">
        <v>0.90359999999999996</v>
      </c>
      <c r="E28614" s="26">
        <v>6.8999999999999999E-3</v>
      </c>
      <c r="F28614" s="26">
        <v>1.1000000000000001E-3</v>
      </c>
      <c r="G28614" s="26">
        <v>2.18E-2</v>
      </c>
      <c r="H28614" s="26">
        <v>2.18E-2</v>
      </c>
      <c r="I28614" s="26">
        <v>2.07E-2</v>
      </c>
      <c r="L28614" s="26">
        <v>3.5000000000000001E-3</v>
      </c>
      <c r="O28614" s="26">
        <v>2.07E-2</v>
      </c>
      <c r="P28614">
        <v>130</v>
      </c>
    </row>
    <row r="28615" spans="1:16" x14ac:dyDescent="0.35">
      <c r="A28615" t="s">
        <v>230</v>
      </c>
      <c r="B28615" t="s">
        <v>255</v>
      </c>
      <c r="C28615" s="26">
        <v>0.95489999999999997</v>
      </c>
      <c r="D28615" s="26">
        <v>1.8E-3</v>
      </c>
      <c r="E28615" s="26">
        <v>7.1999999999999998E-3</v>
      </c>
      <c r="F28615" s="26">
        <v>9.9000000000000008E-3</v>
      </c>
      <c r="G28615" s="26">
        <v>2.8999999999999998E-3</v>
      </c>
      <c r="H28615" s="26">
        <v>9.4999999999999998E-3</v>
      </c>
      <c r="J28615" s="26">
        <v>3.0999999999999999E-3</v>
      </c>
      <c r="K28615" s="26">
        <v>8.0000000000000004E-4</v>
      </c>
      <c r="L28615" s="26">
        <v>8.0999999999999996E-3</v>
      </c>
      <c r="M28615" s="26">
        <v>2.7000000000000001E-3</v>
      </c>
      <c r="N28615" s="26">
        <v>4.0000000000000002E-4</v>
      </c>
      <c r="P28615">
        <v>388</v>
      </c>
    </row>
    <row r="28616" spans="1:16" x14ac:dyDescent="0.35">
      <c r="A28616" t="s">
        <v>230</v>
      </c>
      <c r="B28616" t="s">
        <v>257</v>
      </c>
      <c r="C28616" s="26">
        <v>0.97219999999999995</v>
      </c>
      <c r="D28616" s="26">
        <v>1.3899999999999999E-2</v>
      </c>
      <c r="M28616" s="26">
        <v>1.3899999999999999E-2</v>
      </c>
      <c r="P28616">
        <v>37</v>
      </c>
    </row>
    <row r="28617" spans="1:16" x14ac:dyDescent="0.35">
      <c r="A28617" s="27" t="s">
        <v>230</v>
      </c>
      <c r="B28617" s="27" t="s">
        <v>258</v>
      </c>
      <c r="C28617" s="28">
        <v>1</v>
      </c>
      <c r="D28617" s="29"/>
      <c r="E28617" s="29"/>
      <c r="F28617" s="29"/>
      <c r="G28617" s="29"/>
      <c r="H28617" s="29"/>
      <c r="I28617" s="29"/>
      <c r="J28617" s="29"/>
      <c r="K28617" s="29"/>
      <c r="L28617" s="29"/>
      <c r="M28617" s="29"/>
      <c r="N28617" s="29"/>
      <c r="O28617" s="29"/>
      <c r="P28617" s="29" t="s">
        <v>315</v>
      </c>
    </row>
    <row r="28618" spans="1:16" x14ac:dyDescent="0.35">
      <c r="A28618" s="27" t="s">
        <v>231</v>
      </c>
      <c r="B28618" s="27" t="s">
        <v>257</v>
      </c>
      <c r="C28618" s="28">
        <v>1</v>
      </c>
      <c r="D28618" s="29"/>
      <c r="E28618" s="29"/>
      <c r="F28618" s="29"/>
      <c r="G28618" s="29"/>
      <c r="H28618" s="29"/>
      <c r="I28618" s="29"/>
      <c r="J28618" s="29"/>
      <c r="K28618" s="29"/>
      <c r="L28618" s="29"/>
      <c r="M28618" s="29"/>
      <c r="N28618" s="29"/>
      <c r="O28618" s="29"/>
      <c r="P28618" s="29" t="s">
        <v>339</v>
      </c>
    </row>
    <row r="28619" spans="1:16" x14ac:dyDescent="0.35">
      <c r="A28619" t="s">
        <v>231</v>
      </c>
      <c r="B28619" t="s">
        <v>255</v>
      </c>
      <c r="C28619" s="26">
        <v>0.95279999999999998</v>
      </c>
      <c r="E28619" s="26">
        <v>1.5699999999999999E-2</v>
      </c>
      <c r="G28619" s="26">
        <v>7.9000000000000008E-3</v>
      </c>
      <c r="J28619" s="26">
        <v>7.9000000000000008E-3</v>
      </c>
      <c r="K28619" s="26">
        <v>7.9000000000000008E-3</v>
      </c>
      <c r="L28619" s="26">
        <v>7.9000000000000008E-3</v>
      </c>
      <c r="P28619">
        <v>127</v>
      </c>
    </row>
    <row r="28620" spans="1:16" x14ac:dyDescent="0.35">
      <c r="A28620" s="27" t="s">
        <v>231</v>
      </c>
      <c r="B28620" s="27" t="s">
        <v>256</v>
      </c>
      <c r="C28620" s="28">
        <v>0.85709999999999997</v>
      </c>
      <c r="D28620" s="28">
        <v>3.5700000000000003E-2</v>
      </c>
      <c r="E28620" s="29"/>
      <c r="F28620" s="28">
        <v>3.5700000000000003E-2</v>
      </c>
      <c r="G28620" s="29"/>
      <c r="H28620" s="28">
        <v>3.5700000000000003E-2</v>
      </c>
      <c r="I28620" s="28">
        <v>3.5700000000000003E-2</v>
      </c>
      <c r="J28620" s="29"/>
      <c r="K28620" s="29"/>
      <c r="L28620" s="29"/>
      <c r="M28620" s="29"/>
      <c r="N28620" s="29"/>
      <c r="O28620" s="29"/>
      <c r="P28620" s="29" t="s">
        <v>336</v>
      </c>
    </row>
    <row r="28621" spans="1:16" x14ac:dyDescent="0.35">
      <c r="A28621" t="s">
        <v>232</v>
      </c>
      <c r="B28621" t="s">
        <v>232</v>
      </c>
      <c r="C28621" s="26">
        <v>0.93330000000000002</v>
      </c>
      <c r="D28621" s="26">
        <v>1.29E-2</v>
      </c>
      <c r="E28621" s="26">
        <v>1.0800000000000001E-2</v>
      </c>
      <c r="F28621" s="26">
        <v>9.1999999999999998E-3</v>
      </c>
      <c r="G28621" s="26">
        <v>8.2000000000000007E-3</v>
      </c>
      <c r="H28621" s="26">
        <v>7.6E-3</v>
      </c>
      <c r="I28621" s="26">
        <v>7.4999999999999997E-3</v>
      </c>
      <c r="J28621" s="26">
        <v>4.7000000000000002E-3</v>
      </c>
      <c r="K28621" s="26">
        <v>4.7000000000000002E-3</v>
      </c>
      <c r="L28621" s="26">
        <v>4.1999999999999997E-3</v>
      </c>
      <c r="M28621" s="26">
        <v>2.3999999999999998E-3</v>
      </c>
      <c r="N28621" s="26">
        <v>2E-3</v>
      </c>
      <c r="O28621" s="26">
        <v>1.1000000000000001E-3</v>
      </c>
      <c r="P28621">
        <v>2796</v>
      </c>
    </row>
    <row r="28623" spans="1:16" x14ac:dyDescent="0.35">
      <c r="A28623" s="1" t="s">
        <v>2567</v>
      </c>
    </row>
    <row r="28624" spans="1:16" x14ac:dyDescent="0.35">
      <c r="A28624" t="s">
        <v>219</v>
      </c>
      <c r="B28624" t="s">
        <v>305</v>
      </c>
      <c r="C28624" t="s">
        <v>550</v>
      </c>
      <c r="D28624" t="s">
        <v>2547</v>
      </c>
      <c r="E28624" t="s">
        <v>2548</v>
      </c>
      <c r="F28624" t="s">
        <v>2549</v>
      </c>
      <c r="G28624" t="s">
        <v>2550</v>
      </c>
      <c r="H28624" t="s">
        <v>2551</v>
      </c>
      <c r="I28624" t="s">
        <v>2552</v>
      </c>
      <c r="J28624" t="s">
        <v>281</v>
      </c>
      <c r="K28624" t="s">
        <v>2553</v>
      </c>
      <c r="L28624" t="s">
        <v>2554</v>
      </c>
      <c r="M28624" t="s">
        <v>286</v>
      </c>
      <c r="N28624" t="s">
        <v>2555</v>
      </c>
      <c r="O28624" t="s">
        <v>326</v>
      </c>
      <c r="P28624" t="s">
        <v>226</v>
      </c>
    </row>
    <row r="28625" spans="1:16" x14ac:dyDescent="0.35">
      <c r="A28625" t="s">
        <v>227</v>
      </c>
      <c r="B28625" t="s">
        <v>1341</v>
      </c>
      <c r="C28625" s="26">
        <v>0.89800000000000002</v>
      </c>
      <c r="D28625" s="26">
        <v>8.1600000000000006E-2</v>
      </c>
      <c r="H28625" s="26">
        <v>4.0800000000000003E-2</v>
      </c>
      <c r="N28625" s="26">
        <v>2.0400000000000001E-2</v>
      </c>
      <c r="P28625">
        <v>49</v>
      </c>
    </row>
    <row r="28626" spans="1:16" x14ac:dyDescent="0.35">
      <c r="A28626" s="27" t="s">
        <v>227</v>
      </c>
      <c r="B28626" s="27" t="s">
        <v>1342</v>
      </c>
      <c r="C28626" s="28">
        <v>1</v>
      </c>
      <c r="D28626" s="29"/>
      <c r="E28626" s="29"/>
      <c r="F28626" s="29"/>
      <c r="G28626" s="29"/>
      <c r="H28626" s="29"/>
      <c r="I28626" s="29"/>
      <c r="J28626" s="29"/>
      <c r="K28626" s="29"/>
      <c r="L28626" s="29"/>
      <c r="M28626" s="29"/>
      <c r="N28626" s="29"/>
      <c r="O28626" s="29"/>
      <c r="P28626" s="29" t="s">
        <v>331</v>
      </c>
    </row>
    <row r="28627" spans="1:16" x14ac:dyDescent="0.35">
      <c r="A28627" t="s">
        <v>227</v>
      </c>
      <c r="B28627" t="s">
        <v>1343</v>
      </c>
      <c r="C28627" s="26">
        <v>0.96360000000000001</v>
      </c>
      <c r="D28627" s="26">
        <v>2.7300000000000001E-2</v>
      </c>
      <c r="I28627" s="26">
        <v>9.1000000000000004E-3</v>
      </c>
      <c r="P28627">
        <v>110</v>
      </c>
    </row>
    <row r="28628" spans="1:16" x14ac:dyDescent="0.35">
      <c r="A28628" t="s">
        <v>228</v>
      </c>
      <c r="B28628" t="s">
        <v>1341</v>
      </c>
      <c r="C28628" s="26">
        <v>0.9214</v>
      </c>
      <c r="E28628" s="26">
        <v>9.4999999999999998E-3</v>
      </c>
      <c r="F28628" s="26">
        <v>1.9E-3</v>
      </c>
      <c r="G28628" s="26">
        <v>9.7000000000000003E-3</v>
      </c>
      <c r="H28628" s="26">
        <v>1.9E-3</v>
      </c>
      <c r="I28628" s="26">
        <v>2.3099999999999999E-2</v>
      </c>
      <c r="J28628" s="26">
        <v>9.9000000000000008E-3</v>
      </c>
      <c r="K28628" s="26">
        <v>1.4E-3</v>
      </c>
      <c r="L28628" s="26">
        <v>1.1599999999999999E-2</v>
      </c>
      <c r="M28628" s="26">
        <v>1.43E-2</v>
      </c>
      <c r="O28628" s="26">
        <v>8.2000000000000007E-3</v>
      </c>
      <c r="P28628">
        <v>302</v>
      </c>
    </row>
    <row r="28629" spans="1:16" x14ac:dyDescent="0.35">
      <c r="A28629" s="27" t="s">
        <v>228</v>
      </c>
      <c r="B28629" s="27" t="s">
        <v>1342</v>
      </c>
      <c r="C28629" s="28">
        <v>1</v>
      </c>
      <c r="D28629" s="29"/>
      <c r="E28629" s="29"/>
      <c r="F28629" s="29"/>
      <c r="G28629" s="29"/>
      <c r="H28629" s="29"/>
      <c r="I28629" s="29"/>
      <c r="J28629" s="29"/>
      <c r="K28629" s="29"/>
      <c r="L28629" s="29"/>
      <c r="M28629" s="29"/>
      <c r="N28629" s="29"/>
      <c r="O28629" s="29"/>
      <c r="P28629" s="29" t="s">
        <v>331</v>
      </c>
    </row>
    <row r="28630" spans="1:16" x14ac:dyDescent="0.35">
      <c r="A28630" t="s">
        <v>228</v>
      </c>
      <c r="B28630" t="s">
        <v>1343</v>
      </c>
      <c r="C28630" s="26">
        <v>0.94179999999999997</v>
      </c>
      <c r="D28630" s="26">
        <v>6.1999999999999998E-3</v>
      </c>
      <c r="E28630" s="26">
        <v>7.9000000000000008E-3</v>
      </c>
      <c r="F28630" s="26">
        <v>1.12E-2</v>
      </c>
      <c r="G28630" s="26">
        <v>1.5299999999999999E-2</v>
      </c>
      <c r="H28630" s="26">
        <v>2.3999999999999998E-3</v>
      </c>
      <c r="I28630" s="26">
        <v>1.06E-2</v>
      </c>
      <c r="J28630" s="26">
        <v>4.4000000000000003E-3</v>
      </c>
      <c r="K28630" s="26">
        <v>2E-3</v>
      </c>
      <c r="L28630" s="26">
        <v>1.8E-3</v>
      </c>
      <c r="M28630" s="26">
        <v>2.0999999999999999E-3</v>
      </c>
      <c r="N28630" s="26">
        <v>8.0000000000000004E-4</v>
      </c>
      <c r="P28630">
        <v>723</v>
      </c>
    </row>
    <row r="28631" spans="1:16" x14ac:dyDescent="0.35">
      <c r="A28631" t="s">
        <v>229</v>
      </c>
      <c r="B28631" t="s">
        <v>1341</v>
      </c>
      <c r="C28631" s="26">
        <v>0.874</v>
      </c>
      <c r="D28631" s="26">
        <v>1.9300000000000001E-2</v>
      </c>
      <c r="E28631" s="26">
        <v>3.4799999999999998E-2</v>
      </c>
      <c r="G28631" s="26">
        <v>1.72E-2</v>
      </c>
      <c r="H28631" s="26">
        <v>2.6599999999999999E-2</v>
      </c>
      <c r="I28631" s="26">
        <v>1.72E-2</v>
      </c>
      <c r="J28631" s="26">
        <v>4.4999999999999997E-3</v>
      </c>
      <c r="L28631" s="26">
        <v>9.4000000000000004E-3</v>
      </c>
      <c r="M28631" s="26">
        <v>7.7999999999999996E-3</v>
      </c>
      <c r="N28631" s="26">
        <v>7.7999999999999996E-3</v>
      </c>
      <c r="P28631">
        <v>270</v>
      </c>
    </row>
    <row r="28632" spans="1:16" x14ac:dyDescent="0.35">
      <c r="A28632" t="s">
        <v>229</v>
      </c>
      <c r="B28632" t="s">
        <v>1343</v>
      </c>
      <c r="C28632" s="26">
        <v>0.9385</v>
      </c>
      <c r="D28632" s="26">
        <v>8.9999999999999993E-3</v>
      </c>
      <c r="E28632" s="26">
        <v>1.0500000000000001E-2</v>
      </c>
      <c r="F28632" s="26">
        <v>2.7300000000000001E-2</v>
      </c>
      <c r="G28632" s="26">
        <v>8.0000000000000002E-3</v>
      </c>
      <c r="H28632" s="26">
        <v>1E-4</v>
      </c>
      <c r="J28632" s="26">
        <v>6.4000000000000003E-3</v>
      </c>
      <c r="K28632" s="26">
        <v>1.35E-2</v>
      </c>
      <c r="L28632" s="26">
        <v>1E-3</v>
      </c>
      <c r="M28632" s="26">
        <v>1.5E-3</v>
      </c>
      <c r="N28632" s="26">
        <v>1E-3</v>
      </c>
      <c r="O28632" s="26">
        <v>5.0000000000000001E-4</v>
      </c>
      <c r="P28632">
        <v>620</v>
      </c>
    </row>
    <row r="28633" spans="1:16" x14ac:dyDescent="0.35">
      <c r="A28633" t="s">
        <v>230</v>
      </c>
      <c r="B28633" t="s">
        <v>1341</v>
      </c>
      <c r="C28633" s="26">
        <v>0.93140000000000001</v>
      </c>
      <c r="D28633" s="26">
        <v>8.9999999999999998E-4</v>
      </c>
      <c r="E28633" s="26">
        <v>8.8000000000000005E-3</v>
      </c>
      <c r="F28633" s="26">
        <v>1.84E-2</v>
      </c>
      <c r="G28633" s="26">
        <v>2.1000000000000001E-2</v>
      </c>
      <c r="H28633" s="26">
        <v>8.9999999999999998E-4</v>
      </c>
      <c r="L28633" s="26">
        <v>2.0400000000000001E-2</v>
      </c>
      <c r="P28633">
        <v>156</v>
      </c>
    </row>
    <row r="28634" spans="1:16" x14ac:dyDescent="0.35">
      <c r="A28634" t="s">
        <v>230</v>
      </c>
      <c r="B28634" t="s">
        <v>1343</v>
      </c>
      <c r="C28634" s="26">
        <v>0.94810000000000005</v>
      </c>
      <c r="D28634" s="26">
        <v>2.5999999999999999E-3</v>
      </c>
      <c r="E28634" s="26">
        <v>5.5999999999999999E-3</v>
      </c>
      <c r="F28634" s="26">
        <v>1.6999999999999999E-3</v>
      </c>
      <c r="G28634" s="26">
        <v>1.6000000000000001E-3</v>
      </c>
      <c r="H28634" s="26">
        <v>1.7000000000000001E-2</v>
      </c>
      <c r="I28634" s="26">
        <v>7.7999999999999996E-3</v>
      </c>
      <c r="J28634" s="26">
        <v>3.0000000000000001E-3</v>
      </c>
      <c r="K28634" s="26">
        <v>8.0000000000000004E-4</v>
      </c>
      <c r="M28634" s="26">
        <v>3.8999999999999998E-3</v>
      </c>
      <c r="N28634" s="26">
        <v>4.0000000000000002E-4</v>
      </c>
      <c r="O28634" s="26">
        <v>7.7999999999999996E-3</v>
      </c>
      <c r="P28634">
        <v>402</v>
      </c>
    </row>
    <row r="28635" spans="1:16" x14ac:dyDescent="0.35">
      <c r="A28635" t="s">
        <v>231</v>
      </c>
      <c r="B28635" t="s">
        <v>1341</v>
      </c>
      <c r="C28635" s="26">
        <v>0.95379999999999998</v>
      </c>
      <c r="D28635" s="26">
        <v>1.54E-2</v>
      </c>
      <c r="E28635" s="26">
        <v>1.54E-2</v>
      </c>
      <c r="K28635" s="26">
        <v>1.54E-2</v>
      </c>
      <c r="P28635">
        <v>65</v>
      </c>
    </row>
    <row r="28636" spans="1:16" x14ac:dyDescent="0.35">
      <c r="A28636" t="s">
        <v>231</v>
      </c>
      <c r="B28636" t="s">
        <v>1343</v>
      </c>
      <c r="C28636" s="26">
        <v>0.92779999999999996</v>
      </c>
      <c r="E28636" s="26">
        <v>1.03E-2</v>
      </c>
      <c r="F28636" s="26">
        <v>1.03E-2</v>
      </c>
      <c r="G28636" s="26">
        <v>1.03E-2</v>
      </c>
      <c r="H28636" s="26">
        <v>1.03E-2</v>
      </c>
      <c r="I28636" s="26">
        <v>1.03E-2</v>
      </c>
      <c r="J28636" s="26">
        <v>1.03E-2</v>
      </c>
      <c r="L28636" s="26">
        <v>1.03E-2</v>
      </c>
      <c r="P28636">
        <v>97</v>
      </c>
    </row>
    <row r="28637" spans="1:16" x14ac:dyDescent="0.35">
      <c r="A28637" t="s">
        <v>232</v>
      </c>
      <c r="B28637" t="s">
        <v>232</v>
      </c>
      <c r="C28637" s="26">
        <v>0.93330000000000002</v>
      </c>
      <c r="D28637" s="26">
        <v>1.29E-2</v>
      </c>
      <c r="E28637" s="26">
        <v>1.0800000000000001E-2</v>
      </c>
      <c r="F28637" s="26">
        <v>9.1999999999999998E-3</v>
      </c>
      <c r="G28637" s="26">
        <v>8.2000000000000007E-3</v>
      </c>
      <c r="H28637" s="26">
        <v>7.6E-3</v>
      </c>
      <c r="I28637" s="26">
        <v>7.4999999999999997E-3</v>
      </c>
      <c r="J28637" s="26">
        <v>4.7000000000000002E-3</v>
      </c>
      <c r="K28637" s="26">
        <v>4.7000000000000002E-3</v>
      </c>
      <c r="L28637" s="26">
        <v>4.1999999999999997E-3</v>
      </c>
      <c r="M28637" s="26">
        <v>2.3999999999999998E-3</v>
      </c>
      <c r="N28637" s="26">
        <v>2E-3</v>
      </c>
      <c r="O28637" s="26">
        <v>1.1000000000000001E-3</v>
      </c>
      <c r="P28637">
        <v>2796</v>
      </c>
    </row>
    <row r="28639" spans="1:16" x14ac:dyDescent="0.35">
      <c r="A28639" s="1" t="s">
        <v>2568</v>
      </c>
    </row>
    <row r="28640" spans="1:16" x14ac:dyDescent="0.35">
      <c r="A28640" t="s">
        <v>219</v>
      </c>
      <c r="B28640" t="s">
        <v>305</v>
      </c>
      <c r="C28640" t="s">
        <v>550</v>
      </c>
      <c r="D28640" t="s">
        <v>2547</v>
      </c>
      <c r="E28640" t="s">
        <v>2548</v>
      </c>
      <c r="F28640" t="s">
        <v>2549</v>
      </c>
      <c r="G28640" t="s">
        <v>2550</v>
      </c>
      <c r="H28640" t="s">
        <v>2551</v>
      </c>
      <c r="I28640" t="s">
        <v>2552</v>
      </c>
      <c r="J28640" t="s">
        <v>281</v>
      </c>
      <c r="K28640" t="s">
        <v>2553</v>
      </c>
      <c r="L28640" t="s">
        <v>2554</v>
      </c>
      <c r="M28640" t="s">
        <v>286</v>
      </c>
      <c r="N28640" t="s">
        <v>2555</v>
      </c>
      <c r="O28640" t="s">
        <v>326</v>
      </c>
      <c r="P28640" t="s">
        <v>226</v>
      </c>
    </row>
    <row r="28641" spans="1:16" x14ac:dyDescent="0.35">
      <c r="A28641" s="27" t="s">
        <v>227</v>
      </c>
      <c r="B28641" s="27" t="s">
        <v>1345</v>
      </c>
      <c r="C28641" s="28">
        <v>1</v>
      </c>
      <c r="D28641" s="29"/>
      <c r="E28641" s="29"/>
      <c r="F28641" s="29"/>
      <c r="G28641" s="29"/>
      <c r="H28641" s="29"/>
      <c r="I28641" s="29"/>
      <c r="J28641" s="29"/>
      <c r="K28641" s="29"/>
      <c r="L28641" s="29"/>
      <c r="M28641" s="29"/>
      <c r="N28641" s="29"/>
      <c r="O28641" s="29"/>
      <c r="P28641" s="29" t="s">
        <v>314</v>
      </c>
    </row>
    <row r="28642" spans="1:16" x14ac:dyDescent="0.35">
      <c r="A28642" t="s">
        <v>227</v>
      </c>
      <c r="B28642" t="s">
        <v>1346</v>
      </c>
      <c r="C28642" s="26">
        <v>0.92310000000000003</v>
      </c>
      <c r="D28642" s="26">
        <v>7.6899999999999996E-2</v>
      </c>
      <c r="P28642">
        <v>39</v>
      </c>
    </row>
    <row r="28643" spans="1:16" x14ac:dyDescent="0.35">
      <c r="A28643" t="s">
        <v>227</v>
      </c>
      <c r="B28643" t="s">
        <v>1347</v>
      </c>
      <c r="C28643" s="26">
        <v>0.94440000000000002</v>
      </c>
      <c r="D28643" s="26">
        <v>5.5599999999999997E-2</v>
      </c>
      <c r="H28643" s="26">
        <v>2.7799999999999998E-2</v>
      </c>
      <c r="P28643">
        <v>36</v>
      </c>
    </row>
    <row r="28644" spans="1:16" x14ac:dyDescent="0.35">
      <c r="A28644" t="s">
        <v>227</v>
      </c>
      <c r="B28644" t="s">
        <v>1348</v>
      </c>
      <c r="C28644" s="26">
        <v>0.95179999999999998</v>
      </c>
      <c r="D28644" s="26">
        <v>2.41E-2</v>
      </c>
      <c r="H28644" s="26">
        <v>1.2E-2</v>
      </c>
      <c r="I28644" s="26">
        <v>1.2E-2</v>
      </c>
      <c r="N28644" s="26">
        <v>1.2E-2</v>
      </c>
      <c r="P28644">
        <v>83</v>
      </c>
    </row>
    <row r="28645" spans="1:16" x14ac:dyDescent="0.35">
      <c r="A28645" t="s">
        <v>228</v>
      </c>
      <c r="B28645" t="s">
        <v>1348</v>
      </c>
      <c r="C28645" s="26">
        <v>0.93259999999999998</v>
      </c>
      <c r="D28645" s="26">
        <v>6.7999999999999996E-3</v>
      </c>
      <c r="E28645" s="26">
        <v>7.0000000000000001E-3</v>
      </c>
      <c r="F28645" s="26">
        <v>1.14E-2</v>
      </c>
      <c r="G28645" s="26">
        <v>3.0000000000000001E-3</v>
      </c>
      <c r="H28645" s="26">
        <v>3.0999999999999999E-3</v>
      </c>
      <c r="I28645" s="26">
        <v>2.5999999999999999E-2</v>
      </c>
      <c r="J28645" s="26">
        <v>4.7999999999999996E-3</v>
      </c>
      <c r="K28645" s="26">
        <v>1E-3</v>
      </c>
      <c r="L28645" s="26">
        <v>7.9000000000000008E-3</v>
      </c>
      <c r="M28645" s="26">
        <v>8.0999999999999996E-3</v>
      </c>
      <c r="O28645" s="26">
        <v>1.6000000000000001E-3</v>
      </c>
      <c r="P28645">
        <v>529</v>
      </c>
    </row>
    <row r="28646" spans="1:16" x14ac:dyDescent="0.35">
      <c r="A28646" t="s">
        <v>228</v>
      </c>
      <c r="B28646" t="s">
        <v>1347</v>
      </c>
      <c r="C28646" s="26">
        <v>0.92779999999999996</v>
      </c>
      <c r="E28646" s="26">
        <v>1.67E-2</v>
      </c>
      <c r="F28646" s="26">
        <v>7.7000000000000002E-3</v>
      </c>
      <c r="G28646" s="26">
        <v>2.6200000000000001E-2</v>
      </c>
      <c r="H28646" s="26">
        <v>2.8999999999999998E-3</v>
      </c>
      <c r="J28646" s="26">
        <v>6.3E-3</v>
      </c>
      <c r="K28646" s="26">
        <v>6.7000000000000002E-3</v>
      </c>
      <c r="L28646" s="26">
        <v>2.2000000000000001E-3</v>
      </c>
      <c r="M28646" s="26">
        <v>2.8999999999999998E-3</v>
      </c>
      <c r="N28646" s="26">
        <v>2.8999999999999998E-3</v>
      </c>
      <c r="O28646" s="26">
        <v>1.9E-3</v>
      </c>
      <c r="P28646">
        <v>203</v>
      </c>
    </row>
    <row r="28647" spans="1:16" x14ac:dyDescent="0.35">
      <c r="A28647" t="s">
        <v>228</v>
      </c>
      <c r="B28647" t="s">
        <v>1346</v>
      </c>
      <c r="C28647" s="26">
        <v>0.95289999999999997</v>
      </c>
      <c r="D28647" s="26">
        <v>3.2000000000000002E-3</v>
      </c>
      <c r="E28647" s="26">
        <v>5.5999999999999999E-3</v>
      </c>
      <c r="F28647" s="26">
        <v>3.7000000000000002E-3</v>
      </c>
      <c r="G28647" s="26">
        <v>2.7300000000000001E-2</v>
      </c>
      <c r="I28647" s="26">
        <v>1.6000000000000001E-3</v>
      </c>
      <c r="J28647" s="26">
        <v>4.1999999999999997E-3</v>
      </c>
      <c r="M28647" s="26">
        <v>3.0999999999999999E-3</v>
      </c>
      <c r="P28647">
        <v>283</v>
      </c>
    </row>
    <row r="28648" spans="1:16" x14ac:dyDescent="0.35">
      <c r="A28648" s="27" t="s">
        <v>228</v>
      </c>
      <c r="B28648" s="27" t="s">
        <v>1345</v>
      </c>
      <c r="C28648" s="28">
        <v>0.89100000000000001</v>
      </c>
      <c r="D28648" s="29"/>
      <c r="E28648" s="29"/>
      <c r="F28648" s="29"/>
      <c r="G28648" s="29"/>
      <c r="H28648" s="29"/>
      <c r="I28648" s="29"/>
      <c r="J28648" s="28">
        <v>5.45E-2</v>
      </c>
      <c r="K28648" s="29"/>
      <c r="L28648" s="29"/>
      <c r="M28648" s="29"/>
      <c r="N28648" s="29"/>
      <c r="O28648" s="28">
        <v>5.45E-2</v>
      </c>
      <c r="P28648" s="29" t="s">
        <v>352</v>
      </c>
    </row>
    <row r="28649" spans="1:16" x14ac:dyDescent="0.35">
      <c r="A28649" s="27" t="s">
        <v>229</v>
      </c>
      <c r="B28649" s="27" t="s">
        <v>1345</v>
      </c>
      <c r="C28649" s="28">
        <v>0.90759999999999996</v>
      </c>
      <c r="D28649" s="29"/>
      <c r="E28649" s="29"/>
      <c r="F28649" s="28">
        <v>8.8999999999999996E-2</v>
      </c>
      <c r="G28649" s="29"/>
      <c r="H28649" s="29"/>
      <c r="I28649" s="29"/>
      <c r="J28649" s="28">
        <v>3.3999999999999998E-3</v>
      </c>
      <c r="K28649" s="29"/>
      <c r="L28649" s="29"/>
      <c r="M28649" s="29"/>
      <c r="N28649" s="29"/>
      <c r="O28649" s="29"/>
      <c r="P28649" s="29" t="s">
        <v>357</v>
      </c>
    </row>
    <row r="28650" spans="1:16" x14ac:dyDescent="0.35">
      <c r="A28650" t="s">
        <v>229</v>
      </c>
      <c r="B28650" t="s">
        <v>1346</v>
      </c>
      <c r="C28650" s="26">
        <v>0.88700000000000001</v>
      </c>
      <c r="D28650" s="26">
        <v>1.44E-2</v>
      </c>
      <c r="E28650" s="26">
        <v>2.81E-2</v>
      </c>
      <c r="F28650" s="26">
        <v>1.44E-2</v>
      </c>
      <c r="G28650" s="26">
        <v>3.61E-2</v>
      </c>
      <c r="J28650" s="26">
        <v>2.3999999999999998E-3</v>
      </c>
      <c r="K28650" s="26">
        <v>1.44E-2</v>
      </c>
      <c r="L28650" s="26">
        <v>1.44E-2</v>
      </c>
      <c r="M28650" s="26">
        <v>3.2000000000000002E-3</v>
      </c>
      <c r="P28650">
        <v>184</v>
      </c>
    </row>
    <row r="28651" spans="1:16" x14ac:dyDescent="0.35">
      <c r="A28651" t="s">
        <v>229</v>
      </c>
      <c r="B28651" t="s">
        <v>1347</v>
      </c>
      <c r="C28651" s="26">
        <v>0.94840000000000002</v>
      </c>
      <c r="D28651" s="26">
        <v>1.29E-2</v>
      </c>
      <c r="E28651" s="26">
        <v>0.01</v>
      </c>
      <c r="F28651" s="26">
        <v>2.0500000000000001E-2</v>
      </c>
      <c r="H28651" s="26">
        <v>2.9999999999999997E-4</v>
      </c>
      <c r="I28651" s="26">
        <v>1.0500000000000001E-2</v>
      </c>
      <c r="J28651" s="26">
        <v>2.7000000000000001E-3</v>
      </c>
      <c r="K28651" s="26">
        <v>1.0500000000000001E-2</v>
      </c>
      <c r="N28651" s="26">
        <v>2.3E-3</v>
      </c>
      <c r="O28651" s="26">
        <v>1.1999999999999999E-3</v>
      </c>
      <c r="P28651">
        <v>298</v>
      </c>
    </row>
    <row r="28652" spans="1:16" x14ac:dyDescent="0.35">
      <c r="A28652" t="s">
        <v>229</v>
      </c>
      <c r="B28652" t="s">
        <v>1348</v>
      </c>
      <c r="C28652" s="26">
        <v>0.9133</v>
      </c>
      <c r="D28652" s="26">
        <v>1.18E-2</v>
      </c>
      <c r="E28652" s="26">
        <v>2.01E-2</v>
      </c>
      <c r="F28652" s="26">
        <v>1.4800000000000001E-2</v>
      </c>
      <c r="G28652" s="26">
        <v>7.1000000000000004E-3</v>
      </c>
      <c r="H28652" s="26">
        <v>1.8200000000000001E-2</v>
      </c>
      <c r="I28652" s="26">
        <v>5.4000000000000003E-3</v>
      </c>
      <c r="J28652" s="26">
        <v>9.2999999999999992E-3</v>
      </c>
      <c r="K28652" s="26">
        <v>6.4000000000000003E-3</v>
      </c>
      <c r="L28652" s="26">
        <v>1.4E-3</v>
      </c>
      <c r="M28652" s="26">
        <v>6.1000000000000004E-3</v>
      </c>
      <c r="N28652" s="26">
        <v>5.4000000000000003E-3</v>
      </c>
      <c r="P28652">
        <v>382</v>
      </c>
    </row>
    <row r="28653" spans="1:16" x14ac:dyDescent="0.35">
      <c r="A28653" t="s">
        <v>230</v>
      </c>
      <c r="B28653" t="s">
        <v>1346</v>
      </c>
      <c r="C28653" s="26">
        <v>0.9728</v>
      </c>
      <c r="E28653" s="26">
        <v>8.2000000000000007E-3</v>
      </c>
      <c r="G28653" s="26">
        <v>2.5000000000000001E-3</v>
      </c>
      <c r="J28653" s="26">
        <v>8.2000000000000007E-3</v>
      </c>
      <c r="M28653" s="26">
        <v>8.2000000000000007E-3</v>
      </c>
      <c r="P28653">
        <v>140</v>
      </c>
    </row>
    <row r="28654" spans="1:16" x14ac:dyDescent="0.35">
      <c r="A28654" t="s">
        <v>230</v>
      </c>
      <c r="B28654" t="s">
        <v>1348</v>
      </c>
      <c r="C28654" s="26">
        <v>0.91269999999999996</v>
      </c>
      <c r="D28654" s="26">
        <v>4.3E-3</v>
      </c>
      <c r="E28654" s="26">
        <v>8.0000000000000002E-3</v>
      </c>
      <c r="F28654" s="26">
        <v>1.41E-2</v>
      </c>
      <c r="G28654" s="26">
        <v>1.4E-2</v>
      </c>
      <c r="H28654" s="26">
        <v>1.2999999999999999E-2</v>
      </c>
      <c r="I28654" s="26">
        <v>1.11E-2</v>
      </c>
      <c r="J28654" s="26">
        <v>5.9999999999999995E-4</v>
      </c>
      <c r="K28654" s="26">
        <v>1.1000000000000001E-3</v>
      </c>
      <c r="L28654" s="26">
        <v>1.11E-2</v>
      </c>
      <c r="N28654" s="26">
        <v>5.9999999999999995E-4</v>
      </c>
      <c r="O28654" s="26">
        <v>1.11E-2</v>
      </c>
      <c r="P28654">
        <v>258</v>
      </c>
    </row>
    <row r="28655" spans="1:16" x14ac:dyDescent="0.35">
      <c r="A28655" t="s">
        <v>230</v>
      </c>
      <c r="B28655" t="s">
        <v>1347</v>
      </c>
      <c r="C28655" s="26">
        <v>0.96830000000000005</v>
      </c>
      <c r="E28655" s="26">
        <v>3.3E-3</v>
      </c>
      <c r="G28655" s="26">
        <v>1E-3</v>
      </c>
      <c r="H28655" s="26">
        <v>2.07E-2</v>
      </c>
      <c r="L28655" s="26">
        <v>3.3E-3</v>
      </c>
      <c r="M28655" s="26">
        <v>3.3E-3</v>
      </c>
      <c r="P28655">
        <v>152</v>
      </c>
    </row>
    <row r="28656" spans="1:16" x14ac:dyDescent="0.35">
      <c r="A28656" s="27" t="s">
        <v>230</v>
      </c>
      <c r="B28656" s="27" t="s">
        <v>1345</v>
      </c>
      <c r="C28656" s="28">
        <v>1</v>
      </c>
      <c r="D28656" s="29"/>
      <c r="E28656" s="29"/>
      <c r="F28656" s="29"/>
      <c r="G28656" s="29"/>
      <c r="H28656" s="29"/>
      <c r="I28656" s="29"/>
      <c r="J28656" s="29"/>
      <c r="K28656" s="29"/>
      <c r="L28656" s="29"/>
      <c r="M28656" s="29"/>
      <c r="N28656" s="29"/>
      <c r="O28656" s="29"/>
      <c r="P28656" s="29" t="s">
        <v>333</v>
      </c>
    </row>
    <row r="28657" spans="1:17" x14ac:dyDescent="0.35">
      <c r="A28657" s="27" t="s">
        <v>231</v>
      </c>
      <c r="B28657" s="27" t="s">
        <v>1345</v>
      </c>
      <c r="C28657" s="28">
        <v>0.75</v>
      </c>
      <c r="D28657" s="29"/>
      <c r="E28657" s="29"/>
      <c r="F28657" s="29"/>
      <c r="G28657" s="29"/>
      <c r="H28657" s="29"/>
      <c r="I28657" s="29"/>
      <c r="J28657" s="29"/>
      <c r="K28657" s="29"/>
      <c r="L28657" s="28">
        <v>0.25</v>
      </c>
      <c r="M28657" s="29"/>
      <c r="N28657" s="29"/>
      <c r="O28657" s="29"/>
      <c r="P28657" s="29" t="s">
        <v>337</v>
      </c>
    </row>
    <row r="28658" spans="1:17" x14ac:dyDescent="0.35">
      <c r="A28658" t="s">
        <v>231</v>
      </c>
      <c r="B28658" t="s">
        <v>1346</v>
      </c>
      <c r="C28658" s="26">
        <v>1</v>
      </c>
      <c r="P28658">
        <v>39</v>
      </c>
    </row>
    <row r="28659" spans="1:17" x14ac:dyDescent="0.35">
      <c r="A28659" t="s">
        <v>231</v>
      </c>
      <c r="B28659" t="s">
        <v>1347</v>
      </c>
      <c r="C28659" s="26">
        <v>0.87880000000000003</v>
      </c>
      <c r="E28659" s="26">
        <v>3.0300000000000001E-2</v>
      </c>
      <c r="F28659" s="26">
        <v>3.0300000000000001E-2</v>
      </c>
      <c r="H28659" s="26">
        <v>3.0300000000000001E-2</v>
      </c>
      <c r="I28659" s="26">
        <v>3.0300000000000001E-2</v>
      </c>
      <c r="P28659">
        <v>33</v>
      </c>
    </row>
    <row r="28660" spans="1:17" x14ac:dyDescent="0.35">
      <c r="A28660" t="s">
        <v>231</v>
      </c>
      <c r="B28660" t="s">
        <v>1348</v>
      </c>
      <c r="C28660" s="26">
        <v>0.94189999999999996</v>
      </c>
      <c r="D28660" s="26">
        <v>1.1599999999999999E-2</v>
      </c>
      <c r="E28660" s="26">
        <v>1.1599999999999999E-2</v>
      </c>
      <c r="G28660" s="26">
        <v>1.1599999999999999E-2</v>
      </c>
      <c r="J28660" s="26">
        <v>1.1599999999999999E-2</v>
      </c>
      <c r="K28660" s="26">
        <v>1.1599999999999999E-2</v>
      </c>
      <c r="P28660">
        <v>86</v>
      </c>
    </row>
    <row r="28661" spans="1:17" x14ac:dyDescent="0.35">
      <c r="A28661" t="s">
        <v>232</v>
      </c>
      <c r="B28661" t="s">
        <v>232</v>
      </c>
      <c r="C28661" s="26">
        <v>0.93330000000000002</v>
      </c>
      <c r="D28661" s="26">
        <v>1.29E-2</v>
      </c>
      <c r="E28661" s="26">
        <v>1.0800000000000001E-2</v>
      </c>
      <c r="F28661" s="26">
        <v>9.1999999999999998E-3</v>
      </c>
      <c r="G28661" s="26">
        <v>8.2000000000000007E-3</v>
      </c>
      <c r="H28661" s="26">
        <v>7.6E-3</v>
      </c>
      <c r="I28661" s="26">
        <v>7.4999999999999997E-3</v>
      </c>
      <c r="J28661" s="26">
        <v>4.7000000000000002E-3</v>
      </c>
      <c r="K28661" s="26">
        <v>4.7000000000000002E-3</v>
      </c>
      <c r="L28661" s="26">
        <v>4.1999999999999997E-3</v>
      </c>
      <c r="M28661" s="26">
        <v>2.3999999999999998E-3</v>
      </c>
      <c r="N28661" s="26">
        <v>2E-3</v>
      </c>
      <c r="O28661" s="26">
        <v>1.1000000000000001E-3</v>
      </c>
      <c r="P28661">
        <v>2796</v>
      </c>
    </row>
    <row r="28663" spans="1:17" x14ac:dyDescent="0.35">
      <c r="A28663" s="1" t="s">
        <v>2569</v>
      </c>
    </row>
    <row r="28664" spans="1:17" x14ac:dyDescent="0.35">
      <c r="A28664" t="s">
        <v>219</v>
      </c>
      <c r="B28664" t="s">
        <v>305</v>
      </c>
      <c r="C28664" t="s">
        <v>345</v>
      </c>
      <c r="D28664" t="s">
        <v>550</v>
      </c>
      <c r="E28664" t="s">
        <v>2547</v>
      </c>
      <c r="F28664" t="s">
        <v>2548</v>
      </c>
      <c r="G28664" t="s">
        <v>2549</v>
      </c>
      <c r="H28664" t="s">
        <v>2550</v>
      </c>
      <c r="I28664" t="s">
        <v>2551</v>
      </c>
      <c r="J28664" t="s">
        <v>2552</v>
      </c>
      <c r="K28664" t="s">
        <v>281</v>
      </c>
      <c r="L28664" t="s">
        <v>2553</v>
      </c>
      <c r="M28664" t="s">
        <v>2554</v>
      </c>
      <c r="N28664" t="s">
        <v>286</v>
      </c>
      <c r="O28664" t="s">
        <v>2555</v>
      </c>
      <c r="P28664" t="s">
        <v>326</v>
      </c>
      <c r="Q28664" t="s">
        <v>226</v>
      </c>
    </row>
    <row r="28665" spans="1:17" x14ac:dyDescent="0.35">
      <c r="A28665" s="27" t="s">
        <v>227</v>
      </c>
      <c r="B28665" s="27" t="s">
        <v>1341</v>
      </c>
      <c r="C28665" s="27" t="s">
        <v>1345</v>
      </c>
      <c r="D28665" s="28">
        <v>1</v>
      </c>
      <c r="E28665" s="29"/>
      <c r="F28665" s="29"/>
      <c r="G28665" s="29"/>
      <c r="H28665" s="29"/>
      <c r="I28665" s="29"/>
      <c r="J28665" s="29"/>
      <c r="K28665" s="29"/>
      <c r="L28665" s="29"/>
      <c r="M28665" s="29"/>
      <c r="N28665" s="29"/>
      <c r="O28665" s="29"/>
      <c r="P28665" s="29"/>
      <c r="Q28665" s="29" t="s">
        <v>331</v>
      </c>
    </row>
    <row r="28666" spans="1:17" x14ac:dyDescent="0.35">
      <c r="A28666" s="27" t="s">
        <v>227</v>
      </c>
      <c r="B28666" s="27" t="s">
        <v>1343</v>
      </c>
      <c r="C28666" s="27" t="s">
        <v>1346</v>
      </c>
      <c r="D28666" s="28">
        <v>0.92310000000000003</v>
      </c>
      <c r="E28666" s="28">
        <v>7.6899999999999996E-2</v>
      </c>
      <c r="F28666" s="29"/>
      <c r="G28666" s="29"/>
      <c r="H28666" s="29"/>
      <c r="I28666" s="29"/>
      <c r="J28666" s="29"/>
      <c r="K28666" s="29"/>
      <c r="L28666" s="29"/>
      <c r="M28666" s="29"/>
      <c r="N28666" s="29"/>
      <c r="O28666" s="29"/>
      <c r="P28666" s="29"/>
      <c r="Q28666" s="29" t="s">
        <v>357</v>
      </c>
    </row>
    <row r="28667" spans="1:17" x14ac:dyDescent="0.35">
      <c r="A28667" t="s">
        <v>227</v>
      </c>
      <c r="B28667" t="s">
        <v>1343</v>
      </c>
      <c r="C28667" t="s">
        <v>1348</v>
      </c>
      <c r="D28667" s="26">
        <v>0.9667</v>
      </c>
      <c r="E28667" s="26">
        <v>1.67E-2</v>
      </c>
      <c r="J28667" s="26">
        <v>1.67E-2</v>
      </c>
      <c r="Q28667">
        <v>60</v>
      </c>
    </row>
    <row r="28668" spans="1:17" x14ac:dyDescent="0.35">
      <c r="A28668" s="27" t="s">
        <v>227</v>
      </c>
      <c r="B28668" s="27" t="s">
        <v>1341</v>
      </c>
      <c r="C28668" s="27" t="s">
        <v>1347</v>
      </c>
      <c r="D28668" s="28">
        <v>0.84619999999999995</v>
      </c>
      <c r="E28668" s="28">
        <v>0.15379999999999999</v>
      </c>
      <c r="F28668" s="29"/>
      <c r="G28668" s="29"/>
      <c r="H28668" s="29"/>
      <c r="I28668" s="28">
        <v>7.6899999999999996E-2</v>
      </c>
      <c r="J28668" s="29"/>
      <c r="K28668" s="29"/>
      <c r="L28668" s="29"/>
      <c r="M28668" s="29"/>
      <c r="N28668" s="29"/>
      <c r="O28668" s="29"/>
      <c r="P28668" s="29"/>
      <c r="Q28668" s="29" t="s">
        <v>341</v>
      </c>
    </row>
    <row r="28669" spans="1:17" x14ac:dyDescent="0.35">
      <c r="A28669" s="27" t="s">
        <v>227</v>
      </c>
      <c r="B28669" s="27" t="s">
        <v>1343</v>
      </c>
      <c r="C28669" s="27" t="s">
        <v>1347</v>
      </c>
      <c r="D28669" s="28">
        <v>1</v>
      </c>
      <c r="E28669" s="29"/>
      <c r="F28669" s="29"/>
      <c r="G28669" s="29"/>
      <c r="H28669" s="29"/>
      <c r="I28669" s="29"/>
      <c r="J28669" s="29"/>
      <c r="K28669" s="29"/>
      <c r="L28669" s="29"/>
      <c r="M28669" s="29"/>
      <c r="N28669" s="29"/>
      <c r="O28669" s="29"/>
      <c r="P28669" s="29"/>
      <c r="Q28669" s="29" t="s">
        <v>328</v>
      </c>
    </row>
    <row r="28670" spans="1:17" x14ac:dyDescent="0.35">
      <c r="A28670" s="27" t="s">
        <v>227</v>
      </c>
      <c r="B28670" s="27" t="s">
        <v>1343</v>
      </c>
      <c r="C28670" s="27" t="s">
        <v>1345</v>
      </c>
      <c r="D28670" s="28">
        <v>1</v>
      </c>
      <c r="E28670" s="29"/>
      <c r="F28670" s="29"/>
      <c r="G28670" s="29"/>
      <c r="H28670" s="29"/>
      <c r="I28670" s="29"/>
      <c r="J28670" s="29"/>
      <c r="K28670" s="29"/>
      <c r="L28670" s="29"/>
      <c r="M28670" s="29"/>
      <c r="N28670" s="29"/>
      <c r="O28670" s="29"/>
      <c r="P28670" s="29"/>
      <c r="Q28670" s="29" t="s">
        <v>331</v>
      </c>
    </row>
    <row r="28671" spans="1:17" x14ac:dyDescent="0.35">
      <c r="A28671" s="27" t="s">
        <v>227</v>
      </c>
      <c r="B28671" s="27" t="s">
        <v>1342</v>
      </c>
      <c r="C28671" s="27" t="s">
        <v>1348</v>
      </c>
      <c r="D28671" s="28">
        <v>1</v>
      </c>
      <c r="E28671" s="29"/>
      <c r="F28671" s="29"/>
      <c r="G28671" s="29"/>
      <c r="H28671" s="29"/>
      <c r="I28671" s="29"/>
      <c r="J28671" s="29"/>
      <c r="K28671" s="29"/>
      <c r="L28671" s="29"/>
      <c r="M28671" s="29"/>
      <c r="N28671" s="29"/>
      <c r="O28671" s="29"/>
      <c r="P28671" s="29"/>
      <c r="Q28671" s="29" t="s">
        <v>331</v>
      </c>
    </row>
    <row r="28672" spans="1:17" x14ac:dyDescent="0.35">
      <c r="A28672" s="27" t="s">
        <v>227</v>
      </c>
      <c r="B28672" s="27" t="s">
        <v>1341</v>
      </c>
      <c r="C28672" s="27" t="s">
        <v>1348</v>
      </c>
      <c r="D28672" s="28">
        <v>0.90910000000000002</v>
      </c>
      <c r="E28672" s="28">
        <v>4.5499999999999999E-2</v>
      </c>
      <c r="F28672" s="29"/>
      <c r="G28672" s="29"/>
      <c r="H28672" s="29"/>
      <c r="I28672" s="28">
        <v>4.5499999999999999E-2</v>
      </c>
      <c r="J28672" s="29"/>
      <c r="K28672" s="29"/>
      <c r="L28672" s="29"/>
      <c r="M28672" s="29"/>
      <c r="N28672" s="29"/>
      <c r="O28672" s="28">
        <v>4.5499999999999999E-2</v>
      </c>
      <c r="P28672" s="29"/>
      <c r="Q28672" s="29" t="s">
        <v>347</v>
      </c>
    </row>
    <row r="28673" spans="1:17" x14ac:dyDescent="0.35">
      <c r="A28673" s="27" t="s">
        <v>227</v>
      </c>
      <c r="B28673" s="27" t="s">
        <v>1341</v>
      </c>
      <c r="C28673" s="27" t="s">
        <v>1346</v>
      </c>
      <c r="D28673" s="28">
        <v>0.92310000000000003</v>
      </c>
      <c r="E28673" s="28">
        <v>7.6899999999999996E-2</v>
      </c>
      <c r="F28673" s="29"/>
      <c r="G28673" s="29"/>
      <c r="H28673" s="29"/>
      <c r="I28673" s="29"/>
      <c r="J28673" s="29"/>
      <c r="K28673" s="29"/>
      <c r="L28673" s="29"/>
      <c r="M28673" s="29"/>
      <c r="N28673" s="29"/>
      <c r="O28673" s="29"/>
      <c r="P28673" s="29"/>
      <c r="Q28673" s="29" t="s">
        <v>341</v>
      </c>
    </row>
    <row r="28674" spans="1:17" x14ac:dyDescent="0.35">
      <c r="A28674" t="s">
        <v>228</v>
      </c>
      <c r="B28674" t="s">
        <v>1343</v>
      </c>
      <c r="C28674" t="s">
        <v>1348</v>
      </c>
      <c r="D28674" s="26">
        <v>0.93369999999999997</v>
      </c>
      <c r="E28674" s="26">
        <v>1.0500000000000001E-2</v>
      </c>
      <c r="F28674" s="26">
        <v>8.9999999999999993E-3</v>
      </c>
      <c r="G28674" s="26">
        <v>1.61E-2</v>
      </c>
      <c r="H28674" s="26">
        <v>3.5000000000000001E-3</v>
      </c>
      <c r="I28674" s="26">
        <v>4.8999999999999998E-3</v>
      </c>
      <c r="J28674" s="26">
        <v>2.0899999999999998E-2</v>
      </c>
      <c r="K28674" s="26">
        <v>4.3E-3</v>
      </c>
      <c r="L28674" s="26">
        <v>1.6000000000000001E-3</v>
      </c>
      <c r="M28674" s="26">
        <v>2.5000000000000001E-3</v>
      </c>
      <c r="N28674" s="26">
        <v>2.8E-3</v>
      </c>
      <c r="Q28674">
        <v>351</v>
      </c>
    </row>
    <row r="28675" spans="1:17" x14ac:dyDescent="0.35">
      <c r="A28675" t="s">
        <v>228</v>
      </c>
      <c r="B28675" t="s">
        <v>1343</v>
      </c>
      <c r="C28675" t="s">
        <v>1347</v>
      </c>
      <c r="D28675" s="26">
        <v>0.92700000000000005</v>
      </c>
      <c r="F28675" s="26">
        <v>1.5299999999999999E-2</v>
      </c>
      <c r="G28675" s="26">
        <v>1.1299999999999999E-2</v>
      </c>
      <c r="H28675" s="26">
        <v>2.9100000000000001E-2</v>
      </c>
      <c r="K28675" s="26">
        <v>9.1999999999999998E-3</v>
      </c>
      <c r="L28675" s="26">
        <v>6.6E-3</v>
      </c>
      <c r="M28675" s="26">
        <v>3.3E-3</v>
      </c>
      <c r="O28675" s="26">
        <v>4.3E-3</v>
      </c>
      <c r="Q28675">
        <v>130</v>
      </c>
    </row>
    <row r="28676" spans="1:17" x14ac:dyDescent="0.35">
      <c r="A28676" s="27" t="s">
        <v>228</v>
      </c>
      <c r="B28676" s="27" t="s">
        <v>1343</v>
      </c>
      <c r="C28676" s="27" t="s">
        <v>1345</v>
      </c>
      <c r="D28676" s="28">
        <v>1</v>
      </c>
      <c r="E28676" s="29"/>
      <c r="F28676" s="29"/>
      <c r="G28676" s="29"/>
      <c r="H28676" s="29"/>
      <c r="I28676" s="29"/>
      <c r="J28676" s="29"/>
      <c r="K28676" s="29"/>
      <c r="L28676" s="29"/>
      <c r="M28676" s="29"/>
      <c r="N28676" s="29"/>
      <c r="O28676" s="29"/>
      <c r="P28676" s="29"/>
      <c r="Q28676" s="29" t="s">
        <v>335</v>
      </c>
    </row>
    <row r="28677" spans="1:17" x14ac:dyDescent="0.35">
      <c r="A28677" t="s">
        <v>228</v>
      </c>
      <c r="B28677" t="s">
        <v>1341</v>
      </c>
      <c r="C28677" t="s">
        <v>1346</v>
      </c>
      <c r="D28677" s="26">
        <v>0.91720000000000002</v>
      </c>
      <c r="F28677" s="26">
        <v>2.5700000000000001E-2</v>
      </c>
      <c r="H28677" s="26">
        <v>3.3099999999999997E-2</v>
      </c>
      <c r="K28677" s="26">
        <v>1.7100000000000001E-2</v>
      </c>
      <c r="N28677" s="26">
        <v>6.8999999999999999E-3</v>
      </c>
      <c r="Q28677">
        <v>47</v>
      </c>
    </row>
    <row r="28678" spans="1:17" x14ac:dyDescent="0.35">
      <c r="A28678" t="s">
        <v>228</v>
      </c>
      <c r="B28678" t="s">
        <v>1341</v>
      </c>
      <c r="C28678" t="s">
        <v>1348</v>
      </c>
      <c r="D28678" s="26">
        <v>0.92949999999999999</v>
      </c>
      <c r="F28678" s="26">
        <v>3.5000000000000001E-3</v>
      </c>
      <c r="G28678" s="26">
        <v>3.0000000000000001E-3</v>
      </c>
      <c r="H28678" s="26">
        <v>2.2000000000000001E-3</v>
      </c>
      <c r="J28678" s="26">
        <v>3.5799999999999998E-2</v>
      </c>
      <c r="K28678" s="26">
        <v>5.7999999999999996E-3</v>
      </c>
      <c r="M28678" s="26">
        <v>1.7899999999999999E-2</v>
      </c>
      <c r="N28678" s="26">
        <v>1.7899999999999999E-2</v>
      </c>
      <c r="P28678" s="26">
        <v>4.4999999999999997E-3</v>
      </c>
      <c r="Q28678">
        <v>177</v>
      </c>
    </row>
    <row r="28679" spans="1:17" x14ac:dyDescent="0.35">
      <c r="A28679" s="27" t="s">
        <v>228</v>
      </c>
      <c r="B28679" s="27" t="s">
        <v>1342</v>
      </c>
      <c r="C28679" s="27" t="s">
        <v>1348</v>
      </c>
      <c r="D28679" s="28">
        <v>1</v>
      </c>
      <c r="E28679" s="29"/>
      <c r="F28679" s="29"/>
      <c r="G28679" s="29"/>
      <c r="H28679" s="29"/>
      <c r="I28679" s="29"/>
      <c r="J28679" s="29"/>
      <c r="K28679" s="29"/>
      <c r="L28679" s="29"/>
      <c r="M28679" s="29"/>
      <c r="N28679" s="29"/>
      <c r="O28679" s="29"/>
      <c r="P28679" s="29"/>
      <c r="Q28679" s="29" t="s">
        <v>331</v>
      </c>
    </row>
    <row r="28680" spans="1:17" x14ac:dyDescent="0.35">
      <c r="A28680" t="s">
        <v>228</v>
      </c>
      <c r="B28680" t="s">
        <v>1343</v>
      </c>
      <c r="C28680" t="s">
        <v>1346</v>
      </c>
      <c r="D28680" s="26">
        <v>0.95850000000000002</v>
      </c>
      <c r="E28680" s="26">
        <v>3.7000000000000002E-3</v>
      </c>
      <c r="F28680" s="26">
        <v>2.3999999999999998E-3</v>
      </c>
      <c r="G28680" s="26">
        <v>4.3E-3</v>
      </c>
      <c r="H28680" s="26">
        <v>2.64E-2</v>
      </c>
      <c r="J28680" s="26">
        <v>1.8E-3</v>
      </c>
      <c r="K28680" s="26">
        <v>2.2000000000000001E-3</v>
      </c>
      <c r="N28680" s="26">
        <v>2.3999999999999998E-3</v>
      </c>
      <c r="Q28680">
        <v>236</v>
      </c>
    </row>
    <row r="28681" spans="1:17" x14ac:dyDescent="0.35">
      <c r="A28681" t="s">
        <v>228</v>
      </c>
      <c r="B28681" t="s">
        <v>1341</v>
      </c>
      <c r="C28681" t="s">
        <v>1347</v>
      </c>
      <c r="D28681" s="26">
        <v>0.9294</v>
      </c>
      <c r="F28681" s="26">
        <v>1.95E-2</v>
      </c>
      <c r="H28681" s="26">
        <v>2.01E-2</v>
      </c>
      <c r="I28681" s="26">
        <v>9.1000000000000004E-3</v>
      </c>
      <c r="L28681" s="26">
        <v>6.8999999999999999E-3</v>
      </c>
      <c r="N28681" s="26">
        <v>9.1000000000000004E-3</v>
      </c>
      <c r="P28681" s="26">
        <v>6.0000000000000001E-3</v>
      </c>
      <c r="Q28681">
        <v>73</v>
      </c>
    </row>
    <row r="28682" spans="1:17" x14ac:dyDescent="0.35">
      <c r="A28682" s="27" t="s">
        <v>228</v>
      </c>
      <c r="B28682" s="27" t="s">
        <v>1341</v>
      </c>
      <c r="C28682" s="27" t="s">
        <v>1345</v>
      </c>
      <c r="D28682" s="28">
        <v>0.63660000000000005</v>
      </c>
      <c r="E28682" s="29"/>
      <c r="F28682" s="29"/>
      <c r="G28682" s="29"/>
      <c r="H28682" s="29"/>
      <c r="I28682" s="29"/>
      <c r="J28682" s="29"/>
      <c r="K28682" s="28">
        <v>0.1817</v>
      </c>
      <c r="L28682" s="29"/>
      <c r="M28682" s="29"/>
      <c r="N28682" s="29"/>
      <c r="O28682" s="29"/>
      <c r="P28682" s="28">
        <v>0.1817</v>
      </c>
      <c r="Q28682" s="29" t="s">
        <v>332</v>
      </c>
    </row>
    <row r="28683" spans="1:17" x14ac:dyDescent="0.35">
      <c r="A28683" t="s">
        <v>229</v>
      </c>
      <c r="B28683" t="s">
        <v>1343</v>
      </c>
      <c r="C28683" t="s">
        <v>1348</v>
      </c>
      <c r="D28683" s="26">
        <v>0.95109999999999995</v>
      </c>
      <c r="F28683" s="26">
        <v>1.0699999999999999E-2</v>
      </c>
      <c r="G28683" s="26">
        <v>2.2200000000000001E-2</v>
      </c>
      <c r="H28683" s="26">
        <v>1.1000000000000001E-3</v>
      </c>
      <c r="K28683" s="26">
        <v>1.17E-2</v>
      </c>
      <c r="L28683" s="26">
        <v>9.5999999999999992E-3</v>
      </c>
      <c r="M28683" s="26">
        <v>2.0999999999999999E-3</v>
      </c>
      <c r="N28683" s="26">
        <v>1.1000000000000001E-3</v>
      </c>
      <c r="Q28683">
        <v>275</v>
      </c>
    </row>
    <row r="28684" spans="1:17" x14ac:dyDescent="0.35">
      <c r="A28684" t="s">
        <v>229</v>
      </c>
      <c r="B28684" t="s">
        <v>1341</v>
      </c>
      <c r="C28684" t="s">
        <v>1346</v>
      </c>
      <c r="D28684" s="26">
        <v>0.81710000000000005</v>
      </c>
      <c r="F28684" s="26">
        <v>8.72E-2</v>
      </c>
      <c r="H28684" s="26">
        <v>4.36E-2</v>
      </c>
      <c r="M28684" s="26">
        <v>5.2200000000000003E-2</v>
      </c>
      <c r="Q28684">
        <v>53</v>
      </c>
    </row>
    <row r="28685" spans="1:17" x14ac:dyDescent="0.35">
      <c r="A28685" t="s">
        <v>229</v>
      </c>
      <c r="B28685" t="s">
        <v>1341</v>
      </c>
      <c r="C28685" t="s">
        <v>1347</v>
      </c>
      <c r="D28685" s="26">
        <v>0.95330000000000004</v>
      </c>
      <c r="E28685" s="26">
        <v>7.0000000000000001E-3</v>
      </c>
      <c r="J28685" s="26">
        <v>3.1600000000000003E-2</v>
      </c>
      <c r="K28685" s="26">
        <v>8.0000000000000002E-3</v>
      </c>
      <c r="Q28685">
        <v>101</v>
      </c>
    </row>
    <row r="28686" spans="1:17" x14ac:dyDescent="0.35">
      <c r="A28686" t="s">
        <v>229</v>
      </c>
      <c r="B28686" t="s">
        <v>1343</v>
      </c>
      <c r="C28686" t="s">
        <v>1346</v>
      </c>
      <c r="D28686" s="26">
        <v>0.91359999999999997</v>
      </c>
      <c r="E28686" s="26">
        <v>1.9900000000000001E-2</v>
      </c>
      <c r="F28686" s="26">
        <v>5.4999999999999997E-3</v>
      </c>
      <c r="G28686" s="26">
        <v>1.9900000000000001E-2</v>
      </c>
      <c r="H28686" s="26">
        <v>3.3300000000000003E-2</v>
      </c>
      <c r="K28686" s="26">
        <v>3.3E-3</v>
      </c>
      <c r="L28686" s="26">
        <v>1.9900000000000001E-2</v>
      </c>
      <c r="N28686" s="26">
        <v>4.4000000000000003E-3</v>
      </c>
      <c r="Q28686">
        <v>131</v>
      </c>
    </row>
    <row r="28687" spans="1:17" x14ac:dyDescent="0.35">
      <c r="A28687" t="s">
        <v>229</v>
      </c>
      <c r="B28687" t="s">
        <v>1343</v>
      </c>
      <c r="C28687" t="s">
        <v>1347</v>
      </c>
      <c r="D28687" s="26">
        <v>0.94589999999999996</v>
      </c>
      <c r="E28687" s="26">
        <v>1.5800000000000002E-2</v>
      </c>
      <c r="F28687" s="26">
        <v>1.4999999999999999E-2</v>
      </c>
      <c r="G28687" s="26">
        <v>3.0800000000000001E-2</v>
      </c>
      <c r="I28687" s="26">
        <v>5.0000000000000001E-4</v>
      </c>
      <c r="L28687" s="26">
        <v>1.5800000000000002E-2</v>
      </c>
      <c r="O28687" s="26">
        <v>3.5000000000000001E-3</v>
      </c>
      <c r="P28687" s="26">
        <v>1.6999999999999999E-3</v>
      </c>
      <c r="Q28687">
        <v>197</v>
      </c>
    </row>
    <row r="28688" spans="1:17" x14ac:dyDescent="0.35">
      <c r="A28688" s="27" t="s">
        <v>229</v>
      </c>
      <c r="B28688" s="27" t="s">
        <v>1341</v>
      </c>
      <c r="C28688" s="27" t="s">
        <v>1345</v>
      </c>
      <c r="D28688" s="28">
        <v>1</v>
      </c>
      <c r="E28688" s="29"/>
      <c r="F28688" s="29"/>
      <c r="G28688" s="29"/>
      <c r="H28688" s="29"/>
      <c r="I28688" s="29"/>
      <c r="J28688" s="29"/>
      <c r="K28688" s="29"/>
      <c r="L28688" s="29"/>
      <c r="M28688" s="29"/>
      <c r="N28688" s="29"/>
      <c r="O28688" s="29"/>
      <c r="P28688" s="29"/>
      <c r="Q28688" s="29" t="s">
        <v>334</v>
      </c>
    </row>
    <row r="28689" spans="1:17" x14ac:dyDescent="0.35">
      <c r="A28689" s="27" t="s">
        <v>229</v>
      </c>
      <c r="B28689" s="27" t="s">
        <v>1343</v>
      </c>
      <c r="C28689" s="27" t="s">
        <v>1345</v>
      </c>
      <c r="D28689" s="28">
        <v>0.84509999999999996</v>
      </c>
      <c r="E28689" s="29"/>
      <c r="F28689" s="29"/>
      <c r="G28689" s="28">
        <v>0.14929999999999999</v>
      </c>
      <c r="H28689" s="29"/>
      <c r="I28689" s="29"/>
      <c r="J28689" s="29"/>
      <c r="K28689" s="28">
        <v>5.7000000000000002E-3</v>
      </c>
      <c r="L28689" s="29"/>
      <c r="M28689" s="29"/>
      <c r="N28689" s="29"/>
      <c r="O28689" s="29"/>
      <c r="P28689" s="29"/>
      <c r="Q28689" s="29" t="s">
        <v>343</v>
      </c>
    </row>
    <row r="28690" spans="1:17" x14ac:dyDescent="0.35">
      <c r="A28690" t="s">
        <v>229</v>
      </c>
      <c r="B28690" t="s">
        <v>1341</v>
      </c>
      <c r="C28690" t="s">
        <v>1348</v>
      </c>
      <c r="D28690" s="26">
        <v>0.83740000000000003</v>
      </c>
      <c r="E28690" s="26">
        <v>3.5400000000000001E-2</v>
      </c>
      <c r="F28690" s="26">
        <v>3.9199999999999999E-2</v>
      </c>
      <c r="H28690" s="26">
        <v>1.9300000000000001E-2</v>
      </c>
      <c r="I28690" s="26">
        <v>5.4699999999999999E-2</v>
      </c>
      <c r="J28690" s="26">
        <v>1.61E-2</v>
      </c>
      <c r="K28690" s="26">
        <v>4.3E-3</v>
      </c>
      <c r="N28690" s="26">
        <v>1.61E-2</v>
      </c>
      <c r="O28690" s="26">
        <v>1.61E-2</v>
      </c>
      <c r="Q28690">
        <v>107</v>
      </c>
    </row>
    <row r="28691" spans="1:17" x14ac:dyDescent="0.35">
      <c r="A28691" t="s">
        <v>230</v>
      </c>
      <c r="B28691" t="s">
        <v>1343</v>
      </c>
      <c r="C28691" t="s">
        <v>1346</v>
      </c>
      <c r="D28691" s="26">
        <v>0.96750000000000003</v>
      </c>
      <c r="F28691" s="26">
        <v>5.7999999999999996E-3</v>
      </c>
      <c r="H28691" s="26">
        <v>3.5000000000000001E-3</v>
      </c>
      <c r="K28691" s="26">
        <v>1.15E-2</v>
      </c>
      <c r="N28691" s="26">
        <v>1.1599999999999999E-2</v>
      </c>
      <c r="Q28691">
        <v>110</v>
      </c>
    </row>
    <row r="28692" spans="1:17" x14ac:dyDescent="0.35">
      <c r="A28692" s="27" t="s">
        <v>230</v>
      </c>
      <c r="B28692" s="27" t="s">
        <v>1341</v>
      </c>
      <c r="C28692" s="27" t="s">
        <v>1345</v>
      </c>
      <c r="D28692" s="28">
        <v>1</v>
      </c>
      <c r="E28692" s="29"/>
      <c r="F28692" s="29"/>
      <c r="G28692" s="29"/>
      <c r="H28692" s="29"/>
      <c r="I28692" s="29"/>
      <c r="J28692" s="29"/>
      <c r="K28692" s="29"/>
      <c r="L28692" s="29"/>
      <c r="M28692" s="29"/>
      <c r="N28692" s="29"/>
      <c r="O28692" s="29"/>
      <c r="P28692" s="29"/>
      <c r="Q28692" s="29" t="s">
        <v>337</v>
      </c>
    </row>
    <row r="28693" spans="1:17" x14ac:dyDescent="0.35">
      <c r="A28693" t="s">
        <v>230</v>
      </c>
      <c r="B28693" t="s">
        <v>1343</v>
      </c>
      <c r="C28693" t="s">
        <v>1348</v>
      </c>
      <c r="D28693" s="26">
        <v>0.93300000000000005</v>
      </c>
      <c r="E28693" s="26">
        <v>5.1999999999999998E-3</v>
      </c>
      <c r="F28693" s="26">
        <v>6.0000000000000001E-3</v>
      </c>
      <c r="G28693" s="26">
        <v>3.3999999999999998E-3</v>
      </c>
      <c r="H28693" s="26">
        <v>8.0000000000000004E-4</v>
      </c>
      <c r="I28693" s="26">
        <v>1.8100000000000002E-2</v>
      </c>
      <c r="J28693" s="26">
        <v>1.5599999999999999E-2</v>
      </c>
      <c r="K28693" s="26">
        <v>8.0000000000000004E-4</v>
      </c>
      <c r="L28693" s="26">
        <v>1.6000000000000001E-3</v>
      </c>
      <c r="O28693" s="26">
        <v>8.0000000000000004E-4</v>
      </c>
      <c r="P28693" s="26">
        <v>1.5599999999999999E-2</v>
      </c>
      <c r="Q28693">
        <v>183</v>
      </c>
    </row>
    <row r="28694" spans="1:17" x14ac:dyDescent="0.35">
      <c r="A28694" t="s">
        <v>230</v>
      </c>
      <c r="B28694" t="s">
        <v>1343</v>
      </c>
      <c r="C28694" t="s">
        <v>1347</v>
      </c>
      <c r="D28694" s="26">
        <v>0.95830000000000004</v>
      </c>
      <c r="F28694" s="26">
        <v>5.1000000000000004E-3</v>
      </c>
      <c r="H28694" s="26">
        <v>1.5E-3</v>
      </c>
      <c r="I28694" s="26">
        <v>3.0099999999999998E-2</v>
      </c>
      <c r="N28694" s="26">
        <v>5.1000000000000004E-3</v>
      </c>
      <c r="Q28694">
        <v>105</v>
      </c>
    </row>
    <row r="28695" spans="1:17" x14ac:dyDescent="0.35">
      <c r="A28695" t="s">
        <v>230</v>
      </c>
      <c r="B28695" t="s">
        <v>1341</v>
      </c>
      <c r="C28695" t="s">
        <v>1348</v>
      </c>
      <c r="D28695" s="26">
        <v>0.86160000000000003</v>
      </c>
      <c r="E28695" s="26">
        <v>2E-3</v>
      </c>
      <c r="F28695" s="26">
        <v>1.2999999999999999E-2</v>
      </c>
      <c r="G28695" s="26">
        <v>4.1099999999999998E-2</v>
      </c>
      <c r="H28695" s="26">
        <v>4.7100000000000003E-2</v>
      </c>
      <c r="M28695" s="26">
        <v>3.9100000000000003E-2</v>
      </c>
      <c r="Q28695">
        <v>75</v>
      </c>
    </row>
    <row r="28696" spans="1:17" x14ac:dyDescent="0.35">
      <c r="A28696" t="s">
        <v>230</v>
      </c>
      <c r="B28696" t="s">
        <v>1341</v>
      </c>
      <c r="C28696" t="s">
        <v>1347</v>
      </c>
      <c r="D28696" s="26">
        <v>0.98750000000000004</v>
      </c>
      <c r="I28696" s="26">
        <v>2.8999999999999998E-3</v>
      </c>
      <c r="M28696" s="26">
        <v>9.5999999999999992E-3</v>
      </c>
      <c r="Q28696">
        <v>47</v>
      </c>
    </row>
    <row r="28697" spans="1:17" x14ac:dyDescent="0.35">
      <c r="A28697" s="27" t="s">
        <v>230</v>
      </c>
      <c r="B28697" s="27" t="s">
        <v>1343</v>
      </c>
      <c r="C28697" s="27" t="s">
        <v>1345</v>
      </c>
      <c r="D28697" s="28">
        <v>1</v>
      </c>
      <c r="E28697" s="29"/>
      <c r="F28697" s="29"/>
      <c r="G28697" s="29"/>
      <c r="H28697" s="29"/>
      <c r="I28697" s="29"/>
      <c r="J28697" s="29"/>
      <c r="K28697" s="29"/>
      <c r="L28697" s="29"/>
      <c r="M28697" s="29"/>
      <c r="N28697" s="29"/>
      <c r="O28697" s="29"/>
      <c r="P28697" s="29"/>
      <c r="Q28697" s="29" t="s">
        <v>337</v>
      </c>
    </row>
    <row r="28698" spans="1:17" x14ac:dyDescent="0.35">
      <c r="A28698" t="s">
        <v>230</v>
      </c>
      <c r="B28698" t="s">
        <v>1341</v>
      </c>
      <c r="C28698" t="s">
        <v>1346</v>
      </c>
      <c r="D28698" s="26">
        <v>0.98570000000000002</v>
      </c>
      <c r="F28698" s="26">
        <v>1.43E-2</v>
      </c>
      <c r="Q28698">
        <v>30</v>
      </c>
    </row>
    <row r="28699" spans="1:17" x14ac:dyDescent="0.35">
      <c r="A28699" t="s">
        <v>231</v>
      </c>
      <c r="B28699" t="s">
        <v>1343</v>
      </c>
      <c r="C28699" t="s">
        <v>1348</v>
      </c>
      <c r="D28699" s="26">
        <v>0.94</v>
      </c>
      <c r="F28699" s="26">
        <v>0.02</v>
      </c>
      <c r="H28699" s="26">
        <v>0.02</v>
      </c>
      <c r="K28699" s="26">
        <v>0.02</v>
      </c>
      <c r="Q28699">
        <v>50</v>
      </c>
    </row>
    <row r="28700" spans="1:17" x14ac:dyDescent="0.35">
      <c r="A28700" s="27" t="s">
        <v>231</v>
      </c>
      <c r="B28700" s="27" t="s">
        <v>1343</v>
      </c>
      <c r="C28700" s="27" t="s">
        <v>1345</v>
      </c>
      <c r="D28700" s="28">
        <v>0.66669999999999996</v>
      </c>
      <c r="E28700" s="29"/>
      <c r="F28700" s="29"/>
      <c r="G28700" s="29"/>
      <c r="H28700" s="29"/>
      <c r="I28700" s="29"/>
      <c r="J28700" s="29"/>
      <c r="K28700" s="29"/>
      <c r="L28700" s="29"/>
      <c r="M28700" s="28">
        <v>0.33329999999999999</v>
      </c>
      <c r="N28700" s="29"/>
      <c r="O28700" s="29"/>
      <c r="P28700" s="29"/>
      <c r="Q28700" s="29" t="s">
        <v>315</v>
      </c>
    </row>
    <row r="28701" spans="1:17" x14ac:dyDescent="0.35">
      <c r="A28701" t="s">
        <v>231</v>
      </c>
      <c r="B28701" t="s">
        <v>1341</v>
      </c>
      <c r="C28701" t="s">
        <v>1348</v>
      </c>
      <c r="D28701" s="26">
        <v>0.94440000000000002</v>
      </c>
      <c r="E28701" s="26">
        <v>2.7799999999999998E-2</v>
      </c>
      <c r="L28701" s="26">
        <v>2.7799999999999998E-2</v>
      </c>
      <c r="Q28701">
        <v>36</v>
      </c>
    </row>
    <row r="28702" spans="1:17" x14ac:dyDescent="0.35">
      <c r="A28702" s="27" t="s">
        <v>231</v>
      </c>
      <c r="B28702" s="27" t="s">
        <v>1343</v>
      </c>
      <c r="C28702" s="27" t="s">
        <v>1346</v>
      </c>
      <c r="D28702" s="28">
        <v>1</v>
      </c>
      <c r="E28702" s="29"/>
      <c r="F28702" s="29"/>
      <c r="G28702" s="29"/>
      <c r="H28702" s="29"/>
      <c r="I28702" s="29"/>
      <c r="J28702" s="29"/>
      <c r="K28702" s="29"/>
      <c r="L28702" s="29"/>
      <c r="M28702" s="29"/>
      <c r="N28702" s="29"/>
      <c r="O28702" s="29"/>
      <c r="P28702" s="29"/>
      <c r="Q28702" s="29" t="s">
        <v>312</v>
      </c>
    </row>
    <row r="28703" spans="1:17" x14ac:dyDescent="0.35">
      <c r="A28703" s="27" t="s">
        <v>231</v>
      </c>
      <c r="B28703" s="27" t="s">
        <v>1341</v>
      </c>
      <c r="C28703" s="27" t="s">
        <v>1345</v>
      </c>
      <c r="D28703" s="28">
        <v>1</v>
      </c>
      <c r="E28703" s="29"/>
      <c r="F28703" s="29"/>
      <c r="G28703" s="29"/>
      <c r="H28703" s="29"/>
      <c r="I28703" s="29"/>
      <c r="J28703" s="29"/>
      <c r="K28703" s="29"/>
      <c r="L28703" s="29"/>
      <c r="M28703" s="29"/>
      <c r="N28703" s="29"/>
      <c r="O28703" s="29"/>
      <c r="P28703" s="29"/>
      <c r="Q28703" s="29" t="s">
        <v>331</v>
      </c>
    </row>
    <row r="28704" spans="1:17" x14ac:dyDescent="0.35">
      <c r="A28704" s="27" t="s">
        <v>231</v>
      </c>
      <c r="B28704" s="27" t="s">
        <v>1341</v>
      </c>
      <c r="C28704" s="27" t="s">
        <v>1346</v>
      </c>
      <c r="D28704" s="28">
        <v>1</v>
      </c>
      <c r="E28704" s="29"/>
      <c r="F28704" s="29"/>
      <c r="G28704" s="29"/>
      <c r="H28704" s="29"/>
      <c r="I28704" s="29"/>
      <c r="J28704" s="29"/>
      <c r="K28704" s="29"/>
      <c r="L28704" s="29"/>
      <c r="M28704" s="29"/>
      <c r="N28704" s="29"/>
      <c r="O28704" s="29"/>
      <c r="P28704" s="29"/>
      <c r="Q28704" s="29" t="s">
        <v>379</v>
      </c>
    </row>
    <row r="28705" spans="1:17" x14ac:dyDescent="0.35">
      <c r="A28705" s="27" t="s">
        <v>231</v>
      </c>
      <c r="B28705" s="27" t="s">
        <v>1341</v>
      </c>
      <c r="C28705" s="27" t="s">
        <v>1347</v>
      </c>
      <c r="D28705" s="28">
        <v>0.92859999999999998</v>
      </c>
      <c r="E28705" s="29"/>
      <c r="F28705" s="28">
        <v>7.1400000000000005E-2</v>
      </c>
      <c r="G28705" s="29"/>
      <c r="H28705" s="29"/>
      <c r="I28705" s="29"/>
      <c r="J28705" s="29"/>
      <c r="K28705" s="29"/>
      <c r="L28705" s="29"/>
      <c r="M28705" s="29"/>
      <c r="N28705" s="29"/>
      <c r="O28705" s="29"/>
      <c r="P28705" s="29"/>
      <c r="Q28705" s="29" t="s">
        <v>379</v>
      </c>
    </row>
    <row r="28706" spans="1:17" x14ac:dyDescent="0.35">
      <c r="A28706" s="27" t="s">
        <v>231</v>
      </c>
      <c r="B28706" s="27" t="s">
        <v>1343</v>
      </c>
      <c r="C28706" s="27" t="s">
        <v>1347</v>
      </c>
      <c r="D28706" s="28">
        <v>0.84209999999999996</v>
      </c>
      <c r="E28706" s="29"/>
      <c r="F28706" s="29"/>
      <c r="G28706" s="28">
        <v>5.2600000000000001E-2</v>
      </c>
      <c r="H28706" s="29"/>
      <c r="I28706" s="28">
        <v>5.2600000000000001E-2</v>
      </c>
      <c r="J28706" s="28">
        <v>5.2600000000000001E-2</v>
      </c>
      <c r="K28706" s="29"/>
      <c r="L28706" s="29"/>
      <c r="M28706" s="29"/>
      <c r="N28706" s="29"/>
      <c r="O28706" s="29"/>
      <c r="P28706" s="29"/>
      <c r="Q28706" s="29" t="s">
        <v>349</v>
      </c>
    </row>
    <row r="28707" spans="1:17" x14ac:dyDescent="0.35">
      <c r="A28707" t="s">
        <v>232</v>
      </c>
      <c r="B28707" t="s">
        <v>232</v>
      </c>
      <c r="C28707" t="s">
        <v>232</v>
      </c>
      <c r="D28707" s="26">
        <v>0.93330000000000002</v>
      </c>
      <c r="E28707" s="26">
        <v>1.29E-2</v>
      </c>
      <c r="F28707" s="26">
        <v>1.0800000000000001E-2</v>
      </c>
      <c r="G28707" s="26">
        <v>9.1999999999999998E-3</v>
      </c>
      <c r="H28707" s="26">
        <v>8.2000000000000007E-3</v>
      </c>
      <c r="I28707" s="26">
        <v>7.6E-3</v>
      </c>
      <c r="J28707" s="26">
        <v>7.4999999999999997E-3</v>
      </c>
      <c r="K28707" s="26">
        <v>4.7000000000000002E-3</v>
      </c>
      <c r="L28707" s="26">
        <v>4.7000000000000002E-3</v>
      </c>
      <c r="M28707" s="26">
        <v>4.1999999999999997E-3</v>
      </c>
      <c r="N28707" s="26">
        <v>2.3999999999999998E-3</v>
      </c>
      <c r="O28707" s="26">
        <v>2E-3</v>
      </c>
      <c r="P28707" s="26">
        <v>1.1000000000000001E-3</v>
      </c>
      <c r="Q28707">
        <v>2796</v>
      </c>
    </row>
    <row r="28709" spans="1:17" x14ac:dyDescent="0.35">
      <c r="A28709" s="1" t="s">
        <v>2570</v>
      </c>
    </row>
    <row r="28710" spans="1:17" x14ac:dyDescent="0.35">
      <c r="A28710" t="s">
        <v>219</v>
      </c>
      <c r="B28710" t="s">
        <v>550</v>
      </c>
      <c r="C28710" t="s">
        <v>281</v>
      </c>
      <c r="D28710" t="s">
        <v>2571</v>
      </c>
      <c r="E28710" t="s">
        <v>2548</v>
      </c>
      <c r="F28710" t="s">
        <v>2572</v>
      </c>
      <c r="G28710" t="s">
        <v>2186</v>
      </c>
      <c r="H28710" t="s">
        <v>2551</v>
      </c>
      <c r="I28710" t="s">
        <v>2573</v>
      </c>
      <c r="J28710" t="s">
        <v>2574</v>
      </c>
      <c r="K28710" t="s">
        <v>2575</v>
      </c>
      <c r="L28710" t="s">
        <v>2576</v>
      </c>
      <c r="M28710" t="s">
        <v>2554</v>
      </c>
      <c r="N28710" t="s">
        <v>2577</v>
      </c>
      <c r="O28710" t="s">
        <v>286</v>
      </c>
      <c r="P28710" t="s">
        <v>226</v>
      </c>
    </row>
    <row r="28711" spans="1:17" x14ac:dyDescent="0.35">
      <c r="A28711" t="s">
        <v>227</v>
      </c>
      <c r="B28711" s="26">
        <v>0.9627</v>
      </c>
      <c r="C28711" s="26">
        <v>6.1999999999999998E-3</v>
      </c>
      <c r="E28711" s="26">
        <v>1.24E-2</v>
      </c>
      <c r="F28711" s="26">
        <v>1.24E-2</v>
      </c>
      <c r="G28711" s="26">
        <v>6.1999999999999998E-3</v>
      </c>
      <c r="I28711" s="26">
        <v>6.1999999999999998E-3</v>
      </c>
      <c r="P28711">
        <v>161</v>
      </c>
    </row>
    <row r="28712" spans="1:17" x14ac:dyDescent="0.35">
      <c r="A28712" t="s">
        <v>228</v>
      </c>
      <c r="B28712" s="26">
        <v>0.92700000000000005</v>
      </c>
      <c r="C28712" s="26">
        <v>6.3E-3</v>
      </c>
      <c r="D28712" s="26">
        <v>1.24E-2</v>
      </c>
      <c r="E28712" s="26">
        <v>8.6999999999999994E-3</v>
      </c>
      <c r="F28712" s="26">
        <v>2.2000000000000001E-3</v>
      </c>
      <c r="G28712" s="26">
        <v>7.0000000000000001E-3</v>
      </c>
      <c r="H28712" s="26">
        <v>1.37E-2</v>
      </c>
      <c r="I28712" s="26">
        <v>4.1999999999999997E-3</v>
      </c>
      <c r="J28712" s="26">
        <v>1.8E-3</v>
      </c>
      <c r="K28712" s="26">
        <v>6.7000000000000002E-3</v>
      </c>
      <c r="L28712" s="26">
        <v>1.1999999999999999E-3</v>
      </c>
      <c r="M28712" s="26">
        <v>5.3E-3</v>
      </c>
      <c r="O28712" s="26">
        <v>6.1999999999999998E-3</v>
      </c>
      <c r="P28712">
        <v>1029</v>
      </c>
    </row>
    <row r="28713" spans="1:17" x14ac:dyDescent="0.35">
      <c r="A28713" t="s">
        <v>229</v>
      </c>
      <c r="B28713" s="26">
        <v>0.9375</v>
      </c>
      <c r="C28713" s="26">
        <v>9.9000000000000008E-3</v>
      </c>
      <c r="D28713" s="26">
        <v>2.5700000000000001E-2</v>
      </c>
      <c r="E28713" s="26">
        <v>1.0500000000000001E-2</v>
      </c>
      <c r="F28713" s="26">
        <v>9.1999999999999998E-3</v>
      </c>
      <c r="G28713" s="26">
        <v>6.4000000000000003E-3</v>
      </c>
      <c r="H28713" s="26">
        <v>1.06E-2</v>
      </c>
      <c r="I28713" s="26">
        <v>6.9999999999999999E-4</v>
      </c>
      <c r="J28713" s="26">
        <v>3.3999999999999998E-3</v>
      </c>
      <c r="K28713" s="26">
        <v>6.4000000000000003E-3</v>
      </c>
      <c r="L28713" s="26">
        <v>3.0999999999999999E-3</v>
      </c>
      <c r="M28713" s="26">
        <v>6.9999999999999999E-4</v>
      </c>
      <c r="N28713" s="26">
        <v>6.9999999999999999E-4</v>
      </c>
      <c r="O28713" s="26">
        <v>1E-3</v>
      </c>
      <c r="P28713">
        <v>891</v>
      </c>
    </row>
    <row r="28714" spans="1:17" x14ac:dyDescent="0.35">
      <c r="A28714" t="s">
        <v>230</v>
      </c>
      <c r="B28714" s="26">
        <v>0.95620000000000005</v>
      </c>
      <c r="C28714" s="26">
        <v>8.9999999999999998E-4</v>
      </c>
      <c r="D28714" s="26">
        <v>1.26E-2</v>
      </c>
      <c r="E28714" s="26">
        <v>5.8999999999999999E-3</v>
      </c>
      <c r="F28714" s="26">
        <v>5.4000000000000003E-3</v>
      </c>
      <c r="G28714" s="26">
        <v>6.1999999999999998E-3</v>
      </c>
      <c r="H28714" s="26">
        <v>7.4000000000000003E-3</v>
      </c>
      <c r="I28714" s="26">
        <v>1.0999999999999999E-2</v>
      </c>
      <c r="J28714" s="26">
        <v>8.9999999999999998E-4</v>
      </c>
      <c r="K28714" s="26">
        <v>6.3E-3</v>
      </c>
      <c r="L28714" s="26">
        <v>2.7000000000000001E-3</v>
      </c>
      <c r="M28714" s="26">
        <v>8.9999999999999998E-4</v>
      </c>
      <c r="O28714" s="26">
        <v>2.7000000000000001E-3</v>
      </c>
      <c r="P28714">
        <v>558</v>
      </c>
    </row>
    <row r="28715" spans="1:17" x14ac:dyDescent="0.35">
      <c r="A28715" t="s">
        <v>231</v>
      </c>
      <c r="B28715" s="26">
        <v>0.92020000000000002</v>
      </c>
      <c r="C28715" s="26">
        <v>3.0700000000000002E-2</v>
      </c>
      <c r="E28715" s="26">
        <v>1.23E-2</v>
      </c>
      <c r="F28715" s="26">
        <v>6.1000000000000004E-3</v>
      </c>
      <c r="G28715" s="26">
        <v>6.1000000000000004E-3</v>
      </c>
      <c r="I28715" s="26">
        <v>6.1000000000000004E-3</v>
      </c>
      <c r="J28715" s="26">
        <v>1.23E-2</v>
      </c>
      <c r="L28715" s="26">
        <v>6.1000000000000004E-3</v>
      </c>
      <c r="M28715" s="26">
        <v>6.1000000000000004E-3</v>
      </c>
      <c r="N28715" s="26">
        <v>6.1000000000000004E-3</v>
      </c>
      <c r="P28715">
        <v>163</v>
      </c>
    </row>
    <row r="28716" spans="1:17" x14ac:dyDescent="0.35">
      <c r="A28716" t="s">
        <v>232</v>
      </c>
      <c r="B28716" s="26">
        <v>0.93640000000000001</v>
      </c>
      <c r="C28716" s="26">
        <v>1.35E-2</v>
      </c>
      <c r="D28716" s="26">
        <v>1.09E-2</v>
      </c>
      <c r="E28716" s="26">
        <v>1.0500000000000001E-2</v>
      </c>
      <c r="F28716" s="26">
        <v>7.1000000000000004E-3</v>
      </c>
      <c r="G28716" s="26">
        <v>6.4000000000000003E-3</v>
      </c>
      <c r="H28716" s="26">
        <v>6.4000000000000003E-3</v>
      </c>
      <c r="I28716" s="26">
        <v>4.7000000000000002E-3</v>
      </c>
      <c r="J28716" s="26">
        <v>4.7000000000000002E-3</v>
      </c>
      <c r="K28716" s="26">
        <v>3.7000000000000002E-3</v>
      </c>
      <c r="L28716" s="26">
        <v>3.0999999999999999E-3</v>
      </c>
      <c r="M28716" s="26">
        <v>3.0000000000000001E-3</v>
      </c>
      <c r="N28716" s="26">
        <v>1.9E-3</v>
      </c>
      <c r="O28716" s="26">
        <v>1.6999999999999999E-3</v>
      </c>
      <c r="P28716">
        <v>2802</v>
      </c>
    </row>
    <row r="28718" spans="1:17" x14ac:dyDescent="0.35">
      <c r="A28718" s="1" t="s">
        <v>2578</v>
      </c>
    </row>
    <row r="28719" spans="1:17" x14ac:dyDescent="0.35">
      <c r="A28719" t="s">
        <v>219</v>
      </c>
      <c r="B28719" t="s">
        <v>305</v>
      </c>
      <c r="C28719" t="s">
        <v>550</v>
      </c>
      <c r="D28719" t="s">
        <v>281</v>
      </c>
      <c r="E28719" t="s">
        <v>2571</v>
      </c>
      <c r="F28719" t="s">
        <v>2548</v>
      </c>
      <c r="G28719" t="s">
        <v>2572</v>
      </c>
      <c r="H28719" t="s">
        <v>2186</v>
      </c>
      <c r="I28719" t="s">
        <v>2551</v>
      </c>
      <c r="J28719" t="s">
        <v>2573</v>
      </c>
      <c r="K28719" t="s">
        <v>2574</v>
      </c>
      <c r="L28719" t="s">
        <v>2575</v>
      </c>
      <c r="M28719" t="s">
        <v>2576</v>
      </c>
      <c r="N28719" t="s">
        <v>2554</v>
      </c>
      <c r="O28719" t="s">
        <v>2577</v>
      </c>
      <c r="P28719" t="s">
        <v>286</v>
      </c>
      <c r="Q28719" t="s">
        <v>226</v>
      </c>
    </row>
    <row r="28720" spans="1:17" x14ac:dyDescent="0.35">
      <c r="A28720" t="s">
        <v>227</v>
      </c>
      <c r="B28720" t="s">
        <v>242</v>
      </c>
      <c r="C28720" s="26">
        <v>0.92649999999999999</v>
      </c>
      <c r="D28720" s="26">
        <v>1.47E-2</v>
      </c>
      <c r="F28720" s="26">
        <v>1.47E-2</v>
      </c>
      <c r="G28720" s="26">
        <v>1.47E-2</v>
      </c>
      <c r="H28720" s="26">
        <v>1.47E-2</v>
      </c>
      <c r="J28720" s="26">
        <v>1.47E-2</v>
      </c>
      <c r="Q28720">
        <v>68</v>
      </c>
    </row>
    <row r="28721" spans="1:17" x14ac:dyDescent="0.35">
      <c r="A28721" t="s">
        <v>227</v>
      </c>
      <c r="B28721" t="s">
        <v>241</v>
      </c>
      <c r="C28721" s="26">
        <v>0.98919999999999997</v>
      </c>
      <c r="F28721" s="26">
        <v>1.0800000000000001E-2</v>
      </c>
      <c r="G28721" s="26">
        <v>1.0800000000000001E-2</v>
      </c>
      <c r="Q28721">
        <v>93</v>
      </c>
    </row>
    <row r="28722" spans="1:17" x14ac:dyDescent="0.35">
      <c r="A28722" t="s">
        <v>228</v>
      </c>
      <c r="B28722" t="s">
        <v>242</v>
      </c>
      <c r="C28722" s="26">
        <v>0.89119999999999999</v>
      </c>
      <c r="D28722" s="26">
        <v>6.8999999999999999E-3</v>
      </c>
      <c r="E28722" s="26">
        <v>9.9000000000000008E-3</v>
      </c>
      <c r="F28722" s="26">
        <v>1.43E-2</v>
      </c>
      <c r="G28722" s="26">
        <v>3.5999999999999999E-3</v>
      </c>
      <c r="H28722" s="26">
        <v>1.3100000000000001E-2</v>
      </c>
      <c r="I28722" s="26">
        <v>2.64E-2</v>
      </c>
      <c r="J28722" s="26">
        <v>2.5000000000000001E-3</v>
      </c>
      <c r="K28722" s="26">
        <v>2.7000000000000001E-3</v>
      </c>
      <c r="L28722" s="26">
        <v>9.1999999999999998E-3</v>
      </c>
      <c r="M28722" s="26">
        <v>3.3E-3</v>
      </c>
      <c r="N28722" s="26">
        <v>9.1999999999999998E-3</v>
      </c>
      <c r="P28722" s="26">
        <v>1.3599999999999999E-2</v>
      </c>
      <c r="Q28722">
        <v>400</v>
      </c>
    </row>
    <row r="28723" spans="1:17" x14ac:dyDescent="0.35">
      <c r="A28723" t="s">
        <v>228</v>
      </c>
      <c r="B28723" t="s">
        <v>241</v>
      </c>
      <c r="C28723" s="26">
        <v>0.94740000000000002</v>
      </c>
      <c r="D28723" s="26">
        <v>6.0000000000000001E-3</v>
      </c>
      <c r="E28723" s="26">
        <v>1.3899999999999999E-2</v>
      </c>
      <c r="F28723" s="26">
        <v>5.4999999999999997E-3</v>
      </c>
      <c r="G28723" s="26">
        <v>1.2999999999999999E-3</v>
      </c>
      <c r="H28723" s="26">
        <v>3.5000000000000001E-3</v>
      </c>
      <c r="I28723" s="26">
        <v>6.4999999999999997E-3</v>
      </c>
      <c r="J28723" s="26">
        <v>5.1999999999999998E-3</v>
      </c>
      <c r="K28723" s="26">
        <v>1.2999999999999999E-3</v>
      </c>
      <c r="L28723" s="26">
        <v>5.1999999999999998E-3</v>
      </c>
      <c r="N28723" s="26">
        <v>3.0999999999999999E-3</v>
      </c>
      <c r="P28723" s="26">
        <v>1.9E-3</v>
      </c>
      <c r="Q28723">
        <v>629</v>
      </c>
    </row>
    <row r="28724" spans="1:17" x14ac:dyDescent="0.35">
      <c r="A28724" t="s">
        <v>229</v>
      </c>
      <c r="B28724" t="s">
        <v>242</v>
      </c>
      <c r="C28724" s="26">
        <v>0.89910000000000001</v>
      </c>
      <c r="D28724" s="26">
        <v>2.4799999999999999E-2</v>
      </c>
      <c r="E28724" s="26">
        <v>3.8300000000000001E-2</v>
      </c>
      <c r="F28724" s="26">
        <v>1.8800000000000001E-2</v>
      </c>
      <c r="G28724" s="26">
        <v>8.8000000000000005E-3</v>
      </c>
      <c r="H28724" s="26">
        <v>1.4500000000000001E-2</v>
      </c>
      <c r="I28724" s="26">
        <v>1.7899999999999999E-2</v>
      </c>
      <c r="J28724" s="26">
        <v>1.6999999999999999E-3</v>
      </c>
      <c r="K28724" s="26">
        <v>8.5000000000000006E-3</v>
      </c>
      <c r="L28724" s="26">
        <v>1.6299999999999999E-2</v>
      </c>
      <c r="M28724" s="26">
        <v>7.9000000000000008E-3</v>
      </c>
      <c r="N28724" s="26">
        <v>1.6999999999999999E-3</v>
      </c>
      <c r="Q28724">
        <v>291</v>
      </c>
    </row>
    <row r="28725" spans="1:17" x14ac:dyDescent="0.35">
      <c r="A28725" t="s">
        <v>229</v>
      </c>
      <c r="B28725" t="s">
        <v>241</v>
      </c>
      <c r="C28725" s="26">
        <v>0.96240000000000003</v>
      </c>
      <c r="D28725" s="26">
        <v>2.9999999999999997E-4</v>
      </c>
      <c r="E28725" s="26">
        <v>1.7500000000000002E-2</v>
      </c>
      <c r="F28725" s="26">
        <v>5.1999999999999998E-3</v>
      </c>
      <c r="G28725" s="26">
        <v>9.4000000000000004E-3</v>
      </c>
      <c r="H28725" s="26">
        <v>1.1000000000000001E-3</v>
      </c>
      <c r="I28725" s="26">
        <v>5.7999999999999996E-3</v>
      </c>
      <c r="O28725" s="26">
        <v>1.1000000000000001E-3</v>
      </c>
      <c r="P28725" s="26">
        <v>1.6999999999999999E-3</v>
      </c>
      <c r="Q28725">
        <v>600</v>
      </c>
    </row>
    <row r="28726" spans="1:17" x14ac:dyDescent="0.35">
      <c r="A28726" t="s">
        <v>230</v>
      </c>
      <c r="B28726" t="s">
        <v>242</v>
      </c>
      <c r="C28726" s="26">
        <v>0.94269999999999998</v>
      </c>
      <c r="D28726" s="26">
        <v>2.5999999999999999E-3</v>
      </c>
      <c r="E28726" s="26">
        <v>2.7000000000000001E-3</v>
      </c>
      <c r="F28726" s="26">
        <v>8.6999999999999994E-3</v>
      </c>
      <c r="G28726" s="26">
        <v>1.5900000000000001E-2</v>
      </c>
      <c r="H28726" s="26">
        <v>1.67E-2</v>
      </c>
      <c r="J28726" s="26">
        <v>3.2599999999999997E-2</v>
      </c>
      <c r="K28726" s="26">
        <v>2.5999999999999999E-3</v>
      </c>
      <c r="L28726" s="26">
        <v>1.8499999999999999E-2</v>
      </c>
      <c r="M28726" s="26">
        <v>5.3E-3</v>
      </c>
      <c r="P28726" s="26">
        <v>8.0000000000000002E-3</v>
      </c>
      <c r="Q28726">
        <v>189</v>
      </c>
    </row>
    <row r="28727" spans="1:17" x14ac:dyDescent="0.35">
      <c r="A28727" t="s">
        <v>230</v>
      </c>
      <c r="B28727" t="s">
        <v>241</v>
      </c>
      <c r="C28727" s="26">
        <v>0.96309999999999996</v>
      </c>
      <c r="E28727" s="26">
        <v>1.7600000000000001E-2</v>
      </c>
      <c r="F28727" s="26">
        <v>4.4999999999999997E-3</v>
      </c>
      <c r="H28727" s="26">
        <v>8.0000000000000004E-4</v>
      </c>
      <c r="I28727" s="26">
        <v>1.12E-2</v>
      </c>
      <c r="M28727" s="26">
        <v>1.2999999999999999E-3</v>
      </c>
      <c r="N28727" s="26">
        <v>1.4E-3</v>
      </c>
      <c r="Q28727">
        <v>369</v>
      </c>
    </row>
    <row r="28728" spans="1:17" x14ac:dyDescent="0.35">
      <c r="A28728" t="s">
        <v>231</v>
      </c>
      <c r="B28728" t="s">
        <v>242</v>
      </c>
      <c r="C28728" s="26">
        <v>0.85189999999999999</v>
      </c>
      <c r="D28728" s="26">
        <v>3.6999999999999998E-2</v>
      </c>
      <c r="F28728" s="26">
        <v>3.6999999999999998E-2</v>
      </c>
      <c r="G28728" s="26">
        <v>1.8499999999999999E-2</v>
      </c>
      <c r="H28728" s="26">
        <v>1.8499999999999999E-2</v>
      </c>
      <c r="J28728" s="26">
        <v>1.8499999999999999E-2</v>
      </c>
      <c r="M28728" s="26">
        <v>1.8499999999999999E-2</v>
      </c>
      <c r="N28728" s="26">
        <v>1.8499999999999999E-2</v>
      </c>
      <c r="O28728" s="26">
        <v>1.8499999999999999E-2</v>
      </c>
      <c r="Q28728">
        <v>54</v>
      </c>
    </row>
    <row r="28729" spans="1:17" x14ac:dyDescent="0.35">
      <c r="A28729" t="s">
        <v>231</v>
      </c>
      <c r="B28729" t="s">
        <v>241</v>
      </c>
      <c r="C28729" s="26">
        <v>0.95409999999999995</v>
      </c>
      <c r="D28729" s="26">
        <v>2.75E-2</v>
      </c>
      <c r="K28729" s="26">
        <v>1.83E-2</v>
      </c>
      <c r="Q28729">
        <v>109</v>
      </c>
    </row>
    <row r="28730" spans="1:17" x14ac:dyDescent="0.35">
      <c r="A28730" t="s">
        <v>232</v>
      </c>
      <c r="B28730" t="s">
        <v>232</v>
      </c>
      <c r="C28730" s="26">
        <v>0.93640000000000001</v>
      </c>
      <c r="D28730" s="26">
        <v>1.35E-2</v>
      </c>
      <c r="E28730" s="26">
        <v>1.09E-2</v>
      </c>
      <c r="F28730" s="26">
        <v>1.0500000000000001E-2</v>
      </c>
      <c r="G28730" s="26">
        <v>7.1000000000000004E-3</v>
      </c>
      <c r="H28730" s="26">
        <v>6.4000000000000003E-3</v>
      </c>
      <c r="I28730" s="26">
        <v>6.4000000000000003E-3</v>
      </c>
      <c r="J28730" s="26">
        <v>4.7000000000000002E-3</v>
      </c>
      <c r="K28730" s="26">
        <v>4.7000000000000002E-3</v>
      </c>
      <c r="L28730" s="26">
        <v>3.7000000000000002E-3</v>
      </c>
      <c r="M28730" s="26">
        <v>3.0999999999999999E-3</v>
      </c>
      <c r="N28730" s="26">
        <v>3.0000000000000001E-3</v>
      </c>
      <c r="O28730" s="26">
        <v>1.9E-3</v>
      </c>
      <c r="P28730" s="26">
        <v>1.6999999999999999E-3</v>
      </c>
      <c r="Q28730">
        <v>2802</v>
      </c>
    </row>
    <row r="28732" spans="1:17" x14ac:dyDescent="0.35">
      <c r="A28732" s="1" t="s">
        <v>2579</v>
      </c>
    </row>
    <row r="28733" spans="1:17" x14ac:dyDescent="0.35">
      <c r="A28733" t="s">
        <v>219</v>
      </c>
      <c r="B28733" t="s">
        <v>305</v>
      </c>
      <c r="C28733" t="s">
        <v>550</v>
      </c>
      <c r="D28733" t="s">
        <v>281</v>
      </c>
      <c r="E28733" t="s">
        <v>2571</v>
      </c>
      <c r="F28733" t="s">
        <v>2548</v>
      </c>
      <c r="G28733" t="s">
        <v>2572</v>
      </c>
      <c r="H28733" t="s">
        <v>2186</v>
      </c>
      <c r="I28733" t="s">
        <v>2551</v>
      </c>
      <c r="J28733" t="s">
        <v>2573</v>
      </c>
      <c r="K28733" t="s">
        <v>2574</v>
      </c>
      <c r="L28733" t="s">
        <v>2575</v>
      </c>
      <c r="M28733" t="s">
        <v>2576</v>
      </c>
      <c r="N28733" t="s">
        <v>2554</v>
      </c>
      <c r="O28733" t="s">
        <v>2577</v>
      </c>
      <c r="P28733" t="s">
        <v>286</v>
      </c>
      <c r="Q28733" t="s">
        <v>226</v>
      </c>
    </row>
    <row r="28734" spans="1:17" x14ac:dyDescent="0.35">
      <c r="A28734" t="s">
        <v>227</v>
      </c>
      <c r="B28734" t="s">
        <v>239</v>
      </c>
      <c r="C28734" s="26">
        <v>0.9516</v>
      </c>
      <c r="D28734" s="26">
        <v>1.61E-2</v>
      </c>
      <c r="F28734" s="26">
        <v>1.61E-2</v>
      </c>
      <c r="J28734" s="26">
        <v>1.61E-2</v>
      </c>
      <c r="Q28734">
        <v>62</v>
      </c>
    </row>
    <row r="28735" spans="1:17" x14ac:dyDescent="0.35">
      <c r="A28735" t="s">
        <v>227</v>
      </c>
      <c r="B28735" t="s">
        <v>238</v>
      </c>
      <c r="C28735" s="26">
        <v>0.96970000000000001</v>
      </c>
      <c r="F28735" s="26">
        <v>1.01E-2</v>
      </c>
      <c r="G28735" s="26">
        <v>2.0199999999999999E-2</v>
      </c>
      <c r="H28735" s="26">
        <v>1.01E-2</v>
      </c>
      <c r="Q28735">
        <v>99</v>
      </c>
    </row>
    <row r="28736" spans="1:17" x14ac:dyDescent="0.35">
      <c r="A28736" t="s">
        <v>228</v>
      </c>
      <c r="B28736" t="s">
        <v>239</v>
      </c>
      <c r="C28736" s="26">
        <v>0.92610000000000003</v>
      </c>
      <c r="D28736" s="26">
        <v>7.6E-3</v>
      </c>
      <c r="E28736" s="26">
        <v>8.3999999999999995E-3</v>
      </c>
      <c r="F28736" s="26">
        <v>2.4899999999999999E-2</v>
      </c>
      <c r="G28736" s="26">
        <v>6.4000000000000003E-3</v>
      </c>
      <c r="H28736" s="26">
        <v>5.1999999999999998E-3</v>
      </c>
      <c r="I28736" s="26">
        <v>1.8800000000000001E-2</v>
      </c>
      <c r="J28736" s="26">
        <v>2.7000000000000001E-3</v>
      </c>
      <c r="K28736" s="26">
        <v>4.7000000000000002E-3</v>
      </c>
      <c r="M28736" s="26">
        <v>1.6999999999999999E-3</v>
      </c>
      <c r="N28736" s="26">
        <v>2.7000000000000001E-3</v>
      </c>
      <c r="Q28736">
        <v>329</v>
      </c>
    </row>
    <row r="28737" spans="1:17" x14ac:dyDescent="0.35">
      <c r="A28737" t="s">
        <v>228</v>
      </c>
      <c r="B28737" t="s">
        <v>238</v>
      </c>
      <c r="C28737" s="26">
        <v>0.92720000000000002</v>
      </c>
      <c r="D28737" s="26">
        <v>6.0000000000000001E-3</v>
      </c>
      <c r="E28737" s="26">
        <v>1.35E-2</v>
      </c>
      <c r="F28737" s="26">
        <v>4.4000000000000003E-3</v>
      </c>
      <c r="G28737" s="26">
        <v>1.1000000000000001E-3</v>
      </c>
      <c r="H28737" s="26">
        <v>7.4999999999999997E-3</v>
      </c>
      <c r="I28737" s="26">
        <v>1.24E-2</v>
      </c>
      <c r="J28737" s="26">
        <v>4.5999999999999999E-3</v>
      </c>
      <c r="K28737" s="26">
        <v>1.1000000000000001E-3</v>
      </c>
      <c r="L28737" s="26">
        <v>8.3999999999999995E-3</v>
      </c>
      <c r="M28737" s="26">
        <v>1.1000000000000001E-3</v>
      </c>
      <c r="N28737" s="26">
        <v>6.0000000000000001E-3</v>
      </c>
      <c r="P28737" s="26">
        <v>7.7999999999999996E-3</v>
      </c>
      <c r="Q28737">
        <v>700</v>
      </c>
    </row>
    <row r="28738" spans="1:17" x14ac:dyDescent="0.35">
      <c r="A28738" t="s">
        <v>229</v>
      </c>
      <c r="B28738" t="s">
        <v>239</v>
      </c>
      <c r="C28738" s="26">
        <v>0.94979999999999998</v>
      </c>
      <c r="D28738" s="26">
        <v>2.0999999999999999E-3</v>
      </c>
      <c r="E28738" s="26">
        <v>2.3300000000000001E-2</v>
      </c>
      <c r="F28738" s="26">
        <v>4.5999999999999999E-3</v>
      </c>
      <c r="G28738" s="26">
        <v>2.3E-3</v>
      </c>
      <c r="H28738" s="26">
        <v>1.11E-2</v>
      </c>
      <c r="I28738" s="26">
        <v>5.1999999999999998E-3</v>
      </c>
      <c r="J28738" s="26">
        <v>2.5999999999999999E-3</v>
      </c>
      <c r="K28738" s="26">
        <v>1.2999999999999999E-3</v>
      </c>
      <c r="L28738" s="26">
        <v>1.15E-2</v>
      </c>
      <c r="N28738" s="26">
        <v>2.5999999999999999E-3</v>
      </c>
      <c r="P28738" s="26">
        <v>2.5999999999999999E-3</v>
      </c>
      <c r="Q28738">
        <v>332</v>
      </c>
    </row>
    <row r="28739" spans="1:17" x14ac:dyDescent="0.35">
      <c r="A28739" t="s">
        <v>229</v>
      </c>
      <c r="B28739" t="s">
        <v>238</v>
      </c>
      <c r="C28739" s="26">
        <v>0.93330000000000002</v>
      </c>
      <c r="D28739" s="26">
        <v>1.2699999999999999E-2</v>
      </c>
      <c r="E28739" s="26">
        <v>2.6499999999999999E-2</v>
      </c>
      <c r="F28739" s="26">
        <v>1.26E-2</v>
      </c>
      <c r="G28739" s="26">
        <v>1.15E-2</v>
      </c>
      <c r="H28739" s="26">
        <v>4.7000000000000002E-3</v>
      </c>
      <c r="I28739" s="26">
        <v>1.2500000000000001E-2</v>
      </c>
      <c r="K28739" s="26">
        <v>4.1000000000000003E-3</v>
      </c>
      <c r="L28739" s="26">
        <v>4.5999999999999999E-3</v>
      </c>
      <c r="M28739" s="26">
        <v>4.1999999999999997E-3</v>
      </c>
      <c r="O28739" s="26">
        <v>8.9999999999999998E-4</v>
      </c>
      <c r="P28739" s="26">
        <v>4.0000000000000002E-4</v>
      </c>
      <c r="Q28739">
        <v>559</v>
      </c>
    </row>
    <row r="28740" spans="1:17" x14ac:dyDescent="0.35">
      <c r="A28740" t="s">
        <v>230</v>
      </c>
      <c r="B28740" t="s">
        <v>239</v>
      </c>
      <c r="C28740" s="26">
        <v>0.95709999999999995</v>
      </c>
      <c r="E28740" s="26">
        <v>2.1000000000000001E-2</v>
      </c>
      <c r="F28740" s="26">
        <v>1.29E-2</v>
      </c>
      <c r="M28740" s="26">
        <v>6.0000000000000001E-3</v>
      </c>
      <c r="P28740" s="26">
        <v>6.1000000000000004E-3</v>
      </c>
      <c r="Q28740">
        <v>209</v>
      </c>
    </row>
    <row r="28741" spans="1:17" x14ac:dyDescent="0.35">
      <c r="A28741" t="s">
        <v>230</v>
      </c>
      <c r="B28741" t="s">
        <v>238</v>
      </c>
      <c r="C28741" s="26">
        <v>0.95579999999999998</v>
      </c>
      <c r="D28741" s="26">
        <v>1.2999999999999999E-3</v>
      </c>
      <c r="E28741" s="26">
        <v>8.9999999999999993E-3</v>
      </c>
      <c r="F28741" s="26">
        <v>2.8999999999999998E-3</v>
      </c>
      <c r="G28741" s="26">
        <v>7.7000000000000002E-3</v>
      </c>
      <c r="H28741" s="26">
        <v>8.8999999999999999E-3</v>
      </c>
      <c r="I28741" s="26">
        <v>1.06E-2</v>
      </c>
      <c r="J28741" s="26">
        <v>1.5800000000000002E-2</v>
      </c>
      <c r="K28741" s="26">
        <v>1.2999999999999999E-3</v>
      </c>
      <c r="L28741" s="26">
        <v>8.9999999999999993E-3</v>
      </c>
      <c r="M28741" s="26">
        <v>1.2999999999999999E-3</v>
      </c>
      <c r="N28741" s="26">
        <v>1.2999999999999999E-3</v>
      </c>
      <c r="P28741" s="26">
        <v>1.2999999999999999E-3</v>
      </c>
      <c r="Q28741">
        <v>349</v>
      </c>
    </row>
    <row r="28742" spans="1:17" x14ac:dyDescent="0.35">
      <c r="A28742" t="s">
        <v>231</v>
      </c>
      <c r="B28742" t="s">
        <v>239</v>
      </c>
      <c r="C28742" s="26">
        <v>0.85960000000000003</v>
      </c>
      <c r="D28742" s="26">
        <v>5.2600000000000001E-2</v>
      </c>
      <c r="F28742" s="26">
        <v>3.5099999999999999E-2</v>
      </c>
      <c r="G28742" s="26">
        <v>1.7500000000000002E-2</v>
      </c>
      <c r="J28742" s="26">
        <v>1.7500000000000002E-2</v>
      </c>
      <c r="K28742" s="26">
        <v>1.7500000000000002E-2</v>
      </c>
      <c r="M28742" s="26">
        <v>1.7500000000000002E-2</v>
      </c>
      <c r="O28742" s="26">
        <v>1.7500000000000002E-2</v>
      </c>
      <c r="Q28742">
        <v>57</v>
      </c>
    </row>
    <row r="28743" spans="1:17" x14ac:dyDescent="0.35">
      <c r="A28743" t="s">
        <v>231</v>
      </c>
      <c r="B28743" t="s">
        <v>238</v>
      </c>
      <c r="C28743" s="26">
        <v>0.95279999999999998</v>
      </c>
      <c r="D28743" s="26">
        <v>1.89E-2</v>
      </c>
      <c r="H28743" s="26">
        <v>9.4000000000000004E-3</v>
      </c>
      <c r="K28743" s="26">
        <v>9.4000000000000004E-3</v>
      </c>
      <c r="N28743" s="26">
        <v>9.4000000000000004E-3</v>
      </c>
      <c r="Q28743">
        <v>106</v>
      </c>
    </row>
    <row r="28744" spans="1:17" x14ac:dyDescent="0.35">
      <c r="A28744" t="s">
        <v>232</v>
      </c>
      <c r="B28744" t="s">
        <v>232</v>
      </c>
      <c r="C28744" s="26">
        <v>0.93640000000000001</v>
      </c>
      <c r="D28744" s="26">
        <v>1.35E-2</v>
      </c>
      <c r="E28744" s="26">
        <v>1.09E-2</v>
      </c>
      <c r="F28744" s="26">
        <v>1.0500000000000001E-2</v>
      </c>
      <c r="G28744" s="26">
        <v>7.1000000000000004E-3</v>
      </c>
      <c r="H28744" s="26">
        <v>6.4000000000000003E-3</v>
      </c>
      <c r="I28744" s="26">
        <v>6.4000000000000003E-3</v>
      </c>
      <c r="J28744" s="26">
        <v>4.7000000000000002E-3</v>
      </c>
      <c r="K28744" s="26">
        <v>4.7000000000000002E-3</v>
      </c>
      <c r="L28744" s="26">
        <v>3.7000000000000002E-3</v>
      </c>
      <c r="M28744" s="26">
        <v>3.0999999999999999E-3</v>
      </c>
      <c r="N28744" s="26">
        <v>3.0000000000000001E-3</v>
      </c>
      <c r="O28744" s="26">
        <v>1.9E-3</v>
      </c>
      <c r="P28744" s="26">
        <v>1.6999999999999999E-3</v>
      </c>
      <c r="Q28744">
        <v>2802</v>
      </c>
    </row>
    <row r="28746" spans="1:17" x14ac:dyDescent="0.35">
      <c r="A28746" s="1" t="s">
        <v>2580</v>
      </c>
    </row>
    <row r="28747" spans="1:17" x14ac:dyDescent="0.35">
      <c r="A28747" t="s">
        <v>219</v>
      </c>
      <c r="B28747" t="s">
        <v>305</v>
      </c>
      <c r="C28747" t="s">
        <v>550</v>
      </c>
      <c r="D28747" t="s">
        <v>281</v>
      </c>
      <c r="E28747" t="s">
        <v>2571</v>
      </c>
      <c r="F28747" t="s">
        <v>2548</v>
      </c>
      <c r="G28747" t="s">
        <v>2572</v>
      </c>
      <c r="H28747" t="s">
        <v>2186</v>
      </c>
      <c r="I28747" t="s">
        <v>2551</v>
      </c>
      <c r="J28747" t="s">
        <v>2573</v>
      </c>
      <c r="K28747" t="s">
        <v>2574</v>
      </c>
      <c r="L28747" t="s">
        <v>2575</v>
      </c>
      <c r="M28747" t="s">
        <v>2576</v>
      </c>
      <c r="N28747" t="s">
        <v>2554</v>
      </c>
      <c r="O28747" t="s">
        <v>2577</v>
      </c>
      <c r="P28747" t="s">
        <v>286</v>
      </c>
      <c r="Q28747" t="s">
        <v>226</v>
      </c>
    </row>
    <row r="28748" spans="1:17" x14ac:dyDescent="0.35">
      <c r="A28748" t="s">
        <v>227</v>
      </c>
      <c r="B28748" t="s">
        <v>244</v>
      </c>
      <c r="C28748" s="26">
        <v>0.95830000000000004</v>
      </c>
      <c r="F28748" s="26">
        <v>1.04E-2</v>
      </c>
      <c r="G28748" s="26">
        <v>1.04E-2</v>
      </c>
      <c r="H28748" s="26">
        <v>1.04E-2</v>
      </c>
      <c r="J28748" s="26">
        <v>1.04E-2</v>
      </c>
      <c r="Q28748">
        <v>96</v>
      </c>
    </row>
    <row r="28749" spans="1:17" x14ac:dyDescent="0.35">
      <c r="A28749" t="s">
        <v>227</v>
      </c>
      <c r="B28749" t="s">
        <v>245</v>
      </c>
      <c r="C28749" s="26">
        <v>0.98109999999999997</v>
      </c>
      <c r="F28749" s="26">
        <v>1.89E-2</v>
      </c>
      <c r="G28749" s="26">
        <v>1.89E-2</v>
      </c>
      <c r="Q28749">
        <v>53</v>
      </c>
    </row>
    <row r="28750" spans="1:17" x14ac:dyDescent="0.35">
      <c r="A28750" s="27" t="s">
        <v>227</v>
      </c>
      <c r="B28750" s="27" t="s">
        <v>246</v>
      </c>
      <c r="C28750" s="28">
        <v>0.91669999999999996</v>
      </c>
      <c r="D28750" s="28">
        <v>8.3299999999999999E-2</v>
      </c>
      <c r="E28750" s="29"/>
      <c r="F28750" s="29"/>
      <c r="G28750" s="29"/>
      <c r="H28750" s="29"/>
      <c r="I28750" s="29"/>
      <c r="J28750" s="29"/>
      <c r="K28750" s="29"/>
      <c r="L28750" s="29"/>
      <c r="M28750" s="29"/>
      <c r="N28750" s="29"/>
      <c r="O28750" s="29"/>
      <c r="P28750" s="29"/>
      <c r="Q28750" s="29" t="s">
        <v>342</v>
      </c>
    </row>
    <row r="28751" spans="1:17" x14ac:dyDescent="0.35">
      <c r="A28751" t="s">
        <v>228</v>
      </c>
      <c r="B28751" t="s">
        <v>244</v>
      </c>
      <c r="C28751" s="26">
        <v>0.9294</v>
      </c>
      <c r="D28751" s="26">
        <v>4.4999999999999997E-3</v>
      </c>
      <c r="E28751" s="26">
        <v>1.2200000000000001E-2</v>
      </c>
      <c r="F28751" s="26">
        <v>1.23E-2</v>
      </c>
      <c r="G28751" s="26">
        <v>2E-3</v>
      </c>
      <c r="H28751" s="26">
        <v>2E-3</v>
      </c>
      <c r="I28751" s="26">
        <v>1.0800000000000001E-2</v>
      </c>
      <c r="J28751" s="26">
        <v>1.4E-3</v>
      </c>
      <c r="K28751" s="26">
        <v>1.5E-3</v>
      </c>
      <c r="L28751" s="26">
        <v>1.0200000000000001E-2</v>
      </c>
      <c r="M28751" s="26">
        <v>1.8E-3</v>
      </c>
      <c r="N28751" s="26">
        <v>6.8999999999999999E-3</v>
      </c>
      <c r="P28751" s="26">
        <v>8.6999999999999994E-3</v>
      </c>
      <c r="Q28751">
        <v>636</v>
      </c>
    </row>
    <row r="28752" spans="1:17" x14ac:dyDescent="0.35">
      <c r="A28752" t="s">
        <v>228</v>
      </c>
      <c r="B28752" t="s">
        <v>245</v>
      </c>
      <c r="C28752" s="26">
        <v>0.93540000000000001</v>
      </c>
      <c r="D28752" s="26">
        <v>1.03E-2</v>
      </c>
      <c r="E28752" s="26">
        <v>1.4E-2</v>
      </c>
      <c r="F28752" s="26">
        <v>2.3999999999999998E-3</v>
      </c>
      <c r="G28752" s="26">
        <v>3.0000000000000001E-3</v>
      </c>
      <c r="H28752" s="26">
        <v>4.1999999999999997E-3</v>
      </c>
      <c r="I28752" s="26">
        <v>1.2E-2</v>
      </c>
      <c r="J28752" s="26">
        <v>1.2E-2</v>
      </c>
      <c r="K28752" s="26">
        <v>3.0000000000000001E-3</v>
      </c>
      <c r="N28752" s="26">
        <v>2.8E-3</v>
      </c>
      <c r="P28752" s="26">
        <v>1.6999999999999999E-3</v>
      </c>
      <c r="Q28752">
        <v>326</v>
      </c>
    </row>
    <row r="28753" spans="1:17" x14ac:dyDescent="0.35">
      <c r="A28753" t="s">
        <v>228</v>
      </c>
      <c r="B28753" t="s">
        <v>246</v>
      </c>
      <c r="C28753" s="26">
        <v>0.86970000000000003</v>
      </c>
      <c r="D28753" s="26">
        <v>8.0000000000000002E-3</v>
      </c>
      <c r="E28753" s="26">
        <v>8.0000000000000002E-3</v>
      </c>
      <c r="H28753" s="26">
        <v>6.59E-2</v>
      </c>
      <c r="I28753" s="26">
        <v>4.8500000000000001E-2</v>
      </c>
      <c r="Q28753">
        <v>67</v>
      </c>
    </row>
    <row r="28754" spans="1:17" x14ac:dyDescent="0.35">
      <c r="A28754" t="s">
        <v>229</v>
      </c>
      <c r="B28754" t="s">
        <v>244</v>
      </c>
      <c r="C28754" s="26">
        <v>0.92659999999999998</v>
      </c>
      <c r="D28754" s="26">
        <v>9.2999999999999992E-3</v>
      </c>
      <c r="E28754" s="26">
        <v>2.69E-2</v>
      </c>
      <c r="F28754" s="26">
        <v>1.3899999999999999E-2</v>
      </c>
      <c r="G28754" s="26">
        <v>1.2699999999999999E-2</v>
      </c>
      <c r="H28754" s="26">
        <v>9.1999999999999998E-3</v>
      </c>
      <c r="I28754" s="26">
        <v>1.52E-2</v>
      </c>
      <c r="J28754" s="26">
        <v>1E-3</v>
      </c>
      <c r="K28754" s="26">
        <v>4.3E-3</v>
      </c>
      <c r="L28754" s="26">
        <v>8.6999999999999994E-3</v>
      </c>
      <c r="M28754" s="26">
        <v>4.4999999999999997E-3</v>
      </c>
      <c r="N28754" s="26">
        <v>1E-3</v>
      </c>
      <c r="O28754" s="26">
        <v>1E-3</v>
      </c>
      <c r="P28754" s="26">
        <v>1.4E-3</v>
      </c>
      <c r="Q28754">
        <v>556</v>
      </c>
    </row>
    <row r="28755" spans="1:17" x14ac:dyDescent="0.35">
      <c r="A28755" t="s">
        <v>229</v>
      </c>
      <c r="B28755" t="s">
        <v>245</v>
      </c>
      <c r="C28755" s="26">
        <v>0.95760000000000001</v>
      </c>
      <c r="D28755" s="26">
        <v>1.2800000000000001E-2</v>
      </c>
      <c r="E28755" s="26">
        <v>2.69E-2</v>
      </c>
      <c r="F28755" s="26">
        <v>2.7000000000000001E-3</v>
      </c>
      <c r="Q28755">
        <v>290</v>
      </c>
    </row>
    <row r="28756" spans="1:17" x14ac:dyDescent="0.35">
      <c r="A28756" t="s">
        <v>229</v>
      </c>
      <c r="B28756" t="s">
        <v>246</v>
      </c>
      <c r="C28756" s="26">
        <v>0.98570000000000002</v>
      </c>
      <c r="D28756" s="26">
        <v>5.0000000000000001E-3</v>
      </c>
      <c r="E28756" s="26">
        <v>3.2000000000000002E-3</v>
      </c>
      <c r="F28756" s="26">
        <v>3.2000000000000002E-3</v>
      </c>
      <c r="G28756" s="26">
        <v>6.1999999999999998E-3</v>
      </c>
      <c r="K28756" s="26">
        <v>6.1999999999999998E-3</v>
      </c>
      <c r="L28756" s="26">
        <v>6.1999999999999998E-3</v>
      </c>
      <c r="Q28756">
        <v>45</v>
      </c>
    </row>
    <row r="28757" spans="1:17" x14ac:dyDescent="0.35">
      <c r="A28757" t="s">
        <v>230</v>
      </c>
      <c r="B28757" t="s">
        <v>244</v>
      </c>
      <c r="C28757" s="26">
        <v>0.95050000000000001</v>
      </c>
      <c r="D28757" s="26">
        <v>1.2999999999999999E-3</v>
      </c>
      <c r="E28757" s="26">
        <v>1.8200000000000001E-2</v>
      </c>
      <c r="F28757" s="26">
        <v>3.0000000000000001E-3</v>
      </c>
      <c r="H28757" s="26">
        <v>8.0000000000000004E-4</v>
      </c>
      <c r="I28757" s="26">
        <v>1.0699999999999999E-2</v>
      </c>
      <c r="J28757" s="26">
        <v>8.2000000000000007E-3</v>
      </c>
      <c r="K28757" s="26">
        <v>1.2999999999999999E-3</v>
      </c>
      <c r="L28757" s="26">
        <v>9.1000000000000004E-3</v>
      </c>
      <c r="M28757" s="26">
        <v>3.8999999999999998E-3</v>
      </c>
      <c r="N28757" s="26">
        <v>1.2999999999999999E-3</v>
      </c>
      <c r="P28757" s="26">
        <v>3.8999999999999998E-3</v>
      </c>
      <c r="Q28757">
        <v>370</v>
      </c>
    </row>
    <row r="28758" spans="1:17" x14ac:dyDescent="0.35">
      <c r="A28758" t="s">
        <v>230</v>
      </c>
      <c r="B28758" t="s">
        <v>245</v>
      </c>
      <c r="C28758" s="26">
        <v>0.9677</v>
      </c>
      <c r="F28758" s="26">
        <v>1.1599999999999999E-2</v>
      </c>
      <c r="G28758" s="26">
        <v>2.0799999999999999E-2</v>
      </c>
      <c r="H28758" s="26">
        <v>2.0799999999999999E-2</v>
      </c>
      <c r="J28758" s="26">
        <v>2.0799999999999999E-2</v>
      </c>
      <c r="Q28758">
        <v>160</v>
      </c>
    </row>
    <row r="28759" spans="1:17" x14ac:dyDescent="0.35">
      <c r="A28759" s="27" t="s">
        <v>230</v>
      </c>
      <c r="B28759" s="27" t="s">
        <v>246</v>
      </c>
      <c r="C28759" s="28">
        <v>0.97570000000000001</v>
      </c>
      <c r="D28759" s="29"/>
      <c r="E28759" s="29"/>
      <c r="F28759" s="28">
        <v>1.8599999999999998E-2</v>
      </c>
      <c r="G28759" s="29"/>
      <c r="H28759" s="28">
        <v>5.7000000000000002E-3</v>
      </c>
      <c r="I28759" s="29"/>
      <c r="J28759" s="29"/>
      <c r="K28759" s="29"/>
      <c r="L28759" s="29"/>
      <c r="M28759" s="29"/>
      <c r="N28759" s="29"/>
      <c r="O28759" s="29"/>
      <c r="P28759" s="29"/>
      <c r="Q28759" s="29" t="s">
        <v>336</v>
      </c>
    </row>
    <row r="28760" spans="1:17" x14ac:dyDescent="0.35">
      <c r="A28760" t="s">
        <v>231</v>
      </c>
      <c r="B28760" t="s">
        <v>244</v>
      </c>
      <c r="C28760" s="26">
        <v>0.90529999999999999</v>
      </c>
      <c r="D28760" s="26">
        <v>4.2099999999999999E-2</v>
      </c>
      <c r="H28760" s="26">
        <v>1.0500000000000001E-2</v>
      </c>
      <c r="K28760" s="26">
        <v>2.1100000000000001E-2</v>
      </c>
      <c r="M28760" s="26">
        <v>1.0500000000000001E-2</v>
      </c>
      <c r="N28760" s="26">
        <v>1.0500000000000001E-2</v>
      </c>
      <c r="O28760" s="26">
        <v>1.0500000000000001E-2</v>
      </c>
      <c r="Q28760">
        <v>95</v>
      </c>
    </row>
    <row r="28761" spans="1:17" x14ac:dyDescent="0.35">
      <c r="A28761" t="s">
        <v>231</v>
      </c>
      <c r="B28761" t="s">
        <v>245</v>
      </c>
      <c r="C28761" s="26">
        <v>0.92730000000000001</v>
      </c>
      <c r="D28761" s="26">
        <v>1.8200000000000001E-2</v>
      </c>
      <c r="F28761" s="26">
        <v>3.6400000000000002E-2</v>
      </c>
      <c r="G28761" s="26">
        <v>1.8200000000000001E-2</v>
      </c>
      <c r="J28761" s="26">
        <v>1.8200000000000001E-2</v>
      </c>
      <c r="Q28761">
        <v>55</v>
      </c>
    </row>
    <row r="28762" spans="1:17" x14ac:dyDescent="0.35">
      <c r="A28762" s="27" t="s">
        <v>231</v>
      </c>
      <c r="B28762" s="27" t="s">
        <v>246</v>
      </c>
      <c r="C28762" s="28">
        <v>1</v>
      </c>
      <c r="D28762" s="29"/>
      <c r="E28762" s="29"/>
      <c r="F28762" s="29"/>
      <c r="G28762" s="29"/>
      <c r="H28762" s="29"/>
      <c r="I28762" s="29"/>
      <c r="J28762" s="29"/>
      <c r="K28762" s="29"/>
      <c r="L28762" s="29"/>
      <c r="M28762" s="29"/>
      <c r="N28762" s="29"/>
      <c r="O28762" s="29"/>
      <c r="P28762" s="29"/>
      <c r="Q28762" s="29" t="s">
        <v>341</v>
      </c>
    </row>
    <row r="28763" spans="1:17" x14ac:dyDescent="0.35">
      <c r="A28763" t="s">
        <v>232</v>
      </c>
      <c r="B28763" t="s">
        <v>232</v>
      </c>
      <c r="C28763" s="26">
        <v>0.93640000000000001</v>
      </c>
      <c r="D28763" s="26">
        <v>1.35E-2</v>
      </c>
      <c r="E28763" s="26">
        <v>1.09E-2</v>
      </c>
      <c r="F28763" s="26">
        <v>1.0500000000000001E-2</v>
      </c>
      <c r="G28763" s="26">
        <v>7.1000000000000004E-3</v>
      </c>
      <c r="H28763" s="26">
        <v>6.4000000000000003E-3</v>
      </c>
      <c r="I28763" s="26">
        <v>6.4000000000000003E-3</v>
      </c>
      <c r="J28763" s="26">
        <v>4.7000000000000002E-3</v>
      </c>
      <c r="K28763" s="26">
        <v>4.7000000000000002E-3</v>
      </c>
      <c r="L28763" s="26">
        <v>3.7000000000000002E-3</v>
      </c>
      <c r="M28763" s="26">
        <v>3.0999999999999999E-3</v>
      </c>
      <c r="N28763" s="26">
        <v>3.0000000000000001E-3</v>
      </c>
      <c r="O28763" s="26">
        <v>1.9E-3</v>
      </c>
      <c r="P28763" s="26">
        <v>1.6999999999999999E-3</v>
      </c>
      <c r="Q28763">
        <v>2802</v>
      </c>
    </row>
    <row r="28765" spans="1:17" x14ac:dyDescent="0.35">
      <c r="A28765" s="1" t="s">
        <v>2581</v>
      </c>
    </row>
    <row r="28766" spans="1:17" x14ac:dyDescent="0.35">
      <c r="A28766" t="s">
        <v>219</v>
      </c>
      <c r="B28766" t="s">
        <v>305</v>
      </c>
      <c r="C28766" t="s">
        <v>550</v>
      </c>
      <c r="D28766" t="s">
        <v>281</v>
      </c>
      <c r="E28766" t="s">
        <v>2571</v>
      </c>
      <c r="F28766" t="s">
        <v>2548</v>
      </c>
      <c r="G28766" t="s">
        <v>2572</v>
      </c>
      <c r="H28766" t="s">
        <v>2186</v>
      </c>
      <c r="I28766" t="s">
        <v>2551</v>
      </c>
      <c r="J28766" t="s">
        <v>2573</v>
      </c>
      <c r="K28766" t="s">
        <v>2574</v>
      </c>
      <c r="L28766" t="s">
        <v>2575</v>
      </c>
      <c r="M28766" t="s">
        <v>2576</v>
      </c>
      <c r="N28766" t="s">
        <v>2554</v>
      </c>
      <c r="O28766" t="s">
        <v>2577</v>
      </c>
      <c r="P28766" t="s">
        <v>286</v>
      </c>
      <c r="Q28766" t="s">
        <v>226</v>
      </c>
    </row>
    <row r="28767" spans="1:17" x14ac:dyDescent="0.35">
      <c r="A28767" t="s">
        <v>227</v>
      </c>
      <c r="B28767" t="s">
        <v>360</v>
      </c>
      <c r="C28767" s="26">
        <v>0.92310000000000003</v>
      </c>
      <c r="D28767" s="26">
        <v>2.5600000000000001E-2</v>
      </c>
      <c r="F28767" s="26">
        <v>5.1299999999999998E-2</v>
      </c>
      <c r="G28767" s="26">
        <v>2.5600000000000001E-2</v>
      </c>
      <c r="Q28767">
        <v>39</v>
      </c>
    </row>
    <row r="28768" spans="1:17" x14ac:dyDescent="0.35">
      <c r="A28768" t="s">
        <v>227</v>
      </c>
      <c r="B28768" t="s">
        <v>361</v>
      </c>
      <c r="C28768" s="26">
        <v>1</v>
      </c>
      <c r="Q28768">
        <v>32</v>
      </c>
    </row>
    <row r="28769" spans="1:17" x14ac:dyDescent="0.35">
      <c r="A28769" t="s">
        <v>227</v>
      </c>
      <c r="B28769" t="s">
        <v>362</v>
      </c>
      <c r="C28769" s="26">
        <v>0.97299999999999998</v>
      </c>
      <c r="H28769" s="26">
        <v>2.7E-2</v>
      </c>
      <c r="Q28769">
        <v>37</v>
      </c>
    </row>
    <row r="28770" spans="1:17" x14ac:dyDescent="0.35">
      <c r="A28770" t="s">
        <v>227</v>
      </c>
      <c r="B28770" t="s">
        <v>363</v>
      </c>
      <c r="C28770" s="26">
        <v>0.9556</v>
      </c>
      <c r="G28770" s="26">
        <v>2.2200000000000001E-2</v>
      </c>
      <c r="J28770" s="26">
        <v>2.2200000000000001E-2</v>
      </c>
      <c r="Q28770">
        <v>45</v>
      </c>
    </row>
    <row r="28771" spans="1:17" x14ac:dyDescent="0.35">
      <c r="A28771" t="s">
        <v>228</v>
      </c>
      <c r="B28771" t="s">
        <v>360</v>
      </c>
      <c r="C28771" s="26">
        <v>0.87870000000000004</v>
      </c>
      <c r="D28771" s="26">
        <v>1.3299999999999999E-2</v>
      </c>
      <c r="E28771" s="26">
        <v>1.8100000000000002E-2</v>
      </c>
      <c r="F28771" s="26">
        <v>7.0000000000000001E-3</v>
      </c>
      <c r="G28771" s="26">
        <v>4.5999999999999999E-3</v>
      </c>
      <c r="H28771" s="26">
        <v>3.0099999999999998E-2</v>
      </c>
      <c r="I28771" s="26">
        <v>3.7999999999999999E-2</v>
      </c>
      <c r="J28771" s="26">
        <v>4.5999999999999999E-3</v>
      </c>
      <c r="K28771" s="26">
        <v>2.8E-3</v>
      </c>
      <c r="N28771" s="26">
        <v>5.8999999999999999E-3</v>
      </c>
      <c r="P28771" s="26">
        <v>4.1999999999999997E-3</v>
      </c>
      <c r="Q28771">
        <v>257</v>
      </c>
    </row>
    <row r="28772" spans="1:17" x14ac:dyDescent="0.35">
      <c r="A28772" t="s">
        <v>228</v>
      </c>
      <c r="B28772" t="s">
        <v>361</v>
      </c>
      <c r="C28772" s="26">
        <v>0.96079999999999999</v>
      </c>
      <c r="D28772" s="26">
        <v>7.1000000000000004E-3</v>
      </c>
      <c r="E28772" s="26">
        <v>1.14E-2</v>
      </c>
      <c r="G28772" s="26">
        <v>3.3999999999999998E-3</v>
      </c>
      <c r="K28772" s="26">
        <v>3.3999999999999998E-3</v>
      </c>
      <c r="L28772" s="26">
        <v>1.38E-2</v>
      </c>
      <c r="Q28772">
        <v>194</v>
      </c>
    </row>
    <row r="28773" spans="1:17" x14ac:dyDescent="0.35">
      <c r="A28773" t="s">
        <v>228</v>
      </c>
      <c r="B28773" t="s">
        <v>363</v>
      </c>
      <c r="C28773" s="26">
        <v>0.91590000000000005</v>
      </c>
      <c r="D28773" s="26">
        <v>2.3E-3</v>
      </c>
      <c r="E28773" s="26">
        <v>5.4000000000000003E-3</v>
      </c>
      <c r="F28773" s="26">
        <v>2.5000000000000001E-2</v>
      </c>
      <c r="H28773" s="26">
        <v>3.5000000000000001E-3</v>
      </c>
      <c r="I28773" s="26">
        <v>1.55E-2</v>
      </c>
      <c r="L28773" s="26">
        <v>1.4E-2</v>
      </c>
      <c r="M28773" s="26">
        <v>3.5000000000000001E-3</v>
      </c>
      <c r="P28773" s="26">
        <v>1.4999999999999999E-2</v>
      </c>
      <c r="Q28773">
        <v>210</v>
      </c>
    </row>
    <row r="28774" spans="1:17" x14ac:dyDescent="0.35">
      <c r="A28774" t="s">
        <v>228</v>
      </c>
      <c r="B28774" t="s">
        <v>362</v>
      </c>
      <c r="C28774" s="26">
        <v>0.95330000000000004</v>
      </c>
      <c r="D28774" s="26">
        <v>5.1999999999999998E-3</v>
      </c>
      <c r="E28774" s="26">
        <v>1.32E-2</v>
      </c>
      <c r="F28774" s="26">
        <v>3.3999999999999998E-3</v>
      </c>
      <c r="G28774" s="26">
        <v>1.8E-3</v>
      </c>
      <c r="I28774" s="26">
        <v>5.0000000000000001E-3</v>
      </c>
      <c r="K28774" s="26">
        <v>1.8E-3</v>
      </c>
      <c r="M28774" s="26">
        <v>1.5E-3</v>
      </c>
      <c r="N28774" s="26">
        <v>1.43E-2</v>
      </c>
      <c r="P28774" s="26">
        <v>3.3999999999999998E-3</v>
      </c>
      <c r="Q28774">
        <v>236</v>
      </c>
    </row>
    <row r="28775" spans="1:17" x14ac:dyDescent="0.35">
      <c r="A28775" t="s">
        <v>229</v>
      </c>
      <c r="B28775" t="s">
        <v>363</v>
      </c>
      <c r="C28775" s="26">
        <v>0.93530000000000002</v>
      </c>
      <c r="D28775" s="26">
        <v>1.67E-2</v>
      </c>
      <c r="E28775" s="26">
        <v>1.9599999999999999E-2</v>
      </c>
      <c r="F28775" s="26">
        <v>3.7000000000000002E-3</v>
      </c>
      <c r="H28775" s="26">
        <v>1.8E-3</v>
      </c>
      <c r="I28775" s="26">
        <v>2.0500000000000001E-2</v>
      </c>
      <c r="J28775" s="26">
        <v>3.7000000000000002E-3</v>
      </c>
      <c r="L28775" s="26">
        <v>2.3999999999999998E-3</v>
      </c>
      <c r="M28775" s="26">
        <v>5.0000000000000001E-4</v>
      </c>
      <c r="O28775" s="26">
        <v>3.7000000000000002E-3</v>
      </c>
      <c r="Q28775">
        <v>189</v>
      </c>
    </row>
    <row r="28776" spans="1:17" x14ac:dyDescent="0.35">
      <c r="A28776" t="s">
        <v>229</v>
      </c>
      <c r="B28776" t="s">
        <v>360</v>
      </c>
      <c r="C28776" s="26">
        <v>0.92390000000000005</v>
      </c>
      <c r="D28776" s="26">
        <v>2.1100000000000001E-2</v>
      </c>
      <c r="E28776" s="26">
        <v>1.7299999999999999E-2</v>
      </c>
      <c r="F28776" s="26">
        <v>2.0500000000000001E-2</v>
      </c>
      <c r="G28776" s="26">
        <v>3.2000000000000002E-3</v>
      </c>
      <c r="H28776" s="26">
        <v>4.3E-3</v>
      </c>
      <c r="I28776" s="26">
        <v>6.4999999999999997E-3</v>
      </c>
      <c r="K28776" s="26">
        <v>2.0999999999999999E-3</v>
      </c>
      <c r="L28776" s="26">
        <v>2.0999999999999999E-3</v>
      </c>
      <c r="P28776" s="26">
        <v>4.3E-3</v>
      </c>
      <c r="Q28776">
        <v>164</v>
      </c>
    </row>
    <row r="28777" spans="1:17" x14ac:dyDescent="0.35">
      <c r="A28777" t="s">
        <v>229</v>
      </c>
      <c r="B28777" t="s">
        <v>361</v>
      </c>
      <c r="C28777" s="26">
        <v>0.94469999999999998</v>
      </c>
      <c r="D28777" s="26">
        <v>7.9000000000000008E-3</v>
      </c>
      <c r="E28777" s="26">
        <v>2.46E-2</v>
      </c>
      <c r="F28777" s="26">
        <v>1.6500000000000001E-2</v>
      </c>
      <c r="G28777" s="26">
        <v>1.4500000000000001E-2</v>
      </c>
      <c r="H28777" s="26">
        <v>6.6E-3</v>
      </c>
      <c r="I28777" s="26">
        <v>1.54E-2</v>
      </c>
      <c r="K28777" s="26">
        <v>7.9000000000000008E-3</v>
      </c>
      <c r="L28777" s="26">
        <v>1.4500000000000001E-2</v>
      </c>
      <c r="M28777" s="26">
        <v>7.9000000000000008E-3</v>
      </c>
      <c r="Q28777">
        <v>242</v>
      </c>
    </row>
    <row r="28778" spans="1:17" x14ac:dyDescent="0.35">
      <c r="A28778" t="s">
        <v>229</v>
      </c>
      <c r="B28778" t="s">
        <v>362</v>
      </c>
      <c r="C28778" s="26">
        <v>0.93510000000000004</v>
      </c>
      <c r="E28778" s="26">
        <v>3.8199999999999998E-2</v>
      </c>
      <c r="F28778" s="26">
        <v>2E-3</v>
      </c>
      <c r="G28778" s="26">
        <v>1.8499999999999999E-2</v>
      </c>
      <c r="H28778" s="26">
        <v>2E-3</v>
      </c>
      <c r="N28778" s="26">
        <v>4.1000000000000003E-3</v>
      </c>
      <c r="Q28778">
        <v>171</v>
      </c>
    </row>
    <row r="28779" spans="1:17" x14ac:dyDescent="0.35">
      <c r="A28779" t="s">
        <v>230</v>
      </c>
      <c r="B28779" t="s">
        <v>360</v>
      </c>
      <c r="C28779" s="26">
        <v>0.9506</v>
      </c>
      <c r="F28779" s="26">
        <v>9.5999999999999992E-3</v>
      </c>
      <c r="H28779" s="26">
        <v>1.5E-3</v>
      </c>
      <c r="J28779" s="26">
        <v>3.0200000000000001E-2</v>
      </c>
      <c r="L28779" s="26">
        <v>2.8799999999999999E-2</v>
      </c>
      <c r="M28779" s="26">
        <v>4.7000000000000002E-3</v>
      </c>
      <c r="P28779" s="26">
        <v>4.8999999999999998E-3</v>
      </c>
      <c r="Q28779">
        <v>120</v>
      </c>
    </row>
    <row r="28780" spans="1:17" x14ac:dyDescent="0.35">
      <c r="A28780" t="s">
        <v>230</v>
      </c>
      <c r="B28780" t="s">
        <v>363</v>
      </c>
      <c r="C28780" s="26">
        <v>0.94630000000000003</v>
      </c>
      <c r="E28780" s="26">
        <v>2.3099999999999999E-2</v>
      </c>
      <c r="F28780" s="26">
        <v>3.8E-3</v>
      </c>
      <c r="G28780" s="26">
        <v>2.3099999999999999E-2</v>
      </c>
      <c r="H28780" s="26">
        <v>2.3099999999999999E-2</v>
      </c>
      <c r="I28780" s="26">
        <v>3.8E-3</v>
      </c>
      <c r="J28780" s="26">
        <v>2.3099999999999999E-2</v>
      </c>
      <c r="Q28780">
        <v>127</v>
      </c>
    </row>
    <row r="28781" spans="1:17" x14ac:dyDescent="0.35">
      <c r="A28781" t="s">
        <v>230</v>
      </c>
      <c r="B28781" t="s">
        <v>361</v>
      </c>
      <c r="C28781" s="26">
        <v>0.96589999999999998</v>
      </c>
      <c r="F28781" s="26">
        <v>4.7000000000000002E-3</v>
      </c>
      <c r="H28781" s="26">
        <v>1.1000000000000001E-3</v>
      </c>
      <c r="I28781" s="26">
        <v>2.47E-2</v>
      </c>
      <c r="P28781" s="26">
        <v>3.5999999999999999E-3</v>
      </c>
      <c r="Q28781">
        <v>109</v>
      </c>
    </row>
    <row r="28782" spans="1:17" x14ac:dyDescent="0.35">
      <c r="A28782" t="s">
        <v>230</v>
      </c>
      <c r="B28782" t="s">
        <v>362</v>
      </c>
      <c r="C28782" s="26">
        <v>0.95379999999999998</v>
      </c>
      <c r="D28782" s="26">
        <v>3.5000000000000001E-3</v>
      </c>
      <c r="E28782" s="26">
        <v>2.86E-2</v>
      </c>
      <c r="F28782" s="26">
        <v>8.3000000000000001E-3</v>
      </c>
      <c r="H28782" s="26">
        <v>1.1000000000000001E-3</v>
      </c>
      <c r="I28782" s="26">
        <v>1.1000000000000001E-3</v>
      </c>
      <c r="M28782" s="26">
        <v>3.5999999999999999E-3</v>
      </c>
      <c r="N28782" s="26">
        <v>3.5999999999999999E-3</v>
      </c>
      <c r="Q28782">
        <v>147</v>
      </c>
    </row>
    <row r="28783" spans="1:17" x14ac:dyDescent="0.35">
      <c r="A28783" s="27" t="s">
        <v>231</v>
      </c>
      <c r="B28783" s="27" t="s">
        <v>362</v>
      </c>
      <c r="C28783" s="28">
        <v>0.93100000000000005</v>
      </c>
      <c r="D28783" s="28">
        <v>3.4500000000000003E-2</v>
      </c>
      <c r="E28783" s="29"/>
      <c r="F28783" s="29"/>
      <c r="G28783" s="28">
        <v>3.4500000000000003E-2</v>
      </c>
      <c r="H28783" s="29"/>
      <c r="I28783" s="29"/>
      <c r="J28783" s="28">
        <v>3.4500000000000003E-2</v>
      </c>
      <c r="K28783" s="29"/>
      <c r="L28783" s="29"/>
      <c r="M28783" s="29"/>
      <c r="N28783" s="29"/>
      <c r="O28783" s="29"/>
      <c r="P28783" s="29"/>
      <c r="Q28783" s="29" t="s">
        <v>329</v>
      </c>
    </row>
    <row r="28784" spans="1:17" x14ac:dyDescent="0.35">
      <c r="A28784" t="s">
        <v>231</v>
      </c>
      <c r="B28784" t="s">
        <v>361</v>
      </c>
      <c r="C28784" s="26">
        <v>0.91839999999999999</v>
      </c>
      <c r="F28784" s="26">
        <v>2.0400000000000001E-2</v>
      </c>
      <c r="K28784" s="26">
        <v>2.0400000000000001E-2</v>
      </c>
      <c r="M28784" s="26">
        <v>2.0400000000000001E-2</v>
      </c>
      <c r="N28784" s="26">
        <v>2.0400000000000001E-2</v>
      </c>
      <c r="O28784" s="26">
        <v>2.0400000000000001E-2</v>
      </c>
      <c r="Q28784">
        <v>49</v>
      </c>
    </row>
    <row r="28785" spans="1:17" x14ac:dyDescent="0.35">
      <c r="A28785" t="s">
        <v>231</v>
      </c>
      <c r="B28785" t="s">
        <v>360</v>
      </c>
      <c r="C28785" s="26">
        <v>0.88639999999999997</v>
      </c>
      <c r="D28785" s="26">
        <v>6.8199999999999997E-2</v>
      </c>
      <c r="F28785" s="26">
        <v>2.2700000000000001E-2</v>
      </c>
      <c r="K28785" s="26">
        <v>2.2700000000000001E-2</v>
      </c>
      <c r="Q28785">
        <v>44</v>
      </c>
    </row>
    <row r="28786" spans="1:17" x14ac:dyDescent="0.35">
      <c r="A28786" s="27" t="s">
        <v>231</v>
      </c>
      <c r="B28786" s="27" t="s">
        <v>363</v>
      </c>
      <c r="C28786" s="28">
        <v>0.92589999999999995</v>
      </c>
      <c r="D28786" s="28">
        <v>3.6999999999999998E-2</v>
      </c>
      <c r="E28786" s="29"/>
      <c r="F28786" s="29"/>
      <c r="G28786" s="29"/>
      <c r="H28786" s="28">
        <v>3.6999999999999998E-2</v>
      </c>
      <c r="I28786" s="29"/>
      <c r="J28786" s="29"/>
      <c r="K28786" s="29"/>
      <c r="L28786" s="29"/>
      <c r="M28786" s="29"/>
      <c r="N28786" s="29"/>
      <c r="O28786" s="29"/>
      <c r="P28786" s="29"/>
      <c r="Q28786" s="29" t="s">
        <v>338</v>
      </c>
    </row>
    <row r="28787" spans="1:17" x14ac:dyDescent="0.35">
      <c r="A28787" t="s">
        <v>232</v>
      </c>
      <c r="B28787" t="s">
        <v>232</v>
      </c>
      <c r="C28787" s="26">
        <v>0.93640000000000001</v>
      </c>
      <c r="D28787" s="26">
        <v>1.35E-2</v>
      </c>
      <c r="E28787" s="26">
        <v>1.09E-2</v>
      </c>
      <c r="F28787" s="26">
        <v>1.0500000000000001E-2</v>
      </c>
      <c r="G28787" s="26">
        <v>7.1000000000000004E-3</v>
      </c>
      <c r="H28787" s="26">
        <v>6.4000000000000003E-3</v>
      </c>
      <c r="I28787" s="26">
        <v>6.4000000000000003E-3</v>
      </c>
      <c r="J28787" s="26">
        <v>4.7000000000000002E-3</v>
      </c>
      <c r="K28787" s="26">
        <v>4.7000000000000002E-3</v>
      </c>
      <c r="L28787" s="26">
        <v>3.7000000000000002E-3</v>
      </c>
      <c r="M28787" s="26">
        <v>3.0999999999999999E-3</v>
      </c>
      <c r="N28787" s="26">
        <v>3.0000000000000001E-3</v>
      </c>
      <c r="O28787" s="26">
        <v>1.9E-3</v>
      </c>
      <c r="P28787" s="26">
        <v>1.6999999999999999E-3</v>
      </c>
      <c r="Q28787">
        <v>2468</v>
      </c>
    </row>
    <row r="28789" spans="1:17" x14ac:dyDescent="0.35">
      <c r="A28789" s="1" t="s">
        <v>2582</v>
      </c>
    </row>
    <row r="28790" spans="1:17" x14ac:dyDescent="0.35">
      <c r="A28790" t="s">
        <v>219</v>
      </c>
      <c r="B28790" t="s">
        <v>305</v>
      </c>
      <c r="C28790" t="s">
        <v>550</v>
      </c>
      <c r="D28790" t="s">
        <v>281</v>
      </c>
      <c r="E28790" t="s">
        <v>2571</v>
      </c>
      <c r="F28790" t="s">
        <v>2548</v>
      </c>
      <c r="G28790" t="s">
        <v>2572</v>
      </c>
      <c r="H28790" t="s">
        <v>2186</v>
      </c>
      <c r="I28790" t="s">
        <v>2551</v>
      </c>
      <c r="J28790" t="s">
        <v>2573</v>
      </c>
      <c r="K28790" t="s">
        <v>2574</v>
      </c>
      <c r="L28790" t="s">
        <v>2575</v>
      </c>
      <c r="M28790" t="s">
        <v>2576</v>
      </c>
      <c r="N28790" t="s">
        <v>2554</v>
      </c>
      <c r="O28790" t="s">
        <v>2577</v>
      </c>
      <c r="P28790" t="s">
        <v>286</v>
      </c>
      <c r="Q28790" t="s">
        <v>226</v>
      </c>
    </row>
    <row r="28791" spans="1:17" x14ac:dyDescent="0.35">
      <c r="A28791" t="s">
        <v>227</v>
      </c>
      <c r="B28791" t="s">
        <v>267</v>
      </c>
      <c r="C28791" s="26">
        <v>0.94440000000000002</v>
      </c>
      <c r="F28791" s="26">
        <v>2.7799999999999998E-2</v>
      </c>
      <c r="G28791" s="26">
        <v>2.7799999999999998E-2</v>
      </c>
      <c r="H28791" s="26">
        <v>2.7799999999999998E-2</v>
      </c>
      <c r="Q28791">
        <v>36</v>
      </c>
    </row>
    <row r="28792" spans="1:17" x14ac:dyDescent="0.35">
      <c r="A28792" t="s">
        <v>227</v>
      </c>
      <c r="B28792" t="s">
        <v>266</v>
      </c>
      <c r="C28792" s="26">
        <v>0.98309999999999997</v>
      </c>
      <c r="D28792" s="26">
        <v>1.6899999999999998E-2</v>
      </c>
      <c r="Q28792">
        <v>59</v>
      </c>
    </row>
    <row r="28793" spans="1:17" x14ac:dyDescent="0.35">
      <c r="A28793" t="s">
        <v>227</v>
      </c>
      <c r="B28793" t="s">
        <v>265</v>
      </c>
      <c r="C28793" s="26">
        <v>0.95450000000000002</v>
      </c>
      <c r="F28793" s="26">
        <v>1.52E-2</v>
      </c>
      <c r="G28793" s="26">
        <v>1.52E-2</v>
      </c>
      <c r="J28793" s="26">
        <v>1.52E-2</v>
      </c>
      <c r="Q28793">
        <v>66</v>
      </c>
    </row>
    <row r="28794" spans="1:17" x14ac:dyDescent="0.35">
      <c r="A28794" t="s">
        <v>228</v>
      </c>
      <c r="B28794" t="s">
        <v>267</v>
      </c>
      <c r="C28794" s="26">
        <v>0.94550000000000001</v>
      </c>
      <c r="D28794" s="26">
        <v>1.01E-2</v>
      </c>
      <c r="E28794" s="26">
        <v>3.5999999999999999E-3</v>
      </c>
      <c r="G28794" s="26">
        <v>8.2000000000000007E-3</v>
      </c>
      <c r="H28794" s="26">
        <v>6.8999999999999999E-3</v>
      </c>
      <c r="I28794" s="26">
        <v>3.2000000000000002E-3</v>
      </c>
      <c r="J28794" s="26">
        <v>3.2000000000000002E-3</v>
      </c>
      <c r="K28794" s="26">
        <v>8.2000000000000007E-3</v>
      </c>
      <c r="N28794" s="26">
        <v>3.2000000000000002E-3</v>
      </c>
      <c r="P28794" s="26">
        <v>1.43E-2</v>
      </c>
      <c r="Q28794">
        <v>198</v>
      </c>
    </row>
    <row r="28795" spans="1:17" x14ac:dyDescent="0.35">
      <c r="A28795" t="s">
        <v>228</v>
      </c>
      <c r="B28795" t="s">
        <v>265</v>
      </c>
      <c r="C28795" s="26">
        <v>0.92169999999999996</v>
      </c>
      <c r="D28795" s="26">
        <v>6.4999999999999997E-3</v>
      </c>
      <c r="E28795" s="26">
        <v>1.2500000000000001E-2</v>
      </c>
      <c r="F28795" s="26">
        <v>8.0999999999999996E-3</v>
      </c>
      <c r="G28795" s="26">
        <v>8.9999999999999998E-4</v>
      </c>
      <c r="H28795" s="26">
        <v>1.35E-2</v>
      </c>
      <c r="I28795" s="26">
        <v>1.38E-2</v>
      </c>
      <c r="L28795" s="26">
        <v>8.0999999999999996E-3</v>
      </c>
      <c r="N28795" s="26">
        <v>8.0999999999999996E-3</v>
      </c>
      <c r="P28795" s="26">
        <v>9.1000000000000004E-3</v>
      </c>
      <c r="Q28795">
        <v>382</v>
      </c>
    </row>
    <row r="28796" spans="1:17" x14ac:dyDescent="0.35">
      <c r="A28796" s="27" t="s">
        <v>228</v>
      </c>
      <c r="B28796" s="27" t="s">
        <v>236</v>
      </c>
      <c r="C28796" s="28">
        <v>1</v>
      </c>
      <c r="D28796" s="29"/>
      <c r="E28796" s="29"/>
      <c r="F28796" s="29"/>
      <c r="G28796" s="29"/>
      <c r="H28796" s="29"/>
      <c r="I28796" s="29"/>
      <c r="J28796" s="29"/>
      <c r="K28796" s="29"/>
      <c r="L28796" s="29"/>
      <c r="M28796" s="29"/>
      <c r="N28796" s="29"/>
      <c r="O28796" s="29"/>
      <c r="P28796" s="29"/>
      <c r="Q28796" s="29" t="s">
        <v>314</v>
      </c>
    </row>
    <row r="28797" spans="1:17" x14ac:dyDescent="0.35">
      <c r="A28797" t="s">
        <v>228</v>
      </c>
      <c r="B28797" t="s">
        <v>266</v>
      </c>
      <c r="C28797" s="26">
        <v>0.92349999999999999</v>
      </c>
      <c r="D28797" s="26">
        <v>4.7999999999999996E-3</v>
      </c>
      <c r="E28797" s="26">
        <v>1.6199999999999999E-2</v>
      </c>
      <c r="F28797" s="26">
        <v>1.29E-2</v>
      </c>
      <c r="G28797" s="26">
        <v>1E-3</v>
      </c>
      <c r="H28797" s="26">
        <v>5.9999999999999995E-4</v>
      </c>
      <c r="I28797" s="26">
        <v>1.8200000000000001E-2</v>
      </c>
      <c r="J28797" s="26">
        <v>8.9999999999999993E-3</v>
      </c>
      <c r="K28797" s="26">
        <v>1E-3</v>
      </c>
      <c r="L28797" s="26">
        <v>8.0999999999999996E-3</v>
      </c>
      <c r="M28797" s="26">
        <v>2.8999999999999998E-3</v>
      </c>
      <c r="N28797" s="26">
        <v>3.3999999999999998E-3</v>
      </c>
      <c r="Q28797">
        <v>447</v>
      </c>
    </row>
    <row r="28798" spans="1:17" x14ac:dyDescent="0.35">
      <c r="A28798" t="s">
        <v>229</v>
      </c>
      <c r="B28798" t="s">
        <v>266</v>
      </c>
      <c r="C28798" s="26">
        <v>0.91400000000000003</v>
      </c>
      <c r="D28798" s="26">
        <v>1.9E-2</v>
      </c>
      <c r="E28798" s="26">
        <v>2.8199999999999999E-2</v>
      </c>
      <c r="F28798" s="26">
        <v>8.6999999999999994E-3</v>
      </c>
      <c r="G28798" s="26">
        <v>1.6899999999999998E-2</v>
      </c>
      <c r="H28798" s="26">
        <v>8.6999999999999994E-3</v>
      </c>
      <c r="I28798" s="26">
        <v>7.7000000000000002E-3</v>
      </c>
      <c r="L28798" s="26">
        <v>8.0000000000000002E-3</v>
      </c>
      <c r="M28798" s="26">
        <v>2.9999999999999997E-4</v>
      </c>
      <c r="N28798" s="26">
        <v>2.0999999999999999E-3</v>
      </c>
      <c r="O28798" s="26">
        <v>2.0999999999999999E-3</v>
      </c>
      <c r="Q28798">
        <v>357</v>
      </c>
    </row>
    <row r="28799" spans="1:17" x14ac:dyDescent="0.35">
      <c r="A28799" t="s">
        <v>229</v>
      </c>
      <c r="B28799" t="s">
        <v>267</v>
      </c>
      <c r="C28799" s="26">
        <v>0.95650000000000002</v>
      </c>
      <c r="D28799" s="26">
        <v>1.1999999999999999E-3</v>
      </c>
      <c r="E28799" s="26">
        <v>3.2300000000000002E-2</v>
      </c>
      <c r="F28799" s="26">
        <v>1.6899999999999998E-2</v>
      </c>
      <c r="G28799" s="26">
        <v>1.46E-2</v>
      </c>
      <c r="H28799" s="26">
        <v>1.5E-3</v>
      </c>
      <c r="I28799" s="26">
        <v>1.6899999999999998E-2</v>
      </c>
      <c r="K28799" s="26">
        <v>1.3899999999999999E-2</v>
      </c>
      <c r="L28799" s="26">
        <v>1.54E-2</v>
      </c>
      <c r="M28799" s="26">
        <v>1.3899999999999999E-2</v>
      </c>
      <c r="Q28799">
        <v>199</v>
      </c>
    </row>
    <row r="28800" spans="1:17" x14ac:dyDescent="0.35">
      <c r="A28800" t="s">
        <v>229</v>
      </c>
      <c r="B28800" t="s">
        <v>265</v>
      </c>
      <c r="C28800" s="26">
        <v>0.94530000000000003</v>
      </c>
      <c r="D28800" s="26">
        <v>7.6E-3</v>
      </c>
      <c r="E28800" s="26">
        <v>2.06E-2</v>
      </c>
      <c r="F28800" s="26">
        <v>8.6999999999999994E-3</v>
      </c>
      <c r="G28800" s="26">
        <v>8.9999999999999998E-4</v>
      </c>
      <c r="H28800" s="26">
        <v>7.0000000000000001E-3</v>
      </c>
      <c r="I28800" s="26">
        <v>9.5999999999999992E-3</v>
      </c>
      <c r="J28800" s="26">
        <v>1.5E-3</v>
      </c>
      <c r="K28800" s="26">
        <v>6.9999999999999999E-4</v>
      </c>
      <c r="L28800" s="26">
        <v>8.9999999999999998E-4</v>
      </c>
      <c r="P28800" s="26">
        <v>2.2000000000000001E-3</v>
      </c>
      <c r="Q28800">
        <v>335</v>
      </c>
    </row>
    <row r="28801" spans="1:17" x14ac:dyDescent="0.35">
      <c r="A28801" t="s">
        <v>230</v>
      </c>
      <c r="B28801" t="s">
        <v>267</v>
      </c>
      <c r="C28801" s="26">
        <v>0.99070000000000003</v>
      </c>
      <c r="E28801" s="26">
        <v>4.0000000000000001E-3</v>
      </c>
      <c r="F28801" s="26">
        <v>1.1999999999999999E-3</v>
      </c>
      <c r="M28801" s="26">
        <v>4.0000000000000001E-3</v>
      </c>
      <c r="Q28801">
        <v>118</v>
      </c>
    </row>
    <row r="28802" spans="1:17" x14ac:dyDescent="0.35">
      <c r="A28802" t="s">
        <v>230</v>
      </c>
      <c r="B28802" t="s">
        <v>266</v>
      </c>
      <c r="C28802" s="26">
        <v>0.92889999999999995</v>
      </c>
      <c r="E28802" s="26">
        <v>1.49E-2</v>
      </c>
      <c r="F28802" s="26">
        <v>1.32E-2</v>
      </c>
      <c r="G28802" s="26">
        <v>1.49E-2</v>
      </c>
      <c r="H28802" s="26">
        <v>1.49E-2</v>
      </c>
      <c r="I28802" s="26">
        <v>5.7000000000000002E-3</v>
      </c>
      <c r="J28802" s="26">
        <v>2.98E-2</v>
      </c>
      <c r="L28802" s="26">
        <v>1.49E-2</v>
      </c>
      <c r="N28802" s="26">
        <v>2.5000000000000001E-3</v>
      </c>
      <c r="P28802" s="26">
        <v>5.0000000000000001E-3</v>
      </c>
      <c r="Q28802">
        <v>232</v>
      </c>
    </row>
    <row r="28803" spans="1:17" x14ac:dyDescent="0.35">
      <c r="A28803" t="s">
        <v>230</v>
      </c>
      <c r="B28803" t="s">
        <v>265</v>
      </c>
      <c r="C28803" s="26">
        <v>0.96160000000000001</v>
      </c>
      <c r="D28803" s="26">
        <v>2.0999999999999999E-3</v>
      </c>
      <c r="E28803" s="26">
        <v>1.5100000000000001E-2</v>
      </c>
      <c r="F28803" s="26">
        <v>2.0999999999999999E-3</v>
      </c>
      <c r="H28803" s="26">
        <v>2E-3</v>
      </c>
      <c r="I28803" s="26">
        <v>1.29E-2</v>
      </c>
      <c r="J28803" s="26">
        <v>6.9999999999999999E-4</v>
      </c>
      <c r="K28803" s="26">
        <v>2.0999999999999999E-3</v>
      </c>
      <c r="L28803" s="26">
        <v>2.0999999999999999E-3</v>
      </c>
      <c r="M28803" s="26">
        <v>4.3E-3</v>
      </c>
      <c r="P28803" s="26">
        <v>2.0999999999999999E-3</v>
      </c>
      <c r="Q28803">
        <v>208</v>
      </c>
    </row>
    <row r="28804" spans="1:17" x14ac:dyDescent="0.35">
      <c r="A28804" t="s">
        <v>231</v>
      </c>
      <c r="B28804" t="s">
        <v>267</v>
      </c>
      <c r="C28804" s="26">
        <v>0.96970000000000001</v>
      </c>
      <c r="K28804" s="26">
        <v>3.0300000000000001E-2</v>
      </c>
      <c r="Q28804">
        <v>33</v>
      </c>
    </row>
    <row r="28805" spans="1:17" x14ac:dyDescent="0.35">
      <c r="A28805" t="s">
        <v>231</v>
      </c>
      <c r="B28805" t="s">
        <v>266</v>
      </c>
      <c r="C28805" s="26">
        <v>0.8871</v>
      </c>
      <c r="D28805" s="26">
        <v>3.2300000000000002E-2</v>
      </c>
      <c r="F28805" s="26">
        <v>3.2300000000000002E-2</v>
      </c>
      <c r="G28805" s="26">
        <v>1.61E-2</v>
      </c>
      <c r="H28805" s="26">
        <v>1.61E-2</v>
      </c>
      <c r="J28805" s="26">
        <v>1.61E-2</v>
      </c>
      <c r="K28805" s="26">
        <v>1.61E-2</v>
      </c>
      <c r="Q28805">
        <v>62</v>
      </c>
    </row>
    <row r="28806" spans="1:17" x14ac:dyDescent="0.35">
      <c r="A28806" t="s">
        <v>231</v>
      </c>
      <c r="B28806" t="s">
        <v>265</v>
      </c>
      <c r="C28806" s="26">
        <v>0.92649999999999999</v>
      </c>
      <c r="D28806" s="26">
        <v>4.41E-2</v>
      </c>
      <c r="M28806" s="26">
        <v>1.47E-2</v>
      </c>
      <c r="N28806" s="26">
        <v>1.47E-2</v>
      </c>
      <c r="O28806" s="26">
        <v>1.47E-2</v>
      </c>
      <c r="Q28806">
        <v>68</v>
      </c>
    </row>
    <row r="28807" spans="1:17" x14ac:dyDescent="0.35">
      <c r="A28807" t="s">
        <v>232</v>
      </c>
      <c r="B28807" t="s">
        <v>232</v>
      </c>
      <c r="C28807" s="26">
        <v>0.93640000000000001</v>
      </c>
      <c r="D28807" s="26">
        <v>1.35E-2</v>
      </c>
      <c r="E28807" s="26">
        <v>1.09E-2</v>
      </c>
      <c r="F28807" s="26">
        <v>1.0500000000000001E-2</v>
      </c>
      <c r="G28807" s="26">
        <v>7.1000000000000004E-3</v>
      </c>
      <c r="H28807" s="26">
        <v>6.4000000000000003E-3</v>
      </c>
      <c r="I28807" s="26">
        <v>6.4000000000000003E-3</v>
      </c>
      <c r="J28807" s="26">
        <v>4.7000000000000002E-3</v>
      </c>
      <c r="K28807" s="26">
        <v>4.7000000000000002E-3</v>
      </c>
      <c r="L28807" s="26">
        <v>3.7000000000000002E-3</v>
      </c>
      <c r="M28807" s="26">
        <v>3.0999999999999999E-3</v>
      </c>
      <c r="N28807" s="26">
        <v>3.0000000000000001E-3</v>
      </c>
      <c r="O28807" s="26">
        <v>1.9E-3</v>
      </c>
      <c r="P28807" s="26">
        <v>1.6999999999999999E-3</v>
      </c>
      <c r="Q28807">
        <v>2802</v>
      </c>
    </row>
    <row r="28809" spans="1:17" x14ac:dyDescent="0.35">
      <c r="A28809" s="1" t="s">
        <v>2583</v>
      </c>
    </row>
    <row r="28810" spans="1:17" x14ac:dyDescent="0.35">
      <c r="A28810" t="s">
        <v>219</v>
      </c>
      <c r="B28810" t="s">
        <v>305</v>
      </c>
      <c r="C28810" t="s">
        <v>550</v>
      </c>
      <c r="D28810" t="s">
        <v>281</v>
      </c>
      <c r="E28810" t="s">
        <v>2571</v>
      </c>
      <c r="F28810" t="s">
        <v>2548</v>
      </c>
      <c r="G28810" t="s">
        <v>2572</v>
      </c>
      <c r="H28810" t="s">
        <v>2186</v>
      </c>
      <c r="I28810" t="s">
        <v>2551</v>
      </c>
      <c r="J28810" t="s">
        <v>2573</v>
      </c>
      <c r="K28810" t="s">
        <v>2574</v>
      </c>
      <c r="L28810" t="s">
        <v>2575</v>
      </c>
      <c r="M28810" t="s">
        <v>2576</v>
      </c>
      <c r="N28810" t="s">
        <v>2554</v>
      </c>
      <c r="O28810" t="s">
        <v>2577</v>
      </c>
      <c r="P28810" t="s">
        <v>286</v>
      </c>
      <c r="Q28810" t="s">
        <v>226</v>
      </c>
    </row>
    <row r="28811" spans="1:17" x14ac:dyDescent="0.35">
      <c r="A28811" t="s">
        <v>227</v>
      </c>
      <c r="B28811" t="s">
        <v>252</v>
      </c>
      <c r="C28811" s="26">
        <v>0.9778</v>
      </c>
      <c r="H28811" s="26">
        <v>2.2200000000000001E-2</v>
      </c>
      <c r="Q28811">
        <v>45</v>
      </c>
    </row>
    <row r="28812" spans="1:17" x14ac:dyDescent="0.35">
      <c r="A28812" t="s">
        <v>227</v>
      </c>
      <c r="B28812" t="s">
        <v>253</v>
      </c>
      <c r="C28812" s="26">
        <v>0.94120000000000004</v>
      </c>
      <c r="G28812" s="26">
        <v>2.9399999999999999E-2</v>
      </c>
      <c r="J28812" s="26">
        <v>2.9399999999999999E-2</v>
      </c>
      <c r="Q28812">
        <v>34</v>
      </c>
    </row>
    <row r="28813" spans="1:17" x14ac:dyDescent="0.35">
      <c r="A28813" t="s">
        <v>227</v>
      </c>
      <c r="B28813" t="s">
        <v>251</v>
      </c>
      <c r="C28813" s="26">
        <v>0.96340000000000003</v>
      </c>
      <c r="D28813" s="26">
        <v>1.2200000000000001E-2</v>
      </c>
      <c r="F28813" s="26">
        <v>2.4400000000000002E-2</v>
      </c>
      <c r="G28813" s="26">
        <v>1.2200000000000001E-2</v>
      </c>
      <c r="Q28813">
        <v>82</v>
      </c>
    </row>
    <row r="28814" spans="1:17" x14ac:dyDescent="0.35">
      <c r="A28814" t="s">
        <v>228</v>
      </c>
      <c r="B28814" t="s">
        <v>252</v>
      </c>
      <c r="C28814" s="26">
        <v>0.92820000000000003</v>
      </c>
      <c r="D28814" s="26">
        <v>8.9999999999999993E-3</v>
      </c>
      <c r="E28814" s="26">
        <v>1.67E-2</v>
      </c>
      <c r="F28814" s="26">
        <v>1.5800000000000002E-2</v>
      </c>
      <c r="G28814" s="26">
        <v>1.2999999999999999E-3</v>
      </c>
      <c r="I28814" s="26">
        <v>1.4E-2</v>
      </c>
      <c r="K28814" s="26">
        <v>1.2999999999999999E-3</v>
      </c>
      <c r="P28814" s="26">
        <v>1.5800000000000002E-2</v>
      </c>
      <c r="Q28814">
        <v>343</v>
      </c>
    </row>
    <row r="28815" spans="1:17" x14ac:dyDescent="0.35">
      <c r="A28815" t="s">
        <v>228</v>
      </c>
      <c r="B28815" t="s">
        <v>253</v>
      </c>
      <c r="C28815" s="26">
        <v>0.9244</v>
      </c>
      <c r="D28815" s="26">
        <v>5.4000000000000003E-3</v>
      </c>
      <c r="E28815" s="26">
        <v>1.46E-2</v>
      </c>
      <c r="F28815" s="26">
        <v>1.03E-2</v>
      </c>
      <c r="G28815" s="26">
        <v>4.4999999999999997E-3</v>
      </c>
      <c r="H28815" s="26">
        <v>1.8700000000000001E-2</v>
      </c>
      <c r="I28815" s="26">
        <v>1.8E-3</v>
      </c>
      <c r="J28815" s="26">
        <v>4.4999999999999997E-3</v>
      </c>
      <c r="K28815" s="26">
        <v>2.7000000000000001E-3</v>
      </c>
      <c r="M28815" s="26">
        <v>4.1000000000000003E-3</v>
      </c>
      <c r="N28815" s="26">
        <v>1.6299999999999999E-2</v>
      </c>
      <c r="Q28815">
        <v>220</v>
      </c>
    </row>
    <row r="28816" spans="1:17" x14ac:dyDescent="0.35">
      <c r="A28816" t="s">
        <v>228</v>
      </c>
      <c r="B28816" t="s">
        <v>251</v>
      </c>
      <c r="C28816" s="26">
        <v>0.92730000000000001</v>
      </c>
      <c r="D28816" s="26">
        <v>5.0000000000000001E-3</v>
      </c>
      <c r="E28816" s="26">
        <v>8.6E-3</v>
      </c>
      <c r="F28816" s="26">
        <v>3.2000000000000002E-3</v>
      </c>
      <c r="G28816" s="26">
        <v>1.8E-3</v>
      </c>
      <c r="H28816" s="26">
        <v>6.7000000000000002E-3</v>
      </c>
      <c r="I28816" s="26">
        <v>1.8599999999999998E-2</v>
      </c>
      <c r="J28816" s="26">
        <v>7.0000000000000001E-3</v>
      </c>
      <c r="K28816" s="26">
        <v>1.8E-3</v>
      </c>
      <c r="L28816" s="26">
        <v>1.4E-2</v>
      </c>
      <c r="M28816" s="26">
        <v>8.0000000000000004E-4</v>
      </c>
      <c r="N28816" s="26">
        <v>4.1000000000000003E-3</v>
      </c>
      <c r="P28816" s="26">
        <v>2.3E-3</v>
      </c>
      <c r="Q28816">
        <v>466</v>
      </c>
    </row>
    <row r="28817" spans="1:17" x14ac:dyDescent="0.35">
      <c r="A28817" t="s">
        <v>229</v>
      </c>
      <c r="B28817" t="s">
        <v>252</v>
      </c>
      <c r="C28817" s="26">
        <v>0.96650000000000003</v>
      </c>
      <c r="E28817" s="26">
        <v>2.9000000000000001E-2</v>
      </c>
      <c r="F28817" s="26">
        <v>3.8E-3</v>
      </c>
      <c r="H28817" s="26">
        <v>1.5E-3</v>
      </c>
      <c r="Q28817">
        <v>197</v>
      </c>
    </row>
    <row r="28818" spans="1:17" x14ac:dyDescent="0.35">
      <c r="A28818" t="s">
        <v>229</v>
      </c>
      <c r="B28818" t="s">
        <v>253</v>
      </c>
      <c r="C28818" s="26">
        <v>0.8871</v>
      </c>
      <c r="D28818" s="26">
        <v>1.9E-2</v>
      </c>
      <c r="E28818" s="26">
        <v>6.3100000000000003E-2</v>
      </c>
      <c r="F28818" s="26">
        <v>1.9400000000000001E-2</v>
      </c>
      <c r="G28818" s="26">
        <v>1.8100000000000002E-2</v>
      </c>
      <c r="H28818" s="26">
        <v>1.4999999999999999E-2</v>
      </c>
      <c r="I28818" s="26">
        <v>2.29E-2</v>
      </c>
      <c r="J28818" s="26">
        <v>3.5000000000000001E-3</v>
      </c>
      <c r="K28818" s="26">
        <v>1.7600000000000001E-2</v>
      </c>
      <c r="L28818" s="26">
        <v>3.1399999999999997E-2</v>
      </c>
      <c r="M28818" s="26">
        <v>1.5900000000000001E-2</v>
      </c>
      <c r="N28818" s="26">
        <v>3.5000000000000001E-3</v>
      </c>
      <c r="P28818" s="26">
        <v>3.5000000000000001E-3</v>
      </c>
      <c r="Q28818">
        <v>145</v>
      </c>
    </row>
    <row r="28819" spans="1:17" x14ac:dyDescent="0.35">
      <c r="A28819" t="s">
        <v>229</v>
      </c>
      <c r="B28819" t="s">
        <v>251</v>
      </c>
      <c r="C28819" s="26">
        <v>0.94289999999999996</v>
      </c>
      <c r="D28819" s="26">
        <v>1.0699999999999999E-2</v>
      </c>
      <c r="E28819" s="26">
        <v>1.23E-2</v>
      </c>
      <c r="F28819" s="26">
        <v>1.0200000000000001E-2</v>
      </c>
      <c r="G28819" s="26">
        <v>9.7000000000000003E-3</v>
      </c>
      <c r="H28819" s="26">
        <v>5.4000000000000003E-3</v>
      </c>
      <c r="I28819" s="26">
        <v>1.06E-2</v>
      </c>
      <c r="L28819" s="26">
        <v>6.9999999999999999E-4</v>
      </c>
      <c r="M28819" s="26">
        <v>2.0000000000000001E-4</v>
      </c>
      <c r="O28819" s="26">
        <v>1.1000000000000001E-3</v>
      </c>
      <c r="P28819" s="26">
        <v>5.9999999999999995E-4</v>
      </c>
      <c r="Q28819">
        <v>549</v>
      </c>
    </row>
    <row r="28820" spans="1:17" x14ac:dyDescent="0.35">
      <c r="A28820" t="s">
        <v>230</v>
      </c>
      <c r="B28820" t="s">
        <v>252</v>
      </c>
      <c r="C28820" s="26">
        <v>0.91269999999999996</v>
      </c>
      <c r="D28820" s="26">
        <v>3.5000000000000001E-3</v>
      </c>
      <c r="E28820" s="26">
        <v>2.1100000000000001E-2</v>
      </c>
      <c r="F28820" s="26">
        <v>1.26E-2</v>
      </c>
      <c r="G28820" s="26">
        <v>2.1100000000000001E-2</v>
      </c>
      <c r="H28820" s="26">
        <v>2.2100000000000002E-2</v>
      </c>
      <c r="J28820" s="26">
        <v>4.2099999999999999E-2</v>
      </c>
      <c r="L28820" s="26">
        <v>2.1100000000000001E-2</v>
      </c>
      <c r="P28820" s="26">
        <v>7.0000000000000001E-3</v>
      </c>
      <c r="Q28820">
        <v>158</v>
      </c>
    </row>
    <row r="28821" spans="1:17" x14ac:dyDescent="0.35">
      <c r="A28821" t="s">
        <v>230</v>
      </c>
      <c r="B28821" t="s">
        <v>253</v>
      </c>
      <c r="C28821" s="26">
        <v>0.97970000000000002</v>
      </c>
      <c r="E28821" s="26">
        <v>9.4999999999999998E-3</v>
      </c>
      <c r="F28821" s="26">
        <v>4.7000000000000002E-3</v>
      </c>
      <c r="H28821" s="26">
        <v>1.4E-3</v>
      </c>
      <c r="M28821" s="26">
        <v>9.4999999999999998E-3</v>
      </c>
      <c r="Q28821">
        <v>110</v>
      </c>
    </row>
    <row r="28822" spans="1:17" x14ac:dyDescent="0.35">
      <c r="A28822" t="s">
        <v>230</v>
      </c>
      <c r="B28822" t="s">
        <v>251</v>
      </c>
      <c r="C28822" s="26">
        <v>0.96819999999999995</v>
      </c>
      <c r="E28822" s="26">
        <v>9.7000000000000003E-3</v>
      </c>
      <c r="F28822" s="26">
        <v>3.3E-3</v>
      </c>
      <c r="H28822" s="26">
        <v>5.0000000000000001E-4</v>
      </c>
      <c r="I28822" s="26">
        <v>1.34E-2</v>
      </c>
      <c r="J28822" s="26">
        <v>5.0000000000000001E-4</v>
      </c>
      <c r="K28822" s="26">
        <v>1.6000000000000001E-3</v>
      </c>
      <c r="L28822" s="26">
        <v>1.6000000000000001E-3</v>
      </c>
      <c r="M28822" s="26">
        <v>1.6000000000000001E-3</v>
      </c>
      <c r="N28822" s="26">
        <v>1.6000000000000001E-3</v>
      </c>
      <c r="P28822" s="26">
        <v>1.6000000000000001E-3</v>
      </c>
      <c r="Q28822">
        <v>290</v>
      </c>
    </row>
    <row r="28823" spans="1:17" x14ac:dyDescent="0.35">
      <c r="A28823" t="s">
        <v>231</v>
      </c>
      <c r="B28823" t="s">
        <v>252</v>
      </c>
      <c r="C28823" s="26">
        <v>0.91839999999999999</v>
      </c>
      <c r="D28823" s="26">
        <v>4.0800000000000003E-2</v>
      </c>
      <c r="F28823" s="26">
        <v>2.0400000000000001E-2</v>
      </c>
      <c r="G28823" s="26">
        <v>2.0400000000000001E-2</v>
      </c>
      <c r="J28823" s="26">
        <v>2.0400000000000001E-2</v>
      </c>
      <c r="Q28823">
        <v>49</v>
      </c>
    </row>
    <row r="28824" spans="1:17" x14ac:dyDescent="0.35">
      <c r="A28824" t="s">
        <v>231</v>
      </c>
      <c r="B28824" t="s">
        <v>253</v>
      </c>
      <c r="C28824" s="26">
        <v>0.86670000000000003</v>
      </c>
      <c r="D28824" s="26">
        <v>3.3300000000000003E-2</v>
      </c>
      <c r="H28824" s="26">
        <v>3.3300000000000003E-2</v>
      </c>
      <c r="K28824" s="26">
        <v>3.3300000000000003E-2</v>
      </c>
      <c r="M28824" s="26">
        <v>3.3300000000000003E-2</v>
      </c>
      <c r="O28824" s="26">
        <v>3.3300000000000003E-2</v>
      </c>
      <c r="Q28824">
        <v>30</v>
      </c>
    </row>
    <row r="28825" spans="1:17" x14ac:dyDescent="0.35">
      <c r="A28825" t="s">
        <v>231</v>
      </c>
      <c r="B28825" t="s">
        <v>251</v>
      </c>
      <c r="C28825" s="26">
        <v>0.9405</v>
      </c>
      <c r="D28825" s="26">
        <v>2.3800000000000002E-2</v>
      </c>
      <c r="F28825" s="26">
        <v>1.1900000000000001E-2</v>
      </c>
      <c r="K28825" s="26">
        <v>1.1900000000000001E-2</v>
      </c>
      <c r="N28825" s="26">
        <v>1.1900000000000001E-2</v>
      </c>
      <c r="Q28825">
        <v>84</v>
      </c>
    </row>
    <row r="28826" spans="1:17" x14ac:dyDescent="0.35">
      <c r="A28826" t="s">
        <v>232</v>
      </c>
      <c r="B28826" t="s">
        <v>232</v>
      </c>
      <c r="C28826" s="26">
        <v>0.93640000000000001</v>
      </c>
      <c r="D28826" s="26">
        <v>1.35E-2</v>
      </c>
      <c r="E28826" s="26">
        <v>1.09E-2</v>
      </c>
      <c r="F28826" s="26">
        <v>1.0500000000000001E-2</v>
      </c>
      <c r="G28826" s="26">
        <v>7.1000000000000004E-3</v>
      </c>
      <c r="H28826" s="26">
        <v>6.4000000000000003E-3</v>
      </c>
      <c r="I28826" s="26">
        <v>6.4000000000000003E-3</v>
      </c>
      <c r="J28826" s="26">
        <v>4.7000000000000002E-3</v>
      </c>
      <c r="K28826" s="26">
        <v>4.7000000000000002E-3</v>
      </c>
      <c r="L28826" s="26">
        <v>3.7000000000000002E-3</v>
      </c>
      <c r="M28826" s="26">
        <v>3.0999999999999999E-3</v>
      </c>
      <c r="N28826" s="26">
        <v>3.0000000000000001E-3</v>
      </c>
      <c r="O28826" s="26">
        <v>1.9E-3</v>
      </c>
      <c r="P28826" s="26">
        <v>1.6999999999999999E-3</v>
      </c>
      <c r="Q28826">
        <v>2802</v>
      </c>
    </row>
    <row r="28828" spans="1:17" x14ac:dyDescent="0.35">
      <c r="A28828" s="1" t="s">
        <v>2584</v>
      </c>
    </row>
    <row r="28829" spans="1:17" x14ac:dyDescent="0.35">
      <c r="A28829" t="s">
        <v>219</v>
      </c>
      <c r="B28829" t="s">
        <v>305</v>
      </c>
      <c r="C28829" t="s">
        <v>550</v>
      </c>
      <c r="D28829" t="s">
        <v>281</v>
      </c>
      <c r="E28829" t="s">
        <v>2571</v>
      </c>
      <c r="F28829" t="s">
        <v>2548</v>
      </c>
      <c r="G28829" t="s">
        <v>2572</v>
      </c>
      <c r="H28829" t="s">
        <v>2186</v>
      </c>
      <c r="I28829" t="s">
        <v>2551</v>
      </c>
      <c r="J28829" t="s">
        <v>2573</v>
      </c>
      <c r="K28829" t="s">
        <v>2574</v>
      </c>
      <c r="L28829" t="s">
        <v>2575</v>
      </c>
      <c r="M28829" t="s">
        <v>2576</v>
      </c>
      <c r="N28829" t="s">
        <v>2554</v>
      </c>
      <c r="O28829" t="s">
        <v>2577</v>
      </c>
      <c r="P28829" t="s">
        <v>286</v>
      </c>
      <c r="Q28829" t="s">
        <v>226</v>
      </c>
    </row>
    <row r="28830" spans="1:17" x14ac:dyDescent="0.35">
      <c r="A28830" t="s">
        <v>227</v>
      </c>
      <c r="B28830" t="s">
        <v>249</v>
      </c>
      <c r="C28830" s="26">
        <v>0.95450000000000002</v>
      </c>
      <c r="D28830" s="26">
        <v>2.2700000000000001E-2</v>
      </c>
      <c r="G28830" s="26">
        <v>2.2700000000000001E-2</v>
      </c>
      <c r="Q28830">
        <v>44</v>
      </c>
    </row>
    <row r="28831" spans="1:17" x14ac:dyDescent="0.35">
      <c r="A28831" t="s">
        <v>227</v>
      </c>
      <c r="B28831" t="s">
        <v>248</v>
      </c>
      <c r="C28831" s="26">
        <v>0.96579999999999999</v>
      </c>
      <c r="F28831" s="26">
        <v>1.7100000000000001E-2</v>
      </c>
      <c r="G28831" s="26">
        <v>8.5000000000000006E-3</v>
      </c>
      <c r="H28831" s="26">
        <v>8.5000000000000006E-3</v>
      </c>
      <c r="J28831" s="26">
        <v>8.5000000000000006E-3</v>
      </c>
      <c r="Q28831">
        <v>117</v>
      </c>
    </row>
    <row r="28832" spans="1:17" x14ac:dyDescent="0.35">
      <c r="A28832" t="s">
        <v>228</v>
      </c>
      <c r="B28832" t="s">
        <v>249</v>
      </c>
      <c r="C28832" s="26">
        <v>0.92669999999999997</v>
      </c>
      <c r="D28832" s="26">
        <v>1.8E-3</v>
      </c>
      <c r="E28832" s="26">
        <v>7.4000000000000003E-3</v>
      </c>
      <c r="F28832" s="26">
        <v>3.2000000000000002E-3</v>
      </c>
      <c r="H28832" s="26">
        <v>4.0000000000000001E-3</v>
      </c>
      <c r="I28832" s="26">
        <v>1.67E-2</v>
      </c>
      <c r="J28832" s="26">
        <v>1.1999999999999999E-3</v>
      </c>
      <c r="L28832" s="26">
        <v>2.2200000000000001E-2</v>
      </c>
      <c r="N28832" s="26">
        <v>1.4999999999999999E-2</v>
      </c>
      <c r="P28832" s="26">
        <v>1.8E-3</v>
      </c>
      <c r="Q28832">
        <v>274</v>
      </c>
    </row>
    <row r="28833" spans="1:17" x14ac:dyDescent="0.35">
      <c r="A28833" t="s">
        <v>228</v>
      </c>
      <c r="B28833" t="s">
        <v>248</v>
      </c>
      <c r="C28833" s="26">
        <v>0.92710000000000004</v>
      </c>
      <c r="D28833" s="26">
        <v>8.3000000000000001E-3</v>
      </c>
      <c r="E28833" s="26">
        <v>1.46E-2</v>
      </c>
      <c r="F28833" s="26">
        <v>1.0999999999999999E-2</v>
      </c>
      <c r="G28833" s="26">
        <v>3.0999999999999999E-3</v>
      </c>
      <c r="H28833" s="26">
        <v>8.3000000000000001E-3</v>
      </c>
      <c r="I28833" s="26">
        <v>1.2500000000000001E-2</v>
      </c>
      <c r="J28833" s="26">
        <v>5.4999999999999997E-3</v>
      </c>
      <c r="K28833" s="26">
        <v>2.5999999999999999E-3</v>
      </c>
      <c r="M28833" s="26">
        <v>1.6999999999999999E-3</v>
      </c>
      <c r="N28833" s="26">
        <v>1.1000000000000001E-3</v>
      </c>
      <c r="P28833" s="26">
        <v>8.0000000000000002E-3</v>
      </c>
      <c r="Q28833">
        <v>755</v>
      </c>
    </row>
    <row r="28834" spans="1:17" x14ac:dyDescent="0.35">
      <c r="A28834" t="s">
        <v>229</v>
      </c>
      <c r="B28834" t="s">
        <v>249</v>
      </c>
      <c r="C28834" s="26">
        <v>0.91910000000000003</v>
      </c>
      <c r="D28834" s="26">
        <v>9.4999999999999998E-3</v>
      </c>
      <c r="E28834" s="26">
        <v>2.18E-2</v>
      </c>
      <c r="F28834" s="26">
        <v>1.7399999999999999E-2</v>
      </c>
      <c r="G28834" s="26">
        <v>2.7400000000000001E-2</v>
      </c>
      <c r="H28834" s="26">
        <v>9.7000000000000003E-3</v>
      </c>
      <c r="I28834" s="26">
        <v>2.8199999999999999E-2</v>
      </c>
      <c r="K28834" s="26">
        <v>1.0200000000000001E-2</v>
      </c>
      <c r="L28834" s="26">
        <v>1.15E-2</v>
      </c>
      <c r="M28834" s="26">
        <v>9.1999999999999998E-3</v>
      </c>
      <c r="N28834" s="26">
        <v>2E-3</v>
      </c>
      <c r="Q28834">
        <v>258</v>
      </c>
    </row>
    <row r="28835" spans="1:17" x14ac:dyDescent="0.35">
      <c r="A28835" t="s">
        <v>229</v>
      </c>
      <c r="B28835" t="s">
        <v>248</v>
      </c>
      <c r="C28835" s="26">
        <v>0.94650000000000001</v>
      </c>
      <c r="D28835" s="26">
        <v>1.0200000000000001E-2</v>
      </c>
      <c r="E28835" s="26">
        <v>2.76E-2</v>
      </c>
      <c r="F28835" s="26">
        <v>7.1000000000000004E-3</v>
      </c>
      <c r="G28835" s="26">
        <v>2.9999999999999997E-4</v>
      </c>
      <c r="H28835" s="26">
        <v>4.7999999999999996E-3</v>
      </c>
      <c r="I28835" s="26">
        <v>2E-3</v>
      </c>
      <c r="J28835" s="26">
        <v>1E-3</v>
      </c>
      <c r="L28835" s="26">
        <v>3.8999999999999998E-3</v>
      </c>
      <c r="M28835" s="26">
        <v>1E-4</v>
      </c>
      <c r="O28835" s="26">
        <v>1E-3</v>
      </c>
      <c r="P28835" s="26">
        <v>1.5E-3</v>
      </c>
      <c r="Q28835">
        <v>633</v>
      </c>
    </row>
    <row r="28836" spans="1:17" x14ac:dyDescent="0.35">
      <c r="A28836" t="s">
        <v>230</v>
      </c>
      <c r="B28836" t="s">
        <v>249</v>
      </c>
      <c r="C28836" s="26">
        <v>0.95040000000000002</v>
      </c>
      <c r="E28836" s="26">
        <v>1.6E-2</v>
      </c>
      <c r="F28836" s="26">
        <v>2.5999999999999999E-3</v>
      </c>
      <c r="H28836" s="26">
        <v>1.6000000000000001E-3</v>
      </c>
      <c r="I28836" s="26">
        <v>2.1299999999999999E-2</v>
      </c>
      <c r="J28836" s="26">
        <v>8.0000000000000004E-4</v>
      </c>
      <c r="K28836" s="26">
        <v>2.5999999999999999E-3</v>
      </c>
      <c r="L28836" s="26">
        <v>2.5999999999999999E-3</v>
      </c>
      <c r="M28836" s="26">
        <v>2.5999999999999999E-3</v>
      </c>
      <c r="N28836" s="26">
        <v>2.7000000000000001E-3</v>
      </c>
      <c r="P28836" s="26">
        <v>2.7000000000000001E-3</v>
      </c>
      <c r="Q28836">
        <v>170</v>
      </c>
    </row>
    <row r="28837" spans="1:17" x14ac:dyDescent="0.35">
      <c r="A28837" t="s">
        <v>230</v>
      </c>
      <c r="B28837" t="s">
        <v>248</v>
      </c>
      <c r="C28837" s="26">
        <v>0.95909999999999995</v>
      </c>
      <c r="D28837" s="26">
        <v>1.2999999999999999E-3</v>
      </c>
      <c r="E28837" s="26">
        <v>1.0800000000000001E-2</v>
      </c>
      <c r="F28837" s="26">
        <v>7.6E-3</v>
      </c>
      <c r="G28837" s="26">
        <v>8.0999999999999996E-3</v>
      </c>
      <c r="H28837" s="26">
        <v>8.5000000000000006E-3</v>
      </c>
      <c r="I28837" s="26">
        <v>4.0000000000000002E-4</v>
      </c>
      <c r="J28837" s="26">
        <v>1.6199999999999999E-2</v>
      </c>
      <c r="L28837" s="26">
        <v>8.0999999999999996E-3</v>
      </c>
      <c r="M28837" s="26">
        <v>2.7000000000000001E-3</v>
      </c>
      <c r="P28837" s="26">
        <v>2.7000000000000001E-3</v>
      </c>
      <c r="Q28837">
        <v>388</v>
      </c>
    </row>
    <row r="28838" spans="1:17" x14ac:dyDescent="0.35">
      <c r="A28838" t="s">
        <v>231</v>
      </c>
      <c r="B28838" t="s">
        <v>249</v>
      </c>
      <c r="C28838" s="26">
        <v>0.94289999999999996</v>
      </c>
      <c r="D28838" s="26">
        <v>2.86E-2</v>
      </c>
      <c r="K28838" s="26">
        <v>2.86E-2</v>
      </c>
      <c r="Q28838">
        <v>35</v>
      </c>
    </row>
    <row r="28839" spans="1:17" x14ac:dyDescent="0.35">
      <c r="A28839" t="s">
        <v>231</v>
      </c>
      <c r="B28839" t="s">
        <v>248</v>
      </c>
      <c r="C28839" s="26">
        <v>0.91410000000000002</v>
      </c>
      <c r="D28839" s="26">
        <v>3.1199999999999999E-2</v>
      </c>
      <c r="F28839" s="26">
        <v>1.5599999999999999E-2</v>
      </c>
      <c r="G28839" s="26">
        <v>7.7999999999999996E-3</v>
      </c>
      <c r="H28839" s="26">
        <v>7.7999999999999996E-3</v>
      </c>
      <c r="J28839" s="26">
        <v>7.7999999999999996E-3</v>
      </c>
      <c r="K28839" s="26">
        <v>7.7999999999999996E-3</v>
      </c>
      <c r="M28839" s="26">
        <v>7.7999999999999996E-3</v>
      </c>
      <c r="N28839" s="26">
        <v>7.7999999999999996E-3</v>
      </c>
      <c r="O28839" s="26">
        <v>7.7999999999999996E-3</v>
      </c>
      <c r="Q28839">
        <v>128</v>
      </c>
    </row>
    <row r="28840" spans="1:17" x14ac:dyDescent="0.35">
      <c r="A28840" t="s">
        <v>232</v>
      </c>
      <c r="B28840" t="s">
        <v>232</v>
      </c>
      <c r="C28840" s="26">
        <v>0.93640000000000001</v>
      </c>
      <c r="D28840" s="26">
        <v>1.35E-2</v>
      </c>
      <c r="E28840" s="26">
        <v>1.09E-2</v>
      </c>
      <c r="F28840" s="26">
        <v>1.0500000000000001E-2</v>
      </c>
      <c r="G28840" s="26">
        <v>7.1000000000000004E-3</v>
      </c>
      <c r="H28840" s="26">
        <v>6.4000000000000003E-3</v>
      </c>
      <c r="I28840" s="26">
        <v>6.4000000000000003E-3</v>
      </c>
      <c r="J28840" s="26">
        <v>4.7000000000000002E-3</v>
      </c>
      <c r="K28840" s="26">
        <v>4.7000000000000002E-3</v>
      </c>
      <c r="L28840" s="26">
        <v>3.7000000000000002E-3</v>
      </c>
      <c r="M28840" s="26">
        <v>3.0999999999999999E-3</v>
      </c>
      <c r="N28840" s="26">
        <v>3.0000000000000001E-3</v>
      </c>
      <c r="O28840" s="26">
        <v>1.9E-3</v>
      </c>
      <c r="P28840" s="26">
        <v>1.6999999999999999E-3</v>
      </c>
      <c r="Q28840">
        <v>2802</v>
      </c>
    </row>
    <row r="28842" spans="1:17" x14ac:dyDescent="0.35">
      <c r="A28842" s="1" t="s">
        <v>2585</v>
      </c>
    </row>
    <row r="28843" spans="1:17" x14ac:dyDescent="0.35">
      <c r="A28843" t="s">
        <v>219</v>
      </c>
      <c r="B28843" t="s">
        <v>305</v>
      </c>
      <c r="C28843" t="s">
        <v>550</v>
      </c>
      <c r="D28843" t="s">
        <v>281</v>
      </c>
      <c r="E28843" t="s">
        <v>2571</v>
      </c>
      <c r="F28843" t="s">
        <v>2548</v>
      </c>
      <c r="G28843" t="s">
        <v>2572</v>
      </c>
      <c r="H28843" t="s">
        <v>2186</v>
      </c>
      <c r="I28843" t="s">
        <v>2551</v>
      </c>
      <c r="J28843" t="s">
        <v>2573</v>
      </c>
      <c r="K28843" t="s">
        <v>2574</v>
      </c>
      <c r="L28843" t="s">
        <v>2575</v>
      </c>
      <c r="M28843" t="s">
        <v>2576</v>
      </c>
      <c r="N28843" t="s">
        <v>2554</v>
      </c>
      <c r="O28843" t="s">
        <v>2577</v>
      </c>
      <c r="P28843" t="s">
        <v>286</v>
      </c>
      <c r="Q28843" t="s">
        <v>226</v>
      </c>
    </row>
    <row r="28844" spans="1:17" x14ac:dyDescent="0.35">
      <c r="A28844" s="27" t="s">
        <v>227</v>
      </c>
      <c r="B28844" s="27" t="s">
        <v>263</v>
      </c>
      <c r="C28844" s="28">
        <v>1</v>
      </c>
      <c r="D28844" s="29"/>
      <c r="E28844" s="29"/>
      <c r="F28844" s="29"/>
      <c r="G28844" s="29"/>
      <c r="H28844" s="29"/>
      <c r="I28844" s="29"/>
      <c r="J28844" s="29"/>
      <c r="K28844" s="29"/>
      <c r="L28844" s="29"/>
      <c r="M28844" s="29"/>
      <c r="N28844" s="29"/>
      <c r="O28844" s="29"/>
      <c r="P28844" s="29"/>
      <c r="Q28844" s="29" t="s">
        <v>315</v>
      </c>
    </row>
    <row r="28845" spans="1:17" x14ac:dyDescent="0.35">
      <c r="A28845" t="s">
        <v>227</v>
      </c>
      <c r="B28845" t="s">
        <v>261</v>
      </c>
      <c r="C28845" s="26">
        <v>0.96970000000000001</v>
      </c>
      <c r="F28845" s="26">
        <v>3.0300000000000001E-2</v>
      </c>
      <c r="Q28845">
        <v>33</v>
      </c>
    </row>
    <row r="28846" spans="1:17" x14ac:dyDescent="0.35">
      <c r="A28846" s="27" t="s">
        <v>227</v>
      </c>
      <c r="B28846" s="27" t="s">
        <v>262</v>
      </c>
      <c r="C28846" s="28">
        <v>1</v>
      </c>
      <c r="D28846" s="29"/>
      <c r="E28846" s="29"/>
      <c r="F28846" s="29"/>
      <c r="G28846" s="29"/>
      <c r="H28846" s="29"/>
      <c r="I28846" s="29"/>
      <c r="J28846" s="29"/>
      <c r="K28846" s="29"/>
      <c r="L28846" s="29"/>
      <c r="M28846" s="29"/>
      <c r="N28846" s="29"/>
      <c r="O28846" s="29"/>
      <c r="P28846" s="29"/>
      <c r="Q28846" s="29" t="s">
        <v>315</v>
      </c>
    </row>
    <row r="28847" spans="1:17" x14ac:dyDescent="0.35">
      <c r="A28847" t="s">
        <v>227</v>
      </c>
      <c r="B28847" t="s">
        <v>260</v>
      </c>
      <c r="C28847" s="26">
        <v>0.95899999999999996</v>
      </c>
      <c r="D28847" s="26">
        <v>8.2000000000000007E-3</v>
      </c>
      <c r="F28847" s="26">
        <v>8.2000000000000007E-3</v>
      </c>
      <c r="G28847" s="26">
        <v>1.6400000000000001E-2</v>
      </c>
      <c r="H28847" s="26">
        <v>8.2000000000000007E-3</v>
      </c>
      <c r="J28847" s="26">
        <v>8.2000000000000007E-3</v>
      </c>
      <c r="Q28847">
        <v>122</v>
      </c>
    </row>
    <row r="28848" spans="1:17" x14ac:dyDescent="0.35">
      <c r="A28848" t="s">
        <v>228</v>
      </c>
      <c r="B28848" t="s">
        <v>261</v>
      </c>
      <c r="C28848" s="26">
        <v>0.87770000000000004</v>
      </c>
      <c r="D28848" s="26">
        <v>1.8200000000000001E-2</v>
      </c>
      <c r="E28848" s="26">
        <v>2.5000000000000001E-3</v>
      </c>
      <c r="F28848" s="26">
        <v>1.95E-2</v>
      </c>
      <c r="H28848" s="26">
        <v>2.1299999999999999E-2</v>
      </c>
      <c r="I28848" s="26">
        <v>3.8800000000000001E-2</v>
      </c>
      <c r="J28848" s="26">
        <v>1.8E-3</v>
      </c>
      <c r="M28848" s="26">
        <v>1.8E-3</v>
      </c>
      <c r="P28848" s="26">
        <v>1.95E-2</v>
      </c>
      <c r="Q28848">
        <v>192</v>
      </c>
    </row>
    <row r="28849" spans="1:17" x14ac:dyDescent="0.35">
      <c r="A28849" s="27" t="s">
        <v>228</v>
      </c>
      <c r="B28849" s="27" t="s">
        <v>263</v>
      </c>
      <c r="C28849" s="28">
        <v>0.9577</v>
      </c>
      <c r="D28849" s="29"/>
      <c r="E28849" s="28">
        <v>1.2999999999999999E-2</v>
      </c>
      <c r="F28849" s="29"/>
      <c r="G28849" s="28">
        <v>2.93E-2</v>
      </c>
      <c r="H28849" s="29"/>
      <c r="I28849" s="29"/>
      <c r="J28849" s="28">
        <v>2.93E-2</v>
      </c>
      <c r="K28849" s="28">
        <v>2.93E-2</v>
      </c>
      <c r="L28849" s="29"/>
      <c r="M28849" s="29"/>
      <c r="N28849" s="29"/>
      <c r="O28849" s="29"/>
      <c r="P28849" s="29"/>
      <c r="Q28849" s="29" t="s">
        <v>312</v>
      </c>
    </row>
    <row r="28850" spans="1:17" x14ac:dyDescent="0.35">
      <c r="A28850" s="27" t="s">
        <v>228</v>
      </c>
      <c r="B28850" s="27" t="s">
        <v>236</v>
      </c>
      <c r="C28850" s="28">
        <v>0.86629999999999996</v>
      </c>
      <c r="D28850" s="29"/>
      <c r="E28850" s="29"/>
      <c r="F28850" s="29"/>
      <c r="G28850" s="29"/>
      <c r="H28850" s="29"/>
      <c r="I28850" s="28">
        <v>0.13370000000000001</v>
      </c>
      <c r="J28850" s="29"/>
      <c r="K28850" s="29"/>
      <c r="L28850" s="29"/>
      <c r="M28850" s="29"/>
      <c r="N28850" s="29"/>
      <c r="O28850" s="29"/>
      <c r="P28850" s="29"/>
      <c r="Q28850" s="29" t="s">
        <v>335</v>
      </c>
    </row>
    <row r="28851" spans="1:17" x14ac:dyDescent="0.35">
      <c r="A28851" t="s">
        <v>228</v>
      </c>
      <c r="B28851" t="s">
        <v>262</v>
      </c>
      <c r="C28851" s="26">
        <v>0.91320000000000001</v>
      </c>
      <c r="D28851" s="26">
        <v>3.3E-3</v>
      </c>
      <c r="E28851" s="26">
        <v>1.95E-2</v>
      </c>
      <c r="F28851" s="26">
        <v>5.7999999999999996E-3</v>
      </c>
      <c r="H28851" s="26">
        <v>1.21E-2</v>
      </c>
      <c r="I28851" s="26">
        <v>5.0000000000000001E-3</v>
      </c>
      <c r="K28851" s="26">
        <v>5.0000000000000001E-3</v>
      </c>
      <c r="L28851" s="26">
        <v>0.02</v>
      </c>
      <c r="N28851" s="26">
        <v>1.03E-2</v>
      </c>
      <c r="P28851" s="26">
        <v>5.7999999999999996E-3</v>
      </c>
      <c r="Q28851">
        <v>201</v>
      </c>
    </row>
    <row r="28852" spans="1:17" x14ac:dyDescent="0.35">
      <c r="A28852" t="s">
        <v>228</v>
      </c>
      <c r="B28852" t="s">
        <v>260</v>
      </c>
      <c r="C28852" s="26">
        <v>0.94610000000000005</v>
      </c>
      <c r="D28852" s="26">
        <v>3.7000000000000002E-3</v>
      </c>
      <c r="E28852" s="26">
        <v>1.38E-2</v>
      </c>
      <c r="F28852" s="26">
        <v>6.4000000000000003E-3</v>
      </c>
      <c r="G28852" s="26">
        <v>2.5999999999999999E-3</v>
      </c>
      <c r="H28852" s="26">
        <v>1.4E-3</v>
      </c>
      <c r="I28852" s="26">
        <v>7.3000000000000001E-3</v>
      </c>
      <c r="J28852" s="26">
        <v>5.4000000000000003E-3</v>
      </c>
      <c r="K28852" s="26">
        <v>6.9999999999999999E-4</v>
      </c>
      <c r="L28852" s="26">
        <v>5.4000000000000003E-3</v>
      </c>
      <c r="M28852" s="26">
        <v>1.4E-3</v>
      </c>
      <c r="N28852" s="26">
        <v>5.7999999999999996E-3</v>
      </c>
      <c r="P28852" s="26">
        <v>2.3E-3</v>
      </c>
      <c r="Q28852">
        <v>605</v>
      </c>
    </row>
    <row r="28853" spans="1:17" x14ac:dyDescent="0.35">
      <c r="A28853" s="27" t="s">
        <v>229</v>
      </c>
      <c r="B28853" s="27" t="s">
        <v>263</v>
      </c>
      <c r="C28853" s="28">
        <v>1</v>
      </c>
      <c r="D28853" s="29"/>
      <c r="E28853" s="29"/>
      <c r="F28853" s="29"/>
      <c r="G28853" s="29"/>
      <c r="H28853" s="29"/>
      <c r="I28853" s="29"/>
      <c r="J28853" s="29"/>
      <c r="K28853" s="29"/>
      <c r="L28853" s="29"/>
      <c r="M28853" s="29"/>
      <c r="N28853" s="29"/>
      <c r="O28853" s="29"/>
      <c r="P28853" s="29"/>
      <c r="Q28853" s="29" t="s">
        <v>379</v>
      </c>
    </row>
    <row r="28854" spans="1:17" x14ac:dyDescent="0.35">
      <c r="A28854" t="s">
        <v>229</v>
      </c>
      <c r="B28854" t="s">
        <v>262</v>
      </c>
      <c r="C28854" s="26">
        <v>0.90349999999999997</v>
      </c>
      <c r="D28854" s="26">
        <v>1.09E-2</v>
      </c>
      <c r="E28854" s="26">
        <v>1.9300000000000001E-2</v>
      </c>
      <c r="F28854" s="26">
        <v>9.1000000000000004E-3</v>
      </c>
      <c r="G28854" s="26">
        <v>1.9900000000000001E-2</v>
      </c>
      <c r="H28854" s="26">
        <v>2.1700000000000001E-2</v>
      </c>
      <c r="I28854" s="26">
        <v>2.35E-2</v>
      </c>
      <c r="L28854" s="26">
        <v>9.1000000000000004E-3</v>
      </c>
      <c r="P28854" s="26">
        <v>1.1999999999999999E-3</v>
      </c>
      <c r="Q28854">
        <v>187</v>
      </c>
    </row>
    <row r="28855" spans="1:17" x14ac:dyDescent="0.35">
      <c r="A28855" t="s">
        <v>229</v>
      </c>
      <c r="B28855" t="s">
        <v>261</v>
      </c>
      <c r="C28855" s="26">
        <v>0.89680000000000004</v>
      </c>
      <c r="D28855" s="26">
        <v>4.1500000000000002E-2</v>
      </c>
      <c r="E28855" s="26">
        <v>5.7200000000000001E-2</v>
      </c>
      <c r="N28855" s="26">
        <v>4.4999999999999997E-3</v>
      </c>
      <c r="Q28855">
        <v>96</v>
      </c>
    </row>
    <row r="28856" spans="1:17" x14ac:dyDescent="0.35">
      <c r="A28856" s="27" t="s">
        <v>229</v>
      </c>
      <c r="B28856" s="27" t="s">
        <v>236</v>
      </c>
      <c r="C28856" s="28">
        <v>1</v>
      </c>
      <c r="D28856" s="29"/>
      <c r="E28856" s="29"/>
      <c r="F28856" s="29"/>
      <c r="G28856" s="29"/>
      <c r="H28856" s="29"/>
      <c r="I28856" s="29"/>
      <c r="J28856" s="29"/>
      <c r="K28856" s="29"/>
      <c r="L28856" s="29"/>
      <c r="M28856" s="29"/>
      <c r="N28856" s="29"/>
      <c r="O28856" s="29"/>
      <c r="P28856" s="29"/>
      <c r="Q28856" s="29" t="s">
        <v>331</v>
      </c>
    </row>
    <row r="28857" spans="1:17" x14ac:dyDescent="0.35">
      <c r="A28857" t="s">
        <v>229</v>
      </c>
      <c r="B28857" t="s">
        <v>260</v>
      </c>
      <c r="C28857" s="26">
        <v>0.96350000000000002</v>
      </c>
      <c r="D28857" s="26">
        <v>1.2999999999999999E-3</v>
      </c>
      <c r="E28857" s="26">
        <v>2.12E-2</v>
      </c>
      <c r="F28857" s="26">
        <v>1.4500000000000001E-2</v>
      </c>
      <c r="G28857" s="26">
        <v>6.6E-3</v>
      </c>
      <c r="H28857" s="26">
        <v>5.9999999999999995E-4</v>
      </c>
      <c r="I28857" s="26">
        <v>7.3000000000000001E-3</v>
      </c>
      <c r="J28857" s="26">
        <v>1.1999999999999999E-3</v>
      </c>
      <c r="K28857" s="26">
        <v>6.1000000000000004E-3</v>
      </c>
      <c r="L28857" s="26">
        <v>7.0000000000000001E-3</v>
      </c>
      <c r="M28857" s="26">
        <v>5.7000000000000002E-3</v>
      </c>
      <c r="O28857" s="26">
        <v>1.1999999999999999E-3</v>
      </c>
      <c r="P28857" s="26">
        <v>1.1999999999999999E-3</v>
      </c>
      <c r="Q28857">
        <v>593</v>
      </c>
    </row>
    <row r="28858" spans="1:17" x14ac:dyDescent="0.35">
      <c r="A28858" s="27" t="s">
        <v>230</v>
      </c>
      <c r="B28858" s="27" t="s">
        <v>236</v>
      </c>
      <c r="C28858" s="28">
        <v>1</v>
      </c>
      <c r="D28858" s="29"/>
      <c r="E28858" s="29"/>
      <c r="F28858" s="29"/>
      <c r="G28858" s="29"/>
      <c r="H28858" s="29"/>
      <c r="I28858" s="29"/>
      <c r="J28858" s="29"/>
      <c r="K28858" s="29"/>
      <c r="L28858" s="29"/>
      <c r="M28858" s="29"/>
      <c r="N28858" s="29"/>
      <c r="O28858" s="29"/>
      <c r="P28858" s="29"/>
      <c r="Q28858" s="29" t="s">
        <v>337</v>
      </c>
    </row>
    <row r="28859" spans="1:17" x14ac:dyDescent="0.35">
      <c r="A28859" t="s">
        <v>230</v>
      </c>
      <c r="B28859" t="s">
        <v>262</v>
      </c>
      <c r="C28859" s="26">
        <v>0.96279999999999999</v>
      </c>
      <c r="D28859" s="26">
        <v>6.0000000000000001E-3</v>
      </c>
      <c r="F28859" s="26">
        <v>1.8E-3</v>
      </c>
      <c r="H28859" s="26">
        <v>3.7000000000000002E-3</v>
      </c>
      <c r="I28859" s="26">
        <v>1.37E-2</v>
      </c>
      <c r="J28859" s="26">
        <v>1.8E-3</v>
      </c>
      <c r="K28859" s="26">
        <v>6.0000000000000001E-3</v>
      </c>
      <c r="L28859" s="26">
        <v>6.0000000000000001E-3</v>
      </c>
      <c r="M28859" s="26">
        <v>6.0000000000000001E-3</v>
      </c>
      <c r="P28859" s="26">
        <v>6.1000000000000004E-3</v>
      </c>
      <c r="Q28859">
        <v>120</v>
      </c>
    </row>
    <row r="28860" spans="1:17" x14ac:dyDescent="0.35">
      <c r="A28860" t="s">
        <v>230</v>
      </c>
      <c r="B28860" t="s">
        <v>261</v>
      </c>
      <c r="C28860" s="26">
        <v>0.93940000000000001</v>
      </c>
      <c r="E28860" s="26">
        <v>4.0399999999999998E-2</v>
      </c>
      <c r="F28860" s="26">
        <v>1.35E-2</v>
      </c>
      <c r="N28860" s="26">
        <v>6.7999999999999996E-3</v>
      </c>
      <c r="Q28860">
        <v>57</v>
      </c>
    </row>
    <row r="28861" spans="1:17" x14ac:dyDescent="0.35">
      <c r="A28861" s="27" t="s">
        <v>230</v>
      </c>
      <c r="B28861" s="27" t="s">
        <v>263</v>
      </c>
      <c r="C28861" s="28">
        <v>0.98319999999999996</v>
      </c>
      <c r="D28861" s="29"/>
      <c r="E28861" s="29"/>
      <c r="F28861" s="29"/>
      <c r="G28861" s="29"/>
      <c r="H28861" s="28">
        <v>1.6799999999999999E-2</v>
      </c>
      <c r="I28861" s="29"/>
      <c r="J28861" s="29"/>
      <c r="K28861" s="29"/>
      <c r="L28861" s="29"/>
      <c r="M28861" s="29"/>
      <c r="N28861" s="29"/>
      <c r="O28861" s="29"/>
      <c r="P28861" s="29"/>
      <c r="Q28861" s="29" t="s">
        <v>312</v>
      </c>
    </row>
    <row r="28862" spans="1:17" x14ac:dyDescent="0.35">
      <c r="A28862" t="s">
        <v>230</v>
      </c>
      <c r="B28862" t="s">
        <v>260</v>
      </c>
      <c r="C28862" s="26">
        <v>0.95689999999999997</v>
      </c>
      <c r="E28862" s="26">
        <v>1.04E-2</v>
      </c>
      <c r="F28862" s="26">
        <v>5.5999999999999999E-3</v>
      </c>
      <c r="G28862" s="26">
        <v>7.7999999999999996E-3</v>
      </c>
      <c r="H28862" s="26">
        <v>7.7999999999999996E-3</v>
      </c>
      <c r="I28862" s="26">
        <v>7.7999999999999996E-3</v>
      </c>
      <c r="J28862" s="26">
        <v>1.55E-2</v>
      </c>
      <c r="L28862" s="26">
        <v>7.7999999999999996E-3</v>
      </c>
      <c r="M28862" s="26">
        <v>2.5999999999999999E-3</v>
      </c>
      <c r="P28862" s="26">
        <v>2.5999999999999999E-3</v>
      </c>
      <c r="Q28862">
        <v>352</v>
      </c>
    </row>
    <row r="28863" spans="1:17" x14ac:dyDescent="0.35">
      <c r="A28863" s="27" t="s">
        <v>231</v>
      </c>
      <c r="B28863" s="27" t="s">
        <v>263</v>
      </c>
      <c r="C28863" s="28">
        <v>1</v>
      </c>
      <c r="D28863" s="29"/>
      <c r="E28863" s="29"/>
      <c r="F28863" s="29"/>
      <c r="G28863" s="29"/>
      <c r="H28863" s="29"/>
      <c r="I28863" s="29"/>
      <c r="J28863" s="29"/>
      <c r="K28863" s="29"/>
      <c r="L28863" s="29"/>
      <c r="M28863" s="29"/>
      <c r="N28863" s="29"/>
      <c r="O28863" s="29"/>
      <c r="P28863" s="29"/>
      <c r="Q28863" s="29" t="s">
        <v>314</v>
      </c>
    </row>
    <row r="28864" spans="1:17" x14ac:dyDescent="0.35">
      <c r="A28864" t="s">
        <v>231</v>
      </c>
      <c r="B28864" t="s">
        <v>260</v>
      </c>
      <c r="C28864" s="26">
        <v>0.9113</v>
      </c>
      <c r="D28864" s="26">
        <v>3.2300000000000002E-2</v>
      </c>
      <c r="F28864" s="26">
        <v>1.61E-2</v>
      </c>
      <c r="G28864" s="26">
        <v>8.0999999999999996E-3</v>
      </c>
      <c r="H28864" s="26">
        <v>8.0999999999999996E-3</v>
      </c>
      <c r="J28864" s="26">
        <v>8.0999999999999996E-3</v>
      </c>
      <c r="K28864" s="26">
        <v>1.61E-2</v>
      </c>
      <c r="N28864" s="26">
        <v>8.0999999999999996E-3</v>
      </c>
      <c r="Q28864">
        <v>124</v>
      </c>
    </row>
    <row r="28865" spans="1:17" x14ac:dyDescent="0.35">
      <c r="A28865" s="27" t="s">
        <v>231</v>
      </c>
      <c r="B28865" s="27" t="s">
        <v>261</v>
      </c>
      <c r="C28865" s="28">
        <v>0.92310000000000003</v>
      </c>
      <c r="D28865" s="28">
        <v>3.85E-2</v>
      </c>
      <c r="E28865" s="29"/>
      <c r="F28865" s="29"/>
      <c r="G28865" s="29"/>
      <c r="H28865" s="29"/>
      <c r="I28865" s="29"/>
      <c r="J28865" s="29"/>
      <c r="K28865" s="29"/>
      <c r="L28865" s="29"/>
      <c r="M28865" s="28">
        <v>3.85E-2</v>
      </c>
      <c r="N28865" s="29"/>
      <c r="O28865" s="28">
        <v>3.85E-2</v>
      </c>
      <c r="P28865" s="29"/>
      <c r="Q28865" s="29" t="s">
        <v>357</v>
      </c>
    </row>
    <row r="28866" spans="1:17" x14ac:dyDescent="0.35">
      <c r="A28866" s="27" t="s">
        <v>231</v>
      </c>
      <c r="B28866" s="27" t="s">
        <v>262</v>
      </c>
      <c r="C28866" s="28">
        <v>1</v>
      </c>
      <c r="D28866" s="29"/>
      <c r="E28866" s="29"/>
      <c r="F28866" s="29"/>
      <c r="G28866" s="29"/>
      <c r="H28866" s="29"/>
      <c r="I28866" s="29"/>
      <c r="J28866" s="29"/>
      <c r="K28866" s="29"/>
      <c r="L28866" s="29"/>
      <c r="M28866" s="29"/>
      <c r="N28866" s="29"/>
      <c r="O28866" s="29"/>
      <c r="P28866" s="29"/>
      <c r="Q28866" s="29" t="s">
        <v>352</v>
      </c>
    </row>
    <row r="28867" spans="1:17" x14ac:dyDescent="0.35">
      <c r="A28867" t="s">
        <v>232</v>
      </c>
      <c r="B28867" t="s">
        <v>232</v>
      </c>
      <c r="C28867" s="26">
        <v>0.93640000000000001</v>
      </c>
      <c r="D28867" s="26">
        <v>1.35E-2</v>
      </c>
      <c r="E28867" s="26">
        <v>1.09E-2</v>
      </c>
      <c r="F28867" s="26">
        <v>1.0500000000000001E-2</v>
      </c>
      <c r="G28867" s="26">
        <v>7.1000000000000004E-3</v>
      </c>
      <c r="H28867" s="26">
        <v>6.4000000000000003E-3</v>
      </c>
      <c r="I28867" s="26">
        <v>6.4000000000000003E-3</v>
      </c>
      <c r="J28867" s="26">
        <v>4.7000000000000002E-3</v>
      </c>
      <c r="K28867" s="26">
        <v>4.7000000000000002E-3</v>
      </c>
      <c r="L28867" s="26">
        <v>3.7000000000000002E-3</v>
      </c>
      <c r="M28867" s="26">
        <v>3.0999999999999999E-3</v>
      </c>
      <c r="N28867" s="26">
        <v>3.0000000000000001E-3</v>
      </c>
      <c r="O28867" s="26">
        <v>1.9E-3</v>
      </c>
      <c r="P28867" s="26">
        <v>1.6999999999999999E-3</v>
      </c>
      <c r="Q28867">
        <v>2802</v>
      </c>
    </row>
    <row r="28869" spans="1:17" x14ac:dyDescent="0.35">
      <c r="A28869" s="1" t="s">
        <v>2586</v>
      </c>
    </row>
    <row r="28870" spans="1:17" x14ac:dyDescent="0.35">
      <c r="A28870" t="s">
        <v>219</v>
      </c>
      <c r="B28870" t="s">
        <v>305</v>
      </c>
      <c r="C28870" t="s">
        <v>550</v>
      </c>
      <c r="D28870" t="s">
        <v>281</v>
      </c>
      <c r="E28870" t="s">
        <v>2571</v>
      </c>
      <c r="F28870" t="s">
        <v>2548</v>
      </c>
      <c r="G28870" t="s">
        <v>2572</v>
      </c>
      <c r="H28870" t="s">
        <v>2186</v>
      </c>
      <c r="I28870" t="s">
        <v>2551</v>
      </c>
      <c r="J28870" t="s">
        <v>2573</v>
      </c>
      <c r="K28870" t="s">
        <v>2574</v>
      </c>
      <c r="L28870" t="s">
        <v>2575</v>
      </c>
      <c r="M28870" t="s">
        <v>2576</v>
      </c>
      <c r="N28870" t="s">
        <v>2554</v>
      </c>
      <c r="O28870" t="s">
        <v>2577</v>
      </c>
      <c r="P28870" t="s">
        <v>286</v>
      </c>
      <c r="Q28870" t="s">
        <v>226</v>
      </c>
    </row>
    <row r="28871" spans="1:17" x14ac:dyDescent="0.35">
      <c r="A28871" t="s">
        <v>227</v>
      </c>
      <c r="B28871" t="s">
        <v>368</v>
      </c>
      <c r="C28871" s="26">
        <v>0.96970000000000001</v>
      </c>
      <c r="F28871" s="26">
        <v>3.0300000000000001E-2</v>
      </c>
      <c r="Q28871">
        <v>33</v>
      </c>
    </row>
    <row r="28872" spans="1:17" x14ac:dyDescent="0.35">
      <c r="A28872" t="s">
        <v>227</v>
      </c>
      <c r="B28872" t="s">
        <v>369</v>
      </c>
      <c r="C28872" s="26">
        <v>0.96089999999999998</v>
      </c>
      <c r="D28872" s="26">
        <v>7.7999999999999996E-3</v>
      </c>
      <c r="F28872" s="26">
        <v>7.7999999999999996E-3</v>
      </c>
      <c r="G28872" s="26">
        <v>1.5599999999999999E-2</v>
      </c>
      <c r="H28872" s="26">
        <v>7.7999999999999996E-3</v>
      </c>
      <c r="J28872" s="26">
        <v>7.7999999999999996E-3</v>
      </c>
      <c r="Q28872">
        <v>128</v>
      </c>
    </row>
    <row r="28873" spans="1:17" x14ac:dyDescent="0.35">
      <c r="A28873" t="s">
        <v>228</v>
      </c>
      <c r="B28873" t="s">
        <v>368</v>
      </c>
      <c r="C28873" s="26">
        <v>0.87770000000000004</v>
      </c>
      <c r="D28873" s="26">
        <v>1.8200000000000001E-2</v>
      </c>
      <c r="E28873" s="26">
        <v>2.5000000000000001E-3</v>
      </c>
      <c r="F28873" s="26">
        <v>1.95E-2</v>
      </c>
      <c r="H28873" s="26">
        <v>2.1299999999999999E-2</v>
      </c>
      <c r="I28873" s="26">
        <v>3.8800000000000001E-2</v>
      </c>
      <c r="J28873" s="26">
        <v>1.8E-3</v>
      </c>
      <c r="M28873" s="26">
        <v>1.8E-3</v>
      </c>
      <c r="P28873" s="26">
        <v>1.95E-2</v>
      </c>
      <c r="Q28873">
        <v>192</v>
      </c>
    </row>
    <row r="28874" spans="1:17" x14ac:dyDescent="0.35">
      <c r="A28874" t="s">
        <v>228</v>
      </c>
      <c r="B28874" t="s">
        <v>369</v>
      </c>
      <c r="C28874" s="26">
        <v>0.93889999999999996</v>
      </c>
      <c r="D28874" s="26">
        <v>3.5000000000000001E-3</v>
      </c>
      <c r="E28874" s="26">
        <v>1.4800000000000001E-2</v>
      </c>
      <c r="F28874" s="26">
        <v>6.0000000000000001E-3</v>
      </c>
      <c r="G28874" s="26">
        <v>2.7000000000000001E-3</v>
      </c>
      <c r="H28874" s="26">
        <v>3.5000000000000001E-3</v>
      </c>
      <c r="I28874" s="26">
        <v>7.7000000000000002E-3</v>
      </c>
      <c r="J28874" s="26">
        <v>4.7999999999999996E-3</v>
      </c>
      <c r="K28874" s="26">
        <v>2.2000000000000001E-3</v>
      </c>
      <c r="L28874" s="26">
        <v>8.3000000000000001E-3</v>
      </c>
      <c r="M28874" s="26">
        <v>1E-3</v>
      </c>
      <c r="N28874" s="26">
        <v>6.6E-3</v>
      </c>
      <c r="P28874" s="26">
        <v>2.8999999999999998E-3</v>
      </c>
      <c r="Q28874">
        <v>837</v>
      </c>
    </row>
    <row r="28875" spans="1:17" x14ac:dyDescent="0.35">
      <c r="A28875" t="s">
        <v>229</v>
      </c>
      <c r="B28875" t="s">
        <v>368</v>
      </c>
      <c r="C28875" s="26">
        <v>0.89680000000000004</v>
      </c>
      <c r="D28875" s="26">
        <v>4.1500000000000002E-2</v>
      </c>
      <c r="E28875" s="26">
        <v>5.7200000000000001E-2</v>
      </c>
      <c r="N28875" s="26">
        <v>4.4999999999999997E-3</v>
      </c>
      <c r="Q28875">
        <v>96</v>
      </c>
    </row>
    <row r="28876" spans="1:17" x14ac:dyDescent="0.35">
      <c r="A28876" t="s">
        <v>229</v>
      </c>
      <c r="B28876" t="s">
        <v>369</v>
      </c>
      <c r="C28876" s="26">
        <v>0.94469999999999998</v>
      </c>
      <c r="D28876" s="26">
        <v>4.4000000000000003E-3</v>
      </c>
      <c r="E28876" s="26">
        <v>2.01E-2</v>
      </c>
      <c r="F28876" s="26">
        <v>1.24E-2</v>
      </c>
      <c r="G28876" s="26">
        <v>1.0800000000000001E-2</v>
      </c>
      <c r="H28876" s="26">
        <v>7.4999999999999997E-3</v>
      </c>
      <c r="I28876" s="26">
        <v>1.2500000000000001E-2</v>
      </c>
      <c r="J28876" s="26">
        <v>8.0000000000000004E-4</v>
      </c>
      <c r="K28876" s="26">
        <v>3.8999999999999998E-3</v>
      </c>
      <c r="L28876" s="26">
        <v>7.4999999999999997E-3</v>
      </c>
      <c r="M28876" s="26">
        <v>3.7000000000000002E-3</v>
      </c>
      <c r="O28876" s="26">
        <v>8.0000000000000004E-4</v>
      </c>
      <c r="P28876" s="26">
        <v>1.1999999999999999E-3</v>
      </c>
      <c r="Q28876">
        <v>795</v>
      </c>
    </row>
    <row r="28877" spans="1:17" x14ac:dyDescent="0.35">
      <c r="A28877" t="s">
        <v>230</v>
      </c>
      <c r="B28877" t="s">
        <v>368</v>
      </c>
      <c r="C28877" s="26">
        <v>0.93940000000000001</v>
      </c>
      <c r="E28877" s="26">
        <v>4.0399999999999998E-2</v>
      </c>
      <c r="F28877" s="26">
        <v>1.35E-2</v>
      </c>
      <c r="N28877" s="26">
        <v>6.7999999999999996E-3</v>
      </c>
      <c r="Q28877">
        <v>57</v>
      </c>
    </row>
    <row r="28878" spans="1:17" x14ac:dyDescent="0.35">
      <c r="A28878" t="s">
        <v>230</v>
      </c>
      <c r="B28878" t="s">
        <v>369</v>
      </c>
      <c r="C28878" s="26">
        <v>0.95879999999999999</v>
      </c>
      <c r="D28878" s="26">
        <v>1E-3</v>
      </c>
      <c r="E28878" s="26">
        <v>8.3000000000000001E-3</v>
      </c>
      <c r="F28878" s="26">
        <v>4.7999999999999996E-3</v>
      </c>
      <c r="G28878" s="26">
        <v>6.1999999999999998E-3</v>
      </c>
      <c r="H28878" s="26">
        <v>7.1999999999999998E-3</v>
      </c>
      <c r="I28878" s="26">
        <v>8.6E-3</v>
      </c>
      <c r="J28878" s="26">
        <v>1.2800000000000001E-2</v>
      </c>
      <c r="K28878" s="26">
        <v>1E-3</v>
      </c>
      <c r="L28878" s="26">
        <v>7.1999999999999998E-3</v>
      </c>
      <c r="M28878" s="26">
        <v>3.0999999999999999E-3</v>
      </c>
      <c r="P28878" s="26">
        <v>3.0999999999999999E-3</v>
      </c>
      <c r="Q28878">
        <v>501</v>
      </c>
    </row>
    <row r="28879" spans="1:17" x14ac:dyDescent="0.35">
      <c r="A28879" s="27" t="s">
        <v>231</v>
      </c>
      <c r="B28879" s="27" t="s">
        <v>368</v>
      </c>
      <c r="C28879" s="28">
        <v>0.92310000000000003</v>
      </c>
      <c r="D28879" s="28">
        <v>3.85E-2</v>
      </c>
      <c r="E28879" s="29"/>
      <c r="F28879" s="29"/>
      <c r="G28879" s="29"/>
      <c r="H28879" s="29"/>
      <c r="I28879" s="29"/>
      <c r="J28879" s="29"/>
      <c r="K28879" s="29"/>
      <c r="L28879" s="29"/>
      <c r="M28879" s="28">
        <v>3.85E-2</v>
      </c>
      <c r="N28879" s="29"/>
      <c r="O28879" s="28">
        <v>3.85E-2</v>
      </c>
      <c r="P28879" s="29"/>
      <c r="Q28879" s="29" t="s">
        <v>357</v>
      </c>
    </row>
    <row r="28880" spans="1:17" x14ac:dyDescent="0.35">
      <c r="A28880" t="s">
        <v>231</v>
      </c>
      <c r="B28880" t="s">
        <v>369</v>
      </c>
      <c r="C28880" s="26">
        <v>0.91969999999999996</v>
      </c>
      <c r="D28880" s="26">
        <v>2.92E-2</v>
      </c>
      <c r="F28880" s="26">
        <v>1.46E-2</v>
      </c>
      <c r="G28880" s="26">
        <v>7.3000000000000001E-3</v>
      </c>
      <c r="H28880" s="26">
        <v>7.3000000000000001E-3</v>
      </c>
      <c r="J28880" s="26">
        <v>7.3000000000000001E-3</v>
      </c>
      <c r="K28880" s="26">
        <v>1.46E-2</v>
      </c>
      <c r="N28880" s="26">
        <v>7.3000000000000001E-3</v>
      </c>
      <c r="Q28880">
        <v>137</v>
      </c>
    </row>
    <row r="28881" spans="1:17" x14ac:dyDescent="0.35">
      <c r="A28881" t="s">
        <v>232</v>
      </c>
      <c r="B28881" t="s">
        <v>232</v>
      </c>
      <c r="C28881" s="26">
        <v>0.93640000000000001</v>
      </c>
      <c r="D28881" s="26">
        <v>1.35E-2</v>
      </c>
      <c r="E28881" s="26">
        <v>1.09E-2</v>
      </c>
      <c r="F28881" s="26">
        <v>1.0500000000000001E-2</v>
      </c>
      <c r="G28881" s="26">
        <v>7.1000000000000004E-3</v>
      </c>
      <c r="H28881" s="26">
        <v>6.4000000000000003E-3</v>
      </c>
      <c r="I28881" s="26">
        <v>6.4000000000000003E-3</v>
      </c>
      <c r="J28881" s="26">
        <v>4.7000000000000002E-3</v>
      </c>
      <c r="K28881" s="26">
        <v>4.7000000000000002E-3</v>
      </c>
      <c r="L28881" s="26">
        <v>3.7000000000000002E-3</v>
      </c>
      <c r="M28881" s="26">
        <v>3.0999999999999999E-3</v>
      </c>
      <c r="N28881" s="26">
        <v>3.0000000000000001E-3</v>
      </c>
      <c r="O28881" s="26">
        <v>1.9E-3</v>
      </c>
      <c r="P28881" s="26">
        <v>1.6999999999999999E-3</v>
      </c>
      <c r="Q28881">
        <v>2802</v>
      </c>
    </row>
    <row r="28883" spans="1:17" x14ac:dyDescent="0.35">
      <c r="A28883" s="1" t="s">
        <v>2587</v>
      </c>
    </row>
    <row r="28884" spans="1:17" x14ac:dyDescent="0.35">
      <c r="A28884" t="s">
        <v>219</v>
      </c>
      <c r="B28884" t="s">
        <v>305</v>
      </c>
      <c r="C28884" t="s">
        <v>550</v>
      </c>
      <c r="D28884" t="s">
        <v>281</v>
      </c>
      <c r="E28884" t="s">
        <v>2571</v>
      </c>
      <c r="F28884" t="s">
        <v>2548</v>
      </c>
      <c r="G28884" t="s">
        <v>2572</v>
      </c>
      <c r="H28884" t="s">
        <v>2186</v>
      </c>
      <c r="I28884" t="s">
        <v>2551</v>
      </c>
      <c r="J28884" t="s">
        <v>2573</v>
      </c>
      <c r="K28884" t="s">
        <v>2574</v>
      </c>
      <c r="L28884" t="s">
        <v>2575</v>
      </c>
      <c r="M28884" t="s">
        <v>2576</v>
      </c>
      <c r="N28884" t="s">
        <v>2554</v>
      </c>
      <c r="O28884" t="s">
        <v>2577</v>
      </c>
      <c r="P28884" t="s">
        <v>286</v>
      </c>
      <c r="Q28884" t="s">
        <v>226</v>
      </c>
    </row>
    <row r="28885" spans="1:17" x14ac:dyDescent="0.35">
      <c r="A28885" t="s">
        <v>227</v>
      </c>
      <c r="B28885" t="s">
        <v>371</v>
      </c>
      <c r="C28885" s="26">
        <v>0.9627</v>
      </c>
      <c r="D28885" s="26">
        <v>6.1999999999999998E-3</v>
      </c>
      <c r="F28885" s="26">
        <v>1.24E-2</v>
      </c>
      <c r="G28885" s="26">
        <v>1.24E-2</v>
      </c>
      <c r="H28885" s="26">
        <v>6.1999999999999998E-3</v>
      </c>
      <c r="J28885" s="26">
        <v>6.1999999999999998E-3</v>
      </c>
      <c r="Q28885">
        <v>161</v>
      </c>
    </row>
    <row r="28886" spans="1:17" x14ac:dyDescent="0.35">
      <c r="A28886" t="s">
        <v>228</v>
      </c>
      <c r="B28886" t="s">
        <v>371</v>
      </c>
      <c r="C28886" s="26">
        <v>0.93210000000000004</v>
      </c>
      <c r="D28886" s="26">
        <v>8.0000000000000004E-4</v>
      </c>
      <c r="E28886" s="26">
        <v>8.0000000000000004E-4</v>
      </c>
      <c r="F28886" s="26">
        <v>7.0000000000000001E-3</v>
      </c>
      <c r="G28886" s="26">
        <v>6.9999999999999999E-4</v>
      </c>
      <c r="H28886" s="26">
        <v>7.0000000000000001E-3</v>
      </c>
      <c r="I28886" s="26">
        <v>1.9800000000000002E-2</v>
      </c>
      <c r="J28886" s="26">
        <v>7.0000000000000001E-3</v>
      </c>
      <c r="L28886" s="26">
        <v>1.2699999999999999E-2</v>
      </c>
      <c r="N28886" s="26">
        <v>6.4000000000000003E-3</v>
      </c>
      <c r="P28886" s="26">
        <v>6.4000000000000003E-3</v>
      </c>
      <c r="Q28886">
        <v>292</v>
      </c>
    </row>
    <row r="28887" spans="1:17" x14ac:dyDescent="0.35">
      <c r="A28887" t="s">
        <v>228</v>
      </c>
      <c r="B28887" t="s">
        <v>372</v>
      </c>
      <c r="C28887" s="26">
        <v>0.89470000000000005</v>
      </c>
      <c r="D28887" s="26">
        <v>1.8700000000000001E-2</v>
      </c>
      <c r="E28887" s="26">
        <v>3.95E-2</v>
      </c>
      <c r="F28887" s="26">
        <v>2.07E-2</v>
      </c>
      <c r="G28887" s="26">
        <v>6.4999999999999997E-3</v>
      </c>
      <c r="H28887" s="26">
        <v>5.7000000000000002E-3</v>
      </c>
      <c r="J28887" s="26">
        <v>6.4999999999999997E-3</v>
      </c>
      <c r="K28887" s="26">
        <v>6.4999999999999997E-3</v>
      </c>
      <c r="N28887" s="26">
        <v>9.2999999999999992E-3</v>
      </c>
      <c r="P28887" s="26">
        <v>1.4200000000000001E-2</v>
      </c>
      <c r="Q28887">
        <v>216</v>
      </c>
    </row>
    <row r="28888" spans="1:17" x14ac:dyDescent="0.35">
      <c r="A28888" t="s">
        <v>228</v>
      </c>
      <c r="B28888" t="s">
        <v>373</v>
      </c>
      <c r="C28888" s="26">
        <v>0.92720000000000002</v>
      </c>
      <c r="D28888" s="26">
        <v>1.11E-2</v>
      </c>
      <c r="E28888" s="26">
        <v>2.2100000000000002E-2</v>
      </c>
      <c r="F28888" s="26">
        <v>8.2000000000000007E-3</v>
      </c>
      <c r="G28888" s="26">
        <v>3.2000000000000002E-3</v>
      </c>
      <c r="H28888" s="26">
        <v>7.1999999999999998E-3</v>
      </c>
      <c r="I28888" s="26">
        <v>8.6E-3</v>
      </c>
      <c r="K28888" s="26">
        <v>3.2000000000000002E-3</v>
      </c>
      <c r="M28888" s="26">
        <v>3.0000000000000001E-3</v>
      </c>
      <c r="N28888" s="26">
        <v>3.0000000000000001E-3</v>
      </c>
      <c r="P28888" s="26">
        <v>4.1000000000000003E-3</v>
      </c>
      <c r="Q28888">
        <v>521</v>
      </c>
    </row>
    <row r="28889" spans="1:17" x14ac:dyDescent="0.35">
      <c r="A28889" t="s">
        <v>229</v>
      </c>
      <c r="B28889" t="s">
        <v>371</v>
      </c>
      <c r="C28889" s="26">
        <v>0.93810000000000004</v>
      </c>
      <c r="D28889" s="26">
        <v>1.03E-2</v>
      </c>
      <c r="E28889" s="26">
        <v>2.7E-2</v>
      </c>
      <c r="F28889" s="26">
        <v>1.0200000000000001E-2</v>
      </c>
      <c r="G28889" s="26">
        <v>9.4999999999999998E-3</v>
      </c>
      <c r="H28889" s="26">
        <v>5.4999999999999997E-3</v>
      </c>
      <c r="I28889" s="26">
        <v>1.0800000000000001E-2</v>
      </c>
      <c r="J28889" s="26">
        <v>6.9999999999999999E-4</v>
      </c>
      <c r="K28889" s="26">
        <v>3.3E-3</v>
      </c>
      <c r="L28889" s="26">
        <v>6.0000000000000001E-3</v>
      </c>
      <c r="M28889" s="26">
        <v>3.3E-3</v>
      </c>
      <c r="N28889" s="26">
        <v>6.9999999999999999E-4</v>
      </c>
      <c r="O28889" s="26">
        <v>6.9999999999999999E-4</v>
      </c>
      <c r="P28889" s="26">
        <v>6.9999999999999999E-4</v>
      </c>
      <c r="Q28889">
        <v>580</v>
      </c>
    </row>
    <row r="28890" spans="1:17" x14ac:dyDescent="0.35">
      <c r="A28890" t="s">
        <v>229</v>
      </c>
      <c r="B28890" t="s">
        <v>372</v>
      </c>
      <c r="C28890" s="26">
        <v>0.93510000000000004</v>
      </c>
      <c r="D28890" s="26">
        <v>6.6E-3</v>
      </c>
      <c r="E28890" s="26">
        <v>8.5000000000000006E-3</v>
      </c>
      <c r="F28890" s="26">
        <v>1.5100000000000001E-2</v>
      </c>
      <c r="G28890" s="26">
        <v>1.9E-3</v>
      </c>
      <c r="H28890" s="26">
        <v>1.32E-2</v>
      </c>
      <c r="I28890" s="26">
        <v>6.6E-3</v>
      </c>
      <c r="L28890" s="26">
        <v>1.04E-2</v>
      </c>
      <c r="M28890" s="26">
        <v>1.9E-3</v>
      </c>
      <c r="P28890" s="26">
        <v>6.6E-3</v>
      </c>
      <c r="Q28890">
        <v>221</v>
      </c>
    </row>
    <row r="28891" spans="1:17" x14ac:dyDescent="0.35">
      <c r="A28891" t="s">
        <v>229</v>
      </c>
      <c r="B28891" t="s">
        <v>373</v>
      </c>
      <c r="C28891" s="26">
        <v>0.92249999999999999</v>
      </c>
      <c r="D28891" s="26">
        <v>3.5999999999999999E-3</v>
      </c>
      <c r="E28891" s="26">
        <v>1.23E-2</v>
      </c>
      <c r="F28891" s="26">
        <v>1.23E-2</v>
      </c>
      <c r="G28891" s="26">
        <v>1.23E-2</v>
      </c>
      <c r="H28891" s="26">
        <v>2.47E-2</v>
      </c>
      <c r="I28891" s="26">
        <v>1.23E-2</v>
      </c>
      <c r="K28891" s="26">
        <v>1.23E-2</v>
      </c>
      <c r="L28891" s="26">
        <v>1.23E-2</v>
      </c>
      <c r="Q28891">
        <v>90</v>
      </c>
    </row>
    <row r="28892" spans="1:17" x14ac:dyDescent="0.35">
      <c r="A28892" t="s">
        <v>230</v>
      </c>
      <c r="B28892" t="s">
        <v>371</v>
      </c>
      <c r="C28892" s="26">
        <v>0.95909999999999995</v>
      </c>
      <c r="E28892" s="26">
        <v>1.43E-2</v>
      </c>
      <c r="F28892" s="26">
        <v>3.3E-3</v>
      </c>
      <c r="G28892" s="26">
        <v>6.6E-3</v>
      </c>
      <c r="H28892" s="26">
        <v>6.6E-3</v>
      </c>
      <c r="I28892" s="26">
        <v>6.6E-3</v>
      </c>
      <c r="J28892" s="26">
        <v>1.32E-2</v>
      </c>
      <c r="L28892" s="26">
        <v>6.6E-3</v>
      </c>
      <c r="M28892" s="26">
        <v>1.1000000000000001E-3</v>
      </c>
      <c r="N28892" s="26">
        <v>1.1000000000000001E-3</v>
      </c>
      <c r="P28892" s="26">
        <v>2.2000000000000001E-3</v>
      </c>
      <c r="Q28892">
        <v>261</v>
      </c>
    </row>
    <row r="28893" spans="1:17" x14ac:dyDescent="0.35">
      <c r="A28893" t="s">
        <v>230</v>
      </c>
      <c r="B28893" t="s">
        <v>372</v>
      </c>
      <c r="C28893" s="26">
        <v>0.95620000000000005</v>
      </c>
      <c r="F28893" s="26">
        <v>9.4999999999999998E-3</v>
      </c>
      <c r="H28893" s="26">
        <v>1.4200000000000001E-2</v>
      </c>
      <c r="I28893" s="26">
        <v>4.7000000000000002E-3</v>
      </c>
      <c r="J28893" s="26">
        <v>4.7000000000000002E-3</v>
      </c>
      <c r="M28893" s="26">
        <v>1.54E-2</v>
      </c>
      <c r="Q28893">
        <v>146</v>
      </c>
    </row>
    <row r="28894" spans="1:17" x14ac:dyDescent="0.35">
      <c r="A28894" t="s">
        <v>230</v>
      </c>
      <c r="B28894" t="s">
        <v>373</v>
      </c>
      <c r="C28894" s="26">
        <v>0.93730000000000002</v>
      </c>
      <c r="D28894" s="26">
        <v>7.0000000000000001E-3</v>
      </c>
      <c r="E28894" s="26">
        <v>7.0000000000000001E-3</v>
      </c>
      <c r="F28894" s="26">
        <v>2.0899999999999998E-2</v>
      </c>
      <c r="I28894" s="26">
        <v>1.3899999999999999E-2</v>
      </c>
      <c r="K28894" s="26">
        <v>7.0000000000000001E-3</v>
      </c>
      <c r="L28894" s="26">
        <v>7.0000000000000001E-3</v>
      </c>
      <c r="M28894" s="26">
        <v>7.0000000000000001E-3</v>
      </c>
      <c r="P28894" s="26">
        <v>7.0000000000000001E-3</v>
      </c>
      <c r="Q28894">
        <v>151</v>
      </c>
    </row>
    <row r="28895" spans="1:17" x14ac:dyDescent="0.35">
      <c r="A28895" t="s">
        <v>231</v>
      </c>
      <c r="B28895" t="s">
        <v>371</v>
      </c>
      <c r="C28895" s="26">
        <v>0.92020000000000002</v>
      </c>
      <c r="D28895" s="26">
        <v>3.0700000000000002E-2</v>
      </c>
      <c r="F28895" s="26">
        <v>1.23E-2</v>
      </c>
      <c r="G28895" s="26">
        <v>6.1000000000000004E-3</v>
      </c>
      <c r="H28895" s="26">
        <v>6.1000000000000004E-3</v>
      </c>
      <c r="J28895" s="26">
        <v>6.1000000000000004E-3</v>
      </c>
      <c r="K28895" s="26">
        <v>1.23E-2</v>
      </c>
      <c r="M28895" s="26">
        <v>6.1000000000000004E-3</v>
      </c>
      <c r="N28895" s="26">
        <v>6.1000000000000004E-3</v>
      </c>
      <c r="O28895" s="26">
        <v>6.1000000000000004E-3</v>
      </c>
      <c r="Q28895">
        <v>163</v>
      </c>
    </row>
    <row r="28896" spans="1:17" x14ac:dyDescent="0.35">
      <c r="A28896" t="s">
        <v>232</v>
      </c>
      <c r="B28896" t="s">
        <v>232</v>
      </c>
      <c r="C28896" s="26">
        <v>0.93640000000000001</v>
      </c>
      <c r="D28896" s="26">
        <v>1.35E-2</v>
      </c>
      <c r="E28896" s="26">
        <v>1.09E-2</v>
      </c>
      <c r="F28896" s="26">
        <v>1.0500000000000001E-2</v>
      </c>
      <c r="G28896" s="26">
        <v>7.1000000000000004E-3</v>
      </c>
      <c r="H28896" s="26">
        <v>6.4000000000000003E-3</v>
      </c>
      <c r="I28896" s="26">
        <v>6.4000000000000003E-3</v>
      </c>
      <c r="J28896" s="26">
        <v>4.7000000000000002E-3</v>
      </c>
      <c r="K28896" s="26">
        <v>4.7000000000000002E-3</v>
      </c>
      <c r="L28896" s="26">
        <v>3.7000000000000002E-3</v>
      </c>
      <c r="M28896" s="26">
        <v>3.0999999999999999E-3</v>
      </c>
      <c r="N28896" s="26">
        <v>3.0000000000000001E-3</v>
      </c>
      <c r="O28896" s="26">
        <v>1.9E-3</v>
      </c>
      <c r="P28896" s="26">
        <v>1.6999999999999999E-3</v>
      </c>
      <c r="Q28896">
        <v>2802</v>
      </c>
    </row>
    <row r="28898" spans="1:17" x14ac:dyDescent="0.35">
      <c r="A28898" s="1" t="s">
        <v>2588</v>
      </c>
    </row>
    <row r="28899" spans="1:17" x14ac:dyDescent="0.35">
      <c r="A28899" t="s">
        <v>219</v>
      </c>
      <c r="B28899" t="s">
        <v>305</v>
      </c>
      <c r="C28899" t="s">
        <v>550</v>
      </c>
      <c r="D28899" t="s">
        <v>281</v>
      </c>
      <c r="E28899" t="s">
        <v>2571</v>
      </c>
      <c r="F28899" t="s">
        <v>2548</v>
      </c>
      <c r="G28899" t="s">
        <v>2572</v>
      </c>
      <c r="H28899" t="s">
        <v>2186</v>
      </c>
      <c r="I28899" t="s">
        <v>2551</v>
      </c>
      <c r="J28899" t="s">
        <v>2573</v>
      </c>
      <c r="K28899" t="s">
        <v>2574</v>
      </c>
      <c r="L28899" t="s">
        <v>2575</v>
      </c>
      <c r="M28899" t="s">
        <v>2576</v>
      </c>
      <c r="N28899" t="s">
        <v>2554</v>
      </c>
      <c r="O28899" t="s">
        <v>2577</v>
      </c>
      <c r="P28899" t="s">
        <v>286</v>
      </c>
      <c r="Q28899" t="s">
        <v>226</v>
      </c>
    </row>
    <row r="28900" spans="1:17" x14ac:dyDescent="0.35">
      <c r="A28900" t="s">
        <v>227</v>
      </c>
      <c r="B28900" t="s">
        <v>255</v>
      </c>
      <c r="C28900" s="26">
        <v>0.96579999999999999</v>
      </c>
      <c r="F28900" s="26">
        <v>1.7100000000000001E-2</v>
      </c>
      <c r="G28900" s="26">
        <v>8.5000000000000006E-3</v>
      </c>
      <c r="H28900" s="26">
        <v>8.5000000000000006E-3</v>
      </c>
      <c r="J28900" s="26">
        <v>8.5000000000000006E-3</v>
      </c>
      <c r="Q28900">
        <v>117</v>
      </c>
    </row>
    <row r="28901" spans="1:17" x14ac:dyDescent="0.35">
      <c r="A28901" s="27" t="s">
        <v>227</v>
      </c>
      <c r="B28901" s="27" t="s">
        <v>257</v>
      </c>
      <c r="C28901" s="28">
        <v>0.88890000000000002</v>
      </c>
      <c r="D28901" s="28">
        <v>0.1111</v>
      </c>
      <c r="E28901" s="29"/>
      <c r="F28901" s="29"/>
      <c r="G28901" s="29"/>
      <c r="H28901" s="29"/>
      <c r="I28901" s="29"/>
      <c r="J28901" s="29"/>
      <c r="K28901" s="29"/>
      <c r="L28901" s="29"/>
      <c r="M28901" s="29"/>
      <c r="N28901" s="29"/>
      <c r="O28901" s="29"/>
      <c r="P28901" s="29"/>
      <c r="Q28901" s="29" t="s">
        <v>334</v>
      </c>
    </row>
    <row r="28902" spans="1:17" x14ac:dyDescent="0.35">
      <c r="A28902" t="s">
        <v>227</v>
      </c>
      <c r="B28902" t="s">
        <v>256</v>
      </c>
      <c r="C28902" s="26">
        <v>0.97140000000000004</v>
      </c>
      <c r="G28902" s="26">
        <v>2.86E-2</v>
      </c>
      <c r="Q28902">
        <v>35</v>
      </c>
    </row>
    <row r="28903" spans="1:17" x14ac:dyDescent="0.35">
      <c r="A28903" t="s">
        <v>228</v>
      </c>
      <c r="B28903" t="s">
        <v>257</v>
      </c>
      <c r="C28903" s="26">
        <v>0.85229999999999995</v>
      </c>
      <c r="E28903" s="26">
        <v>2.7099999999999999E-2</v>
      </c>
      <c r="F28903" s="26">
        <v>1.84E-2</v>
      </c>
      <c r="I28903" s="26">
        <v>7.9699999999999993E-2</v>
      </c>
      <c r="N28903" s="26">
        <v>2.24E-2</v>
      </c>
      <c r="Q28903">
        <v>49</v>
      </c>
    </row>
    <row r="28904" spans="1:17" x14ac:dyDescent="0.35">
      <c r="A28904" s="27" t="s">
        <v>228</v>
      </c>
      <c r="B28904" s="27" t="s">
        <v>258</v>
      </c>
      <c r="C28904" s="28">
        <v>0.90190000000000003</v>
      </c>
      <c r="D28904" s="29"/>
      <c r="E28904" s="29"/>
      <c r="F28904" s="29"/>
      <c r="G28904" s="29"/>
      <c r="H28904" s="29"/>
      <c r="I28904" s="29"/>
      <c r="J28904" s="29"/>
      <c r="K28904" s="29"/>
      <c r="L28904" s="29"/>
      <c r="M28904" s="29"/>
      <c r="N28904" s="29"/>
      <c r="O28904" s="29"/>
      <c r="P28904" s="28">
        <v>9.8100000000000007E-2</v>
      </c>
      <c r="Q28904" s="29" t="s">
        <v>337</v>
      </c>
    </row>
    <row r="28905" spans="1:17" x14ac:dyDescent="0.35">
      <c r="A28905" t="s">
        <v>228</v>
      </c>
      <c r="B28905" t="s">
        <v>256</v>
      </c>
      <c r="C28905" s="26">
        <v>0.94330000000000003</v>
      </c>
      <c r="D28905" s="26">
        <v>2.3E-3</v>
      </c>
      <c r="E28905" s="26">
        <v>3.3E-3</v>
      </c>
      <c r="H28905" s="26">
        <v>4.8999999999999998E-3</v>
      </c>
      <c r="I28905" s="26">
        <v>3.3999999999999998E-3</v>
      </c>
      <c r="J28905" s="26">
        <v>1.5E-3</v>
      </c>
      <c r="L28905" s="26">
        <v>2.75E-2</v>
      </c>
      <c r="N28905" s="26">
        <v>1.38E-2</v>
      </c>
      <c r="Q28905">
        <v>221</v>
      </c>
    </row>
    <row r="28906" spans="1:17" x14ac:dyDescent="0.35">
      <c r="A28906" t="s">
        <v>228</v>
      </c>
      <c r="B28906" t="s">
        <v>255</v>
      </c>
      <c r="C28906" s="26">
        <v>0.92710000000000004</v>
      </c>
      <c r="D28906" s="26">
        <v>8.3000000000000001E-3</v>
      </c>
      <c r="E28906" s="26">
        <v>1.46E-2</v>
      </c>
      <c r="F28906" s="26">
        <v>1.0999999999999999E-2</v>
      </c>
      <c r="G28906" s="26">
        <v>3.0999999999999999E-3</v>
      </c>
      <c r="H28906" s="26">
        <v>8.3000000000000001E-3</v>
      </c>
      <c r="I28906" s="26">
        <v>1.2500000000000001E-2</v>
      </c>
      <c r="J28906" s="26">
        <v>5.4999999999999997E-3</v>
      </c>
      <c r="K28906" s="26">
        <v>2.5999999999999999E-3</v>
      </c>
      <c r="M28906" s="26">
        <v>1.6999999999999999E-3</v>
      </c>
      <c r="N28906" s="26">
        <v>1.1000000000000001E-3</v>
      </c>
      <c r="P28906" s="26">
        <v>8.0000000000000002E-3</v>
      </c>
      <c r="Q28906">
        <v>755</v>
      </c>
    </row>
    <row r="28907" spans="1:17" x14ac:dyDescent="0.35">
      <c r="A28907" t="s">
        <v>229</v>
      </c>
      <c r="B28907" t="s">
        <v>256</v>
      </c>
      <c r="C28907" s="26">
        <v>0.94159999999999999</v>
      </c>
      <c r="D28907" s="26">
        <v>1.14E-2</v>
      </c>
      <c r="E28907" s="26">
        <v>1.7000000000000001E-2</v>
      </c>
      <c r="F28907" s="26">
        <v>1.17E-2</v>
      </c>
      <c r="G28907" s="26">
        <v>1.26E-2</v>
      </c>
      <c r="H28907" s="26">
        <v>1.17E-2</v>
      </c>
      <c r="I28907" s="26">
        <v>2.46E-2</v>
      </c>
      <c r="K28907" s="26">
        <v>1.23E-2</v>
      </c>
      <c r="L28907" s="26">
        <v>1.38E-2</v>
      </c>
      <c r="M28907" s="26">
        <v>1.11E-2</v>
      </c>
      <c r="N28907" s="26">
        <v>2.5000000000000001E-3</v>
      </c>
      <c r="Q28907">
        <v>206</v>
      </c>
    </row>
    <row r="28908" spans="1:17" x14ac:dyDescent="0.35">
      <c r="A28908" t="s">
        <v>229</v>
      </c>
      <c r="B28908" t="s">
        <v>255</v>
      </c>
      <c r="C28908" s="26">
        <v>0.94650000000000001</v>
      </c>
      <c r="D28908" s="26">
        <v>1.0200000000000001E-2</v>
      </c>
      <c r="E28908" s="26">
        <v>2.76E-2</v>
      </c>
      <c r="F28908" s="26">
        <v>7.1000000000000004E-3</v>
      </c>
      <c r="G28908" s="26">
        <v>2.9999999999999997E-4</v>
      </c>
      <c r="H28908" s="26">
        <v>4.7999999999999996E-3</v>
      </c>
      <c r="I28908" s="26">
        <v>2E-3</v>
      </c>
      <c r="J28908" s="26">
        <v>1E-3</v>
      </c>
      <c r="L28908" s="26">
        <v>3.8999999999999998E-3</v>
      </c>
      <c r="M28908" s="26">
        <v>1E-4</v>
      </c>
      <c r="O28908" s="26">
        <v>1E-3</v>
      </c>
      <c r="P28908" s="26">
        <v>1.5E-3</v>
      </c>
      <c r="Q28908">
        <v>633</v>
      </c>
    </row>
    <row r="28909" spans="1:17" x14ac:dyDescent="0.35">
      <c r="A28909" t="s">
        <v>229</v>
      </c>
      <c r="B28909" t="s">
        <v>257</v>
      </c>
      <c r="C28909" s="26">
        <v>0.80569999999999997</v>
      </c>
      <c r="E28909" s="26">
        <v>4.6300000000000001E-2</v>
      </c>
      <c r="F28909" s="26">
        <v>4.6300000000000001E-2</v>
      </c>
      <c r="G28909" s="26">
        <v>0.1017</v>
      </c>
      <c r="I28909" s="26">
        <v>4.6300000000000001E-2</v>
      </c>
      <c r="Q28909">
        <v>50</v>
      </c>
    </row>
    <row r="28910" spans="1:17" x14ac:dyDescent="0.35">
      <c r="A28910" s="27" t="s">
        <v>229</v>
      </c>
      <c r="B28910" s="27" t="s">
        <v>258</v>
      </c>
      <c r="C28910" s="28">
        <v>1</v>
      </c>
      <c r="D28910" s="29"/>
      <c r="E28910" s="29"/>
      <c r="F28910" s="29"/>
      <c r="G28910" s="29"/>
      <c r="H28910" s="29"/>
      <c r="I28910" s="29"/>
      <c r="J28910" s="29"/>
      <c r="K28910" s="29"/>
      <c r="L28910" s="29"/>
      <c r="M28910" s="29"/>
      <c r="N28910" s="29"/>
      <c r="O28910" s="29"/>
      <c r="P28910" s="29"/>
      <c r="Q28910" s="29" t="s">
        <v>314</v>
      </c>
    </row>
    <row r="28911" spans="1:17" x14ac:dyDescent="0.35">
      <c r="A28911" t="s">
        <v>230</v>
      </c>
      <c r="B28911" t="s">
        <v>256</v>
      </c>
      <c r="C28911" s="26">
        <v>0.97030000000000005</v>
      </c>
      <c r="F28911" s="26">
        <v>3.3999999999999998E-3</v>
      </c>
      <c r="H28911" s="26">
        <v>2.0999999999999999E-3</v>
      </c>
      <c r="I28911" s="26">
        <v>2.0799999999999999E-2</v>
      </c>
      <c r="J28911" s="26">
        <v>1.1000000000000001E-3</v>
      </c>
      <c r="K28911" s="26">
        <v>3.3999999999999998E-3</v>
      </c>
      <c r="L28911" s="26">
        <v>3.3999999999999998E-3</v>
      </c>
      <c r="M28911" s="26">
        <v>3.3999999999999998E-3</v>
      </c>
      <c r="Q28911">
        <v>129</v>
      </c>
    </row>
    <row r="28912" spans="1:17" x14ac:dyDescent="0.35">
      <c r="A28912" t="s">
        <v>230</v>
      </c>
      <c r="B28912" t="s">
        <v>255</v>
      </c>
      <c r="C28912" s="26">
        <v>0.95909999999999995</v>
      </c>
      <c r="D28912" s="26">
        <v>1.2999999999999999E-3</v>
      </c>
      <c r="E28912" s="26">
        <v>1.0800000000000001E-2</v>
      </c>
      <c r="F28912" s="26">
        <v>7.6E-3</v>
      </c>
      <c r="G28912" s="26">
        <v>8.0999999999999996E-3</v>
      </c>
      <c r="H28912" s="26">
        <v>8.5000000000000006E-3</v>
      </c>
      <c r="I28912" s="26">
        <v>4.0000000000000002E-4</v>
      </c>
      <c r="J28912" s="26">
        <v>1.6199999999999999E-2</v>
      </c>
      <c r="L28912" s="26">
        <v>8.0999999999999996E-3</v>
      </c>
      <c r="M28912" s="26">
        <v>2.7000000000000001E-3</v>
      </c>
      <c r="P28912" s="26">
        <v>2.7000000000000001E-3</v>
      </c>
      <c r="Q28912">
        <v>388</v>
      </c>
    </row>
    <row r="28913" spans="1:17" x14ac:dyDescent="0.35">
      <c r="A28913" t="s">
        <v>230</v>
      </c>
      <c r="B28913" t="s">
        <v>257</v>
      </c>
      <c r="C28913" s="26">
        <v>0.87309999999999999</v>
      </c>
      <c r="E28913" s="26">
        <v>7.6100000000000001E-2</v>
      </c>
      <c r="I28913" s="26">
        <v>2.5100000000000001E-2</v>
      </c>
      <c r="N28913" s="26">
        <v>1.2800000000000001E-2</v>
      </c>
      <c r="P28913" s="26">
        <v>1.2800000000000001E-2</v>
      </c>
      <c r="Q28913">
        <v>38</v>
      </c>
    </row>
    <row r="28914" spans="1:17" x14ac:dyDescent="0.35">
      <c r="A28914" s="27" t="s">
        <v>230</v>
      </c>
      <c r="B28914" s="27" t="s">
        <v>258</v>
      </c>
      <c r="C28914" s="28">
        <v>1</v>
      </c>
      <c r="D28914" s="29"/>
      <c r="E28914" s="29"/>
      <c r="F28914" s="29"/>
      <c r="G28914" s="29"/>
      <c r="H28914" s="29"/>
      <c r="I28914" s="29"/>
      <c r="J28914" s="29"/>
      <c r="K28914" s="29"/>
      <c r="L28914" s="29"/>
      <c r="M28914" s="29"/>
      <c r="N28914" s="29"/>
      <c r="O28914" s="29"/>
      <c r="P28914" s="29"/>
      <c r="Q28914" s="29" t="s">
        <v>315</v>
      </c>
    </row>
    <row r="28915" spans="1:17" x14ac:dyDescent="0.35">
      <c r="A28915" s="27" t="s">
        <v>231</v>
      </c>
      <c r="B28915" s="27" t="s">
        <v>257</v>
      </c>
      <c r="C28915" s="28">
        <v>1</v>
      </c>
      <c r="D28915" s="29"/>
      <c r="E28915" s="29"/>
      <c r="F28915" s="29"/>
      <c r="G28915" s="29"/>
      <c r="H28915" s="29"/>
      <c r="I28915" s="29"/>
      <c r="J28915" s="29"/>
      <c r="K28915" s="29"/>
      <c r="L28915" s="29"/>
      <c r="M28915" s="29"/>
      <c r="N28915" s="29"/>
      <c r="O28915" s="29"/>
      <c r="P28915" s="29"/>
      <c r="Q28915" s="29" t="s">
        <v>339</v>
      </c>
    </row>
    <row r="28916" spans="1:17" x14ac:dyDescent="0.35">
      <c r="A28916" t="s">
        <v>231</v>
      </c>
      <c r="B28916" t="s">
        <v>255</v>
      </c>
      <c r="C28916" s="26">
        <v>0.91410000000000002</v>
      </c>
      <c r="D28916" s="26">
        <v>3.1199999999999999E-2</v>
      </c>
      <c r="F28916" s="26">
        <v>1.5599999999999999E-2</v>
      </c>
      <c r="G28916" s="26">
        <v>7.7999999999999996E-3</v>
      </c>
      <c r="H28916" s="26">
        <v>7.7999999999999996E-3</v>
      </c>
      <c r="J28916" s="26">
        <v>7.7999999999999996E-3</v>
      </c>
      <c r="K28916" s="26">
        <v>7.7999999999999996E-3</v>
      </c>
      <c r="M28916" s="26">
        <v>7.7999999999999996E-3</v>
      </c>
      <c r="N28916" s="26">
        <v>7.7999999999999996E-3</v>
      </c>
      <c r="O28916" s="26">
        <v>7.7999999999999996E-3</v>
      </c>
      <c r="Q28916">
        <v>128</v>
      </c>
    </row>
    <row r="28917" spans="1:17" x14ac:dyDescent="0.35">
      <c r="A28917" s="27" t="s">
        <v>231</v>
      </c>
      <c r="B28917" s="27" t="s">
        <v>256</v>
      </c>
      <c r="C28917" s="28">
        <v>0.92859999999999998</v>
      </c>
      <c r="D28917" s="28">
        <v>3.5700000000000003E-2</v>
      </c>
      <c r="E28917" s="29"/>
      <c r="F28917" s="29"/>
      <c r="G28917" s="29"/>
      <c r="H28917" s="29"/>
      <c r="I28917" s="29"/>
      <c r="J28917" s="29"/>
      <c r="K28917" s="28">
        <v>3.5700000000000003E-2</v>
      </c>
      <c r="L28917" s="29"/>
      <c r="M28917" s="29"/>
      <c r="N28917" s="29"/>
      <c r="O28917" s="29"/>
      <c r="P28917" s="29"/>
      <c r="Q28917" s="29" t="s">
        <v>336</v>
      </c>
    </row>
    <row r="28918" spans="1:17" x14ac:dyDescent="0.35">
      <c r="A28918" t="s">
        <v>232</v>
      </c>
      <c r="B28918" t="s">
        <v>232</v>
      </c>
      <c r="C28918" s="26">
        <v>0.93640000000000001</v>
      </c>
      <c r="D28918" s="26">
        <v>1.35E-2</v>
      </c>
      <c r="E28918" s="26">
        <v>1.09E-2</v>
      </c>
      <c r="F28918" s="26">
        <v>1.0500000000000001E-2</v>
      </c>
      <c r="G28918" s="26">
        <v>7.1000000000000004E-3</v>
      </c>
      <c r="H28918" s="26">
        <v>6.4000000000000003E-3</v>
      </c>
      <c r="I28918" s="26">
        <v>6.4000000000000003E-3</v>
      </c>
      <c r="J28918" s="26">
        <v>4.7000000000000002E-3</v>
      </c>
      <c r="K28918" s="26">
        <v>4.7000000000000002E-3</v>
      </c>
      <c r="L28918" s="26">
        <v>3.7000000000000002E-3</v>
      </c>
      <c r="M28918" s="26">
        <v>3.0999999999999999E-3</v>
      </c>
      <c r="N28918" s="26">
        <v>3.0000000000000001E-3</v>
      </c>
      <c r="O28918" s="26">
        <v>1.9E-3</v>
      </c>
      <c r="P28918" s="26">
        <v>1.6999999999999999E-3</v>
      </c>
      <c r="Q28918">
        <v>2802</v>
      </c>
    </row>
    <row r="28920" spans="1:17" x14ac:dyDescent="0.35">
      <c r="A28920" s="1" t="s">
        <v>2589</v>
      </c>
    </row>
    <row r="28921" spans="1:17" x14ac:dyDescent="0.35">
      <c r="A28921" t="s">
        <v>219</v>
      </c>
      <c r="B28921" t="s">
        <v>305</v>
      </c>
      <c r="C28921" t="s">
        <v>550</v>
      </c>
      <c r="D28921" t="s">
        <v>281</v>
      </c>
      <c r="E28921" t="s">
        <v>2571</v>
      </c>
      <c r="F28921" t="s">
        <v>2548</v>
      </c>
      <c r="G28921" t="s">
        <v>2572</v>
      </c>
      <c r="H28921" t="s">
        <v>2186</v>
      </c>
      <c r="I28921" t="s">
        <v>2551</v>
      </c>
      <c r="J28921" t="s">
        <v>2573</v>
      </c>
      <c r="K28921" t="s">
        <v>2574</v>
      </c>
      <c r="L28921" t="s">
        <v>2575</v>
      </c>
      <c r="M28921" t="s">
        <v>2576</v>
      </c>
      <c r="N28921" t="s">
        <v>2554</v>
      </c>
      <c r="O28921" t="s">
        <v>2577</v>
      </c>
      <c r="P28921" t="s">
        <v>286</v>
      </c>
      <c r="Q28921" t="s">
        <v>226</v>
      </c>
    </row>
    <row r="28922" spans="1:17" x14ac:dyDescent="0.35">
      <c r="A28922" t="s">
        <v>227</v>
      </c>
      <c r="B28922" t="s">
        <v>1341</v>
      </c>
      <c r="C28922" s="26">
        <v>0.95920000000000005</v>
      </c>
      <c r="F28922" s="26">
        <v>2.0400000000000001E-2</v>
      </c>
      <c r="G28922" s="26">
        <v>2.0400000000000001E-2</v>
      </c>
      <c r="H28922" s="26">
        <v>2.0400000000000001E-2</v>
      </c>
      <c r="Q28922">
        <v>49</v>
      </c>
    </row>
    <row r="28923" spans="1:17" x14ac:dyDescent="0.35">
      <c r="A28923" s="27" t="s">
        <v>227</v>
      </c>
      <c r="B28923" s="27" t="s">
        <v>1342</v>
      </c>
      <c r="C28923" s="28">
        <v>1</v>
      </c>
      <c r="D28923" s="29"/>
      <c r="E28923" s="29"/>
      <c r="F28923" s="29"/>
      <c r="G28923" s="29"/>
      <c r="H28923" s="29"/>
      <c r="I28923" s="29"/>
      <c r="J28923" s="29"/>
      <c r="K28923" s="29"/>
      <c r="L28923" s="29"/>
      <c r="M28923" s="29"/>
      <c r="N28923" s="29"/>
      <c r="O28923" s="29"/>
      <c r="P28923" s="29"/>
      <c r="Q28923" s="29" t="s">
        <v>331</v>
      </c>
    </row>
    <row r="28924" spans="1:17" x14ac:dyDescent="0.35">
      <c r="A28924" t="s">
        <v>227</v>
      </c>
      <c r="B28924" t="s">
        <v>1343</v>
      </c>
      <c r="C28924" s="26">
        <v>0.96399999999999997</v>
      </c>
      <c r="D28924" s="26">
        <v>8.9999999999999993E-3</v>
      </c>
      <c r="F28924" s="26">
        <v>8.9999999999999993E-3</v>
      </c>
      <c r="G28924" s="26">
        <v>8.9999999999999993E-3</v>
      </c>
      <c r="J28924" s="26">
        <v>8.9999999999999993E-3</v>
      </c>
      <c r="Q28924">
        <v>111</v>
      </c>
    </row>
    <row r="28925" spans="1:17" x14ac:dyDescent="0.35">
      <c r="A28925" t="s">
        <v>228</v>
      </c>
      <c r="B28925" t="s">
        <v>1341</v>
      </c>
      <c r="C28925" s="26">
        <v>0.92959999999999998</v>
      </c>
      <c r="D28925" s="26">
        <v>9.7999999999999997E-3</v>
      </c>
      <c r="E28925" s="26">
        <v>7.1999999999999998E-3</v>
      </c>
      <c r="F28925" s="26">
        <v>3.8999999999999998E-3</v>
      </c>
      <c r="G28925" s="26">
        <v>6.0000000000000001E-3</v>
      </c>
      <c r="H28925" s="26">
        <v>6.1000000000000004E-3</v>
      </c>
      <c r="I28925" s="26">
        <v>4.7000000000000002E-3</v>
      </c>
      <c r="J28925" s="26">
        <v>1.9E-3</v>
      </c>
      <c r="K28925" s="26">
        <v>4.7000000000000002E-3</v>
      </c>
      <c r="L28925" s="26">
        <v>1.14E-2</v>
      </c>
      <c r="N28925" s="26">
        <v>1.9E-3</v>
      </c>
      <c r="P28925" s="26">
        <v>1.78E-2</v>
      </c>
      <c r="Q28925">
        <v>303</v>
      </c>
    </row>
    <row r="28926" spans="1:17" x14ac:dyDescent="0.35">
      <c r="A28926" s="27" t="s">
        <v>228</v>
      </c>
      <c r="B28926" s="27" t="s">
        <v>1342</v>
      </c>
      <c r="C28926" s="28">
        <v>1</v>
      </c>
      <c r="D28926" s="29"/>
      <c r="E28926" s="29"/>
      <c r="F28926" s="29"/>
      <c r="G28926" s="29"/>
      <c r="H28926" s="29"/>
      <c r="I28926" s="29"/>
      <c r="J28926" s="29"/>
      <c r="K28926" s="29"/>
      <c r="L28926" s="29"/>
      <c r="M28926" s="29"/>
      <c r="N28926" s="29"/>
      <c r="O28926" s="29"/>
      <c r="P28926" s="29"/>
      <c r="Q28926" s="29" t="s">
        <v>331</v>
      </c>
    </row>
    <row r="28927" spans="1:17" x14ac:dyDescent="0.35">
      <c r="A28927" t="s">
        <v>228</v>
      </c>
      <c r="B28927" t="s">
        <v>1343</v>
      </c>
      <c r="C28927" s="26">
        <v>0.92559999999999998</v>
      </c>
      <c r="D28927" s="26">
        <v>4.8999999999999998E-3</v>
      </c>
      <c r="E28927" s="26">
        <v>1.47E-2</v>
      </c>
      <c r="F28927" s="26">
        <v>1.0699999999999999E-2</v>
      </c>
      <c r="G28927" s="26">
        <v>5.9999999999999995E-4</v>
      </c>
      <c r="H28927" s="26">
        <v>7.4000000000000003E-3</v>
      </c>
      <c r="I28927" s="26">
        <v>1.7500000000000002E-2</v>
      </c>
      <c r="J28927" s="26">
        <v>5.1999999999999998E-3</v>
      </c>
      <c r="K28927" s="26">
        <v>5.9999999999999995E-4</v>
      </c>
      <c r="L28927" s="26">
        <v>4.7000000000000002E-3</v>
      </c>
      <c r="M28927" s="26">
        <v>1.6999999999999999E-3</v>
      </c>
      <c r="N28927" s="26">
        <v>6.7000000000000002E-3</v>
      </c>
      <c r="P28927" s="26">
        <v>1.4E-3</v>
      </c>
      <c r="Q28927">
        <v>725</v>
      </c>
    </row>
    <row r="28928" spans="1:17" x14ac:dyDescent="0.35">
      <c r="A28928" t="s">
        <v>229</v>
      </c>
      <c r="B28928" t="s">
        <v>1341</v>
      </c>
      <c r="C28928" s="26">
        <v>0.96450000000000002</v>
      </c>
      <c r="D28928" s="26">
        <v>8.0000000000000004E-4</v>
      </c>
      <c r="E28928" s="26">
        <v>2.07E-2</v>
      </c>
      <c r="F28928" s="26">
        <v>1.2699999999999999E-2</v>
      </c>
      <c r="G28928" s="26">
        <v>9.2999999999999992E-3</v>
      </c>
      <c r="H28928" s="26">
        <v>1E-3</v>
      </c>
      <c r="I28928" s="26">
        <v>2.07E-2</v>
      </c>
      <c r="J28928" s="26">
        <v>2.0999999999999999E-3</v>
      </c>
      <c r="K28928" s="26">
        <v>9.2999999999999992E-3</v>
      </c>
      <c r="L28928" s="26">
        <v>9.5999999999999992E-3</v>
      </c>
      <c r="M28928" s="26">
        <v>9.5999999999999992E-3</v>
      </c>
      <c r="Q28928">
        <v>271</v>
      </c>
    </row>
    <row r="28929" spans="1:17" x14ac:dyDescent="0.35">
      <c r="A28929" t="s">
        <v>229</v>
      </c>
      <c r="B28929" t="s">
        <v>1343</v>
      </c>
      <c r="C28929" s="26">
        <v>0.92449999999999999</v>
      </c>
      <c r="D28929" s="26">
        <v>1.43E-2</v>
      </c>
      <c r="E28929" s="26">
        <v>2.81E-2</v>
      </c>
      <c r="F28929" s="26">
        <v>9.4999999999999998E-3</v>
      </c>
      <c r="G28929" s="26">
        <v>9.1000000000000004E-3</v>
      </c>
      <c r="H28929" s="26">
        <v>8.9999999999999993E-3</v>
      </c>
      <c r="I28929" s="26">
        <v>5.7000000000000002E-3</v>
      </c>
      <c r="K28929" s="26">
        <v>5.0000000000000001E-4</v>
      </c>
      <c r="L28929" s="26">
        <v>4.8999999999999998E-3</v>
      </c>
      <c r="N28929" s="26">
        <v>1E-3</v>
      </c>
      <c r="O28929" s="26">
        <v>1E-3</v>
      </c>
      <c r="P28929" s="26">
        <v>1.5E-3</v>
      </c>
      <c r="Q28929">
        <v>620</v>
      </c>
    </row>
    <row r="28930" spans="1:17" x14ac:dyDescent="0.35">
      <c r="A28930" t="s">
        <v>230</v>
      </c>
      <c r="B28930" t="s">
        <v>1341</v>
      </c>
      <c r="C28930" s="26">
        <v>0.9758</v>
      </c>
      <c r="E28930" s="26">
        <v>1.7500000000000002E-2</v>
      </c>
      <c r="F28930" s="26">
        <v>2.8999999999999998E-3</v>
      </c>
      <c r="H28930" s="26">
        <v>8.9999999999999998E-4</v>
      </c>
      <c r="M28930" s="26">
        <v>2.8999999999999998E-3</v>
      </c>
      <c r="Q28930">
        <v>155</v>
      </c>
    </row>
    <row r="28931" spans="1:17" x14ac:dyDescent="0.35">
      <c r="A28931" t="s">
        <v>230</v>
      </c>
      <c r="B28931" t="s">
        <v>1343</v>
      </c>
      <c r="C28931" s="26">
        <v>0.94740000000000002</v>
      </c>
      <c r="D28931" s="26">
        <v>1.2999999999999999E-3</v>
      </c>
      <c r="E28931" s="26">
        <v>1.04E-2</v>
      </c>
      <c r="F28931" s="26">
        <v>7.3000000000000001E-3</v>
      </c>
      <c r="G28931" s="26">
        <v>7.7999999999999996E-3</v>
      </c>
      <c r="H28931" s="26">
        <v>8.6E-3</v>
      </c>
      <c r="I28931" s="26">
        <v>1.0699999999999999E-2</v>
      </c>
      <c r="J28931" s="26">
        <v>1.6E-2</v>
      </c>
      <c r="K28931" s="26">
        <v>1.2999999999999999E-3</v>
      </c>
      <c r="L28931" s="26">
        <v>9.1000000000000004E-3</v>
      </c>
      <c r="M28931" s="26">
        <v>2.5999999999999999E-3</v>
      </c>
      <c r="N28931" s="26">
        <v>1.2999999999999999E-3</v>
      </c>
      <c r="P28931" s="26">
        <v>3.8999999999999998E-3</v>
      </c>
      <c r="Q28931">
        <v>403</v>
      </c>
    </row>
    <row r="28932" spans="1:17" x14ac:dyDescent="0.35">
      <c r="A28932" t="s">
        <v>231</v>
      </c>
      <c r="B28932" t="s">
        <v>1341</v>
      </c>
      <c r="C28932" s="26">
        <v>0.96879999999999999</v>
      </c>
      <c r="D28932" s="26">
        <v>3.1199999999999999E-2</v>
      </c>
      <c r="Q28932">
        <v>64</v>
      </c>
    </row>
    <row r="28933" spans="1:17" x14ac:dyDescent="0.35">
      <c r="A28933" t="s">
        <v>231</v>
      </c>
      <c r="B28933" t="s">
        <v>1343</v>
      </c>
      <c r="C28933" s="26">
        <v>0.88890000000000002</v>
      </c>
      <c r="D28933" s="26">
        <v>3.0300000000000001E-2</v>
      </c>
      <c r="F28933" s="26">
        <v>2.0199999999999999E-2</v>
      </c>
      <c r="G28933" s="26">
        <v>1.01E-2</v>
      </c>
      <c r="H28933" s="26">
        <v>1.01E-2</v>
      </c>
      <c r="J28933" s="26">
        <v>1.01E-2</v>
      </c>
      <c r="K28933" s="26">
        <v>2.0199999999999999E-2</v>
      </c>
      <c r="M28933" s="26">
        <v>1.01E-2</v>
      </c>
      <c r="N28933" s="26">
        <v>1.01E-2</v>
      </c>
      <c r="O28933" s="26">
        <v>1.01E-2</v>
      </c>
      <c r="Q28933">
        <v>99</v>
      </c>
    </row>
    <row r="28934" spans="1:17" x14ac:dyDescent="0.35">
      <c r="A28934" t="s">
        <v>232</v>
      </c>
      <c r="B28934" t="s">
        <v>232</v>
      </c>
      <c r="C28934" s="26">
        <v>0.93640000000000001</v>
      </c>
      <c r="D28934" s="26">
        <v>1.35E-2</v>
      </c>
      <c r="E28934" s="26">
        <v>1.09E-2</v>
      </c>
      <c r="F28934" s="26">
        <v>1.0500000000000001E-2</v>
      </c>
      <c r="G28934" s="26">
        <v>7.1000000000000004E-3</v>
      </c>
      <c r="H28934" s="26">
        <v>6.4000000000000003E-3</v>
      </c>
      <c r="I28934" s="26">
        <v>6.4000000000000003E-3</v>
      </c>
      <c r="J28934" s="26">
        <v>4.7000000000000002E-3</v>
      </c>
      <c r="K28934" s="26">
        <v>4.7000000000000002E-3</v>
      </c>
      <c r="L28934" s="26">
        <v>3.7000000000000002E-3</v>
      </c>
      <c r="M28934" s="26">
        <v>3.0999999999999999E-3</v>
      </c>
      <c r="N28934" s="26">
        <v>3.0000000000000001E-3</v>
      </c>
      <c r="O28934" s="26">
        <v>1.9E-3</v>
      </c>
      <c r="P28934" s="26">
        <v>1.6999999999999999E-3</v>
      </c>
      <c r="Q28934">
        <v>2802</v>
      </c>
    </row>
    <row r="28936" spans="1:17" x14ac:dyDescent="0.35">
      <c r="A28936" s="1" t="s">
        <v>2590</v>
      </c>
    </row>
    <row r="28937" spans="1:17" x14ac:dyDescent="0.35">
      <c r="A28937" t="s">
        <v>219</v>
      </c>
      <c r="B28937" t="s">
        <v>305</v>
      </c>
      <c r="C28937" t="s">
        <v>550</v>
      </c>
      <c r="D28937" t="s">
        <v>281</v>
      </c>
      <c r="E28937" t="s">
        <v>2571</v>
      </c>
      <c r="F28937" t="s">
        <v>2548</v>
      </c>
      <c r="G28937" t="s">
        <v>2572</v>
      </c>
      <c r="H28937" t="s">
        <v>2186</v>
      </c>
      <c r="I28937" t="s">
        <v>2551</v>
      </c>
      <c r="J28937" t="s">
        <v>2573</v>
      </c>
      <c r="K28937" t="s">
        <v>2574</v>
      </c>
      <c r="L28937" t="s">
        <v>2575</v>
      </c>
      <c r="M28937" t="s">
        <v>2576</v>
      </c>
      <c r="N28937" t="s">
        <v>2554</v>
      </c>
      <c r="O28937" t="s">
        <v>2577</v>
      </c>
      <c r="P28937" t="s">
        <v>286</v>
      </c>
      <c r="Q28937" t="s">
        <v>226</v>
      </c>
    </row>
    <row r="28938" spans="1:17" x14ac:dyDescent="0.35">
      <c r="A28938" s="27" t="s">
        <v>227</v>
      </c>
      <c r="B28938" s="27" t="s">
        <v>1345</v>
      </c>
      <c r="C28938" s="28">
        <v>1</v>
      </c>
      <c r="D28938" s="29"/>
      <c r="E28938" s="29"/>
      <c r="F28938" s="29"/>
      <c r="G28938" s="29"/>
      <c r="H28938" s="29"/>
      <c r="I28938" s="29"/>
      <c r="J28938" s="29"/>
      <c r="K28938" s="29"/>
      <c r="L28938" s="29"/>
      <c r="M28938" s="29"/>
      <c r="N28938" s="29"/>
      <c r="O28938" s="29"/>
      <c r="P28938" s="29"/>
      <c r="Q28938" s="29" t="s">
        <v>314</v>
      </c>
    </row>
    <row r="28939" spans="1:17" x14ac:dyDescent="0.35">
      <c r="A28939" t="s">
        <v>227</v>
      </c>
      <c r="B28939" t="s">
        <v>1346</v>
      </c>
      <c r="C28939" s="26">
        <v>1</v>
      </c>
      <c r="Q28939">
        <v>39</v>
      </c>
    </row>
    <row r="28940" spans="1:17" x14ac:dyDescent="0.35">
      <c r="A28940" t="s">
        <v>227</v>
      </c>
      <c r="B28940" t="s">
        <v>1347</v>
      </c>
      <c r="C28940" s="26">
        <v>0.94440000000000002</v>
      </c>
      <c r="F28940" s="26">
        <v>2.7799999999999998E-2</v>
      </c>
      <c r="G28940" s="26">
        <v>5.5599999999999997E-2</v>
      </c>
      <c r="Q28940">
        <v>36</v>
      </c>
    </row>
    <row r="28941" spans="1:17" x14ac:dyDescent="0.35">
      <c r="A28941" t="s">
        <v>227</v>
      </c>
      <c r="B28941" t="s">
        <v>1348</v>
      </c>
      <c r="C28941" s="26">
        <v>0.95240000000000002</v>
      </c>
      <c r="D28941" s="26">
        <v>1.1900000000000001E-2</v>
      </c>
      <c r="F28941" s="26">
        <v>1.1900000000000001E-2</v>
      </c>
      <c r="H28941" s="26">
        <v>1.1900000000000001E-2</v>
      </c>
      <c r="J28941" s="26">
        <v>1.1900000000000001E-2</v>
      </c>
      <c r="Q28941">
        <v>84</v>
      </c>
    </row>
    <row r="28942" spans="1:17" x14ac:dyDescent="0.35">
      <c r="A28942" t="s">
        <v>228</v>
      </c>
      <c r="B28942" t="s">
        <v>1348</v>
      </c>
      <c r="C28942" s="26">
        <v>0.92090000000000005</v>
      </c>
      <c r="D28942" s="26">
        <v>7.6E-3</v>
      </c>
      <c r="E28942" s="26">
        <v>1.4500000000000001E-2</v>
      </c>
      <c r="F28942" s="26">
        <v>3.5999999999999999E-3</v>
      </c>
      <c r="G28942" s="26">
        <v>1.6000000000000001E-3</v>
      </c>
      <c r="H28942" s="26">
        <v>8.9999999999999998E-4</v>
      </c>
      <c r="I28942" s="26">
        <v>9.5999999999999992E-3</v>
      </c>
      <c r="J28942" s="26">
        <v>6.3E-3</v>
      </c>
      <c r="K28942" s="26">
        <v>1.6000000000000001E-3</v>
      </c>
      <c r="L28942" s="26">
        <v>1.26E-2</v>
      </c>
      <c r="M28942" s="26">
        <v>2.3E-3</v>
      </c>
      <c r="N28942" s="26">
        <v>0.01</v>
      </c>
      <c r="P28942" s="26">
        <v>9.7000000000000003E-3</v>
      </c>
      <c r="Q28942">
        <v>531</v>
      </c>
    </row>
    <row r="28943" spans="1:17" x14ac:dyDescent="0.35">
      <c r="A28943" t="s">
        <v>228</v>
      </c>
      <c r="B28943" t="s">
        <v>1347</v>
      </c>
      <c r="C28943" s="26">
        <v>0.93379999999999996</v>
      </c>
      <c r="E28943" s="26">
        <v>6.1999999999999998E-3</v>
      </c>
      <c r="F28943" s="26">
        <v>2.2000000000000001E-3</v>
      </c>
      <c r="G28943" s="26">
        <v>2.8999999999999998E-3</v>
      </c>
      <c r="H28943" s="26">
        <v>2.8199999999999999E-2</v>
      </c>
      <c r="I28943" s="26">
        <v>2.1899999999999999E-2</v>
      </c>
      <c r="J28943" s="26">
        <v>4.7999999999999996E-3</v>
      </c>
      <c r="K28943" s="26">
        <v>2.8999999999999998E-3</v>
      </c>
      <c r="P28943" s="26">
        <v>2.8999999999999998E-3</v>
      </c>
      <c r="Q28943">
        <v>203</v>
      </c>
    </row>
    <row r="28944" spans="1:17" x14ac:dyDescent="0.35">
      <c r="A28944" t="s">
        <v>228</v>
      </c>
      <c r="B28944" t="s">
        <v>1346</v>
      </c>
      <c r="C28944" s="26">
        <v>0.94569999999999999</v>
      </c>
      <c r="D28944" s="26">
        <v>8.9999999999999993E-3</v>
      </c>
      <c r="E28944" s="26">
        <v>1.3899999999999999E-2</v>
      </c>
      <c r="F28944" s="26">
        <v>2.4400000000000002E-2</v>
      </c>
      <c r="G28944" s="26">
        <v>3.0000000000000001E-3</v>
      </c>
      <c r="I28944" s="26">
        <v>4.4999999999999997E-3</v>
      </c>
      <c r="K28944" s="26">
        <v>1.6000000000000001E-3</v>
      </c>
      <c r="P28944" s="26">
        <v>1.9E-3</v>
      </c>
      <c r="Q28944">
        <v>284</v>
      </c>
    </row>
    <row r="28945" spans="1:17" x14ac:dyDescent="0.35">
      <c r="A28945" s="27" t="s">
        <v>228</v>
      </c>
      <c r="B28945" s="27" t="s">
        <v>1345</v>
      </c>
      <c r="C28945" s="28">
        <v>0.79049999999999998</v>
      </c>
      <c r="D28945" s="29"/>
      <c r="E28945" s="29"/>
      <c r="F28945" s="29"/>
      <c r="G28945" s="29"/>
      <c r="H28945" s="28">
        <v>5.45E-2</v>
      </c>
      <c r="I28945" s="28">
        <v>0.155</v>
      </c>
      <c r="J28945" s="29"/>
      <c r="K28945" s="29"/>
      <c r="L28945" s="29"/>
      <c r="M28945" s="29"/>
      <c r="N28945" s="29"/>
      <c r="O28945" s="29"/>
      <c r="P28945" s="29"/>
      <c r="Q28945" s="29" t="s">
        <v>352</v>
      </c>
    </row>
    <row r="28946" spans="1:17" x14ac:dyDescent="0.35">
      <c r="A28946" s="27" t="s">
        <v>229</v>
      </c>
      <c r="B28946" s="27" t="s">
        <v>1345</v>
      </c>
      <c r="C28946" s="28">
        <v>0.9849</v>
      </c>
      <c r="D28946" s="28">
        <v>3.3999999999999998E-3</v>
      </c>
      <c r="E28946" s="28">
        <v>1.17E-2</v>
      </c>
      <c r="F28946" s="29"/>
      <c r="G28946" s="29"/>
      <c r="H28946" s="29"/>
      <c r="I28946" s="29"/>
      <c r="J28946" s="29"/>
      <c r="K28946" s="29"/>
      <c r="L28946" s="29"/>
      <c r="M28946" s="29"/>
      <c r="N28946" s="29"/>
      <c r="O28946" s="29"/>
      <c r="P28946" s="29"/>
      <c r="Q28946" s="29" t="s">
        <v>357</v>
      </c>
    </row>
    <row r="28947" spans="1:17" x14ac:dyDescent="0.35">
      <c r="A28947" t="s">
        <v>229</v>
      </c>
      <c r="B28947" t="s">
        <v>1346</v>
      </c>
      <c r="C28947" s="26">
        <v>0.92859999999999998</v>
      </c>
      <c r="D28947" s="26">
        <v>1.6199999999999999E-2</v>
      </c>
      <c r="E28947" s="26">
        <v>4.5499999999999999E-2</v>
      </c>
      <c r="F28947" s="26">
        <v>4.0000000000000001E-3</v>
      </c>
      <c r="H28947" s="26">
        <v>1.6000000000000001E-3</v>
      </c>
      <c r="I28947" s="26">
        <v>1.6000000000000001E-3</v>
      </c>
      <c r="P28947" s="26">
        <v>3.3E-3</v>
      </c>
      <c r="Q28947">
        <v>183</v>
      </c>
    </row>
    <row r="28948" spans="1:17" x14ac:dyDescent="0.35">
      <c r="A28948" t="s">
        <v>229</v>
      </c>
      <c r="B28948" t="s">
        <v>1347</v>
      </c>
      <c r="C28948" s="26">
        <v>0.94799999999999995</v>
      </c>
      <c r="D28948" s="26">
        <v>1.11E-2</v>
      </c>
      <c r="E28948" s="26">
        <v>1.34E-2</v>
      </c>
      <c r="F28948" s="26">
        <v>1.23E-2</v>
      </c>
      <c r="G28948" s="26">
        <v>1.9099999999999999E-2</v>
      </c>
      <c r="H28948" s="26">
        <v>2.2000000000000001E-3</v>
      </c>
      <c r="I28948" s="26">
        <v>4.5999999999999999E-3</v>
      </c>
      <c r="J28948" s="26">
        <v>2.3E-3</v>
      </c>
      <c r="L28948" s="26">
        <v>5.9999999999999995E-4</v>
      </c>
      <c r="M28948" s="26">
        <v>2.9999999999999997E-4</v>
      </c>
      <c r="Q28948">
        <v>301</v>
      </c>
    </row>
    <row r="28949" spans="1:17" x14ac:dyDescent="0.35">
      <c r="A28949" t="s">
        <v>229</v>
      </c>
      <c r="B28949" t="s">
        <v>1348</v>
      </c>
      <c r="C28949" s="26">
        <v>0.93189999999999995</v>
      </c>
      <c r="D28949" s="26">
        <v>6.7999999999999996E-3</v>
      </c>
      <c r="E28949" s="26">
        <v>2.5399999999999999E-2</v>
      </c>
      <c r="F28949" s="26">
        <v>1.29E-2</v>
      </c>
      <c r="G28949" s="26">
        <v>7.4999999999999997E-3</v>
      </c>
      <c r="H28949" s="26">
        <v>1.15E-2</v>
      </c>
      <c r="I28949" s="26">
        <v>1.9E-2</v>
      </c>
      <c r="K28949" s="26">
        <v>7.1999999999999998E-3</v>
      </c>
      <c r="L28949" s="26">
        <v>1.32E-2</v>
      </c>
      <c r="M28949" s="26">
        <v>6.4000000000000003E-3</v>
      </c>
      <c r="N28949" s="26">
        <v>1.4E-3</v>
      </c>
      <c r="O28949" s="26">
        <v>1.4E-3</v>
      </c>
      <c r="P28949" s="26">
        <v>6.9999999999999999E-4</v>
      </c>
      <c r="Q28949">
        <v>381</v>
      </c>
    </row>
    <row r="28950" spans="1:17" x14ac:dyDescent="0.35">
      <c r="A28950" t="s">
        <v>230</v>
      </c>
      <c r="B28950" t="s">
        <v>1346</v>
      </c>
      <c r="C28950" s="26">
        <v>0.91639999999999999</v>
      </c>
      <c r="D28950" s="26">
        <v>4.1000000000000003E-3</v>
      </c>
      <c r="E28950" s="26">
        <v>2.8899999999999999E-2</v>
      </c>
      <c r="F28950" s="26">
        <v>1.3599999999999999E-2</v>
      </c>
      <c r="J28950" s="26">
        <v>2.47E-2</v>
      </c>
      <c r="L28950" s="26">
        <v>2.47E-2</v>
      </c>
      <c r="M28950" s="26">
        <v>8.2000000000000007E-3</v>
      </c>
      <c r="P28950" s="26">
        <v>8.2000000000000007E-3</v>
      </c>
      <c r="Q28950">
        <v>140</v>
      </c>
    </row>
    <row r="28951" spans="1:17" x14ac:dyDescent="0.35">
      <c r="A28951" t="s">
        <v>230</v>
      </c>
      <c r="B28951" t="s">
        <v>1348</v>
      </c>
      <c r="C28951" s="26">
        <v>0.97740000000000005</v>
      </c>
      <c r="E28951" s="26">
        <v>1.8E-3</v>
      </c>
      <c r="F28951" s="26">
        <v>6.1999999999999998E-3</v>
      </c>
      <c r="G28951" s="26">
        <v>1.11E-2</v>
      </c>
      <c r="H28951" s="26">
        <v>1.23E-2</v>
      </c>
      <c r="I28951" s="26">
        <v>2.3999999999999998E-3</v>
      </c>
      <c r="J28951" s="26">
        <v>1.17E-2</v>
      </c>
      <c r="Q28951">
        <v>258</v>
      </c>
    </row>
    <row r="28952" spans="1:17" x14ac:dyDescent="0.35">
      <c r="A28952" t="s">
        <v>230</v>
      </c>
      <c r="B28952" t="s">
        <v>1347</v>
      </c>
      <c r="C28952" s="26">
        <v>0.94730000000000003</v>
      </c>
      <c r="E28952" s="26">
        <v>1.9400000000000001E-2</v>
      </c>
      <c r="H28952" s="26">
        <v>1E-3</v>
      </c>
      <c r="I28952" s="26">
        <v>2.2599999999999999E-2</v>
      </c>
      <c r="K28952" s="26">
        <v>3.2000000000000002E-3</v>
      </c>
      <c r="L28952" s="26">
        <v>3.2000000000000002E-3</v>
      </c>
      <c r="M28952" s="26">
        <v>3.2000000000000002E-3</v>
      </c>
      <c r="N28952" s="26">
        <v>3.3E-3</v>
      </c>
      <c r="P28952" s="26">
        <v>3.3E-3</v>
      </c>
      <c r="Q28952">
        <v>152</v>
      </c>
    </row>
    <row r="28953" spans="1:17" x14ac:dyDescent="0.35">
      <c r="A28953" s="27" t="s">
        <v>230</v>
      </c>
      <c r="B28953" s="27" t="s">
        <v>1345</v>
      </c>
      <c r="C28953" s="28">
        <v>1</v>
      </c>
      <c r="D28953" s="29"/>
      <c r="E28953" s="29"/>
      <c r="F28953" s="29"/>
      <c r="G28953" s="29"/>
      <c r="H28953" s="29"/>
      <c r="I28953" s="29"/>
      <c r="J28953" s="29"/>
      <c r="K28953" s="29"/>
      <c r="L28953" s="29"/>
      <c r="M28953" s="29"/>
      <c r="N28953" s="29"/>
      <c r="O28953" s="29"/>
      <c r="P28953" s="29"/>
      <c r="Q28953" s="29" t="s">
        <v>333</v>
      </c>
    </row>
    <row r="28954" spans="1:17" x14ac:dyDescent="0.35">
      <c r="A28954" s="27" t="s">
        <v>231</v>
      </c>
      <c r="B28954" s="27" t="s">
        <v>1345</v>
      </c>
      <c r="C28954" s="28">
        <v>0.75</v>
      </c>
      <c r="D28954" s="29"/>
      <c r="E28954" s="29"/>
      <c r="F28954" s="29"/>
      <c r="G28954" s="29"/>
      <c r="H28954" s="29"/>
      <c r="I28954" s="29"/>
      <c r="J28954" s="29"/>
      <c r="K28954" s="29"/>
      <c r="L28954" s="29"/>
      <c r="M28954" s="29"/>
      <c r="N28954" s="28">
        <v>0.25</v>
      </c>
      <c r="O28954" s="29"/>
      <c r="P28954" s="29"/>
      <c r="Q28954" s="29" t="s">
        <v>337</v>
      </c>
    </row>
    <row r="28955" spans="1:17" x14ac:dyDescent="0.35">
      <c r="A28955" t="s">
        <v>231</v>
      </c>
      <c r="B28955" t="s">
        <v>1346</v>
      </c>
      <c r="C28955" s="26">
        <v>0.9</v>
      </c>
      <c r="D28955" s="26">
        <v>2.5000000000000001E-2</v>
      </c>
      <c r="F28955" s="26">
        <v>2.5000000000000001E-2</v>
      </c>
      <c r="G28955" s="26">
        <v>2.5000000000000001E-2</v>
      </c>
      <c r="J28955" s="26">
        <v>2.5000000000000001E-2</v>
      </c>
      <c r="K28955" s="26">
        <v>2.5000000000000001E-2</v>
      </c>
      <c r="Q28955">
        <v>40</v>
      </c>
    </row>
    <row r="28956" spans="1:17" x14ac:dyDescent="0.35">
      <c r="A28956" t="s">
        <v>231</v>
      </c>
      <c r="B28956" t="s">
        <v>1347</v>
      </c>
      <c r="C28956" s="26">
        <v>0.94120000000000004</v>
      </c>
      <c r="K28956" s="26">
        <v>2.9399999999999999E-2</v>
      </c>
      <c r="M28956" s="26">
        <v>2.9399999999999999E-2</v>
      </c>
      <c r="O28956" s="26">
        <v>2.9399999999999999E-2</v>
      </c>
      <c r="Q28956">
        <v>34</v>
      </c>
    </row>
    <row r="28957" spans="1:17" x14ac:dyDescent="0.35">
      <c r="A28957" t="s">
        <v>231</v>
      </c>
      <c r="B28957" t="s">
        <v>1348</v>
      </c>
      <c r="C28957" s="26">
        <v>0.9294</v>
      </c>
      <c r="D28957" s="26">
        <v>4.7100000000000003E-2</v>
      </c>
      <c r="F28957" s="26">
        <v>1.18E-2</v>
      </c>
      <c r="H28957" s="26">
        <v>1.18E-2</v>
      </c>
      <c r="Q28957">
        <v>85</v>
      </c>
    </row>
    <row r="28958" spans="1:17" x14ac:dyDescent="0.35">
      <c r="A28958" t="s">
        <v>232</v>
      </c>
      <c r="B28958" t="s">
        <v>232</v>
      </c>
      <c r="C28958" s="26">
        <v>0.93640000000000001</v>
      </c>
      <c r="D28958" s="26">
        <v>1.35E-2</v>
      </c>
      <c r="E28958" s="26">
        <v>1.09E-2</v>
      </c>
      <c r="F28958" s="26">
        <v>1.0500000000000001E-2</v>
      </c>
      <c r="G28958" s="26">
        <v>7.1000000000000004E-3</v>
      </c>
      <c r="H28958" s="26">
        <v>6.4000000000000003E-3</v>
      </c>
      <c r="I28958" s="26">
        <v>6.4000000000000003E-3</v>
      </c>
      <c r="J28958" s="26">
        <v>4.7000000000000002E-3</v>
      </c>
      <c r="K28958" s="26">
        <v>4.7000000000000002E-3</v>
      </c>
      <c r="L28958" s="26">
        <v>3.7000000000000002E-3</v>
      </c>
      <c r="M28958" s="26">
        <v>3.0999999999999999E-3</v>
      </c>
      <c r="N28958" s="26">
        <v>3.0000000000000001E-3</v>
      </c>
      <c r="O28958" s="26">
        <v>1.9E-3</v>
      </c>
      <c r="P28958" s="26">
        <v>1.6999999999999999E-3</v>
      </c>
      <c r="Q28958">
        <v>2802</v>
      </c>
    </row>
    <row r="28960" spans="1:17" x14ac:dyDescent="0.35">
      <c r="A28960" s="1" t="s">
        <v>2591</v>
      </c>
    </row>
    <row r="28961" spans="1:18" x14ac:dyDescent="0.35">
      <c r="A28961" t="s">
        <v>219</v>
      </c>
      <c r="B28961" t="s">
        <v>305</v>
      </c>
      <c r="C28961" t="s">
        <v>345</v>
      </c>
      <c r="D28961" t="s">
        <v>550</v>
      </c>
      <c r="E28961" t="s">
        <v>281</v>
      </c>
      <c r="F28961" t="s">
        <v>2571</v>
      </c>
      <c r="G28961" t="s">
        <v>2548</v>
      </c>
      <c r="H28961" t="s">
        <v>2572</v>
      </c>
      <c r="I28961" t="s">
        <v>2186</v>
      </c>
      <c r="J28961" t="s">
        <v>2551</v>
      </c>
      <c r="K28961" t="s">
        <v>2573</v>
      </c>
      <c r="L28961" t="s">
        <v>2574</v>
      </c>
      <c r="M28961" t="s">
        <v>2575</v>
      </c>
      <c r="N28961" t="s">
        <v>2576</v>
      </c>
      <c r="O28961" t="s">
        <v>2554</v>
      </c>
      <c r="P28961" t="s">
        <v>2577</v>
      </c>
      <c r="Q28961" t="s">
        <v>286</v>
      </c>
      <c r="R28961" t="s">
        <v>226</v>
      </c>
    </row>
    <row r="28962" spans="1:18" x14ac:dyDescent="0.35">
      <c r="A28962" s="27" t="s">
        <v>227</v>
      </c>
      <c r="B28962" s="27" t="s">
        <v>1341</v>
      </c>
      <c r="C28962" s="27" t="s">
        <v>1345</v>
      </c>
      <c r="D28962" s="28">
        <v>1</v>
      </c>
      <c r="E28962" s="29"/>
      <c r="F28962" s="29"/>
      <c r="G28962" s="29"/>
      <c r="H28962" s="29"/>
      <c r="I28962" s="29"/>
      <c r="J28962" s="29"/>
      <c r="K28962" s="29"/>
      <c r="L28962" s="29"/>
      <c r="M28962" s="29"/>
      <c r="N28962" s="29"/>
      <c r="O28962" s="29"/>
      <c r="P28962" s="29"/>
      <c r="Q28962" s="29"/>
      <c r="R28962" s="29" t="s">
        <v>331</v>
      </c>
    </row>
    <row r="28963" spans="1:18" x14ac:dyDescent="0.35">
      <c r="A28963" s="27" t="s">
        <v>227</v>
      </c>
      <c r="B28963" s="27" t="s">
        <v>1343</v>
      </c>
      <c r="C28963" s="27" t="s">
        <v>1346</v>
      </c>
      <c r="D28963" s="28">
        <v>1</v>
      </c>
      <c r="E28963" s="29"/>
      <c r="F28963" s="29"/>
      <c r="G28963" s="29"/>
      <c r="H28963" s="29"/>
      <c r="I28963" s="29"/>
      <c r="J28963" s="29"/>
      <c r="K28963" s="29"/>
      <c r="L28963" s="29"/>
      <c r="M28963" s="29"/>
      <c r="N28963" s="29"/>
      <c r="O28963" s="29"/>
      <c r="P28963" s="29"/>
      <c r="Q28963" s="29"/>
      <c r="R28963" s="29" t="s">
        <v>357</v>
      </c>
    </row>
    <row r="28964" spans="1:18" x14ac:dyDescent="0.35">
      <c r="A28964" t="s">
        <v>227</v>
      </c>
      <c r="B28964" t="s">
        <v>1343</v>
      </c>
      <c r="C28964" t="s">
        <v>1348</v>
      </c>
      <c r="D28964" s="26">
        <v>0.95079999999999998</v>
      </c>
      <c r="E28964" s="26">
        <v>1.6400000000000001E-2</v>
      </c>
      <c r="G28964" s="26">
        <v>1.6400000000000001E-2</v>
      </c>
      <c r="K28964" s="26">
        <v>1.6400000000000001E-2</v>
      </c>
      <c r="R28964">
        <v>61</v>
      </c>
    </row>
    <row r="28965" spans="1:18" x14ac:dyDescent="0.35">
      <c r="A28965" s="27" t="s">
        <v>227</v>
      </c>
      <c r="B28965" s="27" t="s">
        <v>1341</v>
      </c>
      <c r="C28965" s="27" t="s">
        <v>1347</v>
      </c>
      <c r="D28965" s="28">
        <v>0.92310000000000003</v>
      </c>
      <c r="E28965" s="29"/>
      <c r="F28965" s="29"/>
      <c r="G28965" s="28">
        <v>7.6899999999999996E-2</v>
      </c>
      <c r="H28965" s="28">
        <v>7.6899999999999996E-2</v>
      </c>
      <c r="I28965" s="29"/>
      <c r="J28965" s="29"/>
      <c r="K28965" s="29"/>
      <c r="L28965" s="29"/>
      <c r="M28965" s="29"/>
      <c r="N28965" s="29"/>
      <c r="O28965" s="29"/>
      <c r="P28965" s="29"/>
      <c r="Q28965" s="29"/>
      <c r="R28965" s="29" t="s">
        <v>341</v>
      </c>
    </row>
    <row r="28966" spans="1:18" x14ac:dyDescent="0.35">
      <c r="A28966" s="27" t="s">
        <v>227</v>
      </c>
      <c r="B28966" s="27" t="s">
        <v>1343</v>
      </c>
      <c r="C28966" s="27" t="s">
        <v>1347</v>
      </c>
      <c r="D28966" s="28">
        <v>0.95650000000000002</v>
      </c>
      <c r="E28966" s="29"/>
      <c r="F28966" s="29"/>
      <c r="G28966" s="29"/>
      <c r="H28966" s="28">
        <v>4.3499999999999997E-2</v>
      </c>
      <c r="I28966" s="29"/>
      <c r="J28966" s="29"/>
      <c r="K28966" s="29"/>
      <c r="L28966" s="29"/>
      <c r="M28966" s="29"/>
      <c r="N28966" s="29"/>
      <c r="O28966" s="29"/>
      <c r="P28966" s="29"/>
      <c r="Q28966" s="29"/>
      <c r="R28966" s="29" t="s">
        <v>328</v>
      </c>
    </row>
    <row r="28967" spans="1:18" x14ac:dyDescent="0.35">
      <c r="A28967" s="27" t="s">
        <v>227</v>
      </c>
      <c r="B28967" s="27" t="s">
        <v>1343</v>
      </c>
      <c r="C28967" s="27" t="s">
        <v>1345</v>
      </c>
      <c r="D28967" s="28">
        <v>1</v>
      </c>
      <c r="E28967" s="29"/>
      <c r="F28967" s="29"/>
      <c r="G28967" s="29"/>
      <c r="H28967" s="29"/>
      <c r="I28967" s="29"/>
      <c r="J28967" s="29"/>
      <c r="K28967" s="29"/>
      <c r="L28967" s="29"/>
      <c r="M28967" s="29"/>
      <c r="N28967" s="29"/>
      <c r="O28967" s="29"/>
      <c r="P28967" s="29"/>
      <c r="Q28967" s="29"/>
      <c r="R28967" s="29" t="s">
        <v>331</v>
      </c>
    </row>
    <row r="28968" spans="1:18" x14ac:dyDescent="0.35">
      <c r="A28968" s="27" t="s">
        <v>227</v>
      </c>
      <c r="B28968" s="27" t="s">
        <v>1342</v>
      </c>
      <c r="C28968" s="27" t="s">
        <v>1348</v>
      </c>
      <c r="D28968" s="28">
        <v>1</v>
      </c>
      <c r="E28968" s="29"/>
      <c r="F28968" s="29"/>
      <c r="G28968" s="29"/>
      <c r="H28968" s="29"/>
      <c r="I28968" s="29"/>
      <c r="J28968" s="29"/>
      <c r="K28968" s="29"/>
      <c r="L28968" s="29"/>
      <c r="M28968" s="29"/>
      <c r="N28968" s="29"/>
      <c r="O28968" s="29"/>
      <c r="P28968" s="29"/>
      <c r="Q28968" s="29"/>
      <c r="R28968" s="29" t="s">
        <v>331</v>
      </c>
    </row>
    <row r="28969" spans="1:18" x14ac:dyDescent="0.35">
      <c r="A28969" s="27" t="s">
        <v>227</v>
      </c>
      <c r="B28969" s="27" t="s">
        <v>1341</v>
      </c>
      <c r="C28969" s="27" t="s">
        <v>1348</v>
      </c>
      <c r="D28969" s="28">
        <v>0.95450000000000002</v>
      </c>
      <c r="E28969" s="29"/>
      <c r="F28969" s="29"/>
      <c r="G28969" s="29"/>
      <c r="H28969" s="29"/>
      <c r="I28969" s="28">
        <v>4.5499999999999999E-2</v>
      </c>
      <c r="J28969" s="29"/>
      <c r="K28969" s="29"/>
      <c r="L28969" s="29"/>
      <c r="M28969" s="29"/>
      <c r="N28969" s="29"/>
      <c r="O28969" s="29"/>
      <c r="P28969" s="29"/>
      <c r="Q28969" s="29"/>
      <c r="R28969" s="29" t="s">
        <v>347</v>
      </c>
    </row>
    <row r="28970" spans="1:18" x14ac:dyDescent="0.35">
      <c r="A28970" s="27" t="s">
        <v>227</v>
      </c>
      <c r="B28970" s="27" t="s">
        <v>1341</v>
      </c>
      <c r="C28970" s="27" t="s">
        <v>1346</v>
      </c>
      <c r="D28970" s="28">
        <v>1</v>
      </c>
      <c r="E28970" s="29"/>
      <c r="F28970" s="29"/>
      <c r="G28970" s="29"/>
      <c r="H28970" s="29"/>
      <c r="I28970" s="29"/>
      <c r="J28970" s="29"/>
      <c r="K28970" s="29"/>
      <c r="L28970" s="29"/>
      <c r="M28970" s="29"/>
      <c r="N28970" s="29"/>
      <c r="O28970" s="29"/>
      <c r="P28970" s="29"/>
      <c r="Q28970" s="29"/>
      <c r="R28970" s="29" t="s">
        <v>341</v>
      </c>
    </row>
    <row r="28971" spans="1:18" x14ac:dyDescent="0.35">
      <c r="A28971" t="s">
        <v>228</v>
      </c>
      <c r="B28971" t="s">
        <v>1343</v>
      </c>
      <c r="C28971" t="s">
        <v>1348</v>
      </c>
      <c r="D28971" s="26">
        <v>0.91639999999999999</v>
      </c>
      <c r="E28971" s="26">
        <v>7.9000000000000008E-3</v>
      </c>
      <c r="F28971" s="26">
        <v>1.77E-2</v>
      </c>
      <c r="G28971" s="26">
        <v>5.7000000000000002E-3</v>
      </c>
      <c r="I28971" s="26">
        <v>6.9999999999999999E-4</v>
      </c>
      <c r="J28971" s="26">
        <v>1.3299999999999999E-2</v>
      </c>
      <c r="K28971" s="26">
        <v>9.7999999999999997E-3</v>
      </c>
      <c r="M28971" s="26">
        <v>9.7999999999999997E-3</v>
      </c>
      <c r="N28971" s="26">
        <v>3.5000000000000001E-3</v>
      </c>
      <c r="O28971" s="26">
        <v>1.4E-2</v>
      </c>
      <c r="Q28971" s="26">
        <v>2.8E-3</v>
      </c>
      <c r="R28971">
        <v>352</v>
      </c>
    </row>
    <row r="28972" spans="1:18" x14ac:dyDescent="0.35">
      <c r="A28972" t="s">
        <v>228</v>
      </c>
      <c r="B28972" t="s">
        <v>1343</v>
      </c>
      <c r="C28972" t="s">
        <v>1347</v>
      </c>
      <c r="D28972" s="26">
        <v>0.91900000000000004</v>
      </c>
      <c r="F28972" s="26">
        <v>9.1999999999999998E-3</v>
      </c>
      <c r="G28972" s="26">
        <v>3.3E-3</v>
      </c>
      <c r="I28972" s="26">
        <v>3.9399999999999998E-2</v>
      </c>
      <c r="J28972" s="26">
        <v>2.6200000000000001E-2</v>
      </c>
      <c r="K28972" s="26">
        <v>2.8E-3</v>
      </c>
      <c r="R28972">
        <v>130</v>
      </c>
    </row>
    <row r="28973" spans="1:18" x14ac:dyDescent="0.35">
      <c r="A28973" s="27" t="s">
        <v>228</v>
      </c>
      <c r="B28973" s="27" t="s">
        <v>1343</v>
      </c>
      <c r="C28973" s="27" t="s">
        <v>1345</v>
      </c>
      <c r="D28973" s="28">
        <v>0.77859999999999996</v>
      </c>
      <c r="E28973" s="29"/>
      <c r="F28973" s="29"/>
      <c r="G28973" s="29"/>
      <c r="H28973" s="29"/>
      <c r="I28973" s="29"/>
      <c r="J28973" s="28">
        <v>0.22140000000000001</v>
      </c>
      <c r="K28973" s="29"/>
      <c r="L28973" s="29"/>
      <c r="M28973" s="29"/>
      <c r="N28973" s="29"/>
      <c r="O28973" s="29"/>
      <c r="P28973" s="29"/>
      <c r="Q28973" s="29"/>
      <c r="R28973" s="29" t="s">
        <v>335</v>
      </c>
    </row>
    <row r="28974" spans="1:18" x14ac:dyDescent="0.35">
      <c r="A28974" t="s">
        <v>228</v>
      </c>
      <c r="B28974" t="s">
        <v>1341</v>
      </c>
      <c r="C28974" t="s">
        <v>1346</v>
      </c>
      <c r="D28974" s="26">
        <v>0.89859999999999995</v>
      </c>
      <c r="E28974" s="26">
        <v>4.3299999999999998E-2</v>
      </c>
      <c r="F28974" s="26">
        <v>1.17E-2</v>
      </c>
      <c r="G28974" s="26">
        <v>3.2599999999999997E-2</v>
      </c>
      <c r="H28974" s="26">
        <v>1.0200000000000001E-2</v>
      </c>
      <c r="Q28974" s="26">
        <v>1.37E-2</v>
      </c>
      <c r="R28974">
        <v>47</v>
      </c>
    </row>
    <row r="28975" spans="1:18" x14ac:dyDescent="0.35">
      <c r="A28975" t="s">
        <v>228</v>
      </c>
      <c r="B28975" t="s">
        <v>1341</v>
      </c>
      <c r="C28975" t="s">
        <v>1348</v>
      </c>
      <c r="D28975" s="26">
        <v>0.92779999999999996</v>
      </c>
      <c r="E28975" s="26">
        <v>7.1999999999999998E-3</v>
      </c>
      <c r="F28975" s="26">
        <v>8.9999999999999993E-3</v>
      </c>
      <c r="H28975" s="26">
        <v>4.4999999999999997E-3</v>
      </c>
      <c r="I28975" s="26">
        <v>1.2999999999999999E-3</v>
      </c>
      <c r="J28975" s="26">
        <v>2.8999999999999998E-3</v>
      </c>
      <c r="L28975" s="26">
        <v>4.4999999999999997E-3</v>
      </c>
      <c r="M28975" s="26">
        <v>1.78E-2</v>
      </c>
      <c r="O28975" s="26">
        <v>2.8999999999999998E-3</v>
      </c>
      <c r="Q28975" s="26">
        <v>2.2200000000000001E-2</v>
      </c>
      <c r="R28975">
        <v>178</v>
      </c>
    </row>
    <row r="28976" spans="1:18" x14ac:dyDescent="0.35">
      <c r="A28976" s="27" t="s">
        <v>228</v>
      </c>
      <c r="B28976" s="27" t="s">
        <v>1342</v>
      </c>
      <c r="C28976" s="27" t="s">
        <v>1348</v>
      </c>
      <c r="D28976" s="28">
        <v>1</v>
      </c>
      <c r="E28976" s="29"/>
      <c r="F28976" s="29"/>
      <c r="G28976" s="29"/>
      <c r="H28976" s="29"/>
      <c r="I28976" s="29"/>
      <c r="J28976" s="29"/>
      <c r="K28976" s="29"/>
      <c r="L28976" s="29"/>
      <c r="M28976" s="29"/>
      <c r="N28976" s="29"/>
      <c r="O28976" s="29"/>
      <c r="P28976" s="29"/>
      <c r="Q28976" s="29"/>
      <c r="R28976" s="29" t="s">
        <v>331</v>
      </c>
    </row>
    <row r="28977" spans="1:18" x14ac:dyDescent="0.35">
      <c r="A28977" t="s">
        <v>228</v>
      </c>
      <c r="B28977" t="s">
        <v>1343</v>
      </c>
      <c r="C28977" t="s">
        <v>1346</v>
      </c>
      <c r="D28977" s="26">
        <v>0.95309999999999995</v>
      </c>
      <c r="E28977" s="26">
        <v>3.5000000000000001E-3</v>
      </c>
      <c r="F28977" s="26">
        <v>1.4200000000000001E-2</v>
      </c>
      <c r="G28977" s="26">
        <v>2.3099999999999999E-2</v>
      </c>
      <c r="H28977" s="26">
        <v>1.9E-3</v>
      </c>
      <c r="J28977" s="26">
        <v>5.1999999999999998E-3</v>
      </c>
      <c r="L28977" s="26">
        <v>1.9E-3</v>
      </c>
      <c r="R28977">
        <v>237</v>
      </c>
    </row>
    <row r="28978" spans="1:18" x14ac:dyDescent="0.35">
      <c r="A28978" t="s">
        <v>228</v>
      </c>
      <c r="B28978" t="s">
        <v>1341</v>
      </c>
      <c r="C28978" t="s">
        <v>1347</v>
      </c>
      <c r="D28978" s="26">
        <v>0.96360000000000001</v>
      </c>
      <c r="H28978" s="26">
        <v>8.6999999999999994E-3</v>
      </c>
      <c r="I28978" s="26">
        <v>5.7000000000000002E-3</v>
      </c>
      <c r="J28978" s="26">
        <v>1.32E-2</v>
      </c>
      <c r="K28978" s="26">
        <v>8.6999999999999994E-3</v>
      </c>
      <c r="L28978" s="26">
        <v>8.6999999999999994E-3</v>
      </c>
      <c r="Q28978" s="26">
        <v>8.6999999999999994E-3</v>
      </c>
      <c r="R28978">
        <v>73</v>
      </c>
    </row>
    <row r="28979" spans="1:18" x14ac:dyDescent="0.35">
      <c r="A28979" s="27" t="s">
        <v>228</v>
      </c>
      <c r="B28979" s="27" t="s">
        <v>1341</v>
      </c>
      <c r="C28979" s="27" t="s">
        <v>1345</v>
      </c>
      <c r="D28979" s="28">
        <v>0.81830000000000003</v>
      </c>
      <c r="E28979" s="29"/>
      <c r="F28979" s="29"/>
      <c r="G28979" s="29"/>
      <c r="H28979" s="29"/>
      <c r="I28979" s="28">
        <v>0.1817</v>
      </c>
      <c r="J28979" s="29"/>
      <c r="K28979" s="29"/>
      <c r="L28979" s="29"/>
      <c r="M28979" s="29"/>
      <c r="N28979" s="29"/>
      <c r="O28979" s="29"/>
      <c r="P28979" s="29"/>
      <c r="Q28979" s="29"/>
      <c r="R28979" s="29" t="s">
        <v>332</v>
      </c>
    </row>
    <row r="28980" spans="1:18" x14ac:dyDescent="0.35">
      <c r="A28980" t="s">
        <v>229</v>
      </c>
      <c r="B28980" t="s">
        <v>1343</v>
      </c>
      <c r="C28980" t="s">
        <v>1348</v>
      </c>
      <c r="D28980" s="26">
        <v>0.9274</v>
      </c>
      <c r="E28980" s="26">
        <v>1.01E-2</v>
      </c>
      <c r="F28980" s="26">
        <v>1.8700000000000001E-2</v>
      </c>
      <c r="G28980" s="26">
        <v>9.5999999999999992E-3</v>
      </c>
      <c r="H28980" s="26">
        <v>1.6000000000000001E-3</v>
      </c>
      <c r="I28980" s="26">
        <v>1.7100000000000001E-2</v>
      </c>
      <c r="J28980" s="26">
        <v>9.1000000000000004E-3</v>
      </c>
      <c r="L28980" s="26">
        <v>1.1000000000000001E-3</v>
      </c>
      <c r="M28980" s="26">
        <v>1.01E-2</v>
      </c>
      <c r="O28980" s="26">
        <v>2.0999999999999999E-3</v>
      </c>
      <c r="P28980" s="26">
        <v>2.0999999999999999E-3</v>
      </c>
      <c r="Q28980" s="26">
        <v>1.1000000000000001E-3</v>
      </c>
      <c r="R28980">
        <v>275</v>
      </c>
    </row>
    <row r="28981" spans="1:18" x14ac:dyDescent="0.35">
      <c r="A28981" t="s">
        <v>229</v>
      </c>
      <c r="B28981" t="s">
        <v>1341</v>
      </c>
      <c r="C28981" t="s">
        <v>1346</v>
      </c>
      <c r="D28981" s="26">
        <v>1</v>
      </c>
      <c r="R28981">
        <v>53</v>
      </c>
    </row>
    <row r="28982" spans="1:18" x14ac:dyDescent="0.35">
      <c r="A28982" t="s">
        <v>229</v>
      </c>
      <c r="B28982" t="s">
        <v>1341</v>
      </c>
      <c r="C28982" t="s">
        <v>1347</v>
      </c>
      <c r="D28982" s="26">
        <v>0.97560000000000002</v>
      </c>
      <c r="E28982" s="26">
        <v>2.5999999999999999E-3</v>
      </c>
      <c r="F28982" s="26">
        <v>6.6E-3</v>
      </c>
      <c r="G28982" s="26">
        <v>1.09E-2</v>
      </c>
      <c r="I28982" s="26">
        <v>3.3E-3</v>
      </c>
      <c r="J28982" s="26">
        <v>6.6E-3</v>
      </c>
      <c r="K28982" s="26">
        <v>6.6E-3</v>
      </c>
      <c r="M28982" s="26">
        <v>8.9999999999999998E-4</v>
      </c>
      <c r="N28982" s="26">
        <v>8.9999999999999998E-4</v>
      </c>
      <c r="R28982">
        <v>103</v>
      </c>
    </row>
    <row r="28983" spans="1:18" x14ac:dyDescent="0.35">
      <c r="A28983" t="s">
        <v>229</v>
      </c>
      <c r="B28983" t="s">
        <v>1343</v>
      </c>
      <c r="C28983" t="s">
        <v>1346</v>
      </c>
      <c r="D28983" s="26">
        <v>0.90069999999999995</v>
      </c>
      <c r="E28983" s="26">
        <v>2.2599999999999999E-2</v>
      </c>
      <c r="F28983" s="26">
        <v>6.3299999999999995E-2</v>
      </c>
      <c r="G28983" s="26">
        <v>5.5999999999999999E-3</v>
      </c>
      <c r="I28983" s="26">
        <v>2.2000000000000001E-3</v>
      </c>
      <c r="J28983" s="26">
        <v>2.2000000000000001E-3</v>
      </c>
      <c r="Q28983" s="26">
        <v>4.4999999999999997E-3</v>
      </c>
      <c r="R28983">
        <v>130</v>
      </c>
    </row>
    <row r="28984" spans="1:18" x14ac:dyDescent="0.35">
      <c r="A28984" t="s">
        <v>229</v>
      </c>
      <c r="B28984" t="s">
        <v>1343</v>
      </c>
      <c r="C28984" t="s">
        <v>1347</v>
      </c>
      <c r="D28984" s="26">
        <v>0.93359999999999999</v>
      </c>
      <c r="E28984" s="26">
        <v>1.5599999999999999E-2</v>
      </c>
      <c r="F28984" s="26">
        <v>1.7000000000000001E-2</v>
      </c>
      <c r="G28984" s="26">
        <v>1.2999999999999999E-2</v>
      </c>
      <c r="H28984" s="26">
        <v>2.9100000000000001E-2</v>
      </c>
      <c r="I28984" s="26">
        <v>1.6999999999999999E-3</v>
      </c>
      <c r="J28984" s="26">
        <v>3.5000000000000001E-3</v>
      </c>
      <c r="M28984" s="26">
        <v>5.0000000000000001E-4</v>
      </c>
      <c r="R28984">
        <v>198</v>
      </c>
    </row>
    <row r="28985" spans="1:18" x14ac:dyDescent="0.35">
      <c r="A28985" s="27" t="s">
        <v>229</v>
      </c>
      <c r="B28985" s="27" t="s">
        <v>1341</v>
      </c>
      <c r="C28985" s="27" t="s">
        <v>1345</v>
      </c>
      <c r="D28985" s="28">
        <v>1</v>
      </c>
      <c r="E28985" s="29"/>
      <c r="F28985" s="29"/>
      <c r="G28985" s="29"/>
      <c r="H28985" s="29"/>
      <c r="I28985" s="29"/>
      <c r="J28985" s="29"/>
      <c r="K28985" s="29"/>
      <c r="L28985" s="29"/>
      <c r="M28985" s="29"/>
      <c r="N28985" s="29"/>
      <c r="O28985" s="29"/>
      <c r="P28985" s="29"/>
      <c r="Q28985" s="29"/>
      <c r="R28985" s="29" t="s">
        <v>334</v>
      </c>
    </row>
    <row r="28986" spans="1:18" x14ac:dyDescent="0.35">
      <c r="A28986" s="27" t="s">
        <v>229</v>
      </c>
      <c r="B28986" s="27" t="s">
        <v>1343</v>
      </c>
      <c r="C28986" s="27" t="s">
        <v>1345</v>
      </c>
      <c r="D28986" s="28">
        <v>0.97470000000000001</v>
      </c>
      <c r="E28986" s="28">
        <v>5.7000000000000002E-3</v>
      </c>
      <c r="F28986" s="28">
        <v>1.9599999999999999E-2</v>
      </c>
      <c r="G28986" s="29"/>
      <c r="H28986" s="29"/>
      <c r="I28986" s="29"/>
      <c r="J28986" s="29"/>
      <c r="K28986" s="29"/>
      <c r="L28986" s="29"/>
      <c r="M28986" s="29"/>
      <c r="N28986" s="29"/>
      <c r="O28986" s="29"/>
      <c r="P28986" s="29"/>
      <c r="Q28986" s="29"/>
      <c r="R28986" s="29" t="s">
        <v>343</v>
      </c>
    </row>
    <row r="28987" spans="1:18" x14ac:dyDescent="0.35">
      <c r="A28987" t="s">
        <v>229</v>
      </c>
      <c r="B28987" t="s">
        <v>1341</v>
      </c>
      <c r="C28987" t="s">
        <v>1348</v>
      </c>
      <c r="D28987" s="26">
        <v>0.94120000000000004</v>
      </c>
      <c r="F28987" s="26">
        <v>3.9199999999999999E-2</v>
      </c>
      <c r="G28987" s="26">
        <v>1.9599999999999999E-2</v>
      </c>
      <c r="H28987" s="26">
        <v>1.9599999999999999E-2</v>
      </c>
      <c r="J28987" s="26">
        <v>3.9199999999999999E-2</v>
      </c>
      <c r="L28987" s="26">
        <v>1.9599999999999999E-2</v>
      </c>
      <c r="M28987" s="26">
        <v>1.9599999999999999E-2</v>
      </c>
      <c r="N28987" s="26">
        <v>1.9599999999999999E-2</v>
      </c>
      <c r="R28987">
        <v>106</v>
      </c>
    </row>
    <row r="28988" spans="1:18" x14ac:dyDescent="0.35">
      <c r="A28988" t="s">
        <v>230</v>
      </c>
      <c r="B28988" t="s">
        <v>1343</v>
      </c>
      <c r="C28988" t="s">
        <v>1346</v>
      </c>
      <c r="D28988" s="26">
        <v>0.92259999999999998</v>
      </c>
      <c r="E28988" s="26">
        <v>5.7999999999999996E-3</v>
      </c>
      <c r="F28988" s="26">
        <v>5.8999999999999999E-3</v>
      </c>
      <c r="G28988" s="26">
        <v>1.9199999999999998E-2</v>
      </c>
      <c r="K28988" s="26">
        <v>3.49E-2</v>
      </c>
      <c r="M28988" s="26">
        <v>3.49E-2</v>
      </c>
      <c r="N28988" s="26">
        <v>5.8999999999999999E-3</v>
      </c>
      <c r="Q28988" s="26">
        <v>1.1599999999999999E-2</v>
      </c>
      <c r="R28988">
        <v>110</v>
      </c>
    </row>
    <row r="28989" spans="1:18" x14ac:dyDescent="0.35">
      <c r="A28989" s="27" t="s">
        <v>230</v>
      </c>
      <c r="B28989" s="27" t="s">
        <v>1341</v>
      </c>
      <c r="C28989" s="27" t="s">
        <v>1345</v>
      </c>
      <c r="D28989" s="28">
        <v>1</v>
      </c>
      <c r="E28989" s="29"/>
      <c r="F28989" s="29"/>
      <c r="G28989" s="29"/>
      <c r="H28989" s="29"/>
      <c r="I28989" s="29"/>
      <c r="J28989" s="29"/>
      <c r="K28989" s="29"/>
      <c r="L28989" s="29"/>
      <c r="M28989" s="29"/>
      <c r="N28989" s="29"/>
      <c r="O28989" s="29"/>
      <c r="P28989" s="29"/>
      <c r="Q28989" s="29"/>
      <c r="R28989" s="29" t="s">
        <v>337</v>
      </c>
    </row>
    <row r="28990" spans="1:18" x14ac:dyDescent="0.35">
      <c r="A28990" t="s">
        <v>230</v>
      </c>
      <c r="B28990" t="s">
        <v>1343</v>
      </c>
      <c r="C28990" t="s">
        <v>1348</v>
      </c>
      <c r="D28990" s="26">
        <v>0.97089999999999999</v>
      </c>
      <c r="F28990" s="26">
        <v>2.5999999999999999E-3</v>
      </c>
      <c r="G28990" s="26">
        <v>6.0000000000000001E-3</v>
      </c>
      <c r="H28990" s="26">
        <v>1.55E-2</v>
      </c>
      <c r="I28990" s="26">
        <v>1.7100000000000001E-2</v>
      </c>
      <c r="J28990" s="26">
        <v>3.3E-3</v>
      </c>
      <c r="K28990" s="26">
        <v>1.6299999999999999E-2</v>
      </c>
      <c r="R28990">
        <v>184</v>
      </c>
    </row>
    <row r="28991" spans="1:18" x14ac:dyDescent="0.35">
      <c r="A28991" t="s">
        <v>230</v>
      </c>
      <c r="B28991" t="s">
        <v>1343</v>
      </c>
      <c r="C28991" t="s">
        <v>1347</v>
      </c>
      <c r="D28991" s="26">
        <v>0.92179999999999995</v>
      </c>
      <c r="F28991" s="26">
        <v>2.93E-2</v>
      </c>
      <c r="J28991" s="26">
        <v>3.4099999999999998E-2</v>
      </c>
      <c r="L28991" s="26">
        <v>4.7999999999999996E-3</v>
      </c>
      <c r="M28991" s="26">
        <v>4.7999999999999996E-3</v>
      </c>
      <c r="N28991" s="26">
        <v>4.7999999999999996E-3</v>
      </c>
      <c r="O28991" s="26">
        <v>4.8999999999999998E-3</v>
      </c>
      <c r="Q28991" s="26">
        <v>4.8999999999999998E-3</v>
      </c>
      <c r="R28991">
        <v>105</v>
      </c>
    </row>
    <row r="28992" spans="1:18" x14ac:dyDescent="0.35">
      <c r="A28992" t="s">
        <v>230</v>
      </c>
      <c r="B28992" t="s">
        <v>1341</v>
      </c>
      <c r="C28992" t="s">
        <v>1348</v>
      </c>
      <c r="D28992" s="26">
        <v>0.99350000000000005</v>
      </c>
      <c r="G28992" s="26">
        <v>6.4999999999999997E-3</v>
      </c>
      <c r="R28992">
        <v>74</v>
      </c>
    </row>
    <row r="28993" spans="1:18" x14ac:dyDescent="0.35">
      <c r="A28993" t="s">
        <v>230</v>
      </c>
      <c r="B28993" t="s">
        <v>1341</v>
      </c>
      <c r="C28993" t="s">
        <v>1347</v>
      </c>
      <c r="D28993" s="26">
        <v>0.99709999999999999</v>
      </c>
      <c r="I28993" s="26">
        <v>2.8999999999999998E-3</v>
      </c>
      <c r="R28993">
        <v>47</v>
      </c>
    </row>
    <row r="28994" spans="1:18" x14ac:dyDescent="0.35">
      <c r="A28994" s="27" t="s">
        <v>230</v>
      </c>
      <c r="B28994" s="27" t="s">
        <v>1343</v>
      </c>
      <c r="C28994" s="27" t="s">
        <v>1345</v>
      </c>
      <c r="D28994" s="28">
        <v>1</v>
      </c>
      <c r="E28994" s="29"/>
      <c r="F28994" s="29"/>
      <c r="G28994" s="29"/>
      <c r="H28994" s="29"/>
      <c r="I28994" s="29"/>
      <c r="J28994" s="29"/>
      <c r="K28994" s="29"/>
      <c r="L28994" s="29"/>
      <c r="M28994" s="29"/>
      <c r="N28994" s="29"/>
      <c r="O28994" s="29"/>
      <c r="P28994" s="29"/>
      <c r="Q28994" s="29"/>
      <c r="R28994" s="29" t="s">
        <v>337</v>
      </c>
    </row>
    <row r="28995" spans="1:18" x14ac:dyDescent="0.35">
      <c r="A28995" t="s">
        <v>230</v>
      </c>
      <c r="B28995" t="s">
        <v>1341</v>
      </c>
      <c r="C28995" t="s">
        <v>1346</v>
      </c>
      <c r="D28995" s="26">
        <v>0.90129999999999999</v>
      </c>
      <c r="F28995" s="26">
        <v>8.4699999999999998E-2</v>
      </c>
      <c r="N28995" s="26">
        <v>1.4E-2</v>
      </c>
      <c r="R28995">
        <v>30</v>
      </c>
    </row>
    <row r="28996" spans="1:18" x14ac:dyDescent="0.35">
      <c r="A28996" t="s">
        <v>231</v>
      </c>
      <c r="B28996" t="s">
        <v>1343</v>
      </c>
      <c r="C28996" t="s">
        <v>1348</v>
      </c>
      <c r="D28996" s="26">
        <v>0.92</v>
      </c>
      <c r="E28996" s="26">
        <v>0.04</v>
      </c>
      <c r="G28996" s="26">
        <v>0.02</v>
      </c>
      <c r="I28996" s="26">
        <v>0.02</v>
      </c>
      <c r="R28996">
        <v>50</v>
      </c>
    </row>
    <row r="28997" spans="1:18" x14ac:dyDescent="0.35">
      <c r="A28997" s="27" t="s">
        <v>231</v>
      </c>
      <c r="B28997" s="27" t="s">
        <v>1343</v>
      </c>
      <c r="C28997" s="27" t="s">
        <v>1345</v>
      </c>
      <c r="D28997" s="28">
        <v>0.66669999999999996</v>
      </c>
      <c r="E28997" s="29"/>
      <c r="F28997" s="29"/>
      <c r="G28997" s="29"/>
      <c r="H28997" s="29"/>
      <c r="I28997" s="29"/>
      <c r="J28997" s="29"/>
      <c r="K28997" s="29"/>
      <c r="L28997" s="29"/>
      <c r="M28997" s="29"/>
      <c r="N28997" s="29"/>
      <c r="O28997" s="28">
        <v>0.33329999999999999</v>
      </c>
      <c r="P28997" s="29"/>
      <c r="Q28997" s="29"/>
      <c r="R28997" s="29" t="s">
        <v>315</v>
      </c>
    </row>
    <row r="28998" spans="1:18" x14ac:dyDescent="0.35">
      <c r="A28998" t="s">
        <v>231</v>
      </c>
      <c r="B28998" t="s">
        <v>1341</v>
      </c>
      <c r="C28998" t="s">
        <v>1348</v>
      </c>
      <c r="D28998" s="26">
        <v>0.94289999999999996</v>
      </c>
      <c r="E28998" s="26">
        <v>5.7099999999999998E-2</v>
      </c>
      <c r="R28998">
        <v>35</v>
      </c>
    </row>
    <row r="28999" spans="1:18" x14ac:dyDescent="0.35">
      <c r="A28999" s="27" t="s">
        <v>231</v>
      </c>
      <c r="B28999" s="27" t="s">
        <v>1341</v>
      </c>
      <c r="C28999" s="27" t="s">
        <v>1345</v>
      </c>
      <c r="D28999" s="28">
        <v>1</v>
      </c>
      <c r="E28999" s="29"/>
      <c r="F28999" s="29"/>
      <c r="G28999" s="29"/>
      <c r="H28999" s="29"/>
      <c r="I28999" s="29"/>
      <c r="J28999" s="29"/>
      <c r="K28999" s="29"/>
      <c r="L28999" s="29"/>
      <c r="M28999" s="29"/>
      <c r="N28999" s="29"/>
      <c r="O28999" s="29"/>
      <c r="P28999" s="29"/>
      <c r="Q28999" s="29"/>
      <c r="R28999" s="29" t="s">
        <v>331</v>
      </c>
    </row>
    <row r="29000" spans="1:18" x14ac:dyDescent="0.35">
      <c r="A29000" s="27" t="s">
        <v>231</v>
      </c>
      <c r="B29000" s="27" t="s">
        <v>1343</v>
      </c>
      <c r="C29000" s="27" t="s">
        <v>1346</v>
      </c>
      <c r="D29000" s="28">
        <v>0.84619999999999995</v>
      </c>
      <c r="E29000" s="28">
        <v>3.85E-2</v>
      </c>
      <c r="F29000" s="29"/>
      <c r="G29000" s="28">
        <v>3.85E-2</v>
      </c>
      <c r="H29000" s="28">
        <v>3.85E-2</v>
      </c>
      <c r="I29000" s="29"/>
      <c r="J29000" s="29"/>
      <c r="K29000" s="28">
        <v>3.85E-2</v>
      </c>
      <c r="L29000" s="28">
        <v>3.85E-2</v>
      </c>
      <c r="M29000" s="29"/>
      <c r="N29000" s="29"/>
      <c r="O29000" s="29"/>
      <c r="P29000" s="29"/>
      <c r="Q29000" s="29"/>
      <c r="R29000" s="29" t="s">
        <v>357</v>
      </c>
    </row>
    <row r="29001" spans="1:18" x14ac:dyDescent="0.35">
      <c r="A29001" s="27" t="s">
        <v>231</v>
      </c>
      <c r="B29001" s="27" t="s">
        <v>1341</v>
      </c>
      <c r="C29001" s="27" t="s">
        <v>1346</v>
      </c>
      <c r="D29001" s="28">
        <v>1</v>
      </c>
      <c r="E29001" s="29"/>
      <c r="F29001" s="29"/>
      <c r="G29001" s="29"/>
      <c r="H29001" s="29"/>
      <c r="I29001" s="29"/>
      <c r="J29001" s="29"/>
      <c r="K29001" s="29"/>
      <c r="L29001" s="29"/>
      <c r="M29001" s="29"/>
      <c r="N29001" s="29"/>
      <c r="O29001" s="29"/>
      <c r="P29001" s="29"/>
      <c r="Q29001" s="29"/>
      <c r="R29001" s="29" t="s">
        <v>379</v>
      </c>
    </row>
    <row r="29002" spans="1:18" x14ac:dyDescent="0.35">
      <c r="A29002" s="27" t="s">
        <v>231</v>
      </c>
      <c r="B29002" s="27" t="s">
        <v>1341</v>
      </c>
      <c r="C29002" s="27" t="s">
        <v>1347</v>
      </c>
      <c r="D29002" s="28">
        <v>1</v>
      </c>
      <c r="E29002" s="29"/>
      <c r="F29002" s="29"/>
      <c r="G29002" s="29"/>
      <c r="H29002" s="29"/>
      <c r="I29002" s="29"/>
      <c r="J29002" s="29"/>
      <c r="K29002" s="29"/>
      <c r="L29002" s="29"/>
      <c r="M29002" s="29"/>
      <c r="N29002" s="29"/>
      <c r="O29002" s="29"/>
      <c r="P29002" s="29"/>
      <c r="Q29002" s="29"/>
      <c r="R29002" s="29" t="s">
        <v>379</v>
      </c>
    </row>
    <row r="29003" spans="1:18" x14ac:dyDescent="0.35">
      <c r="A29003" s="27" t="s">
        <v>231</v>
      </c>
      <c r="B29003" s="27" t="s">
        <v>1343</v>
      </c>
      <c r="C29003" s="27" t="s">
        <v>1347</v>
      </c>
      <c r="D29003" s="28">
        <v>0.9</v>
      </c>
      <c r="E29003" s="29"/>
      <c r="F29003" s="29"/>
      <c r="G29003" s="29"/>
      <c r="H29003" s="29"/>
      <c r="I29003" s="29"/>
      <c r="J29003" s="29"/>
      <c r="K29003" s="29"/>
      <c r="L29003" s="28">
        <v>0.05</v>
      </c>
      <c r="M29003" s="29"/>
      <c r="N29003" s="28">
        <v>0.05</v>
      </c>
      <c r="O29003" s="29"/>
      <c r="P29003" s="28">
        <v>0.05</v>
      </c>
      <c r="Q29003" s="29"/>
      <c r="R29003" s="29" t="s">
        <v>350</v>
      </c>
    </row>
    <row r="29004" spans="1:18" x14ac:dyDescent="0.35">
      <c r="A29004" t="s">
        <v>232</v>
      </c>
      <c r="B29004" t="s">
        <v>232</v>
      </c>
      <c r="C29004" t="s">
        <v>232</v>
      </c>
      <c r="D29004" s="26">
        <v>0.93640000000000001</v>
      </c>
      <c r="E29004" s="26">
        <v>1.35E-2</v>
      </c>
      <c r="F29004" s="26">
        <v>1.09E-2</v>
      </c>
      <c r="G29004" s="26">
        <v>1.0500000000000001E-2</v>
      </c>
      <c r="H29004" s="26">
        <v>7.1000000000000004E-3</v>
      </c>
      <c r="I29004" s="26">
        <v>6.4000000000000003E-3</v>
      </c>
      <c r="J29004" s="26">
        <v>6.4000000000000003E-3</v>
      </c>
      <c r="K29004" s="26">
        <v>4.7000000000000002E-3</v>
      </c>
      <c r="L29004" s="26">
        <v>4.7000000000000002E-3</v>
      </c>
      <c r="M29004" s="26">
        <v>3.7000000000000002E-3</v>
      </c>
      <c r="N29004" s="26">
        <v>3.0999999999999999E-3</v>
      </c>
      <c r="O29004" s="26">
        <v>3.0000000000000001E-3</v>
      </c>
      <c r="P29004" s="26">
        <v>1.9E-3</v>
      </c>
      <c r="Q29004" s="26">
        <v>1.6999999999999999E-3</v>
      </c>
      <c r="R29004">
        <v>2802</v>
      </c>
    </row>
    <row r="29006" spans="1:18" x14ac:dyDescent="0.35">
      <c r="A29006" s="1" t="s">
        <v>2592</v>
      </c>
    </row>
    <row r="29007" spans="1:18" x14ac:dyDescent="0.35">
      <c r="A29007" t="s">
        <v>219</v>
      </c>
      <c r="B29007" t="s">
        <v>550</v>
      </c>
      <c r="C29007" t="s">
        <v>281</v>
      </c>
      <c r="D29007" t="s">
        <v>2593</v>
      </c>
      <c r="E29007" t="s">
        <v>2594</v>
      </c>
      <c r="F29007" t="s">
        <v>2595</v>
      </c>
      <c r="G29007" t="s">
        <v>2596</v>
      </c>
      <c r="H29007" t="s">
        <v>2597</v>
      </c>
      <c r="I29007" t="s">
        <v>2598</v>
      </c>
      <c r="J29007" t="s">
        <v>2599</v>
      </c>
      <c r="K29007" t="s">
        <v>2600</v>
      </c>
      <c r="L29007" t="s">
        <v>2601</v>
      </c>
      <c r="M29007" t="s">
        <v>2602</v>
      </c>
      <c r="N29007" t="s">
        <v>2603</v>
      </c>
      <c r="O29007" t="s">
        <v>2604</v>
      </c>
      <c r="P29007" t="s">
        <v>2026</v>
      </c>
      <c r="Q29007" t="s">
        <v>326</v>
      </c>
      <c r="R29007" t="s">
        <v>226</v>
      </c>
    </row>
    <row r="29008" spans="1:18" x14ac:dyDescent="0.35">
      <c r="A29008" t="s">
        <v>227</v>
      </c>
      <c r="B29008" s="26">
        <v>0.45340000000000003</v>
      </c>
      <c r="C29008" s="26">
        <v>0.32300000000000001</v>
      </c>
      <c r="D29008" s="26">
        <v>6.83E-2</v>
      </c>
      <c r="E29008" s="26">
        <v>7.4499999999999997E-2</v>
      </c>
      <c r="F29008" s="26">
        <v>6.2100000000000002E-2</v>
      </c>
      <c r="G29008" s="26">
        <v>4.3499999999999997E-2</v>
      </c>
      <c r="H29008" s="26">
        <v>2.4799999999999999E-2</v>
      </c>
      <c r="I29008" s="26">
        <v>3.73E-2</v>
      </c>
      <c r="J29008" s="26">
        <v>3.1099999999999999E-2</v>
      </c>
      <c r="K29008" s="26">
        <v>3.73E-2</v>
      </c>
      <c r="L29008" s="26">
        <v>2.4799999999999999E-2</v>
      </c>
      <c r="M29008" s="26">
        <v>4.3499999999999997E-2</v>
      </c>
      <c r="N29008" s="26">
        <v>3.73E-2</v>
      </c>
      <c r="O29008" s="26">
        <v>1.24E-2</v>
      </c>
      <c r="R29008">
        <v>161</v>
      </c>
    </row>
    <row r="29009" spans="1:19" x14ac:dyDescent="0.35">
      <c r="A29009" t="s">
        <v>228</v>
      </c>
      <c r="B29009" s="26">
        <v>0.45629999999999998</v>
      </c>
      <c r="C29009" s="26">
        <v>0.31090000000000001</v>
      </c>
      <c r="D29009" s="26">
        <v>7.8299999999999995E-2</v>
      </c>
      <c r="E29009" s="26">
        <v>6.5299999999999997E-2</v>
      </c>
      <c r="F29009" s="26">
        <v>6.0600000000000001E-2</v>
      </c>
      <c r="G29009" s="26">
        <v>0.04</v>
      </c>
      <c r="H29009" s="26">
        <v>4.4699999999999997E-2</v>
      </c>
      <c r="I29009" s="26">
        <v>4.0899999999999999E-2</v>
      </c>
      <c r="J29009" s="26">
        <v>2.5499999999999998E-2</v>
      </c>
      <c r="K29009" s="26">
        <v>1.9599999999999999E-2</v>
      </c>
      <c r="L29009" s="26">
        <v>2.76E-2</v>
      </c>
      <c r="M29009" s="26">
        <v>1.3299999999999999E-2</v>
      </c>
      <c r="N29009" s="26">
        <v>2.06E-2</v>
      </c>
      <c r="O29009" s="26">
        <v>1.7899999999999999E-2</v>
      </c>
      <c r="P29009" s="26">
        <v>7.1999999999999998E-3</v>
      </c>
      <c r="Q29009" s="26">
        <v>8.0000000000000004E-4</v>
      </c>
      <c r="R29009">
        <v>1032</v>
      </c>
    </row>
    <row r="29010" spans="1:19" x14ac:dyDescent="0.35">
      <c r="A29010" t="s">
        <v>229</v>
      </c>
      <c r="B29010" s="26">
        <v>0.42530000000000001</v>
      </c>
      <c r="C29010" s="26">
        <v>0.33600000000000002</v>
      </c>
      <c r="D29010" s="26">
        <v>9.0300000000000005E-2</v>
      </c>
      <c r="E29010" s="26">
        <v>6.7199999999999996E-2</v>
      </c>
      <c r="F29010" s="26">
        <v>7.6399999999999996E-2</v>
      </c>
      <c r="G29010" s="26">
        <v>5.5899999999999998E-2</v>
      </c>
      <c r="H29010" s="26">
        <v>4.6899999999999997E-2</v>
      </c>
      <c r="I29010" s="26">
        <v>5.0200000000000002E-2</v>
      </c>
      <c r="J29010" s="26">
        <v>4.24E-2</v>
      </c>
      <c r="K29010" s="26">
        <v>3.7900000000000003E-2</v>
      </c>
      <c r="L29010" s="26">
        <v>3.7400000000000003E-2</v>
      </c>
      <c r="M29010" s="26">
        <v>4.1000000000000002E-2</v>
      </c>
      <c r="N29010" s="26">
        <v>2.6100000000000002E-2</v>
      </c>
      <c r="O29010" s="26">
        <v>2.63E-2</v>
      </c>
      <c r="P29010" s="26">
        <v>1.8E-3</v>
      </c>
      <c r="Q29010" s="26">
        <v>2.5000000000000001E-3</v>
      </c>
      <c r="R29010">
        <v>893</v>
      </c>
    </row>
    <row r="29011" spans="1:19" x14ac:dyDescent="0.35">
      <c r="A29011" t="s">
        <v>230</v>
      </c>
      <c r="B29011" s="26">
        <v>0.43149999999999999</v>
      </c>
      <c r="C29011" s="26">
        <v>0.31759999999999999</v>
      </c>
      <c r="D29011" s="26">
        <v>7.6700000000000004E-2</v>
      </c>
      <c r="E29011" s="26">
        <v>7.3499999999999996E-2</v>
      </c>
      <c r="F29011" s="26">
        <v>8.7599999999999997E-2</v>
      </c>
      <c r="G29011" s="26">
        <v>4.6399999999999997E-2</v>
      </c>
      <c r="H29011" s="26">
        <v>4.7899999999999998E-2</v>
      </c>
      <c r="I29011" s="26">
        <v>4.6899999999999997E-2</v>
      </c>
      <c r="J29011" s="26">
        <v>3.7400000000000003E-2</v>
      </c>
      <c r="K29011" s="26">
        <v>3.4299999999999997E-2</v>
      </c>
      <c r="L29011" s="26">
        <v>5.1200000000000002E-2</v>
      </c>
      <c r="M29011" s="26">
        <v>2.5000000000000001E-2</v>
      </c>
      <c r="N29011" s="26">
        <v>5.3100000000000001E-2</v>
      </c>
      <c r="O29011" s="26">
        <v>2.4799999999999999E-2</v>
      </c>
      <c r="P29011" s="26">
        <v>3.5999999999999999E-3</v>
      </c>
      <c r="R29011">
        <v>560</v>
      </c>
    </row>
    <row r="29012" spans="1:19" x14ac:dyDescent="0.35">
      <c r="A29012" t="s">
        <v>231</v>
      </c>
      <c r="B29012" s="26">
        <v>0.49390000000000001</v>
      </c>
      <c r="C29012" s="26">
        <v>0.29880000000000001</v>
      </c>
      <c r="D29012" s="26">
        <v>8.5400000000000004E-2</v>
      </c>
      <c r="E29012" s="26">
        <v>4.8800000000000003E-2</v>
      </c>
      <c r="F29012" s="26">
        <v>4.2700000000000002E-2</v>
      </c>
      <c r="G29012" s="26">
        <v>2.4400000000000002E-2</v>
      </c>
      <c r="H29012" s="26">
        <v>3.6600000000000001E-2</v>
      </c>
      <c r="I29012" s="26">
        <v>2.4400000000000002E-2</v>
      </c>
      <c r="J29012" s="26">
        <v>1.2200000000000001E-2</v>
      </c>
      <c r="K29012" s="26">
        <v>1.83E-2</v>
      </c>
      <c r="L29012" s="26">
        <v>1.2200000000000001E-2</v>
      </c>
      <c r="M29012" s="26">
        <v>1.2200000000000001E-2</v>
      </c>
      <c r="N29012" s="26">
        <v>1.2200000000000001E-2</v>
      </c>
      <c r="O29012" s="26">
        <v>1.83E-2</v>
      </c>
      <c r="P29012" s="26">
        <v>6.1000000000000004E-3</v>
      </c>
      <c r="R29012">
        <v>164</v>
      </c>
    </row>
    <row r="29013" spans="1:19" x14ac:dyDescent="0.35">
      <c r="A29013" t="s">
        <v>232</v>
      </c>
      <c r="B29013" s="26">
        <v>0.45500000000000002</v>
      </c>
      <c r="C29013" s="26">
        <v>0.31719999999999998</v>
      </c>
      <c r="D29013" s="26">
        <v>8.2000000000000003E-2</v>
      </c>
      <c r="E29013" s="26">
        <v>6.3500000000000001E-2</v>
      </c>
      <c r="F29013" s="26">
        <v>6.3E-2</v>
      </c>
      <c r="G29013" s="26">
        <v>4.1399999999999999E-2</v>
      </c>
      <c r="H29013" s="26">
        <v>4.0399999999999998E-2</v>
      </c>
      <c r="I29013" s="26">
        <v>3.9E-2</v>
      </c>
      <c r="J29013" s="26">
        <v>2.87E-2</v>
      </c>
      <c r="K29013" s="26">
        <v>2.8500000000000001E-2</v>
      </c>
      <c r="L29013" s="26">
        <v>2.8000000000000001E-2</v>
      </c>
      <c r="M29013" s="26">
        <v>2.6599999999999999E-2</v>
      </c>
      <c r="N29013" s="26">
        <v>2.5499999999999998E-2</v>
      </c>
      <c r="O29013" s="26">
        <v>2.0199999999999999E-2</v>
      </c>
      <c r="P29013" s="26">
        <v>3.8999999999999998E-3</v>
      </c>
      <c r="Q29013" s="26">
        <v>8.9999999999999998E-4</v>
      </c>
      <c r="R29013">
        <v>2810</v>
      </c>
    </row>
    <row r="29015" spans="1:19" x14ac:dyDescent="0.35">
      <c r="A29015" s="1" t="s">
        <v>2605</v>
      </c>
    </row>
    <row r="29016" spans="1:19" x14ac:dyDescent="0.35">
      <c r="A29016" t="s">
        <v>219</v>
      </c>
      <c r="B29016" t="s">
        <v>305</v>
      </c>
      <c r="C29016" t="s">
        <v>550</v>
      </c>
      <c r="D29016" t="s">
        <v>281</v>
      </c>
      <c r="E29016" t="s">
        <v>2593</v>
      </c>
      <c r="F29016" t="s">
        <v>2594</v>
      </c>
      <c r="G29016" t="s">
        <v>2595</v>
      </c>
      <c r="H29016" t="s">
        <v>2596</v>
      </c>
      <c r="I29016" t="s">
        <v>2597</v>
      </c>
      <c r="J29016" t="s">
        <v>2598</v>
      </c>
      <c r="K29016" t="s">
        <v>2599</v>
      </c>
      <c r="L29016" t="s">
        <v>2600</v>
      </c>
      <c r="M29016" t="s">
        <v>2601</v>
      </c>
      <c r="N29016" t="s">
        <v>2602</v>
      </c>
      <c r="O29016" t="s">
        <v>2603</v>
      </c>
      <c r="P29016" t="s">
        <v>2604</v>
      </c>
      <c r="Q29016" t="s">
        <v>2026</v>
      </c>
      <c r="R29016" t="s">
        <v>326</v>
      </c>
      <c r="S29016" t="s">
        <v>226</v>
      </c>
    </row>
    <row r="29017" spans="1:19" x14ac:dyDescent="0.35">
      <c r="A29017" t="s">
        <v>227</v>
      </c>
      <c r="B29017" t="s">
        <v>242</v>
      </c>
      <c r="C29017" s="26">
        <v>0.48530000000000001</v>
      </c>
      <c r="D29017" s="26">
        <v>0.3382</v>
      </c>
      <c r="E29017" s="26">
        <v>4.41E-2</v>
      </c>
      <c r="F29017" s="26">
        <v>4.41E-2</v>
      </c>
      <c r="G29017" s="26">
        <v>4.41E-2</v>
      </c>
      <c r="H29017" s="26">
        <v>2.9399999999999999E-2</v>
      </c>
      <c r="J29017" s="26">
        <v>1.47E-2</v>
      </c>
      <c r="K29017" s="26">
        <v>2.9399999999999999E-2</v>
      </c>
      <c r="L29017" s="26">
        <v>2.9399999999999999E-2</v>
      </c>
      <c r="O29017" s="26">
        <v>1.47E-2</v>
      </c>
      <c r="S29017">
        <v>68</v>
      </c>
    </row>
    <row r="29018" spans="1:19" x14ac:dyDescent="0.35">
      <c r="A29018" t="s">
        <v>227</v>
      </c>
      <c r="B29018" t="s">
        <v>241</v>
      </c>
      <c r="C29018" s="26">
        <v>0.43009999999999998</v>
      </c>
      <c r="D29018" s="26">
        <v>0.31180000000000002</v>
      </c>
      <c r="E29018" s="26">
        <v>8.5999999999999993E-2</v>
      </c>
      <c r="F29018" s="26">
        <v>9.6799999999999997E-2</v>
      </c>
      <c r="G29018" s="26">
        <v>7.5300000000000006E-2</v>
      </c>
      <c r="H29018" s="26">
        <v>5.3800000000000001E-2</v>
      </c>
      <c r="I29018" s="26">
        <v>4.2999999999999997E-2</v>
      </c>
      <c r="J29018" s="26">
        <v>5.3800000000000001E-2</v>
      </c>
      <c r="K29018" s="26">
        <v>3.2300000000000002E-2</v>
      </c>
      <c r="L29018" s="26">
        <v>4.2999999999999997E-2</v>
      </c>
      <c r="M29018" s="26">
        <v>4.2999999999999997E-2</v>
      </c>
      <c r="N29018" s="26">
        <v>7.5300000000000006E-2</v>
      </c>
      <c r="O29018" s="26">
        <v>5.3800000000000001E-2</v>
      </c>
      <c r="P29018" s="26">
        <v>2.1499999999999998E-2</v>
      </c>
      <c r="S29018">
        <v>93</v>
      </c>
    </row>
    <row r="29019" spans="1:19" x14ac:dyDescent="0.35">
      <c r="A29019" t="s">
        <v>228</v>
      </c>
      <c r="B29019" t="s">
        <v>242</v>
      </c>
      <c r="C29019" s="26">
        <v>0.44009999999999999</v>
      </c>
      <c r="D29019" s="26">
        <v>0.29530000000000001</v>
      </c>
      <c r="E29019" s="26">
        <v>7.6399999999999996E-2</v>
      </c>
      <c r="F29019" s="26">
        <v>8.8200000000000001E-2</v>
      </c>
      <c r="G29019" s="26">
        <v>7.3300000000000004E-2</v>
      </c>
      <c r="H29019" s="26">
        <v>4.48E-2</v>
      </c>
      <c r="I29019" s="26">
        <v>5.3900000000000003E-2</v>
      </c>
      <c r="J29019" s="26">
        <v>6.3899999999999998E-2</v>
      </c>
      <c r="K29019" s="26">
        <v>2.5600000000000001E-2</v>
      </c>
      <c r="L29019" s="26">
        <v>2.3199999999999998E-2</v>
      </c>
      <c r="M29019" s="26">
        <v>3.9800000000000002E-2</v>
      </c>
      <c r="N29019" s="26">
        <v>9.1999999999999998E-3</v>
      </c>
      <c r="O29019" s="26">
        <v>2.7799999999999998E-2</v>
      </c>
      <c r="P29019" s="26">
        <v>1.5599999999999999E-2</v>
      </c>
      <c r="Q29019" s="26">
        <v>1.2200000000000001E-2</v>
      </c>
      <c r="S29019">
        <v>401</v>
      </c>
    </row>
    <row r="29020" spans="1:19" x14ac:dyDescent="0.35">
      <c r="A29020" t="s">
        <v>228</v>
      </c>
      <c r="B29020" t="s">
        <v>241</v>
      </c>
      <c r="C29020" s="26">
        <v>0.46560000000000001</v>
      </c>
      <c r="D29020" s="26">
        <v>0.31979999999999997</v>
      </c>
      <c r="E29020" s="26">
        <v>7.9299999999999995E-2</v>
      </c>
      <c r="F29020" s="26">
        <v>5.2299999999999999E-2</v>
      </c>
      <c r="G29020" s="26">
        <v>5.3400000000000003E-2</v>
      </c>
      <c r="H29020" s="26">
        <v>3.7199999999999997E-2</v>
      </c>
      <c r="I29020" s="26">
        <v>3.95E-2</v>
      </c>
      <c r="J29020" s="26">
        <v>2.7699999999999999E-2</v>
      </c>
      <c r="K29020" s="26">
        <v>2.5499999999999998E-2</v>
      </c>
      <c r="L29020" s="26">
        <v>1.7399999999999999E-2</v>
      </c>
      <c r="M29020" s="26">
        <v>2.06E-2</v>
      </c>
      <c r="N29020" s="26">
        <v>1.5699999999999999E-2</v>
      </c>
      <c r="O29020" s="26">
        <v>1.6500000000000001E-2</v>
      </c>
      <c r="P29020" s="26">
        <v>1.9199999999999998E-2</v>
      </c>
      <c r="Q29020" s="26">
        <v>4.4000000000000003E-3</v>
      </c>
      <c r="R29020" s="26">
        <v>1.2999999999999999E-3</v>
      </c>
      <c r="S29020">
        <v>631</v>
      </c>
    </row>
    <row r="29021" spans="1:19" x14ac:dyDescent="0.35">
      <c r="A29021" t="s">
        <v>229</v>
      </c>
      <c r="B29021" t="s">
        <v>242</v>
      </c>
      <c r="C29021" s="26">
        <v>0.41589999999999999</v>
      </c>
      <c r="D29021" s="26">
        <v>0.3493</v>
      </c>
      <c r="E29021" s="26">
        <v>8.0799999999999997E-2</v>
      </c>
      <c r="F29021" s="26">
        <v>8.3000000000000004E-2</v>
      </c>
      <c r="G29021" s="26">
        <v>6.8099999999999994E-2</v>
      </c>
      <c r="H29021" s="26">
        <v>6.2E-2</v>
      </c>
      <c r="I29021" s="26">
        <v>5.0900000000000001E-2</v>
      </c>
      <c r="J29021" s="26">
        <v>4.4900000000000002E-2</v>
      </c>
      <c r="K29021" s="26">
        <v>4.3099999999999999E-2</v>
      </c>
      <c r="L29021" s="26">
        <v>3.1199999999999999E-2</v>
      </c>
      <c r="M29021" s="26">
        <v>3.6999999999999998E-2</v>
      </c>
      <c r="N29021" s="26">
        <v>3.3799999999999997E-2</v>
      </c>
      <c r="O29021" s="26">
        <v>2.6700000000000002E-2</v>
      </c>
      <c r="P29021" s="26">
        <v>2.8899999999999999E-2</v>
      </c>
      <c r="Q29021" s="26">
        <v>1.5E-3</v>
      </c>
      <c r="R29021" s="26">
        <v>6.4000000000000003E-3</v>
      </c>
      <c r="S29021">
        <v>292</v>
      </c>
    </row>
    <row r="29022" spans="1:19" x14ac:dyDescent="0.35">
      <c r="A29022" t="s">
        <v>229</v>
      </c>
      <c r="B29022" t="s">
        <v>241</v>
      </c>
      <c r="C29022" s="26">
        <v>0.43130000000000002</v>
      </c>
      <c r="D29022" s="26">
        <v>0.32750000000000001</v>
      </c>
      <c r="E29022" s="26">
        <v>9.64E-2</v>
      </c>
      <c r="F29022" s="26">
        <v>5.7099999999999998E-2</v>
      </c>
      <c r="G29022" s="26">
        <v>8.1699999999999995E-2</v>
      </c>
      <c r="H29022" s="26">
        <v>5.1999999999999998E-2</v>
      </c>
      <c r="I29022" s="26">
        <v>4.4400000000000002E-2</v>
      </c>
      <c r="J29022" s="26">
        <v>5.3600000000000002E-2</v>
      </c>
      <c r="K29022" s="26">
        <v>4.2000000000000003E-2</v>
      </c>
      <c r="L29022" s="26">
        <v>4.2299999999999997E-2</v>
      </c>
      <c r="M29022" s="26">
        <v>3.7699999999999997E-2</v>
      </c>
      <c r="N29022" s="26">
        <v>4.5699999999999998E-2</v>
      </c>
      <c r="O29022" s="26">
        <v>2.5600000000000001E-2</v>
      </c>
      <c r="P29022" s="26">
        <v>2.46E-2</v>
      </c>
      <c r="Q29022" s="26">
        <v>1.9E-3</v>
      </c>
      <c r="S29022">
        <v>601</v>
      </c>
    </row>
    <row r="29023" spans="1:19" x14ac:dyDescent="0.35">
      <c r="A29023" t="s">
        <v>230</v>
      </c>
      <c r="B29023" t="s">
        <v>242</v>
      </c>
      <c r="C29023" s="26">
        <v>0.37659999999999999</v>
      </c>
      <c r="D29023" s="26">
        <v>0.31640000000000001</v>
      </c>
      <c r="E29023" s="26">
        <v>0.1031</v>
      </c>
      <c r="F29023" s="26">
        <v>9.1800000000000007E-2</v>
      </c>
      <c r="G29023" s="26">
        <v>0.1183</v>
      </c>
      <c r="H29023" s="26">
        <v>0.1077</v>
      </c>
      <c r="I29023" s="26">
        <v>6.3399999999999998E-2</v>
      </c>
      <c r="J29023" s="26">
        <v>5.9799999999999999E-2</v>
      </c>
      <c r="K29023" s="26">
        <v>4.4699999999999997E-2</v>
      </c>
      <c r="L29023" s="26">
        <v>4.24E-2</v>
      </c>
      <c r="M29023" s="26">
        <v>6.6000000000000003E-2</v>
      </c>
      <c r="N29023" s="26">
        <v>3.8699999999999998E-2</v>
      </c>
      <c r="O29023" s="26">
        <v>7.7700000000000005E-2</v>
      </c>
      <c r="P29023" s="26">
        <v>4.2099999999999999E-2</v>
      </c>
      <c r="Q29023" s="26">
        <v>8.0000000000000002E-3</v>
      </c>
      <c r="S29023">
        <v>189</v>
      </c>
    </row>
    <row r="29024" spans="1:19" x14ac:dyDescent="0.35">
      <c r="A29024" t="s">
        <v>230</v>
      </c>
      <c r="B29024" t="s">
        <v>241</v>
      </c>
      <c r="C29024" s="26">
        <v>0.45960000000000001</v>
      </c>
      <c r="D29024" s="26">
        <v>0.31819999999999998</v>
      </c>
      <c r="E29024" s="26">
        <v>6.3200000000000006E-2</v>
      </c>
      <c r="F29024" s="26">
        <v>6.4199999999999993E-2</v>
      </c>
      <c r="G29024" s="26">
        <v>7.1999999999999995E-2</v>
      </c>
      <c r="H29024" s="26">
        <v>1.4999999999999999E-2</v>
      </c>
      <c r="I29024" s="26">
        <v>3.9899999999999998E-2</v>
      </c>
      <c r="J29024" s="26">
        <v>4.0300000000000002E-2</v>
      </c>
      <c r="K29024" s="26">
        <v>3.3700000000000001E-2</v>
      </c>
      <c r="L29024" s="26">
        <v>3.0200000000000001E-2</v>
      </c>
      <c r="M29024" s="26">
        <v>4.36E-2</v>
      </c>
      <c r="N29024" s="26">
        <v>1.7999999999999999E-2</v>
      </c>
      <c r="O29024" s="26">
        <v>4.0500000000000001E-2</v>
      </c>
      <c r="P29024" s="26">
        <v>1.6E-2</v>
      </c>
      <c r="Q29024" s="26">
        <v>1.2999999999999999E-3</v>
      </c>
      <c r="S29024">
        <v>371</v>
      </c>
    </row>
    <row r="29025" spans="1:19" x14ac:dyDescent="0.35">
      <c r="A29025" t="s">
        <v>231</v>
      </c>
      <c r="B29025" t="s">
        <v>242</v>
      </c>
      <c r="C29025" s="26">
        <v>0.4259</v>
      </c>
      <c r="D29025" s="26">
        <v>0.33329999999999999</v>
      </c>
      <c r="E29025" s="26">
        <v>7.4099999999999999E-2</v>
      </c>
      <c r="F29025" s="26">
        <v>5.5599999999999997E-2</v>
      </c>
      <c r="G29025" s="26">
        <v>3.6999999999999998E-2</v>
      </c>
      <c r="H29025" s="26">
        <v>3.6999999999999998E-2</v>
      </c>
      <c r="I29025" s="26">
        <v>7.4099999999999999E-2</v>
      </c>
      <c r="J29025" s="26">
        <v>3.6999999999999998E-2</v>
      </c>
      <c r="K29025" s="26">
        <v>3.6999999999999998E-2</v>
      </c>
      <c r="L29025" s="26">
        <v>3.6999999999999998E-2</v>
      </c>
      <c r="M29025" s="26">
        <v>3.6999999999999998E-2</v>
      </c>
      <c r="P29025" s="26">
        <v>1.8499999999999999E-2</v>
      </c>
      <c r="S29025">
        <v>54</v>
      </c>
    </row>
    <row r="29026" spans="1:19" x14ac:dyDescent="0.35">
      <c r="A29026" t="s">
        <v>231</v>
      </c>
      <c r="B29026" t="s">
        <v>241</v>
      </c>
      <c r="C29026" s="26">
        <v>0.52729999999999999</v>
      </c>
      <c r="D29026" s="26">
        <v>0.28179999999999999</v>
      </c>
      <c r="E29026" s="26">
        <v>9.0899999999999995E-2</v>
      </c>
      <c r="F29026" s="26">
        <v>4.5499999999999999E-2</v>
      </c>
      <c r="G29026" s="26">
        <v>4.5499999999999999E-2</v>
      </c>
      <c r="H29026" s="26">
        <v>1.8200000000000001E-2</v>
      </c>
      <c r="I29026" s="26">
        <v>1.8200000000000001E-2</v>
      </c>
      <c r="J29026" s="26">
        <v>1.8200000000000001E-2</v>
      </c>
      <c r="L29026" s="26">
        <v>9.1000000000000004E-3</v>
      </c>
      <c r="N29026" s="26">
        <v>1.8200000000000001E-2</v>
      </c>
      <c r="O29026" s="26">
        <v>1.8200000000000001E-2</v>
      </c>
      <c r="P29026" s="26">
        <v>1.8200000000000001E-2</v>
      </c>
      <c r="Q29026" s="26">
        <v>9.1000000000000004E-3</v>
      </c>
      <c r="S29026">
        <v>110</v>
      </c>
    </row>
    <row r="29027" spans="1:19" x14ac:dyDescent="0.35">
      <c r="A29027" t="s">
        <v>232</v>
      </c>
      <c r="B29027" t="s">
        <v>232</v>
      </c>
      <c r="C29027" s="26">
        <v>0.45500000000000002</v>
      </c>
      <c r="D29027" s="26">
        <v>0.31719999999999998</v>
      </c>
      <c r="E29027" s="26">
        <v>8.2000000000000003E-2</v>
      </c>
      <c r="F29027" s="26">
        <v>6.3500000000000001E-2</v>
      </c>
      <c r="G29027" s="26">
        <v>6.3E-2</v>
      </c>
      <c r="H29027" s="26">
        <v>4.1399999999999999E-2</v>
      </c>
      <c r="I29027" s="26">
        <v>4.0399999999999998E-2</v>
      </c>
      <c r="J29027" s="26">
        <v>3.9E-2</v>
      </c>
      <c r="K29027" s="26">
        <v>2.87E-2</v>
      </c>
      <c r="L29027" s="26">
        <v>2.8500000000000001E-2</v>
      </c>
      <c r="M29027" s="26">
        <v>2.8000000000000001E-2</v>
      </c>
      <c r="N29027" s="26">
        <v>2.6599999999999999E-2</v>
      </c>
      <c r="O29027" s="26">
        <v>2.5499999999999998E-2</v>
      </c>
      <c r="P29027" s="26">
        <v>2.0199999999999999E-2</v>
      </c>
      <c r="Q29027" s="26">
        <v>3.8999999999999998E-3</v>
      </c>
      <c r="R29027" s="26">
        <v>8.9999999999999998E-4</v>
      </c>
      <c r="S29027">
        <v>2810</v>
      </c>
    </row>
    <row r="29029" spans="1:19" x14ac:dyDescent="0.35">
      <c r="A29029" s="1" t="s">
        <v>2606</v>
      </c>
    </row>
    <row r="29030" spans="1:19" x14ac:dyDescent="0.35">
      <c r="A29030" t="s">
        <v>219</v>
      </c>
      <c r="B29030" t="s">
        <v>305</v>
      </c>
      <c r="C29030" t="s">
        <v>550</v>
      </c>
      <c r="D29030" t="s">
        <v>281</v>
      </c>
      <c r="E29030" t="s">
        <v>2593</v>
      </c>
      <c r="F29030" t="s">
        <v>2594</v>
      </c>
      <c r="G29030" t="s">
        <v>2595</v>
      </c>
      <c r="H29030" t="s">
        <v>2596</v>
      </c>
      <c r="I29030" t="s">
        <v>2597</v>
      </c>
      <c r="J29030" t="s">
        <v>2598</v>
      </c>
      <c r="K29030" t="s">
        <v>2599</v>
      </c>
      <c r="L29030" t="s">
        <v>2600</v>
      </c>
      <c r="M29030" t="s">
        <v>2601</v>
      </c>
      <c r="N29030" t="s">
        <v>2602</v>
      </c>
      <c r="O29030" t="s">
        <v>2603</v>
      </c>
      <c r="P29030" t="s">
        <v>2604</v>
      </c>
      <c r="Q29030" t="s">
        <v>2026</v>
      </c>
      <c r="R29030" t="s">
        <v>326</v>
      </c>
      <c r="S29030" t="s">
        <v>226</v>
      </c>
    </row>
    <row r="29031" spans="1:19" x14ac:dyDescent="0.35">
      <c r="A29031" t="s">
        <v>227</v>
      </c>
      <c r="B29031" t="s">
        <v>239</v>
      </c>
      <c r="C29031" s="26">
        <v>0.4194</v>
      </c>
      <c r="D29031" s="26">
        <v>0.3548</v>
      </c>
      <c r="E29031" s="26">
        <v>4.8399999999999999E-2</v>
      </c>
      <c r="F29031" s="26">
        <v>6.4500000000000002E-2</v>
      </c>
      <c r="G29031" s="26">
        <v>6.4500000000000002E-2</v>
      </c>
      <c r="I29031" s="26">
        <v>1.61E-2</v>
      </c>
      <c r="J29031" s="26">
        <v>3.2300000000000002E-2</v>
      </c>
      <c r="K29031" s="26">
        <v>1.61E-2</v>
      </c>
      <c r="L29031" s="26">
        <v>1.61E-2</v>
      </c>
      <c r="M29031" s="26">
        <v>1.61E-2</v>
      </c>
      <c r="N29031" s="26">
        <v>1.61E-2</v>
      </c>
      <c r="O29031" s="26">
        <v>4.8399999999999999E-2</v>
      </c>
      <c r="S29031">
        <v>62</v>
      </c>
    </row>
    <row r="29032" spans="1:19" x14ac:dyDescent="0.35">
      <c r="A29032" t="s">
        <v>227</v>
      </c>
      <c r="B29032" t="s">
        <v>238</v>
      </c>
      <c r="C29032" s="26">
        <v>0.47470000000000001</v>
      </c>
      <c r="D29032" s="26">
        <v>0.30299999999999999</v>
      </c>
      <c r="E29032" s="26">
        <v>8.0799999999999997E-2</v>
      </c>
      <c r="F29032" s="26">
        <v>8.0799999999999997E-2</v>
      </c>
      <c r="G29032" s="26">
        <v>6.0600000000000001E-2</v>
      </c>
      <c r="H29032" s="26">
        <v>7.0699999999999999E-2</v>
      </c>
      <c r="I29032" s="26">
        <v>3.0300000000000001E-2</v>
      </c>
      <c r="J29032" s="26">
        <v>4.0399999999999998E-2</v>
      </c>
      <c r="K29032" s="26">
        <v>4.0399999999999998E-2</v>
      </c>
      <c r="L29032" s="26">
        <v>5.0500000000000003E-2</v>
      </c>
      <c r="M29032" s="26">
        <v>3.0300000000000001E-2</v>
      </c>
      <c r="N29032" s="26">
        <v>6.0600000000000001E-2</v>
      </c>
      <c r="O29032" s="26">
        <v>3.0300000000000001E-2</v>
      </c>
      <c r="P29032" s="26">
        <v>2.0199999999999999E-2</v>
      </c>
      <c r="S29032">
        <v>99</v>
      </c>
    </row>
    <row r="29033" spans="1:19" x14ac:dyDescent="0.35">
      <c r="A29033" t="s">
        <v>228</v>
      </c>
      <c r="B29033" t="s">
        <v>239</v>
      </c>
      <c r="C29033" s="26">
        <v>0.43099999999999999</v>
      </c>
      <c r="D29033" s="26">
        <v>0.32879999999999998</v>
      </c>
      <c r="E29033" s="26">
        <v>6.1199999999999997E-2</v>
      </c>
      <c r="F29033" s="26">
        <v>8.8300000000000003E-2</v>
      </c>
      <c r="G29033" s="26">
        <v>5.4399999999999997E-2</v>
      </c>
      <c r="H29033" s="26">
        <v>2.87E-2</v>
      </c>
      <c r="I29033" s="26">
        <v>3.95E-2</v>
      </c>
      <c r="J29033" s="26">
        <v>3.9699999999999999E-2</v>
      </c>
      <c r="K29033" s="26">
        <v>1.7999999999999999E-2</v>
      </c>
      <c r="L29033" s="26">
        <v>9.1999999999999998E-3</v>
      </c>
      <c r="M29033" s="26">
        <v>2.18E-2</v>
      </c>
      <c r="N29033" s="26">
        <v>5.7999999999999996E-3</v>
      </c>
      <c r="O29033" s="26">
        <v>8.0999999999999996E-3</v>
      </c>
      <c r="P29033" s="26">
        <v>2.0400000000000001E-2</v>
      </c>
      <c r="Q29033" s="26">
        <v>2.7000000000000001E-3</v>
      </c>
      <c r="R29033" s="26">
        <v>4.0000000000000001E-3</v>
      </c>
      <c r="S29033">
        <v>330</v>
      </c>
    </row>
    <row r="29034" spans="1:19" x14ac:dyDescent="0.35">
      <c r="A29034" t="s">
        <v>228</v>
      </c>
      <c r="B29034" t="s">
        <v>238</v>
      </c>
      <c r="C29034" s="26">
        <v>0.46289999999999998</v>
      </c>
      <c r="D29034" s="26">
        <v>0.30630000000000002</v>
      </c>
      <c r="E29034" s="26">
        <v>8.2699999999999996E-2</v>
      </c>
      <c r="F29034" s="26">
        <v>5.9400000000000001E-2</v>
      </c>
      <c r="G29034" s="26">
        <v>6.2199999999999998E-2</v>
      </c>
      <c r="H29034" s="26">
        <v>4.2900000000000001E-2</v>
      </c>
      <c r="I29034" s="26">
        <v>4.6100000000000002E-2</v>
      </c>
      <c r="J29034" s="26">
        <v>4.1200000000000001E-2</v>
      </c>
      <c r="K29034" s="26">
        <v>2.75E-2</v>
      </c>
      <c r="L29034" s="26">
        <v>2.23E-2</v>
      </c>
      <c r="M29034" s="26">
        <v>2.9100000000000001E-2</v>
      </c>
      <c r="N29034" s="26">
        <v>1.5299999999999999E-2</v>
      </c>
      <c r="O29034" s="26">
        <v>2.3900000000000001E-2</v>
      </c>
      <c r="P29034" s="26">
        <v>1.72E-2</v>
      </c>
      <c r="Q29034" s="26">
        <v>8.3999999999999995E-3</v>
      </c>
      <c r="S29034">
        <v>702</v>
      </c>
    </row>
    <row r="29035" spans="1:19" x14ac:dyDescent="0.35">
      <c r="A29035" t="s">
        <v>229</v>
      </c>
      <c r="B29035" t="s">
        <v>239</v>
      </c>
      <c r="C29035" s="26">
        <v>0.31879999999999997</v>
      </c>
      <c r="D29035" s="26">
        <v>0.37359999999999999</v>
      </c>
      <c r="E29035" s="26">
        <v>0.1177</v>
      </c>
      <c r="F29035" s="26">
        <v>0.1043</v>
      </c>
      <c r="G29035" s="26">
        <v>0.1014</v>
      </c>
      <c r="H29035" s="26">
        <v>6.2E-2</v>
      </c>
      <c r="I29035" s="26">
        <v>5.9200000000000003E-2</v>
      </c>
      <c r="J29035" s="26">
        <v>9.1700000000000004E-2</v>
      </c>
      <c r="K29035" s="26">
        <v>5.9799999999999999E-2</v>
      </c>
      <c r="L29035" s="26">
        <v>7.2300000000000003E-2</v>
      </c>
      <c r="M29035" s="26">
        <v>8.7499999999999994E-2</v>
      </c>
      <c r="N29035" s="26">
        <v>5.9499999999999997E-2</v>
      </c>
      <c r="O29035" s="26">
        <v>6.5500000000000003E-2</v>
      </c>
      <c r="P29035" s="26">
        <v>5.8200000000000002E-2</v>
      </c>
      <c r="Q29035" s="26">
        <v>4.8999999999999998E-3</v>
      </c>
      <c r="R29035" s="26">
        <v>9.7999999999999997E-3</v>
      </c>
      <c r="S29035">
        <v>332</v>
      </c>
    </row>
    <row r="29036" spans="1:19" x14ac:dyDescent="0.35">
      <c r="A29036" t="s">
        <v>229</v>
      </c>
      <c r="B29036" t="s">
        <v>238</v>
      </c>
      <c r="C29036" s="26">
        <v>0.4617</v>
      </c>
      <c r="D29036" s="26">
        <v>0.3231</v>
      </c>
      <c r="E29036" s="26">
        <v>8.09E-2</v>
      </c>
      <c r="F29036" s="26">
        <v>5.45E-2</v>
      </c>
      <c r="G29036" s="26">
        <v>6.7799999999999999E-2</v>
      </c>
      <c r="H29036" s="26">
        <v>5.3800000000000001E-2</v>
      </c>
      <c r="I29036" s="26">
        <v>4.2799999999999998E-2</v>
      </c>
      <c r="J29036" s="26">
        <v>3.5999999999999997E-2</v>
      </c>
      <c r="K29036" s="26">
        <v>3.6499999999999998E-2</v>
      </c>
      <c r="L29036" s="26">
        <v>2.6200000000000001E-2</v>
      </c>
      <c r="M29036" s="26">
        <v>2.0299999999999999E-2</v>
      </c>
      <c r="N29036" s="26">
        <v>3.4700000000000002E-2</v>
      </c>
      <c r="O29036" s="26">
        <v>1.26E-2</v>
      </c>
      <c r="P29036" s="26">
        <v>1.5299999999999999E-2</v>
      </c>
      <c r="Q29036" s="26">
        <v>6.9999999999999999E-4</v>
      </c>
      <c r="S29036">
        <v>561</v>
      </c>
    </row>
    <row r="29037" spans="1:19" x14ac:dyDescent="0.35">
      <c r="A29037" t="s">
        <v>230</v>
      </c>
      <c r="B29037" t="s">
        <v>239</v>
      </c>
      <c r="C29037" s="26">
        <v>0.36749999999999999</v>
      </c>
      <c r="D29037" s="26">
        <v>0.28699999999999998</v>
      </c>
      <c r="E29037" s="26">
        <v>8.72E-2</v>
      </c>
      <c r="F29037" s="26">
        <v>9.5100000000000004E-2</v>
      </c>
      <c r="G29037" s="26">
        <v>0.1172</v>
      </c>
      <c r="H29037" s="26">
        <v>4.0599999999999997E-2</v>
      </c>
      <c r="I29037" s="26">
        <v>3.6700000000000003E-2</v>
      </c>
      <c r="J29037" s="26">
        <v>3.3500000000000002E-2</v>
      </c>
      <c r="K29037" s="26">
        <v>6.4299999999999996E-2</v>
      </c>
      <c r="L29037" s="26">
        <v>4.7600000000000003E-2</v>
      </c>
      <c r="M29037" s="26">
        <v>9.0200000000000002E-2</v>
      </c>
      <c r="N29037" s="26">
        <v>1.7899999999999999E-2</v>
      </c>
      <c r="O29037" s="26">
        <v>4.7600000000000003E-2</v>
      </c>
      <c r="P29037" s="26">
        <v>2.4400000000000002E-2</v>
      </c>
      <c r="Q29037" s="26">
        <v>6.0000000000000001E-3</v>
      </c>
      <c r="S29037">
        <v>211</v>
      </c>
    </row>
    <row r="29038" spans="1:19" x14ac:dyDescent="0.35">
      <c r="A29038" t="s">
        <v>230</v>
      </c>
      <c r="B29038" t="s">
        <v>238</v>
      </c>
      <c r="C29038" s="26">
        <v>0.45910000000000001</v>
      </c>
      <c r="D29038" s="26">
        <v>0.33079999999999998</v>
      </c>
      <c r="E29038" s="26">
        <v>7.22E-2</v>
      </c>
      <c r="F29038" s="26">
        <v>6.4299999999999996E-2</v>
      </c>
      <c r="G29038" s="26">
        <v>7.4899999999999994E-2</v>
      </c>
      <c r="H29038" s="26">
        <v>4.8899999999999999E-2</v>
      </c>
      <c r="I29038" s="26">
        <v>5.2699999999999997E-2</v>
      </c>
      <c r="J29038" s="26">
        <v>5.2699999999999997E-2</v>
      </c>
      <c r="K29038" s="26">
        <v>2.58E-2</v>
      </c>
      <c r="L29038" s="26">
        <v>2.86E-2</v>
      </c>
      <c r="M29038" s="26">
        <v>3.44E-2</v>
      </c>
      <c r="N29038" s="26">
        <v>2.81E-2</v>
      </c>
      <c r="O29038" s="26">
        <v>5.5399999999999998E-2</v>
      </c>
      <c r="P29038" s="26">
        <v>2.5000000000000001E-2</v>
      </c>
      <c r="Q29038" s="26">
        <v>2.5000000000000001E-3</v>
      </c>
      <c r="S29038">
        <v>349</v>
      </c>
    </row>
    <row r="29039" spans="1:19" x14ac:dyDescent="0.35">
      <c r="A29039" t="s">
        <v>231</v>
      </c>
      <c r="B29039" t="s">
        <v>239</v>
      </c>
      <c r="C29039" s="26">
        <v>0.43859999999999999</v>
      </c>
      <c r="D29039" s="26">
        <v>0.26319999999999999</v>
      </c>
      <c r="E29039" s="26">
        <v>3.5099999999999999E-2</v>
      </c>
      <c r="F29039" s="26">
        <v>3.5099999999999999E-2</v>
      </c>
      <c r="G29039" s="26">
        <v>7.0199999999999999E-2</v>
      </c>
      <c r="H29039" s="26">
        <v>3.5099999999999999E-2</v>
      </c>
      <c r="I29039" s="26">
        <v>7.0199999999999999E-2</v>
      </c>
      <c r="J29039" s="26">
        <v>3.5099999999999999E-2</v>
      </c>
      <c r="K29039" s="26">
        <v>3.5099999999999999E-2</v>
      </c>
      <c r="L29039" s="26">
        <v>3.5099999999999999E-2</v>
      </c>
      <c r="M29039" s="26">
        <v>3.5099999999999999E-2</v>
      </c>
      <c r="P29039" s="26">
        <v>5.2600000000000001E-2</v>
      </c>
      <c r="Q29039" s="26">
        <v>1.7500000000000002E-2</v>
      </c>
      <c r="S29039">
        <v>57</v>
      </c>
    </row>
    <row r="29040" spans="1:19" x14ac:dyDescent="0.35">
      <c r="A29040" t="s">
        <v>231</v>
      </c>
      <c r="B29040" t="s">
        <v>238</v>
      </c>
      <c r="C29040" s="26">
        <v>0.52339999999999998</v>
      </c>
      <c r="D29040" s="26">
        <v>0.31780000000000003</v>
      </c>
      <c r="E29040" s="26">
        <v>0.11210000000000001</v>
      </c>
      <c r="F29040" s="26">
        <v>5.6099999999999997E-2</v>
      </c>
      <c r="G29040" s="26">
        <v>2.8000000000000001E-2</v>
      </c>
      <c r="H29040" s="26">
        <v>1.8700000000000001E-2</v>
      </c>
      <c r="I29040" s="26">
        <v>1.8700000000000001E-2</v>
      </c>
      <c r="J29040" s="26">
        <v>1.8700000000000001E-2</v>
      </c>
      <c r="L29040" s="26">
        <v>9.2999999999999992E-3</v>
      </c>
      <c r="N29040" s="26">
        <v>1.8700000000000001E-2</v>
      </c>
      <c r="O29040" s="26">
        <v>1.8700000000000001E-2</v>
      </c>
      <c r="S29040">
        <v>107</v>
      </c>
    </row>
    <row r="29041" spans="1:19" x14ac:dyDescent="0.35">
      <c r="A29041" t="s">
        <v>232</v>
      </c>
      <c r="B29041" t="s">
        <v>232</v>
      </c>
      <c r="C29041" s="26">
        <v>0.45500000000000002</v>
      </c>
      <c r="D29041" s="26">
        <v>0.31719999999999998</v>
      </c>
      <c r="E29041" s="26">
        <v>8.2000000000000003E-2</v>
      </c>
      <c r="F29041" s="26">
        <v>6.3500000000000001E-2</v>
      </c>
      <c r="G29041" s="26">
        <v>6.3E-2</v>
      </c>
      <c r="H29041" s="26">
        <v>4.1399999999999999E-2</v>
      </c>
      <c r="I29041" s="26">
        <v>4.0399999999999998E-2</v>
      </c>
      <c r="J29041" s="26">
        <v>3.9E-2</v>
      </c>
      <c r="K29041" s="26">
        <v>2.87E-2</v>
      </c>
      <c r="L29041" s="26">
        <v>2.8500000000000001E-2</v>
      </c>
      <c r="M29041" s="26">
        <v>2.8000000000000001E-2</v>
      </c>
      <c r="N29041" s="26">
        <v>2.6599999999999999E-2</v>
      </c>
      <c r="O29041" s="26">
        <v>2.5499999999999998E-2</v>
      </c>
      <c r="P29041" s="26">
        <v>2.0199999999999999E-2</v>
      </c>
      <c r="Q29041" s="26">
        <v>3.8999999999999998E-3</v>
      </c>
      <c r="R29041" s="26">
        <v>8.9999999999999998E-4</v>
      </c>
      <c r="S29041">
        <v>2810</v>
      </c>
    </row>
    <row r="29043" spans="1:19" x14ac:dyDescent="0.35">
      <c r="A29043" s="1" t="s">
        <v>2607</v>
      </c>
    </row>
    <row r="29044" spans="1:19" x14ac:dyDescent="0.35">
      <c r="A29044" t="s">
        <v>219</v>
      </c>
      <c r="B29044" t="s">
        <v>305</v>
      </c>
      <c r="C29044" t="s">
        <v>550</v>
      </c>
      <c r="D29044" t="s">
        <v>281</v>
      </c>
      <c r="E29044" t="s">
        <v>2593</v>
      </c>
      <c r="F29044" t="s">
        <v>2594</v>
      </c>
      <c r="G29044" t="s">
        <v>2595</v>
      </c>
      <c r="H29044" t="s">
        <v>2596</v>
      </c>
      <c r="I29044" t="s">
        <v>2597</v>
      </c>
      <c r="J29044" t="s">
        <v>2598</v>
      </c>
      <c r="K29044" t="s">
        <v>2599</v>
      </c>
      <c r="L29044" t="s">
        <v>2600</v>
      </c>
      <c r="M29044" t="s">
        <v>2601</v>
      </c>
      <c r="N29044" t="s">
        <v>2602</v>
      </c>
      <c r="O29044" t="s">
        <v>2603</v>
      </c>
      <c r="P29044" t="s">
        <v>2604</v>
      </c>
      <c r="Q29044" t="s">
        <v>2026</v>
      </c>
      <c r="R29044" t="s">
        <v>326</v>
      </c>
      <c r="S29044" t="s">
        <v>226</v>
      </c>
    </row>
    <row r="29045" spans="1:19" x14ac:dyDescent="0.35">
      <c r="A29045" t="s">
        <v>227</v>
      </c>
      <c r="B29045" t="s">
        <v>244</v>
      </c>
      <c r="C29045" s="26">
        <v>0.5</v>
      </c>
      <c r="D29045" s="26">
        <v>0.28120000000000001</v>
      </c>
      <c r="E29045" s="26">
        <v>0.1042</v>
      </c>
      <c r="F29045" s="26">
        <v>5.21E-2</v>
      </c>
      <c r="G29045" s="26">
        <v>7.2900000000000006E-2</v>
      </c>
      <c r="H29045" s="26">
        <v>5.21E-2</v>
      </c>
      <c r="I29045" s="26">
        <v>2.0799999999999999E-2</v>
      </c>
      <c r="J29045" s="26">
        <v>3.1199999999999999E-2</v>
      </c>
      <c r="K29045" s="26">
        <v>4.1700000000000001E-2</v>
      </c>
      <c r="L29045" s="26">
        <v>6.25E-2</v>
      </c>
      <c r="M29045" s="26">
        <v>3.1199999999999999E-2</v>
      </c>
      <c r="N29045" s="26">
        <v>6.25E-2</v>
      </c>
      <c r="O29045" s="26">
        <v>4.1700000000000001E-2</v>
      </c>
      <c r="P29045" s="26">
        <v>2.0799999999999999E-2</v>
      </c>
      <c r="S29045">
        <v>96</v>
      </c>
    </row>
    <row r="29046" spans="1:19" x14ac:dyDescent="0.35">
      <c r="A29046" t="s">
        <v>227</v>
      </c>
      <c r="B29046" t="s">
        <v>245</v>
      </c>
      <c r="C29046" s="26">
        <v>0.33960000000000001</v>
      </c>
      <c r="D29046" s="26">
        <v>0.41510000000000002</v>
      </c>
      <c r="E29046" s="26">
        <v>1.89E-2</v>
      </c>
      <c r="F29046" s="26">
        <v>0.1321</v>
      </c>
      <c r="G29046" s="26">
        <v>1.89E-2</v>
      </c>
      <c r="H29046" s="26">
        <v>3.7699999999999997E-2</v>
      </c>
      <c r="I29046" s="26">
        <v>3.7699999999999997E-2</v>
      </c>
      <c r="J29046" s="26">
        <v>5.6599999999999998E-2</v>
      </c>
      <c r="M29046" s="26">
        <v>1.89E-2</v>
      </c>
      <c r="N29046" s="26">
        <v>1.89E-2</v>
      </c>
      <c r="O29046" s="26">
        <v>3.7699999999999997E-2</v>
      </c>
      <c r="S29046">
        <v>53</v>
      </c>
    </row>
    <row r="29047" spans="1:19" x14ac:dyDescent="0.35">
      <c r="A29047" s="27" t="s">
        <v>227</v>
      </c>
      <c r="B29047" s="27" t="s">
        <v>246</v>
      </c>
      <c r="C29047" s="28">
        <v>0.58330000000000004</v>
      </c>
      <c r="D29047" s="28">
        <v>0.25</v>
      </c>
      <c r="E29047" s="29"/>
      <c r="F29047" s="29"/>
      <c r="G29047" s="28">
        <v>0.16669999999999999</v>
      </c>
      <c r="H29047" s="29"/>
      <c r="I29047" s="29"/>
      <c r="J29047" s="29"/>
      <c r="K29047" s="28">
        <v>8.3299999999999999E-2</v>
      </c>
      <c r="L29047" s="29"/>
      <c r="M29047" s="29"/>
      <c r="N29047" s="29"/>
      <c r="O29047" s="29"/>
      <c r="P29047" s="29"/>
      <c r="Q29047" s="29"/>
      <c r="R29047" s="29"/>
      <c r="S29047" s="29" t="s">
        <v>342</v>
      </c>
    </row>
    <row r="29048" spans="1:19" x14ac:dyDescent="0.35">
      <c r="A29048" t="s">
        <v>228</v>
      </c>
      <c r="B29048" t="s">
        <v>244</v>
      </c>
      <c r="C29048" s="26">
        <v>0.47310000000000002</v>
      </c>
      <c r="D29048" s="26">
        <v>0.28160000000000002</v>
      </c>
      <c r="E29048" s="26">
        <v>7.8299999999999995E-2</v>
      </c>
      <c r="F29048" s="26">
        <v>6.1699999999999998E-2</v>
      </c>
      <c r="G29048" s="26">
        <v>7.3599999999999999E-2</v>
      </c>
      <c r="H29048" s="26">
        <v>4.0500000000000001E-2</v>
      </c>
      <c r="I29048" s="26">
        <v>5.3699999999999998E-2</v>
      </c>
      <c r="J29048" s="26">
        <v>4.2000000000000003E-2</v>
      </c>
      <c r="K29048" s="26">
        <v>3.0800000000000001E-2</v>
      </c>
      <c r="L29048" s="26">
        <v>2.1700000000000001E-2</v>
      </c>
      <c r="M29048" s="26">
        <v>2.7900000000000001E-2</v>
      </c>
      <c r="N29048" s="26">
        <v>1.6299999999999999E-2</v>
      </c>
      <c r="O29048" s="26">
        <v>2.6599999999999999E-2</v>
      </c>
      <c r="P29048" s="26">
        <v>1.8599999999999998E-2</v>
      </c>
      <c r="Q29048" s="26">
        <v>1.0699999999999999E-2</v>
      </c>
      <c r="R29048" s="26">
        <v>1.2999999999999999E-3</v>
      </c>
      <c r="S29048">
        <v>638</v>
      </c>
    </row>
    <row r="29049" spans="1:19" x14ac:dyDescent="0.35">
      <c r="A29049" t="s">
        <v>228</v>
      </c>
      <c r="B29049" t="s">
        <v>245</v>
      </c>
      <c r="C29049" s="26">
        <v>0.38919999999999999</v>
      </c>
      <c r="D29049" s="26">
        <v>0.41670000000000001</v>
      </c>
      <c r="E29049" s="26">
        <v>6.8900000000000003E-2</v>
      </c>
      <c r="F29049" s="26">
        <v>6.25E-2</v>
      </c>
      <c r="G29049" s="26">
        <v>1.4200000000000001E-2</v>
      </c>
      <c r="H29049" s="26">
        <v>4.5199999999999997E-2</v>
      </c>
      <c r="I29049" s="26">
        <v>1.9300000000000001E-2</v>
      </c>
      <c r="J29049" s="26">
        <v>3.85E-2</v>
      </c>
      <c r="K29049" s="26">
        <v>1.0200000000000001E-2</v>
      </c>
      <c r="L29049" s="26">
        <v>1.9300000000000001E-2</v>
      </c>
      <c r="M29049" s="26">
        <v>2.3900000000000001E-2</v>
      </c>
      <c r="N29049" s="26">
        <v>9.4999999999999998E-3</v>
      </c>
      <c r="O29049" s="26">
        <v>1.03E-2</v>
      </c>
      <c r="P29049" s="26">
        <v>1.14E-2</v>
      </c>
      <c r="Q29049" s="26">
        <v>8.9999999999999998E-4</v>
      </c>
      <c r="S29049">
        <v>327</v>
      </c>
    </row>
    <row r="29050" spans="1:19" x14ac:dyDescent="0.35">
      <c r="A29050" t="s">
        <v>228</v>
      </c>
      <c r="B29050" t="s">
        <v>246</v>
      </c>
      <c r="C29050" s="26">
        <v>0.56840000000000002</v>
      </c>
      <c r="D29050" s="26">
        <v>0.16159999999999999</v>
      </c>
      <c r="E29050" s="26">
        <v>0.1159</v>
      </c>
      <c r="F29050" s="26">
        <v>0.1118</v>
      </c>
      <c r="G29050" s="26">
        <v>0.1241</v>
      </c>
      <c r="H29050" s="26">
        <v>1.4E-2</v>
      </c>
      <c r="I29050" s="26">
        <v>6.2399999999999997E-2</v>
      </c>
      <c r="J29050" s="26">
        <v>3.9399999999999998E-2</v>
      </c>
      <c r="K29050" s="26">
        <v>3.7699999999999997E-2</v>
      </c>
      <c r="M29050" s="26">
        <v>3.8800000000000001E-2</v>
      </c>
      <c r="O29050" s="26">
        <v>5.1999999999999998E-3</v>
      </c>
      <c r="P29050" s="26">
        <v>3.7199999999999997E-2</v>
      </c>
      <c r="S29050">
        <v>67</v>
      </c>
    </row>
    <row r="29051" spans="1:19" x14ac:dyDescent="0.35">
      <c r="A29051" t="s">
        <v>229</v>
      </c>
      <c r="B29051" t="s">
        <v>244</v>
      </c>
      <c r="C29051" s="26">
        <v>0.44729999999999998</v>
      </c>
      <c r="D29051" s="26">
        <v>0.31209999999999999</v>
      </c>
      <c r="E29051" s="26">
        <v>9.8599999999999993E-2</v>
      </c>
      <c r="F29051" s="26">
        <v>5.9900000000000002E-2</v>
      </c>
      <c r="G29051" s="26">
        <v>8.4599999999999995E-2</v>
      </c>
      <c r="H29051" s="26">
        <v>6.8400000000000002E-2</v>
      </c>
      <c r="I29051" s="26">
        <v>4.9799999999999997E-2</v>
      </c>
      <c r="J29051" s="26">
        <v>5.79E-2</v>
      </c>
      <c r="K29051" s="26">
        <v>4.5900000000000003E-2</v>
      </c>
      <c r="L29051" s="26">
        <v>3.2399999999999998E-2</v>
      </c>
      <c r="M29051" s="26">
        <v>4.2999999999999997E-2</v>
      </c>
      <c r="N29051" s="26">
        <v>4.2000000000000003E-2</v>
      </c>
      <c r="O29051" s="26">
        <v>3.04E-2</v>
      </c>
      <c r="P29051" s="26">
        <v>2.1899999999999999E-2</v>
      </c>
      <c r="Q29051" s="26">
        <v>2.3E-3</v>
      </c>
      <c r="R29051" s="26">
        <v>3.5999999999999999E-3</v>
      </c>
      <c r="S29051">
        <v>556</v>
      </c>
    </row>
    <row r="29052" spans="1:19" x14ac:dyDescent="0.35">
      <c r="A29052" t="s">
        <v>229</v>
      </c>
      <c r="B29052" t="s">
        <v>245</v>
      </c>
      <c r="C29052" s="26">
        <v>0.34300000000000003</v>
      </c>
      <c r="D29052" s="26">
        <v>0.42420000000000002</v>
      </c>
      <c r="E29052" s="26">
        <v>6.0400000000000002E-2</v>
      </c>
      <c r="F29052" s="26">
        <v>8.1500000000000003E-2</v>
      </c>
      <c r="G29052" s="26">
        <v>4.5600000000000002E-2</v>
      </c>
      <c r="H29052" s="26">
        <v>2.24E-2</v>
      </c>
      <c r="I29052" s="26">
        <v>2.7400000000000001E-2</v>
      </c>
      <c r="J29052" s="26">
        <v>2.7099999999999999E-2</v>
      </c>
      <c r="K29052" s="26">
        <v>2.2100000000000002E-2</v>
      </c>
      <c r="L29052" s="26">
        <v>4.9799999999999997E-2</v>
      </c>
      <c r="M29052" s="26">
        <v>7.3000000000000001E-3</v>
      </c>
      <c r="N29052" s="26">
        <v>2.58E-2</v>
      </c>
      <c r="O29052" s="26">
        <v>7.4000000000000003E-3</v>
      </c>
      <c r="P29052" s="26">
        <v>2.2499999999999999E-2</v>
      </c>
      <c r="Q29052" s="26">
        <v>6.9999999999999999E-4</v>
      </c>
      <c r="S29052">
        <v>292</v>
      </c>
    </row>
    <row r="29053" spans="1:19" x14ac:dyDescent="0.35">
      <c r="A29053" t="s">
        <v>229</v>
      </c>
      <c r="B29053" t="s">
        <v>246</v>
      </c>
      <c r="C29053" s="26">
        <v>0.53010000000000002</v>
      </c>
      <c r="D29053" s="26">
        <v>0.22739999999999999</v>
      </c>
      <c r="E29053" s="26">
        <v>0.12479999999999999</v>
      </c>
      <c r="F29053" s="26">
        <v>9.4200000000000006E-2</v>
      </c>
      <c r="G29053" s="26">
        <v>0.1153</v>
      </c>
      <c r="H29053" s="26">
        <v>5.21E-2</v>
      </c>
      <c r="I29053" s="26">
        <v>0.1023</v>
      </c>
      <c r="J29053" s="26">
        <v>0.06</v>
      </c>
      <c r="K29053" s="26">
        <v>9.4200000000000006E-2</v>
      </c>
      <c r="L29053" s="26">
        <v>5.3499999999999999E-2</v>
      </c>
      <c r="M29053" s="26">
        <v>0.1071</v>
      </c>
      <c r="N29053" s="26">
        <v>0.10100000000000001</v>
      </c>
      <c r="O29053" s="26">
        <v>5.8200000000000002E-2</v>
      </c>
      <c r="P29053" s="26">
        <v>0.10059999999999999</v>
      </c>
      <c r="S29053">
        <v>45</v>
      </c>
    </row>
    <row r="29054" spans="1:19" x14ac:dyDescent="0.35">
      <c r="A29054" t="s">
        <v>230</v>
      </c>
      <c r="B29054" t="s">
        <v>244</v>
      </c>
      <c r="C29054" s="26">
        <v>0.45650000000000002</v>
      </c>
      <c r="D29054" s="26">
        <v>0.25169999999999998</v>
      </c>
      <c r="E29054" s="26">
        <v>8.8200000000000001E-2</v>
      </c>
      <c r="F29054" s="26">
        <v>7.9699999999999993E-2</v>
      </c>
      <c r="G29054" s="26">
        <v>0.10249999999999999</v>
      </c>
      <c r="H29054" s="26">
        <v>5.7500000000000002E-2</v>
      </c>
      <c r="I29054" s="26">
        <v>5.5800000000000002E-2</v>
      </c>
      <c r="J29054" s="26">
        <v>5.3600000000000002E-2</v>
      </c>
      <c r="K29054" s="26">
        <v>4.9399999999999999E-2</v>
      </c>
      <c r="L29054" s="26">
        <v>4.7E-2</v>
      </c>
      <c r="M29054" s="26">
        <v>6.2E-2</v>
      </c>
      <c r="N29054" s="26">
        <v>3.61E-2</v>
      </c>
      <c r="O29054" s="26">
        <v>7.0699999999999999E-2</v>
      </c>
      <c r="P29054" s="26">
        <v>2.92E-2</v>
      </c>
      <c r="Q29054" s="26">
        <v>5.1999999999999998E-3</v>
      </c>
      <c r="S29054">
        <v>370</v>
      </c>
    </row>
    <row r="29055" spans="1:19" x14ac:dyDescent="0.35">
      <c r="A29055" t="s">
        <v>230</v>
      </c>
      <c r="B29055" t="s">
        <v>245</v>
      </c>
      <c r="C29055" s="26">
        <v>0.36409999999999998</v>
      </c>
      <c r="D29055" s="26">
        <v>0.48060000000000003</v>
      </c>
      <c r="E29055" s="26">
        <v>6.0299999999999999E-2</v>
      </c>
      <c r="F29055" s="26">
        <v>6.6400000000000001E-2</v>
      </c>
      <c r="G29055" s="26">
        <v>4.36E-2</v>
      </c>
      <c r="H29055" s="26">
        <v>2.52E-2</v>
      </c>
      <c r="I29055" s="26">
        <v>3.2199999999999999E-2</v>
      </c>
      <c r="J29055" s="26">
        <v>3.4200000000000001E-2</v>
      </c>
      <c r="K29055" s="26">
        <v>1.24E-2</v>
      </c>
      <c r="L29055" s="26">
        <v>6.8999999999999999E-3</v>
      </c>
      <c r="M29055" s="26">
        <v>7.9000000000000008E-3</v>
      </c>
      <c r="O29055" s="26">
        <v>8.0000000000000002E-3</v>
      </c>
      <c r="P29055" s="26">
        <v>1.6799999999999999E-2</v>
      </c>
      <c r="S29055">
        <v>161</v>
      </c>
    </row>
    <row r="29056" spans="1:19" x14ac:dyDescent="0.35">
      <c r="A29056" s="27" t="s">
        <v>230</v>
      </c>
      <c r="B29056" s="27" t="s">
        <v>246</v>
      </c>
      <c r="C29056" s="28">
        <v>0.43659999999999999</v>
      </c>
      <c r="D29056" s="28">
        <v>0.38569999999999999</v>
      </c>
      <c r="E29056" s="29"/>
      <c r="F29056" s="28">
        <v>2.4299999999999999E-2</v>
      </c>
      <c r="G29056" s="28">
        <v>0.1108</v>
      </c>
      <c r="H29056" s="29"/>
      <c r="I29056" s="28">
        <v>1.83E-2</v>
      </c>
      <c r="J29056" s="28">
        <v>1.83E-2</v>
      </c>
      <c r="K29056" s="29"/>
      <c r="L29056" s="29"/>
      <c r="M29056" s="28">
        <v>0.1295</v>
      </c>
      <c r="N29056" s="29"/>
      <c r="O29056" s="28">
        <v>4.2599999999999999E-2</v>
      </c>
      <c r="P29056" s="28">
        <v>5.5999999999999999E-3</v>
      </c>
      <c r="Q29056" s="29"/>
      <c r="R29056" s="29"/>
      <c r="S29056" s="29" t="s">
        <v>329</v>
      </c>
    </row>
    <row r="29057" spans="1:19" x14ac:dyDescent="0.35">
      <c r="A29057" t="s">
        <v>231</v>
      </c>
      <c r="B29057" t="s">
        <v>244</v>
      </c>
      <c r="C29057" s="26">
        <v>0.49469999999999997</v>
      </c>
      <c r="D29057" s="26">
        <v>0.26319999999999999</v>
      </c>
      <c r="E29057" s="26">
        <v>9.4700000000000006E-2</v>
      </c>
      <c r="F29057" s="26">
        <v>5.2600000000000001E-2</v>
      </c>
      <c r="G29057" s="26">
        <v>6.3200000000000006E-2</v>
      </c>
      <c r="H29057" s="26">
        <v>1.0500000000000001E-2</v>
      </c>
      <c r="I29057" s="26">
        <v>2.1100000000000001E-2</v>
      </c>
      <c r="J29057" s="26">
        <v>1.0500000000000001E-2</v>
      </c>
      <c r="K29057" s="26">
        <v>1.0500000000000001E-2</v>
      </c>
      <c r="L29057" s="26">
        <v>1.0500000000000001E-2</v>
      </c>
      <c r="M29057" s="26">
        <v>2.1100000000000001E-2</v>
      </c>
      <c r="O29057" s="26">
        <v>1.0500000000000001E-2</v>
      </c>
      <c r="P29057" s="26">
        <v>2.1100000000000001E-2</v>
      </c>
      <c r="Q29057" s="26">
        <v>1.0500000000000001E-2</v>
      </c>
      <c r="S29057">
        <v>95</v>
      </c>
    </row>
    <row r="29058" spans="1:19" x14ac:dyDescent="0.35">
      <c r="A29058" t="s">
        <v>231</v>
      </c>
      <c r="B29058" t="s">
        <v>245</v>
      </c>
      <c r="C29058" s="26">
        <v>0.41070000000000001</v>
      </c>
      <c r="D29058" s="26">
        <v>0.42859999999999998</v>
      </c>
      <c r="E29058" s="26">
        <v>8.9300000000000004E-2</v>
      </c>
      <c r="F29058" s="26">
        <v>5.3600000000000002E-2</v>
      </c>
      <c r="H29058" s="26">
        <v>5.3600000000000002E-2</v>
      </c>
      <c r="I29058" s="26">
        <v>7.1400000000000005E-2</v>
      </c>
      <c r="J29058" s="26">
        <v>5.3600000000000002E-2</v>
      </c>
      <c r="L29058" s="26">
        <v>1.7899999999999999E-2</v>
      </c>
      <c r="N29058" s="26">
        <v>1.7899999999999999E-2</v>
      </c>
      <c r="O29058" s="26">
        <v>1.7899999999999999E-2</v>
      </c>
      <c r="P29058" s="26">
        <v>1.7899999999999999E-2</v>
      </c>
      <c r="S29058">
        <v>56</v>
      </c>
    </row>
    <row r="29059" spans="1:19" x14ac:dyDescent="0.35">
      <c r="A29059" s="27" t="s">
        <v>231</v>
      </c>
      <c r="B29059" s="27" t="s">
        <v>246</v>
      </c>
      <c r="C29059" s="28">
        <v>0.84619999999999995</v>
      </c>
      <c r="D29059" s="29"/>
      <c r="E29059" s="29"/>
      <c r="F29059" s="29"/>
      <c r="G29059" s="28">
        <v>7.6899999999999996E-2</v>
      </c>
      <c r="H29059" s="29"/>
      <c r="I29059" s="29"/>
      <c r="J29059" s="29"/>
      <c r="K29059" s="28">
        <v>7.6899999999999996E-2</v>
      </c>
      <c r="L29059" s="28">
        <v>7.6899999999999996E-2</v>
      </c>
      <c r="M29059" s="29"/>
      <c r="N29059" s="28">
        <v>7.6899999999999996E-2</v>
      </c>
      <c r="O29059" s="29"/>
      <c r="P29059" s="29"/>
      <c r="Q29059" s="29"/>
      <c r="R29059" s="29"/>
      <c r="S29059" s="29" t="s">
        <v>341</v>
      </c>
    </row>
    <row r="29060" spans="1:19" x14ac:dyDescent="0.35">
      <c r="A29060" t="s">
        <v>232</v>
      </c>
      <c r="B29060" t="s">
        <v>232</v>
      </c>
      <c r="C29060" s="26">
        <v>0.45500000000000002</v>
      </c>
      <c r="D29060" s="26">
        <v>0.31719999999999998</v>
      </c>
      <c r="E29060" s="26">
        <v>8.2000000000000003E-2</v>
      </c>
      <c r="F29060" s="26">
        <v>6.3500000000000001E-2</v>
      </c>
      <c r="G29060" s="26">
        <v>6.3E-2</v>
      </c>
      <c r="H29060" s="26">
        <v>4.1399999999999999E-2</v>
      </c>
      <c r="I29060" s="26">
        <v>4.0399999999999998E-2</v>
      </c>
      <c r="J29060" s="26">
        <v>3.9E-2</v>
      </c>
      <c r="K29060" s="26">
        <v>2.87E-2</v>
      </c>
      <c r="L29060" s="26">
        <v>2.8500000000000001E-2</v>
      </c>
      <c r="M29060" s="26">
        <v>2.8000000000000001E-2</v>
      </c>
      <c r="N29060" s="26">
        <v>2.6599999999999999E-2</v>
      </c>
      <c r="O29060" s="26">
        <v>2.5499999999999998E-2</v>
      </c>
      <c r="P29060" s="26">
        <v>2.0199999999999999E-2</v>
      </c>
      <c r="Q29060" s="26">
        <v>3.8999999999999998E-3</v>
      </c>
      <c r="R29060" s="26">
        <v>8.9999999999999998E-4</v>
      </c>
      <c r="S29060">
        <v>2810</v>
      </c>
    </row>
    <row r="29062" spans="1:19" x14ac:dyDescent="0.35">
      <c r="A29062" s="1" t="s">
        <v>2608</v>
      </c>
    </row>
    <row r="29063" spans="1:19" x14ac:dyDescent="0.35">
      <c r="A29063" t="s">
        <v>219</v>
      </c>
      <c r="B29063" t="s">
        <v>305</v>
      </c>
      <c r="C29063" t="s">
        <v>550</v>
      </c>
      <c r="D29063" t="s">
        <v>281</v>
      </c>
      <c r="E29063" t="s">
        <v>2593</v>
      </c>
      <c r="F29063" t="s">
        <v>2594</v>
      </c>
      <c r="G29063" t="s">
        <v>2595</v>
      </c>
      <c r="H29063" t="s">
        <v>2596</v>
      </c>
      <c r="I29063" t="s">
        <v>2597</v>
      </c>
      <c r="J29063" t="s">
        <v>2598</v>
      </c>
      <c r="K29063" t="s">
        <v>2599</v>
      </c>
      <c r="L29063" t="s">
        <v>2600</v>
      </c>
      <c r="M29063" t="s">
        <v>2601</v>
      </c>
      <c r="N29063" t="s">
        <v>2602</v>
      </c>
      <c r="O29063" t="s">
        <v>2603</v>
      </c>
      <c r="P29063" t="s">
        <v>2604</v>
      </c>
      <c r="Q29063" t="s">
        <v>2026</v>
      </c>
      <c r="R29063" t="s">
        <v>326</v>
      </c>
      <c r="S29063" t="s">
        <v>226</v>
      </c>
    </row>
    <row r="29064" spans="1:19" x14ac:dyDescent="0.35">
      <c r="A29064" t="s">
        <v>227</v>
      </c>
      <c r="B29064" t="s">
        <v>360</v>
      </c>
      <c r="C29064" s="26">
        <v>0.46150000000000002</v>
      </c>
      <c r="D29064" s="26">
        <v>0.4103</v>
      </c>
      <c r="F29064" s="26">
        <v>7.6899999999999996E-2</v>
      </c>
      <c r="G29064" s="26">
        <v>2.5600000000000001E-2</v>
      </c>
      <c r="J29064" s="26">
        <v>2.5600000000000001E-2</v>
      </c>
      <c r="O29064" s="26">
        <v>2.5600000000000001E-2</v>
      </c>
      <c r="S29064">
        <v>39</v>
      </c>
    </row>
    <row r="29065" spans="1:19" x14ac:dyDescent="0.35">
      <c r="A29065" t="s">
        <v>227</v>
      </c>
      <c r="B29065" t="s">
        <v>361</v>
      </c>
      <c r="C29065" s="26">
        <v>0.46879999999999999</v>
      </c>
      <c r="D29065" s="26">
        <v>0.34379999999999999</v>
      </c>
      <c r="E29065" s="26">
        <v>6.25E-2</v>
      </c>
      <c r="F29065" s="26">
        <v>0.125</v>
      </c>
      <c r="G29065" s="26">
        <v>6.25E-2</v>
      </c>
      <c r="H29065" s="26">
        <v>3.1199999999999999E-2</v>
      </c>
      <c r="I29065" s="26">
        <v>3.1199999999999999E-2</v>
      </c>
      <c r="J29065" s="26">
        <v>6.25E-2</v>
      </c>
      <c r="K29065" s="26">
        <v>3.1199999999999999E-2</v>
      </c>
      <c r="L29065" s="26">
        <v>6.25E-2</v>
      </c>
      <c r="M29065" s="26">
        <v>6.25E-2</v>
      </c>
      <c r="N29065" s="26">
        <v>6.25E-2</v>
      </c>
      <c r="O29065" s="26">
        <v>6.25E-2</v>
      </c>
      <c r="P29065" s="26">
        <v>3.1199999999999999E-2</v>
      </c>
      <c r="S29065">
        <v>32</v>
      </c>
    </row>
    <row r="29066" spans="1:19" x14ac:dyDescent="0.35">
      <c r="A29066" t="s">
        <v>227</v>
      </c>
      <c r="B29066" t="s">
        <v>362</v>
      </c>
      <c r="C29066" s="26">
        <v>0.48649999999999999</v>
      </c>
      <c r="D29066" s="26">
        <v>0.27029999999999998</v>
      </c>
      <c r="E29066" s="26">
        <v>5.4100000000000002E-2</v>
      </c>
      <c r="F29066" s="26">
        <v>2.7E-2</v>
      </c>
      <c r="G29066" s="26">
        <v>0.1351</v>
      </c>
      <c r="H29066" s="26">
        <v>5.4100000000000002E-2</v>
      </c>
      <c r="K29066" s="26">
        <v>5.4100000000000002E-2</v>
      </c>
      <c r="L29066" s="26">
        <v>5.4100000000000002E-2</v>
      </c>
      <c r="N29066" s="26">
        <v>2.7E-2</v>
      </c>
      <c r="S29066">
        <v>37</v>
      </c>
    </row>
    <row r="29067" spans="1:19" x14ac:dyDescent="0.35">
      <c r="A29067" t="s">
        <v>227</v>
      </c>
      <c r="B29067" t="s">
        <v>363</v>
      </c>
      <c r="C29067" s="26">
        <v>0.44440000000000002</v>
      </c>
      <c r="D29067" s="26">
        <v>0.28889999999999999</v>
      </c>
      <c r="E29067" s="26">
        <v>0.1111</v>
      </c>
      <c r="F29067" s="26">
        <v>8.8900000000000007E-2</v>
      </c>
      <c r="G29067" s="26">
        <v>4.4400000000000002E-2</v>
      </c>
      <c r="H29067" s="26">
        <v>4.4400000000000002E-2</v>
      </c>
      <c r="I29067" s="26">
        <v>4.4400000000000002E-2</v>
      </c>
      <c r="J29067" s="26">
        <v>4.4400000000000002E-2</v>
      </c>
      <c r="K29067" s="26">
        <v>4.4400000000000002E-2</v>
      </c>
      <c r="L29067" s="26">
        <v>2.2200000000000001E-2</v>
      </c>
      <c r="M29067" s="26">
        <v>4.4400000000000002E-2</v>
      </c>
      <c r="N29067" s="26">
        <v>4.4400000000000002E-2</v>
      </c>
      <c r="O29067" s="26">
        <v>4.4400000000000002E-2</v>
      </c>
      <c r="P29067" s="26">
        <v>2.2200000000000001E-2</v>
      </c>
      <c r="S29067">
        <v>45</v>
      </c>
    </row>
    <row r="29068" spans="1:19" x14ac:dyDescent="0.35">
      <c r="A29068" t="s">
        <v>228</v>
      </c>
      <c r="B29068" t="s">
        <v>360</v>
      </c>
      <c r="C29068" s="26">
        <v>0.37219999999999998</v>
      </c>
      <c r="D29068" s="26">
        <v>0.3478</v>
      </c>
      <c r="E29068" s="26">
        <v>6.6500000000000004E-2</v>
      </c>
      <c r="F29068" s="26">
        <v>0.11650000000000001</v>
      </c>
      <c r="G29068" s="26">
        <v>5.2699999999999997E-2</v>
      </c>
      <c r="H29068" s="26">
        <v>1.14E-2</v>
      </c>
      <c r="I29068" s="26">
        <v>3.78E-2</v>
      </c>
      <c r="J29068" s="26">
        <v>5.0200000000000002E-2</v>
      </c>
      <c r="K29068" s="26">
        <v>2.8400000000000002E-2</v>
      </c>
      <c r="L29068" s="26">
        <v>2.5499999999999998E-2</v>
      </c>
      <c r="M29068" s="26">
        <v>3.73E-2</v>
      </c>
      <c r="N29068" s="26">
        <v>1.1999999999999999E-3</v>
      </c>
      <c r="O29068" s="26">
        <v>7.9000000000000008E-3</v>
      </c>
      <c r="P29068" s="26">
        <v>1.7399999999999999E-2</v>
      </c>
      <c r="Q29068" s="26">
        <v>4.8999999999999998E-3</v>
      </c>
      <c r="R29068" s="26">
        <v>4.1999999999999997E-3</v>
      </c>
      <c r="S29068">
        <v>258</v>
      </c>
    </row>
    <row r="29069" spans="1:19" x14ac:dyDescent="0.35">
      <c r="A29069" t="s">
        <v>228</v>
      </c>
      <c r="B29069" t="s">
        <v>361</v>
      </c>
      <c r="C29069" s="26">
        <v>0.47160000000000002</v>
      </c>
      <c r="D29069" s="26">
        <v>0.31490000000000001</v>
      </c>
      <c r="E29069" s="26">
        <v>8.8999999999999996E-2</v>
      </c>
      <c r="F29069" s="26">
        <v>4.2099999999999999E-2</v>
      </c>
      <c r="G29069" s="26">
        <v>5.9900000000000002E-2</v>
      </c>
      <c r="H29069" s="26">
        <v>3.1099999999999999E-2</v>
      </c>
      <c r="I29069" s="26">
        <v>5.0500000000000003E-2</v>
      </c>
      <c r="J29069" s="26">
        <v>2.81E-2</v>
      </c>
      <c r="K29069" s="26">
        <v>2.7699999999999999E-2</v>
      </c>
      <c r="L29069" s="26">
        <v>7.9000000000000008E-3</v>
      </c>
      <c r="M29069" s="26">
        <v>2.4199999999999999E-2</v>
      </c>
      <c r="N29069" s="26">
        <v>2.3199999999999998E-2</v>
      </c>
      <c r="O29069" s="26">
        <v>3.8300000000000001E-2</v>
      </c>
      <c r="P29069" s="26">
        <v>1.14E-2</v>
      </c>
      <c r="Q29069" s="26">
        <v>4.8999999999999998E-3</v>
      </c>
      <c r="S29069">
        <v>193</v>
      </c>
    </row>
    <row r="29070" spans="1:19" x14ac:dyDescent="0.35">
      <c r="A29070" t="s">
        <v>228</v>
      </c>
      <c r="B29070" t="s">
        <v>363</v>
      </c>
      <c r="C29070" s="26">
        <v>0.52210000000000001</v>
      </c>
      <c r="D29070" s="26">
        <v>0.20680000000000001</v>
      </c>
      <c r="E29070" s="26">
        <v>8.2400000000000001E-2</v>
      </c>
      <c r="F29070" s="26">
        <v>6.6799999999999998E-2</v>
      </c>
      <c r="G29070" s="26">
        <v>0.1009</v>
      </c>
      <c r="H29070" s="26">
        <v>7.9600000000000004E-2</v>
      </c>
      <c r="I29070" s="26">
        <v>5.9700000000000003E-2</v>
      </c>
      <c r="J29070" s="26">
        <v>5.7099999999999998E-2</v>
      </c>
      <c r="K29070" s="26">
        <v>3.9899999999999998E-2</v>
      </c>
      <c r="L29070" s="26">
        <v>3.3399999999999999E-2</v>
      </c>
      <c r="M29070" s="26">
        <v>3.0800000000000001E-2</v>
      </c>
      <c r="N29070" s="26">
        <v>1.49E-2</v>
      </c>
      <c r="O29070" s="26">
        <v>2.0899999999999998E-2</v>
      </c>
      <c r="P29070" s="26">
        <v>3.3500000000000002E-2</v>
      </c>
      <c r="Q29070" s="26">
        <v>1.49E-2</v>
      </c>
      <c r="S29070">
        <v>212</v>
      </c>
    </row>
    <row r="29071" spans="1:19" x14ac:dyDescent="0.35">
      <c r="A29071" t="s">
        <v>228</v>
      </c>
      <c r="B29071" t="s">
        <v>362</v>
      </c>
      <c r="C29071" s="26">
        <v>0.46110000000000001</v>
      </c>
      <c r="D29071" s="26">
        <v>0.3483</v>
      </c>
      <c r="E29071" s="26">
        <v>6.9800000000000001E-2</v>
      </c>
      <c r="F29071" s="26">
        <v>5.1499999999999997E-2</v>
      </c>
      <c r="G29071" s="26">
        <v>3.44E-2</v>
      </c>
      <c r="H29071" s="26">
        <v>2.5700000000000001E-2</v>
      </c>
      <c r="I29071" s="26">
        <v>4.1700000000000001E-2</v>
      </c>
      <c r="J29071" s="26">
        <v>4.3700000000000003E-2</v>
      </c>
      <c r="K29071" s="26">
        <v>1.61E-2</v>
      </c>
      <c r="L29071" s="26">
        <v>5.5999999999999999E-3</v>
      </c>
      <c r="M29071" s="26">
        <v>2.6100000000000002E-2</v>
      </c>
      <c r="N29071" s="26">
        <v>1.3299999999999999E-2</v>
      </c>
      <c r="O29071" s="26">
        <v>1.61E-2</v>
      </c>
      <c r="P29071" s="26">
        <v>1.14E-2</v>
      </c>
      <c r="Q29071" s="26">
        <v>2.3999999999999998E-3</v>
      </c>
      <c r="S29071">
        <v>236</v>
      </c>
    </row>
    <row r="29072" spans="1:19" x14ac:dyDescent="0.35">
      <c r="A29072" t="s">
        <v>229</v>
      </c>
      <c r="B29072" t="s">
        <v>363</v>
      </c>
      <c r="C29072" s="26">
        <v>0.41649999999999998</v>
      </c>
      <c r="D29072" s="26">
        <v>0.34089999999999998</v>
      </c>
      <c r="E29072" s="26">
        <v>7.2800000000000004E-2</v>
      </c>
      <c r="F29072" s="26">
        <v>6.1400000000000003E-2</v>
      </c>
      <c r="G29072" s="26">
        <v>8.5099999999999995E-2</v>
      </c>
      <c r="H29072" s="26">
        <v>6.4500000000000002E-2</v>
      </c>
      <c r="I29072" s="26">
        <v>2.98E-2</v>
      </c>
      <c r="J29072" s="26">
        <v>4.1599999999999998E-2</v>
      </c>
      <c r="K29072" s="26">
        <v>7.2300000000000003E-2</v>
      </c>
      <c r="L29072" s="26">
        <v>2.4299999999999999E-2</v>
      </c>
      <c r="M29072" s="26">
        <v>4.0399999999999998E-2</v>
      </c>
      <c r="N29072" s="26">
        <v>2.24E-2</v>
      </c>
      <c r="O29072" s="26">
        <v>3.73E-2</v>
      </c>
      <c r="P29072" s="26">
        <v>2.52E-2</v>
      </c>
      <c r="Q29072" s="26">
        <v>1.8E-3</v>
      </c>
      <c r="R29072" s="26">
        <v>1.37E-2</v>
      </c>
      <c r="S29072">
        <v>190</v>
      </c>
    </row>
    <row r="29073" spans="1:19" x14ac:dyDescent="0.35">
      <c r="A29073" t="s">
        <v>229</v>
      </c>
      <c r="B29073" t="s">
        <v>360</v>
      </c>
      <c r="C29073" s="26">
        <v>0.31969999999999998</v>
      </c>
      <c r="D29073" s="26">
        <v>0.42159999999999997</v>
      </c>
      <c r="E29073" s="26">
        <v>0.1077</v>
      </c>
      <c r="F29073" s="26">
        <v>9.6799999999999997E-2</v>
      </c>
      <c r="G29073" s="26">
        <v>9.4799999999999995E-2</v>
      </c>
      <c r="H29073" s="26">
        <v>4.0099999999999997E-2</v>
      </c>
      <c r="I29073" s="26">
        <v>8.0500000000000002E-2</v>
      </c>
      <c r="J29073" s="26">
        <v>4.7600000000000003E-2</v>
      </c>
      <c r="K29073" s="26">
        <v>5.3600000000000002E-2</v>
      </c>
      <c r="L29073" s="26">
        <v>4.5999999999999999E-2</v>
      </c>
      <c r="M29073" s="26">
        <v>5.96E-2</v>
      </c>
      <c r="N29073" s="26">
        <v>5.8999999999999997E-2</v>
      </c>
      <c r="O29073" s="26">
        <v>4.0500000000000001E-2</v>
      </c>
      <c r="P29073" s="26">
        <v>5.79E-2</v>
      </c>
      <c r="Q29073" s="26">
        <v>4.3E-3</v>
      </c>
      <c r="S29073">
        <v>164</v>
      </c>
    </row>
    <row r="29074" spans="1:19" x14ac:dyDescent="0.35">
      <c r="A29074" t="s">
        <v>229</v>
      </c>
      <c r="B29074" t="s">
        <v>361</v>
      </c>
      <c r="C29074" s="26">
        <v>0.4083</v>
      </c>
      <c r="D29074" s="26">
        <v>0.31809999999999999</v>
      </c>
      <c r="E29074" s="26">
        <v>0.11890000000000001</v>
      </c>
      <c r="F29074" s="26">
        <v>8.3799999999999999E-2</v>
      </c>
      <c r="G29074" s="26">
        <v>8.2100000000000006E-2</v>
      </c>
      <c r="H29074" s="26">
        <v>7.7399999999999997E-2</v>
      </c>
      <c r="I29074" s="26">
        <v>6.2100000000000002E-2</v>
      </c>
      <c r="J29074" s="26">
        <v>6.8500000000000005E-2</v>
      </c>
      <c r="K29074" s="26">
        <v>0.05</v>
      </c>
      <c r="L29074" s="26">
        <v>4.9000000000000002E-2</v>
      </c>
      <c r="M29074" s="26">
        <v>3.2599999999999997E-2</v>
      </c>
      <c r="N29074" s="26">
        <v>5.8000000000000003E-2</v>
      </c>
      <c r="O29074" s="26">
        <v>2.47E-2</v>
      </c>
      <c r="P29074" s="26">
        <v>2.98E-2</v>
      </c>
      <c r="S29074">
        <v>243</v>
      </c>
    </row>
    <row r="29075" spans="1:19" x14ac:dyDescent="0.35">
      <c r="A29075" t="s">
        <v>229</v>
      </c>
      <c r="B29075" t="s">
        <v>362</v>
      </c>
      <c r="C29075" s="26">
        <v>0.39439999999999997</v>
      </c>
      <c r="D29075" s="26">
        <v>0.37080000000000002</v>
      </c>
      <c r="E29075" s="26">
        <v>6.6500000000000004E-2</v>
      </c>
      <c r="F29075" s="26">
        <v>3.5400000000000001E-2</v>
      </c>
      <c r="G29075" s="26">
        <v>4.99E-2</v>
      </c>
      <c r="H29075" s="26">
        <v>4.2900000000000001E-2</v>
      </c>
      <c r="I29075" s="26">
        <v>8.3999999999999995E-3</v>
      </c>
      <c r="J29075" s="26">
        <v>4.82E-2</v>
      </c>
      <c r="K29075" s="26">
        <v>4.3E-3</v>
      </c>
      <c r="L29075" s="26">
        <v>3.6299999999999999E-2</v>
      </c>
      <c r="M29075" s="26">
        <v>4.1599999999999998E-2</v>
      </c>
      <c r="N29075" s="26">
        <v>1.35E-2</v>
      </c>
      <c r="O29075" s="26">
        <v>1.37E-2</v>
      </c>
      <c r="P29075" s="26">
        <v>1.1999999999999999E-3</v>
      </c>
      <c r="Q29075" s="26">
        <v>1E-3</v>
      </c>
      <c r="S29075">
        <v>170</v>
      </c>
    </row>
    <row r="29076" spans="1:19" x14ac:dyDescent="0.35">
      <c r="A29076" t="s">
        <v>230</v>
      </c>
      <c r="B29076" t="s">
        <v>360</v>
      </c>
      <c r="C29076" s="26">
        <v>0.33050000000000002</v>
      </c>
      <c r="D29076" s="26">
        <v>0.2989</v>
      </c>
      <c r="E29076" s="26">
        <v>0.1288</v>
      </c>
      <c r="F29076" s="26">
        <v>0.11310000000000001</v>
      </c>
      <c r="G29076" s="26">
        <v>0.13020000000000001</v>
      </c>
      <c r="H29076" s="26">
        <v>9.7299999999999998E-2</v>
      </c>
      <c r="I29076" s="26">
        <v>7.0000000000000007E-2</v>
      </c>
      <c r="J29076" s="26">
        <v>3.7900000000000003E-2</v>
      </c>
      <c r="K29076" s="26">
        <v>5.2600000000000001E-2</v>
      </c>
      <c r="L29076" s="26">
        <v>7.1800000000000003E-2</v>
      </c>
      <c r="M29076" s="26">
        <v>6.0400000000000002E-2</v>
      </c>
      <c r="N29076" s="26">
        <v>3.5000000000000003E-2</v>
      </c>
      <c r="O29076" s="26">
        <v>6.7000000000000004E-2</v>
      </c>
      <c r="P29076" s="26">
        <v>3.7900000000000003E-2</v>
      </c>
      <c r="Q29076" s="26">
        <v>4.8999999999999998E-3</v>
      </c>
      <c r="S29076">
        <v>120</v>
      </c>
    </row>
    <row r="29077" spans="1:19" x14ac:dyDescent="0.35">
      <c r="A29077" t="s">
        <v>230</v>
      </c>
      <c r="B29077" t="s">
        <v>363</v>
      </c>
      <c r="C29077" s="26">
        <v>0.39460000000000001</v>
      </c>
      <c r="D29077" s="26">
        <v>0.33750000000000002</v>
      </c>
      <c r="E29077" s="26">
        <v>0.1174</v>
      </c>
      <c r="F29077" s="26">
        <v>4.9599999999999998E-2</v>
      </c>
      <c r="G29077" s="26">
        <v>9.9599999999999994E-2</v>
      </c>
      <c r="H29077" s="26">
        <v>3.4200000000000001E-2</v>
      </c>
      <c r="I29077" s="26">
        <v>5.3199999999999997E-2</v>
      </c>
      <c r="J29077" s="26">
        <v>6.8599999999999994E-2</v>
      </c>
      <c r="K29077" s="26">
        <v>3.4200000000000001E-2</v>
      </c>
      <c r="L29077" s="26">
        <v>8.8999999999999999E-3</v>
      </c>
      <c r="M29077" s="26">
        <v>4.19E-2</v>
      </c>
      <c r="N29077" s="26">
        <v>2.92E-2</v>
      </c>
      <c r="O29077" s="26">
        <v>7.5300000000000006E-2</v>
      </c>
      <c r="P29077" s="26">
        <v>1.61E-2</v>
      </c>
      <c r="S29077">
        <v>127</v>
      </c>
    </row>
    <row r="29078" spans="1:19" x14ac:dyDescent="0.35">
      <c r="A29078" t="s">
        <v>230</v>
      </c>
      <c r="B29078" t="s">
        <v>361</v>
      </c>
      <c r="C29078" s="26">
        <v>0.52359999999999995</v>
      </c>
      <c r="D29078" s="26">
        <v>0.29649999999999999</v>
      </c>
      <c r="E29078" s="26">
        <v>3.6400000000000002E-2</v>
      </c>
      <c r="F29078" s="26">
        <v>4.7E-2</v>
      </c>
      <c r="G29078" s="26">
        <v>7.5399999999999995E-2</v>
      </c>
      <c r="H29078" s="26">
        <v>2.58E-2</v>
      </c>
      <c r="I29078" s="26">
        <v>5.0700000000000002E-2</v>
      </c>
      <c r="J29078" s="26">
        <v>4.7100000000000003E-2</v>
      </c>
      <c r="K29078" s="26">
        <v>4.7E-2</v>
      </c>
      <c r="L29078" s="26">
        <v>2.12E-2</v>
      </c>
      <c r="M29078" s="26">
        <v>4.5999999999999999E-2</v>
      </c>
      <c r="N29078" s="26">
        <v>2.12E-2</v>
      </c>
      <c r="O29078" s="26">
        <v>5.0599999999999999E-2</v>
      </c>
      <c r="P29078" s="26">
        <v>2.47E-2</v>
      </c>
      <c r="Q29078" s="26">
        <v>7.1000000000000004E-3</v>
      </c>
      <c r="S29078">
        <v>109</v>
      </c>
    </row>
    <row r="29079" spans="1:19" x14ac:dyDescent="0.35">
      <c r="A29079" t="s">
        <v>230</v>
      </c>
      <c r="B29079" t="s">
        <v>362</v>
      </c>
      <c r="C29079" s="26">
        <v>0.43419999999999997</v>
      </c>
      <c r="D29079" s="26">
        <v>0.3049</v>
      </c>
      <c r="E29079" s="26">
        <v>5.91E-2</v>
      </c>
      <c r="F29079" s="26">
        <v>0.1009</v>
      </c>
      <c r="G29079" s="26">
        <v>7.6200000000000004E-2</v>
      </c>
      <c r="H29079" s="26">
        <v>4.87E-2</v>
      </c>
      <c r="I29079" s="26">
        <v>3.4299999999999997E-2</v>
      </c>
      <c r="J29079" s="26">
        <v>3.8899999999999997E-2</v>
      </c>
      <c r="K29079" s="26">
        <v>2.7199999999999998E-2</v>
      </c>
      <c r="L29079" s="26">
        <v>4.65E-2</v>
      </c>
      <c r="M29079" s="26">
        <v>7.3800000000000004E-2</v>
      </c>
      <c r="N29079" s="26">
        <v>2.1499999999999998E-2</v>
      </c>
      <c r="O29079" s="26">
        <v>2.9700000000000001E-2</v>
      </c>
      <c r="P29079" s="26">
        <v>3.0700000000000002E-2</v>
      </c>
      <c r="S29079">
        <v>148</v>
      </c>
    </row>
    <row r="29080" spans="1:19" x14ac:dyDescent="0.35">
      <c r="A29080" s="27" t="s">
        <v>231</v>
      </c>
      <c r="B29080" s="27" t="s">
        <v>362</v>
      </c>
      <c r="C29080" s="28">
        <v>0.31030000000000002</v>
      </c>
      <c r="D29080" s="28">
        <v>0.44829999999999998</v>
      </c>
      <c r="E29080" s="28">
        <v>6.9000000000000006E-2</v>
      </c>
      <c r="F29080" s="28">
        <v>6.9000000000000006E-2</v>
      </c>
      <c r="G29080" s="29"/>
      <c r="H29080" s="28">
        <v>3.4500000000000003E-2</v>
      </c>
      <c r="I29080" s="28">
        <v>6.9000000000000006E-2</v>
      </c>
      <c r="J29080" s="28">
        <v>0.10340000000000001</v>
      </c>
      <c r="K29080" s="29"/>
      <c r="L29080" s="29"/>
      <c r="M29080" s="28">
        <v>3.4500000000000003E-2</v>
      </c>
      <c r="N29080" s="29"/>
      <c r="O29080" s="29"/>
      <c r="P29080" s="28">
        <v>3.4500000000000003E-2</v>
      </c>
      <c r="Q29080" s="29"/>
      <c r="R29080" s="29"/>
      <c r="S29080" s="29" t="s">
        <v>329</v>
      </c>
    </row>
    <row r="29081" spans="1:19" x14ac:dyDescent="0.35">
      <c r="A29081" t="s">
        <v>231</v>
      </c>
      <c r="B29081" t="s">
        <v>361</v>
      </c>
      <c r="C29081" s="26">
        <v>0.46</v>
      </c>
      <c r="D29081" s="26">
        <v>0.34</v>
      </c>
      <c r="E29081" s="26">
        <v>0.14000000000000001</v>
      </c>
      <c r="F29081" s="26">
        <v>0.04</v>
      </c>
      <c r="G29081" s="26">
        <v>0.04</v>
      </c>
      <c r="H29081" s="26">
        <v>0.02</v>
      </c>
      <c r="I29081" s="26">
        <v>0.06</v>
      </c>
      <c r="L29081" s="26">
        <v>0.02</v>
      </c>
      <c r="N29081" s="26">
        <v>0.04</v>
      </c>
      <c r="O29081" s="26">
        <v>0.04</v>
      </c>
      <c r="S29081">
        <v>50</v>
      </c>
    </row>
    <row r="29082" spans="1:19" x14ac:dyDescent="0.35">
      <c r="A29082" t="s">
        <v>231</v>
      </c>
      <c r="B29082" t="s">
        <v>360</v>
      </c>
      <c r="C29082" s="26">
        <v>0.52270000000000005</v>
      </c>
      <c r="D29082" s="26">
        <v>0.25</v>
      </c>
      <c r="E29082" s="26">
        <v>2.2700000000000001E-2</v>
      </c>
      <c r="F29082" s="26">
        <v>6.8199999999999997E-2</v>
      </c>
      <c r="G29082" s="26">
        <v>9.0899999999999995E-2</v>
      </c>
      <c r="H29082" s="26">
        <v>2.2700000000000001E-2</v>
      </c>
      <c r="K29082" s="26">
        <v>4.5499999999999999E-2</v>
      </c>
      <c r="L29082" s="26">
        <v>2.2700000000000001E-2</v>
      </c>
      <c r="M29082" s="26">
        <v>2.2700000000000001E-2</v>
      </c>
      <c r="P29082" s="26">
        <v>4.5499999999999999E-2</v>
      </c>
      <c r="Q29082" s="26">
        <v>2.2700000000000001E-2</v>
      </c>
      <c r="S29082">
        <v>44</v>
      </c>
    </row>
    <row r="29083" spans="1:19" x14ac:dyDescent="0.35">
      <c r="A29083" s="27" t="s">
        <v>231</v>
      </c>
      <c r="B29083" s="27" t="s">
        <v>363</v>
      </c>
      <c r="C29083" s="28">
        <v>0.59260000000000002</v>
      </c>
      <c r="D29083" s="28">
        <v>0.25929999999999997</v>
      </c>
      <c r="E29083" s="28">
        <v>7.4099999999999999E-2</v>
      </c>
      <c r="F29083" s="29"/>
      <c r="G29083" s="28">
        <v>3.6999999999999998E-2</v>
      </c>
      <c r="H29083" s="28">
        <v>3.6999999999999998E-2</v>
      </c>
      <c r="I29083" s="28">
        <v>3.6999999999999998E-2</v>
      </c>
      <c r="J29083" s="28">
        <v>3.6999999999999998E-2</v>
      </c>
      <c r="K29083" s="29"/>
      <c r="L29083" s="29"/>
      <c r="M29083" s="29"/>
      <c r="N29083" s="29"/>
      <c r="O29083" s="29"/>
      <c r="P29083" s="29"/>
      <c r="Q29083" s="29"/>
      <c r="R29083" s="29"/>
      <c r="S29083" s="29" t="s">
        <v>338</v>
      </c>
    </row>
    <row r="29084" spans="1:19" x14ac:dyDescent="0.35">
      <c r="A29084" t="s">
        <v>232</v>
      </c>
      <c r="B29084" t="s">
        <v>232</v>
      </c>
      <c r="C29084" s="26">
        <v>0.45500000000000002</v>
      </c>
      <c r="D29084" s="26">
        <v>0.31719999999999998</v>
      </c>
      <c r="E29084" s="26">
        <v>8.2000000000000003E-2</v>
      </c>
      <c r="F29084" s="26">
        <v>6.3500000000000001E-2</v>
      </c>
      <c r="G29084" s="26">
        <v>6.3E-2</v>
      </c>
      <c r="H29084" s="26">
        <v>4.1399999999999999E-2</v>
      </c>
      <c r="I29084" s="26">
        <v>4.0399999999999998E-2</v>
      </c>
      <c r="J29084" s="26">
        <v>3.9E-2</v>
      </c>
      <c r="K29084" s="26">
        <v>2.87E-2</v>
      </c>
      <c r="L29084" s="26">
        <v>2.8500000000000001E-2</v>
      </c>
      <c r="M29084" s="26">
        <v>2.8000000000000001E-2</v>
      </c>
      <c r="N29084" s="26">
        <v>2.6599999999999999E-2</v>
      </c>
      <c r="O29084" s="26">
        <v>2.5499999999999998E-2</v>
      </c>
      <c r="P29084" s="26">
        <v>2.0199999999999999E-2</v>
      </c>
      <c r="Q29084" s="26">
        <v>3.8999999999999998E-3</v>
      </c>
      <c r="R29084" s="26">
        <v>8.9999999999999998E-4</v>
      </c>
      <c r="S29084">
        <v>2473</v>
      </c>
    </row>
    <row r="29086" spans="1:19" x14ac:dyDescent="0.35">
      <c r="A29086" s="1" t="s">
        <v>2609</v>
      </c>
    </row>
    <row r="29087" spans="1:19" x14ac:dyDescent="0.35">
      <c r="A29087" t="s">
        <v>219</v>
      </c>
      <c r="B29087" t="s">
        <v>305</v>
      </c>
      <c r="C29087" t="s">
        <v>550</v>
      </c>
      <c r="D29087" t="s">
        <v>281</v>
      </c>
      <c r="E29087" t="s">
        <v>2593</v>
      </c>
      <c r="F29087" t="s">
        <v>2594</v>
      </c>
      <c r="G29087" t="s">
        <v>2595</v>
      </c>
      <c r="H29087" t="s">
        <v>2596</v>
      </c>
      <c r="I29087" t="s">
        <v>2597</v>
      </c>
      <c r="J29087" t="s">
        <v>2598</v>
      </c>
      <c r="K29087" t="s">
        <v>2599</v>
      </c>
      <c r="L29087" t="s">
        <v>2600</v>
      </c>
      <c r="M29087" t="s">
        <v>2601</v>
      </c>
      <c r="N29087" t="s">
        <v>2602</v>
      </c>
      <c r="O29087" t="s">
        <v>2603</v>
      </c>
      <c r="P29087" t="s">
        <v>2604</v>
      </c>
      <c r="Q29087" t="s">
        <v>2026</v>
      </c>
      <c r="R29087" t="s">
        <v>326</v>
      </c>
      <c r="S29087" t="s">
        <v>226</v>
      </c>
    </row>
    <row r="29088" spans="1:19" x14ac:dyDescent="0.35">
      <c r="A29088" t="s">
        <v>227</v>
      </c>
      <c r="B29088" t="s">
        <v>267</v>
      </c>
      <c r="C29088" s="26">
        <v>0.30559999999999998</v>
      </c>
      <c r="D29088" s="26">
        <v>0.47220000000000001</v>
      </c>
      <c r="E29088" s="26">
        <v>2.7799999999999998E-2</v>
      </c>
      <c r="F29088" s="26">
        <v>8.3299999999999999E-2</v>
      </c>
      <c r="G29088" s="26">
        <v>8.3299999999999999E-2</v>
      </c>
      <c r="H29088" s="26">
        <v>5.5599999999999997E-2</v>
      </c>
      <c r="L29088" s="26">
        <v>2.7799999999999998E-2</v>
      </c>
      <c r="M29088" s="26">
        <v>2.7799999999999998E-2</v>
      </c>
      <c r="O29088" s="26">
        <v>2.7799999999999998E-2</v>
      </c>
      <c r="S29088">
        <v>36</v>
      </c>
    </row>
    <row r="29089" spans="1:19" x14ac:dyDescent="0.35">
      <c r="A29089" t="s">
        <v>227</v>
      </c>
      <c r="B29089" t="s">
        <v>266</v>
      </c>
      <c r="C29089" s="26">
        <v>0.42370000000000002</v>
      </c>
      <c r="D29089" s="26">
        <v>0.32200000000000001</v>
      </c>
      <c r="E29089" s="26">
        <v>8.4699999999999998E-2</v>
      </c>
      <c r="F29089" s="26">
        <v>8.4699999999999998E-2</v>
      </c>
      <c r="G29089" s="26">
        <v>3.39E-2</v>
      </c>
      <c r="H29089" s="26">
        <v>6.7799999999999999E-2</v>
      </c>
      <c r="I29089" s="26">
        <v>5.0799999999999998E-2</v>
      </c>
      <c r="J29089" s="26">
        <v>6.7799999999999999E-2</v>
      </c>
      <c r="K29089" s="26">
        <v>1.6899999999999998E-2</v>
      </c>
      <c r="L29089" s="26">
        <v>3.39E-2</v>
      </c>
      <c r="M29089" s="26">
        <v>1.6899999999999998E-2</v>
      </c>
      <c r="N29089" s="26">
        <v>8.4699999999999998E-2</v>
      </c>
      <c r="O29089" s="26">
        <v>6.7799999999999999E-2</v>
      </c>
      <c r="P29089" s="26">
        <v>1.6899999999999998E-2</v>
      </c>
      <c r="S29089">
        <v>59</v>
      </c>
    </row>
    <row r="29090" spans="1:19" x14ac:dyDescent="0.35">
      <c r="A29090" t="s">
        <v>227</v>
      </c>
      <c r="B29090" t="s">
        <v>265</v>
      </c>
      <c r="C29090" s="26">
        <v>0.56059999999999999</v>
      </c>
      <c r="D29090" s="26">
        <v>0.2424</v>
      </c>
      <c r="E29090" s="26">
        <v>7.5800000000000006E-2</v>
      </c>
      <c r="F29090" s="26">
        <v>6.0600000000000001E-2</v>
      </c>
      <c r="G29090" s="26">
        <v>7.5800000000000006E-2</v>
      </c>
      <c r="H29090" s="26">
        <v>1.52E-2</v>
      </c>
      <c r="I29090" s="26">
        <v>1.52E-2</v>
      </c>
      <c r="J29090" s="26">
        <v>3.0300000000000001E-2</v>
      </c>
      <c r="K29090" s="26">
        <v>6.0600000000000001E-2</v>
      </c>
      <c r="L29090" s="26">
        <v>4.5499999999999999E-2</v>
      </c>
      <c r="M29090" s="26">
        <v>3.0300000000000001E-2</v>
      </c>
      <c r="N29090" s="26">
        <v>3.0300000000000001E-2</v>
      </c>
      <c r="O29090" s="26">
        <v>1.52E-2</v>
      </c>
      <c r="P29090" s="26">
        <v>1.52E-2</v>
      </c>
      <c r="S29090">
        <v>66</v>
      </c>
    </row>
    <row r="29091" spans="1:19" x14ac:dyDescent="0.35">
      <c r="A29091" t="s">
        <v>228</v>
      </c>
      <c r="B29091" t="s">
        <v>267</v>
      </c>
      <c r="C29091" s="26">
        <v>0.34789999999999999</v>
      </c>
      <c r="D29091" s="26">
        <v>0.43</v>
      </c>
      <c r="E29091" s="26">
        <v>7.6600000000000001E-2</v>
      </c>
      <c r="F29091" s="26">
        <v>4.7699999999999999E-2</v>
      </c>
      <c r="G29091" s="26">
        <v>5.1299999999999998E-2</v>
      </c>
      <c r="H29091" s="26">
        <v>3.3599999999999998E-2</v>
      </c>
      <c r="I29091" s="26">
        <v>5.2200000000000003E-2</v>
      </c>
      <c r="J29091" s="26">
        <v>4.7899999999999998E-2</v>
      </c>
      <c r="K29091" s="26">
        <v>5.7000000000000002E-3</v>
      </c>
      <c r="L29091" s="26">
        <v>4.8999999999999998E-3</v>
      </c>
      <c r="M29091" s="26">
        <v>1.5299999999999999E-2</v>
      </c>
      <c r="N29091" s="26">
        <v>6.4000000000000003E-3</v>
      </c>
      <c r="O29091" s="26">
        <v>1.4E-3</v>
      </c>
      <c r="P29091" s="26">
        <v>1.4500000000000001E-2</v>
      </c>
      <c r="Q29091" s="26">
        <v>2.06E-2</v>
      </c>
      <c r="S29091">
        <v>198</v>
      </c>
    </row>
    <row r="29092" spans="1:19" x14ac:dyDescent="0.35">
      <c r="A29092" t="s">
        <v>228</v>
      </c>
      <c r="B29092" t="s">
        <v>265</v>
      </c>
      <c r="C29092" s="26">
        <v>0.54630000000000001</v>
      </c>
      <c r="D29092" s="26">
        <v>0.25840000000000002</v>
      </c>
      <c r="E29092" s="26">
        <v>6.5000000000000002E-2</v>
      </c>
      <c r="F29092" s="26">
        <v>5.3999999999999999E-2</v>
      </c>
      <c r="G29092" s="26">
        <v>6.3600000000000004E-2</v>
      </c>
      <c r="H29092" s="26">
        <v>2.9499999999999998E-2</v>
      </c>
      <c r="I29092" s="26">
        <v>3.44E-2</v>
      </c>
      <c r="J29092" s="26">
        <v>3.2000000000000001E-2</v>
      </c>
      <c r="K29092" s="26">
        <v>3.8199999999999998E-2</v>
      </c>
      <c r="L29092" s="26">
        <v>2.06E-2</v>
      </c>
      <c r="M29092" s="26">
        <v>1.9300000000000001E-2</v>
      </c>
      <c r="N29092" s="26">
        <v>1.89E-2</v>
      </c>
      <c r="O29092" s="26">
        <v>2.35E-2</v>
      </c>
      <c r="P29092" s="26">
        <v>2.0400000000000001E-2</v>
      </c>
      <c r="Q29092" s="26">
        <v>8.9999999999999993E-3</v>
      </c>
      <c r="S29092">
        <v>384</v>
      </c>
    </row>
    <row r="29093" spans="1:19" x14ac:dyDescent="0.35">
      <c r="A29093" s="27" t="s">
        <v>228</v>
      </c>
      <c r="B29093" s="27" t="s">
        <v>236</v>
      </c>
      <c r="C29093" s="28">
        <v>1</v>
      </c>
      <c r="D29093" s="29"/>
      <c r="E29093" s="29"/>
      <c r="F29093" s="29"/>
      <c r="G29093" s="29"/>
      <c r="H29093" s="29"/>
      <c r="I29093" s="29"/>
      <c r="J29093" s="29"/>
      <c r="K29093" s="29"/>
      <c r="L29093" s="29"/>
      <c r="M29093" s="29"/>
      <c r="N29093" s="29"/>
      <c r="O29093" s="29"/>
      <c r="P29093" s="29"/>
      <c r="Q29093" s="29"/>
      <c r="R29093" s="29"/>
      <c r="S29093" s="29" t="s">
        <v>314</v>
      </c>
    </row>
    <row r="29094" spans="1:19" x14ac:dyDescent="0.35">
      <c r="A29094" t="s">
        <v>228</v>
      </c>
      <c r="B29094" t="s">
        <v>266</v>
      </c>
      <c r="C29094" s="26">
        <v>0.40139999999999998</v>
      </c>
      <c r="D29094" s="26">
        <v>0.31990000000000002</v>
      </c>
      <c r="E29094" s="26">
        <v>9.3600000000000003E-2</v>
      </c>
      <c r="F29094" s="26">
        <v>8.5099999999999995E-2</v>
      </c>
      <c r="G29094" s="26">
        <v>6.2300000000000001E-2</v>
      </c>
      <c r="H29094" s="26">
        <v>5.3800000000000001E-2</v>
      </c>
      <c r="I29094" s="26">
        <v>5.28E-2</v>
      </c>
      <c r="J29094" s="26">
        <v>4.7600000000000003E-2</v>
      </c>
      <c r="K29094" s="26">
        <v>2.1399999999999999E-2</v>
      </c>
      <c r="L29094" s="26">
        <v>2.4799999999999999E-2</v>
      </c>
      <c r="M29094" s="26">
        <v>4.1399999999999999E-2</v>
      </c>
      <c r="N29094" s="26">
        <v>1.0699999999999999E-2</v>
      </c>
      <c r="O29094" s="26">
        <v>2.5999999999999999E-2</v>
      </c>
      <c r="P29094" s="26">
        <v>1.6899999999999998E-2</v>
      </c>
      <c r="R29094" s="26">
        <v>2E-3</v>
      </c>
      <c r="S29094">
        <v>448</v>
      </c>
    </row>
    <row r="29095" spans="1:19" x14ac:dyDescent="0.35">
      <c r="A29095" t="s">
        <v>229</v>
      </c>
      <c r="B29095" t="s">
        <v>266</v>
      </c>
      <c r="C29095" s="26">
        <v>0.36880000000000002</v>
      </c>
      <c r="D29095" s="26">
        <v>0.32990000000000003</v>
      </c>
      <c r="E29095" s="26">
        <v>9.7299999999999998E-2</v>
      </c>
      <c r="F29095" s="26">
        <v>8.1000000000000003E-2</v>
      </c>
      <c r="G29095" s="26">
        <v>5.4899999999999997E-2</v>
      </c>
      <c r="H29095" s="26">
        <v>3.49E-2</v>
      </c>
      <c r="I29095" s="26">
        <v>2.1499999999999998E-2</v>
      </c>
      <c r="J29095" s="26">
        <v>2.58E-2</v>
      </c>
      <c r="K29095" s="26">
        <v>3.2899999999999999E-2</v>
      </c>
      <c r="L29095" s="26">
        <v>2.7300000000000001E-2</v>
      </c>
      <c r="M29095" s="26">
        <v>3.0200000000000001E-2</v>
      </c>
      <c r="N29095" s="26">
        <v>4.58E-2</v>
      </c>
      <c r="O29095" s="26">
        <v>2.8299999999999999E-2</v>
      </c>
      <c r="P29095" s="26">
        <v>2.1000000000000001E-2</v>
      </c>
      <c r="Q29095" s="26">
        <v>5.0000000000000001E-4</v>
      </c>
      <c r="S29095">
        <v>357</v>
      </c>
    </row>
    <row r="29096" spans="1:19" x14ac:dyDescent="0.35">
      <c r="A29096" t="s">
        <v>229</v>
      </c>
      <c r="B29096" t="s">
        <v>267</v>
      </c>
      <c r="C29096" s="26">
        <v>0.41830000000000001</v>
      </c>
      <c r="D29096" s="26">
        <v>0.39879999999999999</v>
      </c>
      <c r="E29096" s="26">
        <v>7.8299999999999995E-2</v>
      </c>
      <c r="F29096" s="26">
        <v>6.5600000000000006E-2</v>
      </c>
      <c r="G29096" s="26">
        <v>8.8499999999999995E-2</v>
      </c>
      <c r="H29096" s="26">
        <v>5.8500000000000003E-2</v>
      </c>
      <c r="I29096" s="26">
        <v>7.5800000000000006E-2</v>
      </c>
      <c r="J29096" s="26">
        <v>4.5499999999999999E-2</v>
      </c>
      <c r="K29096" s="26">
        <v>4.4299999999999999E-2</v>
      </c>
      <c r="L29096" s="26">
        <v>6.9199999999999998E-2</v>
      </c>
      <c r="M29096" s="26">
        <v>5.8999999999999997E-2</v>
      </c>
      <c r="N29096" s="26">
        <v>4.5199999999999997E-2</v>
      </c>
      <c r="O29096" s="26">
        <v>2.6700000000000002E-2</v>
      </c>
      <c r="P29096" s="26">
        <v>3.6900000000000002E-2</v>
      </c>
      <c r="Q29096" s="26">
        <v>1.5E-3</v>
      </c>
      <c r="S29096">
        <v>201</v>
      </c>
    </row>
    <row r="29097" spans="1:19" x14ac:dyDescent="0.35">
      <c r="A29097" t="s">
        <v>229</v>
      </c>
      <c r="B29097" t="s">
        <v>265</v>
      </c>
      <c r="C29097" s="26">
        <v>0.46989999999999998</v>
      </c>
      <c r="D29097" s="26">
        <v>0.3095</v>
      </c>
      <c r="E29097" s="26">
        <v>9.11E-2</v>
      </c>
      <c r="F29097" s="26">
        <v>5.8000000000000003E-2</v>
      </c>
      <c r="G29097" s="26">
        <v>8.5999999999999993E-2</v>
      </c>
      <c r="H29097" s="26">
        <v>6.9800000000000001E-2</v>
      </c>
      <c r="I29097" s="26">
        <v>5.1299999999999998E-2</v>
      </c>
      <c r="J29097" s="26">
        <v>7.0300000000000001E-2</v>
      </c>
      <c r="K29097" s="26">
        <v>4.8500000000000001E-2</v>
      </c>
      <c r="L29097" s="26">
        <v>3.0300000000000001E-2</v>
      </c>
      <c r="M29097" s="26">
        <v>3.2000000000000001E-2</v>
      </c>
      <c r="N29097" s="26">
        <v>3.5499999999999997E-2</v>
      </c>
      <c r="O29097" s="26">
        <v>2.4199999999999999E-2</v>
      </c>
      <c r="P29097" s="26">
        <v>2.4899999999999999E-2</v>
      </c>
      <c r="Q29097" s="26">
        <v>2.8E-3</v>
      </c>
      <c r="R29097" s="26">
        <v>5.5999999999999999E-3</v>
      </c>
      <c r="S29097">
        <v>335</v>
      </c>
    </row>
    <row r="29098" spans="1:19" x14ac:dyDescent="0.35">
      <c r="A29098" t="s">
        <v>230</v>
      </c>
      <c r="B29098" t="s">
        <v>267</v>
      </c>
      <c r="C29098" s="26">
        <v>0.4052</v>
      </c>
      <c r="D29098" s="26">
        <v>0.47439999999999999</v>
      </c>
      <c r="E29098" s="26">
        <v>4.3299999999999998E-2</v>
      </c>
      <c r="F29098" s="26">
        <v>4.6199999999999998E-2</v>
      </c>
      <c r="G29098" s="26">
        <v>2.86E-2</v>
      </c>
      <c r="H29098" s="26">
        <v>4.0000000000000001E-3</v>
      </c>
      <c r="I29098" s="26">
        <v>4.0000000000000001E-3</v>
      </c>
      <c r="J29098" s="26">
        <v>2.5000000000000001E-3</v>
      </c>
      <c r="K29098" s="26">
        <v>2.7E-2</v>
      </c>
      <c r="O29098" s="26">
        <v>4.1000000000000003E-3</v>
      </c>
      <c r="P29098" s="26">
        <v>5.3E-3</v>
      </c>
      <c r="S29098">
        <v>119</v>
      </c>
    </row>
    <row r="29099" spans="1:19" x14ac:dyDescent="0.35">
      <c r="A29099" t="s">
        <v>230</v>
      </c>
      <c r="B29099" t="s">
        <v>266</v>
      </c>
      <c r="C29099" s="26">
        <v>0.4244</v>
      </c>
      <c r="D29099" s="26">
        <v>0.318</v>
      </c>
      <c r="E29099" s="26">
        <v>0.1101</v>
      </c>
      <c r="F29099" s="26">
        <v>8.5699999999999998E-2</v>
      </c>
      <c r="G29099" s="26">
        <v>0.08</v>
      </c>
      <c r="H29099" s="26">
        <v>6.6000000000000003E-2</v>
      </c>
      <c r="I29099" s="26">
        <v>4.87E-2</v>
      </c>
      <c r="J29099" s="26">
        <v>5.8500000000000003E-2</v>
      </c>
      <c r="K29099" s="26">
        <v>3.1199999999999999E-2</v>
      </c>
      <c r="L29099" s="26">
        <v>3.7199999999999997E-2</v>
      </c>
      <c r="M29099" s="26">
        <v>5.5E-2</v>
      </c>
      <c r="N29099" s="26">
        <v>3.3000000000000002E-2</v>
      </c>
      <c r="O29099" s="26">
        <v>3.8800000000000001E-2</v>
      </c>
      <c r="P29099" s="26">
        <v>2.9399999999999999E-2</v>
      </c>
      <c r="Q29099" s="26">
        <v>5.0000000000000001E-3</v>
      </c>
      <c r="S29099">
        <v>232</v>
      </c>
    </row>
    <row r="29100" spans="1:19" x14ac:dyDescent="0.35">
      <c r="A29100" t="s">
        <v>230</v>
      </c>
      <c r="B29100" t="s">
        <v>265</v>
      </c>
      <c r="C29100" s="26">
        <v>0.45150000000000001</v>
      </c>
      <c r="D29100" s="26">
        <v>0.2349</v>
      </c>
      <c r="E29100" s="26">
        <v>6.54E-2</v>
      </c>
      <c r="F29100" s="26">
        <v>7.7499999999999999E-2</v>
      </c>
      <c r="G29100" s="26">
        <v>0.12529999999999999</v>
      </c>
      <c r="H29100" s="26">
        <v>5.16E-2</v>
      </c>
      <c r="I29100" s="26">
        <v>7.0199999999999999E-2</v>
      </c>
      <c r="J29100" s="26">
        <v>6.0199999999999997E-2</v>
      </c>
      <c r="K29100" s="26">
        <v>4.8300000000000003E-2</v>
      </c>
      <c r="L29100" s="26">
        <v>4.99E-2</v>
      </c>
      <c r="M29100" s="26">
        <v>7.4800000000000005E-2</v>
      </c>
      <c r="N29100" s="26">
        <v>3.1199999999999999E-2</v>
      </c>
      <c r="O29100" s="26">
        <v>9.11E-2</v>
      </c>
      <c r="P29100" s="26">
        <v>3.1099999999999999E-2</v>
      </c>
      <c r="Q29100" s="26">
        <v>4.1999999999999997E-3</v>
      </c>
      <c r="S29100">
        <v>209</v>
      </c>
    </row>
    <row r="29101" spans="1:19" x14ac:dyDescent="0.35">
      <c r="A29101" t="s">
        <v>231</v>
      </c>
      <c r="B29101" t="s">
        <v>267</v>
      </c>
      <c r="C29101" s="26">
        <v>0.4118</v>
      </c>
      <c r="D29101" s="26">
        <v>0.4118</v>
      </c>
      <c r="E29101" s="26">
        <v>8.8200000000000001E-2</v>
      </c>
      <c r="H29101" s="26">
        <v>2.9399999999999999E-2</v>
      </c>
      <c r="I29101" s="26">
        <v>2.9399999999999999E-2</v>
      </c>
      <c r="J29101" s="26">
        <v>5.8799999999999998E-2</v>
      </c>
      <c r="M29101" s="26">
        <v>2.9399999999999999E-2</v>
      </c>
      <c r="P29101" s="26">
        <v>2.9399999999999999E-2</v>
      </c>
      <c r="S29101">
        <v>34</v>
      </c>
    </row>
    <row r="29102" spans="1:19" x14ac:dyDescent="0.35">
      <c r="A29102" t="s">
        <v>231</v>
      </c>
      <c r="B29102" t="s">
        <v>266</v>
      </c>
      <c r="C29102" s="26">
        <v>0.4516</v>
      </c>
      <c r="D29102" s="26">
        <v>0.3548</v>
      </c>
      <c r="E29102" s="26">
        <v>0.1129</v>
      </c>
      <c r="F29102" s="26">
        <v>9.6799999999999997E-2</v>
      </c>
      <c r="H29102" s="26">
        <v>3.2300000000000002E-2</v>
      </c>
      <c r="I29102" s="26">
        <v>4.8399999999999999E-2</v>
      </c>
      <c r="J29102" s="26">
        <v>1.61E-2</v>
      </c>
      <c r="L29102" s="26">
        <v>1.61E-2</v>
      </c>
      <c r="N29102" s="26">
        <v>1.61E-2</v>
      </c>
      <c r="O29102" s="26">
        <v>1.61E-2</v>
      </c>
      <c r="P29102" s="26">
        <v>1.61E-2</v>
      </c>
      <c r="Q29102" s="26">
        <v>1.61E-2</v>
      </c>
      <c r="S29102">
        <v>62</v>
      </c>
    </row>
    <row r="29103" spans="1:19" x14ac:dyDescent="0.35">
      <c r="A29103" t="s">
        <v>231</v>
      </c>
      <c r="B29103" t="s">
        <v>265</v>
      </c>
      <c r="C29103" s="26">
        <v>0.57350000000000001</v>
      </c>
      <c r="D29103" s="26">
        <v>0.19120000000000001</v>
      </c>
      <c r="E29103" s="26">
        <v>5.8799999999999998E-2</v>
      </c>
      <c r="F29103" s="26">
        <v>2.9399999999999999E-2</v>
      </c>
      <c r="G29103" s="26">
        <v>0.10290000000000001</v>
      </c>
      <c r="H29103" s="26">
        <v>1.47E-2</v>
      </c>
      <c r="I29103" s="26">
        <v>2.9399999999999999E-2</v>
      </c>
      <c r="J29103" s="26">
        <v>1.47E-2</v>
      </c>
      <c r="K29103" s="26">
        <v>2.9399999999999999E-2</v>
      </c>
      <c r="L29103" s="26">
        <v>2.9399999999999999E-2</v>
      </c>
      <c r="M29103" s="26">
        <v>1.47E-2</v>
      </c>
      <c r="N29103" s="26">
        <v>1.47E-2</v>
      </c>
      <c r="O29103" s="26">
        <v>1.47E-2</v>
      </c>
      <c r="P29103" s="26">
        <v>1.47E-2</v>
      </c>
      <c r="S29103">
        <v>68</v>
      </c>
    </row>
    <row r="29104" spans="1:19" x14ac:dyDescent="0.35">
      <c r="A29104" t="s">
        <v>232</v>
      </c>
      <c r="B29104" t="s">
        <v>232</v>
      </c>
      <c r="C29104" s="26">
        <v>0.45500000000000002</v>
      </c>
      <c r="D29104" s="26">
        <v>0.31719999999999998</v>
      </c>
      <c r="E29104" s="26">
        <v>8.2000000000000003E-2</v>
      </c>
      <c r="F29104" s="26">
        <v>6.3500000000000001E-2</v>
      </c>
      <c r="G29104" s="26">
        <v>6.3E-2</v>
      </c>
      <c r="H29104" s="26">
        <v>4.1399999999999999E-2</v>
      </c>
      <c r="I29104" s="26">
        <v>4.0399999999999998E-2</v>
      </c>
      <c r="J29104" s="26">
        <v>3.9E-2</v>
      </c>
      <c r="K29104" s="26">
        <v>2.87E-2</v>
      </c>
      <c r="L29104" s="26">
        <v>2.8500000000000001E-2</v>
      </c>
      <c r="M29104" s="26">
        <v>2.8000000000000001E-2</v>
      </c>
      <c r="N29104" s="26">
        <v>2.6599999999999999E-2</v>
      </c>
      <c r="O29104" s="26">
        <v>2.5499999999999998E-2</v>
      </c>
      <c r="P29104" s="26">
        <v>2.0199999999999999E-2</v>
      </c>
      <c r="Q29104" s="26">
        <v>3.8999999999999998E-3</v>
      </c>
      <c r="R29104" s="26">
        <v>8.9999999999999998E-4</v>
      </c>
      <c r="S29104">
        <v>2810</v>
      </c>
    </row>
    <row r="29106" spans="1:19" x14ac:dyDescent="0.35">
      <c r="A29106" s="1" t="s">
        <v>2610</v>
      </c>
    </row>
    <row r="29107" spans="1:19" x14ac:dyDescent="0.35">
      <c r="A29107" t="s">
        <v>219</v>
      </c>
      <c r="B29107" t="s">
        <v>305</v>
      </c>
      <c r="C29107" t="s">
        <v>550</v>
      </c>
      <c r="D29107" t="s">
        <v>281</v>
      </c>
      <c r="E29107" t="s">
        <v>2593</v>
      </c>
      <c r="F29107" t="s">
        <v>2594</v>
      </c>
      <c r="G29107" t="s">
        <v>2595</v>
      </c>
      <c r="H29107" t="s">
        <v>2596</v>
      </c>
      <c r="I29107" t="s">
        <v>2597</v>
      </c>
      <c r="J29107" t="s">
        <v>2598</v>
      </c>
      <c r="K29107" t="s">
        <v>2599</v>
      </c>
      <c r="L29107" t="s">
        <v>2600</v>
      </c>
      <c r="M29107" t="s">
        <v>2601</v>
      </c>
      <c r="N29107" t="s">
        <v>2602</v>
      </c>
      <c r="O29107" t="s">
        <v>2603</v>
      </c>
      <c r="P29107" t="s">
        <v>2604</v>
      </c>
      <c r="Q29107" t="s">
        <v>2026</v>
      </c>
      <c r="R29107" t="s">
        <v>326</v>
      </c>
      <c r="S29107" t="s">
        <v>226</v>
      </c>
    </row>
    <row r="29108" spans="1:19" x14ac:dyDescent="0.35">
      <c r="A29108" t="s">
        <v>227</v>
      </c>
      <c r="B29108" t="s">
        <v>252</v>
      </c>
      <c r="C29108" s="26">
        <v>0.28889999999999999</v>
      </c>
      <c r="D29108" s="26">
        <v>0.5111</v>
      </c>
      <c r="F29108" s="26">
        <v>8.8900000000000007E-2</v>
      </c>
      <c r="G29108" s="26">
        <v>4.4400000000000002E-2</v>
      </c>
      <c r="H29108" s="26">
        <v>4.4400000000000002E-2</v>
      </c>
      <c r="J29108" s="26">
        <v>2.2200000000000001E-2</v>
      </c>
      <c r="K29108" s="26">
        <v>2.2200000000000001E-2</v>
      </c>
      <c r="L29108" s="26">
        <v>2.2200000000000001E-2</v>
      </c>
      <c r="S29108">
        <v>45</v>
      </c>
    </row>
    <row r="29109" spans="1:19" x14ac:dyDescent="0.35">
      <c r="A29109" t="s">
        <v>227</v>
      </c>
      <c r="B29109" t="s">
        <v>253</v>
      </c>
      <c r="C29109" s="26">
        <v>0.58819999999999995</v>
      </c>
      <c r="D29109" s="26">
        <v>0.23530000000000001</v>
      </c>
      <c r="E29109" s="26">
        <v>8.8200000000000001E-2</v>
      </c>
      <c r="F29109" s="26">
        <v>2.9399999999999999E-2</v>
      </c>
      <c r="J29109" s="26">
        <v>2.9399999999999999E-2</v>
      </c>
      <c r="L29109" s="26">
        <v>5.8799999999999998E-2</v>
      </c>
      <c r="N29109" s="26">
        <v>5.8799999999999998E-2</v>
      </c>
      <c r="O29109" s="26">
        <v>5.8799999999999998E-2</v>
      </c>
      <c r="S29109">
        <v>34</v>
      </c>
    </row>
    <row r="29110" spans="1:19" x14ac:dyDescent="0.35">
      <c r="A29110" t="s">
        <v>227</v>
      </c>
      <c r="B29110" t="s">
        <v>251</v>
      </c>
      <c r="C29110" s="26">
        <v>0.48780000000000001</v>
      </c>
      <c r="D29110" s="26">
        <v>0.25609999999999999</v>
      </c>
      <c r="E29110" s="26">
        <v>9.7600000000000006E-2</v>
      </c>
      <c r="F29110" s="26">
        <v>8.5400000000000004E-2</v>
      </c>
      <c r="G29110" s="26">
        <v>9.7600000000000006E-2</v>
      </c>
      <c r="H29110" s="26">
        <v>6.0999999999999999E-2</v>
      </c>
      <c r="I29110" s="26">
        <v>4.8800000000000003E-2</v>
      </c>
      <c r="J29110" s="26">
        <v>4.8800000000000003E-2</v>
      </c>
      <c r="K29110" s="26">
        <v>4.8800000000000003E-2</v>
      </c>
      <c r="L29110" s="26">
        <v>3.6600000000000001E-2</v>
      </c>
      <c r="M29110" s="26">
        <v>4.8800000000000003E-2</v>
      </c>
      <c r="N29110" s="26">
        <v>6.0999999999999999E-2</v>
      </c>
      <c r="O29110" s="26">
        <v>4.8800000000000003E-2</v>
      </c>
      <c r="P29110" s="26">
        <v>2.4400000000000002E-2</v>
      </c>
      <c r="S29110">
        <v>82</v>
      </c>
    </row>
    <row r="29111" spans="1:19" x14ac:dyDescent="0.35">
      <c r="A29111" t="s">
        <v>228</v>
      </c>
      <c r="B29111" t="s">
        <v>252</v>
      </c>
      <c r="C29111" s="26">
        <v>0.45519999999999999</v>
      </c>
      <c r="D29111" s="26">
        <v>0.36870000000000003</v>
      </c>
      <c r="E29111" s="26">
        <v>4.2700000000000002E-2</v>
      </c>
      <c r="F29111" s="26">
        <v>5.3400000000000003E-2</v>
      </c>
      <c r="G29111" s="26">
        <v>2.0199999999999999E-2</v>
      </c>
      <c r="H29111" s="26">
        <v>2.4500000000000001E-2</v>
      </c>
      <c r="I29111" s="26">
        <v>2.47E-2</v>
      </c>
      <c r="J29111" s="26">
        <v>4.8399999999999999E-2</v>
      </c>
      <c r="K29111" s="26">
        <v>3.5999999999999999E-3</v>
      </c>
      <c r="L29111" s="26">
        <v>1.26E-2</v>
      </c>
      <c r="M29111" s="26">
        <v>1.4500000000000001E-2</v>
      </c>
      <c r="N29111" s="26">
        <v>1.5E-3</v>
      </c>
      <c r="O29111" s="26">
        <v>3.3999999999999998E-3</v>
      </c>
      <c r="P29111" s="26">
        <v>4.4999999999999997E-3</v>
      </c>
      <c r="Q29111" s="26">
        <v>1.24E-2</v>
      </c>
      <c r="S29111">
        <v>344</v>
      </c>
    </row>
    <row r="29112" spans="1:19" x14ac:dyDescent="0.35">
      <c r="A29112" t="s">
        <v>228</v>
      </c>
      <c r="B29112" t="s">
        <v>253</v>
      </c>
      <c r="C29112" s="26">
        <v>0.433</v>
      </c>
      <c r="D29112" s="26">
        <v>0.28860000000000002</v>
      </c>
      <c r="E29112" s="26">
        <v>0.10680000000000001</v>
      </c>
      <c r="F29112" s="26">
        <v>8.3500000000000005E-2</v>
      </c>
      <c r="G29112" s="26">
        <v>0.1003</v>
      </c>
      <c r="H29112" s="26">
        <v>5.16E-2</v>
      </c>
      <c r="I29112" s="26">
        <v>6.7599999999999993E-2</v>
      </c>
      <c r="J29112" s="26">
        <v>3.1199999999999999E-2</v>
      </c>
      <c r="K29112" s="26">
        <v>4.8000000000000001E-2</v>
      </c>
      <c r="L29112" s="26">
        <v>2.2599999999999999E-2</v>
      </c>
      <c r="M29112" s="26">
        <v>3.7900000000000003E-2</v>
      </c>
      <c r="N29112" s="26">
        <v>9.9000000000000008E-3</v>
      </c>
      <c r="O29112" s="26">
        <v>4.1399999999999999E-2</v>
      </c>
      <c r="P29112" s="26">
        <v>3.0099999999999998E-2</v>
      </c>
      <c r="S29112">
        <v>222</v>
      </c>
    </row>
    <row r="29113" spans="1:19" x14ac:dyDescent="0.35">
      <c r="A29113" t="s">
        <v>228</v>
      </c>
      <c r="B29113" t="s">
        <v>251</v>
      </c>
      <c r="C29113" s="26">
        <v>0.46710000000000002</v>
      </c>
      <c r="D29113" s="26">
        <v>0.28149999999999997</v>
      </c>
      <c r="E29113" s="26">
        <v>0.09</v>
      </c>
      <c r="F29113" s="26">
        <v>6.5500000000000003E-2</v>
      </c>
      <c r="G29113" s="26">
        <v>7.0699999999999999E-2</v>
      </c>
      <c r="H29113" s="26">
        <v>4.5400000000000003E-2</v>
      </c>
      <c r="I29113" s="26">
        <v>4.8300000000000003E-2</v>
      </c>
      <c r="J29113" s="26">
        <v>3.9899999999999998E-2</v>
      </c>
      <c r="K29113" s="26">
        <v>3.0700000000000002E-2</v>
      </c>
      <c r="L29113" s="26">
        <v>2.29E-2</v>
      </c>
      <c r="M29113" s="26">
        <v>3.1899999999999998E-2</v>
      </c>
      <c r="N29113" s="26">
        <v>2.2700000000000001E-2</v>
      </c>
      <c r="O29113" s="26">
        <v>2.3300000000000001E-2</v>
      </c>
      <c r="P29113" s="26">
        <v>2.1600000000000001E-2</v>
      </c>
      <c r="Q29113" s="26">
        <v>6.7999999999999996E-3</v>
      </c>
      <c r="R29113" s="26">
        <v>1.8E-3</v>
      </c>
      <c r="S29113">
        <v>466</v>
      </c>
    </row>
    <row r="29114" spans="1:19" x14ac:dyDescent="0.35">
      <c r="A29114" t="s">
        <v>229</v>
      </c>
      <c r="B29114" t="s">
        <v>252</v>
      </c>
      <c r="C29114" s="26">
        <v>0.3644</v>
      </c>
      <c r="D29114" s="26">
        <v>0.50429999999999997</v>
      </c>
      <c r="E29114" s="26">
        <v>2.2700000000000001E-2</v>
      </c>
      <c r="F29114" s="26">
        <v>4.8500000000000001E-2</v>
      </c>
      <c r="G29114" s="26">
        <v>2.1999999999999999E-2</v>
      </c>
      <c r="H29114" s="26">
        <v>4.8999999999999998E-3</v>
      </c>
      <c r="I29114" s="26">
        <v>1.9300000000000001E-2</v>
      </c>
      <c r="J29114" s="26">
        <v>2.87E-2</v>
      </c>
      <c r="K29114" s="26">
        <v>2.2000000000000001E-3</v>
      </c>
      <c r="L29114" s="26">
        <v>2.87E-2</v>
      </c>
      <c r="M29114" s="26">
        <v>2.8999999999999998E-3</v>
      </c>
      <c r="N29114" s="26">
        <v>1.5E-3</v>
      </c>
      <c r="O29114" s="26">
        <v>1.5E-3</v>
      </c>
      <c r="P29114" s="26">
        <v>1.72E-2</v>
      </c>
      <c r="S29114">
        <v>198</v>
      </c>
    </row>
    <row r="29115" spans="1:19" x14ac:dyDescent="0.35">
      <c r="A29115" t="s">
        <v>229</v>
      </c>
      <c r="B29115" t="s">
        <v>253</v>
      </c>
      <c r="C29115" s="26">
        <v>0.44059999999999999</v>
      </c>
      <c r="D29115" s="26">
        <v>0.30299999999999999</v>
      </c>
      <c r="E29115" s="26">
        <v>8.1900000000000001E-2</v>
      </c>
      <c r="F29115" s="26">
        <v>8.6199999999999999E-2</v>
      </c>
      <c r="G29115" s="26">
        <v>8.9399999999999993E-2</v>
      </c>
      <c r="H29115" s="26">
        <v>6.2199999999999998E-2</v>
      </c>
      <c r="I29115" s="26">
        <v>9.1399999999999995E-2</v>
      </c>
      <c r="J29115" s="26">
        <v>8.1199999999999994E-2</v>
      </c>
      <c r="K29115" s="26">
        <v>5.5599999999999997E-2</v>
      </c>
      <c r="L29115" s="26">
        <v>4.3299999999999998E-2</v>
      </c>
      <c r="M29115" s="26">
        <v>6.0999999999999999E-2</v>
      </c>
      <c r="N29115" s="26">
        <v>6.1899999999999997E-2</v>
      </c>
      <c r="O29115" s="26">
        <v>4.5499999999999999E-2</v>
      </c>
      <c r="P29115" s="26">
        <v>6.9800000000000001E-2</v>
      </c>
      <c r="Q29115" s="26">
        <v>4.0000000000000001E-3</v>
      </c>
      <c r="S29115">
        <v>145</v>
      </c>
    </row>
    <row r="29116" spans="1:19" x14ac:dyDescent="0.35">
      <c r="A29116" t="s">
        <v>229</v>
      </c>
      <c r="B29116" t="s">
        <v>251</v>
      </c>
      <c r="C29116" s="26">
        <v>0.44359999999999999</v>
      </c>
      <c r="D29116" s="26">
        <v>0.28239999999999998</v>
      </c>
      <c r="E29116" s="26">
        <v>0.1188</v>
      </c>
      <c r="F29116" s="26">
        <v>6.83E-2</v>
      </c>
      <c r="G29116" s="26">
        <v>9.2899999999999996E-2</v>
      </c>
      <c r="H29116" s="26">
        <v>7.3300000000000004E-2</v>
      </c>
      <c r="I29116" s="26">
        <v>4.3200000000000002E-2</v>
      </c>
      <c r="J29116" s="26">
        <v>4.8399999999999999E-2</v>
      </c>
      <c r="K29116" s="26">
        <v>5.3499999999999999E-2</v>
      </c>
      <c r="L29116" s="26">
        <v>3.9699999999999999E-2</v>
      </c>
      <c r="M29116" s="26">
        <v>4.2900000000000001E-2</v>
      </c>
      <c r="N29116" s="26">
        <v>4.9399999999999999E-2</v>
      </c>
      <c r="O29116" s="26">
        <v>2.92E-2</v>
      </c>
      <c r="P29116" s="26">
        <v>1.5699999999999999E-2</v>
      </c>
      <c r="Q29116" s="26">
        <v>1.6999999999999999E-3</v>
      </c>
      <c r="R29116" s="26">
        <v>4.3E-3</v>
      </c>
      <c r="S29116">
        <v>550</v>
      </c>
    </row>
    <row r="29117" spans="1:19" x14ac:dyDescent="0.35">
      <c r="A29117" t="s">
        <v>230</v>
      </c>
      <c r="B29117" t="s">
        <v>252</v>
      </c>
      <c r="C29117" s="26">
        <v>0.378</v>
      </c>
      <c r="D29117" s="26">
        <v>0.46050000000000002</v>
      </c>
      <c r="E29117" s="26">
        <v>2.4400000000000002E-2</v>
      </c>
      <c r="F29117" s="26">
        <v>8.2699999999999996E-2</v>
      </c>
      <c r="G29117" s="26">
        <v>1.7500000000000002E-2</v>
      </c>
      <c r="H29117" s="26">
        <v>4.4200000000000003E-2</v>
      </c>
      <c r="I29117" s="26">
        <v>1.0500000000000001E-2</v>
      </c>
      <c r="J29117" s="26">
        <v>1.01E-2</v>
      </c>
      <c r="K29117" s="26">
        <v>1.0500000000000001E-2</v>
      </c>
      <c r="L29117" s="26">
        <v>3.5000000000000001E-3</v>
      </c>
      <c r="M29117" s="26">
        <v>1.3899999999999999E-2</v>
      </c>
      <c r="O29117" s="26">
        <v>2.5600000000000001E-2</v>
      </c>
      <c r="P29117" s="26">
        <v>1.3599999999999999E-2</v>
      </c>
      <c r="Q29117" s="26">
        <v>7.0000000000000001E-3</v>
      </c>
      <c r="S29117">
        <v>159</v>
      </c>
    </row>
    <row r="29118" spans="1:19" x14ac:dyDescent="0.35">
      <c r="A29118" t="s">
        <v>230</v>
      </c>
      <c r="B29118" t="s">
        <v>253</v>
      </c>
      <c r="C29118" s="26">
        <v>0.39179999999999998</v>
      </c>
      <c r="D29118" s="26">
        <v>0.3548</v>
      </c>
      <c r="E29118" s="26">
        <v>7.8899999999999998E-2</v>
      </c>
      <c r="F29118" s="26">
        <v>4.99E-2</v>
      </c>
      <c r="G29118" s="26">
        <v>6.0999999999999999E-2</v>
      </c>
      <c r="H29118" s="26">
        <v>1.24E-2</v>
      </c>
      <c r="I29118" s="26">
        <v>4.3799999999999999E-2</v>
      </c>
      <c r="J29118" s="26">
        <v>4.0800000000000003E-2</v>
      </c>
      <c r="K29118" s="26">
        <v>3.4599999999999999E-2</v>
      </c>
      <c r="L29118" s="26">
        <v>1.09E-2</v>
      </c>
      <c r="M29118" s="26">
        <v>5.1799999999999999E-2</v>
      </c>
      <c r="N29118" s="26">
        <v>3.61E-2</v>
      </c>
      <c r="O29118" s="26">
        <v>4.0899999999999999E-2</v>
      </c>
      <c r="P29118" s="26">
        <v>6.1000000000000004E-3</v>
      </c>
      <c r="Q29118" s="26">
        <v>4.7000000000000002E-3</v>
      </c>
      <c r="S29118">
        <v>110</v>
      </c>
    </row>
    <row r="29119" spans="1:19" x14ac:dyDescent="0.35">
      <c r="A29119" t="s">
        <v>230</v>
      </c>
      <c r="B29119" t="s">
        <v>251</v>
      </c>
      <c r="C29119" s="26">
        <v>0.46970000000000001</v>
      </c>
      <c r="D29119" s="26">
        <v>0.23910000000000001</v>
      </c>
      <c r="E29119" s="26">
        <v>0.10009999999999999</v>
      </c>
      <c r="F29119" s="26">
        <v>7.7399999999999997E-2</v>
      </c>
      <c r="G29119" s="26">
        <v>0.12909999999999999</v>
      </c>
      <c r="H29119" s="26">
        <v>5.8900000000000001E-2</v>
      </c>
      <c r="I29119" s="26">
        <v>6.6500000000000004E-2</v>
      </c>
      <c r="J29119" s="26">
        <v>6.59E-2</v>
      </c>
      <c r="K29119" s="26">
        <v>5.0799999999999998E-2</v>
      </c>
      <c r="L29119" s="26">
        <v>5.6500000000000002E-2</v>
      </c>
      <c r="M29119" s="26">
        <v>6.8199999999999997E-2</v>
      </c>
      <c r="N29119" s="26">
        <v>3.2800000000000003E-2</v>
      </c>
      <c r="O29119" s="26">
        <v>6.9900000000000004E-2</v>
      </c>
      <c r="P29119" s="26">
        <v>3.6299999999999999E-2</v>
      </c>
      <c r="Q29119" s="26">
        <v>1.6000000000000001E-3</v>
      </c>
      <c r="S29119">
        <v>291</v>
      </c>
    </row>
    <row r="29120" spans="1:19" x14ac:dyDescent="0.35">
      <c r="A29120" t="s">
        <v>231</v>
      </c>
      <c r="B29120" t="s">
        <v>252</v>
      </c>
      <c r="C29120" s="26">
        <v>0.44900000000000001</v>
      </c>
      <c r="D29120" s="26">
        <v>0.42859999999999998</v>
      </c>
      <c r="F29120" s="26">
        <v>6.1199999999999997E-2</v>
      </c>
      <c r="H29120" s="26">
        <v>2.0400000000000001E-2</v>
      </c>
      <c r="I29120" s="26">
        <v>2.0400000000000001E-2</v>
      </c>
      <c r="J29120" s="26">
        <v>2.0400000000000001E-2</v>
      </c>
      <c r="P29120" s="26">
        <v>4.0800000000000003E-2</v>
      </c>
      <c r="S29120">
        <v>49</v>
      </c>
    </row>
    <row r="29121" spans="1:19" x14ac:dyDescent="0.35">
      <c r="A29121" t="s">
        <v>231</v>
      </c>
      <c r="B29121" t="s">
        <v>253</v>
      </c>
      <c r="C29121" s="26">
        <v>0.6</v>
      </c>
      <c r="D29121" s="26">
        <v>0.2</v>
      </c>
      <c r="E29121" s="26">
        <v>6.6699999999999995E-2</v>
      </c>
      <c r="F29121" s="26">
        <v>3.3300000000000003E-2</v>
      </c>
      <c r="G29121" s="26">
        <v>3.3300000000000003E-2</v>
      </c>
      <c r="H29121" s="26">
        <v>3.3300000000000003E-2</v>
      </c>
      <c r="I29121" s="26">
        <v>6.6699999999999995E-2</v>
      </c>
      <c r="J29121" s="26">
        <v>3.3300000000000003E-2</v>
      </c>
      <c r="K29121" s="26">
        <v>3.3300000000000003E-2</v>
      </c>
      <c r="M29121" s="26">
        <v>3.3300000000000003E-2</v>
      </c>
      <c r="P29121" s="26">
        <v>3.3300000000000003E-2</v>
      </c>
      <c r="S29121">
        <v>30</v>
      </c>
    </row>
    <row r="29122" spans="1:19" x14ac:dyDescent="0.35">
      <c r="A29122" t="s">
        <v>231</v>
      </c>
      <c r="B29122" t="s">
        <v>251</v>
      </c>
      <c r="C29122" s="26">
        <v>0.4824</v>
      </c>
      <c r="D29122" s="26">
        <v>0.25879999999999997</v>
      </c>
      <c r="E29122" s="26">
        <v>0.14119999999999999</v>
      </c>
      <c r="F29122" s="26">
        <v>4.7100000000000003E-2</v>
      </c>
      <c r="G29122" s="26">
        <v>7.0599999999999996E-2</v>
      </c>
      <c r="H29122" s="26">
        <v>2.35E-2</v>
      </c>
      <c r="I29122" s="26">
        <v>3.5299999999999998E-2</v>
      </c>
      <c r="J29122" s="26">
        <v>2.35E-2</v>
      </c>
      <c r="K29122" s="26">
        <v>1.18E-2</v>
      </c>
      <c r="L29122" s="26">
        <v>3.5299999999999998E-2</v>
      </c>
      <c r="M29122" s="26">
        <v>1.18E-2</v>
      </c>
      <c r="N29122" s="26">
        <v>2.35E-2</v>
      </c>
      <c r="O29122" s="26">
        <v>2.35E-2</v>
      </c>
      <c r="Q29122" s="26">
        <v>1.18E-2</v>
      </c>
      <c r="S29122">
        <v>85</v>
      </c>
    </row>
    <row r="29123" spans="1:19" x14ac:dyDescent="0.35">
      <c r="A29123" t="s">
        <v>232</v>
      </c>
      <c r="B29123" t="s">
        <v>232</v>
      </c>
      <c r="C29123" s="26">
        <v>0.45500000000000002</v>
      </c>
      <c r="D29123" s="26">
        <v>0.31719999999999998</v>
      </c>
      <c r="E29123" s="26">
        <v>8.2000000000000003E-2</v>
      </c>
      <c r="F29123" s="26">
        <v>6.3500000000000001E-2</v>
      </c>
      <c r="G29123" s="26">
        <v>6.3E-2</v>
      </c>
      <c r="H29123" s="26">
        <v>4.1399999999999999E-2</v>
      </c>
      <c r="I29123" s="26">
        <v>4.0399999999999998E-2</v>
      </c>
      <c r="J29123" s="26">
        <v>3.9E-2</v>
      </c>
      <c r="K29123" s="26">
        <v>2.87E-2</v>
      </c>
      <c r="L29123" s="26">
        <v>2.8500000000000001E-2</v>
      </c>
      <c r="M29123" s="26">
        <v>2.8000000000000001E-2</v>
      </c>
      <c r="N29123" s="26">
        <v>2.6599999999999999E-2</v>
      </c>
      <c r="O29123" s="26">
        <v>2.5499999999999998E-2</v>
      </c>
      <c r="P29123" s="26">
        <v>2.0199999999999999E-2</v>
      </c>
      <c r="Q29123" s="26">
        <v>3.8999999999999998E-3</v>
      </c>
      <c r="R29123" s="26">
        <v>8.9999999999999998E-4</v>
      </c>
      <c r="S29123">
        <v>2810</v>
      </c>
    </row>
    <row r="29125" spans="1:19" x14ac:dyDescent="0.35">
      <c r="A29125" s="1" t="s">
        <v>2611</v>
      </c>
    </row>
    <row r="29126" spans="1:19" x14ac:dyDescent="0.35">
      <c r="A29126" t="s">
        <v>219</v>
      </c>
      <c r="B29126" t="s">
        <v>305</v>
      </c>
      <c r="C29126" t="s">
        <v>550</v>
      </c>
      <c r="D29126" t="s">
        <v>281</v>
      </c>
      <c r="E29126" t="s">
        <v>2593</v>
      </c>
      <c r="F29126" t="s">
        <v>2594</v>
      </c>
      <c r="G29126" t="s">
        <v>2595</v>
      </c>
      <c r="H29126" t="s">
        <v>2596</v>
      </c>
      <c r="I29126" t="s">
        <v>2597</v>
      </c>
      <c r="J29126" t="s">
        <v>2598</v>
      </c>
      <c r="K29126" t="s">
        <v>2599</v>
      </c>
      <c r="L29126" t="s">
        <v>2600</v>
      </c>
      <c r="M29126" t="s">
        <v>2601</v>
      </c>
      <c r="N29126" t="s">
        <v>2602</v>
      </c>
      <c r="O29126" t="s">
        <v>2603</v>
      </c>
      <c r="P29126" t="s">
        <v>2604</v>
      </c>
      <c r="Q29126" t="s">
        <v>2026</v>
      </c>
      <c r="R29126" t="s">
        <v>326</v>
      </c>
      <c r="S29126" t="s">
        <v>226</v>
      </c>
    </row>
    <row r="29127" spans="1:19" x14ac:dyDescent="0.35">
      <c r="A29127" t="s">
        <v>227</v>
      </c>
      <c r="B29127" t="s">
        <v>249</v>
      </c>
      <c r="C29127" s="26">
        <v>0.59089999999999998</v>
      </c>
      <c r="D29127" s="26">
        <v>0.20449999999999999</v>
      </c>
      <c r="E29127" s="26">
        <v>0.11360000000000001</v>
      </c>
      <c r="F29127" s="26">
        <v>4.5499999999999999E-2</v>
      </c>
      <c r="G29127" s="26">
        <v>0.11360000000000001</v>
      </c>
      <c r="H29127" s="26">
        <v>4.5499999999999999E-2</v>
      </c>
      <c r="I29127" s="26">
        <v>2.2700000000000001E-2</v>
      </c>
      <c r="J29127" s="26">
        <v>2.2700000000000001E-2</v>
      </c>
      <c r="K29127" s="26">
        <v>4.5499999999999999E-2</v>
      </c>
      <c r="L29127" s="26">
        <v>4.5499999999999999E-2</v>
      </c>
      <c r="M29127" s="26">
        <v>2.2700000000000001E-2</v>
      </c>
      <c r="N29127" s="26">
        <v>4.5499999999999999E-2</v>
      </c>
      <c r="P29127" s="26">
        <v>2.2700000000000001E-2</v>
      </c>
      <c r="S29127">
        <v>44</v>
      </c>
    </row>
    <row r="29128" spans="1:19" x14ac:dyDescent="0.35">
      <c r="A29128" t="s">
        <v>227</v>
      </c>
      <c r="B29128" t="s">
        <v>248</v>
      </c>
      <c r="C29128" s="26">
        <v>0.4017</v>
      </c>
      <c r="D29128" s="26">
        <v>0.36749999999999999</v>
      </c>
      <c r="E29128" s="26">
        <v>5.1299999999999998E-2</v>
      </c>
      <c r="F29128" s="26">
        <v>8.5500000000000007E-2</v>
      </c>
      <c r="G29128" s="26">
        <v>4.2700000000000002E-2</v>
      </c>
      <c r="H29128" s="26">
        <v>4.2700000000000002E-2</v>
      </c>
      <c r="I29128" s="26">
        <v>2.5600000000000001E-2</v>
      </c>
      <c r="J29128" s="26">
        <v>4.2700000000000002E-2</v>
      </c>
      <c r="K29128" s="26">
        <v>2.5600000000000001E-2</v>
      </c>
      <c r="L29128" s="26">
        <v>3.4200000000000001E-2</v>
      </c>
      <c r="M29128" s="26">
        <v>2.5600000000000001E-2</v>
      </c>
      <c r="N29128" s="26">
        <v>4.2700000000000002E-2</v>
      </c>
      <c r="O29128" s="26">
        <v>5.1299999999999998E-2</v>
      </c>
      <c r="P29128" s="26">
        <v>8.5000000000000006E-3</v>
      </c>
      <c r="S29128">
        <v>117</v>
      </c>
    </row>
    <row r="29129" spans="1:19" x14ac:dyDescent="0.35">
      <c r="A29129" t="s">
        <v>228</v>
      </c>
      <c r="B29129" t="s">
        <v>249</v>
      </c>
      <c r="C29129" s="26">
        <v>0.49220000000000003</v>
      </c>
      <c r="D29129" s="26">
        <v>0.19800000000000001</v>
      </c>
      <c r="E29129" s="26">
        <v>8.9499999999999996E-2</v>
      </c>
      <c r="F29129" s="26">
        <v>7.8600000000000003E-2</v>
      </c>
      <c r="G29129" s="26">
        <v>0.1167</v>
      </c>
      <c r="H29129" s="26">
        <v>4.1700000000000001E-2</v>
      </c>
      <c r="I29129" s="26">
        <v>6.2399999999999997E-2</v>
      </c>
      <c r="J29129" s="26">
        <v>4.1599999999999998E-2</v>
      </c>
      <c r="K29129" s="26">
        <v>6.1899999999999997E-2</v>
      </c>
      <c r="L29129" s="26">
        <v>3.1899999999999998E-2</v>
      </c>
      <c r="M29129" s="26">
        <v>4.5100000000000001E-2</v>
      </c>
      <c r="N29129" s="26">
        <v>3.0099999999999998E-2</v>
      </c>
      <c r="O29129" s="26">
        <v>3.8699999999999998E-2</v>
      </c>
      <c r="P29129" s="26">
        <v>3.2300000000000002E-2</v>
      </c>
      <c r="Q29129" s="26">
        <v>1.8E-3</v>
      </c>
      <c r="R29129" s="26">
        <v>2.8E-3</v>
      </c>
      <c r="S29129">
        <v>274</v>
      </c>
    </row>
    <row r="29130" spans="1:19" x14ac:dyDescent="0.35">
      <c r="A29130" t="s">
        <v>228</v>
      </c>
      <c r="B29130" t="s">
        <v>248</v>
      </c>
      <c r="C29130" s="26">
        <v>0.441</v>
      </c>
      <c r="D29130" s="26">
        <v>0.35909999999999997</v>
      </c>
      <c r="E29130" s="26">
        <v>7.3499999999999996E-2</v>
      </c>
      <c r="F29130" s="26">
        <v>5.9700000000000003E-2</v>
      </c>
      <c r="G29130" s="26">
        <v>3.6600000000000001E-2</v>
      </c>
      <c r="H29130" s="26">
        <v>3.9300000000000002E-2</v>
      </c>
      <c r="I29130" s="26">
        <v>3.7199999999999997E-2</v>
      </c>
      <c r="J29130" s="26">
        <v>4.0599999999999997E-2</v>
      </c>
      <c r="K29130" s="26">
        <v>0.01</v>
      </c>
      <c r="L29130" s="26">
        <v>1.43E-2</v>
      </c>
      <c r="M29130" s="26">
        <v>2.01E-2</v>
      </c>
      <c r="N29130" s="26">
        <v>6.1000000000000004E-3</v>
      </c>
      <c r="O29130" s="26">
        <v>1.29E-2</v>
      </c>
      <c r="P29130" s="26">
        <v>1.17E-2</v>
      </c>
      <c r="Q29130" s="26">
        <v>9.4999999999999998E-3</v>
      </c>
      <c r="S29130">
        <v>758</v>
      </c>
    </row>
    <row r="29131" spans="1:19" x14ac:dyDescent="0.35">
      <c r="A29131" t="s">
        <v>229</v>
      </c>
      <c r="B29131" t="s">
        <v>249</v>
      </c>
      <c r="C29131" s="26">
        <v>0.4819</v>
      </c>
      <c r="D29131" s="26">
        <v>0.24890000000000001</v>
      </c>
      <c r="E29131" s="26">
        <v>0.14910000000000001</v>
      </c>
      <c r="F29131" s="26">
        <v>8.8200000000000001E-2</v>
      </c>
      <c r="G29131" s="26">
        <v>0.1285</v>
      </c>
      <c r="H29131" s="26">
        <v>7.2800000000000004E-2</v>
      </c>
      <c r="I29131" s="26">
        <v>5.8000000000000003E-2</v>
      </c>
      <c r="J29131" s="26">
        <v>6.0900000000000003E-2</v>
      </c>
      <c r="K29131" s="26">
        <v>7.2800000000000004E-2</v>
      </c>
      <c r="L29131" s="26">
        <v>4.8800000000000003E-2</v>
      </c>
      <c r="M29131" s="26">
        <v>7.5399999999999995E-2</v>
      </c>
      <c r="N29131" s="26">
        <v>7.0400000000000004E-2</v>
      </c>
      <c r="O29131" s="26">
        <v>4.99E-2</v>
      </c>
      <c r="P29131" s="26">
        <v>3.0300000000000001E-2</v>
      </c>
      <c r="Q29131" s="26">
        <v>2.9999999999999997E-4</v>
      </c>
      <c r="S29131">
        <v>258</v>
      </c>
    </row>
    <row r="29132" spans="1:19" x14ac:dyDescent="0.35">
      <c r="A29132" t="s">
        <v>229</v>
      </c>
      <c r="B29132" t="s">
        <v>248</v>
      </c>
      <c r="C29132" s="26">
        <v>0.39760000000000001</v>
      </c>
      <c r="D29132" s="26">
        <v>0.37859999999999999</v>
      </c>
      <c r="E29132" s="26">
        <v>6.1499999999999999E-2</v>
      </c>
      <c r="F29132" s="26">
        <v>5.6899999999999999E-2</v>
      </c>
      <c r="G29132" s="26">
        <v>5.0900000000000001E-2</v>
      </c>
      <c r="H29132" s="26">
        <v>4.7600000000000003E-2</v>
      </c>
      <c r="I29132" s="26">
        <v>4.1500000000000002E-2</v>
      </c>
      <c r="J29132" s="26">
        <v>4.4999999999999998E-2</v>
      </c>
      <c r="K29132" s="26">
        <v>2.76E-2</v>
      </c>
      <c r="L29132" s="26">
        <v>3.2599999999999997E-2</v>
      </c>
      <c r="M29132" s="26">
        <v>1.8800000000000001E-2</v>
      </c>
      <c r="N29132" s="26">
        <v>2.6700000000000002E-2</v>
      </c>
      <c r="O29132" s="26">
        <v>1.44E-2</v>
      </c>
      <c r="P29132" s="26">
        <v>2.4299999999999999E-2</v>
      </c>
      <c r="Q29132" s="26">
        <v>2.5000000000000001E-3</v>
      </c>
      <c r="R29132" s="26">
        <v>3.7000000000000002E-3</v>
      </c>
      <c r="S29132">
        <v>635</v>
      </c>
    </row>
    <row r="29133" spans="1:19" x14ac:dyDescent="0.35">
      <c r="A29133" t="s">
        <v>230</v>
      </c>
      <c r="B29133" t="s">
        <v>249</v>
      </c>
      <c r="C29133" s="26">
        <v>0.45590000000000003</v>
      </c>
      <c r="D29133" s="26">
        <v>0.1913</v>
      </c>
      <c r="E29133" s="26">
        <v>0.12379999999999999</v>
      </c>
      <c r="F29133" s="26">
        <v>5.8200000000000002E-2</v>
      </c>
      <c r="G29133" s="26">
        <v>0.16739999999999999</v>
      </c>
      <c r="H29133" s="26">
        <v>7.4200000000000002E-2</v>
      </c>
      <c r="I29133" s="26">
        <v>6.7100000000000007E-2</v>
      </c>
      <c r="J29133" s="26">
        <v>7.5999999999999998E-2</v>
      </c>
      <c r="K29133" s="26">
        <v>6.4500000000000002E-2</v>
      </c>
      <c r="L29133" s="26">
        <v>7.4399999999999994E-2</v>
      </c>
      <c r="M29133" s="26">
        <v>8.0600000000000005E-2</v>
      </c>
      <c r="N29133" s="26">
        <v>3.4599999999999999E-2</v>
      </c>
      <c r="O29133" s="26">
        <v>6.4600000000000005E-2</v>
      </c>
      <c r="P29133" s="26">
        <v>3.3599999999999998E-2</v>
      </c>
      <c r="Q29133" s="26">
        <v>2.7000000000000001E-3</v>
      </c>
      <c r="S29133">
        <v>171</v>
      </c>
    </row>
    <row r="29134" spans="1:19" x14ac:dyDescent="0.35">
      <c r="A29134" t="s">
        <v>230</v>
      </c>
      <c r="B29134" t="s">
        <v>248</v>
      </c>
      <c r="C29134" s="26">
        <v>0.41909999999999997</v>
      </c>
      <c r="D29134" s="26">
        <v>0.38179999999999997</v>
      </c>
      <c r="E29134" s="26">
        <v>5.2699999999999997E-2</v>
      </c>
      <c r="F29134" s="26">
        <v>8.1299999999999997E-2</v>
      </c>
      <c r="G29134" s="26">
        <v>4.7100000000000003E-2</v>
      </c>
      <c r="H29134" s="26">
        <v>3.2199999999999999E-2</v>
      </c>
      <c r="I29134" s="26">
        <v>3.8100000000000002E-2</v>
      </c>
      <c r="J29134" s="26">
        <v>3.2099999999999997E-2</v>
      </c>
      <c r="K29134" s="26">
        <v>2.3699999999999999E-2</v>
      </c>
      <c r="L29134" s="26">
        <v>1.3899999999999999E-2</v>
      </c>
      <c r="M29134" s="26">
        <v>3.6200000000000003E-2</v>
      </c>
      <c r="N29134" s="26">
        <v>2.01E-2</v>
      </c>
      <c r="O29134" s="26">
        <v>4.7199999999999999E-2</v>
      </c>
      <c r="P29134" s="26">
        <v>2.0400000000000001E-2</v>
      </c>
      <c r="Q29134" s="26">
        <v>4.0000000000000001E-3</v>
      </c>
      <c r="S29134">
        <v>389</v>
      </c>
    </row>
    <row r="29135" spans="1:19" x14ac:dyDescent="0.35">
      <c r="A29135" t="s">
        <v>231</v>
      </c>
      <c r="B29135" t="s">
        <v>249</v>
      </c>
      <c r="C29135" s="26">
        <v>0.51429999999999998</v>
      </c>
      <c r="D29135" s="26">
        <v>0.1714</v>
      </c>
      <c r="E29135" s="26">
        <v>0.1714</v>
      </c>
      <c r="F29135" s="26">
        <v>8.5699999999999998E-2</v>
      </c>
      <c r="G29135" s="26">
        <v>8.5699999999999998E-2</v>
      </c>
      <c r="K29135" s="26">
        <v>2.86E-2</v>
      </c>
      <c r="L29135" s="26">
        <v>2.86E-2</v>
      </c>
      <c r="N29135" s="26">
        <v>2.86E-2</v>
      </c>
      <c r="Q29135" s="26">
        <v>2.86E-2</v>
      </c>
      <c r="S29135">
        <v>35</v>
      </c>
    </row>
    <row r="29136" spans="1:19" x14ac:dyDescent="0.35">
      <c r="A29136" t="s">
        <v>231</v>
      </c>
      <c r="B29136" t="s">
        <v>248</v>
      </c>
      <c r="C29136" s="26">
        <v>0.4884</v>
      </c>
      <c r="D29136" s="26">
        <v>0.33329999999999999</v>
      </c>
      <c r="E29136" s="26">
        <v>6.2E-2</v>
      </c>
      <c r="F29136" s="26">
        <v>3.8800000000000001E-2</v>
      </c>
      <c r="G29136" s="26">
        <v>3.1E-2</v>
      </c>
      <c r="H29136" s="26">
        <v>3.1E-2</v>
      </c>
      <c r="I29136" s="26">
        <v>4.65E-2</v>
      </c>
      <c r="J29136" s="26">
        <v>3.1E-2</v>
      </c>
      <c r="K29136" s="26">
        <v>7.7999999999999996E-3</v>
      </c>
      <c r="L29136" s="26">
        <v>1.55E-2</v>
      </c>
      <c r="M29136" s="26">
        <v>1.55E-2</v>
      </c>
      <c r="N29136" s="26">
        <v>7.7999999999999996E-3</v>
      </c>
      <c r="O29136" s="26">
        <v>1.55E-2</v>
      </c>
      <c r="P29136" s="26">
        <v>2.3300000000000001E-2</v>
      </c>
      <c r="S29136">
        <v>129</v>
      </c>
    </row>
    <row r="29137" spans="1:19" x14ac:dyDescent="0.35">
      <c r="A29137" t="s">
        <v>232</v>
      </c>
      <c r="B29137" t="s">
        <v>232</v>
      </c>
      <c r="C29137" s="26">
        <v>0.45500000000000002</v>
      </c>
      <c r="D29137" s="26">
        <v>0.31719999999999998</v>
      </c>
      <c r="E29137" s="26">
        <v>8.2000000000000003E-2</v>
      </c>
      <c r="F29137" s="26">
        <v>6.3500000000000001E-2</v>
      </c>
      <c r="G29137" s="26">
        <v>6.3E-2</v>
      </c>
      <c r="H29137" s="26">
        <v>4.1399999999999999E-2</v>
      </c>
      <c r="I29137" s="26">
        <v>4.0399999999999998E-2</v>
      </c>
      <c r="J29137" s="26">
        <v>3.9E-2</v>
      </c>
      <c r="K29137" s="26">
        <v>2.87E-2</v>
      </c>
      <c r="L29137" s="26">
        <v>2.8500000000000001E-2</v>
      </c>
      <c r="M29137" s="26">
        <v>2.8000000000000001E-2</v>
      </c>
      <c r="N29137" s="26">
        <v>2.6599999999999999E-2</v>
      </c>
      <c r="O29137" s="26">
        <v>2.5499999999999998E-2</v>
      </c>
      <c r="P29137" s="26">
        <v>2.0199999999999999E-2</v>
      </c>
      <c r="Q29137" s="26">
        <v>3.8999999999999998E-3</v>
      </c>
      <c r="R29137" s="26">
        <v>8.9999999999999998E-4</v>
      </c>
      <c r="S29137">
        <v>2810</v>
      </c>
    </row>
    <row r="29139" spans="1:19" x14ac:dyDescent="0.35">
      <c r="A29139" s="1" t="s">
        <v>2612</v>
      </c>
    </row>
    <row r="29140" spans="1:19" x14ac:dyDescent="0.35">
      <c r="A29140" t="s">
        <v>219</v>
      </c>
      <c r="B29140" t="s">
        <v>305</v>
      </c>
      <c r="C29140" t="s">
        <v>550</v>
      </c>
      <c r="D29140" t="s">
        <v>281</v>
      </c>
      <c r="E29140" t="s">
        <v>2593</v>
      </c>
      <c r="F29140" t="s">
        <v>2594</v>
      </c>
      <c r="G29140" t="s">
        <v>2595</v>
      </c>
      <c r="H29140" t="s">
        <v>2596</v>
      </c>
      <c r="I29140" t="s">
        <v>2597</v>
      </c>
      <c r="J29140" t="s">
        <v>2598</v>
      </c>
      <c r="K29140" t="s">
        <v>2599</v>
      </c>
      <c r="L29140" t="s">
        <v>2600</v>
      </c>
      <c r="M29140" t="s">
        <v>2601</v>
      </c>
      <c r="N29140" t="s">
        <v>2602</v>
      </c>
      <c r="O29140" t="s">
        <v>2603</v>
      </c>
      <c r="P29140" t="s">
        <v>2604</v>
      </c>
      <c r="Q29140" t="s">
        <v>2026</v>
      </c>
      <c r="R29140" t="s">
        <v>326</v>
      </c>
      <c r="S29140" t="s">
        <v>226</v>
      </c>
    </row>
    <row r="29141" spans="1:19" x14ac:dyDescent="0.35">
      <c r="A29141" s="27" t="s">
        <v>227</v>
      </c>
      <c r="B29141" s="27" t="s">
        <v>263</v>
      </c>
      <c r="C29141" s="28">
        <v>0.33329999999999999</v>
      </c>
      <c r="D29141" s="29"/>
      <c r="E29141" s="28">
        <v>0.66669999999999996</v>
      </c>
      <c r="F29141" s="28">
        <v>0.33329999999999999</v>
      </c>
      <c r="G29141" s="28">
        <v>0.33329999999999999</v>
      </c>
      <c r="H29141" s="28">
        <v>0.33329999999999999</v>
      </c>
      <c r="I29141" s="28">
        <v>0.33329999999999999</v>
      </c>
      <c r="J29141" s="28">
        <v>0.33329999999999999</v>
      </c>
      <c r="K29141" s="28">
        <v>0.33329999999999999</v>
      </c>
      <c r="L29141" s="28">
        <v>0.33329999999999999</v>
      </c>
      <c r="M29141" s="28">
        <v>0.33329999999999999</v>
      </c>
      <c r="N29141" s="28">
        <v>0.33329999999999999</v>
      </c>
      <c r="O29141" s="28">
        <v>0.33329999999999999</v>
      </c>
      <c r="P29141" s="28">
        <v>0.33329999999999999</v>
      </c>
      <c r="Q29141" s="29"/>
      <c r="R29141" s="29"/>
      <c r="S29141" s="29" t="s">
        <v>315</v>
      </c>
    </row>
    <row r="29142" spans="1:19" x14ac:dyDescent="0.35">
      <c r="A29142" t="s">
        <v>227</v>
      </c>
      <c r="B29142" t="s">
        <v>261</v>
      </c>
      <c r="C29142" s="26">
        <v>0.42420000000000002</v>
      </c>
      <c r="D29142" s="26">
        <v>0.42420000000000002</v>
      </c>
      <c r="E29142" s="26">
        <v>3.0300000000000001E-2</v>
      </c>
      <c r="F29142" s="26">
        <v>6.0600000000000001E-2</v>
      </c>
      <c r="G29142" s="26">
        <v>6.0600000000000001E-2</v>
      </c>
      <c r="K29142" s="26">
        <v>3.0300000000000001E-2</v>
      </c>
      <c r="S29142">
        <v>33</v>
      </c>
    </row>
    <row r="29143" spans="1:19" x14ac:dyDescent="0.35">
      <c r="A29143" s="27" t="s">
        <v>227</v>
      </c>
      <c r="B29143" s="27" t="s">
        <v>262</v>
      </c>
      <c r="C29143" s="28">
        <v>0.66669999999999996</v>
      </c>
      <c r="D29143" s="29"/>
      <c r="E29143" s="29"/>
      <c r="F29143" s="28">
        <v>0.33329999999999999</v>
      </c>
      <c r="G29143" s="29"/>
      <c r="H29143" s="29"/>
      <c r="I29143" s="29"/>
      <c r="J29143" s="29"/>
      <c r="K29143" s="29"/>
      <c r="L29143" s="29"/>
      <c r="M29143" s="29"/>
      <c r="N29143" s="29"/>
      <c r="O29143" s="28">
        <v>0.33329999999999999</v>
      </c>
      <c r="P29143" s="29"/>
      <c r="Q29143" s="29"/>
      <c r="R29143" s="29"/>
      <c r="S29143" s="29" t="s">
        <v>315</v>
      </c>
    </row>
    <row r="29144" spans="1:19" x14ac:dyDescent="0.35">
      <c r="A29144" t="s">
        <v>227</v>
      </c>
      <c r="B29144" t="s">
        <v>260</v>
      </c>
      <c r="C29144" s="26">
        <v>0.45900000000000002</v>
      </c>
      <c r="D29144" s="26">
        <v>0.3115</v>
      </c>
      <c r="E29144" s="26">
        <v>6.5600000000000006E-2</v>
      </c>
      <c r="F29144" s="26">
        <v>6.5600000000000006E-2</v>
      </c>
      <c r="G29144" s="26">
        <v>5.74E-2</v>
      </c>
      <c r="H29144" s="26">
        <v>4.9200000000000001E-2</v>
      </c>
      <c r="I29144" s="26">
        <v>2.46E-2</v>
      </c>
      <c r="J29144" s="26">
        <v>4.1000000000000002E-2</v>
      </c>
      <c r="K29144" s="26">
        <v>2.46E-2</v>
      </c>
      <c r="L29144" s="26">
        <v>4.1000000000000002E-2</v>
      </c>
      <c r="M29144" s="26">
        <v>2.46E-2</v>
      </c>
      <c r="N29144" s="26">
        <v>4.9200000000000001E-2</v>
      </c>
      <c r="O29144" s="26">
        <v>3.2800000000000003E-2</v>
      </c>
      <c r="P29144" s="26">
        <v>8.2000000000000007E-3</v>
      </c>
      <c r="S29144">
        <v>122</v>
      </c>
    </row>
    <row r="29145" spans="1:19" x14ac:dyDescent="0.35">
      <c r="A29145" t="s">
        <v>228</v>
      </c>
      <c r="B29145" t="s">
        <v>261</v>
      </c>
      <c r="C29145" s="26">
        <v>0.50380000000000003</v>
      </c>
      <c r="D29145" s="26">
        <v>0.3246</v>
      </c>
      <c r="E29145" s="26">
        <v>5.0999999999999997E-2</v>
      </c>
      <c r="F29145" s="26">
        <v>6.7199999999999996E-2</v>
      </c>
      <c r="G29145" s="26">
        <v>4.8399999999999999E-2</v>
      </c>
      <c r="H29145" s="26">
        <v>3.3999999999999998E-3</v>
      </c>
      <c r="I29145" s="26">
        <v>1.6199999999999999E-2</v>
      </c>
      <c r="J29145" s="26">
        <v>1.6400000000000001E-2</v>
      </c>
      <c r="K29145" s="26">
        <v>1.01E-2</v>
      </c>
      <c r="L29145" s="26">
        <v>8.0000000000000002E-3</v>
      </c>
      <c r="M29145" s="26">
        <v>1.8100000000000002E-2</v>
      </c>
      <c r="N29145" s="26">
        <v>4.3E-3</v>
      </c>
      <c r="O29145" s="26">
        <v>2.1700000000000001E-2</v>
      </c>
      <c r="P29145" s="26">
        <v>8.3999999999999995E-3</v>
      </c>
      <c r="Q29145" s="26">
        <v>1.83E-2</v>
      </c>
      <c r="S29145">
        <v>192</v>
      </c>
    </row>
    <row r="29146" spans="1:19" x14ac:dyDescent="0.35">
      <c r="A29146" s="27" t="s">
        <v>228</v>
      </c>
      <c r="B29146" s="27" t="s">
        <v>263</v>
      </c>
      <c r="C29146" s="28">
        <v>0.22170000000000001</v>
      </c>
      <c r="D29146" s="28">
        <v>0.32590000000000002</v>
      </c>
      <c r="E29146" s="28">
        <v>0.18090000000000001</v>
      </c>
      <c r="F29146" s="28">
        <v>5.1400000000000001E-2</v>
      </c>
      <c r="G29146" s="28">
        <v>0.26960000000000001</v>
      </c>
      <c r="H29146" s="28">
        <v>2.93E-2</v>
      </c>
      <c r="I29146" s="28">
        <v>0.1031</v>
      </c>
      <c r="J29146" s="28">
        <v>7.3800000000000004E-2</v>
      </c>
      <c r="K29146" s="29"/>
      <c r="L29146" s="29"/>
      <c r="M29146" s="29"/>
      <c r="N29146" s="28">
        <v>8.8999999999999996E-2</v>
      </c>
      <c r="O29146" s="28">
        <v>1.2999999999999999E-2</v>
      </c>
      <c r="P29146" s="29"/>
      <c r="Q29146" s="29"/>
      <c r="R29146" s="29"/>
      <c r="S29146" s="29" t="s">
        <v>312</v>
      </c>
    </row>
    <row r="29147" spans="1:19" x14ac:dyDescent="0.35">
      <c r="A29147" s="27" t="s">
        <v>228</v>
      </c>
      <c r="B29147" s="27" t="s">
        <v>236</v>
      </c>
      <c r="C29147" s="28">
        <v>0.72189999999999999</v>
      </c>
      <c r="D29147" s="28">
        <v>0.1444</v>
      </c>
      <c r="E29147" s="29"/>
      <c r="F29147" s="29"/>
      <c r="G29147" s="29"/>
      <c r="H29147" s="28">
        <v>0.13370000000000001</v>
      </c>
      <c r="I29147" s="29"/>
      <c r="J29147" s="29"/>
      <c r="K29147" s="29"/>
      <c r="L29147" s="29"/>
      <c r="M29147" s="29"/>
      <c r="N29147" s="29"/>
      <c r="O29147" s="29"/>
      <c r="P29147" s="29"/>
      <c r="Q29147" s="29"/>
      <c r="R29147" s="29"/>
      <c r="S29147" s="29" t="s">
        <v>335</v>
      </c>
    </row>
    <row r="29148" spans="1:19" x14ac:dyDescent="0.35">
      <c r="A29148" t="s">
        <v>228</v>
      </c>
      <c r="B29148" t="s">
        <v>262</v>
      </c>
      <c r="C29148" s="26">
        <v>0.4642</v>
      </c>
      <c r="D29148" s="26">
        <v>0.22700000000000001</v>
      </c>
      <c r="E29148" s="26">
        <v>0.15310000000000001</v>
      </c>
      <c r="F29148" s="26">
        <v>8.2199999999999995E-2</v>
      </c>
      <c r="G29148" s="26">
        <v>0.1191</v>
      </c>
      <c r="H29148" s="26">
        <v>9.4E-2</v>
      </c>
      <c r="I29148" s="26">
        <v>0.1192</v>
      </c>
      <c r="J29148" s="26">
        <v>7.3300000000000004E-2</v>
      </c>
      <c r="K29148" s="26">
        <v>6.2399999999999997E-2</v>
      </c>
      <c r="L29148" s="26">
        <v>5.45E-2</v>
      </c>
      <c r="M29148" s="26">
        <v>7.4200000000000002E-2</v>
      </c>
      <c r="N29148" s="26">
        <v>3.3000000000000002E-2</v>
      </c>
      <c r="O29148" s="26">
        <v>6.2300000000000001E-2</v>
      </c>
      <c r="P29148" s="26">
        <v>5.0200000000000002E-2</v>
      </c>
      <c r="Q29148" s="26">
        <v>1.29E-2</v>
      </c>
      <c r="S29148">
        <v>200</v>
      </c>
    </row>
    <row r="29149" spans="1:19" x14ac:dyDescent="0.35">
      <c r="A29149" t="s">
        <v>228</v>
      </c>
      <c r="B29149" t="s">
        <v>260</v>
      </c>
      <c r="C29149" s="26">
        <v>0.44359999999999999</v>
      </c>
      <c r="D29149" s="26">
        <v>0.33040000000000003</v>
      </c>
      <c r="E29149" s="26">
        <v>6.4399999999999999E-2</v>
      </c>
      <c r="F29149" s="26">
        <v>6.13E-2</v>
      </c>
      <c r="G29149" s="26">
        <v>4.2900000000000001E-2</v>
      </c>
      <c r="H29149" s="26">
        <v>3.6400000000000002E-2</v>
      </c>
      <c r="I29149" s="26">
        <v>3.2399999999999998E-2</v>
      </c>
      <c r="J29149" s="26">
        <v>3.9300000000000002E-2</v>
      </c>
      <c r="K29149" s="26">
        <v>2.1499999999999998E-2</v>
      </c>
      <c r="L29149" s="26">
        <v>1.46E-2</v>
      </c>
      <c r="M29149" s="26">
        <v>1.9099999999999999E-2</v>
      </c>
      <c r="N29149" s="26">
        <v>8.6999999999999994E-3</v>
      </c>
      <c r="O29149" s="26">
        <v>9.4999999999999998E-3</v>
      </c>
      <c r="P29149" s="26">
        <v>1.29E-2</v>
      </c>
      <c r="Q29149" s="26">
        <v>2.5000000000000001E-3</v>
      </c>
      <c r="R29149" s="26">
        <v>1.4E-3</v>
      </c>
      <c r="S29149">
        <v>609</v>
      </c>
    </row>
    <row r="29150" spans="1:19" x14ac:dyDescent="0.35">
      <c r="A29150" s="27" t="s">
        <v>229</v>
      </c>
      <c r="B29150" s="27" t="s">
        <v>263</v>
      </c>
      <c r="C29150" s="28">
        <v>0.28170000000000001</v>
      </c>
      <c r="D29150" s="28">
        <v>0.2858</v>
      </c>
      <c r="E29150" s="28">
        <v>0.24210000000000001</v>
      </c>
      <c r="F29150" s="29"/>
      <c r="G29150" s="28">
        <v>0.19040000000000001</v>
      </c>
      <c r="H29150" s="28">
        <v>0.15570000000000001</v>
      </c>
      <c r="I29150" s="28">
        <v>0.15570000000000001</v>
      </c>
      <c r="J29150" s="28">
        <v>0.15570000000000001</v>
      </c>
      <c r="K29150" s="28">
        <v>3.4700000000000002E-2</v>
      </c>
      <c r="L29150" s="28">
        <v>6.93E-2</v>
      </c>
      <c r="M29150" s="28">
        <v>3.4700000000000002E-2</v>
      </c>
      <c r="N29150" s="28">
        <v>0.15570000000000001</v>
      </c>
      <c r="O29150" s="28">
        <v>3.4700000000000002E-2</v>
      </c>
      <c r="P29150" s="29"/>
      <c r="Q29150" s="29"/>
      <c r="R29150" s="29"/>
      <c r="S29150" s="29" t="s">
        <v>379</v>
      </c>
    </row>
    <row r="29151" spans="1:19" x14ac:dyDescent="0.35">
      <c r="A29151" t="s">
        <v>229</v>
      </c>
      <c r="B29151" t="s">
        <v>262</v>
      </c>
      <c r="C29151" s="26">
        <v>0.46360000000000001</v>
      </c>
      <c r="D29151" s="26">
        <v>0.2767</v>
      </c>
      <c r="E29151" s="26">
        <v>8.6800000000000002E-2</v>
      </c>
      <c r="F29151" s="26">
        <v>9.0399999999999994E-2</v>
      </c>
      <c r="G29151" s="26">
        <v>7.9899999999999999E-2</v>
      </c>
      <c r="H29151" s="26">
        <v>5.5899999999999998E-2</v>
      </c>
      <c r="I29151" s="26">
        <v>5.7700000000000001E-2</v>
      </c>
      <c r="J29151" s="26">
        <v>5.91E-2</v>
      </c>
      <c r="K29151" s="26">
        <v>5.5300000000000002E-2</v>
      </c>
      <c r="L29151" s="26">
        <v>3.5000000000000003E-2</v>
      </c>
      <c r="M29151" s="26">
        <v>3.2399999999999998E-2</v>
      </c>
      <c r="N29151" s="26">
        <v>4.1599999999999998E-2</v>
      </c>
      <c r="O29151" s="26">
        <v>2.4E-2</v>
      </c>
      <c r="P29151" s="26">
        <v>3.3E-3</v>
      </c>
      <c r="Q29151" s="26">
        <v>3.0000000000000001E-3</v>
      </c>
      <c r="S29151">
        <v>187</v>
      </c>
    </row>
    <row r="29152" spans="1:19" x14ac:dyDescent="0.35">
      <c r="A29152" t="s">
        <v>229</v>
      </c>
      <c r="B29152" t="s">
        <v>261</v>
      </c>
      <c r="C29152" s="26">
        <v>0.50780000000000003</v>
      </c>
      <c r="D29152" s="26">
        <v>0.32190000000000002</v>
      </c>
      <c r="E29152" s="26">
        <v>9.2799999999999994E-2</v>
      </c>
      <c r="F29152" s="26">
        <v>5.5E-2</v>
      </c>
      <c r="G29152" s="26">
        <v>4.1099999999999998E-2</v>
      </c>
      <c r="H29152" s="26">
        <v>1.9099999999999999E-2</v>
      </c>
      <c r="I29152" s="26">
        <v>3.5999999999999997E-2</v>
      </c>
      <c r="J29152" s="26">
        <v>2.3599999999999999E-2</v>
      </c>
      <c r="K29152" s="26">
        <v>3.8199999999999998E-2</v>
      </c>
      <c r="L29152" s="26">
        <v>2.3E-3</v>
      </c>
      <c r="M29152" s="26">
        <v>3.8199999999999998E-2</v>
      </c>
      <c r="N29152" s="26">
        <v>2.3599999999999999E-2</v>
      </c>
      <c r="O29152" s="26">
        <v>2.3E-3</v>
      </c>
      <c r="P29152" s="26">
        <v>2.3E-3</v>
      </c>
      <c r="S29152">
        <v>96</v>
      </c>
    </row>
    <row r="29153" spans="1:19" x14ac:dyDescent="0.35">
      <c r="A29153" s="27" t="s">
        <v>229</v>
      </c>
      <c r="B29153" s="27" t="s">
        <v>236</v>
      </c>
      <c r="C29153" s="28">
        <v>1</v>
      </c>
      <c r="D29153" s="29"/>
      <c r="E29153" s="29"/>
      <c r="F29153" s="29"/>
      <c r="G29153" s="29"/>
      <c r="H29153" s="29"/>
      <c r="I29153" s="29"/>
      <c r="J29153" s="29"/>
      <c r="K29153" s="29"/>
      <c r="L29153" s="29"/>
      <c r="M29153" s="29"/>
      <c r="N29153" s="29"/>
      <c r="O29153" s="29"/>
      <c r="P29153" s="29"/>
      <c r="Q29153" s="29"/>
      <c r="R29153" s="29"/>
      <c r="S29153" s="29" t="s">
        <v>331</v>
      </c>
    </row>
    <row r="29154" spans="1:19" x14ac:dyDescent="0.35">
      <c r="A29154" t="s">
        <v>229</v>
      </c>
      <c r="B29154" t="s">
        <v>260</v>
      </c>
      <c r="C29154" s="26">
        <v>0.3886</v>
      </c>
      <c r="D29154" s="26">
        <v>0.3715</v>
      </c>
      <c r="E29154" s="26">
        <v>8.6099999999999996E-2</v>
      </c>
      <c r="F29154" s="26">
        <v>6.1100000000000002E-2</v>
      </c>
      <c r="G29154" s="26">
        <v>8.0100000000000005E-2</v>
      </c>
      <c r="H29154" s="26">
        <v>6.2300000000000001E-2</v>
      </c>
      <c r="I29154" s="26">
        <v>4.07E-2</v>
      </c>
      <c r="J29154" s="26">
        <v>4.9200000000000001E-2</v>
      </c>
      <c r="K29154" s="26">
        <v>3.7400000000000003E-2</v>
      </c>
      <c r="L29154" s="26">
        <v>4.7899999999999998E-2</v>
      </c>
      <c r="M29154" s="26">
        <v>3.9800000000000002E-2</v>
      </c>
      <c r="N29154" s="26">
        <v>4.1399999999999999E-2</v>
      </c>
      <c r="O29154" s="26">
        <v>3.32E-2</v>
      </c>
      <c r="P29154" s="26">
        <v>4.5199999999999997E-2</v>
      </c>
      <c r="Q29154" s="26">
        <v>1.6999999999999999E-3</v>
      </c>
      <c r="R29154" s="26">
        <v>4.4999999999999997E-3</v>
      </c>
      <c r="S29154">
        <v>595</v>
      </c>
    </row>
    <row r="29155" spans="1:19" x14ac:dyDescent="0.35">
      <c r="A29155" s="27" t="s">
        <v>230</v>
      </c>
      <c r="B29155" s="27" t="s">
        <v>236</v>
      </c>
      <c r="C29155" s="28">
        <v>0.11899999999999999</v>
      </c>
      <c r="D29155" s="28">
        <v>0.88100000000000001</v>
      </c>
      <c r="E29155" s="29"/>
      <c r="F29155" s="29"/>
      <c r="G29155" s="29"/>
      <c r="H29155" s="29"/>
      <c r="I29155" s="29"/>
      <c r="J29155" s="29"/>
      <c r="K29155" s="29"/>
      <c r="L29155" s="29"/>
      <c r="M29155" s="29"/>
      <c r="N29155" s="29"/>
      <c r="O29155" s="29"/>
      <c r="P29155" s="29"/>
      <c r="Q29155" s="29"/>
      <c r="R29155" s="29"/>
      <c r="S29155" s="29" t="s">
        <v>337</v>
      </c>
    </row>
    <row r="29156" spans="1:19" x14ac:dyDescent="0.35">
      <c r="A29156" t="s">
        <v>230</v>
      </c>
      <c r="B29156" t="s">
        <v>262</v>
      </c>
      <c r="C29156" s="26">
        <v>0.40479999999999999</v>
      </c>
      <c r="D29156" s="26">
        <v>0.24210000000000001</v>
      </c>
      <c r="E29156" s="26">
        <v>0.1245</v>
      </c>
      <c r="F29156" s="26">
        <v>0.158</v>
      </c>
      <c r="G29156" s="26">
        <v>0.17249999999999999</v>
      </c>
      <c r="H29156" s="26">
        <v>5.1299999999999998E-2</v>
      </c>
      <c r="I29156" s="26">
        <v>0.1168</v>
      </c>
      <c r="J29156" s="26">
        <v>0.1186</v>
      </c>
      <c r="K29156" s="26">
        <v>6.3100000000000003E-2</v>
      </c>
      <c r="L29156" s="26">
        <v>5.96E-2</v>
      </c>
      <c r="M29156" s="26">
        <v>8.4699999999999998E-2</v>
      </c>
      <c r="N29156" s="26">
        <v>4.9500000000000002E-2</v>
      </c>
      <c r="O29156" s="26">
        <v>8.2799999999999999E-2</v>
      </c>
      <c r="P29156" s="26">
        <v>5.3100000000000001E-2</v>
      </c>
      <c r="Q29156" s="26">
        <v>6.0000000000000001E-3</v>
      </c>
      <c r="S29156">
        <v>122</v>
      </c>
    </row>
    <row r="29157" spans="1:19" x14ac:dyDescent="0.35">
      <c r="A29157" t="s">
        <v>230</v>
      </c>
      <c r="B29157" t="s">
        <v>261</v>
      </c>
      <c r="C29157" s="26">
        <v>0.52080000000000004</v>
      </c>
      <c r="D29157" s="26">
        <v>0.36299999999999999</v>
      </c>
      <c r="E29157" s="26">
        <v>5.3800000000000001E-2</v>
      </c>
      <c r="F29157" s="26">
        <v>6.7000000000000002E-3</v>
      </c>
      <c r="G29157" s="26">
        <v>9.4E-2</v>
      </c>
      <c r="K29157" s="26">
        <v>6.7000000000000002E-3</v>
      </c>
      <c r="P29157" s="26">
        <v>2E-3</v>
      </c>
      <c r="S29157">
        <v>57</v>
      </c>
    </row>
    <row r="29158" spans="1:19" x14ac:dyDescent="0.35">
      <c r="A29158" s="27" t="s">
        <v>230</v>
      </c>
      <c r="B29158" s="27" t="s">
        <v>263</v>
      </c>
      <c r="C29158" s="28">
        <v>0.4088</v>
      </c>
      <c r="D29158" s="28">
        <v>0.13819999999999999</v>
      </c>
      <c r="E29158" s="28">
        <v>5.57E-2</v>
      </c>
      <c r="F29158" s="28">
        <v>1.6799999999999999E-2</v>
      </c>
      <c r="G29158" s="28">
        <v>0.38059999999999999</v>
      </c>
      <c r="H29158" s="28">
        <v>1.6799999999999999E-2</v>
      </c>
      <c r="I29158" s="28">
        <v>1.6799999999999999E-2</v>
      </c>
      <c r="J29158" s="28">
        <v>1.6799999999999999E-2</v>
      </c>
      <c r="K29158" s="29"/>
      <c r="L29158" s="29"/>
      <c r="M29158" s="28">
        <v>0.3861</v>
      </c>
      <c r="N29158" s="29"/>
      <c r="O29158" s="29"/>
      <c r="P29158" s="28">
        <v>1.6799999999999999E-2</v>
      </c>
      <c r="Q29158" s="29"/>
      <c r="R29158" s="29"/>
      <c r="S29158" s="29" t="s">
        <v>312</v>
      </c>
    </row>
    <row r="29159" spans="1:19" x14ac:dyDescent="0.35">
      <c r="A29159" t="s">
        <v>230</v>
      </c>
      <c r="B29159" t="s">
        <v>260</v>
      </c>
      <c r="C29159" s="26">
        <v>0.42399999999999999</v>
      </c>
      <c r="D29159" s="26">
        <v>0.32340000000000002</v>
      </c>
      <c r="E29159" s="26">
        <v>7.2099999999999997E-2</v>
      </c>
      <c r="F29159" s="26">
        <v>7.0199999999999999E-2</v>
      </c>
      <c r="G29159" s="26">
        <v>6.2100000000000002E-2</v>
      </c>
      <c r="H29159" s="26">
        <v>5.5399999999999998E-2</v>
      </c>
      <c r="I29159" s="26">
        <v>4.3400000000000001E-2</v>
      </c>
      <c r="J29159" s="26">
        <v>4.1599999999999998E-2</v>
      </c>
      <c r="K29159" s="26">
        <v>3.9100000000000003E-2</v>
      </c>
      <c r="L29159" s="26">
        <v>3.6600000000000001E-2</v>
      </c>
      <c r="M29159" s="26">
        <v>4.65E-2</v>
      </c>
      <c r="N29159" s="26">
        <v>2.5399999999999999E-2</v>
      </c>
      <c r="O29159" s="26">
        <v>5.8700000000000002E-2</v>
      </c>
      <c r="P29159" s="26">
        <v>2.35E-2</v>
      </c>
      <c r="Q29159" s="26">
        <v>3.8999999999999998E-3</v>
      </c>
      <c r="S29159">
        <v>352</v>
      </c>
    </row>
    <row r="29160" spans="1:19" x14ac:dyDescent="0.35">
      <c r="A29160" s="27" t="s">
        <v>231</v>
      </c>
      <c r="B29160" s="27" t="s">
        <v>263</v>
      </c>
      <c r="C29160" s="29"/>
      <c r="D29160" s="28">
        <v>1</v>
      </c>
      <c r="E29160" s="29"/>
      <c r="F29160" s="29"/>
      <c r="G29160" s="29"/>
      <c r="H29160" s="29"/>
      <c r="I29160" s="29"/>
      <c r="J29160" s="29"/>
      <c r="K29160" s="29"/>
      <c r="L29160" s="29"/>
      <c r="M29160" s="29"/>
      <c r="N29160" s="29"/>
      <c r="O29160" s="29"/>
      <c r="P29160" s="29"/>
      <c r="Q29160" s="29"/>
      <c r="R29160" s="29"/>
      <c r="S29160" s="29" t="s">
        <v>314</v>
      </c>
    </row>
    <row r="29161" spans="1:19" x14ac:dyDescent="0.35">
      <c r="A29161" t="s">
        <v>231</v>
      </c>
      <c r="B29161" t="s">
        <v>260</v>
      </c>
      <c r="C29161" s="26">
        <v>0.4677</v>
      </c>
      <c r="D29161" s="26">
        <v>0.2823</v>
      </c>
      <c r="E29161" s="26">
        <v>0.1129</v>
      </c>
      <c r="F29161" s="26">
        <v>6.4500000000000002E-2</v>
      </c>
      <c r="G29161" s="26">
        <v>5.6500000000000002E-2</v>
      </c>
      <c r="H29161" s="26">
        <v>3.2300000000000002E-2</v>
      </c>
      <c r="I29161" s="26">
        <v>4.0300000000000002E-2</v>
      </c>
      <c r="J29161" s="26">
        <v>2.4199999999999999E-2</v>
      </c>
      <c r="K29161" s="26">
        <v>1.61E-2</v>
      </c>
      <c r="L29161" s="26">
        <v>1.61E-2</v>
      </c>
      <c r="M29161" s="26">
        <v>1.61E-2</v>
      </c>
      <c r="N29161" s="26">
        <v>1.61E-2</v>
      </c>
      <c r="O29161" s="26">
        <v>1.61E-2</v>
      </c>
      <c r="P29161" s="26">
        <v>2.4199999999999999E-2</v>
      </c>
      <c r="Q29161" s="26">
        <v>8.0999999999999996E-3</v>
      </c>
      <c r="S29161">
        <v>124</v>
      </c>
    </row>
    <row r="29162" spans="1:19" x14ac:dyDescent="0.35">
      <c r="A29162" s="27" t="s">
        <v>231</v>
      </c>
      <c r="B29162" s="27" t="s">
        <v>261</v>
      </c>
      <c r="C29162" s="28">
        <v>0.59260000000000002</v>
      </c>
      <c r="D29162" s="28">
        <v>0.33329999999999999</v>
      </c>
      <c r="E29162" s="29"/>
      <c r="F29162" s="29"/>
      <c r="G29162" s="29"/>
      <c r="H29162" s="29"/>
      <c r="I29162" s="28">
        <v>3.6999999999999998E-2</v>
      </c>
      <c r="J29162" s="29"/>
      <c r="K29162" s="29"/>
      <c r="L29162" s="28">
        <v>3.6999999999999998E-2</v>
      </c>
      <c r="M29162" s="29"/>
      <c r="N29162" s="29"/>
      <c r="O29162" s="29"/>
      <c r="P29162" s="29"/>
      <c r="Q29162" s="29"/>
      <c r="R29162" s="29"/>
      <c r="S29162" s="29" t="s">
        <v>338</v>
      </c>
    </row>
    <row r="29163" spans="1:19" x14ac:dyDescent="0.35">
      <c r="A29163" s="27" t="s">
        <v>231</v>
      </c>
      <c r="B29163" s="27" t="s">
        <v>262</v>
      </c>
      <c r="C29163" s="28">
        <v>0.63639999999999997</v>
      </c>
      <c r="D29163" s="28">
        <v>0.2727</v>
      </c>
      <c r="E29163" s="29"/>
      <c r="F29163" s="29"/>
      <c r="G29163" s="29"/>
      <c r="H29163" s="29"/>
      <c r="I29163" s="29"/>
      <c r="J29163" s="28">
        <v>9.0899999999999995E-2</v>
      </c>
      <c r="K29163" s="29"/>
      <c r="L29163" s="29"/>
      <c r="M29163" s="29"/>
      <c r="N29163" s="29"/>
      <c r="O29163" s="29"/>
      <c r="P29163" s="29"/>
      <c r="Q29163" s="29"/>
      <c r="R29163" s="29"/>
      <c r="S29163" s="29" t="s">
        <v>352</v>
      </c>
    </row>
    <row r="29164" spans="1:19" x14ac:dyDescent="0.35">
      <c r="A29164" t="s">
        <v>232</v>
      </c>
      <c r="B29164" t="s">
        <v>232</v>
      </c>
      <c r="C29164" s="26">
        <v>0.45500000000000002</v>
      </c>
      <c r="D29164" s="26">
        <v>0.31719999999999998</v>
      </c>
      <c r="E29164" s="26">
        <v>8.2000000000000003E-2</v>
      </c>
      <c r="F29164" s="26">
        <v>6.3500000000000001E-2</v>
      </c>
      <c r="G29164" s="26">
        <v>6.3E-2</v>
      </c>
      <c r="H29164" s="26">
        <v>4.1399999999999999E-2</v>
      </c>
      <c r="I29164" s="26">
        <v>4.0399999999999998E-2</v>
      </c>
      <c r="J29164" s="26">
        <v>3.9E-2</v>
      </c>
      <c r="K29164" s="26">
        <v>2.87E-2</v>
      </c>
      <c r="L29164" s="26">
        <v>2.8500000000000001E-2</v>
      </c>
      <c r="M29164" s="26">
        <v>2.8000000000000001E-2</v>
      </c>
      <c r="N29164" s="26">
        <v>2.6599999999999999E-2</v>
      </c>
      <c r="O29164" s="26">
        <v>2.5499999999999998E-2</v>
      </c>
      <c r="P29164" s="26">
        <v>2.0199999999999999E-2</v>
      </c>
      <c r="Q29164" s="26">
        <v>3.8999999999999998E-3</v>
      </c>
      <c r="R29164" s="26">
        <v>8.9999999999999998E-4</v>
      </c>
      <c r="S29164">
        <v>2810</v>
      </c>
    </row>
    <row r="29166" spans="1:19" x14ac:dyDescent="0.35">
      <c r="A29166" s="1" t="s">
        <v>2613</v>
      </c>
    </row>
    <row r="29167" spans="1:19" x14ac:dyDescent="0.35">
      <c r="A29167" t="s">
        <v>219</v>
      </c>
      <c r="B29167" t="s">
        <v>305</v>
      </c>
      <c r="C29167" t="s">
        <v>550</v>
      </c>
      <c r="D29167" t="s">
        <v>281</v>
      </c>
      <c r="E29167" t="s">
        <v>2593</v>
      </c>
      <c r="F29167" t="s">
        <v>2594</v>
      </c>
      <c r="G29167" t="s">
        <v>2595</v>
      </c>
      <c r="H29167" t="s">
        <v>2596</v>
      </c>
      <c r="I29167" t="s">
        <v>2597</v>
      </c>
      <c r="J29167" t="s">
        <v>2598</v>
      </c>
      <c r="K29167" t="s">
        <v>2599</v>
      </c>
      <c r="L29167" t="s">
        <v>2600</v>
      </c>
      <c r="M29167" t="s">
        <v>2601</v>
      </c>
      <c r="N29167" t="s">
        <v>2602</v>
      </c>
      <c r="O29167" t="s">
        <v>2603</v>
      </c>
      <c r="P29167" t="s">
        <v>2604</v>
      </c>
      <c r="Q29167" t="s">
        <v>2026</v>
      </c>
      <c r="R29167" t="s">
        <v>326</v>
      </c>
      <c r="S29167" t="s">
        <v>226</v>
      </c>
    </row>
    <row r="29168" spans="1:19" x14ac:dyDescent="0.35">
      <c r="A29168" t="s">
        <v>227</v>
      </c>
      <c r="B29168" t="s">
        <v>368</v>
      </c>
      <c r="C29168" s="26">
        <v>0.42420000000000002</v>
      </c>
      <c r="D29168" s="26">
        <v>0.42420000000000002</v>
      </c>
      <c r="E29168" s="26">
        <v>3.0300000000000001E-2</v>
      </c>
      <c r="F29168" s="26">
        <v>6.0600000000000001E-2</v>
      </c>
      <c r="G29168" s="26">
        <v>6.0600000000000001E-2</v>
      </c>
      <c r="K29168" s="26">
        <v>3.0300000000000001E-2</v>
      </c>
      <c r="S29168">
        <v>33</v>
      </c>
    </row>
    <row r="29169" spans="1:19" x14ac:dyDescent="0.35">
      <c r="A29169" t="s">
        <v>227</v>
      </c>
      <c r="B29169" t="s">
        <v>369</v>
      </c>
      <c r="C29169" s="26">
        <v>0.46089999999999998</v>
      </c>
      <c r="D29169" s="26">
        <v>0.2969</v>
      </c>
      <c r="E29169" s="26">
        <v>7.8100000000000003E-2</v>
      </c>
      <c r="F29169" s="26">
        <v>7.8100000000000003E-2</v>
      </c>
      <c r="G29169" s="26">
        <v>6.25E-2</v>
      </c>
      <c r="H29169" s="26">
        <v>5.4699999999999999E-2</v>
      </c>
      <c r="I29169" s="26">
        <v>3.1199999999999999E-2</v>
      </c>
      <c r="J29169" s="26">
        <v>4.6899999999999997E-2</v>
      </c>
      <c r="K29169" s="26">
        <v>3.1199999999999999E-2</v>
      </c>
      <c r="L29169" s="26">
        <v>4.6899999999999997E-2</v>
      </c>
      <c r="M29169" s="26">
        <v>3.1199999999999999E-2</v>
      </c>
      <c r="N29169" s="26">
        <v>5.4699999999999999E-2</v>
      </c>
      <c r="O29169" s="26">
        <v>4.6899999999999997E-2</v>
      </c>
      <c r="P29169" s="26">
        <v>1.5599999999999999E-2</v>
      </c>
      <c r="S29169">
        <v>128</v>
      </c>
    </row>
    <row r="29170" spans="1:19" x14ac:dyDescent="0.35">
      <c r="A29170" t="s">
        <v>228</v>
      </c>
      <c r="B29170" t="s">
        <v>368</v>
      </c>
      <c r="C29170" s="26">
        <v>0.50380000000000003</v>
      </c>
      <c r="D29170" s="26">
        <v>0.3246</v>
      </c>
      <c r="E29170" s="26">
        <v>5.0999999999999997E-2</v>
      </c>
      <c r="F29170" s="26">
        <v>6.7199999999999996E-2</v>
      </c>
      <c r="G29170" s="26">
        <v>4.8399999999999999E-2</v>
      </c>
      <c r="H29170" s="26">
        <v>3.3999999999999998E-3</v>
      </c>
      <c r="I29170" s="26">
        <v>1.6199999999999999E-2</v>
      </c>
      <c r="J29170" s="26">
        <v>1.6400000000000001E-2</v>
      </c>
      <c r="K29170" s="26">
        <v>1.01E-2</v>
      </c>
      <c r="L29170" s="26">
        <v>8.0000000000000002E-3</v>
      </c>
      <c r="M29170" s="26">
        <v>1.8100000000000002E-2</v>
      </c>
      <c r="N29170" s="26">
        <v>4.3E-3</v>
      </c>
      <c r="O29170" s="26">
        <v>2.1700000000000001E-2</v>
      </c>
      <c r="P29170" s="26">
        <v>8.3999999999999995E-3</v>
      </c>
      <c r="Q29170" s="26">
        <v>1.83E-2</v>
      </c>
      <c r="S29170">
        <v>192</v>
      </c>
    </row>
    <row r="29171" spans="1:19" x14ac:dyDescent="0.35">
      <c r="A29171" t="s">
        <v>228</v>
      </c>
      <c r="B29171" t="s">
        <v>369</v>
      </c>
      <c r="C29171" s="26">
        <v>0.44479999999999997</v>
      </c>
      <c r="D29171" s="26">
        <v>0.30759999999999998</v>
      </c>
      <c r="E29171" s="26">
        <v>8.4900000000000003E-2</v>
      </c>
      <c r="F29171" s="26">
        <v>6.4899999999999999E-2</v>
      </c>
      <c r="G29171" s="26">
        <v>6.3500000000000001E-2</v>
      </c>
      <c r="H29171" s="26">
        <v>4.8800000000000003E-2</v>
      </c>
      <c r="I29171" s="26">
        <v>5.16E-2</v>
      </c>
      <c r="J29171" s="26">
        <v>4.6800000000000001E-2</v>
      </c>
      <c r="K29171" s="26">
        <v>2.93E-2</v>
      </c>
      <c r="L29171" s="26">
        <v>2.24E-2</v>
      </c>
      <c r="M29171" s="26">
        <v>2.9899999999999999E-2</v>
      </c>
      <c r="N29171" s="26">
        <v>1.55E-2</v>
      </c>
      <c r="O29171" s="26">
        <v>2.0400000000000001E-2</v>
      </c>
      <c r="P29171" s="26">
        <v>2.01E-2</v>
      </c>
      <c r="Q29171" s="26">
        <v>4.4999999999999997E-3</v>
      </c>
      <c r="R29171" s="26">
        <v>1E-3</v>
      </c>
      <c r="S29171">
        <v>840</v>
      </c>
    </row>
    <row r="29172" spans="1:19" x14ac:dyDescent="0.35">
      <c r="A29172" t="s">
        <v>229</v>
      </c>
      <c r="B29172" t="s">
        <v>368</v>
      </c>
      <c r="C29172" s="26">
        <v>0.50780000000000003</v>
      </c>
      <c r="D29172" s="26">
        <v>0.32190000000000002</v>
      </c>
      <c r="E29172" s="26">
        <v>9.2799999999999994E-2</v>
      </c>
      <c r="F29172" s="26">
        <v>5.5E-2</v>
      </c>
      <c r="G29172" s="26">
        <v>4.1099999999999998E-2</v>
      </c>
      <c r="H29172" s="26">
        <v>1.9099999999999999E-2</v>
      </c>
      <c r="I29172" s="26">
        <v>3.5999999999999997E-2</v>
      </c>
      <c r="J29172" s="26">
        <v>2.3599999999999999E-2</v>
      </c>
      <c r="K29172" s="26">
        <v>3.8199999999999998E-2</v>
      </c>
      <c r="L29172" s="26">
        <v>2.3E-3</v>
      </c>
      <c r="M29172" s="26">
        <v>3.8199999999999998E-2</v>
      </c>
      <c r="N29172" s="26">
        <v>2.3599999999999999E-2</v>
      </c>
      <c r="O29172" s="26">
        <v>2.3E-3</v>
      </c>
      <c r="P29172" s="26">
        <v>2.3E-3</v>
      </c>
      <c r="S29172">
        <v>96</v>
      </c>
    </row>
    <row r="29173" spans="1:19" x14ac:dyDescent="0.35">
      <c r="A29173" t="s">
        <v>229</v>
      </c>
      <c r="B29173" t="s">
        <v>369</v>
      </c>
      <c r="C29173" s="26">
        <v>0.41089999999999999</v>
      </c>
      <c r="D29173" s="26">
        <v>0.33839999999999998</v>
      </c>
      <c r="E29173" s="26">
        <v>8.9899999999999994E-2</v>
      </c>
      <c r="F29173" s="26">
        <v>6.93E-2</v>
      </c>
      <c r="G29173" s="26">
        <v>8.2500000000000004E-2</v>
      </c>
      <c r="H29173" s="26">
        <v>6.2300000000000001E-2</v>
      </c>
      <c r="I29173" s="26">
        <v>4.8899999999999999E-2</v>
      </c>
      <c r="J29173" s="26">
        <v>5.4899999999999997E-2</v>
      </c>
      <c r="K29173" s="26">
        <v>4.3200000000000002E-2</v>
      </c>
      <c r="L29173" s="26">
        <v>4.4200000000000003E-2</v>
      </c>
      <c r="M29173" s="26">
        <v>3.73E-2</v>
      </c>
      <c r="N29173" s="26">
        <v>4.41E-2</v>
      </c>
      <c r="O29173" s="26">
        <v>3.0200000000000001E-2</v>
      </c>
      <c r="P29173" s="26">
        <v>3.04E-2</v>
      </c>
      <c r="Q29173" s="26">
        <v>2.0999999999999999E-3</v>
      </c>
      <c r="R29173" s="26">
        <v>2.8999999999999998E-3</v>
      </c>
      <c r="S29173">
        <v>797</v>
      </c>
    </row>
    <row r="29174" spans="1:19" x14ac:dyDescent="0.35">
      <c r="A29174" t="s">
        <v>230</v>
      </c>
      <c r="B29174" t="s">
        <v>368</v>
      </c>
      <c r="C29174" s="26">
        <v>0.52080000000000004</v>
      </c>
      <c r="D29174" s="26">
        <v>0.36299999999999999</v>
      </c>
      <c r="E29174" s="26">
        <v>5.3800000000000001E-2</v>
      </c>
      <c r="F29174" s="26">
        <v>6.7000000000000002E-3</v>
      </c>
      <c r="G29174" s="26">
        <v>9.4E-2</v>
      </c>
      <c r="K29174" s="26">
        <v>6.7000000000000002E-3</v>
      </c>
      <c r="P29174" s="26">
        <v>2E-3</v>
      </c>
      <c r="S29174">
        <v>57</v>
      </c>
    </row>
    <row r="29175" spans="1:19" x14ac:dyDescent="0.35">
      <c r="A29175" t="s">
        <v>230</v>
      </c>
      <c r="B29175" t="s">
        <v>369</v>
      </c>
      <c r="C29175" s="26">
        <v>0.4178</v>
      </c>
      <c r="D29175" s="26">
        <v>0.31059999999999999</v>
      </c>
      <c r="E29175" s="26">
        <v>8.0199999999999994E-2</v>
      </c>
      <c r="F29175" s="26">
        <v>8.3799999999999999E-2</v>
      </c>
      <c r="G29175" s="26">
        <v>8.6699999999999999E-2</v>
      </c>
      <c r="H29175" s="26">
        <v>5.3499999999999999E-2</v>
      </c>
      <c r="I29175" s="26">
        <v>5.5199999999999999E-2</v>
      </c>
      <c r="J29175" s="26">
        <v>5.4100000000000002E-2</v>
      </c>
      <c r="K29175" s="26">
        <v>4.2200000000000001E-2</v>
      </c>
      <c r="L29175" s="26">
        <v>3.9600000000000003E-2</v>
      </c>
      <c r="M29175" s="26">
        <v>5.91E-2</v>
      </c>
      <c r="N29175" s="26">
        <v>2.8899999999999999E-2</v>
      </c>
      <c r="O29175" s="26">
        <v>6.1199999999999997E-2</v>
      </c>
      <c r="P29175" s="26">
        <v>2.8299999999999999E-2</v>
      </c>
      <c r="Q29175" s="26">
        <v>4.1000000000000003E-3</v>
      </c>
      <c r="S29175">
        <v>503</v>
      </c>
    </row>
    <row r="29176" spans="1:19" x14ac:dyDescent="0.35">
      <c r="A29176" s="27" t="s">
        <v>231</v>
      </c>
      <c r="B29176" s="27" t="s">
        <v>368</v>
      </c>
      <c r="C29176" s="28">
        <v>0.59260000000000002</v>
      </c>
      <c r="D29176" s="28">
        <v>0.33329999999999999</v>
      </c>
      <c r="E29176" s="29"/>
      <c r="F29176" s="29"/>
      <c r="G29176" s="29"/>
      <c r="H29176" s="29"/>
      <c r="I29176" s="28">
        <v>3.6999999999999998E-2</v>
      </c>
      <c r="J29176" s="29"/>
      <c r="K29176" s="29"/>
      <c r="L29176" s="28">
        <v>3.6999999999999998E-2</v>
      </c>
      <c r="M29176" s="29"/>
      <c r="N29176" s="29"/>
      <c r="O29176" s="29"/>
      <c r="P29176" s="29"/>
      <c r="Q29176" s="29"/>
      <c r="R29176" s="29"/>
      <c r="S29176" s="29" t="s">
        <v>338</v>
      </c>
    </row>
    <row r="29177" spans="1:19" x14ac:dyDescent="0.35">
      <c r="A29177" t="s">
        <v>231</v>
      </c>
      <c r="B29177" t="s">
        <v>369</v>
      </c>
      <c r="C29177" s="26">
        <v>0.47449999999999998</v>
      </c>
      <c r="D29177" s="26">
        <v>0.29199999999999998</v>
      </c>
      <c r="E29177" s="26">
        <v>0.1022</v>
      </c>
      <c r="F29177" s="26">
        <v>5.8400000000000001E-2</v>
      </c>
      <c r="G29177" s="26">
        <v>5.11E-2</v>
      </c>
      <c r="H29177" s="26">
        <v>2.92E-2</v>
      </c>
      <c r="I29177" s="26">
        <v>3.6499999999999998E-2</v>
      </c>
      <c r="J29177" s="26">
        <v>2.92E-2</v>
      </c>
      <c r="K29177" s="26">
        <v>1.46E-2</v>
      </c>
      <c r="L29177" s="26">
        <v>1.46E-2</v>
      </c>
      <c r="M29177" s="26">
        <v>1.46E-2</v>
      </c>
      <c r="N29177" s="26">
        <v>1.46E-2</v>
      </c>
      <c r="O29177" s="26">
        <v>1.46E-2</v>
      </c>
      <c r="P29177" s="26">
        <v>2.1899999999999999E-2</v>
      </c>
      <c r="Q29177" s="26">
        <v>7.3000000000000001E-3</v>
      </c>
      <c r="S29177">
        <v>137</v>
      </c>
    </row>
    <row r="29178" spans="1:19" x14ac:dyDescent="0.35">
      <c r="A29178" t="s">
        <v>232</v>
      </c>
      <c r="B29178" t="s">
        <v>232</v>
      </c>
      <c r="C29178" s="26">
        <v>0.45500000000000002</v>
      </c>
      <c r="D29178" s="26">
        <v>0.31719999999999998</v>
      </c>
      <c r="E29178" s="26">
        <v>8.2000000000000003E-2</v>
      </c>
      <c r="F29178" s="26">
        <v>6.3500000000000001E-2</v>
      </c>
      <c r="G29178" s="26">
        <v>6.3E-2</v>
      </c>
      <c r="H29178" s="26">
        <v>4.1399999999999999E-2</v>
      </c>
      <c r="I29178" s="26">
        <v>4.0399999999999998E-2</v>
      </c>
      <c r="J29178" s="26">
        <v>3.9E-2</v>
      </c>
      <c r="K29178" s="26">
        <v>2.87E-2</v>
      </c>
      <c r="L29178" s="26">
        <v>2.8500000000000001E-2</v>
      </c>
      <c r="M29178" s="26">
        <v>2.8000000000000001E-2</v>
      </c>
      <c r="N29178" s="26">
        <v>2.6599999999999999E-2</v>
      </c>
      <c r="O29178" s="26">
        <v>2.5499999999999998E-2</v>
      </c>
      <c r="P29178" s="26">
        <v>2.0199999999999999E-2</v>
      </c>
      <c r="Q29178" s="26">
        <v>3.8999999999999998E-3</v>
      </c>
      <c r="R29178" s="26">
        <v>8.9999999999999998E-4</v>
      </c>
      <c r="S29178">
        <v>2810</v>
      </c>
    </row>
    <row r="29180" spans="1:19" x14ac:dyDescent="0.35">
      <c r="A29180" s="1" t="s">
        <v>2614</v>
      </c>
    </row>
    <row r="29181" spans="1:19" x14ac:dyDescent="0.35">
      <c r="A29181" t="s">
        <v>219</v>
      </c>
      <c r="B29181" t="s">
        <v>305</v>
      </c>
      <c r="C29181" t="s">
        <v>550</v>
      </c>
      <c r="D29181" t="s">
        <v>281</v>
      </c>
      <c r="E29181" t="s">
        <v>2593</v>
      </c>
      <c r="F29181" t="s">
        <v>2594</v>
      </c>
      <c r="G29181" t="s">
        <v>2595</v>
      </c>
      <c r="H29181" t="s">
        <v>2596</v>
      </c>
      <c r="I29181" t="s">
        <v>2597</v>
      </c>
      <c r="J29181" t="s">
        <v>2598</v>
      </c>
      <c r="K29181" t="s">
        <v>2599</v>
      </c>
      <c r="L29181" t="s">
        <v>2600</v>
      </c>
      <c r="M29181" t="s">
        <v>2601</v>
      </c>
      <c r="N29181" t="s">
        <v>2602</v>
      </c>
      <c r="O29181" t="s">
        <v>2603</v>
      </c>
      <c r="P29181" t="s">
        <v>2604</v>
      </c>
      <c r="Q29181" t="s">
        <v>2026</v>
      </c>
      <c r="R29181" t="s">
        <v>326</v>
      </c>
      <c r="S29181" t="s">
        <v>226</v>
      </c>
    </row>
    <row r="29182" spans="1:19" x14ac:dyDescent="0.35">
      <c r="A29182" t="s">
        <v>227</v>
      </c>
      <c r="B29182" t="s">
        <v>371</v>
      </c>
      <c r="C29182" s="26">
        <v>0.45340000000000003</v>
      </c>
      <c r="D29182" s="26">
        <v>0.32300000000000001</v>
      </c>
      <c r="E29182" s="26">
        <v>6.83E-2</v>
      </c>
      <c r="F29182" s="26">
        <v>7.4499999999999997E-2</v>
      </c>
      <c r="G29182" s="26">
        <v>6.2100000000000002E-2</v>
      </c>
      <c r="H29182" s="26">
        <v>4.3499999999999997E-2</v>
      </c>
      <c r="I29182" s="26">
        <v>2.4799999999999999E-2</v>
      </c>
      <c r="J29182" s="26">
        <v>3.73E-2</v>
      </c>
      <c r="K29182" s="26">
        <v>3.1099999999999999E-2</v>
      </c>
      <c r="L29182" s="26">
        <v>3.73E-2</v>
      </c>
      <c r="M29182" s="26">
        <v>2.4799999999999999E-2</v>
      </c>
      <c r="N29182" s="26">
        <v>4.3499999999999997E-2</v>
      </c>
      <c r="O29182" s="26">
        <v>3.73E-2</v>
      </c>
      <c r="P29182" s="26">
        <v>1.24E-2</v>
      </c>
      <c r="S29182">
        <v>161</v>
      </c>
    </row>
    <row r="29183" spans="1:19" x14ac:dyDescent="0.35">
      <c r="A29183" t="s">
        <v>228</v>
      </c>
      <c r="B29183" t="s">
        <v>371</v>
      </c>
      <c r="C29183" s="26">
        <v>0.47620000000000001</v>
      </c>
      <c r="D29183" s="26">
        <v>0.31559999999999999</v>
      </c>
      <c r="E29183" s="26">
        <v>5.3400000000000003E-2</v>
      </c>
      <c r="F29183" s="26">
        <v>7.6700000000000004E-2</v>
      </c>
      <c r="G29183" s="26">
        <v>5.7500000000000002E-2</v>
      </c>
      <c r="H29183" s="26">
        <v>4.6600000000000003E-2</v>
      </c>
      <c r="I29183" s="26">
        <v>4.24E-2</v>
      </c>
      <c r="J29183" s="26">
        <v>4.3999999999999997E-2</v>
      </c>
      <c r="K29183" s="26">
        <v>2.0500000000000001E-2</v>
      </c>
      <c r="L29183" s="26">
        <v>2.6200000000000001E-2</v>
      </c>
      <c r="M29183" s="26">
        <v>2.1899999999999999E-2</v>
      </c>
      <c r="N29183" s="26">
        <v>7.0000000000000001E-3</v>
      </c>
      <c r="O29183" s="26">
        <v>2.6100000000000002E-2</v>
      </c>
      <c r="P29183" s="26">
        <v>7.7999999999999996E-3</v>
      </c>
      <c r="Q29183" s="26">
        <v>6.4000000000000003E-3</v>
      </c>
      <c r="S29183">
        <v>292</v>
      </c>
    </row>
    <row r="29184" spans="1:19" x14ac:dyDescent="0.35">
      <c r="A29184" t="s">
        <v>228</v>
      </c>
      <c r="B29184" t="s">
        <v>372</v>
      </c>
      <c r="C29184" s="26">
        <v>0.3871</v>
      </c>
      <c r="D29184" s="26">
        <v>0.30109999999999998</v>
      </c>
      <c r="E29184" s="26">
        <v>0.1328</v>
      </c>
      <c r="F29184" s="26">
        <v>0.1032</v>
      </c>
      <c r="G29184" s="26">
        <v>6.5000000000000002E-2</v>
      </c>
      <c r="H29184" s="26">
        <v>3.1099999999999999E-2</v>
      </c>
      <c r="I29184" s="26">
        <v>2.6700000000000002E-2</v>
      </c>
      <c r="J29184" s="26">
        <v>1.8200000000000001E-2</v>
      </c>
      <c r="K29184" s="26">
        <v>3.6799999999999999E-2</v>
      </c>
      <c r="L29184" s="26">
        <v>2.3900000000000001E-2</v>
      </c>
      <c r="M29184" s="26">
        <v>3.1899999999999998E-2</v>
      </c>
      <c r="N29184" s="26">
        <v>1.54E-2</v>
      </c>
      <c r="O29184" s="26">
        <v>2.6800000000000001E-2</v>
      </c>
      <c r="P29184" s="26">
        <v>4.4499999999999998E-2</v>
      </c>
      <c r="Q29184" s="26">
        <v>1.77E-2</v>
      </c>
      <c r="S29184">
        <v>218</v>
      </c>
    </row>
    <row r="29185" spans="1:19" x14ac:dyDescent="0.35">
      <c r="A29185" t="s">
        <v>228</v>
      </c>
      <c r="B29185" t="s">
        <v>373</v>
      </c>
      <c r="C29185" s="26">
        <v>0.44490000000000002</v>
      </c>
      <c r="D29185" s="26">
        <v>0.30680000000000002</v>
      </c>
      <c r="E29185" s="26">
        <v>9.9599999999999994E-2</v>
      </c>
      <c r="F29185" s="26">
        <v>4.2000000000000003E-2</v>
      </c>
      <c r="G29185" s="26">
        <v>6.3799999999999996E-2</v>
      </c>
      <c r="H29185" s="26">
        <v>3.3099999999999997E-2</v>
      </c>
      <c r="I29185" s="26">
        <v>5.1799999999999999E-2</v>
      </c>
      <c r="J29185" s="26">
        <v>4.1700000000000001E-2</v>
      </c>
      <c r="K29185" s="26">
        <v>2.9899999999999999E-2</v>
      </c>
      <c r="L29185" s="26">
        <v>9.7000000000000003E-3</v>
      </c>
      <c r="M29185" s="26">
        <v>3.4099999999999998E-2</v>
      </c>
      <c r="N29185" s="26">
        <v>2.12E-2</v>
      </c>
      <c r="O29185" s="26">
        <v>1.2E-2</v>
      </c>
      <c r="P29185" s="26">
        <v>2.5399999999999999E-2</v>
      </c>
      <c r="Q29185" s="26">
        <v>6.1000000000000004E-3</v>
      </c>
      <c r="R29185" s="26">
        <v>2.0999999999999999E-3</v>
      </c>
      <c r="S29185">
        <v>522</v>
      </c>
    </row>
    <row r="29186" spans="1:19" x14ac:dyDescent="0.35">
      <c r="A29186" t="s">
        <v>229</v>
      </c>
      <c r="B29186" t="s">
        <v>371</v>
      </c>
      <c r="C29186" s="26">
        <v>0.4269</v>
      </c>
      <c r="D29186" s="26">
        <v>0.33400000000000002</v>
      </c>
      <c r="E29186" s="26">
        <v>0.09</v>
      </c>
      <c r="F29186" s="26">
        <v>6.9099999999999995E-2</v>
      </c>
      <c r="G29186" s="26">
        <v>7.5999999999999998E-2</v>
      </c>
      <c r="H29186" s="26">
        <v>5.5599999999999997E-2</v>
      </c>
      <c r="I29186" s="26">
        <v>4.7E-2</v>
      </c>
      <c r="J29186" s="26">
        <v>4.9700000000000001E-2</v>
      </c>
      <c r="K29186" s="26">
        <v>4.3400000000000001E-2</v>
      </c>
      <c r="L29186" s="26">
        <v>3.8699999999999998E-2</v>
      </c>
      <c r="M29186" s="26">
        <v>3.61E-2</v>
      </c>
      <c r="N29186" s="26">
        <v>4.1599999999999998E-2</v>
      </c>
      <c r="O29186" s="26">
        <v>2.5999999999999999E-2</v>
      </c>
      <c r="P29186" s="26">
        <v>2.5700000000000001E-2</v>
      </c>
      <c r="Q29186" s="26">
        <v>1.1000000000000001E-3</v>
      </c>
      <c r="R29186" s="26">
        <v>2.7000000000000001E-3</v>
      </c>
      <c r="S29186">
        <v>584</v>
      </c>
    </row>
    <row r="29187" spans="1:19" x14ac:dyDescent="0.35">
      <c r="A29187" t="s">
        <v>229</v>
      </c>
      <c r="B29187" t="s">
        <v>372</v>
      </c>
      <c r="C29187" s="26">
        <v>0.43419999999999997</v>
      </c>
      <c r="D29187" s="26">
        <v>0.3614</v>
      </c>
      <c r="E29187" s="26">
        <v>7.6399999999999996E-2</v>
      </c>
      <c r="F29187" s="26">
        <v>5.5399999999999998E-2</v>
      </c>
      <c r="G29187" s="26">
        <v>6.8900000000000003E-2</v>
      </c>
      <c r="H29187" s="26">
        <v>5.6300000000000003E-2</v>
      </c>
      <c r="I29187" s="26">
        <v>3.2399999999999998E-2</v>
      </c>
      <c r="J29187" s="26">
        <v>5.4399999999999997E-2</v>
      </c>
      <c r="K29187" s="26">
        <v>2.58E-2</v>
      </c>
      <c r="L29187" s="26">
        <v>2.86E-2</v>
      </c>
      <c r="M29187" s="26">
        <v>6.0100000000000001E-2</v>
      </c>
      <c r="N29187" s="26">
        <v>2.4899999999999999E-2</v>
      </c>
      <c r="O29187" s="26">
        <v>2.4899999999999999E-2</v>
      </c>
      <c r="P29187" s="26">
        <v>1.72E-2</v>
      </c>
      <c r="Q29187" s="26">
        <v>1.5299999999999999E-2</v>
      </c>
      <c r="S29187">
        <v>219</v>
      </c>
    </row>
    <row r="29188" spans="1:19" x14ac:dyDescent="0.35">
      <c r="A29188" t="s">
        <v>229</v>
      </c>
      <c r="B29188" t="s">
        <v>373</v>
      </c>
      <c r="C29188" s="26">
        <v>0.35339999999999999</v>
      </c>
      <c r="D29188" s="26">
        <v>0.3584</v>
      </c>
      <c r="E29188" s="26">
        <v>0.1244</v>
      </c>
      <c r="F29188" s="26">
        <v>2.47E-2</v>
      </c>
      <c r="G29188" s="26">
        <v>0.1022</v>
      </c>
      <c r="H29188" s="26">
        <v>6.5199999999999994E-2</v>
      </c>
      <c r="I29188" s="26">
        <v>7.2300000000000003E-2</v>
      </c>
      <c r="J29188" s="26">
        <v>0.06</v>
      </c>
      <c r="K29188" s="26">
        <v>4.0500000000000001E-2</v>
      </c>
      <c r="L29188" s="26">
        <v>2.8199999999999999E-2</v>
      </c>
      <c r="M29188" s="26">
        <v>4.0500000000000001E-2</v>
      </c>
      <c r="N29188" s="26">
        <v>5.2900000000000003E-2</v>
      </c>
      <c r="O29188" s="26">
        <v>3.1800000000000002E-2</v>
      </c>
      <c r="P29188" s="26">
        <v>6.1600000000000002E-2</v>
      </c>
      <c r="S29188">
        <v>90</v>
      </c>
    </row>
    <row r="29189" spans="1:19" x14ac:dyDescent="0.35">
      <c r="A29189" t="s">
        <v>230</v>
      </c>
      <c r="B29189" t="s">
        <v>371</v>
      </c>
      <c r="C29189" s="26">
        <v>0.44529999999999997</v>
      </c>
      <c r="D29189" s="26">
        <v>0.3165</v>
      </c>
      <c r="E29189" s="26">
        <v>7.17E-2</v>
      </c>
      <c r="F29189" s="26">
        <v>7.0599999999999996E-2</v>
      </c>
      <c r="G29189" s="26">
        <v>9.0399999999999994E-2</v>
      </c>
      <c r="H29189" s="26">
        <v>4.7300000000000002E-2</v>
      </c>
      <c r="I29189" s="26">
        <v>4.41E-2</v>
      </c>
      <c r="J29189" s="26">
        <v>4.2999999999999997E-2</v>
      </c>
      <c r="K29189" s="26">
        <v>3.4099999999999998E-2</v>
      </c>
      <c r="L29189" s="26">
        <v>3.6400000000000002E-2</v>
      </c>
      <c r="M29189" s="26">
        <v>5.1799999999999999E-2</v>
      </c>
      <c r="N29189" s="26">
        <v>2.64E-2</v>
      </c>
      <c r="O29189" s="26">
        <v>5.62E-2</v>
      </c>
      <c r="P29189" s="26">
        <v>1.9800000000000002E-2</v>
      </c>
      <c r="Q29189" s="26">
        <v>2.2000000000000001E-3</v>
      </c>
      <c r="S29189">
        <v>262</v>
      </c>
    </row>
    <row r="29190" spans="1:19" x14ac:dyDescent="0.35">
      <c r="A29190" t="s">
        <v>230</v>
      </c>
      <c r="B29190" t="s">
        <v>372</v>
      </c>
      <c r="C29190" s="26">
        <v>0.34560000000000002</v>
      </c>
      <c r="D29190" s="26">
        <v>0.32429999999999998</v>
      </c>
      <c r="E29190" s="26">
        <v>0.13250000000000001</v>
      </c>
      <c r="F29190" s="26">
        <v>0.12429999999999999</v>
      </c>
      <c r="G29190" s="26">
        <v>6.8599999999999994E-2</v>
      </c>
      <c r="H29190" s="26">
        <v>6.8599999999999994E-2</v>
      </c>
      <c r="I29190" s="26">
        <v>6.8599999999999994E-2</v>
      </c>
      <c r="J29190" s="26">
        <v>6.7500000000000004E-2</v>
      </c>
      <c r="K29190" s="26">
        <v>5.4399999999999997E-2</v>
      </c>
      <c r="L29190" s="26">
        <v>3.5499999999999997E-2</v>
      </c>
      <c r="M29190" s="26">
        <v>7.9299999999999995E-2</v>
      </c>
      <c r="N29190" s="26">
        <v>2.9600000000000001E-2</v>
      </c>
      <c r="O29190" s="26">
        <v>3.4299999999999997E-2</v>
      </c>
      <c r="P29190" s="26">
        <v>6.3899999999999998E-2</v>
      </c>
      <c r="S29190">
        <v>146</v>
      </c>
    </row>
    <row r="29191" spans="1:19" x14ac:dyDescent="0.35">
      <c r="A29191" t="s">
        <v>230</v>
      </c>
      <c r="B29191" t="s">
        <v>373</v>
      </c>
      <c r="C29191" s="26">
        <v>0.38240000000000002</v>
      </c>
      <c r="D29191" s="26">
        <v>0.3216</v>
      </c>
      <c r="E29191" s="26">
        <v>8.3500000000000005E-2</v>
      </c>
      <c r="F29191" s="26">
        <v>6.9599999999999995E-2</v>
      </c>
      <c r="G29191" s="26">
        <v>7.8700000000000006E-2</v>
      </c>
      <c r="H29191" s="26">
        <v>0.03</v>
      </c>
      <c r="I29191" s="26">
        <v>6.2600000000000003E-2</v>
      </c>
      <c r="J29191" s="26">
        <v>6.2600000000000003E-2</v>
      </c>
      <c r="K29191" s="26">
        <v>5.0799999999999998E-2</v>
      </c>
      <c r="L29191" s="26">
        <v>2.0899999999999998E-2</v>
      </c>
      <c r="M29191" s="26">
        <v>3.4799999999999998E-2</v>
      </c>
      <c r="N29191" s="26">
        <v>1.3899999999999999E-2</v>
      </c>
      <c r="O29191" s="26">
        <v>4.1700000000000001E-2</v>
      </c>
      <c r="P29191" s="26">
        <v>3.9100000000000003E-2</v>
      </c>
      <c r="Q29191" s="26">
        <v>1.3899999999999999E-2</v>
      </c>
      <c r="S29191">
        <v>152</v>
      </c>
    </row>
    <row r="29192" spans="1:19" x14ac:dyDescent="0.35">
      <c r="A29192" t="s">
        <v>231</v>
      </c>
      <c r="B29192" t="s">
        <v>371</v>
      </c>
      <c r="C29192" s="26">
        <v>0.49390000000000001</v>
      </c>
      <c r="D29192" s="26">
        <v>0.29880000000000001</v>
      </c>
      <c r="E29192" s="26">
        <v>8.5400000000000004E-2</v>
      </c>
      <c r="F29192" s="26">
        <v>4.8800000000000003E-2</v>
      </c>
      <c r="G29192" s="26">
        <v>4.2700000000000002E-2</v>
      </c>
      <c r="H29192" s="26">
        <v>2.4400000000000002E-2</v>
      </c>
      <c r="I29192" s="26">
        <v>3.6600000000000001E-2</v>
      </c>
      <c r="J29192" s="26">
        <v>2.4400000000000002E-2</v>
      </c>
      <c r="K29192" s="26">
        <v>1.2200000000000001E-2</v>
      </c>
      <c r="L29192" s="26">
        <v>1.83E-2</v>
      </c>
      <c r="M29192" s="26">
        <v>1.2200000000000001E-2</v>
      </c>
      <c r="N29192" s="26">
        <v>1.2200000000000001E-2</v>
      </c>
      <c r="O29192" s="26">
        <v>1.2200000000000001E-2</v>
      </c>
      <c r="P29192" s="26">
        <v>1.83E-2</v>
      </c>
      <c r="Q29192" s="26">
        <v>6.1000000000000004E-3</v>
      </c>
      <c r="S29192">
        <v>164</v>
      </c>
    </row>
    <row r="29193" spans="1:19" x14ac:dyDescent="0.35">
      <c r="A29193" t="s">
        <v>232</v>
      </c>
      <c r="B29193" t="s">
        <v>232</v>
      </c>
      <c r="C29193" s="26">
        <v>0.45500000000000002</v>
      </c>
      <c r="D29193" s="26">
        <v>0.31719999999999998</v>
      </c>
      <c r="E29193" s="26">
        <v>8.2000000000000003E-2</v>
      </c>
      <c r="F29193" s="26">
        <v>6.3500000000000001E-2</v>
      </c>
      <c r="G29193" s="26">
        <v>6.3E-2</v>
      </c>
      <c r="H29193" s="26">
        <v>4.1399999999999999E-2</v>
      </c>
      <c r="I29193" s="26">
        <v>4.0399999999999998E-2</v>
      </c>
      <c r="J29193" s="26">
        <v>3.9E-2</v>
      </c>
      <c r="K29193" s="26">
        <v>2.87E-2</v>
      </c>
      <c r="L29193" s="26">
        <v>2.8500000000000001E-2</v>
      </c>
      <c r="M29193" s="26">
        <v>2.8000000000000001E-2</v>
      </c>
      <c r="N29193" s="26">
        <v>2.6599999999999999E-2</v>
      </c>
      <c r="O29193" s="26">
        <v>2.5499999999999998E-2</v>
      </c>
      <c r="P29193" s="26">
        <v>2.0199999999999999E-2</v>
      </c>
      <c r="Q29193" s="26">
        <v>3.8999999999999998E-3</v>
      </c>
      <c r="R29193" s="26">
        <v>8.9999999999999998E-4</v>
      </c>
      <c r="S29193">
        <v>2810</v>
      </c>
    </row>
    <row r="29195" spans="1:19" x14ac:dyDescent="0.35">
      <c r="A29195" s="1" t="s">
        <v>2615</v>
      </c>
    </row>
    <row r="29196" spans="1:19" x14ac:dyDescent="0.35">
      <c r="A29196" t="s">
        <v>219</v>
      </c>
      <c r="B29196" t="s">
        <v>305</v>
      </c>
      <c r="C29196" t="s">
        <v>550</v>
      </c>
      <c r="D29196" t="s">
        <v>281</v>
      </c>
      <c r="E29196" t="s">
        <v>2593</v>
      </c>
      <c r="F29196" t="s">
        <v>2594</v>
      </c>
      <c r="G29196" t="s">
        <v>2595</v>
      </c>
      <c r="H29196" t="s">
        <v>2596</v>
      </c>
      <c r="I29196" t="s">
        <v>2597</v>
      </c>
      <c r="J29196" t="s">
        <v>2598</v>
      </c>
      <c r="K29196" t="s">
        <v>2599</v>
      </c>
      <c r="L29196" t="s">
        <v>2600</v>
      </c>
      <c r="M29196" t="s">
        <v>2601</v>
      </c>
      <c r="N29196" t="s">
        <v>2602</v>
      </c>
      <c r="O29196" t="s">
        <v>2603</v>
      </c>
      <c r="P29196" t="s">
        <v>2604</v>
      </c>
      <c r="Q29196" t="s">
        <v>2026</v>
      </c>
      <c r="R29196" t="s">
        <v>326</v>
      </c>
      <c r="S29196" t="s">
        <v>226</v>
      </c>
    </row>
    <row r="29197" spans="1:19" x14ac:dyDescent="0.35">
      <c r="A29197" t="s">
        <v>227</v>
      </c>
      <c r="B29197" t="s">
        <v>255</v>
      </c>
      <c r="C29197" s="26">
        <v>0.4017</v>
      </c>
      <c r="D29197" s="26">
        <v>0.36749999999999999</v>
      </c>
      <c r="E29197" s="26">
        <v>5.1299999999999998E-2</v>
      </c>
      <c r="F29197" s="26">
        <v>8.5500000000000007E-2</v>
      </c>
      <c r="G29197" s="26">
        <v>4.2700000000000002E-2</v>
      </c>
      <c r="H29197" s="26">
        <v>4.2700000000000002E-2</v>
      </c>
      <c r="I29197" s="26">
        <v>2.5600000000000001E-2</v>
      </c>
      <c r="J29197" s="26">
        <v>4.2700000000000002E-2</v>
      </c>
      <c r="K29197" s="26">
        <v>2.5600000000000001E-2</v>
      </c>
      <c r="L29197" s="26">
        <v>3.4200000000000001E-2</v>
      </c>
      <c r="M29197" s="26">
        <v>2.5600000000000001E-2</v>
      </c>
      <c r="N29197" s="26">
        <v>4.2700000000000002E-2</v>
      </c>
      <c r="O29197" s="26">
        <v>5.1299999999999998E-2</v>
      </c>
      <c r="P29197" s="26">
        <v>8.5000000000000006E-3</v>
      </c>
      <c r="S29197">
        <v>117</v>
      </c>
    </row>
    <row r="29198" spans="1:19" x14ac:dyDescent="0.35">
      <c r="A29198" s="27" t="s">
        <v>227</v>
      </c>
      <c r="B29198" s="27" t="s">
        <v>257</v>
      </c>
      <c r="C29198" s="28">
        <v>0.55559999999999998</v>
      </c>
      <c r="D29198" s="28">
        <v>0.22220000000000001</v>
      </c>
      <c r="E29198" s="28">
        <v>0.1111</v>
      </c>
      <c r="F29198" s="29"/>
      <c r="G29198" s="28">
        <v>0.1111</v>
      </c>
      <c r="H29198" s="28">
        <v>0.1111</v>
      </c>
      <c r="I29198" s="29"/>
      <c r="J29198" s="29"/>
      <c r="K29198" s="29"/>
      <c r="L29198" s="28">
        <v>0.1111</v>
      </c>
      <c r="M29198" s="29"/>
      <c r="N29198" s="28">
        <v>0.1111</v>
      </c>
      <c r="O29198" s="29"/>
      <c r="P29198" s="29"/>
      <c r="Q29198" s="29"/>
      <c r="R29198" s="29"/>
      <c r="S29198" s="29" t="s">
        <v>334</v>
      </c>
    </row>
    <row r="29199" spans="1:19" x14ac:dyDescent="0.35">
      <c r="A29199" t="s">
        <v>227</v>
      </c>
      <c r="B29199" t="s">
        <v>256</v>
      </c>
      <c r="C29199" s="26">
        <v>0.6</v>
      </c>
      <c r="D29199" s="26">
        <v>0.2</v>
      </c>
      <c r="E29199" s="26">
        <v>0.1143</v>
      </c>
      <c r="F29199" s="26">
        <v>5.7099999999999998E-2</v>
      </c>
      <c r="G29199" s="26">
        <v>0.1143</v>
      </c>
      <c r="H29199" s="26">
        <v>2.86E-2</v>
      </c>
      <c r="I29199" s="26">
        <v>2.86E-2</v>
      </c>
      <c r="J29199" s="26">
        <v>2.86E-2</v>
      </c>
      <c r="K29199" s="26">
        <v>5.7099999999999998E-2</v>
      </c>
      <c r="L29199" s="26">
        <v>2.86E-2</v>
      </c>
      <c r="M29199" s="26">
        <v>2.86E-2</v>
      </c>
      <c r="N29199" s="26">
        <v>2.86E-2</v>
      </c>
      <c r="P29199" s="26">
        <v>2.86E-2</v>
      </c>
      <c r="S29199">
        <v>35</v>
      </c>
    </row>
    <row r="29200" spans="1:19" x14ac:dyDescent="0.35">
      <c r="A29200" t="s">
        <v>228</v>
      </c>
      <c r="B29200" t="s">
        <v>257</v>
      </c>
      <c r="C29200" s="26">
        <v>0.31900000000000001</v>
      </c>
      <c r="D29200" s="26">
        <v>0.2271</v>
      </c>
      <c r="E29200" s="26">
        <v>6.3899999999999998E-2</v>
      </c>
      <c r="F29200" s="26">
        <v>8.7599999999999997E-2</v>
      </c>
      <c r="G29200" s="26">
        <v>8.43E-2</v>
      </c>
      <c r="H29200" s="26">
        <v>2.3900000000000001E-2</v>
      </c>
      <c r="I29200" s="26">
        <v>4.6199999999999998E-2</v>
      </c>
      <c r="J29200" s="26">
        <v>2.3800000000000002E-2</v>
      </c>
      <c r="K29200" s="26">
        <v>9.4799999999999995E-2</v>
      </c>
      <c r="L29200" s="26">
        <v>1.5900000000000001E-2</v>
      </c>
      <c r="M29200" s="26">
        <v>5.3600000000000002E-2</v>
      </c>
      <c r="O29200" s="26">
        <v>6.3799999999999996E-2</v>
      </c>
      <c r="P29200" s="26">
        <v>3.2899999999999999E-2</v>
      </c>
      <c r="R29200" s="26">
        <v>1.6E-2</v>
      </c>
      <c r="S29200">
        <v>49</v>
      </c>
    </row>
    <row r="29201" spans="1:19" x14ac:dyDescent="0.35">
      <c r="A29201" s="27" t="s">
        <v>228</v>
      </c>
      <c r="B29201" s="27" t="s">
        <v>258</v>
      </c>
      <c r="C29201" s="28">
        <v>9.8100000000000007E-2</v>
      </c>
      <c r="D29201" s="29"/>
      <c r="E29201" s="28">
        <v>0.2092</v>
      </c>
      <c r="F29201" s="29"/>
      <c r="G29201" s="28">
        <v>0.59470000000000001</v>
      </c>
      <c r="H29201" s="29"/>
      <c r="I29201" s="28">
        <v>0.2092</v>
      </c>
      <c r="J29201" s="29"/>
      <c r="K29201" s="29"/>
      <c r="L29201" s="29"/>
      <c r="M29201" s="28">
        <v>0.2092</v>
      </c>
      <c r="N29201" s="29"/>
      <c r="O29201" s="29"/>
      <c r="P29201" s="29"/>
      <c r="Q29201" s="28">
        <v>9.8100000000000007E-2</v>
      </c>
      <c r="R29201" s="29"/>
      <c r="S29201" s="29" t="s">
        <v>337</v>
      </c>
    </row>
    <row r="29202" spans="1:19" x14ac:dyDescent="0.35">
      <c r="A29202" t="s">
        <v>228</v>
      </c>
      <c r="B29202" t="s">
        <v>256</v>
      </c>
      <c r="C29202" s="26">
        <v>0.53869999999999996</v>
      </c>
      <c r="D29202" s="26">
        <v>0.1963</v>
      </c>
      <c r="E29202" s="26">
        <v>9.2200000000000004E-2</v>
      </c>
      <c r="F29202" s="26">
        <v>7.85E-2</v>
      </c>
      <c r="G29202" s="26">
        <v>0.11260000000000001</v>
      </c>
      <c r="H29202" s="26">
        <v>4.65E-2</v>
      </c>
      <c r="I29202" s="26">
        <v>6.25E-2</v>
      </c>
      <c r="J29202" s="26">
        <v>4.6300000000000001E-2</v>
      </c>
      <c r="K29202" s="26">
        <v>5.62E-2</v>
      </c>
      <c r="L29202" s="26">
        <v>3.61E-2</v>
      </c>
      <c r="M29202" s="26">
        <v>3.95E-2</v>
      </c>
      <c r="N29202" s="26">
        <v>3.73E-2</v>
      </c>
      <c r="O29202" s="26">
        <v>3.4200000000000001E-2</v>
      </c>
      <c r="P29202" s="26">
        <v>3.2899999999999999E-2</v>
      </c>
      <c r="S29202">
        <v>221</v>
      </c>
    </row>
    <row r="29203" spans="1:19" x14ac:dyDescent="0.35">
      <c r="A29203" t="s">
        <v>228</v>
      </c>
      <c r="B29203" t="s">
        <v>255</v>
      </c>
      <c r="C29203" s="26">
        <v>0.441</v>
      </c>
      <c r="D29203" s="26">
        <v>0.35909999999999997</v>
      </c>
      <c r="E29203" s="26">
        <v>7.3499999999999996E-2</v>
      </c>
      <c r="F29203" s="26">
        <v>5.9700000000000003E-2</v>
      </c>
      <c r="G29203" s="26">
        <v>3.6600000000000001E-2</v>
      </c>
      <c r="H29203" s="26">
        <v>3.9300000000000002E-2</v>
      </c>
      <c r="I29203" s="26">
        <v>3.7199999999999997E-2</v>
      </c>
      <c r="J29203" s="26">
        <v>4.0599999999999997E-2</v>
      </c>
      <c r="K29203" s="26">
        <v>0.01</v>
      </c>
      <c r="L29203" s="26">
        <v>1.43E-2</v>
      </c>
      <c r="M29203" s="26">
        <v>2.01E-2</v>
      </c>
      <c r="N29203" s="26">
        <v>6.1000000000000004E-3</v>
      </c>
      <c r="O29203" s="26">
        <v>1.29E-2</v>
      </c>
      <c r="P29203" s="26">
        <v>1.17E-2</v>
      </c>
      <c r="Q29203" s="26">
        <v>9.4999999999999998E-3</v>
      </c>
      <c r="S29203">
        <v>758</v>
      </c>
    </row>
    <row r="29204" spans="1:19" x14ac:dyDescent="0.35">
      <c r="A29204" t="s">
        <v>229</v>
      </c>
      <c r="B29204" t="s">
        <v>256</v>
      </c>
      <c r="C29204" s="26">
        <v>0.52649999999999997</v>
      </c>
      <c r="D29204" s="26">
        <v>0.25800000000000001</v>
      </c>
      <c r="E29204" s="26">
        <v>0.13089999999999999</v>
      </c>
      <c r="F29204" s="26">
        <v>8.8200000000000001E-2</v>
      </c>
      <c r="G29204" s="26">
        <v>0.12659999999999999</v>
      </c>
      <c r="H29204" s="26">
        <v>5.5599999999999997E-2</v>
      </c>
      <c r="I29204" s="26">
        <v>6.5600000000000006E-2</v>
      </c>
      <c r="J29204" s="26">
        <v>5.5599999999999997E-2</v>
      </c>
      <c r="K29204" s="26">
        <v>7.4999999999999997E-2</v>
      </c>
      <c r="L29204" s="26">
        <v>5.5399999999999998E-2</v>
      </c>
      <c r="M29204" s="26">
        <v>5.8000000000000003E-2</v>
      </c>
      <c r="N29204" s="26">
        <v>6.8599999999999994E-2</v>
      </c>
      <c r="O29204" s="26">
        <v>3.8199999999999998E-2</v>
      </c>
      <c r="P29204" s="26">
        <v>3.39E-2</v>
      </c>
      <c r="Q29204" s="26">
        <v>2.9999999999999997E-4</v>
      </c>
      <c r="S29204">
        <v>206</v>
      </c>
    </row>
    <row r="29205" spans="1:19" x14ac:dyDescent="0.35">
      <c r="A29205" t="s">
        <v>229</v>
      </c>
      <c r="B29205" t="s">
        <v>255</v>
      </c>
      <c r="C29205" s="26">
        <v>0.39760000000000001</v>
      </c>
      <c r="D29205" s="26">
        <v>0.37859999999999999</v>
      </c>
      <c r="E29205" s="26">
        <v>6.1499999999999999E-2</v>
      </c>
      <c r="F29205" s="26">
        <v>5.6899999999999999E-2</v>
      </c>
      <c r="G29205" s="26">
        <v>5.0900000000000001E-2</v>
      </c>
      <c r="H29205" s="26">
        <v>4.7600000000000003E-2</v>
      </c>
      <c r="I29205" s="26">
        <v>4.1500000000000002E-2</v>
      </c>
      <c r="J29205" s="26">
        <v>4.4999999999999998E-2</v>
      </c>
      <c r="K29205" s="26">
        <v>2.76E-2</v>
      </c>
      <c r="L29205" s="26">
        <v>3.2599999999999997E-2</v>
      </c>
      <c r="M29205" s="26">
        <v>1.8800000000000001E-2</v>
      </c>
      <c r="N29205" s="26">
        <v>2.6700000000000002E-2</v>
      </c>
      <c r="O29205" s="26">
        <v>1.44E-2</v>
      </c>
      <c r="P29205" s="26">
        <v>2.4299999999999999E-2</v>
      </c>
      <c r="Q29205" s="26">
        <v>2.5000000000000001E-3</v>
      </c>
      <c r="R29205" s="26">
        <v>3.7000000000000002E-3</v>
      </c>
      <c r="S29205">
        <v>635</v>
      </c>
    </row>
    <row r="29206" spans="1:19" x14ac:dyDescent="0.35">
      <c r="A29206" t="s">
        <v>229</v>
      </c>
      <c r="B29206" t="s">
        <v>257</v>
      </c>
      <c r="C29206" s="26">
        <v>0.25840000000000002</v>
      </c>
      <c r="D29206" s="26">
        <v>0.19900000000000001</v>
      </c>
      <c r="E29206" s="26">
        <v>0.2419</v>
      </c>
      <c r="F29206" s="26">
        <v>8.9200000000000002E-2</v>
      </c>
      <c r="G29206" s="26">
        <v>0.13900000000000001</v>
      </c>
      <c r="H29206" s="26">
        <v>0.1603</v>
      </c>
      <c r="I29206" s="26">
        <v>2.0199999999999999E-2</v>
      </c>
      <c r="J29206" s="26">
        <v>8.7900000000000006E-2</v>
      </c>
      <c r="K29206" s="26">
        <v>6.2100000000000002E-2</v>
      </c>
      <c r="L29206" s="26">
        <v>1.5800000000000002E-2</v>
      </c>
      <c r="M29206" s="26">
        <v>0.16389999999999999</v>
      </c>
      <c r="N29206" s="26">
        <v>0.08</v>
      </c>
      <c r="O29206" s="26">
        <v>0.10979999999999999</v>
      </c>
      <c r="P29206" s="26">
        <v>1.23E-2</v>
      </c>
      <c r="S29206">
        <v>50</v>
      </c>
    </row>
    <row r="29207" spans="1:19" x14ac:dyDescent="0.35">
      <c r="A29207" s="27" t="s">
        <v>229</v>
      </c>
      <c r="B29207" s="27" t="s">
        <v>258</v>
      </c>
      <c r="C29207" s="28">
        <v>0.22409999999999999</v>
      </c>
      <c r="D29207" s="28">
        <v>0.77590000000000003</v>
      </c>
      <c r="E29207" s="29"/>
      <c r="F29207" s="29"/>
      <c r="G29207" s="29"/>
      <c r="H29207" s="29"/>
      <c r="I29207" s="29"/>
      <c r="J29207" s="29"/>
      <c r="K29207" s="29"/>
      <c r="L29207" s="29"/>
      <c r="M29207" s="29"/>
      <c r="N29207" s="29"/>
      <c r="O29207" s="29"/>
      <c r="P29207" s="29"/>
      <c r="Q29207" s="29"/>
      <c r="R29207" s="29"/>
      <c r="S29207" s="29" t="s">
        <v>314</v>
      </c>
    </row>
    <row r="29208" spans="1:19" x14ac:dyDescent="0.35">
      <c r="A29208" t="s">
        <v>230</v>
      </c>
      <c r="B29208" t="s">
        <v>256</v>
      </c>
      <c r="C29208" s="26">
        <v>0.43059999999999998</v>
      </c>
      <c r="D29208" s="26">
        <v>0.20469999999999999</v>
      </c>
      <c r="E29208" s="26">
        <v>0.1057</v>
      </c>
      <c r="F29208" s="26">
        <v>5.1299999999999998E-2</v>
      </c>
      <c r="G29208" s="26">
        <v>0.18959999999999999</v>
      </c>
      <c r="H29208" s="26">
        <v>5.4800000000000001E-2</v>
      </c>
      <c r="I29208" s="26">
        <v>5.9499999999999997E-2</v>
      </c>
      <c r="J29208" s="26">
        <v>7.4499999999999997E-2</v>
      </c>
      <c r="K29208" s="26">
        <v>5.6099999999999997E-2</v>
      </c>
      <c r="L29208" s="26">
        <v>5.5199999999999999E-2</v>
      </c>
      <c r="M29208" s="26">
        <v>5.2900000000000003E-2</v>
      </c>
      <c r="N29208" s="26">
        <v>2.41E-2</v>
      </c>
      <c r="O29208" s="26">
        <v>6.3E-2</v>
      </c>
      <c r="P29208" s="26">
        <v>2.2800000000000001E-2</v>
      </c>
      <c r="S29208">
        <v>130</v>
      </c>
    </row>
    <row r="29209" spans="1:19" x14ac:dyDescent="0.35">
      <c r="A29209" t="s">
        <v>230</v>
      </c>
      <c r="B29209" t="s">
        <v>255</v>
      </c>
      <c r="C29209" s="26">
        <v>0.41909999999999997</v>
      </c>
      <c r="D29209" s="26">
        <v>0.38179999999999997</v>
      </c>
      <c r="E29209" s="26">
        <v>5.2699999999999997E-2</v>
      </c>
      <c r="F29209" s="26">
        <v>8.1299999999999997E-2</v>
      </c>
      <c r="G29209" s="26">
        <v>4.7100000000000003E-2</v>
      </c>
      <c r="H29209" s="26">
        <v>3.2199999999999999E-2</v>
      </c>
      <c r="I29209" s="26">
        <v>3.8100000000000002E-2</v>
      </c>
      <c r="J29209" s="26">
        <v>3.2099999999999997E-2</v>
      </c>
      <c r="K29209" s="26">
        <v>2.3699999999999999E-2</v>
      </c>
      <c r="L29209" s="26">
        <v>1.3899999999999999E-2</v>
      </c>
      <c r="M29209" s="26">
        <v>3.6200000000000003E-2</v>
      </c>
      <c r="N29209" s="26">
        <v>2.01E-2</v>
      </c>
      <c r="O29209" s="26">
        <v>4.7199999999999999E-2</v>
      </c>
      <c r="P29209" s="26">
        <v>2.0400000000000001E-2</v>
      </c>
      <c r="Q29209" s="26">
        <v>4.0000000000000001E-3</v>
      </c>
      <c r="S29209">
        <v>389</v>
      </c>
    </row>
    <row r="29210" spans="1:19" x14ac:dyDescent="0.35">
      <c r="A29210" t="s">
        <v>230</v>
      </c>
      <c r="B29210" t="s">
        <v>257</v>
      </c>
      <c r="C29210" s="26">
        <v>0.50239999999999996</v>
      </c>
      <c r="D29210" s="26">
        <v>0.15609999999999999</v>
      </c>
      <c r="E29210" s="26">
        <v>0.20200000000000001</v>
      </c>
      <c r="F29210" s="26">
        <v>8.8999999999999996E-2</v>
      </c>
      <c r="G29210" s="26">
        <v>0.10150000000000001</v>
      </c>
      <c r="H29210" s="26">
        <v>0.1522</v>
      </c>
      <c r="I29210" s="26">
        <v>0.1012</v>
      </c>
      <c r="J29210" s="26">
        <v>8.8700000000000001E-2</v>
      </c>
      <c r="K29210" s="26">
        <v>0.1012</v>
      </c>
      <c r="L29210" s="26">
        <v>0.1522</v>
      </c>
      <c r="M29210" s="26">
        <v>0.19020000000000001</v>
      </c>
      <c r="N29210" s="26">
        <v>7.6100000000000001E-2</v>
      </c>
      <c r="O29210" s="26">
        <v>7.6100000000000001E-2</v>
      </c>
      <c r="P29210" s="26">
        <v>7.6100000000000001E-2</v>
      </c>
      <c r="Q29210" s="26">
        <v>1.2800000000000001E-2</v>
      </c>
      <c r="S29210">
        <v>38</v>
      </c>
    </row>
    <row r="29211" spans="1:19" x14ac:dyDescent="0.35">
      <c r="A29211" s="27" t="s">
        <v>230</v>
      </c>
      <c r="B29211" s="27" t="s">
        <v>258</v>
      </c>
      <c r="C29211" s="28">
        <v>0.95830000000000004</v>
      </c>
      <c r="D29211" s="28">
        <v>4.1700000000000001E-2</v>
      </c>
      <c r="E29211" s="29"/>
      <c r="F29211" s="29"/>
      <c r="G29211" s="29"/>
      <c r="H29211" s="29"/>
      <c r="I29211" s="29"/>
      <c r="J29211" s="29"/>
      <c r="K29211" s="29"/>
      <c r="L29211" s="29"/>
      <c r="M29211" s="29"/>
      <c r="N29211" s="29"/>
      <c r="O29211" s="29"/>
      <c r="P29211" s="29"/>
      <c r="Q29211" s="29"/>
      <c r="R29211" s="29"/>
      <c r="S29211" s="29" t="s">
        <v>315</v>
      </c>
    </row>
    <row r="29212" spans="1:19" x14ac:dyDescent="0.35">
      <c r="A29212" s="27" t="s">
        <v>231</v>
      </c>
      <c r="B29212" s="27" t="s">
        <v>257</v>
      </c>
      <c r="C29212" s="28">
        <v>0.42859999999999998</v>
      </c>
      <c r="D29212" s="28">
        <v>0.42859999999999998</v>
      </c>
      <c r="E29212" s="29"/>
      <c r="F29212" s="29"/>
      <c r="G29212" s="29"/>
      <c r="H29212" s="29"/>
      <c r="I29212" s="29"/>
      <c r="J29212" s="29"/>
      <c r="K29212" s="29"/>
      <c r="L29212" s="29"/>
      <c r="M29212" s="29"/>
      <c r="N29212" s="29"/>
      <c r="O29212" s="29"/>
      <c r="P29212" s="29"/>
      <c r="Q29212" s="28">
        <v>0.1429</v>
      </c>
      <c r="R29212" s="29"/>
      <c r="S29212" s="29" t="s">
        <v>339</v>
      </c>
    </row>
    <row r="29213" spans="1:19" x14ac:dyDescent="0.35">
      <c r="A29213" t="s">
        <v>231</v>
      </c>
      <c r="B29213" t="s">
        <v>255</v>
      </c>
      <c r="C29213" s="26">
        <v>0.4884</v>
      </c>
      <c r="D29213" s="26">
        <v>0.33329999999999999</v>
      </c>
      <c r="E29213" s="26">
        <v>6.2E-2</v>
      </c>
      <c r="F29213" s="26">
        <v>3.8800000000000001E-2</v>
      </c>
      <c r="G29213" s="26">
        <v>3.1E-2</v>
      </c>
      <c r="H29213" s="26">
        <v>3.1E-2</v>
      </c>
      <c r="I29213" s="26">
        <v>4.65E-2</v>
      </c>
      <c r="J29213" s="26">
        <v>3.1E-2</v>
      </c>
      <c r="K29213" s="26">
        <v>7.7999999999999996E-3</v>
      </c>
      <c r="L29213" s="26">
        <v>1.55E-2</v>
      </c>
      <c r="M29213" s="26">
        <v>1.55E-2</v>
      </c>
      <c r="N29213" s="26">
        <v>7.7999999999999996E-3</v>
      </c>
      <c r="O29213" s="26">
        <v>1.55E-2</v>
      </c>
      <c r="P29213" s="26">
        <v>2.3300000000000001E-2</v>
      </c>
      <c r="S29213">
        <v>129</v>
      </c>
    </row>
    <row r="29214" spans="1:19" x14ac:dyDescent="0.35">
      <c r="A29214" s="27" t="s">
        <v>231</v>
      </c>
      <c r="B29214" s="27" t="s">
        <v>256</v>
      </c>
      <c r="C29214" s="28">
        <v>0.53569999999999995</v>
      </c>
      <c r="D29214" s="28">
        <v>0.1071</v>
      </c>
      <c r="E29214" s="28">
        <v>0.21429999999999999</v>
      </c>
      <c r="F29214" s="28">
        <v>0.1071</v>
      </c>
      <c r="G29214" s="28">
        <v>0.1071</v>
      </c>
      <c r="H29214" s="29"/>
      <c r="I29214" s="29"/>
      <c r="J29214" s="29"/>
      <c r="K29214" s="28">
        <v>3.5700000000000003E-2</v>
      </c>
      <c r="L29214" s="28">
        <v>3.5700000000000003E-2</v>
      </c>
      <c r="M29214" s="29"/>
      <c r="N29214" s="28">
        <v>3.5700000000000003E-2</v>
      </c>
      <c r="O29214" s="29"/>
      <c r="P29214" s="29"/>
      <c r="Q29214" s="29"/>
      <c r="R29214" s="29"/>
      <c r="S29214" s="29" t="s">
        <v>336</v>
      </c>
    </row>
    <row r="29215" spans="1:19" x14ac:dyDescent="0.35">
      <c r="A29215" t="s">
        <v>232</v>
      </c>
      <c r="B29215" t="s">
        <v>232</v>
      </c>
      <c r="C29215" s="26">
        <v>0.45500000000000002</v>
      </c>
      <c r="D29215" s="26">
        <v>0.31719999999999998</v>
      </c>
      <c r="E29215" s="26">
        <v>8.2000000000000003E-2</v>
      </c>
      <c r="F29215" s="26">
        <v>6.3500000000000001E-2</v>
      </c>
      <c r="G29215" s="26">
        <v>6.3E-2</v>
      </c>
      <c r="H29215" s="26">
        <v>4.1399999999999999E-2</v>
      </c>
      <c r="I29215" s="26">
        <v>4.0399999999999998E-2</v>
      </c>
      <c r="J29215" s="26">
        <v>3.9E-2</v>
      </c>
      <c r="K29215" s="26">
        <v>2.87E-2</v>
      </c>
      <c r="L29215" s="26">
        <v>2.8500000000000001E-2</v>
      </c>
      <c r="M29215" s="26">
        <v>2.8000000000000001E-2</v>
      </c>
      <c r="N29215" s="26">
        <v>2.6599999999999999E-2</v>
      </c>
      <c r="O29215" s="26">
        <v>2.5499999999999998E-2</v>
      </c>
      <c r="P29215" s="26">
        <v>2.0199999999999999E-2</v>
      </c>
      <c r="Q29215" s="26">
        <v>3.8999999999999998E-3</v>
      </c>
      <c r="R29215" s="26">
        <v>8.9999999999999998E-4</v>
      </c>
      <c r="S29215">
        <v>2810</v>
      </c>
    </row>
    <row r="29217" spans="1:19" x14ac:dyDescent="0.35">
      <c r="A29217" s="1" t="s">
        <v>2616</v>
      </c>
    </row>
    <row r="29218" spans="1:19" x14ac:dyDescent="0.35">
      <c r="A29218" t="s">
        <v>219</v>
      </c>
      <c r="B29218" t="s">
        <v>305</v>
      </c>
      <c r="C29218" t="s">
        <v>550</v>
      </c>
      <c r="D29218" t="s">
        <v>281</v>
      </c>
      <c r="E29218" t="s">
        <v>2593</v>
      </c>
      <c r="F29218" t="s">
        <v>2594</v>
      </c>
      <c r="G29218" t="s">
        <v>2595</v>
      </c>
      <c r="H29218" t="s">
        <v>2596</v>
      </c>
      <c r="I29218" t="s">
        <v>2597</v>
      </c>
      <c r="J29218" t="s">
        <v>2598</v>
      </c>
      <c r="K29218" t="s">
        <v>2599</v>
      </c>
      <c r="L29218" t="s">
        <v>2600</v>
      </c>
      <c r="M29218" t="s">
        <v>2601</v>
      </c>
      <c r="N29218" t="s">
        <v>2602</v>
      </c>
      <c r="O29218" t="s">
        <v>2603</v>
      </c>
      <c r="P29218" t="s">
        <v>2604</v>
      </c>
      <c r="Q29218" t="s">
        <v>2026</v>
      </c>
      <c r="R29218" t="s">
        <v>326</v>
      </c>
      <c r="S29218" t="s">
        <v>226</v>
      </c>
    </row>
    <row r="29219" spans="1:19" x14ac:dyDescent="0.35">
      <c r="A29219" t="s">
        <v>227</v>
      </c>
      <c r="B29219" t="s">
        <v>1341</v>
      </c>
      <c r="C29219" s="26">
        <v>0.44900000000000001</v>
      </c>
      <c r="D29219" s="26">
        <v>0.38779999999999998</v>
      </c>
      <c r="E29219" s="26">
        <v>2.0400000000000001E-2</v>
      </c>
      <c r="F29219" s="26">
        <v>6.1199999999999997E-2</v>
      </c>
      <c r="G29219" s="26">
        <v>4.0800000000000003E-2</v>
      </c>
      <c r="H29219" s="26">
        <v>2.0400000000000001E-2</v>
      </c>
      <c r="K29219" s="26">
        <v>2.0400000000000001E-2</v>
      </c>
      <c r="L29219" s="26">
        <v>2.0400000000000001E-2</v>
      </c>
      <c r="M29219" s="26">
        <v>2.0400000000000001E-2</v>
      </c>
      <c r="O29219" s="26">
        <v>4.0800000000000003E-2</v>
      </c>
      <c r="S29219">
        <v>49</v>
      </c>
    </row>
    <row r="29220" spans="1:19" x14ac:dyDescent="0.35">
      <c r="A29220" s="27" t="s">
        <v>227</v>
      </c>
      <c r="B29220" s="27" t="s">
        <v>1342</v>
      </c>
      <c r="C29220" s="29"/>
      <c r="D29220" s="29"/>
      <c r="E29220" s="29"/>
      <c r="F29220" s="29"/>
      <c r="G29220" s="28">
        <v>1</v>
      </c>
      <c r="H29220" s="29"/>
      <c r="I29220" s="29"/>
      <c r="J29220" s="29"/>
      <c r="K29220" s="28">
        <v>1</v>
      </c>
      <c r="L29220" s="29"/>
      <c r="M29220" s="29"/>
      <c r="N29220" s="29"/>
      <c r="O29220" s="29"/>
      <c r="P29220" s="29"/>
      <c r="Q29220" s="29"/>
      <c r="R29220" s="29"/>
      <c r="S29220" s="29" t="s">
        <v>331</v>
      </c>
    </row>
    <row r="29221" spans="1:19" x14ac:dyDescent="0.35">
      <c r="A29221" t="s">
        <v>227</v>
      </c>
      <c r="B29221" t="s">
        <v>1343</v>
      </c>
      <c r="C29221" s="26">
        <v>0.45950000000000002</v>
      </c>
      <c r="D29221" s="26">
        <v>0.29730000000000001</v>
      </c>
      <c r="E29221" s="26">
        <v>9.01E-2</v>
      </c>
      <c r="F29221" s="26">
        <v>8.1100000000000005E-2</v>
      </c>
      <c r="G29221" s="26">
        <v>6.3100000000000003E-2</v>
      </c>
      <c r="H29221" s="26">
        <v>5.4100000000000002E-2</v>
      </c>
      <c r="I29221" s="26">
        <v>3.5999999999999997E-2</v>
      </c>
      <c r="J29221" s="26">
        <v>5.4100000000000002E-2</v>
      </c>
      <c r="K29221" s="26">
        <v>2.7E-2</v>
      </c>
      <c r="L29221" s="26">
        <v>4.4999999999999998E-2</v>
      </c>
      <c r="M29221" s="26">
        <v>2.7E-2</v>
      </c>
      <c r="N29221" s="26">
        <v>6.3100000000000003E-2</v>
      </c>
      <c r="O29221" s="26">
        <v>3.5999999999999997E-2</v>
      </c>
      <c r="P29221" s="26">
        <v>1.7999999999999999E-2</v>
      </c>
      <c r="S29221">
        <v>111</v>
      </c>
    </row>
    <row r="29222" spans="1:19" x14ac:dyDescent="0.35">
      <c r="A29222" t="s">
        <v>228</v>
      </c>
      <c r="B29222" t="s">
        <v>1341</v>
      </c>
      <c r="C29222" s="26">
        <v>0.43140000000000001</v>
      </c>
      <c r="D29222" s="26">
        <v>0.36749999999999999</v>
      </c>
      <c r="E29222" s="26">
        <v>5.28E-2</v>
      </c>
      <c r="F29222" s="26">
        <v>2.07E-2</v>
      </c>
      <c r="G29222" s="26">
        <v>5.6800000000000003E-2</v>
      </c>
      <c r="H29222" s="26">
        <v>2.87E-2</v>
      </c>
      <c r="I29222" s="26">
        <v>4.8500000000000001E-2</v>
      </c>
      <c r="J29222" s="26">
        <v>1.9099999999999999E-2</v>
      </c>
      <c r="K29222" s="26">
        <v>2.3900000000000001E-2</v>
      </c>
      <c r="L29222" s="26">
        <v>1.2200000000000001E-2</v>
      </c>
      <c r="M29222" s="26">
        <v>1.54E-2</v>
      </c>
      <c r="N29222" s="26">
        <v>6.4999999999999997E-3</v>
      </c>
      <c r="O29222" s="26">
        <v>1.6999999999999999E-3</v>
      </c>
      <c r="P29222" s="26">
        <v>1.2200000000000001E-2</v>
      </c>
      <c r="Q29222" s="26">
        <v>2.1399999999999999E-2</v>
      </c>
      <c r="S29222">
        <v>304</v>
      </c>
    </row>
    <row r="29223" spans="1:19" x14ac:dyDescent="0.35">
      <c r="A29223" s="27" t="s">
        <v>228</v>
      </c>
      <c r="B29223" s="27" t="s">
        <v>1342</v>
      </c>
      <c r="C29223" s="28">
        <v>1</v>
      </c>
      <c r="D29223" s="29"/>
      <c r="E29223" s="29"/>
      <c r="F29223" s="29"/>
      <c r="G29223" s="29"/>
      <c r="H29223" s="29"/>
      <c r="I29223" s="29"/>
      <c r="J29223" s="29"/>
      <c r="K29223" s="29"/>
      <c r="L29223" s="29"/>
      <c r="M29223" s="29"/>
      <c r="N29223" s="29"/>
      <c r="O29223" s="29"/>
      <c r="P29223" s="29"/>
      <c r="Q29223" s="29"/>
      <c r="R29223" s="29"/>
      <c r="S29223" s="29" t="s">
        <v>331</v>
      </c>
    </row>
    <row r="29224" spans="1:19" x14ac:dyDescent="0.35">
      <c r="A29224" t="s">
        <v>228</v>
      </c>
      <c r="B29224" t="s">
        <v>1343</v>
      </c>
      <c r="C29224" s="26">
        <v>0.46410000000000001</v>
      </c>
      <c r="D29224" s="26">
        <v>0.28899999999999998</v>
      </c>
      <c r="E29224" s="26">
        <v>8.9200000000000002E-2</v>
      </c>
      <c r="F29224" s="26">
        <v>8.4099999999999994E-2</v>
      </c>
      <c r="G29224" s="26">
        <v>6.25E-2</v>
      </c>
      <c r="H29224" s="26">
        <v>4.4900000000000002E-2</v>
      </c>
      <c r="I29224" s="26">
        <v>4.3400000000000001E-2</v>
      </c>
      <c r="J29224" s="26">
        <v>5.0099999999999999E-2</v>
      </c>
      <c r="K29224" s="26">
        <v>2.64E-2</v>
      </c>
      <c r="L29224" s="26">
        <v>2.2700000000000001E-2</v>
      </c>
      <c r="M29224" s="26">
        <v>3.27E-2</v>
      </c>
      <c r="N29224" s="26">
        <v>1.6199999999999999E-2</v>
      </c>
      <c r="O29224" s="26">
        <v>2.86E-2</v>
      </c>
      <c r="P29224" s="26">
        <v>2.0299999999999999E-2</v>
      </c>
      <c r="Q29224" s="26">
        <v>1.4E-3</v>
      </c>
      <c r="R29224" s="26">
        <v>1.1999999999999999E-3</v>
      </c>
      <c r="S29224">
        <v>727</v>
      </c>
    </row>
    <row r="29225" spans="1:19" x14ac:dyDescent="0.35">
      <c r="A29225" t="s">
        <v>229</v>
      </c>
      <c r="B29225" t="s">
        <v>1341</v>
      </c>
      <c r="C29225" s="26">
        <v>0.38040000000000002</v>
      </c>
      <c r="D29225" s="26">
        <v>0.4375</v>
      </c>
      <c r="E29225" s="26">
        <v>9.4600000000000004E-2</v>
      </c>
      <c r="F29225" s="26">
        <v>6.0199999999999997E-2</v>
      </c>
      <c r="G29225" s="26">
        <v>8.6499999999999994E-2</v>
      </c>
      <c r="H29225" s="26">
        <v>5.6099999999999997E-2</v>
      </c>
      <c r="I29225" s="26">
        <v>4.1000000000000002E-2</v>
      </c>
      <c r="J29225" s="26">
        <v>4.6399999999999997E-2</v>
      </c>
      <c r="K29225" s="26">
        <v>4.7600000000000003E-2</v>
      </c>
      <c r="L29225" s="26">
        <v>6.4000000000000001E-2</v>
      </c>
      <c r="M29225" s="26">
        <v>4.1099999999999998E-2</v>
      </c>
      <c r="N29225" s="26">
        <v>2.8799999999999999E-2</v>
      </c>
      <c r="O29225" s="26">
        <v>2.8000000000000001E-2</v>
      </c>
      <c r="P29225" s="26">
        <v>2.7799999999999998E-2</v>
      </c>
      <c r="Q29225" s="26">
        <v>1E-3</v>
      </c>
      <c r="R29225" s="26">
        <v>7.7000000000000002E-3</v>
      </c>
      <c r="S29225">
        <v>272</v>
      </c>
    </row>
    <row r="29226" spans="1:19" x14ac:dyDescent="0.35">
      <c r="A29226" t="s">
        <v>229</v>
      </c>
      <c r="B29226" t="s">
        <v>1343</v>
      </c>
      <c r="C29226" s="26">
        <v>0.44719999999999999</v>
      </c>
      <c r="D29226" s="26">
        <v>0.28649999999999998</v>
      </c>
      <c r="E29226" s="26">
        <v>8.8200000000000001E-2</v>
      </c>
      <c r="F29226" s="26">
        <v>7.0599999999999996E-2</v>
      </c>
      <c r="G29226" s="26">
        <v>7.1499999999999994E-2</v>
      </c>
      <c r="H29226" s="26">
        <v>5.5800000000000002E-2</v>
      </c>
      <c r="I29226" s="26">
        <v>4.9799999999999997E-2</v>
      </c>
      <c r="J29226" s="26">
        <v>5.21E-2</v>
      </c>
      <c r="K29226" s="26">
        <v>3.9899999999999998E-2</v>
      </c>
      <c r="L29226" s="26">
        <v>2.53E-2</v>
      </c>
      <c r="M29226" s="26">
        <v>3.56E-2</v>
      </c>
      <c r="N29226" s="26">
        <v>4.7E-2</v>
      </c>
      <c r="O29226" s="26">
        <v>2.5100000000000001E-2</v>
      </c>
      <c r="P29226" s="26">
        <v>2.5499999999999998E-2</v>
      </c>
      <c r="Q29226" s="26">
        <v>2.0999999999999999E-3</v>
      </c>
      <c r="S29226">
        <v>621</v>
      </c>
    </row>
    <row r="29227" spans="1:19" x14ac:dyDescent="0.35">
      <c r="A29227" t="s">
        <v>230</v>
      </c>
      <c r="B29227" t="s">
        <v>1341</v>
      </c>
      <c r="C29227" s="26">
        <v>0.36530000000000001</v>
      </c>
      <c r="D29227" s="26">
        <v>0.48899999999999999</v>
      </c>
      <c r="E29227" s="26">
        <v>1.14E-2</v>
      </c>
      <c r="F29227" s="26">
        <v>3.4599999999999999E-2</v>
      </c>
      <c r="G29227" s="26">
        <v>2.5899999999999999E-2</v>
      </c>
      <c r="H29227" s="26">
        <v>5.4999999999999997E-3</v>
      </c>
      <c r="I29227" s="26">
        <v>5.4999999999999997E-3</v>
      </c>
      <c r="J29227" s="26">
        <v>7.3000000000000001E-3</v>
      </c>
      <c r="K29227" s="26">
        <v>2.2100000000000002E-2</v>
      </c>
      <c r="L29227" s="26">
        <v>6.7000000000000002E-3</v>
      </c>
      <c r="M29227" s="26">
        <v>2.8000000000000001E-2</v>
      </c>
      <c r="N29227" s="26">
        <v>2.2100000000000002E-2</v>
      </c>
      <c r="O29227" s="26">
        <v>2.5100000000000001E-2</v>
      </c>
      <c r="P29227" s="26">
        <v>7.4999999999999997E-3</v>
      </c>
      <c r="S29227">
        <v>156</v>
      </c>
    </row>
    <row r="29228" spans="1:19" x14ac:dyDescent="0.35">
      <c r="A29228" t="s">
        <v>230</v>
      </c>
      <c r="B29228" t="s">
        <v>1343</v>
      </c>
      <c r="C29228" s="26">
        <v>0.46100000000000002</v>
      </c>
      <c r="D29228" s="26">
        <v>0.2414</v>
      </c>
      <c r="E29228" s="26">
        <v>0.1057</v>
      </c>
      <c r="F29228" s="26">
        <v>9.0800000000000006E-2</v>
      </c>
      <c r="G29228" s="26">
        <v>0.11509999999999999</v>
      </c>
      <c r="H29228" s="26">
        <v>6.4500000000000002E-2</v>
      </c>
      <c r="I29228" s="26">
        <v>6.6699999999999995E-2</v>
      </c>
      <c r="J29228" s="26">
        <v>6.4500000000000002E-2</v>
      </c>
      <c r="K29228" s="26">
        <v>4.4200000000000003E-2</v>
      </c>
      <c r="L29228" s="26">
        <v>4.6600000000000003E-2</v>
      </c>
      <c r="M29228" s="26">
        <v>6.1499999999999999E-2</v>
      </c>
      <c r="N29228" s="26">
        <v>2.63E-2</v>
      </c>
      <c r="O29228" s="26">
        <v>6.5500000000000003E-2</v>
      </c>
      <c r="P29228" s="26">
        <v>3.2500000000000001E-2</v>
      </c>
      <c r="Q29228" s="26">
        <v>5.1999999999999998E-3</v>
      </c>
      <c r="S29228">
        <v>404</v>
      </c>
    </row>
    <row r="29229" spans="1:19" x14ac:dyDescent="0.35">
      <c r="A29229" t="s">
        <v>231</v>
      </c>
      <c r="B29229" t="s">
        <v>1341</v>
      </c>
      <c r="C29229" s="26">
        <v>0.46150000000000002</v>
      </c>
      <c r="D29229" s="26">
        <v>0.33850000000000002</v>
      </c>
      <c r="E29229" s="26">
        <v>4.6199999999999998E-2</v>
      </c>
      <c r="F29229" s="26">
        <v>1.54E-2</v>
      </c>
      <c r="G29229" s="26">
        <v>6.1499999999999999E-2</v>
      </c>
      <c r="H29229" s="26">
        <v>3.0800000000000001E-2</v>
      </c>
      <c r="I29229" s="26">
        <v>3.0800000000000001E-2</v>
      </c>
      <c r="J29229" s="26">
        <v>4.6199999999999998E-2</v>
      </c>
      <c r="K29229" s="26">
        <v>1.54E-2</v>
      </c>
      <c r="M29229" s="26">
        <v>1.54E-2</v>
      </c>
      <c r="N29229" s="26">
        <v>1.54E-2</v>
      </c>
      <c r="O29229" s="26">
        <v>1.54E-2</v>
      </c>
      <c r="P29229" s="26">
        <v>4.6199999999999998E-2</v>
      </c>
      <c r="S29229">
        <v>65</v>
      </c>
    </row>
    <row r="29230" spans="1:19" x14ac:dyDescent="0.35">
      <c r="A29230" t="s">
        <v>231</v>
      </c>
      <c r="B29230" t="s">
        <v>1343</v>
      </c>
      <c r="C29230" s="26">
        <v>0.51519999999999999</v>
      </c>
      <c r="D29230" s="26">
        <v>0.2727</v>
      </c>
      <c r="E29230" s="26">
        <v>0.1111</v>
      </c>
      <c r="F29230" s="26">
        <v>7.0699999999999999E-2</v>
      </c>
      <c r="G29230" s="26">
        <v>3.0300000000000001E-2</v>
      </c>
      <c r="H29230" s="26">
        <v>2.0199999999999999E-2</v>
      </c>
      <c r="I29230" s="26">
        <v>4.0399999999999998E-2</v>
      </c>
      <c r="J29230" s="26">
        <v>1.01E-2</v>
      </c>
      <c r="K29230" s="26">
        <v>1.01E-2</v>
      </c>
      <c r="L29230" s="26">
        <v>3.0300000000000001E-2</v>
      </c>
      <c r="M29230" s="26">
        <v>1.01E-2</v>
      </c>
      <c r="N29230" s="26">
        <v>1.01E-2</v>
      </c>
      <c r="O29230" s="26">
        <v>1.01E-2</v>
      </c>
      <c r="Q29230" s="26">
        <v>1.01E-2</v>
      </c>
      <c r="S29230">
        <v>99</v>
      </c>
    </row>
    <row r="29231" spans="1:19" x14ac:dyDescent="0.35">
      <c r="A29231" t="s">
        <v>232</v>
      </c>
      <c r="B29231" t="s">
        <v>232</v>
      </c>
      <c r="C29231" s="26">
        <v>0.45500000000000002</v>
      </c>
      <c r="D29231" s="26">
        <v>0.31719999999999998</v>
      </c>
      <c r="E29231" s="26">
        <v>8.2000000000000003E-2</v>
      </c>
      <c r="F29231" s="26">
        <v>6.3500000000000001E-2</v>
      </c>
      <c r="G29231" s="26">
        <v>6.3E-2</v>
      </c>
      <c r="H29231" s="26">
        <v>4.1399999999999999E-2</v>
      </c>
      <c r="I29231" s="26">
        <v>4.0399999999999998E-2</v>
      </c>
      <c r="J29231" s="26">
        <v>3.9E-2</v>
      </c>
      <c r="K29231" s="26">
        <v>2.87E-2</v>
      </c>
      <c r="L29231" s="26">
        <v>2.8500000000000001E-2</v>
      </c>
      <c r="M29231" s="26">
        <v>2.8000000000000001E-2</v>
      </c>
      <c r="N29231" s="26">
        <v>2.6599999999999999E-2</v>
      </c>
      <c r="O29231" s="26">
        <v>2.5499999999999998E-2</v>
      </c>
      <c r="P29231" s="26">
        <v>2.0199999999999999E-2</v>
      </c>
      <c r="Q29231" s="26">
        <v>3.8999999999999998E-3</v>
      </c>
      <c r="R29231" s="26">
        <v>8.9999999999999998E-4</v>
      </c>
      <c r="S29231">
        <v>2810</v>
      </c>
    </row>
    <row r="29233" spans="1:19" x14ac:dyDescent="0.35">
      <c r="A29233" s="1" t="s">
        <v>2617</v>
      </c>
    </row>
    <row r="29234" spans="1:19" x14ac:dyDescent="0.35">
      <c r="A29234" t="s">
        <v>219</v>
      </c>
      <c r="B29234" t="s">
        <v>305</v>
      </c>
      <c r="C29234" t="s">
        <v>550</v>
      </c>
      <c r="D29234" t="s">
        <v>281</v>
      </c>
      <c r="E29234" t="s">
        <v>2593</v>
      </c>
      <c r="F29234" t="s">
        <v>2594</v>
      </c>
      <c r="G29234" t="s">
        <v>2595</v>
      </c>
      <c r="H29234" t="s">
        <v>2596</v>
      </c>
      <c r="I29234" t="s">
        <v>2597</v>
      </c>
      <c r="J29234" t="s">
        <v>2598</v>
      </c>
      <c r="K29234" t="s">
        <v>2599</v>
      </c>
      <c r="L29234" t="s">
        <v>2600</v>
      </c>
      <c r="M29234" t="s">
        <v>2601</v>
      </c>
      <c r="N29234" t="s">
        <v>2602</v>
      </c>
      <c r="O29234" t="s">
        <v>2603</v>
      </c>
      <c r="P29234" t="s">
        <v>2604</v>
      </c>
      <c r="Q29234" t="s">
        <v>2026</v>
      </c>
      <c r="R29234" t="s">
        <v>326</v>
      </c>
      <c r="S29234" t="s">
        <v>226</v>
      </c>
    </row>
    <row r="29235" spans="1:19" x14ac:dyDescent="0.35">
      <c r="A29235" s="27" t="s">
        <v>227</v>
      </c>
      <c r="B29235" s="27" t="s">
        <v>1345</v>
      </c>
      <c r="C29235" s="28">
        <v>1</v>
      </c>
      <c r="D29235" s="29"/>
      <c r="E29235" s="29"/>
      <c r="F29235" s="29"/>
      <c r="G29235" s="29"/>
      <c r="H29235" s="29"/>
      <c r="I29235" s="29"/>
      <c r="J29235" s="29"/>
      <c r="K29235" s="29"/>
      <c r="L29235" s="29"/>
      <c r="M29235" s="29"/>
      <c r="N29235" s="29"/>
      <c r="O29235" s="29"/>
      <c r="P29235" s="29"/>
      <c r="Q29235" s="29"/>
      <c r="R29235" s="29"/>
      <c r="S29235" s="29" t="s">
        <v>314</v>
      </c>
    </row>
    <row r="29236" spans="1:19" x14ac:dyDescent="0.35">
      <c r="A29236" t="s">
        <v>227</v>
      </c>
      <c r="B29236" t="s">
        <v>1346</v>
      </c>
      <c r="C29236" s="26">
        <v>0.33329999999999999</v>
      </c>
      <c r="D29236" s="26">
        <v>0.5897</v>
      </c>
      <c r="F29236" s="26">
        <v>2.5600000000000001E-2</v>
      </c>
      <c r="G29236" s="26">
        <v>2.5600000000000001E-2</v>
      </c>
      <c r="J29236" s="26">
        <v>2.5600000000000001E-2</v>
      </c>
      <c r="S29236">
        <v>39</v>
      </c>
    </row>
    <row r="29237" spans="1:19" x14ac:dyDescent="0.35">
      <c r="A29237" t="s">
        <v>227</v>
      </c>
      <c r="B29237" t="s">
        <v>1347</v>
      </c>
      <c r="C29237" s="26">
        <v>0.5</v>
      </c>
      <c r="D29237" s="26">
        <v>0.19439999999999999</v>
      </c>
      <c r="E29237" s="26">
        <v>0.16669999999999999</v>
      </c>
      <c r="F29237" s="26">
        <v>8.3299999999999999E-2</v>
      </c>
      <c r="G29237" s="26">
        <v>8.3299999999999999E-2</v>
      </c>
      <c r="H29237" s="26">
        <v>5.5599999999999997E-2</v>
      </c>
      <c r="I29237" s="26">
        <v>2.7799999999999998E-2</v>
      </c>
      <c r="J29237" s="26">
        <v>2.7799999999999998E-2</v>
      </c>
      <c r="K29237" s="26">
        <v>2.7799999999999998E-2</v>
      </c>
      <c r="L29237" s="26">
        <v>2.7799999999999998E-2</v>
      </c>
      <c r="M29237" s="26">
        <v>2.7799999999999998E-2</v>
      </c>
      <c r="N29237" s="26">
        <v>5.5599999999999997E-2</v>
      </c>
      <c r="O29237" s="26">
        <v>5.5599999999999997E-2</v>
      </c>
      <c r="P29237" s="26">
        <v>2.7799999999999998E-2</v>
      </c>
      <c r="S29237">
        <v>36</v>
      </c>
    </row>
    <row r="29238" spans="1:19" x14ac:dyDescent="0.35">
      <c r="A29238" t="s">
        <v>227</v>
      </c>
      <c r="B29238" t="s">
        <v>1348</v>
      </c>
      <c r="C29238" s="26">
        <v>0.47620000000000001</v>
      </c>
      <c r="D29238" s="26">
        <v>0.26190000000000002</v>
      </c>
      <c r="E29238" s="26">
        <v>5.9499999999999997E-2</v>
      </c>
      <c r="F29238" s="26">
        <v>9.5200000000000007E-2</v>
      </c>
      <c r="G29238" s="26">
        <v>7.1400000000000005E-2</v>
      </c>
      <c r="H29238" s="26">
        <v>5.9499999999999997E-2</v>
      </c>
      <c r="I29238" s="26">
        <v>3.5700000000000003E-2</v>
      </c>
      <c r="J29238" s="26">
        <v>4.7600000000000003E-2</v>
      </c>
      <c r="K29238" s="26">
        <v>4.7600000000000003E-2</v>
      </c>
      <c r="L29238" s="26">
        <v>5.9499999999999997E-2</v>
      </c>
      <c r="M29238" s="26">
        <v>3.5700000000000003E-2</v>
      </c>
      <c r="N29238" s="26">
        <v>5.9499999999999997E-2</v>
      </c>
      <c r="O29238" s="26">
        <v>4.7600000000000003E-2</v>
      </c>
      <c r="P29238" s="26">
        <v>1.1900000000000001E-2</v>
      </c>
      <c r="S29238">
        <v>84</v>
      </c>
    </row>
    <row r="29239" spans="1:19" x14ac:dyDescent="0.35">
      <c r="A29239" t="s">
        <v>228</v>
      </c>
      <c r="B29239" t="s">
        <v>1348</v>
      </c>
      <c r="C29239" s="26">
        <v>0.42849999999999999</v>
      </c>
      <c r="D29239" s="26">
        <v>0.32090000000000002</v>
      </c>
      <c r="E29239" s="26">
        <v>8.0100000000000005E-2</v>
      </c>
      <c r="F29239" s="26">
        <v>6.9400000000000003E-2</v>
      </c>
      <c r="G29239" s="26">
        <v>6.6799999999999998E-2</v>
      </c>
      <c r="H29239" s="26">
        <v>4.5600000000000002E-2</v>
      </c>
      <c r="I29239" s="26">
        <v>3.4299999999999997E-2</v>
      </c>
      <c r="J29239" s="26">
        <v>3.85E-2</v>
      </c>
      <c r="K29239" s="26">
        <v>3.5499999999999997E-2</v>
      </c>
      <c r="L29239" s="26">
        <v>1.9099999999999999E-2</v>
      </c>
      <c r="M29239" s="26">
        <v>2.1700000000000001E-2</v>
      </c>
      <c r="N29239" s="26">
        <v>1.0999999999999999E-2</v>
      </c>
      <c r="O29239" s="26">
        <v>2.1100000000000001E-2</v>
      </c>
      <c r="P29239" s="26">
        <v>1.2800000000000001E-2</v>
      </c>
      <c r="Q29239" s="26">
        <v>9.9000000000000008E-3</v>
      </c>
      <c r="R29239" s="26">
        <v>1.6000000000000001E-3</v>
      </c>
      <c r="S29239">
        <v>532</v>
      </c>
    </row>
    <row r="29240" spans="1:19" x14ac:dyDescent="0.35">
      <c r="A29240" t="s">
        <v>228</v>
      </c>
      <c r="B29240" t="s">
        <v>1347</v>
      </c>
      <c r="C29240" s="26">
        <v>0.48299999999999998</v>
      </c>
      <c r="D29240" s="26">
        <v>0.24859999999999999</v>
      </c>
      <c r="E29240" s="26">
        <v>0.12970000000000001</v>
      </c>
      <c r="F29240" s="26">
        <v>9.3100000000000002E-2</v>
      </c>
      <c r="G29240" s="26">
        <v>0.1182</v>
      </c>
      <c r="H29240" s="26">
        <v>4.1700000000000001E-2</v>
      </c>
      <c r="I29240" s="26">
        <v>7.7299999999999994E-2</v>
      </c>
      <c r="J29240" s="26">
        <v>4.9399999999999999E-2</v>
      </c>
      <c r="K29240" s="26">
        <v>2.9600000000000001E-2</v>
      </c>
      <c r="L29240" s="26">
        <v>4.7300000000000002E-2</v>
      </c>
      <c r="M29240" s="26">
        <v>5.4199999999999998E-2</v>
      </c>
      <c r="N29240" s="26">
        <v>3.95E-2</v>
      </c>
      <c r="O29240" s="26">
        <v>4.5600000000000002E-2</v>
      </c>
      <c r="P29240" s="26">
        <v>4.7899999999999998E-2</v>
      </c>
      <c r="Q29240" s="26">
        <v>9.1000000000000004E-3</v>
      </c>
      <c r="S29240">
        <v>203</v>
      </c>
    </row>
    <row r="29241" spans="1:19" x14ac:dyDescent="0.35">
      <c r="A29241" t="s">
        <v>228</v>
      </c>
      <c r="B29241" t="s">
        <v>1346</v>
      </c>
      <c r="C29241" s="26">
        <v>0.47420000000000001</v>
      </c>
      <c r="D29241" s="26">
        <v>0.35520000000000002</v>
      </c>
      <c r="E29241" s="26">
        <v>3.8899999999999997E-2</v>
      </c>
      <c r="F29241" s="26">
        <v>4.0599999999999997E-2</v>
      </c>
      <c r="G29241" s="26">
        <v>1.0999999999999999E-2</v>
      </c>
      <c r="H29241" s="26">
        <v>3.0700000000000002E-2</v>
      </c>
      <c r="I29241" s="26">
        <v>3.3099999999999997E-2</v>
      </c>
      <c r="J29241" s="26">
        <v>4.2799999999999998E-2</v>
      </c>
      <c r="K29241" s="26">
        <v>4.4000000000000003E-3</v>
      </c>
      <c r="L29241" s="26">
        <v>1.9E-3</v>
      </c>
      <c r="M29241" s="26">
        <v>2.24E-2</v>
      </c>
      <c r="O29241" s="26">
        <v>3.2000000000000002E-3</v>
      </c>
      <c r="P29241" s="26">
        <v>7.7999999999999996E-3</v>
      </c>
      <c r="Q29241" s="26">
        <v>8.9999999999999998E-4</v>
      </c>
      <c r="S29241">
        <v>286</v>
      </c>
    </row>
    <row r="29242" spans="1:19" x14ac:dyDescent="0.35">
      <c r="A29242" s="27" t="s">
        <v>228</v>
      </c>
      <c r="B29242" s="27" t="s">
        <v>1345</v>
      </c>
      <c r="C29242" s="28">
        <v>0.69120000000000004</v>
      </c>
      <c r="D29242" s="28">
        <v>8.0100000000000005E-2</v>
      </c>
      <c r="E29242" s="28">
        <v>5.45E-2</v>
      </c>
      <c r="F29242" s="28">
        <v>1.9300000000000001E-2</v>
      </c>
      <c r="G29242" s="29"/>
      <c r="H29242" s="29"/>
      <c r="I29242" s="28">
        <v>0.155</v>
      </c>
      <c r="J29242" s="29"/>
      <c r="K29242" s="29"/>
      <c r="L29242" s="29"/>
      <c r="M29242" s="29"/>
      <c r="N29242" s="29"/>
      <c r="O29242" s="29"/>
      <c r="P29242" s="29"/>
      <c r="Q29242" s="29"/>
      <c r="R29242" s="29"/>
      <c r="S29242" s="29" t="s">
        <v>352</v>
      </c>
    </row>
    <row r="29243" spans="1:19" x14ac:dyDescent="0.35">
      <c r="A29243" s="27" t="s">
        <v>229</v>
      </c>
      <c r="B29243" s="27" t="s">
        <v>1345</v>
      </c>
      <c r="C29243" s="28">
        <v>0.53969999999999996</v>
      </c>
      <c r="D29243" s="28">
        <v>3.0499999999999999E-2</v>
      </c>
      <c r="E29243" s="28">
        <v>3.2800000000000003E-2</v>
      </c>
      <c r="F29243" s="28">
        <v>0.219</v>
      </c>
      <c r="G29243" s="28">
        <v>0.1007</v>
      </c>
      <c r="H29243" s="28">
        <v>9.8400000000000001E-2</v>
      </c>
      <c r="I29243" s="28">
        <v>1.54E-2</v>
      </c>
      <c r="J29243" s="28">
        <v>9.8400000000000001E-2</v>
      </c>
      <c r="K29243" s="28">
        <v>0.1125</v>
      </c>
      <c r="L29243" s="28">
        <v>6.0000000000000001E-3</v>
      </c>
      <c r="M29243" s="29"/>
      <c r="N29243" s="28">
        <v>0.1101</v>
      </c>
      <c r="O29243" s="28">
        <v>3.3999999999999998E-3</v>
      </c>
      <c r="P29243" s="29"/>
      <c r="Q29243" s="29"/>
      <c r="R29243" s="29"/>
      <c r="S29243" s="29" t="s">
        <v>357</v>
      </c>
    </row>
    <row r="29244" spans="1:19" x14ac:dyDescent="0.35">
      <c r="A29244" t="s">
        <v>229</v>
      </c>
      <c r="B29244" t="s">
        <v>1346</v>
      </c>
      <c r="C29244" s="26">
        <v>0.39550000000000002</v>
      </c>
      <c r="D29244" s="26">
        <v>0.44379999999999997</v>
      </c>
      <c r="E29244" s="26">
        <v>3.3300000000000003E-2</v>
      </c>
      <c r="F29244" s="26">
        <v>4.58E-2</v>
      </c>
      <c r="G29244" s="26">
        <v>2.1299999999999999E-2</v>
      </c>
      <c r="H29244" s="26">
        <v>3.7000000000000002E-3</v>
      </c>
      <c r="I29244" s="26">
        <v>8.8000000000000005E-3</v>
      </c>
      <c r="J29244" s="26">
        <v>1.89E-2</v>
      </c>
      <c r="K29244" s="26">
        <v>2.3999999999999998E-3</v>
      </c>
      <c r="L29244" s="26">
        <v>1.37E-2</v>
      </c>
      <c r="M29244" s="26">
        <v>3.2000000000000002E-3</v>
      </c>
      <c r="N29244" s="26">
        <v>4.7999999999999996E-3</v>
      </c>
      <c r="O29244" s="26">
        <v>2.3999999999999998E-3</v>
      </c>
      <c r="P29244" s="26">
        <v>2.7300000000000001E-2</v>
      </c>
      <c r="Q29244" s="26">
        <v>3.2000000000000002E-3</v>
      </c>
      <c r="S29244">
        <v>183</v>
      </c>
    </row>
    <row r="29245" spans="1:19" x14ac:dyDescent="0.35">
      <c r="A29245" t="s">
        <v>229</v>
      </c>
      <c r="B29245" t="s">
        <v>1347</v>
      </c>
      <c r="C29245" s="26">
        <v>0.4027</v>
      </c>
      <c r="D29245" s="26">
        <v>0.27210000000000001</v>
      </c>
      <c r="E29245" s="26">
        <v>0.1268</v>
      </c>
      <c r="F29245" s="26">
        <v>4.9299999999999997E-2</v>
      </c>
      <c r="G29245" s="26">
        <v>0.13009999999999999</v>
      </c>
      <c r="H29245" s="26">
        <v>8.6400000000000005E-2</v>
      </c>
      <c r="I29245" s="26">
        <v>6.8099999999999994E-2</v>
      </c>
      <c r="J29245" s="26">
        <v>6.3E-2</v>
      </c>
      <c r="K29245" s="26">
        <v>4.9000000000000002E-2</v>
      </c>
      <c r="L29245" s="26">
        <v>4.07E-2</v>
      </c>
      <c r="M29245" s="26">
        <v>7.7600000000000002E-2</v>
      </c>
      <c r="N29245" s="26">
        <v>8.9300000000000004E-2</v>
      </c>
      <c r="O29245" s="26">
        <v>4.3200000000000002E-2</v>
      </c>
      <c r="P29245" s="26">
        <v>2.3699999999999999E-2</v>
      </c>
      <c r="Q29245" s="26">
        <v>2E-3</v>
      </c>
      <c r="S29245">
        <v>301</v>
      </c>
    </row>
    <row r="29246" spans="1:19" x14ac:dyDescent="0.35">
      <c r="A29246" t="s">
        <v>229</v>
      </c>
      <c r="B29246" t="s">
        <v>1348</v>
      </c>
      <c r="C29246" s="26">
        <v>0.44590000000000002</v>
      </c>
      <c r="D29246" s="26">
        <v>0.3468</v>
      </c>
      <c r="E29246" s="26">
        <v>9.6000000000000002E-2</v>
      </c>
      <c r="F29246" s="26">
        <v>7.8899999999999998E-2</v>
      </c>
      <c r="G29246" s="26">
        <v>6.54E-2</v>
      </c>
      <c r="H29246" s="26">
        <v>5.7200000000000001E-2</v>
      </c>
      <c r="I29246" s="26">
        <v>5.2400000000000002E-2</v>
      </c>
      <c r="J29246" s="26">
        <v>5.3100000000000001E-2</v>
      </c>
      <c r="K29246" s="26">
        <v>5.1799999999999999E-2</v>
      </c>
      <c r="L29246" s="26">
        <v>4.8899999999999999E-2</v>
      </c>
      <c r="M29246" s="26">
        <v>2.9399999999999999E-2</v>
      </c>
      <c r="N29246" s="26">
        <v>2.2499999999999999E-2</v>
      </c>
      <c r="O29246" s="26">
        <v>2.7099999999999999E-2</v>
      </c>
      <c r="P29246" s="26">
        <v>2.9000000000000001E-2</v>
      </c>
      <c r="Q29246" s="26">
        <v>1.1000000000000001E-3</v>
      </c>
      <c r="R29246" s="26">
        <v>5.4000000000000003E-3</v>
      </c>
      <c r="S29246">
        <v>383</v>
      </c>
    </row>
    <row r="29247" spans="1:19" x14ac:dyDescent="0.35">
      <c r="A29247" t="s">
        <v>230</v>
      </c>
      <c r="B29247" t="s">
        <v>1346</v>
      </c>
      <c r="C29247" s="26">
        <v>0.32800000000000001</v>
      </c>
      <c r="D29247" s="26">
        <v>0.50519999999999998</v>
      </c>
      <c r="E29247" s="26">
        <v>2.8799999999999999E-2</v>
      </c>
      <c r="F29247" s="26">
        <v>8.8999999999999996E-2</v>
      </c>
      <c r="G29247" s="26">
        <v>2.47E-2</v>
      </c>
      <c r="H29247" s="26">
        <v>3.1399999999999997E-2</v>
      </c>
      <c r="I29247" s="26">
        <v>1.23E-2</v>
      </c>
      <c r="J29247" s="26">
        <v>1.6E-2</v>
      </c>
      <c r="K29247" s="26">
        <v>1.23E-2</v>
      </c>
      <c r="L29247" s="26">
        <v>4.1999999999999997E-3</v>
      </c>
      <c r="M29247" s="26">
        <v>1.2200000000000001E-2</v>
      </c>
      <c r="O29247" s="26">
        <v>3.0200000000000001E-2</v>
      </c>
      <c r="P29247" s="26">
        <v>1.35E-2</v>
      </c>
      <c r="Q29247" s="26">
        <v>8.2000000000000007E-3</v>
      </c>
      <c r="S29247">
        <v>140</v>
      </c>
    </row>
    <row r="29248" spans="1:19" x14ac:dyDescent="0.35">
      <c r="A29248" t="s">
        <v>230</v>
      </c>
      <c r="B29248" t="s">
        <v>1348</v>
      </c>
      <c r="C29248" s="26">
        <v>0.48270000000000002</v>
      </c>
      <c r="D29248" s="26">
        <v>0.29189999999999999</v>
      </c>
      <c r="E29248" s="26">
        <v>7.3700000000000002E-2</v>
      </c>
      <c r="F29248" s="26">
        <v>5.4699999999999999E-2</v>
      </c>
      <c r="G29248" s="26">
        <v>7.7499999999999999E-2</v>
      </c>
      <c r="H29248" s="26">
        <v>0.03</v>
      </c>
      <c r="I29248" s="26">
        <v>4.1000000000000002E-2</v>
      </c>
      <c r="J29248" s="26">
        <v>4.0399999999999998E-2</v>
      </c>
      <c r="K29248" s="26">
        <v>1.83E-2</v>
      </c>
      <c r="L29248" s="26">
        <v>4.3E-3</v>
      </c>
      <c r="M29248" s="26">
        <v>3.8600000000000002E-2</v>
      </c>
      <c r="N29248" s="26">
        <v>5.4000000000000003E-3</v>
      </c>
      <c r="O29248" s="26">
        <v>4.3700000000000003E-2</v>
      </c>
      <c r="P29248" s="26">
        <v>8.8999999999999999E-3</v>
      </c>
      <c r="Q29248" s="26">
        <v>1.8E-3</v>
      </c>
      <c r="S29248">
        <v>259</v>
      </c>
    </row>
    <row r="29249" spans="1:20" x14ac:dyDescent="0.35">
      <c r="A29249" t="s">
        <v>230</v>
      </c>
      <c r="B29249" t="s">
        <v>1347</v>
      </c>
      <c r="C29249" s="26">
        <v>0.43109999999999998</v>
      </c>
      <c r="D29249" s="26">
        <v>0.2288</v>
      </c>
      <c r="E29249" s="26">
        <v>0.1249</v>
      </c>
      <c r="F29249" s="26">
        <v>8.0100000000000005E-2</v>
      </c>
      <c r="G29249" s="26">
        <v>0.16070000000000001</v>
      </c>
      <c r="H29249" s="26">
        <v>8.9800000000000005E-2</v>
      </c>
      <c r="I29249" s="26">
        <v>9.0999999999999998E-2</v>
      </c>
      <c r="J29249" s="26">
        <v>8.5599999999999996E-2</v>
      </c>
      <c r="K29249" s="26">
        <v>9.2899999999999996E-2</v>
      </c>
      <c r="L29249" s="26">
        <v>0.11260000000000001</v>
      </c>
      <c r="M29249" s="26">
        <v>0.10730000000000001</v>
      </c>
      <c r="N29249" s="26">
        <v>6.1100000000000002E-2</v>
      </c>
      <c r="O29249" s="26">
        <v>9.11E-2</v>
      </c>
      <c r="P29249" s="26">
        <v>6.3100000000000003E-2</v>
      </c>
      <c r="Q29249" s="26">
        <v>3.3E-3</v>
      </c>
      <c r="S29249">
        <v>153</v>
      </c>
    </row>
    <row r="29250" spans="1:20" x14ac:dyDescent="0.35">
      <c r="A29250" s="27" t="s">
        <v>230</v>
      </c>
      <c r="B29250" s="27" t="s">
        <v>1345</v>
      </c>
      <c r="C29250" s="28">
        <v>0.32690000000000002</v>
      </c>
      <c r="D29250" s="28">
        <v>0.1351</v>
      </c>
      <c r="E29250" s="29"/>
      <c r="F29250" s="28">
        <v>0.26900000000000002</v>
      </c>
      <c r="G29250" s="29"/>
      <c r="H29250" s="29"/>
      <c r="I29250" s="29"/>
      <c r="J29250" s="29"/>
      <c r="K29250" s="29"/>
      <c r="L29250" s="29"/>
      <c r="M29250" s="29"/>
      <c r="N29250" s="28">
        <v>0.26900000000000002</v>
      </c>
      <c r="O29250" s="29"/>
      <c r="P29250" s="29"/>
      <c r="Q29250" s="29"/>
      <c r="R29250" s="29"/>
      <c r="S29250" s="29" t="s">
        <v>333</v>
      </c>
    </row>
    <row r="29251" spans="1:20" x14ac:dyDescent="0.35">
      <c r="A29251" s="27" t="s">
        <v>231</v>
      </c>
      <c r="B29251" s="27" t="s">
        <v>1345</v>
      </c>
      <c r="C29251" s="28">
        <v>1</v>
      </c>
      <c r="D29251" s="29"/>
      <c r="E29251" s="29"/>
      <c r="F29251" s="29"/>
      <c r="G29251" s="29"/>
      <c r="H29251" s="29"/>
      <c r="I29251" s="29"/>
      <c r="J29251" s="29"/>
      <c r="K29251" s="29"/>
      <c r="L29251" s="29"/>
      <c r="M29251" s="29"/>
      <c r="N29251" s="29"/>
      <c r="O29251" s="29"/>
      <c r="P29251" s="29"/>
      <c r="Q29251" s="29"/>
      <c r="R29251" s="29"/>
      <c r="S29251" s="29" t="s">
        <v>337</v>
      </c>
    </row>
    <row r="29252" spans="1:20" x14ac:dyDescent="0.35">
      <c r="A29252" t="s">
        <v>231</v>
      </c>
      <c r="B29252" t="s">
        <v>1346</v>
      </c>
      <c r="C29252" s="26">
        <v>0.47499999999999998</v>
      </c>
      <c r="D29252" s="26">
        <v>0.42499999999999999</v>
      </c>
      <c r="F29252" s="26">
        <v>7.4999999999999997E-2</v>
      </c>
      <c r="H29252" s="26">
        <v>2.5000000000000001E-2</v>
      </c>
      <c r="I29252" s="26">
        <v>2.5000000000000001E-2</v>
      </c>
      <c r="J29252" s="26">
        <v>2.5000000000000001E-2</v>
      </c>
      <c r="S29252">
        <v>40</v>
      </c>
    </row>
    <row r="29253" spans="1:20" x14ac:dyDescent="0.35">
      <c r="A29253" t="s">
        <v>231</v>
      </c>
      <c r="B29253" t="s">
        <v>1347</v>
      </c>
      <c r="C29253" s="26">
        <v>0.55879999999999996</v>
      </c>
      <c r="D29253" s="26">
        <v>0.17649999999999999</v>
      </c>
      <c r="E29253" s="26">
        <v>0.14710000000000001</v>
      </c>
      <c r="F29253" s="26">
        <v>2.9399999999999999E-2</v>
      </c>
      <c r="G29253" s="26">
        <v>5.8799999999999998E-2</v>
      </c>
      <c r="I29253" s="26">
        <v>2.9399999999999999E-2</v>
      </c>
      <c r="K29253" s="26">
        <v>5.8799999999999998E-2</v>
      </c>
      <c r="L29253" s="26">
        <v>2.9399999999999999E-2</v>
      </c>
      <c r="M29253" s="26">
        <v>2.9399999999999999E-2</v>
      </c>
      <c r="N29253" s="26">
        <v>2.9399999999999999E-2</v>
      </c>
      <c r="S29253">
        <v>34</v>
      </c>
    </row>
    <row r="29254" spans="1:20" x14ac:dyDescent="0.35">
      <c r="A29254" t="s">
        <v>231</v>
      </c>
      <c r="B29254" t="s">
        <v>1348</v>
      </c>
      <c r="C29254" s="26">
        <v>0.45350000000000001</v>
      </c>
      <c r="D29254" s="26">
        <v>0.30230000000000001</v>
      </c>
      <c r="E29254" s="26">
        <v>0.1047</v>
      </c>
      <c r="F29254" s="26">
        <v>4.65E-2</v>
      </c>
      <c r="G29254" s="26">
        <v>5.8099999999999999E-2</v>
      </c>
      <c r="H29254" s="26">
        <v>3.49E-2</v>
      </c>
      <c r="I29254" s="26">
        <v>4.65E-2</v>
      </c>
      <c r="J29254" s="26">
        <v>3.49E-2</v>
      </c>
      <c r="L29254" s="26">
        <v>2.3300000000000001E-2</v>
      </c>
      <c r="M29254" s="26">
        <v>1.1599999999999999E-2</v>
      </c>
      <c r="N29254" s="26">
        <v>1.1599999999999999E-2</v>
      </c>
      <c r="O29254" s="26">
        <v>2.3300000000000001E-2</v>
      </c>
      <c r="P29254" s="26">
        <v>3.49E-2</v>
      </c>
      <c r="Q29254" s="26">
        <v>1.1599999999999999E-2</v>
      </c>
      <c r="S29254">
        <v>86</v>
      </c>
    </row>
    <row r="29255" spans="1:20" x14ac:dyDescent="0.35">
      <c r="A29255" t="s">
        <v>232</v>
      </c>
      <c r="B29255" t="s">
        <v>232</v>
      </c>
      <c r="C29255" s="26">
        <v>0.45500000000000002</v>
      </c>
      <c r="D29255" s="26">
        <v>0.31719999999999998</v>
      </c>
      <c r="E29255" s="26">
        <v>8.2000000000000003E-2</v>
      </c>
      <c r="F29255" s="26">
        <v>6.3500000000000001E-2</v>
      </c>
      <c r="G29255" s="26">
        <v>6.3E-2</v>
      </c>
      <c r="H29255" s="26">
        <v>4.1399999999999999E-2</v>
      </c>
      <c r="I29255" s="26">
        <v>4.0399999999999998E-2</v>
      </c>
      <c r="J29255" s="26">
        <v>3.9E-2</v>
      </c>
      <c r="K29255" s="26">
        <v>2.87E-2</v>
      </c>
      <c r="L29255" s="26">
        <v>2.8500000000000001E-2</v>
      </c>
      <c r="M29255" s="26">
        <v>2.8000000000000001E-2</v>
      </c>
      <c r="N29255" s="26">
        <v>2.6599999999999999E-2</v>
      </c>
      <c r="O29255" s="26">
        <v>2.5499999999999998E-2</v>
      </c>
      <c r="P29255" s="26">
        <v>2.0199999999999999E-2</v>
      </c>
      <c r="Q29255" s="26">
        <v>3.8999999999999998E-3</v>
      </c>
      <c r="R29255" s="26">
        <v>8.9999999999999998E-4</v>
      </c>
      <c r="S29255">
        <v>2810</v>
      </c>
    </row>
    <row r="29257" spans="1:20" x14ac:dyDescent="0.35">
      <c r="A29257" s="1" t="s">
        <v>2618</v>
      </c>
    </row>
    <row r="29258" spans="1:20" x14ac:dyDescent="0.35">
      <c r="A29258" t="s">
        <v>219</v>
      </c>
      <c r="B29258" t="s">
        <v>305</v>
      </c>
      <c r="C29258" t="s">
        <v>345</v>
      </c>
      <c r="D29258" t="s">
        <v>550</v>
      </c>
      <c r="E29258" t="s">
        <v>281</v>
      </c>
      <c r="F29258" t="s">
        <v>2593</v>
      </c>
      <c r="G29258" t="s">
        <v>2594</v>
      </c>
      <c r="H29258" t="s">
        <v>2595</v>
      </c>
      <c r="I29258" t="s">
        <v>2596</v>
      </c>
      <c r="J29258" t="s">
        <v>2597</v>
      </c>
      <c r="K29258" t="s">
        <v>2598</v>
      </c>
      <c r="L29258" t="s">
        <v>2599</v>
      </c>
      <c r="M29258" t="s">
        <v>2600</v>
      </c>
      <c r="N29258" t="s">
        <v>2601</v>
      </c>
      <c r="O29258" t="s">
        <v>2602</v>
      </c>
      <c r="P29258" t="s">
        <v>2603</v>
      </c>
      <c r="Q29258" t="s">
        <v>2604</v>
      </c>
      <c r="R29258" t="s">
        <v>2026</v>
      </c>
      <c r="S29258" t="s">
        <v>326</v>
      </c>
      <c r="T29258" t="s">
        <v>226</v>
      </c>
    </row>
    <row r="29259" spans="1:20" x14ac:dyDescent="0.35">
      <c r="A29259" s="27" t="s">
        <v>227</v>
      </c>
      <c r="B29259" s="27" t="s">
        <v>1341</v>
      </c>
      <c r="C29259" s="27" t="s">
        <v>1345</v>
      </c>
      <c r="D29259" s="28">
        <v>1</v>
      </c>
      <c r="E29259" s="29"/>
      <c r="F29259" s="29"/>
      <c r="G29259" s="29"/>
      <c r="H29259" s="29"/>
      <c r="I29259" s="29"/>
      <c r="J29259" s="29"/>
      <c r="K29259" s="29"/>
      <c r="L29259" s="29"/>
      <c r="M29259" s="29"/>
      <c r="N29259" s="29"/>
      <c r="O29259" s="29"/>
      <c r="P29259" s="29"/>
      <c r="Q29259" s="29"/>
      <c r="R29259" s="29"/>
      <c r="S29259" s="29"/>
      <c r="T29259" s="29" t="s">
        <v>331</v>
      </c>
    </row>
    <row r="29260" spans="1:20" x14ac:dyDescent="0.35">
      <c r="A29260" s="27" t="s">
        <v>227</v>
      </c>
      <c r="B29260" s="27" t="s">
        <v>1343</v>
      </c>
      <c r="C29260" s="27" t="s">
        <v>1346</v>
      </c>
      <c r="D29260" s="28">
        <v>0.34620000000000001</v>
      </c>
      <c r="E29260" s="28">
        <v>0.53849999999999998</v>
      </c>
      <c r="F29260" s="29"/>
      <c r="G29260" s="28">
        <v>3.85E-2</v>
      </c>
      <c r="H29260" s="28">
        <v>3.85E-2</v>
      </c>
      <c r="I29260" s="29"/>
      <c r="J29260" s="29"/>
      <c r="K29260" s="28">
        <v>3.85E-2</v>
      </c>
      <c r="L29260" s="29"/>
      <c r="M29260" s="29"/>
      <c r="N29260" s="29"/>
      <c r="O29260" s="29"/>
      <c r="P29260" s="29"/>
      <c r="Q29260" s="29"/>
      <c r="R29260" s="29"/>
      <c r="S29260" s="29"/>
      <c r="T29260" s="29" t="s">
        <v>357</v>
      </c>
    </row>
    <row r="29261" spans="1:20" x14ac:dyDescent="0.35">
      <c r="A29261" t="s">
        <v>227</v>
      </c>
      <c r="B29261" t="s">
        <v>1343</v>
      </c>
      <c r="C29261" t="s">
        <v>1348</v>
      </c>
      <c r="D29261" s="26">
        <v>0.49180000000000001</v>
      </c>
      <c r="E29261" s="26">
        <v>0.26229999999999998</v>
      </c>
      <c r="F29261" s="26">
        <v>8.2000000000000003E-2</v>
      </c>
      <c r="G29261" s="26">
        <v>9.8400000000000001E-2</v>
      </c>
      <c r="H29261" s="26">
        <v>4.9200000000000001E-2</v>
      </c>
      <c r="I29261" s="26">
        <v>6.5600000000000006E-2</v>
      </c>
      <c r="J29261" s="26">
        <v>4.9200000000000001E-2</v>
      </c>
      <c r="K29261" s="26">
        <v>6.5600000000000006E-2</v>
      </c>
      <c r="L29261" s="26">
        <v>3.2800000000000003E-2</v>
      </c>
      <c r="M29261" s="26">
        <v>6.5600000000000006E-2</v>
      </c>
      <c r="N29261" s="26">
        <v>3.2800000000000003E-2</v>
      </c>
      <c r="O29261" s="26">
        <v>8.2000000000000003E-2</v>
      </c>
      <c r="P29261" s="26">
        <v>3.2800000000000003E-2</v>
      </c>
      <c r="Q29261" s="26">
        <v>1.6400000000000001E-2</v>
      </c>
      <c r="T29261">
        <v>61</v>
      </c>
    </row>
    <row r="29262" spans="1:20" x14ac:dyDescent="0.35">
      <c r="A29262" s="27" t="s">
        <v>227</v>
      </c>
      <c r="B29262" s="27" t="s">
        <v>1341</v>
      </c>
      <c r="C29262" s="27" t="s">
        <v>1347</v>
      </c>
      <c r="D29262" s="28">
        <v>0.53849999999999998</v>
      </c>
      <c r="E29262" s="28">
        <v>0.30769999999999997</v>
      </c>
      <c r="F29262" s="28">
        <v>7.6899999999999996E-2</v>
      </c>
      <c r="G29262" s="28">
        <v>7.6899999999999996E-2</v>
      </c>
      <c r="H29262" s="29"/>
      <c r="I29262" s="29"/>
      <c r="J29262" s="29"/>
      <c r="K29262" s="29"/>
      <c r="L29262" s="29"/>
      <c r="M29262" s="29"/>
      <c r="N29262" s="29"/>
      <c r="O29262" s="29"/>
      <c r="P29262" s="29"/>
      <c r="Q29262" s="29"/>
      <c r="R29262" s="29"/>
      <c r="S29262" s="29"/>
      <c r="T29262" s="29" t="s">
        <v>341</v>
      </c>
    </row>
    <row r="29263" spans="1:20" x14ac:dyDescent="0.35">
      <c r="A29263" s="27" t="s">
        <v>227</v>
      </c>
      <c r="B29263" s="27" t="s">
        <v>1343</v>
      </c>
      <c r="C29263" s="27" t="s">
        <v>1347</v>
      </c>
      <c r="D29263" s="28">
        <v>0.4783</v>
      </c>
      <c r="E29263" s="28">
        <v>0.13039999999999999</v>
      </c>
      <c r="F29263" s="28">
        <v>0.21740000000000001</v>
      </c>
      <c r="G29263" s="28">
        <v>8.6999999999999994E-2</v>
      </c>
      <c r="H29263" s="28">
        <v>0.13039999999999999</v>
      </c>
      <c r="I29263" s="28">
        <v>8.6999999999999994E-2</v>
      </c>
      <c r="J29263" s="28">
        <v>4.3499999999999997E-2</v>
      </c>
      <c r="K29263" s="28">
        <v>4.3499999999999997E-2</v>
      </c>
      <c r="L29263" s="28">
        <v>4.3499999999999997E-2</v>
      </c>
      <c r="M29263" s="28">
        <v>4.3499999999999997E-2</v>
      </c>
      <c r="N29263" s="28">
        <v>4.3499999999999997E-2</v>
      </c>
      <c r="O29263" s="28">
        <v>8.6999999999999994E-2</v>
      </c>
      <c r="P29263" s="28">
        <v>8.6999999999999994E-2</v>
      </c>
      <c r="Q29263" s="28">
        <v>4.3499999999999997E-2</v>
      </c>
      <c r="R29263" s="29"/>
      <c r="S29263" s="29"/>
      <c r="T29263" s="29" t="s">
        <v>328</v>
      </c>
    </row>
    <row r="29264" spans="1:20" x14ac:dyDescent="0.35">
      <c r="A29264" s="27" t="s">
        <v>227</v>
      </c>
      <c r="B29264" s="27" t="s">
        <v>1343</v>
      </c>
      <c r="C29264" s="27" t="s">
        <v>1345</v>
      </c>
      <c r="D29264" s="28">
        <v>1</v>
      </c>
      <c r="E29264" s="29"/>
      <c r="F29264" s="29"/>
      <c r="G29264" s="29"/>
      <c r="H29264" s="29"/>
      <c r="I29264" s="29"/>
      <c r="J29264" s="29"/>
      <c r="K29264" s="29"/>
      <c r="L29264" s="29"/>
      <c r="M29264" s="29"/>
      <c r="N29264" s="29"/>
      <c r="O29264" s="29"/>
      <c r="P29264" s="29"/>
      <c r="Q29264" s="29"/>
      <c r="R29264" s="29"/>
      <c r="S29264" s="29"/>
      <c r="T29264" s="29" t="s">
        <v>331</v>
      </c>
    </row>
    <row r="29265" spans="1:20" x14ac:dyDescent="0.35">
      <c r="A29265" s="27" t="s">
        <v>227</v>
      </c>
      <c r="B29265" s="27" t="s">
        <v>1342</v>
      </c>
      <c r="C29265" s="27" t="s">
        <v>1348</v>
      </c>
      <c r="D29265" s="29"/>
      <c r="E29265" s="29"/>
      <c r="F29265" s="29"/>
      <c r="G29265" s="29"/>
      <c r="H29265" s="28">
        <v>1</v>
      </c>
      <c r="I29265" s="29"/>
      <c r="J29265" s="29"/>
      <c r="K29265" s="29"/>
      <c r="L29265" s="28">
        <v>1</v>
      </c>
      <c r="M29265" s="29"/>
      <c r="N29265" s="29"/>
      <c r="O29265" s="29"/>
      <c r="P29265" s="29"/>
      <c r="Q29265" s="29"/>
      <c r="R29265" s="29"/>
      <c r="S29265" s="29"/>
      <c r="T29265" s="29" t="s">
        <v>331</v>
      </c>
    </row>
    <row r="29266" spans="1:20" x14ac:dyDescent="0.35">
      <c r="A29266" s="27" t="s">
        <v>227</v>
      </c>
      <c r="B29266" s="27" t="s">
        <v>1341</v>
      </c>
      <c r="C29266" s="27" t="s">
        <v>1348</v>
      </c>
      <c r="D29266" s="28">
        <v>0.45450000000000002</v>
      </c>
      <c r="E29266" s="28">
        <v>0.2727</v>
      </c>
      <c r="F29266" s="29"/>
      <c r="G29266" s="28">
        <v>9.0899999999999995E-2</v>
      </c>
      <c r="H29266" s="28">
        <v>9.0899999999999995E-2</v>
      </c>
      <c r="I29266" s="28">
        <v>4.5499999999999999E-2</v>
      </c>
      <c r="J29266" s="29"/>
      <c r="K29266" s="29"/>
      <c r="L29266" s="28">
        <v>4.5499999999999999E-2</v>
      </c>
      <c r="M29266" s="28">
        <v>4.5499999999999999E-2</v>
      </c>
      <c r="N29266" s="28">
        <v>4.5499999999999999E-2</v>
      </c>
      <c r="O29266" s="29"/>
      <c r="P29266" s="28">
        <v>9.0899999999999995E-2</v>
      </c>
      <c r="Q29266" s="29"/>
      <c r="R29266" s="29"/>
      <c r="S29266" s="29"/>
      <c r="T29266" s="29" t="s">
        <v>347</v>
      </c>
    </row>
    <row r="29267" spans="1:20" x14ac:dyDescent="0.35">
      <c r="A29267" s="27" t="s">
        <v>227</v>
      </c>
      <c r="B29267" s="27" t="s">
        <v>1341</v>
      </c>
      <c r="C29267" s="27" t="s">
        <v>1346</v>
      </c>
      <c r="D29267" s="28">
        <v>0.30769999999999997</v>
      </c>
      <c r="E29267" s="28">
        <v>0.69230000000000003</v>
      </c>
      <c r="F29267" s="29"/>
      <c r="G29267" s="29"/>
      <c r="H29267" s="29"/>
      <c r="I29267" s="29"/>
      <c r="J29267" s="29"/>
      <c r="K29267" s="29"/>
      <c r="L29267" s="29"/>
      <c r="M29267" s="29"/>
      <c r="N29267" s="29"/>
      <c r="O29267" s="29"/>
      <c r="P29267" s="29"/>
      <c r="Q29267" s="29"/>
      <c r="R29267" s="29"/>
      <c r="S29267" s="29"/>
      <c r="T29267" s="29" t="s">
        <v>341</v>
      </c>
    </row>
    <row r="29268" spans="1:20" x14ac:dyDescent="0.35">
      <c r="A29268" t="s">
        <v>228</v>
      </c>
      <c r="B29268" t="s">
        <v>1343</v>
      </c>
      <c r="C29268" t="s">
        <v>1348</v>
      </c>
      <c r="D29268" s="26">
        <v>0.44900000000000001</v>
      </c>
      <c r="E29268" s="26">
        <v>0.26500000000000001</v>
      </c>
      <c r="F29268" s="26">
        <v>9.8599999999999993E-2</v>
      </c>
      <c r="G29268" s="26">
        <v>0.1043</v>
      </c>
      <c r="H29268" s="26">
        <v>6.9800000000000001E-2</v>
      </c>
      <c r="I29268" s="26">
        <v>5.0099999999999999E-2</v>
      </c>
      <c r="J29268" s="26">
        <v>3.27E-2</v>
      </c>
      <c r="K29268" s="26">
        <v>4.9700000000000001E-2</v>
      </c>
      <c r="L29268" s="26">
        <v>3.9E-2</v>
      </c>
      <c r="M29268" s="26">
        <v>0.02</v>
      </c>
      <c r="N29268" s="26">
        <v>2.3099999999999999E-2</v>
      </c>
      <c r="O29268" s="26">
        <v>1.6500000000000001E-2</v>
      </c>
      <c r="P29268" s="26">
        <v>3.15E-2</v>
      </c>
      <c r="Q29268" s="26">
        <v>1.67E-2</v>
      </c>
      <c r="R29268" s="26">
        <v>2.8E-3</v>
      </c>
      <c r="S29268" s="26">
        <v>2.5000000000000001E-3</v>
      </c>
      <c r="T29268">
        <v>352</v>
      </c>
    </row>
    <row r="29269" spans="1:20" x14ac:dyDescent="0.35">
      <c r="A29269" t="s">
        <v>228</v>
      </c>
      <c r="B29269" t="s">
        <v>1343</v>
      </c>
      <c r="C29269" t="s">
        <v>1347</v>
      </c>
      <c r="D29269" s="26">
        <v>0.48080000000000001</v>
      </c>
      <c r="E29269" s="26">
        <v>0.23569999999999999</v>
      </c>
      <c r="F29269" s="26">
        <v>0.1555</v>
      </c>
      <c r="G29269" s="26">
        <v>0.11849999999999999</v>
      </c>
      <c r="H29269" s="26">
        <v>0.14330000000000001</v>
      </c>
      <c r="I29269" s="26">
        <v>5.5800000000000002E-2</v>
      </c>
      <c r="J29269" s="26">
        <v>8.6099999999999996E-2</v>
      </c>
      <c r="K29269" s="26">
        <v>5.8000000000000003E-2</v>
      </c>
      <c r="L29269" s="26">
        <v>3.7699999999999997E-2</v>
      </c>
      <c r="M29269" s="26">
        <v>6.8900000000000003E-2</v>
      </c>
      <c r="N29269" s="26">
        <v>7.9100000000000004E-2</v>
      </c>
      <c r="O29269" s="26">
        <v>4.5999999999999999E-2</v>
      </c>
      <c r="P29269" s="26">
        <v>6.83E-2</v>
      </c>
      <c r="Q29269" s="26">
        <v>5.2299999999999999E-2</v>
      </c>
      <c r="T29269">
        <v>130</v>
      </c>
    </row>
    <row r="29270" spans="1:20" x14ac:dyDescent="0.35">
      <c r="A29270" s="27" t="s">
        <v>228</v>
      </c>
      <c r="B29270" s="27" t="s">
        <v>1343</v>
      </c>
      <c r="C29270" s="27" t="s">
        <v>1345</v>
      </c>
      <c r="D29270" s="28">
        <v>0.96350000000000002</v>
      </c>
      <c r="E29270" s="28">
        <v>3.6499999999999998E-2</v>
      </c>
      <c r="F29270" s="29"/>
      <c r="G29270" s="29"/>
      <c r="H29270" s="29"/>
      <c r="I29270" s="29"/>
      <c r="J29270" s="29"/>
      <c r="K29270" s="29"/>
      <c r="L29270" s="29"/>
      <c r="M29270" s="29"/>
      <c r="N29270" s="29"/>
      <c r="O29270" s="29"/>
      <c r="P29270" s="29"/>
      <c r="Q29270" s="29"/>
      <c r="R29270" s="29"/>
      <c r="S29270" s="29"/>
      <c r="T29270" s="29" t="s">
        <v>335</v>
      </c>
    </row>
    <row r="29271" spans="1:20" x14ac:dyDescent="0.35">
      <c r="A29271" t="s">
        <v>228</v>
      </c>
      <c r="B29271" t="s">
        <v>1341</v>
      </c>
      <c r="C29271" t="s">
        <v>1346</v>
      </c>
      <c r="D29271" s="26">
        <v>0.66700000000000004</v>
      </c>
      <c r="E29271" s="26">
        <v>0.24759999999999999</v>
      </c>
      <c r="F29271" s="26">
        <v>1.0200000000000001E-2</v>
      </c>
      <c r="G29271" s="26">
        <v>4.5999999999999999E-2</v>
      </c>
      <c r="H29271" s="26">
        <v>1.7100000000000001E-2</v>
      </c>
      <c r="I29271" s="26">
        <v>1.0200000000000001E-2</v>
      </c>
      <c r="L29271" s="26">
        <v>1.55E-2</v>
      </c>
      <c r="N29271" s="26">
        <v>1.7100000000000001E-2</v>
      </c>
      <c r="R29271" s="26">
        <v>6.8999999999999999E-3</v>
      </c>
      <c r="T29271">
        <v>47</v>
      </c>
    </row>
    <row r="29272" spans="1:20" x14ac:dyDescent="0.35">
      <c r="A29272" t="s">
        <v>228</v>
      </c>
      <c r="B29272" t="s">
        <v>1341</v>
      </c>
      <c r="C29272" t="s">
        <v>1348</v>
      </c>
      <c r="D29272" s="26">
        <v>0.38119999999999998</v>
      </c>
      <c r="E29272" s="26">
        <v>0.42759999999999998</v>
      </c>
      <c r="F29272" s="26">
        <v>4.8000000000000001E-2</v>
      </c>
      <c r="G29272" s="26">
        <v>7.4000000000000003E-3</v>
      </c>
      <c r="H29272" s="26">
        <v>6.2600000000000003E-2</v>
      </c>
      <c r="I29272" s="26">
        <v>3.8300000000000001E-2</v>
      </c>
      <c r="J29272" s="26">
        <v>3.7900000000000003E-2</v>
      </c>
      <c r="K29272" s="26">
        <v>1.9E-2</v>
      </c>
      <c r="L29272" s="26">
        <v>2.98E-2</v>
      </c>
      <c r="M29272" s="26">
        <v>1.77E-2</v>
      </c>
      <c r="N29272" s="26">
        <v>1.95E-2</v>
      </c>
      <c r="O29272" s="26">
        <v>1.2999999999999999E-3</v>
      </c>
      <c r="P29272" s="26">
        <v>2.5999999999999999E-3</v>
      </c>
      <c r="Q29272" s="26">
        <v>5.8999999999999999E-3</v>
      </c>
      <c r="R29272" s="26">
        <v>2.29E-2</v>
      </c>
      <c r="T29272">
        <v>179</v>
      </c>
    </row>
    <row r="29273" spans="1:20" x14ac:dyDescent="0.35">
      <c r="A29273" s="27" t="s">
        <v>228</v>
      </c>
      <c r="B29273" s="27" t="s">
        <v>1342</v>
      </c>
      <c r="C29273" s="27" t="s">
        <v>1348</v>
      </c>
      <c r="D29273" s="28">
        <v>1</v>
      </c>
      <c r="E29273" s="29"/>
      <c r="F29273" s="29"/>
      <c r="G29273" s="29"/>
      <c r="H29273" s="29"/>
      <c r="I29273" s="29"/>
      <c r="J29273" s="29"/>
      <c r="K29273" s="29"/>
      <c r="L29273" s="29"/>
      <c r="M29273" s="29"/>
      <c r="N29273" s="29"/>
      <c r="O29273" s="29"/>
      <c r="P29273" s="29"/>
      <c r="Q29273" s="29"/>
      <c r="R29273" s="29"/>
      <c r="S29273" s="29"/>
      <c r="T29273" s="29" t="s">
        <v>331</v>
      </c>
    </row>
    <row r="29274" spans="1:20" x14ac:dyDescent="0.35">
      <c r="A29274" t="s">
        <v>228</v>
      </c>
      <c r="B29274" t="s">
        <v>1343</v>
      </c>
      <c r="C29274" t="s">
        <v>1346</v>
      </c>
      <c r="D29274" s="26">
        <v>0.44400000000000001</v>
      </c>
      <c r="E29274" s="26">
        <v>0.37209999999999999</v>
      </c>
      <c r="F29274" s="26">
        <v>4.3499999999999997E-2</v>
      </c>
      <c r="G29274" s="26">
        <v>3.9800000000000002E-2</v>
      </c>
      <c r="H29274" s="26">
        <v>0.01</v>
      </c>
      <c r="I29274" s="26">
        <v>3.39E-2</v>
      </c>
      <c r="J29274" s="26">
        <v>3.8300000000000001E-2</v>
      </c>
      <c r="K29274" s="26">
        <v>4.9500000000000002E-2</v>
      </c>
      <c r="L29274" s="26">
        <v>2.7000000000000001E-3</v>
      </c>
      <c r="M29274" s="26">
        <v>2.2000000000000001E-3</v>
      </c>
      <c r="N29274" s="26">
        <v>2.3300000000000001E-2</v>
      </c>
      <c r="P29274" s="26">
        <v>3.7000000000000002E-3</v>
      </c>
      <c r="Q29274" s="26">
        <v>8.9999999999999993E-3</v>
      </c>
      <c r="T29274">
        <v>239</v>
      </c>
    </row>
    <row r="29275" spans="1:20" x14ac:dyDescent="0.35">
      <c r="A29275" t="s">
        <v>228</v>
      </c>
      <c r="B29275" t="s">
        <v>1341</v>
      </c>
      <c r="C29275" t="s">
        <v>1347</v>
      </c>
      <c r="D29275" s="26">
        <v>0.4874</v>
      </c>
      <c r="E29275" s="26">
        <v>0.27450000000000002</v>
      </c>
      <c r="F29275" s="26">
        <v>7.7899999999999997E-2</v>
      </c>
      <c r="G29275" s="26">
        <v>4.1799999999999997E-2</v>
      </c>
      <c r="H29275" s="26">
        <v>6.7599999999999993E-2</v>
      </c>
      <c r="I29275" s="26">
        <v>1.32E-2</v>
      </c>
      <c r="J29275" s="26">
        <v>5.9499999999999997E-2</v>
      </c>
      <c r="K29275" s="26">
        <v>3.2199999999999999E-2</v>
      </c>
      <c r="L29275" s="26">
        <v>1.32E-2</v>
      </c>
      <c r="M29275" s="26">
        <v>3.8999999999999998E-3</v>
      </c>
      <c r="N29275" s="26">
        <v>3.8999999999999998E-3</v>
      </c>
      <c r="O29275" s="26">
        <v>2.6499999999999999E-2</v>
      </c>
      <c r="Q29275" s="26">
        <v>3.9100000000000003E-2</v>
      </c>
      <c r="R29275" s="26">
        <v>2.7300000000000001E-2</v>
      </c>
      <c r="T29275">
        <v>73</v>
      </c>
    </row>
    <row r="29276" spans="1:20" x14ac:dyDescent="0.35">
      <c r="A29276" s="27" t="s">
        <v>228</v>
      </c>
      <c r="B29276" s="27" t="s">
        <v>1341</v>
      </c>
      <c r="C29276" s="27" t="s">
        <v>1345</v>
      </c>
      <c r="D29276" s="28">
        <v>5.5899999999999998E-2</v>
      </c>
      <c r="E29276" s="28">
        <v>0.1817</v>
      </c>
      <c r="F29276" s="28">
        <v>0.1817</v>
      </c>
      <c r="G29276" s="28">
        <v>6.4299999999999996E-2</v>
      </c>
      <c r="H29276" s="29"/>
      <c r="I29276" s="29"/>
      <c r="J29276" s="28">
        <v>0.51649999999999996</v>
      </c>
      <c r="K29276" s="29"/>
      <c r="L29276" s="29"/>
      <c r="M29276" s="29"/>
      <c r="N29276" s="29"/>
      <c r="O29276" s="29"/>
      <c r="P29276" s="29"/>
      <c r="Q29276" s="29"/>
      <c r="R29276" s="29"/>
      <c r="S29276" s="29"/>
      <c r="T29276" s="29" t="s">
        <v>332</v>
      </c>
    </row>
    <row r="29277" spans="1:20" x14ac:dyDescent="0.35">
      <c r="A29277" t="s">
        <v>229</v>
      </c>
      <c r="B29277" t="s">
        <v>1343</v>
      </c>
      <c r="C29277" t="s">
        <v>1348</v>
      </c>
      <c r="D29277" s="26">
        <v>0.50460000000000005</v>
      </c>
      <c r="E29277" s="26">
        <v>0.30120000000000002</v>
      </c>
      <c r="F29277" s="26">
        <v>7.3499999999999996E-2</v>
      </c>
      <c r="G29277" s="26">
        <v>6.5799999999999997E-2</v>
      </c>
      <c r="H29277" s="26">
        <v>4.1700000000000001E-2</v>
      </c>
      <c r="I29277" s="26">
        <v>4.8899999999999999E-2</v>
      </c>
      <c r="J29277" s="26">
        <v>5.1299999999999998E-2</v>
      </c>
      <c r="K29277" s="26">
        <v>4.4299999999999999E-2</v>
      </c>
      <c r="L29277" s="26">
        <v>4.0800000000000003E-2</v>
      </c>
      <c r="M29277" s="26">
        <v>2.9100000000000001E-2</v>
      </c>
      <c r="N29277" s="26">
        <v>1.6299999999999999E-2</v>
      </c>
      <c r="O29277" s="26">
        <v>1.4500000000000001E-2</v>
      </c>
      <c r="P29277" s="26">
        <v>1.4500000000000001E-2</v>
      </c>
      <c r="Q29277" s="26">
        <v>1.6899999999999998E-2</v>
      </c>
      <c r="R29277" s="26">
        <v>1.6000000000000001E-3</v>
      </c>
      <c r="T29277">
        <v>276</v>
      </c>
    </row>
    <row r="29278" spans="1:20" x14ac:dyDescent="0.35">
      <c r="A29278" t="s">
        <v>229</v>
      </c>
      <c r="B29278" t="s">
        <v>1341</v>
      </c>
      <c r="C29278" t="s">
        <v>1346</v>
      </c>
      <c r="D29278" s="26">
        <v>0.3372</v>
      </c>
      <c r="E29278" s="26">
        <v>0.64849999999999997</v>
      </c>
      <c r="H29278" s="26">
        <v>5.7000000000000002E-3</v>
      </c>
      <c r="I29278" s="26">
        <v>2.8999999999999998E-3</v>
      </c>
      <c r="J29278" s="26">
        <v>1.14E-2</v>
      </c>
      <c r="K29278" s="26">
        <v>5.7000000000000002E-3</v>
      </c>
      <c r="T29278">
        <v>53</v>
      </c>
    </row>
    <row r="29279" spans="1:20" x14ac:dyDescent="0.35">
      <c r="A29279" t="s">
        <v>229</v>
      </c>
      <c r="B29279" t="s">
        <v>1341</v>
      </c>
      <c r="C29279" t="s">
        <v>1347</v>
      </c>
      <c r="D29279" s="26">
        <v>0.41810000000000003</v>
      </c>
      <c r="E29279" s="26">
        <v>0.3654</v>
      </c>
      <c r="F29279" s="26">
        <v>8.7499999999999994E-2</v>
      </c>
      <c r="G29279" s="26">
        <v>3.2300000000000002E-2</v>
      </c>
      <c r="H29279" s="26">
        <v>0.1007</v>
      </c>
      <c r="I29279" s="26">
        <v>6.4799999999999996E-2</v>
      </c>
      <c r="J29279" s="26">
        <v>3.9699999999999999E-2</v>
      </c>
      <c r="K29279" s="26">
        <v>3.7499999999999999E-2</v>
      </c>
      <c r="L29279" s="26">
        <v>3.9699999999999999E-2</v>
      </c>
      <c r="M29279" s="26">
        <v>6.9500000000000006E-2</v>
      </c>
      <c r="N29279" s="26">
        <v>4.6100000000000002E-2</v>
      </c>
      <c r="O29279" s="26">
        <v>3.32E-2</v>
      </c>
      <c r="P29279" s="26">
        <v>9.7000000000000003E-3</v>
      </c>
      <c r="Q29279" s="26">
        <v>8.0000000000000002E-3</v>
      </c>
      <c r="R29279" s="26">
        <v>3.2000000000000002E-3</v>
      </c>
      <c r="T29279">
        <v>103</v>
      </c>
    </row>
    <row r="29280" spans="1:20" x14ac:dyDescent="0.35">
      <c r="A29280" t="s">
        <v>229</v>
      </c>
      <c r="B29280" t="s">
        <v>1343</v>
      </c>
      <c r="C29280" t="s">
        <v>1346</v>
      </c>
      <c r="D29280" s="26">
        <v>0.4178</v>
      </c>
      <c r="E29280" s="26">
        <v>0.36549999999999999</v>
      </c>
      <c r="F29280" s="26">
        <v>4.5999999999999999E-2</v>
      </c>
      <c r="G29280" s="26">
        <v>6.3299999999999995E-2</v>
      </c>
      <c r="H29280" s="26">
        <v>2.7300000000000001E-2</v>
      </c>
      <c r="I29280" s="26">
        <v>3.8999999999999998E-3</v>
      </c>
      <c r="J29280" s="26">
        <v>7.7999999999999996E-3</v>
      </c>
      <c r="K29280" s="26">
        <v>2.4E-2</v>
      </c>
      <c r="L29280" s="26">
        <v>3.3E-3</v>
      </c>
      <c r="M29280" s="26">
        <v>1.89E-2</v>
      </c>
      <c r="N29280" s="26">
        <v>4.4000000000000003E-3</v>
      </c>
      <c r="O29280" s="26">
        <v>6.6E-3</v>
      </c>
      <c r="P29280" s="26">
        <v>3.3E-3</v>
      </c>
      <c r="Q29280" s="26">
        <v>3.7699999999999997E-2</v>
      </c>
      <c r="R29280" s="26">
        <v>4.4000000000000003E-3</v>
      </c>
      <c r="T29280">
        <v>130</v>
      </c>
    </row>
    <row r="29281" spans="1:20" x14ac:dyDescent="0.35">
      <c r="A29281" t="s">
        <v>229</v>
      </c>
      <c r="B29281" t="s">
        <v>1343</v>
      </c>
      <c r="C29281" t="s">
        <v>1347</v>
      </c>
      <c r="D29281" s="26">
        <v>0.39439999999999997</v>
      </c>
      <c r="E29281" s="26">
        <v>0.22209999999999999</v>
      </c>
      <c r="F29281" s="26">
        <v>0.1479</v>
      </c>
      <c r="G29281" s="26">
        <v>5.8400000000000001E-2</v>
      </c>
      <c r="H29281" s="26">
        <v>0.1459</v>
      </c>
      <c r="I29281" s="26">
        <v>9.8000000000000004E-2</v>
      </c>
      <c r="J29281" s="26">
        <v>8.3299999999999999E-2</v>
      </c>
      <c r="K29281" s="26">
        <v>7.6700000000000004E-2</v>
      </c>
      <c r="L29281" s="26">
        <v>5.3999999999999999E-2</v>
      </c>
      <c r="M29281" s="26">
        <v>2.53E-2</v>
      </c>
      <c r="N29281" s="26">
        <v>9.4500000000000001E-2</v>
      </c>
      <c r="O29281" s="26">
        <v>0.11940000000000001</v>
      </c>
      <c r="P29281" s="26">
        <v>6.1199999999999997E-2</v>
      </c>
      <c r="Q29281" s="26">
        <v>3.2099999999999997E-2</v>
      </c>
      <c r="R29281" s="26">
        <v>1.4E-3</v>
      </c>
      <c r="T29281">
        <v>198</v>
      </c>
    </row>
    <row r="29282" spans="1:20" x14ac:dyDescent="0.35">
      <c r="A29282" s="27" t="s">
        <v>229</v>
      </c>
      <c r="B29282" s="27" t="s">
        <v>1341</v>
      </c>
      <c r="C29282" s="27" t="s">
        <v>1345</v>
      </c>
      <c r="D29282" s="28">
        <v>0.9768</v>
      </c>
      <c r="E29282" s="28">
        <v>8.3999999999999995E-3</v>
      </c>
      <c r="F29282" s="29"/>
      <c r="G29282" s="29"/>
      <c r="H29282" s="29"/>
      <c r="I29282" s="29"/>
      <c r="J29282" s="28">
        <v>1.49E-2</v>
      </c>
      <c r="K29282" s="29"/>
      <c r="L29282" s="29"/>
      <c r="M29282" s="29"/>
      <c r="N29282" s="29"/>
      <c r="O29282" s="29"/>
      <c r="P29282" s="29"/>
      <c r="Q29282" s="29"/>
      <c r="R29282" s="29"/>
      <c r="S29282" s="29"/>
      <c r="T29282" s="29" t="s">
        <v>334</v>
      </c>
    </row>
    <row r="29283" spans="1:20" x14ac:dyDescent="0.35">
      <c r="A29283" s="27" t="s">
        <v>229</v>
      </c>
      <c r="B29283" s="27" t="s">
        <v>1343</v>
      </c>
      <c r="C29283" s="27" t="s">
        <v>1345</v>
      </c>
      <c r="D29283" s="28">
        <v>0.24399999999999999</v>
      </c>
      <c r="E29283" s="28">
        <v>4.5400000000000003E-2</v>
      </c>
      <c r="F29283" s="28">
        <v>5.4899999999999997E-2</v>
      </c>
      <c r="G29283" s="28">
        <v>0.36720000000000003</v>
      </c>
      <c r="H29283" s="28">
        <v>0.16889999999999999</v>
      </c>
      <c r="I29283" s="28">
        <v>0.16500000000000001</v>
      </c>
      <c r="J29283" s="28">
        <v>1.5699999999999999E-2</v>
      </c>
      <c r="K29283" s="28">
        <v>0.16500000000000001</v>
      </c>
      <c r="L29283" s="28">
        <v>0.18859999999999999</v>
      </c>
      <c r="M29283" s="28">
        <v>1.01E-2</v>
      </c>
      <c r="N29283" s="29"/>
      <c r="O29283" s="28">
        <v>0.18459999999999999</v>
      </c>
      <c r="P29283" s="28">
        <v>5.7000000000000002E-3</v>
      </c>
      <c r="Q29283" s="29"/>
      <c r="R29283" s="29"/>
      <c r="S29283" s="29"/>
      <c r="T29283" s="29" t="s">
        <v>343</v>
      </c>
    </row>
    <row r="29284" spans="1:20" x14ac:dyDescent="0.35">
      <c r="A29284" t="s">
        <v>229</v>
      </c>
      <c r="B29284" t="s">
        <v>1341</v>
      </c>
      <c r="C29284" t="s">
        <v>1348</v>
      </c>
      <c r="D29284" s="26">
        <v>0.32790000000000002</v>
      </c>
      <c r="E29284" s="26">
        <v>0.43859999999999999</v>
      </c>
      <c r="F29284" s="26">
        <v>0.14119999999999999</v>
      </c>
      <c r="G29284" s="26">
        <v>0.1053</v>
      </c>
      <c r="H29284" s="26">
        <v>0.1132</v>
      </c>
      <c r="I29284" s="26">
        <v>7.3999999999999996E-2</v>
      </c>
      <c r="J29284" s="26">
        <v>5.4699999999999999E-2</v>
      </c>
      <c r="K29284" s="26">
        <v>7.0800000000000002E-2</v>
      </c>
      <c r="L29284" s="26">
        <v>7.3999999999999996E-2</v>
      </c>
      <c r="M29284" s="26">
        <v>8.8599999999999998E-2</v>
      </c>
      <c r="N29284" s="26">
        <v>5.5899999999999998E-2</v>
      </c>
      <c r="O29284" s="26">
        <v>3.8600000000000002E-2</v>
      </c>
      <c r="P29284" s="26">
        <v>5.2600000000000001E-2</v>
      </c>
      <c r="Q29284" s="26">
        <v>5.3199999999999997E-2</v>
      </c>
      <c r="S29284" s="26">
        <v>1.61E-2</v>
      </c>
      <c r="T29284">
        <v>107</v>
      </c>
    </row>
    <row r="29285" spans="1:20" x14ac:dyDescent="0.35">
      <c r="A29285" t="s">
        <v>230</v>
      </c>
      <c r="B29285" t="s">
        <v>1343</v>
      </c>
      <c r="C29285" t="s">
        <v>1346</v>
      </c>
      <c r="D29285" s="26">
        <v>0.33329999999999999</v>
      </c>
      <c r="E29285" s="26">
        <v>0.4461</v>
      </c>
      <c r="F29285" s="26">
        <v>4.07E-2</v>
      </c>
      <c r="G29285" s="26">
        <v>0.1182</v>
      </c>
      <c r="H29285" s="26">
        <v>3.49E-2</v>
      </c>
      <c r="I29285" s="26">
        <v>4.2599999999999999E-2</v>
      </c>
      <c r="J29285" s="26">
        <v>1.7399999999999999E-2</v>
      </c>
      <c r="K29285" s="26">
        <v>1.9E-2</v>
      </c>
      <c r="L29285" s="26">
        <v>1.7399999999999999E-2</v>
      </c>
      <c r="M29285" s="26">
        <v>5.8999999999999999E-3</v>
      </c>
      <c r="N29285" s="26">
        <v>1.7299999999999999E-2</v>
      </c>
      <c r="P29285" s="26">
        <v>4.2599999999999999E-2</v>
      </c>
      <c r="Q29285" s="26">
        <v>1.3299999999999999E-2</v>
      </c>
      <c r="R29285" s="26">
        <v>1.1599999999999999E-2</v>
      </c>
      <c r="T29285">
        <v>110</v>
      </c>
    </row>
    <row r="29286" spans="1:20" x14ac:dyDescent="0.35">
      <c r="A29286" s="27" t="s">
        <v>230</v>
      </c>
      <c r="B29286" s="27" t="s">
        <v>1341</v>
      </c>
      <c r="C29286" s="27" t="s">
        <v>1345</v>
      </c>
      <c r="D29286" s="28">
        <v>0.42849999999999999</v>
      </c>
      <c r="E29286" s="28">
        <v>0.1429</v>
      </c>
      <c r="F29286" s="29"/>
      <c r="G29286" s="29"/>
      <c r="H29286" s="29"/>
      <c r="I29286" s="29"/>
      <c r="J29286" s="29"/>
      <c r="K29286" s="29"/>
      <c r="L29286" s="29"/>
      <c r="M29286" s="29"/>
      <c r="N29286" s="29"/>
      <c r="O29286" s="28">
        <v>0.42849999999999999</v>
      </c>
      <c r="P29286" s="29"/>
      <c r="Q29286" s="29"/>
      <c r="R29286" s="29"/>
      <c r="S29286" s="29"/>
      <c r="T29286" s="29" t="s">
        <v>337</v>
      </c>
    </row>
    <row r="29287" spans="1:20" x14ac:dyDescent="0.35">
      <c r="A29287" t="s">
        <v>230</v>
      </c>
      <c r="B29287" t="s">
        <v>1343</v>
      </c>
      <c r="C29287" t="s">
        <v>1348</v>
      </c>
      <c r="D29287" s="26">
        <v>0.53490000000000004</v>
      </c>
      <c r="E29287" s="26">
        <v>0.21360000000000001</v>
      </c>
      <c r="F29287" s="26">
        <v>9.6199999999999994E-2</v>
      </c>
      <c r="G29287" s="26">
        <v>5.2400000000000002E-2</v>
      </c>
      <c r="H29287" s="26">
        <v>8.8499999999999995E-2</v>
      </c>
      <c r="I29287" s="26">
        <v>3.78E-2</v>
      </c>
      <c r="J29287" s="26">
        <v>5.2299999999999999E-2</v>
      </c>
      <c r="K29287" s="26">
        <v>5.16E-2</v>
      </c>
      <c r="L29287" s="26">
        <v>2.2200000000000001E-2</v>
      </c>
      <c r="M29287" s="26">
        <v>2.5999999999999999E-3</v>
      </c>
      <c r="N29287" s="26">
        <v>3.1600000000000003E-2</v>
      </c>
      <c r="O29287" s="26">
        <v>3.3E-3</v>
      </c>
      <c r="P29287" s="26">
        <v>5.7700000000000001E-2</v>
      </c>
      <c r="Q29287" s="26">
        <v>8.3000000000000001E-3</v>
      </c>
      <c r="R29287" s="26">
        <v>2.5999999999999999E-3</v>
      </c>
      <c r="T29287">
        <v>184</v>
      </c>
    </row>
    <row r="29288" spans="1:20" x14ac:dyDescent="0.35">
      <c r="A29288" t="s">
        <v>230</v>
      </c>
      <c r="B29288" t="s">
        <v>1343</v>
      </c>
      <c r="C29288" t="s">
        <v>1347</v>
      </c>
      <c r="D29288" s="26">
        <v>0.44109999999999999</v>
      </c>
      <c r="E29288" s="26">
        <v>0.12740000000000001</v>
      </c>
      <c r="F29288" s="26">
        <v>0.18229999999999999</v>
      </c>
      <c r="G29288" s="26">
        <v>0.11459999999999999</v>
      </c>
      <c r="H29288" s="26">
        <v>0.23649999999999999</v>
      </c>
      <c r="I29288" s="26">
        <v>0.1356</v>
      </c>
      <c r="J29288" s="26">
        <v>0.13739999999999999</v>
      </c>
      <c r="K29288" s="26">
        <v>0.1293</v>
      </c>
      <c r="L29288" s="26">
        <v>0.10970000000000001</v>
      </c>
      <c r="M29288" s="26">
        <v>0.1651</v>
      </c>
      <c r="N29288" s="26">
        <v>0.15709999999999999</v>
      </c>
      <c r="O29288" s="26">
        <v>9.2299999999999993E-2</v>
      </c>
      <c r="P29288" s="26">
        <v>0.1021</v>
      </c>
      <c r="Q29288" s="26">
        <v>9.5299999999999996E-2</v>
      </c>
      <c r="R29288" s="26">
        <v>4.8999999999999998E-3</v>
      </c>
      <c r="T29288">
        <v>106</v>
      </c>
    </row>
    <row r="29289" spans="1:20" x14ac:dyDescent="0.35">
      <c r="A29289" t="s">
        <v>230</v>
      </c>
      <c r="B29289" t="s">
        <v>1341</v>
      </c>
      <c r="C29289" t="s">
        <v>1348</v>
      </c>
      <c r="D29289" s="26">
        <v>0.35120000000000001</v>
      </c>
      <c r="E29289" s="26">
        <v>0.48899999999999999</v>
      </c>
      <c r="F29289" s="26">
        <v>1.7000000000000001E-2</v>
      </c>
      <c r="G29289" s="26">
        <v>6.0400000000000002E-2</v>
      </c>
      <c r="H29289" s="26">
        <v>4.9500000000000002E-2</v>
      </c>
      <c r="I29289" s="26">
        <v>1.04E-2</v>
      </c>
      <c r="J29289" s="26">
        <v>1.24E-2</v>
      </c>
      <c r="K29289" s="26">
        <v>1.24E-2</v>
      </c>
      <c r="L29289" s="26">
        <v>8.3999999999999995E-3</v>
      </c>
      <c r="M29289" s="26">
        <v>8.3999999999999995E-3</v>
      </c>
      <c r="N29289" s="26">
        <v>5.6099999999999997E-2</v>
      </c>
      <c r="O29289" s="26">
        <v>1.04E-2</v>
      </c>
      <c r="P29289" s="26">
        <v>8.3999999999999995E-3</v>
      </c>
      <c r="Q29289" s="26">
        <v>1.04E-2</v>
      </c>
      <c r="T29289">
        <v>75</v>
      </c>
    </row>
    <row r="29290" spans="1:20" x14ac:dyDescent="0.35">
      <c r="A29290" t="s">
        <v>230</v>
      </c>
      <c r="B29290" t="s">
        <v>1341</v>
      </c>
      <c r="C29290" t="s">
        <v>1347</v>
      </c>
      <c r="D29290" s="26">
        <v>0.41139999999999999</v>
      </c>
      <c r="E29290" s="26">
        <v>0.4274</v>
      </c>
      <c r="F29290" s="26">
        <v>1.23E-2</v>
      </c>
      <c r="G29290" s="26">
        <v>1.2500000000000001E-2</v>
      </c>
      <c r="H29290" s="26">
        <v>1.23E-2</v>
      </c>
      <c r="L29290" s="26">
        <v>6.0100000000000001E-2</v>
      </c>
      <c r="M29290" s="26">
        <v>9.5999999999999992E-3</v>
      </c>
      <c r="N29290" s="26">
        <v>9.5999999999999992E-3</v>
      </c>
      <c r="P29290" s="26">
        <v>6.9699999999999998E-2</v>
      </c>
      <c r="T29290">
        <v>47</v>
      </c>
    </row>
    <row r="29291" spans="1:20" x14ac:dyDescent="0.35">
      <c r="A29291" s="27" t="s">
        <v>230</v>
      </c>
      <c r="B29291" s="27" t="s">
        <v>1343</v>
      </c>
      <c r="C29291" s="27" t="s">
        <v>1345</v>
      </c>
      <c r="D29291" s="28">
        <v>0.15570000000000001</v>
      </c>
      <c r="E29291" s="28">
        <v>0.12189999999999999</v>
      </c>
      <c r="F29291" s="29"/>
      <c r="G29291" s="28">
        <v>0.72240000000000004</v>
      </c>
      <c r="H29291" s="29"/>
      <c r="I29291" s="29"/>
      <c r="J29291" s="29"/>
      <c r="K29291" s="29"/>
      <c r="L29291" s="29"/>
      <c r="M29291" s="29"/>
      <c r="N29291" s="29"/>
      <c r="O29291" s="29"/>
      <c r="P29291" s="29"/>
      <c r="Q29291" s="29"/>
      <c r="R29291" s="29"/>
      <c r="S29291" s="29"/>
      <c r="T29291" s="29" t="s">
        <v>337</v>
      </c>
    </row>
    <row r="29292" spans="1:20" x14ac:dyDescent="0.35">
      <c r="A29292" t="s">
        <v>230</v>
      </c>
      <c r="B29292" t="s">
        <v>1341</v>
      </c>
      <c r="C29292" t="s">
        <v>1346</v>
      </c>
      <c r="D29292" s="26">
        <v>0.315</v>
      </c>
      <c r="E29292" s="26">
        <v>0.64849999999999997</v>
      </c>
      <c r="G29292" s="26">
        <v>1.83E-2</v>
      </c>
      <c r="I29292" s="26">
        <v>4.3E-3</v>
      </c>
      <c r="K29292" s="26">
        <v>8.6E-3</v>
      </c>
      <c r="Q29292" s="26">
        <v>1.4E-2</v>
      </c>
      <c r="T29292">
        <v>30</v>
      </c>
    </row>
    <row r="29293" spans="1:20" x14ac:dyDescent="0.35">
      <c r="A29293" t="s">
        <v>231</v>
      </c>
      <c r="B29293" t="s">
        <v>1343</v>
      </c>
      <c r="C29293" t="s">
        <v>1348</v>
      </c>
      <c r="D29293" s="26">
        <v>0.48</v>
      </c>
      <c r="E29293" s="26">
        <v>0.3</v>
      </c>
      <c r="F29293" s="26">
        <v>0.12</v>
      </c>
      <c r="G29293" s="26">
        <v>0.08</v>
      </c>
      <c r="H29293" s="26">
        <v>0.04</v>
      </c>
      <c r="I29293" s="26">
        <v>0.02</v>
      </c>
      <c r="J29293" s="26">
        <v>0.04</v>
      </c>
      <c r="M29293" s="26">
        <v>0.04</v>
      </c>
      <c r="N29293" s="26">
        <v>0.02</v>
      </c>
      <c r="O29293" s="26">
        <v>0.02</v>
      </c>
      <c r="P29293" s="26">
        <v>0.02</v>
      </c>
      <c r="R29293" s="26">
        <v>0.02</v>
      </c>
      <c r="T29293">
        <v>50</v>
      </c>
    </row>
    <row r="29294" spans="1:20" x14ac:dyDescent="0.35">
      <c r="A29294" s="27" t="s">
        <v>231</v>
      </c>
      <c r="B29294" s="27" t="s">
        <v>1343</v>
      </c>
      <c r="C29294" s="27" t="s">
        <v>1345</v>
      </c>
      <c r="D29294" s="28">
        <v>1</v>
      </c>
      <c r="E29294" s="29"/>
      <c r="F29294" s="29"/>
      <c r="G29294" s="29"/>
      <c r="H29294" s="29"/>
      <c r="I29294" s="29"/>
      <c r="J29294" s="29"/>
      <c r="K29294" s="29"/>
      <c r="L29294" s="29"/>
      <c r="M29294" s="29"/>
      <c r="N29294" s="29"/>
      <c r="O29294" s="29"/>
      <c r="P29294" s="29"/>
      <c r="Q29294" s="29"/>
      <c r="R29294" s="29"/>
      <c r="S29294" s="29"/>
      <c r="T29294" s="29" t="s">
        <v>315</v>
      </c>
    </row>
    <row r="29295" spans="1:20" x14ac:dyDescent="0.35">
      <c r="A29295" t="s">
        <v>231</v>
      </c>
      <c r="B29295" t="s">
        <v>1341</v>
      </c>
      <c r="C29295" t="s">
        <v>1348</v>
      </c>
      <c r="D29295" s="26">
        <v>0.41670000000000001</v>
      </c>
      <c r="E29295" s="26">
        <v>0.30559999999999998</v>
      </c>
      <c r="F29295" s="26">
        <v>8.3299999999999999E-2</v>
      </c>
      <c r="H29295" s="26">
        <v>8.3299999999999999E-2</v>
      </c>
      <c r="I29295" s="26">
        <v>5.5599999999999997E-2</v>
      </c>
      <c r="J29295" s="26">
        <v>5.5599999999999997E-2</v>
      </c>
      <c r="K29295" s="26">
        <v>8.3299999999999999E-2</v>
      </c>
      <c r="P29295" s="26">
        <v>2.7799999999999998E-2</v>
      </c>
      <c r="Q29295" s="26">
        <v>8.3299999999999999E-2</v>
      </c>
      <c r="T29295">
        <v>36</v>
      </c>
    </row>
    <row r="29296" spans="1:20" x14ac:dyDescent="0.35">
      <c r="A29296" s="27" t="s">
        <v>231</v>
      </c>
      <c r="B29296" s="27" t="s">
        <v>1341</v>
      </c>
      <c r="C29296" s="27" t="s">
        <v>1345</v>
      </c>
      <c r="D29296" s="28">
        <v>1</v>
      </c>
      <c r="E29296" s="29"/>
      <c r="F29296" s="29"/>
      <c r="G29296" s="29"/>
      <c r="H29296" s="29"/>
      <c r="I29296" s="29"/>
      <c r="J29296" s="29"/>
      <c r="K29296" s="29"/>
      <c r="L29296" s="29"/>
      <c r="M29296" s="29"/>
      <c r="N29296" s="29"/>
      <c r="O29296" s="29"/>
      <c r="P29296" s="29"/>
      <c r="Q29296" s="29"/>
      <c r="R29296" s="29"/>
      <c r="S29296" s="29"/>
      <c r="T29296" s="29" t="s">
        <v>331</v>
      </c>
    </row>
    <row r="29297" spans="1:20" x14ac:dyDescent="0.35">
      <c r="A29297" s="27" t="s">
        <v>231</v>
      </c>
      <c r="B29297" s="27" t="s">
        <v>1343</v>
      </c>
      <c r="C29297" s="27" t="s">
        <v>1346</v>
      </c>
      <c r="D29297" s="28">
        <v>0.42309999999999998</v>
      </c>
      <c r="E29297" s="28">
        <v>0.46150000000000002</v>
      </c>
      <c r="F29297" s="29"/>
      <c r="G29297" s="28">
        <v>7.6899999999999996E-2</v>
      </c>
      <c r="H29297" s="29"/>
      <c r="I29297" s="28">
        <v>3.85E-2</v>
      </c>
      <c r="J29297" s="28">
        <v>3.85E-2</v>
      </c>
      <c r="K29297" s="28">
        <v>3.85E-2</v>
      </c>
      <c r="L29297" s="29"/>
      <c r="M29297" s="29"/>
      <c r="N29297" s="29"/>
      <c r="O29297" s="29"/>
      <c r="P29297" s="29"/>
      <c r="Q29297" s="29"/>
      <c r="R29297" s="29"/>
      <c r="S29297" s="29"/>
      <c r="T29297" s="29" t="s">
        <v>357</v>
      </c>
    </row>
    <row r="29298" spans="1:20" x14ac:dyDescent="0.35">
      <c r="A29298" s="27" t="s">
        <v>231</v>
      </c>
      <c r="B29298" s="27" t="s">
        <v>1341</v>
      </c>
      <c r="C29298" s="27" t="s">
        <v>1346</v>
      </c>
      <c r="D29298" s="28">
        <v>0.57140000000000002</v>
      </c>
      <c r="E29298" s="28">
        <v>0.35709999999999997</v>
      </c>
      <c r="F29298" s="29"/>
      <c r="G29298" s="28">
        <v>7.1400000000000005E-2</v>
      </c>
      <c r="H29298" s="29"/>
      <c r="I29298" s="29"/>
      <c r="J29298" s="29"/>
      <c r="K29298" s="29"/>
      <c r="L29298" s="29"/>
      <c r="M29298" s="29"/>
      <c r="N29298" s="29"/>
      <c r="O29298" s="29"/>
      <c r="P29298" s="29"/>
      <c r="Q29298" s="29"/>
      <c r="R29298" s="29"/>
      <c r="S29298" s="29"/>
      <c r="T29298" s="29" t="s">
        <v>379</v>
      </c>
    </row>
    <row r="29299" spans="1:20" x14ac:dyDescent="0.35">
      <c r="A29299" s="27" t="s">
        <v>231</v>
      </c>
      <c r="B29299" s="27" t="s">
        <v>1341</v>
      </c>
      <c r="C29299" s="27" t="s">
        <v>1347</v>
      </c>
      <c r="D29299" s="28">
        <v>0.42859999999999998</v>
      </c>
      <c r="E29299" s="28">
        <v>0.42859999999999998</v>
      </c>
      <c r="F29299" s="29"/>
      <c r="G29299" s="29"/>
      <c r="H29299" s="28">
        <v>7.1400000000000005E-2</v>
      </c>
      <c r="I29299" s="29"/>
      <c r="J29299" s="29"/>
      <c r="K29299" s="29"/>
      <c r="L29299" s="28">
        <v>7.1400000000000005E-2</v>
      </c>
      <c r="M29299" s="29"/>
      <c r="N29299" s="28">
        <v>7.1400000000000005E-2</v>
      </c>
      <c r="O29299" s="28">
        <v>7.1400000000000005E-2</v>
      </c>
      <c r="P29299" s="29"/>
      <c r="Q29299" s="29"/>
      <c r="R29299" s="29"/>
      <c r="S29299" s="29"/>
      <c r="T29299" s="29" t="s">
        <v>379</v>
      </c>
    </row>
    <row r="29300" spans="1:20" x14ac:dyDescent="0.35">
      <c r="A29300" s="27" t="s">
        <v>231</v>
      </c>
      <c r="B29300" s="27" t="s">
        <v>1343</v>
      </c>
      <c r="C29300" s="27" t="s">
        <v>1347</v>
      </c>
      <c r="D29300" s="28">
        <v>0.65</v>
      </c>
      <c r="E29300" s="29"/>
      <c r="F29300" s="28">
        <v>0.25</v>
      </c>
      <c r="G29300" s="28">
        <v>0.05</v>
      </c>
      <c r="H29300" s="28">
        <v>0.05</v>
      </c>
      <c r="I29300" s="29"/>
      <c r="J29300" s="28">
        <v>0.05</v>
      </c>
      <c r="K29300" s="29"/>
      <c r="L29300" s="28">
        <v>0.05</v>
      </c>
      <c r="M29300" s="28">
        <v>0.05</v>
      </c>
      <c r="N29300" s="29"/>
      <c r="O29300" s="29"/>
      <c r="P29300" s="29"/>
      <c r="Q29300" s="29"/>
      <c r="R29300" s="29"/>
      <c r="S29300" s="29"/>
      <c r="T29300" s="29" t="s">
        <v>350</v>
      </c>
    </row>
    <row r="29301" spans="1:20" x14ac:dyDescent="0.35">
      <c r="A29301" t="s">
        <v>232</v>
      </c>
      <c r="B29301" t="s">
        <v>232</v>
      </c>
      <c r="C29301" t="s">
        <v>232</v>
      </c>
      <c r="D29301" s="26">
        <v>0.45500000000000002</v>
      </c>
      <c r="E29301" s="26">
        <v>0.31719999999999998</v>
      </c>
      <c r="F29301" s="26">
        <v>8.2000000000000003E-2</v>
      </c>
      <c r="G29301" s="26">
        <v>6.3500000000000001E-2</v>
      </c>
      <c r="H29301" s="26">
        <v>6.3E-2</v>
      </c>
      <c r="I29301" s="26">
        <v>4.1399999999999999E-2</v>
      </c>
      <c r="J29301" s="26">
        <v>4.0399999999999998E-2</v>
      </c>
      <c r="K29301" s="26">
        <v>3.9E-2</v>
      </c>
      <c r="L29301" s="26">
        <v>2.87E-2</v>
      </c>
      <c r="M29301" s="26">
        <v>2.8500000000000001E-2</v>
      </c>
      <c r="N29301" s="26">
        <v>2.8000000000000001E-2</v>
      </c>
      <c r="O29301" s="26">
        <v>2.6599999999999999E-2</v>
      </c>
      <c r="P29301" s="26">
        <v>2.5499999999999998E-2</v>
      </c>
      <c r="Q29301" s="26">
        <v>2.0199999999999999E-2</v>
      </c>
      <c r="R29301" s="26">
        <v>3.8999999999999998E-3</v>
      </c>
      <c r="S29301" s="26">
        <v>8.9999999999999998E-4</v>
      </c>
      <c r="T29301">
        <v>2810</v>
      </c>
    </row>
    <row r="29303" spans="1:20" x14ac:dyDescent="0.35">
      <c r="A29303" s="1" t="s">
        <v>2619</v>
      </c>
    </row>
    <row r="29304" spans="1:20" x14ac:dyDescent="0.35">
      <c r="A29304" t="s">
        <v>219</v>
      </c>
      <c r="B29304" t="s">
        <v>550</v>
      </c>
      <c r="C29304" t="s">
        <v>281</v>
      </c>
      <c r="D29304" t="s">
        <v>2620</v>
      </c>
      <c r="E29304" t="s">
        <v>2621</v>
      </c>
      <c r="F29304" t="s">
        <v>2622</v>
      </c>
      <c r="G29304" t="s">
        <v>2599</v>
      </c>
      <c r="H29304" t="s">
        <v>2623</v>
      </c>
      <c r="I29304" t="s">
        <v>2624</v>
      </c>
      <c r="J29304" t="s">
        <v>2625</v>
      </c>
      <c r="K29304" t="s">
        <v>2626</v>
      </c>
      <c r="L29304" t="s">
        <v>286</v>
      </c>
      <c r="M29304" t="s">
        <v>326</v>
      </c>
      <c r="N29304" t="s">
        <v>226</v>
      </c>
    </row>
    <row r="29305" spans="1:20" x14ac:dyDescent="0.35">
      <c r="A29305" t="s">
        <v>227</v>
      </c>
      <c r="B29305" s="26">
        <v>0.47199999999999998</v>
      </c>
      <c r="C29305" s="26">
        <v>0.27329999999999999</v>
      </c>
      <c r="D29305" s="26">
        <v>0.1739</v>
      </c>
      <c r="E29305" s="26">
        <v>5.5899999999999998E-2</v>
      </c>
      <c r="F29305" s="26">
        <v>4.3499999999999997E-2</v>
      </c>
      <c r="G29305" s="26">
        <v>4.3499999999999997E-2</v>
      </c>
      <c r="H29305" s="26">
        <v>6.2100000000000002E-2</v>
      </c>
      <c r="I29305" s="26">
        <v>3.73E-2</v>
      </c>
      <c r="J29305" s="26">
        <v>4.3499999999999997E-2</v>
      </c>
      <c r="K29305" s="26">
        <v>1.8599999999999998E-2</v>
      </c>
      <c r="N29305">
        <v>161</v>
      </c>
    </row>
    <row r="29306" spans="1:20" x14ac:dyDescent="0.35">
      <c r="A29306" t="s">
        <v>228</v>
      </c>
      <c r="B29306" s="26">
        <v>0.38440000000000002</v>
      </c>
      <c r="C29306" s="26">
        <v>0.31759999999999999</v>
      </c>
      <c r="D29306" s="26">
        <v>0.15210000000000001</v>
      </c>
      <c r="E29306" s="26">
        <v>0.10249999999999999</v>
      </c>
      <c r="F29306" s="26">
        <v>6.4299999999999996E-2</v>
      </c>
      <c r="G29306" s="26">
        <v>8.4400000000000003E-2</v>
      </c>
      <c r="H29306" s="26">
        <v>5.4199999999999998E-2</v>
      </c>
      <c r="I29306" s="26">
        <v>4.36E-2</v>
      </c>
      <c r="J29306" s="26">
        <v>3.2399999999999998E-2</v>
      </c>
      <c r="K29306" s="26">
        <v>1.15E-2</v>
      </c>
      <c r="L29306" s="26">
        <v>7.7000000000000002E-3</v>
      </c>
      <c r="N29306">
        <v>1031</v>
      </c>
    </row>
    <row r="29307" spans="1:20" x14ac:dyDescent="0.35">
      <c r="A29307" t="s">
        <v>229</v>
      </c>
      <c r="B29307" s="26">
        <v>0.42349999999999999</v>
      </c>
      <c r="C29307" s="26">
        <v>0.30859999999999999</v>
      </c>
      <c r="D29307" s="26">
        <v>0.14649999999999999</v>
      </c>
      <c r="E29307" s="26">
        <v>4.58E-2</v>
      </c>
      <c r="F29307" s="26">
        <v>5.4300000000000001E-2</v>
      </c>
      <c r="G29307" s="26">
        <v>5.2200000000000003E-2</v>
      </c>
      <c r="H29307" s="26">
        <v>5.0299999999999997E-2</v>
      </c>
      <c r="I29307" s="26">
        <v>4.7199999999999999E-2</v>
      </c>
      <c r="J29307" s="26">
        <v>3.15E-2</v>
      </c>
      <c r="K29307" s="26">
        <v>1.5900000000000001E-2</v>
      </c>
      <c r="L29307" s="26">
        <v>1.6000000000000001E-3</v>
      </c>
      <c r="M29307" s="26">
        <v>2.0000000000000001E-4</v>
      </c>
      <c r="N29307">
        <v>892</v>
      </c>
    </row>
    <row r="29308" spans="1:20" x14ac:dyDescent="0.35">
      <c r="A29308" t="s">
        <v>230</v>
      </c>
      <c r="B29308" s="26">
        <v>0.38900000000000001</v>
      </c>
      <c r="C29308" s="26">
        <v>0.29339999999999999</v>
      </c>
      <c r="D29308" s="26">
        <v>0.18759999999999999</v>
      </c>
      <c r="E29308" s="26">
        <v>0.10299999999999999</v>
      </c>
      <c r="F29308" s="26">
        <v>6.4600000000000005E-2</v>
      </c>
      <c r="G29308" s="26">
        <v>6.54E-2</v>
      </c>
      <c r="H29308" s="26">
        <v>6.3500000000000001E-2</v>
      </c>
      <c r="I29308" s="26">
        <v>5.4199999999999998E-2</v>
      </c>
      <c r="J29308" s="26">
        <v>4.1500000000000002E-2</v>
      </c>
      <c r="K29308" s="26">
        <v>2.1899999999999999E-2</v>
      </c>
      <c r="L29308" s="26">
        <v>3.0000000000000001E-3</v>
      </c>
      <c r="N29308">
        <v>559</v>
      </c>
    </row>
    <row r="29309" spans="1:20" x14ac:dyDescent="0.35">
      <c r="A29309" t="s">
        <v>231</v>
      </c>
      <c r="B29309" s="26">
        <v>0.45729999999999998</v>
      </c>
      <c r="C29309" s="26">
        <v>0.33539999999999998</v>
      </c>
      <c r="D29309" s="26">
        <v>0.14019999999999999</v>
      </c>
      <c r="E29309" s="26">
        <v>4.2700000000000002E-2</v>
      </c>
      <c r="F29309" s="26">
        <v>3.6600000000000001E-2</v>
      </c>
      <c r="G29309" s="26">
        <v>1.83E-2</v>
      </c>
      <c r="H29309" s="26">
        <v>2.4400000000000002E-2</v>
      </c>
      <c r="I29309" s="26">
        <v>1.2200000000000001E-2</v>
      </c>
      <c r="J29309" s="26">
        <v>1.2200000000000001E-2</v>
      </c>
      <c r="K29309" s="26">
        <v>6.1000000000000004E-3</v>
      </c>
      <c r="N29309">
        <v>164</v>
      </c>
    </row>
    <row r="29310" spans="1:20" x14ac:dyDescent="0.35">
      <c r="A29310" t="s">
        <v>232</v>
      </c>
      <c r="B29310" s="26">
        <v>0.42920000000000003</v>
      </c>
      <c r="C29310" s="26">
        <v>0.31090000000000001</v>
      </c>
      <c r="D29310" s="26">
        <v>0.154</v>
      </c>
      <c r="E29310" s="26">
        <v>6.3E-2</v>
      </c>
      <c r="F29310" s="26">
        <v>5.0700000000000002E-2</v>
      </c>
      <c r="G29310" s="26">
        <v>4.9099999999999998E-2</v>
      </c>
      <c r="H29310" s="26">
        <v>4.7E-2</v>
      </c>
      <c r="I29310" s="26">
        <v>3.61E-2</v>
      </c>
      <c r="J29310" s="26">
        <v>2.9100000000000001E-2</v>
      </c>
      <c r="K29310" s="26">
        <v>1.34E-2</v>
      </c>
      <c r="L29310" s="26">
        <v>2.2000000000000001E-3</v>
      </c>
      <c r="M29310" s="26">
        <v>0</v>
      </c>
      <c r="N29310">
        <v>2807</v>
      </c>
    </row>
    <row r="29312" spans="1:20" x14ac:dyDescent="0.35">
      <c r="A29312" s="1" t="s">
        <v>2627</v>
      </c>
    </row>
    <row r="29313" spans="1:15" x14ac:dyDescent="0.35">
      <c r="A29313" t="s">
        <v>219</v>
      </c>
      <c r="B29313" t="s">
        <v>305</v>
      </c>
      <c r="C29313" t="s">
        <v>550</v>
      </c>
      <c r="D29313" t="s">
        <v>281</v>
      </c>
      <c r="E29313" t="s">
        <v>2620</v>
      </c>
      <c r="F29313" t="s">
        <v>2621</v>
      </c>
      <c r="G29313" t="s">
        <v>2622</v>
      </c>
      <c r="H29313" t="s">
        <v>2599</v>
      </c>
      <c r="I29313" t="s">
        <v>2623</v>
      </c>
      <c r="J29313" t="s">
        <v>2624</v>
      </c>
      <c r="K29313" t="s">
        <v>2625</v>
      </c>
      <c r="L29313" t="s">
        <v>2626</v>
      </c>
      <c r="M29313" t="s">
        <v>286</v>
      </c>
      <c r="N29313" t="s">
        <v>326</v>
      </c>
      <c r="O29313" t="s">
        <v>226</v>
      </c>
    </row>
    <row r="29314" spans="1:15" x14ac:dyDescent="0.35">
      <c r="A29314" t="s">
        <v>227</v>
      </c>
      <c r="B29314" t="s">
        <v>242</v>
      </c>
      <c r="C29314" s="26">
        <v>0.44119999999999998</v>
      </c>
      <c r="D29314" s="26">
        <v>0.36759999999999998</v>
      </c>
      <c r="E29314" s="26">
        <v>0.10290000000000001</v>
      </c>
      <c r="F29314" s="26">
        <v>5.8799999999999998E-2</v>
      </c>
      <c r="G29314" s="26">
        <v>1.47E-2</v>
      </c>
      <c r="H29314" s="26">
        <v>2.9399999999999999E-2</v>
      </c>
      <c r="I29314" s="26">
        <v>1.47E-2</v>
      </c>
      <c r="J29314" s="26">
        <v>2.9399999999999999E-2</v>
      </c>
      <c r="K29314" s="26">
        <v>2.9399999999999999E-2</v>
      </c>
      <c r="O29314">
        <v>68</v>
      </c>
    </row>
    <row r="29315" spans="1:15" x14ac:dyDescent="0.35">
      <c r="A29315" t="s">
        <v>227</v>
      </c>
      <c r="B29315" t="s">
        <v>241</v>
      </c>
      <c r="C29315" s="26">
        <v>0.49459999999999998</v>
      </c>
      <c r="D29315" s="26">
        <v>0.20430000000000001</v>
      </c>
      <c r="E29315" s="26">
        <v>0.2258</v>
      </c>
      <c r="F29315" s="26">
        <v>5.3800000000000001E-2</v>
      </c>
      <c r="G29315" s="26">
        <v>6.4500000000000002E-2</v>
      </c>
      <c r="H29315" s="26">
        <v>5.3800000000000001E-2</v>
      </c>
      <c r="I29315" s="26">
        <v>9.6799999999999997E-2</v>
      </c>
      <c r="J29315" s="26">
        <v>4.2999999999999997E-2</v>
      </c>
      <c r="K29315" s="26">
        <v>5.3800000000000001E-2</v>
      </c>
      <c r="L29315" s="26">
        <v>3.2300000000000002E-2</v>
      </c>
      <c r="O29315">
        <v>93</v>
      </c>
    </row>
    <row r="29316" spans="1:15" x14ac:dyDescent="0.35">
      <c r="A29316" t="s">
        <v>228</v>
      </c>
      <c r="B29316" t="s">
        <v>242</v>
      </c>
      <c r="C29316" s="26">
        <v>0.3901</v>
      </c>
      <c r="D29316" s="26">
        <v>0.3135</v>
      </c>
      <c r="E29316" s="26">
        <v>0.15809999999999999</v>
      </c>
      <c r="F29316" s="26">
        <v>8.1000000000000003E-2</v>
      </c>
      <c r="G29316" s="26">
        <v>5.0599999999999999E-2</v>
      </c>
      <c r="H29316" s="26">
        <v>8.2500000000000004E-2</v>
      </c>
      <c r="I29316" s="26">
        <v>6.7400000000000002E-2</v>
      </c>
      <c r="J29316" s="26">
        <v>4.3099999999999999E-2</v>
      </c>
      <c r="K29316" s="26">
        <v>2.4E-2</v>
      </c>
      <c r="L29316" s="26">
        <v>1.2999999999999999E-3</v>
      </c>
      <c r="M29316" s="26">
        <v>1.1299999999999999E-2</v>
      </c>
      <c r="O29316">
        <v>402</v>
      </c>
    </row>
    <row r="29317" spans="1:15" x14ac:dyDescent="0.35">
      <c r="A29317" t="s">
        <v>228</v>
      </c>
      <c r="B29317" t="s">
        <v>241</v>
      </c>
      <c r="C29317" s="26">
        <v>0.38119999999999998</v>
      </c>
      <c r="D29317" s="26">
        <v>0.31990000000000002</v>
      </c>
      <c r="E29317" s="26">
        <v>0.1487</v>
      </c>
      <c r="F29317" s="26">
        <v>0.1148</v>
      </c>
      <c r="G29317" s="26">
        <v>7.22E-2</v>
      </c>
      <c r="H29317" s="26">
        <v>8.5599999999999996E-2</v>
      </c>
      <c r="I29317" s="26">
        <v>4.6600000000000003E-2</v>
      </c>
      <c r="J29317" s="26">
        <v>4.3999999999999997E-2</v>
      </c>
      <c r="K29317" s="26">
        <v>3.73E-2</v>
      </c>
      <c r="L29317" s="26">
        <v>1.7299999999999999E-2</v>
      </c>
      <c r="M29317" s="26">
        <v>5.7000000000000002E-3</v>
      </c>
      <c r="O29317">
        <v>629</v>
      </c>
    </row>
    <row r="29318" spans="1:15" x14ac:dyDescent="0.35">
      <c r="A29318" t="s">
        <v>229</v>
      </c>
      <c r="B29318" t="s">
        <v>242</v>
      </c>
      <c r="C29318" s="26">
        <v>0.38390000000000002</v>
      </c>
      <c r="D29318" s="26">
        <v>0.34599999999999997</v>
      </c>
      <c r="E29318" s="26">
        <v>0.16850000000000001</v>
      </c>
      <c r="F29318" s="26">
        <v>3.32E-2</v>
      </c>
      <c r="G29318" s="26">
        <v>3.0300000000000001E-2</v>
      </c>
      <c r="H29318" s="26">
        <v>5.0599999999999999E-2</v>
      </c>
      <c r="I29318" s="26">
        <v>6.0400000000000002E-2</v>
      </c>
      <c r="J29318" s="26">
        <v>4.7500000000000001E-2</v>
      </c>
      <c r="K29318" s="26">
        <v>3.09E-2</v>
      </c>
      <c r="L29318" s="26">
        <v>2.4400000000000002E-2</v>
      </c>
      <c r="M29318" s="26">
        <v>2.0000000000000001E-4</v>
      </c>
      <c r="N29318" s="26">
        <v>4.0000000000000002E-4</v>
      </c>
      <c r="O29318">
        <v>291</v>
      </c>
    </row>
    <row r="29319" spans="1:15" x14ac:dyDescent="0.35">
      <c r="A29319" t="s">
        <v>229</v>
      </c>
      <c r="B29319" t="s">
        <v>241</v>
      </c>
      <c r="C29319" s="26">
        <v>0.44890000000000002</v>
      </c>
      <c r="D29319" s="26">
        <v>0.28460000000000002</v>
      </c>
      <c r="E29319" s="26">
        <v>0.13239999999999999</v>
      </c>
      <c r="F29319" s="26">
        <v>5.3900000000000003E-2</v>
      </c>
      <c r="G29319" s="26">
        <v>6.9699999999999998E-2</v>
      </c>
      <c r="H29319" s="26">
        <v>5.3199999999999997E-2</v>
      </c>
      <c r="I29319" s="26">
        <v>4.3799999999999999E-2</v>
      </c>
      <c r="J29319" s="26">
        <v>4.7E-2</v>
      </c>
      <c r="K29319" s="26">
        <v>3.1899999999999998E-2</v>
      </c>
      <c r="L29319" s="26">
        <v>1.0500000000000001E-2</v>
      </c>
      <c r="M29319" s="26">
        <v>2.5000000000000001E-3</v>
      </c>
      <c r="O29319">
        <v>601</v>
      </c>
    </row>
    <row r="29320" spans="1:15" x14ac:dyDescent="0.35">
      <c r="A29320" t="s">
        <v>230</v>
      </c>
      <c r="B29320" t="s">
        <v>242</v>
      </c>
      <c r="C29320" s="26">
        <v>0.36780000000000002</v>
      </c>
      <c r="D29320" s="26">
        <v>0.3286</v>
      </c>
      <c r="E29320" s="26">
        <v>0.17519999999999999</v>
      </c>
      <c r="F29320" s="26">
        <v>7.85E-2</v>
      </c>
      <c r="G29320" s="26">
        <v>0.1013</v>
      </c>
      <c r="H29320" s="26">
        <v>6.7400000000000002E-2</v>
      </c>
      <c r="I29320" s="26">
        <v>6.25E-2</v>
      </c>
      <c r="J29320" s="26">
        <v>7.8399999999999997E-2</v>
      </c>
      <c r="K29320" s="26">
        <v>6.25E-2</v>
      </c>
      <c r="L29320" s="26">
        <v>5.62E-2</v>
      </c>
      <c r="M29320" s="26">
        <v>8.8000000000000005E-3</v>
      </c>
      <c r="O29320">
        <v>189</v>
      </c>
    </row>
    <row r="29321" spans="1:15" x14ac:dyDescent="0.35">
      <c r="A29321" t="s">
        <v>230</v>
      </c>
      <c r="B29321" t="s">
        <v>241</v>
      </c>
      <c r="C29321" s="26">
        <v>0.39979999999999999</v>
      </c>
      <c r="D29321" s="26">
        <v>0.27539999999999998</v>
      </c>
      <c r="E29321" s="26">
        <v>0.19400000000000001</v>
      </c>
      <c r="F29321" s="26">
        <v>0.11559999999999999</v>
      </c>
      <c r="G29321" s="26">
        <v>4.5699999999999998E-2</v>
      </c>
      <c r="H29321" s="26">
        <v>6.4299999999999996E-2</v>
      </c>
      <c r="I29321" s="26">
        <v>6.4000000000000001E-2</v>
      </c>
      <c r="J29321" s="26">
        <v>4.1799999999999997E-2</v>
      </c>
      <c r="K29321" s="26">
        <v>3.0700000000000002E-2</v>
      </c>
      <c r="L29321" s="26">
        <v>4.4000000000000003E-3</v>
      </c>
      <c r="O29321">
        <v>370</v>
      </c>
    </row>
    <row r="29322" spans="1:15" x14ac:dyDescent="0.35">
      <c r="A29322" t="s">
        <v>231</v>
      </c>
      <c r="B29322" t="s">
        <v>242</v>
      </c>
      <c r="C29322" s="26">
        <v>0.4259</v>
      </c>
      <c r="D29322" s="26">
        <v>0.35189999999999999</v>
      </c>
      <c r="E29322" s="26">
        <v>0.14810000000000001</v>
      </c>
      <c r="F29322" s="26">
        <v>1.8499999999999999E-2</v>
      </c>
      <c r="G29322" s="26">
        <v>3.6999999999999998E-2</v>
      </c>
      <c r="H29322" s="26">
        <v>1.8499999999999999E-2</v>
      </c>
      <c r="I29322" s="26">
        <v>5.5599999999999997E-2</v>
      </c>
      <c r="J29322" s="26">
        <v>3.6999999999999998E-2</v>
      </c>
      <c r="K29322" s="26">
        <v>3.6999999999999998E-2</v>
      </c>
      <c r="O29322">
        <v>54</v>
      </c>
    </row>
    <row r="29323" spans="1:15" x14ac:dyDescent="0.35">
      <c r="A29323" t="s">
        <v>231</v>
      </c>
      <c r="B29323" t="s">
        <v>241</v>
      </c>
      <c r="C29323" s="26">
        <v>0.47270000000000001</v>
      </c>
      <c r="D29323" s="26">
        <v>0.32729999999999998</v>
      </c>
      <c r="E29323" s="26">
        <v>0.13639999999999999</v>
      </c>
      <c r="F29323" s="26">
        <v>5.45E-2</v>
      </c>
      <c r="G29323" s="26">
        <v>3.6400000000000002E-2</v>
      </c>
      <c r="H29323" s="26">
        <v>1.8200000000000001E-2</v>
      </c>
      <c r="I29323" s="26">
        <v>9.1000000000000004E-3</v>
      </c>
      <c r="L29323" s="26">
        <v>9.1000000000000004E-3</v>
      </c>
      <c r="O29323">
        <v>110</v>
      </c>
    </row>
    <row r="29324" spans="1:15" x14ac:dyDescent="0.35">
      <c r="A29324" t="s">
        <v>232</v>
      </c>
      <c r="B29324" t="s">
        <v>232</v>
      </c>
      <c r="C29324" s="26">
        <v>0.42920000000000003</v>
      </c>
      <c r="D29324" s="26">
        <v>0.31090000000000001</v>
      </c>
      <c r="E29324" s="26">
        <v>0.154</v>
      </c>
      <c r="F29324" s="26">
        <v>6.3E-2</v>
      </c>
      <c r="G29324" s="26">
        <v>5.0700000000000002E-2</v>
      </c>
      <c r="H29324" s="26">
        <v>4.9099999999999998E-2</v>
      </c>
      <c r="I29324" s="26">
        <v>4.7E-2</v>
      </c>
      <c r="J29324" s="26">
        <v>3.61E-2</v>
      </c>
      <c r="K29324" s="26">
        <v>2.9100000000000001E-2</v>
      </c>
      <c r="L29324" s="26">
        <v>1.34E-2</v>
      </c>
      <c r="M29324" s="26">
        <v>2.2000000000000001E-3</v>
      </c>
      <c r="N29324" s="26">
        <v>0</v>
      </c>
      <c r="O29324">
        <v>2807</v>
      </c>
    </row>
    <row r="29326" spans="1:15" x14ac:dyDescent="0.35">
      <c r="A29326" s="1" t="s">
        <v>2628</v>
      </c>
    </row>
    <row r="29327" spans="1:15" x14ac:dyDescent="0.35">
      <c r="A29327" t="s">
        <v>219</v>
      </c>
      <c r="B29327" t="s">
        <v>305</v>
      </c>
      <c r="C29327" t="s">
        <v>550</v>
      </c>
      <c r="D29327" t="s">
        <v>281</v>
      </c>
      <c r="E29327" t="s">
        <v>2620</v>
      </c>
      <c r="F29327" t="s">
        <v>2621</v>
      </c>
      <c r="G29327" t="s">
        <v>2622</v>
      </c>
      <c r="H29327" t="s">
        <v>2599</v>
      </c>
      <c r="I29327" t="s">
        <v>2623</v>
      </c>
      <c r="J29327" t="s">
        <v>2624</v>
      </c>
      <c r="K29327" t="s">
        <v>2625</v>
      </c>
      <c r="L29327" t="s">
        <v>2626</v>
      </c>
      <c r="M29327" t="s">
        <v>286</v>
      </c>
      <c r="N29327" t="s">
        <v>326</v>
      </c>
      <c r="O29327" t="s">
        <v>226</v>
      </c>
    </row>
    <row r="29328" spans="1:15" x14ac:dyDescent="0.35">
      <c r="A29328" t="s">
        <v>227</v>
      </c>
      <c r="B29328" t="s">
        <v>239</v>
      </c>
      <c r="C29328" s="26">
        <v>0.4516</v>
      </c>
      <c r="D29328" s="26">
        <v>0.2903</v>
      </c>
      <c r="E29328" s="26">
        <v>0.1613</v>
      </c>
      <c r="F29328" s="26">
        <v>6.4500000000000002E-2</v>
      </c>
      <c r="G29328" s="26">
        <v>3.2300000000000002E-2</v>
      </c>
      <c r="H29328" s="26">
        <v>4.8399999999999999E-2</v>
      </c>
      <c r="I29328" s="26">
        <v>3.2300000000000002E-2</v>
      </c>
      <c r="J29328" s="26">
        <v>3.2300000000000002E-2</v>
      </c>
      <c r="K29328" s="26">
        <v>6.4500000000000002E-2</v>
      </c>
      <c r="L29328" s="26">
        <v>1.61E-2</v>
      </c>
      <c r="O29328">
        <v>62</v>
      </c>
    </row>
    <row r="29329" spans="1:15" x14ac:dyDescent="0.35">
      <c r="A29329" t="s">
        <v>227</v>
      </c>
      <c r="B29329" t="s">
        <v>238</v>
      </c>
      <c r="C29329" s="26">
        <v>0.48480000000000001</v>
      </c>
      <c r="D29329" s="26">
        <v>0.2626</v>
      </c>
      <c r="E29329" s="26">
        <v>0.18179999999999999</v>
      </c>
      <c r="F29329" s="26">
        <v>5.0500000000000003E-2</v>
      </c>
      <c r="G29329" s="26">
        <v>5.0500000000000003E-2</v>
      </c>
      <c r="H29329" s="26">
        <v>4.0399999999999998E-2</v>
      </c>
      <c r="I29329" s="26">
        <v>8.0799999999999997E-2</v>
      </c>
      <c r="J29329" s="26">
        <v>4.0399999999999998E-2</v>
      </c>
      <c r="K29329" s="26">
        <v>3.0300000000000001E-2</v>
      </c>
      <c r="L29329" s="26">
        <v>2.0199999999999999E-2</v>
      </c>
      <c r="O29329">
        <v>99</v>
      </c>
    </row>
    <row r="29330" spans="1:15" x14ac:dyDescent="0.35">
      <c r="A29330" t="s">
        <v>228</v>
      </c>
      <c r="B29330" t="s">
        <v>239</v>
      </c>
      <c r="C29330" s="26">
        <v>0.3931</v>
      </c>
      <c r="D29330" s="26">
        <v>0.32550000000000001</v>
      </c>
      <c r="E29330" s="26">
        <v>0.14380000000000001</v>
      </c>
      <c r="F29330" s="26">
        <v>9.6199999999999994E-2</v>
      </c>
      <c r="G29330" s="26">
        <v>5.7000000000000002E-2</v>
      </c>
      <c r="H29330" s="26">
        <v>8.6499999999999994E-2</v>
      </c>
      <c r="I29330" s="26">
        <v>2.5100000000000001E-2</v>
      </c>
      <c r="J29330" s="26">
        <v>2.18E-2</v>
      </c>
      <c r="K29330" s="26">
        <v>4.3299999999999998E-2</v>
      </c>
      <c r="L29330" s="26">
        <v>7.1999999999999998E-3</v>
      </c>
      <c r="O29330">
        <v>330</v>
      </c>
    </row>
    <row r="29331" spans="1:15" x14ac:dyDescent="0.35">
      <c r="A29331" t="s">
        <v>228</v>
      </c>
      <c r="B29331" t="s">
        <v>238</v>
      </c>
      <c r="C29331" s="26">
        <v>0.38219999999999998</v>
      </c>
      <c r="D29331" s="26">
        <v>0.3155</v>
      </c>
      <c r="E29331" s="26">
        <v>0.15429999999999999</v>
      </c>
      <c r="F29331" s="26">
        <v>0.1041</v>
      </c>
      <c r="G29331" s="26">
        <v>6.6199999999999995E-2</v>
      </c>
      <c r="H29331" s="26">
        <v>8.3900000000000002E-2</v>
      </c>
      <c r="I29331" s="26">
        <v>6.1800000000000001E-2</v>
      </c>
      <c r="J29331" s="26">
        <v>4.9299999999999997E-2</v>
      </c>
      <c r="K29331" s="26">
        <v>2.9600000000000001E-2</v>
      </c>
      <c r="L29331" s="26">
        <v>1.26E-2</v>
      </c>
      <c r="M29331" s="26">
        <v>9.7999999999999997E-3</v>
      </c>
      <c r="O29331">
        <v>701</v>
      </c>
    </row>
    <row r="29332" spans="1:15" x14ac:dyDescent="0.35">
      <c r="A29332" t="s">
        <v>229</v>
      </c>
      <c r="B29332" t="s">
        <v>239</v>
      </c>
      <c r="C29332" s="26">
        <v>0.36149999999999999</v>
      </c>
      <c r="D29332" s="26">
        <v>0.31330000000000002</v>
      </c>
      <c r="E29332" s="26">
        <v>0.16189999999999999</v>
      </c>
      <c r="F29332" s="26">
        <v>9.2200000000000004E-2</v>
      </c>
      <c r="G29332" s="26">
        <v>6.2E-2</v>
      </c>
      <c r="H29332" s="26">
        <v>7.8E-2</v>
      </c>
      <c r="I29332" s="26">
        <v>4.3099999999999999E-2</v>
      </c>
      <c r="J29332" s="26">
        <v>7.5300000000000006E-2</v>
      </c>
      <c r="K29332" s="26">
        <v>5.5199999999999999E-2</v>
      </c>
      <c r="L29332" s="26">
        <v>3.2599999999999997E-2</v>
      </c>
      <c r="M29332" s="26">
        <v>3.0000000000000001E-3</v>
      </c>
      <c r="O29332">
        <v>331</v>
      </c>
    </row>
    <row r="29333" spans="1:15" x14ac:dyDescent="0.35">
      <c r="A29333" t="s">
        <v>229</v>
      </c>
      <c r="B29333" t="s">
        <v>238</v>
      </c>
      <c r="C29333" s="26">
        <v>0.44469999999999998</v>
      </c>
      <c r="D29333" s="26">
        <v>0.307</v>
      </c>
      <c r="E29333" s="26">
        <v>0.14130000000000001</v>
      </c>
      <c r="F29333" s="26">
        <v>2.9899999999999999E-2</v>
      </c>
      <c r="G29333" s="26">
        <v>5.1700000000000003E-2</v>
      </c>
      <c r="H29333" s="26">
        <v>4.3400000000000001E-2</v>
      </c>
      <c r="I29333" s="26">
        <v>5.28E-2</v>
      </c>
      <c r="J29333" s="26">
        <v>3.7600000000000001E-2</v>
      </c>
      <c r="K29333" s="26">
        <v>2.3400000000000001E-2</v>
      </c>
      <c r="L29333" s="26">
        <v>1.0200000000000001E-2</v>
      </c>
      <c r="M29333" s="26">
        <v>1.1000000000000001E-3</v>
      </c>
      <c r="N29333" s="26">
        <v>2.0000000000000001E-4</v>
      </c>
      <c r="O29333">
        <v>561</v>
      </c>
    </row>
    <row r="29334" spans="1:15" x14ac:dyDescent="0.35">
      <c r="A29334" t="s">
        <v>230</v>
      </c>
      <c r="B29334" t="s">
        <v>239</v>
      </c>
      <c r="C29334" s="26">
        <v>0.376</v>
      </c>
      <c r="D29334" s="26">
        <v>0.20730000000000001</v>
      </c>
      <c r="E29334" s="26">
        <v>0.26069999999999999</v>
      </c>
      <c r="F29334" s="26">
        <v>0.126</v>
      </c>
      <c r="G29334" s="26">
        <v>6.3700000000000007E-2</v>
      </c>
      <c r="H29334" s="26">
        <v>0.10050000000000001</v>
      </c>
      <c r="I29334" s="26">
        <v>5.9799999999999999E-2</v>
      </c>
      <c r="J29334" s="26">
        <v>5.4600000000000003E-2</v>
      </c>
      <c r="K29334" s="26">
        <v>6.3700000000000007E-2</v>
      </c>
      <c r="L29334" s="26">
        <v>2.5700000000000001E-2</v>
      </c>
      <c r="M29334" s="26">
        <v>7.0000000000000001E-3</v>
      </c>
      <c r="O29334">
        <v>210</v>
      </c>
    </row>
    <row r="29335" spans="1:15" x14ac:dyDescent="0.35">
      <c r="A29335" t="s">
        <v>230</v>
      </c>
      <c r="B29335" t="s">
        <v>238</v>
      </c>
      <c r="C29335" s="26">
        <v>0.39450000000000002</v>
      </c>
      <c r="D29335" s="26">
        <v>0.33040000000000003</v>
      </c>
      <c r="E29335" s="26">
        <v>0.15620000000000001</v>
      </c>
      <c r="F29335" s="26">
        <v>9.3100000000000002E-2</v>
      </c>
      <c r="G29335" s="26">
        <v>6.4899999999999999E-2</v>
      </c>
      <c r="H29335" s="26">
        <v>5.0299999999999997E-2</v>
      </c>
      <c r="I29335" s="26">
        <v>6.5100000000000005E-2</v>
      </c>
      <c r="J29335" s="26">
        <v>5.3999999999999999E-2</v>
      </c>
      <c r="K29335" s="26">
        <v>3.1899999999999998E-2</v>
      </c>
      <c r="L29335" s="26">
        <v>2.0299999999999999E-2</v>
      </c>
      <c r="M29335" s="26">
        <v>1.2999999999999999E-3</v>
      </c>
      <c r="O29335">
        <v>349</v>
      </c>
    </row>
    <row r="29336" spans="1:15" x14ac:dyDescent="0.35">
      <c r="A29336" t="s">
        <v>231</v>
      </c>
      <c r="B29336" t="s">
        <v>239</v>
      </c>
      <c r="C29336" s="26">
        <v>0.50880000000000003</v>
      </c>
      <c r="D29336" s="26">
        <v>0.2281</v>
      </c>
      <c r="E29336" s="26">
        <v>0.193</v>
      </c>
      <c r="F29336" s="26">
        <v>5.2600000000000001E-2</v>
      </c>
      <c r="H29336" s="26">
        <v>3.5099999999999999E-2</v>
      </c>
      <c r="I29336" s="26">
        <v>7.0199999999999999E-2</v>
      </c>
      <c r="K29336" s="26">
        <v>1.7500000000000002E-2</v>
      </c>
      <c r="O29336">
        <v>57</v>
      </c>
    </row>
    <row r="29337" spans="1:15" x14ac:dyDescent="0.35">
      <c r="A29337" t="s">
        <v>231</v>
      </c>
      <c r="B29337" t="s">
        <v>238</v>
      </c>
      <c r="C29337" s="26">
        <v>0.4299</v>
      </c>
      <c r="D29337" s="26">
        <v>0.39250000000000002</v>
      </c>
      <c r="E29337" s="26">
        <v>0.11210000000000001</v>
      </c>
      <c r="F29337" s="26">
        <v>3.7400000000000003E-2</v>
      </c>
      <c r="G29337" s="26">
        <v>5.6099999999999997E-2</v>
      </c>
      <c r="H29337" s="26">
        <v>9.2999999999999992E-3</v>
      </c>
      <c r="J29337" s="26">
        <v>1.8700000000000001E-2</v>
      </c>
      <c r="K29337" s="26">
        <v>9.2999999999999992E-3</v>
      </c>
      <c r="L29337" s="26">
        <v>9.2999999999999992E-3</v>
      </c>
      <c r="O29337">
        <v>107</v>
      </c>
    </row>
    <row r="29338" spans="1:15" x14ac:dyDescent="0.35">
      <c r="A29338" t="s">
        <v>232</v>
      </c>
      <c r="B29338" t="s">
        <v>232</v>
      </c>
      <c r="C29338" s="26">
        <v>0.42920000000000003</v>
      </c>
      <c r="D29338" s="26">
        <v>0.31090000000000001</v>
      </c>
      <c r="E29338" s="26">
        <v>0.154</v>
      </c>
      <c r="F29338" s="26">
        <v>6.3E-2</v>
      </c>
      <c r="G29338" s="26">
        <v>5.0700000000000002E-2</v>
      </c>
      <c r="H29338" s="26">
        <v>4.9099999999999998E-2</v>
      </c>
      <c r="I29338" s="26">
        <v>4.7E-2</v>
      </c>
      <c r="J29338" s="26">
        <v>3.61E-2</v>
      </c>
      <c r="K29338" s="26">
        <v>2.9100000000000001E-2</v>
      </c>
      <c r="L29338" s="26">
        <v>1.34E-2</v>
      </c>
      <c r="M29338" s="26">
        <v>2.2000000000000001E-3</v>
      </c>
      <c r="N29338" s="26">
        <v>0</v>
      </c>
      <c r="O29338">
        <v>2807</v>
      </c>
    </row>
    <row r="29340" spans="1:15" x14ac:dyDescent="0.35">
      <c r="A29340" s="1" t="s">
        <v>2629</v>
      </c>
    </row>
    <row r="29341" spans="1:15" x14ac:dyDescent="0.35">
      <c r="A29341" t="s">
        <v>219</v>
      </c>
      <c r="B29341" t="s">
        <v>305</v>
      </c>
      <c r="C29341" t="s">
        <v>550</v>
      </c>
      <c r="D29341" t="s">
        <v>281</v>
      </c>
      <c r="E29341" t="s">
        <v>2620</v>
      </c>
      <c r="F29341" t="s">
        <v>2621</v>
      </c>
      <c r="G29341" t="s">
        <v>2622</v>
      </c>
      <c r="H29341" t="s">
        <v>2599</v>
      </c>
      <c r="I29341" t="s">
        <v>2623</v>
      </c>
      <c r="J29341" t="s">
        <v>2624</v>
      </c>
      <c r="K29341" t="s">
        <v>2625</v>
      </c>
      <c r="L29341" t="s">
        <v>2626</v>
      </c>
      <c r="M29341" t="s">
        <v>286</v>
      </c>
      <c r="N29341" t="s">
        <v>326</v>
      </c>
      <c r="O29341" t="s">
        <v>226</v>
      </c>
    </row>
    <row r="29342" spans="1:15" x14ac:dyDescent="0.35">
      <c r="A29342" t="s">
        <v>227</v>
      </c>
      <c r="B29342" t="s">
        <v>244</v>
      </c>
      <c r="C29342" s="26">
        <v>0.53120000000000001</v>
      </c>
      <c r="D29342" s="26">
        <v>0.19789999999999999</v>
      </c>
      <c r="E29342" s="26">
        <v>0.19789999999999999</v>
      </c>
      <c r="F29342" s="26">
        <v>4.1700000000000001E-2</v>
      </c>
      <c r="G29342" s="26">
        <v>3.1199999999999999E-2</v>
      </c>
      <c r="H29342" s="26">
        <v>5.21E-2</v>
      </c>
      <c r="I29342" s="26">
        <v>5.21E-2</v>
      </c>
      <c r="J29342" s="26">
        <v>3.1199999999999999E-2</v>
      </c>
      <c r="K29342" s="26">
        <v>4.1700000000000001E-2</v>
      </c>
      <c r="L29342" s="26">
        <v>2.0799999999999999E-2</v>
      </c>
      <c r="O29342">
        <v>96</v>
      </c>
    </row>
    <row r="29343" spans="1:15" x14ac:dyDescent="0.35">
      <c r="A29343" t="s">
        <v>227</v>
      </c>
      <c r="B29343" t="s">
        <v>245</v>
      </c>
      <c r="C29343" s="26">
        <v>0.35849999999999999</v>
      </c>
      <c r="D29343" s="26">
        <v>0.47170000000000001</v>
      </c>
      <c r="E29343" s="26">
        <v>9.4299999999999995E-2</v>
      </c>
      <c r="F29343" s="26">
        <v>7.5499999999999998E-2</v>
      </c>
      <c r="G29343" s="26">
        <v>5.6599999999999998E-2</v>
      </c>
      <c r="H29343" s="26">
        <v>3.7699999999999997E-2</v>
      </c>
      <c r="I29343" s="26">
        <v>9.4299999999999995E-2</v>
      </c>
      <c r="J29343" s="26">
        <v>3.7699999999999997E-2</v>
      </c>
      <c r="K29343" s="26">
        <v>3.7699999999999997E-2</v>
      </c>
      <c r="L29343" s="26">
        <v>1.89E-2</v>
      </c>
      <c r="O29343">
        <v>53</v>
      </c>
    </row>
    <row r="29344" spans="1:15" x14ac:dyDescent="0.35">
      <c r="A29344" s="27" t="s">
        <v>227</v>
      </c>
      <c r="B29344" s="27" t="s">
        <v>246</v>
      </c>
      <c r="C29344" s="28">
        <v>0.5</v>
      </c>
      <c r="D29344" s="29"/>
      <c r="E29344" s="28">
        <v>0.33329999999999999</v>
      </c>
      <c r="F29344" s="28">
        <v>8.3299999999999999E-2</v>
      </c>
      <c r="G29344" s="28">
        <v>8.3299999999999999E-2</v>
      </c>
      <c r="H29344" s="29"/>
      <c r="I29344" s="29"/>
      <c r="J29344" s="28">
        <v>8.3299999999999999E-2</v>
      </c>
      <c r="K29344" s="28">
        <v>8.3299999999999999E-2</v>
      </c>
      <c r="L29344" s="29"/>
      <c r="M29344" s="29"/>
      <c r="N29344" s="29"/>
      <c r="O29344" s="29" t="s">
        <v>342</v>
      </c>
    </row>
    <row r="29345" spans="1:15" x14ac:dyDescent="0.35">
      <c r="A29345" t="s">
        <v>228</v>
      </c>
      <c r="B29345" t="s">
        <v>244</v>
      </c>
      <c r="C29345" s="26">
        <v>0.39439999999999997</v>
      </c>
      <c r="D29345" s="26">
        <v>0.29430000000000001</v>
      </c>
      <c r="E29345" s="26">
        <v>0.1547</v>
      </c>
      <c r="F29345" s="26">
        <v>9.6199999999999994E-2</v>
      </c>
      <c r="G29345" s="26">
        <v>6.4699999999999994E-2</v>
      </c>
      <c r="H29345" s="26">
        <v>8.0600000000000005E-2</v>
      </c>
      <c r="I29345" s="26">
        <v>5.6899999999999999E-2</v>
      </c>
      <c r="J29345" s="26">
        <v>3.9399999999999998E-2</v>
      </c>
      <c r="K29345" s="26">
        <v>2.9899999999999999E-2</v>
      </c>
      <c r="L29345" s="26">
        <v>1.47E-2</v>
      </c>
      <c r="M29345" s="26">
        <v>9.7999999999999997E-3</v>
      </c>
      <c r="O29345">
        <v>638</v>
      </c>
    </row>
    <row r="29346" spans="1:15" x14ac:dyDescent="0.35">
      <c r="A29346" t="s">
        <v>228</v>
      </c>
      <c r="B29346" t="s">
        <v>245</v>
      </c>
      <c r="C29346" s="26">
        <v>0.33710000000000001</v>
      </c>
      <c r="D29346" s="26">
        <v>0.42249999999999999</v>
      </c>
      <c r="E29346" s="26">
        <v>0.1149</v>
      </c>
      <c r="F29346" s="26">
        <v>0.11459999999999999</v>
      </c>
      <c r="G29346" s="26">
        <v>6.1400000000000003E-2</v>
      </c>
      <c r="H29346" s="26">
        <v>8.8499999999999995E-2</v>
      </c>
      <c r="I29346" s="26">
        <v>4.7699999999999999E-2</v>
      </c>
      <c r="J29346" s="26">
        <v>5.1999999999999998E-2</v>
      </c>
      <c r="K29346" s="26">
        <v>4.2099999999999999E-2</v>
      </c>
      <c r="L29346" s="26">
        <v>6.7999999999999996E-3</v>
      </c>
      <c r="M29346" s="26">
        <v>4.7000000000000002E-3</v>
      </c>
      <c r="O29346">
        <v>327</v>
      </c>
    </row>
    <row r="29347" spans="1:15" x14ac:dyDescent="0.35">
      <c r="A29347" t="s">
        <v>228</v>
      </c>
      <c r="B29347" t="s">
        <v>246</v>
      </c>
      <c r="C29347" s="26">
        <v>0.48110000000000003</v>
      </c>
      <c r="D29347" s="26">
        <v>0.11459999999999999</v>
      </c>
      <c r="E29347" s="26">
        <v>0.27879999999999999</v>
      </c>
      <c r="F29347" s="26">
        <v>0.11409999999999999</v>
      </c>
      <c r="G29347" s="26">
        <v>7.2900000000000006E-2</v>
      </c>
      <c r="H29347" s="26">
        <v>0.1047</v>
      </c>
      <c r="I29347" s="26">
        <v>5.5E-2</v>
      </c>
      <c r="J29347" s="26">
        <v>5.0599999999999999E-2</v>
      </c>
      <c r="K29347" s="26">
        <v>1.7100000000000001E-2</v>
      </c>
      <c r="O29347">
        <v>66</v>
      </c>
    </row>
    <row r="29348" spans="1:15" x14ac:dyDescent="0.35">
      <c r="A29348" t="s">
        <v>229</v>
      </c>
      <c r="B29348" t="s">
        <v>244</v>
      </c>
      <c r="C29348" s="26">
        <v>0.44669999999999999</v>
      </c>
      <c r="D29348" s="26">
        <v>0.2636</v>
      </c>
      <c r="E29348" s="26">
        <v>0.16159999999999999</v>
      </c>
      <c r="F29348" s="26">
        <v>4.7300000000000002E-2</v>
      </c>
      <c r="G29348" s="26">
        <v>5.8700000000000002E-2</v>
      </c>
      <c r="H29348" s="26">
        <v>6.13E-2</v>
      </c>
      <c r="I29348" s="26">
        <v>6.4899999999999999E-2</v>
      </c>
      <c r="J29348" s="26">
        <v>4.07E-2</v>
      </c>
      <c r="K29348" s="26">
        <v>3.5400000000000001E-2</v>
      </c>
      <c r="L29348" s="26">
        <v>1.8100000000000002E-2</v>
      </c>
      <c r="M29348" s="26">
        <v>2.0999999999999999E-3</v>
      </c>
      <c r="O29348">
        <v>555</v>
      </c>
    </row>
    <row r="29349" spans="1:15" x14ac:dyDescent="0.35">
      <c r="A29349" t="s">
        <v>229</v>
      </c>
      <c r="B29349" t="s">
        <v>245</v>
      </c>
      <c r="C29349" s="26">
        <v>0.34160000000000001</v>
      </c>
      <c r="D29349" s="26">
        <v>0.4617</v>
      </c>
      <c r="E29349" s="26">
        <v>7.0400000000000004E-2</v>
      </c>
      <c r="F29349" s="26">
        <v>3.7699999999999997E-2</v>
      </c>
      <c r="G29349" s="26">
        <v>4.1799999999999997E-2</v>
      </c>
      <c r="H29349" s="26">
        <v>2.6100000000000002E-2</v>
      </c>
      <c r="I29349" s="26">
        <v>1.0699999999999999E-2</v>
      </c>
      <c r="J29349" s="26">
        <v>6.2399999999999997E-2</v>
      </c>
      <c r="K29349" s="26">
        <v>1.7299999999999999E-2</v>
      </c>
      <c r="L29349" s="26">
        <v>6.9999999999999999E-4</v>
      </c>
      <c r="M29349" s="26">
        <v>6.9999999999999999E-4</v>
      </c>
      <c r="N29349" s="26">
        <v>6.9999999999999999E-4</v>
      </c>
      <c r="O29349">
        <v>292</v>
      </c>
    </row>
    <row r="29350" spans="1:15" x14ac:dyDescent="0.35">
      <c r="A29350" t="s">
        <v>229</v>
      </c>
      <c r="B29350" t="s">
        <v>246</v>
      </c>
      <c r="C29350" s="26">
        <v>0.50680000000000003</v>
      </c>
      <c r="D29350" s="26">
        <v>0.17100000000000001</v>
      </c>
      <c r="E29350" s="26">
        <v>0.30959999999999999</v>
      </c>
      <c r="F29350" s="26">
        <v>6.4600000000000005E-2</v>
      </c>
      <c r="G29350" s="26">
        <v>5.5599999999999997E-2</v>
      </c>
      <c r="H29350" s="26">
        <v>5.6500000000000002E-2</v>
      </c>
      <c r="I29350" s="26">
        <v>4.7100000000000003E-2</v>
      </c>
      <c r="J29350" s="26">
        <v>5.9799999999999999E-2</v>
      </c>
      <c r="K29350" s="26">
        <v>4.7100000000000003E-2</v>
      </c>
      <c r="L29350" s="26">
        <v>5.96E-2</v>
      </c>
      <c r="O29350">
        <v>45</v>
      </c>
    </row>
    <row r="29351" spans="1:15" x14ac:dyDescent="0.35">
      <c r="A29351" t="s">
        <v>230</v>
      </c>
      <c r="B29351" t="s">
        <v>244</v>
      </c>
      <c r="C29351" s="26">
        <v>0.40620000000000001</v>
      </c>
      <c r="D29351" s="26">
        <v>0.249</v>
      </c>
      <c r="E29351" s="26">
        <v>0.1988</v>
      </c>
      <c r="F29351" s="26">
        <v>0.1216</v>
      </c>
      <c r="G29351" s="26">
        <v>7.5899999999999995E-2</v>
      </c>
      <c r="H29351" s="26">
        <v>7.22E-2</v>
      </c>
      <c r="I29351" s="26">
        <v>6.25E-2</v>
      </c>
      <c r="J29351" s="26">
        <v>7.0300000000000001E-2</v>
      </c>
      <c r="K29351" s="26">
        <v>5.3100000000000001E-2</v>
      </c>
      <c r="L29351" s="26">
        <v>0.03</v>
      </c>
      <c r="M29351" s="26">
        <v>4.3E-3</v>
      </c>
      <c r="O29351">
        <v>369</v>
      </c>
    </row>
    <row r="29352" spans="1:15" x14ac:dyDescent="0.35">
      <c r="A29352" t="s">
        <v>230</v>
      </c>
      <c r="B29352" t="s">
        <v>245</v>
      </c>
      <c r="C29352" s="26">
        <v>0.34110000000000001</v>
      </c>
      <c r="D29352" s="26">
        <v>0.45839999999999997</v>
      </c>
      <c r="E29352" s="26">
        <v>0.1205</v>
      </c>
      <c r="F29352" s="26">
        <v>3.61E-2</v>
      </c>
      <c r="G29352" s="26">
        <v>4.5499999999999999E-2</v>
      </c>
      <c r="H29352" s="26">
        <v>5.1499999999999997E-2</v>
      </c>
      <c r="I29352" s="26">
        <v>5.6300000000000003E-2</v>
      </c>
      <c r="J29352" s="26">
        <v>2.0299999999999999E-2</v>
      </c>
      <c r="K29352" s="26">
        <v>1.72E-2</v>
      </c>
      <c r="O29352">
        <v>161</v>
      </c>
    </row>
    <row r="29353" spans="1:15" x14ac:dyDescent="0.35">
      <c r="A29353" s="27" t="s">
        <v>230</v>
      </c>
      <c r="B29353" s="27" t="s">
        <v>246</v>
      </c>
      <c r="C29353" s="28">
        <v>0.39929999999999999</v>
      </c>
      <c r="D29353" s="28">
        <v>4.2599999999999999E-2</v>
      </c>
      <c r="E29353" s="28">
        <v>0.3861</v>
      </c>
      <c r="F29353" s="28">
        <v>0.1963</v>
      </c>
      <c r="G29353" s="28">
        <v>5.5999999999999999E-3</v>
      </c>
      <c r="H29353" s="28">
        <v>4.2599999999999999E-2</v>
      </c>
      <c r="I29353" s="28">
        <v>0.1164</v>
      </c>
      <c r="J29353" s="28">
        <v>5.5999999999999999E-3</v>
      </c>
      <c r="K29353" s="28">
        <v>5.5999999999999999E-3</v>
      </c>
      <c r="L29353" s="28">
        <v>2.3900000000000001E-2</v>
      </c>
      <c r="M29353" s="29"/>
      <c r="N29353" s="29"/>
      <c r="O29353" s="29" t="s">
        <v>329</v>
      </c>
    </row>
    <row r="29354" spans="1:15" x14ac:dyDescent="0.35">
      <c r="A29354" t="s">
        <v>231</v>
      </c>
      <c r="B29354" t="s">
        <v>244</v>
      </c>
      <c r="C29354" s="26">
        <v>0.49469999999999997</v>
      </c>
      <c r="D29354" s="26">
        <v>0.29470000000000002</v>
      </c>
      <c r="E29354" s="26">
        <v>0.15790000000000001</v>
      </c>
      <c r="F29354" s="26">
        <v>3.1600000000000003E-2</v>
      </c>
      <c r="G29354" s="26">
        <v>4.2099999999999999E-2</v>
      </c>
      <c r="H29354" s="26">
        <v>3.1600000000000003E-2</v>
      </c>
      <c r="I29354" s="26">
        <v>3.1600000000000003E-2</v>
      </c>
      <c r="J29354" s="26">
        <v>2.1100000000000001E-2</v>
      </c>
      <c r="O29354">
        <v>95</v>
      </c>
    </row>
    <row r="29355" spans="1:15" x14ac:dyDescent="0.35">
      <c r="A29355" t="s">
        <v>231</v>
      </c>
      <c r="B29355" t="s">
        <v>245</v>
      </c>
      <c r="C29355" s="26">
        <v>0.35709999999999997</v>
      </c>
      <c r="D29355" s="26">
        <v>0.48209999999999997</v>
      </c>
      <c r="E29355" s="26">
        <v>8.9300000000000004E-2</v>
      </c>
      <c r="F29355" s="26">
        <v>3.5700000000000003E-2</v>
      </c>
      <c r="G29355" s="26">
        <v>3.5700000000000003E-2</v>
      </c>
      <c r="I29355" s="26">
        <v>1.7899999999999999E-2</v>
      </c>
      <c r="K29355" s="26">
        <v>1.7899999999999999E-2</v>
      </c>
      <c r="L29355" s="26">
        <v>1.7899999999999999E-2</v>
      </c>
      <c r="O29355">
        <v>56</v>
      </c>
    </row>
    <row r="29356" spans="1:15" x14ac:dyDescent="0.35">
      <c r="A29356" s="27" t="s">
        <v>231</v>
      </c>
      <c r="B29356" s="27" t="s">
        <v>246</v>
      </c>
      <c r="C29356" s="28">
        <v>0.61539999999999995</v>
      </c>
      <c r="D29356" s="29"/>
      <c r="E29356" s="28">
        <v>0.23080000000000001</v>
      </c>
      <c r="F29356" s="28">
        <v>0.15379999999999999</v>
      </c>
      <c r="G29356" s="29"/>
      <c r="H29356" s="29"/>
      <c r="I29356" s="29"/>
      <c r="J29356" s="29"/>
      <c r="K29356" s="28">
        <v>7.6899999999999996E-2</v>
      </c>
      <c r="L29356" s="29"/>
      <c r="M29356" s="29"/>
      <c r="N29356" s="29"/>
      <c r="O29356" s="29" t="s">
        <v>341</v>
      </c>
    </row>
    <row r="29357" spans="1:15" x14ac:dyDescent="0.35">
      <c r="A29357" t="s">
        <v>232</v>
      </c>
      <c r="B29357" t="s">
        <v>232</v>
      </c>
      <c r="C29357" s="26">
        <v>0.42920000000000003</v>
      </c>
      <c r="D29357" s="26">
        <v>0.31090000000000001</v>
      </c>
      <c r="E29357" s="26">
        <v>0.154</v>
      </c>
      <c r="F29357" s="26">
        <v>6.3E-2</v>
      </c>
      <c r="G29357" s="26">
        <v>5.0700000000000002E-2</v>
      </c>
      <c r="H29357" s="26">
        <v>4.9099999999999998E-2</v>
      </c>
      <c r="I29357" s="26">
        <v>4.7E-2</v>
      </c>
      <c r="J29357" s="26">
        <v>3.61E-2</v>
      </c>
      <c r="K29357" s="26">
        <v>2.9100000000000001E-2</v>
      </c>
      <c r="L29357" s="26">
        <v>1.34E-2</v>
      </c>
      <c r="M29357" s="26">
        <v>2.2000000000000001E-3</v>
      </c>
      <c r="N29357" s="26">
        <v>0</v>
      </c>
      <c r="O29357">
        <v>2807</v>
      </c>
    </row>
    <row r="29359" spans="1:15" x14ac:dyDescent="0.35">
      <c r="A29359" s="1" t="s">
        <v>2630</v>
      </c>
    </row>
    <row r="29360" spans="1:15" x14ac:dyDescent="0.35">
      <c r="A29360" t="s">
        <v>219</v>
      </c>
      <c r="B29360" t="s">
        <v>305</v>
      </c>
      <c r="C29360" t="s">
        <v>550</v>
      </c>
      <c r="D29360" t="s">
        <v>281</v>
      </c>
      <c r="E29360" t="s">
        <v>2620</v>
      </c>
      <c r="F29360" t="s">
        <v>2621</v>
      </c>
      <c r="G29360" t="s">
        <v>2622</v>
      </c>
      <c r="H29360" t="s">
        <v>2599</v>
      </c>
      <c r="I29360" t="s">
        <v>2623</v>
      </c>
      <c r="J29360" t="s">
        <v>2624</v>
      </c>
      <c r="K29360" t="s">
        <v>2625</v>
      </c>
      <c r="L29360" t="s">
        <v>2626</v>
      </c>
      <c r="M29360" t="s">
        <v>286</v>
      </c>
      <c r="N29360" t="s">
        <v>326</v>
      </c>
      <c r="O29360" t="s">
        <v>226</v>
      </c>
    </row>
    <row r="29361" spans="1:15" x14ac:dyDescent="0.35">
      <c r="A29361" t="s">
        <v>227</v>
      </c>
      <c r="B29361" t="s">
        <v>360</v>
      </c>
      <c r="C29361" s="26">
        <v>0.4103</v>
      </c>
      <c r="D29361" s="26">
        <v>0.33329999999999999</v>
      </c>
      <c r="E29361" s="26">
        <v>0.17949999999999999</v>
      </c>
      <c r="G29361" s="26">
        <v>2.5600000000000001E-2</v>
      </c>
      <c r="J29361" s="26">
        <v>5.1299999999999998E-2</v>
      </c>
      <c r="K29361" s="26">
        <v>7.6899999999999996E-2</v>
      </c>
      <c r="O29361">
        <v>39</v>
      </c>
    </row>
    <row r="29362" spans="1:15" x14ac:dyDescent="0.35">
      <c r="A29362" t="s">
        <v>227</v>
      </c>
      <c r="B29362" t="s">
        <v>361</v>
      </c>
      <c r="C29362" s="26">
        <v>0.5</v>
      </c>
      <c r="D29362" s="26">
        <v>0.3125</v>
      </c>
      <c r="E29362" s="26">
        <v>0.125</v>
      </c>
      <c r="F29362" s="26">
        <v>9.3799999999999994E-2</v>
      </c>
      <c r="G29362" s="26">
        <v>6.25E-2</v>
      </c>
      <c r="H29362" s="26">
        <v>6.25E-2</v>
      </c>
      <c r="I29362" s="26">
        <v>0.125</v>
      </c>
      <c r="J29362" s="26">
        <v>6.25E-2</v>
      </c>
      <c r="K29362" s="26">
        <v>6.25E-2</v>
      </c>
      <c r="L29362" s="26">
        <v>3.1199999999999999E-2</v>
      </c>
      <c r="O29362">
        <v>32</v>
      </c>
    </row>
    <row r="29363" spans="1:15" x14ac:dyDescent="0.35">
      <c r="A29363" t="s">
        <v>227</v>
      </c>
      <c r="B29363" t="s">
        <v>362</v>
      </c>
      <c r="C29363" s="26">
        <v>0.51349999999999996</v>
      </c>
      <c r="D29363" s="26">
        <v>0.16220000000000001</v>
      </c>
      <c r="E29363" s="26">
        <v>0.16220000000000001</v>
      </c>
      <c r="F29363" s="26">
        <v>5.4100000000000002E-2</v>
      </c>
      <c r="G29363" s="26">
        <v>5.4100000000000002E-2</v>
      </c>
      <c r="H29363" s="26">
        <v>8.1100000000000005E-2</v>
      </c>
      <c r="I29363" s="26">
        <v>2.7E-2</v>
      </c>
      <c r="K29363" s="26">
        <v>2.7E-2</v>
      </c>
      <c r="O29363">
        <v>37</v>
      </c>
    </row>
    <row r="29364" spans="1:15" x14ac:dyDescent="0.35">
      <c r="A29364" t="s">
        <v>227</v>
      </c>
      <c r="B29364" t="s">
        <v>363</v>
      </c>
      <c r="C29364" s="26">
        <v>0.5111</v>
      </c>
      <c r="D29364" s="26">
        <v>0.28889999999999999</v>
      </c>
      <c r="E29364" s="26">
        <v>0.15559999999999999</v>
      </c>
      <c r="F29364" s="26">
        <v>6.6699999999999995E-2</v>
      </c>
      <c r="G29364" s="26">
        <v>2.2200000000000001E-2</v>
      </c>
      <c r="H29364" s="26">
        <v>2.2200000000000001E-2</v>
      </c>
      <c r="I29364" s="26">
        <v>6.6699999999999995E-2</v>
      </c>
      <c r="J29364" s="26">
        <v>2.2200000000000001E-2</v>
      </c>
      <c r="L29364" s="26">
        <v>2.2200000000000001E-2</v>
      </c>
      <c r="O29364">
        <v>45</v>
      </c>
    </row>
    <row r="29365" spans="1:15" x14ac:dyDescent="0.35">
      <c r="A29365" t="s">
        <v>228</v>
      </c>
      <c r="B29365" t="s">
        <v>360</v>
      </c>
      <c r="C29365" s="26">
        <v>0.4007</v>
      </c>
      <c r="D29365" s="26">
        <v>0.31809999999999999</v>
      </c>
      <c r="E29365" s="26">
        <v>0.1215</v>
      </c>
      <c r="F29365" s="26">
        <v>0.1057</v>
      </c>
      <c r="G29365" s="26">
        <v>2.93E-2</v>
      </c>
      <c r="H29365" s="26">
        <v>9.7299999999999998E-2</v>
      </c>
      <c r="I29365" s="26">
        <v>2.1999999999999999E-2</v>
      </c>
      <c r="J29365" s="26">
        <v>3.7600000000000001E-2</v>
      </c>
      <c r="K29365" s="26">
        <v>1.9199999999999998E-2</v>
      </c>
      <c r="L29365" s="26">
        <v>1.01E-2</v>
      </c>
      <c r="M29365" s="26">
        <v>6.3E-3</v>
      </c>
      <c r="O29365">
        <v>258</v>
      </c>
    </row>
    <row r="29366" spans="1:15" x14ac:dyDescent="0.35">
      <c r="A29366" t="s">
        <v>228</v>
      </c>
      <c r="B29366" t="s">
        <v>361</v>
      </c>
      <c r="C29366" s="26">
        <v>0.3634</v>
      </c>
      <c r="D29366" s="26">
        <v>0.28050000000000003</v>
      </c>
      <c r="E29366" s="26">
        <v>0.21060000000000001</v>
      </c>
      <c r="F29366" s="26">
        <v>0.11849999999999999</v>
      </c>
      <c r="G29366" s="26">
        <v>7.6899999999999996E-2</v>
      </c>
      <c r="H29366" s="26">
        <v>0.1004</v>
      </c>
      <c r="I29366" s="26">
        <v>6.3399999999999998E-2</v>
      </c>
      <c r="J29366" s="26">
        <v>4.9500000000000002E-2</v>
      </c>
      <c r="K29366" s="26">
        <v>2.52E-2</v>
      </c>
      <c r="L29366" s="26">
        <v>9.2999999999999992E-3</v>
      </c>
      <c r="M29366" s="26">
        <v>4.8999999999999998E-3</v>
      </c>
      <c r="O29366">
        <v>193</v>
      </c>
    </row>
    <row r="29367" spans="1:15" x14ac:dyDescent="0.35">
      <c r="A29367" t="s">
        <v>228</v>
      </c>
      <c r="B29367" t="s">
        <v>363</v>
      </c>
      <c r="C29367" s="26">
        <v>0.4304</v>
      </c>
      <c r="D29367" s="26">
        <v>0.2606</v>
      </c>
      <c r="E29367" s="26">
        <v>0.15079999999999999</v>
      </c>
      <c r="F29367" s="26">
        <v>8.4500000000000006E-2</v>
      </c>
      <c r="G29367" s="26">
        <v>9.1600000000000001E-2</v>
      </c>
      <c r="H29367" s="26">
        <v>8.7099999999999997E-2</v>
      </c>
      <c r="I29367" s="26">
        <v>4.8300000000000003E-2</v>
      </c>
      <c r="J29367" s="26">
        <v>4.87E-2</v>
      </c>
      <c r="K29367" s="26">
        <v>2.81E-2</v>
      </c>
      <c r="L29367" s="26">
        <v>3.8E-3</v>
      </c>
      <c r="M29367" s="26">
        <v>1.49E-2</v>
      </c>
      <c r="O29367">
        <v>212</v>
      </c>
    </row>
    <row r="29368" spans="1:15" x14ac:dyDescent="0.35">
      <c r="A29368" t="s">
        <v>228</v>
      </c>
      <c r="B29368" t="s">
        <v>362</v>
      </c>
      <c r="C29368" s="26">
        <v>0.38119999999999998</v>
      </c>
      <c r="D29368" s="26">
        <v>0.36109999999999998</v>
      </c>
      <c r="E29368" s="26">
        <v>0.1449</v>
      </c>
      <c r="F29368" s="26">
        <v>0.1027</v>
      </c>
      <c r="G29368" s="26">
        <v>5.4399999999999997E-2</v>
      </c>
      <c r="H29368" s="26">
        <v>6.8900000000000003E-2</v>
      </c>
      <c r="I29368" s="26">
        <v>6.7900000000000002E-2</v>
      </c>
      <c r="J29368" s="26">
        <v>3.5099999999999999E-2</v>
      </c>
      <c r="K29368" s="26">
        <v>6.13E-2</v>
      </c>
      <c r="L29368" s="26">
        <v>2.63E-2</v>
      </c>
      <c r="M29368" s="26">
        <v>3.3999999999999998E-3</v>
      </c>
      <c r="O29368">
        <v>235</v>
      </c>
    </row>
    <row r="29369" spans="1:15" x14ac:dyDescent="0.35">
      <c r="A29369" t="s">
        <v>229</v>
      </c>
      <c r="B29369" t="s">
        <v>363</v>
      </c>
      <c r="C29369" s="26">
        <v>0.43099999999999999</v>
      </c>
      <c r="D29369" s="26">
        <v>0.32879999999999998</v>
      </c>
      <c r="E29369" s="26">
        <v>0.1193</v>
      </c>
      <c r="F29369" s="26">
        <v>4.6300000000000001E-2</v>
      </c>
      <c r="G29369" s="26">
        <v>5.21E-2</v>
      </c>
      <c r="H29369" s="26">
        <v>6.8699999999999997E-2</v>
      </c>
      <c r="I29369" s="26">
        <v>6.1699999999999998E-2</v>
      </c>
      <c r="J29369" s="26">
        <v>4.5600000000000002E-2</v>
      </c>
      <c r="K29369" s="26">
        <v>3.5700000000000003E-2</v>
      </c>
      <c r="L29369" s="26">
        <v>1.7399999999999999E-2</v>
      </c>
      <c r="O29369">
        <v>190</v>
      </c>
    </row>
    <row r="29370" spans="1:15" x14ac:dyDescent="0.35">
      <c r="A29370" t="s">
        <v>229</v>
      </c>
      <c r="B29370" t="s">
        <v>360</v>
      </c>
      <c r="C29370" s="26">
        <v>0.33119999999999999</v>
      </c>
      <c r="D29370" s="26">
        <v>0.34399999999999997</v>
      </c>
      <c r="E29370" s="26">
        <v>0.22220000000000001</v>
      </c>
      <c r="F29370" s="26">
        <v>5.9799999999999999E-2</v>
      </c>
      <c r="G29370" s="26">
        <v>4.6100000000000002E-2</v>
      </c>
      <c r="H29370" s="26">
        <v>2.47E-2</v>
      </c>
      <c r="I29370" s="26">
        <v>3.5700000000000003E-2</v>
      </c>
      <c r="J29370" s="26">
        <v>3.9E-2</v>
      </c>
      <c r="K29370" s="26">
        <v>3.9E-2</v>
      </c>
      <c r="L29370" s="26">
        <v>1.95E-2</v>
      </c>
      <c r="M29370" s="26">
        <v>4.3E-3</v>
      </c>
      <c r="O29370">
        <v>163</v>
      </c>
    </row>
    <row r="29371" spans="1:15" x14ac:dyDescent="0.35">
      <c r="A29371" t="s">
        <v>229</v>
      </c>
      <c r="B29371" t="s">
        <v>361</v>
      </c>
      <c r="C29371" s="26">
        <v>0.43120000000000003</v>
      </c>
      <c r="D29371" s="26">
        <v>0.27939999999999998</v>
      </c>
      <c r="E29371" s="26">
        <v>0.1176</v>
      </c>
      <c r="F29371" s="26">
        <v>6.2E-2</v>
      </c>
      <c r="G29371" s="26">
        <v>6.9800000000000001E-2</v>
      </c>
      <c r="H29371" s="26">
        <v>7.7499999999999999E-2</v>
      </c>
      <c r="I29371" s="26">
        <v>6.6699999999999995E-2</v>
      </c>
      <c r="J29371" s="26">
        <v>5.8799999999999998E-2</v>
      </c>
      <c r="K29371" s="26">
        <v>3.4599999999999999E-2</v>
      </c>
      <c r="L29371" s="26">
        <v>1.47E-2</v>
      </c>
      <c r="O29371">
        <v>243</v>
      </c>
    </row>
    <row r="29372" spans="1:15" x14ac:dyDescent="0.35">
      <c r="A29372" t="s">
        <v>229</v>
      </c>
      <c r="B29372" t="s">
        <v>362</v>
      </c>
      <c r="C29372" s="26">
        <v>0.42930000000000001</v>
      </c>
      <c r="D29372" s="26">
        <v>0.32619999999999999</v>
      </c>
      <c r="E29372" s="26">
        <v>0.16689999999999999</v>
      </c>
      <c r="F29372" s="26">
        <v>1.5900000000000001E-2</v>
      </c>
      <c r="G29372" s="26">
        <v>3.5900000000000001E-2</v>
      </c>
      <c r="H29372" s="26">
        <v>3.1199999999999999E-2</v>
      </c>
      <c r="I29372" s="26">
        <v>8.9999999999999993E-3</v>
      </c>
      <c r="J29372" s="26">
        <v>5.7099999999999998E-2</v>
      </c>
      <c r="K29372" s="26">
        <v>3.09E-2</v>
      </c>
      <c r="L29372" s="26">
        <v>5.8999999999999999E-3</v>
      </c>
      <c r="N29372" s="26">
        <v>1.1000000000000001E-3</v>
      </c>
      <c r="O29372">
        <v>170</v>
      </c>
    </row>
    <row r="29373" spans="1:15" x14ac:dyDescent="0.35">
      <c r="A29373" t="s">
        <v>230</v>
      </c>
      <c r="B29373" t="s">
        <v>360</v>
      </c>
      <c r="C29373" s="26">
        <v>0.33279999999999998</v>
      </c>
      <c r="D29373" s="26">
        <v>0.29649999999999999</v>
      </c>
      <c r="E29373" s="26">
        <v>0.16900000000000001</v>
      </c>
      <c r="F29373" s="26">
        <v>0.1062</v>
      </c>
      <c r="G29373" s="26">
        <v>0.1137</v>
      </c>
      <c r="H29373" s="26">
        <v>6.2E-2</v>
      </c>
      <c r="I29373" s="26">
        <v>6.7400000000000002E-2</v>
      </c>
      <c r="J29373" s="26">
        <v>7.51E-2</v>
      </c>
      <c r="K29373" s="26">
        <v>3.8399999999999997E-2</v>
      </c>
      <c r="L29373" s="26">
        <v>3.5099999999999999E-2</v>
      </c>
      <c r="M29373" s="26">
        <v>4.8999999999999998E-3</v>
      </c>
      <c r="O29373">
        <v>119</v>
      </c>
    </row>
    <row r="29374" spans="1:15" x14ac:dyDescent="0.35">
      <c r="A29374" t="s">
        <v>230</v>
      </c>
      <c r="B29374" t="s">
        <v>363</v>
      </c>
      <c r="C29374" s="26">
        <v>0.39240000000000003</v>
      </c>
      <c r="D29374" s="26">
        <v>0.27110000000000001</v>
      </c>
      <c r="E29374" s="26">
        <v>0.22070000000000001</v>
      </c>
      <c r="F29374" s="26">
        <v>7.5999999999999998E-2</v>
      </c>
      <c r="G29374" s="26">
        <v>8.1500000000000003E-2</v>
      </c>
      <c r="H29374" s="26">
        <v>2.92E-2</v>
      </c>
      <c r="I29374" s="26">
        <v>5.3199999999999997E-2</v>
      </c>
      <c r="J29374" s="26">
        <v>7.3999999999999996E-2</v>
      </c>
      <c r="K29374" s="26">
        <v>5.11E-2</v>
      </c>
      <c r="L29374" s="26">
        <v>2.5399999999999999E-2</v>
      </c>
      <c r="O29374">
        <v>127</v>
      </c>
    </row>
    <row r="29375" spans="1:15" x14ac:dyDescent="0.35">
      <c r="A29375" t="s">
        <v>230</v>
      </c>
      <c r="B29375" t="s">
        <v>361</v>
      </c>
      <c r="C29375" s="26">
        <v>0.42280000000000001</v>
      </c>
      <c r="D29375" s="26">
        <v>0.2586</v>
      </c>
      <c r="E29375" s="26">
        <v>0.246</v>
      </c>
      <c r="F29375" s="26">
        <v>0.15040000000000001</v>
      </c>
      <c r="G29375" s="26">
        <v>6.6900000000000001E-2</v>
      </c>
      <c r="H29375" s="26">
        <v>0.109</v>
      </c>
      <c r="I29375" s="26">
        <v>6.59E-2</v>
      </c>
      <c r="J29375" s="26">
        <v>7.0400000000000004E-2</v>
      </c>
      <c r="K29375" s="26">
        <v>4.8099999999999997E-2</v>
      </c>
      <c r="L29375" s="26">
        <v>2.3400000000000001E-2</v>
      </c>
      <c r="M29375" s="26">
        <v>3.5999999999999999E-3</v>
      </c>
      <c r="O29375">
        <v>109</v>
      </c>
    </row>
    <row r="29376" spans="1:15" x14ac:dyDescent="0.35">
      <c r="A29376" t="s">
        <v>230</v>
      </c>
      <c r="B29376" t="s">
        <v>362</v>
      </c>
      <c r="C29376" s="26">
        <v>0.40329999999999999</v>
      </c>
      <c r="D29376" s="26">
        <v>0.3201</v>
      </c>
      <c r="E29376" s="26">
        <v>0.13450000000000001</v>
      </c>
      <c r="F29376" s="26">
        <v>6.8500000000000005E-2</v>
      </c>
      <c r="G29376" s="26">
        <v>2.2200000000000001E-2</v>
      </c>
      <c r="H29376" s="26">
        <v>6.2700000000000006E-2</v>
      </c>
      <c r="I29376" s="26">
        <v>7.6100000000000001E-2</v>
      </c>
      <c r="J29376" s="26">
        <v>1.1900000000000001E-2</v>
      </c>
      <c r="K29376" s="26">
        <v>3.3399999999999999E-2</v>
      </c>
      <c r="L29376" s="26">
        <v>1.04E-2</v>
      </c>
      <c r="M29376" s="26">
        <v>1.1000000000000001E-3</v>
      </c>
      <c r="O29376">
        <v>148</v>
      </c>
    </row>
    <row r="29377" spans="1:15" x14ac:dyDescent="0.35">
      <c r="A29377" s="27" t="s">
        <v>231</v>
      </c>
      <c r="B29377" s="27" t="s">
        <v>362</v>
      </c>
      <c r="C29377" s="28">
        <v>0.27589999999999998</v>
      </c>
      <c r="D29377" s="28">
        <v>0.58620000000000005</v>
      </c>
      <c r="E29377" s="28">
        <v>0.13789999999999999</v>
      </c>
      <c r="F29377" s="28">
        <v>3.4500000000000003E-2</v>
      </c>
      <c r="G29377" s="28">
        <v>3.4500000000000003E-2</v>
      </c>
      <c r="H29377" s="29"/>
      <c r="I29377" s="29"/>
      <c r="J29377" s="29"/>
      <c r="K29377" s="28">
        <v>3.4500000000000003E-2</v>
      </c>
      <c r="L29377" s="29"/>
      <c r="M29377" s="29"/>
      <c r="N29377" s="29"/>
      <c r="O29377" s="29" t="s">
        <v>329</v>
      </c>
    </row>
    <row r="29378" spans="1:15" x14ac:dyDescent="0.35">
      <c r="A29378" t="s">
        <v>231</v>
      </c>
      <c r="B29378" t="s">
        <v>361</v>
      </c>
      <c r="C29378" s="26">
        <v>0.48</v>
      </c>
      <c r="D29378" s="26">
        <v>0.28000000000000003</v>
      </c>
      <c r="E29378" s="26">
        <v>0.14000000000000001</v>
      </c>
      <c r="F29378" s="26">
        <v>0.06</v>
      </c>
      <c r="G29378" s="26">
        <v>0.08</v>
      </c>
      <c r="H29378" s="26">
        <v>0.02</v>
      </c>
      <c r="I29378" s="26">
        <v>0.02</v>
      </c>
      <c r="J29378" s="26">
        <v>0.02</v>
      </c>
      <c r="L29378" s="26">
        <v>0.02</v>
      </c>
      <c r="O29378">
        <v>50</v>
      </c>
    </row>
    <row r="29379" spans="1:15" x14ac:dyDescent="0.35">
      <c r="A29379" t="s">
        <v>231</v>
      </c>
      <c r="B29379" t="s">
        <v>360</v>
      </c>
      <c r="C29379" s="26">
        <v>0.45450000000000002</v>
      </c>
      <c r="D29379" s="26">
        <v>0.29549999999999998</v>
      </c>
      <c r="E29379" s="26">
        <v>0.18179999999999999</v>
      </c>
      <c r="F29379" s="26">
        <v>4.5499999999999999E-2</v>
      </c>
      <c r="H29379" s="26">
        <v>4.5499999999999999E-2</v>
      </c>
      <c r="I29379" s="26">
        <v>4.5499999999999999E-2</v>
      </c>
      <c r="J29379" s="26">
        <v>2.2700000000000001E-2</v>
      </c>
      <c r="K29379" s="26">
        <v>2.2700000000000001E-2</v>
      </c>
      <c r="O29379">
        <v>44</v>
      </c>
    </row>
    <row r="29380" spans="1:15" x14ac:dyDescent="0.35">
      <c r="A29380" s="27" t="s">
        <v>231</v>
      </c>
      <c r="B29380" s="27" t="s">
        <v>363</v>
      </c>
      <c r="C29380" s="28">
        <v>0.51849999999999996</v>
      </c>
      <c r="D29380" s="28">
        <v>0.29630000000000001</v>
      </c>
      <c r="E29380" s="28">
        <v>7.4099999999999999E-2</v>
      </c>
      <c r="F29380" s="28">
        <v>3.6999999999999998E-2</v>
      </c>
      <c r="G29380" s="28">
        <v>3.6999999999999998E-2</v>
      </c>
      <c r="H29380" s="29"/>
      <c r="I29380" s="28">
        <v>3.6999999999999998E-2</v>
      </c>
      <c r="J29380" s="29"/>
      <c r="K29380" s="29"/>
      <c r="L29380" s="29"/>
      <c r="M29380" s="29"/>
      <c r="N29380" s="29"/>
      <c r="O29380" s="29" t="s">
        <v>338</v>
      </c>
    </row>
    <row r="29381" spans="1:15" x14ac:dyDescent="0.35">
      <c r="A29381" t="s">
        <v>232</v>
      </c>
      <c r="B29381" t="s">
        <v>232</v>
      </c>
      <c r="C29381" s="26">
        <v>0.42920000000000003</v>
      </c>
      <c r="D29381" s="26">
        <v>0.31090000000000001</v>
      </c>
      <c r="E29381" s="26">
        <v>0.154</v>
      </c>
      <c r="F29381" s="26">
        <v>6.3E-2</v>
      </c>
      <c r="G29381" s="26">
        <v>5.0700000000000002E-2</v>
      </c>
      <c r="H29381" s="26">
        <v>4.9099999999999998E-2</v>
      </c>
      <c r="I29381" s="26">
        <v>4.7E-2</v>
      </c>
      <c r="J29381" s="26">
        <v>3.61E-2</v>
      </c>
      <c r="K29381" s="26">
        <v>2.9100000000000001E-2</v>
      </c>
      <c r="L29381" s="26">
        <v>1.34E-2</v>
      </c>
      <c r="M29381" s="26">
        <v>2.2000000000000001E-3</v>
      </c>
      <c r="N29381" s="26">
        <v>0</v>
      </c>
      <c r="O29381">
        <v>2470</v>
      </c>
    </row>
    <row r="29383" spans="1:15" x14ac:dyDescent="0.35">
      <c r="A29383" s="1" t="s">
        <v>2631</v>
      </c>
    </row>
    <row r="29384" spans="1:15" x14ac:dyDescent="0.35">
      <c r="A29384" t="s">
        <v>219</v>
      </c>
      <c r="B29384" t="s">
        <v>305</v>
      </c>
      <c r="C29384" t="s">
        <v>550</v>
      </c>
      <c r="D29384" t="s">
        <v>281</v>
      </c>
      <c r="E29384" t="s">
        <v>2620</v>
      </c>
      <c r="F29384" t="s">
        <v>2621</v>
      </c>
      <c r="G29384" t="s">
        <v>2622</v>
      </c>
      <c r="H29384" t="s">
        <v>2599</v>
      </c>
      <c r="I29384" t="s">
        <v>2623</v>
      </c>
      <c r="J29384" t="s">
        <v>2624</v>
      </c>
      <c r="K29384" t="s">
        <v>2625</v>
      </c>
      <c r="L29384" t="s">
        <v>2626</v>
      </c>
      <c r="M29384" t="s">
        <v>286</v>
      </c>
      <c r="N29384" t="s">
        <v>326</v>
      </c>
      <c r="O29384" t="s">
        <v>226</v>
      </c>
    </row>
    <row r="29385" spans="1:15" x14ac:dyDescent="0.35">
      <c r="A29385" t="s">
        <v>227</v>
      </c>
      <c r="B29385" t="s">
        <v>267</v>
      </c>
      <c r="C29385" s="26">
        <v>0.36109999999999998</v>
      </c>
      <c r="D29385" s="26">
        <v>0.36109999999999998</v>
      </c>
      <c r="E29385" s="26">
        <v>0.19439999999999999</v>
      </c>
      <c r="F29385" s="26">
        <v>8.3299999999999999E-2</v>
      </c>
      <c r="G29385" s="26">
        <v>5.5599999999999997E-2</v>
      </c>
      <c r="H29385" s="26">
        <v>5.5599999999999997E-2</v>
      </c>
      <c r="I29385" s="26">
        <v>5.5599999999999997E-2</v>
      </c>
      <c r="O29385">
        <v>36</v>
      </c>
    </row>
    <row r="29386" spans="1:15" x14ac:dyDescent="0.35">
      <c r="A29386" t="s">
        <v>227</v>
      </c>
      <c r="B29386" t="s">
        <v>266</v>
      </c>
      <c r="C29386" s="26">
        <v>0.44069999999999998</v>
      </c>
      <c r="D29386" s="26">
        <v>0.32200000000000001</v>
      </c>
      <c r="E29386" s="26">
        <v>0.18640000000000001</v>
      </c>
      <c r="F29386" s="26">
        <v>5.0799999999999998E-2</v>
      </c>
      <c r="G29386" s="26">
        <v>5.0799999999999998E-2</v>
      </c>
      <c r="H29386" s="26">
        <v>3.39E-2</v>
      </c>
      <c r="I29386" s="26">
        <v>0.1017</v>
      </c>
      <c r="J29386" s="26">
        <v>5.0799999999999998E-2</v>
      </c>
      <c r="K29386" s="26">
        <v>5.0799999999999998E-2</v>
      </c>
      <c r="L29386" s="26">
        <v>3.39E-2</v>
      </c>
      <c r="O29386">
        <v>59</v>
      </c>
    </row>
    <row r="29387" spans="1:15" x14ac:dyDescent="0.35">
      <c r="A29387" t="s">
        <v>227</v>
      </c>
      <c r="B29387" t="s">
        <v>265</v>
      </c>
      <c r="C29387" s="26">
        <v>0.56059999999999999</v>
      </c>
      <c r="D29387" s="26">
        <v>0.18179999999999999</v>
      </c>
      <c r="E29387" s="26">
        <v>0.1515</v>
      </c>
      <c r="F29387" s="26">
        <v>4.5499999999999999E-2</v>
      </c>
      <c r="G29387" s="26">
        <v>3.0300000000000001E-2</v>
      </c>
      <c r="H29387" s="26">
        <v>4.5499999999999999E-2</v>
      </c>
      <c r="I29387" s="26">
        <v>3.0300000000000001E-2</v>
      </c>
      <c r="J29387" s="26">
        <v>4.5499999999999999E-2</v>
      </c>
      <c r="K29387" s="26">
        <v>6.0600000000000001E-2</v>
      </c>
      <c r="L29387" s="26">
        <v>1.52E-2</v>
      </c>
      <c r="O29387">
        <v>66</v>
      </c>
    </row>
    <row r="29388" spans="1:15" x14ac:dyDescent="0.35">
      <c r="A29388" t="s">
        <v>228</v>
      </c>
      <c r="B29388" t="s">
        <v>267</v>
      </c>
      <c r="C29388" s="26">
        <v>0.31630000000000003</v>
      </c>
      <c r="D29388" s="26">
        <v>0.38379999999999997</v>
      </c>
      <c r="E29388" s="26">
        <v>0.13669999999999999</v>
      </c>
      <c r="F29388" s="26">
        <v>9.5200000000000007E-2</v>
      </c>
      <c r="G29388" s="26">
        <v>3.9699999999999999E-2</v>
      </c>
      <c r="H29388" s="26">
        <v>6.3700000000000007E-2</v>
      </c>
      <c r="I29388" s="26">
        <v>5.5199999999999999E-2</v>
      </c>
      <c r="J29388" s="26">
        <v>7.2599999999999998E-2</v>
      </c>
      <c r="K29388" s="26">
        <v>3.0499999999999999E-2</v>
      </c>
      <c r="L29388" s="26">
        <v>2.8999999999999998E-3</v>
      </c>
      <c r="M29388" s="26">
        <v>1.8800000000000001E-2</v>
      </c>
      <c r="O29388">
        <v>197</v>
      </c>
    </row>
    <row r="29389" spans="1:15" x14ac:dyDescent="0.35">
      <c r="A29389" t="s">
        <v>228</v>
      </c>
      <c r="B29389" t="s">
        <v>265</v>
      </c>
      <c r="C29389" s="26">
        <v>0.45200000000000001</v>
      </c>
      <c r="D29389" s="26">
        <v>0.2392</v>
      </c>
      <c r="E29389" s="26">
        <v>0.16500000000000001</v>
      </c>
      <c r="F29389" s="26">
        <v>9.6799999999999997E-2</v>
      </c>
      <c r="G29389" s="26">
        <v>7.8700000000000006E-2</v>
      </c>
      <c r="H29389" s="26">
        <v>8.3400000000000002E-2</v>
      </c>
      <c r="I29389" s="26">
        <v>5.2699999999999997E-2</v>
      </c>
      <c r="J29389" s="26">
        <v>2.2700000000000001E-2</v>
      </c>
      <c r="K29389" s="26">
        <v>2.1600000000000001E-2</v>
      </c>
      <c r="L29389" s="26">
        <v>1.26E-2</v>
      </c>
      <c r="M29389" s="26">
        <v>8.9999999999999993E-3</v>
      </c>
      <c r="O29389">
        <v>384</v>
      </c>
    </row>
    <row r="29390" spans="1:15" x14ac:dyDescent="0.35">
      <c r="A29390" s="27" t="s">
        <v>228</v>
      </c>
      <c r="B29390" s="27" t="s">
        <v>236</v>
      </c>
      <c r="C29390" s="28">
        <v>1</v>
      </c>
      <c r="D29390" s="29"/>
      <c r="E29390" s="29"/>
      <c r="F29390" s="29"/>
      <c r="G29390" s="29"/>
      <c r="H29390" s="29"/>
      <c r="I29390" s="29"/>
      <c r="J29390" s="29"/>
      <c r="K29390" s="29"/>
      <c r="L29390" s="29"/>
      <c r="M29390" s="29"/>
      <c r="N29390" s="29"/>
      <c r="O29390" s="29" t="s">
        <v>314</v>
      </c>
    </row>
    <row r="29391" spans="1:15" x14ac:dyDescent="0.35">
      <c r="A29391" t="s">
        <v>228</v>
      </c>
      <c r="B29391" t="s">
        <v>266</v>
      </c>
      <c r="C29391" s="26">
        <v>0.3342</v>
      </c>
      <c r="D29391" s="26">
        <v>0.37469999999999998</v>
      </c>
      <c r="E29391" s="26">
        <v>0.1479</v>
      </c>
      <c r="F29391" s="26">
        <v>0.1129</v>
      </c>
      <c r="G29391" s="26">
        <v>6.0900000000000003E-2</v>
      </c>
      <c r="H29391" s="26">
        <v>9.5399999999999999E-2</v>
      </c>
      <c r="I29391" s="26">
        <v>5.6099999999999997E-2</v>
      </c>
      <c r="J29391" s="26">
        <v>5.3600000000000002E-2</v>
      </c>
      <c r="K29391" s="26">
        <v>4.4699999999999997E-2</v>
      </c>
      <c r="L29391" s="26">
        <v>1.41E-2</v>
      </c>
      <c r="M29391" s="26">
        <v>2E-3</v>
      </c>
      <c r="O29391">
        <v>448</v>
      </c>
    </row>
    <row r="29392" spans="1:15" x14ac:dyDescent="0.35">
      <c r="A29392" t="s">
        <v>229</v>
      </c>
      <c r="B29392" t="s">
        <v>266</v>
      </c>
      <c r="C29392" s="26">
        <v>0.39900000000000002</v>
      </c>
      <c r="D29392" s="26">
        <v>0.3392</v>
      </c>
      <c r="E29392" s="26">
        <v>0.14080000000000001</v>
      </c>
      <c r="F29392" s="26">
        <v>5.04E-2</v>
      </c>
      <c r="G29392" s="26">
        <v>0.05</v>
      </c>
      <c r="H29392" s="26">
        <v>2.7199999999999998E-2</v>
      </c>
      <c r="I29392" s="26">
        <v>3.1099999999999999E-2</v>
      </c>
      <c r="J29392" s="26">
        <v>5.3999999999999999E-2</v>
      </c>
      <c r="K29392" s="26">
        <v>2.64E-2</v>
      </c>
      <c r="L29392" s="26">
        <v>8.5000000000000006E-3</v>
      </c>
      <c r="M29392" s="26">
        <v>5.0000000000000001E-4</v>
      </c>
      <c r="N29392" s="26">
        <v>5.0000000000000001E-4</v>
      </c>
      <c r="O29392">
        <v>358</v>
      </c>
    </row>
    <row r="29393" spans="1:15" x14ac:dyDescent="0.35">
      <c r="A29393" t="s">
        <v>229</v>
      </c>
      <c r="B29393" t="s">
        <v>267</v>
      </c>
      <c r="C29393" s="26">
        <v>0.37369999999999998</v>
      </c>
      <c r="D29393" s="26">
        <v>0.38769999999999999</v>
      </c>
      <c r="E29393" s="26">
        <v>0.1138</v>
      </c>
      <c r="F29393" s="26">
        <v>3.04E-2</v>
      </c>
      <c r="G29393" s="26">
        <v>4.5100000000000001E-2</v>
      </c>
      <c r="H29393" s="26">
        <v>5.21E-2</v>
      </c>
      <c r="I29393" s="26">
        <v>5.9400000000000001E-2</v>
      </c>
      <c r="J29393" s="26">
        <v>7.2900000000000006E-2</v>
      </c>
      <c r="K29393" s="26">
        <v>4.7E-2</v>
      </c>
      <c r="L29393" s="26">
        <v>2.8899999999999999E-2</v>
      </c>
      <c r="O29393">
        <v>201</v>
      </c>
    </row>
    <row r="29394" spans="1:15" x14ac:dyDescent="0.35">
      <c r="A29394" t="s">
        <v>229</v>
      </c>
      <c r="B29394" t="s">
        <v>265</v>
      </c>
      <c r="C29394" s="26">
        <v>0.46579999999999999</v>
      </c>
      <c r="D29394" s="26">
        <v>0.24729999999999999</v>
      </c>
      <c r="E29394" s="26">
        <v>0.1668</v>
      </c>
      <c r="F29394" s="26">
        <v>5.0099999999999999E-2</v>
      </c>
      <c r="G29394" s="26">
        <v>6.1899999999999997E-2</v>
      </c>
      <c r="H29394" s="26">
        <v>7.0400000000000004E-2</v>
      </c>
      <c r="I29394" s="26">
        <v>5.9799999999999999E-2</v>
      </c>
      <c r="J29394" s="26">
        <v>2.9600000000000001E-2</v>
      </c>
      <c r="K29394" s="26">
        <v>2.75E-2</v>
      </c>
      <c r="L29394" s="26">
        <v>1.49E-2</v>
      </c>
      <c r="M29394" s="26">
        <v>3.2000000000000002E-3</v>
      </c>
      <c r="O29394">
        <v>333</v>
      </c>
    </row>
    <row r="29395" spans="1:15" x14ac:dyDescent="0.35">
      <c r="A29395" t="s">
        <v>230</v>
      </c>
      <c r="B29395" t="s">
        <v>267</v>
      </c>
      <c r="C29395" s="26">
        <v>0.43099999999999999</v>
      </c>
      <c r="D29395" s="26">
        <v>0.2949</v>
      </c>
      <c r="E29395" s="26">
        <v>0.16020000000000001</v>
      </c>
      <c r="F29395" s="26">
        <v>7.5600000000000001E-2</v>
      </c>
      <c r="G29395" s="26">
        <v>6.7799999999999999E-2</v>
      </c>
      <c r="H29395" s="26">
        <v>4.8599999999999997E-2</v>
      </c>
      <c r="I29395" s="26">
        <v>2.8500000000000001E-2</v>
      </c>
      <c r="J29395" s="26">
        <v>1.34E-2</v>
      </c>
      <c r="K29395" s="26">
        <v>8.2000000000000007E-3</v>
      </c>
      <c r="L29395" s="26">
        <v>4.1000000000000003E-3</v>
      </c>
      <c r="O29395">
        <v>119</v>
      </c>
    </row>
    <row r="29396" spans="1:15" x14ac:dyDescent="0.35">
      <c r="A29396" t="s">
        <v>230</v>
      </c>
      <c r="B29396" t="s">
        <v>266</v>
      </c>
      <c r="C29396" s="26">
        <v>0.37730000000000002</v>
      </c>
      <c r="D29396" s="26">
        <v>0.31919999999999998</v>
      </c>
      <c r="E29396" s="26">
        <v>0.1971</v>
      </c>
      <c r="F29396" s="26">
        <v>6.4299999999999996E-2</v>
      </c>
      <c r="G29396" s="26">
        <v>6.2199999999999998E-2</v>
      </c>
      <c r="H29396" s="26">
        <v>6.1600000000000002E-2</v>
      </c>
      <c r="I29396" s="26">
        <v>6.9199999999999998E-2</v>
      </c>
      <c r="J29396" s="26">
        <v>6.6699999999999995E-2</v>
      </c>
      <c r="K29396" s="26">
        <v>3.3099999999999997E-2</v>
      </c>
      <c r="L29396" s="26">
        <v>3.2800000000000003E-2</v>
      </c>
      <c r="M29396" s="26">
        <v>5.7999999999999996E-3</v>
      </c>
      <c r="O29396">
        <v>232</v>
      </c>
    </row>
    <row r="29397" spans="1:15" x14ac:dyDescent="0.35">
      <c r="A29397" t="s">
        <v>230</v>
      </c>
      <c r="B29397" t="s">
        <v>265</v>
      </c>
      <c r="C29397" s="26">
        <v>0.37690000000000001</v>
      </c>
      <c r="D29397" s="26">
        <v>0.27029999999999998</v>
      </c>
      <c r="E29397" s="26">
        <v>0.1938</v>
      </c>
      <c r="F29397" s="26">
        <v>0.15090000000000001</v>
      </c>
      <c r="G29397" s="26">
        <v>6.4799999999999996E-2</v>
      </c>
      <c r="H29397" s="26">
        <v>7.7499999999999999E-2</v>
      </c>
      <c r="I29397" s="26">
        <v>7.6999999999999999E-2</v>
      </c>
      <c r="J29397" s="26">
        <v>6.4799999999999996E-2</v>
      </c>
      <c r="K29397" s="26">
        <v>6.6299999999999998E-2</v>
      </c>
      <c r="L29397" s="26">
        <v>2.1899999999999999E-2</v>
      </c>
      <c r="M29397" s="26">
        <v>2.0999999999999999E-3</v>
      </c>
      <c r="O29397">
        <v>208</v>
      </c>
    </row>
    <row r="29398" spans="1:15" x14ac:dyDescent="0.35">
      <c r="A29398" t="s">
        <v>231</v>
      </c>
      <c r="B29398" t="s">
        <v>267</v>
      </c>
      <c r="C29398" s="26">
        <v>0.38240000000000002</v>
      </c>
      <c r="D29398" s="26">
        <v>0.44119999999999998</v>
      </c>
      <c r="E29398" s="26">
        <v>0.14710000000000001</v>
      </c>
      <c r="F29398" s="26">
        <v>2.9399999999999999E-2</v>
      </c>
      <c r="G29398" s="26">
        <v>5.8799999999999998E-2</v>
      </c>
      <c r="K29398" s="26">
        <v>2.9399999999999999E-2</v>
      </c>
      <c r="O29398">
        <v>34</v>
      </c>
    </row>
    <row r="29399" spans="1:15" x14ac:dyDescent="0.35">
      <c r="A29399" t="s">
        <v>231</v>
      </c>
      <c r="B29399" t="s">
        <v>266</v>
      </c>
      <c r="C29399" s="26">
        <v>0.371</v>
      </c>
      <c r="D29399" s="26">
        <v>0.4194</v>
      </c>
      <c r="E29399" s="26">
        <v>0.1129</v>
      </c>
      <c r="F29399" s="26">
        <v>6.4500000000000002E-2</v>
      </c>
      <c r="G29399" s="26">
        <v>3.2300000000000002E-2</v>
      </c>
      <c r="I29399" s="26">
        <v>1.61E-2</v>
      </c>
      <c r="J29399" s="26">
        <v>1.61E-2</v>
      </c>
      <c r="L29399" s="26">
        <v>1.61E-2</v>
      </c>
      <c r="O29399">
        <v>62</v>
      </c>
    </row>
    <row r="29400" spans="1:15" x14ac:dyDescent="0.35">
      <c r="A29400" t="s">
        <v>231</v>
      </c>
      <c r="B29400" t="s">
        <v>265</v>
      </c>
      <c r="C29400" s="26">
        <v>0.57350000000000001</v>
      </c>
      <c r="D29400" s="26">
        <v>0.2059</v>
      </c>
      <c r="E29400" s="26">
        <v>0.1618</v>
      </c>
      <c r="F29400" s="26">
        <v>2.9399999999999999E-2</v>
      </c>
      <c r="G29400" s="26">
        <v>2.9399999999999999E-2</v>
      </c>
      <c r="H29400" s="26">
        <v>4.41E-2</v>
      </c>
      <c r="I29400" s="26">
        <v>4.41E-2</v>
      </c>
      <c r="J29400" s="26">
        <v>1.47E-2</v>
      </c>
      <c r="K29400" s="26">
        <v>1.47E-2</v>
      </c>
      <c r="O29400">
        <v>68</v>
      </c>
    </row>
    <row r="29401" spans="1:15" x14ac:dyDescent="0.35">
      <c r="A29401" t="s">
        <v>232</v>
      </c>
      <c r="B29401" t="s">
        <v>232</v>
      </c>
      <c r="C29401" s="26">
        <v>0.42920000000000003</v>
      </c>
      <c r="D29401" s="26">
        <v>0.31090000000000001</v>
      </c>
      <c r="E29401" s="26">
        <v>0.154</v>
      </c>
      <c r="F29401" s="26">
        <v>6.3E-2</v>
      </c>
      <c r="G29401" s="26">
        <v>5.0700000000000002E-2</v>
      </c>
      <c r="H29401" s="26">
        <v>4.9099999999999998E-2</v>
      </c>
      <c r="I29401" s="26">
        <v>4.7E-2</v>
      </c>
      <c r="J29401" s="26">
        <v>3.61E-2</v>
      </c>
      <c r="K29401" s="26">
        <v>2.9100000000000001E-2</v>
      </c>
      <c r="L29401" s="26">
        <v>1.34E-2</v>
      </c>
      <c r="M29401" s="26">
        <v>2.2000000000000001E-3</v>
      </c>
      <c r="N29401" s="26">
        <v>0</v>
      </c>
      <c r="O29401">
        <v>2807</v>
      </c>
    </row>
    <row r="29403" spans="1:15" x14ac:dyDescent="0.35">
      <c r="A29403" s="1" t="s">
        <v>2632</v>
      </c>
    </row>
    <row r="29404" spans="1:15" x14ac:dyDescent="0.35">
      <c r="A29404" t="s">
        <v>219</v>
      </c>
      <c r="B29404" t="s">
        <v>305</v>
      </c>
      <c r="C29404" t="s">
        <v>550</v>
      </c>
      <c r="D29404" t="s">
        <v>281</v>
      </c>
      <c r="E29404" t="s">
        <v>2620</v>
      </c>
      <c r="F29404" t="s">
        <v>2621</v>
      </c>
      <c r="G29404" t="s">
        <v>2622</v>
      </c>
      <c r="H29404" t="s">
        <v>2599</v>
      </c>
      <c r="I29404" t="s">
        <v>2623</v>
      </c>
      <c r="J29404" t="s">
        <v>2624</v>
      </c>
      <c r="K29404" t="s">
        <v>2625</v>
      </c>
      <c r="L29404" t="s">
        <v>2626</v>
      </c>
      <c r="M29404" t="s">
        <v>286</v>
      </c>
      <c r="N29404" t="s">
        <v>326</v>
      </c>
      <c r="O29404" t="s">
        <v>226</v>
      </c>
    </row>
    <row r="29405" spans="1:15" x14ac:dyDescent="0.35">
      <c r="A29405" t="s">
        <v>227</v>
      </c>
      <c r="B29405" t="s">
        <v>252</v>
      </c>
      <c r="C29405" s="26">
        <v>0.37780000000000002</v>
      </c>
      <c r="D29405" s="26">
        <v>0.4889</v>
      </c>
      <c r="E29405" s="26">
        <v>4.4400000000000002E-2</v>
      </c>
      <c r="G29405" s="26">
        <v>4.4400000000000002E-2</v>
      </c>
      <c r="H29405" s="26">
        <v>6.6699999999999995E-2</v>
      </c>
      <c r="O29405">
        <v>45</v>
      </c>
    </row>
    <row r="29406" spans="1:15" x14ac:dyDescent="0.35">
      <c r="A29406" t="s">
        <v>227</v>
      </c>
      <c r="B29406" t="s">
        <v>253</v>
      </c>
      <c r="C29406" s="26">
        <v>0.47060000000000002</v>
      </c>
      <c r="D29406" s="26">
        <v>0.29409999999999997</v>
      </c>
      <c r="E29406" s="26">
        <v>0.14710000000000001</v>
      </c>
      <c r="F29406" s="26">
        <v>2.9399999999999999E-2</v>
      </c>
      <c r="I29406" s="26">
        <v>5.8799999999999998E-2</v>
      </c>
      <c r="J29406" s="26">
        <v>5.8799999999999998E-2</v>
      </c>
      <c r="K29406" s="26">
        <v>5.8799999999999998E-2</v>
      </c>
      <c r="O29406">
        <v>34</v>
      </c>
    </row>
    <row r="29407" spans="1:15" x14ac:dyDescent="0.35">
      <c r="A29407" t="s">
        <v>227</v>
      </c>
      <c r="B29407" t="s">
        <v>251</v>
      </c>
      <c r="C29407" s="26">
        <v>0.52439999999999998</v>
      </c>
      <c r="D29407" s="26">
        <v>0.14630000000000001</v>
      </c>
      <c r="E29407" s="26">
        <v>0.25609999999999999</v>
      </c>
      <c r="F29407" s="26">
        <v>9.7600000000000006E-2</v>
      </c>
      <c r="G29407" s="26">
        <v>6.0999999999999999E-2</v>
      </c>
      <c r="H29407" s="26">
        <v>4.8800000000000003E-2</v>
      </c>
      <c r="I29407" s="26">
        <v>9.7600000000000006E-2</v>
      </c>
      <c r="J29407" s="26">
        <v>4.8800000000000003E-2</v>
      </c>
      <c r="K29407" s="26">
        <v>6.0999999999999999E-2</v>
      </c>
      <c r="L29407" s="26">
        <v>3.6600000000000001E-2</v>
      </c>
      <c r="O29407">
        <v>82</v>
      </c>
    </row>
    <row r="29408" spans="1:15" x14ac:dyDescent="0.35">
      <c r="A29408" t="s">
        <v>228</v>
      </c>
      <c r="B29408" t="s">
        <v>252</v>
      </c>
      <c r="C29408" s="26">
        <v>0.43340000000000001</v>
      </c>
      <c r="D29408" s="26">
        <v>0.3992</v>
      </c>
      <c r="E29408" s="26">
        <v>5.3499999999999999E-2</v>
      </c>
      <c r="F29408" s="26">
        <v>7.6799999999999993E-2</v>
      </c>
      <c r="G29408" s="26">
        <v>2.5100000000000001E-2</v>
      </c>
      <c r="H29408" s="26">
        <v>5.33E-2</v>
      </c>
      <c r="I29408" s="26">
        <v>1.7600000000000001E-2</v>
      </c>
      <c r="J29408" s="26">
        <v>1.21E-2</v>
      </c>
      <c r="K29408" s="26">
        <v>2.41E-2</v>
      </c>
      <c r="M29408" s="26">
        <v>1.5800000000000002E-2</v>
      </c>
      <c r="O29408">
        <v>344</v>
      </c>
    </row>
    <row r="29409" spans="1:15" x14ac:dyDescent="0.35">
      <c r="A29409" t="s">
        <v>228</v>
      </c>
      <c r="B29409" t="s">
        <v>253</v>
      </c>
      <c r="C29409" s="26">
        <v>0.3175</v>
      </c>
      <c r="D29409" s="26">
        <v>0.29559999999999997</v>
      </c>
      <c r="E29409" s="26">
        <v>0.22309999999999999</v>
      </c>
      <c r="F29409" s="26">
        <v>0.114</v>
      </c>
      <c r="G29409" s="26">
        <v>4.87E-2</v>
      </c>
      <c r="H29409" s="26">
        <v>0.1187</v>
      </c>
      <c r="I29409" s="26">
        <v>0.1</v>
      </c>
      <c r="J29409" s="26">
        <v>7.8899999999999998E-2</v>
      </c>
      <c r="K29409" s="26">
        <v>4.2099999999999999E-2</v>
      </c>
      <c r="L29409" s="26">
        <v>1.8599999999999998E-2</v>
      </c>
      <c r="O29409">
        <v>222</v>
      </c>
    </row>
    <row r="29410" spans="1:15" x14ac:dyDescent="0.35">
      <c r="A29410" t="s">
        <v>228</v>
      </c>
      <c r="B29410" t="s">
        <v>251</v>
      </c>
      <c r="C29410" s="26">
        <v>0.38019999999999998</v>
      </c>
      <c r="D29410" s="26">
        <v>0.27189999999999998</v>
      </c>
      <c r="E29410" s="26">
        <v>0.18809999999999999</v>
      </c>
      <c r="F29410" s="26">
        <v>0.1149</v>
      </c>
      <c r="G29410" s="26">
        <v>9.7600000000000006E-2</v>
      </c>
      <c r="H29410" s="26">
        <v>9.0700000000000003E-2</v>
      </c>
      <c r="I29410" s="26">
        <v>5.91E-2</v>
      </c>
      <c r="J29410" s="26">
        <v>4.9700000000000001E-2</v>
      </c>
      <c r="K29410" s="26">
        <v>3.39E-2</v>
      </c>
      <c r="L29410" s="26">
        <v>1.6199999999999999E-2</v>
      </c>
      <c r="M29410" s="26">
        <v>5.5999999999999999E-3</v>
      </c>
      <c r="O29410">
        <v>465</v>
      </c>
    </row>
    <row r="29411" spans="1:15" x14ac:dyDescent="0.35">
      <c r="A29411" t="s">
        <v>229</v>
      </c>
      <c r="B29411" t="s">
        <v>252</v>
      </c>
      <c r="C29411" s="26">
        <v>0.318</v>
      </c>
      <c r="D29411" s="26">
        <v>0.53080000000000005</v>
      </c>
      <c r="E29411" s="26">
        <v>8.3599999999999994E-2</v>
      </c>
      <c r="F29411" s="26">
        <v>3.2099999999999997E-2</v>
      </c>
      <c r="G29411" s="26">
        <v>4.4999999999999997E-3</v>
      </c>
      <c r="H29411" s="26">
        <v>9.5999999999999992E-3</v>
      </c>
      <c r="I29411" s="26">
        <v>3.0000000000000001E-3</v>
      </c>
      <c r="J29411" s="26">
        <v>1.9300000000000001E-2</v>
      </c>
      <c r="K29411" s="26">
        <v>1.49E-2</v>
      </c>
      <c r="L29411" s="26">
        <v>8.0000000000000004E-4</v>
      </c>
      <c r="N29411" s="26">
        <v>8.0000000000000004E-4</v>
      </c>
      <c r="O29411">
        <v>198</v>
      </c>
    </row>
    <row r="29412" spans="1:15" x14ac:dyDescent="0.35">
      <c r="A29412" t="s">
        <v>229</v>
      </c>
      <c r="B29412" t="s">
        <v>253</v>
      </c>
      <c r="C29412" s="26">
        <v>0.44440000000000002</v>
      </c>
      <c r="D29412" s="26">
        <v>0.2984</v>
      </c>
      <c r="E29412" s="26">
        <v>0.1837</v>
      </c>
      <c r="F29412" s="26">
        <v>4.65E-2</v>
      </c>
      <c r="G29412" s="26">
        <v>6.1499999999999999E-2</v>
      </c>
      <c r="H29412" s="26">
        <v>6.1499999999999999E-2</v>
      </c>
      <c r="I29412" s="26">
        <v>4.2500000000000003E-2</v>
      </c>
      <c r="J29412" s="26">
        <v>6.2E-2</v>
      </c>
      <c r="K29412" s="26">
        <v>4.5100000000000001E-2</v>
      </c>
      <c r="L29412" s="26">
        <v>4.5100000000000001E-2</v>
      </c>
      <c r="M29412" s="26">
        <v>4.0000000000000001E-3</v>
      </c>
      <c r="O29412">
        <v>144</v>
      </c>
    </row>
    <row r="29413" spans="1:15" x14ac:dyDescent="0.35">
      <c r="A29413" t="s">
        <v>229</v>
      </c>
      <c r="B29413" t="s">
        <v>251</v>
      </c>
      <c r="C29413" s="26">
        <v>0.45710000000000001</v>
      </c>
      <c r="D29413" s="26">
        <v>0.2268</v>
      </c>
      <c r="E29413" s="26">
        <v>0.15859999999999999</v>
      </c>
      <c r="F29413" s="26">
        <v>5.0799999999999998E-2</v>
      </c>
      <c r="G29413" s="26">
        <v>7.1099999999999997E-2</v>
      </c>
      <c r="H29413" s="26">
        <v>6.5500000000000003E-2</v>
      </c>
      <c r="I29413" s="26">
        <v>7.0999999999999994E-2</v>
      </c>
      <c r="J29413" s="26">
        <v>5.3100000000000001E-2</v>
      </c>
      <c r="K29413" s="26">
        <v>3.3399999999999999E-2</v>
      </c>
      <c r="L29413" s="26">
        <v>1.23E-2</v>
      </c>
      <c r="M29413" s="26">
        <v>1.4E-3</v>
      </c>
      <c r="O29413">
        <v>550</v>
      </c>
    </row>
    <row r="29414" spans="1:15" x14ac:dyDescent="0.35">
      <c r="A29414" t="s">
        <v>230</v>
      </c>
      <c r="B29414" t="s">
        <v>252</v>
      </c>
      <c r="C29414" s="26">
        <v>0.34899999999999998</v>
      </c>
      <c r="D29414" s="26">
        <v>0.43690000000000001</v>
      </c>
      <c r="E29414" s="26">
        <v>7.7100000000000002E-2</v>
      </c>
      <c r="F29414" s="26">
        <v>5.8200000000000002E-2</v>
      </c>
      <c r="G29414" s="26">
        <v>3.9699999999999999E-2</v>
      </c>
      <c r="H29414" s="26">
        <v>2.6800000000000001E-2</v>
      </c>
      <c r="I29414" s="26">
        <v>1.0500000000000001E-2</v>
      </c>
      <c r="J29414" s="26">
        <v>1.5100000000000001E-2</v>
      </c>
      <c r="K29414" s="26">
        <v>3.9800000000000002E-2</v>
      </c>
      <c r="L29414" s="26">
        <v>1.1000000000000001E-3</v>
      </c>
      <c r="M29414" s="26">
        <v>7.0000000000000001E-3</v>
      </c>
      <c r="O29414">
        <v>158</v>
      </c>
    </row>
    <row r="29415" spans="1:15" x14ac:dyDescent="0.35">
      <c r="A29415" t="s">
        <v>230</v>
      </c>
      <c r="B29415" t="s">
        <v>253</v>
      </c>
      <c r="C29415" s="26">
        <v>0.35980000000000001</v>
      </c>
      <c r="D29415" s="26">
        <v>0.36249999999999999</v>
      </c>
      <c r="E29415" s="26">
        <v>0.1081</v>
      </c>
      <c r="F29415" s="26">
        <v>0.13769999999999999</v>
      </c>
      <c r="G29415" s="26">
        <v>4.3799999999999999E-2</v>
      </c>
      <c r="H29415" s="26">
        <v>5.4100000000000002E-2</v>
      </c>
      <c r="I29415" s="26">
        <v>1.37E-2</v>
      </c>
      <c r="J29415" s="26">
        <v>7.5499999999999998E-2</v>
      </c>
      <c r="K29415" s="26">
        <v>8.9999999999999993E-3</v>
      </c>
      <c r="L29415" s="26">
        <v>3.2800000000000003E-2</v>
      </c>
      <c r="M29415" s="26">
        <v>1.4E-3</v>
      </c>
      <c r="O29415">
        <v>110</v>
      </c>
    </row>
    <row r="29416" spans="1:15" x14ac:dyDescent="0.35">
      <c r="A29416" t="s">
        <v>230</v>
      </c>
      <c r="B29416" t="s">
        <v>251</v>
      </c>
      <c r="C29416" s="26">
        <v>0.41720000000000002</v>
      </c>
      <c r="D29416" s="26">
        <v>0.2039</v>
      </c>
      <c r="E29416" s="26">
        <v>0.26540000000000002</v>
      </c>
      <c r="F29416" s="26">
        <v>0.1118</v>
      </c>
      <c r="G29416" s="26">
        <v>8.3000000000000004E-2</v>
      </c>
      <c r="H29416" s="26">
        <v>8.6900000000000005E-2</v>
      </c>
      <c r="I29416" s="26">
        <v>0.1048</v>
      </c>
      <c r="J29416" s="26">
        <v>6.4899999999999999E-2</v>
      </c>
      <c r="K29416" s="26">
        <v>5.33E-2</v>
      </c>
      <c r="L29416" s="26">
        <v>2.7799999999999998E-2</v>
      </c>
      <c r="M29416" s="26">
        <v>1.6000000000000001E-3</v>
      </c>
      <c r="O29416">
        <v>291</v>
      </c>
    </row>
    <row r="29417" spans="1:15" x14ac:dyDescent="0.35">
      <c r="A29417" t="s">
        <v>231</v>
      </c>
      <c r="B29417" t="s">
        <v>252</v>
      </c>
      <c r="C29417" s="26">
        <v>0.42859999999999998</v>
      </c>
      <c r="D29417" s="26">
        <v>0.48980000000000001</v>
      </c>
      <c r="E29417" s="26">
        <v>2.0400000000000001E-2</v>
      </c>
      <c r="F29417" s="26">
        <v>2.0400000000000001E-2</v>
      </c>
      <c r="H29417" s="26">
        <v>2.0400000000000001E-2</v>
      </c>
      <c r="I29417" s="26">
        <v>2.0400000000000001E-2</v>
      </c>
      <c r="O29417">
        <v>49</v>
      </c>
    </row>
    <row r="29418" spans="1:15" x14ac:dyDescent="0.35">
      <c r="A29418" t="s">
        <v>231</v>
      </c>
      <c r="B29418" t="s">
        <v>253</v>
      </c>
      <c r="C29418" s="26">
        <v>0.4667</v>
      </c>
      <c r="D29418" s="26">
        <v>0.26669999999999999</v>
      </c>
      <c r="E29418" s="26">
        <v>0.2</v>
      </c>
      <c r="F29418" s="26">
        <v>6.6699999999999995E-2</v>
      </c>
      <c r="G29418" s="26">
        <v>3.3300000000000003E-2</v>
      </c>
      <c r="I29418" s="26">
        <v>6.6699999999999995E-2</v>
      </c>
      <c r="J29418" s="26">
        <v>6.6699999999999995E-2</v>
      </c>
      <c r="O29418">
        <v>30</v>
      </c>
    </row>
    <row r="29419" spans="1:15" x14ac:dyDescent="0.35">
      <c r="A29419" t="s">
        <v>231</v>
      </c>
      <c r="B29419" t="s">
        <v>251</v>
      </c>
      <c r="C29419" s="26">
        <v>0.47060000000000002</v>
      </c>
      <c r="D29419" s="26">
        <v>0.27060000000000001</v>
      </c>
      <c r="E29419" s="26">
        <v>0.18820000000000001</v>
      </c>
      <c r="F29419" s="26">
        <v>4.7100000000000003E-2</v>
      </c>
      <c r="G29419" s="26">
        <v>5.8799999999999998E-2</v>
      </c>
      <c r="H29419" s="26">
        <v>2.35E-2</v>
      </c>
      <c r="I29419" s="26">
        <v>1.18E-2</v>
      </c>
      <c r="K29419" s="26">
        <v>2.35E-2</v>
      </c>
      <c r="L29419" s="26">
        <v>1.18E-2</v>
      </c>
      <c r="O29419">
        <v>85</v>
      </c>
    </row>
    <row r="29420" spans="1:15" x14ac:dyDescent="0.35">
      <c r="A29420" t="s">
        <v>232</v>
      </c>
      <c r="B29420" t="s">
        <v>232</v>
      </c>
      <c r="C29420" s="26">
        <v>0.42920000000000003</v>
      </c>
      <c r="D29420" s="26">
        <v>0.31090000000000001</v>
      </c>
      <c r="E29420" s="26">
        <v>0.154</v>
      </c>
      <c r="F29420" s="26">
        <v>6.3E-2</v>
      </c>
      <c r="G29420" s="26">
        <v>5.0700000000000002E-2</v>
      </c>
      <c r="H29420" s="26">
        <v>4.9099999999999998E-2</v>
      </c>
      <c r="I29420" s="26">
        <v>4.7E-2</v>
      </c>
      <c r="J29420" s="26">
        <v>3.61E-2</v>
      </c>
      <c r="K29420" s="26">
        <v>2.9100000000000001E-2</v>
      </c>
      <c r="L29420" s="26">
        <v>1.34E-2</v>
      </c>
      <c r="M29420" s="26">
        <v>2.2000000000000001E-3</v>
      </c>
      <c r="N29420" s="26">
        <v>0</v>
      </c>
      <c r="O29420">
        <v>2807</v>
      </c>
    </row>
    <row r="29422" spans="1:15" x14ac:dyDescent="0.35">
      <c r="A29422" s="1" t="s">
        <v>2633</v>
      </c>
    </row>
    <row r="29423" spans="1:15" x14ac:dyDescent="0.35">
      <c r="A29423" t="s">
        <v>219</v>
      </c>
      <c r="B29423" t="s">
        <v>305</v>
      </c>
      <c r="C29423" t="s">
        <v>550</v>
      </c>
      <c r="D29423" t="s">
        <v>281</v>
      </c>
      <c r="E29423" t="s">
        <v>2620</v>
      </c>
      <c r="F29423" t="s">
        <v>2621</v>
      </c>
      <c r="G29423" t="s">
        <v>2622</v>
      </c>
      <c r="H29423" t="s">
        <v>2599</v>
      </c>
      <c r="I29423" t="s">
        <v>2623</v>
      </c>
      <c r="J29423" t="s">
        <v>2624</v>
      </c>
      <c r="K29423" t="s">
        <v>2625</v>
      </c>
      <c r="L29423" t="s">
        <v>2626</v>
      </c>
      <c r="M29423" t="s">
        <v>286</v>
      </c>
      <c r="N29423" t="s">
        <v>326</v>
      </c>
      <c r="O29423" t="s">
        <v>226</v>
      </c>
    </row>
    <row r="29424" spans="1:15" x14ac:dyDescent="0.35">
      <c r="A29424" t="s">
        <v>227</v>
      </c>
      <c r="B29424" t="s">
        <v>249</v>
      </c>
      <c r="C29424" s="26">
        <v>0.63639999999999997</v>
      </c>
      <c r="D29424" s="26">
        <v>2.2700000000000001E-2</v>
      </c>
      <c r="E29424" s="26">
        <v>0.29549999999999998</v>
      </c>
      <c r="F29424" s="26">
        <v>4.5499999999999999E-2</v>
      </c>
      <c r="G29424" s="26">
        <v>4.5499999999999999E-2</v>
      </c>
      <c r="H29424" s="26">
        <v>2.2700000000000001E-2</v>
      </c>
      <c r="I29424" s="26">
        <v>2.2700000000000001E-2</v>
      </c>
      <c r="J29424" s="26">
        <v>2.2700000000000001E-2</v>
      </c>
      <c r="K29424" s="26">
        <v>2.2700000000000001E-2</v>
      </c>
      <c r="L29424" s="26">
        <v>2.2700000000000001E-2</v>
      </c>
      <c r="O29424">
        <v>44</v>
      </c>
    </row>
    <row r="29425" spans="1:15" x14ac:dyDescent="0.35">
      <c r="A29425" t="s">
        <v>227</v>
      </c>
      <c r="B29425" t="s">
        <v>248</v>
      </c>
      <c r="C29425" s="26">
        <v>0.4103</v>
      </c>
      <c r="D29425" s="26">
        <v>0.36749999999999999</v>
      </c>
      <c r="E29425" s="26">
        <v>0.12820000000000001</v>
      </c>
      <c r="F29425" s="26">
        <v>5.9799999999999999E-2</v>
      </c>
      <c r="G29425" s="26">
        <v>4.2700000000000002E-2</v>
      </c>
      <c r="H29425" s="26">
        <v>5.1299999999999998E-2</v>
      </c>
      <c r="I29425" s="26">
        <v>7.6899999999999996E-2</v>
      </c>
      <c r="J29425" s="26">
        <v>4.2700000000000002E-2</v>
      </c>
      <c r="K29425" s="26">
        <v>5.1299999999999998E-2</v>
      </c>
      <c r="L29425" s="26">
        <v>1.7100000000000001E-2</v>
      </c>
      <c r="O29425">
        <v>117</v>
      </c>
    </row>
    <row r="29426" spans="1:15" x14ac:dyDescent="0.35">
      <c r="A29426" t="s">
        <v>228</v>
      </c>
      <c r="B29426" t="s">
        <v>249</v>
      </c>
      <c r="C29426" s="26">
        <v>0.43020000000000003</v>
      </c>
      <c r="D29426" s="26">
        <v>0.1434</v>
      </c>
      <c r="E29426" s="26">
        <v>0.28460000000000002</v>
      </c>
      <c r="F29426" s="26">
        <v>0.1045</v>
      </c>
      <c r="G29426" s="26">
        <v>8.5099999999999995E-2</v>
      </c>
      <c r="H29426" s="26">
        <v>0.10009999999999999</v>
      </c>
      <c r="I29426" s="26">
        <v>5.9499999999999997E-2</v>
      </c>
      <c r="J29426" s="26">
        <v>3.5999999999999997E-2</v>
      </c>
      <c r="K29426" s="26">
        <v>3.5099999999999999E-2</v>
      </c>
      <c r="L29426" s="26">
        <v>1.9400000000000001E-2</v>
      </c>
      <c r="M29426" s="26">
        <v>1.8E-3</v>
      </c>
      <c r="O29426">
        <v>273</v>
      </c>
    </row>
    <row r="29427" spans="1:15" x14ac:dyDescent="0.35">
      <c r="A29427" t="s">
        <v>228</v>
      </c>
      <c r="B29427" t="s">
        <v>248</v>
      </c>
      <c r="C29427" s="26">
        <v>0.3649</v>
      </c>
      <c r="D29427" s="26">
        <v>0.39200000000000002</v>
      </c>
      <c r="E29427" s="26">
        <v>9.5600000000000004E-2</v>
      </c>
      <c r="F29427" s="26">
        <v>0.1016</v>
      </c>
      <c r="G29427" s="26">
        <v>5.5399999999999998E-2</v>
      </c>
      <c r="H29427" s="26">
        <v>7.7799999999999994E-2</v>
      </c>
      <c r="I29427" s="26">
        <v>5.1900000000000002E-2</v>
      </c>
      <c r="J29427" s="26">
        <v>4.6899999999999997E-2</v>
      </c>
      <c r="K29427" s="26">
        <v>3.1300000000000001E-2</v>
      </c>
      <c r="L29427" s="26">
        <v>8.0999999999999996E-3</v>
      </c>
      <c r="M29427" s="26">
        <v>1.03E-2</v>
      </c>
      <c r="O29427">
        <v>758</v>
      </c>
    </row>
    <row r="29428" spans="1:15" x14ac:dyDescent="0.35">
      <c r="A29428" t="s">
        <v>229</v>
      </c>
      <c r="B29428" t="s">
        <v>249</v>
      </c>
      <c r="C29428" s="26">
        <v>0.54810000000000003</v>
      </c>
      <c r="D29428" s="26">
        <v>9.8400000000000001E-2</v>
      </c>
      <c r="E29428" s="26">
        <v>0.26129999999999998</v>
      </c>
      <c r="F29428" s="26">
        <v>2.75E-2</v>
      </c>
      <c r="G29428" s="26">
        <v>5.7599999999999998E-2</v>
      </c>
      <c r="H29428" s="26">
        <v>0.10979999999999999</v>
      </c>
      <c r="I29428" s="26">
        <v>5.3600000000000002E-2</v>
      </c>
      <c r="J29428" s="26">
        <v>5.6099999999999997E-2</v>
      </c>
      <c r="K29428" s="26">
        <v>5.9700000000000003E-2</v>
      </c>
      <c r="L29428" s="26">
        <v>3.8399999999999997E-2</v>
      </c>
      <c r="M29428" s="26">
        <v>2.9999999999999997E-4</v>
      </c>
      <c r="O29428">
        <v>259</v>
      </c>
    </row>
    <row r="29429" spans="1:15" x14ac:dyDescent="0.35">
      <c r="A29429" t="s">
        <v>229</v>
      </c>
      <c r="B29429" t="s">
        <v>248</v>
      </c>
      <c r="C29429" s="26">
        <v>0.36220000000000002</v>
      </c>
      <c r="D29429" s="26">
        <v>0.41189999999999999</v>
      </c>
      <c r="E29429" s="26">
        <v>9.01E-2</v>
      </c>
      <c r="F29429" s="26">
        <v>5.4800000000000001E-2</v>
      </c>
      <c r="G29429" s="26">
        <v>5.2600000000000001E-2</v>
      </c>
      <c r="H29429" s="26">
        <v>2.3900000000000001E-2</v>
      </c>
      <c r="I29429" s="26">
        <v>4.87E-2</v>
      </c>
      <c r="J29429" s="26">
        <v>4.2799999999999998E-2</v>
      </c>
      <c r="K29429" s="26">
        <v>1.7600000000000001E-2</v>
      </c>
      <c r="L29429" s="26">
        <v>4.8999999999999998E-3</v>
      </c>
      <c r="M29429" s="26">
        <v>2.2000000000000001E-3</v>
      </c>
      <c r="N29429" s="26">
        <v>2.9999999999999997E-4</v>
      </c>
      <c r="O29429">
        <v>633</v>
      </c>
    </row>
    <row r="29430" spans="1:15" x14ac:dyDescent="0.35">
      <c r="A29430" t="s">
        <v>230</v>
      </c>
      <c r="B29430" t="s">
        <v>249</v>
      </c>
      <c r="C29430" s="26">
        <v>0.44369999999999998</v>
      </c>
      <c r="D29430" s="26">
        <v>5.7500000000000002E-2</v>
      </c>
      <c r="E29430" s="26">
        <v>0.34339999999999998</v>
      </c>
      <c r="F29430" s="26">
        <v>0.1181</v>
      </c>
      <c r="G29430" s="26">
        <v>0.1203</v>
      </c>
      <c r="H29430" s="26">
        <v>9.4700000000000006E-2</v>
      </c>
      <c r="I29430" s="26">
        <v>0.1159</v>
      </c>
      <c r="J29430" s="26">
        <v>7.9600000000000004E-2</v>
      </c>
      <c r="K29430" s="26">
        <v>4.5999999999999999E-2</v>
      </c>
      <c r="L29430" s="26">
        <v>4.2299999999999997E-2</v>
      </c>
      <c r="M29430" s="26">
        <v>2.7000000000000001E-3</v>
      </c>
      <c r="O29430">
        <v>171</v>
      </c>
    </row>
    <row r="29431" spans="1:15" x14ac:dyDescent="0.35">
      <c r="A29431" t="s">
        <v>230</v>
      </c>
      <c r="B29431" t="s">
        <v>248</v>
      </c>
      <c r="C29431" s="26">
        <v>0.36109999999999998</v>
      </c>
      <c r="D29431" s="26">
        <v>0.41349999999999998</v>
      </c>
      <c r="E29431" s="26">
        <v>0.10829999999999999</v>
      </c>
      <c r="F29431" s="26">
        <v>9.5399999999999999E-2</v>
      </c>
      <c r="G29431" s="26">
        <v>3.6200000000000003E-2</v>
      </c>
      <c r="H29431" s="26">
        <v>5.04E-2</v>
      </c>
      <c r="I29431" s="26">
        <v>3.6799999999999999E-2</v>
      </c>
      <c r="J29431" s="26">
        <v>4.1200000000000001E-2</v>
      </c>
      <c r="K29431" s="26">
        <v>3.9199999999999999E-2</v>
      </c>
      <c r="L29431" s="26">
        <v>1.15E-2</v>
      </c>
      <c r="M29431" s="26">
        <v>3.0999999999999999E-3</v>
      </c>
      <c r="O29431">
        <v>388</v>
      </c>
    </row>
    <row r="29432" spans="1:15" x14ac:dyDescent="0.35">
      <c r="A29432" t="s">
        <v>231</v>
      </c>
      <c r="B29432" t="s">
        <v>249</v>
      </c>
      <c r="C29432" s="26">
        <v>0.54290000000000005</v>
      </c>
      <c r="D29432" s="26">
        <v>0.1143</v>
      </c>
      <c r="E29432" s="26">
        <v>0.2571</v>
      </c>
      <c r="F29432" s="26">
        <v>0.1143</v>
      </c>
      <c r="G29432" s="26">
        <v>2.86E-2</v>
      </c>
      <c r="H29432" s="26">
        <v>2.86E-2</v>
      </c>
      <c r="J29432" s="26">
        <v>2.86E-2</v>
      </c>
      <c r="K29432" s="26">
        <v>2.86E-2</v>
      </c>
      <c r="O29432">
        <v>35</v>
      </c>
    </row>
    <row r="29433" spans="1:15" x14ac:dyDescent="0.35">
      <c r="A29433" t="s">
        <v>231</v>
      </c>
      <c r="B29433" t="s">
        <v>248</v>
      </c>
      <c r="C29433" s="26">
        <v>0.43409999999999999</v>
      </c>
      <c r="D29433" s="26">
        <v>0.39529999999999998</v>
      </c>
      <c r="E29433" s="26">
        <v>0.1085</v>
      </c>
      <c r="F29433" s="26">
        <v>2.3300000000000001E-2</v>
      </c>
      <c r="G29433" s="26">
        <v>3.8800000000000001E-2</v>
      </c>
      <c r="H29433" s="26">
        <v>1.55E-2</v>
      </c>
      <c r="I29433" s="26">
        <v>3.1E-2</v>
      </c>
      <c r="J29433" s="26">
        <v>7.7999999999999996E-3</v>
      </c>
      <c r="K29433" s="26">
        <v>7.7999999999999996E-3</v>
      </c>
      <c r="L29433" s="26">
        <v>7.7999999999999996E-3</v>
      </c>
      <c r="O29433">
        <v>129</v>
      </c>
    </row>
    <row r="29434" spans="1:15" x14ac:dyDescent="0.35">
      <c r="A29434" t="s">
        <v>232</v>
      </c>
      <c r="B29434" t="s">
        <v>232</v>
      </c>
      <c r="C29434" s="26">
        <v>0.42920000000000003</v>
      </c>
      <c r="D29434" s="26">
        <v>0.31090000000000001</v>
      </c>
      <c r="E29434" s="26">
        <v>0.154</v>
      </c>
      <c r="F29434" s="26">
        <v>6.3E-2</v>
      </c>
      <c r="G29434" s="26">
        <v>5.0700000000000002E-2</v>
      </c>
      <c r="H29434" s="26">
        <v>4.9099999999999998E-2</v>
      </c>
      <c r="I29434" s="26">
        <v>4.7E-2</v>
      </c>
      <c r="J29434" s="26">
        <v>3.61E-2</v>
      </c>
      <c r="K29434" s="26">
        <v>2.9100000000000001E-2</v>
      </c>
      <c r="L29434" s="26">
        <v>1.34E-2</v>
      </c>
      <c r="M29434" s="26">
        <v>2.2000000000000001E-3</v>
      </c>
      <c r="N29434" s="26">
        <v>0</v>
      </c>
      <c r="O29434">
        <v>2807</v>
      </c>
    </row>
    <row r="29436" spans="1:15" x14ac:dyDescent="0.35">
      <c r="A29436" s="1" t="s">
        <v>2634</v>
      </c>
    </row>
    <row r="29437" spans="1:15" x14ac:dyDescent="0.35">
      <c r="A29437" t="s">
        <v>219</v>
      </c>
      <c r="B29437" t="s">
        <v>305</v>
      </c>
      <c r="C29437" t="s">
        <v>550</v>
      </c>
      <c r="D29437" t="s">
        <v>281</v>
      </c>
      <c r="E29437" t="s">
        <v>2620</v>
      </c>
      <c r="F29437" t="s">
        <v>2621</v>
      </c>
      <c r="G29437" t="s">
        <v>2622</v>
      </c>
      <c r="H29437" t="s">
        <v>2599</v>
      </c>
      <c r="I29437" t="s">
        <v>2623</v>
      </c>
      <c r="J29437" t="s">
        <v>2624</v>
      </c>
      <c r="K29437" t="s">
        <v>2625</v>
      </c>
      <c r="L29437" t="s">
        <v>2626</v>
      </c>
      <c r="M29437" t="s">
        <v>286</v>
      </c>
      <c r="N29437" t="s">
        <v>326</v>
      </c>
      <c r="O29437" t="s">
        <v>226</v>
      </c>
    </row>
    <row r="29438" spans="1:15" x14ac:dyDescent="0.35">
      <c r="A29438" s="27" t="s">
        <v>227</v>
      </c>
      <c r="B29438" s="27" t="s">
        <v>263</v>
      </c>
      <c r="C29438" s="28">
        <v>0.33329999999999999</v>
      </c>
      <c r="D29438" s="29"/>
      <c r="E29438" s="28">
        <v>0.33329999999999999</v>
      </c>
      <c r="F29438" s="28">
        <v>0.33329999999999999</v>
      </c>
      <c r="G29438" s="28">
        <v>0.33329999999999999</v>
      </c>
      <c r="H29438" s="28">
        <v>0.33329999999999999</v>
      </c>
      <c r="I29438" s="28">
        <v>0.66669999999999996</v>
      </c>
      <c r="J29438" s="28">
        <v>0.33329999999999999</v>
      </c>
      <c r="K29438" s="28">
        <v>0.33329999999999999</v>
      </c>
      <c r="L29438" s="28">
        <v>0.33329999999999999</v>
      </c>
      <c r="M29438" s="29"/>
      <c r="N29438" s="29"/>
      <c r="O29438" s="29" t="s">
        <v>315</v>
      </c>
    </row>
    <row r="29439" spans="1:15" x14ac:dyDescent="0.35">
      <c r="A29439" t="s">
        <v>227</v>
      </c>
      <c r="B29439" t="s">
        <v>261</v>
      </c>
      <c r="C29439" s="26">
        <v>0.45450000000000002</v>
      </c>
      <c r="D29439" s="26">
        <v>0.42420000000000002</v>
      </c>
      <c r="E29439" s="26">
        <v>3.0300000000000001E-2</v>
      </c>
      <c r="F29439" s="26">
        <v>3.0300000000000001E-2</v>
      </c>
      <c r="G29439" s="26">
        <v>3.0300000000000001E-2</v>
      </c>
      <c r="J29439" s="26">
        <v>3.0300000000000001E-2</v>
      </c>
      <c r="K29439" s="26">
        <v>3.0300000000000001E-2</v>
      </c>
      <c r="O29439">
        <v>33</v>
      </c>
    </row>
    <row r="29440" spans="1:15" x14ac:dyDescent="0.35">
      <c r="A29440" s="27" t="s">
        <v>227</v>
      </c>
      <c r="B29440" s="27" t="s">
        <v>262</v>
      </c>
      <c r="C29440" s="28">
        <v>0.66669999999999996</v>
      </c>
      <c r="D29440" s="28">
        <v>0.33329999999999999</v>
      </c>
      <c r="E29440" s="29"/>
      <c r="F29440" s="29"/>
      <c r="G29440" s="29"/>
      <c r="H29440" s="29"/>
      <c r="I29440" s="29"/>
      <c r="J29440" s="29"/>
      <c r="K29440" s="29"/>
      <c r="L29440" s="29"/>
      <c r="M29440" s="29"/>
      <c r="N29440" s="29"/>
      <c r="O29440" s="29" t="s">
        <v>315</v>
      </c>
    </row>
    <row r="29441" spans="1:15" x14ac:dyDescent="0.35">
      <c r="A29441" t="s">
        <v>227</v>
      </c>
      <c r="B29441" t="s">
        <v>260</v>
      </c>
      <c r="C29441" s="26">
        <v>0.47539999999999999</v>
      </c>
      <c r="D29441" s="26">
        <v>0.23769999999999999</v>
      </c>
      <c r="E29441" s="26">
        <v>0.21310000000000001</v>
      </c>
      <c r="F29441" s="26">
        <v>5.74E-2</v>
      </c>
      <c r="G29441" s="26">
        <v>4.1000000000000002E-2</v>
      </c>
      <c r="H29441" s="26">
        <v>4.9200000000000001E-2</v>
      </c>
      <c r="I29441" s="26">
        <v>6.5600000000000006E-2</v>
      </c>
      <c r="J29441" s="26">
        <v>3.2800000000000003E-2</v>
      </c>
      <c r="K29441" s="26">
        <v>4.1000000000000002E-2</v>
      </c>
      <c r="L29441" s="26">
        <v>1.6400000000000001E-2</v>
      </c>
      <c r="O29441">
        <v>122</v>
      </c>
    </row>
    <row r="29442" spans="1:15" x14ac:dyDescent="0.35">
      <c r="A29442" t="s">
        <v>228</v>
      </c>
      <c r="B29442" t="s">
        <v>261</v>
      </c>
      <c r="C29442" s="26">
        <v>0.41539999999999999</v>
      </c>
      <c r="D29442" s="26">
        <v>0.36420000000000002</v>
      </c>
      <c r="E29442" s="26">
        <v>0.1246</v>
      </c>
      <c r="F29442" s="26">
        <v>4.7800000000000002E-2</v>
      </c>
      <c r="G29442" s="26">
        <v>1.54E-2</v>
      </c>
      <c r="H29442" s="26">
        <v>7.6300000000000007E-2</v>
      </c>
      <c r="I29442" s="26">
        <v>5.1999999999999998E-3</v>
      </c>
      <c r="J29442" s="26">
        <v>1.43E-2</v>
      </c>
      <c r="K29442" s="26">
        <v>2.7400000000000001E-2</v>
      </c>
      <c r="L29442" s="26">
        <v>1.01E-2</v>
      </c>
      <c r="M29442" s="26">
        <v>1.9699999999999999E-2</v>
      </c>
      <c r="O29442">
        <v>191</v>
      </c>
    </row>
    <row r="29443" spans="1:15" x14ac:dyDescent="0.35">
      <c r="A29443" s="27" t="s">
        <v>228</v>
      </c>
      <c r="B29443" s="27" t="s">
        <v>263</v>
      </c>
      <c r="C29443" s="28">
        <v>0.14929999999999999</v>
      </c>
      <c r="D29443" s="28">
        <v>0.24990000000000001</v>
      </c>
      <c r="E29443" s="28">
        <v>0.28670000000000001</v>
      </c>
      <c r="F29443" s="28">
        <v>0.23400000000000001</v>
      </c>
      <c r="G29443" s="29"/>
      <c r="H29443" s="28">
        <v>0.2424</v>
      </c>
      <c r="I29443" s="28">
        <v>0.1071</v>
      </c>
      <c r="J29443" s="28">
        <v>6.25E-2</v>
      </c>
      <c r="K29443" s="28">
        <v>5.1400000000000001E-2</v>
      </c>
      <c r="L29443" s="29"/>
      <c r="M29443" s="29"/>
      <c r="N29443" s="29"/>
      <c r="O29443" s="29" t="s">
        <v>312</v>
      </c>
    </row>
    <row r="29444" spans="1:15" x14ac:dyDescent="0.35">
      <c r="A29444" s="27" t="s">
        <v>228</v>
      </c>
      <c r="B29444" s="27" t="s">
        <v>236</v>
      </c>
      <c r="C29444" s="28">
        <v>0.13370000000000001</v>
      </c>
      <c r="D29444" s="28">
        <v>0.63949999999999996</v>
      </c>
      <c r="E29444" s="28">
        <v>0.18790000000000001</v>
      </c>
      <c r="F29444" s="28">
        <v>0.2268</v>
      </c>
      <c r="G29444" s="28">
        <v>0.2268</v>
      </c>
      <c r="H29444" s="28">
        <v>0.2268</v>
      </c>
      <c r="I29444" s="28">
        <v>0.18790000000000001</v>
      </c>
      <c r="J29444" s="28">
        <v>0.18790000000000001</v>
      </c>
      <c r="K29444" s="28">
        <v>0.18790000000000001</v>
      </c>
      <c r="L29444" s="28">
        <v>0.18790000000000001</v>
      </c>
      <c r="M29444" s="29"/>
      <c r="N29444" s="29"/>
      <c r="O29444" s="29" t="s">
        <v>335</v>
      </c>
    </row>
    <row r="29445" spans="1:15" x14ac:dyDescent="0.35">
      <c r="A29445" t="s">
        <v>228</v>
      </c>
      <c r="B29445" t="s">
        <v>262</v>
      </c>
      <c r="C29445" s="26">
        <v>0.27189999999999998</v>
      </c>
      <c r="D29445" s="26">
        <v>0.2442</v>
      </c>
      <c r="E29445" s="26">
        <v>0.26829999999999998</v>
      </c>
      <c r="F29445" s="26">
        <v>0.18809999999999999</v>
      </c>
      <c r="G29445" s="26">
        <v>9.0800000000000006E-2</v>
      </c>
      <c r="H29445" s="26">
        <v>0.1545</v>
      </c>
      <c r="I29445" s="26">
        <v>0.12870000000000001</v>
      </c>
      <c r="J29445" s="26">
        <v>8.3799999999999999E-2</v>
      </c>
      <c r="K29445" s="26">
        <v>2.8400000000000002E-2</v>
      </c>
      <c r="L29445" s="26">
        <v>1.7399999999999999E-2</v>
      </c>
      <c r="M29445" s="26">
        <v>1.2800000000000001E-2</v>
      </c>
      <c r="O29445">
        <v>201</v>
      </c>
    </row>
    <row r="29446" spans="1:15" x14ac:dyDescent="0.35">
      <c r="A29446" t="s">
        <v>228</v>
      </c>
      <c r="B29446" t="s">
        <v>260</v>
      </c>
      <c r="C29446" s="26">
        <v>0.4148</v>
      </c>
      <c r="D29446" s="26">
        <v>0.3216</v>
      </c>
      <c r="E29446" s="26">
        <v>0.1249</v>
      </c>
      <c r="F29446" s="26">
        <v>9.1300000000000006E-2</v>
      </c>
      <c r="G29446" s="26">
        <v>7.2900000000000006E-2</v>
      </c>
      <c r="H29446" s="26">
        <v>6.1800000000000001E-2</v>
      </c>
      <c r="I29446" s="26">
        <v>4.65E-2</v>
      </c>
      <c r="J29446" s="26">
        <v>0.04</v>
      </c>
      <c r="K29446" s="26">
        <v>3.3000000000000002E-2</v>
      </c>
      <c r="L29446" s="26">
        <v>8.8999999999999999E-3</v>
      </c>
      <c r="M29446" s="26">
        <v>2.8999999999999998E-3</v>
      </c>
      <c r="O29446">
        <v>608</v>
      </c>
    </row>
    <row r="29447" spans="1:15" x14ac:dyDescent="0.35">
      <c r="A29447" s="27" t="s">
        <v>229</v>
      </c>
      <c r="B29447" s="27" t="s">
        <v>263</v>
      </c>
      <c r="C29447" s="28">
        <v>0.15570000000000001</v>
      </c>
      <c r="D29447" s="28">
        <v>0.46710000000000002</v>
      </c>
      <c r="E29447" s="28">
        <v>0.36009999999999998</v>
      </c>
      <c r="F29447" s="28">
        <v>6.93E-2</v>
      </c>
      <c r="G29447" s="28">
        <v>0.22500000000000001</v>
      </c>
      <c r="H29447" s="28">
        <v>8.6400000000000005E-2</v>
      </c>
      <c r="I29447" s="28">
        <v>0.22500000000000001</v>
      </c>
      <c r="J29447" s="28">
        <v>6.93E-2</v>
      </c>
      <c r="K29447" s="28">
        <v>6.93E-2</v>
      </c>
      <c r="L29447" s="28">
        <v>3.4700000000000002E-2</v>
      </c>
      <c r="M29447" s="29"/>
      <c r="N29447" s="29"/>
      <c r="O29447" s="29" t="s">
        <v>379</v>
      </c>
    </row>
    <row r="29448" spans="1:15" x14ac:dyDescent="0.35">
      <c r="A29448" t="s">
        <v>229</v>
      </c>
      <c r="B29448" t="s">
        <v>262</v>
      </c>
      <c r="C29448" s="26">
        <v>0.44829999999999998</v>
      </c>
      <c r="D29448" s="26">
        <v>0.2238</v>
      </c>
      <c r="E29448" s="26">
        <v>0.19470000000000001</v>
      </c>
      <c r="F29448" s="26">
        <v>5.2900000000000003E-2</v>
      </c>
      <c r="G29448" s="26">
        <v>3.8600000000000002E-2</v>
      </c>
      <c r="H29448" s="26">
        <v>0.08</v>
      </c>
      <c r="I29448" s="26">
        <v>5.5899999999999998E-2</v>
      </c>
      <c r="J29448" s="26">
        <v>3.2000000000000001E-2</v>
      </c>
      <c r="K29448" s="26">
        <v>4.4900000000000002E-2</v>
      </c>
      <c r="L29448" s="26">
        <v>1.0500000000000001E-2</v>
      </c>
      <c r="M29448" s="26">
        <v>3.0000000000000001E-3</v>
      </c>
      <c r="O29448">
        <v>188</v>
      </c>
    </row>
    <row r="29449" spans="1:15" x14ac:dyDescent="0.35">
      <c r="A29449" t="s">
        <v>229</v>
      </c>
      <c r="B29449" t="s">
        <v>261</v>
      </c>
      <c r="C29449" s="26">
        <v>0.43090000000000001</v>
      </c>
      <c r="D29449" s="26">
        <v>0.34839999999999999</v>
      </c>
      <c r="E29449" s="26">
        <v>0.1426</v>
      </c>
      <c r="F29449" s="26">
        <v>8.3999999999999995E-3</v>
      </c>
      <c r="G29449" s="26">
        <v>4.6600000000000003E-2</v>
      </c>
      <c r="H29449" s="26">
        <v>3.5499999999999997E-2</v>
      </c>
      <c r="I29449" s="26">
        <v>2.1299999999999999E-2</v>
      </c>
      <c r="J29449" s="26">
        <v>3.9399999999999998E-2</v>
      </c>
      <c r="K29449" s="26">
        <v>1.1000000000000001E-3</v>
      </c>
      <c r="L29449" s="26">
        <v>2.1299999999999999E-2</v>
      </c>
      <c r="O29449">
        <v>96</v>
      </c>
    </row>
    <row r="29450" spans="1:15" x14ac:dyDescent="0.35">
      <c r="A29450" s="27" t="s">
        <v>229</v>
      </c>
      <c r="B29450" s="27" t="s">
        <v>236</v>
      </c>
      <c r="C29450" s="28">
        <v>1</v>
      </c>
      <c r="D29450" s="29"/>
      <c r="E29450" s="29"/>
      <c r="F29450" s="29"/>
      <c r="G29450" s="29"/>
      <c r="H29450" s="29"/>
      <c r="I29450" s="29"/>
      <c r="J29450" s="29"/>
      <c r="K29450" s="29"/>
      <c r="L29450" s="29"/>
      <c r="M29450" s="29"/>
      <c r="N29450" s="29"/>
      <c r="O29450" s="29" t="s">
        <v>331</v>
      </c>
    </row>
    <row r="29451" spans="1:15" x14ac:dyDescent="0.35">
      <c r="A29451" t="s">
        <v>229</v>
      </c>
      <c r="B29451" t="s">
        <v>260</v>
      </c>
      <c r="C29451" s="26">
        <v>0.41799999999999998</v>
      </c>
      <c r="D29451" s="26">
        <v>0.33539999999999998</v>
      </c>
      <c r="E29451" s="26">
        <v>0.11559999999999999</v>
      </c>
      <c r="F29451" s="26">
        <v>5.1499999999999997E-2</v>
      </c>
      <c r="G29451" s="26">
        <v>5.8400000000000001E-2</v>
      </c>
      <c r="H29451" s="26">
        <v>4.1399999999999999E-2</v>
      </c>
      <c r="I29451" s="26">
        <v>4.9200000000000001E-2</v>
      </c>
      <c r="J29451" s="26">
        <v>5.6300000000000003E-2</v>
      </c>
      <c r="K29451" s="26">
        <v>3.1600000000000003E-2</v>
      </c>
      <c r="L29451" s="26">
        <v>1.66E-2</v>
      </c>
      <c r="M29451" s="26">
        <v>1.4E-3</v>
      </c>
      <c r="N29451" s="26">
        <v>2.9999999999999997E-4</v>
      </c>
      <c r="O29451">
        <v>593</v>
      </c>
    </row>
    <row r="29452" spans="1:15" x14ac:dyDescent="0.35">
      <c r="A29452" s="27" t="s">
        <v>230</v>
      </c>
      <c r="B29452" s="27" t="s">
        <v>236</v>
      </c>
      <c r="C29452" s="29"/>
      <c r="D29452" s="28">
        <v>0.88100000000000001</v>
      </c>
      <c r="E29452" s="29"/>
      <c r="F29452" s="29"/>
      <c r="G29452" s="28">
        <v>0.11899999999999999</v>
      </c>
      <c r="H29452" s="29"/>
      <c r="I29452" s="29"/>
      <c r="J29452" s="29"/>
      <c r="K29452" s="29"/>
      <c r="L29452" s="29"/>
      <c r="M29452" s="29"/>
      <c r="N29452" s="29"/>
      <c r="O29452" s="29" t="s">
        <v>337</v>
      </c>
    </row>
    <row r="29453" spans="1:15" x14ac:dyDescent="0.35">
      <c r="A29453" t="s">
        <v>230</v>
      </c>
      <c r="B29453" t="s">
        <v>262</v>
      </c>
      <c r="C29453" s="26">
        <v>0.32300000000000001</v>
      </c>
      <c r="D29453" s="26">
        <v>0.1804</v>
      </c>
      <c r="E29453" s="26">
        <v>0.29289999999999999</v>
      </c>
      <c r="F29453" s="26">
        <v>0.17369999999999999</v>
      </c>
      <c r="G29453" s="26">
        <v>3.5000000000000003E-2</v>
      </c>
      <c r="H29453" s="26">
        <v>0.1108</v>
      </c>
      <c r="I29453" s="26">
        <v>0.11849999999999999</v>
      </c>
      <c r="J29453" s="26">
        <v>3.9199999999999999E-2</v>
      </c>
      <c r="K29453" s="26">
        <v>4.5100000000000001E-2</v>
      </c>
      <c r="L29453" s="26">
        <v>2.6800000000000001E-2</v>
      </c>
      <c r="M29453" s="26">
        <v>6.0000000000000001E-3</v>
      </c>
      <c r="O29453">
        <v>122</v>
      </c>
    </row>
    <row r="29454" spans="1:15" x14ac:dyDescent="0.35">
      <c r="A29454" t="s">
        <v>230</v>
      </c>
      <c r="B29454" t="s">
        <v>261</v>
      </c>
      <c r="C29454" s="26">
        <v>0.51500000000000001</v>
      </c>
      <c r="D29454" s="26">
        <v>0.28399999999999997</v>
      </c>
      <c r="E29454" s="26">
        <v>6.7000000000000004E-2</v>
      </c>
      <c r="F29454" s="26">
        <v>1.0699999999999999E-2</v>
      </c>
      <c r="G29454" s="26">
        <v>8.7599999999999997E-2</v>
      </c>
      <c r="H29454" s="26">
        <v>8.8999999999999999E-3</v>
      </c>
      <c r="J29454" s="26">
        <v>4.9200000000000001E-2</v>
      </c>
      <c r="L29454" s="26">
        <v>2E-3</v>
      </c>
      <c r="O29454">
        <v>57</v>
      </c>
    </row>
    <row r="29455" spans="1:15" x14ac:dyDescent="0.35">
      <c r="A29455" s="27" t="s">
        <v>230</v>
      </c>
      <c r="B29455" s="27" t="s">
        <v>263</v>
      </c>
      <c r="C29455" s="28">
        <v>0.21479999999999999</v>
      </c>
      <c r="D29455" s="28">
        <v>0.2107</v>
      </c>
      <c r="E29455" s="28">
        <v>0.48659999999999998</v>
      </c>
      <c r="F29455" s="28">
        <v>0.10050000000000001</v>
      </c>
      <c r="G29455" s="28">
        <v>7.2499999999999995E-2</v>
      </c>
      <c r="H29455" s="28">
        <v>0.12139999999999999</v>
      </c>
      <c r="I29455" s="28">
        <v>0.40279999999999999</v>
      </c>
      <c r="J29455" s="28">
        <v>7.2499999999999995E-2</v>
      </c>
      <c r="K29455" s="28">
        <v>1.6799999999999999E-2</v>
      </c>
      <c r="L29455" s="28">
        <v>1.6799999999999999E-2</v>
      </c>
      <c r="M29455" s="29"/>
      <c r="N29455" s="29"/>
      <c r="O29455" s="29" t="s">
        <v>312</v>
      </c>
    </row>
    <row r="29456" spans="1:15" x14ac:dyDescent="0.35">
      <c r="A29456" t="s">
        <v>230</v>
      </c>
      <c r="B29456" t="s">
        <v>260</v>
      </c>
      <c r="C29456" s="26">
        <v>0.38729999999999998</v>
      </c>
      <c r="D29456" s="26">
        <v>0.31530000000000002</v>
      </c>
      <c r="E29456" s="26">
        <v>0.183</v>
      </c>
      <c r="F29456" s="26">
        <v>0.1066</v>
      </c>
      <c r="G29456" s="26">
        <v>6.5799999999999997E-2</v>
      </c>
      <c r="H29456" s="26">
        <v>6.5799999999999997E-2</v>
      </c>
      <c r="I29456" s="26">
        <v>5.6500000000000002E-2</v>
      </c>
      <c r="J29456" s="26">
        <v>5.8500000000000003E-2</v>
      </c>
      <c r="K29456" s="26">
        <v>4.9700000000000001E-2</v>
      </c>
      <c r="L29456" s="26">
        <v>2.5000000000000001E-2</v>
      </c>
      <c r="M29456" s="26">
        <v>3.0000000000000001E-3</v>
      </c>
      <c r="O29456">
        <v>351</v>
      </c>
    </row>
    <row r="29457" spans="1:15" x14ac:dyDescent="0.35">
      <c r="A29457" s="27" t="s">
        <v>231</v>
      </c>
      <c r="B29457" s="27" t="s">
        <v>263</v>
      </c>
      <c r="C29457" s="28">
        <v>0.5</v>
      </c>
      <c r="D29457" s="28">
        <v>0.5</v>
      </c>
      <c r="E29457" s="29"/>
      <c r="F29457" s="29"/>
      <c r="G29457" s="29"/>
      <c r="H29457" s="29"/>
      <c r="I29457" s="29"/>
      <c r="J29457" s="29"/>
      <c r="K29457" s="29"/>
      <c r="L29457" s="29"/>
      <c r="M29457" s="29"/>
      <c r="N29457" s="29"/>
      <c r="O29457" s="29" t="s">
        <v>314</v>
      </c>
    </row>
    <row r="29458" spans="1:15" x14ac:dyDescent="0.35">
      <c r="A29458" t="s">
        <v>231</v>
      </c>
      <c r="B29458" t="s">
        <v>260</v>
      </c>
      <c r="C29458" s="26">
        <v>0.4355</v>
      </c>
      <c r="D29458" s="26">
        <v>0.3306</v>
      </c>
      <c r="E29458" s="26">
        <v>0.1452</v>
      </c>
      <c r="F29458" s="26">
        <v>5.6500000000000002E-2</v>
      </c>
      <c r="G29458" s="26">
        <v>4.8399999999999999E-2</v>
      </c>
      <c r="H29458" s="26">
        <v>2.4199999999999999E-2</v>
      </c>
      <c r="I29458" s="26">
        <v>2.4199999999999999E-2</v>
      </c>
      <c r="J29458" s="26">
        <v>1.61E-2</v>
      </c>
      <c r="K29458" s="26">
        <v>1.61E-2</v>
      </c>
      <c r="L29458" s="26">
        <v>8.0999999999999996E-3</v>
      </c>
      <c r="O29458">
        <v>124</v>
      </c>
    </row>
    <row r="29459" spans="1:15" x14ac:dyDescent="0.35">
      <c r="A29459" s="27" t="s">
        <v>231</v>
      </c>
      <c r="B29459" s="27" t="s">
        <v>261</v>
      </c>
      <c r="C29459" s="28">
        <v>0.51849999999999996</v>
      </c>
      <c r="D29459" s="28">
        <v>0.37040000000000001</v>
      </c>
      <c r="E29459" s="28">
        <v>0.1111</v>
      </c>
      <c r="F29459" s="29"/>
      <c r="G29459" s="29"/>
      <c r="H29459" s="29"/>
      <c r="I29459" s="28">
        <v>3.6999999999999998E-2</v>
      </c>
      <c r="J29459" s="29"/>
      <c r="K29459" s="29"/>
      <c r="L29459" s="29"/>
      <c r="M29459" s="29"/>
      <c r="N29459" s="29"/>
      <c r="O29459" s="29" t="s">
        <v>338</v>
      </c>
    </row>
    <row r="29460" spans="1:15" x14ac:dyDescent="0.35">
      <c r="A29460" s="27" t="s">
        <v>231</v>
      </c>
      <c r="B29460" s="27" t="s">
        <v>262</v>
      </c>
      <c r="C29460" s="28">
        <v>0.54549999999999998</v>
      </c>
      <c r="D29460" s="28">
        <v>0.2727</v>
      </c>
      <c r="E29460" s="28">
        <v>0.18179999999999999</v>
      </c>
      <c r="F29460" s="29"/>
      <c r="G29460" s="29"/>
      <c r="H29460" s="29"/>
      <c r="I29460" s="29"/>
      <c r="J29460" s="29"/>
      <c r="K29460" s="29"/>
      <c r="L29460" s="29"/>
      <c r="M29460" s="29"/>
      <c r="N29460" s="29"/>
      <c r="O29460" s="29" t="s">
        <v>352</v>
      </c>
    </row>
    <row r="29461" spans="1:15" x14ac:dyDescent="0.35">
      <c r="A29461" t="s">
        <v>232</v>
      </c>
      <c r="B29461" t="s">
        <v>232</v>
      </c>
      <c r="C29461" s="26">
        <v>0.42920000000000003</v>
      </c>
      <c r="D29461" s="26">
        <v>0.31090000000000001</v>
      </c>
      <c r="E29461" s="26">
        <v>0.154</v>
      </c>
      <c r="F29461" s="26">
        <v>6.3E-2</v>
      </c>
      <c r="G29461" s="26">
        <v>5.0700000000000002E-2</v>
      </c>
      <c r="H29461" s="26">
        <v>4.9099999999999998E-2</v>
      </c>
      <c r="I29461" s="26">
        <v>4.7E-2</v>
      </c>
      <c r="J29461" s="26">
        <v>3.61E-2</v>
      </c>
      <c r="K29461" s="26">
        <v>2.9100000000000001E-2</v>
      </c>
      <c r="L29461" s="26">
        <v>1.34E-2</v>
      </c>
      <c r="M29461" s="26">
        <v>2.2000000000000001E-3</v>
      </c>
      <c r="N29461" s="26">
        <v>0</v>
      </c>
      <c r="O29461">
        <v>2807</v>
      </c>
    </row>
    <row r="29463" spans="1:15" x14ac:dyDescent="0.35">
      <c r="A29463" s="1" t="s">
        <v>2635</v>
      </c>
    </row>
    <row r="29464" spans="1:15" x14ac:dyDescent="0.35">
      <c r="A29464" t="s">
        <v>219</v>
      </c>
      <c r="B29464" t="s">
        <v>305</v>
      </c>
      <c r="C29464" t="s">
        <v>550</v>
      </c>
      <c r="D29464" t="s">
        <v>281</v>
      </c>
      <c r="E29464" t="s">
        <v>2620</v>
      </c>
      <c r="F29464" t="s">
        <v>2621</v>
      </c>
      <c r="G29464" t="s">
        <v>2622</v>
      </c>
      <c r="H29464" t="s">
        <v>2599</v>
      </c>
      <c r="I29464" t="s">
        <v>2623</v>
      </c>
      <c r="J29464" t="s">
        <v>2624</v>
      </c>
      <c r="K29464" t="s">
        <v>2625</v>
      </c>
      <c r="L29464" t="s">
        <v>2626</v>
      </c>
      <c r="M29464" t="s">
        <v>286</v>
      </c>
      <c r="N29464" t="s">
        <v>326</v>
      </c>
      <c r="O29464" t="s">
        <v>226</v>
      </c>
    </row>
    <row r="29465" spans="1:15" x14ac:dyDescent="0.35">
      <c r="A29465" t="s">
        <v>227</v>
      </c>
      <c r="B29465" t="s">
        <v>368</v>
      </c>
      <c r="C29465" s="26">
        <v>0.45450000000000002</v>
      </c>
      <c r="D29465" s="26">
        <v>0.42420000000000002</v>
      </c>
      <c r="E29465" s="26">
        <v>3.0300000000000001E-2</v>
      </c>
      <c r="F29465" s="26">
        <v>3.0300000000000001E-2</v>
      </c>
      <c r="G29465" s="26">
        <v>3.0300000000000001E-2</v>
      </c>
      <c r="J29465" s="26">
        <v>3.0300000000000001E-2</v>
      </c>
      <c r="K29465" s="26">
        <v>3.0300000000000001E-2</v>
      </c>
      <c r="O29465">
        <v>33</v>
      </c>
    </row>
    <row r="29466" spans="1:15" x14ac:dyDescent="0.35">
      <c r="A29466" t="s">
        <v>227</v>
      </c>
      <c r="B29466" t="s">
        <v>369</v>
      </c>
      <c r="C29466" s="26">
        <v>0.47660000000000002</v>
      </c>
      <c r="D29466" s="26">
        <v>0.2344</v>
      </c>
      <c r="E29466" s="26">
        <v>0.2109</v>
      </c>
      <c r="F29466" s="26">
        <v>6.25E-2</v>
      </c>
      <c r="G29466" s="26">
        <v>4.6899999999999997E-2</v>
      </c>
      <c r="H29466" s="26">
        <v>5.4699999999999999E-2</v>
      </c>
      <c r="I29466" s="26">
        <v>7.8100000000000003E-2</v>
      </c>
      <c r="J29466" s="26">
        <v>3.9100000000000003E-2</v>
      </c>
      <c r="K29466" s="26">
        <v>4.6899999999999997E-2</v>
      </c>
      <c r="L29466" s="26">
        <v>2.3400000000000001E-2</v>
      </c>
      <c r="O29466">
        <v>128</v>
      </c>
    </row>
    <row r="29467" spans="1:15" x14ac:dyDescent="0.35">
      <c r="A29467" t="s">
        <v>228</v>
      </c>
      <c r="B29467" t="s">
        <v>368</v>
      </c>
      <c r="C29467" s="26">
        <v>0.41539999999999999</v>
      </c>
      <c r="D29467" s="26">
        <v>0.36420000000000002</v>
      </c>
      <c r="E29467" s="26">
        <v>0.1246</v>
      </c>
      <c r="F29467" s="26">
        <v>4.7800000000000002E-2</v>
      </c>
      <c r="G29467" s="26">
        <v>1.54E-2</v>
      </c>
      <c r="H29467" s="26">
        <v>7.6300000000000007E-2</v>
      </c>
      <c r="I29467" s="26">
        <v>5.1999999999999998E-3</v>
      </c>
      <c r="J29467" s="26">
        <v>1.43E-2</v>
      </c>
      <c r="K29467" s="26">
        <v>2.7400000000000001E-2</v>
      </c>
      <c r="L29467" s="26">
        <v>1.01E-2</v>
      </c>
      <c r="M29467" s="26">
        <v>1.9699999999999999E-2</v>
      </c>
      <c r="O29467">
        <v>191</v>
      </c>
    </row>
    <row r="29468" spans="1:15" x14ac:dyDescent="0.35">
      <c r="A29468" t="s">
        <v>228</v>
      </c>
      <c r="B29468" t="s">
        <v>369</v>
      </c>
      <c r="C29468" s="26">
        <v>0.377</v>
      </c>
      <c r="D29468" s="26">
        <v>0.30640000000000001</v>
      </c>
      <c r="E29468" s="26">
        <v>0.1588</v>
      </c>
      <c r="F29468" s="26">
        <v>0.1157</v>
      </c>
      <c r="G29468" s="26">
        <v>7.6100000000000001E-2</v>
      </c>
      <c r="H29468" s="26">
        <v>8.6400000000000005E-2</v>
      </c>
      <c r="I29468" s="26">
        <v>6.59E-2</v>
      </c>
      <c r="J29468" s="26">
        <v>5.0700000000000002E-2</v>
      </c>
      <c r="K29468" s="26">
        <v>3.3700000000000001E-2</v>
      </c>
      <c r="L29468" s="26">
        <v>1.18E-2</v>
      </c>
      <c r="M29468" s="26">
        <v>4.8999999999999998E-3</v>
      </c>
      <c r="O29468">
        <v>840</v>
      </c>
    </row>
    <row r="29469" spans="1:15" x14ac:dyDescent="0.35">
      <c r="A29469" t="s">
        <v>229</v>
      </c>
      <c r="B29469" t="s">
        <v>368</v>
      </c>
      <c r="C29469" s="26">
        <v>0.43090000000000001</v>
      </c>
      <c r="D29469" s="26">
        <v>0.34839999999999999</v>
      </c>
      <c r="E29469" s="26">
        <v>0.1426</v>
      </c>
      <c r="F29469" s="26">
        <v>8.3999999999999995E-3</v>
      </c>
      <c r="G29469" s="26">
        <v>4.6600000000000003E-2</v>
      </c>
      <c r="H29469" s="26">
        <v>3.5499999999999997E-2</v>
      </c>
      <c r="I29469" s="26">
        <v>2.1299999999999999E-2</v>
      </c>
      <c r="J29469" s="26">
        <v>3.9399999999999998E-2</v>
      </c>
      <c r="K29469" s="26">
        <v>1.1000000000000001E-3</v>
      </c>
      <c r="L29469" s="26">
        <v>2.1299999999999999E-2</v>
      </c>
      <c r="O29469">
        <v>96</v>
      </c>
    </row>
    <row r="29470" spans="1:15" x14ac:dyDescent="0.35">
      <c r="A29470" t="s">
        <v>229</v>
      </c>
      <c r="B29470" t="s">
        <v>369</v>
      </c>
      <c r="C29470" s="26">
        <v>0.42220000000000002</v>
      </c>
      <c r="D29470" s="26">
        <v>0.30159999999999998</v>
      </c>
      <c r="E29470" s="26">
        <v>0.1472</v>
      </c>
      <c r="F29470" s="26">
        <v>5.2299999999999999E-2</v>
      </c>
      <c r="G29470" s="26">
        <v>5.5599999999999997E-2</v>
      </c>
      <c r="H29470" s="26">
        <v>5.5100000000000003E-2</v>
      </c>
      <c r="I29470" s="26">
        <v>5.5399999999999998E-2</v>
      </c>
      <c r="J29470" s="26">
        <v>4.8599999999999997E-2</v>
      </c>
      <c r="K29470" s="26">
        <v>3.6799999999999999E-2</v>
      </c>
      <c r="L29470" s="26">
        <v>1.4999999999999999E-2</v>
      </c>
      <c r="M29470" s="26">
        <v>1.9E-3</v>
      </c>
      <c r="N29470" s="26">
        <v>2.0000000000000001E-4</v>
      </c>
      <c r="O29470">
        <v>796</v>
      </c>
    </row>
    <row r="29471" spans="1:15" x14ac:dyDescent="0.35">
      <c r="A29471" t="s">
        <v>230</v>
      </c>
      <c r="B29471" t="s">
        <v>368</v>
      </c>
      <c r="C29471" s="26">
        <v>0.51500000000000001</v>
      </c>
      <c r="D29471" s="26">
        <v>0.28399999999999997</v>
      </c>
      <c r="E29471" s="26">
        <v>6.7000000000000004E-2</v>
      </c>
      <c r="F29471" s="26">
        <v>1.0699999999999999E-2</v>
      </c>
      <c r="G29471" s="26">
        <v>8.7599999999999997E-2</v>
      </c>
      <c r="H29471" s="26">
        <v>8.8999999999999999E-3</v>
      </c>
      <c r="J29471" s="26">
        <v>4.9200000000000001E-2</v>
      </c>
      <c r="L29471" s="26">
        <v>2E-3</v>
      </c>
      <c r="O29471">
        <v>57</v>
      </c>
    </row>
    <row r="29472" spans="1:15" x14ac:dyDescent="0.35">
      <c r="A29472" t="s">
        <v>230</v>
      </c>
      <c r="B29472" t="s">
        <v>369</v>
      </c>
      <c r="C29472" s="26">
        <v>0.36959999999999998</v>
      </c>
      <c r="D29472" s="26">
        <v>0.29480000000000001</v>
      </c>
      <c r="E29472" s="26">
        <v>0.20619999999999999</v>
      </c>
      <c r="F29472" s="26">
        <v>0.1172</v>
      </c>
      <c r="G29472" s="26">
        <v>6.0999999999999999E-2</v>
      </c>
      <c r="H29472" s="26">
        <v>7.4099999999999999E-2</v>
      </c>
      <c r="I29472" s="26">
        <v>7.3300000000000004E-2</v>
      </c>
      <c r="J29472" s="26">
        <v>5.4899999999999997E-2</v>
      </c>
      <c r="K29472" s="26">
        <v>4.7899999999999998E-2</v>
      </c>
      <c r="L29472" s="26">
        <v>2.5000000000000001E-2</v>
      </c>
      <c r="M29472" s="26">
        <v>3.3999999999999998E-3</v>
      </c>
      <c r="O29472">
        <v>502</v>
      </c>
    </row>
    <row r="29473" spans="1:15" x14ac:dyDescent="0.35">
      <c r="A29473" s="27" t="s">
        <v>231</v>
      </c>
      <c r="B29473" s="27" t="s">
        <v>368</v>
      </c>
      <c r="C29473" s="28">
        <v>0.51849999999999996</v>
      </c>
      <c r="D29473" s="28">
        <v>0.37040000000000001</v>
      </c>
      <c r="E29473" s="28">
        <v>0.1111</v>
      </c>
      <c r="F29473" s="29"/>
      <c r="G29473" s="29"/>
      <c r="H29473" s="29"/>
      <c r="I29473" s="28">
        <v>3.6999999999999998E-2</v>
      </c>
      <c r="J29473" s="29"/>
      <c r="K29473" s="29"/>
      <c r="L29473" s="29"/>
      <c r="M29473" s="29"/>
      <c r="N29473" s="29"/>
      <c r="O29473" s="29" t="s">
        <v>338</v>
      </c>
    </row>
    <row r="29474" spans="1:15" x14ac:dyDescent="0.35">
      <c r="A29474" t="s">
        <v>231</v>
      </c>
      <c r="B29474" t="s">
        <v>369</v>
      </c>
      <c r="C29474" s="26">
        <v>0.44529999999999997</v>
      </c>
      <c r="D29474" s="26">
        <v>0.32850000000000001</v>
      </c>
      <c r="E29474" s="26">
        <v>0.14599999999999999</v>
      </c>
      <c r="F29474" s="26">
        <v>5.11E-2</v>
      </c>
      <c r="G29474" s="26">
        <v>4.3799999999999999E-2</v>
      </c>
      <c r="H29474" s="26">
        <v>2.1899999999999999E-2</v>
      </c>
      <c r="I29474" s="26">
        <v>2.1899999999999999E-2</v>
      </c>
      <c r="J29474" s="26">
        <v>1.46E-2</v>
      </c>
      <c r="K29474" s="26">
        <v>1.46E-2</v>
      </c>
      <c r="L29474" s="26">
        <v>7.3000000000000001E-3</v>
      </c>
      <c r="O29474">
        <v>137</v>
      </c>
    </row>
    <row r="29475" spans="1:15" x14ac:dyDescent="0.35">
      <c r="A29475" t="s">
        <v>232</v>
      </c>
      <c r="B29475" t="s">
        <v>232</v>
      </c>
      <c r="C29475" s="26">
        <v>0.42920000000000003</v>
      </c>
      <c r="D29475" s="26">
        <v>0.31090000000000001</v>
      </c>
      <c r="E29475" s="26">
        <v>0.154</v>
      </c>
      <c r="F29475" s="26">
        <v>6.3E-2</v>
      </c>
      <c r="G29475" s="26">
        <v>5.0700000000000002E-2</v>
      </c>
      <c r="H29475" s="26">
        <v>4.9099999999999998E-2</v>
      </c>
      <c r="I29475" s="26">
        <v>4.7E-2</v>
      </c>
      <c r="J29475" s="26">
        <v>3.61E-2</v>
      </c>
      <c r="K29475" s="26">
        <v>2.9100000000000001E-2</v>
      </c>
      <c r="L29475" s="26">
        <v>1.34E-2</v>
      </c>
      <c r="M29475" s="26">
        <v>2.2000000000000001E-3</v>
      </c>
      <c r="N29475" s="26">
        <v>0</v>
      </c>
      <c r="O29475">
        <v>2807</v>
      </c>
    </row>
    <row r="29477" spans="1:15" x14ac:dyDescent="0.35">
      <c r="A29477" s="1" t="s">
        <v>2636</v>
      </c>
    </row>
    <row r="29478" spans="1:15" x14ac:dyDescent="0.35">
      <c r="A29478" t="s">
        <v>219</v>
      </c>
      <c r="B29478" t="s">
        <v>305</v>
      </c>
      <c r="C29478" t="s">
        <v>550</v>
      </c>
      <c r="D29478" t="s">
        <v>281</v>
      </c>
      <c r="E29478" t="s">
        <v>2620</v>
      </c>
      <c r="F29478" t="s">
        <v>2621</v>
      </c>
      <c r="G29478" t="s">
        <v>2622</v>
      </c>
      <c r="H29478" t="s">
        <v>2599</v>
      </c>
      <c r="I29478" t="s">
        <v>2623</v>
      </c>
      <c r="J29478" t="s">
        <v>2624</v>
      </c>
      <c r="K29478" t="s">
        <v>2625</v>
      </c>
      <c r="L29478" t="s">
        <v>2626</v>
      </c>
      <c r="M29478" t="s">
        <v>286</v>
      </c>
      <c r="N29478" t="s">
        <v>326</v>
      </c>
      <c r="O29478" t="s">
        <v>226</v>
      </c>
    </row>
    <row r="29479" spans="1:15" x14ac:dyDescent="0.35">
      <c r="A29479" t="s">
        <v>227</v>
      </c>
      <c r="B29479" t="s">
        <v>371</v>
      </c>
      <c r="C29479" s="26">
        <v>0.47199999999999998</v>
      </c>
      <c r="D29479" s="26">
        <v>0.27329999999999999</v>
      </c>
      <c r="E29479" s="26">
        <v>0.1739</v>
      </c>
      <c r="F29479" s="26">
        <v>5.5899999999999998E-2</v>
      </c>
      <c r="G29479" s="26">
        <v>4.3499999999999997E-2</v>
      </c>
      <c r="H29479" s="26">
        <v>4.3499999999999997E-2</v>
      </c>
      <c r="I29479" s="26">
        <v>6.2100000000000002E-2</v>
      </c>
      <c r="J29479" s="26">
        <v>3.73E-2</v>
      </c>
      <c r="K29479" s="26">
        <v>4.3499999999999997E-2</v>
      </c>
      <c r="L29479" s="26">
        <v>1.8599999999999998E-2</v>
      </c>
      <c r="O29479">
        <v>161</v>
      </c>
    </row>
    <row r="29480" spans="1:15" x14ac:dyDescent="0.35">
      <c r="A29480" t="s">
        <v>228</v>
      </c>
      <c r="B29480" t="s">
        <v>371</v>
      </c>
      <c r="C29480" s="26">
        <v>0.44069999999999998</v>
      </c>
      <c r="D29480" s="26">
        <v>0.32169999999999999</v>
      </c>
      <c r="E29480" s="26">
        <v>0.1338</v>
      </c>
      <c r="F29480" s="26">
        <v>4.6199999999999998E-2</v>
      </c>
      <c r="G29480" s="26">
        <v>5.6899999999999999E-2</v>
      </c>
      <c r="H29480" s="26">
        <v>4.6300000000000001E-2</v>
      </c>
      <c r="I29480" s="26">
        <v>4.8599999999999997E-2</v>
      </c>
      <c r="J29480" s="26">
        <v>3.4000000000000002E-2</v>
      </c>
      <c r="K29480" s="26">
        <v>3.2599999999999997E-2</v>
      </c>
      <c r="L29480" s="26">
        <v>6.4000000000000003E-3</v>
      </c>
      <c r="M29480" s="26">
        <v>6.4000000000000003E-3</v>
      </c>
      <c r="O29480">
        <v>292</v>
      </c>
    </row>
    <row r="29481" spans="1:15" x14ac:dyDescent="0.35">
      <c r="A29481" t="s">
        <v>228</v>
      </c>
      <c r="B29481" t="s">
        <v>372</v>
      </c>
      <c r="C29481" s="26">
        <v>0.2853</v>
      </c>
      <c r="D29481" s="26">
        <v>0.35620000000000002</v>
      </c>
      <c r="E29481" s="26">
        <v>0.19869999999999999</v>
      </c>
      <c r="F29481" s="26">
        <v>0.12470000000000001</v>
      </c>
      <c r="G29481" s="26">
        <v>7.8700000000000006E-2</v>
      </c>
      <c r="H29481" s="26">
        <v>0.1479</v>
      </c>
      <c r="I29481" s="26">
        <v>5.0900000000000001E-2</v>
      </c>
      <c r="J29481" s="26">
        <v>3.4799999999999998E-2</v>
      </c>
      <c r="K29481" s="26">
        <v>5.4199999999999998E-2</v>
      </c>
      <c r="L29481" s="26">
        <v>1.78E-2</v>
      </c>
      <c r="M29481" s="26">
        <v>1.41E-2</v>
      </c>
      <c r="O29481">
        <v>218</v>
      </c>
    </row>
    <row r="29482" spans="1:15" x14ac:dyDescent="0.35">
      <c r="A29482" t="s">
        <v>228</v>
      </c>
      <c r="B29482" t="s">
        <v>373</v>
      </c>
      <c r="C29482" s="26">
        <v>0.33079999999999998</v>
      </c>
      <c r="D29482" s="26">
        <v>0.30370000000000003</v>
      </c>
      <c r="E29482" s="26">
        <v>0.16650000000000001</v>
      </c>
      <c r="F29482" s="26">
        <v>0.1729</v>
      </c>
      <c r="G29482" s="26">
        <v>7.0999999999999994E-2</v>
      </c>
      <c r="H29482" s="26">
        <v>0.1216</v>
      </c>
      <c r="I29482" s="26">
        <v>6.2300000000000001E-2</v>
      </c>
      <c r="J29482" s="26">
        <v>5.8500000000000003E-2</v>
      </c>
      <c r="K29482" s="26">
        <v>2.75E-2</v>
      </c>
      <c r="L29482" s="26">
        <v>1.7000000000000001E-2</v>
      </c>
      <c r="M29482" s="26">
        <v>8.2000000000000007E-3</v>
      </c>
      <c r="O29482">
        <v>521</v>
      </c>
    </row>
    <row r="29483" spans="1:15" x14ac:dyDescent="0.35">
      <c r="A29483" t="s">
        <v>229</v>
      </c>
      <c r="B29483" t="s">
        <v>371</v>
      </c>
      <c r="C29483" s="26">
        <v>0.43269999999999997</v>
      </c>
      <c r="D29483" s="26">
        <v>0.30230000000000001</v>
      </c>
      <c r="E29483" s="26">
        <v>0.1479</v>
      </c>
      <c r="F29483" s="26">
        <v>4.2599999999999999E-2</v>
      </c>
      <c r="G29483" s="26">
        <v>5.4100000000000002E-2</v>
      </c>
      <c r="H29483" s="26">
        <v>4.9099999999999998E-2</v>
      </c>
      <c r="I29483" s="26">
        <v>5.3400000000000003E-2</v>
      </c>
      <c r="J29483" s="26">
        <v>4.7300000000000002E-2</v>
      </c>
      <c r="K29483" s="26">
        <v>3.1600000000000003E-2</v>
      </c>
      <c r="L29483" s="26">
        <v>1.6299999999999999E-2</v>
      </c>
      <c r="M29483" s="26">
        <v>8.9999999999999998E-4</v>
      </c>
      <c r="N29483" s="26">
        <v>2.0000000000000001E-4</v>
      </c>
      <c r="O29483">
        <v>583</v>
      </c>
    </row>
    <row r="29484" spans="1:15" x14ac:dyDescent="0.35">
      <c r="A29484" t="s">
        <v>229</v>
      </c>
      <c r="B29484" t="s">
        <v>372</v>
      </c>
      <c r="C29484" s="26">
        <v>0.32029999999999997</v>
      </c>
      <c r="D29484" s="26">
        <v>0.39979999999999999</v>
      </c>
      <c r="E29484" s="26">
        <v>0.13289999999999999</v>
      </c>
      <c r="F29484" s="26">
        <v>8.0600000000000005E-2</v>
      </c>
      <c r="G29484" s="26">
        <v>4.5600000000000002E-2</v>
      </c>
      <c r="H29484" s="26">
        <v>8.8300000000000003E-2</v>
      </c>
      <c r="I29484" s="26">
        <v>1.04E-2</v>
      </c>
      <c r="J29484" s="26">
        <v>2.8400000000000002E-2</v>
      </c>
      <c r="K29484" s="26">
        <v>2.5600000000000001E-2</v>
      </c>
      <c r="L29484" s="26">
        <v>8.5000000000000006E-3</v>
      </c>
      <c r="M29484" s="26">
        <v>1.52E-2</v>
      </c>
      <c r="O29484">
        <v>220</v>
      </c>
    </row>
    <row r="29485" spans="1:15" x14ac:dyDescent="0.35">
      <c r="A29485" t="s">
        <v>229</v>
      </c>
      <c r="B29485" t="s">
        <v>373</v>
      </c>
      <c r="C29485" s="26">
        <v>0.29459999999999997</v>
      </c>
      <c r="D29485" s="26">
        <v>0.35759999999999997</v>
      </c>
      <c r="E29485" s="26">
        <v>0.1231</v>
      </c>
      <c r="F29485" s="26">
        <v>9.0999999999999998E-2</v>
      </c>
      <c r="G29485" s="26">
        <v>7.85E-2</v>
      </c>
      <c r="H29485" s="26">
        <v>9.0999999999999998E-2</v>
      </c>
      <c r="I29485" s="26">
        <v>1.61E-2</v>
      </c>
      <c r="J29485" s="26">
        <v>7.85E-2</v>
      </c>
      <c r="K29485" s="26">
        <v>3.7400000000000003E-2</v>
      </c>
      <c r="L29485" s="26">
        <v>1.61E-2</v>
      </c>
      <c r="O29485">
        <v>89</v>
      </c>
    </row>
    <row r="29486" spans="1:15" x14ac:dyDescent="0.35">
      <c r="A29486" t="s">
        <v>230</v>
      </c>
      <c r="B29486" t="s">
        <v>371</v>
      </c>
      <c r="C29486" s="26">
        <v>0.40560000000000002</v>
      </c>
      <c r="D29486" s="26">
        <v>0.28660000000000002</v>
      </c>
      <c r="E29486" s="26">
        <v>0.19520000000000001</v>
      </c>
      <c r="F29486" s="26">
        <v>9.1600000000000001E-2</v>
      </c>
      <c r="G29486" s="26">
        <v>6.2799999999999995E-2</v>
      </c>
      <c r="H29486" s="26">
        <v>5.2999999999999999E-2</v>
      </c>
      <c r="I29486" s="26">
        <v>6.2799999999999995E-2</v>
      </c>
      <c r="J29486" s="26">
        <v>5.0700000000000002E-2</v>
      </c>
      <c r="K29486" s="26">
        <v>4.0800000000000003E-2</v>
      </c>
      <c r="L29486" s="26">
        <v>2.0899999999999998E-2</v>
      </c>
      <c r="M29486" s="26">
        <v>2.2000000000000001E-3</v>
      </c>
      <c r="O29486">
        <v>262</v>
      </c>
    </row>
    <row r="29487" spans="1:15" x14ac:dyDescent="0.35">
      <c r="A29487" t="s">
        <v>230</v>
      </c>
      <c r="B29487" t="s">
        <v>372</v>
      </c>
      <c r="C29487" s="26">
        <v>0.30049999999999999</v>
      </c>
      <c r="D29487" s="26">
        <v>0.29089999999999999</v>
      </c>
      <c r="E29487" s="26">
        <v>0.19350000000000001</v>
      </c>
      <c r="F29487" s="26">
        <v>0.2079</v>
      </c>
      <c r="G29487" s="26">
        <v>0.1094</v>
      </c>
      <c r="H29487" s="26">
        <v>0.16589999999999999</v>
      </c>
      <c r="I29487" s="26">
        <v>6.0100000000000001E-2</v>
      </c>
      <c r="J29487" s="26">
        <v>6.9699999999999998E-2</v>
      </c>
      <c r="K29487" s="26">
        <v>6.13E-2</v>
      </c>
      <c r="L29487" s="26">
        <v>4.9299999999999997E-2</v>
      </c>
      <c r="M29487" s="26">
        <v>4.7999999999999996E-3</v>
      </c>
      <c r="O29487">
        <v>145</v>
      </c>
    </row>
    <row r="29488" spans="1:15" x14ac:dyDescent="0.35">
      <c r="A29488" t="s">
        <v>230</v>
      </c>
      <c r="B29488" t="s">
        <v>373</v>
      </c>
      <c r="C29488" s="26">
        <v>0.32179999999999997</v>
      </c>
      <c r="D29488" s="26">
        <v>0.3377</v>
      </c>
      <c r="E29488" s="26">
        <v>0.13650000000000001</v>
      </c>
      <c r="F29488" s="26">
        <v>0.1295</v>
      </c>
      <c r="G29488" s="26">
        <v>5.57E-2</v>
      </c>
      <c r="H29488" s="26">
        <v>9.9699999999999997E-2</v>
      </c>
      <c r="I29488" s="26">
        <v>6.9599999999999995E-2</v>
      </c>
      <c r="J29488" s="26">
        <v>6.9599999999999995E-2</v>
      </c>
      <c r="K29488" s="26">
        <v>3.6900000000000002E-2</v>
      </c>
      <c r="L29488" s="26">
        <v>1.61E-2</v>
      </c>
      <c r="M29488" s="26">
        <v>7.0000000000000001E-3</v>
      </c>
      <c r="O29488">
        <v>152</v>
      </c>
    </row>
    <row r="29489" spans="1:15" x14ac:dyDescent="0.35">
      <c r="A29489" t="s">
        <v>231</v>
      </c>
      <c r="B29489" t="s">
        <v>371</v>
      </c>
      <c r="C29489" s="26">
        <v>0.45729999999999998</v>
      </c>
      <c r="D29489" s="26">
        <v>0.33539999999999998</v>
      </c>
      <c r="E29489" s="26">
        <v>0.14019999999999999</v>
      </c>
      <c r="F29489" s="26">
        <v>4.2700000000000002E-2</v>
      </c>
      <c r="G29489" s="26">
        <v>3.6600000000000001E-2</v>
      </c>
      <c r="H29489" s="26">
        <v>1.83E-2</v>
      </c>
      <c r="I29489" s="26">
        <v>2.4400000000000002E-2</v>
      </c>
      <c r="J29489" s="26">
        <v>1.2200000000000001E-2</v>
      </c>
      <c r="K29489" s="26">
        <v>1.2200000000000001E-2</v>
      </c>
      <c r="L29489" s="26">
        <v>6.1000000000000004E-3</v>
      </c>
      <c r="O29489">
        <v>164</v>
      </c>
    </row>
    <row r="29490" spans="1:15" x14ac:dyDescent="0.35">
      <c r="A29490" t="s">
        <v>232</v>
      </c>
      <c r="B29490" t="s">
        <v>232</v>
      </c>
      <c r="C29490" s="26">
        <v>0.42920000000000003</v>
      </c>
      <c r="D29490" s="26">
        <v>0.31090000000000001</v>
      </c>
      <c r="E29490" s="26">
        <v>0.154</v>
      </c>
      <c r="F29490" s="26">
        <v>6.3E-2</v>
      </c>
      <c r="G29490" s="26">
        <v>5.0700000000000002E-2</v>
      </c>
      <c r="H29490" s="26">
        <v>4.9099999999999998E-2</v>
      </c>
      <c r="I29490" s="26">
        <v>4.7E-2</v>
      </c>
      <c r="J29490" s="26">
        <v>3.61E-2</v>
      </c>
      <c r="K29490" s="26">
        <v>2.9100000000000001E-2</v>
      </c>
      <c r="L29490" s="26">
        <v>1.34E-2</v>
      </c>
      <c r="M29490" s="26">
        <v>2.2000000000000001E-3</v>
      </c>
      <c r="N29490" s="26">
        <v>0</v>
      </c>
      <c r="O29490">
        <v>2807</v>
      </c>
    </row>
    <row r="29492" spans="1:15" x14ac:dyDescent="0.35">
      <c r="A29492" s="1" t="s">
        <v>2637</v>
      </c>
    </row>
    <row r="29493" spans="1:15" x14ac:dyDescent="0.35">
      <c r="A29493" t="s">
        <v>219</v>
      </c>
      <c r="B29493" t="s">
        <v>305</v>
      </c>
      <c r="C29493" t="s">
        <v>550</v>
      </c>
      <c r="D29493" t="s">
        <v>281</v>
      </c>
      <c r="E29493" t="s">
        <v>2620</v>
      </c>
      <c r="F29493" t="s">
        <v>2621</v>
      </c>
      <c r="G29493" t="s">
        <v>2622</v>
      </c>
      <c r="H29493" t="s">
        <v>2599</v>
      </c>
      <c r="I29493" t="s">
        <v>2623</v>
      </c>
      <c r="J29493" t="s">
        <v>2624</v>
      </c>
      <c r="K29493" t="s">
        <v>2625</v>
      </c>
      <c r="L29493" t="s">
        <v>2626</v>
      </c>
      <c r="M29493" t="s">
        <v>286</v>
      </c>
      <c r="N29493" t="s">
        <v>326</v>
      </c>
      <c r="O29493" t="s">
        <v>226</v>
      </c>
    </row>
    <row r="29494" spans="1:15" x14ac:dyDescent="0.35">
      <c r="A29494" t="s">
        <v>227</v>
      </c>
      <c r="B29494" t="s">
        <v>255</v>
      </c>
      <c r="C29494" s="26">
        <v>0.4103</v>
      </c>
      <c r="D29494" s="26">
        <v>0.36749999999999999</v>
      </c>
      <c r="E29494" s="26">
        <v>0.12820000000000001</v>
      </c>
      <c r="F29494" s="26">
        <v>5.9799999999999999E-2</v>
      </c>
      <c r="G29494" s="26">
        <v>4.2700000000000002E-2</v>
      </c>
      <c r="H29494" s="26">
        <v>5.1299999999999998E-2</v>
      </c>
      <c r="I29494" s="26">
        <v>7.6899999999999996E-2</v>
      </c>
      <c r="J29494" s="26">
        <v>4.2700000000000002E-2</v>
      </c>
      <c r="K29494" s="26">
        <v>5.1299999999999998E-2</v>
      </c>
      <c r="L29494" s="26">
        <v>1.7100000000000001E-2</v>
      </c>
      <c r="O29494">
        <v>117</v>
      </c>
    </row>
    <row r="29495" spans="1:15" x14ac:dyDescent="0.35">
      <c r="A29495" s="27" t="s">
        <v>227</v>
      </c>
      <c r="B29495" s="27" t="s">
        <v>257</v>
      </c>
      <c r="C29495" s="28">
        <v>0.55559999999999998</v>
      </c>
      <c r="D29495" s="29"/>
      <c r="E29495" s="28">
        <v>0.44440000000000002</v>
      </c>
      <c r="F29495" s="29"/>
      <c r="G29495" s="29"/>
      <c r="H29495" s="29"/>
      <c r="I29495" s="29"/>
      <c r="J29495" s="29"/>
      <c r="K29495" s="29"/>
      <c r="L29495" s="29"/>
      <c r="M29495" s="29"/>
      <c r="N29495" s="29"/>
      <c r="O29495" s="29" t="s">
        <v>334</v>
      </c>
    </row>
    <row r="29496" spans="1:15" x14ac:dyDescent="0.35">
      <c r="A29496" t="s">
        <v>227</v>
      </c>
      <c r="B29496" t="s">
        <v>256</v>
      </c>
      <c r="C29496" s="26">
        <v>0.65710000000000002</v>
      </c>
      <c r="D29496" s="26">
        <v>2.86E-2</v>
      </c>
      <c r="E29496" s="26">
        <v>0.2571</v>
      </c>
      <c r="F29496" s="26">
        <v>5.7099999999999998E-2</v>
      </c>
      <c r="G29496" s="26">
        <v>5.7099999999999998E-2</v>
      </c>
      <c r="H29496" s="26">
        <v>2.86E-2</v>
      </c>
      <c r="I29496" s="26">
        <v>2.86E-2</v>
      </c>
      <c r="J29496" s="26">
        <v>2.86E-2</v>
      </c>
      <c r="K29496" s="26">
        <v>2.86E-2</v>
      </c>
      <c r="L29496" s="26">
        <v>2.86E-2</v>
      </c>
      <c r="O29496">
        <v>35</v>
      </c>
    </row>
    <row r="29497" spans="1:15" x14ac:dyDescent="0.35">
      <c r="A29497" t="s">
        <v>228</v>
      </c>
      <c r="B29497" t="s">
        <v>257</v>
      </c>
      <c r="C29497" s="26">
        <v>0.29899999999999999</v>
      </c>
      <c r="D29497" s="26">
        <v>0.28820000000000001</v>
      </c>
      <c r="E29497" s="26">
        <v>0.25419999999999998</v>
      </c>
      <c r="F29497" s="26">
        <v>0.13650000000000001</v>
      </c>
      <c r="G29497" s="26">
        <v>5.4699999999999999E-2</v>
      </c>
      <c r="H29497" s="26">
        <v>9.2499999999999999E-2</v>
      </c>
      <c r="I29497" s="26">
        <v>2.3900000000000001E-2</v>
      </c>
      <c r="J29497" s="26">
        <v>3.9100000000000003E-2</v>
      </c>
      <c r="K29497" s="26">
        <v>4.6300000000000001E-2</v>
      </c>
      <c r="L29497" s="26">
        <v>5.6800000000000003E-2</v>
      </c>
      <c r="O29497">
        <v>49</v>
      </c>
    </row>
    <row r="29498" spans="1:15" x14ac:dyDescent="0.35">
      <c r="A29498" s="27" t="s">
        <v>228</v>
      </c>
      <c r="B29498" s="27" t="s">
        <v>258</v>
      </c>
      <c r="C29498" s="28">
        <v>9.8100000000000007E-2</v>
      </c>
      <c r="D29498" s="29"/>
      <c r="E29498" s="28">
        <v>0.80389999999999995</v>
      </c>
      <c r="F29498" s="29"/>
      <c r="G29498" s="29"/>
      <c r="H29498" s="28">
        <v>0.2092</v>
      </c>
      <c r="I29498" s="29"/>
      <c r="J29498" s="28">
        <v>0.2092</v>
      </c>
      <c r="K29498" s="29"/>
      <c r="L29498" s="29"/>
      <c r="M29498" s="28">
        <v>9.8100000000000007E-2</v>
      </c>
      <c r="N29498" s="29"/>
      <c r="O29498" s="29" t="s">
        <v>337</v>
      </c>
    </row>
    <row r="29499" spans="1:15" x14ac:dyDescent="0.35">
      <c r="A29499" t="s">
        <v>228</v>
      </c>
      <c r="B29499" t="s">
        <v>256</v>
      </c>
      <c r="C29499" s="26">
        <v>0.4662</v>
      </c>
      <c r="D29499" s="26">
        <v>0.11550000000000001</v>
      </c>
      <c r="E29499" s="26">
        <v>0.27910000000000001</v>
      </c>
      <c r="F29499" s="26">
        <v>0.1</v>
      </c>
      <c r="G29499" s="26">
        <v>9.3600000000000003E-2</v>
      </c>
      <c r="H29499" s="26">
        <v>9.9199999999999997E-2</v>
      </c>
      <c r="I29499" s="26">
        <v>6.8599999999999994E-2</v>
      </c>
      <c r="J29499" s="26">
        <v>3.1300000000000001E-2</v>
      </c>
      <c r="K29499" s="26">
        <v>3.3500000000000002E-2</v>
      </c>
      <c r="L29499" s="26">
        <v>1.17E-2</v>
      </c>
      <c r="O29499">
        <v>220</v>
      </c>
    </row>
    <row r="29500" spans="1:15" x14ac:dyDescent="0.35">
      <c r="A29500" t="s">
        <v>228</v>
      </c>
      <c r="B29500" t="s">
        <v>255</v>
      </c>
      <c r="C29500" s="26">
        <v>0.3649</v>
      </c>
      <c r="D29500" s="26">
        <v>0.39200000000000002</v>
      </c>
      <c r="E29500" s="26">
        <v>9.5600000000000004E-2</v>
      </c>
      <c r="F29500" s="26">
        <v>0.1016</v>
      </c>
      <c r="G29500" s="26">
        <v>5.5399999999999998E-2</v>
      </c>
      <c r="H29500" s="26">
        <v>7.7799999999999994E-2</v>
      </c>
      <c r="I29500" s="26">
        <v>5.1900000000000002E-2</v>
      </c>
      <c r="J29500" s="26">
        <v>4.6899999999999997E-2</v>
      </c>
      <c r="K29500" s="26">
        <v>3.1300000000000001E-2</v>
      </c>
      <c r="L29500" s="26">
        <v>8.0999999999999996E-3</v>
      </c>
      <c r="M29500" s="26">
        <v>1.03E-2</v>
      </c>
      <c r="O29500">
        <v>758</v>
      </c>
    </row>
    <row r="29501" spans="1:15" x14ac:dyDescent="0.35">
      <c r="A29501" t="s">
        <v>229</v>
      </c>
      <c r="B29501" t="s">
        <v>256</v>
      </c>
      <c r="C29501" s="26">
        <v>0.57050000000000001</v>
      </c>
      <c r="D29501" s="26">
        <v>9.5000000000000001E-2</v>
      </c>
      <c r="E29501" s="26">
        <v>0.2505</v>
      </c>
      <c r="F29501" s="26">
        <v>2.0199999999999999E-2</v>
      </c>
      <c r="G29501" s="26">
        <v>5.5E-2</v>
      </c>
      <c r="H29501" s="26">
        <v>0.1198</v>
      </c>
      <c r="I29501" s="26">
        <v>5.2400000000000002E-2</v>
      </c>
      <c r="J29501" s="26">
        <v>5.3600000000000002E-2</v>
      </c>
      <c r="K29501" s="26">
        <v>6.0600000000000001E-2</v>
      </c>
      <c r="L29501" s="26">
        <v>4.5600000000000002E-2</v>
      </c>
      <c r="M29501" s="26">
        <v>2.9999999999999997E-4</v>
      </c>
      <c r="O29501">
        <v>207</v>
      </c>
    </row>
    <row r="29502" spans="1:15" x14ac:dyDescent="0.35">
      <c r="A29502" t="s">
        <v>229</v>
      </c>
      <c r="B29502" t="s">
        <v>255</v>
      </c>
      <c r="C29502" s="26">
        <v>0.36220000000000002</v>
      </c>
      <c r="D29502" s="26">
        <v>0.41189999999999999</v>
      </c>
      <c r="E29502" s="26">
        <v>9.01E-2</v>
      </c>
      <c r="F29502" s="26">
        <v>5.4800000000000001E-2</v>
      </c>
      <c r="G29502" s="26">
        <v>5.2600000000000001E-2</v>
      </c>
      <c r="H29502" s="26">
        <v>2.3900000000000001E-2</v>
      </c>
      <c r="I29502" s="26">
        <v>4.87E-2</v>
      </c>
      <c r="J29502" s="26">
        <v>4.2799999999999998E-2</v>
      </c>
      <c r="K29502" s="26">
        <v>1.7600000000000001E-2</v>
      </c>
      <c r="L29502" s="26">
        <v>4.8999999999999998E-3</v>
      </c>
      <c r="M29502" s="26">
        <v>2.2000000000000001E-3</v>
      </c>
      <c r="N29502" s="26">
        <v>2.9999999999999997E-4</v>
      </c>
      <c r="O29502">
        <v>633</v>
      </c>
    </row>
    <row r="29503" spans="1:15" x14ac:dyDescent="0.35">
      <c r="A29503" t="s">
        <v>229</v>
      </c>
      <c r="B29503" t="s">
        <v>257</v>
      </c>
      <c r="C29503" s="26">
        <v>0.43890000000000001</v>
      </c>
      <c r="D29503" s="26">
        <v>0.1108</v>
      </c>
      <c r="E29503" s="26">
        <v>0.31630000000000003</v>
      </c>
      <c r="F29503" s="26">
        <v>6.5100000000000005E-2</v>
      </c>
      <c r="G29503" s="26">
        <v>7.1199999999999999E-2</v>
      </c>
      <c r="H29503" s="26">
        <v>6.0199999999999997E-2</v>
      </c>
      <c r="I29503" s="26">
        <v>6.0400000000000002E-2</v>
      </c>
      <c r="J29503" s="26">
        <v>6.9500000000000006E-2</v>
      </c>
      <c r="K29503" s="26">
        <v>5.5399999999999998E-2</v>
      </c>
      <c r="L29503" s="26">
        <v>1.8E-3</v>
      </c>
      <c r="O29503">
        <v>50</v>
      </c>
    </row>
    <row r="29504" spans="1:15" x14ac:dyDescent="0.35">
      <c r="A29504" s="27" t="s">
        <v>229</v>
      </c>
      <c r="B29504" s="27" t="s">
        <v>258</v>
      </c>
      <c r="C29504" s="29"/>
      <c r="D29504" s="28">
        <v>0.77590000000000003</v>
      </c>
      <c r="E29504" s="28">
        <v>0.22409999999999999</v>
      </c>
      <c r="F29504" s="29"/>
      <c r="G29504" s="29"/>
      <c r="H29504" s="29"/>
      <c r="I29504" s="29"/>
      <c r="J29504" s="29"/>
      <c r="K29504" s="29"/>
      <c r="L29504" s="29"/>
      <c r="M29504" s="29"/>
      <c r="N29504" s="29"/>
      <c r="O29504" s="29" t="s">
        <v>314</v>
      </c>
    </row>
    <row r="29505" spans="1:15" x14ac:dyDescent="0.35">
      <c r="A29505" t="s">
        <v>230</v>
      </c>
      <c r="B29505" t="s">
        <v>256</v>
      </c>
      <c r="C29505" s="26">
        <v>0.45369999999999999</v>
      </c>
      <c r="D29505" s="26">
        <v>5.0500000000000003E-2</v>
      </c>
      <c r="E29505" s="26">
        <v>0.31219999999999998</v>
      </c>
      <c r="F29505" s="26">
        <v>0.13619999999999999</v>
      </c>
      <c r="G29505" s="26">
        <v>0.1229</v>
      </c>
      <c r="H29505" s="26">
        <v>9.8699999999999996E-2</v>
      </c>
      <c r="I29505" s="26">
        <v>0.1193</v>
      </c>
      <c r="J29505" s="26">
        <v>7.5600000000000001E-2</v>
      </c>
      <c r="K29505" s="26">
        <v>3.2000000000000001E-2</v>
      </c>
      <c r="L29505" s="26">
        <v>3.3099999999999997E-2</v>
      </c>
      <c r="O29505">
        <v>130</v>
      </c>
    </row>
    <row r="29506" spans="1:15" x14ac:dyDescent="0.35">
      <c r="A29506" t="s">
        <v>230</v>
      </c>
      <c r="B29506" t="s">
        <v>255</v>
      </c>
      <c r="C29506" s="26">
        <v>0.36109999999999998</v>
      </c>
      <c r="D29506" s="26">
        <v>0.41349999999999998</v>
      </c>
      <c r="E29506" s="26">
        <v>0.10829999999999999</v>
      </c>
      <c r="F29506" s="26">
        <v>9.5399999999999999E-2</v>
      </c>
      <c r="G29506" s="26">
        <v>3.6200000000000003E-2</v>
      </c>
      <c r="H29506" s="26">
        <v>5.04E-2</v>
      </c>
      <c r="I29506" s="26">
        <v>3.6799999999999999E-2</v>
      </c>
      <c r="J29506" s="26">
        <v>4.1200000000000001E-2</v>
      </c>
      <c r="K29506" s="26">
        <v>3.9199999999999999E-2</v>
      </c>
      <c r="L29506" s="26">
        <v>1.15E-2</v>
      </c>
      <c r="M29506" s="26">
        <v>3.0999999999999999E-3</v>
      </c>
      <c r="O29506">
        <v>388</v>
      </c>
    </row>
    <row r="29507" spans="1:15" x14ac:dyDescent="0.35">
      <c r="A29507" t="s">
        <v>230</v>
      </c>
      <c r="B29507" t="s">
        <v>257</v>
      </c>
      <c r="C29507" s="26">
        <v>0.43530000000000002</v>
      </c>
      <c r="D29507" s="26">
        <v>1.2500000000000001E-2</v>
      </c>
      <c r="E29507" s="26">
        <v>0.4899</v>
      </c>
      <c r="F29507" s="26">
        <v>5.8500000000000003E-2</v>
      </c>
      <c r="G29507" s="26">
        <v>0.1221</v>
      </c>
      <c r="H29507" s="26">
        <v>8.8700000000000001E-2</v>
      </c>
      <c r="I29507" s="26">
        <v>0.114</v>
      </c>
      <c r="J29507" s="26">
        <v>0.10150000000000001</v>
      </c>
      <c r="K29507" s="26">
        <v>0.1018</v>
      </c>
      <c r="L29507" s="26">
        <v>0.08</v>
      </c>
      <c r="M29507" s="26">
        <v>1.2800000000000001E-2</v>
      </c>
      <c r="O29507">
        <v>38</v>
      </c>
    </row>
    <row r="29508" spans="1:15" x14ac:dyDescent="0.35">
      <c r="A29508" s="27" t="s">
        <v>230</v>
      </c>
      <c r="B29508" s="27" t="s">
        <v>258</v>
      </c>
      <c r="C29508" s="28">
        <v>0.1356</v>
      </c>
      <c r="D29508" s="28">
        <v>0.82269999999999999</v>
      </c>
      <c r="E29508" s="29"/>
      <c r="F29508" s="28">
        <v>4.1700000000000001E-2</v>
      </c>
      <c r="G29508" s="29"/>
      <c r="H29508" s="29"/>
      <c r="I29508" s="29"/>
      <c r="J29508" s="29"/>
      <c r="K29508" s="29"/>
      <c r="L29508" s="29"/>
      <c r="M29508" s="29"/>
      <c r="N29508" s="29"/>
      <c r="O29508" s="29" t="s">
        <v>315</v>
      </c>
    </row>
    <row r="29509" spans="1:15" x14ac:dyDescent="0.35">
      <c r="A29509" s="27" t="s">
        <v>231</v>
      </c>
      <c r="B29509" s="27" t="s">
        <v>257</v>
      </c>
      <c r="C29509" s="28">
        <v>0.57140000000000002</v>
      </c>
      <c r="D29509" s="28">
        <v>0.28570000000000001</v>
      </c>
      <c r="E29509" s="28">
        <v>0.1429</v>
      </c>
      <c r="F29509" s="29"/>
      <c r="G29509" s="29"/>
      <c r="H29509" s="29"/>
      <c r="I29509" s="29"/>
      <c r="J29509" s="29"/>
      <c r="K29509" s="29"/>
      <c r="L29509" s="29"/>
      <c r="M29509" s="29"/>
      <c r="N29509" s="29"/>
      <c r="O29509" s="29" t="s">
        <v>339</v>
      </c>
    </row>
    <row r="29510" spans="1:15" x14ac:dyDescent="0.35">
      <c r="A29510" t="s">
        <v>231</v>
      </c>
      <c r="B29510" t="s">
        <v>255</v>
      </c>
      <c r="C29510" s="26">
        <v>0.43409999999999999</v>
      </c>
      <c r="D29510" s="26">
        <v>0.39529999999999998</v>
      </c>
      <c r="E29510" s="26">
        <v>0.1085</v>
      </c>
      <c r="F29510" s="26">
        <v>2.3300000000000001E-2</v>
      </c>
      <c r="G29510" s="26">
        <v>3.8800000000000001E-2</v>
      </c>
      <c r="H29510" s="26">
        <v>1.55E-2</v>
      </c>
      <c r="I29510" s="26">
        <v>3.1E-2</v>
      </c>
      <c r="J29510" s="26">
        <v>7.7999999999999996E-3</v>
      </c>
      <c r="K29510" s="26">
        <v>7.7999999999999996E-3</v>
      </c>
      <c r="L29510" s="26">
        <v>7.7999999999999996E-3</v>
      </c>
      <c r="O29510">
        <v>129</v>
      </c>
    </row>
    <row r="29511" spans="1:15" x14ac:dyDescent="0.35">
      <c r="A29511" s="27" t="s">
        <v>231</v>
      </c>
      <c r="B29511" s="27" t="s">
        <v>256</v>
      </c>
      <c r="C29511" s="28">
        <v>0.53569999999999995</v>
      </c>
      <c r="D29511" s="28">
        <v>7.1400000000000005E-2</v>
      </c>
      <c r="E29511" s="28">
        <v>0.28570000000000001</v>
      </c>
      <c r="F29511" s="28">
        <v>0.1429</v>
      </c>
      <c r="G29511" s="28">
        <v>3.5700000000000003E-2</v>
      </c>
      <c r="H29511" s="28">
        <v>3.5700000000000003E-2</v>
      </c>
      <c r="I29511" s="29"/>
      <c r="J29511" s="28">
        <v>3.5700000000000003E-2</v>
      </c>
      <c r="K29511" s="28">
        <v>3.5700000000000003E-2</v>
      </c>
      <c r="L29511" s="29"/>
      <c r="M29511" s="29"/>
      <c r="N29511" s="29"/>
      <c r="O29511" s="29" t="s">
        <v>336</v>
      </c>
    </row>
    <row r="29512" spans="1:15" x14ac:dyDescent="0.35">
      <c r="A29512" t="s">
        <v>232</v>
      </c>
      <c r="B29512" t="s">
        <v>232</v>
      </c>
      <c r="C29512" s="26">
        <v>0.42920000000000003</v>
      </c>
      <c r="D29512" s="26">
        <v>0.31090000000000001</v>
      </c>
      <c r="E29512" s="26">
        <v>0.154</v>
      </c>
      <c r="F29512" s="26">
        <v>6.3E-2</v>
      </c>
      <c r="G29512" s="26">
        <v>5.0700000000000002E-2</v>
      </c>
      <c r="H29512" s="26">
        <v>4.9099999999999998E-2</v>
      </c>
      <c r="I29512" s="26">
        <v>4.7E-2</v>
      </c>
      <c r="J29512" s="26">
        <v>3.61E-2</v>
      </c>
      <c r="K29512" s="26">
        <v>2.9100000000000001E-2</v>
      </c>
      <c r="L29512" s="26">
        <v>1.34E-2</v>
      </c>
      <c r="M29512" s="26">
        <v>2.2000000000000001E-3</v>
      </c>
      <c r="N29512" s="26">
        <v>0</v>
      </c>
      <c r="O29512">
        <v>2807</v>
      </c>
    </row>
    <row r="29514" spans="1:15" x14ac:dyDescent="0.35">
      <c r="A29514" s="1" t="s">
        <v>2638</v>
      </c>
    </row>
    <row r="29515" spans="1:15" x14ac:dyDescent="0.35">
      <c r="A29515" t="s">
        <v>219</v>
      </c>
      <c r="B29515" t="s">
        <v>305</v>
      </c>
      <c r="C29515" t="s">
        <v>550</v>
      </c>
      <c r="D29515" t="s">
        <v>281</v>
      </c>
      <c r="E29515" t="s">
        <v>2620</v>
      </c>
      <c r="F29515" t="s">
        <v>2621</v>
      </c>
      <c r="G29515" t="s">
        <v>2622</v>
      </c>
      <c r="H29515" t="s">
        <v>2599</v>
      </c>
      <c r="I29515" t="s">
        <v>2623</v>
      </c>
      <c r="J29515" t="s">
        <v>2624</v>
      </c>
      <c r="K29515" t="s">
        <v>2625</v>
      </c>
      <c r="L29515" t="s">
        <v>2626</v>
      </c>
      <c r="M29515" t="s">
        <v>286</v>
      </c>
      <c r="N29515" t="s">
        <v>326</v>
      </c>
      <c r="O29515" t="s">
        <v>226</v>
      </c>
    </row>
    <row r="29516" spans="1:15" x14ac:dyDescent="0.35">
      <c r="A29516" t="s">
        <v>227</v>
      </c>
      <c r="B29516" t="s">
        <v>1341</v>
      </c>
      <c r="C29516" s="26">
        <v>0.48980000000000001</v>
      </c>
      <c r="D29516" s="26">
        <v>0.32650000000000001</v>
      </c>
      <c r="E29516" s="26">
        <v>8.1600000000000006E-2</v>
      </c>
      <c r="F29516" s="26">
        <v>4.0800000000000003E-2</v>
      </c>
      <c r="G29516" s="26">
        <v>4.0800000000000003E-2</v>
      </c>
      <c r="H29516" s="26">
        <v>6.1199999999999997E-2</v>
      </c>
      <c r="I29516" s="26">
        <v>4.0800000000000003E-2</v>
      </c>
      <c r="K29516" s="26">
        <v>4.0800000000000003E-2</v>
      </c>
      <c r="O29516">
        <v>49</v>
      </c>
    </row>
    <row r="29517" spans="1:15" x14ac:dyDescent="0.35">
      <c r="A29517" s="27" t="s">
        <v>227</v>
      </c>
      <c r="B29517" s="27" t="s">
        <v>1342</v>
      </c>
      <c r="C29517" s="29"/>
      <c r="D29517" s="29"/>
      <c r="E29517" s="29"/>
      <c r="F29517" s="28">
        <v>1</v>
      </c>
      <c r="G29517" s="29"/>
      <c r="H29517" s="29"/>
      <c r="I29517" s="29"/>
      <c r="J29517" s="29"/>
      <c r="K29517" s="29"/>
      <c r="L29517" s="29"/>
      <c r="M29517" s="29"/>
      <c r="N29517" s="29"/>
      <c r="O29517" s="29" t="s">
        <v>331</v>
      </c>
    </row>
    <row r="29518" spans="1:15" x14ac:dyDescent="0.35">
      <c r="A29518" t="s">
        <v>227</v>
      </c>
      <c r="B29518" t="s">
        <v>1343</v>
      </c>
      <c r="C29518" s="26">
        <v>0.46850000000000003</v>
      </c>
      <c r="D29518" s="26">
        <v>0.25230000000000002</v>
      </c>
      <c r="E29518" s="26">
        <v>0.2162</v>
      </c>
      <c r="F29518" s="26">
        <v>5.4100000000000002E-2</v>
      </c>
      <c r="G29518" s="26">
        <v>4.4999999999999998E-2</v>
      </c>
      <c r="H29518" s="26">
        <v>3.5999999999999997E-2</v>
      </c>
      <c r="I29518" s="26">
        <v>7.2099999999999997E-2</v>
      </c>
      <c r="J29518" s="26">
        <v>5.4100000000000002E-2</v>
      </c>
      <c r="K29518" s="26">
        <v>4.4999999999999998E-2</v>
      </c>
      <c r="L29518" s="26">
        <v>2.7E-2</v>
      </c>
      <c r="O29518">
        <v>111</v>
      </c>
    </row>
    <row r="29519" spans="1:15" x14ac:dyDescent="0.35">
      <c r="A29519" t="s">
        <v>228</v>
      </c>
      <c r="B29519" t="s">
        <v>1341</v>
      </c>
      <c r="C29519" s="26">
        <v>0.35160000000000002</v>
      </c>
      <c r="D29519" s="26">
        <v>0.3105</v>
      </c>
      <c r="E29519" s="26">
        <v>0.17960000000000001</v>
      </c>
      <c r="F29519" s="26">
        <v>0.1069</v>
      </c>
      <c r="G29519" s="26">
        <v>0.08</v>
      </c>
      <c r="H29519" s="26">
        <v>8.2600000000000007E-2</v>
      </c>
      <c r="I29519" s="26">
        <v>4.41E-2</v>
      </c>
      <c r="J29519" s="26">
        <v>4.6699999999999998E-2</v>
      </c>
      <c r="K29519" s="26">
        <v>2.4400000000000002E-2</v>
      </c>
      <c r="L29519" s="26">
        <v>1.5900000000000001E-2</v>
      </c>
      <c r="M29519" s="26">
        <v>2.0400000000000001E-2</v>
      </c>
      <c r="O29519">
        <v>303</v>
      </c>
    </row>
    <row r="29520" spans="1:15" x14ac:dyDescent="0.35">
      <c r="A29520" s="27" t="s">
        <v>228</v>
      </c>
      <c r="B29520" s="27" t="s">
        <v>1342</v>
      </c>
      <c r="C29520" s="28">
        <v>1</v>
      </c>
      <c r="D29520" s="29"/>
      <c r="E29520" s="29"/>
      <c r="F29520" s="29"/>
      <c r="G29520" s="29"/>
      <c r="H29520" s="29"/>
      <c r="I29520" s="29"/>
      <c r="J29520" s="29"/>
      <c r="K29520" s="29"/>
      <c r="L29520" s="29"/>
      <c r="M29520" s="29"/>
      <c r="N29520" s="29"/>
      <c r="O29520" s="29" t="s">
        <v>331</v>
      </c>
    </row>
    <row r="29521" spans="1:15" x14ac:dyDescent="0.35">
      <c r="A29521" t="s">
        <v>228</v>
      </c>
      <c r="B29521" t="s">
        <v>1343</v>
      </c>
      <c r="C29521" s="26">
        <v>0.39510000000000001</v>
      </c>
      <c r="D29521" s="26">
        <v>0.32200000000000001</v>
      </c>
      <c r="E29521" s="26">
        <v>0.14149999999999999</v>
      </c>
      <c r="F29521" s="26">
        <v>0.1012</v>
      </c>
      <c r="G29521" s="26">
        <v>5.8099999999999999E-2</v>
      </c>
      <c r="H29521" s="26">
        <v>8.5599999999999996E-2</v>
      </c>
      <c r="I29521" s="26">
        <v>5.8599999999999999E-2</v>
      </c>
      <c r="J29521" s="26">
        <v>4.2599999999999999E-2</v>
      </c>
      <c r="K29521" s="26">
        <v>3.5900000000000001E-2</v>
      </c>
      <c r="L29521" s="26">
        <v>9.7000000000000003E-3</v>
      </c>
      <c r="M29521" s="26">
        <v>2.5000000000000001E-3</v>
      </c>
      <c r="O29521">
        <v>727</v>
      </c>
    </row>
    <row r="29522" spans="1:15" x14ac:dyDescent="0.35">
      <c r="A29522" t="s">
        <v>229</v>
      </c>
      <c r="B29522" t="s">
        <v>1341</v>
      </c>
      <c r="C29522" s="26">
        <v>0.41970000000000002</v>
      </c>
      <c r="D29522" s="26">
        <v>0.34870000000000001</v>
      </c>
      <c r="E29522" s="26">
        <v>0.1336</v>
      </c>
      <c r="F29522" s="26">
        <v>4.8899999999999999E-2</v>
      </c>
      <c r="G29522" s="26">
        <v>3.1800000000000002E-2</v>
      </c>
      <c r="H29522" s="26">
        <v>6.2799999999999995E-2</v>
      </c>
      <c r="I29522" s="26">
        <v>2.5399999999999999E-2</v>
      </c>
      <c r="J29522" s="26">
        <v>5.5500000000000001E-2</v>
      </c>
      <c r="K29522" s="26">
        <v>3.8600000000000002E-2</v>
      </c>
      <c r="L29522" s="26">
        <v>2.1899999999999999E-2</v>
      </c>
      <c r="M29522" s="26">
        <v>1E-3</v>
      </c>
      <c r="O29522">
        <v>272</v>
      </c>
    </row>
    <row r="29523" spans="1:15" x14ac:dyDescent="0.35">
      <c r="A29523" t="s">
        <v>229</v>
      </c>
      <c r="B29523" t="s">
        <v>1343</v>
      </c>
      <c r="C29523" s="26">
        <v>0.42530000000000001</v>
      </c>
      <c r="D29523" s="26">
        <v>0.28899999999999998</v>
      </c>
      <c r="E29523" s="26">
        <v>0.15279999999999999</v>
      </c>
      <c r="F29523" s="26">
        <v>4.4299999999999999E-2</v>
      </c>
      <c r="G29523" s="26">
        <v>6.5299999999999997E-2</v>
      </c>
      <c r="H29523" s="26">
        <v>4.7E-2</v>
      </c>
      <c r="I29523" s="26">
        <v>6.25E-2</v>
      </c>
      <c r="J29523" s="26">
        <v>4.3099999999999999E-2</v>
      </c>
      <c r="K29523" s="26">
        <v>2.8000000000000001E-2</v>
      </c>
      <c r="L29523" s="26">
        <v>1.2999999999999999E-2</v>
      </c>
      <c r="M29523" s="26">
        <v>1.9E-3</v>
      </c>
      <c r="N29523" s="26">
        <v>2.9999999999999997E-4</v>
      </c>
      <c r="O29523">
        <v>620</v>
      </c>
    </row>
    <row r="29524" spans="1:15" x14ac:dyDescent="0.35">
      <c r="A29524" t="s">
        <v>230</v>
      </c>
      <c r="B29524" t="s">
        <v>1341</v>
      </c>
      <c r="C29524" s="26">
        <v>0.39050000000000001</v>
      </c>
      <c r="D29524" s="26">
        <v>0.29670000000000002</v>
      </c>
      <c r="E29524" s="26">
        <v>0.18679999999999999</v>
      </c>
      <c r="F29524" s="26">
        <v>0.10299999999999999</v>
      </c>
      <c r="G29524" s="26">
        <v>2.6800000000000001E-2</v>
      </c>
      <c r="H29524" s="26">
        <v>4.7800000000000002E-2</v>
      </c>
      <c r="I29524" s="26">
        <v>2.2100000000000002E-2</v>
      </c>
      <c r="J29524" s="26">
        <v>6.6699999999999995E-2</v>
      </c>
      <c r="K29524" s="26">
        <v>1.1299999999999999E-2</v>
      </c>
      <c r="L29524" s="26">
        <v>5.4999999999999997E-3</v>
      </c>
      <c r="O29524">
        <v>156</v>
      </c>
    </row>
    <row r="29525" spans="1:15" x14ac:dyDescent="0.35">
      <c r="A29525" t="s">
        <v>230</v>
      </c>
      <c r="B29525" t="s">
        <v>1343</v>
      </c>
      <c r="C29525" s="26">
        <v>0.38829999999999998</v>
      </c>
      <c r="D29525" s="26">
        <v>0.29189999999999999</v>
      </c>
      <c r="E29525" s="26">
        <v>0.18790000000000001</v>
      </c>
      <c r="F29525" s="26">
        <v>0.10299999999999999</v>
      </c>
      <c r="G29525" s="26">
        <v>8.14E-2</v>
      </c>
      <c r="H29525" s="26">
        <v>7.3200000000000001E-2</v>
      </c>
      <c r="I29525" s="26">
        <v>8.1900000000000001E-2</v>
      </c>
      <c r="J29525" s="26">
        <v>4.8599999999999997E-2</v>
      </c>
      <c r="K29525" s="26">
        <v>5.4899999999999997E-2</v>
      </c>
      <c r="L29525" s="26">
        <v>2.92E-2</v>
      </c>
      <c r="M29525" s="26">
        <v>4.3E-3</v>
      </c>
      <c r="O29525">
        <v>403</v>
      </c>
    </row>
    <row r="29526" spans="1:15" x14ac:dyDescent="0.35">
      <c r="A29526" t="s">
        <v>231</v>
      </c>
      <c r="B29526" t="s">
        <v>1341</v>
      </c>
      <c r="C29526" s="26">
        <v>0.49230000000000002</v>
      </c>
      <c r="D29526" s="26">
        <v>0.33850000000000002</v>
      </c>
      <c r="E29526" s="26">
        <v>0.1231</v>
      </c>
      <c r="F29526" s="26">
        <v>4.6199999999999998E-2</v>
      </c>
      <c r="G29526" s="26">
        <v>3.0800000000000001E-2</v>
      </c>
      <c r="H29526" s="26">
        <v>3.0800000000000001E-2</v>
      </c>
      <c r="I29526" s="26">
        <v>1.54E-2</v>
      </c>
      <c r="K29526" s="26">
        <v>1.54E-2</v>
      </c>
      <c r="O29526">
        <v>65</v>
      </c>
    </row>
    <row r="29527" spans="1:15" x14ac:dyDescent="0.35">
      <c r="A29527" t="s">
        <v>231</v>
      </c>
      <c r="B29527" t="s">
        <v>1343</v>
      </c>
      <c r="C29527" s="26">
        <v>0.43430000000000002</v>
      </c>
      <c r="D29527" s="26">
        <v>0.33329999999999999</v>
      </c>
      <c r="E29527" s="26">
        <v>0.1515</v>
      </c>
      <c r="F29527" s="26">
        <v>4.0399999999999998E-2</v>
      </c>
      <c r="G29527" s="26">
        <v>4.0399999999999998E-2</v>
      </c>
      <c r="H29527" s="26">
        <v>1.01E-2</v>
      </c>
      <c r="I29527" s="26">
        <v>3.0300000000000001E-2</v>
      </c>
      <c r="J29527" s="26">
        <v>2.0199999999999999E-2</v>
      </c>
      <c r="K29527" s="26">
        <v>1.01E-2</v>
      </c>
      <c r="L29527" s="26">
        <v>1.01E-2</v>
      </c>
      <c r="O29527">
        <v>99</v>
      </c>
    </row>
    <row r="29528" spans="1:15" x14ac:dyDescent="0.35">
      <c r="A29528" t="s">
        <v>232</v>
      </c>
      <c r="B29528" t="s">
        <v>232</v>
      </c>
      <c r="C29528" s="26">
        <v>0.42920000000000003</v>
      </c>
      <c r="D29528" s="26">
        <v>0.31090000000000001</v>
      </c>
      <c r="E29528" s="26">
        <v>0.154</v>
      </c>
      <c r="F29528" s="26">
        <v>6.3E-2</v>
      </c>
      <c r="G29528" s="26">
        <v>5.0700000000000002E-2</v>
      </c>
      <c r="H29528" s="26">
        <v>4.9099999999999998E-2</v>
      </c>
      <c r="I29528" s="26">
        <v>4.7E-2</v>
      </c>
      <c r="J29528" s="26">
        <v>3.61E-2</v>
      </c>
      <c r="K29528" s="26">
        <v>2.9100000000000001E-2</v>
      </c>
      <c r="L29528" s="26">
        <v>1.34E-2</v>
      </c>
      <c r="M29528" s="26">
        <v>2.2000000000000001E-3</v>
      </c>
      <c r="N29528" s="26">
        <v>0</v>
      </c>
      <c r="O29528">
        <v>2807</v>
      </c>
    </row>
    <row r="29530" spans="1:15" x14ac:dyDescent="0.35">
      <c r="A29530" s="1" t="s">
        <v>2639</v>
      </c>
    </row>
    <row r="29531" spans="1:15" x14ac:dyDescent="0.35">
      <c r="A29531" t="s">
        <v>219</v>
      </c>
      <c r="B29531" t="s">
        <v>305</v>
      </c>
      <c r="C29531" t="s">
        <v>550</v>
      </c>
      <c r="D29531" t="s">
        <v>281</v>
      </c>
      <c r="E29531" t="s">
        <v>2620</v>
      </c>
      <c r="F29531" t="s">
        <v>2621</v>
      </c>
      <c r="G29531" t="s">
        <v>2622</v>
      </c>
      <c r="H29531" t="s">
        <v>2599</v>
      </c>
      <c r="I29531" t="s">
        <v>2623</v>
      </c>
      <c r="J29531" t="s">
        <v>2624</v>
      </c>
      <c r="K29531" t="s">
        <v>2625</v>
      </c>
      <c r="L29531" t="s">
        <v>2626</v>
      </c>
      <c r="M29531" t="s">
        <v>286</v>
      </c>
      <c r="N29531" t="s">
        <v>326</v>
      </c>
      <c r="O29531" t="s">
        <v>226</v>
      </c>
    </row>
    <row r="29532" spans="1:15" x14ac:dyDescent="0.35">
      <c r="A29532" s="27" t="s">
        <v>227</v>
      </c>
      <c r="B29532" s="27" t="s">
        <v>1345</v>
      </c>
      <c r="C29532" s="28">
        <v>1</v>
      </c>
      <c r="D29532" s="29"/>
      <c r="E29532" s="29"/>
      <c r="F29532" s="29"/>
      <c r="G29532" s="29"/>
      <c r="H29532" s="29"/>
      <c r="I29532" s="29"/>
      <c r="J29532" s="29"/>
      <c r="K29532" s="29"/>
      <c r="L29532" s="29"/>
      <c r="M29532" s="29"/>
      <c r="N29532" s="29"/>
      <c r="O29532" s="29" t="s">
        <v>314</v>
      </c>
    </row>
    <row r="29533" spans="1:15" x14ac:dyDescent="0.35">
      <c r="A29533" t="s">
        <v>227</v>
      </c>
      <c r="B29533" t="s">
        <v>1346</v>
      </c>
      <c r="C29533" s="26">
        <v>0.3846</v>
      </c>
      <c r="D29533" s="26">
        <v>0.53849999999999998</v>
      </c>
      <c r="E29533" s="26">
        <v>2.5600000000000001E-2</v>
      </c>
      <c r="G29533" s="26">
        <v>2.5600000000000001E-2</v>
      </c>
      <c r="H29533" s="26">
        <v>2.5600000000000001E-2</v>
      </c>
      <c r="O29533">
        <v>39</v>
      </c>
    </row>
    <row r="29534" spans="1:15" x14ac:dyDescent="0.35">
      <c r="A29534" t="s">
        <v>227</v>
      </c>
      <c r="B29534" t="s">
        <v>1347</v>
      </c>
      <c r="C29534" s="26">
        <v>0.47220000000000001</v>
      </c>
      <c r="D29534" s="26">
        <v>0.19439999999999999</v>
      </c>
      <c r="E29534" s="26">
        <v>0.27779999999999999</v>
      </c>
      <c r="F29534" s="26">
        <v>5.5599999999999997E-2</v>
      </c>
      <c r="G29534" s="26">
        <v>5.5599999999999997E-2</v>
      </c>
      <c r="H29534" s="26">
        <v>5.5599999999999997E-2</v>
      </c>
      <c r="I29534" s="26">
        <v>5.5599999999999997E-2</v>
      </c>
      <c r="K29534" s="26">
        <v>2.7799999999999998E-2</v>
      </c>
      <c r="L29534" s="26">
        <v>2.7799999999999998E-2</v>
      </c>
      <c r="O29534">
        <v>36</v>
      </c>
    </row>
    <row r="29535" spans="1:15" x14ac:dyDescent="0.35">
      <c r="A29535" t="s">
        <v>227</v>
      </c>
      <c r="B29535" t="s">
        <v>1348</v>
      </c>
      <c r="C29535" s="26">
        <v>0.5</v>
      </c>
      <c r="D29535" s="26">
        <v>0.1905</v>
      </c>
      <c r="E29535" s="26">
        <v>0.2024</v>
      </c>
      <c r="F29535" s="26">
        <v>8.3299999999999999E-2</v>
      </c>
      <c r="G29535" s="26">
        <v>4.7600000000000003E-2</v>
      </c>
      <c r="H29535" s="26">
        <v>4.7600000000000003E-2</v>
      </c>
      <c r="I29535" s="26">
        <v>9.5200000000000007E-2</v>
      </c>
      <c r="J29535" s="26">
        <v>7.1400000000000005E-2</v>
      </c>
      <c r="K29535" s="26">
        <v>7.1400000000000005E-2</v>
      </c>
      <c r="L29535" s="26">
        <v>2.3800000000000002E-2</v>
      </c>
      <c r="O29535">
        <v>84</v>
      </c>
    </row>
    <row r="29536" spans="1:15" x14ac:dyDescent="0.35">
      <c r="A29536" t="s">
        <v>228</v>
      </c>
      <c r="B29536" t="s">
        <v>1348</v>
      </c>
      <c r="C29536" s="26">
        <v>0.35859999999999997</v>
      </c>
      <c r="D29536" s="26">
        <v>0.31919999999999998</v>
      </c>
      <c r="E29536" s="26">
        <v>0.17749999999999999</v>
      </c>
      <c r="F29536" s="26">
        <v>0.1129</v>
      </c>
      <c r="G29536" s="26">
        <v>5.4899999999999997E-2</v>
      </c>
      <c r="H29536" s="26">
        <v>8.8800000000000004E-2</v>
      </c>
      <c r="I29536" s="26">
        <v>4.3999999999999997E-2</v>
      </c>
      <c r="J29536" s="26">
        <v>3.6999999999999998E-2</v>
      </c>
      <c r="K29536" s="26">
        <v>2.3099999999999999E-2</v>
      </c>
      <c r="L29536" s="26">
        <v>1.2999999999999999E-2</v>
      </c>
      <c r="M29536" s="26">
        <v>8.8999999999999999E-3</v>
      </c>
      <c r="O29536">
        <v>530</v>
      </c>
    </row>
    <row r="29537" spans="1:15" x14ac:dyDescent="0.35">
      <c r="A29537" t="s">
        <v>228</v>
      </c>
      <c r="B29537" t="s">
        <v>1347</v>
      </c>
      <c r="C29537" s="26">
        <v>0.38969999999999999</v>
      </c>
      <c r="D29537" s="26">
        <v>0.20799999999999999</v>
      </c>
      <c r="E29537" s="26">
        <v>0.2087</v>
      </c>
      <c r="F29537" s="26">
        <v>0.14149999999999999</v>
      </c>
      <c r="G29537" s="26">
        <v>0.115</v>
      </c>
      <c r="H29537" s="26">
        <v>0.1116</v>
      </c>
      <c r="I29537" s="26">
        <v>0.1166</v>
      </c>
      <c r="J29537" s="26">
        <v>0.08</v>
      </c>
      <c r="K29537" s="26">
        <v>4.7100000000000003E-2</v>
      </c>
      <c r="L29537" s="26">
        <v>6.8999999999999999E-3</v>
      </c>
      <c r="M29537" s="26">
        <v>8.9999999999999993E-3</v>
      </c>
      <c r="O29537">
        <v>204</v>
      </c>
    </row>
    <row r="29538" spans="1:15" x14ac:dyDescent="0.35">
      <c r="A29538" t="s">
        <v>228</v>
      </c>
      <c r="B29538" t="s">
        <v>1346</v>
      </c>
      <c r="C29538" s="26">
        <v>0.40629999999999999</v>
      </c>
      <c r="D29538" s="26">
        <v>0.41410000000000002</v>
      </c>
      <c r="E29538" s="26">
        <v>7.1900000000000006E-2</v>
      </c>
      <c r="F29538" s="26">
        <v>6.13E-2</v>
      </c>
      <c r="G29538" s="26">
        <v>3.8899999999999997E-2</v>
      </c>
      <c r="H29538" s="26">
        <v>5.8200000000000002E-2</v>
      </c>
      <c r="I29538" s="26">
        <v>3.3599999999999998E-2</v>
      </c>
      <c r="J29538" s="26">
        <v>3.4099999999999998E-2</v>
      </c>
      <c r="K29538" s="26">
        <v>4.3400000000000001E-2</v>
      </c>
      <c r="L29538" s="26">
        <v>1.2800000000000001E-2</v>
      </c>
      <c r="M29538" s="26">
        <v>5.1000000000000004E-3</v>
      </c>
      <c r="O29538">
        <v>286</v>
      </c>
    </row>
    <row r="29539" spans="1:15" x14ac:dyDescent="0.35">
      <c r="A29539" s="27" t="s">
        <v>228</v>
      </c>
      <c r="B29539" s="27" t="s">
        <v>1345</v>
      </c>
      <c r="C29539" s="28">
        <v>0.71040000000000003</v>
      </c>
      <c r="D29539" s="28">
        <v>8.0100000000000005E-2</v>
      </c>
      <c r="E29539" s="29"/>
      <c r="F29539" s="29"/>
      <c r="G29539" s="28">
        <v>0.155</v>
      </c>
      <c r="H29539" s="28">
        <v>5.45E-2</v>
      </c>
      <c r="I29539" s="29"/>
      <c r="J29539" s="29"/>
      <c r="K29539" s="29"/>
      <c r="L29539" s="29"/>
      <c r="M29539" s="29"/>
      <c r="N29539" s="29"/>
      <c r="O29539" s="29" t="s">
        <v>352</v>
      </c>
    </row>
    <row r="29540" spans="1:15" x14ac:dyDescent="0.35">
      <c r="A29540" s="27" t="s">
        <v>229</v>
      </c>
      <c r="B29540" s="27" t="s">
        <v>1345</v>
      </c>
      <c r="C29540" s="28">
        <v>0.51590000000000003</v>
      </c>
      <c r="D29540" s="28">
        <v>0.1404</v>
      </c>
      <c r="E29540" s="28">
        <v>6.0000000000000001E-3</v>
      </c>
      <c r="F29540" s="28">
        <v>6.0000000000000001E-3</v>
      </c>
      <c r="G29540" s="28">
        <v>0.1242</v>
      </c>
      <c r="H29540" s="28">
        <v>0.11840000000000001</v>
      </c>
      <c r="I29540" s="28">
        <v>9.5000000000000001E-2</v>
      </c>
      <c r="J29540" s="28">
        <v>0.10100000000000001</v>
      </c>
      <c r="K29540" s="28">
        <v>2.3699999999999999E-2</v>
      </c>
      <c r="L29540" s="28">
        <v>1.2E-2</v>
      </c>
      <c r="M29540" s="29"/>
      <c r="N29540" s="29"/>
      <c r="O29540" s="29" t="s">
        <v>357</v>
      </c>
    </row>
    <row r="29541" spans="1:15" x14ac:dyDescent="0.35">
      <c r="A29541" t="s">
        <v>229</v>
      </c>
      <c r="B29541" t="s">
        <v>1346</v>
      </c>
      <c r="C29541" s="26">
        <v>0.34310000000000002</v>
      </c>
      <c r="D29541" s="26">
        <v>0.53249999999999997</v>
      </c>
      <c r="E29541" s="26">
        <v>3.9E-2</v>
      </c>
      <c r="F29541" s="26">
        <v>3.27E-2</v>
      </c>
      <c r="G29541" s="26">
        <v>1.6000000000000001E-3</v>
      </c>
      <c r="H29541" s="26">
        <v>6.1999999999999998E-3</v>
      </c>
      <c r="I29541" s="26">
        <v>3.2000000000000002E-3</v>
      </c>
      <c r="J29541" s="26">
        <v>3.2899999999999999E-2</v>
      </c>
      <c r="K29541" s="26">
        <v>1.52E-2</v>
      </c>
      <c r="L29541" s="26">
        <v>8.0000000000000004E-4</v>
      </c>
      <c r="M29541" s="26">
        <v>3.2000000000000002E-3</v>
      </c>
      <c r="N29541" s="26">
        <v>8.0000000000000004E-4</v>
      </c>
      <c r="O29541">
        <v>183</v>
      </c>
    </row>
    <row r="29542" spans="1:15" x14ac:dyDescent="0.35">
      <c r="A29542" t="s">
        <v>229</v>
      </c>
      <c r="B29542" t="s">
        <v>1347</v>
      </c>
      <c r="C29542" s="26">
        <v>0.47139999999999999</v>
      </c>
      <c r="D29542" s="26">
        <v>0.19969999999999999</v>
      </c>
      <c r="E29542" s="26">
        <v>0.17050000000000001</v>
      </c>
      <c r="F29542" s="26">
        <v>5.5E-2</v>
      </c>
      <c r="G29542" s="26">
        <v>8.2799999999999999E-2</v>
      </c>
      <c r="H29542" s="26">
        <v>6.0499999999999998E-2</v>
      </c>
      <c r="I29542" s="26">
        <v>7.6200000000000004E-2</v>
      </c>
      <c r="J29542" s="26">
        <v>8.4099999999999994E-2</v>
      </c>
      <c r="K29542" s="26">
        <v>4.1500000000000002E-2</v>
      </c>
      <c r="L29542" s="26">
        <v>1.3599999999999999E-2</v>
      </c>
      <c r="M29542" s="26">
        <v>8.9999999999999998E-4</v>
      </c>
      <c r="O29542">
        <v>302</v>
      </c>
    </row>
    <row r="29543" spans="1:15" x14ac:dyDescent="0.35">
      <c r="A29543" t="s">
        <v>229</v>
      </c>
      <c r="B29543" t="s">
        <v>1348</v>
      </c>
      <c r="C29543" s="26">
        <v>0.42330000000000001</v>
      </c>
      <c r="D29543" s="26">
        <v>0.28799999999999998</v>
      </c>
      <c r="E29543" s="26">
        <v>0.18770000000000001</v>
      </c>
      <c r="F29543" s="26">
        <v>4.82E-2</v>
      </c>
      <c r="G29543" s="26">
        <v>5.5500000000000001E-2</v>
      </c>
      <c r="H29543" s="26">
        <v>6.3399999999999998E-2</v>
      </c>
      <c r="I29543" s="26">
        <v>5.2200000000000003E-2</v>
      </c>
      <c r="J29543" s="26">
        <v>2.69E-2</v>
      </c>
      <c r="K29543" s="26">
        <v>3.2800000000000003E-2</v>
      </c>
      <c r="L29543" s="26">
        <v>2.4400000000000002E-2</v>
      </c>
      <c r="M29543" s="26">
        <v>1.4E-3</v>
      </c>
      <c r="O29543">
        <v>381</v>
      </c>
    </row>
    <row r="29544" spans="1:15" x14ac:dyDescent="0.35">
      <c r="A29544" t="s">
        <v>230</v>
      </c>
      <c r="B29544" t="s">
        <v>1346</v>
      </c>
      <c r="C29544" s="26">
        <v>0.27579999999999999</v>
      </c>
      <c r="D29544" s="26">
        <v>0.42520000000000002</v>
      </c>
      <c r="E29544" s="26">
        <v>9.1200000000000003E-2</v>
      </c>
      <c r="F29544" s="26">
        <v>0.1113</v>
      </c>
      <c r="G29544" s="26">
        <v>4.9700000000000001E-2</v>
      </c>
      <c r="H29544" s="26">
        <v>4.3900000000000002E-2</v>
      </c>
      <c r="I29544" s="26">
        <v>1.24E-2</v>
      </c>
      <c r="J29544" s="26">
        <v>1.3599999999999999E-2</v>
      </c>
      <c r="K29544" s="26">
        <v>3.73E-2</v>
      </c>
      <c r="M29544" s="26">
        <v>8.3000000000000001E-3</v>
      </c>
      <c r="O29544">
        <v>139</v>
      </c>
    </row>
    <row r="29545" spans="1:15" x14ac:dyDescent="0.35">
      <c r="A29545" t="s">
        <v>230</v>
      </c>
      <c r="B29545" t="s">
        <v>1348</v>
      </c>
      <c r="C29545" s="26">
        <v>0.4264</v>
      </c>
      <c r="D29545" s="26">
        <v>0.32190000000000002</v>
      </c>
      <c r="E29545" s="26">
        <v>0.1431</v>
      </c>
      <c r="F29545" s="26">
        <v>8.6800000000000002E-2</v>
      </c>
      <c r="G29545" s="26">
        <v>5.5100000000000003E-2</v>
      </c>
      <c r="H29545" s="26">
        <v>2.5999999999999999E-2</v>
      </c>
      <c r="I29545" s="26">
        <v>2.9399999999999999E-2</v>
      </c>
      <c r="J29545" s="26">
        <v>4.8000000000000001E-2</v>
      </c>
      <c r="K29545" s="26">
        <v>2.7699999999999999E-2</v>
      </c>
      <c r="L29545" s="26">
        <v>1.8200000000000001E-2</v>
      </c>
      <c r="M29545" s="26">
        <v>5.9999999999999995E-4</v>
      </c>
      <c r="O29545">
        <v>259</v>
      </c>
    </row>
    <row r="29546" spans="1:15" x14ac:dyDescent="0.35">
      <c r="A29546" t="s">
        <v>230</v>
      </c>
      <c r="B29546" t="s">
        <v>1347</v>
      </c>
      <c r="C29546" s="26">
        <v>0.41320000000000001</v>
      </c>
      <c r="D29546" s="26">
        <v>0.1366</v>
      </c>
      <c r="E29546" s="26">
        <v>0.35339999999999999</v>
      </c>
      <c r="F29546" s="26">
        <v>0.13220000000000001</v>
      </c>
      <c r="G29546" s="26">
        <v>9.7199999999999995E-2</v>
      </c>
      <c r="H29546" s="26">
        <v>0.15509999999999999</v>
      </c>
      <c r="I29546" s="26">
        <v>0.16700000000000001</v>
      </c>
      <c r="J29546" s="26">
        <v>8.1000000000000003E-2</v>
      </c>
      <c r="K29546" s="26">
        <v>7.17E-2</v>
      </c>
      <c r="L29546" s="26">
        <v>4.7E-2</v>
      </c>
      <c r="M29546" s="26">
        <v>3.3E-3</v>
      </c>
      <c r="O29546">
        <v>153</v>
      </c>
    </row>
    <row r="29547" spans="1:15" x14ac:dyDescent="0.35">
      <c r="A29547" s="27" t="s">
        <v>230</v>
      </c>
      <c r="B29547" s="27" t="s">
        <v>1345</v>
      </c>
      <c r="C29547" s="28">
        <v>0.37230000000000002</v>
      </c>
      <c r="D29547" s="28">
        <v>0.35870000000000002</v>
      </c>
      <c r="E29547" s="29"/>
      <c r="F29547" s="29"/>
      <c r="G29547" s="29"/>
      <c r="H29547" s="29"/>
      <c r="I29547" s="29"/>
      <c r="J29547" s="28">
        <v>0.26900000000000002</v>
      </c>
      <c r="K29547" s="29"/>
      <c r="L29547" s="29"/>
      <c r="M29547" s="29"/>
      <c r="N29547" s="29"/>
      <c r="O29547" s="29" t="s">
        <v>333</v>
      </c>
    </row>
    <row r="29548" spans="1:15" x14ac:dyDescent="0.35">
      <c r="A29548" s="27" t="s">
        <v>231</v>
      </c>
      <c r="B29548" s="27" t="s">
        <v>1345</v>
      </c>
      <c r="C29548" s="28">
        <v>1</v>
      </c>
      <c r="D29548" s="29"/>
      <c r="E29548" s="29"/>
      <c r="F29548" s="29"/>
      <c r="G29548" s="29"/>
      <c r="H29548" s="29"/>
      <c r="I29548" s="29"/>
      <c r="J29548" s="29"/>
      <c r="K29548" s="29"/>
      <c r="L29548" s="29"/>
      <c r="M29548" s="29"/>
      <c r="N29548" s="29"/>
      <c r="O29548" s="29" t="s">
        <v>337</v>
      </c>
    </row>
    <row r="29549" spans="1:15" x14ac:dyDescent="0.35">
      <c r="A29549" t="s">
        <v>231</v>
      </c>
      <c r="B29549" t="s">
        <v>1346</v>
      </c>
      <c r="C29549" s="26">
        <v>0.5</v>
      </c>
      <c r="D29549" s="26">
        <v>0.45</v>
      </c>
      <c r="F29549" s="26">
        <v>2.5000000000000001E-2</v>
      </c>
      <c r="I29549" s="26">
        <v>2.5000000000000001E-2</v>
      </c>
      <c r="O29549">
        <v>40</v>
      </c>
    </row>
    <row r="29550" spans="1:15" x14ac:dyDescent="0.35">
      <c r="A29550" t="s">
        <v>231</v>
      </c>
      <c r="B29550" t="s">
        <v>1347</v>
      </c>
      <c r="C29550" s="26">
        <v>0.5</v>
      </c>
      <c r="D29550" s="26">
        <v>0.1176</v>
      </c>
      <c r="E29550" s="26">
        <v>0.29409999999999997</v>
      </c>
      <c r="F29550" s="26">
        <v>8.8200000000000001E-2</v>
      </c>
      <c r="G29550" s="26">
        <v>5.8799999999999998E-2</v>
      </c>
      <c r="H29550" s="26">
        <v>2.9399999999999999E-2</v>
      </c>
      <c r="I29550" s="26">
        <v>5.8799999999999998E-2</v>
      </c>
      <c r="K29550" s="26">
        <v>2.9399999999999999E-2</v>
      </c>
      <c r="O29550">
        <v>34</v>
      </c>
    </row>
    <row r="29551" spans="1:15" x14ac:dyDescent="0.35">
      <c r="A29551" t="s">
        <v>231</v>
      </c>
      <c r="B29551" t="s">
        <v>1348</v>
      </c>
      <c r="C29551" s="26">
        <v>0.39529999999999998</v>
      </c>
      <c r="D29551" s="26">
        <v>0.38369999999999999</v>
      </c>
      <c r="E29551" s="26">
        <v>0.1512</v>
      </c>
      <c r="F29551" s="26">
        <v>3.49E-2</v>
      </c>
      <c r="G29551" s="26">
        <v>4.65E-2</v>
      </c>
      <c r="H29551" s="26">
        <v>2.3300000000000001E-2</v>
      </c>
      <c r="I29551" s="26">
        <v>1.1599999999999999E-2</v>
      </c>
      <c r="J29551" s="26">
        <v>2.3300000000000001E-2</v>
      </c>
      <c r="K29551" s="26">
        <v>1.1599999999999999E-2</v>
      </c>
      <c r="L29551" s="26">
        <v>1.1599999999999999E-2</v>
      </c>
      <c r="O29551">
        <v>86</v>
      </c>
    </row>
    <row r="29552" spans="1:15" x14ac:dyDescent="0.35">
      <c r="A29552" t="s">
        <v>232</v>
      </c>
      <c r="B29552" t="s">
        <v>232</v>
      </c>
      <c r="C29552" s="26">
        <v>0.42920000000000003</v>
      </c>
      <c r="D29552" s="26">
        <v>0.31090000000000001</v>
      </c>
      <c r="E29552" s="26">
        <v>0.154</v>
      </c>
      <c r="F29552" s="26">
        <v>6.3E-2</v>
      </c>
      <c r="G29552" s="26">
        <v>5.0700000000000002E-2</v>
      </c>
      <c r="H29552" s="26">
        <v>4.9099999999999998E-2</v>
      </c>
      <c r="I29552" s="26">
        <v>4.7E-2</v>
      </c>
      <c r="J29552" s="26">
        <v>3.61E-2</v>
      </c>
      <c r="K29552" s="26">
        <v>2.9100000000000001E-2</v>
      </c>
      <c r="L29552" s="26">
        <v>1.34E-2</v>
      </c>
      <c r="M29552" s="26">
        <v>2.2000000000000001E-3</v>
      </c>
      <c r="N29552" s="26">
        <v>0</v>
      </c>
      <c r="O29552">
        <v>2807</v>
      </c>
    </row>
    <row r="29554" spans="1:16" x14ac:dyDescent="0.35">
      <c r="A29554" s="1" t="s">
        <v>2640</v>
      </c>
    </row>
    <row r="29555" spans="1:16" x14ac:dyDescent="0.35">
      <c r="A29555" t="s">
        <v>219</v>
      </c>
      <c r="B29555" t="s">
        <v>305</v>
      </c>
      <c r="C29555" t="s">
        <v>345</v>
      </c>
      <c r="D29555" t="s">
        <v>550</v>
      </c>
      <c r="E29555" t="s">
        <v>281</v>
      </c>
      <c r="F29555" t="s">
        <v>2620</v>
      </c>
      <c r="G29555" t="s">
        <v>2621</v>
      </c>
      <c r="H29555" t="s">
        <v>2622</v>
      </c>
      <c r="I29555" t="s">
        <v>2599</v>
      </c>
      <c r="J29555" t="s">
        <v>2623</v>
      </c>
      <c r="K29555" t="s">
        <v>2624</v>
      </c>
      <c r="L29555" t="s">
        <v>2625</v>
      </c>
      <c r="M29555" t="s">
        <v>2626</v>
      </c>
      <c r="N29555" t="s">
        <v>286</v>
      </c>
      <c r="O29555" t="s">
        <v>326</v>
      </c>
      <c r="P29555" t="s">
        <v>226</v>
      </c>
    </row>
    <row r="29556" spans="1:16" x14ac:dyDescent="0.35">
      <c r="A29556" s="27" t="s">
        <v>227</v>
      </c>
      <c r="B29556" s="27" t="s">
        <v>1341</v>
      </c>
      <c r="C29556" s="27" t="s">
        <v>1345</v>
      </c>
      <c r="D29556" s="28">
        <v>1</v>
      </c>
      <c r="E29556" s="29"/>
      <c r="F29556" s="29"/>
      <c r="G29556" s="29"/>
      <c r="H29556" s="29"/>
      <c r="I29556" s="29"/>
      <c r="J29556" s="29"/>
      <c r="K29556" s="29"/>
      <c r="L29556" s="29"/>
      <c r="M29556" s="29"/>
      <c r="N29556" s="29"/>
      <c r="O29556" s="29"/>
      <c r="P29556" s="29" t="s">
        <v>331</v>
      </c>
    </row>
    <row r="29557" spans="1:16" x14ac:dyDescent="0.35">
      <c r="A29557" s="27" t="s">
        <v>227</v>
      </c>
      <c r="B29557" s="27" t="s">
        <v>1343</v>
      </c>
      <c r="C29557" s="27" t="s">
        <v>1346</v>
      </c>
      <c r="D29557" s="28">
        <v>0.3846</v>
      </c>
      <c r="E29557" s="28">
        <v>0.5</v>
      </c>
      <c r="F29557" s="28">
        <v>3.85E-2</v>
      </c>
      <c r="G29557" s="29"/>
      <c r="H29557" s="28">
        <v>3.85E-2</v>
      </c>
      <c r="I29557" s="28">
        <v>3.85E-2</v>
      </c>
      <c r="J29557" s="29"/>
      <c r="K29557" s="29"/>
      <c r="L29557" s="29"/>
      <c r="M29557" s="29"/>
      <c r="N29557" s="29"/>
      <c r="O29557" s="29"/>
      <c r="P29557" s="29" t="s">
        <v>357</v>
      </c>
    </row>
    <row r="29558" spans="1:16" x14ac:dyDescent="0.35">
      <c r="A29558" t="s">
        <v>227</v>
      </c>
      <c r="B29558" t="s">
        <v>1343</v>
      </c>
      <c r="C29558" t="s">
        <v>1348</v>
      </c>
      <c r="D29558" s="26">
        <v>0.50819999999999999</v>
      </c>
      <c r="E29558" s="26">
        <v>0.18029999999999999</v>
      </c>
      <c r="F29558" s="26">
        <v>0.24590000000000001</v>
      </c>
      <c r="G29558" s="26">
        <v>8.2000000000000003E-2</v>
      </c>
      <c r="H29558" s="26">
        <v>3.2800000000000003E-2</v>
      </c>
      <c r="I29558" s="26">
        <v>3.2800000000000003E-2</v>
      </c>
      <c r="J29558" s="26">
        <v>9.8400000000000001E-2</v>
      </c>
      <c r="K29558" s="26">
        <v>9.8400000000000001E-2</v>
      </c>
      <c r="L29558" s="26">
        <v>8.2000000000000003E-2</v>
      </c>
      <c r="M29558" s="26">
        <v>3.2800000000000003E-2</v>
      </c>
      <c r="P29558">
        <v>61</v>
      </c>
    </row>
    <row r="29559" spans="1:16" x14ac:dyDescent="0.35">
      <c r="A29559" s="27" t="s">
        <v>227</v>
      </c>
      <c r="B29559" s="27" t="s">
        <v>1341</v>
      </c>
      <c r="C29559" s="27" t="s">
        <v>1347</v>
      </c>
      <c r="D29559" s="28">
        <v>0.53849999999999998</v>
      </c>
      <c r="E29559" s="28">
        <v>0.23080000000000001</v>
      </c>
      <c r="F29559" s="28">
        <v>0.15379999999999999</v>
      </c>
      <c r="G29559" s="28">
        <v>7.6899999999999996E-2</v>
      </c>
      <c r="H29559" s="29"/>
      <c r="I29559" s="28">
        <v>7.6899999999999996E-2</v>
      </c>
      <c r="J29559" s="29"/>
      <c r="K29559" s="29"/>
      <c r="L29559" s="28">
        <v>7.6899999999999996E-2</v>
      </c>
      <c r="M29559" s="29"/>
      <c r="N29559" s="29"/>
      <c r="O29559" s="29"/>
      <c r="P29559" s="29" t="s">
        <v>341</v>
      </c>
    </row>
    <row r="29560" spans="1:16" x14ac:dyDescent="0.35">
      <c r="A29560" s="27" t="s">
        <v>227</v>
      </c>
      <c r="B29560" s="27" t="s">
        <v>1343</v>
      </c>
      <c r="C29560" s="27" t="s">
        <v>1347</v>
      </c>
      <c r="D29560" s="28">
        <v>0.43480000000000002</v>
      </c>
      <c r="E29560" s="28">
        <v>0.1739</v>
      </c>
      <c r="F29560" s="28">
        <v>0.3478</v>
      </c>
      <c r="G29560" s="28">
        <v>4.3499999999999997E-2</v>
      </c>
      <c r="H29560" s="28">
        <v>8.6999999999999994E-2</v>
      </c>
      <c r="I29560" s="28">
        <v>4.3499999999999997E-2</v>
      </c>
      <c r="J29560" s="28">
        <v>8.6999999999999994E-2</v>
      </c>
      <c r="K29560" s="29"/>
      <c r="L29560" s="29"/>
      <c r="M29560" s="28">
        <v>4.3499999999999997E-2</v>
      </c>
      <c r="N29560" s="29"/>
      <c r="O29560" s="29"/>
      <c r="P29560" s="29" t="s">
        <v>328</v>
      </c>
    </row>
    <row r="29561" spans="1:16" x14ac:dyDescent="0.35">
      <c r="A29561" s="27" t="s">
        <v>227</v>
      </c>
      <c r="B29561" s="27" t="s">
        <v>1343</v>
      </c>
      <c r="C29561" s="27" t="s">
        <v>1345</v>
      </c>
      <c r="D29561" s="28">
        <v>1</v>
      </c>
      <c r="E29561" s="29"/>
      <c r="F29561" s="29"/>
      <c r="G29561" s="29"/>
      <c r="H29561" s="29"/>
      <c r="I29561" s="29"/>
      <c r="J29561" s="29"/>
      <c r="K29561" s="29"/>
      <c r="L29561" s="29"/>
      <c r="M29561" s="29"/>
      <c r="N29561" s="29"/>
      <c r="O29561" s="29"/>
      <c r="P29561" s="29" t="s">
        <v>331</v>
      </c>
    </row>
    <row r="29562" spans="1:16" x14ac:dyDescent="0.35">
      <c r="A29562" s="27" t="s">
        <v>227</v>
      </c>
      <c r="B29562" s="27" t="s">
        <v>1342</v>
      </c>
      <c r="C29562" s="27" t="s">
        <v>1348</v>
      </c>
      <c r="D29562" s="29"/>
      <c r="E29562" s="29"/>
      <c r="F29562" s="29"/>
      <c r="G29562" s="28">
        <v>1</v>
      </c>
      <c r="H29562" s="29"/>
      <c r="I29562" s="29"/>
      <c r="J29562" s="29"/>
      <c r="K29562" s="29"/>
      <c r="L29562" s="29"/>
      <c r="M29562" s="29"/>
      <c r="N29562" s="29"/>
      <c r="O29562" s="29"/>
      <c r="P29562" s="29" t="s">
        <v>331</v>
      </c>
    </row>
    <row r="29563" spans="1:16" x14ac:dyDescent="0.35">
      <c r="A29563" s="27" t="s">
        <v>227</v>
      </c>
      <c r="B29563" s="27" t="s">
        <v>1341</v>
      </c>
      <c r="C29563" s="27" t="s">
        <v>1348</v>
      </c>
      <c r="D29563" s="28">
        <v>0.5</v>
      </c>
      <c r="E29563" s="28">
        <v>0.2273</v>
      </c>
      <c r="F29563" s="28">
        <v>9.0899999999999995E-2</v>
      </c>
      <c r="G29563" s="28">
        <v>4.5499999999999999E-2</v>
      </c>
      <c r="H29563" s="28">
        <v>9.0899999999999995E-2</v>
      </c>
      <c r="I29563" s="28">
        <v>9.0899999999999995E-2</v>
      </c>
      <c r="J29563" s="28">
        <v>9.0899999999999995E-2</v>
      </c>
      <c r="K29563" s="29"/>
      <c r="L29563" s="28">
        <v>4.5499999999999999E-2</v>
      </c>
      <c r="M29563" s="29"/>
      <c r="N29563" s="29"/>
      <c r="O29563" s="29"/>
      <c r="P29563" s="29" t="s">
        <v>347</v>
      </c>
    </row>
    <row r="29564" spans="1:16" x14ac:dyDescent="0.35">
      <c r="A29564" s="27" t="s">
        <v>227</v>
      </c>
      <c r="B29564" s="27" t="s">
        <v>1341</v>
      </c>
      <c r="C29564" s="27" t="s">
        <v>1346</v>
      </c>
      <c r="D29564" s="28">
        <v>0.3846</v>
      </c>
      <c r="E29564" s="28">
        <v>0.61539999999999995</v>
      </c>
      <c r="F29564" s="29"/>
      <c r="G29564" s="29"/>
      <c r="H29564" s="29"/>
      <c r="I29564" s="29"/>
      <c r="J29564" s="29"/>
      <c r="K29564" s="29"/>
      <c r="L29564" s="29"/>
      <c r="M29564" s="29"/>
      <c r="N29564" s="29"/>
      <c r="O29564" s="29"/>
      <c r="P29564" s="29" t="s">
        <v>341</v>
      </c>
    </row>
    <row r="29565" spans="1:16" x14ac:dyDescent="0.35">
      <c r="A29565" t="s">
        <v>228</v>
      </c>
      <c r="B29565" t="s">
        <v>1343</v>
      </c>
      <c r="C29565" t="s">
        <v>1348</v>
      </c>
      <c r="D29565" s="26">
        <v>0.3569</v>
      </c>
      <c r="E29565" s="26">
        <v>0.3246</v>
      </c>
      <c r="F29565" s="26">
        <v>0.17330000000000001</v>
      </c>
      <c r="G29565" s="26">
        <v>0.11940000000000001</v>
      </c>
      <c r="H29565" s="26">
        <v>6.0999999999999999E-2</v>
      </c>
      <c r="I29565" s="26">
        <v>9.6600000000000005E-2</v>
      </c>
      <c r="J29565" s="26">
        <v>5.5199999999999999E-2</v>
      </c>
      <c r="K29565" s="26">
        <v>3.6400000000000002E-2</v>
      </c>
      <c r="L29565" s="26">
        <v>3.3700000000000001E-2</v>
      </c>
      <c r="M29565" s="26">
        <v>2.0199999999999999E-2</v>
      </c>
      <c r="N29565" s="26">
        <v>2.8E-3</v>
      </c>
      <c r="P29565">
        <v>352</v>
      </c>
    </row>
    <row r="29566" spans="1:16" x14ac:dyDescent="0.35">
      <c r="A29566" t="s">
        <v>228</v>
      </c>
      <c r="B29566" t="s">
        <v>1343</v>
      </c>
      <c r="C29566" t="s">
        <v>1347</v>
      </c>
      <c r="D29566" s="26">
        <v>0.41120000000000001</v>
      </c>
      <c r="E29566" s="26">
        <v>0.1852</v>
      </c>
      <c r="F29566" s="26">
        <v>0.20730000000000001</v>
      </c>
      <c r="G29566" s="26">
        <v>0.12429999999999999</v>
      </c>
      <c r="H29566" s="26">
        <v>0.1069</v>
      </c>
      <c r="I29566" s="26">
        <v>0.13800000000000001</v>
      </c>
      <c r="J29566" s="26">
        <v>0.13600000000000001</v>
      </c>
      <c r="K29566" s="26">
        <v>0.10249999999999999</v>
      </c>
      <c r="L29566" s="26">
        <v>5.5599999999999997E-2</v>
      </c>
      <c r="P29566">
        <v>130</v>
      </c>
    </row>
    <row r="29567" spans="1:16" x14ac:dyDescent="0.35">
      <c r="A29567" s="27" t="s">
        <v>228</v>
      </c>
      <c r="B29567" s="27" t="s">
        <v>1343</v>
      </c>
      <c r="C29567" s="27" t="s">
        <v>1345</v>
      </c>
      <c r="D29567" s="28">
        <v>0.96350000000000002</v>
      </c>
      <c r="E29567" s="28">
        <v>3.6499999999999998E-2</v>
      </c>
      <c r="F29567" s="29"/>
      <c r="G29567" s="29"/>
      <c r="H29567" s="29"/>
      <c r="I29567" s="29"/>
      <c r="J29567" s="29"/>
      <c r="K29567" s="29"/>
      <c r="L29567" s="29"/>
      <c r="M29567" s="29"/>
      <c r="N29567" s="29"/>
      <c r="O29567" s="29"/>
      <c r="P29567" s="29" t="s">
        <v>335</v>
      </c>
    </row>
    <row r="29568" spans="1:16" x14ac:dyDescent="0.35">
      <c r="A29568" t="s">
        <v>228</v>
      </c>
      <c r="B29568" t="s">
        <v>1341</v>
      </c>
      <c r="C29568" t="s">
        <v>1346</v>
      </c>
      <c r="D29568" s="26">
        <v>0.41060000000000002</v>
      </c>
      <c r="E29568" s="26">
        <v>0.41189999999999999</v>
      </c>
      <c r="F29568" s="26">
        <v>0.10970000000000001</v>
      </c>
      <c r="G29568" s="26">
        <v>2.24E-2</v>
      </c>
      <c r="H29568" s="26">
        <v>9.4200000000000006E-2</v>
      </c>
      <c r="I29568" s="26">
        <v>0.14019999999999999</v>
      </c>
      <c r="J29568" s="26">
        <v>9.4200000000000006E-2</v>
      </c>
      <c r="K29568" s="26">
        <v>0.1178</v>
      </c>
      <c r="L29568" s="26">
        <v>0.1246</v>
      </c>
      <c r="M29568" s="26">
        <v>9.4200000000000006E-2</v>
      </c>
      <c r="N29568" s="26">
        <v>1.37E-2</v>
      </c>
      <c r="P29568">
        <v>47</v>
      </c>
    </row>
    <row r="29569" spans="1:16" x14ac:dyDescent="0.35">
      <c r="A29569" t="s">
        <v>228</v>
      </c>
      <c r="B29569" t="s">
        <v>1341</v>
      </c>
      <c r="C29569" t="s">
        <v>1348</v>
      </c>
      <c r="D29569" s="26">
        <v>0.35010000000000002</v>
      </c>
      <c r="E29569" s="26">
        <v>0.315</v>
      </c>
      <c r="F29569" s="26">
        <v>0.18820000000000001</v>
      </c>
      <c r="G29569" s="26">
        <v>0.10299999999999999</v>
      </c>
      <c r="H29569" s="26">
        <v>4.4699999999999997E-2</v>
      </c>
      <c r="I29569" s="26">
        <v>7.6200000000000004E-2</v>
      </c>
      <c r="J29569" s="26">
        <v>2.4500000000000001E-2</v>
      </c>
      <c r="K29569" s="26">
        <v>3.8800000000000001E-2</v>
      </c>
      <c r="L29569" s="26">
        <v>4.3E-3</v>
      </c>
      <c r="N29569" s="26">
        <v>2.01E-2</v>
      </c>
      <c r="P29569">
        <v>177</v>
      </c>
    </row>
    <row r="29570" spans="1:16" x14ac:dyDescent="0.35">
      <c r="A29570" s="27" t="s">
        <v>228</v>
      </c>
      <c r="B29570" s="27" t="s">
        <v>1342</v>
      </c>
      <c r="C29570" s="27" t="s">
        <v>1348</v>
      </c>
      <c r="D29570" s="28">
        <v>1</v>
      </c>
      <c r="E29570" s="29"/>
      <c r="F29570" s="29"/>
      <c r="G29570" s="29"/>
      <c r="H29570" s="29"/>
      <c r="I29570" s="29"/>
      <c r="J29570" s="29"/>
      <c r="K29570" s="29"/>
      <c r="L29570" s="29"/>
      <c r="M29570" s="29"/>
      <c r="N29570" s="29"/>
      <c r="O29570" s="29"/>
      <c r="P29570" s="29" t="s">
        <v>331</v>
      </c>
    </row>
    <row r="29571" spans="1:16" x14ac:dyDescent="0.35">
      <c r="A29571" t="s">
        <v>228</v>
      </c>
      <c r="B29571" t="s">
        <v>1343</v>
      </c>
      <c r="C29571" t="s">
        <v>1346</v>
      </c>
      <c r="D29571" s="26">
        <v>0.40560000000000002</v>
      </c>
      <c r="E29571" s="26">
        <v>0.41449999999999998</v>
      </c>
      <c r="F29571" s="26">
        <v>6.59E-2</v>
      </c>
      <c r="G29571" s="26">
        <v>6.7400000000000002E-2</v>
      </c>
      <c r="H29571" s="26">
        <v>3.0300000000000001E-2</v>
      </c>
      <c r="I29571" s="26">
        <v>4.53E-2</v>
      </c>
      <c r="J29571" s="26">
        <v>2.41E-2</v>
      </c>
      <c r="K29571" s="26">
        <v>2.0899999999999998E-2</v>
      </c>
      <c r="L29571" s="26">
        <v>3.0700000000000002E-2</v>
      </c>
      <c r="N29571" s="26">
        <v>3.7000000000000002E-3</v>
      </c>
      <c r="P29571">
        <v>239</v>
      </c>
    </row>
    <row r="29572" spans="1:16" x14ac:dyDescent="0.35">
      <c r="A29572" t="s">
        <v>228</v>
      </c>
      <c r="B29572" t="s">
        <v>1341</v>
      </c>
      <c r="C29572" t="s">
        <v>1347</v>
      </c>
      <c r="D29572" s="26">
        <v>0.34660000000000002</v>
      </c>
      <c r="E29572" s="26">
        <v>0.25359999999999999</v>
      </c>
      <c r="F29572" s="26">
        <v>0.21149999999999999</v>
      </c>
      <c r="G29572" s="26">
        <v>0.17610000000000001</v>
      </c>
      <c r="H29572" s="26">
        <v>0.13139999999999999</v>
      </c>
      <c r="I29572" s="26">
        <v>5.8900000000000001E-2</v>
      </c>
      <c r="J29572" s="26">
        <v>7.8E-2</v>
      </c>
      <c r="K29572" s="26">
        <v>3.5099999999999999E-2</v>
      </c>
      <c r="L29572" s="26">
        <v>3.0099999999999998E-2</v>
      </c>
      <c r="M29572" s="26">
        <v>2.0799999999999999E-2</v>
      </c>
      <c r="N29572" s="26">
        <v>2.7099999999999999E-2</v>
      </c>
      <c r="P29572">
        <v>74</v>
      </c>
    </row>
    <row r="29573" spans="1:16" x14ac:dyDescent="0.35">
      <c r="A29573" s="27" t="s">
        <v>228</v>
      </c>
      <c r="B29573" s="27" t="s">
        <v>1341</v>
      </c>
      <c r="C29573" s="27" t="s">
        <v>1345</v>
      </c>
      <c r="D29573" s="28">
        <v>0.1201</v>
      </c>
      <c r="E29573" s="28">
        <v>0.1817</v>
      </c>
      <c r="F29573" s="29"/>
      <c r="G29573" s="29"/>
      <c r="H29573" s="28">
        <v>0.51649999999999996</v>
      </c>
      <c r="I29573" s="28">
        <v>0.1817</v>
      </c>
      <c r="J29573" s="29"/>
      <c r="K29573" s="29"/>
      <c r="L29573" s="29"/>
      <c r="M29573" s="29"/>
      <c r="N29573" s="29"/>
      <c r="O29573" s="29"/>
      <c r="P29573" s="29" t="s">
        <v>332</v>
      </c>
    </row>
    <row r="29574" spans="1:16" x14ac:dyDescent="0.35">
      <c r="A29574" t="s">
        <v>229</v>
      </c>
      <c r="B29574" t="s">
        <v>1343</v>
      </c>
      <c r="C29574" t="s">
        <v>1348</v>
      </c>
      <c r="D29574" s="26">
        <v>0.45229999999999998</v>
      </c>
      <c r="E29574" s="26">
        <v>0.25090000000000001</v>
      </c>
      <c r="F29574" s="26">
        <v>0.1968</v>
      </c>
      <c r="G29574" s="26">
        <v>5.11E-2</v>
      </c>
      <c r="H29574" s="26">
        <v>7.1999999999999995E-2</v>
      </c>
      <c r="I29574" s="26">
        <v>5.5199999999999999E-2</v>
      </c>
      <c r="J29574" s="26">
        <v>5.8999999999999997E-2</v>
      </c>
      <c r="K29574" s="26">
        <v>0.02</v>
      </c>
      <c r="L29574" s="26">
        <v>2.9899999999999999E-2</v>
      </c>
      <c r="M29574" s="26">
        <v>1.7299999999999999E-2</v>
      </c>
      <c r="N29574" s="26">
        <v>1.1000000000000001E-3</v>
      </c>
      <c r="P29574">
        <v>274</v>
      </c>
    </row>
    <row r="29575" spans="1:16" x14ac:dyDescent="0.35">
      <c r="A29575" t="s">
        <v>229</v>
      </c>
      <c r="B29575" t="s">
        <v>1341</v>
      </c>
      <c r="C29575" t="s">
        <v>1346</v>
      </c>
      <c r="D29575" s="26">
        <v>0.33579999999999999</v>
      </c>
      <c r="E29575" s="26">
        <v>0.59260000000000002</v>
      </c>
      <c r="F29575" s="26">
        <v>1.46E-2</v>
      </c>
      <c r="G29575" s="26">
        <v>4.9599999999999998E-2</v>
      </c>
      <c r="I29575" s="26">
        <v>4.5999999999999999E-3</v>
      </c>
      <c r="K29575" s="26">
        <v>5.7999999999999996E-3</v>
      </c>
      <c r="L29575" s="26">
        <v>5.7999999999999996E-3</v>
      </c>
      <c r="P29575">
        <v>52</v>
      </c>
    </row>
    <row r="29576" spans="1:16" x14ac:dyDescent="0.35">
      <c r="A29576" t="s">
        <v>229</v>
      </c>
      <c r="B29576" t="s">
        <v>1341</v>
      </c>
      <c r="C29576" t="s">
        <v>1347</v>
      </c>
      <c r="D29576" s="26">
        <v>0.52200000000000002</v>
      </c>
      <c r="E29576" s="26">
        <v>0.2021</v>
      </c>
      <c r="F29576" s="26">
        <v>0.15970000000000001</v>
      </c>
      <c r="G29576" s="26">
        <v>6.2100000000000002E-2</v>
      </c>
      <c r="H29576" s="26">
        <v>6.6900000000000001E-2</v>
      </c>
      <c r="I29576" s="26">
        <v>7.6100000000000001E-2</v>
      </c>
      <c r="J29576" s="26">
        <v>2.2499999999999999E-2</v>
      </c>
      <c r="K29576" s="26">
        <v>0.1096</v>
      </c>
      <c r="L29576" s="26">
        <v>5.4699999999999999E-2</v>
      </c>
      <c r="M29576" s="26">
        <v>9.5999999999999992E-3</v>
      </c>
      <c r="P29576">
        <v>104</v>
      </c>
    </row>
    <row r="29577" spans="1:16" x14ac:dyDescent="0.35">
      <c r="A29577" t="s">
        <v>229</v>
      </c>
      <c r="B29577" t="s">
        <v>1343</v>
      </c>
      <c r="C29577" t="s">
        <v>1346</v>
      </c>
      <c r="D29577" s="26">
        <v>0.34589999999999999</v>
      </c>
      <c r="E29577" s="26">
        <v>0.50970000000000004</v>
      </c>
      <c r="F29577" s="26">
        <v>4.82E-2</v>
      </c>
      <c r="G29577" s="26">
        <v>2.63E-2</v>
      </c>
      <c r="H29577" s="26">
        <v>2.2000000000000001E-3</v>
      </c>
      <c r="I29577" s="26">
        <v>6.7999999999999996E-3</v>
      </c>
      <c r="J29577" s="26">
        <v>4.4000000000000003E-3</v>
      </c>
      <c r="K29577" s="26">
        <v>4.3200000000000002E-2</v>
      </c>
      <c r="L29577" s="26">
        <v>1.8800000000000001E-2</v>
      </c>
      <c r="M29577" s="26">
        <v>1.1000000000000001E-3</v>
      </c>
      <c r="N29577" s="26">
        <v>4.4000000000000003E-3</v>
      </c>
      <c r="O29577" s="26">
        <v>1.1000000000000001E-3</v>
      </c>
      <c r="P29577">
        <v>131</v>
      </c>
    </row>
    <row r="29578" spans="1:16" x14ac:dyDescent="0.35">
      <c r="A29578" t="s">
        <v>229</v>
      </c>
      <c r="B29578" t="s">
        <v>1343</v>
      </c>
      <c r="C29578" t="s">
        <v>1347</v>
      </c>
      <c r="D29578" s="26">
        <v>0.44409999999999999</v>
      </c>
      <c r="E29578" s="26">
        <v>0.19839999999999999</v>
      </c>
      <c r="F29578" s="26">
        <v>0.1764</v>
      </c>
      <c r="G29578" s="26">
        <v>5.1299999999999998E-2</v>
      </c>
      <c r="H29578" s="26">
        <v>9.1399999999999995E-2</v>
      </c>
      <c r="I29578" s="26">
        <v>5.2200000000000003E-2</v>
      </c>
      <c r="J29578" s="26">
        <v>0.1051</v>
      </c>
      <c r="K29578" s="26">
        <v>7.0300000000000001E-2</v>
      </c>
      <c r="L29578" s="26">
        <v>3.44E-2</v>
      </c>
      <c r="M29578" s="26">
        <v>1.5699999999999999E-2</v>
      </c>
      <c r="N29578" s="26">
        <v>1.4E-3</v>
      </c>
      <c r="P29578">
        <v>198</v>
      </c>
    </row>
    <row r="29579" spans="1:16" x14ac:dyDescent="0.35">
      <c r="A29579" s="27" t="s">
        <v>229</v>
      </c>
      <c r="B29579" s="27" t="s">
        <v>1341</v>
      </c>
      <c r="C29579" s="27" t="s">
        <v>1345</v>
      </c>
      <c r="D29579" s="28">
        <v>0.65400000000000003</v>
      </c>
      <c r="E29579" s="28">
        <v>0.27239999999999998</v>
      </c>
      <c r="F29579" s="29"/>
      <c r="G29579" s="28">
        <v>1.49E-2</v>
      </c>
      <c r="H29579" s="29"/>
      <c r="I29579" s="29"/>
      <c r="J29579" s="29"/>
      <c r="K29579" s="28">
        <v>1.49E-2</v>
      </c>
      <c r="L29579" s="28">
        <v>5.8799999999999998E-2</v>
      </c>
      <c r="M29579" s="28">
        <v>1.49E-2</v>
      </c>
      <c r="N29579" s="29"/>
      <c r="O29579" s="29"/>
      <c r="P29579" s="29" t="s">
        <v>334</v>
      </c>
    </row>
    <row r="29580" spans="1:16" x14ac:dyDescent="0.35">
      <c r="A29580" s="27" t="s">
        <v>229</v>
      </c>
      <c r="B29580" s="27" t="s">
        <v>1343</v>
      </c>
      <c r="C29580" s="27" t="s">
        <v>1345</v>
      </c>
      <c r="D29580" s="28">
        <v>0.42259999999999998</v>
      </c>
      <c r="E29580" s="28">
        <v>5.11E-2</v>
      </c>
      <c r="F29580" s="28">
        <v>1.01E-2</v>
      </c>
      <c r="G29580" s="29"/>
      <c r="H29580" s="28">
        <v>0.2082</v>
      </c>
      <c r="I29580" s="28">
        <v>0.19850000000000001</v>
      </c>
      <c r="J29580" s="28">
        <v>0.1593</v>
      </c>
      <c r="K29580" s="28">
        <v>0.1593</v>
      </c>
      <c r="L29580" s="29"/>
      <c r="M29580" s="28">
        <v>1.01E-2</v>
      </c>
      <c r="N29580" s="29"/>
      <c r="O29580" s="29"/>
      <c r="P29580" s="29" t="s">
        <v>343</v>
      </c>
    </row>
    <row r="29581" spans="1:16" x14ac:dyDescent="0.35">
      <c r="A29581" t="s">
        <v>229</v>
      </c>
      <c r="B29581" t="s">
        <v>1341</v>
      </c>
      <c r="C29581" t="s">
        <v>1348</v>
      </c>
      <c r="D29581" s="26">
        <v>0.3654</v>
      </c>
      <c r="E29581" s="26">
        <v>0.36209999999999998</v>
      </c>
      <c r="F29581" s="26">
        <v>0.16969999999999999</v>
      </c>
      <c r="G29581" s="26">
        <v>4.2299999999999997E-2</v>
      </c>
      <c r="H29581" s="26">
        <v>2.2499999999999999E-2</v>
      </c>
      <c r="I29581" s="26">
        <v>7.9899999999999999E-2</v>
      </c>
      <c r="J29581" s="26">
        <v>3.8600000000000002E-2</v>
      </c>
      <c r="K29581" s="26">
        <v>4.07E-2</v>
      </c>
      <c r="L29581" s="26">
        <v>3.8600000000000002E-2</v>
      </c>
      <c r="M29581" s="26">
        <v>3.8600000000000002E-2</v>
      </c>
      <c r="N29581" s="26">
        <v>2.0999999999999999E-3</v>
      </c>
      <c r="P29581">
        <v>107</v>
      </c>
    </row>
    <row r="29582" spans="1:16" x14ac:dyDescent="0.35">
      <c r="A29582" t="s">
        <v>230</v>
      </c>
      <c r="B29582" t="s">
        <v>1343</v>
      </c>
      <c r="C29582" t="s">
        <v>1346</v>
      </c>
      <c r="D29582" s="26">
        <v>0.2402</v>
      </c>
      <c r="E29582" s="26">
        <v>0.48909999999999998</v>
      </c>
      <c r="F29582" s="26">
        <v>8.7900000000000006E-2</v>
      </c>
      <c r="G29582" s="26">
        <v>8.72E-2</v>
      </c>
      <c r="H29582" s="26">
        <v>3.5099999999999999E-2</v>
      </c>
      <c r="I29582" s="26">
        <v>5.62E-2</v>
      </c>
      <c r="J29582" s="26">
        <v>1.7500000000000002E-2</v>
      </c>
      <c r="K29582" s="26">
        <v>1.9300000000000001E-2</v>
      </c>
      <c r="L29582" s="26">
        <v>5.28E-2</v>
      </c>
      <c r="N29582" s="26">
        <v>1.17E-2</v>
      </c>
      <c r="P29582">
        <v>109</v>
      </c>
    </row>
    <row r="29583" spans="1:16" x14ac:dyDescent="0.35">
      <c r="A29583" s="27" t="s">
        <v>230</v>
      </c>
      <c r="B29583" s="27" t="s">
        <v>1341</v>
      </c>
      <c r="C29583" s="27" t="s">
        <v>1345</v>
      </c>
      <c r="D29583" s="28">
        <v>0.42849999999999999</v>
      </c>
      <c r="E29583" s="28">
        <v>0.1429</v>
      </c>
      <c r="F29583" s="29"/>
      <c r="G29583" s="29"/>
      <c r="H29583" s="29"/>
      <c r="I29583" s="29"/>
      <c r="J29583" s="29"/>
      <c r="K29583" s="28">
        <v>0.42849999999999999</v>
      </c>
      <c r="L29583" s="29"/>
      <c r="M29583" s="29"/>
      <c r="N29583" s="29"/>
      <c r="O29583" s="29"/>
      <c r="P29583" s="29" t="s">
        <v>337</v>
      </c>
    </row>
    <row r="29584" spans="1:16" x14ac:dyDescent="0.35">
      <c r="A29584" t="s">
        <v>230</v>
      </c>
      <c r="B29584" t="s">
        <v>1343</v>
      </c>
      <c r="C29584" t="s">
        <v>1348</v>
      </c>
      <c r="D29584" s="26">
        <v>0.4345</v>
      </c>
      <c r="E29584" s="26">
        <v>0.29249999999999998</v>
      </c>
      <c r="F29584" s="26">
        <v>0.1598</v>
      </c>
      <c r="G29584" s="26">
        <v>8.8200000000000001E-2</v>
      </c>
      <c r="H29584" s="26">
        <v>7.2900000000000006E-2</v>
      </c>
      <c r="I29584" s="26">
        <v>2.7300000000000001E-2</v>
      </c>
      <c r="J29584" s="26">
        <v>3.7699999999999997E-2</v>
      </c>
      <c r="K29584" s="26">
        <v>3.2599999999999997E-2</v>
      </c>
      <c r="L29584" s="26">
        <v>3.1899999999999998E-2</v>
      </c>
      <c r="M29584" s="26">
        <v>2.1299999999999999E-2</v>
      </c>
      <c r="N29584" s="26">
        <v>8.0000000000000004E-4</v>
      </c>
      <c r="P29584">
        <v>184</v>
      </c>
    </row>
    <row r="29585" spans="1:16" x14ac:dyDescent="0.35">
      <c r="A29585" t="s">
        <v>230</v>
      </c>
      <c r="B29585" t="s">
        <v>1343</v>
      </c>
      <c r="C29585" t="s">
        <v>1347</v>
      </c>
      <c r="D29585" s="26">
        <v>0.42880000000000001</v>
      </c>
      <c r="E29585" s="26">
        <v>0.1096</v>
      </c>
      <c r="F29585" s="26">
        <v>0.33129999999999998</v>
      </c>
      <c r="G29585" s="26">
        <v>0.14810000000000001</v>
      </c>
      <c r="H29585" s="26">
        <v>0.13900000000000001</v>
      </c>
      <c r="I29585" s="26">
        <v>0.17630000000000001</v>
      </c>
      <c r="J29585" s="26">
        <v>0.22159999999999999</v>
      </c>
      <c r="K29585" s="26">
        <v>0.10489999999999999</v>
      </c>
      <c r="L29585" s="26">
        <v>0.1021</v>
      </c>
      <c r="M29585" s="26">
        <v>6.9599999999999995E-2</v>
      </c>
      <c r="N29585" s="26">
        <v>4.8999999999999998E-3</v>
      </c>
      <c r="P29585">
        <v>106</v>
      </c>
    </row>
    <row r="29586" spans="1:16" x14ac:dyDescent="0.35">
      <c r="A29586" t="s">
        <v>230</v>
      </c>
      <c r="B29586" t="s">
        <v>1341</v>
      </c>
      <c r="C29586" t="s">
        <v>1348</v>
      </c>
      <c r="D29586" s="26">
        <v>0.40579999999999999</v>
      </c>
      <c r="E29586" s="26">
        <v>0.39610000000000001</v>
      </c>
      <c r="F29586" s="26">
        <v>0.1009</v>
      </c>
      <c r="G29586" s="26">
        <v>8.3199999999999996E-2</v>
      </c>
      <c r="H29586" s="26">
        <v>1.04E-2</v>
      </c>
      <c r="I29586" s="26">
        <v>2.2800000000000001E-2</v>
      </c>
      <c r="J29586" s="26">
        <v>8.3999999999999995E-3</v>
      </c>
      <c r="K29586" s="26">
        <v>8.6699999999999999E-2</v>
      </c>
      <c r="L29586" s="26">
        <v>1.6899999999999998E-2</v>
      </c>
      <c r="M29586" s="26">
        <v>1.04E-2</v>
      </c>
      <c r="P29586">
        <v>75</v>
      </c>
    </row>
    <row r="29587" spans="1:16" x14ac:dyDescent="0.35">
      <c r="A29587" t="s">
        <v>230</v>
      </c>
      <c r="B29587" t="s">
        <v>1341</v>
      </c>
      <c r="C29587" t="s">
        <v>1347</v>
      </c>
      <c r="D29587" s="26">
        <v>0.38269999999999998</v>
      </c>
      <c r="E29587" s="26">
        <v>0.1895</v>
      </c>
      <c r="F29587" s="26">
        <v>0.3967</v>
      </c>
      <c r="G29587" s="26">
        <v>0.1009</v>
      </c>
      <c r="H29587" s="26">
        <v>1.52E-2</v>
      </c>
      <c r="I29587" s="26">
        <v>0.1134</v>
      </c>
      <c r="J29587" s="26">
        <v>6.0100000000000001E-2</v>
      </c>
      <c r="K29587" s="26">
        <v>3.4299999999999997E-2</v>
      </c>
      <c r="L29587" s="26">
        <v>1.23E-2</v>
      </c>
      <c r="M29587" s="26">
        <v>2.8999999999999998E-3</v>
      </c>
      <c r="P29587">
        <v>47</v>
      </c>
    </row>
    <row r="29588" spans="1:16" x14ac:dyDescent="0.35">
      <c r="A29588" s="27" t="s">
        <v>230</v>
      </c>
      <c r="B29588" s="27" t="s">
        <v>1343</v>
      </c>
      <c r="C29588" s="27" t="s">
        <v>1345</v>
      </c>
      <c r="D29588" s="28">
        <v>0.27760000000000001</v>
      </c>
      <c r="E29588" s="28">
        <v>0.72240000000000004</v>
      </c>
      <c r="F29588" s="29"/>
      <c r="G29588" s="29"/>
      <c r="H29588" s="29"/>
      <c r="I29588" s="29"/>
      <c r="J29588" s="29"/>
      <c r="K29588" s="29"/>
      <c r="L29588" s="29"/>
      <c r="M29588" s="29"/>
      <c r="N29588" s="29"/>
      <c r="O29588" s="29"/>
      <c r="P29588" s="29" t="s">
        <v>337</v>
      </c>
    </row>
    <row r="29589" spans="1:16" x14ac:dyDescent="0.35">
      <c r="A29589" t="s">
        <v>230</v>
      </c>
      <c r="B29589" t="s">
        <v>1341</v>
      </c>
      <c r="C29589" t="s">
        <v>1346</v>
      </c>
      <c r="D29589" s="26">
        <v>0.36149999999999999</v>
      </c>
      <c r="E29589" s="26">
        <v>0.27110000000000001</v>
      </c>
      <c r="F29589" s="26">
        <v>9.9000000000000005E-2</v>
      </c>
      <c r="G29589" s="26">
        <v>0.1694</v>
      </c>
      <c r="H29589" s="26">
        <v>8.4699999999999998E-2</v>
      </c>
      <c r="I29589" s="26">
        <v>1.43E-2</v>
      </c>
      <c r="P29589">
        <v>30</v>
      </c>
    </row>
    <row r="29590" spans="1:16" x14ac:dyDescent="0.35">
      <c r="A29590" t="s">
        <v>231</v>
      </c>
      <c r="B29590" t="s">
        <v>1343</v>
      </c>
      <c r="C29590" t="s">
        <v>1348</v>
      </c>
      <c r="D29590" s="26">
        <v>0.38</v>
      </c>
      <c r="E29590" s="26">
        <v>0.38</v>
      </c>
      <c r="F29590" s="26">
        <v>0.16</v>
      </c>
      <c r="G29590" s="26">
        <v>0.02</v>
      </c>
      <c r="H29590" s="26">
        <v>0.04</v>
      </c>
      <c r="I29590" s="26">
        <v>0.02</v>
      </c>
      <c r="J29590" s="26">
        <v>0.02</v>
      </c>
      <c r="K29590" s="26">
        <v>0.04</v>
      </c>
      <c r="M29590" s="26">
        <v>0.02</v>
      </c>
      <c r="P29590">
        <v>50</v>
      </c>
    </row>
    <row r="29591" spans="1:16" x14ac:dyDescent="0.35">
      <c r="A29591" s="27" t="s">
        <v>231</v>
      </c>
      <c r="B29591" s="27" t="s">
        <v>1343</v>
      </c>
      <c r="C29591" s="27" t="s">
        <v>1345</v>
      </c>
      <c r="D29591" s="28">
        <v>1</v>
      </c>
      <c r="E29591" s="29"/>
      <c r="F29591" s="29"/>
      <c r="G29591" s="29"/>
      <c r="H29591" s="29"/>
      <c r="I29591" s="29"/>
      <c r="J29591" s="29"/>
      <c r="K29591" s="29"/>
      <c r="L29591" s="29"/>
      <c r="M29591" s="29"/>
      <c r="N29591" s="29"/>
      <c r="O29591" s="29"/>
      <c r="P29591" s="29" t="s">
        <v>315</v>
      </c>
    </row>
    <row r="29592" spans="1:16" x14ac:dyDescent="0.35">
      <c r="A29592" t="s">
        <v>231</v>
      </c>
      <c r="B29592" t="s">
        <v>1341</v>
      </c>
      <c r="C29592" t="s">
        <v>1348</v>
      </c>
      <c r="D29592" s="26">
        <v>0.41670000000000001</v>
      </c>
      <c r="E29592" s="26">
        <v>0.38890000000000002</v>
      </c>
      <c r="F29592" s="26">
        <v>0.1389</v>
      </c>
      <c r="G29592" s="26">
        <v>5.5599999999999997E-2</v>
      </c>
      <c r="H29592" s="26">
        <v>5.5599999999999997E-2</v>
      </c>
      <c r="I29592" s="26">
        <v>2.7799999999999998E-2</v>
      </c>
      <c r="L29592" s="26">
        <v>2.7799999999999998E-2</v>
      </c>
      <c r="P29592">
        <v>36</v>
      </c>
    </row>
    <row r="29593" spans="1:16" x14ac:dyDescent="0.35">
      <c r="A29593" s="27" t="s">
        <v>231</v>
      </c>
      <c r="B29593" s="27" t="s">
        <v>1341</v>
      </c>
      <c r="C29593" s="27" t="s">
        <v>1345</v>
      </c>
      <c r="D29593" s="28">
        <v>1</v>
      </c>
      <c r="E29593" s="29"/>
      <c r="F29593" s="29"/>
      <c r="G29593" s="29"/>
      <c r="H29593" s="29"/>
      <c r="I29593" s="29"/>
      <c r="J29593" s="29"/>
      <c r="K29593" s="29"/>
      <c r="L29593" s="29"/>
      <c r="M29593" s="29"/>
      <c r="N29593" s="29"/>
      <c r="O29593" s="29"/>
      <c r="P29593" s="29" t="s">
        <v>331</v>
      </c>
    </row>
    <row r="29594" spans="1:16" x14ac:dyDescent="0.35">
      <c r="A29594" s="27" t="s">
        <v>231</v>
      </c>
      <c r="B29594" s="27" t="s">
        <v>1343</v>
      </c>
      <c r="C29594" s="27" t="s">
        <v>1346</v>
      </c>
      <c r="D29594" s="28">
        <v>0.42309999999999998</v>
      </c>
      <c r="E29594" s="28">
        <v>0.5</v>
      </c>
      <c r="F29594" s="29"/>
      <c r="G29594" s="28">
        <v>3.85E-2</v>
      </c>
      <c r="H29594" s="29"/>
      <c r="I29594" s="29"/>
      <c r="J29594" s="28">
        <v>3.85E-2</v>
      </c>
      <c r="K29594" s="29"/>
      <c r="L29594" s="29"/>
      <c r="M29594" s="29"/>
      <c r="N29594" s="29"/>
      <c r="O29594" s="29"/>
      <c r="P29594" s="29" t="s">
        <v>357</v>
      </c>
    </row>
    <row r="29595" spans="1:16" x14ac:dyDescent="0.35">
      <c r="A29595" s="27" t="s">
        <v>231</v>
      </c>
      <c r="B29595" s="27" t="s">
        <v>1341</v>
      </c>
      <c r="C29595" s="27" t="s">
        <v>1346</v>
      </c>
      <c r="D29595" s="28">
        <v>0.64290000000000003</v>
      </c>
      <c r="E29595" s="28">
        <v>0.35709999999999997</v>
      </c>
      <c r="F29595" s="29"/>
      <c r="G29595" s="29"/>
      <c r="H29595" s="29"/>
      <c r="I29595" s="29"/>
      <c r="J29595" s="29"/>
      <c r="K29595" s="29"/>
      <c r="L29595" s="29"/>
      <c r="M29595" s="29"/>
      <c r="N29595" s="29"/>
      <c r="O29595" s="29"/>
      <c r="P29595" s="29" t="s">
        <v>379</v>
      </c>
    </row>
    <row r="29596" spans="1:16" x14ac:dyDescent="0.35">
      <c r="A29596" s="27" t="s">
        <v>231</v>
      </c>
      <c r="B29596" s="27" t="s">
        <v>1341</v>
      </c>
      <c r="C29596" s="27" t="s">
        <v>1347</v>
      </c>
      <c r="D29596" s="28">
        <v>0.5</v>
      </c>
      <c r="E29596" s="28">
        <v>0.21429999999999999</v>
      </c>
      <c r="F29596" s="28">
        <v>0.21429999999999999</v>
      </c>
      <c r="G29596" s="28">
        <v>7.1400000000000005E-2</v>
      </c>
      <c r="H29596" s="29"/>
      <c r="I29596" s="28">
        <v>7.1400000000000005E-2</v>
      </c>
      <c r="J29596" s="28">
        <v>7.1400000000000005E-2</v>
      </c>
      <c r="K29596" s="29"/>
      <c r="L29596" s="29"/>
      <c r="M29596" s="29"/>
      <c r="N29596" s="29"/>
      <c r="O29596" s="29"/>
      <c r="P29596" s="29" t="s">
        <v>379</v>
      </c>
    </row>
    <row r="29597" spans="1:16" x14ac:dyDescent="0.35">
      <c r="A29597" s="27" t="s">
        <v>231</v>
      </c>
      <c r="B29597" s="27" t="s">
        <v>1343</v>
      </c>
      <c r="C29597" s="27" t="s">
        <v>1347</v>
      </c>
      <c r="D29597" s="28">
        <v>0.5</v>
      </c>
      <c r="E29597" s="28">
        <v>0.05</v>
      </c>
      <c r="F29597" s="28">
        <v>0.35</v>
      </c>
      <c r="G29597" s="28">
        <v>0.1</v>
      </c>
      <c r="H29597" s="28">
        <v>0.1</v>
      </c>
      <c r="I29597" s="29"/>
      <c r="J29597" s="28">
        <v>0.05</v>
      </c>
      <c r="K29597" s="29"/>
      <c r="L29597" s="28">
        <v>0.05</v>
      </c>
      <c r="M29597" s="29"/>
      <c r="N29597" s="29"/>
      <c r="O29597" s="29"/>
      <c r="P29597" s="29" t="s">
        <v>350</v>
      </c>
    </row>
    <row r="29598" spans="1:16" x14ac:dyDescent="0.35">
      <c r="A29598" t="s">
        <v>232</v>
      </c>
      <c r="B29598" t="s">
        <v>232</v>
      </c>
      <c r="C29598" t="s">
        <v>232</v>
      </c>
      <c r="D29598" s="26">
        <v>0.42920000000000003</v>
      </c>
      <c r="E29598" s="26">
        <v>0.31090000000000001</v>
      </c>
      <c r="F29598" s="26">
        <v>0.154</v>
      </c>
      <c r="G29598" s="26">
        <v>6.3E-2</v>
      </c>
      <c r="H29598" s="26">
        <v>5.0700000000000002E-2</v>
      </c>
      <c r="I29598" s="26">
        <v>4.9099999999999998E-2</v>
      </c>
      <c r="J29598" s="26">
        <v>4.7E-2</v>
      </c>
      <c r="K29598" s="26">
        <v>3.61E-2</v>
      </c>
      <c r="L29598" s="26">
        <v>2.9100000000000001E-2</v>
      </c>
      <c r="M29598" s="26">
        <v>1.34E-2</v>
      </c>
      <c r="N29598" s="26">
        <v>2.2000000000000001E-3</v>
      </c>
      <c r="O29598" s="26">
        <v>0</v>
      </c>
      <c r="P29598">
        <v>2807</v>
      </c>
    </row>
    <row r="29600" spans="1:16" x14ac:dyDescent="0.35">
      <c r="A29600" s="1" t="s">
        <v>2641</v>
      </c>
    </row>
    <row r="29601" spans="1:13" x14ac:dyDescent="0.35">
      <c r="A29601" t="s">
        <v>219</v>
      </c>
      <c r="B29601" t="s">
        <v>302</v>
      </c>
      <c r="C29601" t="s">
        <v>2642</v>
      </c>
      <c r="D29601" t="s">
        <v>281</v>
      </c>
      <c r="E29601" t="s">
        <v>2643</v>
      </c>
      <c r="F29601" t="s">
        <v>2644</v>
      </c>
      <c r="G29601" t="s">
        <v>2645</v>
      </c>
      <c r="H29601" t="s">
        <v>2646</v>
      </c>
      <c r="I29601" t="s">
        <v>2647</v>
      </c>
      <c r="J29601" t="s">
        <v>2648</v>
      </c>
      <c r="K29601" t="s">
        <v>286</v>
      </c>
      <c r="L29601" t="s">
        <v>226</v>
      </c>
    </row>
    <row r="29602" spans="1:13" x14ac:dyDescent="0.35">
      <c r="A29602" t="s">
        <v>227</v>
      </c>
      <c r="B29602" s="26">
        <v>0.85709999999999997</v>
      </c>
      <c r="C29602" s="26">
        <v>6.83E-2</v>
      </c>
      <c r="D29602" s="26">
        <v>4.3499999999999997E-2</v>
      </c>
      <c r="E29602" s="26">
        <v>6.1999999999999998E-3</v>
      </c>
      <c r="F29602" s="26">
        <v>3.73E-2</v>
      </c>
      <c r="G29602" s="26">
        <v>6.1999999999999998E-3</v>
      </c>
      <c r="H29602" s="26">
        <v>6.1999999999999998E-3</v>
      </c>
      <c r="I29602" s="26">
        <v>1.24E-2</v>
      </c>
      <c r="J29602" s="26">
        <v>6.1999999999999998E-3</v>
      </c>
      <c r="L29602">
        <v>161</v>
      </c>
    </row>
    <row r="29603" spans="1:13" x14ac:dyDescent="0.35">
      <c r="A29603" t="s">
        <v>228</v>
      </c>
      <c r="B29603" s="26">
        <v>0.72409999999999997</v>
      </c>
      <c r="C29603" s="26">
        <v>0.1162</v>
      </c>
      <c r="D29603" s="26">
        <v>5.0999999999999997E-2</v>
      </c>
      <c r="E29603" s="26">
        <v>9.8699999999999996E-2</v>
      </c>
      <c r="F29603" s="26">
        <v>4.6600000000000003E-2</v>
      </c>
      <c r="G29603" s="26">
        <v>5.4199999999999998E-2</v>
      </c>
      <c r="H29603" s="26">
        <v>4.0500000000000001E-2</v>
      </c>
      <c r="I29603" s="26">
        <v>2.4299999999999999E-2</v>
      </c>
      <c r="J29603" s="26">
        <v>1.5599999999999999E-2</v>
      </c>
      <c r="K29603" s="26">
        <v>1.5699999999999999E-2</v>
      </c>
      <c r="L29603">
        <v>1033</v>
      </c>
    </row>
    <row r="29604" spans="1:13" x14ac:dyDescent="0.35">
      <c r="A29604" t="s">
        <v>229</v>
      </c>
      <c r="B29604" s="26">
        <v>0.77270000000000005</v>
      </c>
      <c r="C29604" s="26">
        <v>0.11650000000000001</v>
      </c>
      <c r="D29604" s="26">
        <v>4.8300000000000003E-2</v>
      </c>
      <c r="E29604" s="26">
        <v>5.5E-2</v>
      </c>
      <c r="F29604" s="26">
        <v>3.9300000000000002E-2</v>
      </c>
      <c r="G29604" s="26">
        <v>3.5299999999999998E-2</v>
      </c>
      <c r="H29604" s="26">
        <v>4.5400000000000003E-2</v>
      </c>
      <c r="I29604" s="26">
        <v>1.52E-2</v>
      </c>
      <c r="J29604" s="26">
        <v>7.4999999999999997E-3</v>
      </c>
      <c r="K29604" s="26">
        <v>4.4999999999999997E-3</v>
      </c>
      <c r="L29604">
        <v>895</v>
      </c>
    </row>
    <row r="29605" spans="1:13" x14ac:dyDescent="0.35">
      <c r="A29605" t="s">
        <v>230</v>
      </c>
      <c r="B29605" s="26">
        <v>0.80320000000000003</v>
      </c>
      <c r="C29605" s="26">
        <v>0.109</v>
      </c>
      <c r="D29605" s="26">
        <v>1.9900000000000001E-2</v>
      </c>
      <c r="E29605" s="26">
        <v>6.5600000000000006E-2</v>
      </c>
      <c r="F29605" s="26">
        <v>5.2600000000000001E-2</v>
      </c>
      <c r="G29605" s="26">
        <v>3.3300000000000003E-2</v>
      </c>
      <c r="H29605" s="26">
        <v>3.3799999999999997E-2</v>
      </c>
      <c r="I29605" s="26">
        <v>1.83E-2</v>
      </c>
      <c r="J29605" s="26">
        <v>1.11E-2</v>
      </c>
      <c r="K29605" s="26">
        <v>6.6E-3</v>
      </c>
      <c r="L29605">
        <v>560</v>
      </c>
    </row>
    <row r="29606" spans="1:13" x14ac:dyDescent="0.35">
      <c r="A29606" t="s">
        <v>231</v>
      </c>
      <c r="B29606" s="26">
        <v>0.878</v>
      </c>
      <c r="C29606" s="26">
        <v>3.0499999999999999E-2</v>
      </c>
      <c r="D29606" s="26">
        <v>6.0999999999999999E-2</v>
      </c>
      <c r="E29606" s="26">
        <v>6.1000000000000004E-3</v>
      </c>
      <c r="F29606" s="26">
        <v>1.2200000000000001E-2</v>
      </c>
      <c r="G29606" s="26">
        <v>1.2200000000000001E-2</v>
      </c>
      <c r="H29606" s="26">
        <v>6.1000000000000004E-3</v>
      </c>
      <c r="I29606" s="26">
        <v>1.2200000000000001E-2</v>
      </c>
      <c r="L29606">
        <v>164</v>
      </c>
    </row>
    <row r="29607" spans="1:13" x14ac:dyDescent="0.35">
      <c r="A29607" t="s">
        <v>232</v>
      </c>
      <c r="B29607" s="26">
        <v>0.80789999999999995</v>
      </c>
      <c r="C29607" s="26">
        <v>8.48E-2</v>
      </c>
      <c r="D29607" s="26">
        <v>4.8800000000000003E-2</v>
      </c>
      <c r="E29607" s="26">
        <v>4.3700000000000003E-2</v>
      </c>
      <c r="F29607" s="26">
        <v>3.4299999999999997E-2</v>
      </c>
      <c r="G29607" s="26">
        <v>2.8000000000000001E-2</v>
      </c>
      <c r="H29607" s="26">
        <v>2.6599999999999999E-2</v>
      </c>
      <c r="I29607" s="26">
        <v>1.6E-2</v>
      </c>
      <c r="J29607" s="26">
        <v>7.1999999999999998E-3</v>
      </c>
      <c r="K29607" s="26">
        <v>5.0000000000000001E-3</v>
      </c>
      <c r="L29607">
        <v>2813</v>
      </c>
    </row>
    <row r="29609" spans="1:13" x14ac:dyDescent="0.35">
      <c r="A29609" s="1" t="s">
        <v>2649</v>
      </c>
    </row>
    <row r="29610" spans="1:13" x14ac:dyDescent="0.35">
      <c r="A29610" t="s">
        <v>219</v>
      </c>
      <c r="B29610" t="s">
        <v>305</v>
      </c>
      <c r="C29610" t="s">
        <v>302</v>
      </c>
      <c r="D29610" t="s">
        <v>2642</v>
      </c>
      <c r="E29610" t="s">
        <v>281</v>
      </c>
      <c r="F29610" t="s">
        <v>2643</v>
      </c>
      <c r="G29610" t="s">
        <v>2644</v>
      </c>
      <c r="H29610" t="s">
        <v>2645</v>
      </c>
      <c r="I29610" t="s">
        <v>2646</v>
      </c>
      <c r="J29610" t="s">
        <v>2647</v>
      </c>
      <c r="K29610" t="s">
        <v>2648</v>
      </c>
      <c r="L29610" t="s">
        <v>286</v>
      </c>
      <c r="M29610" t="s">
        <v>226</v>
      </c>
    </row>
    <row r="29611" spans="1:13" x14ac:dyDescent="0.35">
      <c r="A29611" t="s">
        <v>227</v>
      </c>
      <c r="B29611" t="s">
        <v>242</v>
      </c>
      <c r="C29611" s="26">
        <v>0.85289999999999999</v>
      </c>
      <c r="D29611" s="26">
        <v>5.8799999999999998E-2</v>
      </c>
      <c r="E29611" s="26">
        <v>4.41E-2</v>
      </c>
      <c r="G29611" s="26">
        <v>4.41E-2</v>
      </c>
      <c r="H29611" s="26">
        <v>1.47E-2</v>
      </c>
      <c r="J29611" s="26">
        <v>2.9399999999999999E-2</v>
      </c>
      <c r="K29611" s="26">
        <v>1.47E-2</v>
      </c>
      <c r="M29611">
        <v>68</v>
      </c>
    </row>
    <row r="29612" spans="1:13" x14ac:dyDescent="0.35">
      <c r="A29612" t="s">
        <v>227</v>
      </c>
      <c r="B29612" t="s">
        <v>241</v>
      </c>
      <c r="C29612" s="26">
        <v>0.86019999999999996</v>
      </c>
      <c r="D29612" s="26">
        <v>7.5300000000000006E-2</v>
      </c>
      <c r="E29612" s="26">
        <v>4.2999999999999997E-2</v>
      </c>
      <c r="F29612" s="26">
        <v>1.0800000000000001E-2</v>
      </c>
      <c r="G29612" s="26">
        <v>3.2300000000000002E-2</v>
      </c>
      <c r="I29612" s="26">
        <v>1.0800000000000001E-2</v>
      </c>
      <c r="M29612">
        <v>93</v>
      </c>
    </row>
    <row r="29613" spans="1:13" x14ac:dyDescent="0.35">
      <c r="A29613" t="s">
        <v>228</v>
      </c>
      <c r="B29613" t="s">
        <v>242</v>
      </c>
      <c r="C29613" s="26">
        <v>0.71189999999999998</v>
      </c>
      <c r="D29613" s="26">
        <v>0.1084</v>
      </c>
      <c r="E29613" s="26">
        <v>6.1499999999999999E-2</v>
      </c>
      <c r="F29613" s="26">
        <v>9.6000000000000002E-2</v>
      </c>
      <c r="G29613" s="26">
        <v>5.5800000000000002E-2</v>
      </c>
      <c r="H29613" s="26">
        <v>6.4000000000000001E-2</v>
      </c>
      <c r="I29613" s="26">
        <v>4.99E-2</v>
      </c>
      <c r="J29613" s="26">
        <v>2.5700000000000001E-2</v>
      </c>
      <c r="K29613" s="26">
        <v>3.09E-2</v>
      </c>
      <c r="L29613" s="26">
        <v>1.41E-2</v>
      </c>
      <c r="M29613">
        <v>402</v>
      </c>
    </row>
    <row r="29614" spans="1:13" x14ac:dyDescent="0.35">
      <c r="A29614" t="s">
        <v>228</v>
      </c>
      <c r="B29614" t="s">
        <v>241</v>
      </c>
      <c r="C29614" s="26">
        <v>0.73099999999999998</v>
      </c>
      <c r="D29614" s="26">
        <v>0.1206</v>
      </c>
      <c r="E29614" s="26">
        <v>4.4900000000000002E-2</v>
      </c>
      <c r="F29614" s="26">
        <v>0.1003</v>
      </c>
      <c r="G29614" s="26">
        <v>4.1399999999999999E-2</v>
      </c>
      <c r="H29614" s="26">
        <v>4.87E-2</v>
      </c>
      <c r="I29614" s="26">
        <v>3.5200000000000002E-2</v>
      </c>
      <c r="J29614" s="26">
        <v>2.35E-2</v>
      </c>
      <c r="K29614" s="26">
        <v>6.8999999999999999E-3</v>
      </c>
      <c r="L29614" s="26">
        <v>1.66E-2</v>
      </c>
      <c r="M29614">
        <v>631</v>
      </c>
    </row>
    <row r="29615" spans="1:13" x14ac:dyDescent="0.35">
      <c r="A29615" t="s">
        <v>229</v>
      </c>
      <c r="B29615" t="s">
        <v>242</v>
      </c>
      <c r="C29615" s="26">
        <v>0.75700000000000001</v>
      </c>
      <c r="D29615" s="26">
        <v>9.8799999999999999E-2</v>
      </c>
      <c r="E29615" s="26">
        <v>6.6299999999999998E-2</v>
      </c>
      <c r="F29615" s="26">
        <v>5.79E-2</v>
      </c>
      <c r="G29615" s="26">
        <v>2.9899999999999999E-2</v>
      </c>
      <c r="H29615" s="26">
        <v>2.69E-2</v>
      </c>
      <c r="I29615" s="26">
        <v>5.62E-2</v>
      </c>
      <c r="J29615" s="26">
        <v>2.3699999999999999E-2</v>
      </c>
      <c r="K29615" s="26">
        <v>1.4500000000000001E-2</v>
      </c>
      <c r="L29615" s="26">
        <v>8.3999999999999995E-3</v>
      </c>
      <c r="M29615">
        <v>292</v>
      </c>
    </row>
    <row r="29616" spans="1:13" x14ac:dyDescent="0.35">
      <c r="A29616" t="s">
        <v>229</v>
      </c>
      <c r="B29616" t="s">
        <v>241</v>
      </c>
      <c r="C29616" s="26">
        <v>0.78269999999999995</v>
      </c>
      <c r="D29616" s="26">
        <v>0.1278</v>
      </c>
      <c r="E29616" s="26">
        <v>3.6700000000000003E-2</v>
      </c>
      <c r="F29616" s="26">
        <v>5.3100000000000001E-2</v>
      </c>
      <c r="G29616" s="26">
        <v>4.5400000000000003E-2</v>
      </c>
      <c r="H29616" s="26">
        <v>4.0599999999999997E-2</v>
      </c>
      <c r="I29616" s="26">
        <v>3.85E-2</v>
      </c>
      <c r="J29616" s="26">
        <v>9.7000000000000003E-3</v>
      </c>
      <c r="K29616" s="26">
        <v>3.0000000000000001E-3</v>
      </c>
      <c r="L29616" s="26">
        <v>2.0999999999999999E-3</v>
      </c>
      <c r="M29616">
        <v>603</v>
      </c>
    </row>
    <row r="29617" spans="1:13" x14ac:dyDescent="0.35">
      <c r="A29617" t="s">
        <v>230</v>
      </c>
      <c r="B29617" t="s">
        <v>242</v>
      </c>
      <c r="C29617" s="26">
        <v>0.75819999999999999</v>
      </c>
      <c r="D29617" s="26">
        <v>0.12330000000000001</v>
      </c>
      <c r="E29617" s="26">
        <v>2.8899999999999999E-2</v>
      </c>
      <c r="F29617" s="26">
        <v>5.3100000000000001E-2</v>
      </c>
      <c r="G29617" s="26">
        <v>3.1099999999999999E-2</v>
      </c>
      <c r="H29617" s="26">
        <v>3.8199999999999998E-2</v>
      </c>
      <c r="I29617" s="26">
        <v>4.7199999999999999E-2</v>
      </c>
      <c r="J29617" s="26">
        <v>2.3199999999999998E-2</v>
      </c>
      <c r="K29617" s="26">
        <v>7.7000000000000002E-3</v>
      </c>
      <c r="L29617" s="26">
        <v>1.0699999999999999E-2</v>
      </c>
      <c r="M29617">
        <v>189</v>
      </c>
    </row>
    <row r="29618" spans="1:13" x14ac:dyDescent="0.35">
      <c r="A29618" t="s">
        <v>230</v>
      </c>
      <c r="B29618" t="s">
        <v>241</v>
      </c>
      <c r="C29618" s="26">
        <v>0.82620000000000005</v>
      </c>
      <c r="D29618" s="26">
        <v>0.1016</v>
      </c>
      <c r="E29618" s="26">
        <v>1.5299999999999999E-2</v>
      </c>
      <c r="F29618" s="26">
        <v>7.1999999999999995E-2</v>
      </c>
      <c r="G29618" s="26">
        <v>6.3600000000000004E-2</v>
      </c>
      <c r="H29618" s="26">
        <v>3.0800000000000001E-2</v>
      </c>
      <c r="I29618" s="26">
        <v>2.7E-2</v>
      </c>
      <c r="J29618" s="26">
        <v>1.5900000000000001E-2</v>
      </c>
      <c r="K29618" s="26">
        <v>1.2800000000000001E-2</v>
      </c>
      <c r="L29618" s="26">
        <v>4.4999999999999997E-3</v>
      </c>
      <c r="M29618">
        <v>371</v>
      </c>
    </row>
    <row r="29619" spans="1:13" x14ac:dyDescent="0.35">
      <c r="A29619" t="s">
        <v>231</v>
      </c>
      <c r="B29619" t="s">
        <v>242</v>
      </c>
      <c r="C29619" s="26">
        <v>0.77780000000000005</v>
      </c>
      <c r="D29619" s="26">
        <v>5.5599999999999997E-2</v>
      </c>
      <c r="E29619" s="26">
        <v>0.1111</v>
      </c>
      <c r="F29619" s="26">
        <v>1.8499999999999999E-2</v>
      </c>
      <c r="G29619" s="26">
        <v>3.6999999999999998E-2</v>
      </c>
      <c r="H29619" s="26">
        <v>1.8499999999999999E-2</v>
      </c>
      <c r="J29619" s="26">
        <v>1.8499999999999999E-2</v>
      </c>
      <c r="M29619">
        <v>54</v>
      </c>
    </row>
    <row r="29620" spans="1:13" x14ac:dyDescent="0.35">
      <c r="A29620" t="s">
        <v>231</v>
      </c>
      <c r="B29620" t="s">
        <v>241</v>
      </c>
      <c r="C29620" s="26">
        <v>0.92730000000000001</v>
      </c>
      <c r="D29620" s="26">
        <v>1.8200000000000001E-2</v>
      </c>
      <c r="E29620" s="26">
        <v>3.6400000000000002E-2</v>
      </c>
      <c r="H29620" s="26">
        <v>9.1000000000000004E-3</v>
      </c>
      <c r="I29620" s="26">
        <v>9.1000000000000004E-3</v>
      </c>
      <c r="J29620" s="26">
        <v>9.1000000000000004E-3</v>
      </c>
      <c r="M29620">
        <v>110</v>
      </c>
    </row>
    <row r="29621" spans="1:13" x14ac:dyDescent="0.35">
      <c r="A29621" t="s">
        <v>232</v>
      </c>
      <c r="B29621" t="s">
        <v>232</v>
      </c>
      <c r="C29621" s="26">
        <v>0.80789999999999995</v>
      </c>
      <c r="D29621" s="26">
        <v>8.48E-2</v>
      </c>
      <c r="E29621" s="26">
        <v>4.8800000000000003E-2</v>
      </c>
      <c r="F29621" s="26">
        <v>4.3700000000000003E-2</v>
      </c>
      <c r="G29621" s="26">
        <v>3.4299999999999997E-2</v>
      </c>
      <c r="H29621" s="26">
        <v>2.8000000000000001E-2</v>
      </c>
      <c r="I29621" s="26">
        <v>2.6599999999999999E-2</v>
      </c>
      <c r="J29621" s="26">
        <v>1.6E-2</v>
      </c>
      <c r="K29621" s="26">
        <v>7.1999999999999998E-3</v>
      </c>
      <c r="L29621" s="26">
        <v>5.0000000000000001E-3</v>
      </c>
      <c r="M29621">
        <v>2813</v>
      </c>
    </row>
    <row r="29623" spans="1:13" x14ac:dyDescent="0.35">
      <c r="A29623" s="1" t="s">
        <v>2650</v>
      </c>
    </row>
    <row r="29624" spans="1:13" x14ac:dyDescent="0.35">
      <c r="A29624" t="s">
        <v>219</v>
      </c>
      <c r="B29624" t="s">
        <v>305</v>
      </c>
      <c r="C29624" t="s">
        <v>302</v>
      </c>
      <c r="D29624" t="s">
        <v>2642</v>
      </c>
      <c r="E29624" t="s">
        <v>281</v>
      </c>
      <c r="F29624" t="s">
        <v>2643</v>
      </c>
      <c r="G29624" t="s">
        <v>2644</v>
      </c>
      <c r="H29624" t="s">
        <v>2645</v>
      </c>
      <c r="I29624" t="s">
        <v>2646</v>
      </c>
      <c r="J29624" t="s">
        <v>2647</v>
      </c>
      <c r="K29624" t="s">
        <v>2648</v>
      </c>
      <c r="L29624" t="s">
        <v>286</v>
      </c>
      <c r="M29624" t="s">
        <v>226</v>
      </c>
    </row>
    <row r="29625" spans="1:13" x14ac:dyDescent="0.35">
      <c r="A29625" t="s">
        <v>227</v>
      </c>
      <c r="B29625" t="s">
        <v>239</v>
      </c>
      <c r="C29625" s="26">
        <v>0.871</v>
      </c>
      <c r="D29625" s="26">
        <v>8.0600000000000005E-2</v>
      </c>
      <c r="E29625" s="26">
        <v>3.2300000000000002E-2</v>
      </c>
      <c r="G29625" s="26">
        <v>1.61E-2</v>
      </c>
      <c r="K29625" s="26">
        <v>1.61E-2</v>
      </c>
      <c r="M29625">
        <v>62</v>
      </c>
    </row>
    <row r="29626" spans="1:13" x14ac:dyDescent="0.35">
      <c r="A29626" t="s">
        <v>227</v>
      </c>
      <c r="B29626" t="s">
        <v>238</v>
      </c>
      <c r="C29626" s="26">
        <v>0.84850000000000003</v>
      </c>
      <c r="D29626" s="26">
        <v>6.0600000000000001E-2</v>
      </c>
      <c r="E29626" s="26">
        <v>5.0500000000000003E-2</v>
      </c>
      <c r="F29626" s="26">
        <v>1.01E-2</v>
      </c>
      <c r="G29626" s="26">
        <v>5.0500000000000003E-2</v>
      </c>
      <c r="H29626" s="26">
        <v>1.01E-2</v>
      </c>
      <c r="I29626" s="26">
        <v>1.01E-2</v>
      </c>
      <c r="J29626" s="26">
        <v>2.0199999999999999E-2</v>
      </c>
      <c r="M29626">
        <v>99</v>
      </c>
    </row>
    <row r="29627" spans="1:13" x14ac:dyDescent="0.35">
      <c r="A29627" t="s">
        <v>228</v>
      </c>
      <c r="B29627" t="s">
        <v>239</v>
      </c>
      <c r="C29627" s="26">
        <v>0.73750000000000004</v>
      </c>
      <c r="D29627" s="26">
        <v>8.5500000000000007E-2</v>
      </c>
      <c r="E29627" s="26">
        <v>7.1300000000000002E-2</v>
      </c>
      <c r="F29627" s="26">
        <v>7.4700000000000003E-2</v>
      </c>
      <c r="G29627" s="26">
        <v>2.4799999999999999E-2</v>
      </c>
      <c r="H29627" s="26">
        <v>6.6500000000000004E-2</v>
      </c>
      <c r="I29627" s="26">
        <v>6.2899999999999998E-2</v>
      </c>
      <c r="J29627" s="26">
        <v>3.6700000000000003E-2</v>
      </c>
      <c r="K29627" s="26">
        <v>1.89E-2</v>
      </c>
      <c r="L29627" s="26">
        <v>1.8100000000000002E-2</v>
      </c>
      <c r="M29627">
        <v>330</v>
      </c>
    </row>
    <row r="29628" spans="1:13" x14ac:dyDescent="0.35">
      <c r="A29628" t="s">
        <v>228</v>
      </c>
      <c r="B29628" t="s">
        <v>238</v>
      </c>
      <c r="C29628" s="26">
        <v>0.72060000000000002</v>
      </c>
      <c r="D29628" s="26">
        <v>0.1241</v>
      </c>
      <c r="E29628" s="26">
        <v>4.5699999999999998E-2</v>
      </c>
      <c r="F29628" s="26">
        <v>0.105</v>
      </c>
      <c r="G29628" s="26">
        <v>5.2299999999999999E-2</v>
      </c>
      <c r="H29628" s="26">
        <v>5.0999999999999997E-2</v>
      </c>
      <c r="I29628" s="26">
        <v>3.4700000000000002E-2</v>
      </c>
      <c r="J29628" s="26">
        <v>2.1100000000000001E-2</v>
      </c>
      <c r="K29628" s="26">
        <v>1.47E-2</v>
      </c>
      <c r="L29628" s="26">
        <v>1.5100000000000001E-2</v>
      </c>
      <c r="M29628">
        <v>703</v>
      </c>
    </row>
    <row r="29629" spans="1:13" x14ac:dyDescent="0.35">
      <c r="A29629" t="s">
        <v>229</v>
      </c>
      <c r="B29629" t="s">
        <v>239</v>
      </c>
      <c r="C29629" s="26">
        <v>0.77339999999999998</v>
      </c>
      <c r="D29629" s="26">
        <v>0.1137</v>
      </c>
      <c r="E29629" s="26">
        <v>7.8299999999999995E-2</v>
      </c>
      <c r="F29629" s="26">
        <v>2.9000000000000001E-2</v>
      </c>
      <c r="G29629" s="26">
        <v>3.1199999999999999E-2</v>
      </c>
      <c r="H29629" s="26">
        <v>2.4400000000000002E-2</v>
      </c>
      <c r="I29629" s="26">
        <v>2.9000000000000001E-2</v>
      </c>
      <c r="J29629" s="26">
        <v>2.18E-2</v>
      </c>
      <c r="K29629" s="26">
        <v>2.7000000000000001E-3</v>
      </c>
      <c r="L29629" s="26">
        <v>3.0000000000000001E-3</v>
      </c>
      <c r="M29629">
        <v>332</v>
      </c>
    </row>
    <row r="29630" spans="1:13" x14ac:dyDescent="0.35">
      <c r="A29630" t="s">
        <v>229</v>
      </c>
      <c r="B29630" t="s">
        <v>238</v>
      </c>
      <c r="C29630" s="26">
        <v>0.77239999999999998</v>
      </c>
      <c r="D29630" s="26">
        <v>0.1174</v>
      </c>
      <c r="E29630" s="26">
        <v>3.7999999999999999E-2</v>
      </c>
      <c r="F29630" s="26">
        <v>6.3799999999999996E-2</v>
      </c>
      <c r="G29630" s="26">
        <v>4.2099999999999999E-2</v>
      </c>
      <c r="H29630" s="26">
        <v>3.9E-2</v>
      </c>
      <c r="I29630" s="26">
        <v>5.0999999999999997E-2</v>
      </c>
      <c r="J29630" s="26">
        <v>1.29E-2</v>
      </c>
      <c r="K29630" s="26">
        <v>9.1999999999999998E-3</v>
      </c>
      <c r="L29630" s="26">
        <v>5.1000000000000004E-3</v>
      </c>
      <c r="M29630">
        <v>563</v>
      </c>
    </row>
    <row r="29631" spans="1:13" x14ac:dyDescent="0.35">
      <c r="A29631" t="s">
        <v>230</v>
      </c>
      <c r="B29631" t="s">
        <v>239</v>
      </c>
      <c r="C29631" s="26">
        <v>0.84060000000000001</v>
      </c>
      <c r="D29631" s="26">
        <v>6.6000000000000003E-2</v>
      </c>
      <c r="E29631" s="26">
        <v>2.6499999999999999E-2</v>
      </c>
      <c r="F29631" s="26">
        <v>4.3999999999999997E-2</v>
      </c>
      <c r="G29631" s="26">
        <v>5.11E-2</v>
      </c>
      <c r="H29631" s="26">
        <v>2.5399999999999999E-2</v>
      </c>
      <c r="I29631" s="26">
        <v>7.7999999999999996E-3</v>
      </c>
      <c r="J29631" s="26">
        <v>2.5000000000000001E-2</v>
      </c>
      <c r="K29631" s="26">
        <v>6.6E-3</v>
      </c>
      <c r="L29631" s="26">
        <v>1.29E-2</v>
      </c>
      <c r="M29631">
        <v>211</v>
      </c>
    </row>
    <row r="29632" spans="1:13" x14ac:dyDescent="0.35">
      <c r="A29632" t="s">
        <v>230</v>
      </c>
      <c r="B29632" t="s">
        <v>238</v>
      </c>
      <c r="C29632" s="26">
        <v>0.78710000000000002</v>
      </c>
      <c r="D29632" s="26">
        <v>0.1275</v>
      </c>
      <c r="E29632" s="26">
        <v>1.7000000000000001E-2</v>
      </c>
      <c r="F29632" s="26">
        <v>7.4899999999999994E-2</v>
      </c>
      <c r="G29632" s="26">
        <v>5.33E-2</v>
      </c>
      <c r="H29632" s="26">
        <v>3.6600000000000001E-2</v>
      </c>
      <c r="I29632" s="26">
        <v>4.5100000000000001E-2</v>
      </c>
      <c r="J29632" s="26">
        <v>1.54E-2</v>
      </c>
      <c r="K29632" s="26">
        <v>1.2999999999999999E-2</v>
      </c>
      <c r="L29632" s="26">
        <v>3.8E-3</v>
      </c>
      <c r="M29632">
        <v>349</v>
      </c>
    </row>
    <row r="29633" spans="1:13" x14ac:dyDescent="0.35">
      <c r="A29633" t="s">
        <v>231</v>
      </c>
      <c r="B29633" t="s">
        <v>239</v>
      </c>
      <c r="C29633" s="26">
        <v>0.80700000000000005</v>
      </c>
      <c r="D29633" s="26">
        <v>1.7500000000000002E-2</v>
      </c>
      <c r="E29633" s="26">
        <v>0.1053</v>
      </c>
      <c r="F29633" s="26">
        <v>1.7500000000000002E-2</v>
      </c>
      <c r="G29633" s="26">
        <v>3.5099999999999999E-2</v>
      </c>
      <c r="H29633" s="26">
        <v>1.7500000000000002E-2</v>
      </c>
      <c r="J29633" s="26">
        <v>3.5099999999999999E-2</v>
      </c>
      <c r="M29633">
        <v>57</v>
      </c>
    </row>
    <row r="29634" spans="1:13" x14ac:dyDescent="0.35">
      <c r="A29634" t="s">
        <v>231</v>
      </c>
      <c r="B29634" t="s">
        <v>238</v>
      </c>
      <c r="C29634" s="26">
        <v>0.91590000000000005</v>
      </c>
      <c r="D29634" s="26">
        <v>3.7400000000000003E-2</v>
      </c>
      <c r="E29634" s="26">
        <v>3.7400000000000003E-2</v>
      </c>
      <c r="H29634" s="26">
        <v>9.2999999999999992E-3</v>
      </c>
      <c r="I29634" s="26">
        <v>9.2999999999999992E-3</v>
      </c>
      <c r="M29634">
        <v>107</v>
      </c>
    </row>
    <row r="29635" spans="1:13" x14ac:dyDescent="0.35">
      <c r="A29635" t="s">
        <v>232</v>
      </c>
      <c r="B29635" t="s">
        <v>232</v>
      </c>
      <c r="C29635" s="26">
        <v>0.80789999999999995</v>
      </c>
      <c r="D29635" s="26">
        <v>8.48E-2</v>
      </c>
      <c r="E29635" s="26">
        <v>4.8800000000000003E-2</v>
      </c>
      <c r="F29635" s="26">
        <v>4.3700000000000003E-2</v>
      </c>
      <c r="G29635" s="26">
        <v>3.4299999999999997E-2</v>
      </c>
      <c r="H29635" s="26">
        <v>2.8000000000000001E-2</v>
      </c>
      <c r="I29635" s="26">
        <v>2.6599999999999999E-2</v>
      </c>
      <c r="J29635" s="26">
        <v>1.6E-2</v>
      </c>
      <c r="K29635" s="26">
        <v>7.1999999999999998E-3</v>
      </c>
      <c r="L29635" s="26">
        <v>5.0000000000000001E-3</v>
      </c>
      <c r="M29635">
        <v>2813</v>
      </c>
    </row>
    <row r="29637" spans="1:13" x14ac:dyDescent="0.35">
      <c r="A29637" s="1" t="s">
        <v>2651</v>
      </c>
    </row>
    <row r="29638" spans="1:13" x14ac:dyDescent="0.35">
      <c r="A29638" t="s">
        <v>219</v>
      </c>
      <c r="B29638" t="s">
        <v>305</v>
      </c>
      <c r="C29638" t="s">
        <v>302</v>
      </c>
      <c r="D29638" t="s">
        <v>2642</v>
      </c>
      <c r="E29638" t="s">
        <v>281</v>
      </c>
      <c r="F29638" t="s">
        <v>2643</v>
      </c>
      <c r="G29638" t="s">
        <v>2644</v>
      </c>
      <c r="H29638" t="s">
        <v>2645</v>
      </c>
      <c r="I29638" t="s">
        <v>2646</v>
      </c>
      <c r="J29638" t="s">
        <v>2647</v>
      </c>
      <c r="K29638" t="s">
        <v>2648</v>
      </c>
      <c r="L29638" t="s">
        <v>286</v>
      </c>
      <c r="M29638" t="s">
        <v>226</v>
      </c>
    </row>
    <row r="29639" spans="1:13" x14ac:dyDescent="0.35">
      <c r="A29639" t="s">
        <v>227</v>
      </c>
      <c r="B29639" t="s">
        <v>244</v>
      </c>
      <c r="C29639" s="26">
        <v>0.83330000000000004</v>
      </c>
      <c r="D29639" s="26">
        <v>9.3799999999999994E-2</v>
      </c>
      <c r="E29639" s="26">
        <v>3.1199999999999999E-2</v>
      </c>
      <c r="F29639" s="26">
        <v>1.04E-2</v>
      </c>
      <c r="G29639" s="26">
        <v>4.1700000000000001E-2</v>
      </c>
      <c r="H29639" s="26">
        <v>1.04E-2</v>
      </c>
      <c r="J29639" s="26">
        <v>2.0799999999999999E-2</v>
      </c>
      <c r="K29639" s="26">
        <v>1.04E-2</v>
      </c>
      <c r="M29639">
        <v>96</v>
      </c>
    </row>
    <row r="29640" spans="1:13" x14ac:dyDescent="0.35">
      <c r="A29640" t="s">
        <v>227</v>
      </c>
      <c r="B29640" t="s">
        <v>245</v>
      </c>
      <c r="C29640" s="26">
        <v>0.90569999999999995</v>
      </c>
      <c r="D29640" s="26">
        <v>1.89E-2</v>
      </c>
      <c r="E29640" s="26">
        <v>5.6599999999999998E-2</v>
      </c>
      <c r="G29640" s="26">
        <v>3.7699999999999997E-2</v>
      </c>
      <c r="M29640">
        <v>53</v>
      </c>
    </row>
    <row r="29641" spans="1:13" x14ac:dyDescent="0.35">
      <c r="A29641" s="27" t="s">
        <v>227</v>
      </c>
      <c r="B29641" s="27" t="s">
        <v>246</v>
      </c>
      <c r="C29641" s="28">
        <v>0.83330000000000004</v>
      </c>
      <c r="D29641" s="28">
        <v>8.3299999999999999E-2</v>
      </c>
      <c r="E29641" s="28">
        <v>8.3299999999999999E-2</v>
      </c>
      <c r="F29641" s="29"/>
      <c r="G29641" s="29"/>
      <c r="H29641" s="29"/>
      <c r="I29641" s="28">
        <v>8.3299999999999999E-2</v>
      </c>
      <c r="J29641" s="29"/>
      <c r="K29641" s="29"/>
      <c r="L29641" s="29"/>
      <c r="M29641" s="29" t="s">
        <v>342</v>
      </c>
    </row>
    <row r="29642" spans="1:13" x14ac:dyDescent="0.35">
      <c r="A29642" t="s">
        <v>228</v>
      </c>
      <c r="B29642" t="s">
        <v>244</v>
      </c>
      <c r="C29642" s="26">
        <v>0.7419</v>
      </c>
      <c r="D29642" s="26">
        <v>0.113</v>
      </c>
      <c r="E29642" s="26">
        <v>3.5200000000000002E-2</v>
      </c>
      <c r="F29642" s="26">
        <v>8.77E-2</v>
      </c>
      <c r="G29642" s="26">
        <v>4.5499999999999999E-2</v>
      </c>
      <c r="H29642" s="26">
        <v>4.0399999999999998E-2</v>
      </c>
      <c r="I29642" s="26">
        <v>3.1899999999999998E-2</v>
      </c>
      <c r="J29642" s="26">
        <v>1.9199999999999998E-2</v>
      </c>
      <c r="K29642" s="26">
        <v>8.5000000000000006E-3</v>
      </c>
      <c r="L29642" s="26">
        <v>2.1000000000000001E-2</v>
      </c>
      <c r="M29642">
        <v>638</v>
      </c>
    </row>
    <row r="29643" spans="1:13" x14ac:dyDescent="0.35">
      <c r="A29643" t="s">
        <v>228</v>
      </c>
      <c r="B29643" t="s">
        <v>245</v>
      </c>
      <c r="C29643" s="26">
        <v>0.7157</v>
      </c>
      <c r="D29643" s="26">
        <v>0.10970000000000001</v>
      </c>
      <c r="E29643" s="26">
        <v>7.2300000000000003E-2</v>
      </c>
      <c r="F29643" s="26">
        <v>0.1166</v>
      </c>
      <c r="G29643" s="26">
        <v>4.99E-2</v>
      </c>
      <c r="H29643" s="26">
        <v>6.0299999999999999E-2</v>
      </c>
      <c r="I29643" s="26">
        <v>4.1099999999999998E-2</v>
      </c>
      <c r="J29643" s="26">
        <v>3.6499999999999998E-2</v>
      </c>
      <c r="K29643" s="26">
        <v>3.1699999999999999E-2</v>
      </c>
      <c r="L29643" s="26">
        <v>7.1000000000000004E-3</v>
      </c>
      <c r="M29643">
        <v>328</v>
      </c>
    </row>
    <row r="29644" spans="1:13" x14ac:dyDescent="0.35">
      <c r="A29644" t="s">
        <v>228</v>
      </c>
      <c r="B29644" t="s">
        <v>246</v>
      </c>
      <c r="C29644" s="26">
        <v>0.58830000000000005</v>
      </c>
      <c r="D29644" s="26">
        <v>0.17280000000000001</v>
      </c>
      <c r="E29644" s="26">
        <v>0.1145</v>
      </c>
      <c r="F29644" s="26">
        <v>0.13150000000000001</v>
      </c>
      <c r="G29644" s="26">
        <v>4.4600000000000001E-2</v>
      </c>
      <c r="H29644" s="26">
        <v>0.16120000000000001</v>
      </c>
      <c r="I29644" s="26">
        <v>0.12089999999999999</v>
      </c>
      <c r="J29644" s="26">
        <v>2.3300000000000001E-2</v>
      </c>
      <c r="K29644" s="26">
        <v>1.7299999999999999E-2</v>
      </c>
      <c r="M29644">
        <v>67</v>
      </c>
    </row>
    <row r="29645" spans="1:13" x14ac:dyDescent="0.35">
      <c r="A29645" t="s">
        <v>229</v>
      </c>
      <c r="B29645" t="s">
        <v>244</v>
      </c>
      <c r="C29645" s="26">
        <v>0.77010000000000001</v>
      </c>
      <c r="D29645" s="26">
        <v>0.1215</v>
      </c>
      <c r="E29645" s="26">
        <v>3.5799999999999998E-2</v>
      </c>
      <c r="F29645" s="26">
        <v>4.8899999999999999E-2</v>
      </c>
      <c r="G29645" s="26">
        <v>3.32E-2</v>
      </c>
      <c r="H29645" s="26">
        <v>2.8899999999999999E-2</v>
      </c>
      <c r="I29645" s="26">
        <v>4.7E-2</v>
      </c>
      <c r="J29645" s="26">
        <v>1.0999999999999999E-2</v>
      </c>
      <c r="K29645" s="26">
        <v>4.3E-3</v>
      </c>
      <c r="L29645" s="26">
        <v>6.3E-3</v>
      </c>
      <c r="M29645">
        <v>557</v>
      </c>
    </row>
    <row r="29646" spans="1:13" x14ac:dyDescent="0.35">
      <c r="A29646" t="s">
        <v>229</v>
      </c>
      <c r="B29646" t="s">
        <v>245</v>
      </c>
      <c r="C29646" s="26">
        <v>0.77080000000000004</v>
      </c>
      <c r="D29646" s="26">
        <v>0.1128</v>
      </c>
      <c r="E29646" s="26">
        <v>8.2000000000000003E-2</v>
      </c>
      <c r="F29646" s="26">
        <v>6.8199999999999997E-2</v>
      </c>
      <c r="G29646" s="26">
        <v>3.95E-2</v>
      </c>
      <c r="H29646" s="26">
        <v>4.65E-2</v>
      </c>
      <c r="I29646" s="26">
        <v>3.7600000000000001E-2</v>
      </c>
      <c r="J29646" s="26">
        <v>2.81E-2</v>
      </c>
      <c r="K29646" s="26">
        <v>1.6400000000000001E-2</v>
      </c>
      <c r="L29646" s="26">
        <v>6.9999999999999999E-4</v>
      </c>
      <c r="M29646">
        <v>293</v>
      </c>
    </row>
    <row r="29647" spans="1:13" x14ac:dyDescent="0.35">
      <c r="A29647" t="s">
        <v>229</v>
      </c>
      <c r="B29647" t="s">
        <v>246</v>
      </c>
      <c r="C29647" s="26">
        <v>0.81489999999999996</v>
      </c>
      <c r="D29647" s="26">
        <v>6.8699999999999997E-2</v>
      </c>
      <c r="E29647" s="26">
        <v>5.0299999999999997E-2</v>
      </c>
      <c r="F29647" s="26">
        <v>7.0499999999999993E-2</v>
      </c>
      <c r="G29647" s="26">
        <v>0.11890000000000001</v>
      </c>
      <c r="H29647" s="26">
        <v>6.4299999999999996E-2</v>
      </c>
      <c r="I29647" s="26">
        <v>6.25E-2</v>
      </c>
      <c r="J29647" s="26">
        <v>8.0000000000000002E-3</v>
      </c>
      <c r="K29647" s="26">
        <v>6.1999999999999998E-3</v>
      </c>
      <c r="M29647">
        <v>45</v>
      </c>
    </row>
    <row r="29648" spans="1:13" x14ac:dyDescent="0.35">
      <c r="A29648" t="s">
        <v>230</v>
      </c>
      <c r="B29648" t="s">
        <v>244</v>
      </c>
      <c r="C29648" s="26">
        <v>0.78110000000000002</v>
      </c>
      <c r="D29648" s="26">
        <v>0.1245</v>
      </c>
      <c r="E29648" s="26">
        <v>1.24E-2</v>
      </c>
      <c r="F29648" s="26">
        <v>6.2799999999999995E-2</v>
      </c>
      <c r="G29648" s="26">
        <v>6.3299999999999995E-2</v>
      </c>
      <c r="H29648" s="26">
        <v>2.86E-2</v>
      </c>
      <c r="I29648" s="26">
        <v>3.4500000000000003E-2</v>
      </c>
      <c r="J29648" s="26">
        <v>1.3299999999999999E-2</v>
      </c>
      <c r="K29648" s="26">
        <v>6.1999999999999998E-3</v>
      </c>
      <c r="L29648" s="26">
        <v>6.4999999999999997E-3</v>
      </c>
      <c r="M29648">
        <v>370</v>
      </c>
    </row>
    <row r="29649" spans="1:13" x14ac:dyDescent="0.35">
      <c r="A29649" t="s">
        <v>230</v>
      </c>
      <c r="B29649" t="s">
        <v>245</v>
      </c>
      <c r="C29649" s="26">
        <v>0.83679999999999999</v>
      </c>
      <c r="D29649" s="26">
        <v>8.3400000000000002E-2</v>
      </c>
      <c r="E29649" s="26">
        <v>4.0099999999999997E-2</v>
      </c>
      <c r="F29649" s="26">
        <v>8.4199999999999997E-2</v>
      </c>
      <c r="G29649" s="26">
        <v>3.4000000000000002E-2</v>
      </c>
      <c r="H29649" s="26">
        <v>4.7399999999999998E-2</v>
      </c>
      <c r="I29649" s="26">
        <v>3.7400000000000003E-2</v>
      </c>
      <c r="J29649" s="26">
        <v>3.4099999999999998E-2</v>
      </c>
      <c r="K29649" s="26">
        <v>2.4899999999999999E-2</v>
      </c>
      <c r="L29649" s="26">
        <v>8.0000000000000002E-3</v>
      </c>
      <c r="M29649">
        <v>161</v>
      </c>
    </row>
    <row r="29650" spans="1:13" x14ac:dyDescent="0.35">
      <c r="A29650" s="27" t="s">
        <v>230</v>
      </c>
      <c r="B29650" s="27" t="s">
        <v>246</v>
      </c>
      <c r="C29650" s="28">
        <v>0.93920000000000003</v>
      </c>
      <c r="D29650" s="28">
        <v>2.4299999999999999E-2</v>
      </c>
      <c r="E29650" s="28">
        <v>1.83E-2</v>
      </c>
      <c r="F29650" s="28">
        <v>5.5999999999999999E-3</v>
      </c>
      <c r="G29650" s="29"/>
      <c r="H29650" s="28">
        <v>2.3900000000000001E-2</v>
      </c>
      <c r="I29650" s="28">
        <v>5.5999999999999999E-3</v>
      </c>
      <c r="J29650" s="28">
        <v>5.5999999999999999E-3</v>
      </c>
      <c r="K29650" s="28">
        <v>5.5999999999999999E-3</v>
      </c>
      <c r="L29650" s="29"/>
      <c r="M29650" s="29" t="s">
        <v>329</v>
      </c>
    </row>
    <row r="29651" spans="1:13" x14ac:dyDescent="0.35">
      <c r="A29651" t="s">
        <v>231</v>
      </c>
      <c r="B29651" t="s">
        <v>244</v>
      </c>
      <c r="C29651" s="26">
        <v>0.86319999999999997</v>
      </c>
      <c r="D29651" s="26">
        <v>4.2099999999999999E-2</v>
      </c>
      <c r="E29651" s="26">
        <v>6.3200000000000006E-2</v>
      </c>
      <c r="F29651" s="26">
        <v>1.0500000000000001E-2</v>
      </c>
      <c r="G29651" s="26">
        <v>1.0500000000000001E-2</v>
      </c>
      <c r="H29651" s="26">
        <v>2.1100000000000001E-2</v>
      </c>
      <c r="I29651" s="26">
        <v>1.0500000000000001E-2</v>
      </c>
      <c r="J29651" s="26">
        <v>1.0500000000000001E-2</v>
      </c>
      <c r="M29651">
        <v>95</v>
      </c>
    </row>
    <row r="29652" spans="1:13" x14ac:dyDescent="0.35">
      <c r="A29652" t="s">
        <v>231</v>
      </c>
      <c r="B29652" t="s">
        <v>245</v>
      </c>
      <c r="C29652" s="26">
        <v>0.89290000000000003</v>
      </c>
      <c r="D29652" s="26">
        <v>1.7899999999999999E-2</v>
      </c>
      <c r="E29652" s="26">
        <v>7.1400000000000005E-2</v>
      </c>
      <c r="G29652" s="26">
        <v>1.7899999999999999E-2</v>
      </c>
      <c r="M29652">
        <v>56</v>
      </c>
    </row>
    <row r="29653" spans="1:13" x14ac:dyDescent="0.35">
      <c r="A29653" s="27" t="s">
        <v>231</v>
      </c>
      <c r="B29653" s="27" t="s">
        <v>246</v>
      </c>
      <c r="C29653" s="28">
        <v>0.92310000000000003</v>
      </c>
      <c r="D29653" s="29"/>
      <c r="E29653" s="29"/>
      <c r="F29653" s="29"/>
      <c r="G29653" s="29"/>
      <c r="H29653" s="29"/>
      <c r="I29653" s="29"/>
      <c r="J29653" s="28">
        <v>7.6899999999999996E-2</v>
      </c>
      <c r="K29653" s="29"/>
      <c r="L29653" s="29"/>
      <c r="M29653" s="29" t="s">
        <v>341</v>
      </c>
    </row>
    <row r="29654" spans="1:13" x14ac:dyDescent="0.35">
      <c r="A29654" t="s">
        <v>232</v>
      </c>
      <c r="B29654" t="s">
        <v>232</v>
      </c>
      <c r="C29654" s="26">
        <v>0.80789999999999995</v>
      </c>
      <c r="D29654" s="26">
        <v>8.48E-2</v>
      </c>
      <c r="E29654" s="26">
        <v>4.8800000000000003E-2</v>
      </c>
      <c r="F29654" s="26">
        <v>4.3700000000000003E-2</v>
      </c>
      <c r="G29654" s="26">
        <v>3.4299999999999997E-2</v>
      </c>
      <c r="H29654" s="26">
        <v>2.8000000000000001E-2</v>
      </c>
      <c r="I29654" s="26">
        <v>2.6599999999999999E-2</v>
      </c>
      <c r="J29654" s="26">
        <v>1.6E-2</v>
      </c>
      <c r="K29654" s="26">
        <v>7.1999999999999998E-3</v>
      </c>
      <c r="L29654" s="26">
        <v>5.0000000000000001E-3</v>
      </c>
      <c r="M29654">
        <v>2813</v>
      </c>
    </row>
    <row r="29656" spans="1:13" x14ac:dyDescent="0.35">
      <c r="A29656" s="1" t="s">
        <v>2652</v>
      </c>
    </row>
    <row r="29657" spans="1:13" x14ac:dyDescent="0.35">
      <c r="A29657" t="s">
        <v>219</v>
      </c>
      <c r="B29657" t="s">
        <v>305</v>
      </c>
      <c r="C29657" t="s">
        <v>302</v>
      </c>
      <c r="D29657" t="s">
        <v>2642</v>
      </c>
      <c r="E29657" t="s">
        <v>281</v>
      </c>
      <c r="F29657" t="s">
        <v>2643</v>
      </c>
      <c r="G29657" t="s">
        <v>2644</v>
      </c>
      <c r="H29657" t="s">
        <v>2645</v>
      </c>
      <c r="I29657" t="s">
        <v>2646</v>
      </c>
      <c r="J29657" t="s">
        <v>2647</v>
      </c>
      <c r="K29657" t="s">
        <v>2648</v>
      </c>
      <c r="L29657" t="s">
        <v>286</v>
      </c>
      <c r="M29657" t="s">
        <v>226</v>
      </c>
    </row>
    <row r="29658" spans="1:13" x14ac:dyDescent="0.35">
      <c r="A29658" t="s">
        <v>227</v>
      </c>
      <c r="B29658" t="s">
        <v>360</v>
      </c>
      <c r="C29658" s="26">
        <v>0.84619999999999995</v>
      </c>
      <c r="D29658" s="26">
        <v>0.1026</v>
      </c>
      <c r="E29658" s="26">
        <v>2.5600000000000001E-2</v>
      </c>
      <c r="G29658" s="26">
        <v>2.5600000000000001E-2</v>
      </c>
      <c r="I29658" s="26">
        <v>2.5600000000000001E-2</v>
      </c>
      <c r="K29658" s="26">
        <v>2.5600000000000001E-2</v>
      </c>
      <c r="M29658">
        <v>39</v>
      </c>
    </row>
    <row r="29659" spans="1:13" x14ac:dyDescent="0.35">
      <c r="A29659" t="s">
        <v>227</v>
      </c>
      <c r="B29659" t="s">
        <v>361</v>
      </c>
      <c r="C29659" s="26">
        <v>0.84379999999999999</v>
      </c>
      <c r="D29659" s="26">
        <v>9.3799999999999994E-2</v>
      </c>
      <c r="E29659" s="26">
        <v>3.1199999999999999E-2</v>
      </c>
      <c r="F29659" s="26">
        <v>3.1199999999999999E-2</v>
      </c>
      <c r="G29659" s="26">
        <v>6.25E-2</v>
      </c>
      <c r="H29659" s="26">
        <v>3.1199999999999999E-2</v>
      </c>
      <c r="M29659">
        <v>32</v>
      </c>
    </row>
    <row r="29660" spans="1:13" x14ac:dyDescent="0.35">
      <c r="A29660" t="s">
        <v>227</v>
      </c>
      <c r="B29660" t="s">
        <v>362</v>
      </c>
      <c r="C29660" s="26">
        <v>0.91890000000000005</v>
      </c>
      <c r="D29660" s="26">
        <v>2.7E-2</v>
      </c>
      <c r="E29660" s="26">
        <v>5.4100000000000002E-2</v>
      </c>
      <c r="M29660">
        <v>37</v>
      </c>
    </row>
    <row r="29661" spans="1:13" x14ac:dyDescent="0.35">
      <c r="A29661" t="s">
        <v>227</v>
      </c>
      <c r="B29661" t="s">
        <v>363</v>
      </c>
      <c r="C29661" s="26">
        <v>0.84440000000000004</v>
      </c>
      <c r="D29661" s="26">
        <v>4.4400000000000002E-2</v>
      </c>
      <c r="E29661" s="26">
        <v>6.6699999999999995E-2</v>
      </c>
      <c r="G29661" s="26">
        <v>2.2200000000000001E-2</v>
      </c>
      <c r="J29661" s="26">
        <v>2.2200000000000001E-2</v>
      </c>
      <c r="M29661">
        <v>45</v>
      </c>
    </row>
    <row r="29662" spans="1:13" x14ac:dyDescent="0.35">
      <c r="A29662" t="s">
        <v>228</v>
      </c>
      <c r="B29662" t="s">
        <v>360</v>
      </c>
      <c r="C29662" s="26">
        <v>0.70289999999999997</v>
      </c>
      <c r="D29662" s="26">
        <v>0.1154</v>
      </c>
      <c r="E29662" s="26">
        <v>7.7299999999999994E-2</v>
      </c>
      <c r="F29662" s="26">
        <v>5.8900000000000001E-2</v>
      </c>
      <c r="G29662" s="26">
        <v>3.0599999999999999E-2</v>
      </c>
      <c r="H29662" s="26">
        <v>7.4200000000000002E-2</v>
      </c>
      <c r="I29662" s="26">
        <v>6.9599999999999995E-2</v>
      </c>
      <c r="J29662" s="26">
        <v>3.4799999999999998E-2</v>
      </c>
      <c r="K29662" s="26">
        <v>1.46E-2</v>
      </c>
      <c r="L29662" s="26">
        <v>5.4000000000000003E-3</v>
      </c>
      <c r="M29662">
        <v>258</v>
      </c>
    </row>
    <row r="29663" spans="1:13" x14ac:dyDescent="0.35">
      <c r="A29663" t="s">
        <v>228</v>
      </c>
      <c r="B29663" t="s">
        <v>361</v>
      </c>
      <c r="C29663" s="26">
        <v>0.74970000000000003</v>
      </c>
      <c r="D29663" s="26">
        <v>0.11799999999999999</v>
      </c>
      <c r="E29663" s="26">
        <v>5.1999999999999998E-3</v>
      </c>
      <c r="F29663" s="26">
        <v>0.13919999999999999</v>
      </c>
      <c r="G29663" s="26">
        <v>8.4699999999999998E-2</v>
      </c>
      <c r="H29663" s="26">
        <v>2.2499999999999999E-2</v>
      </c>
      <c r="I29663" s="26">
        <v>1.14E-2</v>
      </c>
      <c r="J29663" s="26">
        <v>1.67E-2</v>
      </c>
      <c r="K29663" s="26">
        <v>5.4999999999999997E-3</v>
      </c>
      <c r="L29663" s="26">
        <v>1.7100000000000001E-2</v>
      </c>
      <c r="M29663">
        <v>194</v>
      </c>
    </row>
    <row r="29664" spans="1:13" x14ac:dyDescent="0.35">
      <c r="A29664" t="s">
        <v>228</v>
      </c>
      <c r="B29664" t="s">
        <v>363</v>
      </c>
      <c r="C29664" s="26">
        <v>0.74309999999999998</v>
      </c>
      <c r="D29664" s="26">
        <v>0.11070000000000001</v>
      </c>
      <c r="E29664" s="26">
        <v>2.4199999999999999E-2</v>
      </c>
      <c r="F29664" s="26">
        <v>8.4000000000000005E-2</v>
      </c>
      <c r="G29664" s="26">
        <v>2.93E-2</v>
      </c>
      <c r="H29664" s="26">
        <v>4.4299999999999999E-2</v>
      </c>
      <c r="I29664" s="26">
        <v>4.0899999999999999E-2</v>
      </c>
      <c r="J29664" s="26">
        <v>2.92E-2</v>
      </c>
      <c r="K29664" s="26">
        <v>7.7999999999999996E-3</v>
      </c>
      <c r="L29664" s="26">
        <v>1.49E-2</v>
      </c>
      <c r="M29664">
        <v>212</v>
      </c>
    </row>
    <row r="29665" spans="1:13" x14ac:dyDescent="0.35">
      <c r="A29665" t="s">
        <v>228</v>
      </c>
      <c r="B29665" t="s">
        <v>362</v>
      </c>
      <c r="C29665" s="26">
        <v>0.74260000000000004</v>
      </c>
      <c r="D29665" s="26">
        <v>9.4899999999999998E-2</v>
      </c>
      <c r="E29665" s="26">
        <v>8.5900000000000004E-2</v>
      </c>
      <c r="F29665" s="26">
        <v>9.3799999999999994E-2</v>
      </c>
      <c r="G29665" s="26">
        <v>5.0099999999999999E-2</v>
      </c>
      <c r="H29665" s="26">
        <v>6.9599999999999995E-2</v>
      </c>
      <c r="I29665" s="26">
        <v>3.9899999999999998E-2</v>
      </c>
      <c r="J29665" s="26">
        <v>1.8700000000000001E-2</v>
      </c>
      <c r="K29665" s="26">
        <v>2.86E-2</v>
      </c>
      <c r="L29665" s="26">
        <v>7.4999999999999997E-3</v>
      </c>
      <c r="M29665">
        <v>236</v>
      </c>
    </row>
    <row r="29666" spans="1:13" x14ac:dyDescent="0.35">
      <c r="A29666" t="s">
        <v>229</v>
      </c>
      <c r="B29666" t="s">
        <v>363</v>
      </c>
      <c r="C29666" s="26">
        <v>0.81810000000000005</v>
      </c>
      <c r="D29666" s="26">
        <v>7.6700000000000004E-2</v>
      </c>
      <c r="E29666" s="26">
        <v>5.2999999999999999E-2</v>
      </c>
      <c r="F29666" s="26">
        <v>4.0500000000000001E-2</v>
      </c>
      <c r="G29666" s="26">
        <v>3.5400000000000001E-2</v>
      </c>
      <c r="H29666" s="26">
        <v>5.2299999999999999E-2</v>
      </c>
      <c r="I29666" s="26">
        <v>6.1499999999999999E-2</v>
      </c>
      <c r="J29666" s="26">
        <v>2.7400000000000001E-2</v>
      </c>
      <c r="K29666" s="26">
        <v>1.9099999999999999E-2</v>
      </c>
      <c r="L29666" s="26">
        <v>1.37E-2</v>
      </c>
      <c r="M29666">
        <v>191</v>
      </c>
    </row>
    <row r="29667" spans="1:13" x14ac:dyDescent="0.35">
      <c r="A29667" t="s">
        <v>229</v>
      </c>
      <c r="B29667" t="s">
        <v>360</v>
      </c>
      <c r="C29667" s="26">
        <v>0.75970000000000004</v>
      </c>
      <c r="D29667" s="26">
        <v>8.4000000000000005E-2</v>
      </c>
      <c r="E29667" s="26">
        <v>9.3700000000000006E-2</v>
      </c>
      <c r="F29667" s="26">
        <v>6.7100000000000007E-2</v>
      </c>
      <c r="G29667" s="26">
        <v>3.2399999999999998E-2</v>
      </c>
      <c r="H29667" s="26">
        <v>3.4799999999999998E-2</v>
      </c>
      <c r="I29667" s="26">
        <v>2.76E-2</v>
      </c>
      <c r="J29667" s="26">
        <v>2.7699999999999999E-2</v>
      </c>
      <c r="L29667" s="26">
        <v>8.6E-3</v>
      </c>
      <c r="M29667">
        <v>164</v>
      </c>
    </row>
    <row r="29668" spans="1:13" x14ac:dyDescent="0.35">
      <c r="A29668" t="s">
        <v>229</v>
      </c>
      <c r="B29668" t="s">
        <v>361</v>
      </c>
      <c r="C29668" s="26">
        <v>0.75249999999999995</v>
      </c>
      <c r="D29668" s="26">
        <v>0.1734</v>
      </c>
      <c r="E29668" s="26">
        <v>8.3000000000000001E-3</v>
      </c>
      <c r="F29668" s="26">
        <v>4.8099999999999997E-2</v>
      </c>
      <c r="G29668" s="26">
        <v>4.87E-2</v>
      </c>
      <c r="H29668" s="26">
        <v>3.6999999999999998E-2</v>
      </c>
      <c r="I29668" s="26">
        <v>0.03</v>
      </c>
      <c r="J29668" s="26">
        <v>2.8999999999999998E-3</v>
      </c>
      <c r="K29668" s="26">
        <v>1.6999999999999999E-3</v>
      </c>
      <c r="L29668" s="26">
        <v>2.0000000000000001E-4</v>
      </c>
      <c r="M29668">
        <v>243</v>
      </c>
    </row>
    <row r="29669" spans="1:13" x14ac:dyDescent="0.35">
      <c r="A29669" t="s">
        <v>229</v>
      </c>
      <c r="B29669" t="s">
        <v>362</v>
      </c>
      <c r="C29669" s="26">
        <v>0.80800000000000005</v>
      </c>
      <c r="D29669" s="26">
        <v>6.4600000000000005E-2</v>
      </c>
      <c r="E29669" s="26">
        <v>7.3400000000000007E-2</v>
      </c>
      <c r="F29669" s="26">
        <v>3.8100000000000002E-2</v>
      </c>
      <c r="G29669" s="26">
        <v>1.3899999999999999E-2</v>
      </c>
      <c r="H29669" s="26">
        <v>1.84E-2</v>
      </c>
      <c r="I29669" s="26">
        <v>6.59E-2</v>
      </c>
      <c r="J29669" s="26">
        <v>1.8499999999999999E-2</v>
      </c>
      <c r="K29669" s="26">
        <v>1.7500000000000002E-2</v>
      </c>
      <c r="M29669">
        <v>171</v>
      </c>
    </row>
    <row r="29670" spans="1:13" x14ac:dyDescent="0.35">
      <c r="A29670" t="s">
        <v>230</v>
      </c>
      <c r="B29670" t="s">
        <v>360</v>
      </c>
      <c r="C29670" s="26">
        <v>0.81610000000000005</v>
      </c>
      <c r="D29670" s="26">
        <v>4.6100000000000002E-2</v>
      </c>
      <c r="E29670" s="26">
        <v>1.7299999999999999E-2</v>
      </c>
      <c r="F29670" s="26">
        <v>4.0500000000000001E-2</v>
      </c>
      <c r="G29670" s="26">
        <v>4.0899999999999999E-2</v>
      </c>
      <c r="H29670" s="26">
        <v>2.7699999999999999E-2</v>
      </c>
      <c r="I29670" s="26">
        <v>7.0000000000000007E-2</v>
      </c>
      <c r="J29670" s="26">
        <v>1.54E-2</v>
      </c>
      <c r="K29670" s="26">
        <v>7.3000000000000001E-3</v>
      </c>
      <c r="L29670" s="26">
        <v>9.7000000000000003E-3</v>
      </c>
      <c r="M29670">
        <v>120</v>
      </c>
    </row>
    <row r="29671" spans="1:13" x14ac:dyDescent="0.35">
      <c r="A29671" t="s">
        <v>230</v>
      </c>
      <c r="B29671" t="s">
        <v>363</v>
      </c>
      <c r="C29671" s="26">
        <v>0.70099999999999996</v>
      </c>
      <c r="D29671" s="26">
        <v>0.16689999999999999</v>
      </c>
      <c r="E29671" s="26">
        <v>2.81E-2</v>
      </c>
      <c r="F29671" s="26">
        <v>0.1053</v>
      </c>
      <c r="G29671" s="26">
        <v>9.7600000000000006E-2</v>
      </c>
      <c r="H29671" s="26">
        <v>2.64E-2</v>
      </c>
      <c r="I29671" s="26">
        <v>4.5400000000000003E-2</v>
      </c>
      <c r="J29671" s="26">
        <v>2.6100000000000002E-2</v>
      </c>
      <c r="K29671" s="26">
        <v>1.12E-2</v>
      </c>
      <c r="M29671">
        <v>127</v>
      </c>
    </row>
    <row r="29672" spans="1:13" x14ac:dyDescent="0.35">
      <c r="A29672" t="s">
        <v>230</v>
      </c>
      <c r="B29672" t="s">
        <v>361</v>
      </c>
      <c r="C29672" s="26">
        <v>0.81140000000000001</v>
      </c>
      <c r="D29672" s="26">
        <v>0.15390000000000001</v>
      </c>
      <c r="F29672" s="26">
        <v>7.4700000000000003E-2</v>
      </c>
      <c r="G29672" s="26">
        <v>5.6300000000000003E-2</v>
      </c>
      <c r="H29672" s="26">
        <v>3.5799999999999998E-2</v>
      </c>
      <c r="I29672" s="26">
        <v>2.4500000000000001E-2</v>
      </c>
      <c r="J29672" s="26">
        <v>3.0099999999999998E-2</v>
      </c>
      <c r="K29672" s="26">
        <v>2.23E-2</v>
      </c>
      <c r="L29672" s="26">
        <v>1.06E-2</v>
      </c>
      <c r="M29672">
        <v>109</v>
      </c>
    </row>
    <row r="29673" spans="1:13" x14ac:dyDescent="0.35">
      <c r="A29673" t="s">
        <v>230</v>
      </c>
      <c r="B29673" t="s">
        <v>362</v>
      </c>
      <c r="C29673" s="26">
        <v>0.8639</v>
      </c>
      <c r="D29673" s="26">
        <v>6.5799999999999997E-2</v>
      </c>
      <c r="E29673" s="26">
        <v>3.2099999999999997E-2</v>
      </c>
      <c r="F29673" s="26">
        <v>4.3700000000000003E-2</v>
      </c>
      <c r="G29673" s="26">
        <v>2.8000000000000001E-2</v>
      </c>
      <c r="H29673" s="26">
        <v>4.07E-2</v>
      </c>
      <c r="I29673" s="26">
        <v>1.23E-2</v>
      </c>
      <c r="J29673" s="26">
        <v>6.8999999999999999E-3</v>
      </c>
      <c r="K29673" s="26">
        <v>5.7000000000000002E-3</v>
      </c>
      <c r="L29673" s="26">
        <v>4.7000000000000002E-3</v>
      </c>
      <c r="M29673">
        <v>148</v>
      </c>
    </row>
    <row r="29674" spans="1:13" x14ac:dyDescent="0.35">
      <c r="A29674" s="27" t="s">
        <v>231</v>
      </c>
      <c r="B29674" s="27" t="s">
        <v>362</v>
      </c>
      <c r="C29674" s="28">
        <v>0.86209999999999998</v>
      </c>
      <c r="D29674" s="29"/>
      <c r="E29674" s="28">
        <v>0.13789999999999999</v>
      </c>
      <c r="F29674" s="29"/>
      <c r="G29674" s="29"/>
      <c r="H29674" s="29"/>
      <c r="I29674" s="29"/>
      <c r="J29674" s="29"/>
      <c r="K29674" s="29"/>
      <c r="L29674" s="29"/>
      <c r="M29674" s="29" t="s">
        <v>329</v>
      </c>
    </row>
    <row r="29675" spans="1:13" x14ac:dyDescent="0.35">
      <c r="A29675" t="s">
        <v>231</v>
      </c>
      <c r="B29675" t="s">
        <v>361</v>
      </c>
      <c r="C29675" s="26">
        <v>0.9</v>
      </c>
      <c r="D29675" s="26">
        <v>0.06</v>
      </c>
      <c r="E29675" s="26">
        <v>0.04</v>
      </c>
      <c r="I29675" s="26">
        <v>0.02</v>
      </c>
      <c r="M29675">
        <v>50</v>
      </c>
    </row>
    <row r="29676" spans="1:13" x14ac:dyDescent="0.35">
      <c r="A29676" t="s">
        <v>231</v>
      </c>
      <c r="B29676" t="s">
        <v>360</v>
      </c>
      <c r="C29676" s="26">
        <v>0.86360000000000003</v>
      </c>
      <c r="D29676" s="26">
        <v>2.2700000000000001E-2</v>
      </c>
      <c r="E29676" s="26">
        <v>6.8199999999999997E-2</v>
      </c>
      <c r="G29676" s="26">
        <v>4.5499999999999999E-2</v>
      </c>
      <c r="M29676">
        <v>44</v>
      </c>
    </row>
    <row r="29677" spans="1:13" x14ac:dyDescent="0.35">
      <c r="A29677" s="27" t="s">
        <v>231</v>
      </c>
      <c r="B29677" s="27" t="s">
        <v>363</v>
      </c>
      <c r="C29677" s="28">
        <v>0.85189999999999999</v>
      </c>
      <c r="D29677" s="28">
        <v>3.6999999999999998E-2</v>
      </c>
      <c r="E29677" s="28">
        <v>3.6999999999999998E-2</v>
      </c>
      <c r="F29677" s="29"/>
      <c r="G29677" s="29"/>
      <c r="H29677" s="28">
        <v>7.4099999999999999E-2</v>
      </c>
      <c r="I29677" s="29"/>
      <c r="J29677" s="28">
        <v>7.4099999999999999E-2</v>
      </c>
      <c r="K29677" s="29"/>
      <c r="L29677" s="29"/>
      <c r="M29677" s="29" t="s">
        <v>338</v>
      </c>
    </row>
    <row r="29678" spans="1:13" x14ac:dyDescent="0.35">
      <c r="A29678" t="s">
        <v>232</v>
      </c>
      <c r="B29678" t="s">
        <v>232</v>
      </c>
      <c r="C29678" s="26">
        <v>0.80789999999999995</v>
      </c>
      <c r="D29678" s="26">
        <v>8.48E-2</v>
      </c>
      <c r="E29678" s="26">
        <v>4.8800000000000003E-2</v>
      </c>
      <c r="F29678" s="26">
        <v>4.3700000000000003E-2</v>
      </c>
      <c r="G29678" s="26">
        <v>3.4299999999999997E-2</v>
      </c>
      <c r="H29678" s="26">
        <v>2.8000000000000001E-2</v>
      </c>
      <c r="I29678" s="26">
        <v>2.6599999999999999E-2</v>
      </c>
      <c r="J29678" s="26">
        <v>1.6E-2</v>
      </c>
      <c r="K29678" s="26">
        <v>7.1999999999999998E-3</v>
      </c>
      <c r="L29678" s="26">
        <v>5.0000000000000001E-3</v>
      </c>
      <c r="M29678">
        <v>2476</v>
      </c>
    </row>
    <row r="29680" spans="1:13" x14ac:dyDescent="0.35">
      <c r="A29680" s="1" t="s">
        <v>2653</v>
      </c>
    </row>
    <row r="29681" spans="1:13" x14ac:dyDescent="0.35">
      <c r="A29681" t="s">
        <v>219</v>
      </c>
      <c r="B29681" t="s">
        <v>305</v>
      </c>
      <c r="C29681" t="s">
        <v>302</v>
      </c>
      <c r="D29681" t="s">
        <v>2642</v>
      </c>
      <c r="E29681" t="s">
        <v>281</v>
      </c>
      <c r="F29681" t="s">
        <v>2643</v>
      </c>
      <c r="G29681" t="s">
        <v>2644</v>
      </c>
      <c r="H29681" t="s">
        <v>2645</v>
      </c>
      <c r="I29681" t="s">
        <v>2646</v>
      </c>
      <c r="J29681" t="s">
        <v>2647</v>
      </c>
      <c r="K29681" t="s">
        <v>2648</v>
      </c>
      <c r="L29681" t="s">
        <v>286</v>
      </c>
      <c r="M29681" t="s">
        <v>226</v>
      </c>
    </row>
    <row r="29682" spans="1:13" x14ac:dyDescent="0.35">
      <c r="A29682" t="s">
        <v>227</v>
      </c>
      <c r="B29682" t="s">
        <v>267</v>
      </c>
      <c r="C29682" s="26">
        <v>0.86109999999999998</v>
      </c>
      <c r="D29682" s="26">
        <v>2.7799999999999998E-2</v>
      </c>
      <c r="E29682" s="26">
        <v>2.7799999999999998E-2</v>
      </c>
      <c r="G29682" s="26">
        <v>5.5599999999999997E-2</v>
      </c>
      <c r="J29682" s="26">
        <v>5.5599999999999997E-2</v>
      </c>
      <c r="M29682">
        <v>36</v>
      </c>
    </row>
    <row r="29683" spans="1:13" x14ac:dyDescent="0.35">
      <c r="A29683" t="s">
        <v>227</v>
      </c>
      <c r="B29683" t="s">
        <v>266</v>
      </c>
      <c r="C29683" s="26">
        <v>0.88139999999999996</v>
      </c>
      <c r="D29683" s="26">
        <v>3.39E-2</v>
      </c>
      <c r="E29683" s="26">
        <v>8.4699999999999998E-2</v>
      </c>
      <c r="G29683" s="26">
        <v>1.6899999999999998E-2</v>
      </c>
      <c r="M29683">
        <v>59</v>
      </c>
    </row>
    <row r="29684" spans="1:13" x14ac:dyDescent="0.35">
      <c r="A29684" t="s">
        <v>227</v>
      </c>
      <c r="B29684" t="s">
        <v>265</v>
      </c>
      <c r="C29684" s="26">
        <v>0.83330000000000004</v>
      </c>
      <c r="D29684" s="26">
        <v>0.1212</v>
      </c>
      <c r="E29684" s="26">
        <v>1.52E-2</v>
      </c>
      <c r="F29684" s="26">
        <v>1.52E-2</v>
      </c>
      <c r="G29684" s="26">
        <v>4.5499999999999999E-2</v>
      </c>
      <c r="H29684" s="26">
        <v>1.52E-2</v>
      </c>
      <c r="I29684" s="26">
        <v>1.52E-2</v>
      </c>
      <c r="K29684" s="26">
        <v>1.52E-2</v>
      </c>
      <c r="M29684">
        <v>66</v>
      </c>
    </row>
    <row r="29685" spans="1:13" x14ac:dyDescent="0.35">
      <c r="A29685" t="s">
        <v>228</v>
      </c>
      <c r="B29685" t="s">
        <v>267</v>
      </c>
      <c r="C29685" s="26">
        <v>0.74529999999999996</v>
      </c>
      <c r="D29685" s="26">
        <v>0.1225</v>
      </c>
      <c r="E29685" s="26">
        <v>4.4499999999999998E-2</v>
      </c>
      <c r="F29685" s="26">
        <v>0.1036</v>
      </c>
      <c r="G29685" s="26">
        <v>3.6200000000000003E-2</v>
      </c>
      <c r="H29685" s="26">
        <v>5.4199999999999998E-2</v>
      </c>
      <c r="I29685" s="26">
        <v>3.9E-2</v>
      </c>
      <c r="J29685" s="26">
        <v>3.6299999999999999E-2</v>
      </c>
      <c r="K29685" s="26">
        <v>1.18E-2</v>
      </c>
      <c r="L29685" s="26">
        <v>1.6500000000000001E-2</v>
      </c>
      <c r="M29685">
        <v>199</v>
      </c>
    </row>
    <row r="29686" spans="1:13" x14ac:dyDescent="0.35">
      <c r="A29686" t="s">
        <v>228</v>
      </c>
      <c r="B29686" t="s">
        <v>265</v>
      </c>
      <c r="C29686" s="26">
        <v>0.71609999999999996</v>
      </c>
      <c r="D29686" s="26">
        <v>0.12820000000000001</v>
      </c>
      <c r="E29686" s="26">
        <v>3.4299999999999997E-2</v>
      </c>
      <c r="F29686" s="26">
        <v>9.4299999999999995E-2</v>
      </c>
      <c r="G29686" s="26">
        <v>5.7799999999999997E-2</v>
      </c>
      <c r="H29686" s="26">
        <v>5.0799999999999998E-2</v>
      </c>
      <c r="I29686" s="26">
        <v>2.5999999999999999E-2</v>
      </c>
      <c r="J29686" s="26">
        <v>1.49E-2</v>
      </c>
      <c r="K29686" s="26">
        <v>9.7999999999999997E-3</v>
      </c>
      <c r="L29686" s="26">
        <v>2.5899999999999999E-2</v>
      </c>
      <c r="M29686">
        <v>384</v>
      </c>
    </row>
    <row r="29687" spans="1:13" x14ac:dyDescent="0.35">
      <c r="A29687" s="27" t="s">
        <v>228</v>
      </c>
      <c r="B29687" s="27" t="s">
        <v>236</v>
      </c>
      <c r="C29687" s="28">
        <v>1</v>
      </c>
      <c r="D29687" s="29"/>
      <c r="E29687" s="29"/>
      <c r="F29687" s="29"/>
      <c r="G29687" s="29"/>
      <c r="H29687" s="29"/>
      <c r="I29687" s="29"/>
      <c r="J29687" s="29"/>
      <c r="K29687" s="29"/>
      <c r="L29687" s="29"/>
      <c r="M29687" s="29" t="s">
        <v>314</v>
      </c>
    </row>
    <row r="29688" spans="1:13" x14ac:dyDescent="0.35">
      <c r="A29688" t="s">
        <v>228</v>
      </c>
      <c r="B29688" t="s">
        <v>266</v>
      </c>
      <c r="C29688" s="26">
        <v>0.71879999999999999</v>
      </c>
      <c r="D29688" s="26">
        <v>0.1033</v>
      </c>
      <c r="E29688" s="26">
        <v>7.1300000000000002E-2</v>
      </c>
      <c r="F29688" s="26">
        <v>0.1028</v>
      </c>
      <c r="G29688" s="26">
        <v>4.0500000000000001E-2</v>
      </c>
      <c r="H29688" s="26">
        <v>5.8599999999999999E-2</v>
      </c>
      <c r="I29688" s="26">
        <v>5.6500000000000002E-2</v>
      </c>
      <c r="J29688" s="26">
        <v>2.92E-2</v>
      </c>
      <c r="K29688" s="26">
        <v>2.3199999999999998E-2</v>
      </c>
      <c r="L29688" s="26">
        <v>5.3E-3</v>
      </c>
      <c r="M29688">
        <v>448</v>
      </c>
    </row>
    <row r="29689" spans="1:13" x14ac:dyDescent="0.35">
      <c r="A29689" t="s">
        <v>229</v>
      </c>
      <c r="B29689" t="s">
        <v>266</v>
      </c>
      <c r="C29689" s="26">
        <v>0.76800000000000002</v>
      </c>
      <c r="D29689" s="26">
        <v>0.10630000000000001</v>
      </c>
      <c r="E29689" s="26">
        <v>6.4100000000000004E-2</v>
      </c>
      <c r="F29689" s="26">
        <v>5.8599999999999999E-2</v>
      </c>
      <c r="G29689" s="26">
        <v>2.8000000000000001E-2</v>
      </c>
      <c r="H29689" s="26">
        <v>2.2700000000000001E-2</v>
      </c>
      <c r="I29689" s="26">
        <v>5.2600000000000001E-2</v>
      </c>
      <c r="J29689" s="26">
        <v>1.9900000000000001E-2</v>
      </c>
      <c r="K29689" s="26">
        <v>1.83E-2</v>
      </c>
      <c r="L29689" s="26">
        <v>8.0999999999999996E-3</v>
      </c>
      <c r="M29689">
        <v>359</v>
      </c>
    </row>
    <row r="29690" spans="1:13" x14ac:dyDescent="0.35">
      <c r="A29690" t="s">
        <v>229</v>
      </c>
      <c r="B29690" t="s">
        <v>267</v>
      </c>
      <c r="C29690" s="26">
        <v>0.72389999999999999</v>
      </c>
      <c r="D29690" s="26">
        <v>0.1588</v>
      </c>
      <c r="E29690" s="26">
        <v>4.1000000000000002E-2</v>
      </c>
      <c r="F29690" s="26">
        <v>9.4299999999999995E-2</v>
      </c>
      <c r="G29690" s="26">
        <v>6.9800000000000001E-2</v>
      </c>
      <c r="H29690" s="26">
        <v>6.7500000000000004E-2</v>
      </c>
      <c r="I29690" s="26">
        <v>5.3999999999999999E-2</v>
      </c>
      <c r="J29690" s="26">
        <v>1.6199999999999999E-2</v>
      </c>
      <c r="K29690" s="26">
        <v>5.3E-3</v>
      </c>
      <c r="L29690" s="26">
        <v>3.0000000000000001E-3</v>
      </c>
      <c r="M29690">
        <v>201</v>
      </c>
    </row>
    <row r="29691" spans="1:13" x14ac:dyDescent="0.35">
      <c r="A29691" t="s">
        <v>229</v>
      </c>
      <c r="B29691" t="s">
        <v>265</v>
      </c>
      <c r="C29691" s="26">
        <v>0.80010000000000003</v>
      </c>
      <c r="D29691" s="26">
        <v>0.1031</v>
      </c>
      <c r="E29691" s="26">
        <v>4.0300000000000002E-2</v>
      </c>
      <c r="F29691" s="26">
        <v>3.2899999999999999E-2</v>
      </c>
      <c r="G29691" s="26">
        <v>3.2500000000000001E-2</v>
      </c>
      <c r="H29691" s="26">
        <v>2.8500000000000001E-2</v>
      </c>
      <c r="I29691" s="26">
        <v>3.5900000000000001E-2</v>
      </c>
      <c r="J29691" s="26">
        <v>1.1299999999999999E-2</v>
      </c>
      <c r="K29691" s="26">
        <v>6.9999999999999999E-4</v>
      </c>
      <c r="L29691" s="26">
        <v>2.5999999999999999E-3</v>
      </c>
      <c r="M29691">
        <v>335</v>
      </c>
    </row>
    <row r="29692" spans="1:13" x14ac:dyDescent="0.35">
      <c r="A29692" t="s">
        <v>230</v>
      </c>
      <c r="B29692" t="s">
        <v>267</v>
      </c>
      <c r="C29692" s="26">
        <v>0.90149999999999997</v>
      </c>
      <c r="D29692" s="26">
        <v>4.9599999999999998E-2</v>
      </c>
      <c r="E29692" s="26">
        <v>1.6299999999999999E-2</v>
      </c>
      <c r="F29692" s="26">
        <v>2.8899999999999999E-2</v>
      </c>
      <c r="G29692" s="26">
        <v>2.9399999999999999E-2</v>
      </c>
      <c r="H29692" s="26">
        <v>1.7999999999999999E-2</v>
      </c>
      <c r="I29692" s="26">
        <v>1.0500000000000001E-2</v>
      </c>
      <c r="J29692" s="26">
        <v>1.0200000000000001E-2</v>
      </c>
      <c r="K29692" s="26">
        <v>2.5000000000000001E-3</v>
      </c>
      <c r="L29692" s="26">
        <v>1.1999999999999999E-3</v>
      </c>
      <c r="M29692">
        <v>119</v>
      </c>
    </row>
    <row r="29693" spans="1:13" x14ac:dyDescent="0.35">
      <c r="A29693" t="s">
        <v>230</v>
      </c>
      <c r="B29693" t="s">
        <v>266</v>
      </c>
      <c r="C29693" s="26">
        <v>0.75760000000000005</v>
      </c>
      <c r="D29693" s="26">
        <v>0.1303</v>
      </c>
      <c r="E29693" s="26">
        <v>3.95E-2</v>
      </c>
      <c r="F29693" s="26">
        <v>0.1263</v>
      </c>
      <c r="G29693" s="26">
        <v>6.2899999999999998E-2</v>
      </c>
      <c r="H29693" s="26">
        <v>4.7E-2</v>
      </c>
      <c r="I29693" s="26">
        <v>4.7199999999999999E-2</v>
      </c>
      <c r="J29693" s="26">
        <v>2.8500000000000001E-2</v>
      </c>
      <c r="K29693" s="26">
        <v>2.1899999999999999E-2</v>
      </c>
      <c r="L29693" s="26">
        <v>0.01</v>
      </c>
      <c r="M29693">
        <v>232</v>
      </c>
    </row>
    <row r="29694" spans="1:13" x14ac:dyDescent="0.35">
      <c r="A29694" t="s">
        <v>230</v>
      </c>
      <c r="B29694" t="s">
        <v>265</v>
      </c>
      <c r="C29694" s="26">
        <v>0.79100000000000004</v>
      </c>
      <c r="D29694" s="26">
        <v>0.12180000000000001</v>
      </c>
      <c r="E29694" s="26">
        <v>4.8999999999999998E-3</v>
      </c>
      <c r="F29694" s="26">
        <v>3.2399999999999998E-2</v>
      </c>
      <c r="G29694" s="26">
        <v>5.6000000000000001E-2</v>
      </c>
      <c r="H29694" s="26">
        <v>2.9499999999999998E-2</v>
      </c>
      <c r="I29694" s="26">
        <v>3.4500000000000003E-2</v>
      </c>
      <c r="J29694" s="26">
        <v>1.38E-2</v>
      </c>
      <c r="K29694" s="26">
        <v>6.1999999999999998E-3</v>
      </c>
      <c r="L29694" s="26">
        <v>6.4000000000000003E-3</v>
      </c>
      <c r="M29694">
        <v>209</v>
      </c>
    </row>
    <row r="29695" spans="1:13" x14ac:dyDescent="0.35">
      <c r="A29695" t="s">
        <v>231</v>
      </c>
      <c r="B29695" t="s">
        <v>267</v>
      </c>
      <c r="C29695" s="26">
        <v>0.82350000000000001</v>
      </c>
      <c r="D29695" s="26">
        <v>5.8799999999999998E-2</v>
      </c>
      <c r="E29695" s="26">
        <v>5.8799999999999998E-2</v>
      </c>
      <c r="H29695" s="26">
        <v>2.9399999999999999E-2</v>
      </c>
      <c r="I29695" s="26">
        <v>2.9399999999999999E-2</v>
      </c>
      <c r="J29695" s="26">
        <v>2.9399999999999999E-2</v>
      </c>
      <c r="M29695">
        <v>34</v>
      </c>
    </row>
    <row r="29696" spans="1:13" x14ac:dyDescent="0.35">
      <c r="A29696" t="s">
        <v>231</v>
      </c>
      <c r="B29696" t="s">
        <v>266</v>
      </c>
      <c r="C29696" s="26">
        <v>0.9032</v>
      </c>
      <c r="E29696" s="26">
        <v>8.0600000000000005E-2</v>
      </c>
      <c r="G29696" s="26">
        <v>1.61E-2</v>
      </c>
      <c r="M29696">
        <v>62</v>
      </c>
    </row>
    <row r="29697" spans="1:13" x14ac:dyDescent="0.35">
      <c r="A29697" t="s">
        <v>231</v>
      </c>
      <c r="B29697" t="s">
        <v>265</v>
      </c>
      <c r="C29697" s="26">
        <v>0.88239999999999996</v>
      </c>
      <c r="D29697" s="26">
        <v>4.41E-2</v>
      </c>
      <c r="E29697" s="26">
        <v>4.41E-2</v>
      </c>
      <c r="F29697" s="26">
        <v>1.47E-2</v>
      </c>
      <c r="G29697" s="26">
        <v>1.47E-2</v>
      </c>
      <c r="H29697" s="26">
        <v>1.47E-2</v>
      </c>
      <c r="J29697" s="26">
        <v>1.47E-2</v>
      </c>
      <c r="M29697">
        <v>68</v>
      </c>
    </row>
    <row r="29698" spans="1:13" x14ac:dyDescent="0.35">
      <c r="A29698" t="s">
        <v>232</v>
      </c>
      <c r="B29698" t="s">
        <v>232</v>
      </c>
      <c r="C29698" s="26">
        <v>0.80789999999999995</v>
      </c>
      <c r="D29698" s="26">
        <v>8.48E-2</v>
      </c>
      <c r="E29698" s="26">
        <v>4.8800000000000003E-2</v>
      </c>
      <c r="F29698" s="26">
        <v>4.3700000000000003E-2</v>
      </c>
      <c r="G29698" s="26">
        <v>3.4299999999999997E-2</v>
      </c>
      <c r="H29698" s="26">
        <v>2.8000000000000001E-2</v>
      </c>
      <c r="I29698" s="26">
        <v>2.6599999999999999E-2</v>
      </c>
      <c r="J29698" s="26">
        <v>1.6E-2</v>
      </c>
      <c r="K29698" s="26">
        <v>7.1999999999999998E-3</v>
      </c>
      <c r="L29698" s="26">
        <v>5.0000000000000001E-3</v>
      </c>
      <c r="M29698">
        <v>2813</v>
      </c>
    </row>
    <row r="29700" spans="1:13" x14ac:dyDescent="0.35">
      <c r="A29700" s="1" t="s">
        <v>2654</v>
      </c>
    </row>
    <row r="29701" spans="1:13" x14ac:dyDescent="0.35">
      <c r="A29701" t="s">
        <v>219</v>
      </c>
      <c r="B29701" t="s">
        <v>305</v>
      </c>
      <c r="C29701" t="s">
        <v>302</v>
      </c>
      <c r="D29701" t="s">
        <v>2642</v>
      </c>
      <c r="E29701" t="s">
        <v>281</v>
      </c>
      <c r="F29701" t="s">
        <v>2643</v>
      </c>
      <c r="G29701" t="s">
        <v>2644</v>
      </c>
      <c r="H29701" t="s">
        <v>2645</v>
      </c>
      <c r="I29701" t="s">
        <v>2646</v>
      </c>
      <c r="J29701" t="s">
        <v>2647</v>
      </c>
      <c r="K29701" t="s">
        <v>2648</v>
      </c>
      <c r="L29701" t="s">
        <v>286</v>
      </c>
      <c r="M29701" t="s">
        <v>226</v>
      </c>
    </row>
    <row r="29702" spans="1:13" x14ac:dyDescent="0.35">
      <c r="A29702" t="s">
        <v>227</v>
      </c>
      <c r="B29702" t="s">
        <v>252</v>
      </c>
      <c r="C29702" s="26">
        <v>0.88890000000000002</v>
      </c>
      <c r="E29702" s="26">
        <v>6.6699999999999995E-2</v>
      </c>
      <c r="G29702" s="26">
        <v>2.2200000000000001E-2</v>
      </c>
      <c r="J29702" s="26">
        <v>4.4400000000000002E-2</v>
      </c>
      <c r="M29702">
        <v>45</v>
      </c>
    </row>
    <row r="29703" spans="1:13" x14ac:dyDescent="0.35">
      <c r="A29703" t="s">
        <v>227</v>
      </c>
      <c r="B29703" t="s">
        <v>253</v>
      </c>
      <c r="C29703" s="26">
        <v>0.82350000000000001</v>
      </c>
      <c r="D29703" s="26">
        <v>8.8200000000000001E-2</v>
      </c>
      <c r="E29703" s="26">
        <v>5.8799999999999998E-2</v>
      </c>
      <c r="G29703" s="26">
        <v>5.8799999999999998E-2</v>
      </c>
      <c r="M29703">
        <v>34</v>
      </c>
    </row>
    <row r="29704" spans="1:13" x14ac:dyDescent="0.35">
      <c r="A29704" t="s">
        <v>227</v>
      </c>
      <c r="B29704" t="s">
        <v>251</v>
      </c>
      <c r="C29704" s="26">
        <v>0.85370000000000001</v>
      </c>
      <c r="D29704" s="26">
        <v>9.7600000000000006E-2</v>
      </c>
      <c r="E29704" s="26">
        <v>2.4400000000000002E-2</v>
      </c>
      <c r="F29704" s="26">
        <v>1.2200000000000001E-2</v>
      </c>
      <c r="G29704" s="26">
        <v>3.6600000000000001E-2</v>
      </c>
      <c r="H29704" s="26">
        <v>1.2200000000000001E-2</v>
      </c>
      <c r="I29704" s="26">
        <v>1.2200000000000001E-2</v>
      </c>
      <c r="K29704" s="26">
        <v>1.2200000000000001E-2</v>
      </c>
      <c r="M29704">
        <v>82</v>
      </c>
    </row>
    <row r="29705" spans="1:13" x14ac:dyDescent="0.35">
      <c r="A29705" t="s">
        <v>228</v>
      </c>
      <c r="B29705" t="s">
        <v>252</v>
      </c>
      <c r="C29705" s="26">
        <v>0.79849999999999999</v>
      </c>
      <c r="D29705" s="26">
        <v>5.2400000000000002E-2</v>
      </c>
      <c r="E29705" s="26">
        <v>6.7299999999999999E-2</v>
      </c>
      <c r="F29705" s="26">
        <v>6.2700000000000006E-2</v>
      </c>
      <c r="G29705" s="26">
        <v>2.9000000000000001E-2</v>
      </c>
      <c r="H29705" s="26">
        <v>3.9800000000000002E-2</v>
      </c>
      <c r="I29705" s="26">
        <v>2.7699999999999999E-2</v>
      </c>
      <c r="J29705" s="26">
        <v>1.9E-2</v>
      </c>
      <c r="K29705" s="26">
        <v>2.4500000000000001E-2</v>
      </c>
      <c r="L29705" s="26">
        <v>1.8200000000000001E-2</v>
      </c>
      <c r="M29705">
        <v>344</v>
      </c>
    </row>
    <row r="29706" spans="1:13" x14ac:dyDescent="0.35">
      <c r="A29706" t="s">
        <v>228</v>
      </c>
      <c r="B29706" t="s">
        <v>253</v>
      </c>
      <c r="C29706" s="26">
        <v>0.62670000000000003</v>
      </c>
      <c r="D29706" s="26">
        <v>0.16450000000000001</v>
      </c>
      <c r="E29706" s="26">
        <v>6.6199999999999995E-2</v>
      </c>
      <c r="F29706" s="26">
        <v>0.1537</v>
      </c>
      <c r="G29706" s="26">
        <v>7.2800000000000004E-2</v>
      </c>
      <c r="H29706" s="26">
        <v>6.0499999999999998E-2</v>
      </c>
      <c r="I29706" s="26">
        <v>4.8000000000000001E-2</v>
      </c>
      <c r="J29706" s="26">
        <v>4.6100000000000002E-2</v>
      </c>
      <c r="K29706" s="26">
        <v>1.5299999999999999E-2</v>
      </c>
      <c r="M29706">
        <v>222</v>
      </c>
    </row>
    <row r="29707" spans="1:13" x14ac:dyDescent="0.35">
      <c r="A29707" t="s">
        <v>228</v>
      </c>
      <c r="B29707" t="s">
        <v>251</v>
      </c>
      <c r="C29707" s="26">
        <v>0.71579999999999999</v>
      </c>
      <c r="D29707" s="26">
        <v>0.13830000000000001</v>
      </c>
      <c r="E29707" s="26">
        <v>3.3399999999999999E-2</v>
      </c>
      <c r="F29707" s="26">
        <v>9.9299999999999999E-2</v>
      </c>
      <c r="G29707" s="26">
        <v>4.7300000000000002E-2</v>
      </c>
      <c r="H29707" s="26">
        <v>6.1199999999999997E-2</v>
      </c>
      <c r="I29707" s="26">
        <v>4.5999999999999999E-2</v>
      </c>
      <c r="J29707" s="26">
        <v>1.8499999999999999E-2</v>
      </c>
      <c r="K29707" s="26">
        <v>9.7999999999999997E-3</v>
      </c>
      <c r="L29707" s="26">
        <v>2.0799999999999999E-2</v>
      </c>
      <c r="M29707">
        <v>467</v>
      </c>
    </row>
    <row r="29708" spans="1:13" x14ac:dyDescent="0.35">
      <c r="A29708" t="s">
        <v>229</v>
      </c>
      <c r="B29708" t="s">
        <v>252</v>
      </c>
      <c r="C29708" s="26">
        <v>0.82509999999999994</v>
      </c>
      <c r="D29708" s="26">
        <v>2.69E-2</v>
      </c>
      <c r="E29708" s="26">
        <v>0.1174</v>
      </c>
      <c r="F29708" s="26">
        <v>3.44E-2</v>
      </c>
      <c r="G29708" s="26">
        <v>2.86E-2</v>
      </c>
      <c r="H29708" s="26">
        <v>2.5999999999999999E-2</v>
      </c>
      <c r="I29708" s="26">
        <v>2.0799999999999999E-2</v>
      </c>
      <c r="J29708" s="26">
        <v>2.87E-2</v>
      </c>
      <c r="K29708" s="26">
        <v>1.34E-2</v>
      </c>
      <c r="L29708" s="26">
        <v>3.0000000000000001E-3</v>
      </c>
      <c r="M29708">
        <v>199</v>
      </c>
    </row>
    <row r="29709" spans="1:13" x14ac:dyDescent="0.35">
      <c r="A29709" t="s">
        <v>229</v>
      </c>
      <c r="B29709" t="s">
        <v>253</v>
      </c>
      <c r="C29709" s="26">
        <v>0.79820000000000002</v>
      </c>
      <c r="D29709" s="26">
        <v>0.1258</v>
      </c>
      <c r="E29709" s="26">
        <v>2.93E-2</v>
      </c>
      <c r="F29709" s="26">
        <v>4.24E-2</v>
      </c>
      <c r="G29709" s="26">
        <v>3.9199999999999999E-2</v>
      </c>
      <c r="H29709" s="26">
        <v>3.1600000000000003E-2</v>
      </c>
      <c r="I29709" s="26">
        <v>5.1999999999999998E-2</v>
      </c>
      <c r="J29709" s="26">
        <v>2.2499999999999999E-2</v>
      </c>
      <c r="K29709" s="26">
        <v>2.5999999999999999E-3</v>
      </c>
      <c r="L29709" s="26">
        <v>4.0000000000000001E-3</v>
      </c>
      <c r="M29709">
        <v>145</v>
      </c>
    </row>
    <row r="29710" spans="1:13" x14ac:dyDescent="0.35">
      <c r="A29710" t="s">
        <v>229</v>
      </c>
      <c r="B29710" t="s">
        <v>251</v>
      </c>
      <c r="C29710" s="26">
        <v>0.74439999999999995</v>
      </c>
      <c r="D29710" s="26">
        <v>0.1477</v>
      </c>
      <c r="E29710" s="26">
        <v>2.8000000000000001E-2</v>
      </c>
      <c r="F29710" s="26">
        <v>6.6900000000000001E-2</v>
      </c>
      <c r="G29710" s="26">
        <v>4.3499999999999997E-2</v>
      </c>
      <c r="H29710" s="26">
        <v>0.04</v>
      </c>
      <c r="I29710" s="26">
        <v>5.2699999999999997E-2</v>
      </c>
      <c r="J29710" s="26">
        <v>7.7000000000000002E-3</v>
      </c>
      <c r="K29710" s="26">
        <v>6.7999999999999996E-3</v>
      </c>
      <c r="L29710" s="26">
        <v>5.3E-3</v>
      </c>
      <c r="M29710">
        <v>551</v>
      </c>
    </row>
    <row r="29711" spans="1:13" x14ac:dyDescent="0.35">
      <c r="A29711" t="s">
        <v>230</v>
      </c>
      <c r="B29711" t="s">
        <v>252</v>
      </c>
      <c r="C29711" s="26">
        <v>0.79669999999999996</v>
      </c>
      <c r="D29711" s="26">
        <v>8.0199999999999994E-2</v>
      </c>
      <c r="E29711" s="26">
        <v>4.8899999999999999E-2</v>
      </c>
      <c r="F29711" s="26">
        <v>9.2399999999999996E-2</v>
      </c>
      <c r="G29711" s="26">
        <v>3.3399999999999999E-2</v>
      </c>
      <c r="H29711" s="26">
        <v>4.6699999999999998E-2</v>
      </c>
      <c r="I29711" s="26">
        <v>3.44E-2</v>
      </c>
      <c r="J29711" s="26">
        <v>3.4599999999999999E-2</v>
      </c>
      <c r="K29711" s="26">
        <v>3.2199999999999999E-2</v>
      </c>
      <c r="L29711" s="26">
        <v>1.1599999999999999E-2</v>
      </c>
      <c r="M29711">
        <v>159</v>
      </c>
    </row>
    <row r="29712" spans="1:13" x14ac:dyDescent="0.35">
      <c r="A29712" t="s">
        <v>230</v>
      </c>
      <c r="B29712" t="s">
        <v>253</v>
      </c>
      <c r="C29712" s="26">
        <v>0.81669999999999998</v>
      </c>
      <c r="D29712" s="26">
        <v>7.3800000000000004E-2</v>
      </c>
      <c r="E29712" s="26">
        <v>1.24E-2</v>
      </c>
      <c r="F29712" s="26">
        <v>8.2400000000000001E-2</v>
      </c>
      <c r="G29712" s="26">
        <v>7.6100000000000001E-2</v>
      </c>
      <c r="H29712" s="26">
        <v>3.0099999999999998E-2</v>
      </c>
      <c r="I29712" s="26">
        <v>7.3200000000000001E-2</v>
      </c>
      <c r="J29712" s="26">
        <v>2.5499999999999998E-2</v>
      </c>
      <c r="K29712" s="26">
        <v>1.2E-2</v>
      </c>
      <c r="L29712" s="26">
        <v>4.7000000000000002E-3</v>
      </c>
      <c r="M29712">
        <v>110</v>
      </c>
    </row>
    <row r="29713" spans="1:13" x14ac:dyDescent="0.35">
      <c r="A29713" t="s">
        <v>230</v>
      </c>
      <c r="B29713" t="s">
        <v>251</v>
      </c>
      <c r="C29713" s="26">
        <v>0.80169999999999997</v>
      </c>
      <c r="D29713" s="26">
        <v>0.13420000000000001</v>
      </c>
      <c r="E29713" s="26">
        <v>9.1000000000000004E-3</v>
      </c>
      <c r="F29713" s="26">
        <v>4.7500000000000001E-2</v>
      </c>
      <c r="G29713" s="26">
        <v>5.3499999999999999E-2</v>
      </c>
      <c r="H29713" s="26">
        <v>2.8199999999999999E-2</v>
      </c>
      <c r="I29713" s="26">
        <v>2.0199999999999999E-2</v>
      </c>
      <c r="J29713" s="26">
        <v>8.3999999999999995E-3</v>
      </c>
      <c r="K29713" s="26">
        <v>1E-3</v>
      </c>
      <c r="L29713" s="26">
        <v>4.8999999999999998E-3</v>
      </c>
      <c r="M29713">
        <v>291</v>
      </c>
    </row>
    <row r="29714" spans="1:13" x14ac:dyDescent="0.35">
      <c r="A29714" t="s">
        <v>231</v>
      </c>
      <c r="B29714" t="s">
        <v>252</v>
      </c>
      <c r="C29714" s="26">
        <v>0.85709999999999997</v>
      </c>
      <c r="D29714" s="26">
        <v>4.0800000000000003E-2</v>
      </c>
      <c r="E29714" s="26">
        <v>8.1600000000000006E-2</v>
      </c>
      <c r="G29714" s="26">
        <v>2.0400000000000001E-2</v>
      </c>
      <c r="M29714">
        <v>49</v>
      </c>
    </row>
    <row r="29715" spans="1:13" x14ac:dyDescent="0.35">
      <c r="A29715" t="s">
        <v>231</v>
      </c>
      <c r="B29715" t="s">
        <v>253</v>
      </c>
      <c r="C29715" s="26">
        <v>0.86670000000000003</v>
      </c>
      <c r="D29715" s="26">
        <v>3.3300000000000003E-2</v>
      </c>
      <c r="E29715" s="26">
        <v>6.6699999999999995E-2</v>
      </c>
      <c r="G29715" s="26">
        <v>3.3300000000000003E-2</v>
      </c>
      <c r="H29715" s="26">
        <v>3.3300000000000003E-2</v>
      </c>
      <c r="J29715" s="26">
        <v>3.3300000000000003E-2</v>
      </c>
      <c r="M29715">
        <v>30</v>
      </c>
    </row>
    <row r="29716" spans="1:13" x14ac:dyDescent="0.35">
      <c r="A29716" t="s">
        <v>231</v>
      </c>
      <c r="B29716" t="s">
        <v>251</v>
      </c>
      <c r="C29716" s="26">
        <v>0.89410000000000001</v>
      </c>
      <c r="D29716" s="26">
        <v>2.35E-2</v>
      </c>
      <c r="E29716" s="26">
        <v>4.7100000000000003E-2</v>
      </c>
      <c r="F29716" s="26">
        <v>1.18E-2</v>
      </c>
      <c r="H29716" s="26">
        <v>1.18E-2</v>
      </c>
      <c r="I29716" s="26">
        <v>1.18E-2</v>
      </c>
      <c r="J29716" s="26">
        <v>1.18E-2</v>
      </c>
      <c r="M29716">
        <v>85</v>
      </c>
    </row>
    <row r="29717" spans="1:13" x14ac:dyDescent="0.35">
      <c r="A29717" t="s">
        <v>232</v>
      </c>
      <c r="B29717" t="s">
        <v>232</v>
      </c>
      <c r="C29717" s="26">
        <v>0.80789999999999995</v>
      </c>
      <c r="D29717" s="26">
        <v>8.48E-2</v>
      </c>
      <c r="E29717" s="26">
        <v>4.8800000000000003E-2</v>
      </c>
      <c r="F29717" s="26">
        <v>4.3700000000000003E-2</v>
      </c>
      <c r="G29717" s="26">
        <v>3.4299999999999997E-2</v>
      </c>
      <c r="H29717" s="26">
        <v>2.8000000000000001E-2</v>
      </c>
      <c r="I29717" s="26">
        <v>2.6599999999999999E-2</v>
      </c>
      <c r="J29717" s="26">
        <v>1.6E-2</v>
      </c>
      <c r="K29717" s="26">
        <v>7.1999999999999998E-3</v>
      </c>
      <c r="L29717" s="26">
        <v>5.0000000000000001E-3</v>
      </c>
      <c r="M29717">
        <v>2813</v>
      </c>
    </row>
    <row r="29719" spans="1:13" x14ac:dyDescent="0.35">
      <c r="A29719" s="1" t="s">
        <v>2655</v>
      </c>
    </row>
    <row r="29720" spans="1:13" x14ac:dyDescent="0.35">
      <c r="A29720" t="s">
        <v>219</v>
      </c>
      <c r="B29720" t="s">
        <v>305</v>
      </c>
      <c r="C29720" t="s">
        <v>302</v>
      </c>
      <c r="D29720" t="s">
        <v>2642</v>
      </c>
      <c r="E29720" t="s">
        <v>281</v>
      </c>
      <c r="F29720" t="s">
        <v>2643</v>
      </c>
      <c r="G29720" t="s">
        <v>2644</v>
      </c>
      <c r="H29720" t="s">
        <v>2645</v>
      </c>
      <c r="I29720" t="s">
        <v>2646</v>
      </c>
      <c r="J29720" t="s">
        <v>2647</v>
      </c>
      <c r="K29720" t="s">
        <v>2648</v>
      </c>
      <c r="L29720" t="s">
        <v>286</v>
      </c>
      <c r="M29720" t="s">
        <v>226</v>
      </c>
    </row>
    <row r="29721" spans="1:13" x14ac:dyDescent="0.35">
      <c r="A29721" t="s">
        <v>227</v>
      </c>
      <c r="B29721" t="s">
        <v>249</v>
      </c>
      <c r="C29721" s="26">
        <v>0.88639999999999997</v>
      </c>
      <c r="D29721" s="26">
        <v>9.0899999999999995E-2</v>
      </c>
      <c r="E29721" s="26">
        <v>2.2700000000000001E-2</v>
      </c>
      <c r="I29721" s="26">
        <v>2.2700000000000001E-2</v>
      </c>
      <c r="M29721">
        <v>44</v>
      </c>
    </row>
    <row r="29722" spans="1:13" x14ac:dyDescent="0.35">
      <c r="A29722" t="s">
        <v>227</v>
      </c>
      <c r="B29722" t="s">
        <v>248</v>
      </c>
      <c r="C29722" s="26">
        <v>0.84619999999999995</v>
      </c>
      <c r="D29722" s="26">
        <v>5.9799999999999999E-2</v>
      </c>
      <c r="E29722" s="26">
        <v>5.1299999999999998E-2</v>
      </c>
      <c r="F29722" s="26">
        <v>8.5000000000000006E-3</v>
      </c>
      <c r="G29722" s="26">
        <v>5.1299999999999998E-2</v>
      </c>
      <c r="H29722" s="26">
        <v>8.5000000000000006E-3</v>
      </c>
      <c r="J29722" s="26">
        <v>1.7100000000000001E-2</v>
      </c>
      <c r="K29722" s="26">
        <v>8.5000000000000006E-3</v>
      </c>
      <c r="M29722">
        <v>117</v>
      </c>
    </row>
    <row r="29723" spans="1:13" x14ac:dyDescent="0.35">
      <c r="A29723" t="s">
        <v>228</v>
      </c>
      <c r="B29723" t="s">
        <v>249</v>
      </c>
      <c r="C29723" s="26">
        <v>0.69879999999999998</v>
      </c>
      <c r="D29723" s="26">
        <v>0.14119999999999999</v>
      </c>
      <c r="E29723" s="26">
        <v>4.8500000000000001E-2</v>
      </c>
      <c r="F29723" s="26">
        <v>9.6500000000000002E-2</v>
      </c>
      <c r="G29723" s="26">
        <v>4.5699999999999998E-2</v>
      </c>
      <c r="H29723" s="26">
        <v>7.1300000000000002E-2</v>
      </c>
      <c r="I29723" s="26">
        <v>5.8599999999999999E-2</v>
      </c>
      <c r="J29723" s="26">
        <v>2.0899999999999998E-2</v>
      </c>
      <c r="K29723" s="26">
        <v>5.7999999999999996E-3</v>
      </c>
      <c r="L29723" s="26">
        <v>1.4800000000000001E-2</v>
      </c>
      <c r="M29723">
        <v>274</v>
      </c>
    </row>
    <row r="29724" spans="1:13" x14ac:dyDescent="0.35">
      <c r="A29724" t="s">
        <v>228</v>
      </c>
      <c r="B29724" t="s">
        <v>248</v>
      </c>
      <c r="C29724" s="26">
        <v>0.7349</v>
      </c>
      <c r="D29724" s="26">
        <v>0.1055</v>
      </c>
      <c r="E29724" s="26">
        <v>5.1999999999999998E-2</v>
      </c>
      <c r="F29724" s="26">
        <v>9.9699999999999997E-2</v>
      </c>
      <c r="G29724" s="26">
        <v>4.7100000000000003E-2</v>
      </c>
      <c r="H29724" s="26">
        <v>4.6899999999999997E-2</v>
      </c>
      <c r="I29724" s="26">
        <v>3.2800000000000003E-2</v>
      </c>
      <c r="J29724" s="26">
        <v>2.58E-2</v>
      </c>
      <c r="K29724" s="26">
        <v>1.9800000000000002E-2</v>
      </c>
      <c r="L29724" s="26">
        <v>1.61E-2</v>
      </c>
      <c r="M29724">
        <v>759</v>
      </c>
    </row>
    <row r="29725" spans="1:13" x14ac:dyDescent="0.35">
      <c r="A29725" t="s">
        <v>229</v>
      </c>
      <c r="B29725" t="s">
        <v>249</v>
      </c>
      <c r="C29725" s="26">
        <v>0.74219999999999997</v>
      </c>
      <c r="D29725" s="26">
        <v>0.13830000000000001</v>
      </c>
      <c r="E29725" s="26">
        <v>2.3099999999999999E-2</v>
      </c>
      <c r="F29725" s="26">
        <v>6.2199999999999998E-2</v>
      </c>
      <c r="G29725" s="26">
        <v>6.3100000000000003E-2</v>
      </c>
      <c r="H29725" s="26">
        <v>4.0399999999999998E-2</v>
      </c>
      <c r="I29725" s="26">
        <v>6.8199999999999997E-2</v>
      </c>
      <c r="J29725" s="26">
        <v>1.09E-2</v>
      </c>
      <c r="K29725" s="26">
        <v>8.6E-3</v>
      </c>
      <c r="L29725" s="26">
        <v>7.9000000000000008E-3</v>
      </c>
      <c r="M29725">
        <v>259</v>
      </c>
    </row>
    <row r="29726" spans="1:13" x14ac:dyDescent="0.35">
      <c r="A29726" t="s">
        <v>229</v>
      </c>
      <c r="B29726" t="s">
        <v>248</v>
      </c>
      <c r="C29726" s="26">
        <v>0.78759999999999997</v>
      </c>
      <c r="D29726" s="26">
        <v>0.10580000000000001</v>
      </c>
      <c r="E29726" s="26">
        <v>6.0600000000000001E-2</v>
      </c>
      <c r="F29726" s="26">
        <v>5.1400000000000001E-2</v>
      </c>
      <c r="G29726" s="26">
        <v>2.7699999999999999E-2</v>
      </c>
      <c r="H29726" s="26">
        <v>3.2800000000000003E-2</v>
      </c>
      <c r="I29726" s="26">
        <v>3.4299999999999997E-2</v>
      </c>
      <c r="J29726" s="26">
        <v>1.7299999999999999E-2</v>
      </c>
      <c r="K29726" s="26">
        <v>7.0000000000000001E-3</v>
      </c>
      <c r="L29726" s="26">
        <v>2.8999999999999998E-3</v>
      </c>
      <c r="M29726">
        <v>636</v>
      </c>
    </row>
    <row r="29727" spans="1:13" x14ac:dyDescent="0.35">
      <c r="A29727" t="s">
        <v>230</v>
      </c>
      <c r="B29727" t="s">
        <v>249</v>
      </c>
      <c r="C29727" s="26">
        <v>0.81830000000000003</v>
      </c>
      <c r="D29727" s="26">
        <v>0.11169999999999999</v>
      </c>
      <c r="E29727" s="26">
        <v>1.3299999999999999E-2</v>
      </c>
      <c r="F29727" s="26">
        <v>5.2699999999999997E-2</v>
      </c>
      <c r="G29727" s="26">
        <v>4.4900000000000002E-2</v>
      </c>
      <c r="H29727" s="26">
        <v>1.9800000000000002E-2</v>
      </c>
      <c r="I29727" s="26">
        <v>2.4500000000000001E-2</v>
      </c>
      <c r="J29727" s="26">
        <v>1.3100000000000001E-2</v>
      </c>
      <c r="K29727" s="26">
        <v>1.6000000000000001E-3</v>
      </c>
      <c r="L29727" s="26">
        <v>2.7000000000000001E-3</v>
      </c>
      <c r="M29727">
        <v>171</v>
      </c>
    </row>
    <row r="29728" spans="1:13" x14ac:dyDescent="0.35">
      <c r="A29728" t="s">
        <v>230</v>
      </c>
      <c r="B29728" t="s">
        <v>248</v>
      </c>
      <c r="C29728" s="26">
        <v>0.79559999999999997</v>
      </c>
      <c r="D29728" s="26">
        <v>0.1076</v>
      </c>
      <c r="E29728" s="26">
        <v>2.3199999999999998E-2</v>
      </c>
      <c r="F29728" s="26">
        <v>7.2099999999999997E-2</v>
      </c>
      <c r="G29728" s="26">
        <v>5.6500000000000002E-2</v>
      </c>
      <c r="H29728" s="26">
        <v>4.0099999999999997E-2</v>
      </c>
      <c r="I29728" s="26">
        <v>3.8600000000000002E-2</v>
      </c>
      <c r="J29728" s="26">
        <v>2.1000000000000001E-2</v>
      </c>
      <c r="K29728" s="26">
        <v>1.5900000000000001E-2</v>
      </c>
      <c r="L29728" s="26">
        <v>8.5000000000000006E-3</v>
      </c>
      <c r="M29728">
        <v>389</v>
      </c>
    </row>
    <row r="29729" spans="1:13" x14ac:dyDescent="0.35">
      <c r="A29729" t="s">
        <v>231</v>
      </c>
      <c r="B29729" t="s">
        <v>249</v>
      </c>
      <c r="C29729" s="26">
        <v>0.88570000000000004</v>
      </c>
      <c r="D29729" s="26">
        <v>2.86E-2</v>
      </c>
      <c r="E29729" s="26">
        <v>2.86E-2</v>
      </c>
      <c r="H29729" s="26">
        <v>2.86E-2</v>
      </c>
      <c r="I29729" s="26">
        <v>2.86E-2</v>
      </c>
      <c r="J29729" s="26">
        <v>2.86E-2</v>
      </c>
      <c r="M29729">
        <v>35</v>
      </c>
    </row>
    <row r="29730" spans="1:13" x14ac:dyDescent="0.35">
      <c r="A29730" t="s">
        <v>231</v>
      </c>
      <c r="B29730" t="s">
        <v>248</v>
      </c>
      <c r="C29730" s="26">
        <v>0.876</v>
      </c>
      <c r="D29730" s="26">
        <v>3.1E-2</v>
      </c>
      <c r="E29730" s="26">
        <v>6.9800000000000001E-2</v>
      </c>
      <c r="F29730" s="26">
        <v>7.7999999999999996E-3</v>
      </c>
      <c r="G29730" s="26">
        <v>1.55E-2</v>
      </c>
      <c r="H29730" s="26">
        <v>7.7999999999999996E-3</v>
      </c>
      <c r="J29730" s="26">
        <v>7.7999999999999996E-3</v>
      </c>
      <c r="M29730">
        <v>129</v>
      </c>
    </row>
    <row r="29731" spans="1:13" x14ac:dyDescent="0.35">
      <c r="A29731" t="s">
        <v>232</v>
      </c>
      <c r="B29731" t="s">
        <v>232</v>
      </c>
      <c r="C29731" s="26">
        <v>0.80789999999999995</v>
      </c>
      <c r="D29731" s="26">
        <v>8.48E-2</v>
      </c>
      <c r="E29731" s="26">
        <v>4.8800000000000003E-2</v>
      </c>
      <c r="F29731" s="26">
        <v>4.3700000000000003E-2</v>
      </c>
      <c r="G29731" s="26">
        <v>3.4299999999999997E-2</v>
      </c>
      <c r="H29731" s="26">
        <v>2.8000000000000001E-2</v>
      </c>
      <c r="I29731" s="26">
        <v>2.6599999999999999E-2</v>
      </c>
      <c r="J29731" s="26">
        <v>1.6E-2</v>
      </c>
      <c r="K29731" s="26">
        <v>7.1999999999999998E-3</v>
      </c>
      <c r="L29731" s="26">
        <v>5.0000000000000001E-3</v>
      </c>
      <c r="M29731">
        <v>2813</v>
      </c>
    </row>
    <row r="29733" spans="1:13" x14ac:dyDescent="0.35">
      <c r="A29733" s="1" t="s">
        <v>2656</v>
      </c>
    </row>
    <row r="29734" spans="1:13" x14ac:dyDescent="0.35">
      <c r="A29734" t="s">
        <v>219</v>
      </c>
      <c r="B29734" t="s">
        <v>305</v>
      </c>
      <c r="C29734" t="s">
        <v>302</v>
      </c>
      <c r="D29734" t="s">
        <v>2642</v>
      </c>
      <c r="E29734" t="s">
        <v>281</v>
      </c>
      <c r="F29734" t="s">
        <v>2643</v>
      </c>
      <c r="G29734" t="s">
        <v>2644</v>
      </c>
      <c r="H29734" t="s">
        <v>2645</v>
      </c>
      <c r="I29734" t="s">
        <v>2646</v>
      </c>
      <c r="J29734" t="s">
        <v>2647</v>
      </c>
      <c r="K29734" t="s">
        <v>2648</v>
      </c>
      <c r="L29734" t="s">
        <v>286</v>
      </c>
      <c r="M29734" t="s">
        <v>226</v>
      </c>
    </row>
    <row r="29735" spans="1:13" x14ac:dyDescent="0.35">
      <c r="A29735" s="27" t="s">
        <v>227</v>
      </c>
      <c r="B29735" s="27" t="s">
        <v>263</v>
      </c>
      <c r="C29735" s="28">
        <v>0.66669999999999996</v>
      </c>
      <c r="D29735" s="29"/>
      <c r="E29735" s="28">
        <v>0.33329999999999999</v>
      </c>
      <c r="F29735" s="29"/>
      <c r="G29735" s="29"/>
      <c r="H29735" s="29"/>
      <c r="I29735" s="29"/>
      <c r="J29735" s="29"/>
      <c r="K29735" s="29"/>
      <c r="L29735" s="29"/>
      <c r="M29735" s="29" t="s">
        <v>315</v>
      </c>
    </row>
    <row r="29736" spans="1:13" x14ac:dyDescent="0.35">
      <c r="A29736" t="s">
        <v>227</v>
      </c>
      <c r="B29736" t="s">
        <v>261</v>
      </c>
      <c r="C29736" s="26">
        <v>0.84850000000000003</v>
      </c>
      <c r="D29736" s="26">
        <v>6.0600000000000001E-2</v>
      </c>
      <c r="E29736" s="26">
        <v>6.0600000000000001E-2</v>
      </c>
      <c r="F29736" s="26">
        <v>3.0300000000000001E-2</v>
      </c>
      <c r="K29736" s="26">
        <v>3.0300000000000001E-2</v>
      </c>
      <c r="M29736">
        <v>33</v>
      </c>
    </row>
    <row r="29737" spans="1:13" x14ac:dyDescent="0.35">
      <c r="A29737" s="27" t="s">
        <v>227</v>
      </c>
      <c r="B29737" s="27" t="s">
        <v>262</v>
      </c>
      <c r="C29737" s="28">
        <v>1</v>
      </c>
      <c r="D29737" s="29"/>
      <c r="E29737" s="29"/>
      <c r="F29737" s="29"/>
      <c r="G29737" s="29"/>
      <c r="H29737" s="29"/>
      <c r="I29737" s="29"/>
      <c r="J29737" s="29"/>
      <c r="K29737" s="29"/>
      <c r="L29737" s="29"/>
      <c r="M29737" s="29" t="s">
        <v>315</v>
      </c>
    </row>
    <row r="29738" spans="1:13" x14ac:dyDescent="0.35">
      <c r="A29738" t="s">
        <v>227</v>
      </c>
      <c r="B29738" t="s">
        <v>260</v>
      </c>
      <c r="C29738" s="26">
        <v>0.86070000000000002</v>
      </c>
      <c r="D29738" s="26">
        <v>7.3800000000000004E-2</v>
      </c>
      <c r="E29738" s="26">
        <v>3.2800000000000003E-2</v>
      </c>
      <c r="G29738" s="26">
        <v>4.9200000000000001E-2</v>
      </c>
      <c r="H29738" s="26">
        <v>8.2000000000000007E-3</v>
      </c>
      <c r="I29738" s="26">
        <v>8.2000000000000007E-3</v>
      </c>
      <c r="J29738" s="26">
        <v>1.6400000000000001E-2</v>
      </c>
      <c r="M29738">
        <v>122</v>
      </c>
    </row>
    <row r="29739" spans="1:13" x14ac:dyDescent="0.35">
      <c r="A29739" t="s">
        <v>228</v>
      </c>
      <c r="B29739" t="s">
        <v>261</v>
      </c>
      <c r="C29739" s="26">
        <v>0.75470000000000004</v>
      </c>
      <c r="D29739" s="26">
        <v>7.4999999999999997E-2</v>
      </c>
      <c r="E29739" s="26">
        <v>5.3600000000000002E-2</v>
      </c>
      <c r="F29739" s="26">
        <v>5.4800000000000001E-2</v>
      </c>
      <c r="G29739" s="26">
        <v>1.8700000000000001E-2</v>
      </c>
      <c r="H29739" s="26">
        <v>6.2300000000000001E-2</v>
      </c>
      <c r="I29739" s="26">
        <v>2.4899999999999999E-2</v>
      </c>
      <c r="J29739" s="26">
        <v>1.66E-2</v>
      </c>
      <c r="K29739" s="26">
        <v>6.1999999999999998E-3</v>
      </c>
      <c r="L29739" s="26">
        <v>3.9399999999999998E-2</v>
      </c>
      <c r="M29739">
        <v>192</v>
      </c>
    </row>
    <row r="29740" spans="1:13" x14ac:dyDescent="0.35">
      <c r="A29740" s="27" t="s">
        <v>228</v>
      </c>
      <c r="B29740" s="27" t="s">
        <v>263</v>
      </c>
      <c r="C29740" s="28">
        <v>0.65769999999999995</v>
      </c>
      <c r="D29740" s="28">
        <v>0.1961</v>
      </c>
      <c r="E29740" s="28">
        <v>3.5099999999999999E-2</v>
      </c>
      <c r="F29740" s="28">
        <v>0.21809999999999999</v>
      </c>
      <c r="G29740" s="28">
        <v>8.8999999999999996E-2</v>
      </c>
      <c r="H29740" s="28">
        <v>0.12509999999999999</v>
      </c>
      <c r="I29740" s="29"/>
      <c r="J29740" s="29"/>
      <c r="K29740" s="29"/>
      <c r="L29740" s="29"/>
      <c r="M29740" s="29" t="s">
        <v>312</v>
      </c>
    </row>
    <row r="29741" spans="1:13" x14ac:dyDescent="0.35">
      <c r="A29741" s="27" t="s">
        <v>228</v>
      </c>
      <c r="B29741" s="27" t="s">
        <v>236</v>
      </c>
      <c r="C29741" s="28">
        <v>0.7732</v>
      </c>
      <c r="D29741" s="29"/>
      <c r="E29741" s="29"/>
      <c r="F29741" s="29"/>
      <c r="G29741" s="28">
        <v>0.18790000000000001</v>
      </c>
      <c r="H29741" s="29"/>
      <c r="I29741" s="29"/>
      <c r="J29741" s="29"/>
      <c r="K29741" s="29"/>
      <c r="L29741" s="28">
        <v>3.9E-2</v>
      </c>
      <c r="M29741" s="29" t="s">
        <v>335</v>
      </c>
    </row>
    <row r="29742" spans="1:13" x14ac:dyDescent="0.35">
      <c r="A29742" t="s">
        <v>228</v>
      </c>
      <c r="B29742" t="s">
        <v>262</v>
      </c>
      <c r="C29742" s="26">
        <v>0.63119999999999998</v>
      </c>
      <c r="D29742" s="26">
        <v>0.21199999999999999</v>
      </c>
      <c r="E29742" s="26">
        <v>4.0500000000000001E-2</v>
      </c>
      <c r="F29742" s="26">
        <v>0.1938</v>
      </c>
      <c r="G29742" s="26">
        <v>8.6499999999999994E-2</v>
      </c>
      <c r="H29742" s="26">
        <v>7.6100000000000001E-2</v>
      </c>
      <c r="I29742" s="26">
        <v>7.6499999999999999E-2</v>
      </c>
      <c r="J29742" s="26">
        <v>3.0599999999999999E-2</v>
      </c>
      <c r="K29742" s="26">
        <v>3.1899999999999998E-2</v>
      </c>
      <c r="L29742" s="26">
        <v>1.2699999999999999E-2</v>
      </c>
      <c r="M29742">
        <v>201</v>
      </c>
    </row>
    <row r="29743" spans="1:13" x14ac:dyDescent="0.35">
      <c r="A29743" t="s">
        <v>228</v>
      </c>
      <c r="B29743" t="s">
        <v>260</v>
      </c>
      <c r="C29743" s="26">
        <v>0.74099999999999999</v>
      </c>
      <c r="D29743" s="26">
        <v>0.10199999999999999</v>
      </c>
      <c r="E29743" s="26">
        <v>5.3999999999999999E-2</v>
      </c>
      <c r="F29743" s="26">
        <v>8.43E-2</v>
      </c>
      <c r="G29743" s="26">
        <v>4.2000000000000003E-2</v>
      </c>
      <c r="H29743" s="26">
        <v>4.41E-2</v>
      </c>
      <c r="I29743" s="26">
        <v>3.7400000000000003E-2</v>
      </c>
      <c r="J29743" s="26">
        <v>2.5999999999999999E-2</v>
      </c>
      <c r="K29743" s="26">
        <v>1.4800000000000001E-2</v>
      </c>
      <c r="L29743" s="26">
        <v>9.1999999999999998E-3</v>
      </c>
      <c r="M29743">
        <v>609</v>
      </c>
    </row>
    <row r="29744" spans="1:13" x14ac:dyDescent="0.35">
      <c r="A29744" s="27" t="s">
        <v>229</v>
      </c>
      <c r="B29744" s="27" t="s">
        <v>263</v>
      </c>
      <c r="C29744" s="28">
        <v>0.72319999999999995</v>
      </c>
      <c r="D29744" s="28">
        <v>0.24210000000000001</v>
      </c>
      <c r="E29744" s="29"/>
      <c r="F29744" s="28">
        <v>6.93E-2</v>
      </c>
      <c r="G29744" s="28">
        <v>6.93E-2</v>
      </c>
      <c r="H29744" s="28">
        <v>0.104</v>
      </c>
      <c r="I29744" s="28">
        <v>6.93E-2</v>
      </c>
      <c r="J29744" s="29"/>
      <c r="K29744" s="29"/>
      <c r="L29744" s="29"/>
      <c r="M29744" s="29" t="s">
        <v>379</v>
      </c>
    </row>
    <row r="29745" spans="1:13" x14ac:dyDescent="0.35">
      <c r="A29745" t="s">
        <v>229</v>
      </c>
      <c r="B29745" t="s">
        <v>262</v>
      </c>
      <c r="C29745" s="26">
        <v>0.74209999999999998</v>
      </c>
      <c r="D29745" s="26">
        <v>0.16400000000000001</v>
      </c>
      <c r="E29745" s="26">
        <v>1.61E-2</v>
      </c>
      <c r="F29745" s="26">
        <v>6.6900000000000001E-2</v>
      </c>
      <c r="G29745" s="26">
        <v>0.04</v>
      </c>
      <c r="H29745" s="26">
        <v>4.7600000000000003E-2</v>
      </c>
      <c r="I29745" s="26">
        <v>4.4400000000000002E-2</v>
      </c>
      <c r="J29745" s="26">
        <v>1.17E-2</v>
      </c>
      <c r="K29745" s="26">
        <v>2.3999999999999998E-3</v>
      </c>
      <c r="L29745" s="26">
        <v>1.11E-2</v>
      </c>
      <c r="M29745">
        <v>188</v>
      </c>
    </row>
    <row r="29746" spans="1:13" x14ac:dyDescent="0.35">
      <c r="A29746" t="s">
        <v>229</v>
      </c>
      <c r="B29746" t="s">
        <v>261</v>
      </c>
      <c r="C29746" s="26">
        <v>0.72799999999999998</v>
      </c>
      <c r="D29746" s="26">
        <v>0.16</v>
      </c>
      <c r="E29746" s="26">
        <v>6.5000000000000002E-2</v>
      </c>
      <c r="F29746" s="26">
        <v>6.8400000000000002E-2</v>
      </c>
      <c r="G29746" s="26">
        <v>6.2799999999999995E-2</v>
      </c>
      <c r="H29746" s="26">
        <v>4.8099999999999997E-2</v>
      </c>
      <c r="I29746" s="26">
        <v>8.1900000000000001E-2</v>
      </c>
      <c r="J29746" s="26">
        <v>2.5700000000000001E-2</v>
      </c>
      <c r="K29746" s="26">
        <v>4.0399999999999998E-2</v>
      </c>
      <c r="M29746">
        <v>96</v>
      </c>
    </row>
    <row r="29747" spans="1:13" x14ac:dyDescent="0.35">
      <c r="A29747" s="27" t="s">
        <v>229</v>
      </c>
      <c r="B29747" s="27" t="s">
        <v>236</v>
      </c>
      <c r="C29747" s="28">
        <v>1</v>
      </c>
      <c r="D29747" s="29"/>
      <c r="E29747" s="29"/>
      <c r="F29747" s="29"/>
      <c r="G29747" s="29"/>
      <c r="H29747" s="29"/>
      <c r="I29747" s="29"/>
      <c r="J29747" s="29"/>
      <c r="K29747" s="29"/>
      <c r="L29747" s="29"/>
      <c r="M29747" s="29" t="s">
        <v>331</v>
      </c>
    </row>
    <row r="29748" spans="1:13" x14ac:dyDescent="0.35">
      <c r="A29748" t="s">
        <v>229</v>
      </c>
      <c r="B29748" t="s">
        <v>260</v>
      </c>
      <c r="C29748" s="26">
        <v>0.80179999999999996</v>
      </c>
      <c r="D29748" s="26">
        <v>7.6499999999999999E-2</v>
      </c>
      <c r="E29748" s="26">
        <v>6.1800000000000001E-2</v>
      </c>
      <c r="F29748" s="26">
        <v>4.4900000000000002E-2</v>
      </c>
      <c r="G29748" s="26">
        <v>3.1600000000000003E-2</v>
      </c>
      <c r="H29748" s="26">
        <v>2.3199999999999998E-2</v>
      </c>
      <c r="I29748" s="26">
        <v>3.5299999999999998E-2</v>
      </c>
      <c r="J29748" s="26">
        <v>1.47E-2</v>
      </c>
      <c r="K29748" s="26">
        <v>1.5E-3</v>
      </c>
      <c r="L29748" s="26">
        <v>2.5999999999999999E-3</v>
      </c>
      <c r="M29748">
        <v>596</v>
      </c>
    </row>
    <row r="29749" spans="1:13" x14ac:dyDescent="0.35">
      <c r="A29749" s="27" t="s">
        <v>230</v>
      </c>
      <c r="B29749" s="27" t="s">
        <v>236</v>
      </c>
      <c r="C29749" s="28">
        <v>0.84430000000000005</v>
      </c>
      <c r="D29749" s="28">
        <v>3.6600000000000001E-2</v>
      </c>
      <c r="E29749" s="28">
        <v>0.11899999999999999</v>
      </c>
      <c r="F29749" s="28">
        <v>3.6600000000000001E-2</v>
      </c>
      <c r="G29749" s="28">
        <v>3.6600000000000001E-2</v>
      </c>
      <c r="H29749" s="28">
        <v>3.6600000000000001E-2</v>
      </c>
      <c r="I29749" s="28">
        <v>3.6600000000000001E-2</v>
      </c>
      <c r="J29749" s="28">
        <v>3.6600000000000001E-2</v>
      </c>
      <c r="K29749" s="28">
        <v>3.6600000000000001E-2</v>
      </c>
      <c r="L29749" s="29"/>
      <c r="M29749" s="29" t="s">
        <v>337</v>
      </c>
    </row>
    <row r="29750" spans="1:13" x14ac:dyDescent="0.35">
      <c r="A29750" t="s">
        <v>230</v>
      </c>
      <c r="B29750" t="s">
        <v>262</v>
      </c>
      <c r="C29750" s="26">
        <v>0.74890000000000001</v>
      </c>
      <c r="D29750" s="26">
        <v>0.1512</v>
      </c>
      <c r="E29750" s="26">
        <v>2.1499999999999998E-2</v>
      </c>
      <c r="F29750" s="26">
        <v>5.1900000000000002E-2</v>
      </c>
      <c r="G29750" s="26">
        <v>2.69E-2</v>
      </c>
      <c r="H29750" s="26">
        <v>2.47E-2</v>
      </c>
      <c r="I29750" s="26">
        <v>9.1000000000000004E-3</v>
      </c>
      <c r="J29750" s="26">
        <v>1.9199999999999998E-2</v>
      </c>
      <c r="K29750" s="26">
        <v>1.09E-2</v>
      </c>
      <c r="L29750" s="26">
        <v>1.9800000000000002E-2</v>
      </c>
      <c r="M29750">
        <v>122</v>
      </c>
    </row>
    <row r="29751" spans="1:13" x14ac:dyDescent="0.35">
      <c r="A29751" t="s">
        <v>230</v>
      </c>
      <c r="B29751" t="s">
        <v>261</v>
      </c>
      <c r="C29751" s="26">
        <v>0.83520000000000005</v>
      </c>
      <c r="D29751" s="26">
        <v>6.1899999999999997E-2</v>
      </c>
      <c r="E29751" s="26">
        <v>6.7999999999999996E-3</v>
      </c>
      <c r="F29751" s="26">
        <v>4.7E-2</v>
      </c>
      <c r="G29751" s="26">
        <v>4.4499999999999998E-2</v>
      </c>
      <c r="H29751" s="26">
        <v>4.7E-2</v>
      </c>
      <c r="I29751" s="26">
        <v>8.7400000000000005E-2</v>
      </c>
      <c r="J29751" s="26">
        <v>8.6999999999999994E-3</v>
      </c>
      <c r="M29751">
        <v>57</v>
      </c>
    </row>
    <row r="29752" spans="1:13" x14ac:dyDescent="0.35">
      <c r="A29752" s="27" t="s">
        <v>230</v>
      </c>
      <c r="B29752" s="27" t="s">
        <v>263</v>
      </c>
      <c r="C29752" s="28">
        <v>0.6512</v>
      </c>
      <c r="D29752" s="28">
        <v>0.1759</v>
      </c>
      <c r="E29752" s="28">
        <v>1.6799999999999999E-2</v>
      </c>
      <c r="F29752" s="28">
        <v>0.15620000000000001</v>
      </c>
      <c r="G29752" s="28">
        <v>8.3799999999999999E-2</v>
      </c>
      <c r="H29752" s="28">
        <v>0.2442</v>
      </c>
      <c r="I29752" s="28">
        <v>5.0299999999999997E-2</v>
      </c>
      <c r="J29752" s="28">
        <v>3.3500000000000002E-2</v>
      </c>
      <c r="K29752" s="29"/>
      <c r="L29752" s="29"/>
      <c r="M29752" s="29" t="s">
        <v>312</v>
      </c>
    </row>
    <row r="29753" spans="1:13" x14ac:dyDescent="0.35">
      <c r="A29753" t="s">
        <v>230</v>
      </c>
      <c r="B29753" t="s">
        <v>260</v>
      </c>
      <c r="C29753" s="26">
        <v>0.81200000000000006</v>
      </c>
      <c r="D29753" s="26">
        <v>0.1081</v>
      </c>
      <c r="E29753" s="26">
        <v>2.1100000000000001E-2</v>
      </c>
      <c r="F29753" s="26">
        <v>7.0300000000000001E-2</v>
      </c>
      <c r="G29753" s="26">
        <v>5.9200000000000003E-2</v>
      </c>
      <c r="H29753" s="26">
        <v>2.75E-2</v>
      </c>
      <c r="I29753" s="26">
        <v>2.8500000000000001E-2</v>
      </c>
      <c r="J29753" s="26">
        <v>1.9400000000000001E-2</v>
      </c>
      <c r="K29753" s="26">
        <v>1.32E-2</v>
      </c>
      <c r="L29753" s="26">
        <v>5.1999999999999998E-3</v>
      </c>
      <c r="M29753">
        <v>352</v>
      </c>
    </row>
    <row r="29754" spans="1:13" x14ac:dyDescent="0.35">
      <c r="A29754" s="27" t="s">
        <v>231</v>
      </c>
      <c r="B29754" s="27" t="s">
        <v>263</v>
      </c>
      <c r="C29754" s="28">
        <v>1</v>
      </c>
      <c r="D29754" s="29"/>
      <c r="E29754" s="29"/>
      <c r="F29754" s="29"/>
      <c r="G29754" s="29"/>
      <c r="H29754" s="29"/>
      <c r="I29754" s="29"/>
      <c r="J29754" s="29"/>
      <c r="K29754" s="29"/>
      <c r="L29754" s="29"/>
      <c r="M29754" s="29" t="s">
        <v>314</v>
      </c>
    </row>
    <row r="29755" spans="1:13" x14ac:dyDescent="0.35">
      <c r="A29755" t="s">
        <v>231</v>
      </c>
      <c r="B29755" t="s">
        <v>260</v>
      </c>
      <c r="C29755" s="26">
        <v>0.8548</v>
      </c>
      <c r="D29755" s="26">
        <v>4.0300000000000002E-2</v>
      </c>
      <c r="E29755" s="26">
        <v>7.2599999999999998E-2</v>
      </c>
      <c r="G29755" s="26">
        <v>1.61E-2</v>
      </c>
      <c r="H29755" s="26">
        <v>1.61E-2</v>
      </c>
      <c r="I29755" s="26">
        <v>8.0999999999999996E-3</v>
      </c>
      <c r="J29755" s="26">
        <v>1.61E-2</v>
      </c>
      <c r="M29755">
        <v>124</v>
      </c>
    </row>
    <row r="29756" spans="1:13" x14ac:dyDescent="0.35">
      <c r="A29756" s="27" t="s">
        <v>231</v>
      </c>
      <c r="B29756" s="27" t="s">
        <v>261</v>
      </c>
      <c r="C29756" s="28">
        <v>0.96299999999999997</v>
      </c>
      <c r="D29756" s="29"/>
      <c r="E29756" s="29"/>
      <c r="F29756" s="28">
        <v>3.6999999999999998E-2</v>
      </c>
      <c r="G29756" s="29"/>
      <c r="H29756" s="29"/>
      <c r="I29756" s="29"/>
      <c r="J29756" s="29"/>
      <c r="K29756" s="29"/>
      <c r="L29756" s="29"/>
      <c r="M29756" s="29" t="s">
        <v>338</v>
      </c>
    </row>
    <row r="29757" spans="1:13" x14ac:dyDescent="0.35">
      <c r="A29757" s="27" t="s">
        <v>231</v>
      </c>
      <c r="B29757" s="27" t="s">
        <v>262</v>
      </c>
      <c r="C29757" s="28">
        <v>0.90910000000000002</v>
      </c>
      <c r="D29757" s="29"/>
      <c r="E29757" s="28">
        <v>9.0899999999999995E-2</v>
      </c>
      <c r="F29757" s="29"/>
      <c r="G29757" s="29"/>
      <c r="H29757" s="29"/>
      <c r="I29757" s="29"/>
      <c r="J29757" s="29"/>
      <c r="K29757" s="29"/>
      <c r="L29757" s="29"/>
      <c r="M29757" s="29" t="s">
        <v>352</v>
      </c>
    </row>
    <row r="29758" spans="1:13" x14ac:dyDescent="0.35">
      <c r="A29758" t="s">
        <v>232</v>
      </c>
      <c r="B29758" t="s">
        <v>232</v>
      </c>
      <c r="C29758" s="26">
        <v>0.80789999999999995</v>
      </c>
      <c r="D29758" s="26">
        <v>8.48E-2</v>
      </c>
      <c r="E29758" s="26">
        <v>4.8800000000000003E-2</v>
      </c>
      <c r="F29758" s="26">
        <v>4.3700000000000003E-2</v>
      </c>
      <c r="G29758" s="26">
        <v>3.4299999999999997E-2</v>
      </c>
      <c r="H29758" s="26">
        <v>2.8000000000000001E-2</v>
      </c>
      <c r="I29758" s="26">
        <v>2.6599999999999999E-2</v>
      </c>
      <c r="J29758" s="26">
        <v>1.6E-2</v>
      </c>
      <c r="K29758" s="26">
        <v>7.1999999999999998E-3</v>
      </c>
      <c r="L29758" s="26">
        <v>5.0000000000000001E-3</v>
      </c>
      <c r="M29758">
        <v>2813</v>
      </c>
    </row>
    <row r="29760" spans="1:13" x14ac:dyDescent="0.35">
      <c r="A29760" s="1" t="s">
        <v>2657</v>
      </c>
    </row>
    <row r="29761" spans="1:13" x14ac:dyDescent="0.35">
      <c r="A29761" t="s">
        <v>219</v>
      </c>
      <c r="B29761" t="s">
        <v>305</v>
      </c>
      <c r="C29761" t="s">
        <v>302</v>
      </c>
      <c r="D29761" t="s">
        <v>2642</v>
      </c>
      <c r="E29761" t="s">
        <v>281</v>
      </c>
      <c r="F29761" t="s">
        <v>2643</v>
      </c>
      <c r="G29761" t="s">
        <v>2644</v>
      </c>
      <c r="H29761" t="s">
        <v>2645</v>
      </c>
      <c r="I29761" t="s">
        <v>2646</v>
      </c>
      <c r="J29761" t="s">
        <v>2647</v>
      </c>
      <c r="K29761" t="s">
        <v>2648</v>
      </c>
      <c r="L29761" t="s">
        <v>286</v>
      </c>
      <c r="M29761" t="s">
        <v>226</v>
      </c>
    </row>
    <row r="29762" spans="1:13" x14ac:dyDescent="0.35">
      <c r="A29762" t="s">
        <v>227</v>
      </c>
      <c r="B29762" t="s">
        <v>368</v>
      </c>
      <c r="C29762" s="26">
        <v>0.84850000000000003</v>
      </c>
      <c r="D29762" s="26">
        <v>6.0600000000000001E-2</v>
      </c>
      <c r="E29762" s="26">
        <v>6.0600000000000001E-2</v>
      </c>
      <c r="F29762" s="26">
        <v>3.0300000000000001E-2</v>
      </c>
      <c r="K29762" s="26">
        <v>3.0300000000000001E-2</v>
      </c>
      <c r="M29762">
        <v>33</v>
      </c>
    </row>
    <row r="29763" spans="1:13" x14ac:dyDescent="0.35">
      <c r="A29763" t="s">
        <v>227</v>
      </c>
      <c r="B29763" t="s">
        <v>369</v>
      </c>
      <c r="C29763" s="26">
        <v>0.85940000000000005</v>
      </c>
      <c r="D29763" s="26">
        <v>7.0300000000000001E-2</v>
      </c>
      <c r="E29763" s="26">
        <v>3.9100000000000003E-2</v>
      </c>
      <c r="G29763" s="26">
        <v>4.6899999999999997E-2</v>
      </c>
      <c r="H29763" s="26">
        <v>7.7999999999999996E-3</v>
      </c>
      <c r="I29763" s="26">
        <v>7.7999999999999996E-3</v>
      </c>
      <c r="J29763" s="26">
        <v>1.5599999999999999E-2</v>
      </c>
      <c r="M29763">
        <v>128</v>
      </c>
    </row>
    <row r="29764" spans="1:13" x14ac:dyDescent="0.35">
      <c r="A29764" t="s">
        <v>228</v>
      </c>
      <c r="B29764" t="s">
        <v>368</v>
      </c>
      <c r="C29764" s="26">
        <v>0.75470000000000004</v>
      </c>
      <c r="D29764" s="26">
        <v>7.4999999999999997E-2</v>
      </c>
      <c r="E29764" s="26">
        <v>5.3600000000000002E-2</v>
      </c>
      <c r="F29764" s="26">
        <v>5.4800000000000001E-2</v>
      </c>
      <c r="G29764" s="26">
        <v>1.8700000000000001E-2</v>
      </c>
      <c r="H29764" s="26">
        <v>6.2300000000000001E-2</v>
      </c>
      <c r="I29764" s="26">
        <v>2.4899999999999999E-2</v>
      </c>
      <c r="J29764" s="26">
        <v>1.66E-2</v>
      </c>
      <c r="K29764" s="26">
        <v>6.1999999999999998E-3</v>
      </c>
      <c r="L29764" s="26">
        <v>3.9399999999999998E-2</v>
      </c>
      <c r="M29764">
        <v>192</v>
      </c>
    </row>
    <row r="29765" spans="1:13" x14ac:dyDescent="0.35">
      <c r="A29765" t="s">
        <v>228</v>
      </c>
      <c r="B29765" t="s">
        <v>369</v>
      </c>
      <c r="C29765" s="26">
        <v>0.71660000000000001</v>
      </c>
      <c r="D29765" s="26">
        <v>0.12609999999999999</v>
      </c>
      <c r="E29765" s="26">
        <v>5.0299999999999997E-2</v>
      </c>
      <c r="F29765" s="26">
        <v>0.10929999999999999</v>
      </c>
      <c r="G29765" s="26">
        <v>5.3400000000000003E-2</v>
      </c>
      <c r="H29765" s="26">
        <v>5.2299999999999999E-2</v>
      </c>
      <c r="I29765" s="26">
        <v>4.4299999999999999E-2</v>
      </c>
      <c r="J29765" s="26">
        <v>2.6200000000000001E-2</v>
      </c>
      <c r="K29765" s="26">
        <v>1.7899999999999999E-2</v>
      </c>
      <c r="L29765" s="26">
        <v>0.01</v>
      </c>
      <c r="M29765">
        <v>841</v>
      </c>
    </row>
    <row r="29766" spans="1:13" x14ac:dyDescent="0.35">
      <c r="A29766" t="s">
        <v>229</v>
      </c>
      <c r="B29766" t="s">
        <v>368</v>
      </c>
      <c r="C29766" s="26">
        <v>0.72799999999999998</v>
      </c>
      <c r="D29766" s="26">
        <v>0.16</v>
      </c>
      <c r="E29766" s="26">
        <v>6.5000000000000002E-2</v>
      </c>
      <c r="F29766" s="26">
        <v>6.8400000000000002E-2</v>
      </c>
      <c r="G29766" s="26">
        <v>6.2799999999999995E-2</v>
      </c>
      <c r="H29766" s="26">
        <v>4.8099999999999997E-2</v>
      </c>
      <c r="I29766" s="26">
        <v>8.1900000000000001E-2</v>
      </c>
      <c r="J29766" s="26">
        <v>2.5700000000000001E-2</v>
      </c>
      <c r="K29766" s="26">
        <v>4.0399999999999998E-2</v>
      </c>
      <c r="M29766">
        <v>96</v>
      </c>
    </row>
    <row r="29767" spans="1:13" x14ac:dyDescent="0.35">
      <c r="A29767" t="s">
        <v>229</v>
      </c>
      <c r="B29767" t="s">
        <v>369</v>
      </c>
      <c r="C29767" s="26">
        <v>0.78049999999999997</v>
      </c>
      <c r="D29767" s="26">
        <v>0.1089</v>
      </c>
      <c r="E29767" s="26">
        <v>4.5400000000000003E-2</v>
      </c>
      <c r="F29767" s="26">
        <v>5.2600000000000001E-2</v>
      </c>
      <c r="G29767" s="26">
        <v>3.5200000000000002E-2</v>
      </c>
      <c r="H29767" s="26">
        <v>3.3000000000000002E-2</v>
      </c>
      <c r="I29767" s="26">
        <v>3.9100000000000003E-2</v>
      </c>
      <c r="J29767" s="26">
        <v>1.34E-2</v>
      </c>
      <c r="K29767" s="26">
        <v>1.8E-3</v>
      </c>
      <c r="L29767" s="26">
        <v>5.3E-3</v>
      </c>
      <c r="M29767">
        <v>799</v>
      </c>
    </row>
    <row r="29768" spans="1:13" x14ac:dyDescent="0.35">
      <c r="A29768" t="s">
        <v>230</v>
      </c>
      <c r="B29768" t="s">
        <v>368</v>
      </c>
      <c r="C29768" s="26">
        <v>0.83520000000000005</v>
      </c>
      <c r="D29768" s="26">
        <v>6.1899999999999997E-2</v>
      </c>
      <c r="E29768" s="26">
        <v>6.7999999999999996E-3</v>
      </c>
      <c r="F29768" s="26">
        <v>4.7E-2</v>
      </c>
      <c r="G29768" s="26">
        <v>4.4499999999999998E-2</v>
      </c>
      <c r="H29768" s="26">
        <v>4.7E-2</v>
      </c>
      <c r="I29768" s="26">
        <v>8.7400000000000005E-2</v>
      </c>
      <c r="J29768" s="26">
        <v>8.6999999999999994E-3</v>
      </c>
      <c r="M29768">
        <v>57</v>
      </c>
    </row>
    <row r="29769" spans="1:13" x14ac:dyDescent="0.35">
      <c r="A29769" t="s">
        <v>230</v>
      </c>
      <c r="B29769" t="s">
        <v>369</v>
      </c>
      <c r="C29769" s="26">
        <v>0.79830000000000001</v>
      </c>
      <c r="D29769" s="26">
        <v>0.1162</v>
      </c>
      <c r="E29769" s="26">
        <v>2.1899999999999999E-2</v>
      </c>
      <c r="F29769" s="26">
        <v>6.8400000000000002E-2</v>
      </c>
      <c r="G29769" s="26">
        <v>5.3900000000000003E-2</v>
      </c>
      <c r="H29769" s="26">
        <v>3.1099999999999999E-2</v>
      </c>
      <c r="I29769" s="26">
        <v>2.5600000000000001E-2</v>
      </c>
      <c r="J29769" s="26">
        <v>1.9800000000000002E-2</v>
      </c>
      <c r="K29769" s="26">
        <v>1.2800000000000001E-2</v>
      </c>
      <c r="L29769" s="26">
        <v>7.6E-3</v>
      </c>
      <c r="M29769">
        <v>503</v>
      </c>
    </row>
    <row r="29770" spans="1:13" x14ac:dyDescent="0.35">
      <c r="A29770" s="27" t="s">
        <v>231</v>
      </c>
      <c r="B29770" s="27" t="s">
        <v>368</v>
      </c>
      <c r="C29770" s="28">
        <v>0.96299999999999997</v>
      </c>
      <c r="D29770" s="29"/>
      <c r="E29770" s="29"/>
      <c r="F29770" s="28">
        <v>3.6999999999999998E-2</v>
      </c>
      <c r="G29770" s="29"/>
      <c r="H29770" s="29"/>
      <c r="I29770" s="29"/>
      <c r="J29770" s="29"/>
      <c r="K29770" s="29"/>
      <c r="L29770" s="29"/>
      <c r="M29770" s="29" t="s">
        <v>338</v>
      </c>
    </row>
    <row r="29771" spans="1:13" x14ac:dyDescent="0.35">
      <c r="A29771" t="s">
        <v>231</v>
      </c>
      <c r="B29771" t="s">
        <v>369</v>
      </c>
      <c r="C29771" s="26">
        <v>0.86129999999999995</v>
      </c>
      <c r="D29771" s="26">
        <v>3.6499999999999998E-2</v>
      </c>
      <c r="E29771" s="26">
        <v>7.2999999999999995E-2</v>
      </c>
      <c r="G29771" s="26">
        <v>1.46E-2</v>
      </c>
      <c r="H29771" s="26">
        <v>1.46E-2</v>
      </c>
      <c r="I29771" s="26">
        <v>7.3000000000000001E-3</v>
      </c>
      <c r="J29771" s="26">
        <v>1.46E-2</v>
      </c>
      <c r="M29771">
        <v>137</v>
      </c>
    </row>
    <row r="29772" spans="1:13" x14ac:dyDescent="0.35">
      <c r="A29772" t="s">
        <v>232</v>
      </c>
      <c r="B29772" t="s">
        <v>232</v>
      </c>
      <c r="C29772" s="26">
        <v>0.80789999999999995</v>
      </c>
      <c r="D29772" s="26">
        <v>8.48E-2</v>
      </c>
      <c r="E29772" s="26">
        <v>4.8800000000000003E-2</v>
      </c>
      <c r="F29772" s="26">
        <v>4.3700000000000003E-2</v>
      </c>
      <c r="G29772" s="26">
        <v>3.4299999999999997E-2</v>
      </c>
      <c r="H29772" s="26">
        <v>2.8000000000000001E-2</v>
      </c>
      <c r="I29772" s="26">
        <v>2.6599999999999999E-2</v>
      </c>
      <c r="J29772" s="26">
        <v>1.6E-2</v>
      </c>
      <c r="K29772" s="26">
        <v>7.1999999999999998E-3</v>
      </c>
      <c r="L29772" s="26">
        <v>5.0000000000000001E-3</v>
      </c>
      <c r="M29772">
        <v>2813</v>
      </c>
    </row>
    <row r="29774" spans="1:13" x14ac:dyDescent="0.35">
      <c r="A29774" s="1" t="s">
        <v>2658</v>
      </c>
    </row>
    <row r="29775" spans="1:13" x14ac:dyDescent="0.35">
      <c r="A29775" t="s">
        <v>219</v>
      </c>
      <c r="B29775" t="s">
        <v>305</v>
      </c>
      <c r="C29775" t="s">
        <v>302</v>
      </c>
      <c r="D29775" t="s">
        <v>2642</v>
      </c>
      <c r="E29775" t="s">
        <v>281</v>
      </c>
      <c r="F29775" t="s">
        <v>2643</v>
      </c>
      <c r="G29775" t="s">
        <v>2644</v>
      </c>
      <c r="H29775" t="s">
        <v>2645</v>
      </c>
      <c r="I29775" t="s">
        <v>2646</v>
      </c>
      <c r="J29775" t="s">
        <v>2647</v>
      </c>
      <c r="K29775" t="s">
        <v>2648</v>
      </c>
      <c r="L29775" t="s">
        <v>286</v>
      </c>
      <c r="M29775" t="s">
        <v>226</v>
      </c>
    </row>
    <row r="29776" spans="1:13" x14ac:dyDescent="0.35">
      <c r="A29776" t="s">
        <v>227</v>
      </c>
      <c r="B29776" t="s">
        <v>371</v>
      </c>
      <c r="C29776" s="26">
        <v>0.85709999999999997</v>
      </c>
      <c r="D29776" s="26">
        <v>6.83E-2</v>
      </c>
      <c r="E29776" s="26">
        <v>4.3499999999999997E-2</v>
      </c>
      <c r="F29776" s="26">
        <v>6.1999999999999998E-3</v>
      </c>
      <c r="G29776" s="26">
        <v>3.73E-2</v>
      </c>
      <c r="H29776" s="26">
        <v>6.1999999999999998E-3</v>
      </c>
      <c r="I29776" s="26">
        <v>6.1999999999999998E-3</v>
      </c>
      <c r="J29776" s="26">
        <v>1.24E-2</v>
      </c>
      <c r="K29776" s="26">
        <v>6.1999999999999998E-3</v>
      </c>
      <c r="M29776">
        <v>161</v>
      </c>
    </row>
    <row r="29777" spans="1:13" x14ac:dyDescent="0.35">
      <c r="A29777" t="s">
        <v>228</v>
      </c>
      <c r="B29777" t="s">
        <v>371</v>
      </c>
      <c r="C29777" s="26">
        <v>0.79949999999999999</v>
      </c>
      <c r="D29777" s="26">
        <v>7.17E-2</v>
      </c>
      <c r="E29777" s="26">
        <v>5.1299999999999998E-2</v>
      </c>
      <c r="F29777" s="26">
        <v>4.3099999999999999E-2</v>
      </c>
      <c r="G29777" s="26">
        <v>3.78E-2</v>
      </c>
      <c r="H29777" s="26">
        <v>2.3800000000000002E-2</v>
      </c>
      <c r="I29777" s="26">
        <v>3.4599999999999999E-2</v>
      </c>
      <c r="J29777" s="26">
        <v>9.1999999999999998E-3</v>
      </c>
      <c r="K29777" s="26">
        <v>7.0000000000000001E-3</v>
      </c>
      <c r="L29777" s="26">
        <v>2.06E-2</v>
      </c>
      <c r="M29777">
        <v>292</v>
      </c>
    </row>
    <row r="29778" spans="1:13" x14ac:dyDescent="0.35">
      <c r="A29778" t="s">
        <v>228</v>
      </c>
      <c r="B29778" t="s">
        <v>372</v>
      </c>
      <c r="C29778" s="26">
        <v>0.52300000000000002</v>
      </c>
      <c r="D29778" s="26">
        <v>0.19320000000000001</v>
      </c>
      <c r="E29778" s="26">
        <v>0.1154</v>
      </c>
      <c r="F29778" s="26">
        <v>0.1416</v>
      </c>
      <c r="G29778" s="26">
        <v>4.3299999999999998E-2</v>
      </c>
      <c r="H29778" s="26">
        <v>0.14169999999999999</v>
      </c>
      <c r="I29778" s="26">
        <v>9.1700000000000004E-2</v>
      </c>
      <c r="J29778" s="26">
        <v>0.1012</v>
      </c>
      <c r="K29778" s="26">
        <v>5.79E-2</v>
      </c>
      <c r="L29778" s="26">
        <v>2.7E-2</v>
      </c>
      <c r="M29778">
        <v>218</v>
      </c>
    </row>
    <row r="29779" spans="1:13" x14ac:dyDescent="0.35">
      <c r="A29779" t="s">
        <v>228</v>
      </c>
      <c r="B29779" t="s">
        <v>373</v>
      </c>
      <c r="C29779" s="26">
        <v>0.6673</v>
      </c>
      <c r="D29779" s="26">
        <v>0.15859999999999999</v>
      </c>
      <c r="E29779" s="26">
        <v>3.6600000000000001E-2</v>
      </c>
      <c r="F29779" s="26">
        <v>0.16339999999999999</v>
      </c>
      <c r="G29779" s="26">
        <v>5.9200000000000003E-2</v>
      </c>
      <c r="H29779" s="26">
        <v>7.5800000000000006E-2</v>
      </c>
      <c r="I29779" s="26">
        <v>3.73E-2</v>
      </c>
      <c r="J29779" s="26">
        <v>2.7699999999999999E-2</v>
      </c>
      <c r="K29779" s="26">
        <v>1.78E-2</v>
      </c>
      <c r="L29779" s="26">
        <v>6.7999999999999996E-3</v>
      </c>
      <c r="M29779">
        <v>523</v>
      </c>
    </row>
    <row r="29780" spans="1:13" x14ac:dyDescent="0.35">
      <c r="A29780" t="s">
        <v>229</v>
      </c>
      <c r="B29780" t="s">
        <v>371</v>
      </c>
      <c r="C29780" s="26">
        <v>0.7843</v>
      </c>
      <c r="D29780" s="26">
        <v>0.11210000000000001</v>
      </c>
      <c r="E29780" s="26">
        <v>4.8800000000000003E-2</v>
      </c>
      <c r="F29780" s="26">
        <v>4.9399999999999999E-2</v>
      </c>
      <c r="G29780" s="26">
        <v>3.5900000000000001E-2</v>
      </c>
      <c r="H29780" s="26">
        <v>2.8899999999999999E-2</v>
      </c>
      <c r="I29780" s="26">
        <v>4.3700000000000003E-2</v>
      </c>
      <c r="J29780" s="26">
        <v>9.1000000000000004E-3</v>
      </c>
      <c r="K29780" s="26">
        <v>7.1999999999999998E-3</v>
      </c>
      <c r="L29780" s="26">
        <v>4.3E-3</v>
      </c>
      <c r="M29780">
        <v>584</v>
      </c>
    </row>
    <row r="29781" spans="1:13" x14ac:dyDescent="0.35">
      <c r="A29781" t="s">
        <v>229</v>
      </c>
      <c r="B29781" t="s">
        <v>372</v>
      </c>
      <c r="C29781" s="26">
        <v>0.60560000000000003</v>
      </c>
      <c r="D29781" s="26">
        <v>0.17699999999999999</v>
      </c>
      <c r="E29781" s="26">
        <v>4.9000000000000002E-2</v>
      </c>
      <c r="F29781" s="26">
        <v>0.1111</v>
      </c>
      <c r="G29781" s="26">
        <v>9.3100000000000002E-2</v>
      </c>
      <c r="H29781" s="26">
        <v>0.13550000000000001</v>
      </c>
      <c r="I29781" s="26">
        <v>7.8100000000000003E-2</v>
      </c>
      <c r="J29781" s="26">
        <v>9.8799999999999999E-2</v>
      </c>
      <c r="K29781" s="26">
        <v>1.32E-2</v>
      </c>
      <c r="L29781" s="26">
        <v>1.04E-2</v>
      </c>
      <c r="M29781">
        <v>221</v>
      </c>
    </row>
    <row r="29782" spans="1:13" x14ac:dyDescent="0.35">
      <c r="A29782" t="s">
        <v>229</v>
      </c>
      <c r="B29782" t="s">
        <v>373</v>
      </c>
      <c r="C29782" s="26">
        <v>0.68159999999999998</v>
      </c>
      <c r="D29782" s="26">
        <v>0.1542</v>
      </c>
      <c r="E29782" s="26">
        <v>2.8500000000000001E-2</v>
      </c>
      <c r="F29782" s="26">
        <v>0.1419</v>
      </c>
      <c r="G29782" s="26">
        <v>5.5599999999999997E-2</v>
      </c>
      <c r="H29782" s="26">
        <v>6.8000000000000005E-2</v>
      </c>
      <c r="I29782" s="26">
        <v>4.3299999999999998E-2</v>
      </c>
      <c r="J29782" s="26">
        <v>6.8000000000000005E-2</v>
      </c>
      <c r="K29782" s="26">
        <v>6.3E-3</v>
      </c>
      <c r="M29782">
        <v>90</v>
      </c>
    </row>
    <row r="29783" spans="1:13" x14ac:dyDescent="0.35">
      <c r="A29783" t="s">
        <v>230</v>
      </c>
      <c r="B29783" t="s">
        <v>371</v>
      </c>
      <c r="C29783" s="26">
        <v>0.83560000000000001</v>
      </c>
      <c r="D29783" s="26">
        <v>0.1003</v>
      </c>
      <c r="E29783" s="26">
        <v>1.44E-2</v>
      </c>
      <c r="F29783" s="26">
        <v>5.3999999999999999E-2</v>
      </c>
      <c r="G29783" s="26">
        <v>5.0700000000000002E-2</v>
      </c>
      <c r="H29783" s="26">
        <v>1.9900000000000001E-2</v>
      </c>
      <c r="I29783" s="26">
        <v>2.86E-2</v>
      </c>
      <c r="J29783" s="26">
        <v>9.9000000000000008E-3</v>
      </c>
      <c r="K29783" s="26">
        <v>7.7000000000000002E-3</v>
      </c>
      <c r="L29783" s="26">
        <v>4.4999999999999997E-3</v>
      </c>
      <c r="M29783">
        <v>262</v>
      </c>
    </row>
    <row r="29784" spans="1:13" x14ac:dyDescent="0.35">
      <c r="A29784" t="s">
        <v>230</v>
      </c>
      <c r="B29784" t="s">
        <v>372</v>
      </c>
      <c r="C29784" s="26">
        <v>0.5302</v>
      </c>
      <c r="D29784" s="26">
        <v>0.25209999999999999</v>
      </c>
      <c r="E29784" s="26">
        <v>4.4999999999999998E-2</v>
      </c>
      <c r="F29784" s="26">
        <v>0.14319999999999999</v>
      </c>
      <c r="G29784" s="26">
        <v>0.1042</v>
      </c>
      <c r="H29784" s="26">
        <v>0.17280000000000001</v>
      </c>
      <c r="I29784" s="26">
        <v>8.9899999999999994E-2</v>
      </c>
      <c r="J29784" s="26">
        <v>0.11119999999999999</v>
      </c>
      <c r="K29784" s="26">
        <v>4.7300000000000002E-2</v>
      </c>
      <c r="L29784" s="26">
        <v>1.54E-2</v>
      </c>
      <c r="M29784">
        <v>146</v>
      </c>
    </row>
    <row r="29785" spans="1:13" x14ac:dyDescent="0.35">
      <c r="A29785" t="s">
        <v>230</v>
      </c>
      <c r="B29785" t="s">
        <v>373</v>
      </c>
      <c r="C29785" s="26">
        <v>0.72009999999999996</v>
      </c>
      <c r="D29785" s="26">
        <v>9.9500000000000005E-2</v>
      </c>
      <c r="E29785" s="26">
        <v>4.3900000000000002E-2</v>
      </c>
      <c r="F29785" s="26">
        <v>0.10440000000000001</v>
      </c>
      <c r="G29785" s="26">
        <v>4.1700000000000001E-2</v>
      </c>
      <c r="H29785" s="26">
        <v>5.57E-2</v>
      </c>
      <c r="I29785" s="26">
        <v>4.1700000000000001E-2</v>
      </c>
      <c r="J29785" s="26">
        <v>0.03</v>
      </c>
      <c r="K29785" s="26">
        <v>1.61E-2</v>
      </c>
      <c r="L29785" s="26">
        <v>1.61E-2</v>
      </c>
      <c r="M29785">
        <v>152</v>
      </c>
    </row>
    <row r="29786" spans="1:13" x14ac:dyDescent="0.35">
      <c r="A29786" t="s">
        <v>231</v>
      </c>
      <c r="B29786" t="s">
        <v>371</v>
      </c>
      <c r="C29786" s="26">
        <v>0.878</v>
      </c>
      <c r="D29786" s="26">
        <v>3.0499999999999999E-2</v>
      </c>
      <c r="E29786" s="26">
        <v>6.0999999999999999E-2</v>
      </c>
      <c r="F29786" s="26">
        <v>6.1000000000000004E-3</v>
      </c>
      <c r="G29786" s="26">
        <v>1.2200000000000001E-2</v>
      </c>
      <c r="H29786" s="26">
        <v>1.2200000000000001E-2</v>
      </c>
      <c r="I29786" s="26">
        <v>6.1000000000000004E-3</v>
      </c>
      <c r="J29786" s="26">
        <v>1.2200000000000001E-2</v>
      </c>
      <c r="M29786">
        <v>164</v>
      </c>
    </row>
    <row r="29787" spans="1:13" x14ac:dyDescent="0.35">
      <c r="A29787" t="s">
        <v>232</v>
      </c>
      <c r="B29787" t="s">
        <v>232</v>
      </c>
      <c r="C29787" s="26">
        <v>0.80789999999999995</v>
      </c>
      <c r="D29787" s="26">
        <v>8.48E-2</v>
      </c>
      <c r="E29787" s="26">
        <v>4.8800000000000003E-2</v>
      </c>
      <c r="F29787" s="26">
        <v>4.3700000000000003E-2</v>
      </c>
      <c r="G29787" s="26">
        <v>3.4299999999999997E-2</v>
      </c>
      <c r="H29787" s="26">
        <v>2.8000000000000001E-2</v>
      </c>
      <c r="I29787" s="26">
        <v>2.6599999999999999E-2</v>
      </c>
      <c r="J29787" s="26">
        <v>1.6E-2</v>
      </c>
      <c r="K29787" s="26">
        <v>7.1999999999999998E-3</v>
      </c>
      <c r="L29787" s="26">
        <v>5.0000000000000001E-3</v>
      </c>
      <c r="M29787">
        <v>2813</v>
      </c>
    </row>
    <row r="29789" spans="1:13" x14ac:dyDescent="0.35">
      <c r="A29789" s="1" t="s">
        <v>2659</v>
      </c>
    </row>
    <row r="29790" spans="1:13" x14ac:dyDescent="0.35">
      <c r="A29790" t="s">
        <v>219</v>
      </c>
      <c r="B29790" t="s">
        <v>305</v>
      </c>
      <c r="C29790" t="s">
        <v>302</v>
      </c>
      <c r="D29790" t="s">
        <v>2642</v>
      </c>
      <c r="E29790" t="s">
        <v>281</v>
      </c>
      <c r="F29790" t="s">
        <v>2643</v>
      </c>
      <c r="G29790" t="s">
        <v>2644</v>
      </c>
      <c r="H29790" t="s">
        <v>2645</v>
      </c>
      <c r="I29790" t="s">
        <v>2646</v>
      </c>
      <c r="J29790" t="s">
        <v>2647</v>
      </c>
      <c r="K29790" t="s">
        <v>2648</v>
      </c>
      <c r="L29790" t="s">
        <v>286</v>
      </c>
      <c r="M29790" t="s">
        <v>226</v>
      </c>
    </row>
    <row r="29791" spans="1:13" x14ac:dyDescent="0.35">
      <c r="A29791" t="s">
        <v>227</v>
      </c>
      <c r="B29791" t="s">
        <v>255</v>
      </c>
      <c r="C29791" s="26">
        <v>0.84619999999999995</v>
      </c>
      <c r="D29791" s="26">
        <v>5.9799999999999999E-2</v>
      </c>
      <c r="E29791" s="26">
        <v>5.1299999999999998E-2</v>
      </c>
      <c r="F29791" s="26">
        <v>8.5000000000000006E-3</v>
      </c>
      <c r="G29791" s="26">
        <v>5.1299999999999998E-2</v>
      </c>
      <c r="H29791" s="26">
        <v>8.5000000000000006E-3</v>
      </c>
      <c r="J29791" s="26">
        <v>1.7100000000000001E-2</v>
      </c>
      <c r="K29791" s="26">
        <v>8.5000000000000006E-3</v>
      </c>
      <c r="M29791">
        <v>117</v>
      </c>
    </row>
    <row r="29792" spans="1:13" x14ac:dyDescent="0.35">
      <c r="A29792" s="27" t="s">
        <v>227</v>
      </c>
      <c r="B29792" s="27" t="s">
        <v>257</v>
      </c>
      <c r="C29792" s="28">
        <v>1</v>
      </c>
      <c r="D29792" s="29"/>
      <c r="E29792" s="29"/>
      <c r="F29792" s="29"/>
      <c r="G29792" s="29"/>
      <c r="H29792" s="29"/>
      <c r="I29792" s="29"/>
      <c r="J29792" s="29"/>
      <c r="K29792" s="29"/>
      <c r="L29792" s="29"/>
      <c r="M29792" s="29" t="s">
        <v>334</v>
      </c>
    </row>
    <row r="29793" spans="1:13" x14ac:dyDescent="0.35">
      <c r="A29793" t="s">
        <v>227</v>
      </c>
      <c r="B29793" t="s">
        <v>256</v>
      </c>
      <c r="C29793" s="26">
        <v>0.85709999999999997</v>
      </c>
      <c r="D29793" s="26">
        <v>0.1143</v>
      </c>
      <c r="E29793" s="26">
        <v>2.86E-2</v>
      </c>
      <c r="I29793" s="26">
        <v>2.86E-2</v>
      </c>
      <c r="M29793">
        <v>35</v>
      </c>
    </row>
    <row r="29794" spans="1:13" x14ac:dyDescent="0.35">
      <c r="A29794" t="s">
        <v>228</v>
      </c>
      <c r="B29794" t="s">
        <v>257</v>
      </c>
      <c r="C29794" s="26">
        <v>0.73299999999999998</v>
      </c>
      <c r="D29794" s="26">
        <v>8.2799999999999999E-2</v>
      </c>
      <c r="E29794" s="26">
        <v>9.2999999999999992E-3</v>
      </c>
      <c r="F29794" s="26">
        <v>5.8299999999999998E-2</v>
      </c>
      <c r="G29794" s="26">
        <v>4.8800000000000003E-2</v>
      </c>
      <c r="H29794" s="26">
        <v>0.1022</v>
      </c>
      <c r="I29794" s="26">
        <v>0.14599999999999999</v>
      </c>
      <c r="J29794" s="26">
        <v>1.84E-2</v>
      </c>
      <c r="K29794" s="26">
        <v>1.0500000000000001E-2</v>
      </c>
      <c r="L29794" s="26">
        <v>1.0500000000000001E-2</v>
      </c>
      <c r="M29794">
        <v>49</v>
      </c>
    </row>
    <row r="29795" spans="1:13" x14ac:dyDescent="0.35">
      <c r="A29795" s="27" t="s">
        <v>228</v>
      </c>
      <c r="B29795" s="27" t="s">
        <v>258</v>
      </c>
      <c r="C29795" s="28">
        <v>0.69269999999999998</v>
      </c>
      <c r="D29795" s="29"/>
      <c r="E29795" s="29"/>
      <c r="F29795" s="28">
        <v>0.2092</v>
      </c>
      <c r="G29795" s="29"/>
      <c r="H29795" s="29"/>
      <c r="I29795" s="29"/>
      <c r="J29795" s="29"/>
      <c r="K29795" s="29"/>
      <c r="L29795" s="28">
        <v>9.8100000000000007E-2</v>
      </c>
      <c r="M29795" s="29" t="s">
        <v>337</v>
      </c>
    </row>
    <row r="29796" spans="1:13" x14ac:dyDescent="0.35">
      <c r="A29796" t="s">
        <v>228</v>
      </c>
      <c r="B29796" t="s">
        <v>256</v>
      </c>
      <c r="C29796" s="26">
        <v>0.6915</v>
      </c>
      <c r="D29796" s="26">
        <v>0.15709999999999999</v>
      </c>
      <c r="E29796" s="26">
        <v>5.8000000000000003E-2</v>
      </c>
      <c r="F29796" s="26">
        <v>0.1021</v>
      </c>
      <c r="G29796" s="26">
        <v>4.5999999999999999E-2</v>
      </c>
      <c r="H29796" s="26">
        <v>6.6299999999999998E-2</v>
      </c>
      <c r="I29796" s="26">
        <v>4.1099999999999998E-2</v>
      </c>
      <c r="J29796" s="26">
        <v>2.1899999999999999E-2</v>
      </c>
      <c r="K29796" s="26">
        <v>4.8999999999999998E-3</v>
      </c>
      <c r="L29796" s="26">
        <v>1.38E-2</v>
      </c>
      <c r="M29796">
        <v>221</v>
      </c>
    </row>
    <row r="29797" spans="1:13" x14ac:dyDescent="0.35">
      <c r="A29797" t="s">
        <v>228</v>
      </c>
      <c r="B29797" t="s">
        <v>255</v>
      </c>
      <c r="C29797" s="26">
        <v>0.7349</v>
      </c>
      <c r="D29797" s="26">
        <v>0.1055</v>
      </c>
      <c r="E29797" s="26">
        <v>5.1999999999999998E-2</v>
      </c>
      <c r="F29797" s="26">
        <v>9.9699999999999997E-2</v>
      </c>
      <c r="G29797" s="26">
        <v>4.7100000000000003E-2</v>
      </c>
      <c r="H29797" s="26">
        <v>4.6899999999999997E-2</v>
      </c>
      <c r="I29797" s="26">
        <v>3.2800000000000003E-2</v>
      </c>
      <c r="J29797" s="26">
        <v>2.58E-2</v>
      </c>
      <c r="K29797" s="26">
        <v>1.9800000000000002E-2</v>
      </c>
      <c r="L29797" s="26">
        <v>1.61E-2</v>
      </c>
      <c r="M29797">
        <v>759</v>
      </c>
    </row>
    <row r="29798" spans="1:13" x14ac:dyDescent="0.35">
      <c r="A29798" t="s">
        <v>229</v>
      </c>
      <c r="B29798" t="s">
        <v>256</v>
      </c>
      <c r="C29798" s="26">
        <v>0.75609999999999999</v>
      </c>
      <c r="D29798" s="26">
        <v>0.1231</v>
      </c>
      <c r="E29798" s="26">
        <v>2.52E-2</v>
      </c>
      <c r="F29798" s="26">
        <v>5.2900000000000003E-2</v>
      </c>
      <c r="G29798" s="26">
        <v>7.4700000000000003E-2</v>
      </c>
      <c r="H29798" s="26">
        <v>4.6800000000000001E-2</v>
      </c>
      <c r="I29798" s="26">
        <v>6.0699999999999997E-2</v>
      </c>
      <c r="J29798" s="26">
        <v>1.2500000000000001E-2</v>
      </c>
      <c r="K29798" s="26">
        <v>1.1999999999999999E-3</v>
      </c>
      <c r="L29798" s="26">
        <v>9.4999999999999998E-3</v>
      </c>
      <c r="M29798">
        <v>207</v>
      </c>
    </row>
    <row r="29799" spans="1:13" x14ac:dyDescent="0.35">
      <c r="A29799" t="s">
        <v>229</v>
      </c>
      <c r="B29799" t="s">
        <v>255</v>
      </c>
      <c r="C29799" s="26">
        <v>0.78759999999999997</v>
      </c>
      <c r="D29799" s="26">
        <v>0.10580000000000001</v>
      </c>
      <c r="E29799" s="26">
        <v>6.0600000000000001E-2</v>
      </c>
      <c r="F29799" s="26">
        <v>5.1400000000000001E-2</v>
      </c>
      <c r="G29799" s="26">
        <v>2.7699999999999999E-2</v>
      </c>
      <c r="H29799" s="26">
        <v>3.2800000000000003E-2</v>
      </c>
      <c r="I29799" s="26">
        <v>3.4299999999999997E-2</v>
      </c>
      <c r="J29799" s="26">
        <v>1.7299999999999999E-2</v>
      </c>
      <c r="K29799" s="26">
        <v>7.0000000000000001E-3</v>
      </c>
      <c r="L29799" s="26">
        <v>2.8999999999999998E-3</v>
      </c>
      <c r="M29799">
        <v>636</v>
      </c>
    </row>
    <row r="29800" spans="1:13" x14ac:dyDescent="0.35">
      <c r="A29800" t="s">
        <v>229</v>
      </c>
      <c r="B29800" t="s">
        <v>257</v>
      </c>
      <c r="C29800" s="26">
        <v>0.66979999999999995</v>
      </c>
      <c r="D29800" s="26">
        <v>0.2162</v>
      </c>
      <c r="E29800" s="26">
        <v>1.23E-2</v>
      </c>
      <c r="F29800" s="26">
        <v>0.10970000000000001</v>
      </c>
      <c r="G29800" s="26">
        <v>4.8999999999999998E-3</v>
      </c>
      <c r="H29800" s="26">
        <v>8.0000000000000002E-3</v>
      </c>
      <c r="I29800" s="26">
        <v>0.1066</v>
      </c>
      <c r="J29800" s="26">
        <v>3.0999999999999999E-3</v>
      </c>
      <c r="K29800" s="26">
        <v>4.6300000000000001E-2</v>
      </c>
      <c r="M29800">
        <v>50</v>
      </c>
    </row>
    <row r="29801" spans="1:13" x14ac:dyDescent="0.35">
      <c r="A29801" s="27" t="s">
        <v>229</v>
      </c>
      <c r="B29801" s="27" t="s">
        <v>258</v>
      </c>
      <c r="C29801" s="28">
        <v>1</v>
      </c>
      <c r="D29801" s="29"/>
      <c r="E29801" s="29"/>
      <c r="F29801" s="29"/>
      <c r="G29801" s="29"/>
      <c r="H29801" s="29"/>
      <c r="I29801" s="29"/>
      <c r="J29801" s="29"/>
      <c r="K29801" s="29"/>
      <c r="L29801" s="29"/>
      <c r="M29801" s="29" t="s">
        <v>314</v>
      </c>
    </row>
    <row r="29802" spans="1:13" x14ac:dyDescent="0.35">
      <c r="A29802" t="s">
        <v>230</v>
      </c>
      <c r="B29802" t="s">
        <v>256</v>
      </c>
      <c r="C29802" s="26">
        <v>0.82730000000000004</v>
      </c>
      <c r="D29802" s="26">
        <v>0.1095</v>
      </c>
      <c r="E29802" s="26">
        <v>1.04E-2</v>
      </c>
      <c r="F29802" s="26">
        <v>3.4200000000000001E-2</v>
      </c>
      <c r="G29802" s="26">
        <v>3.4200000000000001E-2</v>
      </c>
      <c r="H29802" s="26">
        <v>1.4500000000000001E-2</v>
      </c>
      <c r="I29802" s="26">
        <v>3.0800000000000001E-2</v>
      </c>
      <c r="J29802" s="26">
        <v>1.7000000000000001E-2</v>
      </c>
      <c r="K29802" s="26">
        <v>2.0999999999999999E-3</v>
      </c>
      <c r="M29802">
        <v>130</v>
      </c>
    </row>
    <row r="29803" spans="1:13" x14ac:dyDescent="0.35">
      <c r="A29803" t="s">
        <v>230</v>
      </c>
      <c r="B29803" t="s">
        <v>255</v>
      </c>
      <c r="C29803" s="26">
        <v>0.79559999999999997</v>
      </c>
      <c r="D29803" s="26">
        <v>0.1076</v>
      </c>
      <c r="E29803" s="26">
        <v>2.3199999999999998E-2</v>
      </c>
      <c r="F29803" s="26">
        <v>7.2099999999999997E-2</v>
      </c>
      <c r="G29803" s="26">
        <v>5.6500000000000002E-2</v>
      </c>
      <c r="H29803" s="26">
        <v>4.0099999999999997E-2</v>
      </c>
      <c r="I29803" s="26">
        <v>3.8600000000000002E-2</v>
      </c>
      <c r="J29803" s="26">
        <v>2.1000000000000001E-2</v>
      </c>
      <c r="K29803" s="26">
        <v>1.5900000000000001E-2</v>
      </c>
      <c r="L29803" s="26">
        <v>8.5000000000000006E-3</v>
      </c>
      <c r="M29803">
        <v>389</v>
      </c>
    </row>
    <row r="29804" spans="1:13" x14ac:dyDescent="0.35">
      <c r="A29804" t="s">
        <v>230</v>
      </c>
      <c r="B29804" t="s">
        <v>257</v>
      </c>
      <c r="C29804" s="26">
        <v>0.76839999999999997</v>
      </c>
      <c r="D29804" s="26">
        <v>0.13009999999999999</v>
      </c>
      <c r="E29804" s="26">
        <v>2.5399999999999999E-2</v>
      </c>
      <c r="F29804" s="26">
        <v>0.12559999999999999</v>
      </c>
      <c r="G29804" s="26">
        <v>8.8700000000000001E-2</v>
      </c>
      <c r="H29804" s="26">
        <v>4.1099999999999998E-2</v>
      </c>
      <c r="I29804" s="26">
        <v>3.8999999999999998E-3</v>
      </c>
      <c r="L29804" s="26">
        <v>1.2800000000000001E-2</v>
      </c>
      <c r="M29804">
        <v>38</v>
      </c>
    </row>
    <row r="29805" spans="1:13" x14ac:dyDescent="0.35">
      <c r="A29805" s="27" t="s">
        <v>230</v>
      </c>
      <c r="B29805" s="27" t="s">
        <v>258</v>
      </c>
      <c r="C29805" s="28">
        <v>1</v>
      </c>
      <c r="D29805" s="29"/>
      <c r="E29805" s="29"/>
      <c r="F29805" s="29"/>
      <c r="G29805" s="29"/>
      <c r="H29805" s="29"/>
      <c r="I29805" s="29"/>
      <c r="J29805" s="29"/>
      <c r="K29805" s="29"/>
      <c r="L29805" s="29"/>
      <c r="M29805" s="29" t="s">
        <v>315</v>
      </c>
    </row>
    <row r="29806" spans="1:13" x14ac:dyDescent="0.35">
      <c r="A29806" s="27" t="s">
        <v>231</v>
      </c>
      <c r="B29806" s="27" t="s">
        <v>257</v>
      </c>
      <c r="C29806" s="28">
        <v>1</v>
      </c>
      <c r="D29806" s="29"/>
      <c r="E29806" s="29"/>
      <c r="F29806" s="29"/>
      <c r="G29806" s="29"/>
      <c r="H29806" s="29"/>
      <c r="I29806" s="29"/>
      <c r="J29806" s="29"/>
      <c r="K29806" s="29"/>
      <c r="L29806" s="29"/>
      <c r="M29806" s="29" t="s">
        <v>339</v>
      </c>
    </row>
    <row r="29807" spans="1:13" x14ac:dyDescent="0.35">
      <c r="A29807" t="s">
        <v>231</v>
      </c>
      <c r="B29807" t="s">
        <v>255</v>
      </c>
      <c r="C29807" s="26">
        <v>0.876</v>
      </c>
      <c r="D29807" s="26">
        <v>3.1E-2</v>
      </c>
      <c r="E29807" s="26">
        <v>6.9800000000000001E-2</v>
      </c>
      <c r="F29807" s="26">
        <v>7.7999999999999996E-3</v>
      </c>
      <c r="G29807" s="26">
        <v>1.55E-2</v>
      </c>
      <c r="H29807" s="26">
        <v>7.7999999999999996E-3</v>
      </c>
      <c r="J29807" s="26">
        <v>7.7999999999999996E-3</v>
      </c>
      <c r="M29807">
        <v>129</v>
      </c>
    </row>
    <row r="29808" spans="1:13" x14ac:dyDescent="0.35">
      <c r="A29808" s="27" t="s">
        <v>231</v>
      </c>
      <c r="B29808" s="27" t="s">
        <v>256</v>
      </c>
      <c r="C29808" s="28">
        <v>0.85709999999999997</v>
      </c>
      <c r="D29808" s="28">
        <v>3.5700000000000003E-2</v>
      </c>
      <c r="E29808" s="28">
        <v>3.5700000000000003E-2</v>
      </c>
      <c r="F29808" s="29"/>
      <c r="G29808" s="29"/>
      <c r="H29808" s="28">
        <v>3.5700000000000003E-2</v>
      </c>
      <c r="I29808" s="28">
        <v>3.5700000000000003E-2</v>
      </c>
      <c r="J29808" s="28">
        <v>3.5700000000000003E-2</v>
      </c>
      <c r="K29808" s="29"/>
      <c r="L29808" s="29"/>
      <c r="M29808" s="29" t="s">
        <v>336</v>
      </c>
    </row>
    <row r="29809" spans="1:13" x14ac:dyDescent="0.35">
      <c r="A29809" t="s">
        <v>232</v>
      </c>
      <c r="B29809" t="s">
        <v>232</v>
      </c>
      <c r="C29809" s="26">
        <v>0.80789999999999995</v>
      </c>
      <c r="D29809" s="26">
        <v>8.48E-2</v>
      </c>
      <c r="E29809" s="26">
        <v>4.8800000000000003E-2</v>
      </c>
      <c r="F29809" s="26">
        <v>4.3700000000000003E-2</v>
      </c>
      <c r="G29809" s="26">
        <v>3.4299999999999997E-2</v>
      </c>
      <c r="H29809" s="26">
        <v>2.8000000000000001E-2</v>
      </c>
      <c r="I29809" s="26">
        <v>2.6599999999999999E-2</v>
      </c>
      <c r="J29809" s="26">
        <v>1.6E-2</v>
      </c>
      <c r="K29809" s="26">
        <v>7.1999999999999998E-3</v>
      </c>
      <c r="L29809" s="26">
        <v>5.0000000000000001E-3</v>
      </c>
      <c r="M29809">
        <v>2813</v>
      </c>
    </row>
    <row r="29811" spans="1:13" x14ac:dyDescent="0.35">
      <c r="A29811" s="1" t="s">
        <v>2660</v>
      </c>
    </row>
    <row r="29812" spans="1:13" x14ac:dyDescent="0.35">
      <c r="A29812" t="s">
        <v>219</v>
      </c>
      <c r="B29812" t="s">
        <v>305</v>
      </c>
      <c r="C29812" t="s">
        <v>302</v>
      </c>
      <c r="D29812" t="s">
        <v>2642</v>
      </c>
      <c r="E29812" t="s">
        <v>281</v>
      </c>
      <c r="F29812" t="s">
        <v>2643</v>
      </c>
      <c r="G29812" t="s">
        <v>2644</v>
      </c>
      <c r="H29812" t="s">
        <v>2645</v>
      </c>
      <c r="I29812" t="s">
        <v>2646</v>
      </c>
      <c r="J29812" t="s">
        <v>2647</v>
      </c>
      <c r="K29812" t="s">
        <v>2648</v>
      </c>
      <c r="L29812" t="s">
        <v>286</v>
      </c>
      <c r="M29812" t="s">
        <v>226</v>
      </c>
    </row>
    <row r="29813" spans="1:13" x14ac:dyDescent="0.35">
      <c r="A29813" t="s">
        <v>227</v>
      </c>
      <c r="B29813" t="s">
        <v>1341</v>
      </c>
      <c r="C29813" s="26">
        <v>0.87760000000000005</v>
      </c>
      <c r="D29813" s="26">
        <v>6.1199999999999997E-2</v>
      </c>
      <c r="E29813" s="26">
        <v>4.0800000000000003E-2</v>
      </c>
      <c r="G29813" s="26">
        <v>2.0400000000000001E-2</v>
      </c>
      <c r="M29813">
        <v>49</v>
      </c>
    </row>
    <row r="29814" spans="1:13" x14ac:dyDescent="0.35">
      <c r="A29814" s="27" t="s">
        <v>227</v>
      </c>
      <c r="B29814" s="27" t="s">
        <v>1342</v>
      </c>
      <c r="C29814" s="28">
        <v>1</v>
      </c>
      <c r="D29814" s="29"/>
      <c r="E29814" s="29"/>
      <c r="F29814" s="29"/>
      <c r="G29814" s="29"/>
      <c r="H29814" s="29"/>
      <c r="I29814" s="29"/>
      <c r="J29814" s="29"/>
      <c r="K29814" s="29"/>
      <c r="L29814" s="29"/>
      <c r="M29814" s="29" t="s">
        <v>331</v>
      </c>
    </row>
    <row r="29815" spans="1:13" x14ac:dyDescent="0.35">
      <c r="A29815" t="s">
        <v>227</v>
      </c>
      <c r="B29815" t="s">
        <v>1343</v>
      </c>
      <c r="C29815" s="26">
        <v>0.8468</v>
      </c>
      <c r="D29815" s="26">
        <v>7.2099999999999997E-2</v>
      </c>
      <c r="E29815" s="26">
        <v>4.4999999999999998E-2</v>
      </c>
      <c r="F29815" s="26">
        <v>8.9999999999999993E-3</v>
      </c>
      <c r="G29815" s="26">
        <v>4.4999999999999998E-2</v>
      </c>
      <c r="H29815" s="26">
        <v>8.9999999999999993E-3</v>
      </c>
      <c r="I29815" s="26">
        <v>8.9999999999999993E-3</v>
      </c>
      <c r="J29815" s="26">
        <v>1.7999999999999999E-2</v>
      </c>
      <c r="K29815" s="26">
        <v>8.9999999999999993E-3</v>
      </c>
      <c r="M29815">
        <v>111</v>
      </c>
    </row>
    <row r="29816" spans="1:13" x14ac:dyDescent="0.35">
      <c r="A29816" t="s">
        <v>228</v>
      </c>
      <c r="B29816" t="s">
        <v>1341</v>
      </c>
      <c r="C29816" s="26">
        <v>0.71430000000000005</v>
      </c>
      <c r="D29816" s="26">
        <v>0.1244</v>
      </c>
      <c r="E29816" s="26">
        <v>5.0299999999999997E-2</v>
      </c>
      <c r="F29816" s="26">
        <v>0.11700000000000001</v>
      </c>
      <c r="G29816" s="26">
        <v>4.7199999999999999E-2</v>
      </c>
      <c r="H29816" s="26">
        <v>5.9200000000000003E-2</v>
      </c>
      <c r="I29816" s="26">
        <v>2.8199999999999999E-2</v>
      </c>
      <c r="J29816" s="26">
        <v>1.43E-2</v>
      </c>
      <c r="K29816" s="26">
        <v>6.0000000000000001E-3</v>
      </c>
      <c r="L29816" s="26">
        <v>3.04E-2</v>
      </c>
      <c r="M29816">
        <v>305</v>
      </c>
    </row>
    <row r="29817" spans="1:13" x14ac:dyDescent="0.35">
      <c r="A29817" s="27" t="s">
        <v>228</v>
      </c>
      <c r="B29817" s="27" t="s">
        <v>1342</v>
      </c>
      <c r="C29817" s="28">
        <v>1</v>
      </c>
      <c r="D29817" s="29"/>
      <c r="E29817" s="29"/>
      <c r="F29817" s="29"/>
      <c r="G29817" s="29"/>
      <c r="H29817" s="29"/>
      <c r="I29817" s="29"/>
      <c r="J29817" s="29"/>
      <c r="K29817" s="29"/>
      <c r="L29817" s="29"/>
      <c r="M29817" s="29" t="s">
        <v>331</v>
      </c>
    </row>
    <row r="29818" spans="1:13" x14ac:dyDescent="0.35">
      <c r="A29818" t="s">
        <v>228</v>
      </c>
      <c r="B29818" t="s">
        <v>1343</v>
      </c>
      <c r="C29818" s="26">
        <v>0.7268</v>
      </c>
      <c r="D29818" s="26">
        <v>0.1133</v>
      </c>
      <c r="E29818" s="26">
        <v>5.1499999999999997E-2</v>
      </c>
      <c r="F29818" s="26">
        <v>9.1600000000000001E-2</v>
      </c>
      <c r="G29818" s="26">
        <v>4.6600000000000003E-2</v>
      </c>
      <c r="H29818" s="26">
        <v>5.2400000000000002E-2</v>
      </c>
      <c r="I29818" s="26">
        <v>4.5900000000000003E-2</v>
      </c>
      <c r="J29818" s="26">
        <v>2.8500000000000001E-2</v>
      </c>
      <c r="K29818" s="26">
        <v>1.9699999999999999E-2</v>
      </c>
      <c r="L29818" s="26">
        <v>9.7000000000000003E-3</v>
      </c>
      <c r="M29818">
        <v>727</v>
      </c>
    </row>
    <row r="29819" spans="1:13" x14ac:dyDescent="0.35">
      <c r="A29819" t="s">
        <v>229</v>
      </c>
      <c r="B29819" t="s">
        <v>1341</v>
      </c>
      <c r="C29819" s="26">
        <v>0.74960000000000004</v>
      </c>
      <c r="D29819" s="26">
        <v>0.1424</v>
      </c>
      <c r="E29819" s="26">
        <v>6.1400000000000003E-2</v>
      </c>
      <c r="F29819" s="26">
        <v>5.11E-2</v>
      </c>
      <c r="G29819" s="26">
        <v>4.8800000000000003E-2</v>
      </c>
      <c r="H29819" s="26">
        <v>5.2600000000000001E-2</v>
      </c>
      <c r="I29819" s="26">
        <v>3.7100000000000001E-2</v>
      </c>
      <c r="J29819" s="26">
        <v>1.04E-2</v>
      </c>
      <c r="K29819" s="26">
        <v>3.5999999999999999E-3</v>
      </c>
      <c r="L29819" s="26">
        <v>2E-3</v>
      </c>
      <c r="M29819">
        <v>273</v>
      </c>
    </row>
    <row r="29820" spans="1:13" x14ac:dyDescent="0.35">
      <c r="A29820" t="s">
        <v>229</v>
      </c>
      <c r="B29820" t="s">
        <v>1343</v>
      </c>
      <c r="C29820" s="26">
        <v>0.78390000000000004</v>
      </c>
      <c r="D29820" s="26">
        <v>0.10390000000000001</v>
      </c>
      <c r="E29820" s="26">
        <v>4.19E-2</v>
      </c>
      <c r="F29820" s="26">
        <v>5.6800000000000003E-2</v>
      </c>
      <c r="G29820" s="26">
        <v>3.4700000000000002E-2</v>
      </c>
      <c r="H29820" s="26">
        <v>2.6800000000000001E-2</v>
      </c>
      <c r="I29820" s="26">
        <v>4.9500000000000002E-2</v>
      </c>
      <c r="J29820" s="26">
        <v>1.7500000000000002E-2</v>
      </c>
      <c r="K29820" s="26">
        <v>9.4000000000000004E-3</v>
      </c>
      <c r="L29820" s="26">
        <v>5.7000000000000002E-3</v>
      </c>
      <c r="M29820">
        <v>622</v>
      </c>
    </row>
    <row r="29821" spans="1:13" x14ac:dyDescent="0.35">
      <c r="A29821" t="s">
        <v>230</v>
      </c>
      <c r="B29821" t="s">
        <v>1341</v>
      </c>
      <c r="C29821" s="26">
        <v>0.87190000000000001</v>
      </c>
      <c r="D29821" s="26">
        <v>6.0100000000000001E-2</v>
      </c>
      <c r="E29821" s="26">
        <v>6.7999999999999996E-3</v>
      </c>
      <c r="F29821" s="26">
        <v>2.63E-2</v>
      </c>
      <c r="G29821" s="26">
        <v>4.4900000000000002E-2</v>
      </c>
      <c r="H29821" s="26">
        <v>3.5999999999999997E-2</v>
      </c>
      <c r="I29821" s="26">
        <v>3.15E-2</v>
      </c>
      <c r="J29821" s="26">
        <v>1.09E-2</v>
      </c>
      <c r="K29821" s="26">
        <v>5.3E-3</v>
      </c>
      <c r="L29821" s="26">
        <v>8.9999999999999998E-4</v>
      </c>
      <c r="M29821">
        <v>156</v>
      </c>
    </row>
    <row r="29822" spans="1:13" x14ac:dyDescent="0.35">
      <c r="A29822" t="s">
        <v>230</v>
      </c>
      <c r="B29822" t="s">
        <v>1343</v>
      </c>
      <c r="C29822" s="26">
        <v>0.77270000000000005</v>
      </c>
      <c r="D29822" s="26">
        <v>0.13070000000000001</v>
      </c>
      <c r="E29822" s="26">
        <v>2.5700000000000001E-2</v>
      </c>
      <c r="F29822" s="26">
        <v>8.3000000000000004E-2</v>
      </c>
      <c r="G29822" s="26">
        <v>5.6000000000000001E-2</v>
      </c>
      <c r="H29822" s="26">
        <v>3.2099999999999997E-2</v>
      </c>
      <c r="I29822" s="26">
        <v>3.49E-2</v>
      </c>
      <c r="J29822" s="26">
        <v>2.1700000000000001E-2</v>
      </c>
      <c r="K29822" s="26">
        <v>1.3599999999999999E-2</v>
      </c>
      <c r="L29822" s="26">
        <v>9.1000000000000004E-3</v>
      </c>
      <c r="M29822">
        <v>404</v>
      </c>
    </row>
    <row r="29823" spans="1:13" x14ac:dyDescent="0.35">
      <c r="A29823" t="s">
        <v>231</v>
      </c>
      <c r="B29823" t="s">
        <v>1341</v>
      </c>
      <c r="C29823" s="26">
        <v>0.87690000000000001</v>
      </c>
      <c r="D29823" s="26">
        <v>4.6199999999999998E-2</v>
      </c>
      <c r="E29823" s="26">
        <v>6.1499999999999999E-2</v>
      </c>
      <c r="G29823" s="26">
        <v>1.54E-2</v>
      </c>
      <c r="H29823" s="26">
        <v>1.54E-2</v>
      </c>
      <c r="J29823" s="26">
        <v>1.54E-2</v>
      </c>
      <c r="M29823">
        <v>65</v>
      </c>
    </row>
    <row r="29824" spans="1:13" x14ac:dyDescent="0.35">
      <c r="A29824" t="s">
        <v>231</v>
      </c>
      <c r="B29824" t="s">
        <v>1343</v>
      </c>
      <c r="C29824" s="26">
        <v>0.87880000000000003</v>
      </c>
      <c r="D29824" s="26">
        <v>2.0199999999999999E-2</v>
      </c>
      <c r="E29824" s="26">
        <v>6.0600000000000001E-2</v>
      </c>
      <c r="F29824" s="26">
        <v>1.01E-2</v>
      </c>
      <c r="G29824" s="26">
        <v>1.01E-2</v>
      </c>
      <c r="H29824" s="26">
        <v>1.01E-2</v>
      </c>
      <c r="I29824" s="26">
        <v>1.01E-2</v>
      </c>
      <c r="J29824" s="26">
        <v>1.01E-2</v>
      </c>
      <c r="M29824">
        <v>99</v>
      </c>
    </row>
    <row r="29825" spans="1:13" x14ac:dyDescent="0.35">
      <c r="A29825" t="s">
        <v>232</v>
      </c>
      <c r="B29825" t="s">
        <v>232</v>
      </c>
      <c r="C29825" s="26">
        <v>0.80789999999999995</v>
      </c>
      <c r="D29825" s="26">
        <v>8.48E-2</v>
      </c>
      <c r="E29825" s="26">
        <v>4.8800000000000003E-2</v>
      </c>
      <c r="F29825" s="26">
        <v>4.3700000000000003E-2</v>
      </c>
      <c r="G29825" s="26">
        <v>3.4299999999999997E-2</v>
      </c>
      <c r="H29825" s="26">
        <v>2.8000000000000001E-2</v>
      </c>
      <c r="I29825" s="26">
        <v>2.6599999999999999E-2</v>
      </c>
      <c r="J29825" s="26">
        <v>1.6E-2</v>
      </c>
      <c r="K29825" s="26">
        <v>7.1999999999999998E-3</v>
      </c>
      <c r="L29825" s="26">
        <v>5.0000000000000001E-3</v>
      </c>
      <c r="M29825">
        <v>2813</v>
      </c>
    </row>
    <row r="29827" spans="1:13" x14ac:dyDescent="0.35">
      <c r="A29827" s="1" t="s">
        <v>2661</v>
      </c>
    </row>
    <row r="29828" spans="1:13" x14ac:dyDescent="0.35">
      <c r="A29828" t="s">
        <v>219</v>
      </c>
      <c r="B29828" t="s">
        <v>305</v>
      </c>
      <c r="C29828" t="s">
        <v>302</v>
      </c>
      <c r="D29828" t="s">
        <v>2642</v>
      </c>
      <c r="E29828" t="s">
        <v>281</v>
      </c>
      <c r="F29828" t="s">
        <v>2643</v>
      </c>
      <c r="G29828" t="s">
        <v>2644</v>
      </c>
      <c r="H29828" t="s">
        <v>2645</v>
      </c>
      <c r="I29828" t="s">
        <v>2646</v>
      </c>
      <c r="J29828" t="s">
        <v>2647</v>
      </c>
      <c r="K29828" t="s">
        <v>2648</v>
      </c>
      <c r="L29828" t="s">
        <v>286</v>
      </c>
      <c r="M29828" t="s">
        <v>226</v>
      </c>
    </row>
    <row r="29829" spans="1:13" x14ac:dyDescent="0.35">
      <c r="A29829" s="27" t="s">
        <v>227</v>
      </c>
      <c r="B29829" s="27" t="s">
        <v>1345</v>
      </c>
      <c r="C29829" s="28">
        <v>1</v>
      </c>
      <c r="D29829" s="29"/>
      <c r="E29829" s="29"/>
      <c r="F29829" s="29"/>
      <c r="G29829" s="29"/>
      <c r="H29829" s="29"/>
      <c r="I29829" s="29"/>
      <c r="J29829" s="29"/>
      <c r="K29829" s="29"/>
      <c r="L29829" s="29"/>
      <c r="M29829" s="29" t="s">
        <v>314</v>
      </c>
    </row>
    <row r="29830" spans="1:13" x14ac:dyDescent="0.35">
      <c r="A29830" t="s">
        <v>227</v>
      </c>
      <c r="B29830" t="s">
        <v>1346</v>
      </c>
      <c r="C29830" s="26">
        <v>0.89739999999999998</v>
      </c>
      <c r="E29830" s="26">
        <v>7.6899999999999996E-2</v>
      </c>
      <c r="G29830" s="26">
        <v>2.5600000000000001E-2</v>
      </c>
      <c r="J29830" s="26">
        <v>2.5600000000000001E-2</v>
      </c>
      <c r="M29830">
        <v>39</v>
      </c>
    </row>
    <row r="29831" spans="1:13" x14ac:dyDescent="0.35">
      <c r="A29831" t="s">
        <v>227</v>
      </c>
      <c r="B29831" t="s">
        <v>1347</v>
      </c>
      <c r="C29831" s="26">
        <v>0.86109999999999998</v>
      </c>
      <c r="D29831" s="26">
        <v>8.3299999999999999E-2</v>
      </c>
      <c r="F29831" s="26">
        <v>2.7799999999999998E-2</v>
      </c>
      <c r="G29831" s="26">
        <v>5.5599999999999997E-2</v>
      </c>
      <c r="M29831">
        <v>36</v>
      </c>
    </row>
    <row r="29832" spans="1:13" x14ac:dyDescent="0.35">
      <c r="A29832" t="s">
        <v>227</v>
      </c>
      <c r="B29832" t="s">
        <v>1348</v>
      </c>
      <c r="C29832" s="26">
        <v>0.83330000000000004</v>
      </c>
      <c r="D29832" s="26">
        <v>9.5200000000000007E-2</v>
      </c>
      <c r="E29832" s="26">
        <v>4.7600000000000003E-2</v>
      </c>
      <c r="G29832" s="26">
        <v>3.5700000000000003E-2</v>
      </c>
      <c r="H29832" s="26">
        <v>1.1900000000000001E-2</v>
      </c>
      <c r="I29832" s="26">
        <v>1.1900000000000001E-2</v>
      </c>
      <c r="J29832" s="26">
        <v>1.1900000000000001E-2</v>
      </c>
      <c r="K29832" s="26">
        <v>1.1900000000000001E-2</v>
      </c>
      <c r="M29832">
        <v>84</v>
      </c>
    </row>
    <row r="29833" spans="1:13" x14ac:dyDescent="0.35">
      <c r="A29833" t="s">
        <v>228</v>
      </c>
      <c r="B29833" t="s">
        <v>1348</v>
      </c>
      <c r="C29833" s="26">
        <v>0.71630000000000005</v>
      </c>
      <c r="D29833" s="26">
        <v>0.1211</v>
      </c>
      <c r="E29833" s="26">
        <v>4.48E-2</v>
      </c>
      <c r="F29833" s="26">
        <v>8.8999999999999996E-2</v>
      </c>
      <c r="G29833" s="26">
        <v>5.0799999999999998E-2</v>
      </c>
      <c r="H29833" s="26">
        <v>4.9099999999999998E-2</v>
      </c>
      <c r="I29833" s="26">
        <v>4.0099999999999997E-2</v>
      </c>
      <c r="J29833" s="26">
        <v>1.9800000000000002E-2</v>
      </c>
      <c r="K29833" s="26">
        <v>1.2200000000000001E-2</v>
      </c>
      <c r="L29833" s="26">
        <v>1.84E-2</v>
      </c>
      <c r="M29833">
        <v>532</v>
      </c>
    </row>
    <row r="29834" spans="1:13" x14ac:dyDescent="0.35">
      <c r="A29834" t="s">
        <v>228</v>
      </c>
      <c r="B29834" t="s">
        <v>1347</v>
      </c>
      <c r="C29834" s="26">
        <v>0.65210000000000001</v>
      </c>
      <c r="D29834" s="26">
        <v>0.18779999999999999</v>
      </c>
      <c r="E29834" s="26">
        <v>2.98E-2</v>
      </c>
      <c r="F29834" s="26">
        <v>0.16520000000000001</v>
      </c>
      <c r="G29834" s="26">
        <v>5.7700000000000001E-2</v>
      </c>
      <c r="H29834" s="26">
        <v>8.0100000000000005E-2</v>
      </c>
      <c r="I29834" s="26">
        <v>5.7200000000000001E-2</v>
      </c>
      <c r="J29834" s="26">
        <v>1.6400000000000001E-2</v>
      </c>
      <c r="K29834" s="26">
        <v>7.3000000000000001E-3</v>
      </c>
      <c r="L29834" s="26">
        <v>2.0400000000000001E-2</v>
      </c>
      <c r="M29834">
        <v>204</v>
      </c>
    </row>
    <row r="29835" spans="1:13" x14ac:dyDescent="0.35">
      <c r="A29835" t="s">
        <v>228</v>
      </c>
      <c r="B29835" t="s">
        <v>1346</v>
      </c>
      <c r="C29835" s="26">
        <v>0.7742</v>
      </c>
      <c r="D29835" s="26">
        <v>5.8900000000000001E-2</v>
      </c>
      <c r="E29835" s="26">
        <v>8.3299999999999999E-2</v>
      </c>
      <c r="F29835" s="26">
        <v>7.3499999999999996E-2</v>
      </c>
      <c r="G29835" s="26">
        <v>2.9399999999999999E-2</v>
      </c>
      <c r="H29835" s="26">
        <v>4.58E-2</v>
      </c>
      <c r="I29835" s="26">
        <v>2.8199999999999999E-2</v>
      </c>
      <c r="J29835" s="26">
        <v>4.1200000000000001E-2</v>
      </c>
      <c r="K29835" s="26">
        <v>2.9899999999999999E-2</v>
      </c>
      <c r="L29835" s="26">
        <v>8.0000000000000002E-3</v>
      </c>
      <c r="M29835">
        <v>286</v>
      </c>
    </row>
    <row r="29836" spans="1:13" x14ac:dyDescent="0.35">
      <c r="A29836" s="27" t="s">
        <v>228</v>
      </c>
      <c r="B29836" s="27" t="s">
        <v>1345</v>
      </c>
      <c r="C29836" s="28">
        <v>0.94550000000000001</v>
      </c>
      <c r="D29836" s="28">
        <v>5.45E-2</v>
      </c>
      <c r="E29836" s="29"/>
      <c r="F29836" s="28">
        <v>5.45E-2</v>
      </c>
      <c r="G29836" s="28">
        <v>5.45E-2</v>
      </c>
      <c r="H29836" s="28">
        <v>5.45E-2</v>
      </c>
      <c r="I29836" s="28">
        <v>5.45E-2</v>
      </c>
      <c r="J29836" s="29"/>
      <c r="K29836" s="29"/>
      <c r="L29836" s="29"/>
      <c r="M29836" s="29" t="s">
        <v>352</v>
      </c>
    </row>
    <row r="29837" spans="1:13" x14ac:dyDescent="0.35">
      <c r="A29837" s="27" t="s">
        <v>229</v>
      </c>
      <c r="B29837" s="27" t="s">
        <v>1345</v>
      </c>
      <c r="C29837" s="28">
        <v>0.8901</v>
      </c>
      <c r="D29837" s="29"/>
      <c r="E29837" s="28">
        <v>3.3999999999999998E-3</v>
      </c>
      <c r="F29837" s="29"/>
      <c r="G29837" s="28">
        <v>0.1065</v>
      </c>
      <c r="H29837" s="29"/>
      <c r="I29837" s="29"/>
      <c r="J29837" s="29"/>
      <c r="K29837" s="29"/>
      <c r="L29837" s="29"/>
      <c r="M29837" s="29" t="s">
        <v>357</v>
      </c>
    </row>
    <row r="29838" spans="1:13" x14ac:dyDescent="0.35">
      <c r="A29838" t="s">
        <v>229</v>
      </c>
      <c r="B29838" t="s">
        <v>1346</v>
      </c>
      <c r="C29838" s="26">
        <v>0.77969999999999995</v>
      </c>
      <c r="D29838" s="26">
        <v>6.3399999999999998E-2</v>
      </c>
      <c r="E29838" s="26">
        <v>0.11260000000000001</v>
      </c>
      <c r="F29838" s="26">
        <v>3.5900000000000001E-2</v>
      </c>
      <c r="G29838" s="26">
        <v>4.1599999999999998E-2</v>
      </c>
      <c r="H29838" s="26">
        <v>0.03</v>
      </c>
      <c r="I29838" s="26">
        <v>3.3599999999999998E-2</v>
      </c>
      <c r="J29838" s="26">
        <v>4.0899999999999999E-2</v>
      </c>
      <c r="K29838" s="26">
        <v>1.52E-2</v>
      </c>
      <c r="L29838" s="26">
        <v>6.4000000000000003E-3</v>
      </c>
      <c r="M29838">
        <v>184</v>
      </c>
    </row>
    <row r="29839" spans="1:13" x14ac:dyDescent="0.35">
      <c r="A29839" t="s">
        <v>229</v>
      </c>
      <c r="B29839" t="s">
        <v>1347</v>
      </c>
      <c r="C29839" s="26">
        <v>0.75090000000000001</v>
      </c>
      <c r="D29839" s="26">
        <v>0.15670000000000001</v>
      </c>
      <c r="E29839" s="26">
        <v>2.29E-2</v>
      </c>
      <c r="F29839" s="26">
        <v>6.4799999999999996E-2</v>
      </c>
      <c r="G29839" s="26">
        <v>4.2299999999999997E-2</v>
      </c>
      <c r="H29839" s="26">
        <v>3.8699999999999998E-2</v>
      </c>
      <c r="I29839" s="26">
        <v>4.1799999999999997E-2</v>
      </c>
      <c r="J29839" s="26">
        <v>9.2999999999999992E-3</v>
      </c>
      <c r="K29839" s="26">
        <v>1.35E-2</v>
      </c>
      <c r="L29839" s="26">
        <v>1.1999999999999999E-3</v>
      </c>
      <c r="M29839">
        <v>302</v>
      </c>
    </row>
    <row r="29840" spans="1:13" x14ac:dyDescent="0.35">
      <c r="A29840" t="s">
        <v>229</v>
      </c>
      <c r="B29840" t="s">
        <v>1348</v>
      </c>
      <c r="C29840" s="26">
        <v>0.7762</v>
      </c>
      <c r="D29840" s="26">
        <v>0.1217</v>
      </c>
      <c r="E29840" s="26">
        <v>3.85E-2</v>
      </c>
      <c r="F29840" s="26">
        <v>6.0499999999999998E-2</v>
      </c>
      <c r="G29840" s="26">
        <v>3.2399999999999998E-2</v>
      </c>
      <c r="H29840" s="26">
        <v>3.7499999999999999E-2</v>
      </c>
      <c r="I29840" s="26">
        <v>5.57E-2</v>
      </c>
      <c r="J29840" s="26">
        <v>8.3999999999999995E-3</v>
      </c>
      <c r="K29840" s="26">
        <v>6.9999999999999999E-4</v>
      </c>
      <c r="L29840" s="26">
        <v>6.1000000000000004E-3</v>
      </c>
      <c r="M29840">
        <v>383</v>
      </c>
    </row>
    <row r="29841" spans="1:14" x14ac:dyDescent="0.35">
      <c r="A29841" t="s">
        <v>230</v>
      </c>
      <c r="B29841" t="s">
        <v>1346</v>
      </c>
      <c r="C29841" s="26">
        <v>0.83040000000000003</v>
      </c>
      <c r="D29841" s="26">
        <v>3.2399999999999998E-2</v>
      </c>
      <c r="E29841" s="26">
        <v>5.3499999999999999E-2</v>
      </c>
      <c r="F29841" s="26">
        <v>6.3399999999999998E-2</v>
      </c>
      <c r="G29841" s="26">
        <v>1.7299999999999999E-2</v>
      </c>
      <c r="H29841" s="26">
        <v>3.3300000000000003E-2</v>
      </c>
      <c r="I29841" s="26">
        <v>1.72E-2</v>
      </c>
      <c r="J29841" s="26">
        <v>1.8499999999999999E-2</v>
      </c>
      <c r="K29841" s="26">
        <v>1.32E-2</v>
      </c>
      <c r="L29841" s="26">
        <v>1.24E-2</v>
      </c>
      <c r="M29841">
        <v>140</v>
      </c>
    </row>
    <row r="29842" spans="1:14" x14ac:dyDescent="0.35">
      <c r="A29842" t="s">
        <v>230</v>
      </c>
      <c r="B29842" t="s">
        <v>1348</v>
      </c>
      <c r="C29842" s="26">
        <v>0.77690000000000003</v>
      </c>
      <c r="D29842" s="26">
        <v>0.13519999999999999</v>
      </c>
      <c r="E29842" s="26">
        <v>1.34E-2</v>
      </c>
      <c r="F29842" s="26">
        <v>7.0900000000000005E-2</v>
      </c>
      <c r="G29842" s="26">
        <v>6.2199999999999998E-2</v>
      </c>
      <c r="H29842" s="26">
        <v>4.4299999999999999E-2</v>
      </c>
      <c r="I29842" s="26">
        <v>5.6800000000000003E-2</v>
      </c>
      <c r="J29842" s="26">
        <v>2.29E-2</v>
      </c>
      <c r="K29842" s="26">
        <v>1.5299999999999999E-2</v>
      </c>
      <c r="L29842" s="26">
        <v>6.1000000000000004E-3</v>
      </c>
      <c r="M29842">
        <v>259</v>
      </c>
    </row>
    <row r="29843" spans="1:14" x14ac:dyDescent="0.35">
      <c r="A29843" t="s">
        <v>230</v>
      </c>
      <c r="B29843" t="s">
        <v>1347</v>
      </c>
      <c r="C29843" s="26">
        <v>0.83299999999999996</v>
      </c>
      <c r="D29843" s="26">
        <v>0.11169999999999999</v>
      </c>
      <c r="E29843" s="26">
        <v>6.4000000000000003E-3</v>
      </c>
      <c r="F29843" s="26">
        <v>6.2700000000000006E-2</v>
      </c>
      <c r="G29843" s="26">
        <v>6.7299999999999999E-2</v>
      </c>
      <c r="H29843" s="26">
        <v>1.6400000000000001E-2</v>
      </c>
      <c r="I29843" s="26">
        <v>9.2999999999999992E-3</v>
      </c>
      <c r="J29843" s="26">
        <v>1.1599999999999999E-2</v>
      </c>
      <c r="K29843" s="26">
        <v>2.8999999999999998E-3</v>
      </c>
      <c r="L29843" s="26">
        <v>3.3E-3</v>
      </c>
      <c r="M29843">
        <v>153</v>
      </c>
    </row>
    <row r="29844" spans="1:14" x14ac:dyDescent="0.35">
      <c r="A29844" s="27" t="s">
        <v>230</v>
      </c>
      <c r="B29844" s="27" t="s">
        <v>1345</v>
      </c>
      <c r="C29844" s="28">
        <v>0.73099999999999998</v>
      </c>
      <c r="D29844" s="28">
        <v>0.26900000000000002</v>
      </c>
      <c r="E29844" s="29"/>
      <c r="F29844" s="29"/>
      <c r="G29844" s="29"/>
      <c r="H29844" s="29"/>
      <c r="I29844" s="29"/>
      <c r="J29844" s="29"/>
      <c r="K29844" s="29"/>
      <c r="L29844" s="29"/>
      <c r="M29844" s="29" t="s">
        <v>333</v>
      </c>
    </row>
    <row r="29845" spans="1:14" x14ac:dyDescent="0.35">
      <c r="A29845" s="27" t="s">
        <v>231</v>
      </c>
      <c r="B29845" s="27" t="s">
        <v>1345</v>
      </c>
      <c r="C29845" s="28">
        <v>0.75</v>
      </c>
      <c r="D29845" s="28">
        <v>0.25</v>
      </c>
      <c r="E29845" s="29"/>
      <c r="F29845" s="29"/>
      <c r="G29845" s="29"/>
      <c r="H29845" s="29"/>
      <c r="I29845" s="29"/>
      <c r="J29845" s="29"/>
      <c r="K29845" s="29"/>
      <c r="L29845" s="29"/>
      <c r="M29845" s="29" t="s">
        <v>337</v>
      </c>
    </row>
    <row r="29846" spans="1:14" x14ac:dyDescent="0.35">
      <c r="A29846" t="s">
        <v>231</v>
      </c>
      <c r="B29846" t="s">
        <v>1346</v>
      </c>
      <c r="C29846" s="26">
        <v>0.875</v>
      </c>
      <c r="D29846" s="26">
        <v>2.5000000000000001E-2</v>
      </c>
      <c r="E29846" s="26">
        <v>7.4999999999999997E-2</v>
      </c>
      <c r="G29846" s="26">
        <v>2.5000000000000001E-2</v>
      </c>
      <c r="M29846">
        <v>40</v>
      </c>
    </row>
    <row r="29847" spans="1:14" x14ac:dyDescent="0.35">
      <c r="A29847" t="s">
        <v>231</v>
      </c>
      <c r="B29847" t="s">
        <v>1347</v>
      </c>
      <c r="C29847" s="26">
        <v>0.88239999999999996</v>
      </c>
      <c r="D29847" s="26">
        <v>2.9399999999999999E-2</v>
      </c>
      <c r="G29847" s="26">
        <v>2.9399999999999999E-2</v>
      </c>
      <c r="H29847" s="26">
        <v>2.9399999999999999E-2</v>
      </c>
      <c r="I29847" s="26">
        <v>2.9399999999999999E-2</v>
      </c>
      <c r="J29847" s="26">
        <v>2.9399999999999999E-2</v>
      </c>
      <c r="M29847">
        <v>34</v>
      </c>
    </row>
    <row r="29848" spans="1:14" x14ac:dyDescent="0.35">
      <c r="A29848" t="s">
        <v>231</v>
      </c>
      <c r="B29848" t="s">
        <v>1348</v>
      </c>
      <c r="C29848" s="26">
        <v>0.88370000000000004</v>
      </c>
      <c r="D29848" s="26">
        <v>2.3300000000000001E-2</v>
      </c>
      <c r="E29848" s="26">
        <v>8.14E-2</v>
      </c>
      <c r="F29848" s="26">
        <v>1.1599999999999999E-2</v>
      </c>
      <c r="H29848" s="26">
        <v>1.1599999999999999E-2</v>
      </c>
      <c r="J29848" s="26">
        <v>1.1599999999999999E-2</v>
      </c>
      <c r="M29848">
        <v>86</v>
      </c>
    </row>
    <row r="29849" spans="1:14" x14ac:dyDescent="0.35">
      <c r="A29849" t="s">
        <v>232</v>
      </c>
      <c r="B29849" t="s">
        <v>232</v>
      </c>
      <c r="C29849" s="26">
        <v>0.80789999999999995</v>
      </c>
      <c r="D29849" s="26">
        <v>8.48E-2</v>
      </c>
      <c r="E29849" s="26">
        <v>4.8800000000000003E-2</v>
      </c>
      <c r="F29849" s="26">
        <v>4.3700000000000003E-2</v>
      </c>
      <c r="G29849" s="26">
        <v>3.4299999999999997E-2</v>
      </c>
      <c r="H29849" s="26">
        <v>2.8000000000000001E-2</v>
      </c>
      <c r="I29849" s="26">
        <v>2.6599999999999999E-2</v>
      </c>
      <c r="J29849" s="26">
        <v>1.6E-2</v>
      </c>
      <c r="K29849" s="26">
        <v>7.1999999999999998E-3</v>
      </c>
      <c r="L29849" s="26">
        <v>5.0000000000000001E-3</v>
      </c>
      <c r="M29849">
        <v>2813</v>
      </c>
    </row>
    <row r="29851" spans="1:14" x14ac:dyDescent="0.35">
      <c r="A29851" s="1" t="s">
        <v>2662</v>
      </c>
    </row>
    <row r="29852" spans="1:14" x14ac:dyDescent="0.35">
      <c r="A29852" t="s">
        <v>219</v>
      </c>
      <c r="B29852" t="s">
        <v>305</v>
      </c>
      <c r="C29852" t="s">
        <v>345</v>
      </c>
      <c r="D29852" t="s">
        <v>302</v>
      </c>
      <c r="E29852" t="s">
        <v>2642</v>
      </c>
      <c r="F29852" t="s">
        <v>281</v>
      </c>
      <c r="G29852" t="s">
        <v>2643</v>
      </c>
      <c r="H29852" t="s">
        <v>2644</v>
      </c>
      <c r="I29852" t="s">
        <v>2645</v>
      </c>
      <c r="J29852" t="s">
        <v>2646</v>
      </c>
      <c r="K29852" t="s">
        <v>2647</v>
      </c>
      <c r="L29852" t="s">
        <v>2648</v>
      </c>
      <c r="M29852" t="s">
        <v>286</v>
      </c>
      <c r="N29852" t="s">
        <v>226</v>
      </c>
    </row>
    <row r="29853" spans="1:14" x14ac:dyDescent="0.35">
      <c r="A29853" s="27" t="s">
        <v>227</v>
      </c>
      <c r="B29853" s="27" t="s">
        <v>1341</v>
      </c>
      <c r="C29853" s="27" t="s">
        <v>1345</v>
      </c>
      <c r="D29853" s="28">
        <v>1</v>
      </c>
      <c r="E29853" s="29"/>
      <c r="F29853" s="29"/>
      <c r="G29853" s="29"/>
      <c r="H29853" s="29"/>
      <c r="I29853" s="29"/>
      <c r="J29853" s="29"/>
      <c r="K29853" s="29"/>
      <c r="L29853" s="29"/>
      <c r="M29853" s="29"/>
      <c r="N29853" s="29" t="s">
        <v>331</v>
      </c>
    </row>
    <row r="29854" spans="1:14" x14ac:dyDescent="0.35">
      <c r="A29854" s="27" t="s">
        <v>227</v>
      </c>
      <c r="B29854" s="27" t="s">
        <v>1343</v>
      </c>
      <c r="C29854" s="27" t="s">
        <v>1346</v>
      </c>
      <c r="D29854" s="28">
        <v>0.84619999999999995</v>
      </c>
      <c r="E29854" s="29"/>
      <c r="F29854" s="28">
        <v>0.1154</v>
      </c>
      <c r="G29854" s="29"/>
      <c r="H29854" s="28">
        <v>3.85E-2</v>
      </c>
      <c r="I29854" s="29"/>
      <c r="J29854" s="29"/>
      <c r="K29854" s="28">
        <v>3.85E-2</v>
      </c>
      <c r="L29854" s="29"/>
      <c r="M29854" s="29"/>
      <c r="N29854" s="29" t="s">
        <v>357</v>
      </c>
    </row>
    <row r="29855" spans="1:14" x14ac:dyDescent="0.35">
      <c r="A29855" t="s">
        <v>227</v>
      </c>
      <c r="B29855" t="s">
        <v>1343</v>
      </c>
      <c r="C29855" t="s">
        <v>1348</v>
      </c>
      <c r="D29855" s="26">
        <v>0.83609999999999995</v>
      </c>
      <c r="E29855" s="26">
        <v>9.8400000000000001E-2</v>
      </c>
      <c r="F29855" s="26">
        <v>3.2800000000000003E-2</v>
      </c>
      <c r="H29855" s="26">
        <v>4.9200000000000001E-2</v>
      </c>
      <c r="I29855" s="26">
        <v>1.6400000000000001E-2</v>
      </c>
      <c r="J29855" s="26">
        <v>1.6400000000000001E-2</v>
      </c>
      <c r="K29855" s="26">
        <v>1.6400000000000001E-2</v>
      </c>
      <c r="L29855" s="26">
        <v>1.6400000000000001E-2</v>
      </c>
      <c r="N29855">
        <v>61</v>
      </c>
    </row>
    <row r="29856" spans="1:14" x14ac:dyDescent="0.35">
      <c r="A29856" s="27" t="s">
        <v>227</v>
      </c>
      <c r="B29856" s="27" t="s">
        <v>1341</v>
      </c>
      <c r="C29856" s="27" t="s">
        <v>1347</v>
      </c>
      <c r="D29856" s="28">
        <v>0.84619999999999995</v>
      </c>
      <c r="E29856" s="28">
        <v>7.6899999999999996E-2</v>
      </c>
      <c r="F29856" s="29"/>
      <c r="G29856" s="29"/>
      <c r="H29856" s="28">
        <v>7.6899999999999996E-2</v>
      </c>
      <c r="I29856" s="29"/>
      <c r="J29856" s="29"/>
      <c r="K29856" s="29"/>
      <c r="L29856" s="29"/>
      <c r="M29856" s="29"/>
      <c r="N29856" s="29" t="s">
        <v>341</v>
      </c>
    </row>
    <row r="29857" spans="1:14" x14ac:dyDescent="0.35">
      <c r="A29857" s="27" t="s">
        <v>227</v>
      </c>
      <c r="B29857" s="27" t="s">
        <v>1343</v>
      </c>
      <c r="C29857" s="27" t="s">
        <v>1347</v>
      </c>
      <c r="D29857" s="28">
        <v>0.86960000000000004</v>
      </c>
      <c r="E29857" s="28">
        <v>8.6999999999999994E-2</v>
      </c>
      <c r="F29857" s="29"/>
      <c r="G29857" s="28">
        <v>4.3499999999999997E-2</v>
      </c>
      <c r="H29857" s="28">
        <v>4.3499999999999997E-2</v>
      </c>
      <c r="I29857" s="29"/>
      <c r="J29857" s="29"/>
      <c r="K29857" s="29"/>
      <c r="L29857" s="29"/>
      <c r="M29857" s="29"/>
      <c r="N29857" s="29" t="s">
        <v>328</v>
      </c>
    </row>
    <row r="29858" spans="1:14" x14ac:dyDescent="0.35">
      <c r="A29858" s="27" t="s">
        <v>227</v>
      </c>
      <c r="B29858" s="27" t="s">
        <v>1343</v>
      </c>
      <c r="C29858" s="27" t="s">
        <v>1345</v>
      </c>
      <c r="D29858" s="28">
        <v>1</v>
      </c>
      <c r="E29858" s="29"/>
      <c r="F29858" s="29"/>
      <c r="G29858" s="29"/>
      <c r="H29858" s="29"/>
      <c r="I29858" s="29"/>
      <c r="J29858" s="29"/>
      <c r="K29858" s="29"/>
      <c r="L29858" s="29"/>
      <c r="M29858" s="29"/>
      <c r="N29858" s="29" t="s">
        <v>331</v>
      </c>
    </row>
    <row r="29859" spans="1:14" x14ac:dyDescent="0.35">
      <c r="A29859" s="27" t="s">
        <v>227</v>
      </c>
      <c r="B29859" s="27" t="s">
        <v>1342</v>
      </c>
      <c r="C29859" s="27" t="s">
        <v>1348</v>
      </c>
      <c r="D29859" s="28">
        <v>1</v>
      </c>
      <c r="E29859" s="29"/>
      <c r="F29859" s="29"/>
      <c r="G29859" s="29"/>
      <c r="H29859" s="29"/>
      <c r="I29859" s="29"/>
      <c r="J29859" s="29"/>
      <c r="K29859" s="29"/>
      <c r="L29859" s="29"/>
      <c r="M29859" s="29"/>
      <c r="N29859" s="29" t="s">
        <v>331</v>
      </c>
    </row>
    <row r="29860" spans="1:14" x14ac:dyDescent="0.35">
      <c r="A29860" s="27" t="s">
        <v>227</v>
      </c>
      <c r="B29860" s="27" t="s">
        <v>1341</v>
      </c>
      <c r="C29860" s="27" t="s">
        <v>1348</v>
      </c>
      <c r="D29860" s="28">
        <v>0.81820000000000004</v>
      </c>
      <c r="E29860" s="28">
        <v>9.0899999999999995E-2</v>
      </c>
      <c r="F29860" s="28">
        <v>9.0899999999999995E-2</v>
      </c>
      <c r="G29860" s="29"/>
      <c r="H29860" s="29"/>
      <c r="I29860" s="29"/>
      <c r="J29860" s="29"/>
      <c r="K29860" s="29"/>
      <c r="L29860" s="29"/>
      <c r="M29860" s="29"/>
      <c r="N29860" s="29" t="s">
        <v>347</v>
      </c>
    </row>
    <row r="29861" spans="1:14" x14ac:dyDescent="0.35">
      <c r="A29861" s="27" t="s">
        <v>227</v>
      </c>
      <c r="B29861" s="27" t="s">
        <v>1341</v>
      </c>
      <c r="C29861" s="27" t="s">
        <v>1346</v>
      </c>
      <c r="D29861" s="28">
        <v>1</v>
      </c>
      <c r="E29861" s="29"/>
      <c r="F29861" s="29"/>
      <c r="G29861" s="29"/>
      <c r="H29861" s="29"/>
      <c r="I29861" s="29"/>
      <c r="J29861" s="29"/>
      <c r="K29861" s="29"/>
      <c r="L29861" s="29"/>
      <c r="M29861" s="29"/>
      <c r="N29861" s="29" t="s">
        <v>341</v>
      </c>
    </row>
    <row r="29862" spans="1:14" x14ac:dyDescent="0.35">
      <c r="A29862" t="s">
        <v>228</v>
      </c>
      <c r="B29862" t="s">
        <v>1343</v>
      </c>
      <c r="C29862" t="s">
        <v>1348</v>
      </c>
      <c r="D29862" s="26">
        <v>0.70789999999999997</v>
      </c>
      <c r="E29862" s="26">
        <v>0.12720000000000001</v>
      </c>
      <c r="F29862" s="26">
        <v>3.9300000000000002E-2</v>
      </c>
      <c r="G29862" s="26">
        <v>9.0200000000000002E-2</v>
      </c>
      <c r="H29862" s="26">
        <v>6.6100000000000006E-2</v>
      </c>
      <c r="I29862" s="26">
        <v>5.1400000000000001E-2</v>
      </c>
      <c r="J29862" s="26">
        <v>4.9700000000000001E-2</v>
      </c>
      <c r="K29862" s="26">
        <v>2.6200000000000001E-2</v>
      </c>
      <c r="L29862" s="26">
        <v>1.55E-2</v>
      </c>
      <c r="M29862" s="26">
        <v>6.7999999999999996E-3</v>
      </c>
      <c r="N29862">
        <v>352</v>
      </c>
    </row>
    <row r="29863" spans="1:14" x14ac:dyDescent="0.35">
      <c r="A29863" t="s">
        <v>228</v>
      </c>
      <c r="B29863" t="s">
        <v>1343</v>
      </c>
      <c r="C29863" t="s">
        <v>1347</v>
      </c>
      <c r="D29863" s="26">
        <v>0.64139999999999997</v>
      </c>
      <c r="E29863" s="26">
        <v>0.18759999999999999</v>
      </c>
      <c r="F29863" s="26">
        <v>3.8600000000000002E-2</v>
      </c>
      <c r="G29863" s="26">
        <v>0.14130000000000001</v>
      </c>
      <c r="H29863" s="26">
        <v>2.23E-2</v>
      </c>
      <c r="I29863" s="26">
        <v>7.1099999999999997E-2</v>
      </c>
      <c r="J29863" s="26">
        <v>7.22E-2</v>
      </c>
      <c r="K29863" s="26">
        <v>1.7000000000000001E-2</v>
      </c>
      <c r="L29863" s="26">
        <v>6.6E-3</v>
      </c>
      <c r="M29863" s="26">
        <v>2.6200000000000001E-2</v>
      </c>
      <c r="N29863">
        <v>130</v>
      </c>
    </row>
    <row r="29864" spans="1:14" x14ac:dyDescent="0.35">
      <c r="A29864" s="27" t="s">
        <v>228</v>
      </c>
      <c r="B29864" s="27" t="s">
        <v>1343</v>
      </c>
      <c r="C29864" s="27" t="s">
        <v>1345</v>
      </c>
      <c r="D29864" s="28">
        <v>1</v>
      </c>
      <c r="E29864" s="29"/>
      <c r="F29864" s="29"/>
      <c r="G29864" s="29"/>
      <c r="H29864" s="29"/>
      <c r="I29864" s="29"/>
      <c r="J29864" s="29"/>
      <c r="K29864" s="29"/>
      <c r="L29864" s="29"/>
      <c r="M29864" s="29"/>
      <c r="N29864" s="29" t="s">
        <v>335</v>
      </c>
    </row>
    <row r="29865" spans="1:14" x14ac:dyDescent="0.35">
      <c r="A29865" t="s">
        <v>228</v>
      </c>
      <c r="B29865" t="s">
        <v>1341</v>
      </c>
      <c r="C29865" t="s">
        <v>1346</v>
      </c>
      <c r="D29865" s="26">
        <v>0.70430000000000004</v>
      </c>
      <c r="E29865" s="26">
        <v>6.4199999999999993E-2</v>
      </c>
      <c r="F29865" s="26">
        <v>0.1011</v>
      </c>
      <c r="G29865" s="26">
        <v>8.4599999999999995E-2</v>
      </c>
      <c r="I29865" s="26">
        <v>3.9100000000000003E-2</v>
      </c>
      <c r="J29865" s="26">
        <v>2.7300000000000001E-2</v>
      </c>
      <c r="K29865" s="26">
        <v>4.5499999999999999E-2</v>
      </c>
      <c r="M29865" s="26">
        <v>2.5499999999999998E-2</v>
      </c>
      <c r="N29865">
        <v>47</v>
      </c>
    </row>
    <row r="29866" spans="1:14" x14ac:dyDescent="0.35">
      <c r="A29866" t="s">
        <v>228</v>
      </c>
      <c r="B29866" t="s">
        <v>1341</v>
      </c>
      <c r="C29866" t="s">
        <v>1348</v>
      </c>
      <c r="D29866" s="26">
        <v>0.72650000000000003</v>
      </c>
      <c r="E29866" s="26">
        <v>0.11219999999999999</v>
      </c>
      <c r="F29866" s="26">
        <v>5.5399999999999998E-2</v>
      </c>
      <c r="G29866" s="26">
        <v>8.8400000000000006E-2</v>
      </c>
      <c r="H29866" s="26">
        <v>2.41E-2</v>
      </c>
      <c r="I29866" s="26">
        <v>4.5600000000000002E-2</v>
      </c>
      <c r="J29866" s="26">
        <v>2.3400000000000001E-2</v>
      </c>
      <c r="K29866" s="26">
        <v>8.6999999999999994E-3</v>
      </c>
      <c r="L29866" s="26">
        <v>6.4000000000000003E-3</v>
      </c>
      <c r="M29866" s="26">
        <v>3.9699999999999999E-2</v>
      </c>
      <c r="N29866">
        <v>179</v>
      </c>
    </row>
    <row r="29867" spans="1:14" x14ac:dyDescent="0.35">
      <c r="A29867" s="27" t="s">
        <v>228</v>
      </c>
      <c r="B29867" s="27" t="s">
        <v>1342</v>
      </c>
      <c r="C29867" s="27" t="s">
        <v>1348</v>
      </c>
      <c r="D29867" s="28">
        <v>1</v>
      </c>
      <c r="E29867" s="29"/>
      <c r="F29867" s="29"/>
      <c r="G29867" s="29"/>
      <c r="H29867" s="29"/>
      <c r="I29867" s="29"/>
      <c r="J29867" s="29"/>
      <c r="K29867" s="29"/>
      <c r="L29867" s="29"/>
      <c r="M29867" s="29"/>
      <c r="N29867" s="29" t="s">
        <v>331</v>
      </c>
    </row>
    <row r="29868" spans="1:14" x14ac:dyDescent="0.35">
      <c r="A29868" t="s">
        <v>228</v>
      </c>
      <c r="B29868" t="s">
        <v>1343</v>
      </c>
      <c r="C29868" t="s">
        <v>1346</v>
      </c>
      <c r="D29868" s="26">
        <v>0.78520000000000001</v>
      </c>
      <c r="E29868" s="26">
        <v>5.8000000000000003E-2</v>
      </c>
      <c r="F29868" s="26">
        <v>8.0600000000000005E-2</v>
      </c>
      <c r="G29868" s="26">
        <v>7.17E-2</v>
      </c>
      <c r="H29868" s="26">
        <v>3.4000000000000002E-2</v>
      </c>
      <c r="I29868" s="26">
        <v>4.6899999999999997E-2</v>
      </c>
      <c r="J29868" s="26">
        <v>2.8299999999999999E-2</v>
      </c>
      <c r="K29868" s="26">
        <v>4.0500000000000001E-2</v>
      </c>
      <c r="L29868" s="26">
        <v>3.4599999999999999E-2</v>
      </c>
      <c r="M29868" s="26">
        <v>5.3E-3</v>
      </c>
      <c r="N29868">
        <v>239</v>
      </c>
    </row>
    <row r="29869" spans="1:14" x14ac:dyDescent="0.35">
      <c r="A29869" t="s">
        <v>228</v>
      </c>
      <c r="B29869" t="s">
        <v>1341</v>
      </c>
      <c r="C29869" t="s">
        <v>1347</v>
      </c>
      <c r="D29869" s="26">
        <v>0.67330000000000001</v>
      </c>
      <c r="E29869" s="26">
        <v>0.18809999999999999</v>
      </c>
      <c r="F29869" s="26">
        <v>1.2200000000000001E-2</v>
      </c>
      <c r="G29869" s="26">
        <v>0.21299999999999999</v>
      </c>
      <c r="H29869" s="26">
        <v>0.12839999999999999</v>
      </c>
      <c r="I29869" s="26">
        <v>9.7900000000000001E-2</v>
      </c>
      <c r="J29869" s="26">
        <v>2.7400000000000001E-2</v>
      </c>
      <c r="K29869" s="26">
        <v>1.52E-2</v>
      </c>
      <c r="L29869" s="26">
        <v>8.6E-3</v>
      </c>
      <c r="M29869" s="26">
        <v>8.6E-3</v>
      </c>
      <c r="N29869">
        <v>74</v>
      </c>
    </row>
    <row r="29870" spans="1:14" x14ac:dyDescent="0.35">
      <c r="A29870" s="27" t="s">
        <v>228</v>
      </c>
      <c r="B29870" s="27" t="s">
        <v>1341</v>
      </c>
      <c r="C29870" s="27" t="s">
        <v>1345</v>
      </c>
      <c r="D29870" s="28">
        <v>0.81830000000000003</v>
      </c>
      <c r="E29870" s="28">
        <v>0.1817</v>
      </c>
      <c r="F29870" s="29"/>
      <c r="G29870" s="28">
        <v>0.1817</v>
      </c>
      <c r="H29870" s="28">
        <v>0.1817</v>
      </c>
      <c r="I29870" s="28">
        <v>0.1817</v>
      </c>
      <c r="J29870" s="28">
        <v>0.1817</v>
      </c>
      <c r="K29870" s="29"/>
      <c r="L29870" s="29"/>
      <c r="M29870" s="29"/>
      <c r="N29870" s="29" t="s">
        <v>332</v>
      </c>
    </row>
    <row r="29871" spans="1:14" x14ac:dyDescent="0.35">
      <c r="A29871" t="s">
        <v>229</v>
      </c>
      <c r="B29871" t="s">
        <v>1343</v>
      </c>
      <c r="C29871" t="s">
        <v>1348</v>
      </c>
      <c r="D29871" s="26">
        <v>0.78510000000000002</v>
      </c>
      <c r="E29871" s="26">
        <v>0.10340000000000001</v>
      </c>
      <c r="F29871" s="26">
        <v>2.9600000000000001E-2</v>
      </c>
      <c r="G29871" s="26">
        <v>5.9200000000000003E-2</v>
      </c>
      <c r="H29871" s="26">
        <v>2.6700000000000002E-2</v>
      </c>
      <c r="I29871" s="26">
        <v>3.1099999999999999E-2</v>
      </c>
      <c r="J29871" s="26">
        <v>6.2100000000000002E-2</v>
      </c>
      <c r="K29871" s="26">
        <v>1.0200000000000001E-2</v>
      </c>
      <c r="L29871" s="26">
        <v>1.1000000000000001E-3</v>
      </c>
      <c r="M29871" s="26">
        <v>9.1000000000000004E-3</v>
      </c>
      <c r="N29871">
        <v>276</v>
      </c>
    </row>
    <row r="29872" spans="1:14" x14ac:dyDescent="0.35">
      <c r="A29872" t="s">
        <v>229</v>
      </c>
      <c r="B29872" t="s">
        <v>1341</v>
      </c>
      <c r="C29872" t="s">
        <v>1346</v>
      </c>
      <c r="D29872" s="26">
        <v>0.8014</v>
      </c>
      <c r="E29872" s="26">
        <v>7.4000000000000003E-3</v>
      </c>
      <c r="F29872" s="26">
        <v>0.13370000000000001</v>
      </c>
      <c r="G29872" s="26">
        <v>1.14E-2</v>
      </c>
      <c r="H29872" s="26">
        <v>1.7299999999999999E-2</v>
      </c>
      <c r="I29872" s="26">
        <v>5.7000000000000002E-3</v>
      </c>
      <c r="K29872" s="26">
        <v>1.8800000000000001E-2</v>
      </c>
      <c r="M29872" s="26">
        <v>1.1599999999999999E-2</v>
      </c>
      <c r="N29872">
        <v>53</v>
      </c>
    </row>
    <row r="29873" spans="1:14" x14ac:dyDescent="0.35">
      <c r="A29873" t="s">
        <v>229</v>
      </c>
      <c r="B29873" t="s">
        <v>1341</v>
      </c>
      <c r="C29873" t="s">
        <v>1347</v>
      </c>
      <c r="D29873" s="26">
        <v>0.71040000000000003</v>
      </c>
      <c r="E29873" s="26">
        <v>0.2087</v>
      </c>
      <c r="F29873" s="26">
        <v>3.4700000000000002E-2</v>
      </c>
      <c r="G29873" s="26">
        <v>6.0699999999999997E-2</v>
      </c>
      <c r="H29873" s="26">
        <v>0.05</v>
      </c>
      <c r="I29873" s="26">
        <v>8.7900000000000006E-2</v>
      </c>
      <c r="J29873" s="26">
        <v>5.3199999999999997E-2</v>
      </c>
      <c r="K29873" s="26">
        <v>1.54E-2</v>
      </c>
      <c r="L29873" s="26">
        <v>1.1299999999999999E-2</v>
      </c>
      <c r="N29873">
        <v>104</v>
      </c>
    </row>
    <row r="29874" spans="1:14" x14ac:dyDescent="0.35">
      <c r="A29874" t="s">
        <v>229</v>
      </c>
      <c r="B29874" t="s">
        <v>1343</v>
      </c>
      <c r="C29874" t="s">
        <v>1346</v>
      </c>
      <c r="D29874" s="26">
        <v>0.77149999999999996</v>
      </c>
      <c r="E29874" s="26">
        <v>8.48E-2</v>
      </c>
      <c r="F29874" s="26">
        <v>0.1045</v>
      </c>
      <c r="G29874" s="26">
        <v>4.5199999999999997E-2</v>
      </c>
      <c r="H29874" s="26">
        <v>5.0900000000000001E-2</v>
      </c>
      <c r="I29874" s="26">
        <v>3.9300000000000002E-2</v>
      </c>
      <c r="J29874" s="26">
        <v>4.65E-2</v>
      </c>
      <c r="K29874" s="26">
        <v>4.9299999999999997E-2</v>
      </c>
      <c r="L29874" s="26">
        <v>2.1000000000000001E-2</v>
      </c>
      <c r="M29874" s="26">
        <v>4.4000000000000003E-3</v>
      </c>
      <c r="N29874">
        <v>131</v>
      </c>
    </row>
    <row r="29875" spans="1:14" x14ac:dyDescent="0.35">
      <c r="A29875" t="s">
        <v>229</v>
      </c>
      <c r="B29875" t="s">
        <v>1343</v>
      </c>
      <c r="C29875" t="s">
        <v>1347</v>
      </c>
      <c r="D29875" s="26">
        <v>0.77270000000000005</v>
      </c>
      <c r="E29875" s="26">
        <v>0.12870000000000001</v>
      </c>
      <c r="F29875" s="26">
        <v>1.6500000000000001E-2</v>
      </c>
      <c r="G29875" s="26">
        <v>6.7000000000000004E-2</v>
      </c>
      <c r="H29875" s="26">
        <v>3.8199999999999998E-2</v>
      </c>
      <c r="I29875" s="26">
        <v>1.23E-2</v>
      </c>
      <c r="J29875" s="26">
        <v>3.56E-2</v>
      </c>
      <c r="K29875" s="26">
        <v>6.0000000000000001E-3</v>
      </c>
      <c r="L29875" s="26">
        <v>1.47E-2</v>
      </c>
      <c r="M29875" s="26">
        <v>1.9E-3</v>
      </c>
      <c r="N29875">
        <v>198</v>
      </c>
    </row>
    <row r="29876" spans="1:14" x14ac:dyDescent="0.35">
      <c r="A29876" s="27" t="s">
        <v>229</v>
      </c>
      <c r="B29876" s="27" t="s">
        <v>1341</v>
      </c>
      <c r="C29876" s="27" t="s">
        <v>1345</v>
      </c>
      <c r="D29876" s="28">
        <v>0.72760000000000002</v>
      </c>
      <c r="E29876" s="29"/>
      <c r="F29876" s="28">
        <v>8.3999999999999995E-3</v>
      </c>
      <c r="G29876" s="29"/>
      <c r="H29876" s="28">
        <v>0.26400000000000001</v>
      </c>
      <c r="I29876" s="29"/>
      <c r="J29876" s="29"/>
      <c r="K29876" s="29"/>
      <c r="L29876" s="29"/>
      <c r="M29876" s="29"/>
      <c r="N29876" s="29" t="s">
        <v>334</v>
      </c>
    </row>
    <row r="29877" spans="1:14" x14ac:dyDescent="0.35">
      <c r="A29877" s="27" t="s">
        <v>229</v>
      </c>
      <c r="B29877" s="27" t="s">
        <v>1343</v>
      </c>
      <c r="C29877" s="27" t="s">
        <v>1345</v>
      </c>
      <c r="D29877" s="28">
        <v>1</v>
      </c>
      <c r="E29877" s="29"/>
      <c r="F29877" s="29"/>
      <c r="G29877" s="29"/>
      <c r="H29877" s="29"/>
      <c r="I29877" s="29"/>
      <c r="J29877" s="29"/>
      <c r="K29877" s="29"/>
      <c r="L29877" s="29"/>
      <c r="M29877" s="29"/>
      <c r="N29877" s="29" t="s">
        <v>343</v>
      </c>
    </row>
    <row r="29878" spans="1:14" x14ac:dyDescent="0.35">
      <c r="A29878" t="s">
        <v>229</v>
      </c>
      <c r="B29878" t="s">
        <v>1341</v>
      </c>
      <c r="C29878" t="s">
        <v>1348</v>
      </c>
      <c r="D29878" s="26">
        <v>0.75819999999999999</v>
      </c>
      <c r="E29878" s="26">
        <v>0.1585</v>
      </c>
      <c r="F29878" s="26">
        <v>5.6300000000000003E-2</v>
      </c>
      <c r="G29878" s="26">
        <v>6.3200000000000006E-2</v>
      </c>
      <c r="H29878" s="26">
        <v>4.3900000000000002E-2</v>
      </c>
      <c r="I29878" s="26">
        <v>5.04E-2</v>
      </c>
      <c r="J29878" s="26">
        <v>4.2799999999999998E-2</v>
      </c>
      <c r="K29878" s="26">
        <v>4.7999999999999996E-3</v>
      </c>
      <c r="N29878">
        <v>107</v>
      </c>
    </row>
    <row r="29879" spans="1:14" x14ac:dyDescent="0.35">
      <c r="A29879" t="s">
        <v>230</v>
      </c>
      <c r="B29879" t="s">
        <v>1343</v>
      </c>
      <c r="C29879" t="s">
        <v>1346</v>
      </c>
      <c r="D29879" s="26">
        <v>0.76980000000000004</v>
      </c>
      <c r="E29879" s="26">
        <v>4.3999999999999997E-2</v>
      </c>
      <c r="F29879" s="26">
        <v>7.5499999999999998E-2</v>
      </c>
      <c r="G29879" s="26">
        <v>8.0199999999999994E-2</v>
      </c>
      <c r="H29879" s="26">
        <v>2.2700000000000001E-2</v>
      </c>
      <c r="I29879" s="26">
        <v>4.3499999999999997E-2</v>
      </c>
      <c r="J29879" s="26">
        <v>2.2599999999999999E-2</v>
      </c>
      <c r="K29879" s="26">
        <v>2.4400000000000002E-2</v>
      </c>
      <c r="L29879" s="26">
        <v>1.6799999999999999E-2</v>
      </c>
      <c r="M29879" s="26">
        <v>1.7500000000000002E-2</v>
      </c>
      <c r="N29879">
        <v>110</v>
      </c>
    </row>
    <row r="29880" spans="1:14" x14ac:dyDescent="0.35">
      <c r="A29880" s="27" t="s">
        <v>230</v>
      </c>
      <c r="B29880" s="27" t="s">
        <v>1341</v>
      </c>
      <c r="C29880" s="27" t="s">
        <v>1345</v>
      </c>
      <c r="D29880" s="28">
        <v>1</v>
      </c>
      <c r="E29880" s="29"/>
      <c r="F29880" s="29"/>
      <c r="G29880" s="29"/>
      <c r="H29880" s="29"/>
      <c r="I29880" s="29"/>
      <c r="J29880" s="29"/>
      <c r="K29880" s="29"/>
      <c r="L29880" s="29"/>
      <c r="M29880" s="29"/>
      <c r="N29880" s="29" t="s">
        <v>337</v>
      </c>
    </row>
    <row r="29881" spans="1:14" x14ac:dyDescent="0.35">
      <c r="A29881" t="s">
        <v>230</v>
      </c>
      <c r="B29881" t="s">
        <v>1343</v>
      </c>
      <c r="C29881" t="s">
        <v>1348</v>
      </c>
      <c r="D29881" s="26">
        <v>0.74409999999999998</v>
      </c>
      <c r="E29881" s="26">
        <v>0.1628</v>
      </c>
      <c r="F29881" s="26">
        <v>1.2699999999999999E-2</v>
      </c>
      <c r="G29881" s="26">
        <v>9.0999999999999998E-2</v>
      </c>
      <c r="H29881" s="26">
        <v>8.3000000000000004E-2</v>
      </c>
      <c r="I29881" s="26">
        <v>3.9E-2</v>
      </c>
      <c r="J29881" s="26">
        <v>5.8099999999999999E-2</v>
      </c>
      <c r="K29881" s="26">
        <v>2.6499999999999999E-2</v>
      </c>
      <c r="L29881" s="26">
        <v>1.9E-2</v>
      </c>
      <c r="M29881" s="26">
        <v>7.7000000000000002E-3</v>
      </c>
      <c r="N29881">
        <v>184</v>
      </c>
    </row>
    <row r="29882" spans="1:14" x14ac:dyDescent="0.35">
      <c r="A29882" t="s">
        <v>230</v>
      </c>
      <c r="B29882" t="s">
        <v>1343</v>
      </c>
      <c r="C29882" t="s">
        <v>1347</v>
      </c>
      <c r="D29882" s="26">
        <v>0.8488</v>
      </c>
      <c r="E29882" s="26">
        <v>0.1191</v>
      </c>
      <c r="F29882" s="26">
        <v>9.7000000000000003E-3</v>
      </c>
      <c r="G29882" s="26">
        <v>7.3899999999999993E-2</v>
      </c>
      <c r="H29882" s="26">
        <v>3.5499999999999997E-2</v>
      </c>
      <c r="I29882" s="26">
        <v>1.0699999999999999E-2</v>
      </c>
      <c r="J29882" s="26">
        <v>3.0000000000000001E-3</v>
      </c>
      <c r="K29882" s="26">
        <v>1.12E-2</v>
      </c>
      <c r="L29882" s="26">
        <v>1.5E-3</v>
      </c>
      <c r="M29882" s="26">
        <v>4.8999999999999998E-3</v>
      </c>
      <c r="N29882">
        <v>106</v>
      </c>
    </row>
    <row r="29883" spans="1:14" x14ac:dyDescent="0.35">
      <c r="A29883" t="s">
        <v>230</v>
      </c>
      <c r="B29883" t="s">
        <v>1341</v>
      </c>
      <c r="C29883" t="s">
        <v>1348</v>
      </c>
      <c r="D29883" s="26">
        <v>0.85929999999999995</v>
      </c>
      <c r="E29883" s="26">
        <v>6.59E-2</v>
      </c>
      <c r="F29883" s="26">
        <v>1.52E-2</v>
      </c>
      <c r="G29883" s="26">
        <v>2.0500000000000001E-2</v>
      </c>
      <c r="H29883" s="26">
        <v>9.9000000000000008E-3</v>
      </c>
      <c r="I29883" s="26">
        <v>5.7599999999999998E-2</v>
      </c>
      <c r="J29883" s="26">
        <v>5.3699999999999998E-2</v>
      </c>
      <c r="K29883" s="26">
        <v>1.3899999999999999E-2</v>
      </c>
      <c r="L29883" s="26">
        <v>6.0000000000000001E-3</v>
      </c>
      <c r="M29883" s="26">
        <v>2E-3</v>
      </c>
      <c r="N29883">
        <v>75</v>
      </c>
    </row>
    <row r="29884" spans="1:14" x14ac:dyDescent="0.35">
      <c r="A29884" t="s">
        <v>230</v>
      </c>
      <c r="B29884" t="s">
        <v>1341</v>
      </c>
      <c r="C29884" t="s">
        <v>1347</v>
      </c>
      <c r="D29884" s="26">
        <v>0.80210000000000004</v>
      </c>
      <c r="E29884" s="26">
        <v>9.7299999999999998E-2</v>
      </c>
      <c r="G29884" s="26">
        <v>4.0800000000000003E-2</v>
      </c>
      <c r="H29884" s="26">
        <v>0.12959999999999999</v>
      </c>
      <c r="I29884" s="26">
        <v>2.75E-2</v>
      </c>
      <c r="J29884" s="26">
        <v>2.1700000000000001E-2</v>
      </c>
      <c r="K29884" s="26">
        <v>1.23E-2</v>
      </c>
      <c r="L29884" s="26">
        <v>5.7999999999999996E-3</v>
      </c>
      <c r="N29884">
        <v>47</v>
      </c>
    </row>
    <row r="29885" spans="1:14" x14ac:dyDescent="0.35">
      <c r="A29885" s="27" t="s">
        <v>230</v>
      </c>
      <c r="B29885" s="27" t="s">
        <v>1343</v>
      </c>
      <c r="C29885" s="27" t="s">
        <v>1345</v>
      </c>
      <c r="D29885" s="28">
        <v>0.27760000000000001</v>
      </c>
      <c r="E29885" s="28">
        <v>0.72240000000000004</v>
      </c>
      <c r="F29885" s="29"/>
      <c r="G29885" s="29"/>
      <c r="H29885" s="29"/>
      <c r="I29885" s="29"/>
      <c r="J29885" s="29"/>
      <c r="K29885" s="29"/>
      <c r="L29885" s="29"/>
      <c r="M29885" s="29"/>
      <c r="N29885" s="29" t="s">
        <v>337</v>
      </c>
    </row>
    <row r="29886" spans="1:14" x14ac:dyDescent="0.35">
      <c r="A29886" t="s">
        <v>230</v>
      </c>
      <c r="B29886" t="s">
        <v>1341</v>
      </c>
      <c r="C29886" t="s">
        <v>1346</v>
      </c>
      <c r="D29886" s="26">
        <v>0.97740000000000005</v>
      </c>
      <c r="E29886" s="26">
        <v>4.3E-3</v>
      </c>
      <c r="G29886" s="26">
        <v>2.2599999999999999E-2</v>
      </c>
      <c r="H29886" s="26">
        <v>4.3E-3</v>
      </c>
      <c r="I29886" s="26">
        <v>8.6E-3</v>
      </c>
      <c r="J29886" s="26">
        <v>4.3E-3</v>
      </c>
      <c r="K29886" s="26">
        <v>4.3E-3</v>
      </c>
      <c r="L29886" s="26">
        <v>4.3E-3</v>
      </c>
      <c r="N29886">
        <v>30</v>
      </c>
    </row>
    <row r="29887" spans="1:14" x14ac:dyDescent="0.35">
      <c r="A29887" t="s">
        <v>231</v>
      </c>
      <c r="B29887" t="s">
        <v>1343</v>
      </c>
      <c r="C29887" t="s">
        <v>1348</v>
      </c>
      <c r="D29887" s="26">
        <v>0.88</v>
      </c>
      <c r="F29887" s="26">
        <v>0.1</v>
      </c>
      <c r="G29887" s="26">
        <v>0.02</v>
      </c>
      <c r="N29887">
        <v>50</v>
      </c>
    </row>
    <row r="29888" spans="1:14" x14ac:dyDescent="0.35">
      <c r="A29888" s="27" t="s">
        <v>231</v>
      </c>
      <c r="B29888" s="27" t="s">
        <v>1343</v>
      </c>
      <c r="C29888" s="27" t="s">
        <v>1345</v>
      </c>
      <c r="D29888" s="28">
        <v>0.66669999999999996</v>
      </c>
      <c r="E29888" s="28">
        <v>0.33329999999999999</v>
      </c>
      <c r="F29888" s="29"/>
      <c r="G29888" s="29"/>
      <c r="H29888" s="29"/>
      <c r="I29888" s="29"/>
      <c r="J29888" s="29"/>
      <c r="K29888" s="29"/>
      <c r="L29888" s="29"/>
      <c r="M29888" s="29"/>
      <c r="N29888" s="29" t="s">
        <v>315</v>
      </c>
    </row>
    <row r="29889" spans="1:14" x14ac:dyDescent="0.35">
      <c r="A29889" t="s">
        <v>231</v>
      </c>
      <c r="B29889" t="s">
        <v>1341</v>
      </c>
      <c r="C29889" t="s">
        <v>1348</v>
      </c>
      <c r="D29889" s="26">
        <v>0.88890000000000002</v>
      </c>
      <c r="E29889" s="26">
        <v>5.5599999999999997E-2</v>
      </c>
      <c r="F29889" s="26">
        <v>5.5599999999999997E-2</v>
      </c>
      <c r="I29889" s="26">
        <v>2.7799999999999998E-2</v>
      </c>
      <c r="K29889" s="26">
        <v>2.7799999999999998E-2</v>
      </c>
      <c r="N29889">
        <v>36</v>
      </c>
    </row>
    <row r="29890" spans="1:14" x14ac:dyDescent="0.35">
      <c r="A29890" s="27" t="s">
        <v>231</v>
      </c>
      <c r="B29890" s="27" t="s">
        <v>1341</v>
      </c>
      <c r="C29890" s="27" t="s">
        <v>1345</v>
      </c>
      <c r="D29890" s="28">
        <v>1</v>
      </c>
      <c r="E29890" s="29"/>
      <c r="F29890" s="29"/>
      <c r="G29890" s="29"/>
      <c r="H29890" s="29"/>
      <c r="I29890" s="29"/>
      <c r="J29890" s="29"/>
      <c r="K29890" s="29"/>
      <c r="L29890" s="29"/>
      <c r="M29890" s="29"/>
      <c r="N29890" s="29" t="s">
        <v>331</v>
      </c>
    </row>
    <row r="29891" spans="1:14" x14ac:dyDescent="0.35">
      <c r="A29891" s="27" t="s">
        <v>231</v>
      </c>
      <c r="B29891" s="27" t="s">
        <v>1343</v>
      </c>
      <c r="C29891" s="27" t="s">
        <v>1346</v>
      </c>
      <c r="D29891" s="28">
        <v>0.92310000000000003</v>
      </c>
      <c r="E29891" s="29"/>
      <c r="F29891" s="28">
        <v>3.85E-2</v>
      </c>
      <c r="G29891" s="29"/>
      <c r="H29891" s="28">
        <v>3.85E-2</v>
      </c>
      <c r="I29891" s="29"/>
      <c r="J29891" s="29"/>
      <c r="K29891" s="29"/>
      <c r="L29891" s="29"/>
      <c r="M29891" s="29"/>
      <c r="N29891" s="29" t="s">
        <v>357</v>
      </c>
    </row>
    <row r="29892" spans="1:14" x14ac:dyDescent="0.35">
      <c r="A29892" s="27" t="s">
        <v>231</v>
      </c>
      <c r="B29892" s="27" t="s">
        <v>1341</v>
      </c>
      <c r="C29892" s="27" t="s">
        <v>1346</v>
      </c>
      <c r="D29892" s="28">
        <v>0.78569999999999995</v>
      </c>
      <c r="E29892" s="28">
        <v>7.1400000000000005E-2</v>
      </c>
      <c r="F29892" s="28">
        <v>0.1429</v>
      </c>
      <c r="G29892" s="29"/>
      <c r="H29892" s="29"/>
      <c r="I29892" s="29"/>
      <c r="J29892" s="29"/>
      <c r="K29892" s="29"/>
      <c r="L29892" s="29"/>
      <c r="M29892" s="29"/>
      <c r="N29892" s="29" t="s">
        <v>379</v>
      </c>
    </row>
    <row r="29893" spans="1:14" x14ac:dyDescent="0.35">
      <c r="A29893" s="27" t="s">
        <v>231</v>
      </c>
      <c r="B29893" s="27" t="s">
        <v>1341</v>
      </c>
      <c r="C29893" s="27" t="s">
        <v>1347</v>
      </c>
      <c r="D29893" s="28">
        <v>0.92859999999999998</v>
      </c>
      <c r="E29893" s="29"/>
      <c r="F29893" s="29"/>
      <c r="G29893" s="29"/>
      <c r="H29893" s="28">
        <v>7.1400000000000005E-2</v>
      </c>
      <c r="I29893" s="29"/>
      <c r="J29893" s="29"/>
      <c r="K29893" s="29"/>
      <c r="L29893" s="29"/>
      <c r="M29893" s="29"/>
      <c r="N29893" s="29" t="s">
        <v>379</v>
      </c>
    </row>
    <row r="29894" spans="1:14" x14ac:dyDescent="0.35">
      <c r="A29894" s="27" t="s">
        <v>231</v>
      </c>
      <c r="B29894" s="27" t="s">
        <v>1343</v>
      </c>
      <c r="C29894" s="27" t="s">
        <v>1347</v>
      </c>
      <c r="D29894" s="28">
        <v>0.85</v>
      </c>
      <c r="E29894" s="28">
        <v>0.05</v>
      </c>
      <c r="F29894" s="29"/>
      <c r="G29894" s="29"/>
      <c r="H29894" s="29"/>
      <c r="I29894" s="28">
        <v>0.05</v>
      </c>
      <c r="J29894" s="28">
        <v>0.05</v>
      </c>
      <c r="K29894" s="28">
        <v>0.05</v>
      </c>
      <c r="L29894" s="29"/>
      <c r="M29894" s="29"/>
      <c r="N29894" s="29" t="s">
        <v>350</v>
      </c>
    </row>
    <row r="29895" spans="1:14" x14ac:dyDescent="0.35">
      <c r="A29895" t="s">
        <v>232</v>
      </c>
      <c r="B29895" t="s">
        <v>232</v>
      </c>
      <c r="C29895" t="s">
        <v>232</v>
      </c>
      <c r="D29895" s="26">
        <v>0.80789999999999995</v>
      </c>
      <c r="E29895" s="26">
        <v>8.48E-2</v>
      </c>
      <c r="F29895" s="26">
        <v>4.8800000000000003E-2</v>
      </c>
      <c r="G29895" s="26">
        <v>4.3700000000000003E-2</v>
      </c>
      <c r="H29895" s="26">
        <v>3.4299999999999997E-2</v>
      </c>
      <c r="I29895" s="26">
        <v>2.8000000000000001E-2</v>
      </c>
      <c r="J29895" s="26">
        <v>2.6599999999999999E-2</v>
      </c>
      <c r="K29895" s="26">
        <v>1.6E-2</v>
      </c>
      <c r="L29895" s="26">
        <v>7.1999999999999998E-3</v>
      </c>
      <c r="M29895" s="26">
        <v>5.0000000000000001E-3</v>
      </c>
      <c r="N29895">
        <v>2813</v>
      </c>
    </row>
    <row r="29897" spans="1:14" x14ac:dyDescent="0.35">
      <c r="A29897" s="1" t="s">
        <v>2663</v>
      </c>
    </row>
    <row r="29898" spans="1:14" x14ac:dyDescent="0.35">
      <c r="A29898" t="s">
        <v>219</v>
      </c>
      <c r="B29898" t="s">
        <v>1851</v>
      </c>
      <c r="C29898" t="s">
        <v>2664</v>
      </c>
      <c r="D29898" t="s">
        <v>2665</v>
      </c>
      <c r="E29898" t="s">
        <v>2666</v>
      </c>
      <c r="F29898" t="s">
        <v>281</v>
      </c>
      <c r="G29898" t="s">
        <v>2667</v>
      </c>
      <c r="H29898" t="s">
        <v>2668</v>
      </c>
      <c r="I29898" t="s">
        <v>2669</v>
      </c>
      <c r="J29898" t="s">
        <v>2670</v>
      </c>
      <c r="K29898" t="s">
        <v>286</v>
      </c>
      <c r="L29898" t="s">
        <v>226</v>
      </c>
    </row>
    <row r="29899" spans="1:14" x14ac:dyDescent="0.35">
      <c r="A29899" t="s">
        <v>227</v>
      </c>
      <c r="B29899" s="26">
        <v>0.94410000000000005</v>
      </c>
      <c r="C29899" s="26">
        <v>2.4799999999999999E-2</v>
      </c>
      <c r="D29899" s="26">
        <v>1.24E-2</v>
      </c>
      <c r="F29899" s="26">
        <v>6.1999999999999998E-3</v>
      </c>
      <c r="G29899" s="26">
        <v>1.24E-2</v>
      </c>
      <c r="H29899" s="26">
        <v>6.1999999999999998E-3</v>
      </c>
      <c r="I29899" s="26">
        <v>1.24E-2</v>
      </c>
      <c r="L29899">
        <v>161</v>
      </c>
    </row>
    <row r="29900" spans="1:14" x14ac:dyDescent="0.35">
      <c r="A29900" t="s">
        <v>228</v>
      </c>
      <c r="B29900" s="26">
        <v>0.77429999999999999</v>
      </c>
      <c r="C29900" s="26">
        <v>9.2700000000000005E-2</v>
      </c>
      <c r="D29900" s="26">
        <v>8.4099999999999994E-2</v>
      </c>
      <c r="E29900" s="26">
        <v>7.7100000000000002E-2</v>
      </c>
      <c r="F29900" s="26">
        <v>3.8100000000000002E-2</v>
      </c>
      <c r="G29900" s="26">
        <v>5.2400000000000002E-2</v>
      </c>
      <c r="H29900" s="26">
        <v>4.7899999999999998E-2</v>
      </c>
      <c r="I29900" s="26">
        <v>2.2700000000000001E-2</v>
      </c>
      <c r="J29900" s="26">
        <v>3.56E-2</v>
      </c>
      <c r="K29900" s="26">
        <v>1.5800000000000002E-2</v>
      </c>
      <c r="L29900">
        <v>1033</v>
      </c>
    </row>
    <row r="29901" spans="1:14" x14ac:dyDescent="0.35">
      <c r="A29901" t="s">
        <v>229</v>
      </c>
      <c r="B29901" s="26">
        <v>0.83819999999999995</v>
      </c>
      <c r="C29901" s="26">
        <v>7.2700000000000001E-2</v>
      </c>
      <c r="D29901" s="26">
        <v>6.1100000000000002E-2</v>
      </c>
      <c r="E29901" s="26">
        <v>5.4199999999999998E-2</v>
      </c>
      <c r="F29901" s="26">
        <v>2.5999999999999999E-2</v>
      </c>
      <c r="G29901" s="26">
        <v>4.2200000000000001E-2</v>
      </c>
      <c r="H29901" s="26">
        <v>3.8399999999999997E-2</v>
      </c>
      <c r="I29901" s="26">
        <v>3.9800000000000002E-2</v>
      </c>
      <c r="J29901" s="26">
        <v>2.0799999999999999E-2</v>
      </c>
      <c r="K29901" s="26">
        <v>2.7000000000000001E-3</v>
      </c>
      <c r="L29901">
        <v>895</v>
      </c>
    </row>
    <row r="29902" spans="1:14" x14ac:dyDescent="0.35">
      <c r="A29902" t="s">
        <v>230</v>
      </c>
      <c r="B29902" s="26">
        <v>0.82879999999999998</v>
      </c>
      <c r="C29902" s="26">
        <v>7.1400000000000005E-2</v>
      </c>
      <c r="D29902" s="26">
        <v>5.7599999999999998E-2</v>
      </c>
      <c r="E29902" s="26">
        <v>6.3200000000000006E-2</v>
      </c>
      <c r="F29902" s="26">
        <v>2.7E-2</v>
      </c>
      <c r="G29902" s="26">
        <v>3.5499999999999997E-2</v>
      </c>
      <c r="H29902" s="26">
        <v>4.5900000000000003E-2</v>
      </c>
      <c r="I29902" s="26">
        <v>1.49E-2</v>
      </c>
      <c r="J29902" s="26">
        <v>2.1700000000000001E-2</v>
      </c>
      <c r="K29902" s="26">
        <v>1.26E-2</v>
      </c>
      <c r="L29902">
        <v>560</v>
      </c>
    </row>
    <row r="29903" spans="1:14" x14ac:dyDescent="0.35">
      <c r="A29903" t="s">
        <v>231</v>
      </c>
      <c r="B29903" s="26">
        <v>0.92069999999999996</v>
      </c>
      <c r="C29903" s="26">
        <v>1.2200000000000001E-2</v>
      </c>
      <c r="D29903" s="26">
        <v>2.4400000000000002E-2</v>
      </c>
      <c r="E29903" s="26">
        <v>6.1000000000000004E-3</v>
      </c>
      <c r="F29903" s="26">
        <v>4.8800000000000003E-2</v>
      </c>
      <c r="G29903" s="26">
        <v>1.2200000000000001E-2</v>
      </c>
      <c r="L29903">
        <v>164</v>
      </c>
    </row>
    <row r="29904" spans="1:14" x14ac:dyDescent="0.35">
      <c r="A29904" t="s">
        <v>232</v>
      </c>
      <c r="B29904" s="26">
        <v>0.86360000000000003</v>
      </c>
      <c r="C29904" s="26">
        <v>5.2600000000000001E-2</v>
      </c>
      <c r="D29904" s="26">
        <v>4.7800000000000002E-2</v>
      </c>
      <c r="E29904" s="26">
        <v>3.8100000000000002E-2</v>
      </c>
      <c r="F29904" s="26">
        <v>3.1699999999999999E-2</v>
      </c>
      <c r="G29904" s="26">
        <v>3.0800000000000001E-2</v>
      </c>
      <c r="H29904" s="26">
        <v>2.5600000000000001E-2</v>
      </c>
      <c r="I29904" s="26">
        <v>1.9E-2</v>
      </c>
      <c r="J29904" s="26">
        <v>1.49E-2</v>
      </c>
      <c r="K29904" s="26">
        <v>5.0000000000000001E-3</v>
      </c>
      <c r="L29904">
        <v>2813</v>
      </c>
    </row>
    <row r="29906" spans="1:13" x14ac:dyDescent="0.35">
      <c r="A29906" s="1" t="s">
        <v>2671</v>
      </c>
    </row>
    <row r="29907" spans="1:13" x14ac:dyDescent="0.35">
      <c r="A29907" t="s">
        <v>219</v>
      </c>
      <c r="B29907" t="s">
        <v>305</v>
      </c>
      <c r="C29907" t="s">
        <v>1851</v>
      </c>
      <c r="D29907" t="s">
        <v>2664</v>
      </c>
      <c r="E29907" t="s">
        <v>2665</v>
      </c>
      <c r="F29907" t="s">
        <v>2666</v>
      </c>
      <c r="G29907" t="s">
        <v>281</v>
      </c>
      <c r="H29907" t="s">
        <v>2667</v>
      </c>
      <c r="I29907" t="s">
        <v>2668</v>
      </c>
      <c r="J29907" t="s">
        <v>2669</v>
      </c>
      <c r="K29907" t="s">
        <v>2670</v>
      </c>
      <c r="L29907" t="s">
        <v>286</v>
      </c>
      <c r="M29907" t="s">
        <v>226</v>
      </c>
    </row>
    <row r="29908" spans="1:13" x14ac:dyDescent="0.35">
      <c r="A29908" t="s">
        <v>227</v>
      </c>
      <c r="B29908" t="s">
        <v>242</v>
      </c>
      <c r="C29908" s="26">
        <v>0.95589999999999997</v>
      </c>
      <c r="D29908" s="26">
        <v>2.9399999999999999E-2</v>
      </c>
      <c r="J29908" s="26">
        <v>1.47E-2</v>
      </c>
      <c r="M29908">
        <v>68</v>
      </c>
    </row>
    <row r="29909" spans="1:13" x14ac:dyDescent="0.35">
      <c r="A29909" t="s">
        <v>227</v>
      </c>
      <c r="B29909" t="s">
        <v>241</v>
      </c>
      <c r="C29909" s="26">
        <v>0.9355</v>
      </c>
      <c r="D29909" s="26">
        <v>2.1499999999999998E-2</v>
      </c>
      <c r="E29909" s="26">
        <v>2.1499999999999998E-2</v>
      </c>
      <c r="G29909" s="26">
        <v>1.0800000000000001E-2</v>
      </c>
      <c r="H29909" s="26">
        <v>2.1499999999999998E-2</v>
      </c>
      <c r="I29909" s="26">
        <v>1.0800000000000001E-2</v>
      </c>
      <c r="J29909" s="26">
        <v>1.0800000000000001E-2</v>
      </c>
      <c r="M29909">
        <v>93</v>
      </c>
    </row>
    <row r="29910" spans="1:13" x14ac:dyDescent="0.35">
      <c r="A29910" t="s">
        <v>228</v>
      </c>
      <c r="B29910" t="s">
        <v>242</v>
      </c>
      <c r="C29910" s="26">
        <v>0.76600000000000001</v>
      </c>
      <c r="D29910" s="26">
        <v>6.93E-2</v>
      </c>
      <c r="E29910" s="26">
        <v>8.1600000000000006E-2</v>
      </c>
      <c r="F29910" s="26">
        <v>6.7599999999999993E-2</v>
      </c>
      <c r="G29910" s="26">
        <v>5.6899999999999999E-2</v>
      </c>
      <c r="H29910" s="26">
        <v>4.7199999999999999E-2</v>
      </c>
      <c r="I29910" s="26">
        <v>3.9100000000000003E-2</v>
      </c>
      <c r="J29910" s="26">
        <v>1.7299999999999999E-2</v>
      </c>
      <c r="K29910" s="26">
        <v>3.9899999999999998E-2</v>
      </c>
      <c r="L29910" s="26">
        <v>1.7999999999999999E-2</v>
      </c>
      <c r="M29910">
        <v>402</v>
      </c>
    </row>
    <row r="29911" spans="1:13" x14ac:dyDescent="0.35">
      <c r="A29911" t="s">
        <v>228</v>
      </c>
      <c r="B29911" t="s">
        <v>241</v>
      </c>
      <c r="C29911" s="26">
        <v>0.77910000000000001</v>
      </c>
      <c r="D29911" s="26">
        <v>0.1061</v>
      </c>
      <c r="E29911" s="26">
        <v>8.5500000000000007E-2</v>
      </c>
      <c r="F29911" s="26">
        <v>8.2600000000000007E-2</v>
      </c>
      <c r="G29911" s="26">
        <v>2.7400000000000001E-2</v>
      </c>
      <c r="H29911" s="26">
        <v>5.5399999999999998E-2</v>
      </c>
      <c r="I29911" s="26">
        <v>5.2900000000000003E-2</v>
      </c>
      <c r="J29911" s="26">
        <v>2.58E-2</v>
      </c>
      <c r="K29911" s="26">
        <v>3.3099999999999997E-2</v>
      </c>
      <c r="L29911" s="26">
        <v>1.4500000000000001E-2</v>
      </c>
      <c r="M29911">
        <v>631</v>
      </c>
    </row>
    <row r="29912" spans="1:13" x14ac:dyDescent="0.35">
      <c r="A29912" t="s">
        <v>229</v>
      </c>
      <c r="B29912" t="s">
        <v>242</v>
      </c>
      <c r="C29912" s="26">
        <v>0.83840000000000003</v>
      </c>
      <c r="D29912" s="26">
        <v>5.7200000000000001E-2</v>
      </c>
      <c r="E29912" s="26">
        <v>5.5399999999999998E-2</v>
      </c>
      <c r="F29912" s="26">
        <v>4.7199999999999999E-2</v>
      </c>
      <c r="G29912" s="26">
        <v>2.4E-2</v>
      </c>
      <c r="H29912" s="26">
        <v>4.9399999999999999E-2</v>
      </c>
      <c r="I29912" s="26">
        <v>4.58E-2</v>
      </c>
      <c r="J29912" s="26">
        <v>4.2900000000000001E-2</v>
      </c>
      <c r="K29912" s="26">
        <v>2.07E-2</v>
      </c>
      <c r="L29912" s="26">
        <v>1.6999999999999999E-3</v>
      </c>
      <c r="M29912">
        <v>292</v>
      </c>
    </row>
    <row r="29913" spans="1:13" x14ac:dyDescent="0.35">
      <c r="A29913" t="s">
        <v>229</v>
      </c>
      <c r="B29913" t="s">
        <v>241</v>
      </c>
      <c r="C29913" s="26">
        <v>0.83799999999999997</v>
      </c>
      <c r="D29913" s="26">
        <v>8.2600000000000007E-2</v>
      </c>
      <c r="E29913" s="26">
        <v>6.4799999999999996E-2</v>
      </c>
      <c r="F29913" s="26">
        <v>5.8700000000000002E-2</v>
      </c>
      <c r="G29913" s="26">
        <v>2.7300000000000001E-2</v>
      </c>
      <c r="H29913" s="26">
        <v>3.7699999999999997E-2</v>
      </c>
      <c r="I29913" s="26">
        <v>3.3799999999999997E-2</v>
      </c>
      <c r="J29913" s="26">
        <v>3.7699999999999997E-2</v>
      </c>
      <c r="K29913" s="26">
        <v>2.0799999999999999E-2</v>
      </c>
      <c r="L29913" s="26">
        <v>3.3999999999999998E-3</v>
      </c>
      <c r="M29913">
        <v>603</v>
      </c>
    </row>
    <row r="29914" spans="1:13" x14ac:dyDescent="0.35">
      <c r="A29914" t="s">
        <v>230</v>
      </c>
      <c r="B29914" t="s">
        <v>242</v>
      </c>
      <c r="C29914" s="26">
        <v>0.79549999999999998</v>
      </c>
      <c r="D29914" s="26">
        <v>5.7000000000000002E-2</v>
      </c>
      <c r="E29914" s="26">
        <v>4.87E-2</v>
      </c>
      <c r="F29914" s="26">
        <v>3.7999999999999999E-2</v>
      </c>
      <c r="G29914" s="26">
        <v>5.28E-2</v>
      </c>
      <c r="H29914" s="26">
        <v>4.7300000000000002E-2</v>
      </c>
      <c r="I29914" s="26">
        <v>6.3200000000000006E-2</v>
      </c>
      <c r="J29914" s="26">
        <v>1.12E-2</v>
      </c>
      <c r="K29914" s="26">
        <v>9.2999999999999992E-3</v>
      </c>
      <c r="L29914" s="26">
        <v>2.92E-2</v>
      </c>
      <c r="M29914">
        <v>189</v>
      </c>
    </row>
    <row r="29915" spans="1:13" x14ac:dyDescent="0.35">
      <c r="A29915" t="s">
        <v>230</v>
      </c>
      <c r="B29915" t="s">
        <v>241</v>
      </c>
      <c r="C29915" s="26">
        <v>0.84589999999999999</v>
      </c>
      <c r="D29915" s="26">
        <v>7.8799999999999995E-2</v>
      </c>
      <c r="E29915" s="26">
        <v>6.2199999999999998E-2</v>
      </c>
      <c r="F29915" s="26">
        <v>7.5999999999999998E-2</v>
      </c>
      <c r="G29915" s="26">
        <v>1.38E-2</v>
      </c>
      <c r="H29915" s="26">
        <v>2.9499999999999998E-2</v>
      </c>
      <c r="I29915" s="26">
        <v>3.6999999999999998E-2</v>
      </c>
      <c r="J29915" s="26">
        <v>1.6799999999999999E-2</v>
      </c>
      <c r="K29915" s="26">
        <v>2.8000000000000001E-2</v>
      </c>
      <c r="L29915" s="26">
        <v>4.1000000000000003E-3</v>
      </c>
      <c r="M29915">
        <v>371</v>
      </c>
    </row>
    <row r="29916" spans="1:13" x14ac:dyDescent="0.35">
      <c r="A29916" t="s">
        <v>231</v>
      </c>
      <c r="B29916" t="s">
        <v>242</v>
      </c>
      <c r="C29916" s="26">
        <v>0.92589999999999995</v>
      </c>
      <c r="D29916" s="26">
        <v>1.8499999999999999E-2</v>
      </c>
      <c r="E29916" s="26">
        <v>1.8499999999999999E-2</v>
      </c>
      <c r="G29916" s="26">
        <v>3.6999999999999998E-2</v>
      </c>
      <c r="H29916" s="26">
        <v>1.8499999999999999E-2</v>
      </c>
      <c r="M29916">
        <v>54</v>
      </c>
    </row>
    <row r="29917" spans="1:13" x14ac:dyDescent="0.35">
      <c r="A29917" t="s">
        <v>231</v>
      </c>
      <c r="B29917" t="s">
        <v>241</v>
      </c>
      <c r="C29917" s="26">
        <v>0.91820000000000002</v>
      </c>
      <c r="D29917" s="26">
        <v>9.1000000000000004E-3</v>
      </c>
      <c r="E29917" s="26">
        <v>2.7300000000000001E-2</v>
      </c>
      <c r="F29917" s="26">
        <v>9.1000000000000004E-3</v>
      </c>
      <c r="G29917" s="26">
        <v>5.45E-2</v>
      </c>
      <c r="H29917" s="26">
        <v>9.1000000000000004E-3</v>
      </c>
      <c r="M29917">
        <v>110</v>
      </c>
    </row>
    <row r="29918" spans="1:13" x14ac:dyDescent="0.35">
      <c r="A29918" t="s">
        <v>232</v>
      </c>
      <c r="B29918" t="s">
        <v>232</v>
      </c>
      <c r="C29918" s="26">
        <v>0.86360000000000003</v>
      </c>
      <c r="D29918" s="26">
        <v>5.2600000000000001E-2</v>
      </c>
      <c r="E29918" s="26">
        <v>4.7800000000000002E-2</v>
      </c>
      <c r="F29918" s="26">
        <v>3.8100000000000002E-2</v>
      </c>
      <c r="G29918" s="26">
        <v>3.1699999999999999E-2</v>
      </c>
      <c r="H29918" s="26">
        <v>3.0800000000000001E-2</v>
      </c>
      <c r="I29918" s="26">
        <v>2.5600000000000001E-2</v>
      </c>
      <c r="J29918" s="26">
        <v>1.9E-2</v>
      </c>
      <c r="K29918" s="26">
        <v>1.49E-2</v>
      </c>
      <c r="L29918" s="26">
        <v>5.0000000000000001E-3</v>
      </c>
      <c r="M29918">
        <v>2813</v>
      </c>
    </row>
    <row r="29920" spans="1:13" x14ac:dyDescent="0.35">
      <c r="A29920" s="1" t="s">
        <v>2672</v>
      </c>
    </row>
    <row r="29921" spans="1:13" x14ac:dyDescent="0.35">
      <c r="A29921" t="s">
        <v>219</v>
      </c>
      <c r="B29921" t="s">
        <v>305</v>
      </c>
      <c r="C29921" t="s">
        <v>1851</v>
      </c>
      <c r="D29921" t="s">
        <v>2664</v>
      </c>
      <c r="E29921" t="s">
        <v>2665</v>
      </c>
      <c r="F29921" t="s">
        <v>2666</v>
      </c>
      <c r="G29921" t="s">
        <v>281</v>
      </c>
      <c r="H29921" t="s">
        <v>2667</v>
      </c>
      <c r="I29921" t="s">
        <v>2668</v>
      </c>
      <c r="J29921" t="s">
        <v>2669</v>
      </c>
      <c r="K29921" t="s">
        <v>2670</v>
      </c>
      <c r="L29921" t="s">
        <v>286</v>
      </c>
      <c r="M29921" t="s">
        <v>226</v>
      </c>
    </row>
    <row r="29922" spans="1:13" x14ac:dyDescent="0.35">
      <c r="A29922" t="s">
        <v>227</v>
      </c>
      <c r="B29922" t="s">
        <v>239</v>
      </c>
      <c r="C29922" s="26">
        <v>0.9516</v>
      </c>
      <c r="D29922" s="26">
        <v>1.61E-2</v>
      </c>
      <c r="E29922" s="26">
        <v>1.61E-2</v>
      </c>
      <c r="H29922" s="26">
        <v>1.61E-2</v>
      </c>
      <c r="J29922" s="26">
        <v>1.61E-2</v>
      </c>
      <c r="M29922">
        <v>62</v>
      </c>
    </row>
    <row r="29923" spans="1:13" x14ac:dyDescent="0.35">
      <c r="A29923" t="s">
        <v>227</v>
      </c>
      <c r="B29923" t="s">
        <v>238</v>
      </c>
      <c r="C29923" s="26">
        <v>0.93940000000000001</v>
      </c>
      <c r="D29923" s="26">
        <v>3.0300000000000001E-2</v>
      </c>
      <c r="E29923" s="26">
        <v>1.01E-2</v>
      </c>
      <c r="G29923" s="26">
        <v>1.01E-2</v>
      </c>
      <c r="H29923" s="26">
        <v>1.01E-2</v>
      </c>
      <c r="I29923" s="26">
        <v>1.01E-2</v>
      </c>
      <c r="J29923" s="26">
        <v>1.01E-2</v>
      </c>
      <c r="M29923">
        <v>99</v>
      </c>
    </row>
    <row r="29924" spans="1:13" x14ac:dyDescent="0.35">
      <c r="A29924" t="s">
        <v>228</v>
      </c>
      <c r="B29924" t="s">
        <v>239</v>
      </c>
      <c r="C29924" s="26">
        <v>0.79330000000000001</v>
      </c>
      <c r="D29924" s="26">
        <v>9.6000000000000002E-2</v>
      </c>
      <c r="E29924" s="26">
        <v>6.9000000000000006E-2</v>
      </c>
      <c r="F29924" s="26">
        <v>5.67E-2</v>
      </c>
      <c r="G29924" s="26">
        <v>5.0799999999999998E-2</v>
      </c>
      <c r="H29924" s="26">
        <v>7.1300000000000002E-2</v>
      </c>
      <c r="I29924" s="26">
        <v>5.4300000000000001E-2</v>
      </c>
      <c r="J29924" s="26">
        <v>2.3099999999999999E-2</v>
      </c>
      <c r="K29924" s="26">
        <v>3.73E-2</v>
      </c>
      <c r="L29924" s="26">
        <v>2.07E-2</v>
      </c>
      <c r="M29924">
        <v>330</v>
      </c>
    </row>
    <row r="29925" spans="1:13" x14ac:dyDescent="0.35">
      <c r="A29925" t="s">
        <v>228</v>
      </c>
      <c r="B29925" t="s">
        <v>238</v>
      </c>
      <c r="C29925" s="26">
        <v>0.76939999999999997</v>
      </c>
      <c r="D29925" s="26">
        <v>9.1899999999999996E-2</v>
      </c>
      <c r="E29925" s="26">
        <v>8.7999999999999995E-2</v>
      </c>
      <c r="F29925" s="26">
        <v>8.2500000000000004E-2</v>
      </c>
      <c r="G29925" s="26">
        <v>3.4799999999999998E-2</v>
      </c>
      <c r="H29925" s="26">
        <v>4.7500000000000001E-2</v>
      </c>
      <c r="I29925" s="26">
        <v>4.6199999999999998E-2</v>
      </c>
      <c r="J29925" s="26">
        <v>2.2599999999999999E-2</v>
      </c>
      <c r="K29925" s="26">
        <v>3.5099999999999999E-2</v>
      </c>
      <c r="L29925" s="26">
        <v>1.4500000000000001E-2</v>
      </c>
      <c r="M29925">
        <v>703</v>
      </c>
    </row>
    <row r="29926" spans="1:13" x14ac:dyDescent="0.35">
      <c r="A29926" t="s">
        <v>229</v>
      </c>
      <c r="B29926" t="s">
        <v>239</v>
      </c>
      <c r="C29926" s="26">
        <v>0.8397</v>
      </c>
      <c r="D29926" s="26">
        <v>7.0699999999999999E-2</v>
      </c>
      <c r="E29926" s="26">
        <v>7.8299999999999995E-2</v>
      </c>
      <c r="F29926" s="26">
        <v>4.2999999999999997E-2</v>
      </c>
      <c r="G29926" s="26">
        <v>2.4899999999999999E-2</v>
      </c>
      <c r="H29926" s="26">
        <v>3.6600000000000001E-2</v>
      </c>
      <c r="I29926" s="26">
        <v>2.2700000000000001E-2</v>
      </c>
      <c r="J29926" s="26">
        <v>4.9599999999999998E-2</v>
      </c>
      <c r="K29926" s="26">
        <v>1.9099999999999999E-2</v>
      </c>
      <c r="L29926" s="26">
        <v>3.8999999999999998E-3</v>
      </c>
      <c r="M29926">
        <v>332</v>
      </c>
    </row>
    <row r="29927" spans="1:13" x14ac:dyDescent="0.35">
      <c r="A29927" t="s">
        <v>229</v>
      </c>
      <c r="B29927" t="s">
        <v>238</v>
      </c>
      <c r="C29927" s="26">
        <v>0.8377</v>
      </c>
      <c r="D29927" s="26">
        <v>7.3400000000000007E-2</v>
      </c>
      <c r="E29927" s="26">
        <v>5.5199999999999999E-2</v>
      </c>
      <c r="F29927" s="26">
        <v>5.8000000000000003E-2</v>
      </c>
      <c r="G29927" s="26">
        <v>2.64E-2</v>
      </c>
      <c r="H29927" s="26">
        <v>4.4200000000000003E-2</v>
      </c>
      <c r="I29927" s="26">
        <v>4.3799999999999999E-2</v>
      </c>
      <c r="J29927" s="26">
        <v>3.6400000000000002E-2</v>
      </c>
      <c r="K29927" s="26">
        <v>2.1299999999999999E-2</v>
      </c>
      <c r="L29927" s="26">
        <v>2.3E-3</v>
      </c>
      <c r="M29927">
        <v>563</v>
      </c>
    </row>
    <row r="29928" spans="1:13" x14ac:dyDescent="0.35">
      <c r="A29928" t="s">
        <v>230</v>
      </c>
      <c r="B29928" t="s">
        <v>239</v>
      </c>
      <c r="C29928" s="26">
        <v>0.84640000000000004</v>
      </c>
      <c r="D29928" s="26">
        <v>6.6400000000000001E-2</v>
      </c>
      <c r="E29928" s="26">
        <v>6.3600000000000004E-2</v>
      </c>
      <c r="F29928" s="26">
        <v>7.8799999999999995E-2</v>
      </c>
      <c r="G29928" s="26">
        <v>7.7999999999999996E-3</v>
      </c>
      <c r="H29928" s="26">
        <v>2.6599999999999999E-2</v>
      </c>
      <c r="I29928" s="26">
        <v>4.4499999999999998E-2</v>
      </c>
      <c r="J29928" s="26">
        <v>1.5599999999999999E-2</v>
      </c>
      <c r="K29928" s="26">
        <v>8.6999999999999994E-3</v>
      </c>
      <c r="L29928" s="26">
        <v>1.2E-2</v>
      </c>
      <c r="M29928">
        <v>211</v>
      </c>
    </row>
    <row r="29929" spans="1:13" x14ac:dyDescent="0.35">
      <c r="A29929" t="s">
        <v>230</v>
      </c>
      <c r="B29929" t="s">
        <v>238</v>
      </c>
      <c r="C29929" s="26">
        <v>0.82130000000000003</v>
      </c>
      <c r="D29929" s="26">
        <v>7.3599999999999999E-2</v>
      </c>
      <c r="E29929" s="26">
        <v>5.5E-2</v>
      </c>
      <c r="F29929" s="26">
        <v>5.6500000000000002E-2</v>
      </c>
      <c r="G29929" s="26">
        <v>3.5299999999999998E-2</v>
      </c>
      <c r="H29929" s="26">
        <v>3.9399999999999998E-2</v>
      </c>
      <c r="I29929" s="26">
        <v>4.65E-2</v>
      </c>
      <c r="J29929" s="26">
        <v>1.46E-2</v>
      </c>
      <c r="K29929" s="26">
        <v>2.7300000000000001E-2</v>
      </c>
      <c r="L29929" s="26">
        <v>1.2800000000000001E-2</v>
      </c>
      <c r="M29929">
        <v>349</v>
      </c>
    </row>
    <row r="29930" spans="1:13" x14ac:dyDescent="0.35">
      <c r="A29930" t="s">
        <v>231</v>
      </c>
      <c r="B29930" t="s">
        <v>239</v>
      </c>
      <c r="C29930" s="26">
        <v>0.94740000000000002</v>
      </c>
      <c r="E29930" s="26">
        <v>1.7500000000000002E-2</v>
      </c>
      <c r="G29930" s="26">
        <v>3.5099999999999999E-2</v>
      </c>
      <c r="H29930" s="26">
        <v>1.7500000000000002E-2</v>
      </c>
      <c r="M29930">
        <v>57</v>
      </c>
    </row>
    <row r="29931" spans="1:13" x14ac:dyDescent="0.35">
      <c r="A29931" t="s">
        <v>231</v>
      </c>
      <c r="B29931" t="s">
        <v>238</v>
      </c>
      <c r="C29931" s="26">
        <v>0.90649999999999997</v>
      </c>
      <c r="D29931" s="26">
        <v>1.8700000000000001E-2</v>
      </c>
      <c r="E29931" s="26">
        <v>2.8000000000000001E-2</v>
      </c>
      <c r="F29931" s="26">
        <v>9.2999999999999992E-3</v>
      </c>
      <c r="G29931" s="26">
        <v>5.6099999999999997E-2</v>
      </c>
      <c r="H29931" s="26">
        <v>9.2999999999999992E-3</v>
      </c>
      <c r="M29931">
        <v>107</v>
      </c>
    </row>
    <row r="29932" spans="1:13" x14ac:dyDescent="0.35">
      <c r="A29932" t="s">
        <v>232</v>
      </c>
      <c r="B29932" t="s">
        <v>232</v>
      </c>
      <c r="C29932" s="26">
        <v>0.86360000000000003</v>
      </c>
      <c r="D29932" s="26">
        <v>5.2600000000000001E-2</v>
      </c>
      <c r="E29932" s="26">
        <v>4.7800000000000002E-2</v>
      </c>
      <c r="F29932" s="26">
        <v>3.8100000000000002E-2</v>
      </c>
      <c r="G29932" s="26">
        <v>3.1699999999999999E-2</v>
      </c>
      <c r="H29932" s="26">
        <v>3.0800000000000001E-2</v>
      </c>
      <c r="I29932" s="26">
        <v>2.5600000000000001E-2</v>
      </c>
      <c r="J29932" s="26">
        <v>1.9E-2</v>
      </c>
      <c r="K29932" s="26">
        <v>1.49E-2</v>
      </c>
      <c r="L29932" s="26">
        <v>5.0000000000000001E-3</v>
      </c>
      <c r="M29932">
        <v>2813</v>
      </c>
    </row>
    <row r="29934" spans="1:13" x14ac:dyDescent="0.35">
      <c r="A29934" s="1" t="s">
        <v>2673</v>
      </c>
    </row>
    <row r="29935" spans="1:13" x14ac:dyDescent="0.35">
      <c r="A29935" t="s">
        <v>219</v>
      </c>
      <c r="B29935" t="s">
        <v>305</v>
      </c>
      <c r="C29935" t="s">
        <v>1851</v>
      </c>
      <c r="D29935" t="s">
        <v>2664</v>
      </c>
      <c r="E29935" t="s">
        <v>2665</v>
      </c>
      <c r="F29935" t="s">
        <v>2666</v>
      </c>
      <c r="G29935" t="s">
        <v>281</v>
      </c>
      <c r="H29935" t="s">
        <v>2667</v>
      </c>
      <c r="I29935" t="s">
        <v>2668</v>
      </c>
      <c r="J29935" t="s">
        <v>2669</v>
      </c>
      <c r="K29935" t="s">
        <v>2670</v>
      </c>
      <c r="L29935" t="s">
        <v>286</v>
      </c>
      <c r="M29935" t="s">
        <v>226</v>
      </c>
    </row>
    <row r="29936" spans="1:13" x14ac:dyDescent="0.35">
      <c r="A29936" t="s">
        <v>227</v>
      </c>
      <c r="B29936" t="s">
        <v>244</v>
      </c>
      <c r="C29936" s="26">
        <v>0.9375</v>
      </c>
      <c r="D29936" s="26">
        <v>3.1199999999999999E-2</v>
      </c>
      <c r="E29936" s="26">
        <v>2.0799999999999999E-2</v>
      </c>
      <c r="G29936" s="26">
        <v>1.04E-2</v>
      </c>
      <c r="I29936" s="26">
        <v>1.04E-2</v>
      </c>
      <c r="J29936" s="26">
        <v>1.04E-2</v>
      </c>
      <c r="M29936">
        <v>96</v>
      </c>
    </row>
    <row r="29937" spans="1:13" x14ac:dyDescent="0.35">
      <c r="A29937" t="s">
        <v>227</v>
      </c>
      <c r="B29937" t="s">
        <v>245</v>
      </c>
      <c r="C29937" s="26">
        <v>0.94340000000000002</v>
      </c>
      <c r="D29937" s="26">
        <v>1.89E-2</v>
      </c>
      <c r="H29937" s="26">
        <v>3.7699999999999997E-2</v>
      </c>
      <c r="J29937" s="26">
        <v>1.89E-2</v>
      </c>
      <c r="M29937">
        <v>53</v>
      </c>
    </row>
    <row r="29938" spans="1:13" x14ac:dyDescent="0.35">
      <c r="A29938" s="27" t="s">
        <v>227</v>
      </c>
      <c r="B29938" s="27" t="s">
        <v>246</v>
      </c>
      <c r="C29938" s="28">
        <v>1</v>
      </c>
      <c r="D29938" s="29"/>
      <c r="E29938" s="29"/>
      <c r="F29938" s="29"/>
      <c r="G29938" s="29"/>
      <c r="H29938" s="29"/>
      <c r="I29938" s="29"/>
      <c r="J29938" s="29"/>
      <c r="K29938" s="29"/>
      <c r="L29938" s="29"/>
      <c r="M29938" s="29" t="s">
        <v>342</v>
      </c>
    </row>
    <row r="29939" spans="1:13" x14ac:dyDescent="0.35">
      <c r="A29939" t="s">
        <v>228</v>
      </c>
      <c r="B29939" t="s">
        <v>244</v>
      </c>
      <c r="C29939" s="26">
        <v>0.76890000000000003</v>
      </c>
      <c r="D29939" s="26">
        <v>0.1007</v>
      </c>
      <c r="E29939" s="26">
        <v>9.1700000000000004E-2</v>
      </c>
      <c r="F29939" s="26">
        <v>8.48E-2</v>
      </c>
      <c r="G29939" s="26">
        <v>2.8299999999999999E-2</v>
      </c>
      <c r="H29939" s="26">
        <v>5.8599999999999999E-2</v>
      </c>
      <c r="I29939" s="26">
        <v>4.9000000000000002E-2</v>
      </c>
      <c r="J29939" s="26">
        <v>2.0299999999999999E-2</v>
      </c>
      <c r="K29939" s="26">
        <v>3.8399999999999997E-2</v>
      </c>
      <c r="L29939" s="26">
        <v>2.07E-2</v>
      </c>
      <c r="M29939">
        <v>638</v>
      </c>
    </row>
    <row r="29940" spans="1:13" x14ac:dyDescent="0.35">
      <c r="A29940" t="s">
        <v>228</v>
      </c>
      <c r="B29940" t="s">
        <v>245</v>
      </c>
      <c r="C29940" s="26">
        <v>0.80259999999999998</v>
      </c>
      <c r="D29940" s="26">
        <v>7.4200000000000002E-2</v>
      </c>
      <c r="E29940" s="26">
        <v>5.9799999999999999E-2</v>
      </c>
      <c r="F29940" s="26">
        <v>7.0000000000000007E-2</v>
      </c>
      <c r="G29940" s="26">
        <v>4.6600000000000003E-2</v>
      </c>
      <c r="H29940" s="26">
        <v>2.4500000000000001E-2</v>
      </c>
      <c r="I29940" s="26">
        <v>4.24E-2</v>
      </c>
      <c r="J29940" s="26">
        <v>2.7300000000000001E-2</v>
      </c>
      <c r="K29940" s="26">
        <v>3.0099999999999998E-2</v>
      </c>
      <c r="L29940" s="26">
        <v>8.2000000000000007E-3</v>
      </c>
      <c r="M29940">
        <v>328</v>
      </c>
    </row>
    <row r="29941" spans="1:13" x14ac:dyDescent="0.35">
      <c r="A29941" t="s">
        <v>228</v>
      </c>
      <c r="B29941" t="s">
        <v>246</v>
      </c>
      <c r="C29941" s="26">
        <v>0.71089999999999998</v>
      </c>
      <c r="D29941" s="26">
        <v>9.1399999999999995E-2</v>
      </c>
      <c r="E29941" s="26">
        <v>0.10929999999999999</v>
      </c>
      <c r="F29941" s="26">
        <v>3.2500000000000001E-2</v>
      </c>
      <c r="G29941" s="26">
        <v>9.7000000000000003E-2</v>
      </c>
      <c r="H29941" s="26">
        <v>0.1074</v>
      </c>
      <c r="I29941" s="26">
        <v>0.06</v>
      </c>
      <c r="J29941" s="26">
        <v>2.6200000000000001E-2</v>
      </c>
      <c r="K29941" s="26">
        <v>3.0800000000000001E-2</v>
      </c>
      <c r="M29941">
        <v>67</v>
      </c>
    </row>
    <row r="29942" spans="1:13" x14ac:dyDescent="0.35">
      <c r="A29942" t="s">
        <v>229</v>
      </c>
      <c r="B29942" t="s">
        <v>244</v>
      </c>
      <c r="C29942" s="26">
        <v>0.84250000000000003</v>
      </c>
      <c r="D29942" s="26">
        <v>6.9000000000000006E-2</v>
      </c>
      <c r="E29942" s="26">
        <v>6.0900000000000003E-2</v>
      </c>
      <c r="F29942" s="26">
        <v>0.05</v>
      </c>
      <c r="G29942" s="26">
        <v>2.4299999999999999E-2</v>
      </c>
      <c r="H29942" s="26">
        <v>4.65E-2</v>
      </c>
      <c r="I29942" s="26">
        <v>4.0500000000000001E-2</v>
      </c>
      <c r="J29942" s="26">
        <v>3.5499999999999997E-2</v>
      </c>
      <c r="K29942" s="26">
        <v>2.3699999999999999E-2</v>
      </c>
      <c r="L29942" s="26">
        <v>4.0000000000000001E-3</v>
      </c>
      <c r="M29942">
        <v>557</v>
      </c>
    </row>
    <row r="29943" spans="1:13" x14ac:dyDescent="0.35">
      <c r="A29943" t="s">
        <v>229</v>
      </c>
      <c r="B29943" t="s">
        <v>245</v>
      </c>
      <c r="C29943" s="26">
        <v>0.83730000000000004</v>
      </c>
      <c r="D29943" s="26">
        <v>7.5200000000000003E-2</v>
      </c>
      <c r="E29943" s="26">
        <v>4.1799999999999997E-2</v>
      </c>
      <c r="F29943" s="26">
        <v>4.48E-2</v>
      </c>
      <c r="G29943" s="26">
        <v>3.6200000000000003E-2</v>
      </c>
      <c r="H29943" s="26">
        <v>5.0000000000000001E-3</v>
      </c>
      <c r="I29943" s="26">
        <v>3.0099999999999998E-2</v>
      </c>
      <c r="J29943" s="26">
        <v>2.81E-2</v>
      </c>
      <c r="K29943" s="26">
        <v>6.3E-3</v>
      </c>
      <c r="M29943">
        <v>293</v>
      </c>
    </row>
    <row r="29944" spans="1:13" x14ac:dyDescent="0.35">
      <c r="A29944" t="s">
        <v>229</v>
      </c>
      <c r="B29944" t="s">
        <v>246</v>
      </c>
      <c r="C29944" s="26">
        <v>0.7863</v>
      </c>
      <c r="D29944" s="26">
        <v>0.11020000000000001</v>
      </c>
      <c r="E29944" s="26">
        <v>0.1555</v>
      </c>
      <c r="F29944" s="26">
        <v>0.1537</v>
      </c>
      <c r="H29944" s="26">
        <v>0.1648</v>
      </c>
      <c r="I29944" s="26">
        <v>5.21E-2</v>
      </c>
      <c r="J29944" s="26">
        <v>0.15060000000000001</v>
      </c>
      <c r="K29944" s="26">
        <v>5.21E-2</v>
      </c>
      <c r="M29944">
        <v>45</v>
      </c>
    </row>
    <row r="29945" spans="1:13" x14ac:dyDescent="0.35">
      <c r="A29945" t="s">
        <v>230</v>
      </c>
      <c r="B29945" t="s">
        <v>244</v>
      </c>
      <c r="C29945" s="26">
        <v>0.81740000000000002</v>
      </c>
      <c r="D29945" s="26">
        <v>6.9500000000000006E-2</v>
      </c>
      <c r="E29945" s="26">
        <v>6.6400000000000001E-2</v>
      </c>
      <c r="F29945" s="26">
        <v>6.9199999999999998E-2</v>
      </c>
      <c r="G29945" s="26">
        <v>2.58E-2</v>
      </c>
      <c r="H29945" s="26">
        <v>4.1099999999999998E-2</v>
      </c>
      <c r="I29945" s="26">
        <v>5.2299999999999999E-2</v>
      </c>
      <c r="J29945" s="26">
        <v>1.8700000000000001E-2</v>
      </c>
      <c r="K29945" s="26">
        <v>2.46E-2</v>
      </c>
      <c r="L29945" s="26">
        <v>1.43E-2</v>
      </c>
      <c r="M29945">
        <v>370</v>
      </c>
    </row>
    <row r="29946" spans="1:13" x14ac:dyDescent="0.35">
      <c r="A29946" t="s">
        <v>230</v>
      </c>
      <c r="B29946" t="s">
        <v>245</v>
      </c>
      <c r="C29946" s="26">
        <v>0.84889999999999999</v>
      </c>
      <c r="D29946" s="26">
        <v>6.8199999999999997E-2</v>
      </c>
      <c r="E29946" s="26">
        <v>2.3099999999999999E-2</v>
      </c>
      <c r="F29946" s="26">
        <v>3.73E-2</v>
      </c>
      <c r="G29946" s="26">
        <v>3.5299999999999998E-2</v>
      </c>
      <c r="H29946" s="26">
        <v>6.7000000000000002E-3</v>
      </c>
      <c r="I29946" s="26">
        <v>1.5599999999999999E-2</v>
      </c>
      <c r="J29946" s="26">
        <v>6.6E-3</v>
      </c>
      <c r="K29946" s="26">
        <v>1.6899999999999998E-2</v>
      </c>
      <c r="L29946" s="26">
        <v>1.03E-2</v>
      </c>
      <c r="M29946">
        <v>161</v>
      </c>
    </row>
    <row r="29947" spans="1:13" x14ac:dyDescent="0.35">
      <c r="A29947" s="27" t="s">
        <v>230</v>
      </c>
      <c r="B29947" s="27" t="s">
        <v>246</v>
      </c>
      <c r="C29947" s="28">
        <v>0.88360000000000005</v>
      </c>
      <c r="D29947" s="28">
        <v>0.1164</v>
      </c>
      <c r="E29947" s="28">
        <v>0.1164</v>
      </c>
      <c r="F29947" s="28">
        <v>0.1164</v>
      </c>
      <c r="G29947" s="29"/>
      <c r="H29947" s="28">
        <v>0.1108</v>
      </c>
      <c r="I29947" s="28">
        <v>0.1164</v>
      </c>
      <c r="J29947" s="28">
        <v>5.5999999999999999E-3</v>
      </c>
      <c r="K29947" s="28">
        <v>5.5999999999999999E-3</v>
      </c>
      <c r="L29947" s="29"/>
      <c r="M29947" s="29" t="s">
        <v>329</v>
      </c>
    </row>
    <row r="29948" spans="1:13" x14ac:dyDescent="0.35">
      <c r="A29948" t="s">
        <v>231</v>
      </c>
      <c r="B29948" t="s">
        <v>244</v>
      </c>
      <c r="C29948" s="26">
        <v>0.88419999999999999</v>
      </c>
      <c r="D29948" s="26">
        <v>2.1100000000000001E-2</v>
      </c>
      <c r="E29948" s="26">
        <v>4.2099999999999999E-2</v>
      </c>
      <c r="F29948" s="26">
        <v>1.0500000000000001E-2</v>
      </c>
      <c r="G29948" s="26">
        <v>6.3200000000000006E-2</v>
      </c>
      <c r="H29948" s="26">
        <v>2.1100000000000001E-2</v>
      </c>
      <c r="M29948">
        <v>95</v>
      </c>
    </row>
    <row r="29949" spans="1:13" x14ac:dyDescent="0.35">
      <c r="A29949" t="s">
        <v>231</v>
      </c>
      <c r="B29949" t="s">
        <v>245</v>
      </c>
      <c r="C29949" s="26">
        <v>0.96430000000000005</v>
      </c>
      <c r="G29949" s="26">
        <v>3.5700000000000003E-2</v>
      </c>
      <c r="M29949">
        <v>56</v>
      </c>
    </row>
    <row r="29950" spans="1:13" x14ac:dyDescent="0.35">
      <c r="A29950" s="27" t="s">
        <v>231</v>
      </c>
      <c r="B29950" s="27" t="s">
        <v>246</v>
      </c>
      <c r="C29950" s="28">
        <v>1</v>
      </c>
      <c r="D29950" s="29"/>
      <c r="E29950" s="29"/>
      <c r="F29950" s="29"/>
      <c r="G29950" s="29"/>
      <c r="H29950" s="29"/>
      <c r="I29950" s="29"/>
      <c r="J29950" s="29"/>
      <c r="K29950" s="29"/>
      <c r="L29950" s="29"/>
      <c r="M29950" s="29" t="s">
        <v>341</v>
      </c>
    </row>
    <row r="29951" spans="1:13" x14ac:dyDescent="0.35">
      <c r="A29951" t="s">
        <v>232</v>
      </c>
      <c r="B29951" t="s">
        <v>232</v>
      </c>
      <c r="C29951" s="26">
        <v>0.86360000000000003</v>
      </c>
      <c r="D29951" s="26">
        <v>5.2600000000000001E-2</v>
      </c>
      <c r="E29951" s="26">
        <v>4.7800000000000002E-2</v>
      </c>
      <c r="F29951" s="26">
        <v>3.8100000000000002E-2</v>
      </c>
      <c r="G29951" s="26">
        <v>3.1699999999999999E-2</v>
      </c>
      <c r="H29951" s="26">
        <v>3.0800000000000001E-2</v>
      </c>
      <c r="I29951" s="26">
        <v>2.5600000000000001E-2</v>
      </c>
      <c r="J29951" s="26">
        <v>1.9E-2</v>
      </c>
      <c r="K29951" s="26">
        <v>1.49E-2</v>
      </c>
      <c r="L29951" s="26">
        <v>5.0000000000000001E-3</v>
      </c>
      <c r="M29951">
        <v>2813</v>
      </c>
    </row>
    <row r="29953" spans="1:13" x14ac:dyDescent="0.35">
      <c r="A29953" s="1" t="s">
        <v>2674</v>
      </c>
    </row>
    <row r="29954" spans="1:13" x14ac:dyDescent="0.35">
      <c r="A29954" t="s">
        <v>219</v>
      </c>
      <c r="B29954" t="s">
        <v>305</v>
      </c>
      <c r="C29954" t="s">
        <v>1851</v>
      </c>
      <c r="D29954" t="s">
        <v>2664</v>
      </c>
      <c r="E29954" t="s">
        <v>2665</v>
      </c>
      <c r="F29954" t="s">
        <v>2666</v>
      </c>
      <c r="G29954" t="s">
        <v>281</v>
      </c>
      <c r="H29954" t="s">
        <v>2667</v>
      </c>
      <c r="I29954" t="s">
        <v>2668</v>
      </c>
      <c r="J29954" t="s">
        <v>2669</v>
      </c>
      <c r="K29954" t="s">
        <v>2670</v>
      </c>
      <c r="L29954" t="s">
        <v>286</v>
      </c>
      <c r="M29954" t="s">
        <v>226</v>
      </c>
    </row>
    <row r="29955" spans="1:13" x14ac:dyDescent="0.35">
      <c r="A29955" t="s">
        <v>227</v>
      </c>
      <c r="B29955" t="s">
        <v>360</v>
      </c>
      <c r="C29955" s="26">
        <v>0.94869999999999999</v>
      </c>
      <c r="J29955" s="26">
        <v>5.1299999999999998E-2</v>
      </c>
      <c r="M29955">
        <v>39</v>
      </c>
    </row>
    <row r="29956" spans="1:13" x14ac:dyDescent="0.35">
      <c r="A29956" t="s">
        <v>227</v>
      </c>
      <c r="B29956" t="s">
        <v>361</v>
      </c>
      <c r="C29956" s="26">
        <v>0.96879999999999999</v>
      </c>
      <c r="D29956" s="26">
        <v>3.1199999999999999E-2</v>
      </c>
      <c r="E29956" s="26">
        <v>3.1199999999999999E-2</v>
      </c>
      <c r="I29956" s="26">
        <v>3.1199999999999999E-2</v>
      </c>
      <c r="M29956">
        <v>32</v>
      </c>
    </row>
    <row r="29957" spans="1:13" x14ac:dyDescent="0.35">
      <c r="A29957" t="s">
        <v>227</v>
      </c>
      <c r="B29957" t="s">
        <v>362</v>
      </c>
      <c r="C29957" s="26">
        <v>0.94589999999999996</v>
      </c>
      <c r="D29957" s="26">
        <v>2.7E-2</v>
      </c>
      <c r="E29957" s="26">
        <v>2.7E-2</v>
      </c>
      <c r="M29957">
        <v>37</v>
      </c>
    </row>
    <row r="29958" spans="1:13" x14ac:dyDescent="0.35">
      <c r="A29958" t="s">
        <v>227</v>
      </c>
      <c r="B29958" t="s">
        <v>363</v>
      </c>
      <c r="C29958" s="26">
        <v>1</v>
      </c>
      <c r="M29958">
        <v>45</v>
      </c>
    </row>
    <row r="29959" spans="1:13" x14ac:dyDescent="0.35">
      <c r="A29959" t="s">
        <v>228</v>
      </c>
      <c r="B29959" t="s">
        <v>360</v>
      </c>
      <c r="C29959" s="26">
        <v>0.72619999999999996</v>
      </c>
      <c r="D29959" s="26">
        <v>9.1600000000000001E-2</v>
      </c>
      <c r="E29959" s="26">
        <v>5.5599999999999997E-2</v>
      </c>
      <c r="F29959" s="26">
        <v>6.8699999999999997E-2</v>
      </c>
      <c r="G29959" s="26">
        <v>9.9500000000000005E-2</v>
      </c>
      <c r="H29959" s="26">
        <v>6.8099999999999994E-2</v>
      </c>
      <c r="I29959" s="26">
        <v>8.7099999999999997E-2</v>
      </c>
      <c r="J29959" s="26">
        <v>4.8000000000000001E-2</v>
      </c>
      <c r="K29959" s="26">
        <v>3.5700000000000003E-2</v>
      </c>
      <c r="L29959" s="26">
        <v>7.4999999999999997E-3</v>
      </c>
      <c r="M29959">
        <v>258</v>
      </c>
    </row>
    <row r="29960" spans="1:13" x14ac:dyDescent="0.35">
      <c r="A29960" t="s">
        <v>228</v>
      </c>
      <c r="B29960" t="s">
        <v>361</v>
      </c>
      <c r="C29960" s="26">
        <v>0.74199999999999999</v>
      </c>
      <c r="D29960" s="26">
        <v>0.14219999999999999</v>
      </c>
      <c r="E29960" s="26">
        <v>0.128</v>
      </c>
      <c r="F29960" s="26">
        <v>9.9000000000000005E-2</v>
      </c>
      <c r="G29960" s="26">
        <v>3.3999999999999998E-3</v>
      </c>
      <c r="H29960" s="26">
        <v>4.9799999999999997E-2</v>
      </c>
      <c r="I29960" s="26">
        <v>4.87E-2</v>
      </c>
      <c r="J29960" s="26">
        <v>1.1299999999999999E-2</v>
      </c>
      <c r="K29960" s="26">
        <v>6.6000000000000003E-2</v>
      </c>
      <c r="L29960" s="26">
        <v>1.38E-2</v>
      </c>
      <c r="M29960">
        <v>194</v>
      </c>
    </row>
    <row r="29961" spans="1:13" x14ac:dyDescent="0.35">
      <c r="A29961" t="s">
        <v>228</v>
      </c>
      <c r="B29961" t="s">
        <v>363</v>
      </c>
      <c r="C29961" s="26">
        <v>0.7611</v>
      </c>
      <c r="D29961" s="26">
        <v>8.9099999999999999E-2</v>
      </c>
      <c r="E29961" s="26">
        <v>0.1149</v>
      </c>
      <c r="F29961" s="26">
        <v>8.9399999999999993E-2</v>
      </c>
      <c r="G29961" s="26">
        <v>3.4299999999999997E-2</v>
      </c>
      <c r="H29961" s="26">
        <v>6.6199999999999995E-2</v>
      </c>
      <c r="I29961" s="26">
        <v>3.1199999999999999E-2</v>
      </c>
      <c r="J29961" s="26">
        <v>2.0899999999999998E-2</v>
      </c>
      <c r="K29961" s="26">
        <v>1.83E-2</v>
      </c>
      <c r="L29961" s="26">
        <v>1.84E-2</v>
      </c>
      <c r="M29961">
        <v>212</v>
      </c>
    </row>
    <row r="29962" spans="1:13" x14ac:dyDescent="0.35">
      <c r="A29962" t="s">
        <v>228</v>
      </c>
      <c r="B29962" t="s">
        <v>362</v>
      </c>
      <c r="C29962" s="26">
        <v>0.84960000000000002</v>
      </c>
      <c r="D29962" s="26">
        <v>5.1499999999999997E-2</v>
      </c>
      <c r="E29962" s="26">
        <v>3.9199999999999999E-2</v>
      </c>
      <c r="F29962" s="26">
        <v>6.1899999999999997E-2</v>
      </c>
      <c r="G29962" s="26">
        <v>3.3000000000000002E-2</v>
      </c>
      <c r="H29962" s="26">
        <v>3.95E-2</v>
      </c>
      <c r="I29962" s="26">
        <v>2.9499999999999998E-2</v>
      </c>
      <c r="J29962" s="26">
        <v>1.7899999999999999E-2</v>
      </c>
      <c r="K29962" s="26">
        <v>2.3400000000000001E-2</v>
      </c>
      <c r="L29962" s="26">
        <v>6.4999999999999997E-3</v>
      </c>
      <c r="M29962">
        <v>236</v>
      </c>
    </row>
    <row r="29963" spans="1:13" x14ac:dyDescent="0.35">
      <c r="A29963" t="s">
        <v>229</v>
      </c>
      <c r="B29963" t="s">
        <v>363</v>
      </c>
      <c r="C29963" s="26">
        <v>0.90800000000000003</v>
      </c>
      <c r="D29963" s="26">
        <v>4.7E-2</v>
      </c>
      <c r="E29963" s="26">
        <v>5.4600000000000003E-2</v>
      </c>
      <c r="F29963" s="26">
        <v>5.4600000000000003E-2</v>
      </c>
      <c r="G29963" s="26">
        <v>2.0899999999999998E-2</v>
      </c>
      <c r="H29963" s="26">
        <v>2.7400000000000001E-2</v>
      </c>
      <c r="I29963" s="26">
        <v>3.6999999999999998E-2</v>
      </c>
      <c r="J29963" s="26">
        <v>3.5499999999999997E-2</v>
      </c>
      <c r="K29963" s="26">
        <v>3.27E-2</v>
      </c>
      <c r="M29963">
        <v>191</v>
      </c>
    </row>
    <row r="29964" spans="1:13" x14ac:dyDescent="0.35">
      <c r="A29964" t="s">
        <v>229</v>
      </c>
      <c r="B29964" t="s">
        <v>360</v>
      </c>
      <c r="C29964" s="26">
        <v>0.81759999999999999</v>
      </c>
      <c r="D29964" s="26">
        <v>3.1399999999999997E-2</v>
      </c>
      <c r="E29964" s="26">
        <v>8.0699999999999994E-2</v>
      </c>
      <c r="F29964" s="26">
        <v>6.2300000000000001E-2</v>
      </c>
      <c r="G29964" s="26">
        <v>3.95E-2</v>
      </c>
      <c r="H29964" s="26">
        <v>4.0599999999999997E-2</v>
      </c>
      <c r="I29964" s="26">
        <v>2.01E-2</v>
      </c>
      <c r="J29964" s="26">
        <v>5.8900000000000001E-2</v>
      </c>
      <c r="K29964" s="26">
        <v>1.9599999999999999E-2</v>
      </c>
      <c r="L29964" s="26">
        <v>1.0800000000000001E-2</v>
      </c>
      <c r="M29964">
        <v>164</v>
      </c>
    </row>
    <row r="29965" spans="1:13" x14ac:dyDescent="0.35">
      <c r="A29965" t="s">
        <v>229</v>
      </c>
      <c r="B29965" t="s">
        <v>361</v>
      </c>
      <c r="C29965" s="26">
        <v>0.82340000000000002</v>
      </c>
      <c r="D29965" s="26">
        <v>9.8799999999999999E-2</v>
      </c>
      <c r="E29965" s="26">
        <v>6.4100000000000004E-2</v>
      </c>
      <c r="F29965" s="26">
        <v>6.3399999999999998E-2</v>
      </c>
      <c r="G29965" s="26">
        <v>1.6199999999999999E-2</v>
      </c>
      <c r="H29965" s="26">
        <v>4.5499999999999999E-2</v>
      </c>
      <c r="I29965" s="26">
        <v>4.3900000000000002E-2</v>
      </c>
      <c r="J29965" s="26">
        <v>1.7299999999999999E-2</v>
      </c>
      <c r="K29965" s="26">
        <v>1.83E-2</v>
      </c>
      <c r="L29965" s="26">
        <v>1.1000000000000001E-3</v>
      </c>
      <c r="M29965">
        <v>243</v>
      </c>
    </row>
    <row r="29966" spans="1:13" x14ac:dyDescent="0.35">
      <c r="A29966" t="s">
        <v>229</v>
      </c>
      <c r="B29966" t="s">
        <v>362</v>
      </c>
      <c r="C29966" s="26">
        <v>0.85629999999999995</v>
      </c>
      <c r="D29966" s="26">
        <v>4.3400000000000001E-2</v>
      </c>
      <c r="E29966" s="26">
        <v>1.83E-2</v>
      </c>
      <c r="F29966" s="26">
        <v>1.8100000000000002E-2</v>
      </c>
      <c r="G29966" s="26">
        <v>1.9199999999999998E-2</v>
      </c>
      <c r="H29966" s="26">
        <v>4.2000000000000003E-2</v>
      </c>
      <c r="I29966" s="26">
        <v>3.1E-2</v>
      </c>
      <c r="J29966" s="26">
        <v>4.5900000000000003E-2</v>
      </c>
      <c r="K29966" s="26">
        <v>4.7000000000000002E-3</v>
      </c>
      <c r="M29966">
        <v>171</v>
      </c>
    </row>
    <row r="29967" spans="1:13" x14ac:dyDescent="0.35">
      <c r="A29967" t="s">
        <v>230</v>
      </c>
      <c r="B29967" t="s">
        <v>360</v>
      </c>
      <c r="C29967" s="26">
        <v>0.8337</v>
      </c>
      <c r="D29967" s="26">
        <v>5.1900000000000002E-2</v>
      </c>
      <c r="E29967" s="26">
        <v>4.6699999999999998E-2</v>
      </c>
      <c r="F29967" s="26">
        <v>4.5199999999999997E-2</v>
      </c>
      <c r="G29967" s="26">
        <v>2.64E-2</v>
      </c>
      <c r="H29967" s="26">
        <v>4.0899999999999999E-2</v>
      </c>
      <c r="I29967" s="26">
        <v>3.4599999999999999E-2</v>
      </c>
      <c r="J29967" s="26">
        <v>2.8999999999999998E-3</v>
      </c>
      <c r="K29967" s="26">
        <v>3.4599999999999999E-2</v>
      </c>
      <c r="L29967" s="26">
        <v>3.85E-2</v>
      </c>
      <c r="M29967">
        <v>120</v>
      </c>
    </row>
    <row r="29968" spans="1:13" x14ac:dyDescent="0.35">
      <c r="A29968" t="s">
        <v>230</v>
      </c>
      <c r="B29968" t="s">
        <v>363</v>
      </c>
      <c r="C29968" s="26">
        <v>0.82450000000000001</v>
      </c>
      <c r="D29968" s="26">
        <v>0.1082</v>
      </c>
      <c r="E29968" s="26">
        <v>8.6099999999999996E-2</v>
      </c>
      <c r="F29968" s="26">
        <v>7.3599999999999999E-2</v>
      </c>
      <c r="G29968" s="26">
        <v>8.8999999999999999E-3</v>
      </c>
      <c r="H29968" s="26">
        <v>5.4300000000000001E-2</v>
      </c>
      <c r="I29968" s="26">
        <v>2.35E-2</v>
      </c>
      <c r="J29968" s="26">
        <v>1.61E-2</v>
      </c>
      <c r="K29968" s="26">
        <v>1.8499999999999999E-2</v>
      </c>
      <c r="M29968">
        <v>127</v>
      </c>
    </row>
    <row r="29969" spans="1:13" x14ac:dyDescent="0.35">
      <c r="A29969" t="s">
        <v>230</v>
      </c>
      <c r="B29969" t="s">
        <v>361</v>
      </c>
      <c r="C29969" s="26">
        <v>0.84419999999999995</v>
      </c>
      <c r="D29969" s="26">
        <v>5.0299999999999997E-2</v>
      </c>
      <c r="E29969" s="26">
        <v>5.8099999999999999E-2</v>
      </c>
      <c r="F29969" s="26">
        <v>3.4700000000000002E-2</v>
      </c>
      <c r="G29969" s="26">
        <v>4.2500000000000003E-2</v>
      </c>
      <c r="H29969" s="26">
        <v>2.8299999999999999E-2</v>
      </c>
      <c r="I29969" s="26">
        <v>7.6399999999999996E-2</v>
      </c>
      <c r="J29969" s="26">
        <v>2.9399999999999999E-2</v>
      </c>
      <c r="K29969" s="26">
        <v>3.4000000000000002E-2</v>
      </c>
      <c r="L29969" s="26">
        <v>1.06E-2</v>
      </c>
      <c r="M29969">
        <v>109</v>
      </c>
    </row>
    <row r="29970" spans="1:13" x14ac:dyDescent="0.35">
      <c r="A29970" t="s">
        <v>230</v>
      </c>
      <c r="B29970" t="s">
        <v>362</v>
      </c>
      <c r="C29970" s="26">
        <v>0.83840000000000003</v>
      </c>
      <c r="D29970" s="26">
        <v>8.2699999999999996E-2</v>
      </c>
      <c r="E29970" s="26">
        <v>3.8100000000000002E-2</v>
      </c>
      <c r="F29970" s="26">
        <v>6.0999999999999999E-2</v>
      </c>
      <c r="G29970" s="26">
        <v>3.32E-2</v>
      </c>
      <c r="H29970" s="26">
        <v>3.2000000000000001E-2</v>
      </c>
      <c r="I29970" s="26">
        <v>5.45E-2</v>
      </c>
      <c r="J29970" s="26">
        <v>1.2699999999999999E-2</v>
      </c>
      <c r="K29970" s="26">
        <v>9.1000000000000004E-3</v>
      </c>
      <c r="L29970" s="26">
        <v>3.5999999999999999E-3</v>
      </c>
      <c r="M29970">
        <v>148</v>
      </c>
    </row>
    <row r="29971" spans="1:13" x14ac:dyDescent="0.35">
      <c r="A29971" s="27" t="s">
        <v>231</v>
      </c>
      <c r="B29971" s="27" t="s">
        <v>362</v>
      </c>
      <c r="C29971" s="28">
        <v>0.96550000000000002</v>
      </c>
      <c r="D29971" s="29"/>
      <c r="E29971" s="29"/>
      <c r="F29971" s="29"/>
      <c r="G29971" s="28">
        <v>3.4500000000000003E-2</v>
      </c>
      <c r="H29971" s="29"/>
      <c r="I29971" s="29"/>
      <c r="J29971" s="29"/>
      <c r="K29971" s="29"/>
      <c r="L29971" s="29"/>
      <c r="M29971" s="29" t="s">
        <v>329</v>
      </c>
    </row>
    <row r="29972" spans="1:13" x14ac:dyDescent="0.35">
      <c r="A29972" t="s">
        <v>231</v>
      </c>
      <c r="B29972" t="s">
        <v>361</v>
      </c>
      <c r="C29972" s="26">
        <v>0.9</v>
      </c>
      <c r="D29972" s="26">
        <v>0.04</v>
      </c>
      <c r="E29972" s="26">
        <v>0.06</v>
      </c>
      <c r="F29972" s="26">
        <v>0.02</v>
      </c>
      <c r="G29972" s="26">
        <v>0.02</v>
      </c>
      <c r="H29972" s="26">
        <v>0.02</v>
      </c>
      <c r="M29972">
        <v>50</v>
      </c>
    </row>
    <row r="29973" spans="1:13" x14ac:dyDescent="0.35">
      <c r="A29973" t="s">
        <v>231</v>
      </c>
      <c r="B29973" t="s">
        <v>360</v>
      </c>
      <c r="C29973" s="26">
        <v>0.93179999999999996</v>
      </c>
      <c r="G29973" s="26">
        <v>6.8199999999999997E-2</v>
      </c>
      <c r="M29973">
        <v>44</v>
      </c>
    </row>
    <row r="29974" spans="1:13" x14ac:dyDescent="0.35">
      <c r="A29974" s="27" t="s">
        <v>231</v>
      </c>
      <c r="B29974" s="27" t="s">
        <v>363</v>
      </c>
      <c r="C29974" s="28">
        <v>0.88890000000000002</v>
      </c>
      <c r="D29974" s="29"/>
      <c r="E29974" s="28">
        <v>3.6999999999999998E-2</v>
      </c>
      <c r="F29974" s="29"/>
      <c r="G29974" s="28">
        <v>7.4099999999999999E-2</v>
      </c>
      <c r="H29974" s="28">
        <v>3.6999999999999998E-2</v>
      </c>
      <c r="I29974" s="29"/>
      <c r="J29974" s="29"/>
      <c r="K29974" s="29"/>
      <c r="L29974" s="29"/>
      <c r="M29974" s="29" t="s">
        <v>338</v>
      </c>
    </row>
    <row r="29975" spans="1:13" x14ac:dyDescent="0.35">
      <c r="A29975" t="s">
        <v>232</v>
      </c>
      <c r="B29975" t="s">
        <v>232</v>
      </c>
      <c r="C29975" s="26">
        <v>0.86360000000000003</v>
      </c>
      <c r="D29975" s="26">
        <v>5.2600000000000001E-2</v>
      </c>
      <c r="E29975" s="26">
        <v>4.7800000000000002E-2</v>
      </c>
      <c r="F29975" s="26">
        <v>3.8100000000000002E-2</v>
      </c>
      <c r="G29975" s="26">
        <v>3.1699999999999999E-2</v>
      </c>
      <c r="H29975" s="26">
        <v>3.0800000000000001E-2</v>
      </c>
      <c r="I29975" s="26">
        <v>2.5600000000000001E-2</v>
      </c>
      <c r="J29975" s="26">
        <v>1.9E-2</v>
      </c>
      <c r="K29975" s="26">
        <v>1.49E-2</v>
      </c>
      <c r="L29975" s="26">
        <v>5.0000000000000001E-3</v>
      </c>
      <c r="M29975">
        <v>2476</v>
      </c>
    </row>
    <row r="29977" spans="1:13" x14ac:dyDescent="0.35">
      <c r="A29977" s="1" t="s">
        <v>2675</v>
      </c>
    </row>
    <row r="29978" spans="1:13" x14ac:dyDescent="0.35">
      <c r="A29978" t="s">
        <v>219</v>
      </c>
      <c r="B29978" t="s">
        <v>305</v>
      </c>
      <c r="C29978" t="s">
        <v>1851</v>
      </c>
      <c r="D29978" t="s">
        <v>2664</v>
      </c>
      <c r="E29978" t="s">
        <v>2665</v>
      </c>
      <c r="F29978" t="s">
        <v>2666</v>
      </c>
      <c r="G29978" t="s">
        <v>281</v>
      </c>
      <c r="H29978" t="s">
        <v>2667</v>
      </c>
      <c r="I29978" t="s">
        <v>2668</v>
      </c>
      <c r="J29978" t="s">
        <v>2669</v>
      </c>
      <c r="K29978" t="s">
        <v>2670</v>
      </c>
      <c r="L29978" t="s">
        <v>286</v>
      </c>
      <c r="M29978" t="s">
        <v>226</v>
      </c>
    </row>
    <row r="29979" spans="1:13" x14ac:dyDescent="0.35">
      <c r="A29979" t="s">
        <v>227</v>
      </c>
      <c r="B29979" t="s">
        <v>267</v>
      </c>
      <c r="C29979" s="26">
        <v>0.91669999999999996</v>
      </c>
      <c r="D29979" s="26">
        <v>5.5599999999999997E-2</v>
      </c>
      <c r="J29979" s="26">
        <v>2.7799999999999998E-2</v>
      </c>
      <c r="M29979">
        <v>36</v>
      </c>
    </row>
    <row r="29980" spans="1:13" x14ac:dyDescent="0.35">
      <c r="A29980" t="s">
        <v>227</v>
      </c>
      <c r="B29980" t="s">
        <v>266</v>
      </c>
      <c r="C29980" s="26">
        <v>0.93220000000000003</v>
      </c>
      <c r="D29980" s="26">
        <v>1.6899999999999998E-2</v>
      </c>
      <c r="E29980" s="26">
        <v>1.6899999999999998E-2</v>
      </c>
      <c r="G29980" s="26">
        <v>1.6899999999999998E-2</v>
      </c>
      <c r="H29980" s="26">
        <v>3.39E-2</v>
      </c>
      <c r="M29980">
        <v>59</v>
      </c>
    </row>
    <row r="29981" spans="1:13" x14ac:dyDescent="0.35">
      <c r="A29981" t="s">
        <v>227</v>
      </c>
      <c r="B29981" t="s">
        <v>265</v>
      </c>
      <c r="C29981" s="26">
        <v>0.96970000000000001</v>
      </c>
      <c r="D29981" s="26">
        <v>1.52E-2</v>
      </c>
      <c r="E29981" s="26">
        <v>1.52E-2</v>
      </c>
      <c r="I29981" s="26">
        <v>1.52E-2</v>
      </c>
      <c r="J29981" s="26">
        <v>1.52E-2</v>
      </c>
      <c r="M29981">
        <v>66</v>
      </c>
    </row>
    <row r="29982" spans="1:13" x14ac:dyDescent="0.35">
      <c r="A29982" t="s">
        <v>228</v>
      </c>
      <c r="B29982" t="s">
        <v>267</v>
      </c>
      <c r="C29982" s="26">
        <v>0.78610000000000002</v>
      </c>
      <c r="D29982" s="26">
        <v>0.106</v>
      </c>
      <c r="E29982" s="26">
        <v>6.83E-2</v>
      </c>
      <c r="F29982" s="26">
        <v>8.7999999999999995E-2</v>
      </c>
      <c r="G29982" s="26">
        <v>5.0700000000000002E-2</v>
      </c>
      <c r="H29982" s="26">
        <v>3.8199999999999998E-2</v>
      </c>
      <c r="I29982" s="26">
        <v>6.2199999999999998E-2</v>
      </c>
      <c r="J29982" s="26">
        <v>1.95E-2</v>
      </c>
      <c r="K29982" s="26">
        <v>3.6999999999999998E-2</v>
      </c>
      <c r="L29982" s="26">
        <v>1.3599999999999999E-2</v>
      </c>
      <c r="M29982">
        <v>199</v>
      </c>
    </row>
    <row r="29983" spans="1:13" x14ac:dyDescent="0.35">
      <c r="A29983" t="s">
        <v>228</v>
      </c>
      <c r="B29983" t="s">
        <v>265</v>
      </c>
      <c r="C29983" s="26">
        <v>0.7742</v>
      </c>
      <c r="D29983" s="26">
        <v>0.1075</v>
      </c>
      <c r="E29983" s="26">
        <v>8.3799999999999999E-2</v>
      </c>
      <c r="F29983" s="26">
        <v>6.8500000000000005E-2</v>
      </c>
      <c r="G29983" s="26">
        <v>2.07E-2</v>
      </c>
      <c r="H29983" s="26">
        <v>7.2700000000000001E-2</v>
      </c>
      <c r="I29983" s="26">
        <v>5.5E-2</v>
      </c>
      <c r="J29983" s="26">
        <v>1.29E-2</v>
      </c>
      <c r="K29983" s="26">
        <v>3.73E-2</v>
      </c>
      <c r="L29983" s="26">
        <v>0.03</v>
      </c>
      <c r="M29983">
        <v>384</v>
      </c>
    </row>
    <row r="29984" spans="1:13" x14ac:dyDescent="0.35">
      <c r="A29984" s="27" t="s">
        <v>228</v>
      </c>
      <c r="B29984" s="27" t="s">
        <v>236</v>
      </c>
      <c r="C29984" s="28">
        <v>1</v>
      </c>
      <c r="D29984" s="29"/>
      <c r="E29984" s="29"/>
      <c r="F29984" s="29"/>
      <c r="G29984" s="29"/>
      <c r="H29984" s="29"/>
      <c r="I29984" s="29"/>
      <c r="J29984" s="29"/>
      <c r="K29984" s="29"/>
      <c r="L29984" s="29"/>
      <c r="M29984" s="29" t="s">
        <v>314</v>
      </c>
    </row>
    <row r="29985" spans="1:13" x14ac:dyDescent="0.35">
      <c r="A29985" t="s">
        <v>228</v>
      </c>
      <c r="B29985" t="s">
        <v>266</v>
      </c>
      <c r="C29985" s="26">
        <v>0.76590000000000003</v>
      </c>
      <c r="D29985" s="26">
        <v>7.3899999999999993E-2</v>
      </c>
      <c r="E29985" s="26">
        <v>9.2200000000000004E-2</v>
      </c>
      <c r="F29985" s="26">
        <v>8.2600000000000007E-2</v>
      </c>
      <c r="G29985" s="26">
        <v>5.0999999999999997E-2</v>
      </c>
      <c r="H29985" s="26">
        <v>3.8699999999999998E-2</v>
      </c>
      <c r="I29985" s="26">
        <v>3.56E-2</v>
      </c>
      <c r="J29985" s="26">
        <v>3.4200000000000001E-2</v>
      </c>
      <c r="K29985" s="26">
        <v>3.3799999999999997E-2</v>
      </c>
      <c r="L29985" s="26">
        <v>2.5999999999999999E-3</v>
      </c>
      <c r="M29985">
        <v>448</v>
      </c>
    </row>
    <row r="29986" spans="1:13" x14ac:dyDescent="0.35">
      <c r="A29986" t="s">
        <v>229</v>
      </c>
      <c r="B29986" t="s">
        <v>266</v>
      </c>
      <c r="C29986" s="26">
        <v>0.85309999999999997</v>
      </c>
      <c r="D29986" s="26">
        <v>5.5E-2</v>
      </c>
      <c r="E29986" s="26">
        <v>3.5299999999999998E-2</v>
      </c>
      <c r="F29986" s="26">
        <v>2.7900000000000001E-2</v>
      </c>
      <c r="G29986" s="26">
        <v>2.7699999999999999E-2</v>
      </c>
      <c r="H29986" s="26">
        <v>0.04</v>
      </c>
      <c r="I29986" s="26">
        <v>3.5400000000000001E-2</v>
      </c>
      <c r="J29986" s="26">
        <v>4.0500000000000001E-2</v>
      </c>
      <c r="K29986" s="26">
        <v>2.1600000000000001E-2</v>
      </c>
      <c r="M29986">
        <v>359</v>
      </c>
    </row>
    <row r="29987" spans="1:13" x14ac:dyDescent="0.35">
      <c r="A29987" t="s">
        <v>229</v>
      </c>
      <c r="B29987" t="s">
        <v>267</v>
      </c>
      <c r="C29987" s="26">
        <v>0.75509999999999999</v>
      </c>
      <c r="D29987" s="26">
        <v>0.1041</v>
      </c>
      <c r="E29987" s="26">
        <v>0.1147</v>
      </c>
      <c r="F29987" s="26">
        <v>0.10440000000000001</v>
      </c>
      <c r="G29987" s="26">
        <v>4.58E-2</v>
      </c>
      <c r="H29987" s="26">
        <v>3.6400000000000002E-2</v>
      </c>
      <c r="I29987" s="26">
        <v>5.4100000000000002E-2</v>
      </c>
      <c r="J29987" s="26">
        <v>3.4500000000000003E-2</v>
      </c>
      <c r="K29987" s="26">
        <v>1.09E-2</v>
      </c>
      <c r="L29987" s="26">
        <v>4.4999999999999997E-3</v>
      </c>
      <c r="M29987">
        <v>201</v>
      </c>
    </row>
    <row r="29988" spans="1:13" x14ac:dyDescent="0.35">
      <c r="A29988" t="s">
        <v>229</v>
      </c>
      <c r="B29988" t="s">
        <v>265</v>
      </c>
      <c r="C29988" s="26">
        <v>0.86819999999999997</v>
      </c>
      <c r="D29988" s="26">
        <v>7.0199999999999999E-2</v>
      </c>
      <c r="E29988" s="26">
        <v>5.3499999999999999E-2</v>
      </c>
      <c r="F29988" s="26">
        <v>4.87E-2</v>
      </c>
      <c r="G29988" s="26">
        <v>1.4999999999999999E-2</v>
      </c>
      <c r="H29988" s="26">
        <v>4.6699999999999998E-2</v>
      </c>
      <c r="I29988" s="26">
        <v>3.2899999999999999E-2</v>
      </c>
      <c r="J29988" s="26">
        <v>4.1799999999999997E-2</v>
      </c>
      <c r="K29988" s="26">
        <v>2.5000000000000001E-2</v>
      </c>
      <c r="L29988" s="26">
        <v>3.8999999999999998E-3</v>
      </c>
      <c r="M29988">
        <v>335</v>
      </c>
    </row>
    <row r="29989" spans="1:13" x14ac:dyDescent="0.35">
      <c r="A29989" t="s">
        <v>230</v>
      </c>
      <c r="B29989" t="s">
        <v>267</v>
      </c>
      <c r="C29989" s="26">
        <v>0.79069999999999996</v>
      </c>
      <c r="D29989" s="26">
        <v>7.6799999999999993E-2</v>
      </c>
      <c r="E29989" s="26">
        <v>7.5300000000000006E-2</v>
      </c>
      <c r="F29989" s="26">
        <v>9.1600000000000001E-2</v>
      </c>
      <c r="G29989" s="26">
        <v>3.27E-2</v>
      </c>
      <c r="H29989" s="26">
        <v>3.39E-2</v>
      </c>
      <c r="I29989" s="26">
        <v>6.0900000000000003E-2</v>
      </c>
      <c r="J29989" s="26">
        <v>3.5000000000000003E-2</v>
      </c>
      <c r="K29989" s="26">
        <v>4.0500000000000001E-2</v>
      </c>
      <c r="M29989">
        <v>119</v>
      </c>
    </row>
    <row r="29990" spans="1:13" x14ac:dyDescent="0.35">
      <c r="A29990" t="s">
        <v>230</v>
      </c>
      <c r="B29990" t="s">
        <v>266</v>
      </c>
      <c r="C29990" s="26">
        <v>0.85309999999999997</v>
      </c>
      <c r="D29990" s="26">
        <v>6.4399999999999999E-2</v>
      </c>
      <c r="E29990" s="26">
        <v>3.7600000000000001E-2</v>
      </c>
      <c r="F29990" s="26">
        <v>4.3799999999999999E-2</v>
      </c>
      <c r="G29990" s="26">
        <v>1.6199999999999999E-2</v>
      </c>
      <c r="H29990" s="26">
        <v>1.5299999999999999E-2</v>
      </c>
      <c r="I29990" s="26">
        <v>3.4000000000000002E-2</v>
      </c>
      <c r="J29990" s="26">
        <v>7.0000000000000001E-3</v>
      </c>
      <c r="K29990" s="26">
        <v>1.34E-2</v>
      </c>
      <c r="L29990" s="26">
        <v>2.7300000000000001E-2</v>
      </c>
      <c r="M29990">
        <v>232</v>
      </c>
    </row>
    <row r="29991" spans="1:13" x14ac:dyDescent="0.35">
      <c r="A29991" t="s">
        <v>230</v>
      </c>
      <c r="B29991" t="s">
        <v>265</v>
      </c>
      <c r="C29991" s="26">
        <v>0.82789999999999997</v>
      </c>
      <c r="D29991" s="26">
        <v>7.46E-2</v>
      </c>
      <c r="E29991" s="26">
        <v>6.5600000000000006E-2</v>
      </c>
      <c r="F29991" s="26">
        <v>6.5000000000000002E-2</v>
      </c>
      <c r="G29991" s="26">
        <v>3.3399999999999999E-2</v>
      </c>
      <c r="H29991" s="26">
        <v>5.3900000000000003E-2</v>
      </c>
      <c r="I29991" s="26">
        <v>4.8300000000000003E-2</v>
      </c>
      <c r="J29991" s="26">
        <v>1.12E-2</v>
      </c>
      <c r="K29991" s="26">
        <v>1.89E-2</v>
      </c>
      <c r="L29991" s="26">
        <v>6.4000000000000003E-3</v>
      </c>
      <c r="M29991">
        <v>209</v>
      </c>
    </row>
    <row r="29992" spans="1:13" x14ac:dyDescent="0.35">
      <c r="A29992" t="s">
        <v>231</v>
      </c>
      <c r="B29992" t="s">
        <v>267</v>
      </c>
      <c r="C29992" s="26">
        <v>0.91180000000000005</v>
      </c>
      <c r="E29992" s="26">
        <v>2.9399999999999999E-2</v>
      </c>
      <c r="G29992" s="26">
        <v>5.8799999999999998E-2</v>
      </c>
      <c r="H29992" s="26">
        <v>2.9399999999999999E-2</v>
      </c>
      <c r="M29992">
        <v>34</v>
      </c>
    </row>
    <row r="29993" spans="1:13" x14ac:dyDescent="0.35">
      <c r="A29993" t="s">
        <v>231</v>
      </c>
      <c r="B29993" t="s">
        <v>266</v>
      </c>
      <c r="C29993" s="26">
        <v>0.9516</v>
      </c>
      <c r="G29993" s="26">
        <v>4.8399999999999999E-2</v>
      </c>
      <c r="M29993">
        <v>62</v>
      </c>
    </row>
    <row r="29994" spans="1:13" x14ac:dyDescent="0.35">
      <c r="A29994" t="s">
        <v>231</v>
      </c>
      <c r="B29994" t="s">
        <v>265</v>
      </c>
      <c r="C29994" s="26">
        <v>0.89710000000000001</v>
      </c>
      <c r="D29994" s="26">
        <v>2.9399999999999999E-2</v>
      </c>
      <c r="E29994" s="26">
        <v>4.41E-2</v>
      </c>
      <c r="F29994" s="26">
        <v>1.47E-2</v>
      </c>
      <c r="G29994" s="26">
        <v>4.41E-2</v>
      </c>
      <c r="H29994" s="26">
        <v>1.47E-2</v>
      </c>
      <c r="M29994">
        <v>68</v>
      </c>
    </row>
    <row r="29995" spans="1:13" x14ac:dyDescent="0.35">
      <c r="A29995" t="s">
        <v>232</v>
      </c>
      <c r="B29995" t="s">
        <v>232</v>
      </c>
      <c r="C29995" s="26">
        <v>0.86360000000000003</v>
      </c>
      <c r="D29995" s="26">
        <v>5.2600000000000001E-2</v>
      </c>
      <c r="E29995" s="26">
        <v>4.7800000000000002E-2</v>
      </c>
      <c r="F29995" s="26">
        <v>3.8100000000000002E-2</v>
      </c>
      <c r="G29995" s="26">
        <v>3.1699999999999999E-2</v>
      </c>
      <c r="H29995" s="26">
        <v>3.0800000000000001E-2</v>
      </c>
      <c r="I29995" s="26">
        <v>2.5600000000000001E-2</v>
      </c>
      <c r="J29995" s="26">
        <v>1.9E-2</v>
      </c>
      <c r="K29995" s="26">
        <v>1.49E-2</v>
      </c>
      <c r="L29995" s="26">
        <v>5.0000000000000001E-3</v>
      </c>
      <c r="M29995">
        <v>2813</v>
      </c>
    </row>
    <row r="29997" spans="1:13" x14ac:dyDescent="0.35">
      <c r="A29997" s="1" t="s">
        <v>2676</v>
      </c>
    </row>
    <row r="29998" spans="1:13" x14ac:dyDescent="0.35">
      <c r="A29998" t="s">
        <v>219</v>
      </c>
      <c r="B29998" t="s">
        <v>305</v>
      </c>
      <c r="C29998" t="s">
        <v>1851</v>
      </c>
      <c r="D29998" t="s">
        <v>2664</v>
      </c>
      <c r="E29998" t="s">
        <v>2665</v>
      </c>
      <c r="F29998" t="s">
        <v>2666</v>
      </c>
      <c r="G29998" t="s">
        <v>281</v>
      </c>
      <c r="H29998" t="s">
        <v>2667</v>
      </c>
      <c r="I29998" t="s">
        <v>2668</v>
      </c>
      <c r="J29998" t="s">
        <v>2669</v>
      </c>
      <c r="K29998" t="s">
        <v>2670</v>
      </c>
      <c r="L29998" t="s">
        <v>286</v>
      </c>
      <c r="M29998" t="s">
        <v>226</v>
      </c>
    </row>
    <row r="29999" spans="1:13" x14ac:dyDescent="0.35">
      <c r="A29999" t="s">
        <v>227</v>
      </c>
      <c r="B29999" t="s">
        <v>252</v>
      </c>
      <c r="C29999" s="26">
        <v>0.9778</v>
      </c>
      <c r="D29999" s="26">
        <v>2.2200000000000001E-2</v>
      </c>
      <c r="M29999">
        <v>45</v>
      </c>
    </row>
    <row r="30000" spans="1:13" x14ac:dyDescent="0.35">
      <c r="A30000" t="s">
        <v>227</v>
      </c>
      <c r="B30000" t="s">
        <v>253</v>
      </c>
      <c r="C30000" s="26">
        <v>0.97060000000000002</v>
      </c>
      <c r="D30000" s="26">
        <v>2.9399999999999999E-2</v>
      </c>
      <c r="E30000" s="26">
        <v>2.9399999999999999E-2</v>
      </c>
      <c r="I30000" s="26">
        <v>2.9399999999999999E-2</v>
      </c>
      <c r="M30000">
        <v>34</v>
      </c>
    </row>
    <row r="30001" spans="1:13" x14ac:dyDescent="0.35">
      <c r="A30001" t="s">
        <v>227</v>
      </c>
      <c r="B30001" t="s">
        <v>251</v>
      </c>
      <c r="C30001" s="26">
        <v>0.91459999999999997</v>
      </c>
      <c r="D30001" s="26">
        <v>2.4400000000000002E-2</v>
      </c>
      <c r="E30001" s="26">
        <v>1.2200000000000001E-2</v>
      </c>
      <c r="G30001" s="26">
        <v>1.2200000000000001E-2</v>
      </c>
      <c r="H30001" s="26">
        <v>2.4400000000000002E-2</v>
      </c>
      <c r="J30001" s="26">
        <v>2.4400000000000002E-2</v>
      </c>
      <c r="M30001">
        <v>82</v>
      </c>
    </row>
    <row r="30002" spans="1:13" x14ac:dyDescent="0.35">
      <c r="A30002" t="s">
        <v>228</v>
      </c>
      <c r="B30002" t="s">
        <v>252</v>
      </c>
      <c r="C30002" s="26">
        <v>0.8417</v>
      </c>
      <c r="D30002" s="26">
        <v>2.6200000000000001E-2</v>
      </c>
      <c r="E30002" s="26">
        <v>3.7900000000000003E-2</v>
      </c>
      <c r="F30002" s="26">
        <v>5.79E-2</v>
      </c>
      <c r="G30002" s="26">
        <v>5.1200000000000002E-2</v>
      </c>
      <c r="H30002" s="26">
        <v>1.06E-2</v>
      </c>
      <c r="I30002" s="26">
        <v>2.5700000000000001E-2</v>
      </c>
      <c r="J30002" s="26">
        <v>9.2999999999999992E-3</v>
      </c>
      <c r="K30002" s="26">
        <v>9.2999999999999992E-3</v>
      </c>
      <c r="L30002" s="26">
        <v>2.0799999999999999E-2</v>
      </c>
      <c r="M30002">
        <v>344</v>
      </c>
    </row>
    <row r="30003" spans="1:13" x14ac:dyDescent="0.35">
      <c r="A30003" t="s">
        <v>228</v>
      </c>
      <c r="B30003" t="s">
        <v>253</v>
      </c>
      <c r="C30003" s="26">
        <v>0.74819999999999998</v>
      </c>
      <c r="D30003" s="26">
        <v>0.1202</v>
      </c>
      <c r="E30003" s="26">
        <v>7.6799999999999993E-2</v>
      </c>
      <c r="F30003" s="26">
        <v>5.6099999999999997E-2</v>
      </c>
      <c r="G30003" s="26">
        <v>4.8599999999999997E-2</v>
      </c>
      <c r="H30003" s="26">
        <v>8.3099999999999993E-2</v>
      </c>
      <c r="I30003" s="26">
        <v>7.3899999999999993E-2</v>
      </c>
      <c r="J30003" s="26">
        <v>2.76E-2</v>
      </c>
      <c r="K30003" s="26">
        <v>6.7799999999999999E-2</v>
      </c>
      <c r="M30003">
        <v>222</v>
      </c>
    </row>
    <row r="30004" spans="1:13" x14ac:dyDescent="0.35">
      <c r="A30004" t="s">
        <v>228</v>
      </c>
      <c r="B30004" t="s">
        <v>251</v>
      </c>
      <c r="C30004" s="26">
        <v>0.74019999999999997</v>
      </c>
      <c r="D30004" s="26">
        <v>0.12570000000000001</v>
      </c>
      <c r="E30004" s="26">
        <v>0.1183</v>
      </c>
      <c r="F30004" s="26">
        <v>9.9099999999999994E-2</v>
      </c>
      <c r="G30004" s="26">
        <v>2.4799999999999999E-2</v>
      </c>
      <c r="H30004" s="26">
        <v>6.7400000000000002E-2</v>
      </c>
      <c r="I30004" s="26">
        <v>5.1700000000000003E-2</v>
      </c>
      <c r="J30004" s="26">
        <v>2.9600000000000001E-2</v>
      </c>
      <c r="K30004" s="26">
        <v>3.9399999999999998E-2</v>
      </c>
      <c r="L30004" s="26">
        <v>1.9199999999999998E-2</v>
      </c>
      <c r="M30004">
        <v>467</v>
      </c>
    </row>
    <row r="30005" spans="1:13" x14ac:dyDescent="0.35">
      <c r="A30005" t="s">
        <v>229</v>
      </c>
      <c r="B30005" t="s">
        <v>252</v>
      </c>
      <c r="C30005" s="26">
        <v>0.9425</v>
      </c>
      <c r="D30005" s="26">
        <v>1.37E-2</v>
      </c>
      <c r="E30005" s="26">
        <v>8.5000000000000006E-3</v>
      </c>
      <c r="F30005" s="26">
        <v>1.34E-2</v>
      </c>
      <c r="G30005" s="26">
        <v>3.3999999999999998E-3</v>
      </c>
      <c r="H30005" s="26">
        <v>2.2000000000000001E-3</v>
      </c>
      <c r="I30005" s="26">
        <v>6.3E-3</v>
      </c>
      <c r="J30005" s="26">
        <v>2.7199999999999998E-2</v>
      </c>
      <c r="K30005" s="26">
        <v>1.1999999999999999E-3</v>
      </c>
      <c r="L30005" s="26">
        <v>4.4000000000000003E-3</v>
      </c>
      <c r="M30005">
        <v>199</v>
      </c>
    </row>
    <row r="30006" spans="1:13" x14ac:dyDescent="0.35">
      <c r="A30006" t="s">
        <v>229</v>
      </c>
      <c r="B30006" t="s">
        <v>253</v>
      </c>
      <c r="C30006" s="26">
        <v>0.82750000000000001</v>
      </c>
      <c r="D30006" s="26">
        <v>4.8500000000000001E-2</v>
      </c>
      <c r="E30006" s="26">
        <v>7.6399999999999996E-2</v>
      </c>
      <c r="F30006" s="26">
        <v>8.0799999999999997E-2</v>
      </c>
      <c r="G30006" s="26">
        <v>2.92E-2</v>
      </c>
      <c r="H30006" s="26">
        <v>4.99E-2</v>
      </c>
      <c r="I30006" s="26">
        <v>4.36E-2</v>
      </c>
      <c r="J30006" s="26">
        <v>5.11E-2</v>
      </c>
      <c r="K30006" s="26">
        <v>2.1600000000000001E-2</v>
      </c>
      <c r="L30006" s="26">
        <v>3.5000000000000001E-3</v>
      </c>
      <c r="M30006">
        <v>145</v>
      </c>
    </row>
    <row r="30007" spans="1:13" x14ac:dyDescent="0.35">
      <c r="A30007" t="s">
        <v>229</v>
      </c>
      <c r="B30007" t="s">
        <v>251</v>
      </c>
      <c r="C30007" s="26">
        <v>0.80179999999999996</v>
      </c>
      <c r="D30007" s="26">
        <v>0.1031</v>
      </c>
      <c r="E30007" s="26">
        <v>7.6300000000000007E-2</v>
      </c>
      <c r="F30007" s="26">
        <v>6.1199999999999997E-2</v>
      </c>
      <c r="G30007" s="26">
        <v>3.3599999999999998E-2</v>
      </c>
      <c r="H30007" s="26">
        <v>5.5100000000000003E-2</v>
      </c>
      <c r="I30007" s="26">
        <v>4.9000000000000002E-2</v>
      </c>
      <c r="J30007" s="26">
        <v>4.0899999999999999E-2</v>
      </c>
      <c r="K30007" s="26">
        <v>2.8000000000000001E-2</v>
      </c>
      <c r="L30007" s="26">
        <v>1.8E-3</v>
      </c>
      <c r="M30007">
        <v>551</v>
      </c>
    </row>
    <row r="30008" spans="1:13" x14ac:dyDescent="0.35">
      <c r="A30008" t="s">
        <v>230</v>
      </c>
      <c r="B30008" t="s">
        <v>252</v>
      </c>
      <c r="C30008" s="26">
        <v>0.88739999999999997</v>
      </c>
      <c r="D30008" s="26">
        <v>4.0300000000000002E-2</v>
      </c>
      <c r="E30008" s="26">
        <v>1.89E-2</v>
      </c>
      <c r="F30008" s="26">
        <v>2.5999999999999999E-2</v>
      </c>
      <c r="G30008" s="26">
        <v>2.1700000000000001E-2</v>
      </c>
      <c r="H30008" s="26">
        <v>5.5999999999999999E-3</v>
      </c>
      <c r="I30008" s="26">
        <v>1.01E-2</v>
      </c>
      <c r="J30008" s="26">
        <v>5.5999999999999999E-3</v>
      </c>
      <c r="K30008" s="26">
        <v>1.12E-2</v>
      </c>
      <c r="L30008" s="26">
        <v>3.5099999999999999E-2</v>
      </c>
      <c r="M30008">
        <v>159</v>
      </c>
    </row>
    <row r="30009" spans="1:13" x14ac:dyDescent="0.35">
      <c r="A30009" t="s">
        <v>230</v>
      </c>
      <c r="B30009" t="s">
        <v>253</v>
      </c>
      <c r="C30009" s="26">
        <v>0.85050000000000003</v>
      </c>
      <c r="D30009" s="26">
        <v>8.43E-2</v>
      </c>
      <c r="E30009" s="26">
        <v>5.6800000000000003E-2</v>
      </c>
      <c r="F30009" s="26">
        <v>5.21E-2</v>
      </c>
      <c r="G30009" s="26">
        <v>3.4700000000000002E-2</v>
      </c>
      <c r="H30009" s="26">
        <v>1.8200000000000001E-2</v>
      </c>
      <c r="I30009" s="26">
        <v>5.2900000000000003E-2</v>
      </c>
      <c r="J30009" s="26">
        <v>1.83E-2</v>
      </c>
      <c r="K30009" s="26">
        <v>4.48E-2</v>
      </c>
      <c r="L30009" s="26">
        <v>4.7000000000000002E-3</v>
      </c>
      <c r="M30009">
        <v>110</v>
      </c>
    </row>
    <row r="30010" spans="1:13" x14ac:dyDescent="0.35">
      <c r="A30010" t="s">
        <v>230</v>
      </c>
      <c r="B30010" t="s">
        <v>251</v>
      </c>
      <c r="C30010" s="26">
        <v>0.7944</v>
      </c>
      <c r="D30010" s="26">
        <v>8.14E-2</v>
      </c>
      <c r="E30010" s="26">
        <v>7.5700000000000003E-2</v>
      </c>
      <c r="F30010" s="26">
        <v>8.4099999999999994E-2</v>
      </c>
      <c r="G30010" s="26">
        <v>2.6800000000000001E-2</v>
      </c>
      <c r="H30010" s="26">
        <v>5.5199999999999999E-2</v>
      </c>
      <c r="I30010" s="26">
        <v>0.06</v>
      </c>
      <c r="J30010" s="26">
        <v>1.8100000000000002E-2</v>
      </c>
      <c r="K30010" s="26">
        <v>1.8599999999999998E-2</v>
      </c>
      <c r="L30010" s="26">
        <v>4.8999999999999998E-3</v>
      </c>
      <c r="M30010">
        <v>291</v>
      </c>
    </row>
    <row r="30011" spans="1:13" x14ac:dyDescent="0.35">
      <c r="A30011" t="s">
        <v>231</v>
      </c>
      <c r="B30011" t="s">
        <v>252</v>
      </c>
      <c r="C30011" s="26">
        <v>0.93879999999999997</v>
      </c>
      <c r="G30011" s="26">
        <v>6.1199999999999997E-2</v>
      </c>
      <c r="M30011">
        <v>49</v>
      </c>
    </row>
    <row r="30012" spans="1:13" x14ac:dyDescent="0.35">
      <c r="A30012" t="s">
        <v>231</v>
      </c>
      <c r="B30012" t="s">
        <v>253</v>
      </c>
      <c r="C30012" s="26">
        <v>0.9667</v>
      </c>
      <c r="E30012" s="26">
        <v>3.3300000000000003E-2</v>
      </c>
      <c r="H30012" s="26">
        <v>3.3300000000000003E-2</v>
      </c>
      <c r="M30012">
        <v>30</v>
      </c>
    </row>
    <row r="30013" spans="1:13" x14ac:dyDescent="0.35">
      <c r="A30013" t="s">
        <v>231</v>
      </c>
      <c r="B30013" t="s">
        <v>251</v>
      </c>
      <c r="C30013" s="26">
        <v>0.89410000000000001</v>
      </c>
      <c r="D30013" s="26">
        <v>2.35E-2</v>
      </c>
      <c r="E30013" s="26">
        <v>3.5299999999999998E-2</v>
      </c>
      <c r="F30013" s="26">
        <v>1.18E-2</v>
      </c>
      <c r="G30013" s="26">
        <v>5.8799999999999998E-2</v>
      </c>
      <c r="H30013" s="26">
        <v>1.18E-2</v>
      </c>
      <c r="M30013">
        <v>85</v>
      </c>
    </row>
    <row r="30014" spans="1:13" x14ac:dyDescent="0.35">
      <c r="A30014" t="s">
        <v>232</v>
      </c>
      <c r="B30014" t="s">
        <v>232</v>
      </c>
      <c r="C30014" s="26">
        <v>0.86360000000000003</v>
      </c>
      <c r="D30014" s="26">
        <v>5.2600000000000001E-2</v>
      </c>
      <c r="E30014" s="26">
        <v>4.7800000000000002E-2</v>
      </c>
      <c r="F30014" s="26">
        <v>3.8100000000000002E-2</v>
      </c>
      <c r="G30014" s="26">
        <v>3.1699999999999999E-2</v>
      </c>
      <c r="H30014" s="26">
        <v>3.0800000000000001E-2</v>
      </c>
      <c r="I30014" s="26">
        <v>2.5600000000000001E-2</v>
      </c>
      <c r="J30014" s="26">
        <v>1.9E-2</v>
      </c>
      <c r="K30014" s="26">
        <v>1.49E-2</v>
      </c>
      <c r="L30014" s="26">
        <v>5.0000000000000001E-3</v>
      </c>
      <c r="M30014">
        <v>2813</v>
      </c>
    </row>
    <row r="30016" spans="1:13" x14ac:dyDescent="0.35">
      <c r="A30016" s="1" t="s">
        <v>2677</v>
      </c>
    </row>
    <row r="30017" spans="1:13" x14ac:dyDescent="0.35">
      <c r="A30017" t="s">
        <v>219</v>
      </c>
      <c r="B30017" t="s">
        <v>305</v>
      </c>
      <c r="C30017" t="s">
        <v>1851</v>
      </c>
      <c r="D30017" t="s">
        <v>2664</v>
      </c>
      <c r="E30017" t="s">
        <v>2665</v>
      </c>
      <c r="F30017" t="s">
        <v>2666</v>
      </c>
      <c r="G30017" t="s">
        <v>281</v>
      </c>
      <c r="H30017" t="s">
        <v>2667</v>
      </c>
      <c r="I30017" t="s">
        <v>2668</v>
      </c>
      <c r="J30017" t="s">
        <v>2669</v>
      </c>
      <c r="K30017" t="s">
        <v>2670</v>
      </c>
      <c r="L30017" t="s">
        <v>286</v>
      </c>
      <c r="M30017" t="s">
        <v>226</v>
      </c>
    </row>
    <row r="30018" spans="1:13" x14ac:dyDescent="0.35">
      <c r="A30018" t="s">
        <v>227</v>
      </c>
      <c r="B30018" t="s">
        <v>249</v>
      </c>
      <c r="C30018" s="26">
        <v>0.93179999999999996</v>
      </c>
      <c r="D30018" s="26">
        <v>2.2700000000000001E-2</v>
      </c>
      <c r="E30018" s="26">
        <v>2.2700000000000001E-2</v>
      </c>
      <c r="G30018" s="26">
        <v>2.2700000000000001E-2</v>
      </c>
      <c r="M30018">
        <v>44</v>
      </c>
    </row>
    <row r="30019" spans="1:13" x14ac:dyDescent="0.35">
      <c r="A30019" t="s">
        <v>227</v>
      </c>
      <c r="B30019" t="s">
        <v>248</v>
      </c>
      <c r="C30019" s="26">
        <v>0.94869999999999999</v>
      </c>
      <c r="D30019" s="26">
        <v>2.5600000000000001E-2</v>
      </c>
      <c r="E30019" s="26">
        <v>8.5000000000000006E-3</v>
      </c>
      <c r="H30019" s="26">
        <v>1.7100000000000001E-2</v>
      </c>
      <c r="I30019" s="26">
        <v>8.5000000000000006E-3</v>
      </c>
      <c r="J30019" s="26">
        <v>1.7100000000000001E-2</v>
      </c>
      <c r="M30019">
        <v>117</v>
      </c>
    </row>
    <row r="30020" spans="1:13" x14ac:dyDescent="0.35">
      <c r="A30020" t="s">
        <v>228</v>
      </c>
      <c r="B30020" t="s">
        <v>249</v>
      </c>
      <c r="C30020" s="26">
        <v>0.71699999999999997</v>
      </c>
      <c r="D30020" s="26">
        <v>0.13389999999999999</v>
      </c>
      <c r="E30020" s="26">
        <v>0.13089999999999999</v>
      </c>
      <c r="F30020" s="26">
        <v>8.1299999999999997E-2</v>
      </c>
      <c r="G30020" s="26">
        <v>3.9899999999999998E-2</v>
      </c>
      <c r="H30020" s="26">
        <v>0.10879999999999999</v>
      </c>
      <c r="I30020" s="26">
        <v>6.3899999999999998E-2</v>
      </c>
      <c r="J30020" s="26">
        <v>2.8199999999999999E-2</v>
      </c>
      <c r="K30020" s="26">
        <v>4.07E-2</v>
      </c>
      <c r="L30020" s="26">
        <v>1.29E-2</v>
      </c>
      <c r="M30020">
        <v>274</v>
      </c>
    </row>
    <row r="30021" spans="1:13" x14ac:dyDescent="0.35">
      <c r="A30021" t="s">
        <v>228</v>
      </c>
      <c r="B30021" t="s">
        <v>248</v>
      </c>
      <c r="C30021" s="26">
        <v>0.79869999999999997</v>
      </c>
      <c r="D30021" s="26">
        <v>7.51E-2</v>
      </c>
      <c r="E30021" s="26">
        <v>6.4100000000000004E-2</v>
      </c>
      <c r="F30021" s="26">
        <v>7.5399999999999995E-2</v>
      </c>
      <c r="G30021" s="26">
        <v>3.73E-2</v>
      </c>
      <c r="H30021" s="26">
        <v>2.8400000000000002E-2</v>
      </c>
      <c r="I30021" s="26">
        <v>4.1099999999999998E-2</v>
      </c>
      <c r="J30021" s="26">
        <v>2.0400000000000001E-2</v>
      </c>
      <c r="K30021" s="26">
        <v>3.3399999999999999E-2</v>
      </c>
      <c r="L30021" s="26">
        <v>1.7000000000000001E-2</v>
      </c>
      <c r="M30021">
        <v>759</v>
      </c>
    </row>
    <row r="30022" spans="1:13" x14ac:dyDescent="0.35">
      <c r="A30022" t="s">
        <v>229</v>
      </c>
      <c r="B30022" t="s">
        <v>249</v>
      </c>
      <c r="C30022" s="26">
        <v>0.79849999999999999</v>
      </c>
      <c r="D30022" s="26">
        <v>9.1600000000000001E-2</v>
      </c>
      <c r="E30022" s="26">
        <v>7.2099999999999997E-2</v>
      </c>
      <c r="F30022" s="26">
        <v>6.4600000000000005E-2</v>
      </c>
      <c r="G30022" s="26">
        <v>3.4200000000000001E-2</v>
      </c>
      <c r="H30022" s="26">
        <v>9.4500000000000001E-2</v>
      </c>
      <c r="I30022" s="26">
        <v>5.1799999999999999E-2</v>
      </c>
      <c r="J30022" s="26">
        <v>4.82E-2</v>
      </c>
      <c r="K30022" s="26">
        <v>2.3400000000000001E-2</v>
      </c>
      <c r="L30022" s="26">
        <v>1E-3</v>
      </c>
      <c r="M30022">
        <v>259</v>
      </c>
    </row>
    <row r="30023" spans="1:13" x14ac:dyDescent="0.35">
      <c r="A30023" t="s">
        <v>229</v>
      </c>
      <c r="B30023" t="s">
        <v>248</v>
      </c>
      <c r="C30023" s="26">
        <v>0.85760000000000003</v>
      </c>
      <c r="D30023" s="26">
        <v>6.3500000000000001E-2</v>
      </c>
      <c r="E30023" s="26">
        <v>5.57E-2</v>
      </c>
      <c r="F30023" s="26">
        <v>4.9099999999999998E-2</v>
      </c>
      <c r="G30023" s="26">
        <v>2.1999999999999999E-2</v>
      </c>
      <c r="H30023" s="26">
        <v>1.67E-2</v>
      </c>
      <c r="I30023" s="26">
        <v>3.1899999999999998E-2</v>
      </c>
      <c r="J30023" s="26">
        <v>3.56E-2</v>
      </c>
      <c r="K30023" s="26">
        <v>1.95E-2</v>
      </c>
      <c r="L30023" s="26">
        <v>3.5999999999999999E-3</v>
      </c>
      <c r="M30023">
        <v>636</v>
      </c>
    </row>
    <row r="30024" spans="1:13" x14ac:dyDescent="0.35">
      <c r="A30024" t="s">
        <v>230</v>
      </c>
      <c r="B30024" t="s">
        <v>249</v>
      </c>
      <c r="C30024" s="26">
        <v>0.81120000000000003</v>
      </c>
      <c r="D30024" s="26">
        <v>8.4599999999999995E-2</v>
      </c>
      <c r="E30024" s="26">
        <v>6.2399999999999997E-2</v>
      </c>
      <c r="F30024" s="26">
        <v>8.48E-2</v>
      </c>
      <c r="G30024" s="26">
        <v>8.8000000000000005E-3</v>
      </c>
      <c r="H30024" s="26">
        <v>7.5700000000000003E-2</v>
      </c>
      <c r="I30024" s="26">
        <v>7.6700000000000004E-2</v>
      </c>
      <c r="J30024" s="26">
        <v>2.7199999999999998E-2</v>
      </c>
      <c r="K30024" s="26">
        <v>2.2700000000000001E-2</v>
      </c>
      <c r="L30024" s="26">
        <v>2.7000000000000001E-3</v>
      </c>
      <c r="M30024">
        <v>171</v>
      </c>
    </row>
    <row r="30025" spans="1:13" x14ac:dyDescent="0.35">
      <c r="A30025" t="s">
        <v>230</v>
      </c>
      <c r="B30025" t="s">
        <v>248</v>
      </c>
      <c r="C30025" s="26">
        <v>0.83779999999999999</v>
      </c>
      <c r="D30025" s="26">
        <v>6.4699999999999994E-2</v>
      </c>
      <c r="E30025" s="26">
        <v>5.5199999999999999E-2</v>
      </c>
      <c r="F30025" s="26">
        <v>5.2200000000000003E-2</v>
      </c>
      <c r="G30025" s="26">
        <v>3.6200000000000003E-2</v>
      </c>
      <c r="H30025" s="26">
        <v>1.5100000000000001E-2</v>
      </c>
      <c r="I30025" s="26">
        <v>3.0200000000000001E-2</v>
      </c>
      <c r="J30025" s="26">
        <v>8.6999999999999994E-3</v>
      </c>
      <c r="K30025" s="26">
        <v>2.1100000000000001E-2</v>
      </c>
      <c r="L30025" s="26">
        <v>1.7600000000000001E-2</v>
      </c>
      <c r="M30025">
        <v>389</v>
      </c>
    </row>
    <row r="30026" spans="1:13" x14ac:dyDescent="0.35">
      <c r="A30026" t="s">
        <v>231</v>
      </c>
      <c r="B30026" t="s">
        <v>249</v>
      </c>
      <c r="C30026" s="26">
        <v>0.9143</v>
      </c>
      <c r="E30026" s="26">
        <v>2.86E-2</v>
      </c>
      <c r="G30026" s="26">
        <v>5.7099999999999998E-2</v>
      </c>
      <c r="H30026" s="26">
        <v>2.86E-2</v>
      </c>
      <c r="M30026">
        <v>35</v>
      </c>
    </row>
    <row r="30027" spans="1:13" x14ac:dyDescent="0.35">
      <c r="A30027" t="s">
        <v>231</v>
      </c>
      <c r="B30027" t="s">
        <v>248</v>
      </c>
      <c r="C30027" s="26">
        <v>0.92249999999999999</v>
      </c>
      <c r="D30027" s="26">
        <v>1.55E-2</v>
      </c>
      <c r="E30027" s="26">
        <v>2.3300000000000001E-2</v>
      </c>
      <c r="F30027" s="26">
        <v>7.7999999999999996E-3</v>
      </c>
      <c r="G30027" s="26">
        <v>4.65E-2</v>
      </c>
      <c r="H30027" s="26">
        <v>7.7999999999999996E-3</v>
      </c>
      <c r="M30027">
        <v>129</v>
      </c>
    </row>
    <row r="30028" spans="1:13" x14ac:dyDescent="0.35">
      <c r="A30028" t="s">
        <v>232</v>
      </c>
      <c r="B30028" t="s">
        <v>232</v>
      </c>
      <c r="C30028" s="26">
        <v>0.86360000000000003</v>
      </c>
      <c r="D30028" s="26">
        <v>5.2600000000000001E-2</v>
      </c>
      <c r="E30028" s="26">
        <v>4.7800000000000002E-2</v>
      </c>
      <c r="F30028" s="26">
        <v>3.8100000000000002E-2</v>
      </c>
      <c r="G30028" s="26">
        <v>3.1699999999999999E-2</v>
      </c>
      <c r="H30028" s="26">
        <v>3.0800000000000001E-2</v>
      </c>
      <c r="I30028" s="26">
        <v>2.5600000000000001E-2</v>
      </c>
      <c r="J30028" s="26">
        <v>1.9E-2</v>
      </c>
      <c r="K30028" s="26">
        <v>1.49E-2</v>
      </c>
      <c r="L30028" s="26">
        <v>5.0000000000000001E-3</v>
      </c>
      <c r="M30028">
        <v>2813</v>
      </c>
    </row>
    <row r="30030" spans="1:13" x14ac:dyDescent="0.35">
      <c r="A30030" s="1" t="s">
        <v>2678</v>
      </c>
    </row>
    <row r="30031" spans="1:13" x14ac:dyDescent="0.35">
      <c r="A30031" t="s">
        <v>219</v>
      </c>
      <c r="B30031" t="s">
        <v>305</v>
      </c>
      <c r="C30031" t="s">
        <v>1851</v>
      </c>
      <c r="D30031" t="s">
        <v>2664</v>
      </c>
      <c r="E30031" t="s">
        <v>2665</v>
      </c>
      <c r="F30031" t="s">
        <v>2666</v>
      </c>
      <c r="G30031" t="s">
        <v>281</v>
      </c>
      <c r="H30031" t="s">
        <v>2667</v>
      </c>
      <c r="I30031" t="s">
        <v>2668</v>
      </c>
      <c r="J30031" t="s">
        <v>2669</v>
      </c>
      <c r="K30031" t="s">
        <v>2670</v>
      </c>
      <c r="L30031" t="s">
        <v>286</v>
      </c>
      <c r="M30031" t="s">
        <v>226</v>
      </c>
    </row>
    <row r="30032" spans="1:13" x14ac:dyDescent="0.35">
      <c r="A30032" s="27" t="s">
        <v>227</v>
      </c>
      <c r="B30032" s="27" t="s">
        <v>263</v>
      </c>
      <c r="C30032" s="28">
        <v>1</v>
      </c>
      <c r="D30032" s="29"/>
      <c r="E30032" s="29"/>
      <c r="F30032" s="29"/>
      <c r="G30032" s="29"/>
      <c r="H30032" s="29"/>
      <c r="I30032" s="29"/>
      <c r="J30032" s="29"/>
      <c r="K30032" s="29"/>
      <c r="L30032" s="29"/>
      <c r="M30032" s="29" t="s">
        <v>315</v>
      </c>
    </row>
    <row r="30033" spans="1:13" x14ac:dyDescent="0.35">
      <c r="A30033" t="s">
        <v>227</v>
      </c>
      <c r="B30033" t="s">
        <v>261</v>
      </c>
      <c r="C30033" s="26">
        <v>0.96970000000000001</v>
      </c>
      <c r="J30033" s="26">
        <v>3.0300000000000001E-2</v>
      </c>
      <c r="M30033">
        <v>33</v>
      </c>
    </row>
    <row r="30034" spans="1:13" x14ac:dyDescent="0.35">
      <c r="A30034" s="27" t="s">
        <v>227</v>
      </c>
      <c r="B30034" s="27" t="s">
        <v>262</v>
      </c>
      <c r="C30034" s="28">
        <v>1</v>
      </c>
      <c r="D30034" s="29"/>
      <c r="E30034" s="29"/>
      <c r="F30034" s="29"/>
      <c r="G30034" s="29"/>
      <c r="H30034" s="29"/>
      <c r="I30034" s="29"/>
      <c r="J30034" s="29"/>
      <c r="K30034" s="29"/>
      <c r="L30034" s="29"/>
      <c r="M30034" s="29" t="s">
        <v>315</v>
      </c>
    </row>
    <row r="30035" spans="1:13" x14ac:dyDescent="0.35">
      <c r="A30035" t="s">
        <v>227</v>
      </c>
      <c r="B30035" t="s">
        <v>260</v>
      </c>
      <c r="C30035" s="26">
        <v>0.93440000000000001</v>
      </c>
      <c r="D30035" s="26">
        <v>3.2800000000000003E-2</v>
      </c>
      <c r="E30035" s="26">
        <v>1.6400000000000001E-2</v>
      </c>
      <c r="G30035" s="26">
        <v>8.2000000000000007E-3</v>
      </c>
      <c r="H30035" s="26">
        <v>1.6400000000000001E-2</v>
      </c>
      <c r="I30035" s="26">
        <v>8.2000000000000007E-3</v>
      </c>
      <c r="J30035" s="26">
        <v>8.2000000000000007E-3</v>
      </c>
      <c r="M30035">
        <v>122</v>
      </c>
    </row>
    <row r="30036" spans="1:13" x14ac:dyDescent="0.35">
      <c r="A30036" t="s">
        <v>228</v>
      </c>
      <c r="B30036" t="s">
        <v>261</v>
      </c>
      <c r="C30036" s="26">
        <v>0.78349999999999997</v>
      </c>
      <c r="D30036" s="26">
        <v>2.5100000000000001E-2</v>
      </c>
      <c r="E30036" s="26">
        <v>7.9799999999999996E-2</v>
      </c>
      <c r="F30036" s="26">
        <v>7.1599999999999997E-2</v>
      </c>
      <c r="G30036" s="26">
        <v>4.9599999999999998E-2</v>
      </c>
      <c r="H30036" s="26">
        <v>2.5100000000000001E-2</v>
      </c>
      <c r="I30036" s="26">
        <v>2.35E-2</v>
      </c>
      <c r="J30036" s="26">
        <v>8.0999999999999996E-3</v>
      </c>
      <c r="K30036" s="26">
        <v>1.8700000000000001E-2</v>
      </c>
      <c r="L30036" s="26">
        <v>3.5400000000000001E-2</v>
      </c>
      <c r="M30036">
        <v>192</v>
      </c>
    </row>
    <row r="30037" spans="1:13" x14ac:dyDescent="0.35">
      <c r="A30037" s="27" t="s">
        <v>228</v>
      </c>
      <c r="B30037" s="27" t="s">
        <v>263</v>
      </c>
      <c r="C30037" s="28">
        <v>0.58299999999999996</v>
      </c>
      <c r="D30037" s="28">
        <v>0.26150000000000001</v>
      </c>
      <c r="E30037" s="28">
        <v>0.18759999999999999</v>
      </c>
      <c r="F30037" s="28">
        <v>0.26150000000000001</v>
      </c>
      <c r="G30037" s="28">
        <v>1.9199999999999998E-2</v>
      </c>
      <c r="H30037" s="28">
        <v>9.1899999999999996E-2</v>
      </c>
      <c r="I30037" s="28">
        <v>0.15440000000000001</v>
      </c>
      <c r="J30037" s="28">
        <v>9.1899999999999996E-2</v>
      </c>
      <c r="K30037" s="28">
        <v>9.1899999999999996E-2</v>
      </c>
      <c r="L30037" s="29"/>
      <c r="M30037" s="29" t="s">
        <v>312</v>
      </c>
    </row>
    <row r="30038" spans="1:13" x14ac:dyDescent="0.35">
      <c r="A30038" s="27" t="s">
        <v>228</v>
      </c>
      <c r="B30038" s="27" t="s">
        <v>236</v>
      </c>
      <c r="C30038" s="28">
        <v>0.81210000000000004</v>
      </c>
      <c r="D30038" s="29"/>
      <c r="E30038" s="28">
        <v>0.18790000000000001</v>
      </c>
      <c r="F30038" s="29"/>
      <c r="G30038" s="29"/>
      <c r="H30038" s="29"/>
      <c r="I30038" s="29"/>
      <c r="J30038" s="29"/>
      <c r="K30038" s="29"/>
      <c r="L30038" s="29"/>
      <c r="M30038" s="29" t="s">
        <v>335</v>
      </c>
    </row>
    <row r="30039" spans="1:13" x14ac:dyDescent="0.35">
      <c r="A30039" t="s">
        <v>228</v>
      </c>
      <c r="B30039" t="s">
        <v>262</v>
      </c>
      <c r="C30039" s="26">
        <v>0.68559999999999999</v>
      </c>
      <c r="D30039" s="26">
        <v>0.18290000000000001</v>
      </c>
      <c r="E30039" s="26">
        <v>0.13070000000000001</v>
      </c>
      <c r="F30039" s="26">
        <v>0.11600000000000001</v>
      </c>
      <c r="G30039" s="26">
        <v>2.64E-2</v>
      </c>
      <c r="H30039" s="26">
        <v>0.1111</v>
      </c>
      <c r="I30039" s="26">
        <v>8.3099999999999993E-2</v>
      </c>
      <c r="J30039" s="26">
        <v>4.7100000000000003E-2</v>
      </c>
      <c r="K30039" s="26">
        <v>8.5400000000000004E-2</v>
      </c>
      <c r="L30039" s="26">
        <v>7.1999999999999998E-3</v>
      </c>
      <c r="M30039">
        <v>201</v>
      </c>
    </row>
    <row r="30040" spans="1:13" x14ac:dyDescent="0.35">
      <c r="A30040" t="s">
        <v>228</v>
      </c>
      <c r="B30040" t="s">
        <v>260</v>
      </c>
      <c r="C30040" s="26">
        <v>0.80079999999999996</v>
      </c>
      <c r="D30040" s="26">
        <v>8.5599999999999996E-2</v>
      </c>
      <c r="E30040" s="26">
        <v>6.8599999999999994E-2</v>
      </c>
      <c r="F30040" s="26">
        <v>6.3600000000000004E-2</v>
      </c>
      <c r="G30040" s="26">
        <v>3.8600000000000002E-2</v>
      </c>
      <c r="H30040" s="26">
        <v>4.4499999999999998E-2</v>
      </c>
      <c r="I30040" s="26">
        <v>4.3400000000000001E-2</v>
      </c>
      <c r="J30040" s="26">
        <v>1.8800000000000001E-2</v>
      </c>
      <c r="K30040" s="26">
        <v>2.6100000000000002E-2</v>
      </c>
      <c r="L30040" s="26">
        <v>1.2500000000000001E-2</v>
      </c>
      <c r="M30040">
        <v>609</v>
      </c>
    </row>
    <row r="30041" spans="1:13" x14ac:dyDescent="0.35">
      <c r="A30041" s="27" t="s">
        <v>229</v>
      </c>
      <c r="B30041" s="27" t="s">
        <v>263</v>
      </c>
      <c r="C30041" s="28">
        <v>0.74080000000000001</v>
      </c>
      <c r="D30041" s="28">
        <v>0.24210000000000001</v>
      </c>
      <c r="E30041" s="28">
        <v>0.24210000000000001</v>
      </c>
      <c r="F30041" s="28">
        <v>8.6400000000000005E-2</v>
      </c>
      <c r="G30041" s="29"/>
      <c r="H30041" s="28">
        <v>6.93E-2</v>
      </c>
      <c r="I30041" s="28">
        <v>8.6400000000000005E-2</v>
      </c>
      <c r="J30041" s="28">
        <v>3.4700000000000002E-2</v>
      </c>
      <c r="K30041" s="28">
        <v>6.93E-2</v>
      </c>
      <c r="L30041" s="29"/>
      <c r="M30041" s="29" t="s">
        <v>379</v>
      </c>
    </row>
    <row r="30042" spans="1:13" x14ac:dyDescent="0.35">
      <c r="A30042" t="s">
        <v>229</v>
      </c>
      <c r="B30042" t="s">
        <v>262</v>
      </c>
      <c r="C30042" s="26">
        <v>0.76180000000000003</v>
      </c>
      <c r="D30042" s="26">
        <v>0.1191</v>
      </c>
      <c r="E30042" s="26">
        <v>9.8599999999999993E-2</v>
      </c>
      <c r="F30042" s="26">
        <v>8.09E-2</v>
      </c>
      <c r="G30042" s="26">
        <v>4.65E-2</v>
      </c>
      <c r="H30042" s="26">
        <v>5.6000000000000001E-2</v>
      </c>
      <c r="I30042" s="26">
        <v>5.3100000000000001E-2</v>
      </c>
      <c r="J30042" s="26">
        <v>4.5999999999999999E-2</v>
      </c>
      <c r="K30042" s="26">
        <v>2.8299999999999999E-2</v>
      </c>
      <c r="L30042" s="26">
        <v>3.8999999999999998E-3</v>
      </c>
      <c r="M30042">
        <v>188</v>
      </c>
    </row>
    <row r="30043" spans="1:13" x14ac:dyDescent="0.35">
      <c r="A30043" t="s">
        <v>229</v>
      </c>
      <c r="B30043" t="s">
        <v>261</v>
      </c>
      <c r="C30043" s="26">
        <v>0.86639999999999995</v>
      </c>
      <c r="D30043" s="26">
        <v>6.0600000000000001E-2</v>
      </c>
      <c r="E30043" s="26">
        <v>4.0399999999999998E-2</v>
      </c>
      <c r="F30043" s="26">
        <v>5.8299999999999998E-2</v>
      </c>
      <c r="G30043" s="26">
        <v>1.9099999999999999E-2</v>
      </c>
      <c r="H30043" s="26">
        <v>5.5E-2</v>
      </c>
      <c r="I30043" s="26">
        <v>4.0399999999999998E-2</v>
      </c>
      <c r="J30043" s="26">
        <v>4.1500000000000002E-2</v>
      </c>
      <c r="K30043" s="26">
        <v>2.24E-2</v>
      </c>
      <c r="M30043">
        <v>96</v>
      </c>
    </row>
    <row r="30044" spans="1:13" x14ac:dyDescent="0.35">
      <c r="A30044" s="27" t="s">
        <v>229</v>
      </c>
      <c r="B30044" s="27" t="s">
        <v>236</v>
      </c>
      <c r="C30044" s="28">
        <v>1</v>
      </c>
      <c r="D30044" s="29"/>
      <c r="E30044" s="29"/>
      <c r="F30044" s="29"/>
      <c r="G30044" s="29"/>
      <c r="H30044" s="29"/>
      <c r="I30044" s="29"/>
      <c r="J30044" s="29"/>
      <c r="K30044" s="29"/>
      <c r="L30044" s="29"/>
      <c r="M30044" s="29" t="s">
        <v>331</v>
      </c>
    </row>
    <row r="30045" spans="1:13" x14ac:dyDescent="0.35">
      <c r="A30045" t="s">
        <v>229</v>
      </c>
      <c r="B30045" t="s">
        <v>260</v>
      </c>
      <c r="C30045" s="26">
        <v>0.87250000000000005</v>
      </c>
      <c r="D30045" s="26">
        <v>4.6699999999999998E-2</v>
      </c>
      <c r="E30045" s="26">
        <v>4.1500000000000002E-2</v>
      </c>
      <c r="F30045" s="26">
        <v>3.85E-2</v>
      </c>
      <c r="G30045" s="26">
        <v>1.84E-2</v>
      </c>
      <c r="H30045" s="26">
        <v>3.09E-2</v>
      </c>
      <c r="I30045" s="26">
        <v>2.8899999999999999E-2</v>
      </c>
      <c r="J30045" s="26">
        <v>3.6299999999999999E-2</v>
      </c>
      <c r="K30045" s="26">
        <v>1.4800000000000001E-2</v>
      </c>
      <c r="L30045" s="26">
        <v>3.0000000000000001E-3</v>
      </c>
      <c r="M30045">
        <v>596</v>
      </c>
    </row>
    <row r="30046" spans="1:13" x14ac:dyDescent="0.35">
      <c r="A30046" s="27" t="s">
        <v>230</v>
      </c>
      <c r="B30046" s="27" t="s">
        <v>236</v>
      </c>
      <c r="C30046" s="28">
        <v>0.84430000000000005</v>
      </c>
      <c r="D30046" s="28">
        <v>3.6600000000000001E-2</v>
      </c>
      <c r="E30046" s="28">
        <v>0.15570000000000001</v>
      </c>
      <c r="F30046" s="28">
        <v>3.6600000000000001E-2</v>
      </c>
      <c r="G30046" s="29"/>
      <c r="H30046" s="28">
        <v>3.6600000000000001E-2</v>
      </c>
      <c r="I30046" s="28">
        <v>3.6600000000000001E-2</v>
      </c>
      <c r="J30046" s="28">
        <v>3.6600000000000001E-2</v>
      </c>
      <c r="K30046" s="28">
        <v>3.6600000000000001E-2</v>
      </c>
      <c r="L30046" s="29"/>
      <c r="M30046" s="29" t="s">
        <v>337</v>
      </c>
    </row>
    <row r="30047" spans="1:13" x14ac:dyDescent="0.35">
      <c r="A30047" t="s">
        <v>230</v>
      </c>
      <c r="B30047" t="s">
        <v>262</v>
      </c>
      <c r="C30047" s="26">
        <v>0.80510000000000004</v>
      </c>
      <c r="D30047" s="26">
        <v>0.1047</v>
      </c>
      <c r="E30047" s="26">
        <v>3.4700000000000002E-2</v>
      </c>
      <c r="F30047" s="26">
        <v>5.8700000000000002E-2</v>
      </c>
      <c r="G30047" s="26">
        <v>1.7299999999999999E-2</v>
      </c>
      <c r="H30047" s="26">
        <v>2.7099999999999999E-2</v>
      </c>
      <c r="I30047" s="26">
        <v>2.0899999999999998E-2</v>
      </c>
      <c r="J30047" s="26">
        <v>2.5100000000000001E-2</v>
      </c>
      <c r="K30047" s="26">
        <v>1.4999999999999999E-2</v>
      </c>
      <c r="L30047" s="26">
        <v>1.7999999999999999E-2</v>
      </c>
      <c r="M30047">
        <v>122</v>
      </c>
    </row>
    <row r="30048" spans="1:13" x14ac:dyDescent="0.35">
      <c r="A30048" t="s">
        <v>230</v>
      </c>
      <c r="B30048" t="s">
        <v>261</v>
      </c>
      <c r="C30048" s="26">
        <v>0.79220000000000002</v>
      </c>
      <c r="D30048" s="26">
        <v>6.7000000000000002E-3</v>
      </c>
      <c r="E30048" s="26">
        <v>5.9799999999999999E-2</v>
      </c>
      <c r="F30048" s="26">
        <v>1.35E-2</v>
      </c>
      <c r="G30048" s="26">
        <v>9.4200000000000006E-2</v>
      </c>
      <c r="H30048" s="26">
        <v>4.7E-2</v>
      </c>
      <c r="I30048" s="26">
        <v>4.7E-2</v>
      </c>
      <c r="M30048">
        <v>57</v>
      </c>
    </row>
    <row r="30049" spans="1:13" x14ac:dyDescent="0.35">
      <c r="A30049" s="27" t="s">
        <v>230</v>
      </c>
      <c r="B30049" s="27" t="s">
        <v>263</v>
      </c>
      <c r="C30049" s="28">
        <v>0.37390000000000001</v>
      </c>
      <c r="D30049" s="28">
        <v>0.43630000000000002</v>
      </c>
      <c r="E30049" s="28">
        <v>0.55910000000000004</v>
      </c>
      <c r="F30049" s="28">
        <v>0.52559999999999996</v>
      </c>
      <c r="G30049" s="28">
        <v>1.6799999999999999E-2</v>
      </c>
      <c r="H30049" s="28">
        <v>0.41959999999999997</v>
      </c>
      <c r="I30049" s="28">
        <v>0.38059999999999999</v>
      </c>
      <c r="J30049" s="28">
        <v>1.6799999999999999E-2</v>
      </c>
      <c r="K30049" s="28">
        <v>3.3500000000000002E-2</v>
      </c>
      <c r="L30049" s="29"/>
      <c r="M30049" s="29" t="s">
        <v>312</v>
      </c>
    </row>
    <row r="30050" spans="1:13" x14ac:dyDescent="0.35">
      <c r="A30050" t="s">
        <v>230</v>
      </c>
      <c r="B30050" t="s">
        <v>260</v>
      </c>
      <c r="C30050" s="26">
        <v>0.85160000000000002</v>
      </c>
      <c r="D30050" s="26">
        <v>6.8400000000000002E-2</v>
      </c>
      <c r="E30050" s="26">
        <v>4.9299999999999997E-2</v>
      </c>
      <c r="F30050" s="26">
        <v>6.3100000000000003E-2</v>
      </c>
      <c r="G30050" s="26">
        <v>1.67E-2</v>
      </c>
      <c r="H30050" s="26">
        <v>2.6100000000000002E-2</v>
      </c>
      <c r="I30050" s="26">
        <v>4.3299999999999998E-2</v>
      </c>
      <c r="J30050" s="26">
        <v>1.5299999999999999E-2</v>
      </c>
      <c r="K30050" s="26">
        <v>2.69E-2</v>
      </c>
      <c r="L30050" s="26">
        <v>1.4200000000000001E-2</v>
      </c>
      <c r="M30050">
        <v>352</v>
      </c>
    </row>
    <row r="30051" spans="1:13" x14ac:dyDescent="0.35">
      <c r="A30051" s="27" t="s">
        <v>231</v>
      </c>
      <c r="B30051" s="27" t="s">
        <v>263</v>
      </c>
      <c r="C30051" s="28">
        <v>1</v>
      </c>
      <c r="D30051" s="29"/>
      <c r="E30051" s="29"/>
      <c r="F30051" s="29"/>
      <c r="G30051" s="29"/>
      <c r="H30051" s="29"/>
      <c r="I30051" s="29"/>
      <c r="J30051" s="29"/>
      <c r="K30051" s="29"/>
      <c r="L30051" s="29"/>
      <c r="M30051" s="29" t="s">
        <v>314</v>
      </c>
    </row>
    <row r="30052" spans="1:13" x14ac:dyDescent="0.35">
      <c r="A30052" t="s">
        <v>231</v>
      </c>
      <c r="B30052" t="s">
        <v>260</v>
      </c>
      <c r="C30052" s="26">
        <v>0.9032</v>
      </c>
      <c r="D30052" s="26">
        <v>8.0999999999999996E-3</v>
      </c>
      <c r="E30052" s="26">
        <v>2.4199999999999999E-2</v>
      </c>
      <c r="G30052" s="26">
        <v>6.4500000000000002E-2</v>
      </c>
      <c r="H30052" s="26">
        <v>1.61E-2</v>
      </c>
      <c r="M30052">
        <v>124</v>
      </c>
    </row>
    <row r="30053" spans="1:13" x14ac:dyDescent="0.35">
      <c r="A30053" s="27" t="s">
        <v>231</v>
      </c>
      <c r="B30053" s="27" t="s">
        <v>261</v>
      </c>
      <c r="C30053" s="28">
        <v>1</v>
      </c>
      <c r="D30053" s="29"/>
      <c r="E30053" s="29"/>
      <c r="F30053" s="29"/>
      <c r="G30053" s="29"/>
      <c r="H30053" s="29"/>
      <c r="I30053" s="29"/>
      <c r="J30053" s="29"/>
      <c r="K30053" s="29"/>
      <c r="L30053" s="29"/>
      <c r="M30053" s="29" t="s">
        <v>338</v>
      </c>
    </row>
    <row r="30054" spans="1:13" x14ac:dyDescent="0.35">
      <c r="A30054" s="27" t="s">
        <v>231</v>
      </c>
      <c r="B30054" s="27" t="s">
        <v>262</v>
      </c>
      <c r="C30054" s="28">
        <v>0.90910000000000002</v>
      </c>
      <c r="D30054" s="28">
        <v>9.0899999999999995E-2</v>
      </c>
      <c r="E30054" s="28">
        <v>9.0899999999999995E-2</v>
      </c>
      <c r="F30054" s="28">
        <v>9.0899999999999995E-2</v>
      </c>
      <c r="G30054" s="29"/>
      <c r="H30054" s="29"/>
      <c r="I30054" s="29"/>
      <c r="J30054" s="29"/>
      <c r="K30054" s="29"/>
      <c r="L30054" s="29"/>
      <c r="M30054" s="29" t="s">
        <v>352</v>
      </c>
    </row>
    <row r="30055" spans="1:13" x14ac:dyDescent="0.35">
      <c r="A30055" t="s">
        <v>232</v>
      </c>
      <c r="B30055" t="s">
        <v>232</v>
      </c>
      <c r="C30055" s="26">
        <v>0.86360000000000003</v>
      </c>
      <c r="D30055" s="26">
        <v>5.2600000000000001E-2</v>
      </c>
      <c r="E30055" s="26">
        <v>4.7800000000000002E-2</v>
      </c>
      <c r="F30055" s="26">
        <v>3.8100000000000002E-2</v>
      </c>
      <c r="G30055" s="26">
        <v>3.1699999999999999E-2</v>
      </c>
      <c r="H30055" s="26">
        <v>3.0800000000000001E-2</v>
      </c>
      <c r="I30055" s="26">
        <v>2.5600000000000001E-2</v>
      </c>
      <c r="J30055" s="26">
        <v>1.9E-2</v>
      </c>
      <c r="K30055" s="26">
        <v>1.49E-2</v>
      </c>
      <c r="L30055" s="26">
        <v>5.0000000000000001E-3</v>
      </c>
      <c r="M30055">
        <v>2813</v>
      </c>
    </row>
    <row r="30057" spans="1:13" x14ac:dyDescent="0.35">
      <c r="A30057" s="1" t="s">
        <v>2679</v>
      </c>
    </row>
    <row r="30058" spans="1:13" x14ac:dyDescent="0.35">
      <c r="A30058" t="s">
        <v>219</v>
      </c>
      <c r="B30058" t="s">
        <v>305</v>
      </c>
      <c r="C30058" t="s">
        <v>1851</v>
      </c>
      <c r="D30058" t="s">
        <v>2664</v>
      </c>
      <c r="E30058" t="s">
        <v>2665</v>
      </c>
      <c r="F30058" t="s">
        <v>2666</v>
      </c>
      <c r="G30058" t="s">
        <v>281</v>
      </c>
      <c r="H30058" t="s">
        <v>2667</v>
      </c>
      <c r="I30058" t="s">
        <v>2668</v>
      </c>
      <c r="J30058" t="s">
        <v>2669</v>
      </c>
      <c r="K30058" t="s">
        <v>2670</v>
      </c>
      <c r="L30058" t="s">
        <v>286</v>
      </c>
      <c r="M30058" t="s">
        <v>226</v>
      </c>
    </row>
    <row r="30059" spans="1:13" x14ac:dyDescent="0.35">
      <c r="A30059" t="s">
        <v>227</v>
      </c>
      <c r="B30059" t="s">
        <v>368</v>
      </c>
      <c r="C30059" s="26">
        <v>0.96970000000000001</v>
      </c>
      <c r="J30059" s="26">
        <v>3.0300000000000001E-2</v>
      </c>
      <c r="M30059">
        <v>33</v>
      </c>
    </row>
    <row r="30060" spans="1:13" x14ac:dyDescent="0.35">
      <c r="A30060" t="s">
        <v>227</v>
      </c>
      <c r="B30060" t="s">
        <v>369</v>
      </c>
      <c r="C30060" s="26">
        <v>0.9375</v>
      </c>
      <c r="D30060" s="26">
        <v>3.1199999999999999E-2</v>
      </c>
      <c r="E30060" s="26">
        <v>1.5599999999999999E-2</v>
      </c>
      <c r="G30060" s="26">
        <v>7.7999999999999996E-3</v>
      </c>
      <c r="H30060" s="26">
        <v>1.5599999999999999E-2</v>
      </c>
      <c r="I30060" s="26">
        <v>7.7999999999999996E-3</v>
      </c>
      <c r="J30060" s="26">
        <v>7.7999999999999996E-3</v>
      </c>
      <c r="M30060">
        <v>128</v>
      </c>
    </row>
    <row r="30061" spans="1:13" x14ac:dyDescent="0.35">
      <c r="A30061" t="s">
        <v>228</v>
      </c>
      <c r="B30061" t="s">
        <v>368</v>
      </c>
      <c r="C30061" s="26">
        <v>0.78349999999999997</v>
      </c>
      <c r="D30061" s="26">
        <v>2.5100000000000001E-2</v>
      </c>
      <c r="E30061" s="26">
        <v>7.9799999999999996E-2</v>
      </c>
      <c r="F30061" s="26">
        <v>7.1599999999999997E-2</v>
      </c>
      <c r="G30061" s="26">
        <v>4.9599999999999998E-2</v>
      </c>
      <c r="H30061" s="26">
        <v>2.5100000000000001E-2</v>
      </c>
      <c r="I30061" s="26">
        <v>2.35E-2</v>
      </c>
      <c r="J30061" s="26">
        <v>8.0999999999999996E-3</v>
      </c>
      <c r="K30061" s="26">
        <v>1.8700000000000001E-2</v>
      </c>
      <c r="L30061" s="26">
        <v>3.5400000000000001E-2</v>
      </c>
      <c r="M30061">
        <v>192</v>
      </c>
    </row>
    <row r="30062" spans="1:13" x14ac:dyDescent="0.35">
      <c r="A30062" t="s">
        <v>228</v>
      </c>
      <c r="B30062" t="s">
        <v>369</v>
      </c>
      <c r="C30062" s="26">
        <v>0.77210000000000001</v>
      </c>
      <c r="D30062" s="26">
        <v>0.1091</v>
      </c>
      <c r="E30062" s="26">
        <v>8.5099999999999995E-2</v>
      </c>
      <c r="F30062" s="26">
        <v>7.85E-2</v>
      </c>
      <c r="G30062" s="26">
        <v>3.5299999999999998E-2</v>
      </c>
      <c r="H30062" s="26">
        <v>5.8999999999999997E-2</v>
      </c>
      <c r="I30062" s="26">
        <v>5.3800000000000001E-2</v>
      </c>
      <c r="J30062" s="26">
        <v>2.6200000000000001E-2</v>
      </c>
      <c r="K30062" s="26">
        <v>3.9600000000000003E-2</v>
      </c>
      <c r="L30062" s="26">
        <v>1.0999999999999999E-2</v>
      </c>
      <c r="M30062">
        <v>841</v>
      </c>
    </row>
    <row r="30063" spans="1:13" x14ac:dyDescent="0.35">
      <c r="A30063" t="s">
        <v>229</v>
      </c>
      <c r="B30063" t="s">
        <v>368</v>
      </c>
      <c r="C30063" s="26">
        <v>0.86639999999999995</v>
      </c>
      <c r="D30063" s="26">
        <v>6.0600000000000001E-2</v>
      </c>
      <c r="E30063" s="26">
        <v>4.0399999999999998E-2</v>
      </c>
      <c r="F30063" s="26">
        <v>5.8299999999999998E-2</v>
      </c>
      <c r="G30063" s="26">
        <v>1.9099999999999999E-2</v>
      </c>
      <c r="H30063" s="26">
        <v>5.5E-2</v>
      </c>
      <c r="I30063" s="26">
        <v>4.0399999999999998E-2</v>
      </c>
      <c r="J30063" s="26">
        <v>4.1500000000000002E-2</v>
      </c>
      <c r="K30063" s="26">
        <v>2.24E-2</v>
      </c>
      <c r="M30063">
        <v>96</v>
      </c>
    </row>
    <row r="30064" spans="1:13" x14ac:dyDescent="0.35">
      <c r="A30064" t="s">
        <v>229</v>
      </c>
      <c r="B30064" t="s">
        <v>369</v>
      </c>
      <c r="C30064" s="26">
        <v>0.83330000000000004</v>
      </c>
      <c r="D30064" s="26">
        <v>7.4800000000000005E-2</v>
      </c>
      <c r="E30064" s="26">
        <v>6.4699999999999994E-2</v>
      </c>
      <c r="F30064" s="26">
        <v>5.3499999999999999E-2</v>
      </c>
      <c r="G30064" s="26">
        <v>2.7199999999999998E-2</v>
      </c>
      <c r="H30064" s="26">
        <v>0.04</v>
      </c>
      <c r="I30064" s="26">
        <v>3.8100000000000002E-2</v>
      </c>
      <c r="J30064" s="26">
        <v>3.95E-2</v>
      </c>
      <c r="K30064" s="26">
        <v>2.0500000000000001E-2</v>
      </c>
      <c r="L30064" s="26">
        <v>3.2000000000000002E-3</v>
      </c>
      <c r="M30064">
        <v>799</v>
      </c>
    </row>
    <row r="30065" spans="1:13" x14ac:dyDescent="0.35">
      <c r="A30065" t="s">
        <v>230</v>
      </c>
      <c r="B30065" t="s">
        <v>368</v>
      </c>
      <c r="C30065" s="26">
        <v>0.79220000000000002</v>
      </c>
      <c r="D30065" s="26">
        <v>6.7000000000000002E-3</v>
      </c>
      <c r="E30065" s="26">
        <v>5.9799999999999999E-2</v>
      </c>
      <c r="F30065" s="26">
        <v>1.35E-2</v>
      </c>
      <c r="G30065" s="26">
        <v>9.4200000000000006E-2</v>
      </c>
      <c r="H30065" s="26">
        <v>4.7E-2</v>
      </c>
      <c r="I30065" s="26">
        <v>4.7E-2</v>
      </c>
      <c r="M30065">
        <v>57</v>
      </c>
    </row>
    <row r="30066" spans="1:13" x14ac:dyDescent="0.35">
      <c r="A30066" t="s">
        <v>230</v>
      </c>
      <c r="B30066" t="s">
        <v>369</v>
      </c>
      <c r="C30066" s="26">
        <v>0.83450000000000002</v>
      </c>
      <c r="D30066" s="26">
        <v>8.14E-2</v>
      </c>
      <c r="E30066" s="26">
        <v>5.7299999999999997E-2</v>
      </c>
      <c r="F30066" s="26">
        <v>7.0800000000000002E-2</v>
      </c>
      <c r="G30066" s="26">
        <v>1.67E-2</v>
      </c>
      <c r="H30066" s="26">
        <v>3.3799999999999997E-2</v>
      </c>
      <c r="I30066" s="26">
        <v>4.5699999999999998E-2</v>
      </c>
      <c r="J30066" s="26">
        <v>1.72E-2</v>
      </c>
      <c r="K30066" s="26">
        <v>2.5000000000000001E-2</v>
      </c>
      <c r="L30066" s="26">
        <v>1.4500000000000001E-2</v>
      </c>
      <c r="M30066">
        <v>503</v>
      </c>
    </row>
    <row r="30067" spans="1:13" x14ac:dyDescent="0.35">
      <c r="A30067" s="27" t="s">
        <v>231</v>
      </c>
      <c r="B30067" s="27" t="s">
        <v>368</v>
      </c>
      <c r="C30067" s="28">
        <v>1</v>
      </c>
      <c r="D30067" s="29"/>
      <c r="E30067" s="29"/>
      <c r="F30067" s="29"/>
      <c r="G30067" s="29"/>
      <c r="H30067" s="29"/>
      <c r="I30067" s="29"/>
      <c r="J30067" s="29"/>
      <c r="K30067" s="29"/>
      <c r="L30067" s="29"/>
      <c r="M30067" s="29" t="s">
        <v>338</v>
      </c>
    </row>
    <row r="30068" spans="1:13" x14ac:dyDescent="0.35">
      <c r="A30068" t="s">
        <v>231</v>
      </c>
      <c r="B30068" t="s">
        <v>369</v>
      </c>
      <c r="C30068" s="26">
        <v>0.90510000000000002</v>
      </c>
      <c r="D30068" s="26">
        <v>1.46E-2</v>
      </c>
      <c r="E30068" s="26">
        <v>2.92E-2</v>
      </c>
      <c r="F30068" s="26">
        <v>7.3000000000000001E-3</v>
      </c>
      <c r="G30068" s="26">
        <v>5.8400000000000001E-2</v>
      </c>
      <c r="H30068" s="26">
        <v>1.46E-2</v>
      </c>
      <c r="M30068">
        <v>137</v>
      </c>
    </row>
    <row r="30069" spans="1:13" x14ac:dyDescent="0.35">
      <c r="A30069" t="s">
        <v>232</v>
      </c>
      <c r="B30069" t="s">
        <v>232</v>
      </c>
      <c r="C30069" s="26">
        <v>0.86360000000000003</v>
      </c>
      <c r="D30069" s="26">
        <v>5.2600000000000001E-2</v>
      </c>
      <c r="E30069" s="26">
        <v>4.7800000000000002E-2</v>
      </c>
      <c r="F30069" s="26">
        <v>3.8100000000000002E-2</v>
      </c>
      <c r="G30069" s="26">
        <v>3.1699999999999999E-2</v>
      </c>
      <c r="H30069" s="26">
        <v>3.0800000000000001E-2</v>
      </c>
      <c r="I30069" s="26">
        <v>2.5600000000000001E-2</v>
      </c>
      <c r="J30069" s="26">
        <v>1.9E-2</v>
      </c>
      <c r="K30069" s="26">
        <v>1.49E-2</v>
      </c>
      <c r="L30069" s="26">
        <v>5.0000000000000001E-3</v>
      </c>
      <c r="M30069">
        <v>2813</v>
      </c>
    </row>
    <row r="30071" spans="1:13" x14ac:dyDescent="0.35">
      <c r="A30071" s="1" t="s">
        <v>2680</v>
      </c>
    </row>
    <row r="30072" spans="1:13" x14ac:dyDescent="0.35">
      <c r="A30072" t="s">
        <v>219</v>
      </c>
      <c r="B30072" t="s">
        <v>305</v>
      </c>
      <c r="C30072" t="s">
        <v>1851</v>
      </c>
      <c r="D30072" t="s">
        <v>2664</v>
      </c>
      <c r="E30072" t="s">
        <v>2665</v>
      </c>
      <c r="F30072" t="s">
        <v>2666</v>
      </c>
      <c r="G30072" t="s">
        <v>281</v>
      </c>
      <c r="H30072" t="s">
        <v>2667</v>
      </c>
      <c r="I30072" t="s">
        <v>2668</v>
      </c>
      <c r="J30072" t="s">
        <v>2669</v>
      </c>
      <c r="K30072" t="s">
        <v>2670</v>
      </c>
      <c r="L30072" t="s">
        <v>286</v>
      </c>
      <c r="M30072" t="s">
        <v>226</v>
      </c>
    </row>
    <row r="30073" spans="1:13" x14ac:dyDescent="0.35">
      <c r="A30073" t="s">
        <v>227</v>
      </c>
      <c r="B30073" t="s">
        <v>371</v>
      </c>
      <c r="C30073" s="26">
        <v>0.94410000000000005</v>
      </c>
      <c r="D30073" s="26">
        <v>2.4799999999999999E-2</v>
      </c>
      <c r="E30073" s="26">
        <v>1.24E-2</v>
      </c>
      <c r="G30073" s="26">
        <v>6.1999999999999998E-3</v>
      </c>
      <c r="H30073" s="26">
        <v>1.24E-2</v>
      </c>
      <c r="I30073" s="26">
        <v>6.1999999999999998E-3</v>
      </c>
      <c r="J30073" s="26">
        <v>1.24E-2</v>
      </c>
      <c r="M30073">
        <v>161</v>
      </c>
    </row>
    <row r="30074" spans="1:13" x14ac:dyDescent="0.35">
      <c r="A30074" t="s">
        <v>228</v>
      </c>
      <c r="B30074" t="s">
        <v>371</v>
      </c>
      <c r="C30074" s="26">
        <v>0.82430000000000003</v>
      </c>
      <c r="D30074" s="26">
        <v>5.0900000000000001E-2</v>
      </c>
      <c r="E30074" s="26">
        <v>5.7299999999999997E-2</v>
      </c>
      <c r="F30074" s="26">
        <v>3.9899999999999998E-2</v>
      </c>
      <c r="G30074" s="26">
        <v>4.24E-2</v>
      </c>
      <c r="H30074" s="26">
        <v>3.4599999999999999E-2</v>
      </c>
      <c r="I30074" s="26">
        <v>1.4200000000000001E-2</v>
      </c>
      <c r="J30074" s="26">
        <v>6.4000000000000003E-3</v>
      </c>
      <c r="K30074" s="26">
        <v>2.06E-2</v>
      </c>
      <c r="L30074" s="26">
        <v>1.9900000000000001E-2</v>
      </c>
      <c r="M30074">
        <v>292</v>
      </c>
    </row>
    <row r="30075" spans="1:13" x14ac:dyDescent="0.35">
      <c r="A30075" t="s">
        <v>228</v>
      </c>
      <c r="B30075" t="s">
        <v>372</v>
      </c>
      <c r="C30075" s="26">
        <v>0.69269999999999998</v>
      </c>
      <c r="D30075" s="26">
        <v>0.1507</v>
      </c>
      <c r="E30075" s="26">
        <v>0.1241</v>
      </c>
      <c r="F30075" s="26">
        <v>0.1079</v>
      </c>
      <c r="G30075" s="26">
        <v>5.4800000000000001E-2</v>
      </c>
      <c r="H30075" s="26">
        <v>6.0900000000000003E-2</v>
      </c>
      <c r="I30075" s="26">
        <v>9.8000000000000004E-2</v>
      </c>
      <c r="J30075" s="26">
        <v>7.22E-2</v>
      </c>
      <c r="K30075" s="26">
        <v>9.5600000000000004E-2</v>
      </c>
      <c r="L30075" s="26">
        <v>3.1800000000000002E-2</v>
      </c>
      <c r="M30075">
        <v>218</v>
      </c>
    </row>
    <row r="30076" spans="1:13" x14ac:dyDescent="0.35">
      <c r="A30076" t="s">
        <v>228</v>
      </c>
      <c r="B30076" t="s">
        <v>373</v>
      </c>
      <c r="C30076" s="26">
        <v>0.72550000000000003</v>
      </c>
      <c r="D30076" s="26">
        <v>0.1358</v>
      </c>
      <c r="E30076" s="26">
        <v>0.111</v>
      </c>
      <c r="F30076" s="26">
        <v>0.12</v>
      </c>
      <c r="G30076" s="26">
        <v>2.8799999999999999E-2</v>
      </c>
      <c r="H30076" s="26">
        <v>7.4200000000000002E-2</v>
      </c>
      <c r="I30076" s="26">
        <v>8.1900000000000001E-2</v>
      </c>
      <c r="J30076" s="26">
        <v>3.3700000000000001E-2</v>
      </c>
      <c r="K30076" s="26">
        <v>4.2500000000000003E-2</v>
      </c>
      <c r="L30076" s="26">
        <v>6.8999999999999999E-3</v>
      </c>
      <c r="M30076">
        <v>523</v>
      </c>
    </row>
    <row r="30077" spans="1:13" x14ac:dyDescent="0.35">
      <c r="A30077" t="s">
        <v>229</v>
      </c>
      <c r="B30077" t="s">
        <v>371</v>
      </c>
      <c r="C30077" s="26">
        <v>0.84850000000000003</v>
      </c>
      <c r="D30077" s="26">
        <v>6.6900000000000001E-2</v>
      </c>
      <c r="E30077" s="26">
        <v>5.8299999999999998E-2</v>
      </c>
      <c r="F30077" s="26">
        <v>5.0500000000000003E-2</v>
      </c>
      <c r="G30077" s="26">
        <v>2.5100000000000001E-2</v>
      </c>
      <c r="H30077" s="26">
        <v>4.3299999999999998E-2</v>
      </c>
      <c r="I30077" s="26">
        <v>3.4099999999999998E-2</v>
      </c>
      <c r="J30077" s="26">
        <v>3.9199999999999999E-2</v>
      </c>
      <c r="K30077" s="26">
        <v>1.9300000000000001E-2</v>
      </c>
      <c r="L30077" s="26">
        <v>1.4E-3</v>
      </c>
      <c r="M30077">
        <v>584</v>
      </c>
    </row>
    <row r="30078" spans="1:13" x14ac:dyDescent="0.35">
      <c r="A30078" t="s">
        <v>229</v>
      </c>
      <c r="B30078" t="s">
        <v>372</v>
      </c>
      <c r="C30078" s="26">
        <v>0.68189999999999995</v>
      </c>
      <c r="D30078" s="26">
        <v>0.17219999999999999</v>
      </c>
      <c r="E30078" s="26">
        <v>0.1045</v>
      </c>
      <c r="F30078" s="26">
        <v>0.1101</v>
      </c>
      <c r="G30078" s="26">
        <v>4.3299999999999998E-2</v>
      </c>
      <c r="H30078" s="26">
        <v>4.24E-2</v>
      </c>
      <c r="I30078" s="26">
        <v>0.1101</v>
      </c>
      <c r="J30078" s="26">
        <v>6.4899999999999999E-2</v>
      </c>
      <c r="K30078" s="26">
        <v>5.1700000000000003E-2</v>
      </c>
      <c r="L30078" s="26">
        <v>1.5100000000000001E-2</v>
      </c>
      <c r="M30078">
        <v>221</v>
      </c>
    </row>
    <row r="30079" spans="1:13" x14ac:dyDescent="0.35">
      <c r="A30079" t="s">
        <v>229</v>
      </c>
      <c r="B30079" t="s">
        <v>373</v>
      </c>
      <c r="C30079" s="26">
        <v>0.7742</v>
      </c>
      <c r="D30079" s="26">
        <v>8.9800000000000005E-2</v>
      </c>
      <c r="E30079" s="26">
        <v>7.7499999999999999E-2</v>
      </c>
      <c r="F30079" s="26">
        <v>7.7499999999999999E-2</v>
      </c>
      <c r="G30079" s="26">
        <v>2.5000000000000001E-2</v>
      </c>
      <c r="H30079" s="26">
        <v>3.5999999999999999E-3</v>
      </c>
      <c r="I30079" s="26">
        <v>5.2900000000000003E-2</v>
      </c>
      <c r="J30079" s="26">
        <v>1.23E-2</v>
      </c>
      <c r="K30079" s="26">
        <v>1.23E-2</v>
      </c>
      <c r="L30079" s="26">
        <v>2.47E-2</v>
      </c>
      <c r="M30079">
        <v>90</v>
      </c>
    </row>
    <row r="30080" spans="1:13" x14ac:dyDescent="0.35">
      <c r="A30080" t="s">
        <v>230</v>
      </c>
      <c r="B30080" t="s">
        <v>371</v>
      </c>
      <c r="C30080" s="26">
        <v>0.84340000000000004</v>
      </c>
      <c r="D30080" s="26">
        <v>6.6199999999999995E-2</v>
      </c>
      <c r="E30080" s="26">
        <v>4.8500000000000001E-2</v>
      </c>
      <c r="F30080" s="26">
        <v>6.0600000000000001E-2</v>
      </c>
      <c r="G30080" s="26">
        <v>2.4299999999999999E-2</v>
      </c>
      <c r="H30080" s="26">
        <v>3.4200000000000001E-2</v>
      </c>
      <c r="I30080" s="26">
        <v>4.41E-2</v>
      </c>
      <c r="J30080" s="26">
        <v>9.9000000000000008E-3</v>
      </c>
      <c r="K30080" s="26">
        <v>1.66E-2</v>
      </c>
      <c r="L30080" s="26">
        <v>1.11E-2</v>
      </c>
      <c r="M30080">
        <v>262</v>
      </c>
    </row>
    <row r="30081" spans="1:13" x14ac:dyDescent="0.35">
      <c r="A30081" t="s">
        <v>230</v>
      </c>
      <c r="B30081" t="s">
        <v>372</v>
      </c>
      <c r="C30081" s="26">
        <v>0.61299999999999999</v>
      </c>
      <c r="D30081" s="26">
        <v>0.1598</v>
      </c>
      <c r="E30081" s="26">
        <v>0.21659999999999999</v>
      </c>
      <c r="F30081" s="26">
        <v>0.15740000000000001</v>
      </c>
      <c r="G30081" s="26">
        <v>4.3799999999999999E-2</v>
      </c>
      <c r="H30081" s="26">
        <v>8.1699999999999995E-2</v>
      </c>
      <c r="I30081" s="26">
        <v>7.5700000000000003E-2</v>
      </c>
      <c r="J30081" s="26">
        <v>6.2700000000000006E-2</v>
      </c>
      <c r="K30081" s="26">
        <v>9.11E-2</v>
      </c>
      <c r="L30081" s="26">
        <v>1.54E-2</v>
      </c>
      <c r="M30081">
        <v>146</v>
      </c>
    </row>
    <row r="30082" spans="1:13" x14ac:dyDescent="0.35">
      <c r="A30082" t="s">
        <v>230</v>
      </c>
      <c r="B30082" t="s">
        <v>373</v>
      </c>
      <c r="C30082" s="26">
        <v>0.83360000000000001</v>
      </c>
      <c r="D30082" s="26">
        <v>6.4799999999999996E-2</v>
      </c>
      <c r="E30082" s="26">
        <v>4.3900000000000002E-2</v>
      </c>
      <c r="F30082" s="26">
        <v>3.6900000000000002E-2</v>
      </c>
      <c r="G30082" s="26">
        <v>3.6900000000000002E-2</v>
      </c>
      <c r="H30082" s="26">
        <v>2.3E-2</v>
      </c>
      <c r="I30082" s="26">
        <v>4.3900000000000002E-2</v>
      </c>
      <c r="J30082" s="26">
        <v>2.52E-2</v>
      </c>
      <c r="K30082" s="26">
        <v>2.3E-2</v>
      </c>
      <c r="L30082" s="26">
        <v>2.0899999999999998E-2</v>
      </c>
      <c r="M30082">
        <v>152</v>
      </c>
    </row>
    <row r="30083" spans="1:13" x14ac:dyDescent="0.35">
      <c r="A30083" t="s">
        <v>231</v>
      </c>
      <c r="B30083" t="s">
        <v>371</v>
      </c>
      <c r="C30083" s="26">
        <v>0.92069999999999996</v>
      </c>
      <c r="D30083" s="26">
        <v>1.2200000000000001E-2</v>
      </c>
      <c r="E30083" s="26">
        <v>2.4400000000000002E-2</v>
      </c>
      <c r="F30083" s="26">
        <v>6.1000000000000004E-3</v>
      </c>
      <c r="G30083" s="26">
        <v>4.8800000000000003E-2</v>
      </c>
      <c r="H30083" s="26">
        <v>1.2200000000000001E-2</v>
      </c>
      <c r="M30083">
        <v>164</v>
      </c>
    </row>
    <row r="30084" spans="1:13" x14ac:dyDescent="0.35">
      <c r="A30084" t="s">
        <v>232</v>
      </c>
      <c r="B30084" t="s">
        <v>232</v>
      </c>
      <c r="C30084" s="26">
        <v>0.86360000000000003</v>
      </c>
      <c r="D30084" s="26">
        <v>5.2600000000000001E-2</v>
      </c>
      <c r="E30084" s="26">
        <v>4.7800000000000002E-2</v>
      </c>
      <c r="F30084" s="26">
        <v>3.8100000000000002E-2</v>
      </c>
      <c r="G30084" s="26">
        <v>3.1699999999999999E-2</v>
      </c>
      <c r="H30084" s="26">
        <v>3.0800000000000001E-2</v>
      </c>
      <c r="I30084" s="26">
        <v>2.5600000000000001E-2</v>
      </c>
      <c r="J30084" s="26">
        <v>1.9E-2</v>
      </c>
      <c r="K30084" s="26">
        <v>1.49E-2</v>
      </c>
      <c r="L30084" s="26">
        <v>5.0000000000000001E-3</v>
      </c>
      <c r="M30084">
        <v>2813</v>
      </c>
    </row>
    <row r="30086" spans="1:13" x14ac:dyDescent="0.35">
      <c r="A30086" s="1" t="s">
        <v>2681</v>
      </c>
    </row>
    <row r="30087" spans="1:13" x14ac:dyDescent="0.35">
      <c r="A30087" t="s">
        <v>219</v>
      </c>
      <c r="B30087" t="s">
        <v>305</v>
      </c>
      <c r="C30087" t="s">
        <v>1851</v>
      </c>
      <c r="D30087" t="s">
        <v>2664</v>
      </c>
      <c r="E30087" t="s">
        <v>2665</v>
      </c>
      <c r="F30087" t="s">
        <v>2666</v>
      </c>
      <c r="G30087" t="s">
        <v>281</v>
      </c>
      <c r="H30087" t="s">
        <v>2667</v>
      </c>
      <c r="I30087" t="s">
        <v>2668</v>
      </c>
      <c r="J30087" t="s">
        <v>2669</v>
      </c>
      <c r="K30087" t="s">
        <v>2670</v>
      </c>
      <c r="L30087" t="s">
        <v>286</v>
      </c>
      <c r="M30087" t="s">
        <v>226</v>
      </c>
    </row>
    <row r="30088" spans="1:13" x14ac:dyDescent="0.35">
      <c r="A30088" t="s">
        <v>227</v>
      </c>
      <c r="B30088" t="s">
        <v>255</v>
      </c>
      <c r="C30088" s="26">
        <v>0.94869999999999999</v>
      </c>
      <c r="D30088" s="26">
        <v>2.5600000000000001E-2</v>
      </c>
      <c r="E30088" s="26">
        <v>8.5000000000000006E-3</v>
      </c>
      <c r="H30088" s="26">
        <v>1.7100000000000001E-2</v>
      </c>
      <c r="I30088" s="26">
        <v>8.5000000000000006E-3</v>
      </c>
      <c r="J30088" s="26">
        <v>1.7100000000000001E-2</v>
      </c>
      <c r="M30088">
        <v>117</v>
      </c>
    </row>
    <row r="30089" spans="1:13" x14ac:dyDescent="0.35">
      <c r="A30089" s="27" t="s">
        <v>227</v>
      </c>
      <c r="B30089" s="27" t="s">
        <v>257</v>
      </c>
      <c r="C30089" s="28">
        <v>0.77780000000000005</v>
      </c>
      <c r="D30089" s="29"/>
      <c r="E30089" s="28">
        <v>0.1111</v>
      </c>
      <c r="F30089" s="29"/>
      <c r="G30089" s="28">
        <v>0.1111</v>
      </c>
      <c r="H30089" s="29"/>
      <c r="I30089" s="29"/>
      <c r="J30089" s="29"/>
      <c r="K30089" s="29"/>
      <c r="L30089" s="29"/>
      <c r="M30089" s="29" t="s">
        <v>334</v>
      </c>
    </row>
    <row r="30090" spans="1:13" x14ac:dyDescent="0.35">
      <c r="A30090" t="s">
        <v>227</v>
      </c>
      <c r="B30090" t="s">
        <v>256</v>
      </c>
      <c r="C30090" s="26">
        <v>0.97140000000000004</v>
      </c>
      <c r="D30090" s="26">
        <v>2.86E-2</v>
      </c>
      <c r="M30090">
        <v>35</v>
      </c>
    </row>
    <row r="30091" spans="1:13" x14ac:dyDescent="0.35">
      <c r="A30091" t="s">
        <v>228</v>
      </c>
      <c r="B30091" t="s">
        <v>257</v>
      </c>
      <c r="C30091" s="26">
        <v>0.57379999999999998</v>
      </c>
      <c r="D30091" s="26">
        <v>0.1792</v>
      </c>
      <c r="E30091" s="26">
        <v>0.21229999999999999</v>
      </c>
      <c r="F30091" s="26">
        <v>0.1321</v>
      </c>
      <c r="G30091" s="26">
        <v>6.3799999999999996E-2</v>
      </c>
      <c r="H30091" s="26">
        <v>0.1293</v>
      </c>
      <c r="I30091" s="26">
        <v>8.0399999999999999E-2</v>
      </c>
      <c r="J30091" s="26">
        <v>0.1113</v>
      </c>
      <c r="K30091" s="26">
        <v>5.8000000000000003E-2</v>
      </c>
      <c r="M30091">
        <v>49</v>
      </c>
    </row>
    <row r="30092" spans="1:13" x14ac:dyDescent="0.35">
      <c r="A30092" s="27" t="s">
        <v>228</v>
      </c>
      <c r="B30092" s="27" t="s">
        <v>258</v>
      </c>
      <c r="C30092" s="28">
        <v>0.90190000000000003</v>
      </c>
      <c r="D30092" s="29"/>
      <c r="E30092" s="29"/>
      <c r="F30092" s="29"/>
      <c r="G30092" s="29"/>
      <c r="H30092" s="29"/>
      <c r="I30092" s="29"/>
      <c r="J30092" s="29"/>
      <c r="K30092" s="29"/>
      <c r="L30092" s="28">
        <v>9.8100000000000007E-2</v>
      </c>
      <c r="M30092" s="29" t="s">
        <v>337</v>
      </c>
    </row>
    <row r="30093" spans="1:13" x14ac:dyDescent="0.35">
      <c r="A30093" t="s">
        <v>228</v>
      </c>
      <c r="B30093" t="s">
        <v>256</v>
      </c>
      <c r="C30093" s="26">
        <v>0.74370000000000003</v>
      </c>
      <c r="D30093" s="26">
        <v>0.12720000000000001</v>
      </c>
      <c r="E30093" s="26">
        <v>0.1164</v>
      </c>
      <c r="F30093" s="26">
        <v>7.22E-2</v>
      </c>
      <c r="G30093" s="26">
        <v>3.56E-2</v>
      </c>
      <c r="H30093" s="26">
        <v>0.1069</v>
      </c>
      <c r="I30093" s="26">
        <v>6.1800000000000001E-2</v>
      </c>
      <c r="J30093" s="26">
        <v>1.09E-2</v>
      </c>
      <c r="K30093" s="26">
        <v>3.7999999999999999E-2</v>
      </c>
      <c r="L30093" s="26">
        <v>1.38E-2</v>
      </c>
      <c r="M30093">
        <v>221</v>
      </c>
    </row>
    <row r="30094" spans="1:13" x14ac:dyDescent="0.35">
      <c r="A30094" t="s">
        <v>228</v>
      </c>
      <c r="B30094" t="s">
        <v>255</v>
      </c>
      <c r="C30094" s="26">
        <v>0.79869999999999997</v>
      </c>
      <c r="D30094" s="26">
        <v>7.51E-2</v>
      </c>
      <c r="E30094" s="26">
        <v>6.4100000000000004E-2</v>
      </c>
      <c r="F30094" s="26">
        <v>7.5399999999999995E-2</v>
      </c>
      <c r="G30094" s="26">
        <v>3.73E-2</v>
      </c>
      <c r="H30094" s="26">
        <v>2.8400000000000002E-2</v>
      </c>
      <c r="I30094" s="26">
        <v>4.1099999999999998E-2</v>
      </c>
      <c r="J30094" s="26">
        <v>2.0400000000000001E-2</v>
      </c>
      <c r="K30094" s="26">
        <v>3.3399999999999999E-2</v>
      </c>
      <c r="L30094" s="26">
        <v>1.7000000000000001E-2</v>
      </c>
      <c r="M30094">
        <v>759</v>
      </c>
    </row>
    <row r="30095" spans="1:13" x14ac:dyDescent="0.35">
      <c r="A30095" t="s">
        <v>229</v>
      </c>
      <c r="B30095" t="s">
        <v>256</v>
      </c>
      <c r="C30095" s="26">
        <v>0.79659999999999997</v>
      </c>
      <c r="D30095" s="26">
        <v>9.6799999999999997E-2</v>
      </c>
      <c r="E30095" s="26">
        <v>7.46E-2</v>
      </c>
      <c r="F30095" s="26">
        <v>6.5600000000000006E-2</v>
      </c>
      <c r="G30095" s="26">
        <v>3.8199999999999998E-2</v>
      </c>
      <c r="H30095" s="26">
        <v>9.1300000000000006E-2</v>
      </c>
      <c r="I30095" s="26">
        <v>4.9599999999999998E-2</v>
      </c>
      <c r="J30095" s="26">
        <v>4.6800000000000001E-2</v>
      </c>
      <c r="K30095" s="26">
        <v>1.7100000000000001E-2</v>
      </c>
      <c r="L30095" s="26">
        <v>1.1999999999999999E-3</v>
      </c>
      <c r="M30095">
        <v>207</v>
      </c>
    </row>
    <row r="30096" spans="1:13" x14ac:dyDescent="0.35">
      <c r="A30096" t="s">
        <v>229</v>
      </c>
      <c r="B30096" t="s">
        <v>255</v>
      </c>
      <c r="C30096" s="26">
        <v>0.85760000000000003</v>
      </c>
      <c r="D30096" s="26">
        <v>6.3500000000000001E-2</v>
      </c>
      <c r="E30096" s="26">
        <v>5.57E-2</v>
      </c>
      <c r="F30096" s="26">
        <v>4.9099999999999998E-2</v>
      </c>
      <c r="G30096" s="26">
        <v>2.1999999999999999E-2</v>
      </c>
      <c r="H30096" s="26">
        <v>1.67E-2</v>
      </c>
      <c r="I30096" s="26">
        <v>3.1899999999999998E-2</v>
      </c>
      <c r="J30096" s="26">
        <v>3.56E-2</v>
      </c>
      <c r="K30096" s="26">
        <v>1.95E-2</v>
      </c>
      <c r="L30096" s="26">
        <v>3.5999999999999999E-3</v>
      </c>
      <c r="M30096">
        <v>636</v>
      </c>
    </row>
    <row r="30097" spans="1:13" x14ac:dyDescent="0.35">
      <c r="A30097" t="s">
        <v>229</v>
      </c>
      <c r="B30097" t="s">
        <v>257</v>
      </c>
      <c r="C30097" s="26">
        <v>0.80679999999999996</v>
      </c>
      <c r="D30097" s="26">
        <v>6.6500000000000004E-2</v>
      </c>
      <c r="E30097" s="26">
        <v>6.0299999999999999E-2</v>
      </c>
      <c r="F30097" s="26">
        <v>6.0299999999999999E-2</v>
      </c>
      <c r="G30097" s="26">
        <v>1.41E-2</v>
      </c>
      <c r="H30097" s="26">
        <v>0.1114</v>
      </c>
      <c r="I30097" s="26">
        <v>6.3200000000000006E-2</v>
      </c>
      <c r="J30097" s="26">
        <v>5.5399999999999998E-2</v>
      </c>
      <c r="K30097" s="26">
        <v>5.5399999999999998E-2</v>
      </c>
      <c r="M30097">
        <v>50</v>
      </c>
    </row>
    <row r="30098" spans="1:13" x14ac:dyDescent="0.35">
      <c r="A30098" s="27" t="s">
        <v>229</v>
      </c>
      <c r="B30098" s="27" t="s">
        <v>258</v>
      </c>
      <c r="C30098" s="28">
        <v>1</v>
      </c>
      <c r="D30098" s="29"/>
      <c r="E30098" s="29"/>
      <c r="F30098" s="29"/>
      <c r="G30098" s="29"/>
      <c r="H30098" s="29"/>
      <c r="I30098" s="29"/>
      <c r="J30098" s="29"/>
      <c r="K30098" s="29"/>
      <c r="L30098" s="29"/>
      <c r="M30098" s="29" t="s">
        <v>314</v>
      </c>
    </row>
    <row r="30099" spans="1:13" x14ac:dyDescent="0.35">
      <c r="A30099" t="s">
        <v>230</v>
      </c>
      <c r="B30099" t="s">
        <v>256</v>
      </c>
      <c r="C30099" s="26">
        <v>0.79830000000000001</v>
      </c>
      <c r="D30099" s="26">
        <v>0.1053</v>
      </c>
      <c r="E30099" s="26">
        <v>6.7500000000000004E-2</v>
      </c>
      <c r="F30099" s="26">
        <v>8.2299999999999998E-2</v>
      </c>
      <c r="G30099" s="26">
        <v>1.04E-2</v>
      </c>
      <c r="H30099" s="26">
        <v>9.3700000000000006E-2</v>
      </c>
      <c r="I30099" s="26">
        <v>7.4300000000000005E-2</v>
      </c>
      <c r="J30099" s="26">
        <v>3.5200000000000002E-2</v>
      </c>
      <c r="K30099" s="26">
        <v>2.8400000000000002E-2</v>
      </c>
      <c r="M30099">
        <v>130</v>
      </c>
    </row>
    <row r="30100" spans="1:13" x14ac:dyDescent="0.35">
      <c r="A30100" t="s">
        <v>230</v>
      </c>
      <c r="B30100" t="s">
        <v>255</v>
      </c>
      <c r="C30100" s="26">
        <v>0.83779999999999999</v>
      </c>
      <c r="D30100" s="26">
        <v>6.4699999999999994E-2</v>
      </c>
      <c r="E30100" s="26">
        <v>5.5199999999999999E-2</v>
      </c>
      <c r="F30100" s="26">
        <v>5.2200000000000003E-2</v>
      </c>
      <c r="G30100" s="26">
        <v>3.6200000000000003E-2</v>
      </c>
      <c r="H30100" s="26">
        <v>1.5100000000000001E-2</v>
      </c>
      <c r="I30100" s="26">
        <v>3.0200000000000001E-2</v>
      </c>
      <c r="J30100" s="26">
        <v>8.6999999999999994E-3</v>
      </c>
      <c r="K30100" s="26">
        <v>2.1100000000000001E-2</v>
      </c>
      <c r="L30100" s="26">
        <v>1.7600000000000001E-2</v>
      </c>
      <c r="M30100">
        <v>389</v>
      </c>
    </row>
    <row r="30101" spans="1:13" x14ac:dyDescent="0.35">
      <c r="A30101" t="s">
        <v>230</v>
      </c>
      <c r="B30101" t="s">
        <v>257</v>
      </c>
      <c r="C30101" s="26">
        <v>0.84099999999999997</v>
      </c>
      <c r="D30101" s="26">
        <v>1.6400000000000001E-2</v>
      </c>
      <c r="E30101" s="26">
        <v>4.9500000000000002E-2</v>
      </c>
      <c r="F30101" s="26">
        <v>0.1018</v>
      </c>
      <c r="G30101" s="26">
        <v>3.8999999999999998E-3</v>
      </c>
      <c r="H30101" s="26">
        <v>1.67E-2</v>
      </c>
      <c r="I30101" s="26">
        <v>9.2499999999999999E-2</v>
      </c>
      <c r="K30101" s="26">
        <v>3.8999999999999998E-3</v>
      </c>
      <c r="L30101" s="26">
        <v>1.2800000000000001E-2</v>
      </c>
      <c r="M30101">
        <v>38</v>
      </c>
    </row>
    <row r="30102" spans="1:13" x14ac:dyDescent="0.35">
      <c r="A30102" s="27" t="s">
        <v>230</v>
      </c>
      <c r="B30102" s="27" t="s">
        <v>258</v>
      </c>
      <c r="C30102" s="28">
        <v>1</v>
      </c>
      <c r="D30102" s="29"/>
      <c r="E30102" s="29"/>
      <c r="F30102" s="29"/>
      <c r="G30102" s="29"/>
      <c r="H30102" s="29"/>
      <c r="I30102" s="29"/>
      <c r="J30102" s="29"/>
      <c r="K30102" s="29"/>
      <c r="L30102" s="29"/>
      <c r="M30102" s="29" t="s">
        <v>315</v>
      </c>
    </row>
    <row r="30103" spans="1:13" x14ac:dyDescent="0.35">
      <c r="A30103" s="27" t="s">
        <v>231</v>
      </c>
      <c r="B30103" s="27" t="s">
        <v>257</v>
      </c>
      <c r="C30103" s="28">
        <v>1</v>
      </c>
      <c r="D30103" s="29"/>
      <c r="E30103" s="29"/>
      <c r="F30103" s="29"/>
      <c r="G30103" s="29"/>
      <c r="H30103" s="29"/>
      <c r="I30103" s="29"/>
      <c r="J30103" s="29"/>
      <c r="K30103" s="29"/>
      <c r="L30103" s="29"/>
      <c r="M30103" s="29" t="s">
        <v>339</v>
      </c>
    </row>
    <row r="30104" spans="1:13" x14ac:dyDescent="0.35">
      <c r="A30104" t="s">
        <v>231</v>
      </c>
      <c r="B30104" t="s">
        <v>255</v>
      </c>
      <c r="C30104" s="26">
        <v>0.92249999999999999</v>
      </c>
      <c r="D30104" s="26">
        <v>1.55E-2</v>
      </c>
      <c r="E30104" s="26">
        <v>2.3300000000000001E-2</v>
      </c>
      <c r="F30104" s="26">
        <v>7.7999999999999996E-3</v>
      </c>
      <c r="G30104" s="26">
        <v>4.65E-2</v>
      </c>
      <c r="H30104" s="26">
        <v>7.7999999999999996E-3</v>
      </c>
      <c r="M30104">
        <v>129</v>
      </c>
    </row>
    <row r="30105" spans="1:13" x14ac:dyDescent="0.35">
      <c r="A30105" s="27" t="s">
        <v>231</v>
      </c>
      <c r="B30105" s="27" t="s">
        <v>256</v>
      </c>
      <c r="C30105" s="28">
        <v>0.89290000000000003</v>
      </c>
      <c r="D30105" s="29"/>
      <c r="E30105" s="28">
        <v>3.5700000000000003E-2</v>
      </c>
      <c r="F30105" s="29"/>
      <c r="G30105" s="28">
        <v>7.1400000000000005E-2</v>
      </c>
      <c r="H30105" s="28">
        <v>3.5700000000000003E-2</v>
      </c>
      <c r="I30105" s="29"/>
      <c r="J30105" s="29"/>
      <c r="K30105" s="29"/>
      <c r="L30105" s="29"/>
      <c r="M30105" s="29" t="s">
        <v>336</v>
      </c>
    </row>
    <row r="30106" spans="1:13" x14ac:dyDescent="0.35">
      <c r="A30106" t="s">
        <v>232</v>
      </c>
      <c r="B30106" t="s">
        <v>232</v>
      </c>
      <c r="C30106" s="26">
        <v>0.86360000000000003</v>
      </c>
      <c r="D30106" s="26">
        <v>5.2600000000000001E-2</v>
      </c>
      <c r="E30106" s="26">
        <v>4.7800000000000002E-2</v>
      </c>
      <c r="F30106" s="26">
        <v>3.8100000000000002E-2</v>
      </c>
      <c r="G30106" s="26">
        <v>3.1699999999999999E-2</v>
      </c>
      <c r="H30106" s="26">
        <v>3.0800000000000001E-2</v>
      </c>
      <c r="I30106" s="26">
        <v>2.5600000000000001E-2</v>
      </c>
      <c r="J30106" s="26">
        <v>1.9E-2</v>
      </c>
      <c r="K30106" s="26">
        <v>1.49E-2</v>
      </c>
      <c r="L30106" s="26">
        <v>5.0000000000000001E-3</v>
      </c>
      <c r="M30106">
        <v>2813</v>
      </c>
    </row>
    <row r="30108" spans="1:13" x14ac:dyDescent="0.35">
      <c r="A30108" s="1" t="s">
        <v>2682</v>
      </c>
    </row>
    <row r="30109" spans="1:13" x14ac:dyDescent="0.35">
      <c r="A30109" t="s">
        <v>219</v>
      </c>
      <c r="B30109" t="s">
        <v>305</v>
      </c>
      <c r="C30109" t="s">
        <v>1851</v>
      </c>
      <c r="D30109" t="s">
        <v>2664</v>
      </c>
      <c r="E30109" t="s">
        <v>2665</v>
      </c>
      <c r="F30109" t="s">
        <v>2666</v>
      </c>
      <c r="G30109" t="s">
        <v>281</v>
      </c>
      <c r="H30109" t="s">
        <v>2667</v>
      </c>
      <c r="I30109" t="s">
        <v>2668</v>
      </c>
      <c r="J30109" t="s">
        <v>2669</v>
      </c>
      <c r="K30109" t="s">
        <v>2670</v>
      </c>
      <c r="L30109" t="s">
        <v>286</v>
      </c>
      <c r="M30109" t="s">
        <v>226</v>
      </c>
    </row>
    <row r="30110" spans="1:13" x14ac:dyDescent="0.35">
      <c r="A30110" t="s">
        <v>227</v>
      </c>
      <c r="B30110" t="s">
        <v>1341</v>
      </c>
      <c r="C30110" s="26">
        <v>0.97960000000000003</v>
      </c>
      <c r="J30110" s="26">
        <v>2.0400000000000001E-2</v>
      </c>
      <c r="M30110">
        <v>49</v>
      </c>
    </row>
    <row r="30111" spans="1:13" x14ac:dyDescent="0.35">
      <c r="A30111" s="27" t="s">
        <v>227</v>
      </c>
      <c r="B30111" s="27" t="s">
        <v>1342</v>
      </c>
      <c r="C30111" s="28">
        <v>1</v>
      </c>
      <c r="D30111" s="29"/>
      <c r="E30111" s="29"/>
      <c r="F30111" s="29"/>
      <c r="G30111" s="29"/>
      <c r="H30111" s="29"/>
      <c r="I30111" s="29"/>
      <c r="J30111" s="29"/>
      <c r="K30111" s="29"/>
      <c r="L30111" s="29"/>
      <c r="M30111" s="29" t="s">
        <v>331</v>
      </c>
    </row>
    <row r="30112" spans="1:13" x14ac:dyDescent="0.35">
      <c r="A30112" t="s">
        <v>227</v>
      </c>
      <c r="B30112" t="s">
        <v>1343</v>
      </c>
      <c r="C30112" s="26">
        <v>0.92789999999999995</v>
      </c>
      <c r="D30112" s="26">
        <v>3.5999999999999997E-2</v>
      </c>
      <c r="E30112" s="26">
        <v>1.7999999999999999E-2</v>
      </c>
      <c r="G30112" s="26">
        <v>8.9999999999999993E-3</v>
      </c>
      <c r="H30112" s="26">
        <v>1.7999999999999999E-2</v>
      </c>
      <c r="I30112" s="26">
        <v>8.9999999999999993E-3</v>
      </c>
      <c r="J30112" s="26">
        <v>8.9999999999999993E-3</v>
      </c>
      <c r="M30112">
        <v>111</v>
      </c>
    </row>
    <row r="30113" spans="1:13" x14ac:dyDescent="0.35">
      <c r="A30113" t="s">
        <v>228</v>
      </c>
      <c r="B30113" t="s">
        <v>1341</v>
      </c>
      <c r="C30113" s="26">
        <v>0.76170000000000004</v>
      </c>
      <c r="D30113" s="26">
        <v>0.12690000000000001</v>
      </c>
      <c r="E30113" s="26">
        <v>7.7399999999999997E-2</v>
      </c>
      <c r="F30113" s="26">
        <v>9.2899999999999996E-2</v>
      </c>
      <c r="G30113" s="26">
        <v>3.2099999999999997E-2</v>
      </c>
      <c r="H30113" s="26">
        <v>4.2000000000000003E-2</v>
      </c>
      <c r="I30113" s="26">
        <v>7.0300000000000001E-2</v>
      </c>
      <c r="J30113" s="26">
        <v>1.8100000000000002E-2</v>
      </c>
      <c r="K30113" s="26">
        <v>5.1200000000000002E-2</v>
      </c>
      <c r="L30113" s="26">
        <v>2.87E-2</v>
      </c>
      <c r="M30113">
        <v>305</v>
      </c>
    </row>
    <row r="30114" spans="1:13" x14ac:dyDescent="0.35">
      <c r="A30114" s="27" t="s">
        <v>228</v>
      </c>
      <c r="B30114" s="27" t="s">
        <v>1342</v>
      </c>
      <c r="C30114" s="28">
        <v>1</v>
      </c>
      <c r="D30114" s="29"/>
      <c r="E30114" s="29"/>
      <c r="F30114" s="29"/>
      <c r="G30114" s="29"/>
      <c r="H30114" s="29"/>
      <c r="I30114" s="29"/>
      <c r="J30114" s="29"/>
      <c r="K30114" s="29"/>
      <c r="L30114" s="29"/>
      <c r="M30114" s="29" t="s">
        <v>331</v>
      </c>
    </row>
    <row r="30115" spans="1:13" x14ac:dyDescent="0.35">
      <c r="A30115" t="s">
        <v>228</v>
      </c>
      <c r="B30115" t="s">
        <v>1343</v>
      </c>
      <c r="C30115" s="26">
        <v>0.77849999999999997</v>
      </c>
      <c r="D30115" s="26">
        <v>7.9000000000000001E-2</v>
      </c>
      <c r="E30115" s="26">
        <v>8.72E-2</v>
      </c>
      <c r="F30115" s="26">
        <v>7.0999999999999994E-2</v>
      </c>
      <c r="G30115" s="26">
        <v>4.0800000000000003E-2</v>
      </c>
      <c r="H30115" s="26">
        <v>5.7000000000000002E-2</v>
      </c>
      <c r="I30115" s="26">
        <v>3.8800000000000001E-2</v>
      </c>
      <c r="J30115" s="26">
        <v>2.47E-2</v>
      </c>
      <c r="K30115" s="26">
        <v>2.93E-2</v>
      </c>
      <c r="L30115" s="26">
        <v>1.0500000000000001E-2</v>
      </c>
      <c r="M30115">
        <v>727</v>
      </c>
    </row>
    <row r="30116" spans="1:13" x14ac:dyDescent="0.35">
      <c r="A30116" t="s">
        <v>229</v>
      </c>
      <c r="B30116" t="s">
        <v>1341</v>
      </c>
      <c r="C30116" s="26">
        <v>0.81479999999999997</v>
      </c>
      <c r="D30116" s="26">
        <v>0.10290000000000001</v>
      </c>
      <c r="E30116" s="26">
        <v>6.1899999999999997E-2</v>
      </c>
      <c r="F30116" s="26">
        <v>5.7700000000000001E-2</v>
      </c>
      <c r="G30116" s="26">
        <v>4.2599999999999999E-2</v>
      </c>
      <c r="H30116" s="26">
        <v>5.8000000000000003E-2</v>
      </c>
      <c r="I30116" s="26">
        <v>5.2200000000000003E-2</v>
      </c>
      <c r="J30116" s="26">
        <v>3.2000000000000001E-2</v>
      </c>
      <c r="K30116" s="26">
        <v>2.6200000000000001E-2</v>
      </c>
      <c r="L30116" s="26">
        <v>3.0000000000000001E-3</v>
      </c>
      <c r="M30116">
        <v>273</v>
      </c>
    </row>
    <row r="30117" spans="1:13" x14ac:dyDescent="0.35">
      <c r="A30117" t="s">
        <v>229</v>
      </c>
      <c r="B30117" t="s">
        <v>1343</v>
      </c>
      <c r="C30117" s="26">
        <v>0.84960000000000002</v>
      </c>
      <c r="D30117" s="26">
        <v>5.8000000000000003E-2</v>
      </c>
      <c r="E30117" s="26">
        <v>6.0699999999999997E-2</v>
      </c>
      <c r="F30117" s="26">
        <v>5.2499999999999998E-2</v>
      </c>
      <c r="G30117" s="26">
        <v>1.7899999999999999E-2</v>
      </c>
      <c r="H30117" s="26">
        <v>3.4500000000000003E-2</v>
      </c>
      <c r="I30117" s="26">
        <v>3.1699999999999999E-2</v>
      </c>
      <c r="J30117" s="26">
        <v>4.3499999999999997E-2</v>
      </c>
      <c r="K30117" s="26">
        <v>1.8100000000000002E-2</v>
      </c>
      <c r="L30117" s="26">
        <v>2.5999999999999999E-3</v>
      </c>
      <c r="M30117">
        <v>622</v>
      </c>
    </row>
    <row r="30118" spans="1:13" x14ac:dyDescent="0.35">
      <c r="A30118" t="s">
        <v>230</v>
      </c>
      <c r="B30118" t="s">
        <v>1341</v>
      </c>
      <c r="C30118" s="26">
        <v>0.74590000000000001</v>
      </c>
      <c r="D30118" s="26">
        <v>8.6900000000000005E-2</v>
      </c>
      <c r="E30118" s="26">
        <v>8.7499999999999994E-2</v>
      </c>
      <c r="F30118" s="26">
        <v>9.4500000000000001E-2</v>
      </c>
      <c r="G30118" s="26">
        <v>6.2100000000000002E-2</v>
      </c>
      <c r="H30118" s="26">
        <v>4.2599999999999999E-2</v>
      </c>
      <c r="I30118" s="26">
        <v>5.8999999999999997E-2</v>
      </c>
      <c r="J30118" s="26">
        <v>2.3900000000000001E-2</v>
      </c>
      <c r="K30118" s="26">
        <v>4.5199999999999997E-2</v>
      </c>
      <c r="M30118">
        <v>156</v>
      </c>
    </row>
    <row r="30119" spans="1:13" x14ac:dyDescent="0.35">
      <c r="A30119" t="s">
        <v>230</v>
      </c>
      <c r="B30119" t="s">
        <v>1343</v>
      </c>
      <c r="C30119" s="26">
        <v>0.86570000000000003</v>
      </c>
      <c r="D30119" s="26">
        <v>6.4500000000000002E-2</v>
      </c>
      <c r="E30119" s="26">
        <v>4.4299999999999999E-2</v>
      </c>
      <c r="F30119" s="26">
        <v>4.9299999999999997E-2</v>
      </c>
      <c r="G30119" s="26">
        <v>1.14E-2</v>
      </c>
      <c r="H30119" s="26">
        <v>3.2399999999999998E-2</v>
      </c>
      <c r="I30119" s="26">
        <v>4.0099999999999997E-2</v>
      </c>
      <c r="J30119" s="26">
        <v>1.09E-2</v>
      </c>
      <c r="K30119" s="26">
        <v>1.12E-2</v>
      </c>
      <c r="L30119" s="26">
        <v>1.8100000000000002E-2</v>
      </c>
      <c r="M30119">
        <v>404</v>
      </c>
    </row>
    <row r="30120" spans="1:13" x14ac:dyDescent="0.35">
      <c r="A30120" t="s">
        <v>231</v>
      </c>
      <c r="B30120" t="s">
        <v>1341</v>
      </c>
      <c r="C30120" s="26">
        <v>0.89229999999999998</v>
      </c>
      <c r="D30120" s="26">
        <v>1.54E-2</v>
      </c>
      <c r="E30120" s="26">
        <v>4.6199999999999998E-2</v>
      </c>
      <c r="F30120" s="26">
        <v>1.54E-2</v>
      </c>
      <c r="G30120" s="26">
        <v>6.1499999999999999E-2</v>
      </c>
      <c r="H30120" s="26">
        <v>1.54E-2</v>
      </c>
      <c r="M30120">
        <v>65</v>
      </c>
    </row>
    <row r="30121" spans="1:13" x14ac:dyDescent="0.35">
      <c r="A30121" t="s">
        <v>231</v>
      </c>
      <c r="B30121" t="s">
        <v>1343</v>
      </c>
      <c r="C30121" s="26">
        <v>0.93940000000000001</v>
      </c>
      <c r="D30121" s="26">
        <v>1.01E-2</v>
      </c>
      <c r="E30121" s="26">
        <v>1.01E-2</v>
      </c>
      <c r="G30121" s="26">
        <v>4.0399999999999998E-2</v>
      </c>
      <c r="H30121" s="26">
        <v>1.01E-2</v>
      </c>
      <c r="M30121">
        <v>99</v>
      </c>
    </row>
    <row r="30122" spans="1:13" x14ac:dyDescent="0.35">
      <c r="A30122" t="s">
        <v>232</v>
      </c>
      <c r="B30122" t="s">
        <v>232</v>
      </c>
      <c r="C30122" s="26">
        <v>0.86360000000000003</v>
      </c>
      <c r="D30122" s="26">
        <v>5.2600000000000001E-2</v>
      </c>
      <c r="E30122" s="26">
        <v>4.7800000000000002E-2</v>
      </c>
      <c r="F30122" s="26">
        <v>3.8100000000000002E-2</v>
      </c>
      <c r="G30122" s="26">
        <v>3.1699999999999999E-2</v>
      </c>
      <c r="H30122" s="26">
        <v>3.0800000000000001E-2</v>
      </c>
      <c r="I30122" s="26">
        <v>2.5600000000000001E-2</v>
      </c>
      <c r="J30122" s="26">
        <v>1.9E-2</v>
      </c>
      <c r="K30122" s="26">
        <v>1.49E-2</v>
      </c>
      <c r="L30122" s="26">
        <v>5.0000000000000001E-3</v>
      </c>
      <c r="M30122">
        <v>2813</v>
      </c>
    </row>
    <row r="30124" spans="1:13" x14ac:dyDescent="0.35">
      <c r="A30124" s="1" t="s">
        <v>2683</v>
      </c>
    </row>
    <row r="30125" spans="1:13" x14ac:dyDescent="0.35">
      <c r="A30125" t="s">
        <v>219</v>
      </c>
      <c r="B30125" t="s">
        <v>305</v>
      </c>
      <c r="C30125" t="s">
        <v>1851</v>
      </c>
      <c r="D30125" t="s">
        <v>2664</v>
      </c>
      <c r="E30125" t="s">
        <v>2665</v>
      </c>
      <c r="F30125" t="s">
        <v>2666</v>
      </c>
      <c r="G30125" t="s">
        <v>281</v>
      </c>
      <c r="H30125" t="s">
        <v>2667</v>
      </c>
      <c r="I30125" t="s">
        <v>2668</v>
      </c>
      <c r="J30125" t="s">
        <v>2669</v>
      </c>
      <c r="K30125" t="s">
        <v>2670</v>
      </c>
      <c r="L30125" t="s">
        <v>286</v>
      </c>
      <c r="M30125" t="s">
        <v>226</v>
      </c>
    </row>
    <row r="30126" spans="1:13" x14ac:dyDescent="0.35">
      <c r="A30126" s="27" t="s">
        <v>227</v>
      </c>
      <c r="B30126" s="27" t="s">
        <v>1345</v>
      </c>
      <c r="C30126" s="28">
        <v>1</v>
      </c>
      <c r="D30126" s="29"/>
      <c r="E30126" s="29"/>
      <c r="F30126" s="29"/>
      <c r="G30126" s="29"/>
      <c r="H30126" s="29"/>
      <c r="I30126" s="29"/>
      <c r="J30126" s="29"/>
      <c r="K30126" s="29"/>
      <c r="L30126" s="29"/>
      <c r="M30126" s="29" t="s">
        <v>314</v>
      </c>
    </row>
    <row r="30127" spans="1:13" x14ac:dyDescent="0.35">
      <c r="A30127" t="s">
        <v>227</v>
      </c>
      <c r="B30127" t="s">
        <v>1346</v>
      </c>
      <c r="C30127" s="26">
        <v>0.97440000000000004</v>
      </c>
      <c r="D30127" s="26">
        <v>2.5600000000000001E-2</v>
      </c>
      <c r="M30127">
        <v>39</v>
      </c>
    </row>
    <row r="30128" spans="1:13" x14ac:dyDescent="0.35">
      <c r="A30128" t="s">
        <v>227</v>
      </c>
      <c r="B30128" t="s">
        <v>1347</v>
      </c>
      <c r="C30128" s="26">
        <v>0.88890000000000002</v>
      </c>
      <c r="D30128" s="26">
        <v>2.7799999999999998E-2</v>
      </c>
      <c r="E30128" s="26">
        <v>2.7799999999999998E-2</v>
      </c>
      <c r="H30128" s="26">
        <v>2.7799999999999998E-2</v>
      </c>
      <c r="J30128" s="26">
        <v>2.7799999999999998E-2</v>
      </c>
      <c r="M30128">
        <v>36</v>
      </c>
    </row>
    <row r="30129" spans="1:13" x14ac:dyDescent="0.35">
      <c r="A30129" t="s">
        <v>227</v>
      </c>
      <c r="B30129" t="s">
        <v>1348</v>
      </c>
      <c r="C30129" s="26">
        <v>0.95240000000000002</v>
      </c>
      <c r="D30129" s="26">
        <v>2.3800000000000002E-2</v>
      </c>
      <c r="E30129" s="26">
        <v>1.1900000000000001E-2</v>
      </c>
      <c r="G30129" s="26">
        <v>1.1900000000000001E-2</v>
      </c>
      <c r="H30129" s="26">
        <v>1.1900000000000001E-2</v>
      </c>
      <c r="I30129" s="26">
        <v>1.1900000000000001E-2</v>
      </c>
      <c r="J30129" s="26">
        <v>1.1900000000000001E-2</v>
      </c>
      <c r="M30129">
        <v>84</v>
      </c>
    </row>
    <row r="30130" spans="1:13" x14ac:dyDescent="0.35">
      <c r="A30130" t="s">
        <v>228</v>
      </c>
      <c r="B30130" t="s">
        <v>1348</v>
      </c>
      <c r="C30130" s="26">
        <v>0.76580000000000004</v>
      </c>
      <c r="D30130" s="26">
        <v>9.8500000000000004E-2</v>
      </c>
      <c r="E30130" s="26">
        <v>8.9599999999999999E-2</v>
      </c>
      <c r="F30130" s="26">
        <v>8.3799999999999999E-2</v>
      </c>
      <c r="G30130" s="26">
        <v>2.9100000000000001E-2</v>
      </c>
      <c r="H30130" s="26">
        <v>7.3300000000000004E-2</v>
      </c>
      <c r="I30130" s="26">
        <v>4.3200000000000002E-2</v>
      </c>
      <c r="J30130" s="26">
        <v>2.7099999999999999E-2</v>
      </c>
      <c r="K30130" s="26">
        <v>3.0200000000000001E-2</v>
      </c>
      <c r="L30130" s="26">
        <v>1.7999999999999999E-2</v>
      </c>
      <c r="M30130">
        <v>532</v>
      </c>
    </row>
    <row r="30131" spans="1:13" x14ac:dyDescent="0.35">
      <c r="A30131" t="s">
        <v>228</v>
      </c>
      <c r="B30131" t="s">
        <v>1347</v>
      </c>
      <c r="C30131" s="26">
        <v>0.69869999999999999</v>
      </c>
      <c r="D30131" s="26">
        <v>0.16500000000000001</v>
      </c>
      <c r="E30131" s="26">
        <v>0.1173</v>
      </c>
      <c r="F30131" s="26">
        <v>8.2500000000000004E-2</v>
      </c>
      <c r="G30131" s="26">
        <v>0.06</v>
      </c>
      <c r="H30131" s="26">
        <v>4.9099999999999998E-2</v>
      </c>
      <c r="I30131" s="26">
        <v>6.8699999999999997E-2</v>
      </c>
      <c r="J30131" s="26">
        <v>1.9E-2</v>
      </c>
      <c r="K30131" s="26">
        <v>8.3900000000000002E-2</v>
      </c>
      <c r="L30131" s="26">
        <v>2.0400000000000001E-2</v>
      </c>
      <c r="M30131">
        <v>204</v>
      </c>
    </row>
    <row r="30132" spans="1:13" x14ac:dyDescent="0.35">
      <c r="A30132" t="s">
        <v>228</v>
      </c>
      <c r="B30132" t="s">
        <v>1346</v>
      </c>
      <c r="C30132" s="26">
        <v>0.84550000000000003</v>
      </c>
      <c r="D30132" s="26">
        <v>3.1300000000000001E-2</v>
      </c>
      <c r="E30132" s="26">
        <v>3.8100000000000002E-2</v>
      </c>
      <c r="F30132" s="26">
        <v>6.1499999999999999E-2</v>
      </c>
      <c r="G30132" s="26">
        <v>4.3499999999999997E-2</v>
      </c>
      <c r="H30132" s="26">
        <v>1.21E-2</v>
      </c>
      <c r="I30132" s="26">
        <v>4.1599999999999998E-2</v>
      </c>
      <c r="J30132" s="26">
        <v>1.38E-2</v>
      </c>
      <c r="K30132" s="26">
        <v>9.7000000000000003E-3</v>
      </c>
      <c r="L30132" s="26">
        <v>9.1999999999999998E-3</v>
      </c>
      <c r="M30132">
        <v>286</v>
      </c>
    </row>
    <row r="30133" spans="1:13" x14ac:dyDescent="0.35">
      <c r="A30133" s="27" t="s">
        <v>228</v>
      </c>
      <c r="B30133" s="27" t="s">
        <v>1345</v>
      </c>
      <c r="C30133" s="28">
        <v>0.79049999999999998</v>
      </c>
      <c r="D30133" s="28">
        <v>5.45E-2</v>
      </c>
      <c r="E30133" s="28">
        <v>0.20949999999999999</v>
      </c>
      <c r="F30133" s="28">
        <v>5.45E-2</v>
      </c>
      <c r="G30133" s="29"/>
      <c r="H30133" s="28">
        <v>5.45E-2</v>
      </c>
      <c r="I30133" s="28">
        <v>5.45E-2</v>
      </c>
      <c r="J30133" s="28">
        <v>5.45E-2</v>
      </c>
      <c r="K30133" s="28">
        <v>5.45E-2</v>
      </c>
      <c r="L30133" s="29"/>
      <c r="M30133" s="29" t="s">
        <v>352</v>
      </c>
    </row>
    <row r="30134" spans="1:13" x14ac:dyDescent="0.35">
      <c r="A30134" s="27" t="s">
        <v>229</v>
      </c>
      <c r="B30134" s="27" t="s">
        <v>1345</v>
      </c>
      <c r="C30134" s="28">
        <v>0.89349999999999996</v>
      </c>
      <c r="D30134" s="28">
        <v>0.1065</v>
      </c>
      <c r="E30134" s="29"/>
      <c r="F30134" s="29"/>
      <c r="G30134" s="29"/>
      <c r="H30134" s="28">
        <v>0.1065</v>
      </c>
      <c r="I30134" s="29"/>
      <c r="J30134" s="29"/>
      <c r="K30134" s="29"/>
      <c r="L30134" s="29"/>
      <c r="M30134" s="29" t="s">
        <v>357</v>
      </c>
    </row>
    <row r="30135" spans="1:13" x14ac:dyDescent="0.35">
      <c r="A30135" t="s">
        <v>229</v>
      </c>
      <c r="B30135" t="s">
        <v>1346</v>
      </c>
      <c r="C30135" s="26">
        <v>0.90739999999999998</v>
      </c>
      <c r="D30135" s="26">
        <v>1.4E-2</v>
      </c>
      <c r="E30135" s="26">
        <v>3.3599999999999998E-2</v>
      </c>
      <c r="F30135" s="26">
        <v>2.3599999999999999E-2</v>
      </c>
      <c r="G30135" s="26">
        <v>2.0999999999999999E-3</v>
      </c>
      <c r="H30135" s="26">
        <v>3.2000000000000002E-3</v>
      </c>
      <c r="I30135" s="26">
        <v>7.1999999999999998E-3</v>
      </c>
      <c r="J30135" s="26">
        <v>2.6499999999999999E-2</v>
      </c>
      <c r="K30135" s="26">
        <v>1.6000000000000001E-3</v>
      </c>
      <c r="L30135" s="26">
        <v>6.4000000000000003E-3</v>
      </c>
      <c r="M30135">
        <v>184</v>
      </c>
    </row>
    <row r="30136" spans="1:13" x14ac:dyDescent="0.35">
      <c r="A30136" t="s">
        <v>229</v>
      </c>
      <c r="B30136" t="s">
        <v>1347</v>
      </c>
      <c r="C30136" s="26">
        <v>0.79349999999999998</v>
      </c>
      <c r="D30136" s="26">
        <v>0.11609999999999999</v>
      </c>
      <c r="E30136" s="26">
        <v>9.2999999999999999E-2</v>
      </c>
      <c r="F30136" s="26">
        <v>8.2699999999999996E-2</v>
      </c>
      <c r="G30136" s="26">
        <v>2.3400000000000001E-2</v>
      </c>
      <c r="H30136" s="26">
        <v>5.74E-2</v>
      </c>
      <c r="I30136" s="26">
        <v>6.4600000000000005E-2</v>
      </c>
      <c r="J30136" s="26">
        <v>3.73E-2</v>
      </c>
      <c r="K30136" s="26">
        <v>4.2299999999999997E-2</v>
      </c>
      <c r="L30136" s="26">
        <v>1.4E-3</v>
      </c>
      <c r="M30136">
        <v>302</v>
      </c>
    </row>
    <row r="30137" spans="1:13" x14ac:dyDescent="0.35">
      <c r="A30137" t="s">
        <v>229</v>
      </c>
      <c r="B30137" t="s">
        <v>1348</v>
      </c>
      <c r="C30137" s="26">
        <v>0.83240000000000003</v>
      </c>
      <c r="D30137" s="26">
        <v>6.9400000000000003E-2</v>
      </c>
      <c r="E30137" s="26">
        <v>5.6899999999999999E-2</v>
      </c>
      <c r="F30137" s="26">
        <v>5.2999999999999999E-2</v>
      </c>
      <c r="G30137" s="26">
        <v>3.9899999999999998E-2</v>
      </c>
      <c r="H30137" s="26">
        <v>4.6100000000000002E-2</v>
      </c>
      <c r="I30137" s="26">
        <v>3.8100000000000002E-2</v>
      </c>
      <c r="J30137" s="26">
        <v>4.9599999999999998E-2</v>
      </c>
      <c r="K30137" s="26">
        <v>1.6899999999999998E-2</v>
      </c>
      <c r="L30137" s="26">
        <v>2.0999999999999999E-3</v>
      </c>
      <c r="M30137">
        <v>383</v>
      </c>
    </row>
    <row r="30138" spans="1:13" x14ac:dyDescent="0.35">
      <c r="A30138" t="s">
        <v>230</v>
      </c>
      <c r="B30138" t="s">
        <v>1346</v>
      </c>
      <c r="C30138" s="26">
        <v>0.84630000000000005</v>
      </c>
      <c r="D30138" s="26">
        <v>4.2000000000000003E-2</v>
      </c>
      <c r="E30138" s="26">
        <v>4.3200000000000002E-2</v>
      </c>
      <c r="F30138" s="26">
        <v>4.7399999999999998E-2</v>
      </c>
      <c r="G30138" s="26">
        <v>5.0200000000000002E-2</v>
      </c>
      <c r="H30138" s="26">
        <v>1.0699999999999999E-2</v>
      </c>
      <c r="I30138" s="26">
        <v>3.9600000000000003E-2</v>
      </c>
      <c r="J30138" s="26">
        <v>9.4999999999999998E-3</v>
      </c>
      <c r="K30138" s="26">
        <v>3.7900000000000003E-2</v>
      </c>
      <c r="L30138" s="26">
        <v>4.1200000000000001E-2</v>
      </c>
      <c r="M30138">
        <v>140</v>
      </c>
    </row>
    <row r="30139" spans="1:13" x14ac:dyDescent="0.35">
      <c r="A30139" t="s">
        <v>230</v>
      </c>
      <c r="B30139" t="s">
        <v>1348</v>
      </c>
      <c r="C30139" s="26">
        <v>0.83689999999999998</v>
      </c>
      <c r="D30139" s="26">
        <v>7.0999999999999994E-2</v>
      </c>
      <c r="E30139" s="26">
        <v>3.7100000000000001E-2</v>
      </c>
      <c r="F30139" s="26">
        <v>4.36E-2</v>
      </c>
      <c r="G30139" s="26">
        <v>3.0800000000000001E-2</v>
      </c>
      <c r="H30139" s="26">
        <v>4.0399999999999998E-2</v>
      </c>
      <c r="I30139" s="26">
        <v>2.23E-2</v>
      </c>
      <c r="J30139" s="26">
        <v>1.0699999999999999E-2</v>
      </c>
      <c r="K30139" s="26">
        <v>7.4999999999999997E-3</v>
      </c>
      <c r="L30139" s="26">
        <v>5.4999999999999997E-3</v>
      </c>
      <c r="M30139">
        <v>259</v>
      </c>
    </row>
    <row r="30140" spans="1:13" x14ac:dyDescent="0.35">
      <c r="A30140" t="s">
        <v>230</v>
      </c>
      <c r="B30140" t="s">
        <v>1347</v>
      </c>
      <c r="C30140" s="26">
        <v>0.78990000000000005</v>
      </c>
      <c r="D30140" s="26">
        <v>0.1003</v>
      </c>
      <c r="E30140" s="26">
        <v>0.1077</v>
      </c>
      <c r="F30140" s="26">
        <v>0.11310000000000001</v>
      </c>
      <c r="G30140" s="26">
        <v>4.1999999999999997E-3</v>
      </c>
      <c r="H30140" s="26">
        <v>4.9099999999999998E-2</v>
      </c>
      <c r="I30140" s="26">
        <v>9.5100000000000004E-2</v>
      </c>
      <c r="J30140" s="26">
        <v>2.76E-2</v>
      </c>
      <c r="K30140" s="26">
        <v>3.5099999999999999E-2</v>
      </c>
      <c r="L30140" s="26">
        <v>3.3E-3</v>
      </c>
      <c r="M30140">
        <v>153</v>
      </c>
    </row>
    <row r="30141" spans="1:13" x14ac:dyDescent="0.35">
      <c r="A30141" s="27" t="s">
        <v>230</v>
      </c>
      <c r="B30141" s="27" t="s">
        <v>1345</v>
      </c>
      <c r="C30141" s="28">
        <v>0.98640000000000005</v>
      </c>
      <c r="D30141" s="29"/>
      <c r="E30141" s="28">
        <v>1.3599999999999999E-2</v>
      </c>
      <c r="F30141" s="28">
        <v>1.3599999999999999E-2</v>
      </c>
      <c r="G30141" s="29"/>
      <c r="H30141" s="29"/>
      <c r="I30141" s="29"/>
      <c r="J30141" s="29"/>
      <c r="K30141" s="29"/>
      <c r="L30141" s="29"/>
      <c r="M30141" s="29" t="s">
        <v>333</v>
      </c>
    </row>
    <row r="30142" spans="1:13" x14ac:dyDescent="0.35">
      <c r="A30142" s="27" t="s">
        <v>231</v>
      </c>
      <c r="B30142" s="27" t="s">
        <v>1345</v>
      </c>
      <c r="C30142" s="28">
        <v>0.75</v>
      </c>
      <c r="D30142" s="28">
        <v>0.25</v>
      </c>
      <c r="E30142" s="29"/>
      <c r="F30142" s="29"/>
      <c r="G30142" s="29"/>
      <c r="H30142" s="29"/>
      <c r="I30142" s="29"/>
      <c r="J30142" s="29"/>
      <c r="K30142" s="29"/>
      <c r="L30142" s="29"/>
      <c r="M30142" s="29" t="s">
        <v>337</v>
      </c>
    </row>
    <row r="30143" spans="1:13" x14ac:dyDescent="0.35">
      <c r="A30143" t="s">
        <v>231</v>
      </c>
      <c r="B30143" t="s">
        <v>1346</v>
      </c>
      <c r="C30143" s="26">
        <v>0.92500000000000004</v>
      </c>
      <c r="G30143" s="26">
        <v>7.4999999999999997E-2</v>
      </c>
      <c r="M30143">
        <v>40</v>
      </c>
    </row>
    <row r="30144" spans="1:13" x14ac:dyDescent="0.35">
      <c r="A30144" t="s">
        <v>231</v>
      </c>
      <c r="B30144" t="s">
        <v>1347</v>
      </c>
      <c r="C30144" s="26">
        <v>0.85289999999999999</v>
      </c>
      <c r="D30144" s="26">
        <v>2.9399999999999999E-2</v>
      </c>
      <c r="E30144" s="26">
        <v>5.8799999999999998E-2</v>
      </c>
      <c r="F30144" s="26">
        <v>2.9399999999999999E-2</v>
      </c>
      <c r="G30144" s="26">
        <v>8.8200000000000001E-2</v>
      </c>
      <c r="H30144" s="26">
        <v>2.9399999999999999E-2</v>
      </c>
      <c r="M30144">
        <v>34</v>
      </c>
    </row>
    <row r="30145" spans="1:14" x14ac:dyDescent="0.35">
      <c r="A30145" t="s">
        <v>231</v>
      </c>
      <c r="B30145" t="s">
        <v>1348</v>
      </c>
      <c r="C30145" s="26">
        <v>0.95350000000000001</v>
      </c>
      <c r="E30145" s="26">
        <v>2.3300000000000001E-2</v>
      </c>
      <c r="G30145" s="26">
        <v>2.3300000000000001E-2</v>
      </c>
      <c r="H30145" s="26">
        <v>1.1599999999999999E-2</v>
      </c>
      <c r="M30145">
        <v>86</v>
      </c>
    </row>
    <row r="30146" spans="1:14" x14ac:dyDescent="0.35">
      <c r="A30146" t="s">
        <v>232</v>
      </c>
      <c r="B30146" t="s">
        <v>232</v>
      </c>
      <c r="C30146" s="26">
        <v>0.86360000000000003</v>
      </c>
      <c r="D30146" s="26">
        <v>5.2600000000000001E-2</v>
      </c>
      <c r="E30146" s="26">
        <v>4.7800000000000002E-2</v>
      </c>
      <c r="F30146" s="26">
        <v>3.8100000000000002E-2</v>
      </c>
      <c r="G30146" s="26">
        <v>3.1699999999999999E-2</v>
      </c>
      <c r="H30146" s="26">
        <v>3.0800000000000001E-2</v>
      </c>
      <c r="I30146" s="26">
        <v>2.5600000000000001E-2</v>
      </c>
      <c r="J30146" s="26">
        <v>1.9E-2</v>
      </c>
      <c r="K30146" s="26">
        <v>1.49E-2</v>
      </c>
      <c r="L30146" s="26">
        <v>5.0000000000000001E-3</v>
      </c>
      <c r="M30146">
        <v>2813</v>
      </c>
    </row>
    <row r="30148" spans="1:14" x14ac:dyDescent="0.35">
      <c r="A30148" s="1" t="s">
        <v>2684</v>
      </c>
    </row>
    <row r="30149" spans="1:14" x14ac:dyDescent="0.35">
      <c r="A30149" t="s">
        <v>219</v>
      </c>
      <c r="B30149" t="s">
        <v>305</v>
      </c>
      <c r="C30149" t="s">
        <v>345</v>
      </c>
      <c r="D30149" t="s">
        <v>1851</v>
      </c>
      <c r="E30149" t="s">
        <v>2664</v>
      </c>
      <c r="F30149" t="s">
        <v>2665</v>
      </c>
      <c r="G30149" t="s">
        <v>2666</v>
      </c>
      <c r="H30149" t="s">
        <v>281</v>
      </c>
      <c r="I30149" t="s">
        <v>2667</v>
      </c>
      <c r="J30149" t="s">
        <v>2668</v>
      </c>
      <c r="K30149" t="s">
        <v>2669</v>
      </c>
      <c r="L30149" t="s">
        <v>2670</v>
      </c>
      <c r="M30149" t="s">
        <v>286</v>
      </c>
      <c r="N30149" t="s">
        <v>226</v>
      </c>
    </row>
    <row r="30150" spans="1:14" x14ac:dyDescent="0.35">
      <c r="A30150" s="27" t="s">
        <v>227</v>
      </c>
      <c r="B30150" s="27" t="s">
        <v>1341</v>
      </c>
      <c r="C30150" s="27" t="s">
        <v>1345</v>
      </c>
      <c r="D30150" s="28">
        <v>1</v>
      </c>
      <c r="E30150" s="29"/>
      <c r="F30150" s="29"/>
      <c r="G30150" s="29"/>
      <c r="H30150" s="29"/>
      <c r="I30150" s="29"/>
      <c r="J30150" s="29"/>
      <c r="K30150" s="29"/>
      <c r="L30150" s="29"/>
      <c r="M30150" s="29"/>
      <c r="N30150" s="29" t="s">
        <v>331</v>
      </c>
    </row>
    <row r="30151" spans="1:14" x14ac:dyDescent="0.35">
      <c r="A30151" s="27" t="s">
        <v>227</v>
      </c>
      <c r="B30151" s="27" t="s">
        <v>1343</v>
      </c>
      <c r="C30151" s="27" t="s">
        <v>1346</v>
      </c>
      <c r="D30151" s="28">
        <v>0.96150000000000002</v>
      </c>
      <c r="E30151" s="28">
        <v>3.85E-2</v>
      </c>
      <c r="F30151" s="29"/>
      <c r="G30151" s="29"/>
      <c r="H30151" s="29"/>
      <c r="I30151" s="29"/>
      <c r="J30151" s="29"/>
      <c r="K30151" s="29"/>
      <c r="L30151" s="29"/>
      <c r="M30151" s="29"/>
      <c r="N30151" s="29" t="s">
        <v>357</v>
      </c>
    </row>
    <row r="30152" spans="1:14" x14ac:dyDescent="0.35">
      <c r="A30152" t="s">
        <v>227</v>
      </c>
      <c r="B30152" t="s">
        <v>1343</v>
      </c>
      <c r="C30152" t="s">
        <v>1348</v>
      </c>
      <c r="D30152" s="26">
        <v>0.93440000000000001</v>
      </c>
      <c r="E30152" s="26">
        <v>3.2800000000000003E-2</v>
      </c>
      <c r="F30152" s="26">
        <v>1.6400000000000001E-2</v>
      </c>
      <c r="H30152" s="26">
        <v>1.6400000000000001E-2</v>
      </c>
      <c r="I30152" s="26">
        <v>1.6400000000000001E-2</v>
      </c>
      <c r="J30152" s="26">
        <v>1.6400000000000001E-2</v>
      </c>
      <c r="K30152" s="26">
        <v>1.6400000000000001E-2</v>
      </c>
      <c r="N30152">
        <v>61</v>
      </c>
    </row>
    <row r="30153" spans="1:14" x14ac:dyDescent="0.35">
      <c r="A30153" s="27" t="s">
        <v>227</v>
      </c>
      <c r="B30153" s="27" t="s">
        <v>1341</v>
      </c>
      <c r="C30153" s="27" t="s">
        <v>1347</v>
      </c>
      <c r="D30153" s="28">
        <v>0.92310000000000003</v>
      </c>
      <c r="E30153" s="29"/>
      <c r="F30153" s="29"/>
      <c r="G30153" s="29"/>
      <c r="H30153" s="29"/>
      <c r="I30153" s="29"/>
      <c r="J30153" s="29"/>
      <c r="K30153" s="28">
        <v>7.6899999999999996E-2</v>
      </c>
      <c r="L30153" s="29"/>
      <c r="M30153" s="29"/>
      <c r="N30153" s="29" t="s">
        <v>341</v>
      </c>
    </row>
    <row r="30154" spans="1:14" x14ac:dyDescent="0.35">
      <c r="A30154" s="27" t="s">
        <v>227</v>
      </c>
      <c r="B30154" s="27" t="s">
        <v>1343</v>
      </c>
      <c r="C30154" s="27" t="s">
        <v>1347</v>
      </c>
      <c r="D30154" s="28">
        <v>0.86960000000000004</v>
      </c>
      <c r="E30154" s="28">
        <v>4.3499999999999997E-2</v>
      </c>
      <c r="F30154" s="28">
        <v>4.3499999999999997E-2</v>
      </c>
      <c r="G30154" s="29"/>
      <c r="H30154" s="29"/>
      <c r="I30154" s="28">
        <v>4.3499999999999997E-2</v>
      </c>
      <c r="J30154" s="29"/>
      <c r="K30154" s="29"/>
      <c r="L30154" s="29"/>
      <c r="M30154" s="29"/>
      <c r="N30154" s="29" t="s">
        <v>328</v>
      </c>
    </row>
    <row r="30155" spans="1:14" x14ac:dyDescent="0.35">
      <c r="A30155" s="27" t="s">
        <v>227</v>
      </c>
      <c r="B30155" s="27" t="s">
        <v>1343</v>
      </c>
      <c r="C30155" s="27" t="s">
        <v>1345</v>
      </c>
      <c r="D30155" s="28">
        <v>1</v>
      </c>
      <c r="E30155" s="29"/>
      <c r="F30155" s="29"/>
      <c r="G30155" s="29"/>
      <c r="H30155" s="29"/>
      <c r="I30155" s="29"/>
      <c r="J30155" s="29"/>
      <c r="K30155" s="29"/>
      <c r="L30155" s="29"/>
      <c r="M30155" s="29"/>
      <c r="N30155" s="29" t="s">
        <v>331</v>
      </c>
    </row>
    <row r="30156" spans="1:14" x14ac:dyDescent="0.35">
      <c r="A30156" s="27" t="s">
        <v>227</v>
      </c>
      <c r="B30156" s="27" t="s">
        <v>1342</v>
      </c>
      <c r="C30156" s="27" t="s">
        <v>1348</v>
      </c>
      <c r="D30156" s="28">
        <v>1</v>
      </c>
      <c r="E30156" s="29"/>
      <c r="F30156" s="29"/>
      <c r="G30156" s="29"/>
      <c r="H30156" s="29"/>
      <c r="I30156" s="29"/>
      <c r="J30156" s="29"/>
      <c r="K30156" s="29"/>
      <c r="L30156" s="29"/>
      <c r="M30156" s="29"/>
      <c r="N30156" s="29" t="s">
        <v>331</v>
      </c>
    </row>
    <row r="30157" spans="1:14" x14ac:dyDescent="0.35">
      <c r="A30157" s="27" t="s">
        <v>227</v>
      </c>
      <c r="B30157" s="27" t="s">
        <v>1341</v>
      </c>
      <c r="C30157" s="27" t="s">
        <v>1348</v>
      </c>
      <c r="D30157" s="28">
        <v>1</v>
      </c>
      <c r="E30157" s="29"/>
      <c r="F30157" s="29"/>
      <c r="G30157" s="29"/>
      <c r="H30157" s="29"/>
      <c r="I30157" s="29"/>
      <c r="J30157" s="29"/>
      <c r="K30157" s="29"/>
      <c r="L30157" s="29"/>
      <c r="M30157" s="29"/>
      <c r="N30157" s="29" t="s">
        <v>347</v>
      </c>
    </row>
    <row r="30158" spans="1:14" x14ac:dyDescent="0.35">
      <c r="A30158" s="27" t="s">
        <v>227</v>
      </c>
      <c r="B30158" s="27" t="s">
        <v>1341</v>
      </c>
      <c r="C30158" s="27" t="s">
        <v>1346</v>
      </c>
      <c r="D30158" s="28">
        <v>1</v>
      </c>
      <c r="E30158" s="29"/>
      <c r="F30158" s="29"/>
      <c r="G30158" s="29"/>
      <c r="H30158" s="29"/>
      <c r="I30158" s="29"/>
      <c r="J30158" s="29"/>
      <c r="K30158" s="29"/>
      <c r="L30158" s="29"/>
      <c r="M30158" s="29"/>
      <c r="N30158" s="29" t="s">
        <v>341</v>
      </c>
    </row>
    <row r="30159" spans="1:14" x14ac:dyDescent="0.35">
      <c r="A30159" t="s">
        <v>228</v>
      </c>
      <c r="B30159" t="s">
        <v>1343</v>
      </c>
      <c r="C30159" t="s">
        <v>1348</v>
      </c>
      <c r="D30159" s="26">
        <v>0.73599999999999999</v>
      </c>
      <c r="E30159" s="26">
        <v>0.1158</v>
      </c>
      <c r="F30159" s="26">
        <v>0.1118</v>
      </c>
      <c r="G30159" s="26">
        <v>9.1899999999999996E-2</v>
      </c>
      <c r="H30159" s="26">
        <v>2.4299999999999999E-2</v>
      </c>
      <c r="I30159" s="26">
        <v>9.3700000000000006E-2</v>
      </c>
      <c r="J30159" s="26">
        <v>4.7100000000000003E-2</v>
      </c>
      <c r="K30159" s="26">
        <v>3.7600000000000001E-2</v>
      </c>
      <c r="L30159" s="26">
        <v>3.5799999999999998E-2</v>
      </c>
      <c r="M30159" s="26">
        <v>6.8999999999999999E-3</v>
      </c>
      <c r="N30159">
        <v>352</v>
      </c>
    </row>
    <row r="30160" spans="1:14" x14ac:dyDescent="0.35">
      <c r="A30160" t="s">
        <v>228</v>
      </c>
      <c r="B30160" t="s">
        <v>1343</v>
      </c>
      <c r="C30160" t="s">
        <v>1347</v>
      </c>
      <c r="D30160" s="26">
        <v>0.7389</v>
      </c>
      <c r="E30160" s="26">
        <v>8.8400000000000006E-2</v>
      </c>
      <c r="F30160" s="26">
        <v>9.5799999999999996E-2</v>
      </c>
      <c r="G30160" s="26">
        <v>4.0300000000000002E-2</v>
      </c>
      <c r="H30160" s="26">
        <v>8.1600000000000006E-2</v>
      </c>
      <c r="I30160" s="26">
        <v>4.4499999999999998E-2</v>
      </c>
      <c r="J30160" s="26">
        <v>4.6699999999999998E-2</v>
      </c>
      <c r="K30160" s="26">
        <v>8.6999999999999994E-3</v>
      </c>
      <c r="L30160" s="26">
        <v>4.7199999999999999E-2</v>
      </c>
      <c r="M30160" s="26">
        <v>2.6200000000000001E-2</v>
      </c>
      <c r="N30160">
        <v>130</v>
      </c>
    </row>
    <row r="30161" spans="1:14" x14ac:dyDescent="0.35">
      <c r="A30161" s="27" t="s">
        <v>228</v>
      </c>
      <c r="B30161" s="27" t="s">
        <v>1343</v>
      </c>
      <c r="C30161" s="27" t="s">
        <v>1345</v>
      </c>
      <c r="D30161" s="28">
        <v>0.77859999999999996</v>
      </c>
      <c r="E30161" s="29"/>
      <c r="F30161" s="28">
        <v>0.22140000000000001</v>
      </c>
      <c r="G30161" s="29"/>
      <c r="H30161" s="29"/>
      <c r="I30161" s="29"/>
      <c r="J30161" s="29"/>
      <c r="K30161" s="29"/>
      <c r="L30161" s="29"/>
      <c r="M30161" s="29"/>
      <c r="N30161" s="29" t="s">
        <v>335</v>
      </c>
    </row>
    <row r="30162" spans="1:14" x14ac:dyDescent="0.35">
      <c r="A30162" t="s">
        <v>228</v>
      </c>
      <c r="B30162" t="s">
        <v>1341</v>
      </c>
      <c r="C30162" t="s">
        <v>1346</v>
      </c>
      <c r="D30162" s="26">
        <v>0.72289999999999999</v>
      </c>
      <c r="E30162" s="26">
        <v>8.2400000000000001E-2</v>
      </c>
      <c r="F30162" s="26">
        <v>4.9299999999999997E-2</v>
      </c>
      <c r="G30162" s="26">
        <v>6.2700000000000006E-2</v>
      </c>
      <c r="H30162" s="26">
        <v>3.2599999999999997E-2</v>
      </c>
      <c r="I30162" s="26">
        <v>1.0200000000000001E-2</v>
      </c>
      <c r="J30162" s="26">
        <v>0.15090000000000001</v>
      </c>
      <c r="M30162" s="26">
        <v>1.8599999999999998E-2</v>
      </c>
      <c r="N30162">
        <v>47</v>
      </c>
    </row>
    <row r="30163" spans="1:14" x14ac:dyDescent="0.35">
      <c r="A30163" t="s">
        <v>228</v>
      </c>
      <c r="B30163" t="s">
        <v>1341</v>
      </c>
      <c r="C30163" t="s">
        <v>1348</v>
      </c>
      <c r="D30163" s="26">
        <v>0.81559999999999999</v>
      </c>
      <c r="E30163" s="26">
        <v>6.88E-2</v>
      </c>
      <c r="F30163" s="26">
        <v>5.0999999999999997E-2</v>
      </c>
      <c r="G30163" s="26">
        <v>7.0499999999999993E-2</v>
      </c>
      <c r="H30163" s="26">
        <v>3.8300000000000001E-2</v>
      </c>
      <c r="I30163" s="26">
        <v>3.7699999999999997E-2</v>
      </c>
      <c r="J30163" s="26">
        <v>3.6999999999999998E-2</v>
      </c>
      <c r="K30163" s="26">
        <v>8.6999999999999994E-3</v>
      </c>
      <c r="L30163" s="26">
        <v>2.0500000000000001E-2</v>
      </c>
      <c r="M30163" s="26">
        <v>3.8399999999999997E-2</v>
      </c>
      <c r="N30163">
        <v>179</v>
      </c>
    </row>
    <row r="30164" spans="1:14" x14ac:dyDescent="0.35">
      <c r="A30164" s="27" t="s">
        <v>228</v>
      </c>
      <c r="B30164" s="27" t="s">
        <v>1342</v>
      </c>
      <c r="C30164" s="27" t="s">
        <v>1348</v>
      </c>
      <c r="D30164" s="28">
        <v>1</v>
      </c>
      <c r="E30164" s="29"/>
      <c r="F30164" s="29"/>
      <c r="G30164" s="29"/>
      <c r="H30164" s="29"/>
      <c r="I30164" s="29"/>
      <c r="J30164" s="29"/>
      <c r="K30164" s="29"/>
      <c r="L30164" s="29"/>
      <c r="M30164" s="29"/>
      <c r="N30164" s="29" t="s">
        <v>331</v>
      </c>
    </row>
    <row r="30165" spans="1:14" x14ac:dyDescent="0.35">
      <c r="A30165" t="s">
        <v>228</v>
      </c>
      <c r="B30165" t="s">
        <v>1343</v>
      </c>
      <c r="C30165" t="s">
        <v>1346</v>
      </c>
      <c r="D30165" s="26">
        <v>0.86480000000000001</v>
      </c>
      <c r="E30165" s="26">
        <v>2.3300000000000001E-2</v>
      </c>
      <c r="F30165" s="26">
        <v>3.6400000000000002E-2</v>
      </c>
      <c r="G30165" s="26">
        <v>6.1400000000000003E-2</v>
      </c>
      <c r="H30165" s="26">
        <v>4.5199999999999997E-2</v>
      </c>
      <c r="I30165" s="26">
        <v>1.24E-2</v>
      </c>
      <c r="J30165" s="26">
        <v>2.4400000000000002E-2</v>
      </c>
      <c r="K30165" s="26">
        <v>1.6E-2</v>
      </c>
      <c r="L30165" s="26">
        <v>1.12E-2</v>
      </c>
      <c r="M30165" s="26">
        <v>7.7000000000000002E-3</v>
      </c>
      <c r="N30165">
        <v>239</v>
      </c>
    </row>
    <row r="30166" spans="1:14" x14ac:dyDescent="0.35">
      <c r="A30166" t="s">
        <v>228</v>
      </c>
      <c r="B30166" t="s">
        <v>1341</v>
      </c>
      <c r="C30166" t="s">
        <v>1347</v>
      </c>
      <c r="D30166" s="26">
        <v>0.61839999999999995</v>
      </c>
      <c r="E30166" s="26">
        <v>0.31790000000000002</v>
      </c>
      <c r="F30166" s="26">
        <v>0.1603</v>
      </c>
      <c r="G30166" s="26">
        <v>0.16689999999999999</v>
      </c>
      <c r="H30166" s="26">
        <v>1.7000000000000001E-2</v>
      </c>
      <c r="I30166" s="26">
        <v>5.8400000000000001E-2</v>
      </c>
      <c r="J30166" s="26">
        <v>0.11260000000000001</v>
      </c>
      <c r="K30166" s="26">
        <v>3.9600000000000003E-2</v>
      </c>
      <c r="L30166" s="26">
        <v>0.15720000000000001</v>
      </c>
      <c r="M30166" s="26">
        <v>8.6E-3</v>
      </c>
      <c r="N30166">
        <v>74</v>
      </c>
    </row>
    <row r="30167" spans="1:14" x14ac:dyDescent="0.35">
      <c r="A30167" s="27" t="s">
        <v>228</v>
      </c>
      <c r="B30167" s="27" t="s">
        <v>1341</v>
      </c>
      <c r="C30167" s="27" t="s">
        <v>1345</v>
      </c>
      <c r="D30167" s="28">
        <v>0.81830000000000003</v>
      </c>
      <c r="E30167" s="28">
        <v>0.1817</v>
      </c>
      <c r="F30167" s="28">
        <v>0.1817</v>
      </c>
      <c r="G30167" s="28">
        <v>0.1817</v>
      </c>
      <c r="H30167" s="29"/>
      <c r="I30167" s="28">
        <v>0.1817</v>
      </c>
      <c r="J30167" s="28">
        <v>0.1817</v>
      </c>
      <c r="K30167" s="28">
        <v>0.1817</v>
      </c>
      <c r="L30167" s="28">
        <v>0.1817</v>
      </c>
      <c r="M30167" s="29"/>
      <c r="N30167" s="29" t="s">
        <v>332</v>
      </c>
    </row>
    <row r="30168" spans="1:14" x14ac:dyDescent="0.35">
      <c r="A30168" t="s">
        <v>229</v>
      </c>
      <c r="B30168" t="s">
        <v>1343</v>
      </c>
      <c r="C30168" t="s">
        <v>1348</v>
      </c>
      <c r="D30168" s="26">
        <v>0.8266</v>
      </c>
      <c r="E30168" s="26">
        <v>6.4399999999999999E-2</v>
      </c>
      <c r="F30168" s="26">
        <v>5.57E-2</v>
      </c>
      <c r="G30168" s="26">
        <v>5.8099999999999999E-2</v>
      </c>
      <c r="H30168" s="26">
        <v>3.6799999999999999E-2</v>
      </c>
      <c r="I30168" s="26">
        <v>4.19E-2</v>
      </c>
      <c r="J30168" s="26">
        <v>2.8500000000000001E-2</v>
      </c>
      <c r="K30168" s="26">
        <v>6.3700000000000007E-2</v>
      </c>
      <c r="L30168" s="26">
        <v>1.5699999999999999E-2</v>
      </c>
      <c r="M30168" s="26">
        <v>2.0999999999999999E-3</v>
      </c>
      <c r="N30168">
        <v>276</v>
      </c>
    </row>
    <row r="30169" spans="1:14" x14ac:dyDescent="0.35">
      <c r="A30169" t="s">
        <v>229</v>
      </c>
      <c r="B30169" t="s">
        <v>1341</v>
      </c>
      <c r="C30169" t="s">
        <v>1346</v>
      </c>
      <c r="D30169" s="26">
        <v>0.90880000000000005</v>
      </c>
      <c r="E30169" s="26">
        <v>1.14E-2</v>
      </c>
      <c r="F30169" s="26">
        <v>1.14E-2</v>
      </c>
      <c r="G30169" s="26">
        <v>1.8800000000000001E-2</v>
      </c>
      <c r="K30169" s="26">
        <v>4.36E-2</v>
      </c>
      <c r="M30169" s="26">
        <v>1.1599999999999999E-2</v>
      </c>
      <c r="N30169">
        <v>53</v>
      </c>
    </row>
    <row r="30170" spans="1:14" x14ac:dyDescent="0.35">
      <c r="A30170" t="s">
        <v>229</v>
      </c>
      <c r="B30170" t="s">
        <v>1341</v>
      </c>
      <c r="C30170" t="s">
        <v>1347</v>
      </c>
      <c r="D30170" s="26">
        <v>0.72740000000000005</v>
      </c>
      <c r="E30170" s="26">
        <v>0.1711</v>
      </c>
      <c r="F30170" s="26">
        <v>0.1008</v>
      </c>
      <c r="G30170" s="26">
        <v>0.108</v>
      </c>
      <c r="H30170" s="26">
        <v>6.6000000000000003E-2</v>
      </c>
      <c r="I30170" s="26">
        <v>7.2800000000000004E-2</v>
      </c>
      <c r="J30170" s="26">
        <v>7.9100000000000004E-2</v>
      </c>
      <c r="K30170" s="26">
        <v>4.5100000000000001E-2</v>
      </c>
      <c r="L30170" s="26">
        <v>5.3999999999999999E-2</v>
      </c>
      <c r="N30170">
        <v>104</v>
      </c>
    </row>
    <row r="30171" spans="1:14" x14ac:dyDescent="0.35">
      <c r="A30171" t="s">
        <v>229</v>
      </c>
      <c r="B30171" t="s">
        <v>1343</v>
      </c>
      <c r="C30171" t="s">
        <v>1346</v>
      </c>
      <c r="D30171" s="26">
        <v>0.90680000000000005</v>
      </c>
      <c r="E30171" s="26">
        <v>1.49E-2</v>
      </c>
      <c r="F30171" s="26">
        <v>4.2099999999999999E-2</v>
      </c>
      <c r="G30171" s="26">
        <v>2.5399999999999999E-2</v>
      </c>
      <c r="H30171" s="26">
        <v>2.8999999999999998E-3</v>
      </c>
      <c r="I30171" s="26">
        <v>4.4000000000000003E-3</v>
      </c>
      <c r="J30171" s="26">
        <v>9.9000000000000008E-3</v>
      </c>
      <c r="K30171" s="26">
        <v>0.02</v>
      </c>
      <c r="L30171" s="26">
        <v>2.2000000000000001E-3</v>
      </c>
      <c r="M30171" s="26">
        <v>4.4000000000000003E-3</v>
      </c>
      <c r="N30171">
        <v>131</v>
      </c>
    </row>
    <row r="30172" spans="1:14" x14ac:dyDescent="0.35">
      <c r="A30172" t="s">
        <v>229</v>
      </c>
      <c r="B30172" t="s">
        <v>1343</v>
      </c>
      <c r="C30172" t="s">
        <v>1347</v>
      </c>
      <c r="D30172" s="26">
        <v>0.82899999999999996</v>
      </c>
      <c r="E30172" s="26">
        <v>8.6499999999999994E-2</v>
      </c>
      <c r="F30172" s="26">
        <v>8.8800000000000004E-2</v>
      </c>
      <c r="G30172" s="26">
        <v>6.9099999999999995E-2</v>
      </c>
      <c r="H30172" s="26">
        <v>5.0000000000000001E-4</v>
      </c>
      <c r="I30172" s="26">
        <v>4.9200000000000001E-2</v>
      </c>
      <c r="J30172" s="26">
        <v>5.6800000000000003E-2</v>
      </c>
      <c r="K30172" s="26">
        <v>3.3099999999999997E-2</v>
      </c>
      <c r="L30172" s="26">
        <v>3.5999999999999997E-2</v>
      </c>
      <c r="M30172" s="26">
        <v>2.2000000000000001E-3</v>
      </c>
      <c r="N30172">
        <v>198</v>
      </c>
    </row>
    <row r="30173" spans="1:14" x14ac:dyDescent="0.35">
      <c r="A30173" s="27" t="s">
        <v>229</v>
      </c>
      <c r="B30173" s="27" t="s">
        <v>1341</v>
      </c>
      <c r="C30173" s="27" t="s">
        <v>1345</v>
      </c>
      <c r="D30173" s="28">
        <v>0.73599999999999999</v>
      </c>
      <c r="E30173" s="28">
        <v>0.26400000000000001</v>
      </c>
      <c r="F30173" s="29"/>
      <c r="G30173" s="29"/>
      <c r="H30173" s="29"/>
      <c r="I30173" s="28">
        <v>0.26400000000000001</v>
      </c>
      <c r="J30173" s="29"/>
      <c r="K30173" s="29"/>
      <c r="L30173" s="29"/>
      <c r="M30173" s="29"/>
      <c r="N30173" s="29" t="s">
        <v>334</v>
      </c>
    </row>
    <row r="30174" spans="1:14" x14ac:dyDescent="0.35">
      <c r="A30174" s="27" t="s">
        <v>229</v>
      </c>
      <c r="B30174" s="27" t="s">
        <v>1343</v>
      </c>
      <c r="C30174" s="27" t="s">
        <v>1345</v>
      </c>
      <c r="D30174" s="28">
        <v>1</v>
      </c>
      <c r="E30174" s="29"/>
      <c r="F30174" s="29"/>
      <c r="G30174" s="29"/>
      <c r="H30174" s="29"/>
      <c r="I30174" s="29"/>
      <c r="J30174" s="29"/>
      <c r="K30174" s="29"/>
      <c r="L30174" s="29"/>
      <c r="M30174" s="29"/>
      <c r="N30174" s="29" t="s">
        <v>343</v>
      </c>
    </row>
    <row r="30175" spans="1:14" x14ac:dyDescent="0.35">
      <c r="A30175" t="s">
        <v>229</v>
      </c>
      <c r="B30175" t="s">
        <v>1341</v>
      </c>
      <c r="C30175" t="s">
        <v>1348</v>
      </c>
      <c r="D30175" s="26">
        <v>0.84399999999999997</v>
      </c>
      <c r="E30175" s="26">
        <v>7.9500000000000001E-2</v>
      </c>
      <c r="F30175" s="26">
        <v>5.91E-2</v>
      </c>
      <c r="G30175" s="26">
        <v>4.2799999999999998E-2</v>
      </c>
      <c r="H30175" s="26">
        <v>4.5999999999999999E-2</v>
      </c>
      <c r="I30175" s="26">
        <v>5.4699999999999999E-2</v>
      </c>
      <c r="J30175" s="26">
        <v>5.74E-2</v>
      </c>
      <c r="K30175" s="26">
        <v>2.1399999999999999E-2</v>
      </c>
      <c r="L30175" s="26">
        <v>1.9300000000000001E-2</v>
      </c>
      <c r="M30175" s="26">
        <v>2.0999999999999999E-3</v>
      </c>
      <c r="N30175">
        <v>107</v>
      </c>
    </row>
    <row r="30176" spans="1:14" x14ac:dyDescent="0.35">
      <c r="A30176" t="s">
        <v>230</v>
      </c>
      <c r="B30176" t="s">
        <v>1343</v>
      </c>
      <c r="C30176" t="s">
        <v>1346</v>
      </c>
      <c r="D30176" s="26">
        <v>0.85460000000000003</v>
      </c>
      <c r="E30176" s="26">
        <v>2.4400000000000002E-2</v>
      </c>
      <c r="F30176" s="26">
        <v>2.6100000000000002E-2</v>
      </c>
      <c r="G30176" s="26">
        <v>3.0200000000000001E-2</v>
      </c>
      <c r="H30176" s="26">
        <v>3.5999999999999997E-2</v>
      </c>
      <c r="I30176" s="26">
        <v>1.5100000000000001E-2</v>
      </c>
      <c r="J30176" s="26">
        <v>2.0899999999999998E-2</v>
      </c>
      <c r="K30176" s="26">
        <v>1.34E-2</v>
      </c>
      <c r="L30176" s="26">
        <v>1.8599999999999998E-2</v>
      </c>
      <c r="M30176" s="26">
        <v>5.8200000000000002E-2</v>
      </c>
      <c r="N30176">
        <v>110</v>
      </c>
    </row>
    <row r="30177" spans="1:14" x14ac:dyDescent="0.35">
      <c r="A30177" s="27" t="s">
        <v>230</v>
      </c>
      <c r="B30177" s="27" t="s">
        <v>1341</v>
      </c>
      <c r="C30177" s="27" t="s">
        <v>1345</v>
      </c>
      <c r="D30177" s="28">
        <v>1</v>
      </c>
      <c r="E30177" s="29"/>
      <c r="F30177" s="29"/>
      <c r="G30177" s="29"/>
      <c r="H30177" s="29"/>
      <c r="I30177" s="29"/>
      <c r="J30177" s="29"/>
      <c r="K30177" s="29"/>
      <c r="L30177" s="29"/>
      <c r="M30177" s="29"/>
      <c r="N30177" s="29" t="s">
        <v>337</v>
      </c>
    </row>
    <row r="30178" spans="1:14" x14ac:dyDescent="0.35">
      <c r="A30178" t="s">
        <v>230</v>
      </c>
      <c r="B30178" t="s">
        <v>1343</v>
      </c>
      <c r="C30178" t="s">
        <v>1348</v>
      </c>
      <c r="D30178" s="26">
        <v>0.87219999999999998</v>
      </c>
      <c r="E30178" s="26">
        <v>7.7899999999999997E-2</v>
      </c>
      <c r="F30178" s="26">
        <v>4.4499999999999998E-2</v>
      </c>
      <c r="G30178" s="26">
        <v>4.2999999999999997E-2</v>
      </c>
      <c r="H30178" s="26">
        <v>3.3999999999999998E-3</v>
      </c>
      <c r="I30178" s="26">
        <v>3.4099999999999998E-2</v>
      </c>
      <c r="J30178" s="26">
        <v>2.9600000000000001E-2</v>
      </c>
      <c r="K30178" s="26">
        <v>1.2500000000000001E-2</v>
      </c>
      <c r="L30178" s="26">
        <v>7.4000000000000003E-3</v>
      </c>
      <c r="M30178" s="26">
        <v>7.7000000000000002E-3</v>
      </c>
      <c r="N30178">
        <v>184</v>
      </c>
    </row>
    <row r="30179" spans="1:14" x14ac:dyDescent="0.35">
      <c r="A30179" t="s">
        <v>230</v>
      </c>
      <c r="B30179" t="s">
        <v>1343</v>
      </c>
      <c r="C30179" t="s">
        <v>1347</v>
      </c>
      <c r="D30179" s="26">
        <v>0.85880000000000001</v>
      </c>
      <c r="E30179" s="26">
        <v>7.5600000000000001E-2</v>
      </c>
      <c r="F30179" s="26">
        <v>5.9499999999999997E-2</v>
      </c>
      <c r="G30179" s="26">
        <v>7.7399999999999997E-2</v>
      </c>
      <c r="H30179" s="26">
        <v>6.3E-3</v>
      </c>
      <c r="I30179" s="26">
        <v>4.4900000000000002E-2</v>
      </c>
      <c r="J30179" s="26">
        <v>7.7299999999999994E-2</v>
      </c>
      <c r="K30179" s="26">
        <v>6.3E-3</v>
      </c>
      <c r="L30179" s="26">
        <v>1.2699999999999999E-2</v>
      </c>
      <c r="M30179" s="26">
        <v>4.8999999999999998E-3</v>
      </c>
      <c r="N30179">
        <v>106</v>
      </c>
    </row>
    <row r="30180" spans="1:14" x14ac:dyDescent="0.35">
      <c r="A30180" t="s">
        <v>230</v>
      </c>
      <c r="B30180" t="s">
        <v>1341</v>
      </c>
      <c r="C30180" t="s">
        <v>1348</v>
      </c>
      <c r="D30180" s="26">
        <v>0.74790000000000001</v>
      </c>
      <c r="E30180" s="26">
        <v>5.3499999999999999E-2</v>
      </c>
      <c r="F30180" s="26">
        <v>1.83E-2</v>
      </c>
      <c r="G30180" s="26">
        <v>4.5100000000000001E-2</v>
      </c>
      <c r="H30180" s="26">
        <v>9.9900000000000003E-2</v>
      </c>
      <c r="I30180" s="26">
        <v>5.6099999999999997E-2</v>
      </c>
      <c r="J30180" s="26">
        <v>4.0000000000000001E-3</v>
      </c>
      <c r="K30180" s="26">
        <v>6.0000000000000001E-3</v>
      </c>
      <c r="L30180" s="26">
        <v>7.9000000000000008E-3</v>
      </c>
      <c r="N30180">
        <v>75</v>
      </c>
    </row>
    <row r="30181" spans="1:14" x14ac:dyDescent="0.35">
      <c r="A30181" t="s">
        <v>230</v>
      </c>
      <c r="B30181" t="s">
        <v>1341</v>
      </c>
      <c r="C30181" t="s">
        <v>1347</v>
      </c>
      <c r="D30181" s="26">
        <v>0.65500000000000003</v>
      </c>
      <c r="E30181" s="26">
        <v>0.14860000000000001</v>
      </c>
      <c r="F30181" s="26">
        <v>0.20219999999999999</v>
      </c>
      <c r="G30181" s="26">
        <v>0.18310000000000001</v>
      </c>
      <c r="I30181" s="26">
        <v>5.7200000000000001E-2</v>
      </c>
      <c r="J30181" s="26">
        <v>0.1298</v>
      </c>
      <c r="K30181" s="26">
        <v>6.9500000000000006E-2</v>
      </c>
      <c r="L30181" s="26">
        <v>7.9100000000000004E-2</v>
      </c>
      <c r="N30181">
        <v>47</v>
      </c>
    </row>
    <row r="30182" spans="1:14" x14ac:dyDescent="0.35">
      <c r="A30182" s="27" t="s">
        <v>230</v>
      </c>
      <c r="B30182" s="27" t="s">
        <v>1343</v>
      </c>
      <c r="C30182" s="27" t="s">
        <v>1345</v>
      </c>
      <c r="D30182" s="28">
        <v>0.96340000000000003</v>
      </c>
      <c r="E30182" s="29"/>
      <c r="F30182" s="28">
        <v>3.6600000000000001E-2</v>
      </c>
      <c r="G30182" s="28">
        <v>3.6600000000000001E-2</v>
      </c>
      <c r="H30182" s="29"/>
      <c r="I30182" s="29"/>
      <c r="J30182" s="29"/>
      <c r="K30182" s="29"/>
      <c r="L30182" s="29"/>
      <c r="M30182" s="29"/>
      <c r="N30182" s="29" t="s">
        <v>337</v>
      </c>
    </row>
    <row r="30183" spans="1:14" x14ac:dyDescent="0.35">
      <c r="A30183" t="s">
        <v>230</v>
      </c>
      <c r="B30183" t="s">
        <v>1341</v>
      </c>
      <c r="C30183" t="s">
        <v>1346</v>
      </c>
      <c r="D30183" s="26">
        <v>0.82630000000000003</v>
      </c>
      <c r="E30183" s="26">
        <v>8.4699999999999998E-2</v>
      </c>
      <c r="F30183" s="26">
        <v>8.4699999999999998E-2</v>
      </c>
      <c r="G30183" s="26">
        <v>8.8999999999999996E-2</v>
      </c>
      <c r="H30183" s="26">
        <v>8.4699999999999998E-2</v>
      </c>
      <c r="J30183" s="26">
        <v>8.4699999999999998E-2</v>
      </c>
      <c r="L30183" s="26">
        <v>8.4699999999999998E-2</v>
      </c>
      <c r="N30183">
        <v>30</v>
      </c>
    </row>
    <row r="30184" spans="1:14" x14ac:dyDescent="0.35">
      <c r="A30184" t="s">
        <v>231</v>
      </c>
      <c r="B30184" t="s">
        <v>1343</v>
      </c>
      <c r="C30184" t="s">
        <v>1348</v>
      </c>
      <c r="D30184" s="26">
        <v>0.98</v>
      </c>
      <c r="H30184" s="26">
        <v>0.02</v>
      </c>
      <c r="N30184">
        <v>50</v>
      </c>
    </row>
    <row r="30185" spans="1:14" x14ac:dyDescent="0.35">
      <c r="A30185" s="27" t="s">
        <v>231</v>
      </c>
      <c r="B30185" s="27" t="s">
        <v>1343</v>
      </c>
      <c r="C30185" s="27" t="s">
        <v>1345</v>
      </c>
      <c r="D30185" s="28">
        <v>0.66669999999999996</v>
      </c>
      <c r="E30185" s="28">
        <v>0.33329999999999999</v>
      </c>
      <c r="F30185" s="29"/>
      <c r="G30185" s="29"/>
      <c r="H30185" s="29"/>
      <c r="I30185" s="29"/>
      <c r="J30185" s="29"/>
      <c r="K30185" s="29"/>
      <c r="L30185" s="29"/>
      <c r="M30185" s="29"/>
      <c r="N30185" s="29" t="s">
        <v>315</v>
      </c>
    </row>
    <row r="30186" spans="1:14" x14ac:dyDescent="0.35">
      <c r="A30186" t="s">
        <v>231</v>
      </c>
      <c r="B30186" t="s">
        <v>1341</v>
      </c>
      <c r="C30186" t="s">
        <v>1348</v>
      </c>
      <c r="D30186" s="26">
        <v>0.91669999999999996</v>
      </c>
      <c r="F30186" s="26">
        <v>5.5599999999999997E-2</v>
      </c>
      <c r="H30186" s="26">
        <v>2.7799999999999998E-2</v>
      </c>
      <c r="I30186" s="26">
        <v>2.7799999999999998E-2</v>
      </c>
      <c r="N30186">
        <v>36</v>
      </c>
    </row>
    <row r="30187" spans="1:14" x14ac:dyDescent="0.35">
      <c r="A30187" s="27" t="s">
        <v>231</v>
      </c>
      <c r="B30187" s="27" t="s">
        <v>1341</v>
      </c>
      <c r="C30187" s="27" t="s">
        <v>1345</v>
      </c>
      <c r="D30187" s="28">
        <v>1</v>
      </c>
      <c r="E30187" s="29"/>
      <c r="F30187" s="29"/>
      <c r="G30187" s="29"/>
      <c r="H30187" s="29"/>
      <c r="I30187" s="29"/>
      <c r="J30187" s="29"/>
      <c r="K30187" s="29"/>
      <c r="L30187" s="29"/>
      <c r="M30187" s="29"/>
      <c r="N30187" s="29" t="s">
        <v>331</v>
      </c>
    </row>
    <row r="30188" spans="1:14" x14ac:dyDescent="0.35">
      <c r="A30188" s="27" t="s">
        <v>231</v>
      </c>
      <c r="B30188" s="27" t="s">
        <v>1343</v>
      </c>
      <c r="C30188" s="27" t="s">
        <v>1346</v>
      </c>
      <c r="D30188" s="28">
        <v>0.96150000000000002</v>
      </c>
      <c r="E30188" s="29"/>
      <c r="F30188" s="29"/>
      <c r="G30188" s="29"/>
      <c r="H30188" s="28">
        <v>3.85E-2</v>
      </c>
      <c r="I30188" s="29"/>
      <c r="J30188" s="29"/>
      <c r="K30188" s="29"/>
      <c r="L30188" s="29"/>
      <c r="M30188" s="29"/>
      <c r="N30188" s="29" t="s">
        <v>357</v>
      </c>
    </row>
    <row r="30189" spans="1:14" x14ac:dyDescent="0.35">
      <c r="A30189" s="27" t="s">
        <v>231</v>
      </c>
      <c r="B30189" s="27" t="s">
        <v>1341</v>
      </c>
      <c r="C30189" s="27" t="s">
        <v>1346</v>
      </c>
      <c r="D30189" s="28">
        <v>0.85709999999999997</v>
      </c>
      <c r="E30189" s="29"/>
      <c r="F30189" s="29"/>
      <c r="G30189" s="29"/>
      <c r="H30189" s="28">
        <v>0.1429</v>
      </c>
      <c r="I30189" s="29"/>
      <c r="J30189" s="29"/>
      <c r="K30189" s="29"/>
      <c r="L30189" s="29"/>
      <c r="M30189" s="29"/>
      <c r="N30189" s="29" t="s">
        <v>379</v>
      </c>
    </row>
    <row r="30190" spans="1:14" x14ac:dyDescent="0.35">
      <c r="A30190" s="27" t="s">
        <v>231</v>
      </c>
      <c r="B30190" s="27" t="s">
        <v>1341</v>
      </c>
      <c r="C30190" s="27" t="s">
        <v>1347</v>
      </c>
      <c r="D30190" s="28">
        <v>0.85709999999999997</v>
      </c>
      <c r="E30190" s="28">
        <v>7.1400000000000005E-2</v>
      </c>
      <c r="F30190" s="28">
        <v>7.1400000000000005E-2</v>
      </c>
      <c r="G30190" s="28">
        <v>7.1400000000000005E-2</v>
      </c>
      <c r="H30190" s="28">
        <v>7.1400000000000005E-2</v>
      </c>
      <c r="I30190" s="29"/>
      <c r="J30190" s="29"/>
      <c r="K30190" s="29"/>
      <c r="L30190" s="29"/>
      <c r="M30190" s="29"/>
      <c r="N30190" s="29" t="s">
        <v>379</v>
      </c>
    </row>
    <row r="30191" spans="1:14" x14ac:dyDescent="0.35">
      <c r="A30191" s="27" t="s">
        <v>231</v>
      </c>
      <c r="B30191" s="27" t="s">
        <v>1343</v>
      </c>
      <c r="C30191" s="27" t="s">
        <v>1347</v>
      </c>
      <c r="D30191" s="28">
        <v>0.85</v>
      </c>
      <c r="E30191" s="29"/>
      <c r="F30191" s="28">
        <v>0.05</v>
      </c>
      <c r="G30191" s="29"/>
      <c r="H30191" s="28">
        <v>0.1</v>
      </c>
      <c r="I30191" s="28">
        <v>0.05</v>
      </c>
      <c r="J30191" s="29"/>
      <c r="K30191" s="29"/>
      <c r="L30191" s="29"/>
      <c r="M30191" s="29"/>
      <c r="N30191" s="29" t="s">
        <v>350</v>
      </c>
    </row>
    <row r="30192" spans="1:14" x14ac:dyDescent="0.35">
      <c r="A30192" t="s">
        <v>232</v>
      </c>
      <c r="B30192" t="s">
        <v>232</v>
      </c>
      <c r="C30192" t="s">
        <v>232</v>
      </c>
      <c r="D30192" s="26">
        <v>0.86360000000000003</v>
      </c>
      <c r="E30192" s="26">
        <v>5.2600000000000001E-2</v>
      </c>
      <c r="F30192" s="26">
        <v>4.7800000000000002E-2</v>
      </c>
      <c r="G30192" s="26">
        <v>3.8100000000000002E-2</v>
      </c>
      <c r="H30192" s="26">
        <v>3.1699999999999999E-2</v>
      </c>
      <c r="I30192" s="26">
        <v>3.0800000000000001E-2</v>
      </c>
      <c r="J30192" s="26">
        <v>2.5600000000000001E-2</v>
      </c>
      <c r="K30192" s="26">
        <v>1.9E-2</v>
      </c>
      <c r="L30192" s="26">
        <v>1.49E-2</v>
      </c>
      <c r="M30192" s="26">
        <v>5.0000000000000001E-3</v>
      </c>
      <c r="N30192">
        <v>2813</v>
      </c>
    </row>
    <row r="30194" spans="1:18" x14ac:dyDescent="0.35">
      <c r="A30194" s="1" t="s">
        <v>2685</v>
      </c>
    </row>
    <row r="30195" spans="1:18" x14ac:dyDescent="0.35">
      <c r="A30195" t="s">
        <v>219</v>
      </c>
      <c r="B30195" t="s">
        <v>2686</v>
      </c>
      <c r="C30195" t="s">
        <v>2687</v>
      </c>
      <c r="D30195" t="s">
        <v>2688</v>
      </c>
      <c r="E30195" t="s">
        <v>2689</v>
      </c>
      <c r="F30195" t="s">
        <v>2690</v>
      </c>
      <c r="G30195" t="s">
        <v>2691</v>
      </c>
      <c r="H30195" t="s">
        <v>2692</v>
      </c>
      <c r="I30195" t="s">
        <v>2693</v>
      </c>
      <c r="J30195" t="s">
        <v>281</v>
      </c>
      <c r="K30195" t="s">
        <v>2694</v>
      </c>
      <c r="L30195" t="s">
        <v>2695</v>
      </c>
      <c r="M30195" t="s">
        <v>2696</v>
      </c>
      <c r="N30195" t="s">
        <v>2697</v>
      </c>
      <c r="O30195" t="s">
        <v>286</v>
      </c>
      <c r="P30195" t="s">
        <v>2698</v>
      </c>
      <c r="Q30195" t="s">
        <v>226</v>
      </c>
    </row>
    <row r="30196" spans="1:18" x14ac:dyDescent="0.35">
      <c r="A30196" t="s">
        <v>227</v>
      </c>
      <c r="B30196" s="26">
        <v>0.55279999999999996</v>
      </c>
      <c r="C30196" s="26">
        <v>0.2112</v>
      </c>
      <c r="D30196" s="26">
        <v>0.15529999999999999</v>
      </c>
      <c r="E30196" s="26">
        <v>4.3499999999999997E-2</v>
      </c>
      <c r="F30196" s="26">
        <v>5.5899999999999998E-2</v>
      </c>
      <c r="G30196" s="26">
        <v>3.73E-2</v>
      </c>
      <c r="H30196" s="26">
        <v>1.24E-2</v>
      </c>
      <c r="I30196" s="26">
        <v>3.1099999999999999E-2</v>
      </c>
      <c r="J30196" s="26">
        <v>1.8599999999999998E-2</v>
      </c>
      <c r="K30196" s="26">
        <v>2.4799999999999999E-2</v>
      </c>
      <c r="L30196" s="26">
        <v>6.1999999999999998E-3</v>
      </c>
      <c r="M30196" s="26">
        <v>1.8599999999999998E-2</v>
      </c>
      <c r="Q30196">
        <v>161</v>
      </c>
    </row>
    <row r="30197" spans="1:18" x14ac:dyDescent="0.35">
      <c r="A30197" t="s">
        <v>228</v>
      </c>
      <c r="B30197" s="26">
        <v>0.36720000000000003</v>
      </c>
      <c r="C30197" s="26">
        <v>0.35010000000000002</v>
      </c>
      <c r="D30197" s="26">
        <v>0.113</v>
      </c>
      <c r="E30197" s="26">
        <v>8.9800000000000005E-2</v>
      </c>
      <c r="F30197" s="26">
        <v>6.6299999999999998E-2</v>
      </c>
      <c r="G30197" s="26">
        <v>6.7799999999999999E-2</v>
      </c>
      <c r="H30197" s="26">
        <v>6.6600000000000006E-2</v>
      </c>
      <c r="I30197" s="26">
        <v>5.3199999999999997E-2</v>
      </c>
      <c r="J30197" s="26">
        <v>3.5000000000000003E-2</v>
      </c>
      <c r="K30197" s="26">
        <v>5.3499999999999999E-2</v>
      </c>
      <c r="L30197" s="26">
        <v>3.8800000000000001E-2</v>
      </c>
      <c r="M30197" s="26">
        <v>3.0099999999999998E-2</v>
      </c>
      <c r="N30197" s="26">
        <v>1.84E-2</v>
      </c>
      <c r="O30197" s="26">
        <v>1.0800000000000001E-2</v>
      </c>
      <c r="P30197" s="26">
        <v>4.5999999999999999E-3</v>
      </c>
      <c r="Q30197">
        <v>1032</v>
      </c>
    </row>
    <row r="30198" spans="1:18" x14ac:dyDescent="0.35">
      <c r="A30198" t="s">
        <v>229</v>
      </c>
      <c r="B30198" s="26">
        <v>0.45229999999999998</v>
      </c>
      <c r="C30198" s="26">
        <v>0.26179999999999998</v>
      </c>
      <c r="D30198" s="26">
        <v>0.1114</v>
      </c>
      <c r="E30198" s="26">
        <v>9.9099999999999994E-2</v>
      </c>
      <c r="F30198" s="26">
        <v>8.0699999999999994E-2</v>
      </c>
      <c r="G30198" s="26">
        <v>6.4399999999999999E-2</v>
      </c>
      <c r="H30198" s="26">
        <v>4.5100000000000001E-2</v>
      </c>
      <c r="I30198" s="26">
        <v>3.39E-2</v>
      </c>
      <c r="J30198" s="26">
        <v>2.98E-2</v>
      </c>
      <c r="K30198" s="26">
        <v>2.5100000000000001E-2</v>
      </c>
      <c r="L30198" s="26">
        <v>3.1E-2</v>
      </c>
      <c r="M30198" s="26">
        <v>2.1999999999999999E-2</v>
      </c>
      <c r="N30198" s="26">
        <v>1.4500000000000001E-2</v>
      </c>
      <c r="O30198" s="26">
        <v>6.7999999999999996E-3</v>
      </c>
      <c r="P30198" s="26">
        <v>8.3999999999999995E-3</v>
      </c>
      <c r="Q30198">
        <v>895</v>
      </c>
    </row>
    <row r="30199" spans="1:18" x14ac:dyDescent="0.35">
      <c r="A30199" t="s">
        <v>230</v>
      </c>
      <c r="B30199" s="26">
        <v>0.38729999999999998</v>
      </c>
      <c r="C30199" s="26">
        <v>0.29459999999999997</v>
      </c>
      <c r="D30199" s="26">
        <v>0.17630000000000001</v>
      </c>
      <c r="E30199" s="26">
        <v>7.5200000000000003E-2</v>
      </c>
      <c r="F30199" s="26">
        <v>0.12839999999999999</v>
      </c>
      <c r="G30199" s="26">
        <v>7.1599999999999997E-2</v>
      </c>
      <c r="H30199" s="26">
        <v>3.4099999999999998E-2</v>
      </c>
      <c r="I30199" s="26">
        <v>3.8600000000000002E-2</v>
      </c>
      <c r="J30199" s="26">
        <v>2.41E-2</v>
      </c>
      <c r="K30199" s="26">
        <v>2.7799999999999998E-2</v>
      </c>
      <c r="L30199" s="26">
        <v>4.7100000000000003E-2</v>
      </c>
      <c r="M30199" s="26">
        <v>2.7199999999999998E-2</v>
      </c>
      <c r="N30199" s="26">
        <v>2.4500000000000001E-2</v>
      </c>
      <c r="O30199" s="26">
        <v>1.17E-2</v>
      </c>
      <c r="P30199" s="26">
        <v>2.5000000000000001E-3</v>
      </c>
      <c r="Q30199">
        <v>560</v>
      </c>
    </row>
    <row r="30200" spans="1:18" x14ac:dyDescent="0.35">
      <c r="A30200" t="s">
        <v>231</v>
      </c>
      <c r="B30200" s="26">
        <v>0.66459999999999997</v>
      </c>
      <c r="C30200" s="26">
        <v>0.1585</v>
      </c>
      <c r="D30200" s="26">
        <v>0.128</v>
      </c>
      <c r="E30200" s="26">
        <v>3.6600000000000001E-2</v>
      </c>
      <c r="F30200" s="26">
        <v>3.6600000000000001E-2</v>
      </c>
      <c r="G30200" s="26">
        <v>2.4400000000000002E-2</v>
      </c>
      <c r="H30200" s="26">
        <v>1.83E-2</v>
      </c>
      <c r="I30200" s="26">
        <v>1.83E-2</v>
      </c>
      <c r="J30200" s="26">
        <v>3.0499999999999999E-2</v>
      </c>
      <c r="K30200" s="26">
        <v>6.1000000000000004E-3</v>
      </c>
      <c r="L30200" s="26">
        <v>6.1000000000000004E-3</v>
      </c>
      <c r="M30200" s="26">
        <v>6.1000000000000004E-3</v>
      </c>
      <c r="Q30200">
        <v>164</v>
      </c>
    </row>
    <row r="30201" spans="1:18" x14ac:dyDescent="0.35">
      <c r="A30201" t="s">
        <v>232</v>
      </c>
      <c r="B30201" s="26">
        <v>0.503</v>
      </c>
      <c r="C30201" s="26">
        <v>0.24610000000000001</v>
      </c>
      <c r="D30201" s="26">
        <v>0.12909999999999999</v>
      </c>
      <c r="E30201" s="26">
        <v>6.9500000000000006E-2</v>
      </c>
      <c r="F30201" s="26">
        <v>6.6600000000000006E-2</v>
      </c>
      <c r="G30201" s="26">
        <v>5.0700000000000002E-2</v>
      </c>
      <c r="H30201" s="26">
        <v>3.5900000000000001E-2</v>
      </c>
      <c r="I30201" s="26">
        <v>3.3399999999999999E-2</v>
      </c>
      <c r="J30201" s="26">
        <v>2.8799999999999999E-2</v>
      </c>
      <c r="K30201" s="26">
        <v>2.5600000000000001E-2</v>
      </c>
      <c r="L30201" s="26">
        <v>2.35E-2</v>
      </c>
      <c r="M30201" s="26">
        <v>1.9199999999999998E-2</v>
      </c>
      <c r="N30201" s="26">
        <v>0.01</v>
      </c>
      <c r="O30201" s="26">
        <v>5.1000000000000004E-3</v>
      </c>
      <c r="P30201" s="26">
        <v>3.5000000000000001E-3</v>
      </c>
      <c r="Q30201">
        <v>2812</v>
      </c>
    </row>
    <row r="30203" spans="1:18" x14ac:dyDescent="0.35">
      <c r="A30203" s="1" t="s">
        <v>2699</v>
      </c>
    </row>
    <row r="30204" spans="1:18" x14ac:dyDescent="0.35">
      <c r="A30204" t="s">
        <v>219</v>
      </c>
      <c r="B30204" t="s">
        <v>305</v>
      </c>
      <c r="C30204" t="s">
        <v>2686</v>
      </c>
      <c r="D30204" t="s">
        <v>2687</v>
      </c>
      <c r="E30204" t="s">
        <v>2688</v>
      </c>
      <c r="F30204" t="s">
        <v>2689</v>
      </c>
      <c r="G30204" t="s">
        <v>2690</v>
      </c>
      <c r="H30204" t="s">
        <v>2691</v>
      </c>
      <c r="I30204" t="s">
        <v>2692</v>
      </c>
      <c r="J30204" t="s">
        <v>2693</v>
      </c>
      <c r="K30204" t="s">
        <v>281</v>
      </c>
      <c r="L30204" t="s">
        <v>2694</v>
      </c>
      <c r="M30204" t="s">
        <v>2695</v>
      </c>
      <c r="N30204" t="s">
        <v>2696</v>
      </c>
      <c r="O30204" t="s">
        <v>2697</v>
      </c>
      <c r="P30204" t="s">
        <v>286</v>
      </c>
      <c r="Q30204" t="s">
        <v>2698</v>
      </c>
      <c r="R30204" t="s">
        <v>226</v>
      </c>
    </row>
    <row r="30205" spans="1:18" x14ac:dyDescent="0.35">
      <c r="A30205" t="s">
        <v>227</v>
      </c>
      <c r="B30205" t="s">
        <v>242</v>
      </c>
      <c r="C30205" s="26">
        <v>0.63239999999999996</v>
      </c>
      <c r="D30205" s="26">
        <v>0.13239999999999999</v>
      </c>
      <c r="E30205" s="26">
        <v>0.14710000000000001</v>
      </c>
      <c r="F30205" s="26">
        <v>2.9399999999999999E-2</v>
      </c>
      <c r="G30205" s="26">
        <v>7.3499999999999996E-2</v>
      </c>
      <c r="H30205" s="26">
        <v>2.9399999999999999E-2</v>
      </c>
      <c r="I30205" s="26">
        <v>1.47E-2</v>
      </c>
      <c r="J30205" s="26">
        <v>2.9399999999999999E-2</v>
      </c>
      <c r="L30205" s="26">
        <v>4.41E-2</v>
      </c>
      <c r="M30205" s="26">
        <v>1.47E-2</v>
      </c>
      <c r="N30205" s="26">
        <v>2.9399999999999999E-2</v>
      </c>
      <c r="R30205">
        <v>68</v>
      </c>
    </row>
    <row r="30206" spans="1:18" x14ac:dyDescent="0.35">
      <c r="A30206" t="s">
        <v>227</v>
      </c>
      <c r="B30206" t="s">
        <v>241</v>
      </c>
      <c r="C30206" s="26">
        <v>0.49459999999999998</v>
      </c>
      <c r="D30206" s="26">
        <v>0.26879999999999998</v>
      </c>
      <c r="E30206" s="26">
        <v>0.1613</v>
      </c>
      <c r="F30206" s="26">
        <v>5.3800000000000001E-2</v>
      </c>
      <c r="G30206" s="26">
        <v>4.2999999999999997E-2</v>
      </c>
      <c r="H30206" s="26">
        <v>4.2999999999999997E-2</v>
      </c>
      <c r="I30206" s="26">
        <v>1.0800000000000001E-2</v>
      </c>
      <c r="J30206" s="26">
        <v>3.2300000000000002E-2</v>
      </c>
      <c r="K30206" s="26">
        <v>3.2300000000000002E-2</v>
      </c>
      <c r="L30206" s="26">
        <v>1.0800000000000001E-2</v>
      </c>
      <c r="N30206" s="26">
        <v>1.0800000000000001E-2</v>
      </c>
      <c r="R30206">
        <v>93</v>
      </c>
    </row>
    <row r="30207" spans="1:18" x14ac:dyDescent="0.35">
      <c r="A30207" t="s">
        <v>228</v>
      </c>
      <c r="B30207" t="s">
        <v>242</v>
      </c>
      <c r="C30207" s="26">
        <v>0.38059999999999999</v>
      </c>
      <c r="D30207" s="26">
        <v>0.34300000000000003</v>
      </c>
      <c r="E30207" s="26">
        <v>8.2000000000000003E-2</v>
      </c>
      <c r="F30207" s="26">
        <v>9.8699999999999996E-2</v>
      </c>
      <c r="G30207" s="26">
        <v>6.1899999999999997E-2</v>
      </c>
      <c r="H30207" s="26">
        <v>7.9600000000000004E-2</v>
      </c>
      <c r="I30207" s="26">
        <v>5.0799999999999998E-2</v>
      </c>
      <c r="J30207" s="26">
        <v>3.3099999999999997E-2</v>
      </c>
      <c r="K30207" s="26">
        <v>4.9399999999999999E-2</v>
      </c>
      <c r="L30207" s="26">
        <v>4.5400000000000003E-2</v>
      </c>
      <c r="M30207" s="26">
        <v>3.9600000000000003E-2</v>
      </c>
      <c r="N30207" s="26">
        <v>3.1E-2</v>
      </c>
      <c r="O30207" s="26">
        <v>2.93E-2</v>
      </c>
      <c r="P30207" s="26">
        <v>1.44E-2</v>
      </c>
      <c r="Q30207" s="26">
        <v>2.3E-3</v>
      </c>
      <c r="R30207">
        <v>402</v>
      </c>
    </row>
    <row r="30208" spans="1:18" x14ac:dyDescent="0.35">
      <c r="A30208" t="s">
        <v>228</v>
      </c>
      <c r="B30208" t="s">
        <v>241</v>
      </c>
      <c r="C30208" s="26">
        <v>0.35949999999999999</v>
      </c>
      <c r="D30208" s="26">
        <v>0.35420000000000001</v>
      </c>
      <c r="E30208" s="26">
        <v>0.13070000000000001</v>
      </c>
      <c r="F30208" s="26">
        <v>8.48E-2</v>
      </c>
      <c r="G30208" s="26">
        <v>6.8900000000000003E-2</v>
      </c>
      <c r="H30208" s="26">
        <v>6.0999999999999999E-2</v>
      </c>
      <c r="I30208" s="26">
        <v>7.5700000000000003E-2</v>
      </c>
      <c r="J30208" s="26">
        <v>6.4799999999999996E-2</v>
      </c>
      <c r="K30208" s="26">
        <v>2.6700000000000002E-2</v>
      </c>
      <c r="L30208" s="26">
        <v>5.8099999999999999E-2</v>
      </c>
      <c r="M30208" s="26">
        <v>3.8399999999999997E-2</v>
      </c>
      <c r="N30208" s="26">
        <v>2.9600000000000001E-2</v>
      </c>
      <c r="O30208" s="26">
        <v>1.21E-2</v>
      </c>
      <c r="P30208" s="26">
        <v>8.6E-3</v>
      </c>
      <c r="Q30208" s="26">
        <v>5.8999999999999999E-3</v>
      </c>
      <c r="R30208">
        <v>630</v>
      </c>
    </row>
    <row r="30209" spans="1:18" x14ac:dyDescent="0.35">
      <c r="A30209" t="s">
        <v>229</v>
      </c>
      <c r="B30209" t="s">
        <v>242</v>
      </c>
      <c r="C30209" s="26">
        <v>0.42899999999999999</v>
      </c>
      <c r="D30209" s="26">
        <v>0.26500000000000001</v>
      </c>
      <c r="E30209" s="26">
        <v>0.11070000000000001</v>
      </c>
      <c r="F30209" s="26">
        <v>9.6500000000000002E-2</v>
      </c>
      <c r="G30209" s="26">
        <v>6.0900000000000003E-2</v>
      </c>
      <c r="H30209" s="26">
        <v>6.4600000000000005E-2</v>
      </c>
      <c r="I30209" s="26">
        <v>4.7500000000000001E-2</v>
      </c>
      <c r="J30209" s="26">
        <v>2.76E-2</v>
      </c>
      <c r="K30209" s="26">
        <v>4.2700000000000002E-2</v>
      </c>
      <c r="L30209" s="26">
        <v>1.84E-2</v>
      </c>
      <c r="M30209" s="26">
        <v>4.7500000000000001E-2</v>
      </c>
      <c r="N30209" s="26">
        <v>3.0800000000000001E-2</v>
      </c>
      <c r="O30209" s="26">
        <v>2.4199999999999999E-2</v>
      </c>
      <c r="P30209" s="26">
        <v>6.4000000000000003E-3</v>
      </c>
      <c r="Q30209" s="26">
        <v>9.7999999999999997E-3</v>
      </c>
      <c r="R30209">
        <v>292</v>
      </c>
    </row>
    <row r="30210" spans="1:18" x14ac:dyDescent="0.35">
      <c r="A30210" t="s">
        <v>229</v>
      </c>
      <c r="B30210" t="s">
        <v>241</v>
      </c>
      <c r="C30210" s="26">
        <v>0.4672</v>
      </c>
      <c r="D30210" s="26">
        <v>0.25969999999999999</v>
      </c>
      <c r="E30210" s="26">
        <v>0.1118</v>
      </c>
      <c r="F30210" s="26">
        <v>0.1008</v>
      </c>
      <c r="G30210" s="26">
        <v>9.3299999999999994E-2</v>
      </c>
      <c r="H30210" s="26">
        <v>6.4299999999999996E-2</v>
      </c>
      <c r="I30210" s="26">
        <v>4.36E-2</v>
      </c>
      <c r="J30210" s="26">
        <v>3.7999999999999999E-2</v>
      </c>
      <c r="K30210" s="26">
        <v>2.1499999999999998E-2</v>
      </c>
      <c r="L30210" s="26">
        <v>2.9399999999999999E-2</v>
      </c>
      <c r="M30210" s="26">
        <v>2.0500000000000001E-2</v>
      </c>
      <c r="N30210" s="26">
        <v>1.6400000000000001E-2</v>
      </c>
      <c r="O30210" s="26">
        <v>8.3000000000000001E-3</v>
      </c>
      <c r="P30210" s="26">
        <v>7.1000000000000004E-3</v>
      </c>
      <c r="Q30210" s="26">
        <v>7.4999999999999997E-3</v>
      </c>
      <c r="R30210">
        <v>603</v>
      </c>
    </row>
    <row r="30211" spans="1:18" x14ac:dyDescent="0.35">
      <c r="A30211" t="s">
        <v>230</v>
      </c>
      <c r="B30211" t="s">
        <v>242</v>
      </c>
      <c r="C30211" s="26">
        <v>0.28699999999999998</v>
      </c>
      <c r="D30211" s="26">
        <v>0.28749999999999998</v>
      </c>
      <c r="E30211" s="26">
        <v>0.20130000000000001</v>
      </c>
      <c r="F30211" s="26">
        <v>0.1091</v>
      </c>
      <c r="G30211" s="26">
        <v>0.15559999999999999</v>
      </c>
      <c r="H30211" s="26">
        <v>0.11890000000000001</v>
      </c>
      <c r="I30211" s="26">
        <v>4.5400000000000003E-2</v>
      </c>
      <c r="J30211" s="26">
        <v>4.36E-2</v>
      </c>
      <c r="K30211" s="26">
        <v>6.1899999999999997E-2</v>
      </c>
      <c r="L30211" s="26">
        <v>4.4400000000000002E-2</v>
      </c>
      <c r="M30211" s="26">
        <v>8.0500000000000002E-2</v>
      </c>
      <c r="N30211" s="26">
        <v>4.5199999999999997E-2</v>
      </c>
      <c r="O30211" s="26">
        <v>2.6100000000000002E-2</v>
      </c>
      <c r="P30211" s="26">
        <v>1.0699999999999999E-2</v>
      </c>
      <c r="Q30211" s="26">
        <v>2.3999999999999998E-3</v>
      </c>
      <c r="R30211">
        <v>189</v>
      </c>
    </row>
    <row r="30212" spans="1:18" x14ac:dyDescent="0.35">
      <c r="A30212" t="s">
        <v>230</v>
      </c>
      <c r="B30212" t="s">
        <v>241</v>
      </c>
      <c r="C30212" s="26">
        <v>0.43859999999999999</v>
      </c>
      <c r="D30212" s="26">
        <v>0.29820000000000002</v>
      </c>
      <c r="E30212" s="26">
        <v>0.16350000000000001</v>
      </c>
      <c r="F30212" s="26">
        <v>5.7799999999999997E-2</v>
      </c>
      <c r="G30212" s="26">
        <v>0.1145</v>
      </c>
      <c r="H30212" s="26">
        <v>4.7500000000000001E-2</v>
      </c>
      <c r="I30212" s="26">
        <v>2.8299999999999999E-2</v>
      </c>
      <c r="J30212" s="26">
        <v>3.5999999999999997E-2</v>
      </c>
      <c r="K30212" s="26">
        <v>4.8999999999999998E-3</v>
      </c>
      <c r="L30212" s="26">
        <v>1.9300000000000001E-2</v>
      </c>
      <c r="M30212" s="26">
        <v>0.03</v>
      </c>
      <c r="N30212" s="26">
        <v>1.7999999999999999E-2</v>
      </c>
      <c r="O30212" s="26">
        <v>2.3699999999999999E-2</v>
      </c>
      <c r="P30212" s="26">
        <v>1.2200000000000001E-2</v>
      </c>
      <c r="Q30212" s="26">
        <v>2.5999999999999999E-3</v>
      </c>
      <c r="R30212">
        <v>371</v>
      </c>
    </row>
    <row r="30213" spans="1:18" x14ac:dyDescent="0.35">
      <c r="A30213" t="s">
        <v>231</v>
      </c>
      <c r="B30213" t="s">
        <v>242</v>
      </c>
      <c r="C30213" s="26">
        <v>0.68520000000000003</v>
      </c>
      <c r="D30213" s="26">
        <v>0.12959999999999999</v>
      </c>
      <c r="E30213" s="26">
        <v>0.12959999999999999</v>
      </c>
      <c r="F30213" s="26">
        <v>3.6999999999999998E-2</v>
      </c>
      <c r="G30213" s="26">
        <v>1.8499999999999999E-2</v>
      </c>
      <c r="H30213" s="26">
        <v>1.8499999999999999E-2</v>
      </c>
      <c r="I30213" s="26">
        <v>1.8499999999999999E-2</v>
      </c>
      <c r="J30213" s="26">
        <v>3.6999999999999998E-2</v>
      </c>
      <c r="K30213" s="26">
        <v>3.6999999999999998E-2</v>
      </c>
      <c r="N30213" s="26">
        <v>1.8499999999999999E-2</v>
      </c>
      <c r="R30213">
        <v>54</v>
      </c>
    </row>
    <row r="30214" spans="1:18" x14ac:dyDescent="0.35">
      <c r="A30214" t="s">
        <v>231</v>
      </c>
      <c r="B30214" t="s">
        <v>241</v>
      </c>
      <c r="C30214" s="26">
        <v>0.65449999999999997</v>
      </c>
      <c r="D30214" s="26">
        <v>0.17269999999999999</v>
      </c>
      <c r="E30214" s="26">
        <v>0.1273</v>
      </c>
      <c r="F30214" s="26">
        <v>3.6400000000000002E-2</v>
      </c>
      <c r="G30214" s="26">
        <v>4.5499999999999999E-2</v>
      </c>
      <c r="H30214" s="26">
        <v>2.7300000000000001E-2</v>
      </c>
      <c r="I30214" s="26">
        <v>1.8200000000000001E-2</v>
      </c>
      <c r="J30214" s="26">
        <v>9.1000000000000004E-3</v>
      </c>
      <c r="K30214" s="26">
        <v>2.7300000000000001E-2</v>
      </c>
      <c r="L30214" s="26">
        <v>9.1000000000000004E-3</v>
      </c>
      <c r="M30214" s="26">
        <v>9.1000000000000004E-3</v>
      </c>
      <c r="R30214">
        <v>110</v>
      </c>
    </row>
    <row r="30215" spans="1:18" x14ac:dyDescent="0.35">
      <c r="A30215" t="s">
        <v>232</v>
      </c>
      <c r="B30215" t="s">
        <v>232</v>
      </c>
      <c r="C30215" s="26">
        <v>0.503</v>
      </c>
      <c r="D30215" s="26">
        <v>0.24610000000000001</v>
      </c>
      <c r="E30215" s="26">
        <v>0.12909999999999999</v>
      </c>
      <c r="F30215" s="26">
        <v>6.9500000000000006E-2</v>
      </c>
      <c r="G30215" s="26">
        <v>6.6600000000000006E-2</v>
      </c>
      <c r="H30215" s="26">
        <v>5.0700000000000002E-2</v>
      </c>
      <c r="I30215" s="26">
        <v>3.5900000000000001E-2</v>
      </c>
      <c r="J30215" s="26">
        <v>3.3399999999999999E-2</v>
      </c>
      <c r="K30215" s="26">
        <v>2.8799999999999999E-2</v>
      </c>
      <c r="L30215" s="26">
        <v>2.5600000000000001E-2</v>
      </c>
      <c r="M30215" s="26">
        <v>2.35E-2</v>
      </c>
      <c r="N30215" s="26">
        <v>1.9199999999999998E-2</v>
      </c>
      <c r="O30215" s="26">
        <v>0.01</v>
      </c>
      <c r="P30215" s="26">
        <v>5.1000000000000004E-3</v>
      </c>
      <c r="Q30215" s="26">
        <v>3.5000000000000001E-3</v>
      </c>
      <c r="R30215">
        <v>2812</v>
      </c>
    </row>
    <row r="30217" spans="1:18" x14ac:dyDescent="0.35">
      <c r="A30217" s="1" t="s">
        <v>2700</v>
      </c>
    </row>
    <row r="30218" spans="1:18" x14ac:dyDescent="0.35">
      <c r="A30218" t="s">
        <v>219</v>
      </c>
      <c r="B30218" t="s">
        <v>305</v>
      </c>
      <c r="C30218" t="s">
        <v>2686</v>
      </c>
      <c r="D30218" t="s">
        <v>2687</v>
      </c>
      <c r="E30218" t="s">
        <v>2688</v>
      </c>
      <c r="F30218" t="s">
        <v>2689</v>
      </c>
      <c r="G30218" t="s">
        <v>2690</v>
      </c>
      <c r="H30218" t="s">
        <v>2691</v>
      </c>
      <c r="I30218" t="s">
        <v>2692</v>
      </c>
      <c r="J30218" t="s">
        <v>2693</v>
      </c>
      <c r="K30218" t="s">
        <v>281</v>
      </c>
      <c r="L30218" t="s">
        <v>2694</v>
      </c>
      <c r="M30218" t="s">
        <v>2695</v>
      </c>
      <c r="N30218" t="s">
        <v>2696</v>
      </c>
      <c r="O30218" t="s">
        <v>2697</v>
      </c>
      <c r="P30218" t="s">
        <v>286</v>
      </c>
      <c r="Q30218" t="s">
        <v>2698</v>
      </c>
      <c r="R30218" t="s">
        <v>226</v>
      </c>
    </row>
    <row r="30219" spans="1:18" x14ac:dyDescent="0.35">
      <c r="A30219" t="s">
        <v>227</v>
      </c>
      <c r="B30219" t="s">
        <v>239</v>
      </c>
      <c r="C30219" s="26">
        <v>0.5806</v>
      </c>
      <c r="D30219" s="26">
        <v>0.2097</v>
      </c>
      <c r="E30219" s="26">
        <v>0.1452</v>
      </c>
      <c r="G30219" s="26">
        <v>3.2300000000000002E-2</v>
      </c>
      <c r="K30219" s="26">
        <v>1.61E-2</v>
      </c>
      <c r="L30219" s="26">
        <v>3.2300000000000002E-2</v>
      </c>
      <c r="R30219">
        <v>62</v>
      </c>
    </row>
    <row r="30220" spans="1:18" x14ac:dyDescent="0.35">
      <c r="A30220" t="s">
        <v>227</v>
      </c>
      <c r="B30220" t="s">
        <v>238</v>
      </c>
      <c r="C30220" s="26">
        <v>0.53539999999999999</v>
      </c>
      <c r="D30220" s="26">
        <v>0.21210000000000001</v>
      </c>
      <c r="E30220" s="26">
        <v>0.16159999999999999</v>
      </c>
      <c r="F30220" s="26">
        <v>7.0699999999999999E-2</v>
      </c>
      <c r="G30220" s="26">
        <v>7.0699999999999999E-2</v>
      </c>
      <c r="H30220" s="26">
        <v>6.0600000000000001E-2</v>
      </c>
      <c r="I30220" s="26">
        <v>2.0199999999999999E-2</v>
      </c>
      <c r="J30220" s="26">
        <v>5.0500000000000003E-2</v>
      </c>
      <c r="K30220" s="26">
        <v>2.0199999999999999E-2</v>
      </c>
      <c r="L30220" s="26">
        <v>2.0199999999999999E-2</v>
      </c>
      <c r="M30220" s="26">
        <v>1.01E-2</v>
      </c>
      <c r="N30220" s="26">
        <v>3.0300000000000001E-2</v>
      </c>
      <c r="R30220">
        <v>99</v>
      </c>
    </row>
    <row r="30221" spans="1:18" x14ac:dyDescent="0.35">
      <c r="A30221" t="s">
        <v>228</v>
      </c>
      <c r="B30221" t="s">
        <v>239</v>
      </c>
      <c r="C30221" s="26">
        <v>0.40229999999999999</v>
      </c>
      <c r="D30221" s="26">
        <v>0.32040000000000002</v>
      </c>
      <c r="E30221" s="26">
        <v>9.8900000000000002E-2</v>
      </c>
      <c r="F30221" s="26">
        <v>0.1002</v>
      </c>
      <c r="G30221" s="26">
        <v>5.2999999999999999E-2</v>
      </c>
      <c r="H30221" s="26">
        <v>7.1300000000000002E-2</v>
      </c>
      <c r="I30221" s="26">
        <v>3.5499999999999997E-2</v>
      </c>
      <c r="J30221" s="26">
        <v>4.36E-2</v>
      </c>
      <c r="K30221" s="26">
        <v>2.58E-2</v>
      </c>
      <c r="L30221" s="26">
        <v>3.6200000000000003E-2</v>
      </c>
      <c r="M30221" s="26">
        <v>6.3799999999999996E-2</v>
      </c>
      <c r="N30221" s="26">
        <v>4.2299999999999997E-2</v>
      </c>
      <c r="O30221" s="26">
        <v>2.3199999999999998E-2</v>
      </c>
      <c r="P30221" s="26">
        <v>2.07E-2</v>
      </c>
      <c r="Q30221" s="26">
        <v>8.0000000000000002E-3</v>
      </c>
      <c r="R30221">
        <v>330</v>
      </c>
    </row>
    <row r="30222" spans="1:18" x14ac:dyDescent="0.35">
      <c r="A30222" t="s">
        <v>228</v>
      </c>
      <c r="B30222" t="s">
        <v>238</v>
      </c>
      <c r="C30222" s="26">
        <v>0.35799999999999998</v>
      </c>
      <c r="D30222" s="26">
        <v>0.3579</v>
      </c>
      <c r="E30222" s="26">
        <v>0.1167</v>
      </c>
      <c r="F30222" s="26">
        <v>8.7099999999999997E-2</v>
      </c>
      <c r="G30222" s="26">
        <v>6.9800000000000001E-2</v>
      </c>
      <c r="H30222" s="26">
        <v>6.6900000000000001E-2</v>
      </c>
      <c r="I30222" s="26">
        <v>7.4700000000000003E-2</v>
      </c>
      <c r="J30222" s="26">
        <v>5.57E-2</v>
      </c>
      <c r="K30222" s="26">
        <v>3.73E-2</v>
      </c>
      <c r="L30222" s="26">
        <v>5.8000000000000003E-2</v>
      </c>
      <c r="M30222" s="26">
        <v>3.2300000000000002E-2</v>
      </c>
      <c r="N30222" s="26">
        <v>2.7E-2</v>
      </c>
      <c r="O30222" s="26">
        <v>1.7100000000000001E-2</v>
      </c>
      <c r="P30222" s="26">
        <v>8.2000000000000007E-3</v>
      </c>
      <c r="Q30222" s="26">
        <v>3.7000000000000002E-3</v>
      </c>
      <c r="R30222">
        <v>702</v>
      </c>
    </row>
    <row r="30223" spans="1:18" x14ac:dyDescent="0.35">
      <c r="A30223" t="s">
        <v>229</v>
      </c>
      <c r="B30223" t="s">
        <v>239</v>
      </c>
      <c r="C30223" s="26">
        <v>0.48680000000000001</v>
      </c>
      <c r="D30223" s="26">
        <v>0.23619999999999999</v>
      </c>
      <c r="E30223" s="26">
        <v>0.1009</v>
      </c>
      <c r="F30223" s="26">
        <v>7.2599999999999998E-2</v>
      </c>
      <c r="G30223" s="26">
        <v>4.8099999999999997E-2</v>
      </c>
      <c r="H30223" s="26">
        <v>6.9599999999999995E-2</v>
      </c>
      <c r="I30223" s="26">
        <v>2.3099999999999999E-2</v>
      </c>
      <c r="J30223" s="26">
        <v>9.2999999999999992E-3</v>
      </c>
      <c r="K30223" s="26">
        <v>4.82E-2</v>
      </c>
      <c r="L30223" s="26">
        <v>6.7000000000000002E-3</v>
      </c>
      <c r="M30223" s="26">
        <v>1.6199999999999999E-2</v>
      </c>
      <c r="N30223" s="26">
        <v>2.2800000000000001E-2</v>
      </c>
      <c r="O30223" s="26">
        <v>1.49E-2</v>
      </c>
      <c r="P30223" s="26">
        <v>1.2500000000000001E-2</v>
      </c>
      <c r="Q30223" s="26">
        <v>1.09E-2</v>
      </c>
      <c r="R30223">
        <v>332</v>
      </c>
    </row>
    <row r="30224" spans="1:18" x14ac:dyDescent="0.35">
      <c r="A30224" t="s">
        <v>229</v>
      </c>
      <c r="B30224" t="s">
        <v>238</v>
      </c>
      <c r="C30224" s="26">
        <v>0.4405</v>
      </c>
      <c r="D30224" s="26">
        <v>0.27050000000000002</v>
      </c>
      <c r="E30224" s="26">
        <v>0.115</v>
      </c>
      <c r="F30224" s="26">
        <v>0.1082</v>
      </c>
      <c r="G30224" s="26">
        <v>9.1800000000000007E-2</v>
      </c>
      <c r="H30224" s="26">
        <v>6.2600000000000003E-2</v>
      </c>
      <c r="I30224" s="26">
        <v>5.2699999999999997E-2</v>
      </c>
      <c r="J30224" s="26">
        <v>4.2299999999999997E-2</v>
      </c>
      <c r="K30224" s="26">
        <v>2.35E-2</v>
      </c>
      <c r="L30224" s="26">
        <v>3.1399999999999997E-2</v>
      </c>
      <c r="M30224" s="26">
        <v>3.61E-2</v>
      </c>
      <c r="N30224" s="26">
        <v>2.18E-2</v>
      </c>
      <c r="O30224" s="26">
        <v>1.44E-2</v>
      </c>
      <c r="P30224" s="26">
        <v>4.8999999999999998E-3</v>
      </c>
      <c r="Q30224" s="26">
        <v>7.6E-3</v>
      </c>
      <c r="R30224">
        <v>563</v>
      </c>
    </row>
    <row r="30225" spans="1:18" x14ac:dyDescent="0.35">
      <c r="A30225" t="s">
        <v>230</v>
      </c>
      <c r="B30225" t="s">
        <v>239</v>
      </c>
      <c r="C30225" s="26">
        <v>0.50519999999999998</v>
      </c>
      <c r="D30225" s="26">
        <v>0.27339999999999998</v>
      </c>
      <c r="E30225" s="26">
        <v>9.7199999999999995E-2</v>
      </c>
      <c r="F30225" s="26">
        <v>6.4199999999999993E-2</v>
      </c>
      <c r="G30225" s="26">
        <v>0.1074</v>
      </c>
      <c r="H30225" s="26">
        <v>5.8500000000000003E-2</v>
      </c>
      <c r="I30225" s="26">
        <v>2.7400000000000001E-2</v>
      </c>
      <c r="J30225" s="26">
        <v>2.4400000000000002E-2</v>
      </c>
      <c r="K30225" s="26">
        <v>9.9000000000000008E-3</v>
      </c>
      <c r="L30225" s="26">
        <v>1.24E-2</v>
      </c>
      <c r="M30225" s="26">
        <v>5.8099999999999999E-2</v>
      </c>
      <c r="N30225" s="26">
        <v>5.2200000000000003E-2</v>
      </c>
      <c r="O30225" s="26">
        <v>6.1400000000000003E-2</v>
      </c>
      <c r="P30225" s="26">
        <v>1.2E-2</v>
      </c>
      <c r="Q30225" s="26">
        <v>2.7000000000000001E-3</v>
      </c>
      <c r="R30225">
        <v>211</v>
      </c>
    </row>
    <row r="30226" spans="1:18" x14ac:dyDescent="0.35">
      <c r="A30226" t="s">
        <v>230</v>
      </c>
      <c r="B30226" t="s">
        <v>238</v>
      </c>
      <c r="C30226" s="26">
        <v>0.33650000000000002</v>
      </c>
      <c r="D30226" s="26">
        <v>0.30370000000000003</v>
      </c>
      <c r="E30226" s="26">
        <v>0.2104</v>
      </c>
      <c r="F30226" s="26">
        <v>7.9899999999999999E-2</v>
      </c>
      <c r="G30226" s="26">
        <v>0.13739999999999999</v>
      </c>
      <c r="H30226" s="26">
        <v>7.7299999999999994E-2</v>
      </c>
      <c r="I30226" s="26">
        <v>3.6999999999999998E-2</v>
      </c>
      <c r="J30226" s="26">
        <v>4.4699999999999997E-2</v>
      </c>
      <c r="K30226" s="26">
        <v>3.0300000000000001E-2</v>
      </c>
      <c r="L30226" s="26">
        <v>3.4500000000000003E-2</v>
      </c>
      <c r="M30226" s="26">
        <v>4.2299999999999997E-2</v>
      </c>
      <c r="N30226" s="26">
        <v>1.6400000000000001E-2</v>
      </c>
      <c r="O30226" s="26">
        <v>8.6E-3</v>
      </c>
      <c r="P30226" s="26">
        <v>1.15E-2</v>
      </c>
      <c r="Q30226" s="26">
        <v>2.3999999999999998E-3</v>
      </c>
      <c r="R30226">
        <v>349</v>
      </c>
    </row>
    <row r="30227" spans="1:18" x14ac:dyDescent="0.35">
      <c r="A30227" t="s">
        <v>231</v>
      </c>
      <c r="B30227" t="s">
        <v>239</v>
      </c>
      <c r="C30227" s="26">
        <v>0.56140000000000001</v>
      </c>
      <c r="D30227" s="26">
        <v>0.193</v>
      </c>
      <c r="E30227" s="26">
        <v>0.21049999999999999</v>
      </c>
      <c r="F30227" s="26">
        <v>1.7500000000000002E-2</v>
      </c>
      <c r="G30227" s="26">
        <v>3.5099999999999999E-2</v>
      </c>
      <c r="J30227" s="26">
        <v>1.7500000000000002E-2</v>
      </c>
      <c r="K30227" s="26">
        <v>3.5099999999999999E-2</v>
      </c>
      <c r="N30227" s="26">
        <v>1.7500000000000002E-2</v>
      </c>
      <c r="R30227">
        <v>57</v>
      </c>
    </row>
    <row r="30228" spans="1:18" x14ac:dyDescent="0.35">
      <c r="A30228" t="s">
        <v>231</v>
      </c>
      <c r="B30228" t="s">
        <v>238</v>
      </c>
      <c r="C30228" s="26">
        <v>0.71960000000000002</v>
      </c>
      <c r="D30228" s="26">
        <v>0.14019999999999999</v>
      </c>
      <c r="E30228" s="26">
        <v>8.4099999999999994E-2</v>
      </c>
      <c r="F30228" s="26">
        <v>4.6699999999999998E-2</v>
      </c>
      <c r="G30228" s="26">
        <v>3.7400000000000003E-2</v>
      </c>
      <c r="H30228" s="26">
        <v>3.7400000000000003E-2</v>
      </c>
      <c r="I30228" s="26">
        <v>2.8000000000000001E-2</v>
      </c>
      <c r="J30228" s="26">
        <v>1.8700000000000001E-2</v>
      </c>
      <c r="K30228" s="26">
        <v>2.8000000000000001E-2</v>
      </c>
      <c r="L30228" s="26">
        <v>9.2999999999999992E-3</v>
      </c>
      <c r="M30228" s="26">
        <v>9.2999999999999992E-3</v>
      </c>
      <c r="R30228">
        <v>107</v>
      </c>
    </row>
    <row r="30229" spans="1:18" x14ac:dyDescent="0.35">
      <c r="A30229" t="s">
        <v>232</v>
      </c>
      <c r="B30229" t="s">
        <v>232</v>
      </c>
      <c r="C30229" s="26">
        <v>0.503</v>
      </c>
      <c r="D30229" s="26">
        <v>0.24610000000000001</v>
      </c>
      <c r="E30229" s="26">
        <v>0.12909999999999999</v>
      </c>
      <c r="F30229" s="26">
        <v>6.9500000000000006E-2</v>
      </c>
      <c r="G30229" s="26">
        <v>6.6600000000000006E-2</v>
      </c>
      <c r="H30229" s="26">
        <v>5.0700000000000002E-2</v>
      </c>
      <c r="I30229" s="26">
        <v>3.5900000000000001E-2</v>
      </c>
      <c r="J30229" s="26">
        <v>3.3399999999999999E-2</v>
      </c>
      <c r="K30229" s="26">
        <v>2.8799999999999999E-2</v>
      </c>
      <c r="L30229" s="26">
        <v>2.5600000000000001E-2</v>
      </c>
      <c r="M30229" s="26">
        <v>2.35E-2</v>
      </c>
      <c r="N30229" s="26">
        <v>1.9199999999999998E-2</v>
      </c>
      <c r="O30229" s="26">
        <v>0.01</v>
      </c>
      <c r="P30229" s="26">
        <v>5.1000000000000004E-3</v>
      </c>
      <c r="Q30229" s="26">
        <v>3.5000000000000001E-3</v>
      </c>
      <c r="R30229">
        <v>2812</v>
      </c>
    </row>
    <row r="30231" spans="1:18" x14ac:dyDescent="0.35">
      <c r="A30231" s="1" t="s">
        <v>2701</v>
      </c>
    </row>
    <row r="30232" spans="1:18" x14ac:dyDescent="0.35">
      <c r="A30232" t="s">
        <v>219</v>
      </c>
      <c r="B30232" t="s">
        <v>305</v>
      </c>
      <c r="C30232" t="s">
        <v>2686</v>
      </c>
      <c r="D30232" t="s">
        <v>2687</v>
      </c>
      <c r="E30232" t="s">
        <v>2688</v>
      </c>
      <c r="F30232" t="s">
        <v>2689</v>
      </c>
      <c r="G30232" t="s">
        <v>2690</v>
      </c>
      <c r="H30232" t="s">
        <v>2691</v>
      </c>
      <c r="I30232" t="s">
        <v>2692</v>
      </c>
      <c r="J30232" t="s">
        <v>2693</v>
      </c>
      <c r="K30232" t="s">
        <v>281</v>
      </c>
      <c r="L30232" t="s">
        <v>2694</v>
      </c>
      <c r="M30232" t="s">
        <v>2695</v>
      </c>
      <c r="N30232" t="s">
        <v>2696</v>
      </c>
      <c r="O30232" t="s">
        <v>2697</v>
      </c>
      <c r="P30232" t="s">
        <v>286</v>
      </c>
      <c r="Q30232" t="s">
        <v>2698</v>
      </c>
      <c r="R30232" t="s">
        <v>226</v>
      </c>
    </row>
    <row r="30233" spans="1:18" x14ac:dyDescent="0.35">
      <c r="A30233" t="s">
        <v>227</v>
      </c>
      <c r="B30233" t="s">
        <v>244</v>
      </c>
      <c r="C30233" s="26">
        <v>0.53120000000000001</v>
      </c>
      <c r="D30233" s="26">
        <v>0.16669999999999999</v>
      </c>
      <c r="E30233" s="26">
        <v>0.20830000000000001</v>
      </c>
      <c r="F30233" s="26">
        <v>5.21E-2</v>
      </c>
      <c r="G30233" s="26">
        <v>6.25E-2</v>
      </c>
      <c r="H30233" s="26">
        <v>4.1700000000000001E-2</v>
      </c>
      <c r="I30233" s="26">
        <v>1.04E-2</v>
      </c>
      <c r="J30233" s="26">
        <v>4.1700000000000001E-2</v>
      </c>
      <c r="K30233" s="26">
        <v>1.04E-2</v>
      </c>
      <c r="L30233" s="26">
        <v>3.1199999999999999E-2</v>
      </c>
      <c r="M30233" s="26">
        <v>1.04E-2</v>
      </c>
      <c r="N30233" s="26">
        <v>3.1199999999999999E-2</v>
      </c>
      <c r="R30233">
        <v>96</v>
      </c>
    </row>
    <row r="30234" spans="1:18" x14ac:dyDescent="0.35">
      <c r="A30234" t="s">
        <v>227</v>
      </c>
      <c r="B30234" t="s">
        <v>245</v>
      </c>
      <c r="C30234" s="26">
        <v>0.58489999999999998</v>
      </c>
      <c r="D30234" s="26">
        <v>0.26419999999999999</v>
      </c>
      <c r="E30234" s="26">
        <v>7.5499999999999998E-2</v>
      </c>
      <c r="F30234" s="26">
        <v>3.7699999999999997E-2</v>
      </c>
      <c r="G30234" s="26">
        <v>5.6599999999999998E-2</v>
      </c>
      <c r="H30234" s="26">
        <v>3.7699999999999997E-2</v>
      </c>
      <c r="I30234" s="26">
        <v>1.89E-2</v>
      </c>
      <c r="J30234" s="26">
        <v>1.89E-2</v>
      </c>
      <c r="K30234" s="26">
        <v>3.7699999999999997E-2</v>
      </c>
      <c r="R30234">
        <v>53</v>
      </c>
    </row>
    <row r="30235" spans="1:18" x14ac:dyDescent="0.35">
      <c r="A30235" s="27" t="s">
        <v>227</v>
      </c>
      <c r="B30235" s="27" t="s">
        <v>246</v>
      </c>
      <c r="C30235" s="28">
        <v>0.58330000000000004</v>
      </c>
      <c r="D30235" s="28">
        <v>0.33329999999999999</v>
      </c>
      <c r="E30235" s="28">
        <v>8.3299999999999999E-2</v>
      </c>
      <c r="F30235" s="29"/>
      <c r="G30235" s="29"/>
      <c r="H30235" s="29"/>
      <c r="I30235" s="29"/>
      <c r="J30235" s="29"/>
      <c r="K30235" s="29"/>
      <c r="L30235" s="28">
        <v>8.3299999999999999E-2</v>
      </c>
      <c r="M30235" s="29"/>
      <c r="N30235" s="29"/>
      <c r="O30235" s="29"/>
      <c r="P30235" s="29"/>
      <c r="Q30235" s="29"/>
      <c r="R30235" s="29" t="s">
        <v>342</v>
      </c>
    </row>
    <row r="30236" spans="1:18" x14ac:dyDescent="0.35">
      <c r="A30236" t="s">
        <v>228</v>
      </c>
      <c r="B30236" t="s">
        <v>244</v>
      </c>
      <c r="C30236" s="26">
        <v>0.372</v>
      </c>
      <c r="D30236" s="26">
        <v>0.34200000000000003</v>
      </c>
      <c r="E30236" s="26">
        <v>0.1178</v>
      </c>
      <c r="F30236" s="26">
        <v>8.8400000000000006E-2</v>
      </c>
      <c r="G30236" s="26">
        <v>5.5500000000000001E-2</v>
      </c>
      <c r="H30236" s="26">
        <v>6.7900000000000002E-2</v>
      </c>
      <c r="I30236" s="26">
        <v>6.25E-2</v>
      </c>
      <c r="J30236" s="26">
        <v>4.9200000000000001E-2</v>
      </c>
      <c r="K30236" s="26">
        <v>3.4200000000000001E-2</v>
      </c>
      <c r="L30236" s="26">
        <v>5.33E-2</v>
      </c>
      <c r="M30236" s="26">
        <v>3.6299999999999999E-2</v>
      </c>
      <c r="N30236" s="26">
        <v>2.5499999999999998E-2</v>
      </c>
      <c r="O30236" s="26">
        <v>1.6899999999999998E-2</v>
      </c>
      <c r="P30236" s="26">
        <v>1.3100000000000001E-2</v>
      </c>
      <c r="Q30236" s="26">
        <v>7.0000000000000001E-3</v>
      </c>
      <c r="R30236">
        <v>638</v>
      </c>
    </row>
    <row r="30237" spans="1:18" x14ac:dyDescent="0.35">
      <c r="A30237" t="s">
        <v>228</v>
      </c>
      <c r="B30237" t="s">
        <v>245</v>
      </c>
      <c r="C30237" s="26">
        <v>0.35549999999999998</v>
      </c>
      <c r="D30237" s="26">
        <v>0.3715</v>
      </c>
      <c r="E30237" s="26">
        <v>0.10589999999999999</v>
      </c>
      <c r="F30237" s="26">
        <v>7.1999999999999995E-2</v>
      </c>
      <c r="G30237" s="26">
        <v>8.0500000000000002E-2</v>
      </c>
      <c r="H30237" s="26">
        <v>5.5300000000000002E-2</v>
      </c>
      <c r="I30237" s="26">
        <v>6.6299999999999998E-2</v>
      </c>
      <c r="J30237" s="26">
        <v>5.8500000000000003E-2</v>
      </c>
      <c r="K30237" s="26">
        <v>4.3900000000000002E-2</v>
      </c>
      <c r="L30237" s="26">
        <v>5.9400000000000001E-2</v>
      </c>
      <c r="M30237" s="26">
        <v>5.2400000000000002E-2</v>
      </c>
      <c r="N30237" s="26">
        <v>3.0200000000000001E-2</v>
      </c>
      <c r="O30237" s="26">
        <v>1.9300000000000001E-2</v>
      </c>
      <c r="P30237" s="26">
        <v>8.0000000000000002E-3</v>
      </c>
      <c r="R30237">
        <v>327</v>
      </c>
    </row>
    <row r="30238" spans="1:18" x14ac:dyDescent="0.35">
      <c r="A30238" t="s">
        <v>228</v>
      </c>
      <c r="B30238" t="s">
        <v>246</v>
      </c>
      <c r="C30238" s="26">
        <v>0.36859999999999998</v>
      </c>
      <c r="D30238" s="26">
        <v>0.34100000000000003</v>
      </c>
      <c r="E30238" s="26">
        <v>9.5500000000000002E-2</v>
      </c>
      <c r="F30238" s="26">
        <v>0.17560000000000001</v>
      </c>
      <c r="G30238" s="26">
        <v>0.1123</v>
      </c>
      <c r="H30238" s="26">
        <v>0.1172</v>
      </c>
      <c r="I30238" s="26">
        <v>0.1076</v>
      </c>
      <c r="J30238" s="26">
        <v>7.0800000000000002E-2</v>
      </c>
      <c r="K30238" s="26">
        <v>6.0000000000000001E-3</v>
      </c>
      <c r="L30238" s="26">
        <v>3.1099999999999999E-2</v>
      </c>
      <c r="M30238" s="26">
        <v>8.0000000000000002E-3</v>
      </c>
      <c r="N30238" s="26">
        <v>7.3499999999999996E-2</v>
      </c>
      <c r="O30238" s="26">
        <v>2.92E-2</v>
      </c>
      <c r="R30238">
        <v>67</v>
      </c>
    </row>
    <row r="30239" spans="1:18" x14ac:dyDescent="0.35">
      <c r="A30239" t="s">
        <v>229</v>
      </c>
      <c r="B30239" t="s">
        <v>244</v>
      </c>
      <c r="C30239" s="26">
        <v>0.46650000000000003</v>
      </c>
      <c r="D30239" s="26">
        <v>0.2475</v>
      </c>
      <c r="E30239" s="26">
        <v>0.1108</v>
      </c>
      <c r="F30239" s="26">
        <v>0.1177</v>
      </c>
      <c r="G30239" s="26">
        <v>7.6799999999999993E-2</v>
      </c>
      <c r="H30239" s="26">
        <v>7.5499999999999998E-2</v>
      </c>
      <c r="I30239" s="26">
        <v>5.0099999999999999E-2</v>
      </c>
      <c r="J30239" s="26">
        <v>3.9899999999999998E-2</v>
      </c>
      <c r="K30239" s="26">
        <v>2.4500000000000001E-2</v>
      </c>
      <c r="L30239" s="26">
        <v>3.3700000000000001E-2</v>
      </c>
      <c r="M30239" s="26">
        <v>3.27E-2</v>
      </c>
      <c r="N30239" s="26">
        <v>2.0500000000000001E-2</v>
      </c>
      <c r="O30239" s="26">
        <v>1.03E-2</v>
      </c>
      <c r="P30239" s="26">
        <v>9.9000000000000008E-3</v>
      </c>
      <c r="Q30239" s="26">
        <v>7.1000000000000004E-3</v>
      </c>
      <c r="R30239">
        <v>557</v>
      </c>
    </row>
    <row r="30240" spans="1:18" x14ac:dyDescent="0.35">
      <c r="A30240" t="s">
        <v>229</v>
      </c>
      <c r="B30240" t="s">
        <v>245</v>
      </c>
      <c r="C30240" s="26">
        <v>0.4264</v>
      </c>
      <c r="D30240" s="26">
        <v>0.31640000000000001</v>
      </c>
      <c r="E30240" s="26">
        <v>0.1115</v>
      </c>
      <c r="F30240" s="26">
        <v>5.74E-2</v>
      </c>
      <c r="G30240" s="26">
        <v>7.0400000000000004E-2</v>
      </c>
      <c r="H30240" s="26">
        <v>3.78E-2</v>
      </c>
      <c r="I30240" s="26">
        <v>2.8400000000000002E-2</v>
      </c>
      <c r="J30240" s="26">
        <v>2.47E-2</v>
      </c>
      <c r="K30240" s="26">
        <v>4.9099999999999998E-2</v>
      </c>
      <c r="L30240" s="26">
        <v>6.4000000000000003E-3</v>
      </c>
      <c r="M30240" s="26">
        <v>2.1299999999999999E-2</v>
      </c>
      <c r="N30240" s="26">
        <v>1.8800000000000001E-2</v>
      </c>
      <c r="O30240" s="26">
        <v>8.6E-3</v>
      </c>
      <c r="Q30240" s="26">
        <v>1.38E-2</v>
      </c>
      <c r="R30240">
        <v>293</v>
      </c>
    </row>
    <row r="30241" spans="1:18" x14ac:dyDescent="0.35">
      <c r="A30241" t="s">
        <v>229</v>
      </c>
      <c r="B30241" t="s">
        <v>246</v>
      </c>
      <c r="C30241" s="26">
        <v>0.39100000000000001</v>
      </c>
      <c r="D30241" s="26">
        <v>0.18690000000000001</v>
      </c>
      <c r="E30241" s="26">
        <v>0.1178</v>
      </c>
      <c r="F30241" s="26">
        <v>5.6500000000000002E-2</v>
      </c>
      <c r="G30241" s="26">
        <v>0.1802</v>
      </c>
      <c r="H30241" s="26">
        <v>4.7100000000000003E-2</v>
      </c>
      <c r="I30241" s="26">
        <v>5.96E-2</v>
      </c>
      <c r="K30241" s="26">
        <v>6.1999999999999998E-3</v>
      </c>
      <c r="L30241" s="26">
        <v>3.2000000000000002E-3</v>
      </c>
      <c r="M30241" s="26">
        <v>5.5100000000000003E-2</v>
      </c>
      <c r="N30241" s="26">
        <v>5.8200000000000002E-2</v>
      </c>
      <c r="O30241" s="26">
        <v>9.74E-2</v>
      </c>
      <c r="R30241">
        <v>45</v>
      </c>
    </row>
    <row r="30242" spans="1:18" x14ac:dyDescent="0.35">
      <c r="A30242" t="s">
        <v>230</v>
      </c>
      <c r="B30242" t="s">
        <v>244</v>
      </c>
      <c r="C30242" s="26">
        <v>0.36420000000000002</v>
      </c>
      <c r="D30242" s="26">
        <v>0.28539999999999999</v>
      </c>
      <c r="E30242" s="26">
        <v>0.20830000000000001</v>
      </c>
      <c r="F30242" s="26">
        <v>7.6899999999999996E-2</v>
      </c>
      <c r="G30242" s="26">
        <v>0.13850000000000001</v>
      </c>
      <c r="H30242" s="26">
        <v>7.22E-2</v>
      </c>
      <c r="I30242" s="26">
        <v>4.6399999999999997E-2</v>
      </c>
      <c r="J30242" s="26">
        <v>5.2499999999999998E-2</v>
      </c>
      <c r="K30242" s="26">
        <v>2.2800000000000001E-2</v>
      </c>
      <c r="L30242" s="26">
        <v>3.2899999999999999E-2</v>
      </c>
      <c r="M30242" s="26">
        <v>5.1499999999999997E-2</v>
      </c>
      <c r="N30242" s="26">
        <v>3.3000000000000002E-2</v>
      </c>
      <c r="O30242" s="26">
        <v>3.3000000000000002E-2</v>
      </c>
      <c r="P30242" s="26">
        <v>1.43E-2</v>
      </c>
      <c r="Q30242" s="26">
        <v>2.8999999999999998E-3</v>
      </c>
      <c r="R30242">
        <v>370</v>
      </c>
    </row>
    <row r="30243" spans="1:18" x14ac:dyDescent="0.35">
      <c r="A30243" t="s">
        <v>230</v>
      </c>
      <c r="B30243" t="s">
        <v>245</v>
      </c>
      <c r="C30243" s="26">
        <v>0.41949999999999998</v>
      </c>
      <c r="D30243" s="26">
        <v>0.31069999999999998</v>
      </c>
      <c r="E30243" s="26">
        <v>0.1032</v>
      </c>
      <c r="F30243" s="26">
        <v>8.3599999999999994E-2</v>
      </c>
      <c r="G30243" s="26">
        <v>0.12429999999999999</v>
      </c>
      <c r="H30243" s="26">
        <v>8.2500000000000004E-2</v>
      </c>
      <c r="I30243" s="26">
        <v>6.6E-3</v>
      </c>
      <c r="J30243" s="26">
        <v>7.6E-3</v>
      </c>
      <c r="K30243" s="26">
        <v>3.2199999999999999E-2</v>
      </c>
      <c r="L30243" s="26">
        <v>1.8499999999999999E-2</v>
      </c>
      <c r="M30243" s="26">
        <v>4.3200000000000002E-2</v>
      </c>
      <c r="N30243" s="26">
        <v>1.5599999999999999E-2</v>
      </c>
      <c r="O30243" s="26">
        <v>5.4999999999999997E-3</v>
      </c>
      <c r="P30243" s="26">
        <v>6.8999999999999999E-3</v>
      </c>
      <c r="Q30243" s="26">
        <v>1.1000000000000001E-3</v>
      </c>
      <c r="R30243">
        <v>161</v>
      </c>
    </row>
    <row r="30244" spans="1:18" x14ac:dyDescent="0.35">
      <c r="A30244" s="27" t="s">
        <v>230</v>
      </c>
      <c r="B30244" s="27" t="s">
        <v>246</v>
      </c>
      <c r="C30244" s="28">
        <v>0.54559999999999997</v>
      </c>
      <c r="D30244" s="28">
        <v>0.33800000000000002</v>
      </c>
      <c r="E30244" s="28">
        <v>0.1108</v>
      </c>
      <c r="F30244" s="28">
        <v>5.5999999999999999E-3</v>
      </c>
      <c r="G30244" s="28">
        <v>5.5999999999999999E-3</v>
      </c>
      <c r="H30244" s="28">
        <v>5.5999999999999999E-3</v>
      </c>
      <c r="I30244" s="28">
        <v>5.5999999999999999E-3</v>
      </c>
      <c r="J30244" s="28">
        <v>5.5999999999999999E-3</v>
      </c>
      <c r="K30244" s="29"/>
      <c r="L30244" s="28">
        <v>5.5999999999999999E-3</v>
      </c>
      <c r="M30244" s="28">
        <v>5.5999999999999999E-3</v>
      </c>
      <c r="N30244" s="28">
        <v>5.5999999999999999E-3</v>
      </c>
      <c r="O30244" s="28">
        <v>5.5999999999999999E-3</v>
      </c>
      <c r="P30244" s="29"/>
      <c r="Q30244" s="28">
        <v>5.5999999999999999E-3</v>
      </c>
      <c r="R30244" s="29" t="s">
        <v>329</v>
      </c>
    </row>
    <row r="30245" spans="1:18" x14ac:dyDescent="0.35">
      <c r="A30245" t="s">
        <v>231</v>
      </c>
      <c r="B30245" t="s">
        <v>244</v>
      </c>
      <c r="C30245" s="26">
        <v>0.6421</v>
      </c>
      <c r="D30245" s="26">
        <v>0.16839999999999999</v>
      </c>
      <c r="E30245" s="26">
        <v>0.1474</v>
      </c>
      <c r="F30245" s="26">
        <v>5.2600000000000001E-2</v>
      </c>
      <c r="G30245" s="26">
        <v>4.2099999999999999E-2</v>
      </c>
      <c r="H30245" s="26">
        <v>4.2099999999999999E-2</v>
      </c>
      <c r="I30245" s="26">
        <v>2.1100000000000001E-2</v>
      </c>
      <c r="J30245" s="26">
        <v>3.1600000000000003E-2</v>
      </c>
      <c r="K30245" s="26">
        <v>2.1100000000000001E-2</v>
      </c>
      <c r="L30245" s="26">
        <v>1.0500000000000001E-2</v>
      </c>
      <c r="M30245" s="26">
        <v>1.0500000000000001E-2</v>
      </c>
      <c r="N30245" s="26">
        <v>1.0500000000000001E-2</v>
      </c>
      <c r="R30245">
        <v>95</v>
      </c>
    </row>
    <row r="30246" spans="1:18" x14ac:dyDescent="0.35">
      <c r="A30246" t="s">
        <v>231</v>
      </c>
      <c r="B30246" t="s">
        <v>245</v>
      </c>
      <c r="C30246" s="26">
        <v>0.76790000000000003</v>
      </c>
      <c r="D30246" s="26">
        <v>8.9300000000000004E-2</v>
      </c>
      <c r="E30246" s="26">
        <v>7.1400000000000005E-2</v>
      </c>
      <c r="G30246" s="26">
        <v>1.7899999999999999E-2</v>
      </c>
      <c r="K30246" s="26">
        <v>5.3600000000000002E-2</v>
      </c>
      <c r="R30246">
        <v>56</v>
      </c>
    </row>
    <row r="30247" spans="1:18" x14ac:dyDescent="0.35">
      <c r="A30247" s="27" t="s">
        <v>231</v>
      </c>
      <c r="B30247" s="27" t="s">
        <v>246</v>
      </c>
      <c r="C30247" s="28">
        <v>0.3846</v>
      </c>
      <c r="D30247" s="28">
        <v>0.3846</v>
      </c>
      <c r="E30247" s="28">
        <v>0.23080000000000001</v>
      </c>
      <c r="F30247" s="28">
        <v>7.6899999999999996E-2</v>
      </c>
      <c r="G30247" s="28">
        <v>7.6899999999999996E-2</v>
      </c>
      <c r="H30247" s="29"/>
      <c r="I30247" s="28">
        <v>7.6899999999999996E-2</v>
      </c>
      <c r="J30247" s="29"/>
      <c r="K30247" s="29"/>
      <c r="L30247" s="29"/>
      <c r="M30247" s="29"/>
      <c r="N30247" s="29"/>
      <c r="O30247" s="29"/>
      <c r="P30247" s="29"/>
      <c r="Q30247" s="29"/>
      <c r="R30247" s="29" t="s">
        <v>341</v>
      </c>
    </row>
    <row r="30248" spans="1:18" x14ac:dyDescent="0.35">
      <c r="A30248" t="s">
        <v>232</v>
      </c>
      <c r="B30248" t="s">
        <v>232</v>
      </c>
      <c r="C30248" s="26">
        <v>0.503</v>
      </c>
      <c r="D30248" s="26">
        <v>0.24610000000000001</v>
      </c>
      <c r="E30248" s="26">
        <v>0.12909999999999999</v>
      </c>
      <c r="F30248" s="26">
        <v>6.9500000000000006E-2</v>
      </c>
      <c r="G30248" s="26">
        <v>6.6600000000000006E-2</v>
      </c>
      <c r="H30248" s="26">
        <v>5.0700000000000002E-2</v>
      </c>
      <c r="I30248" s="26">
        <v>3.5900000000000001E-2</v>
      </c>
      <c r="J30248" s="26">
        <v>3.3399999999999999E-2</v>
      </c>
      <c r="K30248" s="26">
        <v>2.8799999999999999E-2</v>
      </c>
      <c r="L30248" s="26">
        <v>2.5600000000000001E-2</v>
      </c>
      <c r="M30248" s="26">
        <v>2.35E-2</v>
      </c>
      <c r="N30248" s="26">
        <v>1.9199999999999998E-2</v>
      </c>
      <c r="O30248" s="26">
        <v>0.01</v>
      </c>
      <c r="P30248" s="26">
        <v>5.1000000000000004E-3</v>
      </c>
      <c r="Q30248" s="26">
        <v>3.5000000000000001E-3</v>
      </c>
      <c r="R30248">
        <v>2812</v>
      </c>
    </row>
    <row r="30250" spans="1:18" x14ac:dyDescent="0.35">
      <c r="A30250" s="1" t="s">
        <v>2702</v>
      </c>
    </row>
    <row r="30251" spans="1:18" x14ac:dyDescent="0.35">
      <c r="A30251" t="s">
        <v>219</v>
      </c>
      <c r="B30251" t="s">
        <v>305</v>
      </c>
      <c r="C30251" t="s">
        <v>2686</v>
      </c>
      <c r="D30251" t="s">
        <v>2687</v>
      </c>
      <c r="E30251" t="s">
        <v>2688</v>
      </c>
      <c r="F30251" t="s">
        <v>2689</v>
      </c>
      <c r="G30251" t="s">
        <v>2690</v>
      </c>
      <c r="H30251" t="s">
        <v>2691</v>
      </c>
      <c r="I30251" t="s">
        <v>2692</v>
      </c>
      <c r="J30251" t="s">
        <v>2693</v>
      </c>
      <c r="K30251" t="s">
        <v>281</v>
      </c>
      <c r="L30251" t="s">
        <v>2694</v>
      </c>
      <c r="M30251" t="s">
        <v>2695</v>
      </c>
      <c r="N30251" t="s">
        <v>2696</v>
      </c>
      <c r="O30251" t="s">
        <v>2697</v>
      </c>
      <c r="P30251" t="s">
        <v>286</v>
      </c>
      <c r="Q30251" t="s">
        <v>2698</v>
      </c>
      <c r="R30251" t="s">
        <v>226</v>
      </c>
    </row>
    <row r="30252" spans="1:18" x14ac:dyDescent="0.35">
      <c r="A30252" t="s">
        <v>227</v>
      </c>
      <c r="B30252" t="s">
        <v>360</v>
      </c>
      <c r="C30252" s="26">
        <v>0.56410000000000005</v>
      </c>
      <c r="D30252" s="26">
        <v>0.33329999999999999</v>
      </c>
      <c r="E30252" s="26">
        <v>2.5600000000000001E-2</v>
      </c>
      <c r="G30252" s="26">
        <v>2.5600000000000001E-2</v>
      </c>
      <c r="K30252" s="26">
        <v>2.5600000000000001E-2</v>
      </c>
      <c r="L30252" s="26">
        <v>2.5600000000000001E-2</v>
      </c>
      <c r="R30252">
        <v>39</v>
      </c>
    </row>
    <row r="30253" spans="1:18" x14ac:dyDescent="0.35">
      <c r="A30253" t="s">
        <v>227</v>
      </c>
      <c r="B30253" t="s">
        <v>361</v>
      </c>
      <c r="C30253" s="26">
        <v>0.65620000000000001</v>
      </c>
      <c r="D30253" s="26">
        <v>0.25</v>
      </c>
      <c r="E30253" s="26">
        <v>6.25E-2</v>
      </c>
      <c r="F30253" s="26">
        <v>3.1199999999999999E-2</v>
      </c>
      <c r="G30253" s="26">
        <v>6.25E-2</v>
      </c>
      <c r="H30253" s="26">
        <v>3.1199999999999999E-2</v>
      </c>
      <c r="J30253" s="26">
        <v>3.1199999999999999E-2</v>
      </c>
      <c r="R30253">
        <v>32</v>
      </c>
    </row>
    <row r="30254" spans="1:18" x14ac:dyDescent="0.35">
      <c r="A30254" t="s">
        <v>227</v>
      </c>
      <c r="B30254" t="s">
        <v>362</v>
      </c>
      <c r="C30254" s="26">
        <v>0.51349999999999996</v>
      </c>
      <c r="D30254" s="26">
        <v>8.1100000000000005E-2</v>
      </c>
      <c r="E30254" s="26">
        <v>0.27029999999999998</v>
      </c>
      <c r="F30254" s="26">
        <v>8.1100000000000005E-2</v>
      </c>
      <c r="G30254" s="26">
        <v>8.1100000000000005E-2</v>
      </c>
      <c r="H30254" s="26">
        <v>8.1100000000000005E-2</v>
      </c>
      <c r="I30254" s="26">
        <v>2.7E-2</v>
      </c>
      <c r="J30254" s="26">
        <v>8.1100000000000005E-2</v>
      </c>
      <c r="K30254" s="26">
        <v>2.7E-2</v>
      </c>
      <c r="L30254" s="26">
        <v>8.1100000000000005E-2</v>
      </c>
      <c r="M30254" s="26">
        <v>2.7E-2</v>
      </c>
      <c r="N30254" s="26">
        <v>5.4100000000000002E-2</v>
      </c>
      <c r="R30254">
        <v>37</v>
      </c>
    </row>
    <row r="30255" spans="1:18" x14ac:dyDescent="0.35">
      <c r="A30255" t="s">
        <v>227</v>
      </c>
      <c r="B30255" t="s">
        <v>363</v>
      </c>
      <c r="C30255" s="26">
        <v>0.55559999999999998</v>
      </c>
      <c r="D30255" s="26">
        <v>0.2</v>
      </c>
      <c r="E30255" s="26">
        <v>0.2</v>
      </c>
      <c r="F30255" s="26">
        <v>2.2200000000000001E-2</v>
      </c>
      <c r="G30255" s="26">
        <v>4.4400000000000002E-2</v>
      </c>
      <c r="J30255" s="26">
        <v>2.2200000000000001E-2</v>
      </c>
      <c r="K30255" s="26">
        <v>2.2200000000000001E-2</v>
      </c>
      <c r="N30255" s="26">
        <v>2.2200000000000001E-2</v>
      </c>
      <c r="R30255">
        <v>45</v>
      </c>
    </row>
    <row r="30256" spans="1:18" x14ac:dyDescent="0.35">
      <c r="A30256" t="s">
        <v>228</v>
      </c>
      <c r="B30256" t="s">
        <v>360</v>
      </c>
      <c r="C30256" s="26">
        <v>0.28299999999999997</v>
      </c>
      <c r="D30256" s="26">
        <v>0.44600000000000001</v>
      </c>
      <c r="E30256" s="26">
        <v>3.4299999999999997E-2</v>
      </c>
      <c r="F30256" s="26">
        <v>9.2700000000000005E-2</v>
      </c>
      <c r="G30256" s="26">
        <v>8.0600000000000005E-2</v>
      </c>
      <c r="H30256" s="26">
        <v>2.9600000000000001E-2</v>
      </c>
      <c r="I30256" s="26">
        <v>7.1599999999999997E-2</v>
      </c>
      <c r="J30256" s="26">
        <v>4.2900000000000001E-2</v>
      </c>
      <c r="K30256" s="26">
        <v>4.5499999999999999E-2</v>
      </c>
      <c r="L30256" s="26">
        <v>4.5400000000000003E-2</v>
      </c>
      <c r="M30256" s="26">
        <v>7.4499999999999997E-2</v>
      </c>
      <c r="N30256" s="26">
        <v>5.2999999999999999E-2</v>
      </c>
      <c r="O30256" s="26">
        <v>4.1799999999999997E-2</v>
      </c>
      <c r="P30256" s="26">
        <v>9.4000000000000004E-3</v>
      </c>
      <c r="Q30256" s="26">
        <v>7.6E-3</v>
      </c>
      <c r="R30256">
        <v>258</v>
      </c>
    </row>
    <row r="30257" spans="1:18" x14ac:dyDescent="0.35">
      <c r="A30257" t="s">
        <v>228</v>
      </c>
      <c r="B30257" t="s">
        <v>361</v>
      </c>
      <c r="C30257" s="26">
        <v>0.41449999999999998</v>
      </c>
      <c r="D30257" s="26">
        <v>0.29499999999999998</v>
      </c>
      <c r="E30257" s="26">
        <v>0.1263</v>
      </c>
      <c r="F30257" s="26">
        <v>8.8400000000000006E-2</v>
      </c>
      <c r="G30257" s="26">
        <v>8.5500000000000007E-2</v>
      </c>
      <c r="H30257" s="26">
        <v>8.8900000000000007E-2</v>
      </c>
      <c r="I30257" s="26">
        <v>8.9800000000000005E-2</v>
      </c>
      <c r="J30257" s="26">
        <v>6.9699999999999998E-2</v>
      </c>
      <c r="K30257" s="26">
        <v>1.7299999999999999E-2</v>
      </c>
      <c r="L30257" s="26">
        <v>7.5700000000000003E-2</v>
      </c>
      <c r="M30257" s="26">
        <v>2.3599999999999999E-2</v>
      </c>
      <c r="N30257" s="26">
        <v>2.5499999999999998E-2</v>
      </c>
      <c r="O30257" s="26">
        <v>1.9E-2</v>
      </c>
      <c r="P30257" s="26">
        <v>1.38E-2</v>
      </c>
      <c r="Q30257" s="26">
        <v>5.7000000000000002E-3</v>
      </c>
      <c r="R30257">
        <v>193</v>
      </c>
    </row>
    <row r="30258" spans="1:18" x14ac:dyDescent="0.35">
      <c r="A30258" t="s">
        <v>228</v>
      </c>
      <c r="B30258" t="s">
        <v>363</v>
      </c>
      <c r="C30258" s="26">
        <v>0.33510000000000001</v>
      </c>
      <c r="D30258" s="26">
        <v>0.33229999999999998</v>
      </c>
      <c r="E30258" s="26">
        <v>0.1482</v>
      </c>
      <c r="F30258" s="26">
        <v>0.10829999999999999</v>
      </c>
      <c r="G30258" s="26">
        <v>6.6799999999999998E-2</v>
      </c>
      <c r="H30258" s="26">
        <v>8.4900000000000003E-2</v>
      </c>
      <c r="I30258" s="26">
        <v>4.4400000000000002E-2</v>
      </c>
      <c r="J30258" s="26">
        <v>3.09E-2</v>
      </c>
      <c r="K30258" s="26">
        <v>3.7999999999999999E-2</v>
      </c>
      <c r="L30258" s="26">
        <v>4.24E-2</v>
      </c>
      <c r="M30258" s="26">
        <v>2.86E-2</v>
      </c>
      <c r="N30258" s="26">
        <v>1.7899999999999999E-2</v>
      </c>
      <c r="P30258" s="26">
        <v>1.6E-2</v>
      </c>
      <c r="Q30258" s="26">
        <v>7.1999999999999998E-3</v>
      </c>
      <c r="R30258">
        <v>212</v>
      </c>
    </row>
    <row r="30259" spans="1:18" x14ac:dyDescent="0.35">
      <c r="A30259" t="s">
        <v>228</v>
      </c>
      <c r="B30259" t="s">
        <v>362</v>
      </c>
      <c r="C30259" s="26">
        <v>0.432</v>
      </c>
      <c r="D30259" s="26">
        <v>0.32840000000000003</v>
      </c>
      <c r="E30259" s="26">
        <v>0.1206</v>
      </c>
      <c r="F30259" s="26">
        <v>9.4299999999999995E-2</v>
      </c>
      <c r="G30259" s="26">
        <v>5.45E-2</v>
      </c>
      <c r="H30259" s="26">
        <v>7.8600000000000003E-2</v>
      </c>
      <c r="I30259" s="26">
        <v>6.2700000000000006E-2</v>
      </c>
      <c r="J30259" s="26">
        <v>6.7100000000000007E-2</v>
      </c>
      <c r="K30259" s="26">
        <v>3.0700000000000002E-2</v>
      </c>
      <c r="L30259" s="26">
        <v>5.6099999999999997E-2</v>
      </c>
      <c r="M30259" s="26">
        <v>4.1000000000000002E-2</v>
      </c>
      <c r="N30259" s="26">
        <v>3.1199999999999999E-2</v>
      </c>
      <c r="O30259" s="26">
        <v>1.18E-2</v>
      </c>
      <c r="P30259" s="26">
        <v>5.1999999999999998E-3</v>
      </c>
      <c r="R30259">
        <v>236</v>
      </c>
    </row>
    <row r="30260" spans="1:18" x14ac:dyDescent="0.35">
      <c r="A30260" t="s">
        <v>229</v>
      </c>
      <c r="B30260" t="s">
        <v>363</v>
      </c>
      <c r="C30260" s="26">
        <v>0.41639999999999999</v>
      </c>
      <c r="D30260" s="26">
        <v>0.29160000000000003</v>
      </c>
      <c r="E30260" s="26">
        <v>0.11</v>
      </c>
      <c r="F30260" s="26">
        <v>0.1003</v>
      </c>
      <c r="G30260" s="26">
        <v>5.5800000000000002E-2</v>
      </c>
      <c r="H30260" s="26">
        <v>6.7400000000000002E-2</v>
      </c>
      <c r="I30260" s="26">
        <v>1.14E-2</v>
      </c>
      <c r="J30260" s="26">
        <v>1.6299999999999999E-2</v>
      </c>
      <c r="K30260" s="26">
        <v>3.3700000000000001E-2</v>
      </c>
      <c r="L30260" s="26">
        <v>0.01</v>
      </c>
      <c r="M30260" s="26">
        <v>3.9699999999999999E-2</v>
      </c>
      <c r="N30260" s="26">
        <v>4.1000000000000003E-3</v>
      </c>
      <c r="O30260" s="26">
        <v>2.8299999999999999E-2</v>
      </c>
      <c r="R30260">
        <v>191</v>
      </c>
    </row>
    <row r="30261" spans="1:18" x14ac:dyDescent="0.35">
      <c r="A30261" t="s">
        <v>229</v>
      </c>
      <c r="B30261" t="s">
        <v>360</v>
      </c>
      <c r="C30261" s="26">
        <v>0.45729999999999998</v>
      </c>
      <c r="D30261" s="26">
        <v>0.2974</v>
      </c>
      <c r="E30261" s="26">
        <v>0.1061</v>
      </c>
      <c r="F30261" s="26">
        <v>3.1099999999999999E-2</v>
      </c>
      <c r="G30261" s="26">
        <v>2.41E-2</v>
      </c>
      <c r="H30261" s="26">
        <v>2.5999999999999999E-2</v>
      </c>
      <c r="I30261" s="26">
        <v>5.3600000000000002E-2</v>
      </c>
      <c r="J30261" s="26">
        <v>3.4200000000000001E-2</v>
      </c>
      <c r="K30261" s="26">
        <v>7.7299999999999994E-2</v>
      </c>
      <c r="L30261" s="26">
        <v>2.92E-2</v>
      </c>
      <c r="M30261" s="26">
        <v>4.7E-2</v>
      </c>
      <c r="N30261" s="26">
        <v>2.9700000000000001E-2</v>
      </c>
      <c r="O30261" s="26">
        <v>2.12E-2</v>
      </c>
      <c r="P30261" s="26">
        <v>4.3E-3</v>
      </c>
      <c r="Q30261" s="26">
        <v>2.6499999999999999E-2</v>
      </c>
      <c r="R30261">
        <v>164</v>
      </c>
    </row>
    <row r="30262" spans="1:18" x14ac:dyDescent="0.35">
      <c r="A30262" t="s">
        <v>229</v>
      </c>
      <c r="B30262" t="s">
        <v>361</v>
      </c>
      <c r="C30262" s="26">
        <v>0.46479999999999999</v>
      </c>
      <c r="D30262" s="26">
        <v>0.2104</v>
      </c>
      <c r="E30262" s="26">
        <v>0.13070000000000001</v>
      </c>
      <c r="F30262" s="26">
        <v>0.1303</v>
      </c>
      <c r="G30262" s="26">
        <v>0.1069</v>
      </c>
      <c r="H30262" s="26">
        <v>9.3399999999999997E-2</v>
      </c>
      <c r="I30262" s="26">
        <v>5.9499999999999997E-2</v>
      </c>
      <c r="J30262" s="26">
        <v>5.0900000000000001E-2</v>
      </c>
      <c r="K30262" s="26">
        <v>8.5000000000000006E-3</v>
      </c>
      <c r="L30262" s="26">
        <v>3.5200000000000002E-2</v>
      </c>
      <c r="M30262" s="26">
        <v>2.07E-2</v>
      </c>
      <c r="N30262" s="26">
        <v>2.64E-2</v>
      </c>
      <c r="O30262" s="26">
        <v>1.09E-2</v>
      </c>
      <c r="P30262" s="26">
        <v>1.5299999999999999E-2</v>
      </c>
      <c r="Q30262" s="26">
        <v>8.9999999999999998E-4</v>
      </c>
      <c r="R30262">
        <v>243</v>
      </c>
    </row>
    <row r="30263" spans="1:18" x14ac:dyDescent="0.35">
      <c r="A30263" t="s">
        <v>229</v>
      </c>
      <c r="B30263" t="s">
        <v>362</v>
      </c>
      <c r="C30263" s="26">
        <v>0.5242</v>
      </c>
      <c r="D30263" s="26">
        <v>0.21809999999999999</v>
      </c>
      <c r="E30263" s="26">
        <v>9.3600000000000003E-2</v>
      </c>
      <c r="F30263" s="26">
        <v>8.9399999999999993E-2</v>
      </c>
      <c r="G30263" s="26">
        <v>7.5300000000000006E-2</v>
      </c>
      <c r="H30263" s="26">
        <v>6.5600000000000006E-2</v>
      </c>
      <c r="I30263" s="26">
        <v>4.3900000000000002E-2</v>
      </c>
      <c r="J30263" s="26">
        <v>1.09E-2</v>
      </c>
      <c r="K30263" s="26">
        <v>4.02E-2</v>
      </c>
      <c r="L30263" s="26">
        <v>7.1999999999999998E-3</v>
      </c>
      <c r="M30263" s="26">
        <v>2.9499999999999998E-2</v>
      </c>
      <c r="N30263" s="26">
        <v>3.78E-2</v>
      </c>
      <c r="O30263" s="26">
        <v>6.1999999999999998E-3</v>
      </c>
      <c r="Q30263" s="26">
        <v>2.1700000000000001E-2</v>
      </c>
      <c r="R30263">
        <v>171</v>
      </c>
    </row>
    <row r="30264" spans="1:18" x14ac:dyDescent="0.35">
      <c r="A30264" t="s">
        <v>230</v>
      </c>
      <c r="B30264" t="s">
        <v>360</v>
      </c>
      <c r="C30264" s="26">
        <v>0.40460000000000002</v>
      </c>
      <c r="D30264" s="26">
        <v>0.26860000000000001</v>
      </c>
      <c r="E30264" s="26">
        <v>0.17030000000000001</v>
      </c>
      <c r="F30264" s="26">
        <v>0.1013</v>
      </c>
      <c r="G30264" s="26">
        <v>0.12</v>
      </c>
      <c r="H30264" s="26">
        <v>0.1013</v>
      </c>
      <c r="I30264" s="26">
        <v>1.35E-2</v>
      </c>
      <c r="J30264" s="26">
        <v>1.6400000000000001E-2</v>
      </c>
      <c r="K30264" s="26">
        <v>4.5999999999999999E-2</v>
      </c>
      <c r="L30264" s="26">
        <v>4.24E-2</v>
      </c>
      <c r="M30264" s="26">
        <v>8.5000000000000006E-2</v>
      </c>
      <c r="N30264" s="26">
        <v>4.9000000000000002E-2</v>
      </c>
      <c r="O30264" s="26">
        <v>3.7900000000000003E-2</v>
      </c>
      <c r="P30264" s="26">
        <v>9.7000000000000003E-3</v>
      </c>
      <c r="Q30264" s="26">
        <v>2.8999999999999998E-3</v>
      </c>
      <c r="R30264">
        <v>120</v>
      </c>
    </row>
    <row r="30265" spans="1:18" x14ac:dyDescent="0.35">
      <c r="A30265" t="s">
        <v>230</v>
      </c>
      <c r="B30265" t="s">
        <v>363</v>
      </c>
      <c r="C30265" s="26">
        <v>0.3352</v>
      </c>
      <c r="D30265" s="26">
        <v>0.25640000000000002</v>
      </c>
      <c r="E30265" s="26">
        <v>0.28520000000000001</v>
      </c>
      <c r="F30265" s="26">
        <v>0.11260000000000001</v>
      </c>
      <c r="G30265" s="26">
        <v>0.16539999999999999</v>
      </c>
      <c r="H30265" s="26">
        <v>0.13170000000000001</v>
      </c>
      <c r="I30265" s="26">
        <v>3.27E-2</v>
      </c>
      <c r="J30265" s="26">
        <v>4.4200000000000003E-2</v>
      </c>
      <c r="K30265" s="26">
        <v>1.1599999999999999E-2</v>
      </c>
      <c r="L30265" s="26">
        <v>4.5400000000000003E-2</v>
      </c>
      <c r="M30265" s="26">
        <v>7.7600000000000002E-2</v>
      </c>
      <c r="N30265" s="26">
        <v>5.6899999999999999E-2</v>
      </c>
      <c r="O30265" s="26">
        <v>3.5700000000000003E-2</v>
      </c>
      <c r="Q30265" s="26">
        <v>1.1999999999999999E-3</v>
      </c>
      <c r="R30265">
        <v>127</v>
      </c>
    </row>
    <row r="30266" spans="1:18" x14ac:dyDescent="0.35">
      <c r="A30266" t="s">
        <v>230</v>
      </c>
      <c r="B30266" t="s">
        <v>361</v>
      </c>
      <c r="C30266" s="26">
        <v>0.33789999999999998</v>
      </c>
      <c r="D30266" s="26">
        <v>0.41549999999999998</v>
      </c>
      <c r="E30266" s="26">
        <v>0.1177</v>
      </c>
      <c r="F30266" s="26">
        <v>3.27E-2</v>
      </c>
      <c r="G30266" s="26">
        <v>8.6599999999999996E-2</v>
      </c>
      <c r="H30266" s="26">
        <v>3.27E-2</v>
      </c>
      <c r="I30266" s="26">
        <v>3.2500000000000001E-2</v>
      </c>
      <c r="J30266" s="26">
        <v>2.8000000000000001E-2</v>
      </c>
      <c r="K30266" s="26">
        <v>3.5000000000000001E-3</v>
      </c>
      <c r="L30266" s="26">
        <v>1.7000000000000001E-2</v>
      </c>
      <c r="M30266" s="26">
        <v>2.8000000000000001E-2</v>
      </c>
      <c r="N30266" s="26">
        <v>2.2000000000000001E-3</v>
      </c>
      <c r="O30266" s="26">
        <v>3.2000000000000002E-3</v>
      </c>
      <c r="P30266" s="26">
        <v>3.1800000000000002E-2</v>
      </c>
      <c r="Q30266" s="26">
        <v>1.1000000000000001E-3</v>
      </c>
      <c r="R30266">
        <v>109</v>
      </c>
    </row>
    <row r="30267" spans="1:18" x14ac:dyDescent="0.35">
      <c r="A30267" t="s">
        <v>230</v>
      </c>
      <c r="B30267" t="s">
        <v>362</v>
      </c>
      <c r="C30267" s="26">
        <v>0.43580000000000002</v>
      </c>
      <c r="D30267" s="26">
        <v>0.2102</v>
      </c>
      <c r="E30267" s="26">
        <v>0.16189999999999999</v>
      </c>
      <c r="F30267" s="26">
        <v>7.8100000000000003E-2</v>
      </c>
      <c r="G30267" s="26">
        <v>0.1716</v>
      </c>
      <c r="H30267" s="26">
        <v>5.0799999999999998E-2</v>
      </c>
      <c r="I30267" s="26">
        <v>3.7600000000000001E-2</v>
      </c>
      <c r="J30267" s="26">
        <v>5.0799999999999998E-2</v>
      </c>
      <c r="K30267" s="26">
        <v>4.7600000000000003E-2</v>
      </c>
      <c r="L30267" s="26">
        <v>1.9900000000000001E-2</v>
      </c>
      <c r="M30267" s="26">
        <v>2.3800000000000002E-2</v>
      </c>
      <c r="N30267" s="26">
        <v>1.67E-2</v>
      </c>
      <c r="O30267" s="26">
        <v>3.3000000000000002E-2</v>
      </c>
      <c r="P30267" s="26">
        <v>3.5999999999999999E-3</v>
      </c>
      <c r="Q30267" s="26">
        <v>5.7000000000000002E-3</v>
      </c>
      <c r="R30267">
        <v>148</v>
      </c>
    </row>
    <row r="30268" spans="1:18" x14ac:dyDescent="0.35">
      <c r="A30268" s="27" t="s">
        <v>231</v>
      </c>
      <c r="B30268" s="27" t="s">
        <v>362</v>
      </c>
      <c r="C30268" s="28">
        <v>0.68969999999999998</v>
      </c>
      <c r="D30268" s="28">
        <v>0.1724</v>
      </c>
      <c r="E30268" s="28">
        <v>3.4500000000000003E-2</v>
      </c>
      <c r="F30268" s="28">
        <v>3.4500000000000003E-2</v>
      </c>
      <c r="G30268" s="29"/>
      <c r="H30268" s="28">
        <v>3.4500000000000003E-2</v>
      </c>
      <c r="I30268" s="29"/>
      <c r="J30268" s="29"/>
      <c r="K30268" s="28">
        <v>6.9000000000000006E-2</v>
      </c>
      <c r="L30268" s="29"/>
      <c r="M30268" s="29"/>
      <c r="N30268" s="29"/>
      <c r="O30268" s="29"/>
      <c r="P30268" s="29"/>
      <c r="Q30268" s="29"/>
      <c r="R30268" s="29" t="s">
        <v>329</v>
      </c>
    </row>
    <row r="30269" spans="1:18" x14ac:dyDescent="0.35">
      <c r="A30269" t="s">
        <v>231</v>
      </c>
      <c r="B30269" t="s">
        <v>361</v>
      </c>
      <c r="C30269" s="26">
        <v>0.66</v>
      </c>
      <c r="D30269" s="26">
        <v>0.14000000000000001</v>
      </c>
      <c r="E30269" s="26">
        <v>0.18</v>
      </c>
      <c r="F30269" s="26">
        <v>0.04</v>
      </c>
      <c r="G30269" s="26">
        <v>0.04</v>
      </c>
      <c r="H30269" s="26">
        <v>0.02</v>
      </c>
      <c r="I30269" s="26">
        <v>0.04</v>
      </c>
      <c r="J30269" s="26">
        <v>0.02</v>
      </c>
      <c r="L30269" s="26">
        <v>0.02</v>
      </c>
      <c r="M30269" s="26">
        <v>0.02</v>
      </c>
      <c r="R30269">
        <v>50</v>
      </c>
    </row>
    <row r="30270" spans="1:18" x14ac:dyDescent="0.35">
      <c r="A30270" t="s">
        <v>231</v>
      </c>
      <c r="B30270" t="s">
        <v>360</v>
      </c>
      <c r="C30270" s="26">
        <v>0.65910000000000002</v>
      </c>
      <c r="D30270" s="26">
        <v>0.15909999999999999</v>
      </c>
      <c r="E30270" s="26">
        <v>0.15909999999999999</v>
      </c>
      <c r="F30270" s="26">
        <v>2.2700000000000001E-2</v>
      </c>
      <c r="G30270" s="26">
        <v>4.5499999999999999E-2</v>
      </c>
      <c r="H30270" s="26">
        <v>2.2700000000000001E-2</v>
      </c>
      <c r="I30270" s="26">
        <v>2.2700000000000001E-2</v>
      </c>
      <c r="J30270" s="26">
        <v>2.2700000000000001E-2</v>
      </c>
      <c r="K30270" s="26">
        <v>2.2700000000000001E-2</v>
      </c>
      <c r="R30270">
        <v>44</v>
      </c>
    </row>
    <row r="30271" spans="1:18" x14ac:dyDescent="0.35">
      <c r="A30271" s="27" t="s">
        <v>231</v>
      </c>
      <c r="B30271" s="27" t="s">
        <v>363</v>
      </c>
      <c r="C30271" s="28">
        <v>0.55559999999999998</v>
      </c>
      <c r="D30271" s="28">
        <v>0.1852</v>
      </c>
      <c r="E30271" s="28">
        <v>0.14810000000000001</v>
      </c>
      <c r="F30271" s="28">
        <v>7.4099999999999999E-2</v>
      </c>
      <c r="G30271" s="28">
        <v>7.4099999999999999E-2</v>
      </c>
      <c r="H30271" s="28">
        <v>3.6999999999999998E-2</v>
      </c>
      <c r="I30271" s="29"/>
      <c r="J30271" s="28">
        <v>3.6999999999999998E-2</v>
      </c>
      <c r="K30271" s="28">
        <v>7.4099999999999999E-2</v>
      </c>
      <c r="L30271" s="29"/>
      <c r="M30271" s="29"/>
      <c r="N30271" s="28">
        <v>3.6999999999999998E-2</v>
      </c>
      <c r="O30271" s="29"/>
      <c r="P30271" s="29"/>
      <c r="Q30271" s="29"/>
      <c r="R30271" s="29" t="s">
        <v>338</v>
      </c>
    </row>
    <row r="30272" spans="1:18" x14ac:dyDescent="0.35">
      <c r="A30272" t="s">
        <v>232</v>
      </c>
      <c r="B30272" t="s">
        <v>232</v>
      </c>
      <c r="C30272" s="26">
        <v>0.503</v>
      </c>
      <c r="D30272" s="26">
        <v>0.24610000000000001</v>
      </c>
      <c r="E30272" s="26">
        <v>0.12909999999999999</v>
      </c>
      <c r="F30272" s="26">
        <v>6.9500000000000006E-2</v>
      </c>
      <c r="G30272" s="26">
        <v>6.6600000000000006E-2</v>
      </c>
      <c r="H30272" s="26">
        <v>5.0700000000000002E-2</v>
      </c>
      <c r="I30272" s="26">
        <v>3.5900000000000001E-2</v>
      </c>
      <c r="J30272" s="26">
        <v>3.3399999999999999E-2</v>
      </c>
      <c r="K30272" s="26">
        <v>2.8799999999999999E-2</v>
      </c>
      <c r="L30272" s="26">
        <v>2.5600000000000001E-2</v>
      </c>
      <c r="M30272" s="26">
        <v>2.35E-2</v>
      </c>
      <c r="N30272" s="26">
        <v>1.9199999999999998E-2</v>
      </c>
      <c r="O30272" s="26">
        <v>0.01</v>
      </c>
      <c r="P30272" s="26">
        <v>5.1000000000000004E-3</v>
      </c>
      <c r="Q30272" s="26">
        <v>3.5000000000000001E-3</v>
      </c>
      <c r="R30272">
        <v>2475</v>
      </c>
    </row>
    <row r="30274" spans="1:18" x14ac:dyDescent="0.35">
      <c r="A30274" s="1" t="s">
        <v>2703</v>
      </c>
    </row>
    <row r="30275" spans="1:18" x14ac:dyDescent="0.35">
      <c r="A30275" t="s">
        <v>219</v>
      </c>
      <c r="B30275" t="s">
        <v>305</v>
      </c>
      <c r="C30275" t="s">
        <v>2686</v>
      </c>
      <c r="D30275" t="s">
        <v>2687</v>
      </c>
      <c r="E30275" t="s">
        <v>2688</v>
      </c>
      <c r="F30275" t="s">
        <v>2689</v>
      </c>
      <c r="G30275" t="s">
        <v>2690</v>
      </c>
      <c r="H30275" t="s">
        <v>2691</v>
      </c>
      <c r="I30275" t="s">
        <v>2692</v>
      </c>
      <c r="J30275" t="s">
        <v>2693</v>
      </c>
      <c r="K30275" t="s">
        <v>281</v>
      </c>
      <c r="L30275" t="s">
        <v>2694</v>
      </c>
      <c r="M30275" t="s">
        <v>2695</v>
      </c>
      <c r="N30275" t="s">
        <v>2696</v>
      </c>
      <c r="O30275" t="s">
        <v>2697</v>
      </c>
      <c r="P30275" t="s">
        <v>286</v>
      </c>
      <c r="Q30275" t="s">
        <v>2698</v>
      </c>
      <c r="R30275" t="s">
        <v>226</v>
      </c>
    </row>
    <row r="30276" spans="1:18" x14ac:dyDescent="0.35">
      <c r="A30276" t="s">
        <v>227</v>
      </c>
      <c r="B30276" t="s">
        <v>267</v>
      </c>
      <c r="C30276" s="26">
        <v>0.47220000000000001</v>
      </c>
      <c r="D30276" s="26">
        <v>0.36109999999999998</v>
      </c>
      <c r="E30276" s="26">
        <v>8.3299999999999999E-2</v>
      </c>
      <c r="F30276" s="26">
        <v>2.7799999999999998E-2</v>
      </c>
      <c r="G30276" s="26">
        <v>5.5599999999999997E-2</v>
      </c>
      <c r="H30276" s="26">
        <v>2.7799999999999998E-2</v>
      </c>
      <c r="I30276" s="26">
        <v>2.7799999999999998E-2</v>
      </c>
      <c r="J30276" s="26">
        <v>2.7799999999999998E-2</v>
      </c>
      <c r="K30276" s="26">
        <v>2.7799999999999998E-2</v>
      </c>
      <c r="L30276" s="26">
        <v>2.7799999999999998E-2</v>
      </c>
      <c r="M30276" s="26">
        <v>2.7799999999999998E-2</v>
      </c>
      <c r="N30276" s="26">
        <v>5.5599999999999997E-2</v>
      </c>
      <c r="R30276">
        <v>36</v>
      </c>
    </row>
    <row r="30277" spans="1:18" x14ac:dyDescent="0.35">
      <c r="A30277" t="s">
        <v>227</v>
      </c>
      <c r="B30277" t="s">
        <v>266</v>
      </c>
      <c r="C30277" s="26">
        <v>0.61019999999999996</v>
      </c>
      <c r="D30277" s="26">
        <v>0.1525</v>
      </c>
      <c r="E30277" s="26">
        <v>0.1525</v>
      </c>
      <c r="F30277" s="26">
        <v>5.0799999999999998E-2</v>
      </c>
      <c r="G30277" s="26">
        <v>5.0799999999999998E-2</v>
      </c>
      <c r="H30277" s="26">
        <v>5.0799999999999998E-2</v>
      </c>
      <c r="I30277" s="26">
        <v>1.6899999999999998E-2</v>
      </c>
      <c r="J30277" s="26">
        <v>1.6899999999999998E-2</v>
      </c>
      <c r="K30277" s="26">
        <v>3.39E-2</v>
      </c>
      <c r="R30277">
        <v>59</v>
      </c>
    </row>
    <row r="30278" spans="1:18" x14ac:dyDescent="0.35">
      <c r="A30278" t="s">
        <v>227</v>
      </c>
      <c r="B30278" t="s">
        <v>265</v>
      </c>
      <c r="C30278" s="26">
        <v>0.54549999999999998</v>
      </c>
      <c r="D30278" s="26">
        <v>0.18179999999999999</v>
      </c>
      <c r="E30278" s="26">
        <v>0.19700000000000001</v>
      </c>
      <c r="F30278" s="26">
        <v>4.5499999999999999E-2</v>
      </c>
      <c r="G30278" s="26">
        <v>6.0600000000000001E-2</v>
      </c>
      <c r="H30278" s="26">
        <v>3.0300000000000001E-2</v>
      </c>
      <c r="J30278" s="26">
        <v>4.5499999999999999E-2</v>
      </c>
      <c r="L30278" s="26">
        <v>4.5499999999999999E-2</v>
      </c>
      <c r="N30278" s="26">
        <v>1.52E-2</v>
      </c>
      <c r="R30278">
        <v>66</v>
      </c>
    </row>
    <row r="30279" spans="1:18" x14ac:dyDescent="0.35">
      <c r="A30279" t="s">
        <v>228</v>
      </c>
      <c r="B30279" t="s">
        <v>267</v>
      </c>
      <c r="C30279" s="26">
        <v>0.31490000000000001</v>
      </c>
      <c r="D30279" s="26">
        <v>0.40960000000000002</v>
      </c>
      <c r="E30279" s="26">
        <v>0.15920000000000001</v>
      </c>
      <c r="F30279" s="26">
        <v>7.4099999999999999E-2</v>
      </c>
      <c r="G30279" s="26">
        <v>4.7199999999999999E-2</v>
      </c>
      <c r="H30279" s="26">
        <v>7.2300000000000003E-2</v>
      </c>
      <c r="I30279" s="26">
        <v>3.6700000000000003E-2</v>
      </c>
      <c r="J30279" s="26">
        <v>5.16E-2</v>
      </c>
      <c r="K30279" s="26">
        <v>4.2999999999999997E-2</v>
      </c>
      <c r="L30279" s="26">
        <v>3.1600000000000003E-2</v>
      </c>
      <c r="M30279" s="26">
        <v>1.3299999999999999E-2</v>
      </c>
      <c r="N30279" s="26">
        <v>6.4000000000000003E-3</v>
      </c>
      <c r="O30279" s="26">
        <v>1.1299999999999999E-2</v>
      </c>
      <c r="P30279" s="26">
        <v>1.5100000000000001E-2</v>
      </c>
      <c r="Q30279" s="26">
        <v>7.0000000000000001E-3</v>
      </c>
      <c r="R30279">
        <v>198</v>
      </c>
    </row>
    <row r="30280" spans="1:18" x14ac:dyDescent="0.35">
      <c r="A30280" t="s">
        <v>228</v>
      </c>
      <c r="B30280" t="s">
        <v>265</v>
      </c>
      <c r="C30280" s="26">
        <v>0.38619999999999999</v>
      </c>
      <c r="D30280" s="26">
        <v>0.31130000000000002</v>
      </c>
      <c r="E30280" s="26">
        <v>0.11360000000000001</v>
      </c>
      <c r="F30280" s="26">
        <v>0.10050000000000001</v>
      </c>
      <c r="G30280" s="26">
        <v>7.3200000000000001E-2</v>
      </c>
      <c r="H30280" s="26">
        <v>7.4399999999999994E-2</v>
      </c>
      <c r="I30280" s="26">
        <v>6.5000000000000002E-2</v>
      </c>
      <c r="J30280" s="26">
        <v>5.1999999999999998E-2</v>
      </c>
      <c r="K30280" s="26">
        <v>2.5100000000000001E-2</v>
      </c>
      <c r="L30280" s="26">
        <v>5.16E-2</v>
      </c>
      <c r="M30280" s="26">
        <v>4.53E-2</v>
      </c>
      <c r="N30280" s="26">
        <v>2.6599999999999999E-2</v>
      </c>
      <c r="O30280" s="26">
        <v>1.37E-2</v>
      </c>
      <c r="P30280" s="26">
        <v>1.61E-2</v>
      </c>
      <c r="Q30280" s="26">
        <v>2E-3</v>
      </c>
      <c r="R30280">
        <v>384</v>
      </c>
    </row>
    <row r="30281" spans="1:18" x14ac:dyDescent="0.35">
      <c r="A30281" s="27" t="s">
        <v>228</v>
      </c>
      <c r="B30281" s="27" t="s">
        <v>236</v>
      </c>
      <c r="C30281" s="28">
        <v>0.5</v>
      </c>
      <c r="D30281" s="29"/>
      <c r="E30281" s="29"/>
      <c r="F30281" s="28">
        <v>0.5</v>
      </c>
      <c r="G30281" s="29"/>
      <c r="H30281" s="28">
        <v>0.5</v>
      </c>
      <c r="I30281" s="29"/>
      <c r="J30281" s="29"/>
      <c r="K30281" s="29"/>
      <c r="L30281" s="29"/>
      <c r="M30281" s="29"/>
      <c r="N30281" s="29"/>
      <c r="O30281" s="29"/>
      <c r="P30281" s="29"/>
      <c r="Q30281" s="29"/>
      <c r="R30281" s="29" t="s">
        <v>314</v>
      </c>
    </row>
    <row r="30282" spans="1:18" x14ac:dyDescent="0.35">
      <c r="A30282" t="s">
        <v>228</v>
      </c>
      <c r="B30282" t="s">
        <v>266</v>
      </c>
      <c r="C30282" s="26">
        <v>0.36730000000000002</v>
      </c>
      <c r="D30282" s="26">
        <v>0.37059999999999998</v>
      </c>
      <c r="E30282" s="26">
        <v>9.5399999999999999E-2</v>
      </c>
      <c r="F30282" s="26">
        <v>7.8899999999999998E-2</v>
      </c>
      <c r="G30282" s="26">
        <v>6.83E-2</v>
      </c>
      <c r="H30282" s="26">
        <v>5.2299999999999999E-2</v>
      </c>
      <c r="I30282" s="26">
        <v>8.1600000000000006E-2</v>
      </c>
      <c r="J30282" s="26">
        <v>5.6000000000000001E-2</v>
      </c>
      <c r="K30282" s="26">
        <v>4.2200000000000001E-2</v>
      </c>
      <c r="L30282" s="26">
        <v>6.5199999999999994E-2</v>
      </c>
      <c r="M30282" s="26">
        <v>4.3400000000000001E-2</v>
      </c>
      <c r="N30282" s="26">
        <v>4.3900000000000002E-2</v>
      </c>
      <c r="O30282" s="26">
        <v>2.63E-2</v>
      </c>
      <c r="P30282" s="26">
        <v>3.8E-3</v>
      </c>
      <c r="Q30282" s="26">
        <v>6.3E-3</v>
      </c>
      <c r="R30282">
        <v>448</v>
      </c>
    </row>
    <row r="30283" spans="1:18" x14ac:dyDescent="0.35">
      <c r="A30283" t="s">
        <v>229</v>
      </c>
      <c r="B30283" t="s">
        <v>266</v>
      </c>
      <c r="C30283" s="26">
        <v>0.46239999999999998</v>
      </c>
      <c r="D30283" s="26">
        <v>0.25119999999999998</v>
      </c>
      <c r="E30283" s="26">
        <v>0.112</v>
      </c>
      <c r="F30283" s="26">
        <v>7.1199999999999999E-2</v>
      </c>
      <c r="G30283" s="26">
        <v>6.1800000000000001E-2</v>
      </c>
      <c r="H30283" s="26">
        <v>3.9100000000000003E-2</v>
      </c>
      <c r="I30283" s="26">
        <v>4.5600000000000002E-2</v>
      </c>
      <c r="J30283" s="26">
        <v>4.7100000000000003E-2</v>
      </c>
      <c r="K30283" s="26">
        <v>3.3300000000000003E-2</v>
      </c>
      <c r="L30283" s="26">
        <v>8.2000000000000007E-3</v>
      </c>
      <c r="M30283" s="26">
        <v>3.4599999999999999E-2</v>
      </c>
      <c r="N30283" s="26">
        <v>4.07E-2</v>
      </c>
      <c r="O30283" s="26">
        <v>2.52E-2</v>
      </c>
      <c r="P30283" s="26">
        <v>7.6E-3</v>
      </c>
      <c r="Q30283" s="26">
        <v>1.2500000000000001E-2</v>
      </c>
      <c r="R30283">
        <v>359</v>
      </c>
    </row>
    <row r="30284" spans="1:18" x14ac:dyDescent="0.35">
      <c r="A30284" t="s">
        <v>229</v>
      </c>
      <c r="B30284" t="s">
        <v>267</v>
      </c>
      <c r="C30284" s="26">
        <v>0.3831</v>
      </c>
      <c r="D30284" s="26">
        <v>0.32690000000000002</v>
      </c>
      <c r="E30284" s="26">
        <v>0.1545</v>
      </c>
      <c r="F30284" s="26">
        <v>0.10780000000000001</v>
      </c>
      <c r="G30284" s="26">
        <v>9.9199999999999997E-2</v>
      </c>
      <c r="H30284" s="26">
        <v>6.5799999999999997E-2</v>
      </c>
      <c r="I30284" s="26">
        <v>6.4600000000000005E-2</v>
      </c>
      <c r="J30284" s="26">
        <v>4.24E-2</v>
      </c>
      <c r="K30284" s="26">
        <v>2.93E-2</v>
      </c>
      <c r="L30284" s="26">
        <v>3.7199999999999997E-2</v>
      </c>
      <c r="M30284" s="26">
        <v>3.49E-2</v>
      </c>
      <c r="N30284" s="26">
        <v>5.5999999999999999E-3</v>
      </c>
      <c r="O30284" s="26">
        <v>1.7299999999999999E-2</v>
      </c>
      <c r="Q30284" s="26">
        <v>1.5E-3</v>
      </c>
      <c r="R30284">
        <v>201</v>
      </c>
    </row>
    <row r="30285" spans="1:18" x14ac:dyDescent="0.35">
      <c r="A30285" t="s">
        <v>229</v>
      </c>
      <c r="B30285" t="s">
        <v>265</v>
      </c>
      <c r="C30285" s="26">
        <v>0.47910000000000003</v>
      </c>
      <c r="D30285" s="26">
        <v>0.2374</v>
      </c>
      <c r="E30285" s="26">
        <v>8.9599999999999999E-2</v>
      </c>
      <c r="F30285" s="26">
        <v>0.1152</v>
      </c>
      <c r="G30285" s="26">
        <v>8.5300000000000001E-2</v>
      </c>
      <c r="H30285" s="26">
        <v>8.2199999999999995E-2</v>
      </c>
      <c r="I30285" s="26">
        <v>3.5200000000000002E-2</v>
      </c>
      <c r="J30285" s="26">
        <v>2.0199999999999999E-2</v>
      </c>
      <c r="K30285" s="26">
        <v>2.7400000000000001E-2</v>
      </c>
      <c r="L30285" s="26">
        <v>3.15E-2</v>
      </c>
      <c r="M30285" s="26">
        <v>2.6499999999999999E-2</v>
      </c>
      <c r="N30285" s="26">
        <v>1.6500000000000001E-2</v>
      </c>
      <c r="O30285" s="26">
        <v>5.4000000000000003E-3</v>
      </c>
      <c r="P30285" s="26">
        <v>9.5999999999999992E-3</v>
      </c>
      <c r="Q30285" s="26">
        <v>8.8999999999999999E-3</v>
      </c>
      <c r="R30285">
        <v>335</v>
      </c>
    </row>
    <row r="30286" spans="1:18" x14ac:dyDescent="0.35">
      <c r="A30286" t="s">
        <v>230</v>
      </c>
      <c r="B30286" t="s">
        <v>267</v>
      </c>
      <c r="C30286" s="26">
        <v>0.31990000000000002</v>
      </c>
      <c r="D30286" s="26">
        <v>0.34420000000000001</v>
      </c>
      <c r="E30286" s="26">
        <v>0.14940000000000001</v>
      </c>
      <c r="F30286" s="26">
        <v>3.9300000000000002E-2</v>
      </c>
      <c r="G30286" s="26">
        <v>0.1308</v>
      </c>
      <c r="H30286" s="26">
        <v>3.5200000000000002E-2</v>
      </c>
      <c r="I30286" s="26">
        <v>3.1E-2</v>
      </c>
      <c r="J30286" s="26">
        <v>2.8199999999999999E-2</v>
      </c>
      <c r="K30286" s="26">
        <v>3.27E-2</v>
      </c>
      <c r="L30286" s="26">
        <v>3.5900000000000001E-2</v>
      </c>
      <c r="M30286" s="26">
        <v>5.9200000000000003E-2</v>
      </c>
      <c r="N30286" s="26">
        <v>3.4700000000000002E-2</v>
      </c>
      <c r="O30286" s="26">
        <v>2.5700000000000001E-2</v>
      </c>
      <c r="P30286" s="26">
        <v>2.4500000000000001E-2</v>
      </c>
      <c r="Q30286" s="26">
        <v>6.4999999999999997E-3</v>
      </c>
      <c r="R30286">
        <v>119</v>
      </c>
    </row>
    <row r="30287" spans="1:18" x14ac:dyDescent="0.35">
      <c r="A30287" t="s">
        <v>230</v>
      </c>
      <c r="B30287" t="s">
        <v>266</v>
      </c>
      <c r="C30287" s="26">
        <v>0.40960000000000002</v>
      </c>
      <c r="D30287" s="26">
        <v>0.2407</v>
      </c>
      <c r="E30287" s="26">
        <v>0.18160000000000001</v>
      </c>
      <c r="F30287" s="26">
        <v>0.1135</v>
      </c>
      <c r="G30287" s="26">
        <v>0.17610000000000001</v>
      </c>
      <c r="H30287" s="26">
        <v>0.1236</v>
      </c>
      <c r="I30287" s="26">
        <v>4.3200000000000002E-2</v>
      </c>
      <c r="J30287" s="26">
        <v>4.24E-2</v>
      </c>
      <c r="K30287" s="26">
        <v>2.5600000000000001E-2</v>
      </c>
      <c r="L30287" s="26">
        <v>2.7699999999999999E-2</v>
      </c>
      <c r="M30287" s="26">
        <v>4.9700000000000001E-2</v>
      </c>
      <c r="N30287" s="26">
        <v>3.0599999999999999E-2</v>
      </c>
      <c r="O30287" s="26">
        <v>2.2800000000000001E-2</v>
      </c>
      <c r="P30287" s="26">
        <v>0.01</v>
      </c>
      <c r="Q30287" s="26">
        <v>1.5E-3</v>
      </c>
      <c r="R30287">
        <v>232</v>
      </c>
    </row>
    <row r="30288" spans="1:18" x14ac:dyDescent="0.35">
      <c r="A30288" t="s">
        <v>230</v>
      </c>
      <c r="B30288" t="s">
        <v>265</v>
      </c>
      <c r="C30288" s="26">
        <v>0.40350000000000003</v>
      </c>
      <c r="D30288" s="26">
        <v>0.31490000000000001</v>
      </c>
      <c r="E30288" s="26">
        <v>0.18579999999999999</v>
      </c>
      <c r="F30288" s="26">
        <v>6.0900000000000003E-2</v>
      </c>
      <c r="G30288" s="26">
        <v>8.5900000000000004E-2</v>
      </c>
      <c r="H30288" s="26">
        <v>4.5900000000000003E-2</v>
      </c>
      <c r="I30288" s="26">
        <v>2.7900000000000001E-2</v>
      </c>
      <c r="J30288" s="26">
        <v>4.07E-2</v>
      </c>
      <c r="K30288" s="26">
        <v>1.84E-2</v>
      </c>
      <c r="L30288" s="26">
        <v>2.3699999999999999E-2</v>
      </c>
      <c r="M30288" s="26">
        <v>3.85E-2</v>
      </c>
      <c r="N30288" s="26">
        <v>2.0199999999999999E-2</v>
      </c>
      <c r="O30288" s="26">
        <v>2.53E-2</v>
      </c>
      <c r="P30288" s="26">
        <v>6.4000000000000003E-3</v>
      </c>
      <c r="Q30288" s="26">
        <v>1.2999999999999999E-3</v>
      </c>
      <c r="R30288">
        <v>209</v>
      </c>
    </row>
    <row r="30289" spans="1:18" x14ac:dyDescent="0.35">
      <c r="A30289" t="s">
        <v>231</v>
      </c>
      <c r="B30289" t="s">
        <v>267</v>
      </c>
      <c r="C30289" s="26">
        <v>0.76470000000000005</v>
      </c>
      <c r="D30289" s="26">
        <v>0.1176</v>
      </c>
      <c r="E30289" s="26">
        <v>5.8799999999999998E-2</v>
      </c>
      <c r="F30289" s="26">
        <v>5.8799999999999998E-2</v>
      </c>
      <c r="G30289" s="26">
        <v>2.9399999999999999E-2</v>
      </c>
      <c r="H30289" s="26">
        <v>5.8799999999999998E-2</v>
      </c>
      <c r="I30289" s="26">
        <v>2.9399999999999999E-2</v>
      </c>
      <c r="J30289" s="26">
        <v>2.9399999999999999E-2</v>
      </c>
      <c r="K30289" s="26">
        <v>2.9399999999999999E-2</v>
      </c>
      <c r="L30289" s="26">
        <v>2.9399999999999999E-2</v>
      </c>
      <c r="M30289" s="26">
        <v>2.9399999999999999E-2</v>
      </c>
      <c r="R30289">
        <v>34</v>
      </c>
    </row>
    <row r="30290" spans="1:18" x14ac:dyDescent="0.35">
      <c r="A30290" t="s">
        <v>231</v>
      </c>
      <c r="B30290" t="s">
        <v>266</v>
      </c>
      <c r="C30290" s="26">
        <v>0.6774</v>
      </c>
      <c r="D30290" s="26">
        <v>0.1452</v>
      </c>
      <c r="E30290" s="26">
        <v>9.6799999999999997E-2</v>
      </c>
      <c r="F30290" s="26">
        <v>1.61E-2</v>
      </c>
      <c r="G30290" s="26">
        <v>3.2300000000000002E-2</v>
      </c>
      <c r="H30290" s="26">
        <v>1.61E-2</v>
      </c>
      <c r="I30290" s="26">
        <v>1.61E-2</v>
      </c>
      <c r="J30290" s="26">
        <v>1.61E-2</v>
      </c>
      <c r="K30290" s="26">
        <v>4.8399999999999999E-2</v>
      </c>
      <c r="R30290">
        <v>62</v>
      </c>
    </row>
    <row r="30291" spans="1:18" x14ac:dyDescent="0.35">
      <c r="A30291" t="s">
        <v>231</v>
      </c>
      <c r="B30291" t="s">
        <v>265</v>
      </c>
      <c r="C30291" s="26">
        <v>0.60289999999999999</v>
      </c>
      <c r="D30291" s="26">
        <v>0.19120000000000001</v>
      </c>
      <c r="E30291" s="26">
        <v>0.19120000000000001</v>
      </c>
      <c r="F30291" s="26">
        <v>4.41E-2</v>
      </c>
      <c r="G30291" s="26">
        <v>4.41E-2</v>
      </c>
      <c r="H30291" s="26">
        <v>1.47E-2</v>
      </c>
      <c r="I30291" s="26">
        <v>1.47E-2</v>
      </c>
      <c r="J30291" s="26">
        <v>1.47E-2</v>
      </c>
      <c r="K30291" s="26">
        <v>1.47E-2</v>
      </c>
      <c r="N30291" s="26">
        <v>1.47E-2</v>
      </c>
      <c r="R30291">
        <v>68</v>
      </c>
    </row>
    <row r="30292" spans="1:18" x14ac:dyDescent="0.35">
      <c r="A30292" t="s">
        <v>232</v>
      </c>
      <c r="B30292" t="s">
        <v>232</v>
      </c>
      <c r="C30292" s="26">
        <v>0.503</v>
      </c>
      <c r="D30292" s="26">
        <v>0.24610000000000001</v>
      </c>
      <c r="E30292" s="26">
        <v>0.12909999999999999</v>
      </c>
      <c r="F30292" s="26">
        <v>6.9500000000000006E-2</v>
      </c>
      <c r="G30292" s="26">
        <v>6.6600000000000006E-2</v>
      </c>
      <c r="H30292" s="26">
        <v>5.0700000000000002E-2</v>
      </c>
      <c r="I30292" s="26">
        <v>3.5900000000000001E-2</v>
      </c>
      <c r="J30292" s="26">
        <v>3.3399999999999999E-2</v>
      </c>
      <c r="K30292" s="26">
        <v>2.8799999999999999E-2</v>
      </c>
      <c r="L30292" s="26">
        <v>2.5600000000000001E-2</v>
      </c>
      <c r="M30292" s="26">
        <v>2.35E-2</v>
      </c>
      <c r="N30292" s="26">
        <v>1.9199999999999998E-2</v>
      </c>
      <c r="O30292" s="26">
        <v>0.01</v>
      </c>
      <c r="P30292" s="26">
        <v>5.1000000000000004E-3</v>
      </c>
      <c r="Q30292" s="26">
        <v>3.5000000000000001E-3</v>
      </c>
      <c r="R30292">
        <v>2812</v>
      </c>
    </row>
    <row r="30294" spans="1:18" x14ac:dyDescent="0.35">
      <c r="A30294" s="1" t="s">
        <v>2704</v>
      </c>
    </row>
    <row r="30295" spans="1:18" x14ac:dyDescent="0.35">
      <c r="A30295" t="s">
        <v>219</v>
      </c>
      <c r="B30295" t="s">
        <v>305</v>
      </c>
      <c r="C30295" t="s">
        <v>2686</v>
      </c>
      <c r="D30295" t="s">
        <v>2687</v>
      </c>
      <c r="E30295" t="s">
        <v>2688</v>
      </c>
      <c r="F30295" t="s">
        <v>2689</v>
      </c>
      <c r="G30295" t="s">
        <v>2690</v>
      </c>
      <c r="H30295" t="s">
        <v>2691</v>
      </c>
      <c r="I30295" t="s">
        <v>2692</v>
      </c>
      <c r="J30295" t="s">
        <v>2693</v>
      </c>
      <c r="K30295" t="s">
        <v>281</v>
      </c>
      <c r="L30295" t="s">
        <v>2694</v>
      </c>
      <c r="M30295" t="s">
        <v>2695</v>
      </c>
      <c r="N30295" t="s">
        <v>2696</v>
      </c>
      <c r="O30295" t="s">
        <v>2697</v>
      </c>
      <c r="P30295" t="s">
        <v>286</v>
      </c>
      <c r="Q30295" t="s">
        <v>2698</v>
      </c>
      <c r="R30295" t="s">
        <v>226</v>
      </c>
    </row>
    <row r="30296" spans="1:18" x14ac:dyDescent="0.35">
      <c r="A30296" t="s">
        <v>227</v>
      </c>
      <c r="B30296" t="s">
        <v>252</v>
      </c>
      <c r="C30296" s="26">
        <v>0.5111</v>
      </c>
      <c r="D30296" s="26">
        <v>0.28889999999999999</v>
      </c>
      <c r="E30296" s="26">
        <v>6.6699999999999995E-2</v>
      </c>
      <c r="F30296" s="26">
        <v>2.2200000000000001E-2</v>
      </c>
      <c r="G30296" s="26">
        <v>4.4400000000000002E-2</v>
      </c>
      <c r="H30296" s="26">
        <v>2.2200000000000001E-2</v>
      </c>
      <c r="K30296" s="26">
        <v>4.4400000000000002E-2</v>
      </c>
      <c r="L30296" s="26">
        <v>2.2200000000000001E-2</v>
      </c>
      <c r="M30296" s="26">
        <v>2.2200000000000001E-2</v>
      </c>
      <c r="N30296" s="26">
        <v>2.2200000000000001E-2</v>
      </c>
      <c r="R30296">
        <v>45</v>
      </c>
    </row>
    <row r="30297" spans="1:18" x14ac:dyDescent="0.35">
      <c r="A30297" t="s">
        <v>227</v>
      </c>
      <c r="B30297" t="s">
        <v>253</v>
      </c>
      <c r="C30297" s="26">
        <v>0.52939999999999998</v>
      </c>
      <c r="D30297" s="26">
        <v>0.14710000000000001</v>
      </c>
      <c r="E30297" s="26">
        <v>0.29409999999999997</v>
      </c>
      <c r="F30297" s="26">
        <v>2.9399999999999999E-2</v>
      </c>
      <c r="G30297" s="26">
        <v>2.9399999999999999E-2</v>
      </c>
      <c r="H30297" s="26">
        <v>2.9399999999999999E-2</v>
      </c>
      <c r="J30297" s="26">
        <v>5.8799999999999998E-2</v>
      </c>
      <c r="L30297" s="26">
        <v>2.9399999999999999E-2</v>
      </c>
      <c r="R30297">
        <v>34</v>
      </c>
    </row>
    <row r="30298" spans="1:18" x14ac:dyDescent="0.35">
      <c r="A30298" t="s">
        <v>227</v>
      </c>
      <c r="B30298" t="s">
        <v>251</v>
      </c>
      <c r="C30298" s="26">
        <v>0.58540000000000003</v>
      </c>
      <c r="D30298" s="26">
        <v>0.1951</v>
      </c>
      <c r="E30298" s="26">
        <v>0.14630000000000001</v>
      </c>
      <c r="F30298" s="26">
        <v>6.0999999999999999E-2</v>
      </c>
      <c r="G30298" s="26">
        <v>7.3200000000000001E-2</v>
      </c>
      <c r="H30298" s="26">
        <v>4.8800000000000003E-2</v>
      </c>
      <c r="I30298" s="26">
        <v>2.4400000000000002E-2</v>
      </c>
      <c r="J30298" s="26">
        <v>3.6600000000000001E-2</v>
      </c>
      <c r="K30298" s="26">
        <v>1.2200000000000001E-2</v>
      </c>
      <c r="L30298" s="26">
        <v>2.4400000000000002E-2</v>
      </c>
      <c r="N30298" s="26">
        <v>2.4400000000000002E-2</v>
      </c>
      <c r="R30298">
        <v>82</v>
      </c>
    </row>
    <row r="30299" spans="1:18" x14ac:dyDescent="0.35">
      <c r="A30299" t="s">
        <v>228</v>
      </c>
      <c r="B30299" t="s">
        <v>252</v>
      </c>
      <c r="C30299" s="26">
        <v>0.38719999999999999</v>
      </c>
      <c r="D30299" s="26">
        <v>0.3841</v>
      </c>
      <c r="E30299" s="26">
        <v>4.5499999999999999E-2</v>
      </c>
      <c r="F30299" s="26">
        <v>5.7200000000000001E-2</v>
      </c>
      <c r="G30299" s="26">
        <v>4.9000000000000002E-2</v>
      </c>
      <c r="H30299" s="26">
        <v>5.21E-2</v>
      </c>
      <c r="I30299" s="26">
        <v>3.44E-2</v>
      </c>
      <c r="J30299" s="26">
        <v>2.9399999999999999E-2</v>
      </c>
      <c r="K30299" s="26">
        <v>7.4499999999999997E-2</v>
      </c>
      <c r="L30299" s="26">
        <v>2.2200000000000001E-2</v>
      </c>
      <c r="M30299" s="26">
        <v>5.9799999999999999E-2</v>
      </c>
      <c r="N30299" s="26">
        <v>2.92E-2</v>
      </c>
      <c r="O30299" s="26">
        <v>1.7999999999999999E-2</v>
      </c>
      <c r="P30299" s="26">
        <v>1.8200000000000001E-2</v>
      </c>
      <c r="R30299">
        <v>344</v>
      </c>
    </row>
    <row r="30300" spans="1:18" x14ac:dyDescent="0.35">
      <c r="A30300" t="s">
        <v>228</v>
      </c>
      <c r="B30300" t="s">
        <v>253</v>
      </c>
      <c r="C30300" s="26">
        <v>0.32250000000000001</v>
      </c>
      <c r="D30300" s="26">
        <v>0.31909999999999999</v>
      </c>
      <c r="E30300" s="26">
        <v>0.1416</v>
      </c>
      <c r="F30300" s="26">
        <v>0.13900000000000001</v>
      </c>
      <c r="G30300" s="26">
        <v>7.9000000000000001E-2</v>
      </c>
      <c r="H30300" s="26">
        <v>0.112</v>
      </c>
      <c r="I30300" s="26">
        <v>0.11749999999999999</v>
      </c>
      <c r="J30300" s="26">
        <v>6.59E-2</v>
      </c>
      <c r="K30300" s="26">
        <v>1.6199999999999999E-2</v>
      </c>
      <c r="L30300" s="26">
        <v>7.9699999999999993E-2</v>
      </c>
      <c r="M30300" s="26">
        <v>3.4599999999999999E-2</v>
      </c>
      <c r="N30300" s="26">
        <v>4.5699999999999998E-2</v>
      </c>
      <c r="O30300" s="26">
        <v>3.2099999999999997E-2</v>
      </c>
      <c r="Q30300" s="26">
        <v>4.1000000000000003E-3</v>
      </c>
      <c r="R30300">
        <v>222</v>
      </c>
    </row>
    <row r="30301" spans="1:18" x14ac:dyDescent="0.35">
      <c r="A30301" t="s">
        <v>228</v>
      </c>
      <c r="B30301" t="s">
        <v>251</v>
      </c>
      <c r="C30301" s="26">
        <v>0.37290000000000001</v>
      </c>
      <c r="D30301" s="26">
        <v>0.34050000000000002</v>
      </c>
      <c r="E30301" s="26">
        <v>0.14630000000000001</v>
      </c>
      <c r="F30301" s="26">
        <v>9.06E-2</v>
      </c>
      <c r="G30301" s="26">
        <v>7.2599999999999998E-2</v>
      </c>
      <c r="H30301" s="26">
        <v>5.9299999999999999E-2</v>
      </c>
      <c r="I30301" s="26">
        <v>6.6400000000000001E-2</v>
      </c>
      <c r="J30301" s="26">
        <v>6.3899999999999998E-2</v>
      </c>
      <c r="K30301" s="26">
        <v>1.6299999999999999E-2</v>
      </c>
      <c r="L30301" s="26">
        <v>6.3200000000000006E-2</v>
      </c>
      <c r="M30301" s="26">
        <v>2.6499999999999999E-2</v>
      </c>
      <c r="N30301" s="26">
        <v>2.41E-2</v>
      </c>
      <c r="O30301" s="26">
        <v>1.2699999999999999E-2</v>
      </c>
      <c r="P30301" s="26">
        <v>1.03E-2</v>
      </c>
      <c r="Q30301" s="26">
        <v>8.0000000000000002E-3</v>
      </c>
      <c r="R30301">
        <v>466</v>
      </c>
    </row>
    <row r="30302" spans="1:18" x14ac:dyDescent="0.35">
      <c r="A30302" t="s">
        <v>229</v>
      </c>
      <c r="B30302" t="s">
        <v>252</v>
      </c>
      <c r="C30302" s="26">
        <v>0.54259999999999997</v>
      </c>
      <c r="D30302" s="26">
        <v>0.27129999999999999</v>
      </c>
      <c r="E30302" s="26">
        <v>5.28E-2</v>
      </c>
      <c r="F30302" s="26">
        <v>3.1699999999999999E-2</v>
      </c>
      <c r="G30302" s="26">
        <v>2.2100000000000002E-2</v>
      </c>
      <c r="H30302" s="26">
        <v>1.6E-2</v>
      </c>
      <c r="I30302" s="26">
        <v>8.9999999999999993E-3</v>
      </c>
      <c r="J30302" s="26">
        <v>7.1000000000000004E-3</v>
      </c>
      <c r="K30302" s="26">
        <v>7.3300000000000004E-2</v>
      </c>
      <c r="L30302" s="26">
        <v>1.9E-3</v>
      </c>
      <c r="M30302" s="26">
        <v>3.1899999999999998E-2</v>
      </c>
      <c r="N30302" s="26">
        <v>3.0000000000000001E-3</v>
      </c>
      <c r="O30302" s="26">
        <v>2.8999999999999998E-3</v>
      </c>
      <c r="Q30302" s="26">
        <v>3.0000000000000001E-3</v>
      </c>
      <c r="R30302">
        <v>199</v>
      </c>
    </row>
    <row r="30303" spans="1:18" x14ac:dyDescent="0.35">
      <c r="A30303" t="s">
        <v>229</v>
      </c>
      <c r="B30303" t="s">
        <v>253</v>
      </c>
      <c r="C30303" s="26">
        <v>0.43580000000000002</v>
      </c>
      <c r="D30303" s="26">
        <v>0.23669999999999999</v>
      </c>
      <c r="E30303" s="26">
        <v>0.1182</v>
      </c>
      <c r="F30303" s="26">
        <v>0.124</v>
      </c>
      <c r="G30303" s="26">
        <v>6.6100000000000006E-2</v>
      </c>
      <c r="H30303" s="26">
        <v>7.4999999999999997E-2</v>
      </c>
      <c r="I30303" s="26">
        <v>9.35E-2</v>
      </c>
      <c r="J30303" s="26">
        <v>5.3400000000000003E-2</v>
      </c>
      <c r="K30303" s="26">
        <v>2.8299999999999999E-2</v>
      </c>
      <c r="L30303" s="26">
        <v>3.78E-2</v>
      </c>
      <c r="M30303" s="26">
        <v>3.7499999999999999E-2</v>
      </c>
      <c r="N30303" s="26">
        <v>2.1700000000000001E-2</v>
      </c>
      <c r="O30303" s="26">
        <v>3.1800000000000002E-2</v>
      </c>
      <c r="P30303" s="26">
        <v>1.6799999999999999E-2</v>
      </c>
      <c r="Q30303" s="26">
        <v>1.8499999999999999E-2</v>
      </c>
      <c r="R30303">
        <v>145</v>
      </c>
    </row>
    <row r="30304" spans="1:18" x14ac:dyDescent="0.35">
      <c r="A30304" t="s">
        <v>229</v>
      </c>
      <c r="B30304" t="s">
        <v>251</v>
      </c>
      <c r="C30304" s="26">
        <v>0.42309999999999998</v>
      </c>
      <c r="D30304" s="26">
        <v>0.26619999999999999</v>
      </c>
      <c r="E30304" s="26">
        <v>0.13150000000000001</v>
      </c>
      <c r="F30304" s="26">
        <v>0.1169</v>
      </c>
      <c r="G30304" s="26">
        <v>0.10780000000000001</v>
      </c>
      <c r="H30304" s="26">
        <v>7.9500000000000001E-2</v>
      </c>
      <c r="I30304" s="26">
        <v>4.3400000000000001E-2</v>
      </c>
      <c r="J30304" s="26">
        <v>3.7900000000000003E-2</v>
      </c>
      <c r="K30304" s="26">
        <v>1.37E-2</v>
      </c>
      <c r="L30304" s="26">
        <v>2.9899999999999999E-2</v>
      </c>
      <c r="M30304" s="26">
        <v>2.86E-2</v>
      </c>
      <c r="N30304" s="26">
        <v>2.9399999999999999E-2</v>
      </c>
      <c r="O30304" s="26">
        <v>1.34E-2</v>
      </c>
      <c r="P30304" s="26">
        <v>6.1999999999999998E-3</v>
      </c>
      <c r="Q30304" s="26">
        <v>7.1999999999999998E-3</v>
      </c>
      <c r="R30304">
        <v>551</v>
      </c>
    </row>
    <row r="30305" spans="1:18" x14ac:dyDescent="0.35">
      <c r="A30305" t="s">
        <v>230</v>
      </c>
      <c r="B30305" t="s">
        <v>252</v>
      </c>
      <c r="C30305" s="26">
        <v>0.47110000000000002</v>
      </c>
      <c r="D30305" s="26">
        <v>0.2404</v>
      </c>
      <c r="E30305" s="26">
        <v>0.1</v>
      </c>
      <c r="F30305" s="26">
        <v>6.2600000000000003E-2</v>
      </c>
      <c r="G30305" s="26">
        <v>9.7100000000000006E-2</v>
      </c>
      <c r="H30305" s="26">
        <v>6.2600000000000003E-2</v>
      </c>
      <c r="I30305" s="26">
        <v>7.7000000000000002E-3</v>
      </c>
      <c r="J30305" s="26">
        <v>6.7000000000000002E-3</v>
      </c>
      <c r="K30305" s="26">
        <v>5.1200000000000002E-2</v>
      </c>
      <c r="L30305" s="26">
        <v>1.7399999999999999E-2</v>
      </c>
      <c r="M30305" s="26">
        <v>4.1099999999999998E-2</v>
      </c>
      <c r="N30305" s="26">
        <v>1.4500000000000001E-2</v>
      </c>
      <c r="O30305" s="26">
        <v>1.01E-2</v>
      </c>
      <c r="P30305" s="26">
        <v>1.06E-2</v>
      </c>
      <c r="Q30305" s="26">
        <v>1.1000000000000001E-3</v>
      </c>
      <c r="R30305">
        <v>159</v>
      </c>
    </row>
    <row r="30306" spans="1:18" x14ac:dyDescent="0.35">
      <c r="A30306" t="s">
        <v>230</v>
      </c>
      <c r="B30306" t="s">
        <v>253</v>
      </c>
      <c r="C30306" s="26">
        <v>0.3871</v>
      </c>
      <c r="D30306" s="26">
        <v>0.28299999999999997</v>
      </c>
      <c r="E30306" s="26">
        <v>0.27179999999999999</v>
      </c>
      <c r="F30306" s="26">
        <v>6.8500000000000005E-2</v>
      </c>
      <c r="G30306" s="26">
        <v>0.16109999999999999</v>
      </c>
      <c r="H30306" s="26">
        <v>6.2300000000000001E-2</v>
      </c>
      <c r="I30306" s="26">
        <v>4.9500000000000002E-2</v>
      </c>
      <c r="J30306" s="26">
        <v>5.0999999999999997E-2</v>
      </c>
      <c r="K30306" s="26">
        <v>1.09E-2</v>
      </c>
      <c r="L30306" s="26">
        <v>2.4299999999999999E-2</v>
      </c>
      <c r="M30306" s="26">
        <v>4.7699999999999999E-2</v>
      </c>
      <c r="N30306" s="26">
        <v>1.78E-2</v>
      </c>
      <c r="O30306" s="26">
        <v>2.1499999999999998E-2</v>
      </c>
      <c r="P30306" s="26">
        <v>4.7000000000000002E-3</v>
      </c>
      <c r="Q30306" s="26">
        <v>7.6E-3</v>
      </c>
      <c r="R30306">
        <v>110</v>
      </c>
    </row>
    <row r="30307" spans="1:18" x14ac:dyDescent="0.35">
      <c r="A30307" t="s">
        <v>230</v>
      </c>
      <c r="B30307" t="s">
        <v>251</v>
      </c>
      <c r="C30307" s="26">
        <v>0.3488</v>
      </c>
      <c r="D30307" s="26">
        <v>0.32350000000000001</v>
      </c>
      <c r="E30307" s="26">
        <v>0.17899999999999999</v>
      </c>
      <c r="F30307" s="26">
        <v>8.3199999999999996E-2</v>
      </c>
      <c r="G30307" s="26">
        <v>0.13170000000000001</v>
      </c>
      <c r="H30307" s="26">
        <v>7.8899999999999998E-2</v>
      </c>
      <c r="I30307" s="26">
        <v>4.1000000000000002E-2</v>
      </c>
      <c r="J30307" s="26">
        <v>4.9099999999999998E-2</v>
      </c>
      <c r="K30307" s="26">
        <v>1.6199999999999999E-2</v>
      </c>
      <c r="L30307" s="26">
        <v>3.3799999999999997E-2</v>
      </c>
      <c r="M30307" s="26">
        <v>4.9599999999999998E-2</v>
      </c>
      <c r="N30307" s="26">
        <v>3.6200000000000003E-2</v>
      </c>
      <c r="O30307" s="26">
        <v>3.2199999999999999E-2</v>
      </c>
      <c r="P30307" s="26">
        <v>1.46E-2</v>
      </c>
      <c r="Q30307" s="26">
        <v>1.5E-3</v>
      </c>
      <c r="R30307">
        <v>291</v>
      </c>
    </row>
    <row r="30308" spans="1:18" x14ac:dyDescent="0.35">
      <c r="A30308" t="s">
        <v>231</v>
      </c>
      <c r="B30308" t="s">
        <v>252</v>
      </c>
      <c r="C30308" s="26">
        <v>0.69389999999999996</v>
      </c>
      <c r="D30308" s="26">
        <v>0.12239999999999999</v>
      </c>
      <c r="E30308" s="26">
        <v>0.10199999999999999</v>
      </c>
      <c r="K30308" s="26">
        <v>8.1600000000000006E-2</v>
      </c>
      <c r="R30308">
        <v>49</v>
      </c>
    </row>
    <row r="30309" spans="1:18" x14ac:dyDescent="0.35">
      <c r="A30309" t="s">
        <v>231</v>
      </c>
      <c r="B30309" t="s">
        <v>253</v>
      </c>
      <c r="C30309" s="26">
        <v>0.4667</v>
      </c>
      <c r="D30309" s="26">
        <v>0.26669999999999999</v>
      </c>
      <c r="E30309" s="26">
        <v>0.2</v>
      </c>
      <c r="F30309" s="26">
        <v>0.1</v>
      </c>
      <c r="G30309" s="26">
        <v>6.6699999999999995E-2</v>
      </c>
      <c r="H30309" s="26">
        <v>6.6699999999999995E-2</v>
      </c>
      <c r="I30309" s="26">
        <v>3.3300000000000003E-2</v>
      </c>
      <c r="J30309" s="26">
        <v>6.6699999999999995E-2</v>
      </c>
      <c r="N30309" s="26">
        <v>3.3300000000000003E-2</v>
      </c>
      <c r="R30309">
        <v>30</v>
      </c>
    </row>
    <row r="30310" spans="1:18" x14ac:dyDescent="0.35">
      <c r="A30310" t="s">
        <v>231</v>
      </c>
      <c r="B30310" t="s">
        <v>251</v>
      </c>
      <c r="C30310" s="26">
        <v>0.71760000000000002</v>
      </c>
      <c r="D30310" s="26">
        <v>0.14119999999999999</v>
      </c>
      <c r="E30310" s="26">
        <v>0.1176</v>
      </c>
      <c r="F30310" s="26">
        <v>3.5299999999999998E-2</v>
      </c>
      <c r="G30310" s="26">
        <v>4.7100000000000003E-2</v>
      </c>
      <c r="H30310" s="26">
        <v>2.35E-2</v>
      </c>
      <c r="I30310" s="26">
        <v>2.35E-2</v>
      </c>
      <c r="J30310" s="26">
        <v>1.18E-2</v>
      </c>
      <c r="K30310" s="26">
        <v>1.18E-2</v>
      </c>
      <c r="L30310" s="26">
        <v>1.18E-2</v>
      </c>
      <c r="M30310" s="26">
        <v>1.18E-2</v>
      </c>
      <c r="R30310">
        <v>85</v>
      </c>
    </row>
    <row r="30311" spans="1:18" x14ac:dyDescent="0.35">
      <c r="A30311" t="s">
        <v>232</v>
      </c>
      <c r="B30311" t="s">
        <v>232</v>
      </c>
      <c r="C30311" s="26">
        <v>0.503</v>
      </c>
      <c r="D30311" s="26">
        <v>0.24610000000000001</v>
      </c>
      <c r="E30311" s="26">
        <v>0.12909999999999999</v>
      </c>
      <c r="F30311" s="26">
        <v>6.9500000000000006E-2</v>
      </c>
      <c r="G30311" s="26">
        <v>6.6600000000000006E-2</v>
      </c>
      <c r="H30311" s="26">
        <v>5.0700000000000002E-2</v>
      </c>
      <c r="I30311" s="26">
        <v>3.5900000000000001E-2</v>
      </c>
      <c r="J30311" s="26">
        <v>3.3399999999999999E-2</v>
      </c>
      <c r="K30311" s="26">
        <v>2.8799999999999999E-2</v>
      </c>
      <c r="L30311" s="26">
        <v>2.5600000000000001E-2</v>
      </c>
      <c r="M30311" s="26">
        <v>2.35E-2</v>
      </c>
      <c r="N30311" s="26">
        <v>1.9199999999999998E-2</v>
      </c>
      <c r="O30311" s="26">
        <v>0.01</v>
      </c>
      <c r="P30311" s="26">
        <v>5.1000000000000004E-3</v>
      </c>
      <c r="Q30311" s="26">
        <v>3.5000000000000001E-3</v>
      </c>
      <c r="R30311">
        <v>2812</v>
      </c>
    </row>
    <row r="30313" spans="1:18" x14ac:dyDescent="0.35">
      <c r="A30313" s="1" t="s">
        <v>2705</v>
      </c>
    </row>
    <row r="30314" spans="1:18" x14ac:dyDescent="0.35">
      <c r="A30314" t="s">
        <v>219</v>
      </c>
      <c r="B30314" t="s">
        <v>305</v>
      </c>
      <c r="C30314" t="s">
        <v>2686</v>
      </c>
      <c r="D30314" t="s">
        <v>2687</v>
      </c>
      <c r="E30314" t="s">
        <v>2688</v>
      </c>
      <c r="F30314" t="s">
        <v>2689</v>
      </c>
      <c r="G30314" t="s">
        <v>2690</v>
      </c>
      <c r="H30314" t="s">
        <v>2691</v>
      </c>
      <c r="I30314" t="s">
        <v>2692</v>
      </c>
      <c r="J30314" t="s">
        <v>2693</v>
      </c>
      <c r="K30314" t="s">
        <v>281</v>
      </c>
      <c r="L30314" t="s">
        <v>2694</v>
      </c>
      <c r="M30314" t="s">
        <v>2695</v>
      </c>
      <c r="N30314" t="s">
        <v>2696</v>
      </c>
      <c r="O30314" t="s">
        <v>2697</v>
      </c>
      <c r="P30314" t="s">
        <v>286</v>
      </c>
      <c r="Q30314" t="s">
        <v>2698</v>
      </c>
      <c r="R30314" t="s">
        <v>226</v>
      </c>
    </row>
    <row r="30315" spans="1:18" x14ac:dyDescent="0.35">
      <c r="A30315" t="s">
        <v>227</v>
      </c>
      <c r="B30315" t="s">
        <v>249</v>
      </c>
      <c r="C30315" s="26">
        <v>0.52270000000000005</v>
      </c>
      <c r="D30315" s="26">
        <v>0.20449999999999999</v>
      </c>
      <c r="E30315" s="26">
        <v>0.18179999999999999</v>
      </c>
      <c r="F30315" s="26">
        <v>6.8199999999999997E-2</v>
      </c>
      <c r="G30315" s="26">
        <v>6.8199999999999997E-2</v>
      </c>
      <c r="H30315" s="26">
        <v>4.5499999999999999E-2</v>
      </c>
      <c r="I30315" s="26">
        <v>2.2700000000000001E-2</v>
      </c>
      <c r="J30315" s="26">
        <v>6.8199999999999997E-2</v>
      </c>
      <c r="K30315" s="26">
        <v>2.2700000000000001E-2</v>
      </c>
      <c r="L30315" s="26">
        <v>4.5499999999999999E-2</v>
      </c>
      <c r="N30315" s="26">
        <v>4.5499999999999999E-2</v>
      </c>
      <c r="R30315">
        <v>44</v>
      </c>
    </row>
    <row r="30316" spans="1:18" x14ac:dyDescent="0.35">
      <c r="A30316" t="s">
        <v>227</v>
      </c>
      <c r="B30316" t="s">
        <v>248</v>
      </c>
      <c r="C30316" s="26">
        <v>0.56410000000000005</v>
      </c>
      <c r="D30316" s="26">
        <v>0.2137</v>
      </c>
      <c r="E30316" s="26">
        <v>0.14530000000000001</v>
      </c>
      <c r="F30316" s="26">
        <v>3.4200000000000001E-2</v>
      </c>
      <c r="G30316" s="26">
        <v>5.1299999999999998E-2</v>
      </c>
      <c r="H30316" s="26">
        <v>3.4200000000000001E-2</v>
      </c>
      <c r="I30316" s="26">
        <v>8.5000000000000006E-3</v>
      </c>
      <c r="J30316" s="26">
        <v>1.7100000000000001E-2</v>
      </c>
      <c r="K30316" s="26">
        <v>1.7100000000000001E-2</v>
      </c>
      <c r="L30316" s="26">
        <v>1.7100000000000001E-2</v>
      </c>
      <c r="M30316" s="26">
        <v>8.5000000000000006E-3</v>
      </c>
      <c r="N30316" s="26">
        <v>8.5000000000000006E-3</v>
      </c>
      <c r="R30316">
        <v>117</v>
      </c>
    </row>
    <row r="30317" spans="1:18" x14ac:dyDescent="0.35">
      <c r="A30317" t="s">
        <v>228</v>
      </c>
      <c r="B30317" t="s">
        <v>249</v>
      </c>
      <c r="C30317" s="26">
        <v>0.3992</v>
      </c>
      <c r="D30317" s="26">
        <v>0.31290000000000001</v>
      </c>
      <c r="E30317" s="26">
        <v>0.12039999999999999</v>
      </c>
      <c r="F30317" s="26">
        <v>0.13800000000000001</v>
      </c>
      <c r="G30317" s="26">
        <v>8.5699999999999998E-2</v>
      </c>
      <c r="H30317" s="26">
        <v>9.7199999999999995E-2</v>
      </c>
      <c r="I30317" s="26">
        <v>8.2799999999999999E-2</v>
      </c>
      <c r="J30317" s="26">
        <v>6.08E-2</v>
      </c>
      <c r="K30317" s="26">
        <v>1.5299999999999999E-2</v>
      </c>
      <c r="L30317" s="26">
        <v>3.85E-2</v>
      </c>
      <c r="M30317" s="26">
        <v>2.01E-2</v>
      </c>
      <c r="N30317" s="26">
        <v>3.1699999999999999E-2</v>
      </c>
      <c r="O30317" s="26">
        <v>1.43E-2</v>
      </c>
      <c r="P30317" s="26">
        <v>1.8E-3</v>
      </c>
      <c r="Q30317" s="26">
        <v>1.26E-2</v>
      </c>
      <c r="R30317">
        <v>274</v>
      </c>
    </row>
    <row r="30318" spans="1:18" x14ac:dyDescent="0.35">
      <c r="A30318" t="s">
        <v>228</v>
      </c>
      <c r="B30318" t="s">
        <v>248</v>
      </c>
      <c r="C30318" s="26">
        <v>0.35349999999999998</v>
      </c>
      <c r="D30318" s="26">
        <v>0.36599999999999999</v>
      </c>
      <c r="E30318" s="26">
        <v>0.1099</v>
      </c>
      <c r="F30318" s="26">
        <v>6.93E-2</v>
      </c>
      <c r="G30318" s="26">
        <v>5.8099999999999999E-2</v>
      </c>
      <c r="H30318" s="26">
        <v>5.5199999999999999E-2</v>
      </c>
      <c r="I30318" s="26">
        <v>5.9700000000000003E-2</v>
      </c>
      <c r="J30318" s="26">
        <v>0.05</v>
      </c>
      <c r="K30318" s="26">
        <v>4.3400000000000001E-2</v>
      </c>
      <c r="L30318" s="26">
        <v>5.9799999999999999E-2</v>
      </c>
      <c r="M30318" s="26">
        <v>4.6800000000000001E-2</v>
      </c>
      <c r="N30318" s="26">
        <v>2.9399999999999999E-2</v>
      </c>
      <c r="O30318" s="26">
        <v>2.01E-2</v>
      </c>
      <c r="P30318" s="26">
        <v>1.46E-2</v>
      </c>
      <c r="Q30318" s="26">
        <v>1.1999999999999999E-3</v>
      </c>
      <c r="R30318">
        <v>758</v>
      </c>
    </row>
    <row r="30319" spans="1:18" x14ac:dyDescent="0.35">
      <c r="A30319" t="s">
        <v>229</v>
      </c>
      <c r="B30319" t="s">
        <v>249</v>
      </c>
      <c r="C30319" s="26">
        <v>0.4572</v>
      </c>
      <c r="D30319" s="26">
        <v>0.1865</v>
      </c>
      <c r="E30319" s="26">
        <v>0.1447</v>
      </c>
      <c r="F30319" s="26">
        <v>0.1206</v>
      </c>
      <c r="G30319" s="26">
        <v>0.13900000000000001</v>
      </c>
      <c r="H30319" s="26">
        <v>7.2599999999999998E-2</v>
      </c>
      <c r="I30319" s="26">
        <v>5.3800000000000001E-2</v>
      </c>
      <c r="J30319" s="26">
        <v>3.4599999999999999E-2</v>
      </c>
      <c r="K30319" s="26">
        <v>2.23E-2</v>
      </c>
      <c r="L30319" s="26">
        <v>3.7699999999999997E-2</v>
      </c>
      <c r="M30319" s="26">
        <v>3.6299999999999999E-2</v>
      </c>
      <c r="N30319" s="26">
        <v>4.1399999999999999E-2</v>
      </c>
      <c r="O30319" s="26">
        <v>1.3299999999999999E-2</v>
      </c>
      <c r="P30319" s="26">
        <v>1.01E-2</v>
      </c>
      <c r="Q30319" s="26">
        <v>3.3E-3</v>
      </c>
      <c r="R30319">
        <v>259</v>
      </c>
    </row>
    <row r="30320" spans="1:18" x14ac:dyDescent="0.35">
      <c r="A30320" t="s">
        <v>229</v>
      </c>
      <c r="B30320" t="s">
        <v>248</v>
      </c>
      <c r="C30320" s="26">
        <v>0.44990000000000002</v>
      </c>
      <c r="D30320" s="26">
        <v>0.29859999999999998</v>
      </c>
      <c r="E30320" s="26">
        <v>9.5000000000000001E-2</v>
      </c>
      <c r="F30320" s="26">
        <v>8.8599999999999998E-2</v>
      </c>
      <c r="G30320" s="26">
        <v>5.21E-2</v>
      </c>
      <c r="H30320" s="26">
        <v>6.0400000000000002E-2</v>
      </c>
      <c r="I30320" s="26">
        <v>4.0899999999999999E-2</v>
      </c>
      <c r="J30320" s="26">
        <v>3.3599999999999998E-2</v>
      </c>
      <c r="K30320" s="26">
        <v>3.3399999999999999E-2</v>
      </c>
      <c r="L30320" s="26">
        <v>1.89E-2</v>
      </c>
      <c r="M30320" s="26">
        <v>2.8400000000000002E-2</v>
      </c>
      <c r="N30320" s="26">
        <v>1.26E-2</v>
      </c>
      <c r="O30320" s="26">
        <v>1.5100000000000001E-2</v>
      </c>
      <c r="P30320" s="26">
        <v>5.1999999999999998E-3</v>
      </c>
      <c r="Q30320" s="26">
        <v>1.09E-2</v>
      </c>
      <c r="R30320">
        <v>636</v>
      </c>
    </row>
    <row r="30321" spans="1:18" x14ac:dyDescent="0.35">
      <c r="A30321" t="s">
        <v>230</v>
      </c>
      <c r="B30321" t="s">
        <v>249</v>
      </c>
      <c r="C30321" s="26">
        <v>0.37469999999999998</v>
      </c>
      <c r="D30321" s="26">
        <v>0.24759999999999999</v>
      </c>
      <c r="E30321" s="26">
        <v>0.21859999999999999</v>
      </c>
      <c r="F30321" s="26">
        <v>9.9900000000000003E-2</v>
      </c>
      <c r="G30321" s="26">
        <v>0.1802</v>
      </c>
      <c r="H30321" s="26">
        <v>9.7199999999999995E-2</v>
      </c>
      <c r="I30321" s="26">
        <v>8.09E-2</v>
      </c>
      <c r="J30321" s="26">
        <v>9.6100000000000005E-2</v>
      </c>
      <c r="K30321" s="26">
        <v>2.7000000000000001E-3</v>
      </c>
      <c r="L30321" s="26">
        <v>4.7399999999999998E-2</v>
      </c>
      <c r="M30321" s="26">
        <v>5.9700000000000003E-2</v>
      </c>
      <c r="N30321" s="26">
        <v>4.2900000000000001E-2</v>
      </c>
      <c r="O30321" s="26">
        <v>4.0500000000000001E-2</v>
      </c>
      <c r="P30321" s="26">
        <v>1.8700000000000001E-2</v>
      </c>
      <c r="Q30321" s="26">
        <v>3.2000000000000002E-3</v>
      </c>
      <c r="R30321">
        <v>171</v>
      </c>
    </row>
    <row r="30322" spans="1:18" x14ac:dyDescent="0.35">
      <c r="A30322" t="s">
        <v>230</v>
      </c>
      <c r="B30322" t="s">
        <v>248</v>
      </c>
      <c r="C30322" s="26">
        <v>0.39379999999999998</v>
      </c>
      <c r="D30322" s="26">
        <v>0.31840000000000002</v>
      </c>
      <c r="E30322" s="26">
        <v>0.15479999999999999</v>
      </c>
      <c r="F30322" s="26">
        <v>6.2600000000000003E-2</v>
      </c>
      <c r="G30322" s="26">
        <v>0.10199999999999999</v>
      </c>
      <c r="H30322" s="26">
        <v>5.8599999999999999E-2</v>
      </c>
      <c r="I30322" s="26">
        <v>1.03E-2</v>
      </c>
      <c r="J30322" s="26">
        <v>9.4000000000000004E-3</v>
      </c>
      <c r="K30322" s="26">
        <v>3.5000000000000003E-2</v>
      </c>
      <c r="L30322" s="26">
        <v>1.78E-2</v>
      </c>
      <c r="M30322" s="26">
        <v>4.07E-2</v>
      </c>
      <c r="N30322" s="26">
        <v>1.9199999999999998E-2</v>
      </c>
      <c r="O30322" s="26">
        <v>1.6400000000000001E-2</v>
      </c>
      <c r="P30322" s="26">
        <v>8.0999999999999996E-3</v>
      </c>
      <c r="Q30322" s="26">
        <v>2.2000000000000001E-3</v>
      </c>
      <c r="R30322">
        <v>389</v>
      </c>
    </row>
    <row r="30323" spans="1:18" x14ac:dyDescent="0.35">
      <c r="A30323" t="s">
        <v>231</v>
      </c>
      <c r="B30323" t="s">
        <v>249</v>
      </c>
      <c r="C30323" s="26">
        <v>0.54290000000000005</v>
      </c>
      <c r="D30323" s="26">
        <v>0.2286</v>
      </c>
      <c r="E30323" s="26">
        <v>0.2286</v>
      </c>
      <c r="F30323" s="26">
        <v>8.5699999999999998E-2</v>
      </c>
      <c r="G30323" s="26">
        <v>8.5699999999999998E-2</v>
      </c>
      <c r="H30323" s="26">
        <v>5.7099999999999998E-2</v>
      </c>
      <c r="I30323" s="26">
        <v>8.5699999999999998E-2</v>
      </c>
      <c r="J30323" s="26">
        <v>5.7099999999999998E-2</v>
      </c>
      <c r="L30323" s="26">
        <v>2.86E-2</v>
      </c>
      <c r="M30323" s="26">
        <v>2.86E-2</v>
      </c>
      <c r="R30323">
        <v>35</v>
      </c>
    </row>
    <row r="30324" spans="1:18" x14ac:dyDescent="0.35">
      <c r="A30324" t="s">
        <v>231</v>
      </c>
      <c r="B30324" t="s">
        <v>248</v>
      </c>
      <c r="C30324" s="26">
        <v>0.69769999999999999</v>
      </c>
      <c r="D30324" s="26">
        <v>0.13950000000000001</v>
      </c>
      <c r="E30324" s="26">
        <v>0.1008</v>
      </c>
      <c r="F30324" s="26">
        <v>2.3300000000000001E-2</v>
      </c>
      <c r="G30324" s="26">
        <v>2.3300000000000001E-2</v>
      </c>
      <c r="H30324" s="26">
        <v>1.55E-2</v>
      </c>
      <c r="J30324" s="26">
        <v>7.7999999999999996E-3</v>
      </c>
      <c r="K30324" s="26">
        <v>3.8800000000000001E-2</v>
      </c>
      <c r="N30324" s="26">
        <v>7.7999999999999996E-3</v>
      </c>
      <c r="R30324">
        <v>129</v>
      </c>
    </row>
    <row r="30325" spans="1:18" x14ac:dyDescent="0.35">
      <c r="A30325" t="s">
        <v>232</v>
      </c>
      <c r="B30325" t="s">
        <v>232</v>
      </c>
      <c r="C30325" s="26">
        <v>0.503</v>
      </c>
      <c r="D30325" s="26">
        <v>0.24610000000000001</v>
      </c>
      <c r="E30325" s="26">
        <v>0.12909999999999999</v>
      </c>
      <c r="F30325" s="26">
        <v>6.9500000000000006E-2</v>
      </c>
      <c r="G30325" s="26">
        <v>6.6600000000000006E-2</v>
      </c>
      <c r="H30325" s="26">
        <v>5.0700000000000002E-2</v>
      </c>
      <c r="I30325" s="26">
        <v>3.5900000000000001E-2</v>
      </c>
      <c r="J30325" s="26">
        <v>3.3399999999999999E-2</v>
      </c>
      <c r="K30325" s="26">
        <v>2.8799999999999999E-2</v>
      </c>
      <c r="L30325" s="26">
        <v>2.5600000000000001E-2</v>
      </c>
      <c r="M30325" s="26">
        <v>2.35E-2</v>
      </c>
      <c r="N30325" s="26">
        <v>1.9199999999999998E-2</v>
      </c>
      <c r="O30325" s="26">
        <v>0.01</v>
      </c>
      <c r="P30325" s="26">
        <v>5.1000000000000004E-3</v>
      </c>
      <c r="Q30325" s="26">
        <v>3.5000000000000001E-3</v>
      </c>
      <c r="R30325">
        <v>2812</v>
      </c>
    </row>
    <row r="30327" spans="1:18" x14ac:dyDescent="0.35">
      <c r="A30327" s="1" t="s">
        <v>2706</v>
      </c>
    </row>
    <row r="30328" spans="1:18" x14ac:dyDescent="0.35">
      <c r="A30328" t="s">
        <v>219</v>
      </c>
      <c r="B30328" t="s">
        <v>305</v>
      </c>
      <c r="C30328" t="s">
        <v>2686</v>
      </c>
      <c r="D30328" t="s">
        <v>2687</v>
      </c>
      <c r="E30328" t="s">
        <v>2688</v>
      </c>
      <c r="F30328" t="s">
        <v>2689</v>
      </c>
      <c r="G30328" t="s">
        <v>2690</v>
      </c>
      <c r="H30328" t="s">
        <v>2691</v>
      </c>
      <c r="I30328" t="s">
        <v>2692</v>
      </c>
      <c r="J30328" t="s">
        <v>2693</v>
      </c>
      <c r="K30328" t="s">
        <v>281</v>
      </c>
      <c r="L30328" t="s">
        <v>2694</v>
      </c>
      <c r="M30328" t="s">
        <v>2695</v>
      </c>
      <c r="N30328" t="s">
        <v>2696</v>
      </c>
      <c r="O30328" t="s">
        <v>2697</v>
      </c>
      <c r="P30328" t="s">
        <v>286</v>
      </c>
      <c r="Q30328" t="s">
        <v>2698</v>
      </c>
      <c r="R30328" t="s">
        <v>226</v>
      </c>
    </row>
    <row r="30329" spans="1:18" x14ac:dyDescent="0.35">
      <c r="A30329" s="27" t="s">
        <v>227</v>
      </c>
      <c r="B30329" s="27" t="s">
        <v>263</v>
      </c>
      <c r="C30329" s="28">
        <v>0.66669999999999996</v>
      </c>
      <c r="D30329" s="29"/>
      <c r="E30329" s="28">
        <v>0.33329999999999999</v>
      </c>
      <c r="F30329" s="29"/>
      <c r="G30329" s="29"/>
      <c r="H30329" s="29"/>
      <c r="I30329" s="29"/>
      <c r="J30329" s="29"/>
      <c r="K30329" s="29"/>
      <c r="L30329" s="29"/>
      <c r="M30329" s="29"/>
      <c r="N30329" s="29"/>
      <c r="O30329" s="29"/>
      <c r="P30329" s="29"/>
      <c r="Q30329" s="29"/>
      <c r="R30329" s="29" t="s">
        <v>315</v>
      </c>
    </row>
    <row r="30330" spans="1:18" x14ac:dyDescent="0.35">
      <c r="A30330" t="s">
        <v>227</v>
      </c>
      <c r="B30330" t="s">
        <v>261</v>
      </c>
      <c r="C30330" s="26">
        <v>0.51519999999999999</v>
      </c>
      <c r="D30330" s="26">
        <v>0.2424</v>
      </c>
      <c r="E30330" s="26">
        <v>0.1515</v>
      </c>
      <c r="G30330" s="26">
        <v>3.0300000000000001E-2</v>
      </c>
      <c r="K30330" s="26">
        <v>3.0300000000000001E-2</v>
      </c>
      <c r="L30330" s="26">
        <v>6.0600000000000001E-2</v>
      </c>
      <c r="M30330" s="26">
        <v>3.0300000000000001E-2</v>
      </c>
      <c r="N30330" s="26">
        <v>3.0300000000000001E-2</v>
      </c>
      <c r="R30330">
        <v>33</v>
      </c>
    </row>
    <row r="30331" spans="1:18" x14ac:dyDescent="0.35">
      <c r="A30331" s="27" t="s">
        <v>227</v>
      </c>
      <c r="B30331" s="27" t="s">
        <v>262</v>
      </c>
      <c r="C30331" s="28">
        <v>1</v>
      </c>
      <c r="D30331" s="29"/>
      <c r="E30331" s="29"/>
      <c r="F30331" s="29"/>
      <c r="G30331" s="29"/>
      <c r="H30331" s="29"/>
      <c r="I30331" s="29"/>
      <c r="J30331" s="29"/>
      <c r="K30331" s="29"/>
      <c r="L30331" s="29"/>
      <c r="M30331" s="29"/>
      <c r="N30331" s="29"/>
      <c r="O30331" s="29"/>
      <c r="P30331" s="29"/>
      <c r="Q30331" s="29"/>
      <c r="R30331" s="29" t="s">
        <v>315</v>
      </c>
    </row>
    <row r="30332" spans="1:18" x14ac:dyDescent="0.35">
      <c r="A30332" t="s">
        <v>227</v>
      </c>
      <c r="B30332" t="s">
        <v>260</v>
      </c>
      <c r="C30332" s="26">
        <v>0.54920000000000002</v>
      </c>
      <c r="D30332" s="26">
        <v>0.21310000000000001</v>
      </c>
      <c r="E30332" s="26">
        <v>0.15570000000000001</v>
      </c>
      <c r="F30332" s="26">
        <v>5.74E-2</v>
      </c>
      <c r="G30332" s="26">
        <v>6.5600000000000006E-2</v>
      </c>
      <c r="H30332" s="26">
        <v>4.9200000000000001E-2</v>
      </c>
      <c r="I30332" s="26">
        <v>1.6400000000000001E-2</v>
      </c>
      <c r="J30332" s="26">
        <v>4.1000000000000002E-2</v>
      </c>
      <c r="K30332" s="26">
        <v>1.6400000000000001E-2</v>
      </c>
      <c r="L30332" s="26">
        <v>1.6400000000000001E-2</v>
      </c>
      <c r="N30332" s="26">
        <v>1.6400000000000001E-2</v>
      </c>
      <c r="R30332">
        <v>122</v>
      </c>
    </row>
    <row r="30333" spans="1:18" x14ac:dyDescent="0.35">
      <c r="A30333" t="s">
        <v>228</v>
      </c>
      <c r="B30333" t="s">
        <v>261</v>
      </c>
      <c r="C30333" s="26">
        <v>0.50149999999999995</v>
      </c>
      <c r="D30333" s="26">
        <v>0.27600000000000002</v>
      </c>
      <c r="E30333" s="26">
        <v>5.3400000000000003E-2</v>
      </c>
      <c r="F30333" s="26">
        <v>5.8700000000000002E-2</v>
      </c>
      <c r="G30333" s="26">
        <v>3.1E-2</v>
      </c>
      <c r="H30333" s="26">
        <v>3.56E-2</v>
      </c>
      <c r="I30333" s="26">
        <v>4.3200000000000002E-2</v>
      </c>
      <c r="J30333" s="26">
        <v>2.7099999999999999E-2</v>
      </c>
      <c r="K30333" s="26">
        <v>4.3200000000000002E-2</v>
      </c>
      <c r="L30333" s="26">
        <v>6.0900000000000003E-2</v>
      </c>
      <c r="M30333" s="26">
        <v>2.7799999999999998E-2</v>
      </c>
      <c r="N30333" s="26">
        <v>2.8299999999999999E-2</v>
      </c>
      <c r="O30333" s="26">
        <v>9.7000000000000003E-3</v>
      </c>
      <c r="P30333" s="26">
        <v>2.0799999999999999E-2</v>
      </c>
      <c r="Q30333" s="26">
        <v>2.8E-3</v>
      </c>
      <c r="R30333">
        <v>192</v>
      </c>
    </row>
    <row r="30334" spans="1:18" x14ac:dyDescent="0.35">
      <c r="A30334" s="27" t="s">
        <v>228</v>
      </c>
      <c r="B30334" s="27" t="s">
        <v>263</v>
      </c>
      <c r="C30334" s="28">
        <v>0.18210000000000001</v>
      </c>
      <c r="D30334" s="28">
        <v>0.41499999999999998</v>
      </c>
      <c r="E30334" s="28">
        <v>0.18090000000000001</v>
      </c>
      <c r="F30334" s="28">
        <v>2.2100000000000002E-2</v>
      </c>
      <c r="G30334" s="28">
        <v>0.12920000000000001</v>
      </c>
      <c r="H30334" s="28">
        <v>2.2100000000000002E-2</v>
      </c>
      <c r="I30334" s="28">
        <v>8.4699999999999998E-2</v>
      </c>
      <c r="J30334" s="28">
        <v>6.25E-2</v>
      </c>
      <c r="K30334" s="28">
        <v>0.17780000000000001</v>
      </c>
      <c r="L30334" s="28">
        <v>6.25E-2</v>
      </c>
      <c r="M30334" s="28">
        <v>2.93E-2</v>
      </c>
      <c r="N30334" s="29"/>
      <c r="O30334" s="29"/>
      <c r="P30334" s="29"/>
      <c r="Q30334" s="28">
        <v>4.4499999999999998E-2</v>
      </c>
      <c r="R30334" s="29" t="s">
        <v>312</v>
      </c>
    </row>
    <row r="30335" spans="1:18" x14ac:dyDescent="0.35">
      <c r="A30335" s="27" t="s">
        <v>228</v>
      </c>
      <c r="B30335" s="27" t="s">
        <v>236</v>
      </c>
      <c r="C30335" s="29"/>
      <c r="D30335" s="28">
        <v>0.7732</v>
      </c>
      <c r="E30335" s="29"/>
      <c r="F30335" s="28">
        <v>0.18790000000000001</v>
      </c>
      <c r="G30335" s="28">
        <v>0.18790000000000001</v>
      </c>
      <c r="H30335" s="28">
        <v>0.18790000000000001</v>
      </c>
      <c r="I30335" s="29"/>
      <c r="J30335" s="29"/>
      <c r="K30335" s="29"/>
      <c r="L30335" s="29"/>
      <c r="M30335" s="29"/>
      <c r="N30335" s="29"/>
      <c r="O30335" s="29"/>
      <c r="P30335" s="28">
        <v>3.9E-2</v>
      </c>
      <c r="Q30335" s="29"/>
      <c r="R30335" s="29" t="s">
        <v>335</v>
      </c>
    </row>
    <row r="30336" spans="1:18" x14ac:dyDescent="0.35">
      <c r="A30336" t="s">
        <v>228</v>
      </c>
      <c r="B30336" t="s">
        <v>262</v>
      </c>
      <c r="C30336" s="26">
        <v>0.2918</v>
      </c>
      <c r="D30336" s="26">
        <v>0.38009999999999999</v>
      </c>
      <c r="E30336" s="26">
        <v>0.1515</v>
      </c>
      <c r="F30336" s="26">
        <v>0.14449999999999999</v>
      </c>
      <c r="G30336" s="26">
        <v>8.2000000000000003E-2</v>
      </c>
      <c r="H30336" s="26">
        <v>0.1055</v>
      </c>
      <c r="I30336" s="26">
        <v>0.1231</v>
      </c>
      <c r="J30336" s="26">
        <v>7.9699999999999993E-2</v>
      </c>
      <c r="K30336" s="26">
        <v>1.72E-2</v>
      </c>
      <c r="L30336" s="26">
        <v>7.1800000000000003E-2</v>
      </c>
      <c r="M30336" s="26">
        <v>4.5199999999999997E-2</v>
      </c>
      <c r="N30336" s="26">
        <v>5.8700000000000002E-2</v>
      </c>
      <c r="O30336" s="26">
        <v>4.0899999999999999E-2</v>
      </c>
      <c r="P30336" s="26">
        <v>3.3E-3</v>
      </c>
      <c r="Q30336" s="26">
        <v>1.03E-2</v>
      </c>
      <c r="R30336">
        <v>201</v>
      </c>
    </row>
    <row r="30337" spans="1:18" x14ac:dyDescent="0.35">
      <c r="A30337" t="s">
        <v>228</v>
      </c>
      <c r="B30337" t="s">
        <v>260</v>
      </c>
      <c r="C30337" s="26">
        <v>0.3543</v>
      </c>
      <c r="D30337" s="26">
        <v>0.35930000000000001</v>
      </c>
      <c r="E30337" s="26">
        <v>0.1206</v>
      </c>
      <c r="F30337" s="26">
        <v>8.5999999999999993E-2</v>
      </c>
      <c r="G30337" s="26">
        <v>7.0199999999999999E-2</v>
      </c>
      <c r="H30337" s="26">
        <v>6.8000000000000005E-2</v>
      </c>
      <c r="I30337" s="26">
        <v>5.8900000000000001E-2</v>
      </c>
      <c r="J30337" s="26">
        <v>5.4600000000000003E-2</v>
      </c>
      <c r="K30337" s="26">
        <v>3.3099999999999997E-2</v>
      </c>
      <c r="L30337" s="26">
        <v>4.6399999999999997E-2</v>
      </c>
      <c r="M30337" s="26">
        <v>4.1300000000000003E-2</v>
      </c>
      <c r="N30337" s="26">
        <v>2.4199999999999999E-2</v>
      </c>
      <c r="O30337" s="26">
        <v>1.5800000000000002E-2</v>
      </c>
      <c r="P30337" s="26">
        <v>9.5999999999999992E-3</v>
      </c>
      <c r="Q30337" s="26">
        <v>2.5000000000000001E-3</v>
      </c>
      <c r="R30337">
        <v>608</v>
      </c>
    </row>
    <row r="30338" spans="1:18" x14ac:dyDescent="0.35">
      <c r="A30338" s="27" t="s">
        <v>229</v>
      </c>
      <c r="B30338" s="27" t="s">
        <v>263</v>
      </c>
      <c r="C30338" s="28">
        <v>0.48110000000000003</v>
      </c>
      <c r="D30338" s="28">
        <v>0.2074</v>
      </c>
      <c r="E30338" s="28">
        <v>0.104</v>
      </c>
      <c r="F30338" s="28">
        <v>0.22500000000000001</v>
      </c>
      <c r="G30338" s="28">
        <v>0.27679999999999999</v>
      </c>
      <c r="H30338" s="28">
        <v>3.4700000000000002E-2</v>
      </c>
      <c r="I30338" s="28">
        <v>3.4700000000000002E-2</v>
      </c>
      <c r="J30338" s="28">
        <v>3.4700000000000002E-2</v>
      </c>
      <c r="K30338" s="29"/>
      <c r="L30338" s="28">
        <v>3.4700000000000002E-2</v>
      </c>
      <c r="M30338" s="28">
        <v>3.4700000000000002E-2</v>
      </c>
      <c r="N30338" s="28">
        <v>3.4700000000000002E-2</v>
      </c>
      <c r="O30338" s="28">
        <v>3.4700000000000002E-2</v>
      </c>
      <c r="P30338" s="29"/>
      <c r="Q30338" s="28">
        <v>3.4700000000000002E-2</v>
      </c>
      <c r="R30338" s="29" t="s">
        <v>379</v>
      </c>
    </row>
    <row r="30339" spans="1:18" x14ac:dyDescent="0.35">
      <c r="A30339" t="s">
        <v>229</v>
      </c>
      <c r="B30339" t="s">
        <v>262</v>
      </c>
      <c r="C30339" s="26">
        <v>0.3538</v>
      </c>
      <c r="D30339" s="26">
        <v>0.25480000000000003</v>
      </c>
      <c r="E30339" s="26">
        <v>9.9699999999999997E-2</v>
      </c>
      <c r="F30339" s="26">
        <v>0.17</v>
      </c>
      <c r="G30339" s="26">
        <v>0.1421</v>
      </c>
      <c r="H30339" s="26">
        <v>0.1162</v>
      </c>
      <c r="I30339" s="26">
        <v>7.4999999999999997E-2</v>
      </c>
      <c r="J30339" s="26">
        <v>4.99E-2</v>
      </c>
      <c r="K30339" s="26">
        <v>7.1999999999999998E-3</v>
      </c>
      <c r="L30339" s="26">
        <v>7.1400000000000005E-2</v>
      </c>
      <c r="M30339" s="26">
        <v>2.81E-2</v>
      </c>
      <c r="N30339" s="26">
        <v>2.63E-2</v>
      </c>
      <c r="O30339" s="26">
        <v>1.8200000000000001E-2</v>
      </c>
      <c r="P30339" s="26">
        <v>1.1299999999999999E-2</v>
      </c>
      <c r="Q30339" s="26">
        <v>1.1900000000000001E-2</v>
      </c>
      <c r="R30339">
        <v>188</v>
      </c>
    </row>
    <row r="30340" spans="1:18" x14ac:dyDescent="0.35">
      <c r="A30340" t="s">
        <v>229</v>
      </c>
      <c r="B30340" t="s">
        <v>261</v>
      </c>
      <c r="C30340" s="26">
        <v>0.59609999999999996</v>
      </c>
      <c r="D30340" s="26">
        <v>0.20369999999999999</v>
      </c>
      <c r="E30340" s="26">
        <v>8.3099999999999993E-2</v>
      </c>
      <c r="F30340" s="26">
        <v>6.8400000000000002E-2</v>
      </c>
      <c r="G30340" s="26">
        <v>5.2200000000000003E-2</v>
      </c>
      <c r="H30340" s="26">
        <v>2.3599999999999999E-2</v>
      </c>
      <c r="I30340" s="26">
        <v>1.9099999999999999E-2</v>
      </c>
      <c r="J30340" s="26">
        <v>1.1000000000000001E-3</v>
      </c>
      <c r="K30340" s="26">
        <v>2.24E-2</v>
      </c>
      <c r="L30340" s="26">
        <v>3.3999999999999998E-3</v>
      </c>
      <c r="M30340" s="26">
        <v>6.6100000000000006E-2</v>
      </c>
      <c r="N30340" s="26">
        <v>1.6899999999999998E-2</v>
      </c>
      <c r="O30340" s="26">
        <v>2.2000000000000001E-3</v>
      </c>
      <c r="P30340" s="26">
        <v>2.0199999999999999E-2</v>
      </c>
      <c r="R30340">
        <v>96</v>
      </c>
    </row>
    <row r="30341" spans="1:18" x14ac:dyDescent="0.35">
      <c r="A30341" s="27" t="s">
        <v>229</v>
      </c>
      <c r="B30341" s="27" t="s">
        <v>236</v>
      </c>
      <c r="C30341" s="28">
        <v>1</v>
      </c>
      <c r="D30341" s="29"/>
      <c r="E30341" s="29"/>
      <c r="F30341" s="29"/>
      <c r="G30341" s="29"/>
      <c r="H30341" s="29"/>
      <c r="I30341" s="29"/>
      <c r="J30341" s="29"/>
      <c r="K30341" s="29"/>
      <c r="L30341" s="29"/>
      <c r="M30341" s="29"/>
      <c r="N30341" s="29"/>
      <c r="O30341" s="29"/>
      <c r="P30341" s="29"/>
      <c r="Q30341" s="29"/>
      <c r="R30341" s="29" t="s">
        <v>331</v>
      </c>
    </row>
    <row r="30342" spans="1:18" x14ac:dyDescent="0.35">
      <c r="A30342" t="s">
        <v>229</v>
      </c>
      <c r="B30342" t="s">
        <v>260</v>
      </c>
      <c r="C30342" s="26">
        <v>0.4622</v>
      </c>
      <c r="D30342" s="26">
        <v>0.28289999999999998</v>
      </c>
      <c r="E30342" s="26">
        <v>0.12520000000000001</v>
      </c>
      <c r="F30342" s="26">
        <v>6.7299999999999999E-2</v>
      </c>
      <c r="G30342" s="26">
        <v>5.0500000000000003E-2</v>
      </c>
      <c r="H30342" s="26">
        <v>5.0299999999999997E-2</v>
      </c>
      <c r="I30342" s="26">
        <v>3.7400000000000003E-2</v>
      </c>
      <c r="J30342" s="26">
        <v>3.4700000000000002E-2</v>
      </c>
      <c r="K30342" s="26">
        <v>4.4299999999999999E-2</v>
      </c>
      <c r="L30342" s="26">
        <v>7.3000000000000001E-3</v>
      </c>
      <c r="M30342" s="26">
        <v>2.29E-2</v>
      </c>
      <c r="N30342" s="26">
        <v>2.0799999999999999E-2</v>
      </c>
      <c r="O30342" s="26">
        <v>1.5299999999999999E-2</v>
      </c>
      <c r="P30342" s="26">
        <v>1.1999999999999999E-3</v>
      </c>
      <c r="Q30342" s="26">
        <v>8.0000000000000002E-3</v>
      </c>
      <c r="R30342">
        <v>596</v>
      </c>
    </row>
    <row r="30343" spans="1:18" x14ac:dyDescent="0.35">
      <c r="A30343" s="27" t="s">
        <v>230</v>
      </c>
      <c r="B30343" s="27" t="s">
        <v>236</v>
      </c>
      <c r="C30343" s="29"/>
      <c r="D30343" s="28">
        <v>0.96340000000000003</v>
      </c>
      <c r="E30343" s="29"/>
      <c r="F30343" s="29"/>
      <c r="G30343" s="29"/>
      <c r="H30343" s="29"/>
      <c r="I30343" s="29"/>
      <c r="J30343" s="29"/>
      <c r="K30343" s="28">
        <v>3.6600000000000001E-2</v>
      </c>
      <c r="L30343" s="29"/>
      <c r="M30343" s="29"/>
      <c r="N30343" s="29"/>
      <c r="O30343" s="29"/>
      <c r="P30343" s="29"/>
      <c r="Q30343" s="29"/>
      <c r="R30343" s="29" t="s">
        <v>337</v>
      </c>
    </row>
    <row r="30344" spans="1:18" x14ac:dyDescent="0.35">
      <c r="A30344" t="s">
        <v>230</v>
      </c>
      <c r="B30344" t="s">
        <v>262</v>
      </c>
      <c r="C30344" s="26">
        <v>0.255</v>
      </c>
      <c r="D30344" s="26">
        <v>0.3322</v>
      </c>
      <c r="E30344" s="26">
        <v>0.25040000000000001</v>
      </c>
      <c r="F30344" s="26">
        <v>0.1047</v>
      </c>
      <c r="G30344" s="26">
        <v>0.215</v>
      </c>
      <c r="H30344" s="26">
        <v>6.2799999999999995E-2</v>
      </c>
      <c r="I30344" s="26">
        <v>6.4500000000000002E-2</v>
      </c>
      <c r="J30344" s="26">
        <v>9.4600000000000004E-2</v>
      </c>
      <c r="K30344" s="26">
        <v>5.8999999999999999E-3</v>
      </c>
      <c r="L30344" s="26">
        <v>6.2300000000000001E-2</v>
      </c>
      <c r="M30344" s="26">
        <v>6.2300000000000001E-2</v>
      </c>
      <c r="N30344" s="26">
        <v>2.1000000000000001E-2</v>
      </c>
      <c r="O30344" s="26">
        <v>1.3299999999999999E-2</v>
      </c>
      <c r="P30344" s="26">
        <v>1.7999999999999999E-2</v>
      </c>
      <c r="Q30344" s="26">
        <v>5.4999999999999997E-3</v>
      </c>
      <c r="R30344">
        <v>122</v>
      </c>
    </row>
    <row r="30345" spans="1:18" x14ac:dyDescent="0.35">
      <c r="A30345" t="s">
        <v>230</v>
      </c>
      <c r="B30345" t="s">
        <v>261</v>
      </c>
      <c r="C30345" s="26">
        <v>0.29970000000000002</v>
      </c>
      <c r="D30345" s="26">
        <v>0.4073</v>
      </c>
      <c r="E30345" s="26">
        <v>0.13650000000000001</v>
      </c>
      <c r="F30345" s="26">
        <v>0.13189999999999999</v>
      </c>
      <c r="G30345" s="26">
        <v>0.1114</v>
      </c>
      <c r="H30345" s="26">
        <v>0.1298</v>
      </c>
      <c r="I30345" s="26">
        <v>1.0699999999999999E-2</v>
      </c>
      <c r="J30345" s="26">
        <v>2E-3</v>
      </c>
      <c r="K30345" s="26">
        <v>4.7199999999999999E-2</v>
      </c>
      <c r="L30345" s="26">
        <v>1.0699999999999999E-2</v>
      </c>
      <c r="M30345" s="26">
        <v>4.9099999999999998E-2</v>
      </c>
      <c r="N30345" s="26">
        <v>4.9099999999999998E-2</v>
      </c>
      <c r="O30345" s="26">
        <v>4.0399999999999998E-2</v>
      </c>
      <c r="R30345">
        <v>57</v>
      </c>
    </row>
    <row r="30346" spans="1:18" x14ac:dyDescent="0.35">
      <c r="A30346" s="27" t="s">
        <v>230</v>
      </c>
      <c r="B30346" s="27" t="s">
        <v>263</v>
      </c>
      <c r="C30346" s="28">
        <v>7.1199999999999999E-2</v>
      </c>
      <c r="D30346" s="28">
        <v>0.5242</v>
      </c>
      <c r="E30346" s="28">
        <v>0.14369999999999999</v>
      </c>
      <c r="F30346" s="28">
        <v>0.1227</v>
      </c>
      <c r="G30346" s="28">
        <v>0.26640000000000003</v>
      </c>
      <c r="H30346" s="28">
        <v>6.7000000000000004E-2</v>
      </c>
      <c r="I30346" s="28">
        <v>6.7000000000000004E-2</v>
      </c>
      <c r="J30346" s="28">
        <v>6.7000000000000004E-2</v>
      </c>
      <c r="K30346" s="28">
        <v>1.6799999999999999E-2</v>
      </c>
      <c r="L30346" s="28">
        <v>0.10050000000000001</v>
      </c>
      <c r="M30346" s="28">
        <v>6.7000000000000004E-2</v>
      </c>
      <c r="N30346" s="28">
        <v>5.0299999999999997E-2</v>
      </c>
      <c r="O30346" s="28">
        <v>3.3500000000000002E-2</v>
      </c>
      <c r="P30346" s="29"/>
      <c r="Q30346" s="29"/>
      <c r="R30346" s="29" t="s">
        <v>312</v>
      </c>
    </row>
    <row r="30347" spans="1:18" x14ac:dyDescent="0.35">
      <c r="A30347" t="s">
        <v>230</v>
      </c>
      <c r="B30347" t="s">
        <v>260</v>
      </c>
      <c r="C30347" s="26">
        <v>0.44450000000000001</v>
      </c>
      <c r="D30347" s="26">
        <v>0.25209999999999999</v>
      </c>
      <c r="E30347" s="26">
        <v>0.1706</v>
      </c>
      <c r="F30347" s="26">
        <v>5.7500000000000002E-2</v>
      </c>
      <c r="G30347" s="26">
        <v>0.111</v>
      </c>
      <c r="H30347" s="26">
        <v>6.3200000000000006E-2</v>
      </c>
      <c r="I30347" s="26">
        <v>3.1600000000000003E-2</v>
      </c>
      <c r="J30347" s="26">
        <v>3.32E-2</v>
      </c>
      <c r="K30347" s="26">
        <v>2.3699999999999999E-2</v>
      </c>
      <c r="L30347" s="26">
        <v>2.2200000000000001E-2</v>
      </c>
      <c r="M30347" s="26">
        <v>4.3400000000000001E-2</v>
      </c>
      <c r="N30347" s="26">
        <v>2.4E-2</v>
      </c>
      <c r="O30347" s="26">
        <v>2.3900000000000001E-2</v>
      </c>
      <c r="P30347" s="26">
        <v>1.29E-2</v>
      </c>
      <c r="Q30347" s="26">
        <v>2.5000000000000001E-3</v>
      </c>
      <c r="R30347">
        <v>352</v>
      </c>
    </row>
    <row r="30348" spans="1:18" x14ac:dyDescent="0.35">
      <c r="A30348" s="27" t="s">
        <v>231</v>
      </c>
      <c r="B30348" s="27" t="s">
        <v>263</v>
      </c>
      <c r="C30348" s="28">
        <v>1</v>
      </c>
      <c r="D30348" s="29"/>
      <c r="E30348" s="29"/>
      <c r="F30348" s="29"/>
      <c r="G30348" s="29"/>
      <c r="H30348" s="29"/>
      <c r="I30348" s="29"/>
      <c r="J30348" s="29"/>
      <c r="K30348" s="29"/>
      <c r="L30348" s="29"/>
      <c r="M30348" s="29"/>
      <c r="N30348" s="29"/>
      <c r="O30348" s="29"/>
      <c r="P30348" s="29"/>
      <c r="Q30348" s="29"/>
      <c r="R30348" s="29" t="s">
        <v>314</v>
      </c>
    </row>
    <row r="30349" spans="1:18" x14ac:dyDescent="0.35">
      <c r="A30349" t="s">
        <v>231</v>
      </c>
      <c r="B30349" t="s">
        <v>260</v>
      </c>
      <c r="C30349" s="26">
        <v>0.6371</v>
      </c>
      <c r="D30349" s="26">
        <v>0.1452</v>
      </c>
      <c r="E30349" s="26">
        <v>0.1532</v>
      </c>
      <c r="F30349" s="26">
        <v>4.8399999999999999E-2</v>
      </c>
      <c r="G30349" s="26">
        <v>4.8399999999999999E-2</v>
      </c>
      <c r="H30349" s="26">
        <v>3.2300000000000002E-2</v>
      </c>
      <c r="I30349" s="26">
        <v>2.4199999999999999E-2</v>
      </c>
      <c r="J30349" s="26">
        <v>2.4199999999999999E-2</v>
      </c>
      <c r="K30349" s="26">
        <v>4.0300000000000002E-2</v>
      </c>
      <c r="L30349" s="26">
        <v>8.0999999999999996E-3</v>
      </c>
      <c r="M30349" s="26">
        <v>8.0999999999999996E-3</v>
      </c>
      <c r="N30349" s="26">
        <v>8.0999999999999996E-3</v>
      </c>
      <c r="R30349">
        <v>124</v>
      </c>
    </row>
    <row r="30350" spans="1:18" x14ac:dyDescent="0.35">
      <c r="A30350" s="27" t="s">
        <v>231</v>
      </c>
      <c r="B30350" s="27" t="s">
        <v>261</v>
      </c>
      <c r="C30350" s="28">
        <v>0.77780000000000005</v>
      </c>
      <c r="D30350" s="28">
        <v>0.14810000000000001</v>
      </c>
      <c r="E30350" s="28">
        <v>7.4099999999999999E-2</v>
      </c>
      <c r="F30350" s="29"/>
      <c r="G30350" s="29"/>
      <c r="H30350" s="29"/>
      <c r="I30350" s="29"/>
      <c r="J30350" s="29"/>
      <c r="K30350" s="29"/>
      <c r="L30350" s="29"/>
      <c r="M30350" s="29"/>
      <c r="N30350" s="29"/>
      <c r="O30350" s="29"/>
      <c r="P30350" s="29"/>
      <c r="Q30350" s="29"/>
      <c r="R30350" s="29" t="s">
        <v>338</v>
      </c>
    </row>
    <row r="30351" spans="1:18" x14ac:dyDescent="0.35">
      <c r="A30351" s="27" t="s">
        <v>231</v>
      </c>
      <c r="B30351" s="27" t="s">
        <v>262</v>
      </c>
      <c r="C30351" s="28">
        <v>0.63639999999999997</v>
      </c>
      <c r="D30351" s="28">
        <v>0.36359999999999998</v>
      </c>
      <c r="E30351" s="29"/>
      <c r="F30351" s="29"/>
      <c r="G30351" s="29"/>
      <c r="H30351" s="29"/>
      <c r="I30351" s="29"/>
      <c r="J30351" s="29"/>
      <c r="K30351" s="29"/>
      <c r="L30351" s="29"/>
      <c r="M30351" s="29"/>
      <c r="N30351" s="29"/>
      <c r="O30351" s="29"/>
      <c r="P30351" s="29"/>
      <c r="Q30351" s="29"/>
      <c r="R30351" s="29" t="s">
        <v>352</v>
      </c>
    </row>
    <row r="30352" spans="1:18" x14ac:dyDescent="0.35">
      <c r="A30352" t="s">
        <v>232</v>
      </c>
      <c r="B30352" t="s">
        <v>232</v>
      </c>
      <c r="C30352" s="26">
        <v>0.503</v>
      </c>
      <c r="D30352" s="26">
        <v>0.24610000000000001</v>
      </c>
      <c r="E30352" s="26">
        <v>0.12909999999999999</v>
      </c>
      <c r="F30352" s="26">
        <v>6.9500000000000006E-2</v>
      </c>
      <c r="G30352" s="26">
        <v>6.6600000000000006E-2</v>
      </c>
      <c r="H30352" s="26">
        <v>5.0700000000000002E-2</v>
      </c>
      <c r="I30352" s="26">
        <v>3.5900000000000001E-2</v>
      </c>
      <c r="J30352" s="26">
        <v>3.3399999999999999E-2</v>
      </c>
      <c r="K30352" s="26">
        <v>2.8799999999999999E-2</v>
      </c>
      <c r="L30352" s="26">
        <v>2.5600000000000001E-2</v>
      </c>
      <c r="M30352" s="26">
        <v>2.35E-2</v>
      </c>
      <c r="N30352" s="26">
        <v>1.9199999999999998E-2</v>
      </c>
      <c r="O30352" s="26">
        <v>0.01</v>
      </c>
      <c r="P30352" s="26">
        <v>5.1000000000000004E-3</v>
      </c>
      <c r="Q30352" s="26">
        <v>3.5000000000000001E-3</v>
      </c>
      <c r="R30352">
        <v>2812</v>
      </c>
    </row>
    <row r="30354" spans="1:18" x14ac:dyDescent="0.35">
      <c r="A30354" s="1" t="s">
        <v>2707</v>
      </c>
    </row>
    <row r="30355" spans="1:18" x14ac:dyDescent="0.35">
      <c r="A30355" t="s">
        <v>219</v>
      </c>
      <c r="B30355" t="s">
        <v>305</v>
      </c>
      <c r="C30355" t="s">
        <v>2686</v>
      </c>
      <c r="D30355" t="s">
        <v>2687</v>
      </c>
      <c r="E30355" t="s">
        <v>2688</v>
      </c>
      <c r="F30355" t="s">
        <v>2689</v>
      </c>
      <c r="G30355" t="s">
        <v>2690</v>
      </c>
      <c r="H30355" t="s">
        <v>2691</v>
      </c>
      <c r="I30355" t="s">
        <v>2692</v>
      </c>
      <c r="J30355" t="s">
        <v>2693</v>
      </c>
      <c r="K30355" t="s">
        <v>281</v>
      </c>
      <c r="L30355" t="s">
        <v>2694</v>
      </c>
      <c r="M30355" t="s">
        <v>2695</v>
      </c>
      <c r="N30355" t="s">
        <v>2696</v>
      </c>
      <c r="O30355" t="s">
        <v>2697</v>
      </c>
      <c r="P30355" t="s">
        <v>286</v>
      </c>
      <c r="Q30355" t="s">
        <v>2698</v>
      </c>
      <c r="R30355" t="s">
        <v>226</v>
      </c>
    </row>
    <row r="30356" spans="1:18" x14ac:dyDescent="0.35">
      <c r="A30356" t="s">
        <v>227</v>
      </c>
      <c r="B30356" t="s">
        <v>368</v>
      </c>
      <c r="C30356" s="26">
        <v>0.51519999999999999</v>
      </c>
      <c r="D30356" s="26">
        <v>0.2424</v>
      </c>
      <c r="E30356" s="26">
        <v>0.1515</v>
      </c>
      <c r="G30356" s="26">
        <v>3.0300000000000001E-2</v>
      </c>
      <c r="K30356" s="26">
        <v>3.0300000000000001E-2</v>
      </c>
      <c r="L30356" s="26">
        <v>6.0600000000000001E-2</v>
      </c>
      <c r="M30356" s="26">
        <v>3.0300000000000001E-2</v>
      </c>
      <c r="N30356" s="26">
        <v>3.0300000000000001E-2</v>
      </c>
      <c r="R30356">
        <v>33</v>
      </c>
    </row>
    <row r="30357" spans="1:18" x14ac:dyDescent="0.35">
      <c r="A30357" t="s">
        <v>227</v>
      </c>
      <c r="B30357" t="s">
        <v>369</v>
      </c>
      <c r="C30357" s="26">
        <v>0.5625</v>
      </c>
      <c r="D30357" s="26">
        <v>0.2031</v>
      </c>
      <c r="E30357" s="26">
        <v>0.15620000000000001</v>
      </c>
      <c r="F30357" s="26">
        <v>5.4699999999999999E-2</v>
      </c>
      <c r="G30357" s="26">
        <v>6.25E-2</v>
      </c>
      <c r="H30357" s="26">
        <v>4.6899999999999997E-2</v>
      </c>
      <c r="I30357" s="26">
        <v>1.5599999999999999E-2</v>
      </c>
      <c r="J30357" s="26">
        <v>3.9100000000000003E-2</v>
      </c>
      <c r="K30357" s="26">
        <v>1.5599999999999999E-2</v>
      </c>
      <c r="L30357" s="26">
        <v>1.5599999999999999E-2</v>
      </c>
      <c r="N30357" s="26">
        <v>1.5599999999999999E-2</v>
      </c>
      <c r="R30357">
        <v>128</v>
      </c>
    </row>
    <row r="30358" spans="1:18" x14ac:dyDescent="0.35">
      <c r="A30358" t="s">
        <v>228</v>
      </c>
      <c r="B30358" t="s">
        <v>368</v>
      </c>
      <c r="C30358" s="26">
        <v>0.50149999999999995</v>
      </c>
      <c r="D30358" s="26">
        <v>0.27600000000000002</v>
      </c>
      <c r="E30358" s="26">
        <v>5.3400000000000003E-2</v>
      </c>
      <c r="F30358" s="26">
        <v>5.8700000000000002E-2</v>
      </c>
      <c r="G30358" s="26">
        <v>3.1E-2</v>
      </c>
      <c r="H30358" s="26">
        <v>3.56E-2</v>
      </c>
      <c r="I30358" s="26">
        <v>4.3200000000000002E-2</v>
      </c>
      <c r="J30358" s="26">
        <v>2.7099999999999999E-2</v>
      </c>
      <c r="K30358" s="26">
        <v>4.3200000000000002E-2</v>
      </c>
      <c r="L30358" s="26">
        <v>6.0900000000000003E-2</v>
      </c>
      <c r="M30358" s="26">
        <v>2.7799999999999998E-2</v>
      </c>
      <c r="N30358" s="26">
        <v>2.8299999999999999E-2</v>
      </c>
      <c r="O30358" s="26">
        <v>9.7000000000000003E-3</v>
      </c>
      <c r="P30358" s="26">
        <v>2.0799999999999999E-2</v>
      </c>
      <c r="Q30358" s="26">
        <v>2.8E-3</v>
      </c>
      <c r="R30358">
        <v>192</v>
      </c>
    </row>
    <row r="30359" spans="1:18" x14ac:dyDescent="0.35">
      <c r="A30359" t="s">
        <v>228</v>
      </c>
      <c r="B30359" t="s">
        <v>369</v>
      </c>
      <c r="C30359" s="26">
        <v>0.3347</v>
      </c>
      <c r="D30359" s="26">
        <v>0.36809999999999998</v>
      </c>
      <c r="E30359" s="26">
        <v>0.12740000000000001</v>
      </c>
      <c r="F30359" s="26">
        <v>9.74E-2</v>
      </c>
      <c r="G30359" s="26">
        <v>7.4899999999999994E-2</v>
      </c>
      <c r="H30359" s="26">
        <v>7.5600000000000001E-2</v>
      </c>
      <c r="I30359" s="26">
        <v>7.2300000000000003E-2</v>
      </c>
      <c r="J30359" s="26">
        <v>5.96E-2</v>
      </c>
      <c r="K30359" s="26">
        <v>3.3000000000000002E-2</v>
      </c>
      <c r="L30359" s="26">
        <v>5.1700000000000003E-2</v>
      </c>
      <c r="M30359" s="26">
        <v>4.1500000000000002E-2</v>
      </c>
      <c r="N30359" s="26">
        <v>3.0599999999999999E-2</v>
      </c>
      <c r="O30359" s="26">
        <v>2.0500000000000001E-2</v>
      </c>
      <c r="P30359" s="26">
        <v>8.3000000000000001E-3</v>
      </c>
      <c r="Q30359" s="26">
        <v>5.0000000000000001E-3</v>
      </c>
      <c r="R30359">
        <v>840</v>
      </c>
    </row>
    <row r="30360" spans="1:18" x14ac:dyDescent="0.35">
      <c r="A30360" t="s">
        <v>229</v>
      </c>
      <c r="B30360" t="s">
        <v>368</v>
      </c>
      <c r="C30360" s="26">
        <v>0.59609999999999996</v>
      </c>
      <c r="D30360" s="26">
        <v>0.20369999999999999</v>
      </c>
      <c r="E30360" s="26">
        <v>8.3099999999999993E-2</v>
      </c>
      <c r="F30360" s="26">
        <v>6.8400000000000002E-2</v>
      </c>
      <c r="G30360" s="26">
        <v>5.2200000000000003E-2</v>
      </c>
      <c r="H30360" s="26">
        <v>2.3599999999999999E-2</v>
      </c>
      <c r="I30360" s="26">
        <v>1.9099999999999999E-2</v>
      </c>
      <c r="J30360" s="26">
        <v>1.1000000000000001E-3</v>
      </c>
      <c r="K30360" s="26">
        <v>2.24E-2</v>
      </c>
      <c r="L30360" s="26">
        <v>3.3999999999999998E-3</v>
      </c>
      <c r="M30360" s="26">
        <v>6.6100000000000006E-2</v>
      </c>
      <c r="N30360" s="26">
        <v>1.6899999999999998E-2</v>
      </c>
      <c r="O30360" s="26">
        <v>2.2000000000000001E-3</v>
      </c>
      <c r="P30360" s="26">
        <v>2.0199999999999999E-2</v>
      </c>
      <c r="R30360">
        <v>96</v>
      </c>
    </row>
    <row r="30361" spans="1:18" x14ac:dyDescent="0.35">
      <c r="A30361" t="s">
        <v>229</v>
      </c>
      <c r="B30361" t="s">
        <v>369</v>
      </c>
      <c r="C30361" s="26">
        <v>0.42720000000000002</v>
      </c>
      <c r="D30361" s="26">
        <v>0.27189999999999998</v>
      </c>
      <c r="E30361" s="26">
        <v>0.1163</v>
      </c>
      <c r="F30361" s="26">
        <v>0.1045</v>
      </c>
      <c r="G30361" s="26">
        <v>8.5599999999999996E-2</v>
      </c>
      <c r="H30361" s="26">
        <v>7.1499999999999994E-2</v>
      </c>
      <c r="I30361" s="26">
        <v>4.9700000000000001E-2</v>
      </c>
      <c r="J30361" s="26">
        <v>3.9699999999999999E-2</v>
      </c>
      <c r="K30361" s="26">
        <v>3.1099999999999999E-2</v>
      </c>
      <c r="L30361" s="26">
        <v>2.8899999999999999E-2</v>
      </c>
      <c r="M30361" s="26">
        <v>2.4899999999999999E-2</v>
      </c>
      <c r="N30361" s="26">
        <v>2.29E-2</v>
      </c>
      <c r="O30361" s="26">
        <v>1.67E-2</v>
      </c>
      <c r="P30361" s="26">
        <v>4.4999999999999997E-3</v>
      </c>
      <c r="Q30361" s="26">
        <v>9.9000000000000008E-3</v>
      </c>
      <c r="R30361">
        <v>799</v>
      </c>
    </row>
    <row r="30362" spans="1:18" x14ac:dyDescent="0.35">
      <c r="A30362" t="s">
        <v>230</v>
      </c>
      <c r="B30362" t="s">
        <v>368</v>
      </c>
      <c r="C30362" s="26">
        <v>0.29970000000000002</v>
      </c>
      <c r="D30362" s="26">
        <v>0.4073</v>
      </c>
      <c r="E30362" s="26">
        <v>0.13650000000000001</v>
      </c>
      <c r="F30362" s="26">
        <v>0.13189999999999999</v>
      </c>
      <c r="G30362" s="26">
        <v>0.1114</v>
      </c>
      <c r="H30362" s="26">
        <v>0.1298</v>
      </c>
      <c r="I30362" s="26">
        <v>1.0699999999999999E-2</v>
      </c>
      <c r="J30362" s="26">
        <v>2E-3</v>
      </c>
      <c r="K30362" s="26">
        <v>4.7199999999999999E-2</v>
      </c>
      <c r="L30362" s="26">
        <v>1.0699999999999999E-2</v>
      </c>
      <c r="M30362" s="26">
        <v>4.9099999999999998E-2</v>
      </c>
      <c r="N30362" s="26">
        <v>4.9099999999999998E-2</v>
      </c>
      <c r="O30362" s="26">
        <v>4.0399999999999998E-2</v>
      </c>
      <c r="R30362">
        <v>57</v>
      </c>
    </row>
    <row r="30363" spans="1:18" x14ac:dyDescent="0.35">
      <c r="A30363" t="s">
        <v>230</v>
      </c>
      <c r="B30363" t="s">
        <v>369</v>
      </c>
      <c r="C30363" s="26">
        <v>0.40079999999999999</v>
      </c>
      <c r="D30363" s="26">
        <v>0.2772</v>
      </c>
      <c r="E30363" s="26">
        <v>0.18240000000000001</v>
      </c>
      <c r="F30363" s="26">
        <v>6.6400000000000001E-2</v>
      </c>
      <c r="G30363" s="26">
        <v>0.13100000000000001</v>
      </c>
      <c r="H30363" s="26">
        <v>6.2700000000000006E-2</v>
      </c>
      <c r="I30363" s="26">
        <v>3.7699999999999997E-2</v>
      </c>
      <c r="J30363" s="26">
        <v>4.4200000000000003E-2</v>
      </c>
      <c r="K30363" s="26">
        <v>2.06E-2</v>
      </c>
      <c r="L30363" s="26">
        <v>3.04E-2</v>
      </c>
      <c r="M30363" s="26">
        <v>4.6800000000000001E-2</v>
      </c>
      <c r="N30363" s="26">
        <v>2.3800000000000002E-2</v>
      </c>
      <c r="O30363" s="26">
        <v>2.2100000000000002E-2</v>
      </c>
      <c r="P30363" s="26">
        <v>1.35E-2</v>
      </c>
      <c r="Q30363" s="26">
        <v>2.8999999999999998E-3</v>
      </c>
      <c r="R30363">
        <v>503</v>
      </c>
    </row>
    <row r="30364" spans="1:18" x14ac:dyDescent="0.35">
      <c r="A30364" s="27" t="s">
        <v>231</v>
      </c>
      <c r="B30364" s="27" t="s">
        <v>368</v>
      </c>
      <c r="C30364" s="28">
        <v>0.77780000000000005</v>
      </c>
      <c r="D30364" s="28">
        <v>0.14810000000000001</v>
      </c>
      <c r="E30364" s="28">
        <v>7.4099999999999999E-2</v>
      </c>
      <c r="F30364" s="29"/>
      <c r="G30364" s="29"/>
      <c r="H30364" s="29"/>
      <c r="I30364" s="29"/>
      <c r="J30364" s="29"/>
      <c r="K30364" s="29"/>
      <c r="L30364" s="29"/>
      <c r="M30364" s="29"/>
      <c r="N30364" s="29"/>
      <c r="O30364" s="29"/>
      <c r="P30364" s="29"/>
      <c r="Q30364" s="29"/>
      <c r="R30364" s="29" t="s">
        <v>338</v>
      </c>
    </row>
    <row r="30365" spans="1:18" x14ac:dyDescent="0.35">
      <c r="A30365" t="s">
        <v>231</v>
      </c>
      <c r="B30365" t="s">
        <v>369</v>
      </c>
      <c r="C30365" s="26">
        <v>0.64229999999999998</v>
      </c>
      <c r="D30365" s="26">
        <v>0.16059999999999999</v>
      </c>
      <c r="E30365" s="26">
        <v>0.13869999999999999</v>
      </c>
      <c r="F30365" s="26">
        <v>4.3799999999999999E-2</v>
      </c>
      <c r="G30365" s="26">
        <v>4.3799999999999999E-2</v>
      </c>
      <c r="H30365" s="26">
        <v>2.92E-2</v>
      </c>
      <c r="I30365" s="26">
        <v>2.1899999999999999E-2</v>
      </c>
      <c r="J30365" s="26">
        <v>2.1899999999999999E-2</v>
      </c>
      <c r="K30365" s="26">
        <v>3.6499999999999998E-2</v>
      </c>
      <c r="L30365" s="26">
        <v>7.3000000000000001E-3</v>
      </c>
      <c r="M30365" s="26">
        <v>7.3000000000000001E-3</v>
      </c>
      <c r="N30365" s="26">
        <v>7.3000000000000001E-3</v>
      </c>
      <c r="R30365">
        <v>137</v>
      </c>
    </row>
    <row r="30366" spans="1:18" x14ac:dyDescent="0.35">
      <c r="A30366" t="s">
        <v>232</v>
      </c>
      <c r="B30366" t="s">
        <v>232</v>
      </c>
      <c r="C30366" s="26">
        <v>0.503</v>
      </c>
      <c r="D30366" s="26">
        <v>0.24610000000000001</v>
      </c>
      <c r="E30366" s="26">
        <v>0.12909999999999999</v>
      </c>
      <c r="F30366" s="26">
        <v>6.9500000000000006E-2</v>
      </c>
      <c r="G30366" s="26">
        <v>6.6600000000000006E-2</v>
      </c>
      <c r="H30366" s="26">
        <v>5.0700000000000002E-2</v>
      </c>
      <c r="I30366" s="26">
        <v>3.5900000000000001E-2</v>
      </c>
      <c r="J30366" s="26">
        <v>3.3399999999999999E-2</v>
      </c>
      <c r="K30366" s="26">
        <v>2.8799999999999999E-2</v>
      </c>
      <c r="L30366" s="26">
        <v>2.5600000000000001E-2</v>
      </c>
      <c r="M30366" s="26">
        <v>2.35E-2</v>
      </c>
      <c r="N30366" s="26">
        <v>1.9199999999999998E-2</v>
      </c>
      <c r="O30366" s="26">
        <v>0.01</v>
      </c>
      <c r="P30366" s="26">
        <v>5.1000000000000004E-3</v>
      </c>
      <c r="Q30366" s="26">
        <v>3.5000000000000001E-3</v>
      </c>
      <c r="R30366">
        <v>2812</v>
      </c>
    </row>
    <row r="30368" spans="1:18" x14ac:dyDescent="0.35">
      <c r="A30368" s="1" t="s">
        <v>2708</v>
      </c>
    </row>
    <row r="30369" spans="1:18" x14ac:dyDescent="0.35">
      <c r="A30369" t="s">
        <v>219</v>
      </c>
      <c r="B30369" t="s">
        <v>305</v>
      </c>
      <c r="C30369" t="s">
        <v>2686</v>
      </c>
      <c r="D30369" t="s">
        <v>2687</v>
      </c>
      <c r="E30369" t="s">
        <v>2688</v>
      </c>
      <c r="F30369" t="s">
        <v>2689</v>
      </c>
      <c r="G30369" t="s">
        <v>2690</v>
      </c>
      <c r="H30369" t="s">
        <v>2691</v>
      </c>
      <c r="I30369" t="s">
        <v>2692</v>
      </c>
      <c r="J30369" t="s">
        <v>2693</v>
      </c>
      <c r="K30369" t="s">
        <v>281</v>
      </c>
      <c r="L30369" t="s">
        <v>2694</v>
      </c>
      <c r="M30369" t="s">
        <v>2695</v>
      </c>
      <c r="N30369" t="s">
        <v>2696</v>
      </c>
      <c r="O30369" t="s">
        <v>2697</v>
      </c>
      <c r="P30369" t="s">
        <v>286</v>
      </c>
      <c r="Q30369" t="s">
        <v>2698</v>
      </c>
      <c r="R30369" t="s">
        <v>226</v>
      </c>
    </row>
    <row r="30370" spans="1:18" x14ac:dyDescent="0.35">
      <c r="A30370" t="s">
        <v>227</v>
      </c>
      <c r="B30370" t="s">
        <v>371</v>
      </c>
      <c r="C30370" s="26">
        <v>0.55279999999999996</v>
      </c>
      <c r="D30370" s="26">
        <v>0.2112</v>
      </c>
      <c r="E30370" s="26">
        <v>0.15529999999999999</v>
      </c>
      <c r="F30370" s="26">
        <v>4.3499999999999997E-2</v>
      </c>
      <c r="G30370" s="26">
        <v>5.5899999999999998E-2</v>
      </c>
      <c r="H30370" s="26">
        <v>3.73E-2</v>
      </c>
      <c r="I30370" s="26">
        <v>1.24E-2</v>
      </c>
      <c r="J30370" s="26">
        <v>3.1099999999999999E-2</v>
      </c>
      <c r="K30370" s="26">
        <v>1.8599999999999998E-2</v>
      </c>
      <c r="L30370" s="26">
        <v>2.4799999999999999E-2</v>
      </c>
      <c r="M30370" s="26">
        <v>6.1999999999999998E-3</v>
      </c>
      <c r="N30370" s="26">
        <v>1.8599999999999998E-2</v>
      </c>
      <c r="R30370">
        <v>161</v>
      </c>
    </row>
    <row r="30371" spans="1:18" x14ac:dyDescent="0.35">
      <c r="A30371" t="s">
        <v>228</v>
      </c>
      <c r="B30371" t="s">
        <v>371</v>
      </c>
      <c r="C30371" s="26">
        <v>0.46410000000000001</v>
      </c>
      <c r="D30371" s="26">
        <v>0.27379999999999999</v>
      </c>
      <c r="E30371" s="26">
        <v>9.2600000000000002E-2</v>
      </c>
      <c r="F30371" s="26">
        <v>9.6000000000000002E-2</v>
      </c>
      <c r="G30371" s="26">
        <v>3.9E-2</v>
      </c>
      <c r="H30371" s="26">
        <v>7.0599999999999996E-2</v>
      </c>
      <c r="I30371" s="26">
        <v>6.1199999999999997E-2</v>
      </c>
      <c r="J30371" s="26">
        <v>4.9500000000000002E-2</v>
      </c>
      <c r="K30371" s="26">
        <v>3.8399999999999997E-2</v>
      </c>
      <c r="L30371" s="26">
        <v>4.0399999999999998E-2</v>
      </c>
      <c r="M30371" s="26">
        <v>2.6800000000000001E-2</v>
      </c>
      <c r="N30371" s="26">
        <v>2.6100000000000002E-2</v>
      </c>
      <c r="O30371" s="26">
        <v>1.2699999999999999E-2</v>
      </c>
      <c r="P30371" s="26">
        <v>1.35E-2</v>
      </c>
      <c r="R30371">
        <v>292</v>
      </c>
    </row>
    <row r="30372" spans="1:18" x14ac:dyDescent="0.35">
      <c r="A30372" t="s">
        <v>228</v>
      </c>
      <c r="B30372" t="s">
        <v>372</v>
      </c>
      <c r="C30372" s="26">
        <v>0.19470000000000001</v>
      </c>
      <c r="D30372" s="26">
        <v>0.49430000000000002</v>
      </c>
      <c r="E30372" s="26">
        <v>0.1017</v>
      </c>
      <c r="F30372" s="26">
        <v>7.9299999999999995E-2</v>
      </c>
      <c r="G30372" s="26">
        <v>8.4900000000000003E-2</v>
      </c>
      <c r="H30372" s="26">
        <v>5.8799999999999998E-2</v>
      </c>
      <c r="I30372" s="26">
        <v>8.2400000000000001E-2</v>
      </c>
      <c r="J30372" s="26">
        <v>4.7699999999999999E-2</v>
      </c>
      <c r="K30372" s="26">
        <v>4.1599999999999998E-2</v>
      </c>
      <c r="L30372" s="26">
        <v>9.7699999999999995E-2</v>
      </c>
      <c r="M30372" s="26">
        <v>4.7699999999999999E-2</v>
      </c>
      <c r="N30372" s="26">
        <v>4.2799999999999998E-2</v>
      </c>
      <c r="O30372" s="26">
        <v>5.4600000000000003E-2</v>
      </c>
      <c r="P30372" s="26">
        <v>1.4999999999999999E-2</v>
      </c>
      <c r="Q30372" s="26">
        <v>1.29E-2</v>
      </c>
      <c r="R30372">
        <v>218</v>
      </c>
    </row>
    <row r="30373" spans="1:18" x14ac:dyDescent="0.35">
      <c r="A30373" t="s">
        <v>228</v>
      </c>
      <c r="B30373" t="s">
        <v>373</v>
      </c>
      <c r="C30373" s="26">
        <v>0.27529999999999999</v>
      </c>
      <c r="D30373" s="26">
        <v>0.42059999999999997</v>
      </c>
      <c r="E30373" s="26">
        <v>0.14269999999999999</v>
      </c>
      <c r="F30373" s="26">
        <v>8.3900000000000002E-2</v>
      </c>
      <c r="G30373" s="26">
        <v>9.8799999999999999E-2</v>
      </c>
      <c r="H30373" s="26">
        <v>6.6100000000000006E-2</v>
      </c>
      <c r="I30373" s="26">
        <v>7.0400000000000004E-2</v>
      </c>
      <c r="J30373" s="26">
        <v>5.9400000000000001E-2</v>
      </c>
      <c r="K30373" s="26">
        <v>2.8799999999999999E-2</v>
      </c>
      <c r="L30373" s="26">
        <v>6.1199999999999997E-2</v>
      </c>
      <c r="M30373" s="26">
        <v>5.2999999999999999E-2</v>
      </c>
      <c r="N30373" s="26">
        <v>3.27E-2</v>
      </c>
      <c r="O30373" s="26">
        <v>1.8100000000000002E-2</v>
      </c>
      <c r="P30373" s="26">
        <v>6.1999999999999998E-3</v>
      </c>
      <c r="Q30373" s="26">
        <v>8.9999999999999993E-3</v>
      </c>
      <c r="R30373">
        <v>522</v>
      </c>
    </row>
    <row r="30374" spans="1:18" x14ac:dyDescent="0.35">
      <c r="A30374" t="s">
        <v>229</v>
      </c>
      <c r="B30374" t="s">
        <v>371</v>
      </c>
      <c r="C30374" s="26">
        <v>0.46579999999999999</v>
      </c>
      <c r="D30374" s="26">
        <v>0.25009999999999999</v>
      </c>
      <c r="E30374" s="26">
        <v>0.11</v>
      </c>
      <c r="F30374" s="26">
        <v>9.9000000000000005E-2</v>
      </c>
      <c r="G30374" s="26">
        <v>7.6600000000000001E-2</v>
      </c>
      <c r="H30374" s="26">
        <v>6.4399999999999999E-2</v>
      </c>
      <c r="I30374" s="26">
        <v>4.2799999999999998E-2</v>
      </c>
      <c r="J30374" s="26">
        <v>3.1699999999999999E-2</v>
      </c>
      <c r="K30374" s="26">
        <v>0.03</v>
      </c>
      <c r="L30374" s="26">
        <v>2.2200000000000001E-2</v>
      </c>
      <c r="M30374" s="26">
        <v>2.8500000000000001E-2</v>
      </c>
      <c r="N30374" s="26">
        <v>2.06E-2</v>
      </c>
      <c r="O30374" s="26">
        <v>1.2200000000000001E-2</v>
      </c>
      <c r="P30374" s="26">
        <v>6.7000000000000002E-3</v>
      </c>
      <c r="Q30374" s="26">
        <v>7.6E-3</v>
      </c>
      <c r="R30374">
        <v>584</v>
      </c>
    </row>
    <row r="30375" spans="1:18" x14ac:dyDescent="0.35">
      <c r="A30375" t="s">
        <v>229</v>
      </c>
      <c r="B30375" t="s">
        <v>372</v>
      </c>
      <c r="C30375" s="26">
        <v>0.245</v>
      </c>
      <c r="D30375" s="26">
        <v>0.40479999999999999</v>
      </c>
      <c r="E30375" s="26">
        <v>0.13739999999999999</v>
      </c>
      <c r="F30375" s="26">
        <v>0.1215</v>
      </c>
      <c r="G30375" s="26">
        <v>0.1666</v>
      </c>
      <c r="H30375" s="26">
        <v>0.08</v>
      </c>
      <c r="I30375" s="26">
        <v>7.9100000000000004E-2</v>
      </c>
      <c r="J30375" s="26">
        <v>6.6799999999999998E-2</v>
      </c>
      <c r="K30375" s="26">
        <v>3.2000000000000001E-2</v>
      </c>
      <c r="L30375" s="26">
        <v>7.2499999999999995E-2</v>
      </c>
      <c r="M30375" s="26">
        <v>0.08</v>
      </c>
      <c r="N30375" s="26">
        <v>6.0199999999999997E-2</v>
      </c>
      <c r="O30375" s="26">
        <v>5.1700000000000003E-2</v>
      </c>
      <c r="P30375" s="26">
        <v>1.32E-2</v>
      </c>
      <c r="Q30375" s="26">
        <v>2.1600000000000001E-2</v>
      </c>
      <c r="R30375">
        <v>221</v>
      </c>
    </row>
    <row r="30376" spans="1:18" x14ac:dyDescent="0.35">
      <c r="A30376" t="s">
        <v>229</v>
      </c>
      <c r="B30376" t="s">
        <v>373</v>
      </c>
      <c r="C30376" s="26">
        <v>0.37319999999999998</v>
      </c>
      <c r="D30376" s="26">
        <v>0.39860000000000001</v>
      </c>
      <c r="E30376" s="26">
        <v>0.1109</v>
      </c>
      <c r="F30376" s="26">
        <v>6.1600000000000002E-2</v>
      </c>
      <c r="G30376" s="26">
        <v>6.1600000000000002E-2</v>
      </c>
      <c r="H30376" s="26">
        <v>3.6999999999999998E-2</v>
      </c>
      <c r="I30376" s="26">
        <v>6.1600000000000002E-2</v>
      </c>
      <c r="J30376" s="26">
        <v>4.9299999999999997E-2</v>
      </c>
      <c r="K30376" s="26">
        <v>1.8700000000000001E-2</v>
      </c>
      <c r="L30376" s="26">
        <v>3.6999999999999998E-2</v>
      </c>
      <c r="M30376" s="26">
        <v>2.47E-2</v>
      </c>
      <c r="O30376" s="26">
        <v>2.47E-2</v>
      </c>
      <c r="Q30376" s="26">
        <v>1.23E-2</v>
      </c>
      <c r="R30376">
        <v>90</v>
      </c>
    </row>
    <row r="30377" spans="1:18" x14ac:dyDescent="0.35">
      <c r="A30377" t="s">
        <v>230</v>
      </c>
      <c r="B30377" t="s">
        <v>371</v>
      </c>
      <c r="C30377" s="26">
        <v>0.4002</v>
      </c>
      <c r="D30377" s="26">
        <v>0.2823</v>
      </c>
      <c r="E30377" s="26">
        <v>0.19059999999999999</v>
      </c>
      <c r="F30377" s="26">
        <v>7.6100000000000001E-2</v>
      </c>
      <c r="G30377" s="26">
        <v>0.12230000000000001</v>
      </c>
      <c r="H30377" s="26">
        <v>7.2700000000000001E-2</v>
      </c>
      <c r="I30377" s="26">
        <v>2.75E-2</v>
      </c>
      <c r="J30377" s="26">
        <v>3.4099999999999998E-2</v>
      </c>
      <c r="K30377" s="26">
        <v>2.4299999999999999E-2</v>
      </c>
      <c r="L30377" s="26">
        <v>1.66E-2</v>
      </c>
      <c r="M30377" s="26">
        <v>4.2999999999999997E-2</v>
      </c>
      <c r="N30377" s="26">
        <v>2.1999999999999999E-2</v>
      </c>
      <c r="O30377" s="26">
        <v>2.1999999999999999E-2</v>
      </c>
      <c r="P30377" s="26">
        <v>1.11E-2</v>
      </c>
      <c r="R30377">
        <v>262</v>
      </c>
    </row>
    <row r="30378" spans="1:18" x14ac:dyDescent="0.35">
      <c r="A30378" t="s">
        <v>230</v>
      </c>
      <c r="B30378" t="s">
        <v>372</v>
      </c>
      <c r="C30378" s="26">
        <v>0.2177</v>
      </c>
      <c r="D30378" s="26">
        <v>0.2994</v>
      </c>
      <c r="E30378" s="26">
        <v>0.13250000000000001</v>
      </c>
      <c r="F30378" s="26">
        <v>0.1207</v>
      </c>
      <c r="G30378" s="26">
        <v>0.27339999999999998</v>
      </c>
      <c r="H30378" s="26">
        <v>0.1065</v>
      </c>
      <c r="I30378" s="26">
        <v>0.1053</v>
      </c>
      <c r="J30378" s="26">
        <v>8.9899999999999994E-2</v>
      </c>
      <c r="K30378" s="26">
        <v>2.9600000000000001E-2</v>
      </c>
      <c r="L30378" s="26">
        <v>0.15620000000000001</v>
      </c>
      <c r="M30378" s="26">
        <v>0.17399999999999999</v>
      </c>
      <c r="N30378" s="26">
        <v>0.155</v>
      </c>
      <c r="O30378" s="26">
        <v>6.7500000000000004E-2</v>
      </c>
      <c r="P30378" s="26">
        <v>1.54E-2</v>
      </c>
      <c r="Q30378" s="26">
        <v>2.3699999999999999E-2</v>
      </c>
      <c r="R30378">
        <v>146</v>
      </c>
    </row>
    <row r="30379" spans="1:18" x14ac:dyDescent="0.35">
      <c r="A30379" t="s">
        <v>230</v>
      </c>
      <c r="B30379" t="s">
        <v>373</v>
      </c>
      <c r="C30379" s="26">
        <v>0.38169999999999998</v>
      </c>
      <c r="D30379" s="26">
        <v>0.3705</v>
      </c>
      <c r="E30379" s="26">
        <v>0.10440000000000001</v>
      </c>
      <c r="F30379" s="26">
        <v>4.87E-2</v>
      </c>
      <c r="G30379" s="26">
        <v>0.1017</v>
      </c>
      <c r="H30379" s="26">
        <v>4.87E-2</v>
      </c>
      <c r="I30379" s="26">
        <v>4.3900000000000002E-2</v>
      </c>
      <c r="J30379" s="26">
        <v>4.3900000000000002E-2</v>
      </c>
      <c r="K30379" s="26">
        <v>2.0899999999999998E-2</v>
      </c>
      <c r="L30379" s="26">
        <v>4.1700000000000001E-2</v>
      </c>
      <c r="M30379" s="26">
        <v>1.61E-2</v>
      </c>
      <c r="N30379" s="26">
        <v>2.0999999999999999E-3</v>
      </c>
      <c r="O30379" s="26">
        <v>2.0899999999999998E-2</v>
      </c>
      <c r="P30379" s="26">
        <v>1.3899999999999999E-2</v>
      </c>
      <c r="Q30379" s="26">
        <v>9.1000000000000004E-3</v>
      </c>
      <c r="R30379">
        <v>152</v>
      </c>
    </row>
    <row r="30380" spans="1:18" x14ac:dyDescent="0.35">
      <c r="A30380" t="s">
        <v>231</v>
      </c>
      <c r="B30380" t="s">
        <v>371</v>
      </c>
      <c r="C30380" s="26">
        <v>0.66459999999999997</v>
      </c>
      <c r="D30380" s="26">
        <v>0.1585</v>
      </c>
      <c r="E30380" s="26">
        <v>0.128</v>
      </c>
      <c r="F30380" s="26">
        <v>3.6600000000000001E-2</v>
      </c>
      <c r="G30380" s="26">
        <v>3.6600000000000001E-2</v>
      </c>
      <c r="H30380" s="26">
        <v>2.4400000000000002E-2</v>
      </c>
      <c r="I30380" s="26">
        <v>1.83E-2</v>
      </c>
      <c r="J30380" s="26">
        <v>1.83E-2</v>
      </c>
      <c r="K30380" s="26">
        <v>3.0499999999999999E-2</v>
      </c>
      <c r="L30380" s="26">
        <v>6.1000000000000004E-3</v>
      </c>
      <c r="M30380" s="26">
        <v>6.1000000000000004E-3</v>
      </c>
      <c r="N30380" s="26">
        <v>6.1000000000000004E-3</v>
      </c>
      <c r="R30380">
        <v>164</v>
      </c>
    </row>
    <row r="30381" spans="1:18" x14ac:dyDescent="0.35">
      <c r="A30381" t="s">
        <v>232</v>
      </c>
      <c r="B30381" t="s">
        <v>232</v>
      </c>
      <c r="C30381" s="26">
        <v>0.503</v>
      </c>
      <c r="D30381" s="26">
        <v>0.24610000000000001</v>
      </c>
      <c r="E30381" s="26">
        <v>0.12909999999999999</v>
      </c>
      <c r="F30381" s="26">
        <v>6.9500000000000006E-2</v>
      </c>
      <c r="G30381" s="26">
        <v>6.6600000000000006E-2</v>
      </c>
      <c r="H30381" s="26">
        <v>5.0700000000000002E-2</v>
      </c>
      <c r="I30381" s="26">
        <v>3.5900000000000001E-2</v>
      </c>
      <c r="J30381" s="26">
        <v>3.3399999999999999E-2</v>
      </c>
      <c r="K30381" s="26">
        <v>2.8799999999999999E-2</v>
      </c>
      <c r="L30381" s="26">
        <v>2.5600000000000001E-2</v>
      </c>
      <c r="M30381" s="26">
        <v>2.35E-2</v>
      </c>
      <c r="N30381" s="26">
        <v>1.9199999999999998E-2</v>
      </c>
      <c r="O30381" s="26">
        <v>0.01</v>
      </c>
      <c r="P30381" s="26">
        <v>5.1000000000000004E-3</v>
      </c>
      <c r="Q30381" s="26">
        <v>3.5000000000000001E-3</v>
      </c>
      <c r="R30381">
        <v>2812</v>
      </c>
    </row>
    <row r="30383" spans="1:18" x14ac:dyDescent="0.35">
      <c r="A30383" s="1" t="s">
        <v>2709</v>
      </c>
    </row>
    <row r="30384" spans="1:18" x14ac:dyDescent="0.35">
      <c r="A30384" t="s">
        <v>219</v>
      </c>
      <c r="B30384" t="s">
        <v>305</v>
      </c>
      <c r="C30384" t="s">
        <v>2686</v>
      </c>
      <c r="D30384" t="s">
        <v>2687</v>
      </c>
      <c r="E30384" t="s">
        <v>2688</v>
      </c>
      <c r="F30384" t="s">
        <v>2689</v>
      </c>
      <c r="G30384" t="s">
        <v>2690</v>
      </c>
      <c r="H30384" t="s">
        <v>2691</v>
      </c>
      <c r="I30384" t="s">
        <v>2692</v>
      </c>
      <c r="J30384" t="s">
        <v>2693</v>
      </c>
      <c r="K30384" t="s">
        <v>281</v>
      </c>
      <c r="L30384" t="s">
        <v>2694</v>
      </c>
      <c r="M30384" t="s">
        <v>2695</v>
      </c>
      <c r="N30384" t="s">
        <v>2696</v>
      </c>
      <c r="O30384" t="s">
        <v>2697</v>
      </c>
      <c r="P30384" t="s">
        <v>286</v>
      </c>
      <c r="Q30384" t="s">
        <v>2698</v>
      </c>
      <c r="R30384" t="s">
        <v>226</v>
      </c>
    </row>
    <row r="30385" spans="1:18" x14ac:dyDescent="0.35">
      <c r="A30385" t="s">
        <v>227</v>
      </c>
      <c r="B30385" t="s">
        <v>255</v>
      </c>
      <c r="C30385" s="26">
        <v>0.56410000000000005</v>
      </c>
      <c r="D30385" s="26">
        <v>0.2137</v>
      </c>
      <c r="E30385" s="26">
        <v>0.14530000000000001</v>
      </c>
      <c r="F30385" s="26">
        <v>3.4200000000000001E-2</v>
      </c>
      <c r="G30385" s="26">
        <v>5.1299999999999998E-2</v>
      </c>
      <c r="H30385" s="26">
        <v>3.4200000000000001E-2</v>
      </c>
      <c r="I30385" s="26">
        <v>8.5000000000000006E-3</v>
      </c>
      <c r="J30385" s="26">
        <v>1.7100000000000001E-2</v>
      </c>
      <c r="K30385" s="26">
        <v>1.7100000000000001E-2</v>
      </c>
      <c r="L30385" s="26">
        <v>1.7100000000000001E-2</v>
      </c>
      <c r="M30385" s="26">
        <v>8.5000000000000006E-3</v>
      </c>
      <c r="N30385" s="26">
        <v>8.5000000000000006E-3</v>
      </c>
      <c r="R30385">
        <v>117</v>
      </c>
    </row>
    <row r="30386" spans="1:18" x14ac:dyDescent="0.35">
      <c r="A30386" s="27" t="s">
        <v>227</v>
      </c>
      <c r="B30386" s="27" t="s">
        <v>257</v>
      </c>
      <c r="C30386" s="28">
        <v>0.55559999999999998</v>
      </c>
      <c r="D30386" s="29"/>
      <c r="E30386" s="28">
        <v>0.22220000000000001</v>
      </c>
      <c r="F30386" s="28">
        <v>0.1111</v>
      </c>
      <c r="G30386" s="29"/>
      <c r="H30386" s="28">
        <v>0.1111</v>
      </c>
      <c r="I30386" s="29"/>
      <c r="J30386" s="29"/>
      <c r="K30386" s="28">
        <v>0.1111</v>
      </c>
      <c r="L30386" s="29"/>
      <c r="M30386" s="29"/>
      <c r="N30386" s="29"/>
      <c r="O30386" s="29"/>
      <c r="P30386" s="29"/>
      <c r="Q30386" s="29"/>
      <c r="R30386" s="29" t="s">
        <v>334</v>
      </c>
    </row>
    <row r="30387" spans="1:18" x14ac:dyDescent="0.35">
      <c r="A30387" t="s">
        <v>227</v>
      </c>
      <c r="B30387" t="s">
        <v>256</v>
      </c>
      <c r="C30387" s="26">
        <v>0.51429999999999998</v>
      </c>
      <c r="D30387" s="26">
        <v>0.2571</v>
      </c>
      <c r="E30387" s="26">
        <v>0.1714</v>
      </c>
      <c r="F30387" s="26">
        <v>5.7099999999999998E-2</v>
      </c>
      <c r="G30387" s="26">
        <v>8.5699999999999998E-2</v>
      </c>
      <c r="H30387" s="26">
        <v>2.86E-2</v>
      </c>
      <c r="I30387" s="26">
        <v>2.86E-2</v>
      </c>
      <c r="J30387" s="26">
        <v>8.5699999999999998E-2</v>
      </c>
      <c r="L30387" s="26">
        <v>5.7099999999999998E-2</v>
      </c>
      <c r="N30387" s="26">
        <v>5.7099999999999998E-2</v>
      </c>
      <c r="R30387">
        <v>35</v>
      </c>
    </row>
    <row r="30388" spans="1:18" x14ac:dyDescent="0.35">
      <c r="A30388" t="s">
        <v>228</v>
      </c>
      <c r="B30388" t="s">
        <v>257</v>
      </c>
      <c r="C30388" s="26">
        <v>0.41439999999999999</v>
      </c>
      <c r="D30388" s="26">
        <v>0.35220000000000001</v>
      </c>
      <c r="E30388" s="26">
        <v>5.0700000000000002E-2</v>
      </c>
      <c r="F30388" s="26">
        <v>0.14019999999999999</v>
      </c>
      <c r="G30388" s="26">
        <v>9.7299999999999998E-2</v>
      </c>
      <c r="H30388" s="26">
        <v>3.6999999999999998E-2</v>
      </c>
      <c r="I30388" s="26">
        <v>8.5400000000000004E-2</v>
      </c>
      <c r="J30388" s="26">
        <v>4.82E-2</v>
      </c>
      <c r="L30388" s="26">
        <v>9.2899999999999996E-2</v>
      </c>
      <c r="M30388" s="26">
        <v>5.5399999999999998E-2</v>
      </c>
      <c r="N30388" s="26">
        <v>0.1113</v>
      </c>
      <c r="O30388" s="26">
        <v>2.6499999999999999E-2</v>
      </c>
      <c r="Q30388" s="26">
        <v>0.05</v>
      </c>
      <c r="R30388">
        <v>49</v>
      </c>
    </row>
    <row r="30389" spans="1:18" x14ac:dyDescent="0.35">
      <c r="A30389" s="27" t="s">
        <v>228</v>
      </c>
      <c r="B30389" s="27" t="s">
        <v>258</v>
      </c>
      <c r="C30389" s="29"/>
      <c r="D30389" s="28">
        <v>9.8100000000000007E-2</v>
      </c>
      <c r="E30389" s="29"/>
      <c r="F30389" s="29"/>
      <c r="G30389" s="28">
        <v>0.2092</v>
      </c>
      <c r="H30389" s="29"/>
      <c r="I30389" s="29"/>
      <c r="J30389" s="28">
        <v>0.2092</v>
      </c>
      <c r="K30389" s="28">
        <v>0.59470000000000001</v>
      </c>
      <c r="L30389" s="29"/>
      <c r="M30389" s="29"/>
      <c r="N30389" s="29"/>
      <c r="O30389" s="29"/>
      <c r="P30389" s="28">
        <v>9.8100000000000007E-2</v>
      </c>
      <c r="Q30389" s="29"/>
      <c r="R30389" s="29" t="s">
        <v>337</v>
      </c>
    </row>
    <row r="30390" spans="1:18" x14ac:dyDescent="0.35">
      <c r="A30390" t="s">
        <v>228</v>
      </c>
      <c r="B30390" t="s">
        <v>256</v>
      </c>
      <c r="C30390" s="26">
        <v>0.40510000000000002</v>
      </c>
      <c r="D30390" s="26">
        <v>0.30940000000000001</v>
      </c>
      <c r="E30390" s="26">
        <v>0.13819999999999999</v>
      </c>
      <c r="F30390" s="26">
        <v>0.14069999999999999</v>
      </c>
      <c r="G30390" s="26">
        <v>8.0299999999999996E-2</v>
      </c>
      <c r="H30390" s="26">
        <v>0.1124</v>
      </c>
      <c r="I30390" s="26">
        <v>8.4199999999999997E-2</v>
      </c>
      <c r="J30390" s="26">
        <v>0.06</v>
      </c>
      <c r="K30390" s="26">
        <v>5.1999999999999998E-3</v>
      </c>
      <c r="L30390" s="26">
        <v>2.7699999999999999E-2</v>
      </c>
      <c r="M30390" s="26">
        <v>1.29E-2</v>
      </c>
      <c r="N30390" s="26">
        <v>1.5299999999999999E-2</v>
      </c>
      <c r="O30390" s="26">
        <v>1.2E-2</v>
      </c>
      <c r="Q30390" s="26">
        <v>4.7999999999999996E-3</v>
      </c>
      <c r="R30390">
        <v>221</v>
      </c>
    </row>
    <row r="30391" spans="1:18" x14ac:dyDescent="0.35">
      <c r="A30391" t="s">
        <v>228</v>
      </c>
      <c r="B30391" t="s">
        <v>255</v>
      </c>
      <c r="C30391" s="26">
        <v>0.35349999999999998</v>
      </c>
      <c r="D30391" s="26">
        <v>0.36599999999999999</v>
      </c>
      <c r="E30391" s="26">
        <v>0.1099</v>
      </c>
      <c r="F30391" s="26">
        <v>6.93E-2</v>
      </c>
      <c r="G30391" s="26">
        <v>5.8099999999999999E-2</v>
      </c>
      <c r="H30391" s="26">
        <v>5.5199999999999999E-2</v>
      </c>
      <c r="I30391" s="26">
        <v>5.9700000000000003E-2</v>
      </c>
      <c r="J30391" s="26">
        <v>0.05</v>
      </c>
      <c r="K30391" s="26">
        <v>4.3400000000000001E-2</v>
      </c>
      <c r="L30391" s="26">
        <v>5.9799999999999999E-2</v>
      </c>
      <c r="M30391" s="26">
        <v>4.6800000000000001E-2</v>
      </c>
      <c r="N30391" s="26">
        <v>2.9399999999999999E-2</v>
      </c>
      <c r="O30391" s="26">
        <v>2.01E-2</v>
      </c>
      <c r="P30391" s="26">
        <v>1.46E-2</v>
      </c>
      <c r="Q30391" s="26">
        <v>1.1999999999999999E-3</v>
      </c>
      <c r="R30391">
        <v>758</v>
      </c>
    </row>
    <row r="30392" spans="1:18" x14ac:dyDescent="0.35">
      <c r="A30392" t="s">
        <v>229</v>
      </c>
      <c r="B30392" t="s">
        <v>256</v>
      </c>
      <c r="C30392" s="26">
        <v>0.47249999999999998</v>
      </c>
      <c r="D30392" s="26">
        <v>0.16980000000000001</v>
      </c>
      <c r="E30392" s="26">
        <v>0.1394</v>
      </c>
      <c r="F30392" s="26">
        <v>0.1007</v>
      </c>
      <c r="G30392" s="26">
        <v>0.1459</v>
      </c>
      <c r="H30392" s="26">
        <v>6.4799999999999996E-2</v>
      </c>
      <c r="I30392" s="26">
        <v>4.2900000000000001E-2</v>
      </c>
      <c r="J30392" s="26">
        <v>2.1000000000000001E-2</v>
      </c>
      <c r="K30392" s="26">
        <v>2.4299999999999999E-2</v>
      </c>
      <c r="L30392" s="26">
        <v>4.19E-2</v>
      </c>
      <c r="M30392" s="26">
        <v>2.92E-2</v>
      </c>
      <c r="N30392" s="26">
        <v>3.8399999999999997E-2</v>
      </c>
      <c r="O30392" s="26">
        <v>1.37E-2</v>
      </c>
      <c r="P30392" s="26">
        <v>1.21E-2</v>
      </c>
      <c r="Q30392" s="26">
        <v>2.3999999999999998E-3</v>
      </c>
      <c r="R30392">
        <v>207</v>
      </c>
    </row>
    <row r="30393" spans="1:18" x14ac:dyDescent="0.35">
      <c r="A30393" t="s">
        <v>229</v>
      </c>
      <c r="B30393" t="s">
        <v>255</v>
      </c>
      <c r="C30393" s="26">
        <v>0.44990000000000002</v>
      </c>
      <c r="D30393" s="26">
        <v>0.29859999999999998</v>
      </c>
      <c r="E30393" s="26">
        <v>9.5000000000000001E-2</v>
      </c>
      <c r="F30393" s="26">
        <v>8.8599999999999998E-2</v>
      </c>
      <c r="G30393" s="26">
        <v>5.21E-2</v>
      </c>
      <c r="H30393" s="26">
        <v>6.0400000000000002E-2</v>
      </c>
      <c r="I30393" s="26">
        <v>4.0899999999999999E-2</v>
      </c>
      <c r="J30393" s="26">
        <v>3.3599999999999998E-2</v>
      </c>
      <c r="K30393" s="26">
        <v>3.3399999999999999E-2</v>
      </c>
      <c r="L30393" s="26">
        <v>1.89E-2</v>
      </c>
      <c r="M30393" s="26">
        <v>2.8400000000000002E-2</v>
      </c>
      <c r="N30393" s="26">
        <v>1.26E-2</v>
      </c>
      <c r="O30393" s="26">
        <v>1.5100000000000001E-2</v>
      </c>
      <c r="P30393" s="26">
        <v>5.1999999999999998E-3</v>
      </c>
      <c r="Q30393" s="26">
        <v>1.09E-2</v>
      </c>
      <c r="R30393">
        <v>636</v>
      </c>
    </row>
    <row r="30394" spans="1:18" x14ac:dyDescent="0.35">
      <c r="A30394" t="s">
        <v>229</v>
      </c>
      <c r="B30394" t="s">
        <v>257</v>
      </c>
      <c r="C30394" s="26">
        <v>0.38350000000000001</v>
      </c>
      <c r="D30394" s="26">
        <v>0.26469999999999999</v>
      </c>
      <c r="E30394" s="26">
        <v>0.1731</v>
      </c>
      <c r="F30394" s="26">
        <v>0.2223</v>
      </c>
      <c r="G30394" s="26">
        <v>0.10489999999999999</v>
      </c>
      <c r="H30394" s="26">
        <v>0.11269999999999999</v>
      </c>
      <c r="I30394" s="26">
        <v>0.1096</v>
      </c>
      <c r="J30394" s="26">
        <v>0.10349999999999999</v>
      </c>
      <c r="K30394" s="26">
        <v>1.23E-2</v>
      </c>
      <c r="L30394" s="26">
        <v>1.7000000000000001E-2</v>
      </c>
      <c r="M30394" s="26">
        <v>7.2499999999999995E-2</v>
      </c>
      <c r="N30394" s="26">
        <v>5.7200000000000001E-2</v>
      </c>
      <c r="O30394" s="26">
        <v>1.0999999999999999E-2</v>
      </c>
      <c r="Q30394" s="26">
        <v>7.7999999999999996E-3</v>
      </c>
      <c r="R30394">
        <v>50</v>
      </c>
    </row>
    <row r="30395" spans="1:18" x14ac:dyDescent="0.35">
      <c r="A30395" s="27" t="s">
        <v>229</v>
      </c>
      <c r="B30395" s="27" t="s">
        <v>258</v>
      </c>
      <c r="C30395" s="29"/>
      <c r="D30395" s="28">
        <v>1</v>
      </c>
      <c r="E30395" s="29"/>
      <c r="F30395" s="29"/>
      <c r="G30395" s="29"/>
      <c r="H30395" s="29"/>
      <c r="I30395" s="29"/>
      <c r="J30395" s="29"/>
      <c r="K30395" s="29"/>
      <c r="L30395" s="29"/>
      <c r="M30395" s="29"/>
      <c r="N30395" s="29"/>
      <c r="O30395" s="29"/>
      <c r="P30395" s="29"/>
      <c r="Q30395" s="29"/>
      <c r="R30395" s="29" t="s">
        <v>314</v>
      </c>
    </row>
    <row r="30396" spans="1:18" x14ac:dyDescent="0.35">
      <c r="A30396" t="s">
        <v>230</v>
      </c>
      <c r="B30396" t="s">
        <v>256</v>
      </c>
      <c r="C30396" s="26">
        <v>0.37109999999999999</v>
      </c>
      <c r="D30396" s="26">
        <v>0.28920000000000001</v>
      </c>
      <c r="E30396" s="26">
        <v>0.1779</v>
      </c>
      <c r="F30396" s="26">
        <v>7.9100000000000004E-2</v>
      </c>
      <c r="G30396" s="26">
        <v>0.158</v>
      </c>
      <c r="H30396" s="26">
        <v>8.0199999999999994E-2</v>
      </c>
      <c r="I30396" s="26">
        <v>8.1000000000000003E-2</v>
      </c>
      <c r="J30396" s="26">
        <v>9.8400000000000001E-2</v>
      </c>
      <c r="K30396" s="26">
        <v>3.5000000000000001E-3</v>
      </c>
      <c r="L30396" s="26">
        <v>5.3800000000000001E-2</v>
      </c>
      <c r="M30396" s="26">
        <v>7.4300000000000005E-2</v>
      </c>
      <c r="N30396" s="26">
        <v>5.1499999999999997E-2</v>
      </c>
      <c r="O30396" s="26">
        <v>3.0800000000000001E-2</v>
      </c>
      <c r="P30396" s="26">
        <v>2.07E-2</v>
      </c>
      <c r="Q30396" s="26">
        <v>3.2000000000000002E-3</v>
      </c>
      <c r="R30396">
        <v>130</v>
      </c>
    </row>
    <row r="30397" spans="1:18" x14ac:dyDescent="0.35">
      <c r="A30397" t="s">
        <v>230</v>
      </c>
      <c r="B30397" t="s">
        <v>255</v>
      </c>
      <c r="C30397" s="26">
        <v>0.39379999999999998</v>
      </c>
      <c r="D30397" s="26">
        <v>0.31840000000000002</v>
      </c>
      <c r="E30397" s="26">
        <v>0.15479999999999999</v>
      </c>
      <c r="F30397" s="26">
        <v>6.2600000000000003E-2</v>
      </c>
      <c r="G30397" s="26">
        <v>0.10199999999999999</v>
      </c>
      <c r="H30397" s="26">
        <v>5.8599999999999999E-2</v>
      </c>
      <c r="I30397" s="26">
        <v>1.03E-2</v>
      </c>
      <c r="J30397" s="26">
        <v>9.4000000000000004E-3</v>
      </c>
      <c r="K30397" s="26">
        <v>3.5000000000000003E-2</v>
      </c>
      <c r="L30397" s="26">
        <v>1.78E-2</v>
      </c>
      <c r="M30397" s="26">
        <v>4.07E-2</v>
      </c>
      <c r="N30397" s="26">
        <v>1.9199999999999998E-2</v>
      </c>
      <c r="O30397" s="26">
        <v>1.6400000000000001E-2</v>
      </c>
      <c r="P30397" s="26">
        <v>8.0999999999999996E-3</v>
      </c>
      <c r="Q30397" s="26">
        <v>2.2000000000000001E-3</v>
      </c>
      <c r="R30397">
        <v>389</v>
      </c>
    </row>
    <row r="30398" spans="1:18" x14ac:dyDescent="0.35">
      <c r="A30398" t="s">
        <v>230</v>
      </c>
      <c r="B30398" t="s">
        <v>257</v>
      </c>
      <c r="C30398" s="26">
        <v>0.40600000000000003</v>
      </c>
      <c r="D30398" s="26">
        <v>0.1173</v>
      </c>
      <c r="E30398" s="26">
        <v>0.31219999999999998</v>
      </c>
      <c r="F30398" s="26">
        <v>0.18559999999999999</v>
      </c>
      <c r="G30398" s="26">
        <v>0.27850000000000003</v>
      </c>
      <c r="H30398" s="26">
        <v>0.16889999999999999</v>
      </c>
      <c r="I30398" s="26">
        <v>8.77E-2</v>
      </c>
      <c r="J30398" s="26">
        <v>9.64E-2</v>
      </c>
      <c r="L30398" s="26">
        <v>2.8299999999999999E-2</v>
      </c>
      <c r="M30398" s="26">
        <v>1.1599999999999999E-2</v>
      </c>
      <c r="N30398" s="26">
        <v>1.54E-2</v>
      </c>
      <c r="O30398" s="26">
        <v>0.08</v>
      </c>
      <c r="P30398" s="26">
        <v>1.2800000000000001E-2</v>
      </c>
      <c r="Q30398" s="26">
        <v>3.8999999999999998E-3</v>
      </c>
      <c r="R30398">
        <v>38</v>
      </c>
    </row>
    <row r="30399" spans="1:18" x14ac:dyDescent="0.35">
      <c r="A30399" s="27" t="s">
        <v>230</v>
      </c>
      <c r="B30399" s="27" t="s">
        <v>258</v>
      </c>
      <c r="C30399" s="28">
        <v>0.17730000000000001</v>
      </c>
      <c r="D30399" s="29"/>
      <c r="E30399" s="28">
        <v>0.82269999999999999</v>
      </c>
      <c r="F30399" s="29"/>
      <c r="G30399" s="29"/>
      <c r="H30399" s="29"/>
      <c r="I30399" s="29"/>
      <c r="J30399" s="29"/>
      <c r="K30399" s="29"/>
      <c r="L30399" s="29"/>
      <c r="M30399" s="29"/>
      <c r="N30399" s="29"/>
      <c r="O30399" s="29"/>
      <c r="P30399" s="29"/>
      <c r="Q30399" s="29"/>
      <c r="R30399" s="29" t="s">
        <v>315</v>
      </c>
    </row>
    <row r="30400" spans="1:18" x14ac:dyDescent="0.35">
      <c r="A30400" s="27" t="s">
        <v>231</v>
      </c>
      <c r="B30400" s="27" t="s">
        <v>257</v>
      </c>
      <c r="C30400" s="28">
        <v>1</v>
      </c>
      <c r="D30400" s="29"/>
      <c r="E30400" s="29"/>
      <c r="F30400" s="29"/>
      <c r="G30400" s="29"/>
      <c r="H30400" s="29"/>
      <c r="I30400" s="29"/>
      <c r="J30400" s="29"/>
      <c r="K30400" s="29"/>
      <c r="L30400" s="29"/>
      <c r="M30400" s="29"/>
      <c r="N30400" s="29"/>
      <c r="O30400" s="29"/>
      <c r="P30400" s="29"/>
      <c r="Q30400" s="29"/>
      <c r="R30400" s="29" t="s">
        <v>339</v>
      </c>
    </row>
    <row r="30401" spans="1:18" x14ac:dyDescent="0.35">
      <c r="A30401" t="s">
        <v>231</v>
      </c>
      <c r="B30401" t="s">
        <v>255</v>
      </c>
      <c r="C30401" s="26">
        <v>0.69769999999999999</v>
      </c>
      <c r="D30401" s="26">
        <v>0.13950000000000001</v>
      </c>
      <c r="E30401" s="26">
        <v>0.1008</v>
      </c>
      <c r="F30401" s="26">
        <v>2.3300000000000001E-2</v>
      </c>
      <c r="G30401" s="26">
        <v>2.3300000000000001E-2</v>
      </c>
      <c r="H30401" s="26">
        <v>1.55E-2</v>
      </c>
      <c r="J30401" s="26">
        <v>7.7999999999999996E-3</v>
      </c>
      <c r="K30401" s="26">
        <v>3.8800000000000001E-2</v>
      </c>
      <c r="N30401" s="26">
        <v>7.7999999999999996E-3</v>
      </c>
      <c r="R30401">
        <v>129</v>
      </c>
    </row>
    <row r="30402" spans="1:18" x14ac:dyDescent="0.35">
      <c r="A30402" s="27" t="s">
        <v>231</v>
      </c>
      <c r="B30402" s="27" t="s">
        <v>256</v>
      </c>
      <c r="C30402" s="28">
        <v>0.42859999999999998</v>
      </c>
      <c r="D30402" s="28">
        <v>0.28570000000000001</v>
      </c>
      <c r="E30402" s="28">
        <v>0.28570000000000001</v>
      </c>
      <c r="F30402" s="28">
        <v>0.1071</v>
      </c>
      <c r="G30402" s="28">
        <v>0.1071</v>
      </c>
      <c r="H30402" s="28">
        <v>7.1400000000000005E-2</v>
      </c>
      <c r="I30402" s="28">
        <v>0.1071</v>
      </c>
      <c r="J30402" s="28">
        <v>7.1400000000000005E-2</v>
      </c>
      <c r="K30402" s="29"/>
      <c r="L30402" s="28">
        <v>3.5700000000000003E-2</v>
      </c>
      <c r="M30402" s="28">
        <v>3.5700000000000003E-2</v>
      </c>
      <c r="N30402" s="29"/>
      <c r="O30402" s="29"/>
      <c r="P30402" s="29"/>
      <c r="Q30402" s="29"/>
      <c r="R30402" s="29" t="s">
        <v>336</v>
      </c>
    </row>
    <row r="30403" spans="1:18" x14ac:dyDescent="0.35">
      <c r="A30403" t="s">
        <v>232</v>
      </c>
      <c r="B30403" t="s">
        <v>232</v>
      </c>
      <c r="C30403" s="26">
        <v>0.503</v>
      </c>
      <c r="D30403" s="26">
        <v>0.24610000000000001</v>
      </c>
      <c r="E30403" s="26">
        <v>0.12909999999999999</v>
      </c>
      <c r="F30403" s="26">
        <v>6.9500000000000006E-2</v>
      </c>
      <c r="G30403" s="26">
        <v>6.6600000000000006E-2</v>
      </c>
      <c r="H30403" s="26">
        <v>5.0700000000000002E-2</v>
      </c>
      <c r="I30403" s="26">
        <v>3.5900000000000001E-2</v>
      </c>
      <c r="J30403" s="26">
        <v>3.3399999999999999E-2</v>
      </c>
      <c r="K30403" s="26">
        <v>2.8799999999999999E-2</v>
      </c>
      <c r="L30403" s="26">
        <v>2.5600000000000001E-2</v>
      </c>
      <c r="M30403" s="26">
        <v>2.35E-2</v>
      </c>
      <c r="N30403" s="26">
        <v>1.9199999999999998E-2</v>
      </c>
      <c r="O30403" s="26">
        <v>0.01</v>
      </c>
      <c r="P30403" s="26">
        <v>5.1000000000000004E-3</v>
      </c>
      <c r="Q30403" s="26">
        <v>3.5000000000000001E-3</v>
      </c>
      <c r="R30403">
        <v>2812</v>
      </c>
    </row>
    <row r="30405" spans="1:18" x14ac:dyDescent="0.35">
      <c r="A30405" s="1" t="s">
        <v>2710</v>
      </c>
    </row>
    <row r="30406" spans="1:18" x14ac:dyDescent="0.35">
      <c r="A30406" t="s">
        <v>219</v>
      </c>
      <c r="B30406" t="s">
        <v>305</v>
      </c>
      <c r="C30406" t="s">
        <v>2686</v>
      </c>
      <c r="D30406" t="s">
        <v>2687</v>
      </c>
      <c r="E30406" t="s">
        <v>2688</v>
      </c>
      <c r="F30406" t="s">
        <v>2689</v>
      </c>
      <c r="G30406" t="s">
        <v>2690</v>
      </c>
      <c r="H30406" t="s">
        <v>2691</v>
      </c>
      <c r="I30406" t="s">
        <v>2692</v>
      </c>
      <c r="J30406" t="s">
        <v>2693</v>
      </c>
      <c r="K30406" t="s">
        <v>281</v>
      </c>
      <c r="L30406" t="s">
        <v>2694</v>
      </c>
      <c r="M30406" t="s">
        <v>2695</v>
      </c>
      <c r="N30406" t="s">
        <v>2696</v>
      </c>
      <c r="O30406" t="s">
        <v>2697</v>
      </c>
      <c r="P30406" t="s">
        <v>286</v>
      </c>
      <c r="Q30406" t="s">
        <v>2698</v>
      </c>
      <c r="R30406" t="s">
        <v>226</v>
      </c>
    </row>
    <row r="30407" spans="1:18" x14ac:dyDescent="0.35">
      <c r="A30407" t="s">
        <v>227</v>
      </c>
      <c r="B30407" t="s">
        <v>1341</v>
      </c>
      <c r="C30407" s="26">
        <v>0.59179999999999999</v>
      </c>
      <c r="D30407" s="26">
        <v>0.28570000000000001</v>
      </c>
      <c r="E30407" s="26">
        <v>6.1199999999999997E-2</v>
      </c>
      <c r="K30407" s="26">
        <v>2.0400000000000001E-2</v>
      </c>
      <c r="L30407" s="26">
        <v>4.0800000000000003E-2</v>
      </c>
      <c r="R30407">
        <v>49</v>
      </c>
    </row>
    <row r="30408" spans="1:18" x14ac:dyDescent="0.35">
      <c r="A30408" s="27" t="s">
        <v>227</v>
      </c>
      <c r="B30408" s="27" t="s">
        <v>1342</v>
      </c>
      <c r="C30408" s="29"/>
      <c r="D30408" s="29"/>
      <c r="E30408" s="28">
        <v>1</v>
      </c>
      <c r="F30408" s="29"/>
      <c r="G30408" s="29"/>
      <c r="H30408" s="29"/>
      <c r="I30408" s="29"/>
      <c r="J30408" s="29"/>
      <c r="K30408" s="29"/>
      <c r="L30408" s="28">
        <v>1</v>
      </c>
      <c r="M30408" s="29"/>
      <c r="N30408" s="29"/>
      <c r="O30408" s="29"/>
      <c r="P30408" s="29"/>
      <c r="Q30408" s="29"/>
      <c r="R30408" s="29" t="s">
        <v>331</v>
      </c>
    </row>
    <row r="30409" spans="1:18" x14ac:dyDescent="0.35">
      <c r="A30409" t="s">
        <v>227</v>
      </c>
      <c r="B30409" t="s">
        <v>1343</v>
      </c>
      <c r="C30409" s="26">
        <v>0.54049999999999998</v>
      </c>
      <c r="D30409" s="26">
        <v>0.1802</v>
      </c>
      <c r="E30409" s="26">
        <v>0.18920000000000001</v>
      </c>
      <c r="F30409" s="26">
        <v>6.3100000000000003E-2</v>
      </c>
      <c r="G30409" s="26">
        <v>8.1100000000000005E-2</v>
      </c>
      <c r="H30409" s="26">
        <v>5.4100000000000002E-2</v>
      </c>
      <c r="I30409" s="26">
        <v>1.7999999999999999E-2</v>
      </c>
      <c r="J30409" s="26">
        <v>4.4999999999999998E-2</v>
      </c>
      <c r="K30409" s="26">
        <v>1.7999999999999999E-2</v>
      </c>
      <c r="L30409" s="26">
        <v>8.9999999999999993E-3</v>
      </c>
      <c r="M30409" s="26">
        <v>8.9999999999999993E-3</v>
      </c>
      <c r="N30409" s="26">
        <v>2.7E-2</v>
      </c>
      <c r="R30409">
        <v>111</v>
      </c>
    </row>
    <row r="30410" spans="1:18" x14ac:dyDescent="0.35">
      <c r="A30410" t="s">
        <v>228</v>
      </c>
      <c r="B30410" t="s">
        <v>1341</v>
      </c>
      <c r="C30410" s="26">
        <v>0.34849999999999998</v>
      </c>
      <c r="D30410" s="26">
        <v>0.3478</v>
      </c>
      <c r="E30410" s="26">
        <v>0.15049999999999999</v>
      </c>
      <c r="F30410" s="26">
        <v>6.7000000000000004E-2</v>
      </c>
      <c r="G30410" s="26">
        <v>7.2900000000000006E-2</v>
      </c>
      <c r="H30410" s="26">
        <v>5.1799999999999999E-2</v>
      </c>
      <c r="I30410" s="26">
        <v>7.1999999999999995E-2</v>
      </c>
      <c r="J30410" s="26">
        <v>6.83E-2</v>
      </c>
      <c r="K30410" s="26">
        <v>2.8799999999999999E-2</v>
      </c>
      <c r="L30410" s="26">
        <v>4.4699999999999997E-2</v>
      </c>
      <c r="M30410" s="26">
        <v>1.6799999999999999E-2</v>
      </c>
      <c r="N30410" s="26">
        <v>1.47E-2</v>
      </c>
      <c r="O30410" s="26">
        <v>1.0999999999999999E-2</v>
      </c>
      <c r="P30410" s="26">
        <v>2.7799999999999998E-2</v>
      </c>
      <c r="Q30410" s="26">
        <v>4.0000000000000001E-3</v>
      </c>
      <c r="R30410">
        <v>304</v>
      </c>
    </row>
    <row r="30411" spans="1:18" x14ac:dyDescent="0.35">
      <c r="A30411" s="27" t="s">
        <v>228</v>
      </c>
      <c r="B30411" s="27" t="s">
        <v>1342</v>
      </c>
      <c r="C30411" s="28">
        <v>1</v>
      </c>
      <c r="D30411" s="29"/>
      <c r="E30411" s="29"/>
      <c r="F30411" s="29"/>
      <c r="G30411" s="29"/>
      <c r="H30411" s="29"/>
      <c r="I30411" s="29"/>
      <c r="J30411" s="29"/>
      <c r="K30411" s="29"/>
      <c r="L30411" s="29"/>
      <c r="M30411" s="29"/>
      <c r="N30411" s="29"/>
      <c r="O30411" s="29"/>
      <c r="P30411" s="29"/>
      <c r="Q30411" s="29"/>
      <c r="R30411" s="29" t="s">
        <v>331</v>
      </c>
    </row>
    <row r="30412" spans="1:18" x14ac:dyDescent="0.35">
      <c r="A30412" t="s">
        <v>228</v>
      </c>
      <c r="B30412" t="s">
        <v>1343</v>
      </c>
      <c r="C30412" s="26">
        <v>0.37190000000000001</v>
      </c>
      <c r="D30412" s="26">
        <v>0.35270000000000001</v>
      </c>
      <c r="E30412" s="26">
        <v>9.8100000000000007E-2</v>
      </c>
      <c r="F30412" s="26">
        <v>9.9699999999999997E-2</v>
      </c>
      <c r="G30412" s="26">
        <v>6.3899999999999998E-2</v>
      </c>
      <c r="H30412" s="26">
        <v>7.4700000000000003E-2</v>
      </c>
      <c r="I30412" s="26">
        <v>6.4699999999999994E-2</v>
      </c>
      <c r="J30412" s="26">
        <v>4.7300000000000002E-2</v>
      </c>
      <c r="K30412" s="26">
        <v>3.7600000000000001E-2</v>
      </c>
      <c r="L30412" s="26">
        <v>5.7299999999999997E-2</v>
      </c>
      <c r="M30412" s="26">
        <v>4.8099999999999997E-2</v>
      </c>
      <c r="N30412" s="26">
        <v>3.6700000000000003E-2</v>
      </c>
      <c r="O30412" s="26">
        <v>2.1499999999999998E-2</v>
      </c>
      <c r="P30412" s="26">
        <v>3.8E-3</v>
      </c>
      <c r="Q30412" s="26">
        <v>4.8999999999999998E-3</v>
      </c>
      <c r="R30412">
        <v>727</v>
      </c>
    </row>
    <row r="30413" spans="1:18" x14ac:dyDescent="0.35">
      <c r="A30413" t="s">
        <v>229</v>
      </c>
      <c r="B30413" t="s">
        <v>1341</v>
      </c>
      <c r="C30413" s="26">
        <v>0.43319999999999997</v>
      </c>
      <c r="D30413" s="26">
        <v>0.26939999999999997</v>
      </c>
      <c r="E30413" s="26">
        <v>0.1603</v>
      </c>
      <c r="F30413" s="26">
        <v>0.1099</v>
      </c>
      <c r="G30413" s="26">
        <v>7.8600000000000003E-2</v>
      </c>
      <c r="H30413" s="26">
        <v>8.3500000000000005E-2</v>
      </c>
      <c r="I30413" s="26">
        <v>4.8800000000000003E-2</v>
      </c>
      <c r="J30413" s="26">
        <v>3.3799999999999997E-2</v>
      </c>
      <c r="K30413" s="26">
        <v>3.7199999999999997E-2</v>
      </c>
      <c r="L30413" s="26">
        <v>4.58E-2</v>
      </c>
      <c r="M30413" s="26">
        <v>2.4199999999999999E-2</v>
      </c>
      <c r="N30413" s="26">
        <v>1.2999999999999999E-2</v>
      </c>
      <c r="O30413" s="26">
        <v>1.37E-2</v>
      </c>
      <c r="P30413" s="26">
        <v>9.1000000000000004E-3</v>
      </c>
      <c r="Q30413" s="26">
        <v>3.0000000000000001E-3</v>
      </c>
      <c r="R30413">
        <v>273</v>
      </c>
    </row>
    <row r="30414" spans="1:18" x14ac:dyDescent="0.35">
      <c r="A30414" t="s">
        <v>229</v>
      </c>
      <c r="B30414" t="s">
        <v>1343</v>
      </c>
      <c r="C30414" s="26">
        <v>0.46160000000000001</v>
      </c>
      <c r="D30414" s="26">
        <v>0.2581</v>
      </c>
      <c r="E30414" s="26">
        <v>8.7499999999999994E-2</v>
      </c>
      <c r="F30414" s="26">
        <v>9.3899999999999997E-2</v>
      </c>
      <c r="G30414" s="26">
        <v>8.1699999999999995E-2</v>
      </c>
      <c r="H30414" s="26">
        <v>5.5100000000000003E-2</v>
      </c>
      <c r="I30414" s="26">
        <v>4.3400000000000001E-2</v>
      </c>
      <c r="J30414" s="26">
        <v>3.4000000000000002E-2</v>
      </c>
      <c r="K30414" s="26">
        <v>2.6200000000000001E-2</v>
      </c>
      <c r="L30414" s="26">
        <v>1.4999999999999999E-2</v>
      </c>
      <c r="M30414" s="26">
        <v>3.4299999999999997E-2</v>
      </c>
      <c r="N30414" s="26">
        <v>2.64E-2</v>
      </c>
      <c r="O30414" s="26">
        <v>1.49E-2</v>
      </c>
      <c r="P30414" s="26">
        <v>5.7000000000000002E-3</v>
      </c>
      <c r="Q30414" s="26">
        <v>1.0999999999999999E-2</v>
      </c>
      <c r="R30414">
        <v>622</v>
      </c>
    </row>
    <row r="30415" spans="1:18" x14ac:dyDescent="0.35">
      <c r="A30415" t="s">
        <v>230</v>
      </c>
      <c r="B30415" t="s">
        <v>1341</v>
      </c>
      <c r="C30415" s="26">
        <v>0.37709999999999999</v>
      </c>
      <c r="D30415" s="26">
        <v>0.3478</v>
      </c>
      <c r="E30415" s="26">
        <v>0.1522</v>
      </c>
      <c r="F30415" s="26">
        <v>0.01</v>
      </c>
      <c r="G30415" s="26">
        <v>7.0599999999999996E-2</v>
      </c>
      <c r="H30415" s="26">
        <v>9.1999999999999998E-3</v>
      </c>
      <c r="I30415" s="26">
        <v>2.5700000000000001E-2</v>
      </c>
      <c r="J30415" s="26">
        <v>2.8299999999999999E-2</v>
      </c>
      <c r="K30415" s="26">
        <v>4.5499999999999999E-2</v>
      </c>
      <c r="L30415" s="26">
        <v>6.1999999999999998E-3</v>
      </c>
      <c r="M30415" s="26">
        <v>3.2500000000000001E-2</v>
      </c>
      <c r="N30415" s="26">
        <v>2.86E-2</v>
      </c>
      <c r="O30415" s="26">
        <v>2.01E-2</v>
      </c>
      <c r="P30415" s="26">
        <v>1.7500000000000002E-2</v>
      </c>
      <c r="Q30415" s="26">
        <v>1.8E-3</v>
      </c>
      <c r="R30415">
        <v>156</v>
      </c>
    </row>
    <row r="30416" spans="1:18" x14ac:dyDescent="0.35">
      <c r="A30416" t="s">
        <v>230</v>
      </c>
      <c r="B30416" t="s">
        <v>1343</v>
      </c>
      <c r="C30416" s="26">
        <v>0.39190000000000003</v>
      </c>
      <c r="D30416" s="26">
        <v>0.27089999999999997</v>
      </c>
      <c r="E30416" s="26">
        <v>0.187</v>
      </c>
      <c r="F30416" s="26">
        <v>0.1041</v>
      </c>
      <c r="G30416" s="26">
        <v>0.154</v>
      </c>
      <c r="H30416" s="26">
        <v>9.9400000000000002E-2</v>
      </c>
      <c r="I30416" s="26">
        <v>3.78E-2</v>
      </c>
      <c r="J30416" s="26">
        <v>4.3099999999999999E-2</v>
      </c>
      <c r="K30416" s="26">
        <v>1.46E-2</v>
      </c>
      <c r="L30416" s="26">
        <v>3.7400000000000003E-2</v>
      </c>
      <c r="M30416" s="26">
        <v>5.3600000000000002E-2</v>
      </c>
      <c r="N30416" s="26">
        <v>2.6499999999999999E-2</v>
      </c>
      <c r="O30416" s="26">
        <v>2.64E-2</v>
      </c>
      <c r="P30416" s="26">
        <v>9.1000000000000004E-3</v>
      </c>
      <c r="Q30416" s="26">
        <v>2.8999999999999998E-3</v>
      </c>
      <c r="R30416">
        <v>404</v>
      </c>
    </row>
    <row r="30417" spans="1:18" x14ac:dyDescent="0.35">
      <c r="A30417" t="s">
        <v>231</v>
      </c>
      <c r="B30417" t="s">
        <v>1341</v>
      </c>
      <c r="C30417" s="26">
        <v>0.69230000000000003</v>
      </c>
      <c r="D30417" s="26">
        <v>0.1077</v>
      </c>
      <c r="E30417" s="26">
        <v>0.15379999999999999</v>
      </c>
      <c r="F30417" s="26">
        <v>4.6199999999999998E-2</v>
      </c>
      <c r="G30417" s="26">
        <v>1.54E-2</v>
      </c>
      <c r="H30417" s="26">
        <v>1.54E-2</v>
      </c>
      <c r="I30417" s="26">
        <v>1.54E-2</v>
      </c>
      <c r="J30417" s="26">
        <v>1.54E-2</v>
      </c>
      <c r="K30417" s="26">
        <v>3.0800000000000001E-2</v>
      </c>
      <c r="N30417" s="26">
        <v>1.54E-2</v>
      </c>
      <c r="R30417">
        <v>65</v>
      </c>
    </row>
    <row r="30418" spans="1:18" x14ac:dyDescent="0.35">
      <c r="A30418" t="s">
        <v>231</v>
      </c>
      <c r="B30418" t="s">
        <v>1343</v>
      </c>
      <c r="C30418" s="26">
        <v>0.64649999999999996</v>
      </c>
      <c r="D30418" s="26">
        <v>0.19189999999999999</v>
      </c>
      <c r="E30418" s="26">
        <v>0.1111</v>
      </c>
      <c r="F30418" s="26">
        <v>3.0300000000000001E-2</v>
      </c>
      <c r="G30418" s="26">
        <v>5.0500000000000003E-2</v>
      </c>
      <c r="H30418" s="26">
        <v>3.0300000000000001E-2</v>
      </c>
      <c r="I30418" s="26">
        <v>2.0199999999999999E-2</v>
      </c>
      <c r="J30418" s="26">
        <v>2.0199999999999999E-2</v>
      </c>
      <c r="K30418" s="26">
        <v>3.0300000000000001E-2</v>
      </c>
      <c r="L30418" s="26">
        <v>1.01E-2</v>
      </c>
      <c r="M30418" s="26">
        <v>1.01E-2</v>
      </c>
      <c r="R30418">
        <v>99</v>
      </c>
    </row>
    <row r="30419" spans="1:18" x14ac:dyDescent="0.35">
      <c r="A30419" t="s">
        <v>232</v>
      </c>
      <c r="B30419" t="s">
        <v>232</v>
      </c>
      <c r="C30419" s="26">
        <v>0.503</v>
      </c>
      <c r="D30419" s="26">
        <v>0.24610000000000001</v>
      </c>
      <c r="E30419" s="26">
        <v>0.12909999999999999</v>
      </c>
      <c r="F30419" s="26">
        <v>6.9500000000000006E-2</v>
      </c>
      <c r="G30419" s="26">
        <v>6.6600000000000006E-2</v>
      </c>
      <c r="H30419" s="26">
        <v>5.0700000000000002E-2</v>
      </c>
      <c r="I30419" s="26">
        <v>3.5900000000000001E-2</v>
      </c>
      <c r="J30419" s="26">
        <v>3.3399999999999999E-2</v>
      </c>
      <c r="K30419" s="26">
        <v>2.8799999999999999E-2</v>
      </c>
      <c r="L30419" s="26">
        <v>2.5600000000000001E-2</v>
      </c>
      <c r="M30419" s="26">
        <v>2.35E-2</v>
      </c>
      <c r="N30419" s="26">
        <v>1.9199999999999998E-2</v>
      </c>
      <c r="O30419" s="26">
        <v>0.01</v>
      </c>
      <c r="P30419" s="26">
        <v>5.1000000000000004E-3</v>
      </c>
      <c r="Q30419" s="26">
        <v>3.5000000000000001E-3</v>
      </c>
      <c r="R30419">
        <v>2812</v>
      </c>
    </row>
    <row r="30421" spans="1:18" x14ac:dyDescent="0.35">
      <c r="A30421" s="1" t="s">
        <v>2711</v>
      </c>
    </row>
    <row r="30422" spans="1:18" x14ac:dyDescent="0.35">
      <c r="A30422" t="s">
        <v>219</v>
      </c>
      <c r="B30422" t="s">
        <v>305</v>
      </c>
      <c r="C30422" t="s">
        <v>2686</v>
      </c>
      <c r="D30422" t="s">
        <v>2687</v>
      </c>
      <c r="E30422" t="s">
        <v>2688</v>
      </c>
      <c r="F30422" t="s">
        <v>2689</v>
      </c>
      <c r="G30422" t="s">
        <v>2690</v>
      </c>
      <c r="H30422" t="s">
        <v>2691</v>
      </c>
      <c r="I30422" t="s">
        <v>2692</v>
      </c>
      <c r="J30422" t="s">
        <v>2693</v>
      </c>
      <c r="K30422" t="s">
        <v>281</v>
      </c>
      <c r="L30422" t="s">
        <v>2694</v>
      </c>
      <c r="M30422" t="s">
        <v>2695</v>
      </c>
      <c r="N30422" t="s">
        <v>2696</v>
      </c>
      <c r="O30422" t="s">
        <v>2697</v>
      </c>
      <c r="P30422" t="s">
        <v>286</v>
      </c>
      <c r="Q30422" t="s">
        <v>2698</v>
      </c>
      <c r="R30422" t="s">
        <v>226</v>
      </c>
    </row>
    <row r="30423" spans="1:18" x14ac:dyDescent="0.35">
      <c r="A30423" s="27" t="s">
        <v>227</v>
      </c>
      <c r="B30423" s="27" t="s">
        <v>1345</v>
      </c>
      <c r="C30423" s="28">
        <v>1</v>
      </c>
      <c r="D30423" s="29"/>
      <c r="E30423" s="29"/>
      <c r="F30423" s="29"/>
      <c r="G30423" s="29"/>
      <c r="H30423" s="29"/>
      <c r="I30423" s="29"/>
      <c r="J30423" s="29"/>
      <c r="K30423" s="29"/>
      <c r="L30423" s="29"/>
      <c r="M30423" s="29"/>
      <c r="N30423" s="29"/>
      <c r="O30423" s="29"/>
      <c r="P30423" s="29"/>
      <c r="Q30423" s="29"/>
      <c r="R30423" s="29" t="s">
        <v>314</v>
      </c>
    </row>
    <row r="30424" spans="1:18" x14ac:dyDescent="0.35">
      <c r="A30424" t="s">
        <v>227</v>
      </c>
      <c r="B30424" t="s">
        <v>1346</v>
      </c>
      <c r="C30424" s="26">
        <v>0.61539999999999995</v>
      </c>
      <c r="D30424" s="26">
        <v>0.25640000000000002</v>
      </c>
      <c r="E30424" s="26">
        <v>2.5600000000000001E-2</v>
      </c>
      <c r="F30424" s="26">
        <v>2.5600000000000001E-2</v>
      </c>
      <c r="G30424" s="26">
        <v>2.5600000000000001E-2</v>
      </c>
      <c r="H30424" s="26">
        <v>2.5600000000000001E-2</v>
      </c>
      <c r="K30424" s="26">
        <v>2.5600000000000001E-2</v>
      </c>
      <c r="L30424" s="26">
        <v>2.5600000000000001E-2</v>
      </c>
      <c r="M30424" s="26">
        <v>2.5600000000000001E-2</v>
      </c>
      <c r="N30424" s="26">
        <v>2.5600000000000001E-2</v>
      </c>
      <c r="R30424">
        <v>39</v>
      </c>
    </row>
    <row r="30425" spans="1:18" x14ac:dyDescent="0.35">
      <c r="A30425" t="s">
        <v>227</v>
      </c>
      <c r="B30425" t="s">
        <v>1347</v>
      </c>
      <c r="C30425" s="26">
        <v>0.55559999999999998</v>
      </c>
      <c r="D30425" s="26">
        <v>0.25</v>
      </c>
      <c r="E30425" s="26">
        <v>0.16669999999999999</v>
      </c>
      <c r="F30425" s="26">
        <v>8.3299999999999999E-2</v>
      </c>
      <c r="G30425" s="26">
        <v>5.5599999999999997E-2</v>
      </c>
      <c r="H30425" s="26">
        <v>5.5599999999999997E-2</v>
      </c>
      <c r="I30425" s="26">
        <v>5.5599999999999997E-2</v>
      </c>
      <c r="J30425" s="26">
        <v>5.5599999999999997E-2</v>
      </c>
      <c r="L30425" s="26">
        <v>2.7799999999999998E-2</v>
      </c>
      <c r="N30425" s="26">
        <v>5.5599999999999997E-2</v>
      </c>
      <c r="R30425">
        <v>36</v>
      </c>
    </row>
    <row r="30426" spans="1:18" x14ac:dyDescent="0.35">
      <c r="A30426" t="s">
        <v>227</v>
      </c>
      <c r="B30426" t="s">
        <v>1348</v>
      </c>
      <c r="C30426" s="26">
        <v>0.51190000000000002</v>
      </c>
      <c r="D30426" s="26">
        <v>0.17860000000000001</v>
      </c>
      <c r="E30426" s="26">
        <v>0.21429999999999999</v>
      </c>
      <c r="F30426" s="26">
        <v>3.5700000000000003E-2</v>
      </c>
      <c r="G30426" s="26">
        <v>7.1400000000000005E-2</v>
      </c>
      <c r="H30426" s="26">
        <v>3.5700000000000003E-2</v>
      </c>
      <c r="J30426" s="26">
        <v>3.5700000000000003E-2</v>
      </c>
      <c r="K30426" s="26">
        <v>2.3800000000000002E-2</v>
      </c>
      <c r="L30426" s="26">
        <v>2.3800000000000002E-2</v>
      </c>
      <c r="R30426">
        <v>84</v>
      </c>
    </row>
    <row r="30427" spans="1:18" x14ac:dyDescent="0.35">
      <c r="A30427" t="s">
        <v>228</v>
      </c>
      <c r="B30427" t="s">
        <v>1348</v>
      </c>
      <c r="C30427" s="26">
        <v>0.35620000000000002</v>
      </c>
      <c r="D30427" s="26">
        <v>0.3412</v>
      </c>
      <c r="E30427" s="26">
        <v>0.14180000000000001</v>
      </c>
      <c r="F30427" s="26">
        <v>9.2700000000000005E-2</v>
      </c>
      <c r="G30427" s="26">
        <v>6.7900000000000002E-2</v>
      </c>
      <c r="H30427" s="26">
        <v>7.9100000000000004E-2</v>
      </c>
      <c r="I30427" s="26">
        <v>5.67E-2</v>
      </c>
      <c r="J30427" s="26">
        <v>5.1799999999999999E-2</v>
      </c>
      <c r="K30427" s="26">
        <v>2.0899999999999998E-2</v>
      </c>
      <c r="L30427" s="26">
        <v>5.3199999999999997E-2</v>
      </c>
      <c r="M30427" s="26">
        <v>3.0700000000000002E-2</v>
      </c>
      <c r="N30427" s="26">
        <v>2.35E-2</v>
      </c>
      <c r="O30427" s="26">
        <v>2.0799999999999999E-2</v>
      </c>
      <c r="P30427" s="26">
        <v>1.4500000000000001E-2</v>
      </c>
      <c r="Q30427" s="26">
        <v>3.3E-3</v>
      </c>
      <c r="R30427">
        <v>531</v>
      </c>
    </row>
    <row r="30428" spans="1:18" x14ac:dyDescent="0.35">
      <c r="A30428" t="s">
        <v>228</v>
      </c>
      <c r="B30428" t="s">
        <v>1347</v>
      </c>
      <c r="C30428" s="26">
        <v>0.3528</v>
      </c>
      <c r="D30428" s="26">
        <v>0.34420000000000001</v>
      </c>
      <c r="E30428" s="26">
        <v>0.15540000000000001</v>
      </c>
      <c r="F30428" s="26">
        <v>0.14710000000000001</v>
      </c>
      <c r="G30428" s="26">
        <v>9.7900000000000001E-2</v>
      </c>
      <c r="H30428" s="26">
        <v>8.2699999999999996E-2</v>
      </c>
      <c r="I30428" s="26">
        <v>0.1246</v>
      </c>
      <c r="J30428" s="26">
        <v>9.1499999999999998E-2</v>
      </c>
      <c r="K30428" s="26">
        <v>7.4999999999999997E-3</v>
      </c>
      <c r="L30428" s="26">
        <v>8.7400000000000005E-2</v>
      </c>
      <c r="M30428" s="26">
        <v>4.1200000000000001E-2</v>
      </c>
      <c r="N30428" s="26">
        <v>6.5799999999999997E-2</v>
      </c>
      <c r="O30428" s="26">
        <v>0.03</v>
      </c>
      <c r="P30428" s="26">
        <v>2.8999999999999998E-3</v>
      </c>
      <c r="Q30428" s="26">
        <v>1.52E-2</v>
      </c>
      <c r="R30428">
        <v>204</v>
      </c>
    </row>
    <row r="30429" spans="1:18" x14ac:dyDescent="0.35">
      <c r="A30429" t="s">
        <v>228</v>
      </c>
      <c r="B30429" t="s">
        <v>1346</v>
      </c>
      <c r="C30429" s="26">
        <v>0.38890000000000002</v>
      </c>
      <c r="D30429" s="26">
        <v>0.3715</v>
      </c>
      <c r="E30429" s="26">
        <v>2.1600000000000001E-2</v>
      </c>
      <c r="F30429" s="26">
        <v>4.4900000000000002E-2</v>
      </c>
      <c r="G30429" s="26">
        <v>4.5499999999999999E-2</v>
      </c>
      <c r="H30429" s="26">
        <v>3.95E-2</v>
      </c>
      <c r="I30429" s="26">
        <v>4.5400000000000003E-2</v>
      </c>
      <c r="J30429" s="26">
        <v>2.81E-2</v>
      </c>
      <c r="K30429" s="26">
        <v>8.6400000000000005E-2</v>
      </c>
      <c r="L30429" s="26">
        <v>3.3599999999999998E-2</v>
      </c>
      <c r="M30429" s="26">
        <v>5.6800000000000003E-2</v>
      </c>
      <c r="N30429" s="26">
        <v>2.01E-2</v>
      </c>
      <c r="O30429" s="26">
        <v>6.4000000000000003E-3</v>
      </c>
      <c r="P30429" s="26">
        <v>9.7000000000000003E-3</v>
      </c>
      <c r="R30429">
        <v>286</v>
      </c>
    </row>
    <row r="30430" spans="1:18" x14ac:dyDescent="0.35">
      <c r="A30430" s="27" t="s">
        <v>228</v>
      </c>
      <c r="B30430" s="27" t="s">
        <v>1345</v>
      </c>
      <c r="C30430" s="28">
        <v>0.501</v>
      </c>
      <c r="D30430" s="28">
        <v>0.36449999999999999</v>
      </c>
      <c r="E30430" s="28">
        <v>0.1346</v>
      </c>
      <c r="F30430" s="28">
        <v>5.45E-2</v>
      </c>
      <c r="G30430" s="29"/>
      <c r="H30430" s="29"/>
      <c r="I30430" s="28">
        <v>5.45E-2</v>
      </c>
      <c r="J30430" s="28">
        <v>5.45E-2</v>
      </c>
      <c r="K30430" s="29"/>
      <c r="L30430" s="29"/>
      <c r="M30430" s="29"/>
      <c r="N30430" s="29"/>
      <c r="O30430" s="29"/>
      <c r="P30430" s="29"/>
      <c r="Q30430" s="29"/>
      <c r="R30430" s="29" t="s">
        <v>352</v>
      </c>
    </row>
    <row r="30431" spans="1:18" x14ac:dyDescent="0.35">
      <c r="A30431" s="27" t="s">
        <v>229</v>
      </c>
      <c r="B30431" s="27" t="s">
        <v>1345</v>
      </c>
      <c r="C30431" s="28">
        <v>0.67930000000000001</v>
      </c>
      <c r="D30431" s="28">
        <v>1.84E-2</v>
      </c>
      <c r="E30431" s="28">
        <v>8.8999999999999996E-2</v>
      </c>
      <c r="F30431" s="28">
        <v>0.1958</v>
      </c>
      <c r="G30431" s="28">
        <v>0.1182</v>
      </c>
      <c r="H30431" s="28">
        <v>0.1958</v>
      </c>
      <c r="I30431" s="29"/>
      <c r="J30431" s="29"/>
      <c r="K30431" s="29"/>
      <c r="L30431" s="29"/>
      <c r="M30431" s="29"/>
      <c r="N30431" s="29"/>
      <c r="O30431" s="29"/>
      <c r="P30431" s="29"/>
      <c r="Q30431" s="29"/>
      <c r="R30431" s="29" t="s">
        <v>357</v>
      </c>
    </row>
    <row r="30432" spans="1:18" x14ac:dyDescent="0.35">
      <c r="A30432" t="s">
        <v>229</v>
      </c>
      <c r="B30432" t="s">
        <v>1346</v>
      </c>
      <c r="C30432" s="26">
        <v>0.52649999999999997</v>
      </c>
      <c r="D30432" s="26">
        <v>0.24879999999999999</v>
      </c>
      <c r="E30432" s="26">
        <v>5.4100000000000002E-2</v>
      </c>
      <c r="F30432" s="26">
        <v>4.4999999999999998E-2</v>
      </c>
      <c r="G30432" s="26">
        <v>2.58E-2</v>
      </c>
      <c r="H30432" s="26">
        <v>2.81E-2</v>
      </c>
      <c r="I30432" s="26">
        <v>8.0999999999999996E-3</v>
      </c>
      <c r="J30432" s="26">
        <v>6.1000000000000004E-3</v>
      </c>
      <c r="K30432" s="26">
        <v>9.0999999999999998E-2</v>
      </c>
      <c r="L30432" s="26">
        <v>2.8E-3</v>
      </c>
      <c r="M30432" s="26">
        <v>3.3599999999999998E-2</v>
      </c>
      <c r="N30432" s="26">
        <v>4.0000000000000001E-3</v>
      </c>
      <c r="O30432" s="26">
        <v>2.3999999999999998E-3</v>
      </c>
      <c r="P30432" s="26">
        <v>3.2000000000000002E-3</v>
      </c>
      <c r="Q30432" s="26">
        <v>4.0000000000000001E-3</v>
      </c>
      <c r="R30432">
        <v>184</v>
      </c>
    </row>
    <row r="30433" spans="1:19" x14ac:dyDescent="0.35">
      <c r="A30433" t="s">
        <v>229</v>
      </c>
      <c r="B30433" t="s">
        <v>1347</v>
      </c>
      <c r="C30433" s="26">
        <v>0.41670000000000001</v>
      </c>
      <c r="D30433" s="26">
        <v>0.25719999999999998</v>
      </c>
      <c r="E30433" s="26">
        <v>0.1487</v>
      </c>
      <c r="F30433" s="26">
        <v>0.1447</v>
      </c>
      <c r="G30433" s="26">
        <v>9.5100000000000004E-2</v>
      </c>
      <c r="H30433" s="26">
        <v>0.1008</v>
      </c>
      <c r="I30433" s="26">
        <v>6.2100000000000002E-2</v>
      </c>
      <c r="J30433" s="26">
        <v>5.0500000000000003E-2</v>
      </c>
      <c r="K30433" s="26">
        <v>4.3E-3</v>
      </c>
      <c r="L30433" s="26">
        <v>4.65E-2</v>
      </c>
      <c r="M30433" s="26">
        <v>4.5400000000000003E-2</v>
      </c>
      <c r="N30433" s="26">
        <v>4.9399999999999999E-2</v>
      </c>
      <c r="O30433" s="26">
        <v>3.1800000000000002E-2</v>
      </c>
      <c r="P30433" s="26">
        <v>1.01E-2</v>
      </c>
      <c r="Q30433" s="26">
        <v>5.8999999999999999E-3</v>
      </c>
      <c r="R30433">
        <v>302</v>
      </c>
    </row>
    <row r="30434" spans="1:19" x14ac:dyDescent="0.35">
      <c r="A30434" t="s">
        <v>229</v>
      </c>
      <c r="B30434" t="s">
        <v>1348</v>
      </c>
      <c r="C30434" s="26">
        <v>0.42809999999999998</v>
      </c>
      <c r="D30434" s="26">
        <v>0.28499999999999998</v>
      </c>
      <c r="E30434" s="26">
        <v>0.11459999999999999</v>
      </c>
      <c r="F30434" s="26">
        <v>8.8599999999999998E-2</v>
      </c>
      <c r="G30434" s="26">
        <v>9.3700000000000006E-2</v>
      </c>
      <c r="H30434" s="26">
        <v>4.9700000000000001E-2</v>
      </c>
      <c r="I30434" s="26">
        <v>5.3600000000000002E-2</v>
      </c>
      <c r="J30434" s="26">
        <v>3.7900000000000003E-2</v>
      </c>
      <c r="K30434" s="26">
        <v>2.0500000000000001E-2</v>
      </c>
      <c r="L30434" s="26">
        <v>2.3E-2</v>
      </c>
      <c r="M30434" s="26">
        <v>2.2599999999999999E-2</v>
      </c>
      <c r="N30434" s="26">
        <v>1.41E-2</v>
      </c>
      <c r="O30434" s="26">
        <v>9.9000000000000008E-3</v>
      </c>
      <c r="P30434" s="26">
        <v>6.7999999999999996E-3</v>
      </c>
      <c r="Q30434" s="26">
        <v>1.2500000000000001E-2</v>
      </c>
      <c r="R30434">
        <v>383</v>
      </c>
    </row>
    <row r="30435" spans="1:19" x14ac:dyDescent="0.35">
      <c r="A30435" t="s">
        <v>230</v>
      </c>
      <c r="B30435" t="s">
        <v>1346</v>
      </c>
      <c r="C30435" s="26">
        <v>0.4733</v>
      </c>
      <c r="D30435" s="26">
        <v>0.26079999999999998</v>
      </c>
      <c r="E30435" s="26">
        <v>6.9400000000000003E-2</v>
      </c>
      <c r="F30435" s="26">
        <v>5.1799999999999999E-2</v>
      </c>
      <c r="G30435" s="26">
        <v>8.2900000000000001E-2</v>
      </c>
      <c r="H30435" s="26">
        <v>5.1799999999999999E-2</v>
      </c>
      <c r="I30435" s="26">
        <v>1.3299999999999999E-2</v>
      </c>
      <c r="J30435" s="26">
        <v>6.6E-3</v>
      </c>
      <c r="K30435" s="26">
        <v>6.4299999999999996E-2</v>
      </c>
      <c r="L30435" s="26">
        <v>1.67E-2</v>
      </c>
      <c r="M30435" s="26">
        <v>2.1100000000000001E-2</v>
      </c>
      <c r="N30435" s="26">
        <v>1.5800000000000002E-2</v>
      </c>
      <c r="O30435" s="26">
        <v>1.8599999999999998E-2</v>
      </c>
      <c r="P30435" s="26">
        <v>1.24E-2</v>
      </c>
      <c r="Q30435" s="26">
        <v>2.5000000000000001E-3</v>
      </c>
      <c r="R30435">
        <v>140</v>
      </c>
    </row>
    <row r="30436" spans="1:19" x14ac:dyDescent="0.35">
      <c r="A30436" t="s">
        <v>230</v>
      </c>
      <c r="B30436" t="s">
        <v>1348</v>
      </c>
      <c r="C30436" s="26">
        <v>0.36580000000000001</v>
      </c>
      <c r="D30436" s="26">
        <v>0.3004</v>
      </c>
      <c r="E30436" s="26">
        <v>0.19889999999999999</v>
      </c>
      <c r="F30436" s="26">
        <v>8.3500000000000005E-2</v>
      </c>
      <c r="G30436" s="26">
        <v>0.13969999999999999</v>
      </c>
      <c r="H30436" s="26">
        <v>9.0399999999999994E-2</v>
      </c>
      <c r="I30436" s="26">
        <v>3.3500000000000002E-2</v>
      </c>
      <c r="J30436" s="26">
        <v>3.0300000000000001E-2</v>
      </c>
      <c r="K30436" s="26">
        <v>1.9099999999999999E-2</v>
      </c>
      <c r="L30436" s="26">
        <v>2.9899999999999999E-2</v>
      </c>
      <c r="M30436" s="26">
        <v>5.7200000000000001E-2</v>
      </c>
      <c r="N30436" s="26">
        <v>3.1399999999999997E-2</v>
      </c>
      <c r="O30436" s="26">
        <v>1.5800000000000002E-2</v>
      </c>
      <c r="P30436" s="26">
        <v>5.4999999999999997E-3</v>
      </c>
      <c r="Q30436" s="26">
        <v>3.0000000000000001E-3</v>
      </c>
      <c r="R30436">
        <v>259</v>
      </c>
    </row>
    <row r="30437" spans="1:19" x14ac:dyDescent="0.35">
      <c r="A30437" t="s">
        <v>230</v>
      </c>
      <c r="B30437" t="s">
        <v>1347</v>
      </c>
      <c r="C30437" s="26">
        <v>0.35949999999999999</v>
      </c>
      <c r="D30437" s="26">
        <v>0.3095</v>
      </c>
      <c r="E30437" s="26">
        <v>0.21290000000000001</v>
      </c>
      <c r="F30437" s="26">
        <v>8.4199999999999997E-2</v>
      </c>
      <c r="G30437" s="26">
        <v>0.1535</v>
      </c>
      <c r="H30437" s="26">
        <v>5.9700000000000003E-2</v>
      </c>
      <c r="I30437" s="26">
        <v>5.28E-2</v>
      </c>
      <c r="J30437" s="26">
        <v>8.0799999999999997E-2</v>
      </c>
      <c r="L30437" s="26">
        <v>3.4799999999999998E-2</v>
      </c>
      <c r="M30437" s="26">
        <v>5.3199999999999997E-2</v>
      </c>
      <c r="N30437" s="26">
        <v>3.0700000000000002E-2</v>
      </c>
      <c r="O30437" s="26">
        <v>4.6100000000000002E-2</v>
      </c>
      <c r="P30437" s="26">
        <v>2.2599999999999999E-2</v>
      </c>
      <c r="Q30437" s="26">
        <v>2E-3</v>
      </c>
      <c r="R30437">
        <v>153</v>
      </c>
    </row>
    <row r="30438" spans="1:19" x14ac:dyDescent="0.35">
      <c r="A30438" s="27" t="s">
        <v>230</v>
      </c>
      <c r="B30438" s="27" t="s">
        <v>1345</v>
      </c>
      <c r="C30438" s="28">
        <v>0.35970000000000002</v>
      </c>
      <c r="D30438" s="28">
        <v>0.31330000000000002</v>
      </c>
      <c r="E30438" s="28">
        <v>0.28260000000000002</v>
      </c>
      <c r="F30438" s="29"/>
      <c r="G30438" s="29"/>
      <c r="H30438" s="29"/>
      <c r="I30438" s="28">
        <v>1.3599999999999999E-2</v>
      </c>
      <c r="J30438" s="29"/>
      <c r="K30438" s="28">
        <v>4.4299999999999999E-2</v>
      </c>
      <c r="L30438" s="29"/>
      <c r="M30438" s="29"/>
      <c r="N30438" s="29"/>
      <c r="O30438" s="29"/>
      <c r="P30438" s="29"/>
      <c r="Q30438" s="29"/>
      <c r="R30438" s="29" t="s">
        <v>333</v>
      </c>
    </row>
    <row r="30439" spans="1:19" x14ac:dyDescent="0.35">
      <c r="A30439" s="27" t="s">
        <v>231</v>
      </c>
      <c r="B30439" s="27" t="s">
        <v>1345</v>
      </c>
      <c r="C30439" s="28">
        <v>1</v>
      </c>
      <c r="D30439" s="29"/>
      <c r="E30439" s="29"/>
      <c r="F30439" s="29"/>
      <c r="G30439" s="29"/>
      <c r="H30439" s="29"/>
      <c r="I30439" s="29"/>
      <c r="J30439" s="29"/>
      <c r="K30439" s="29"/>
      <c r="L30439" s="29"/>
      <c r="M30439" s="29"/>
      <c r="N30439" s="29"/>
      <c r="O30439" s="29"/>
      <c r="P30439" s="29"/>
      <c r="Q30439" s="29"/>
      <c r="R30439" s="29" t="s">
        <v>337</v>
      </c>
    </row>
    <row r="30440" spans="1:19" x14ac:dyDescent="0.35">
      <c r="A30440" t="s">
        <v>231</v>
      </c>
      <c r="B30440" t="s">
        <v>1346</v>
      </c>
      <c r="C30440" s="26">
        <v>0.67500000000000004</v>
      </c>
      <c r="D30440" s="26">
        <v>0.125</v>
      </c>
      <c r="E30440" s="26">
        <v>0.125</v>
      </c>
      <c r="K30440" s="26">
        <v>7.4999999999999997E-2</v>
      </c>
      <c r="R30440">
        <v>40</v>
      </c>
    </row>
    <row r="30441" spans="1:19" x14ac:dyDescent="0.35">
      <c r="A30441" t="s">
        <v>231</v>
      </c>
      <c r="B30441" t="s">
        <v>1347</v>
      </c>
      <c r="C30441" s="26">
        <v>0.64710000000000001</v>
      </c>
      <c r="D30441" s="26">
        <v>0.2059</v>
      </c>
      <c r="E30441" s="26">
        <v>0.14710000000000001</v>
      </c>
      <c r="F30441" s="26">
        <v>5.8799999999999998E-2</v>
      </c>
      <c r="G30441" s="26">
        <v>5.8799999999999998E-2</v>
      </c>
      <c r="H30441" s="26">
        <v>2.9399999999999999E-2</v>
      </c>
      <c r="I30441" s="26">
        <v>5.8799999999999998E-2</v>
      </c>
      <c r="J30441" s="26">
        <v>2.9399999999999999E-2</v>
      </c>
      <c r="L30441" s="26">
        <v>2.9399999999999999E-2</v>
      </c>
      <c r="M30441" s="26">
        <v>2.9399999999999999E-2</v>
      </c>
      <c r="R30441">
        <v>34</v>
      </c>
    </row>
    <row r="30442" spans="1:19" x14ac:dyDescent="0.35">
      <c r="A30442" t="s">
        <v>231</v>
      </c>
      <c r="B30442" t="s">
        <v>1348</v>
      </c>
      <c r="C30442" s="26">
        <v>0.6512</v>
      </c>
      <c r="D30442" s="26">
        <v>0.1628</v>
      </c>
      <c r="E30442" s="26">
        <v>0.12790000000000001</v>
      </c>
      <c r="F30442" s="26">
        <v>4.65E-2</v>
      </c>
      <c r="G30442" s="26">
        <v>4.65E-2</v>
      </c>
      <c r="H30442" s="26">
        <v>3.49E-2</v>
      </c>
      <c r="I30442" s="26">
        <v>1.1599999999999999E-2</v>
      </c>
      <c r="J30442" s="26">
        <v>2.3300000000000001E-2</v>
      </c>
      <c r="K30442" s="26">
        <v>2.3300000000000001E-2</v>
      </c>
      <c r="N30442" s="26">
        <v>1.1599999999999999E-2</v>
      </c>
      <c r="R30442">
        <v>86</v>
      </c>
    </row>
    <row r="30443" spans="1:19" x14ac:dyDescent="0.35">
      <c r="A30443" t="s">
        <v>232</v>
      </c>
      <c r="B30443" t="s">
        <v>232</v>
      </c>
      <c r="C30443" s="26">
        <v>0.503</v>
      </c>
      <c r="D30443" s="26">
        <v>0.24610000000000001</v>
      </c>
      <c r="E30443" s="26">
        <v>0.12909999999999999</v>
      </c>
      <c r="F30443" s="26">
        <v>6.9500000000000006E-2</v>
      </c>
      <c r="G30443" s="26">
        <v>6.6600000000000006E-2</v>
      </c>
      <c r="H30443" s="26">
        <v>5.0700000000000002E-2</v>
      </c>
      <c r="I30443" s="26">
        <v>3.5900000000000001E-2</v>
      </c>
      <c r="J30443" s="26">
        <v>3.3399999999999999E-2</v>
      </c>
      <c r="K30443" s="26">
        <v>2.8799999999999999E-2</v>
      </c>
      <c r="L30443" s="26">
        <v>2.5600000000000001E-2</v>
      </c>
      <c r="M30443" s="26">
        <v>2.35E-2</v>
      </c>
      <c r="N30443" s="26">
        <v>1.9199999999999998E-2</v>
      </c>
      <c r="O30443" s="26">
        <v>0.01</v>
      </c>
      <c r="P30443" s="26">
        <v>5.1000000000000004E-3</v>
      </c>
      <c r="Q30443" s="26">
        <v>3.5000000000000001E-3</v>
      </c>
      <c r="R30443">
        <v>2812</v>
      </c>
    </row>
    <row r="30445" spans="1:19" x14ac:dyDescent="0.35">
      <c r="A30445" s="1" t="s">
        <v>2712</v>
      </c>
    </row>
    <row r="30446" spans="1:19" x14ac:dyDescent="0.35">
      <c r="A30446" t="s">
        <v>219</v>
      </c>
      <c r="B30446" t="s">
        <v>305</v>
      </c>
      <c r="C30446" t="s">
        <v>345</v>
      </c>
      <c r="D30446" t="s">
        <v>2686</v>
      </c>
      <c r="E30446" t="s">
        <v>2687</v>
      </c>
      <c r="F30446" t="s">
        <v>2688</v>
      </c>
      <c r="G30446" t="s">
        <v>2689</v>
      </c>
      <c r="H30446" t="s">
        <v>2690</v>
      </c>
      <c r="I30446" t="s">
        <v>2691</v>
      </c>
      <c r="J30446" t="s">
        <v>2692</v>
      </c>
      <c r="K30446" t="s">
        <v>2693</v>
      </c>
      <c r="L30446" t="s">
        <v>281</v>
      </c>
      <c r="M30446" t="s">
        <v>2694</v>
      </c>
      <c r="N30446" t="s">
        <v>2695</v>
      </c>
      <c r="O30446" t="s">
        <v>2696</v>
      </c>
      <c r="P30446" t="s">
        <v>2697</v>
      </c>
      <c r="Q30446" t="s">
        <v>286</v>
      </c>
      <c r="R30446" t="s">
        <v>2698</v>
      </c>
      <c r="S30446" t="s">
        <v>226</v>
      </c>
    </row>
    <row r="30447" spans="1:19" x14ac:dyDescent="0.35">
      <c r="A30447" s="27" t="s">
        <v>227</v>
      </c>
      <c r="B30447" s="27" t="s">
        <v>1341</v>
      </c>
      <c r="C30447" s="27" t="s">
        <v>1345</v>
      </c>
      <c r="D30447" s="28">
        <v>1</v>
      </c>
      <c r="E30447" s="29"/>
      <c r="F30447" s="29"/>
      <c r="G30447" s="29"/>
      <c r="H30447" s="29"/>
      <c r="I30447" s="29"/>
      <c r="J30447" s="29"/>
      <c r="K30447" s="29"/>
      <c r="L30447" s="29"/>
      <c r="M30447" s="29"/>
      <c r="N30447" s="29"/>
      <c r="O30447" s="29"/>
      <c r="P30447" s="29"/>
      <c r="Q30447" s="29"/>
      <c r="R30447" s="29"/>
      <c r="S30447" s="29" t="s">
        <v>331</v>
      </c>
    </row>
    <row r="30448" spans="1:19" x14ac:dyDescent="0.35">
      <c r="A30448" s="27" t="s">
        <v>227</v>
      </c>
      <c r="B30448" s="27" t="s">
        <v>1343</v>
      </c>
      <c r="C30448" s="27" t="s">
        <v>1346</v>
      </c>
      <c r="D30448" s="28">
        <v>0.65380000000000005</v>
      </c>
      <c r="E30448" s="28">
        <v>0.1923</v>
      </c>
      <c r="F30448" s="28">
        <v>3.85E-2</v>
      </c>
      <c r="G30448" s="28">
        <v>3.85E-2</v>
      </c>
      <c r="H30448" s="28">
        <v>3.85E-2</v>
      </c>
      <c r="I30448" s="28">
        <v>3.85E-2</v>
      </c>
      <c r="J30448" s="29"/>
      <c r="K30448" s="29"/>
      <c r="L30448" s="28">
        <v>3.85E-2</v>
      </c>
      <c r="M30448" s="29"/>
      <c r="N30448" s="28">
        <v>3.85E-2</v>
      </c>
      <c r="O30448" s="28">
        <v>3.85E-2</v>
      </c>
      <c r="P30448" s="29"/>
      <c r="Q30448" s="29"/>
      <c r="R30448" s="29"/>
      <c r="S30448" s="29" t="s">
        <v>357</v>
      </c>
    </row>
    <row r="30449" spans="1:19" x14ac:dyDescent="0.35">
      <c r="A30449" t="s">
        <v>227</v>
      </c>
      <c r="B30449" t="s">
        <v>1343</v>
      </c>
      <c r="C30449" t="s">
        <v>1348</v>
      </c>
      <c r="D30449" s="26">
        <v>0.47539999999999999</v>
      </c>
      <c r="E30449" s="26">
        <v>0.19670000000000001</v>
      </c>
      <c r="F30449" s="26">
        <v>0.22950000000000001</v>
      </c>
      <c r="G30449" s="26">
        <v>4.9200000000000001E-2</v>
      </c>
      <c r="H30449" s="26">
        <v>9.8400000000000001E-2</v>
      </c>
      <c r="I30449" s="26">
        <v>4.9200000000000001E-2</v>
      </c>
      <c r="K30449" s="26">
        <v>4.9200000000000001E-2</v>
      </c>
      <c r="L30449" s="26">
        <v>1.6400000000000001E-2</v>
      </c>
      <c r="S30449">
        <v>61</v>
      </c>
    </row>
    <row r="30450" spans="1:19" x14ac:dyDescent="0.35">
      <c r="A30450" s="27" t="s">
        <v>227</v>
      </c>
      <c r="B30450" s="27" t="s">
        <v>1341</v>
      </c>
      <c r="C30450" s="27" t="s">
        <v>1347</v>
      </c>
      <c r="D30450" s="28">
        <v>0.53849999999999998</v>
      </c>
      <c r="E30450" s="28">
        <v>0.46150000000000002</v>
      </c>
      <c r="F30450" s="29"/>
      <c r="G30450" s="29"/>
      <c r="H30450" s="29"/>
      <c r="I30450" s="29"/>
      <c r="J30450" s="29"/>
      <c r="K30450" s="29"/>
      <c r="L30450" s="29"/>
      <c r="M30450" s="29"/>
      <c r="N30450" s="29"/>
      <c r="O30450" s="29"/>
      <c r="P30450" s="29"/>
      <c r="Q30450" s="29"/>
      <c r="R30450" s="29"/>
      <c r="S30450" s="29" t="s">
        <v>341</v>
      </c>
    </row>
    <row r="30451" spans="1:19" x14ac:dyDescent="0.35">
      <c r="A30451" s="27" t="s">
        <v>227</v>
      </c>
      <c r="B30451" s="27" t="s">
        <v>1343</v>
      </c>
      <c r="C30451" s="27" t="s">
        <v>1347</v>
      </c>
      <c r="D30451" s="28">
        <v>0.56520000000000004</v>
      </c>
      <c r="E30451" s="28">
        <v>0.13039999999999999</v>
      </c>
      <c r="F30451" s="28">
        <v>0.26090000000000002</v>
      </c>
      <c r="G30451" s="28">
        <v>0.13039999999999999</v>
      </c>
      <c r="H30451" s="28">
        <v>8.6999999999999994E-2</v>
      </c>
      <c r="I30451" s="28">
        <v>8.6999999999999994E-2</v>
      </c>
      <c r="J30451" s="28">
        <v>8.6999999999999994E-2</v>
      </c>
      <c r="K30451" s="28">
        <v>8.6999999999999994E-2</v>
      </c>
      <c r="L30451" s="29"/>
      <c r="M30451" s="28">
        <v>4.3499999999999997E-2</v>
      </c>
      <c r="N30451" s="29"/>
      <c r="O30451" s="28">
        <v>8.6999999999999994E-2</v>
      </c>
      <c r="P30451" s="29"/>
      <c r="Q30451" s="29"/>
      <c r="R30451" s="29"/>
      <c r="S30451" s="29" t="s">
        <v>328</v>
      </c>
    </row>
    <row r="30452" spans="1:19" x14ac:dyDescent="0.35">
      <c r="A30452" s="27" t="s">
        <v>227</v>
      </c>
      <c r="B30452" s="27" t="s">
        <v>1343</v>
      </c>
      <c r="C30452" s="27" t="s">
        <v>1345</v>
      </c>
      <c r="D30452" s="28">
        <v>1</v>
      </c>
      <c r="E30452" s="29"/>
      <c r="F30452" s="29"/>
      <c r="G30452" s="29"/>
      <c r="H30452" s="29"/>
      <c r="I30452" s="29"/>
      <c r="J30452" s="29"/>
      <c r="K30452" s="29"/>
      <c r="L30452" s="29"/>
      <c r="M30452" s="29"/>
      <c r="N30452" s="29"/>
      <c r="O30452" s="29"/>
      <c r="P30452" s="29"/>
      <c r="Q30452" s="29"/>
      <c r="R30452" s="29"/>
      <c r="S30452" s="29" t="s">
        <v>331</v>
      </c>
    </row>
    <row r="30453" spans="1:19" x14ac:dyDescent="0.35">
      <c r="A30453" s="27" t="s">
        <v>227</v>
      </c>
      <c r="B30453" s="27" t="s">
        <v>1342</v>
      </c>
      <c r="C30453" s="27" t="s">
        <v>1348</v>
      </c>
      <c r="D30453" s="29"/>
      <c r="E30453" s="29"/>
      <c r="F30453" s="28">
        <v>1</v>
      </c>
      <c r="G30453" s="29"/>
      <c r="H30453" s="29"/>
      <c r="I30453" s="29"/>
      <c r="J30453" s="29"/>
      <c r="K30453" s="29"/>
      <c r="L30453" s="29"/>
      <c r="M30453" s="28">
        <v>1</v>
      </c>
      <c r="N30453" s="29"/>
      <c r="O30453" s="29"/>
      <c r="P30453" s="29"/>
      <c r="Q30453" s="29"/>
      <c r="R30453" s="29"/>
      <c r="S30453" s="29" t="s">
        <v>331</v>
      </c>
    </row>
    <row r="30454" spans="1:19" x14ac:dyDescent="0.35">
      <c r="A30454" s="27" t="s">
        <v>227</v>
      </c>
      <c r="B30454" s="27" t="s">
        <v>1341</v>
      </c>
      <c r="C30454" s="27" t="s">
        <v>1348</v>
      </c>
      <c r="D30454" s="28">
        <v>0.63639999999999997</v>
      </c>
      <c r="E30454" s="28">
        <v>0.13639999999999999</v>
      </c>
      <c r="F30454" s="28">
        <v>0.13639999999999999</v>
      </c>
      <c r="G30454" s="29"/>
      <c r="H30454" s="29"/>
      <c r="I30454" s="29"/>
      <c r="J30454" s="29"/>
      <c r="K30454" s="29"/>
      <c r="L30454" s="28">
        <v>4.5499999999999999E-2</v>
      </c>
      <c r="M30454" s="28">
        <v>4.5499999999999999E-2</v>
      </c>
      <c r="N30454" s="29"/>
      <c r="O30454" s="29"/>
      <c r="P30454" s="29"/>
      <c r="Q30454" s="29"/>
      <c r="R30454" s="29"/>
      <c r="S30454" s="29" t="s">
        <v>347</v>
      </c>
    </row>
    <row r="30455" spans="1:19" x14ac:dyDescent="0.35">
      <c r="A30455" s="27" t="s">
        <v>227</v>
      </c>
      <c r="B30455" s="27" t="s">
        <v>1341</v>
      </c>
      <c r="C30455" s="27" t="s">
        <v>1346</v>
      </c>
      <c r="D30455" s="28">
        <v>0.53849999999999998</v>
      </c>
      <c r="E30455" s="28">
        <v>0.3846</v>
      </c>
      <c r="F30455" s="29"/>
      <c r="G30455" s="29"/>
      <c r="H30455" s="29"/>
      <c r="I30455" s="29"/>
      <c r="J30455" s="29"/>
      <c r="K30455" s="29"/>
      <c r="L30455" s="29"/>
      <c r="M30455" s="28">
        <v>7.6899999999999996E-2</v>
      </c>
      <c r="N30455" s="29"/>
      <c r="O30455" s="29"/>
      <c r="P30455" s="29"/>
      <c r="Q30455" s="29"/>
      <c r="R30455" s="29"/>
      <c r="S30455" s="29" t="s">
        <v>341</v>
      </c>
    </row>
    <row r="30456" spans="1:19" x14ac:dyDescent="0.35">
      <c r="A30456" t="s">
        <v>228</v>
      </c>
      <c r="B30456" t="s">
        <v>1343</v>
      </c>
      <c r="C30456" t="s">
        <v>1348</v>
      </c>
      <c r="D30456" s="26">
        <v>0.33700000000000002</v>
      </c>
      <c r="E30456" s="26">
        <v>0.35670000000000002</v>
      </c>
      <c r="F30456" s="26">
        <v>0.13339999999999999</v>
      </c>
      <c r="G30456" s="26">
        <v>0.1206</v>
      </c>
      <c r="H30456" s="26">
        <v>7.6200000000000004E-2</v>
      </c>
      <c r="I30456" s="26">
        <v>0.1096</v>
      </c>
      <c r="J30456" s="26">
        <v>7.4999999999999997E-2</v>
      </c>
      <c r="K30456" s="26">
        <v>6.5100000000000005E-2</v>
      </c>
      <c r="L30456" s="26">
        <v>1.18E-2</v>
      </c>
      <c r="M30456" s="26">
        <v>6.1100000000000002E-2</v>
      </c>
      <c r="N30456" s="26">
        <v>4.1799999999999997E-2</v>
      </c>
      <c r="O30456" s="26">
        <v>2.8899999999999999E-2</v>
      </c>
      <c r="P30456" s="26">
        <v>2.6200000000000001E-2</v>
      </c>
      <c r="Q30456" s="26">
        <v>3.0000000000000001E-3</v>
      </c>
      <c r="R30456" s="26">
        <v>1.6000000000000001E-3</v>
      </c>
      <c r="S30456">
        <v>352</v>
      </c>
    </row>
    <row r="30457" spans="1:19" x14ac:dyDescent="0.35">
      <c r="A30457" t="s">
        <v>228</v>
      </c>
      <c r="B30457" t="s">
        <v>1343</v>
      </c>
      <c r="C30457" t="s">
        <v>1347</v>
      </c>
      <c r="D30457" s="26">
        <v>0.38390000000000002</v>
      </c>
      <c r="E30457" s="26">
        <v>0.31990000000000002</v>
      </c>
      <c r="F30457" s="26">
        <v>0.14030000000000001</v>
      </c>
      <c r="G30457" s="26">
        <v>0.1434</v>
      </c>
      <c r="H30457" s="26">
        <v>9.5299999999999996E-2</v>
      </c>
      <c r="I30457" s="26">
        <v>4.4999999999999998E-2</v>
      </c>
      <c r="J30457" s="26">
        <v>0.1222</v>
      </c>
      <c r="K30457" s="26">
        <v>6.08E-2</v>
      </c>
      <c r="L30457" s="26">
        <v>9.4000000000000004E-3</v>
      </c>
      <c r="M30457" s="26">
        <v>9.01E-2</v>
      </c>
      <c r="N30457" s="26">
        <v>4.2700000000000002E-2</v>
      </c>
      <c r="O30457" s="26">
        <v>8.8900000000000007E-2</v>
      </c>
      <c r="P30457" s="26">
        <v>3.9800000000000002E-2</v>
      </c>
      <c r="R30457" s="26">
        <v>2.2800000000000001E-2</v>
      </c>
      <c r="S30457">
        <v>130</v>
      </c>
    </row>
    <row r="30458" spans="1:19" x14ac:dyDescent="0.35">
      <c r="A30458" s="27" t="s">
        <v>228</v>
      </c>
      <c r="B30458" s="27" t="s">
        <v>1343</v>
      </c>
      <c r="C30458" s="27" t="s">
        <v>1345</v>
      </c>
      <c r="D30458" s="28">
        <v>0.66420000000000001</v>
      </c>
      <c r="E30458" s="28">
        <v>0.29930000000000001</v>
      </c>
      <c r="F30458" s="28">
        <v>3.6499999999999998E-2</v>
      </c>
      <c r="G30458" s="29"/>
      <c r="H30458" s="29"/>
      <c r="I30458" s="29"/>
      <c r="J30458" s="29"/>
      <c r="K30458" s="29"/>
      <c r="L30458" s="29"/>
      <c r="M30458" s="29"/>
      <c r="N30458" s="29"/>
      <c r="O30458" s="29"/>
      <c r="P30458" s="29"/>
      <c r="Q30458" s="29"/>
      <c r="R30458" s="29"/>
      <c r="S30458" s="29" t="s">
        <v>335</v>
      </c>
    </row>
    <row r="30459" spans="1:19" x14ac:dyDescent="0.35">
      <c r="A30459" t="s">
        <v>228</v>
      </c>
      <c r="B30459" t="s">
        <v>1341</v>
      </c>
      <c r="C30459" t="s">
        <v>1346</v>
      </c>
      <c r="D30459" s="26">
        <v>0.33</v>
      </c>
      <c r="E30459" s="26">
        <v>0.38819999999999999</v>
      </c>
      <c r="G30459" s="26">
        <v>1.17E-2</v>
      </c>
      <c r="H30459" s="26">
        <v>0.13159999999999999</v>
      </c>
      <c r="I30459" s="26">
        <v>1.17E-2</v>
      </c>
      <c r="J30459" s="26">
        <v>0.2001</v>
      </c>
      <c r="K30459" s="26">
        <v>0.10589999999999999</v>
      </c>
      <c r="L30459" s="26">
        <v>3.0599999999999999E-2</v>
      </c>
      <c r="M30459" s="26">
        <v>1.17E-2</v>
      </c>
      <c r="N30459" s="26">
        <v>1.17E-2</v>
      </c>
      <c r="O30459" s="26">
        <v>1.17E-2</v>
      </c>
      <c r="P30459" s="26">
        <v>1.17E-2</v>
      </c>
      <c r="Q30459" s="26">
        <v>2.5499999999999998E-2</v>
      </c>
      <c r="S30459">
        <v>47</v>
      </c>
    </row>
    <row r="30460" spans="1:19" x14ac:dyDescent="0.35">
      <c r="A30460" t="s">
        <v>228</v>
      </c>
      <c r="B30460" t="s">
        <v>1341</v>
      </c>
      <c r="C30460" t="s">
        <v>1348</v>
      </c>
      <c r="D30460" s="26">
        <v>0.37959999999999999</v>
      </c>
      <c r="E30460" s="26">
        <v>0.31900000000000001</v>
      </c>
      <c r="F30460" s="26">
        <v>0.15970000000000001</v>
      </c>
      <c r="G30460" s="26">
        <v>4.3700000000000003E-2</v>
      </c>
      <c r="H30460" s="26">
        <v>5.3999999999999999E-2</v>
      </c>
      <c r="I30460" s="26">
        <v>2.4899999999999999E-2</v>
      </c>
      <c r="J30460" s="26">
        <v>2.4400000000000002E-2</v>
      </c>
      <c r="K30460" s="26">
        <v>2.8500000000000001E-2</v>
      </c>
      <c r="L30460" s="26">
        <v>3.7999999999999999E-2</v>
      </c>
      <c r="M30460" s="26">
        <v>3.9699999999999999E-2</v>
      </c>
      <c r="N30460" s="26">
        <v>1.11E-2</v>
      </c>
      <c r="O30460" s="26">
        <v>1.41E-2</v>
      </c>
      <c r="P30460" s="26">
        <v>1.15E-2</v>
      </c>
      <c r="Q30460" s="26">
        <v>3.5700000000000003E-2</v>
      </c>
      <c r="R30460" s="26">
        <v>6.3E-3</v>
      </c>
      <c r="S30460">
        <v>178</v>
      </c>
    </row>
    <row r="30461" spans="1:19" x14ac:dyDescent="0.35">
      <c r="A30461" s="27" t="s">
        <v>228</v>
      </c>
      <c r="B30461" s="27" t="s">
        <v>1342</v>
      </c>
      <c r="C30461" s="27" t="s">
        <v>1348</v>
      </c>
      <c r="D30461" s="28">
        <v>1</v>
      </c>
      <c r="E30461" s="29"/>
      <c r="F30461" s="29"/>
      <c r="G30461" s="29"/>
      <c r="H30461" s="29"/>
      <c r="I30461" s="29"/>
      <c r="J30461" s="29"/>
      <c r="K30461" s="29"/>
      <c r="L30461" s="29"/>
      <c r="M30461" s="29"/>
      <c r="N30461" s="29"/>
      <c r="O30461" s="29"/>
      <c r="P30461" s="29"/>
      <c r="Q30461" s="29"/>
      <c r="R30461" s="29"/>
      <c r="S30461" s="29" t="s">
        <v>331</v>
      </c>
    </row>
    <row r="30462" spans="1:19" x14ac:dyDescent="0.35">
      <c r="A30462" t="s">
        <v>228</v>
      </c>
      <c r="B30462" t="s">
        <v>1343</v>
      </c>
      <c r="C30462" t="s">
        <v>1346</v>
      </c>
      <c r="D30462" s="26">
        <v>0.39810000000000001</v>
      </c>
      <c r="E30462" s="26">
        <v>0.36880000000000002</v>
      </c>
      <c r="F30462" s="26">
        <v>2.4899999999999999E-2</v>
      </c>
      <c r="G30462" s="26">
        <v>5.0200000000000002E-2</v>
      </c>
      <c r="H30462" s="26">
        <v>3.2000000000000001E-2</v>
      </c>
      <c r="I30462" s="26">
        <v>4.3900000000000002E-2</v>
      </c>
      <c r="J30462" s="26">
        <v>2.1100000000000001E-2</v>
      </c>
      <c r="K30462" s="26">
        <v>1.5900000000000001E-2</v>
      </c>
      <c r="L30462" s="26">
        <v>9.5100000000000004E-2</v>
      </c>
      <c r="M30462" s="26">
        <v>3.6999999999999998E-2</v>
      </c>
      <c r="N30462" s="26">
        <v>6.3899999999999998E-2</v>
      </c>
      <c r="O30462" s="26">
        <v>2.1399999999999999E-2</v>
      </c>
      <c r="P30462" s="26">
        <v>5.4999999999999997E-3</v>
      </c>
      <c r="Q30462" s="26">
        <v>7.1999999999999998E-3</v>
      </c>
      <c r="S30462">
        <v>239</v>
      </c>
    </row>
    <row r="30463" spans="1:19" x14ac:dyDescent="0.35">
      <c r="A30463" t="s">
        <v>228</v>
      </c>
      <c r="B30463" t="s">
        <v>1341</v>
      </c>
      <c r="C30463" t="s">
        <v>1347</v>
      </c>
      <c r="D30463" s="26">
        <v>0.29060000000000002</v>
      </c>
      <c r="E30463" s="26">
        <v>0.39279999999999998</v>
      </c>
      <c r="F30463" s="26">
        <v>0.18559999999999999</v>
      </c>
      <c r="G30463" s="26">
        <v>0.15459999999999999</v>
      </c>
      <c r="H30463" s="26">
        <v>0.10299999999999999</v>
      </c>
      <c r="I30463" s="26">
        <v>0.15809999999999999</v>
      </c>
      <c r="J30463" s="26">
        <v>0.1293</v>
      </c>
      <c r="K30463" s="26">
        <v>0.15279999999999999</v>
      </c>
      <c r="L30463" s="26">
        <v>3.8E-3</v>
      </c>
      <c r="M30463" s="26">
        <v>8.2100000000000006E-2</v>
      </c>
      <c r="N30463" s="26">
        <v>3.8100000000000002E-2</v>
      </c>
      <c r="O30463" s="26">
        <v>1.9699999999999999E-2</v>
      </c>
      <c r="P30463" s="26">
        <v>1.04E-2</v>
      </c>
      <c r="Q30463" s="26">
        <v>8.6E-3</v>
      </c>
      <c r="S30463">
        <v>74</v>
      </c>
    </row>
    <row r="30464" spans="1:19" x14ac:dyDescent="0.35">
      <c r="A30464" s="27" t="s">
        <v>228</v>
      </c>
      <c r="B30464" s="27" t="s">
        <v>1341</v>
      </c>
      <c r="C30464" s="27" t="s">
        <v>1345</v>
      </c>
      <c r="D30464" s="28">
        <v>0.1201</v>
      </c>
      <c r="E30464" s="28">
        <v>0.51649999999999996</v>
      </c>
      <c r="F30464" s="28">
        <v>0.3634</v>
      </c>
      <c r="G30464" s="28">
        <v>0.1817</v>
      </c>
      <c r="H30464" s="29"/>
      <c r="I30464" s="29"/>
      <c r="J30464" s="28">
        <v>0.1817</v>
      </c>
      <c r="K30464" s="28">
        <v>0.1817</v>
      </c>
      <c r="L30464" s="29"/>
      <c r="M30464" s="29"/>
      <c r="N30464" s="29"/>
      <c r="O30464" s="29"/>
      <c r="P30464" s="29"/>
      <c r="Q30464" s="29"/>
      <c r="R30464" s="29"/>
      <c r="S30464" s="29" t="s">
        <v>332</v>
      </c>
    </row>
    <row r="30465" spans="1:19" x14ac:dyDescent="0.35">
      <c r="A30465" t="s">
        <v>229</v>
      </c>
      <c r="B30465" t="s">
        <v>1343</v>
      </c>
      <c r="C30465" t="s">
        <v>1348</v>
      </c>
      <c r="D30465" s="26">
        <v>0.41070000000000001</v>
      </c>
      <c r="E30465" s="26">
        <v>0.27700000000000002</v>
      </c>
      <c r="F30465" s="26">
        <v>0.1118</v>
      </c>
      <c r="G30465" s="26">
        <v>6.54E-2</v>
      </c>
      <c r="H30465" s="26">
        <v>0.1181</v>
      </c>
      <c r="I30465" s="26">
        <v>3.5999999999999997E-2</v>
      </c>
      <c r="J30465" s="26">
        <v>4.8800000000000003E-2</v>
      </c>
      <c r="K30465" s="26">
        <v>4.2999999999999997E-2</v>
      </c>
      <c r="L30465" s="26">
        <v>1.2E-2</v>
      </c>
      <c r="M30465" s="26">
        <v>1.2800000000000001E-2</v>
      </c>
      <c r="N30465" s="26">
        <v>2.3699999999999999E-2</v>
      </c>
      <c r="O30465" s="26">
        <v>2.06E-2</v>
      </c>
      <c r="P30465" s="26">
        <v>6.7000000000000002E-3</v>
      </c>
      <c r="Q30465" s="26">
        <v>1.01E-2</v>
      </c>
      <c r="R30465" s="26">
        <v>1.8700000000000001E-2</v>
      </c>
      <c r="S30465">
        <v>276</v>
      </c>
    </row>
    <row r="30466" spans="1:19" x14ac:dyDescent="0.35">
      <c r="A30466" t="s">
        <v>229</v>
      </c>
      <c r="B30466" t="s">
        <v>1341</v>
      </c>
      <c r="C30466" t="s">
        <v>1346</v>
      </c>
      <c r="D30466" s="26">
        <v>0.53010000000000002</v>
      </c>
      <c r="E30466" s="26">
        <v>0.25640000000000002</v>
      </c>
      <c r="F30466" s="26">
        <v>0.10440000000000001</v>
      </c>
      <c r="G30466" s="26">
        <v>5.7000000000000002E-3</v>
      </c>
      <c r="H30466" s="26">
        <v>7.4000000000000003E-3</v>
      </c>
      <c r="J30466" s="26">
        <v>5.7000000000000002E-3</v>
      </c>
      <c r="K30466" s="26">
        <v>5.7000000000000002E-3</v>
      </c>
      <c r="L30466" s="26">
        <v>0.1017</v>
      </c>
      <c r="N30466" s="26">
        <v>4.9299999999999997E-2</v>
      </c>
      <c r="S30466">
        <v>53</v>
      </c>
    </row>
    <row r="30467" spans="1:19" x14ac:dyDescent="0.35">
      <c r="A30467" t="s">
        <v>229</v>
      </c>
      <c r="B30467" t="s">
        <v>1341</v>
      </c>
      <c r="C30467" t="s">
        <v>1347</v>
      </c>
      <c r="D30467" s="26">
        <v>0.3019</v>
      </c>
      <c r="E30467" s="26">
        <v>0.25740000000000002</v>
      </c>
      <c r="F30467" s="26">
        <v>0.26939999999999997</v>
      </c>
      <c r="G30467" s="26">
        <v>0.1419</v>
      </c>
      <c r="H30467" s="26">
        <v>0.1492</v>
      </c>
      <c r="I30467" s="26">
        <v>0.1484</v>
      </c>
      <c r="J30467" s="26">
        <v>5.6300000000000003E-2</v>
      </c>
      <c r="K30467" s="26">
        <v>6.2100000000000002E-2</v>
      </c>
      <c r="L30467" s="26">
        <v>4.7999999999999996E-3</v>
      </c>
      <c r="M30467" s="26">
        <v>7.9799999999999996E-2</v>
      </c>
      <c r="N30467" s="26">
        <v>1.8499999999999999E-2</v>
      </c>
      <c r="O30467" s="26">
        <v>3.9600000000000003E-2</v>
      </c>
      <c r="P30467" s="26">
        <v>1.9300000000000001E-2</v>
      </c>
      <c r="Q30467" s="26">
        <v>2.9000000000000001E-2</v>
      </c>
      <c r="R30467" s="26">
        <v>9.5999999999999992E-3</v>
      </c>
      <c r="S30467">
        <v>104</v>
      </c>
    </row>
    <row r="30468" spans="1:19" x14ac:dyDescent="0.35">
      <c r="A30468" t="s">
        <v>229</v>
      </c>
      <c r="B30468" t="s">
        <v>1343</v>
      </c>
      <c r="C30468" t="s">
        <v>1346</v>
      </c>
      <c r="D30468" s="26">
        <v>0.5252</v>
      </c>
      <c r="E30468" s="26">
        <v>0.24590000000000001</v>
      </c>
      <c r="F30468" s="26">
        <v>3.49E-2</v>
      </c>
      <c r="G30468" s="26">
        <v>0.06</v>
      </c>
      <c r="H30468" s="26">
        <v>3.2800000000000003E-2</v>
      </c>
      <c r="I30468" s="26">
        <v>3.8800000000000001E-2</v>
      </c>
      <c r="J30468" s="26">
        <v>8.9999999999999993E-3</v>
      </c>
      <c r="K30468" s="26">
        <v>6.1999999999999998E-3</v>
      </c>
      <c r="L30468" s="26">
        <v>8.6999999999999994E-2</v>
      </c>
      <c r="M30468" s="26">
        <v>3.8999999999999998E-3</v>
      </c>
      <c r="N30468" s="26">
        <v>2.7699999999999999E-2</v>
      </c>
      <c r="O30468" s="26">
        <v>5.5999999999999999E-3</v>
      </c>
      <c r="P30468" s="26">
        <v>3.3E-3</v>
      </c>
      <c r="Q30468" s="26">
        <v>4.4000000000000003E-3</v>
      </c>
      <c r="R30468" s="26">
        <v>5.5999999999999999E-3</v>
      </c>
      <c r="S30468">
        <v>131</v>
      </c>
    </row>
    <row r="30469" spans="1:19" x14ac:dyDescent="0.35">
      <c r="A30469" t="s">
        <v>229</v>
      </c>
      <c r="B30469" t="s">
        <v>1343</v>
      </c>
      <c r="C30469" t="s">
        <v>1347</v>
      </c>
      <c r="D30469" s="26">
        <v>0.47849999999999998</v>
      </c>
      <c r="E30469" s="26">
        <v>0.2571</v>
      </c>
      <c r="F30469" s="26">
        <v>8.3799999999999999E-2</v>
      </c>
      <c r="G30469" s="26">
        <v>0.1462</v>
      </c>
      <c r="H30469" s="26">
        <v>6.6100000000000006E-2</v>
      </c>
      <c r="I30469" s="26">
        <v>7.51E-2</v>
      </c>
      <c r="J30469" s="26">
        <v>6.5100000000000005E-2</v>
      </c>
      <c r="K30469" s="26">
        <v>4.4299999999999999E-2</v>
      </c>
      <c r="L30469" s="26">
        <v>4.0000000000000001E-3</v>
      </c>
      <c r="M30469" s="26">
        <v>2.86E-2</v>
      </c>
      <c r="N30469" s="26">
        <v>5.9799999999999999E-2</v>
      </c>
      <c r="O30469" s="26">
        <v>5.4699999999999999E-2</v>
      </c>
      <c r="P30469" s="26">
        <v>3.8600000000000002E-2</v>
      </c>
      <c r="R30469" s="26">
        <v>3.8999999999999998E-3</v>
      </c>
      <c r="S30469">
        <v>198</v>
      </c>
    </row>
    <row r="30470" spans="1:19" x14ac:dyDescent="0.35">
      <c r="A30470" s="27" t="s">
        <v>229</v>
      </c>
      <c r="B30470" s="27" t="s">
        <v>1341</v>
      </c>
      <c r="C30470" s="27" t="s">
        <v>1345</v>
      </c>
      <c r="D30470" s="28">
        <v>0.72760000000000002</v>
      </c>
      <c r="E30470" s="28">
        <v>8.3999999999999995E-3</v>
      </c>
      <c r="F30470" s="29"/>
      <c r="G30470" s="29"/>
      <c r="H30470" s="28">
        <v>0.26400000000000001</v>
      </c>
      <c r="I30470" s="29"/>
      <c r="J30470" s="29"/>
      <c r="K30470" s="29"/>
      <c r="L30470" s="29"/>
      <c r="M30470" s="29"/>
      <c r="N30470" s="29"/>
      <c r="O30470" s="29"/>
      <c r="P30470" s="29"/>
      <c r="Q30470" s="29"/>
      <c r="R30470" s="29"/>
      <c r="S30470" s="29" t="s">
        <v>334</v>
      </c>
    </row>
    <row r="30471" spans="1:19" x14ac:dyDescent="0.35">
      <c r="A30471" s="27" t="s">
        <v>229</v>
      </c>
      <c r="B30471" s="27" t="s">
        <v>1343</v>
      </c>
      <c r="C30471" s="27" t="s">
        <v>1345</v>
      </c>
      <c r="D30471" s="28">
        <v>0.64659999999999995</v>
      </c>
      <c r="E30471" s="28">
        <v>2.53E-2</v>
      </c>
      <c r="F30471" s="28">
        <v>0.14929999999999999</v>
      </c>
      <c r="G30471" s="28">
        <v>0.32819999999999999</v>
      </c>
      <c r="H30471" s="28">
        <v>1.9599999999999999E-2</v>
      </c>
      <c r="I30471" s="28">
        <v>0.32819999999999999</v>
      </c>
      <c r="J30471" s="29"/>
      <c r="K30471" s="29"/>
      <c r="L30471" s="29"/>
      <c r="M30471" s="29"/>
      <c r="N30471" s="29"/>
      <c r="O30471" s="29"/>
      <c r="P30471" s="29"/>
      <c r="Q30471" s="29"/>
      <c r="R30471" s="29"/>
      <c r="S30471" s="29" t="s">
        <v>343</v>
      </c>
    </row>
    <row r="30472" spans="1:19" x14ac:dyDescent="0.35">
      <c r="A30472" t="s">
        <v>229</v>
      </c>
      <c r="B30472" t="s">
        <v>1341</v>
      </c>
      <c r="C30472" t="s">
        <v>1348</v>
      </c>
      <c r="D30472" s="26">
        <v>0.4632</v>
      </c>
      <c r="E30472" s="26">
        <v>0.30130000000000001</v>
      </c>
      <c r="F30472" s="26">
        <v>0.1202</v>
      </c>
      <c r="G30472" s="26">
        <v>0.1351</v>
      </c>
      <c r="H30472" s="26">
        <v>4.4499999999999998E-2</v>
      </c>
      <c r="I30472" s="26">
        <v>7.7200000000000005E-2</v>
      </c>
      <c r="J30472" s="26">
        <v>6.3200000000000006E-2</v>
      </c>
      <c r="K30472" s="26">
        <v>2.7799999999999998E-2</v>
      </c>
      <c r="L30472" s="26">
        <v>3.7499999999999999E-2</v>
      </c>
      <c r="M30472" s="26">
        <v>4.3400000000000001E-2</v>
      </c>
      <c r="N30472" s="26">
        <v>2.0400000000000001E-2</v>
      </c>
      <c r="O30472" s="26">
        <v>1.1000000000000001E-3</v>
      </c>
      <c r="P30472" s="26">
        <v>1.61E-2</v>
      </c>
      <c r="S30472">
        <v>107</v>
      </c>
    </row>
    <row r="30473" spans="1:19" x14ac:dyDescent="0.35">
      <c r="A30473" t="s">
        <v>230</v>
      </c>
      <c r="B30473" t="s">
        <v>1343</v>
      </c>
      <c r="C30473" t="s">
        <v>1346</v>
      </c>
      <c r="D30473" s="26">
        <v>0.40479999999999999</v>
      </c>
      <c r="E30473" s="26">
        <v>0.30830000000000002</v>
      </c>
      <c r="F30473" s="26">
        <v>5.5599999999999997E-2</v>
      </c>
      <c r="G30473" s="26">
        <v>7.1400000000000005E-2</v>
      </c>
      <c r="H30473" s="26">
        <v>0.1076</v>
      </c>
      <c r="I30473" s="26">
        <v>7.1400000000000005E-2</v>
      </c>
      <c r="J30473" s="26">
        <v>1.7000000000000001E-2</v>
      </c>
      <c r="K30473" s="26">
        <v>7.4999999999999997E-3</v>
      </c>
      <c r="L30473" s="26">
        <v>5.4100000000000002E-2</v>
      </c>
      <c r="M30473" s="26">
        <v>2.01E-2</v>
      </c>
      <c r="N30473" s="26">
        <v>2.8000000000000001E-2</v>
      </c>
      <c r="O30473" s="26">
        <v>2.0500000000000001E-2</v>
      </c>
      <c r="P30473" s="26">
        <v>2.4500000000000001E-2</v>
      </c>
      <c r="Q30473" s="26">
        <v>1.7500000000000002E-2</v>
      </c>
      <c r="R30473" s="26">
        <v>1.8E-3</v>
      </c>
      <c r="S30473">
        <v>110</v>
      </c>
    </row>
    <row r="30474" spans="1:19" x14ac:dyDescent="0.35">
      <c r="A30474" s="27" t="s">
        <v>230</v>
      </c>
      <c r="B30474" s="27" t="s">
        <v>1341</v>
      </c>
      <c r="C30474" s="27" t="s">
        <v>1345</v>
      </c>
      <c r="D30474" s="28">
        <v>0.50080000000000002</v>
      </c>
      <c r="E30474" s="28">
        <v>7.0599999999999996E-2</v>
      </c>
      <c r="F30474" s="28">
        <v>0.42849999999999999</v>
      </c>
      <c r="G30474" s="29"/>
      <c r="H30474" s="29"/>
      <c r="I30474" s="29"/>
      <c r="J30474" s="29"/>
      <c r="K30474" s="29"/>
      <c r="L30474" s="29"/>
      <c r="M30474" s="29"/>
      <c r="N30474" s="29"/>
      <c r="O30474" s="29"/>
      <c r="P30474" s="29"/>
      <c r="Q30474" s="29"/>
      <c r="R30474" s="29"/>
      <c r="S30474" s="29" t="s">
        <v>337</v>
      </c>
    </row>
    <row r="30475" spans="1:19" x14ac:dyDescent="0.35">
      <c r="A30475" t="s">
        <v>230</v>
      </c>
      <c r="B30475" t="s">
        <v>1343</v>
      </c>
      <c r="C30475" t="s">
        <v>1348</v>
      </c>
      <c r="D30475" s="26">
        <v>0.42870000000000003</v>
      </c>
      <c r="E30475" s="26">
        <v>0.21199999999999999</v>
      </c>
      <c r="F30475" s="26">
        <v>0.22009999999999999</v>
      </c>
      <c r="G30475" s="26">
        <v>0.1144</v>
      </c>
      <c r="H30475" s="26">
        <v>0.1648</v>
      </c>
      <c r="I30475" s="26">
        <v>0.1239</v>
      </c>
      <c r="J30475" s="26">
        <v>4.4499999999999998E-2</v>
      </c>
      <c r="K30475" s="26">
        <v>3.8399999999999997E-2</v>
      </c>
      <c r="L30475" s="26">
        <v>2.5999999999999999E-3</v>
      </c>
      <c r="M30475" s="26">
        <v>3.9399999999999998E-2</v>
      </c>
      <c r="N30475" s="26">
        <v>7.4200000000000002E-2</v>
      </c>
      <c r="O30475" s="26">
        <v>4.1500000000000002E-2</v>
      </c>
      <c r="P30475" s="26">
        <v>2.1299999999999999E-2</v>
      </c>
      <c r="Q30475" s="26">
        <v>7.7000000000000002E-3</v>
      </c>
      <c r="R30475" s="26">
        <v>4.1000000000000003E-3</v>
      </c>
      <c r="S30475">
        <v>184</v>
      </c>
    </row>
    <row r="30476" spans="1:19" x14ac:dyDescent="0.35">
      <c r="A30476" t="s">
        <v>230</v>
      </c>
      <c r="B30476" t="s">
        <v>1343</v>
      </c>
      <c r="C30476" t="s">
        <v>1347</v>
      </c>
      <c r="D30476" s="26">
        <v>0.32279999999999998</v>
      </c>
      <c r="E30476" s="26">
        <v>0.33189999999999997</v>
      </c>
      <c r="F30476" s="26">
        <v>0.24079999999999999</v>
      </c>
      <c r="G30476" s="26">
        <v>0.1163</v>
      </c>
      <c r="H30476" s="26">
        <v>0.1789</v>
      </c>
      <c r="I30476" s="26">
        <v>8.0799999999999997E-2</v>
      </c>
      <c r="J30476" s="26">
        <v>4.2900000000000001E-2</v>
      </c>
      <c r="K30476" s="26">
        <v>8.3599999999999994E-2</v>
      </c>
      <c r="M30476" s="26">
        <v>4.9599999999999998E-2</v>
      </c>
      <c r="N30476" s="26">
        <v>3.8399999999999997E-2</v>
      </c>
      <c r="O30476" s="26">
        <v>4.4000000000000003E-3</v>
      </c>
      <c r="P30476" s="26">
        <v>3.8899999999999997E-2</v>
      </c>
      <c r="Q30476" s="26">
        <v>4.8999999999999998E-3</v>
      </c>
      <c r="R30476" s="26">
        <v>1.5E-3</v>
      </c>
      <c r="S30476">
        <v>106</v>
      </c>
    </row>
    <row r="30477" spans="1:19" x14ac:dyDescent="0.35">
      <c r="A30477" t="s">
        <v>230</v>
      </c>
      <c r="B30477" t="s">
        <v>1341</v>
      </c>
      <c r="C30477" t="s">
        <v>1348</v>
      </c>
      <c r="D30477" s="26">
        <v>0.2074</v>
      </c>
      <c r="E30477" s="26">
        <v>0.52280000000000004</v>
      </c>
      <c r="F30477" s="26">
        <v>0.1454</v>
      </c>
      <c r="G30477" s="26">
        <v>6.0000000000000001E-3</v>
      </c>
      <c r="H30477" s="26">
        <v>7.6499999999999999E-2</v>
      </c>
      <c r="I30477" s="26">
        <v>6.0000000000000001E-3</v>
      </c>
      <c r="J30477" s="26">
        <v>6.0000000000000001E-3</v>
      </c>
      <c r="K30477" s="26">
        <v>9.9000000000000008E-3</v>
      </c>
      <c r="L30477" s="26">
        <v>6.08E-2</v>
      </c>
      <c r="M30477" s="26">
        <v>6.0000000000000001E-3</v>
      </c>
      <c r="N30477" s="26">
        <v>1.4500000000000001E-2</v>
      </c>
      <c r="O30477" s="26">
        <v>6.0000000000000001E-3</v>
      </c>
      <c r="P30477" s="26">
        <v>2E-3</v>
      </c>
      <c r="S30477">
        <v>75</v>
      </c>
    </row>
    <row r="30478" spans="1:19" x14ac:dyDescent="0.35">
      <c r="A30478" t="s">
        <v>230</v>
      </c>
      <c r="B30478" t="s">
        <v>1341</v>
      </c>
      <c r="C30478" t="s">
        <v>1347</v>
      </c>
      <c r="D30478" s="26">
        <v>0.43140000000000001</v>
      </c>
      <c r="E30478" s="26">
        <v>0.26550000000000001</v>
      </c>
      <c r="F30478" s="26">
        <v>0.1583</v>
      </c>
      <c r="G30478" s="26">
        <v>2.12E-2</v>
      </c>
      <c r="H30478" s="26">
        <v>0.1038</v>
      </c>
      <c r="I30478" s="26">
        <v>1.83E-2</v>
      </c>
      <c r="J30478" s="26">
        <v>7.2400000000000006E-2</v>
      </c>
      <c r="K30478" s="26">
        <v>7.5300000000000006E-2</v>
      </c>
      <c r="M30478" s="26">
        <v>5.7999999999999996E-3</v>
      </c>
      <c r="N30478" s="26">
        <v>8.2000000000000003E-2</v>
      </c>
      <c r="O30478" s="26">
        <v>8.2000000000000003E-2</v>
      </c>
      <c r="P30478" s="26">
        <v>6.0100000000000001E-2</v>
      </c>
      <c r="Q30478" s="26">
        <v>5.7200000000000001E-2</v>
      </c>
      <c r="R30478" s="26">
        <v>2.8999999999999998E-3</v>
      </c>
      <c r="S30478">
        <v>47</v>
      </c>
    </row>
    <row r="30479" spans="1:19" x14ac:dyDescent="0.35">
      <c r="A30479" s="27" t="s">
        <v>230</v>
      </c>
      <c r="B30479" s="27" t="s">
        <v>1343</v>
      </c>
      <c r="C30479" s="27" t="s">
        <v>1345</v>
      </c>
      <c r="D30479" s="28">
        <v>0.12189999999999999</v>
      </c>
      <c r="E30479" s="28">
        <v>0.72240000000000004</v>
      </c>
      <c r="F30479" s="28">
        <v>3.6600000000000001E-2</v>
      </c>
      <c r="G30479" s="29"/>
      <c r="H30479" s="29"/>
      <c r="I30479" s="29"/>
      <c r="J30479" s="28">
        <v>3.6600000000000001E-2</v>
      </c>
      <c r="K30479" s="29"/>
      <c r="L30479" s="28">
        <v>0.11899999999999999</v>
      </c>
      <c r="M30479" s="29"/>
      <c r="N30479" s="29"/>
      <c r="O30479" s="29"/>
      <c r="P30479" s="29"/>
      <c r="Q30479" s="29"/>
      <c r="R30479" s="29"/>
      <c r="S30479" s="29" t="s">
        <v>337</v>
      </c>
    </row>
    <row r="30480" spans="1:19" x14ac:dyDescent="0.35">
      <c r="A30480" t="s">
        <v>230</v>
      </c>
      <c r="B30480" t="s">
        <v>1341</v>
      </c>
      <c r="C30480" t="s">
        <v>1346</v>
      </c>
      <c r="D30480" s="26">
        <v>0.63959999999999995</v>
      </c>
      <c r="E30480" s="26">
        <v>0.14549999999999999</v>
      </c>
      <c r="F30480" s="26">
        <v>0.10299999999999999</v>
      </c>
      <c r="G30480" s="26">
        <v>4.3E-3</v>
      </c>
      <c r="H30480" s="26">
        <v>2.29E-2</v>
      </c>
      <c r="I30480" s="26">
        <v>4.3E-3</v>
      </c>
      <c r="J30480" s="26">
        <v>4.3E-3</v>
      </c>
      <c r="K30480" s="26">
        <v>4.3E-3</v>
      </c>
      <c r="L30480" s="26">
        <v>8.8999999999999996E-2</v>
      </c>
      <c r="M30480" s="26">
        <v>8.6E-3</v>
      </c>
      <c r="N30480" s="26">
        <v>4.3E-3</v>
      </c>
      <c r="O30480" s="26">
        <v>4.3E-3</v>
      </c>
      <c r="P30480" s="26">
        <v>4.3E-3</v>
      </c>
      <c r="R30480" s="26">
        <v>4.3E-3</v>
      </c>
      <c r="S30480">
        <v>30</v>
      </c>
    </row>
    <row r="30481" spans="1:19" x14ac:dyDescent="0.35">
      <c r="A30481" t="s">
        <v>231</v>
      </c>
      <c r="B30481" t="s">
        <v>1343</v>
      </c>
      <c r="C30481" t="s">
        <v>1348</v>
      </c>
      <c r="D30481" s="26">
        <v>0.66</v>
      </c>
      <c r="E30481" s="26">
        <v>0.22</v>
      </c>
      <c r="F30481" s="26">
        <v>0.06</v>
      </c>
      <c r="G30481" s="26">
        <v>0.04</v>
      </c>
      <c r="H30481" s="26">
        <v>0.06</v>
      </c>
      <c r="I30481" s="26">
        <v>0.04</v>
      </c>
      <c r="J30481" s="26">
        <v>0.02</v>
      </c>
      <c r="K30481" s="26">
        <v>0.02</v>
      </c>
      <c r="L30481" s="26">
        <v>0.02</v>
      </c>
      <c r="S30481">
        <v>50</v>
      </c>
    </row>
    <row r="30482" spans="1:19" x14ac:dyDescent="0.35">
      <c r="A30482" s="27" t="s">
        <v>231</v>
      </c>
      <c r="B30482" s="27" t="s">
        <v>1343</v>
      </c>
      <c r="C30482" s="27" t="s">
        <v>1345</v>
      </c>
      <c r="D30482" s="28">
        <v>1</v>
      </c>
      <c r="E30482" s="29"/>
      <c r="F30482" s="29"/>
      <c r="G30482" s="29"/>
      <c r="H30482" s="29"/>
      <c r="I30482" s="29"/>
      <c r="J30482" s="29"/>
      <c r="K30482" s="29"/>
      <c r="L30482" s="29"/>
      <c r="M30482" s="29"/>
      <c r="N30482" s="29"/>
      <c r="O30482" s="29"/>
      <c r="P30482" s="29"/>
      <c r="Q30482" s="29"/>
      <c r="R30482" s="29"/>
      <c r="S30482" s="29" t="s">
        <v>315</v>
      </c>
    </row>
    <row r="30483" spans="1:19" x14ac:dyDescent="0.35">
      <c r="A30483" t="s">
        <v>231</v>
      </c>
      <c r="B30483" t="s">
        <v>1341</v>
      </c>
      <c r="C30483" t="s">
        <v>1348</v>
      </c>
      <c r="D30483" s="26">
        <v>0.63890000000000002</v>
      </c>
      <c r="E30483" s="26">
        <v>8.3299999999999999E-2</v>
      </c>
      <c r="F30483" s="26">
        <v>0.22220000000000001</v>
      </c>
      <c r="G30483" s="26">
        <v>5.5599999999999997E-2</v>
      </c>
      <c r="H30483" s="26">
        <v>2.7799999999999998E-2</v>
      </c>
      <c r="I30483" s="26">
        <v>2.7799999999999998E-2</v>
      </c>
      <c r="K30483" s="26">
        <v>2.7799999999999998E-2</v>
      </c>
      <c r="L30483" s="26">
        <v>2.7799999999999998E-2</v>
      </c>
      <c r="O30483" s="26">
        <v>2.7799999999999998E-2</v>
      </c>
      <c r="S30483">
        <v>36</v>
      </c>
    </row>
    <row r="30484" spans="1:19" x14ac:dyDescent="0.35">
      <c r="A30484" s="27" t="s">
        <v>231</v>
      </c>
      <c r="B30484" s="27" t="s">
        <v>1341</v>
      </c>
      <c r="C30484" s="27" t="s">
        <v>1345</v>
      </c>
      <c r="D30484" s="28">
        <v>1</v>
      </c>
      <c r="E30484" s="29"/>
      <c r="F30484" s="29"/>
      <c r="G30484" s="29"/>
      <c r="H30484" s="29"/>
      <c r="I30484" s="29"/>
      <c r="J30484" s="29"/>
      <c r="K30484" s="29"/>
      <c r="L30484" s="29"/>
      <c r="M30484" s="29"/>
      <c r="N30484" s="29"/>
      <c r="O30484" s="29"/>
      <c r="P30484" s="29"/>
      <c r="Q30484" s="29"/>
      <c r="R30484" s="29"/>
      <c r="S30484" s="29" t="s">
        <v>331</v>
      </c>
    </row>
    <row r="30485" spans="1:19" x14ac:dyDescent="0.35">
      <c r="A30485" s="27" t="s">
        <v>231</v>
      </c>
      <c r="B30485" s="27" t="s">
        <v>1343</v>
      </c>
      <c r="C30485" s="27" t="s">
        <v>1346</v>
      </c>
      <c r="D30485" s="28">
        <v>0.65380000000000005</v>
      </c>
      <c r="E30485" s="28">
        <v>0.1154</v>
      </c>
      <c r="F30485" s="28">
        <v>0.15379999999999999</v>
      </c>
      <c r="G30485" s="29"/>
      <c r="H30485" s="29"/>
      <c r="I30485" s="29"/>
      <c r="J30485" s="29"/>
      <c r="K30485" s="29"/>
      <c r="L30485" s="28">
        <v>7.6899999999999996E-2</v>
      </c>
      <c r="M30485" s="29"/>
      <c r="N30485" s="29"/>
      <c r="O30485" s="29"/>
      <c r="P30485" s="29"/>
      <c r="Q30485" s="29"/>
      <c r="R30485" s="29"/>
      <c r="S30485" s="29" t="s">
        <v>357</v>
      </c>
    </row>
    <row r="30486" spans="1:19" x14ac:dyDescent="0.35">
      <c r="A30486" s="27" t="s">
        <v>231</v>
      </c>
      <c r="B30486" s="27" t="s">
        <v>1341</v>
      </c>
      <c r="C30486" s="27" t="s">
        <v>1346</v>
      </c>
      <c r="D30486" s="28">
        <v>0.71430000000000005</v>
      </c>
      <c r="E30486" s="28">
        <v>0.1429</v>
      </c>
      <c r="F30486" s="28">
        <v>7.1400000000000005E-2</v>
      </c>
      <c r="G30486" s="29"/>
      <c r="H30486" s="29"/>
      <c r="I30486" s="29"/>
      <c r="J30486" s="29"/>
      <c r="K30486" s="29"/>
      <c r="L30486" s="28">
        <v>7.1400000000000005E-2</v>
      </c>
      <c r="M30486" s="29"/>
      <c r="N30486" s="29"/>
      <c r="O30486" s="29"/>
      <c r="P30486" s="29"/>
      <c r="Q30486" s="29"/>
      <c r="R30486" s="29"/>
      <c r="S30486" s="29" t="s">
        <v>379</v>
      </c>
    </row>
    <row r="30487" spans="1:19" x14ac:dyDescent="0.35">
      <c r="A30487" s="27" t="s">
        <v>231</v>
      </c>
      <c r="B30487" s="27" t="s">
        <v>1341</v>
      </c>
      <c r="C30487" s="27" t="s">
        <v>1347</v>
      </c>
      <c r="D30487" s="28">
        <v>0.78569999999999995</v>
      </c>
      <c r="E30487" s="28">
        <v>0.1429</v>
      </c>
      <c r="F30487" s="28">
        <v>7.1400000000000005E-2</v>
      </c>
      <c r="G30487" s="28">
        <v>7.1400000000000005E-2</v>
      </c>
      <c r="H30487" s="29"/>
      <c r="I30487" s="29"/>
      <c r="J30487" s="28">
        <v>7.1400000000000005E-2</v>
      </c>
      <c r="K30487" s="29"/>
      <c r="L30487" s="29"/>
      <c r="M30487" s="29"/>
      <c r="N30487" s="29"/>
      <c r="O30487" s="29"/>
      <c r="P30487" s="29"/>
      <c r="Q30487" s="29"/>
      <c r="R30487" s="29"/>
      <c r="S30487" s="29" t="s">
        <v>379</v>
      </c>
    </row>
    <row r="30488" spans="1:19" x14ac:dyDescent="0.35">
      <c r="A30488" s="27" t="s">
        <v>231</v>
      </c>
      <c r="B30488" s="27" t="s">
        <v>1343</v>
      </c>
      <c r="C30488" s="27" t="s">
        <v>1347</v>
      </c>
      <c r="D30488" s="28">
        <v>0.55000000000000004</v>
      </c>
      <c r="E30488" s="28">
        <v>0.25</v>
      </c>
      <c r="F30488" s="28">
        <v>0.2</v>
      </c>
      <c r="G30488" s="28">
        <v>0.05</v>
      </c>
      <c r="H30488" s="28">
        <v>0.1</v>
      </c>
      <c r="I30488" s="28">
        <v>0.05</v>
      </c>
      <c r="J30488" s="28">
        <v>0.05</v>
      </c>
      <c r="K30488" s="28">
        <v>0.05</v>
      </c>
      <c r="L30488" s="29"/>
      <c r="M30488" s="28">
        <v>0.05</v>
      </c>
      <c r="N30488" s="28">
        <v>0.05</v>
      </c>
      <c r="O30488" s="29"/>
      <c r="P30488" s="29"/>
      <c r="Q30488" s="29"/>
      <c r="R30488" s="29"/>
      <c r="S30488" s="29" t="s">
        <v>350</v>
      </c>
    </row>
    <row r="30489" spans="1:19" x14ac:dyDescent="0.35">
      <c r="A30489" t="s">
        <v>232</v>
      </c>
      <c r="B30489" t="s">
        <v>232</v>
      </c>
      <c r="C30489" t="s">
        <v>232</v>
      </c>
      <c r="D30489" s="26">
        <v>0.503</v>
      </c>
      <c r="E30489" s="26">
        <v>0.24610000000000001</v>
      </c>
      <c r="F30489" s="26">
        <v>0.12909999999999999</v>
      </c>
      <c r="G30489" s="26">
        <v>6.9500000000000006E-2</v>
      </c>
      <c r="H30489" s="26">
        <v>6.6600000000000006E-2</v>
      </c>
      <c r="I30489" s="26">
        <v>5.0700000000000002E-2</v>
      </c>
      <c r="J30489" s="26">
        <v>3.5900000000000001E-2</v>
      </c>
      <c r="K30489" s="26">
        <v>3.3399999999999999E-2</v>
      </c>
      <c r="L30489" s="26">
        <v>2.8799999999999999E-2</v>
      </c>
      <c r="M30489" s="26">
        <v>2.5600000000000001E-2</v>
      </c>
      <c r="N30489" s="26">
        <v>2.35E-2</v>
      </c>
      <c r="O30489" s="26">
        <v>1.9199999999999998E-2</v>
      </c>
      <c r="P30489" s="26">
        <v>0.01</v>
      </c>
      <c r="Q30489" s="26">
        <v>5.1000000000000004E-3</v>
      </c>
      <c r="R30489" s="26">
        <v>3.5000000000000001E-3</v>
      </c>
      <c r="S30489">
        <v>2812</v>
      </c>
    </row>
    <row r="30491" spans="1:19" x14ac:dyDescent="0.35">
      <c r="A30491" s="1" t="s">
        <v>2713</v>
      </c>
    </row>
    <row r="30492" spans="1:19" x14ac:dyDescent="0.35">
      <c r="A30492" t="s">
        <v>219</v>
      </c>
      <c r="B30492" t="s">
        <v>302</v>
      </c>
      <c r="C30492" t="s">
        <v>303</v>
      </c>
      <c r="D30492" t="s">
        <v>281</v>
      </c>
      <c r="E30492" t="s">
        <v>286</v>
      </c>
      <c r="F30492" t="s">
        <v>226</v>
      </c>
    </row>
    <row r="30493" spans="1:19" x14ac:dyDescent="0.35">
      <c r="A30493" t="s">
        <v>227</v>
      </c>
      <c r="B30493" s="26">
        <v>0.94410000000000005</v>
      </c>
      <c r="C30493" s="26">
        <v>3.1099999999999999E-2</v>
      </c>
      <c r="D30493" s="26">
        <v>1.24E-2</v>
      </c>
      <c r="E30493" s="26">
        <v>1.24E-2</v>
      </c>
      <c r="F30493">
        <v>161</v>
      </c>
    </row>
    <row r="30494" spans="1:19" x14ac:dyDescent="0.35">
      <c r="A30494" t="s">
        <v>228</v>
      </c>
      <c r="B30494" s="26">
        <v>0.93579999999999997</v>
      </c>
      <c r="C30494" s="26">
        <v>3.6600000000000001E-2</v>
      </c>
      <c r="D30494" s="26">
        <v>1.67E-2</v>
      </c>
      <c r="E30494" s="26">
        <v>1.09E-2</v>
      </c>
      <c r="F30494">
        <v>1033</v>
      </c>
    </row>
    <row r="30495" spans="1:19" x14ac:dyDescent="0.35">
      <c r="A30495" t="s">
        <v>229</v>
      </c>
      <c r="B30495" s="26">
        <v>0.95850000000000002</v>
      </c>
      <c r="C30495" s="26">
        <v>2.1000000000000001E-2</v>
      </c>
      <c r="D30495" s="26">
        <v>1.2E-2</v>
      </c>
      <c r="E30495" s="26">
        <v>8.5000000000000006E-3</v>
      </c>
      <c r="F30495">
        <v>895</v>
      </c>
    </row>
    <row r="30496" spans="1:19" x14ac:dyDescent="0.35">
      <c r="A30496" t="s">
        <v>230</v>
      </c>
      <c r="B30496" s="26">
        <v>0.95699999999999996</v>
      </c>
      <c r="C30496" s="26">
        <v>2.4299999999999999E-2</v>
      </c>
      <c r="D30496" s="26">
        <v>8.0999999999999996E-3</v>
      </c>
      <c r="E30496" s="26">
        <v>1.0699999999999999E-2</v>
      </c>
      <c r="F30496">
        <v>560</v>
      </c>
    </row>
    <row r="30497" spans="1:7" x14ac:dyDescent="0.35">
      <c r="A30497" t="s">
        <v>231</v>
      </c>
      <c r="B30497" s="26">
        <v>0.95120000000000005</v>
      </c>
      <c r="C30497" s="26">
        <v>3.0499999999999999E-2</v>
      </c>
      <c r="D30497" s="26">
        <v>1.83E-2</v>
      </c>
      <c r="F30497">
        <v>164</v>
      </c>
    </row>
    <row r="30498" spans="1:7" x14ac:dyDescent="0.35">
      <c r="A30498" t="s">
        <v>232</v>
      </c>
      <c r="B30498" s="26">
        <v>0.94979999999999998</v>
      </c>
      <c r="C30498" s="26">
        <v>2.8500000000000001E-2</v>
      </c>
      <c r="D30498" s="26">
        <v>1.43E-2</v>
      </c>
      <c r="E30498" s="26">
        <v>7.4000000000000003E-3</v>
      </c>
      <c r="F30498">
        <v>2813</v>
      </c>
    </row>
    <row r="30500" spans="1:7" x14ac:dyDescent="0.35">
      <c r="A30500" s="1" t="s">
        <v>2714</v>
      </c>
    </row>
    <row r="30501" spans="1:7" x14ac:dyDescent="0.35">
      <c r="A30501" t="s">
        <v>219</v>
      </c>
      <c r="B30501" t="s">
        <v>305</v>
      </c>
      <c r="C30501" t="s">
        <v>302</v>
      </c>
      <c r="D30501" t="s">
        <v>303</v>
      </c>
      <c r="E30501" t="s">
        <v>281</v>
      </c>
      <c r="F30501" t="s">
        <v>286</v>
      </c>
      <c r="G30501" t="s">
        <v>226</v>
      </c>
    </row>
    <row r="30502" spans="1:7" x14ac:dyDescent="0.35">
      <c r="A30502" t="s">
        <v>227</v>
      </c>
      <c r="B30502" t="s">
        <v>368</v>
      </c>
      <c r="C30502" s="26">
        <v>0.96970000000000001</v>
      </c>
      <c r="E30502" s="26">
        <v>3.0300000000000001E-2</v>
      </c>
      <c r="G30502">
        <v>33</v>
      </c>
    </row>
    <row r="30503" spans="1:7" x14ac:dyDescent="0.35">
      <c r="A30503" t="s">
        <v>227</v>
      </c>
      <c r="B30503" t="s">
        <v>369</v>
      </c>
      <c r="C30503" s="26">
        <v>0.9375</v>
      </c>
      <c r="D30503" s="26">
        <v>3.9100000000000003E-2</v>
      </c>
      <c r="E30503" s="26">
        <v>7.7999999999999996E-3</v>
      </c>
      <c r="F30503" s="26">
        <v>1.5599999999999999E-2</v>
      </c>
      <c r="G30503">
        <v>128</v>
      </c>
    </row>
    <row r="30504" spans="1:7" x14ac:dyDescent="0.35">
      <c r="A30504" t="s">
        <v>228</v>
      </c>
      <c r="B30504" t="s">
        <v>368</v>
      </c>
      <c r="C30504" s="26">
        <v>0.95640000000000003</v>
      </c>
      <c r="D30504" s="26">
        <v>8.9999999999999993E-3</v>
      </c>
      <c r="E30504" s="26">
        <v>7.1999999999999998E-3</v>
      </c>
      <c r="F30504" s="26">
        <v>2.7300000000000001E-2</v>
      </c>
      <c r="G30504">
        <v>192</v>
      </c>
    </row>
    <row r="30505" spans="1:7" x14ac:dyDescent="0.35">
      <c r="A30505" t="s">
        <v>228</v>
      </c>
      <c r="B30505" t="s">
        <v>369</v>
      </c>
      <c r="C30505" s="26">
        <v>0.93079999999999996</v>
      </c>
      <c r="D30505" s="26">
        <v>4.3200000000000002E-2</v>
      </c>
      <c r="E30505" s="26">
        <v>1.9E-2</v>
      </c>
      <c r="F30505" s="26">
        <v>6.8999999999999999E-3</v>
      </c>
      <c r="G30505">
        <v>841</v>
      </c>
    </row>
    <row r="30506" spans="1:7" x14ac:dyDescent="0.35">
      <c r="A30506" t="s">
        <v>229</v>
      </c>
      <c r="B30506" t="s">
        <v>368</v>
      </c>
      <c r="C30506" s="26">
        <v>0.98089999999999999</v>
      </c>
      <c r="D30506" s="26">
        <v>2.2000000000000001E-3</v>
      </c>
      <c r="F30506" s="26">
        <v>1.6899999999999998E-2</v>
      </c>
      <c r="G30506">
        <v>96</v>
      </c>
    </row>
    <row r="30507" spans="1:7" x14ac:dyDescent="0.35">
      <c r="A30507" t="s">
        <v>229</v>
      </c>
      <c r="B30507" t="s">
        <v>369</v>
      </c>
      <c r="C30507" s="26">
        <v>0.9546</v>
      </c>
      <c r="D30507" s="26">
        <v>2.4199999999999999E-2</v>
      </c>
      <c r="E30507" s="26">
        <v>1.41E-2</v>
      </c>
      <c r="F30507" s="26">
        <v>7.0000000000000001E-3</v>
      </c>
      <c r="G30507">
        <v>799</v>
      </c>
    </row>
    <row r="30508" spans="1:7" x14ac:dyDescent="0.35">
      <c r="A30508" t="s">
        <v>230</v>
      </c>
      <c r="B30508" t="s">
        <v>368</v>
      </c>
      <c r="C30508" s="26">
        <v>0.97099999999999997</v>
      </c>
      <c r="D30508" s="26">
        <v>8.6999999999999994E-3</v>
      </c>
      <c r="E30508" s="26">
        <v>2.0299999999999999E-2</v>
      </c>
      <c r="G30508">
        <v>57</v>
      </c>
    </row>
    <row r="30509" spans="1:7" x14ac:dyDescent="0.35">
      <c r="A30509" t="s">
        <v>230</v>
      </c>
      <c r="B30509" t="s">
        <v>369</v>
      </c>
      <c r="C30509" s="26">
        <v>0.95479999999999998</v>
      </c>
      <c r="D30509" s="26">
        <v>2.6700000000000002E-2</v>
      </c>
      <c r="E30509" s="26">
        <v>6.1999999999999998E-3</v>
      </c>
      <c r="F30509" s="26">
        <v>1.23E-2</v>
      </c>
      <c r="G30509">
        <v>503</v>
      </c>
    </row>
    <row r="30510" spans="1:7" x14ac:dyDescent="0.35">
      <c r="A30510" s="27" t="s">
        <v>231</v>
      </c>
      <c r="B30510" s="27" t="s">
        <v>368</v>
      </c>
      <c r="C30510" s="28">
        <v>1</v>
      </c>
      <c r="D30510" s="29"/>
      <c r="E30510" s="29"/>
      <c r="F30510" s="29"/>
      <c r="G30510" s="29" t="s">
        <v>338</v>
      </c>
    </row>
    <row r="30511" spans="1:7" x14ac:dyDescent="0.35">
      <c r="A30511" t="s">
        <v>231</v>
      </c>
      <c r="B30511" t="s">
        <v>369</v>
      </c>
      <c r="C30511" s="26">
        <v>0.94159999999999999</v>
      </c>
      <c r="D30511" s="26">
        <v>3.6499999999999998E-2</v>
      </c>
      <c r="E30511" s="26">
        <v>2.1899999999999999E-2</v>
      </c>
      <c r="G30511">
        <v>137</v>
      </c>
    </row>
    <row r="30512" spans="1:7" x14ac:dyDescent="0.35">
      <c r="A30512" t="s">
        <v>232</v>
      </c>
      <c r="B30512" t="s">
        <v>232</v>
      </c>
      <c r="C30512" s="26">
        <v>0.94979999999999998</v>
      </c>
      <c r="D30512" s="26">
        <v>2.8500000000000001E-2</v>
      </c>
      <c r="E30512" s="26">
        <v>1.43E-2</v>
      </c>
      <c r="F30512" s="26">
        <v>7.4000000000000003E-3</v>
      </c>
      <c r="G30512">
        <v>2813</v>
      </c>
    </row>
    <row r="30514" spans="1:7" x14ac:dyDescent="0.35">
      <c r="A30514" s="1" t="s">
        <v>2715</v>
      </c>
    </row>
    <row r="30515" spans="1:7" x14ac:dyDescent="0.35">
      <c r="A30515" t="s">
        <v>219</v>
      </c>
      <c r="B30515" t="s">
        <v>305</v>
      </c>
      <c r="C30515" t="s">
        <v>302</v>
      </c>
      <c r="D30515" t="s">
        <v>303</v>
      </c>
      <c r="E30515" t="s">
        <v>281</v>
      </c>
      <c r="F30515" t="s">
        <v>286</v>
      </c>
      <c r="G30515" t="s">
        <v>226</v>
      </c>
    </row>
    <row r="30516" spans="1:7" x14ac:dyDescent="0.35">
      <c r="A30516" t="s">
        <v>227</v>
      </c>
      <c r="B30516" t="s">
        <v>371</v>
      </c>
      <c r="C30516" s="26">
        <v>0.94410000000000005</v>
      </c>
      <c r="D30516" s="26">
        <v>3.1099999999999999E-2</v>
      </c>
      <c r="E30516" s="26">
        <v>1.24E-2</v>
      </c>
      <c r="F30516" s="26">
        <v>1.24E-2</v>
      </c>
      <c r="G30516">
        <v>161</v>
      </c>
    </row>
    <row r="30517" spans="1:7" x14ac:dyDescent="0.35">
      <c r="A30517" t="s">
        <v>228</v>
      </c>
      <c r="B30517" t="s">
        <v>371</v>
      </c>
      <c r="C30517" s="26">
        <v>0.94630000000000003</v>
      </c>
      <c r="D30517" s="26">
        <v>2.12E-2</v>
      </c>
      <c r="E30517" s="26">
        <v>1.9099999999999999E-2</v>
      </c>
      <c r="F30517" s="26">
        <v>1.34E-2</v>
      </c>
      <c r="G30517">
        <v>292</v>
      </c>
    </row>
    <row r="30518" spans="1:7" x14ac:dyDescent="0.35">
      <c r="A30518" t="s">
        <v>228</v>
      </c>
      <c r="B30518" t="s">
        <v>372</v>
      </c>
      <c r="C30518" s="26">
        <v>0.89219999999999999</v>
      </c>
      <c r="D30518" s="26">
        <v>9.7199999999999995E-2</v>
      </c>
      <c r="E30518" s="26">
        <v>5.7000000000000002E-3</v>
      </c>
      <c r="F30518" s="26">
        <v>4.8999999999999998E-3</v>
      </c>
      <c r="G30518">
        <v>218</v>
      </c>
    </row>
    <row r="30519" spans="1:7" x14ac:dyDescent="0.35">
      <c r="A30519" t="s">
        <v>228</v>
      </c>
      <c r="B30519" t="s">
        <v>373</v>
      </c>
      <c r="C30519" s="26">
        <v>0.93140000000000001</v>
      </c>
      <c r="D30519" s="26">
        <v>4.3799999999999999E-2</v>
      </c>
      <c r="E30519" s="26">
        <v>1.6E-2</v>
      </c>
      <c r="F30519" s="26">
        <v>8.8999999999999999E-3</v>
      </c>
      <c r="G30519">
        <v>523</v>
      </c>
    </row>
    <row r="30520" spans="1:7" x14ac:dyDescent="0.35">
      <c r="A30520" t="s">
        <v>229</v>
      </c>
      <c r="B30520" t="s">
        <v>371</v>
      </c>
      <c r="C30520" s="26">
        <v>0.9587</v>
      </c>
      <c r="D30520" s="26">
        <v>2.0199999999999999E-2</v>
      </c>
      <c r="E30520" s="26">
        <v>1.23E-2</v>
      </c>
      <c r="F30520" s="26">
        <v>8.8999999999999999E-3</v>
      </c>
      <c r="G30520">
        <v>584</v>
      </c>
    </row>
    <row r="30521" spans="1:7" x14ac:dyDescent="0.35">
      <c r="A30521" t="s">
        <v>229</v>
      </c>
      <c r="B30521" t="s">
        <v>372</v>
      </c>
      <c r="C30521" s="26">
        <v>0.97270000000000001</v>
      </c>
      <c r="D30521" s="26">
        <v>2.0799999999999999E-2</v>
      </c>
      <c r="E30521" s="26">
        <v>6.6E-3</v>
      </c>
      <c r="G30521">
        <v>221</v>
      </c>
    </row>
    <row r="30522" spans="1:7" x14ac:dyDescent="0.35">
      <c r="A30522" t="s">
        <v>229</v>
      </c>
      <c r="B30522" t="s">
        <v>373</v>
      </c>
      <c r="C30522" s="26">
        <v>0.92600000000000005</v>
      </c>
      <c r="D30522" s="26">
        <v>4.9299999999999997E-2</v>
      </c>
      <c r="E30522" s="26">
        <v>1.23E-2</v>
      </c>
      <c r="F30522" s="26">
        <v>1.23E-2</v>
      </c>
      <c r="G30522">
        <v>90</v>
      </c>
    </row>
    <row r="30523" spans="1:7" x14ac:dyDescent="0.35">
      <c r="A30523" t="s">
        <v>230</v>
      </c>
      <c r="B30523" t="s">
        <v>371</v>
      </c>
      <c r="C30523" s="26">
        <v>0.96140000000000003</v>
      </c>
      <c r="D30523" s="26">
        <v>2.1999999999999999E-2</v>
      </c>
      <c r="E30523" s="26">
        <v>8.8000000000000005E-3</v>
      </c>
      <c r="F30523" s="26">
        <v>7.7000000000000002E-3</v>
      </c>
      <c r="G30523">
        <v>262</v>
      </c>
    </row>
    <row r="30524" spans="1:7" x14ac:dyDescent="0.35">
      <c r="A30524" t="s">
        <v>230</v>
      </c>
      <c r="B30524" t="s">
        <v>372</v>
      </c>
      <c r="C30524" s="26">
        <v>0.93730000000000002</v>
      </c>
      <c r="D30524" s="26">
        <v>4.8500000000000001E-2</v>
      </c>
      <c r="F30524" s="26">
        <v>1.4200000000000001E-2</v>
      </c>
      <c r="G30524">
        <v>146</v>
      </c>
    </row>
    <row r="30525" spans="1:7" x14ac:dyDescent="0.35">
      <c r="A30525" t="s">
        <v>230</v>
      </c>
      <c r="B30525" t="s">
        <v>373</v>
      </c>
      <c r="C30525" s="26">
        <v>0.93740000000000001</v>
      </c>
      <c r="D30525" s="26">
        <v>2.7799999999999998E-2</v>
      </c>
      <c r="E30525" s="26">
        <v>7.0000000000000001E-3</v>
      </c>
      <c r="F30525" s="26">
        <v>2.7799999999999998E-2</v>
      </c>
      <c r="G30525">
        <v>152</v>
      </c>
    </row>
    <row r="30526" spans="1:7" x14ac:dyDescent="0.35">
      <c r="A30526" t="s">
        <v>231</v>
      </c>
      <c r="B30526" t="s">
        <v>371</v>
      </c>
      <c r="C30526" s="26">
        <v>0.95120000000000005</v>
      </c>
      <c r="D30526" s="26">
        <v>3.0499999999999999E-2</v>
      </c>
      <c r="E30526" s="26">
        <v>1.83E-2</v>
      </c>
      <c r="G30526">
        <v>164</v>
      </c>
    </row>
    <row r="30527" spans="1:7" x14ac:dyDescent="0.35">
      <c r="A30527" t="s">
        <v>232</v>
      </c>
      <c r="B30527" t="s">
        <v>232</v>
      </c>
      <c r="C30527" s="26">
        <v>0.94979999999999998</v>
      </c>
      <c r="D30527" s="26">
        <v>2.8500000000000001E-2</v>
      </c>
      <c r="E30527" s="26">
        <v>1.43E-2</v>
      </c>
      <c r="F30527" s="26">
        <v>7.4000000000000003E-3</v>
      </c>
      <c r="G30527">
        <v>2813</v>
      </c>
    </row>
    <row r="30529" spans="1:16" x14ac:dyDescent="0.35">
      <c r="A30529" s="1" t="s">
        <v>2716</v>
      </c>
    </row>
    <row r="30530" spans="1:16" x14ac:dyDescent="0.35">
      <c r="A30530" t="s">
        <v>219</v>
      </c>
      <c r="B30530" t="s">
        <v>2717</v>
      </c>
      <c r="C30530" t="s">
        <v>2718</v>
      </c>
      <c r="D30530" t="s">
        <v>2719</v>
      </c>
      <c r="E30530" t="s">
        <v>326</v>
      </c>
      <c r="F30530" t="s">
        <v>2720</v>
      </c>
      <c r="G30530" t="s">
        <v>2721</v>
      </c>
      <c r="H30530" t="s">
        <v>2722</v>
      </c>
      <c r="I30530" t="s">
        <v>2723</v>
      </c>
      <c r="J30530" t="s">
        <v>2724</v>
      </c>
      <c r="K30530" t="s">
        <v>2725</v>
      </c>
      <c r="L30530" t="s">
        <v>2726</v>
      </c>
      <c r="M30530" t="s">
        <v>286</v>
      </c>
      <c r="N30530" t="s">
        <v>281</v>
      </c>
      <c r="O30530" t="s">
        <v>226</v>
      </c>
    </row>
    <row r="30531" spans="1:16" x14ac:dyDescent="0.35">
      <c r="A30531" s="27" t="s">
        <v>227</v>
      </c>
      <c r="B30531" s="28">
        <v>0.4</v>
      </c>
      <c r="C30531" s="28">
        <v>0.2</v>
      </c>
      <c r="D30531" s="28">
        <v>0.2</v>
      </c>
      <c r="E30531" s="28">
        <v>0.2</v>
      </c>
      <c r="F30531" s="29"/>
      <c r="G30531" s="29"/>
      <c r="H30531" s="29"/>
      <c r="I30531" s="29"/>
      <c r="J30531" s="29"/>
      <c r="K30531" s="29"/>
      <c r="L30531" s="29"/>
      <c r="M30531" s="29"/>
      <c r="N30531" s="29"/>
      <c r="O30531" s="29" t="s">
        <v>332</v>
      </c>
    </row>
    <row r="30532" spans="1:16" x14ac:dyDescent="0.35">
      <c r="A30532" t="s">
        <v>228</v>
      </c>
      <c r="B30532" s="26">
        <v>0.29680000000000001</v>
      </c>
      <c r="C30532" s="26">
        <v>0.25779999999999997</v>
      </c>
      <c r="D30532" s="26">
        <v>0.1958</v>
      </c>
      <c r="E30532" s="26">
        <v>0.12709999999999999</v>
      </c>
      <c r="F30532" s="26">
        <v>0.13900000000000001</v>
      </c>
      <c r="G30532" s="26">
        <v>0.1166</v>
      </c>
      <c r="H30532" s="26">
        <v>3.7999999999999999E-2</v>
      </c>
      <c r="I30532" s="26">
        <v>2.3800000000000002E-2</v>
      </c>
      <c r="L30532" s="26">
        <v>7.0000000000000001E-3</v>
      </c>
      <c r="N30532" s="26">
        <v>1.03E-2</v>
      </c>
      <c r="O30532">
        <v>43</v>
      </c>
    </row>
    <row r="30533" spans="1:16" x14ac:dyDescent="0.35">
      <c r="A30533" s="27" t="s">
        <v>229</v>
      </c>
      <c r="B30533" s="28">
        <v>0.38690000000000002</v>
      </c>
      <c r="C30533" s="28">
        <v>0.185</v>
      </c>
      <c r="D30533" s="28">
        <v>3.6799999999999999E-2</v>
      </c>
      <c r="E30533" s="28">
        <v>2.7400000000000001E-2</v>
      </c>
      <c r="F30533" s="28">
        <v>0.1749</v>
      </c>
      <c r="G30533" s="28">
        <v>1.8100000000000002E-2</v>
      </c>
      <c r="H30533" s="28">
        <v>0.1434</v>
      </c>
      <c r="I30533" s="28">
        <v>3.6799999999999999E-2</v>
      </c>
      <c r="J30533" s="28">
        <v>3.6799999999999999E-2</v>
      </c>
      <c r="K30533" s="28">
        <v>3.6799999999999999E-2</v>
      </c>
      <c r="L30533" s="28">
        <v>9.2999999999999992E-3</v>
      </c>
      <c r="M30533" s="28">
        <v>1.8100000000000002E-2</v>
      </c>
      <c r="N30533" s="29"/>
      <c r="O30533" s="29" t="s">
        <v>351</v>
      </c>
    </row>
    <row r="30534" spans="1:16" x14ac:dyDescent="0.35">
      <c r="A30534" s="27" t="s">
        <v>230</v>
      </c>
      <c r="B30534" s="28">
        <v>0.1079</v>
      </c>
      <c r="C30534" s="28">
        <v>9.8299999999999998E-2</v>
      </c>
      <c r="D30534" s="28">
        <v>1.14E-2</v>
      </c>
      <c r="E30534" s="28">
        <v>3.6900000000000002E-2</v>
      </c>
      <c r="F30534" s="28">
        <v>7.3800000000000004E-2</v>
      </c>
      <c r="G30534" s="28">
        <v>0.44790000000000002</v>
      </c>
      <c r="H30534" s="29"/>
      <c r="I30534" s="28">
        <v>0.22389999999999999</v>
      </c>
      <c r="J30534" s="29"/>
      <c r="K30534" s="29"/>
      <c r="L30534" s="29"/>
      <c r="M30534" s="29"/>
      <c r="N30534" s="29"/>
      <c r="O30534" s="29" t="s">
        <v>348</v>
      </c>
    </row>
    <row r="30535" spans="1:16" x14ac:dyDescent="0.35">
      <c r="A30535" s="27" t="s">
        <v>231</v>
      </c>
      <c r="B30535" s="28">
        <v>0.4</v>
      </c>
      <c r="C30535" s="28">
        <v>0.2</v>
      </c>
      <c r="D30535" s="28">
        <v>0.2</v>
      </c>
      <c r="E30535" s="28">
        <v>0.2</v>
      </c>
      <c r="F30535" s="29"/>
      <c r="G30535" s="29"/>
      <c r="H30535" s="29"/>
      <c r="I30535" s="29"/>
      <c r="J30535" s="29"/>
      <c r="K30535" s="29"/>
      <c r="L30535" s="29"/>
      <c r="M30535" s="29"/>
      <c r="N30535" s="29"/>
      <c r="O30535" s="29" t="s">
        <v>332</v>
      </c>
    </row>
    <row r="30536" spans="1:16" x14ac:dyDescent="0.35">
      <c r="A30536" t="s">
        <v>232</v>
      </c>
      <c r="B30536" s="26">
        <v>0.3473</v>
      </c>
      <c r="C30536" s="26">
        <v>0.2029</v>
      </c>
      <c r="D30536" s="26">
        <v>0.15210000000000001</v>
      </c>
      <c r="E30536" s="26">
        <v>0.13550000000000001</v>
      </c>
      <c r="F30536" s="26">
        <v>7.3700000000000002E-2</v>
      </c>
      <c r="G30536" s="26">
        <v>7.0099999999999996E-2</v>
      </c>
      <c r="H30536" s="26">
        <v>3.6499999999999998E-2</v>
      </c>
      <c r="I30536" s="26">
        <v>3.1800000000000002E-2</v>
      </c>
      <c r="J30536" s="26">
        <v>7.0000000000000001E-3</v>
      </c>
      <c r="K30536" s="26">
        <v>7.0000000000000001E-3</v>
      </c>
      <c r="L30536" s="26">
        <v>3.5000000000000001E-3</v>
      </c>
      <c r="M30536" s="26">
        <v>3.3999999999999998E-3</v>
      </c>
      <c r="N30536" s="26">
        <v>2.5999999999999999E-3</v>
      </c>
      <c r="O30536">
        <v>90</v>
      </c>
    </row>
    <row r="30538" spans="1:16" x14ac:dyDescent="0.35">
      <c r="A30538" s="1" t="s">
        <v>2727</v>
      </c>
    </row>
    <row r="30539" spans="1:16" x14ac:dyDescent="0.35">
      <c r="A30539" t="s">
        <v>219</v>
      </c>
      <c r="B30539" t="s">
        <v>305</v>
      </c>
      <c r="C30539" t="s">
        <v>2717</v>
      </c>
      <c r="D30539" t="s">
        <v>2718</v>
      </c>
      <c r="E30539" t="s">
        <v>2719</v>
      </c>
      <c r="F30539" t="s">
        <v>326</v>
      </c>
      <c r="G30539" t="s">
        <v>2720</v>
      </c>
      <c r="H30539" t="s">
        <v>2721</v>
      </c>
      <c r="I30539" t="s">
        <v>2722</v>
      </c>
      <c r="J30539" t="s">
        <v>2723</v>
      </c>
      <c r="K30539" t="s">
        <v>2724</v>
      </c>
      <c r="L30539" t="s">
        <v>2725</v>
      </c>
      <c r="M30539" t="s">
        <v>2726</v>
      </c>
      <c r="N30539" t="s">
        <v>286</v>
      </c>
      <c r="O30539" t="s">
        <v>281</v>
      </c>
      <c r="P30539" t="s">
        <v>226</v>
      </c>
    </row>
    <row r="30540" spans="1:16" x14ac:dyDescent="0.35">
      <c r="A30540" s="27" t="s">
        <v>227</v>
      </c>
      <c r="B30540" s="27" t="s">
        <v>369</v>
      </c>
      <c r="C30540" s="28">
        <v>0.4</v>
      </c>
      <c r="D30540" s="28">
        <v>0.2</v>
      </c>
      <c r="E30540" s="28">
        <v>0.2</v>
      </c>
      <c r="F30540" s="28">
        <v>0.2</v>
      </c>
      <c r="G30540" s="29"/>
      <c r="H30540" s="29"/>
      <c r="I30540" s="29"/>
      <c r="J30540" s="29"/>
      <c r="K30540" s="29"/>
      <c r="L30540" s="29"/>
      <c r="M30540" s="29"/>
      <c r="N30540" s="29"/>
      <c r="O30540" s="29"/>
      <c r="P30540" s="29" t="s">
        <v>332</v>
      </c>
    </row>
    <row r="30541" spans="1:16" x14ac:dyDescent="0.35">
      <c r="A30541" s="27" t="s">
        <v>228</v>
      </c>
      <c r="B30541" s="27" t="s">
        <v>368</v>
      </c>
      <c r="C30541" s="28">
        <v>0.72599999999999998</v>
      </c>
      <c r="D30541" s="28">
        <v>0.27400000000000002</v>
      </c>
      <c r="E30541" s="29"/>
      <c r="F30541" s="29"/>
      <c r="G30541" s="29"/>
      <c r="H30541" s="29"/>
      <c r="I30541" s="29"/>
      <c r="J30541" s="29"/>
      <c r="K30541" s="29"/>
      <c r="L30541" s="29"/>
      <c r="M30541" s="29"/>
      <c r="N30541" s="29"/>
      <c r="O30541" s="29"/>
      <c r="P30541" s="29" t="s">
        <v>315</v>
      </c>
    </row>
    <row r="30542" spans="1:16" x14ac:dyDescent="0.35">
      <c r="A30542" t="s">
        <v>228</v>
      </c>
      <c r="B30542" t="s">
        <v>369</v>
      </c>
      <c r="C30542" s="26">
        <v>0.27739999999999998</v>
      </c>
      <c r="D30542" s="26">
        <v>0.2571</v>
      </c>
      <c r="E30542" s="26">
        <v>0.2046</v>
      </c>
      <c r="F30542" s="26">
        <v>0.13289999999999999</v>
      </c>
      <c r="G30542" s="26">
        <v>0.14530000000000001</v>
      </c>
      <c r="H30542" s="26">
        <v>0.12189999999999999</v>
      </c>
      <c r="I30542" s="26">
        <v>3.9699999999999999E-2</v>
      </c>
      <c r="J30542" s="26">
        <v>2.4899999999999999E-2</v>
      </c>
      <c r="M30542" s="26">
        <v>7.3000000000000001E-3</v>
      </c>
      <c r="O30542" s="26">
        <v>1.0800000000000001E-2</v>
      </c>
      <c r="P30542">
        <v>40</v>
      </c>
    </row>
    <row r="30543" spans="1:16" x14ac:dyDescent="0.35">
      <c r="A30543" s="27" t="s">
        <v>229</v>
      </c>
      <c r="B30543" s="27" t="s">
        <v>368</v>
      </c>
      <c r="C30543" s="29"/>
      <c r="D30543" s="29"/>
      <c r="E30543" s="29"/>
      <c r="F30543" s="29"/>
      <c r="G30543" s="29"/>
      <c r="H30543" s="29"/>
      <c r="I30543" s="29"/>
      <c r="J30543" s="29"/>
      <c r="K30543" s="29"/>
      <c r="L30543" s="29"/>
      <c r="M30543" s="29"/>
      <c r="N30543" s="28">
        <v>1</v>
      </c>
      <c r="O30543" s="29"/>
      <c r="P30543" s="29" t="s">
        <v>331</v>
      </c>
    </row>
    <row r="30544" spans="1:16" x14ac:dyDescent="0.35">
      <c r="A30544" s="27" t="s">
        <v>229</v>
      </c>
      <c r="B30544" s="27" t="s">
        <v>369</v>
      </c>
      <c r="C30544" s="28">
        <v>0.39400000000000002</v>
      </c>
      <c r="D30544" s="28">
        <v>0.18840000000000001</v>
      </c>
      <c r="E30544" s="28">
        <v>3.7499999999999999E-2</v>
      </c>
      <c r="F30544" s="28">
        <v>2.7900000000000001E-2</v>
      </c>
      <c r="G30544" s="28">
        <v>0.17810000000000001</v>
      </c>
      <c r="H30544" s="28">
        <v>1.8499999999999999E-2</v>
      </c>
      <c r="I30544" s="28">
        <v>0.14599999999999999</v>
      </c>
      <c r="J30544" s="28">
        <v>3.7499999999999999E-2</v>
      </c>
      <c r="K30544" s="28">
        <v>3.7499999999999999E-2</v>
      </c>
      <c r="L30544" s="28">
        <v>3.7499999999999999E-2</v>
      </c>
      <c r="M30544" s="28">
        <v>9.4999999999999998E-3</v>
      </c>
      <c r="N30544" s="29"/>
      <c r="O30544" s="29"/>
      <c r="P30544" s="29" t="s">
        <v>350</v>
      </c>
    </row>
    <row r="30545" spans="1:16" x14ac:dyDescent="0.35">
      <c r="A30545" s="27" t="s">
        <v>230</v>
      </c>
      <c r="B30545" s="27" t="s">
        <v>368</v>
      </c>
      <c r="C30545" s="29"/>
      <c r="D30545" s="28">
        <v>0.23530000000000001</v>
      </c>
      <c r="E30545" s="29"/>
      <c r="F30545" s="28">
        <v>0.76470000000000005</v>
      </c>
      <c r="G30545" s="29"/>
      <c r="H30545" s="29"/>
      <c r="I30545" s="29"/>
      <c r="J30545" s="29"/>
      <c r="K30545" s="29"/>
      <c r="L30545" s="29"/>
      <c r="M30545" s="29"/>
      <c r="N30545" s="29"/>
      <c r="O30545" s="29"/>
      <c r="P30545" s="29" t="s">
        <v>314</v>
      </c>
    </row>
    <row r="30546" spans="1:16" x14ac:dyDescent="0.35">
      <c r="A30546" s="27" t="s">
        <v>230</v>
      </c>
      <c r="B30546" s="27" t="s">
        <v>369</v>
      </c>
      <c r="C30546" s="28">
        <v>0.1133</v>
      </c>
      <c r="D30546" s="28">
        <v>9.1300000000000006E-2</v>
      </c>
      <c r="E30546" s="28">
        <v>1.1900000000000001E-2</v>
      </c>
      <c r="F30546" s="29"/>
      <c r="G30546" s="28">
        <v>7.7499999999999999E-2</v>
      </c>
      <c r="H30546" s="28">
        <v>0.47060000000000002</v>
      </c>
      <c r="I30546" s="29"/>
      <c r="J30546" s="28">
        <v>0.23530000000000001</v>
      </c>
      <c r="K30546" s="29"/>
      <c r="L30546" s="29"/>
      <c r="M30546" s="29"/>
      <c r="N30546" s="29"/>
      <c r="O30546" s="29"/>
      <c r="P30546" s="29" t="s">
        <v>379</v>
      </c>
    </row>
    <row r="30547" spans="1:16" x14ac:dyDescent="0.35">
      <c r="A30547" s="27" t="s">
        <v>231</v>
      </c>
      <c r="B30547" s="27" t="s">
        <v>369</v>
      </c>
      <c r="C30547" s="28">
        <v>0.4</v>
      </c>
      <c r="D30547" s="28">
        <v>0.2</v>
      </c>
      <c r="E30547" s="28">
        <v>0.2</v>
      </c>
      <c r="F30547" s="28">
        <v>0.2</v>
      </c>
      <c r="G30547" s="29"/>
      <c r="H30547" s="29"/>
      <c r="I30547" s="29"/>
      <c r="J30547" s="29"/>
      <c r="K30547" s="29"/>
      <c r="L30547" s="29"/>
      <c r="M30547" s="29"/>
      <c r="N30547" s="29"/>
      <c r="O30547" s="29"/>
      <c r="P30547" s="29" t="s">
        <v>332</v>
      </c>
    </row>
    <row r="30548" spans="1:16" x14ac:dyDescent="0.35">
      <c r="A30548" t="s">
        <v>232</v>
      </c>
      <c r="B30548" t="s">
        <v>232</v>
      </c>
      <c r="C30548" s="26">
        <v>0.3473</v>
      </c>
      <c r="D30548" s="26">
        <v>0.2029</v>
      </c>
      <c r="E30548" s="26">
        <v>0.15210000000000001</v>
      </c>
      <c r="F30548" s="26">
        <v>0.13550000000000001</v>
      </c>
      <c r="G30548" s="26">
        <v>7.3700000000000002E-2</v>
      </c>
      <c r="H30548" s="26">
        <v>7.0099999999999996E-2</v>
      </c>
      <c r="I30548" s="26">
        <v>3.6499999999999998E-2</v>
      </c>
      <c r="J30548" s="26">
        <v>3.1800000000000002E-2</v>
      </c>
      <c r="K30548" s="26">
        <v>7.0000000000000001E-3</v>
      </c>
      <c r="L30548" s="26">
        <v>7.0000000000000001E-3</v>
      </c>
      <c r="M30548" s="26">
        <v>3.5000000000000001E-3</v>
      </c>
      <c r="N30548" s="26">
        <v>3.3999999999999998E-3</v>
      </c>
      <c r="O30548" s="26">
        <v>2.5999999999999999E-3</v>
      </c>
      <c r="P30548">
        <v>90</v>
      </c>
    </row>
    <row r="30550" spans="1:16" x14ac:dyDescent="0.35">
      <c r="A30550" s="1" t="s">
        <v>2728</v>
      </c>
    </row>
    <row r="30551" spans="1:16" x14ac:dyDescent="0.35">
      <c r="A30551" t="s">
        <v>219</v>
      </c>
      <c r="B30551" t="s">
        <v>305</v>
      </c>
      <c r="C30551" t="s">
        <v>2717</v>
      </c>
      <c r="D30551" t="s">
        <v>2718</v>
      </c>
      <c r="E30551" t="s">
        <v>2719</v>
      </c>
      <c r="F30551" t="s">
        <v>326</v>
      </c>
      <c r="G30551" t="s">
        <v>2720</v>
      </c>
      <c r="H30551" t="s">
        <v>2721</v>
      </c>
      <c r="I30551" t="s">
        <v>2722</v>
      </c>
      <c r="J30551" t="s">
        <v>2723</v>
      </c>
      <c r="K30551" t="s">
        <v>2724</v>
      </c>
      <c r="L30551" t="s">
        <v>2725</v>
      </c>
      <c r="M30551" t="s">
        <v>2726</v>
      </c>
      <c r="N30551" t="s">
        <v>286</v>
      </c>
      <c r="O30551" t="s">
        <v>281</v>
      </c>
      <c r="P30551" t="s">
        <v>226</v>
      </c>
    </row>
    <row r="30552" spans="1:16" x14ac:dyDescent="0.35">
      <c r="A30552" s="27" t="s">
        <v>227</v>
      </c>
      <c r="B30552" s="27" t="s">
        <v>371</v>
      </c>
      <c r="C30552" s="28">
        <v>0.4</v>
      </c>
      <c r="D30552" s="28">
        <v>0.2</v>
      </c>
      <c r="E30552" s="28">
        <v>0.2</v>
      </c>
      <c r="F30552" s="28">
        <v>0.2</v>
      </c>
      <c r="G30552" s="29"/>
      <c r="H30552" s="29"/>
      <c r="I30552" s="29"/>
      <c r="J30552" s="29"/>
      <c r="K30552" s="29"/>
      <c r="L30552" s="29"/>
      <c r="M30552" s="29"/>
      <c r="N30552" s="29"/>
      <c r="O30552" s="29"/>
      <c r="P30552" s="29" t="s">
        <v>332</v>
      </c>
    </row>
    <row r="30553" spans="1:16" x14ac:dyDescent="0.35">
      <c r="A30553" s="27" t="s">
        <v>228</v>
      </c>
      <c r="B30553" s="27" t="s">
        <v>371</v>
      </c>
      <c r="C30553" s="28">
        <v>0.33169999999999999</v>
      </c>
      <c r="D30553" s="28">
        <v>0.33660000000000001</v>
      </c>
      <c r="E30553" s="29"/>
      <c r="F30553" s="28">
        <v>0.29930000000000001</v>
      </c>
      <c r="G30553" s="28">
        <v>0.29930000000000001</v>
      </c>
      <c r="H30553" s="29"/>
      <c r="I30553" s="29"/>
      <c r="J30553" s="29"/>
      <c r="K30553" s="29"/>
      <c r="L30553" s="29"/>
      <c r="M30553" s="29"/>
      <c r="N30553" s="29"/>
      <c r="O30553" s="28">
        <v>3.2399999999999998E-2</v>
      </c>
      <c r="P30553" s="29" t="s">
        <v>335</v>
      </c>
    </row>
    <row r="30554" spans="1:16" x14ac:dyDescent="0.35">
      <c r="A30554" s="27" t="s">
        <v>228</v>
      </c>
      <c r="B30554" s="27" t="s">
        <v>372</v>
      </c>
      <c r="C30554" s="28">
        <v>0.22239999999999999</v>
      </c>
      <c r="D30554" s="28">
        <v>0.19159999999999999</v>
      </c>
      <c r="E30554" s="28">
        <v>0.21970000000000001</v>
      </c>
      <c r="F30554" s="28">
        <v>6.9599999999999995E-2</v>
      </c>
      <c r="G30554" s="28">
        <v>0.1391</v>
      </c>
      <c r="H30554" s="28">
        <v>6.9599999999999995E-2</v>
      </c>
      <c r="I30554" s="28">
        <v>5.2499999999999998E-2</v>
      </c>
      <c r="J30554" s="28">
        <v>0.105</v>
      </c>
      <c r="K30554" s="29"/>
      <c r="L30554" s="29"/>
      <c r="M30554" s="29"/>
      <c r="N30554" s="29"/>
      <c r="O30554" s="29"/>
      <c r="P30554" s="29" t="s">
        <v>343</v>
      </c>
    </row>
    <row r="30555" spans="1:16" x14ac:dyDescent="0.35">
      <c r="A30555" s="27" t="s">
        <v>228</v>
      </c>
      <c r="B30555" s="27" t="s">
        <v>373</v>
      </c>
      <c r="C30555" s="28">
        <v>0.30940000000000001</v>
      </c>
      <c r="D30555" s="28">
        <v>0.2354</v>
      </c>
      <c r="E30555" s="28">
        <v>0.32140000000000002</v>
      </c>
      <c r="F30555" s="28">
        <v>3.4700000000000002E-2</v>
      </c>
      <c r="G30555" s="28">
        <v>2.6200000000000001E-2</v>
      </c>
      <c r="H30555" s="28">
        <v>0.22209999999999999</v>
      </c>
      <c r="I30555" s="28">
        <v>5.7500000000000002E-2</v>
      </c>
      <c r="J30555" s="29"/>
      <c r="K30555" s="29"/>
      <c r="L30555" s="29"/>
      <c r="M30555" s="28">
        <v>1.54E-2</v>
      </c>
      <c r="N30555" s="29"/>
      <c r="O30555" s="29"/>
      <c r="P30555" s="29" t="s">
        <v>350</v>
      </c>
    </row>
    <row r="30556" spans="1:16" x14ac:dyDescent="0.35">
      <c r="A30556" s="27" t="s">
        <v>229</v>
      </c>
      <c r="B30556" s="27" t="s">
        <v>371</v>
      </c>
      <c r="C30556" s="28">
        <v>0.38879999999999998</v>
      </c>
      <c r="D30556" s="28">
        <v>0.19650000000000001</v>
      </c>
      <c r="E30556" s="28">
        <v>4.1399999999999999E-2</v>
      </c>
      <c r="F30556" s="28">
        <v>1.0500000000000001E-2</v>
      </c>
      <c r="G30556" s="28">
        <v>0.19689999999999999</v>
      </c>
      <c r="H30556" s="29"/>
      <c r="I30556" s="28">
        <v>0.1555</v>
      </c>
      <c r="J30556" s="28">
        <v>4.1399999999999999E-2</v>
      </c>
      <c r="K30556" s="28">
        <v>4.1399999999999999E-2</v>
      </c>
      <c r="L30556" s="28">
        <v>4.1399999999999999E-2</v>
      </c>
      <c r="M30556" s="28">
        <v>1.0500000000000001E-2</v>
      </c>
      <c r="N30556" s="29"/>
      <c r="O30556" s="29"/>
      <c r="P30556" s="29" t="s">
        <v>342</v>
      </c>
    </row>
    <row r="30557" spans="1:16" x14ac:dyDescent="0.35">
      <c r="A30557" s="27" t="s">
        <v>229</v>
      </c>
      <c r="B30557" s="27" t="s">
        <v>372</v>
      </c>
      <c r="C30557" s="28">
        <v>0.59789999999999999</v>
      </c>
      <c r="D30557" s="28">
        <v>0.26800000000000002</v>
      </c>
      <c r="E30557" s="29"/>
      <c r="F30557" s="29"/>
      <c r="G30557" s="29"/>
      <c r="H30557" s="29"/>
      <c r="I30557" s="28">
        <v>0.13400000000000001</v>
      </c>
      <c r="J30557" s="29"/>
      <c r="K30557" s="29"/>
      <c r="L30557" s="29"/>
      <c r="M30557" s="29"/>
      <c r="N30557" s="29"/>
      <c r="O30557" s="29"/>
      <c r="P30557" s="29" t="s">
        <v>332</v>
      </c>
    </row>
    <row r="30558" spans="1:16" x14ac:dyDescent="0.35">
      <c r="A30558" s="27" t="s">
        <v>229</v>
      </c>
      <c r="B30558" s="27" t="s">
        <v>373</v>
      </c>
      <c r="C30558" s="28">
        <v>0.25</v>
      </c>
      <c r="D30558" s="29"/>
      <c r="E30558" s="29"/>
      <c r="F30558" s="28">
        <v>0.25</v>
      </c>
      <c r="G30558" s="29"/>
      <c r="H30558" s="28">
        <v>0.25</v>
      </c>
      <c r="I30558" s="29"/>
      <c r="J30558" s="29"/>
      <c r="K30558" s="29"/>
      <c r="L30558" s="29"/>
      <c r="M30558" s="29"/>
      <c r="N30558" s="28">
        <v>0.25</v>
      </c>
      <c r="O30558" s="29"/>
      <c r="P30558" s="29" t="s">
        <v>337</v>
      </c>
    </row>
    <row r="30559" spans="1:16" x14ac:dyDescent="0.35">
      <c r="A30559" s="27" t="s">
        <v>230</v>
      </c>
      <c r="B30559" s="27" t="s">
        <v>371</v>
      </c>
      <c r="C30559" s="29"/>
      <c r="D30559" s="28">
        <v>0.1011</v>
      </c>
      <c r="E30559" s="29"/>
      <c r="F30559" s="29"/>
      <c r="G30559" s="29"/>
      <c r="H30559" s="28">
        <v>0.59930000000000005</v>
      </c>
      <c r="I30559" s="29"/>
      <c r="J30559" s="28">
        <v>0.29959999999999998</v>
      </c>
      <c r="K30559" s="29"/>
      <c r="L30559" s="29"/>
      <c r="M30559" s="29"/>
      <c r="N30559" s="29"/>
      <c r="O30559" s="29"/>
      <c r="P30559" s="29" t="s">
        <v>332</v>
      </c>
    </row>
    <row r="30560" spans="1:16" x14ac:dyDescent="0.35">
      <c r="A30560" s="27" t="s">
        <v>230</v>
      </c>
      <c r="B30560" s="27" t="s">
        <v>372</v>
      </c>
      <c r="C30560" s="28">
        <v>0.32429999999999998</v>
      </c>
      <c r="D30560" s="28">
        <v>0.2162</v>
      </c>
      <c r="E30560" s="28">
        <v>0.1081</v>
      </c>
      <c r="F30560" s="29"/>
      <c r="G30560" s="28">
        <v>0.3513</v>
      </c>
      <c r="H30560" s="29"/>
      <c r="I30560" s="29"/>
      <c r="J30560" s="29"/>
      <c r="K30560" s="29"/>
      <c r="L30560" s="29"/>
      <c r="M30560" s="29"/>
      <c r="N30560" s="29"/>
      <c r="O30560" s="29"/>
      <c r="P30560" s="29" t="s">
        <v>339</v>
      </c>
    </row>
    <row r="30561" spans="1:16" x14ac:dyDescent="0.35">
      <c r="A30561" s="27" t="s">
        <v>230</v>
      </c>
      <c r="B30561" s="27" t="s">
        <v>373</v>
      </c>
      <c r="C30561" s="28">
        <v>0.5</v>
      </c>
      <c r="D30561" s="29"/>
      <c r="E30561" s="29"/>
      <c r="F30561" s="28">
        <v>0.25</v>
      </c>
      <c r="G30561" s="28">
        <v>0.25</v>
      </c>
      <c r="H30561" s="29"/>
      <c r="I30561" s="29"/>
      <c r="J30561" s="29"/>
      <c r="K30561" s="29"/>
      <c r="L30561" s="29"/>
      <c r="M30561" s="29"/>
      <c r="N30561" s="29"/>
      <c r="O30561" s="29"/>
      <c r="P30561" s="29" t="s">
        <v>337</v>
      </c>
    </row>
    <row r="30562" spans="1:16" x14ac:dyDescent="0.35">
      <c r="A30562" s="27" t="s">
        <v>231</v>
      </c>
      <c r="B30562" s="27" t="s">
        <v>371</v>
      </c>
      <c r="C30562" s="28">
        <v>0.4</v>
      </c>
      <c r="D30562" s="28">
        <v>0.2</v>
      </c>
      <c r="E30562" s="28">
        <v>0.2</v>
      </c>
      <c r="F30562" s="28">
        <v>0.2</v>
      </c>
      <c r="G30562" s="29"/>
      <c r="H30562" s="29"/>
      <c r="I30562" s="29"/>
      <c r="J30562" s="29"/>
      <c r="K30562" s="29"/>
      <c r="L30562" s="29"/>
      <c r="M30562" s="29"/>
      <c r="N30562" s="29"/>
      <c r="O30562" s="29"/>
      <c r="P30562" s="29" t="s">
        <v>332</v>
      </c>
    </row>
    <row r="30563" spans="1:16" x14ac:dyDescent="0.35">
      <c r="A30563" t="s">
        <v>232</v>
      </c>
      <c r="B30563" t="s">
        <v>232</v>
      </c>
      <c r="C30563" s="26">
        <v>0.3473</v>
      </c>
      <c r="D30563" s="26">
        <v>0.2029</v>
      </c>
      <c r="E30563" s="26">
        <v>0.15210000000000001</v>
      </c>
      <c r="F30563" s="26">
        <v>0.13550000000000001</v>
      </c>
      <c r="G30563" s="26">
        <v>7.3700000000000002E-2</v>
      </c>
      <c r="H30563" s="26">
        <v>7.0099999999999996E-2</v>
      </c>
      <c r="I30563" s="26">
        <v>3.6499999999999998E-2</v>
      </c>
      <c r="J30563" s="26">
        <v>3.1800000000000002E-2</v>
      </c>
      <c r="K30563" s="26">
        <v>7.0000000000000001E-3</v>
      </c>
      <c r="L30563" s="26">
        <v>7.0000000000000001E-3</v>
      </c>
      <c r="M30563" s="26">
        <v>3.5000000000000001E-3</v>
      </c>
      <c r="N30563" s="26">
        <v>3.3999999999999998E-3</v>
      </c>
      <c r="O30563" s="26">
        <v>2.5999999999999999E-3</v>
      </c>
      <c r="P30563">
        <v>90</v>
      </c>
    </row>
    <row r="30565" spans="1:16" x14ac:dyDescent="0.35">
      <c r="A30565" s="1" t="s">
        <v>2729</v>
      </c>
    </row>
    <row r="30566" spans="1:16" x14ac:dyDescent="0.35">
      <c r="A30566" t="s">
        <v>219</v>
      </c>
      <c r="B30566" t="s">
        <v>305</v>
      </c>
      <c r="C30566" t="s">
        <v>534</v>
      </c>
      <c r="D30566" t="s">
        <v>535</v>
      </c>
      <c r="E30566" t="s">
        <v>536</v>
      </c>
      <c r="F30566" t="s">
        <v>537</v>
      </c>
      <c r="G30566" t="s">
        <v>226</v>
      </c>
    </row>
    <row r="30567" spans="1:16" x14ac:dyDescent="0.35">
      <c r="A30567" t="s">
        <v>227</v>
      </c>
      <c r="B30567" t="s">
        <v>2730</v>
      </c>
      <c r="C30567">
        <v>25.5</v>
      </c>
      <c r="D30567">
        <v>20</v>
      </c>
      <c r="E30567">
        <v>3</v>
      </c>
      <c r="F30567">
        <v>100</v>
      </c>
      <c r="G30567">
        <v>44</v>
      </c>
    </row>
    <row r="30568" spans="1:16" x14ac:dyDescent="0.35">
      <c r="A30568" s="27" t="s">
        <v>227</v>
      </c>
      <c r="B30568" s="27" t="s">
        <v>2731</v>
      </c>
      <c r="C30568" s="29">
        <v>26</v>
      </c>
      <c r="D30568" s="29">
        <v>20</v>
      </c>
      <c r="E30568" s="29">
        <v>5</v>
      </c>
      <c r="F30568" s="29">
        <v>120</v>
      </c>
      <c r="G30568" s="29">
        <v>21</v>
      </c>
    </row>
    <row r="30569" spans="1:16" x14ac:dyDescent="0.35">
      <c r="A30569" t="s">
        <v>227</v>
      </c>
      <c r="B30569" t="s">
        <v>2732</v>
      </c>
      <c r="C30569">
        <v>20.45</v>
      </c>
      <c r="D30569">
        <v>20</v>
      </c>
      <c r="E30569">
        <v>2</v>
      </c>
      <c r="F30569">
        <v>180</v>
      </c>
      <c r="G30569">
        <v>91</v>
      </c>
    </row>
    <row r="30570" spans="1:16" x14ac:dyDescent="0.35">
      <c r="A30570" t="s">
        <v>228</v>
      </c>
      <c r="B30570" t="s">
        <v>2730</v>
      </c>
      <c r="C30570">
        <v>22.82</v>
      </c>
      <c r="D30570">
        <v>15</v>
      </c>
      <c r="E30570">
        <v>1</v>
      </c>
      <c r="F30570">
        <v>120</v>
      </c>
      <c r="G30570">
        <v>338</v>
      </c>
    </row>
    <row r="30571" spans="1:16" x14ac:dyDescent="0.35">
      <c r="A30571" t="s">
        <v>228</v>
      </c>
      <c r="B30571" t="s">
        <v>2731</v>
      </c>
      <c r="C30571">
        <v>20.73</v>
      </c>
      <c r="D30571">
        <v>15</v>
      </c>
      <c r="E30571">
        <v>5</v>
      </c>
      <c r="F30571">
        <v>190</v>
      </c>
      <c r="G30571">
        <v>93</v>
      </c>
    </row>
    <row r="30572" spans="1:16" x14ac:dyDescent="0.35">
      <c r="A30572" t="s">
        <v>228</v>
      </c>
      <c r="B30572" t="s">
        <v>2732</v>
      </c>
      <c r="C30572">
        <v>21.39</v>
      </c>
      <c r="D30572">
        <v>15</v>
      </c>
      <c r="E30572">
        <v>1</v>
      </c>
      <c r="F30572">
        <v>180</v>
      </c>
      <c r="G30572">
        <v>549</v>
      </c>
    </row>
    <row r="30573" spans="1:16" x14ac:dyDescent="0.35">
      <c r="A30573" t="s">
        <v>229</v>
      </c>
      <c r="B30573" t="s">
        <v>2730</v>
      </c>
      <c r="C30573">
        <v>24.52</v>
      </c>
      <c r="D30573">
        <v>20</v>
      </c>
      <c r="E30573">
        <v>1</v>
      </c>
      <c r="F30573">
        <v>180</v>
      </c>
      <c r="G30573">
        <v>287</v>
      </c>
    </row>
    <row r="30574" spans="1:16" x14ac:dyDescent="0.35">
      <c r="A30574" t="s">
        <v>229</v>
      </c>
      <c r="B30574" t="s">
        <v>2731</v>
      </c>
      <c r="C30574">
        <v>23.57</v>
      </c>
      <c r="D30574">
        <v>20</v>
      </c>
      <c r="E30574">
        <v>2</v>
      </c>
      <c r="F30574">
        <v>120</v>
      </c>
      <c r="G30574">
        <v>84</v>
      </c>
    </row>
    <row r="30575" spans="1:16" x14ac:dyDescent="0.35">
      <c r="A30575" t="s">
        <v>229</v>
      </c>
      <c r="B30575" t="s">
        <v>2732</v>
      </c>
      <c r="C30575">
        <v>22.96</v>
      </c>
      <c r="D30575">
        <v>15</v>
      </c>
      <c r="E30575">
        <v>2</v>
      </c>
      <c r="F30575">
        <v>240</v>
      </c>
      <c r="G30575">
        <v>493</v>
      </c>
    </row>
    <row r="30576" spans="1:16" x14ac:dyDescent="0.35">
      <c r="A30576" t="s">
        <v>230</v>
      </c>
      <c r="B30576" t="s">
        <v>2730</v>
      </c>
      <c r="C30576">
        <v>25.05</v>
      </c>
      <c r="D30576">
        <v>20</v>
      </c>
      <c r="E30576">
        <v>2</v>
      </c>
      <c r="F30576">
        <v>120</v>
      </c>
      <c r="G30576">
        <v>187</v>
      </c>
    </row>
    <row r="30577" spans="1:19" x14ac:dyDescent="0.35">
      <c r="A30577" t="s">
        <v>230</v>
      </c>
      <c r="B30577" t="s">
        <v>2731</v>
      </c>
      <c r="C30577">
        <v>22.46</v>
      </c>
      <c r="D30577">
        <v>15</v>
      </c>
      <c r="E30577">
        <v>1</v>
      </c>
      <c r="F30577">
        <v>120</v>
      </c>
      <c r="G30577">
        <v>48</v>
      </c>
    </row>
    <row r="30578" spans="1:19" x14ac:dyDescent="0.35">
      <c r="A30578" t="s">
        <v>230</v>
      </c>
      <c r="B30578" t="s">
        <v>2732</v>
      </c>
      <c r="C30578">
        <v>21.78</v>
      </c>
      <c r="D30578">
        <v>15</v>
      </c>
      <c r="E30578">
        <v>1</v>
      </c>
      <c r="F30578">
        <v>120</v>
      </c>
      <c r="G30578">
        <v>310</v>
      </c>
    </row>
    <row r="30579" spans="1:19" x14ac:dyDescent="0.35">
      <c r="A30579" t="s">
        <v>231</v>
      </c>
      <c r="B30579" t="s">
        <v>2730</v>
      </c>
      <c r="C30579">
        <v>20</v>
      </c>
      <c r="D30579">
        <v>15</v>
      </c>
      <c r="E30579">
        <v>3</v>
      </c>
      <c r="F30579">
        <v>70</v>
      </c>
      <c r="G30579">
        <v>52</v>
      </c>
    </row>
    <row r="30580" spans="1:19" x14ac:dyDescent="0.35">
      <c r="A30580" s="27" t="s">
        <v>231</v>
      </c>
      <c r="B30580" s="27" t="s">
        <v>2731</v>
      </c>
      <c r="C30580" s="29">
        <v>25.53</v>
      </c>
      <c r="D30580" s="29">
        <v>30</v>
      </c>
      <c r="E30580" s="29">
        <v>5</v>
      </c>
      <c r="F30580" s="29">
        <v>90</v>
      </c>
      <c r="G30580" s="29">
        <v>15</v>
      </c>
    </row>
    <row r="30581" spans="1:19" x14ac:dyDescent="0.35">
      <c r="A30581" t="s">
        <v>231</v>
      </c>
      <c r="B30581" t="s">
        <v>2732</v>
      </c>
      <c r="C30581">
        <v>20.68</v>
      </c>
      <c r="D30581">
        <v>15</v>
      </c>
      <c r="E30581">
        <v>1</v>
      </c>
      <c r="F30581">
        <v>120</v>
      </c>
      <c r="G30581">
        <v>91</v>
      </c>
    </row>
    <row r="30582" spans="1:19" x14ac:dyDescent="0.35">
      <c r="A30582" t="s">
        <v>232</v>
      </c>
      <c r="B30582" t="s">
        <v>232</v>
      </c>
      <c r="C30582">
        <v>22.25</v>
      </c>
      <c r="D30582">
        <v>15</v>
      </c>
      <c r="E30582">
        <v>1</v>
      </c>
      <c r="F30582">
        <v>240</v>
      </c>
      <c r="G30582">
        <v>2704</v>
      </c>
    </row>
    <row r="30584" spans="1:19" x14ac:dyDescent="0.35">
      <c r="A30584" s="1" t="s">
        <v>2733</v>
      </c>
    </row>
    <row r="30585" spans="1:19" x14ac:dyDescent="0.35">
      <c r="A30585" t="s">
        <v>219</v>
      </c>
      <c r="B30585" t="s">
        <v>305</v>
      </c>
      <c r="C30585" t="s">
        <v>550</v>
      </c>
      <c r="D30585" t="s">
        <v>551</v>
      </c>
      <c r="E30585" t="s">
        <v>552</v>
      </c>
      <c r="F30585" t="s">
        <v>553</v>
      </c>
      <c r="G30585" t="s">
        <v>554</v>
      </c>
      <c r="H30585" t="s">
        <v>555</v>
      </c>
      <c r="I30585" t="s">
        <v>556</v>
      </c>
      <c r="J30585" t="s">
        <v>557</v>
      </c>
      <c r="K30585" t="s">
        <v>558</v>
      </c>
      <c r="L30585" t="s">
        <v>559</v>
      </c>
      <c r="M30585" t="s">
        <v>560</v>
      </c>
      <c r="N30585" t="s">
        <v>561</v>
      </c>
      <c r="O30585" t="s">
        <v>562</v>
      </c>
      <c r="P30585" t="s">
        <v>563</v>
      </c>
      <c r="Q30585" t="s">
        <v>286</v>
      </c>
      <c r="R30585" t="s">
        <v>281</v>
      </c>
      <c r="S30585" t="s">
        <v>226</v>
      </c>
    </row>
    <row r="30586" spans="1:19" x14ac:dyDescent="0.35">
      <c r="A30586" t="s">
        <v>227</v>
      </c>
      <c r="B30586" t="s">
        <v>2730</v>
      </c>
      <c r="C30586" s="26">
        <v>0.44679999999999997</v>
      </c>
      <c r="D30586" s="26">
        <v>0.44679999999999997</v>
      </c>
      <c r="E30586" s="26">
        <v>0.23400000000000001</v>
      </c>
      <c r="F30586" s="26">
        <v>4.2599999999999999E-2</v>
      </c>
      <c r="G30586" s="26">
        <v>0.10639999999999999</v>
      </c>
      <c r="H30586" s="26">
        <v>0.10639999999999999</v>
      </c>
      <c r="I30586" s="26">
        <v>6.3799999999999996E-2</v>
      </c>
      <c r="J30586" s="26">
        <v>2.1299999999999999E-2</v>
      </c>
      <c r="K30586" s="26">
        <v>2.1299999999999999E-2</v>
      </c>
      <c r="L30586" s="26">
        <v>2.1299999999999999E-2</v>
      </c>
      <c r="N30586" s="26">
        <v>2.1299999999999999E-2</v>
      </c>
      <c r="S30586">
        <v>47</v>
      </c>
    </row>
    <row r="30587" spans="1:19" x14ac:dyDescent="0.35">
      <c r="A30587" s="27" t="s">
        <v>227</v>
      </c>
      <c r="B30587" s="27" t="s">
        <v>2731</v>
      </c>
      <c r="C30587" s="28">
        <v>0.61899999999999999</v>
      </c>
      <c r="D30587" s="28">
        <v>0.23810000000000001</v>
      </c>
      <c r="E30587" s="28">
        <v>4.7600000000000003E-2</v>
      </c>
      <c r="F30587" s="28">
        <v>4.7600000000000003E-2</v>
      </c>
      <c r="G30587" s="29"/>
      <c r="H30587" s="28">
        <v>4.7600000000000003E-2</v>
      </c>
      <c r="I30587" s="29"/>
      <c r="J30587" s="29"/>
      <c r="K30587" s="28">
        <v>4.7600000000000003E-2</v>
      </c>
      <c r="L30587" s="29"/>
      <c r="M30587" s="29"/>
      <c r="N30587" s="28">
        <v>4.7600000000000003E-2</v>
      </c>
      <c r="O30587" s="29"/>
      <c r="P30587" s="29"/>
      <c r="Q30587" s="29"/>
      <c r="R30587" s="29"/>
      <c r="S30587" s="29" t="s">
        <v>351</v>
      </c>
    </row>
    <row r="30588" spans="1:19" x14ac:dyDescent="0.35">
      <c r="A30588" t="s">
        <v>227</v>
      </c>
      <c r="B30588" t="s">
        <v>2732</v>
      </c>
      <c r="C30588" s="26">
        <v>0.31180000000000002</v>
      </c>
      <c r="D30588" s="26">
        <v>0.39779999999999999</v>
      </c>
      <c r="E30588" s="26">
        <v>0.2366</v>
      </c>
      <c r="F30588" s="26">
        <v>0.15049999999999999</v>
      </c>
      <c r="G30588" s="26">
        <v>9.6799999999999997E-2</v>
      </c>
      <c r="H30588" s="26">
        <v>0.15049999999999999</v>
      </c>
      <c r="I30588" s="26">
        <v>7.5300000000000006E-2</v>
      </c>
      <c r="J30588" s="26">
        <v>8.5999999999999993E-2</v>
      </c>
      <c r="K30588" s="26">
        <v>6.4500000000000002E-2</v>
      </c>
      <c r="L30588" s="26">
        <v>8.5999999999999993E-2</v>
      </c>
      <c r="M30588" s="26">
        <v>5.3800000000000001E-2</v>
      </c>
      <c r="N30588" s="26">
        <v>2.1499999999999998E-2</v>
      </c>
      <c r="P30588" s="26">
        <v>1.0800000000000001E-2</v>
      </c>
      <c r="S30588">
        <v>93</v>
      </c>
    </row>
    <row r="30589" spans="1:19" x14ac:dyDescent="0.35">
      <c r="A30589" t="s">
        <v>228</v>
      </c>
      <c r="B30589" t="s">
        <v>2730</v>
      </c>
      <c r="C30589" s="26">
        <v>0.43730000000000002</v>
      </c>
      <c r="D30589" s="26">
        <v>0.36570000000000003</v>
      </c>
      <c r="E30589" s="26">
        <v>0.2094</v>
      </c>
      <c r="F30589" s="26">
        <v>9.6199999999999994E-2</v>
      </c>
      <c r="G30589" s="26">
        <v>0.1116</v>
      </c>
      <c r="H30589" s="26">
        <v>8.0199999999999994E-2</v>
      </c>
      <c r="I30589" s="26">
        <v>5.79E-2</v>
      </c>
      <c r="J30589" s="26">
        <v>2.9399999999999999E-2</v>
      </c>
      <c r="K30589" s="26">
        <v>4.87E-2</v>
      </c>
      <c r="L30589" s="26">
        <v>2.3099999999999999E-2</v>
      </c>
      <c r="M30589" s="26">
        <v>2.4E-2</v>
      </c>
      <c r="N30589" s="26">
        <v>3.27E-2</v>
      </c>
      <c r="O30589" s="26">
        <v>8.0000000000000002E-3</v>
      </c>
      <c r="P30589" s="26">
        <v>7.7999999999999996E-3</v>
      </c>
      <c r="S30589">
        <v>354</v>
      </c>
    </row>
    <row r="30590" spans="1:19" x14ac:dyDescent="0.35">
      <c r="A30590" t="s">
        <v>228</v>
      </c>
      <c r="B30590" t="s">
        <v>2731</v>
      </c>
      <c r="C30590" s="26">
        <v>0.50490000000000002</v>
      </c>
      <c r="D30590" s="26">
        <v>0.20349999999999999</v>
      </c>
      <c r="E30590" s="26">
        <v>0.15840000000000001</v>
      </c>
      <c r="F30590" s="26">
        <v>7.6300000000000007E-2</v>
      </c>
      <c r="G30590" s="26">
        <v>5.7799999999999997E-2</v>
      </c>
      <c r="H30590" s="26">
        <v>4.2299999999999997E-2</v>
      </c>
      <c r="J30590" s="26">
        <v>2.18E-2</v>
      </c>
      <c r="K30590" s="26">
        <v>1.7600000000000001E-2</v>
      </c>
      <c r="L30590" s="26">
        <v>4.0800000000000003E-2</v>
      </c>
      <c r="M30590" s="26">
        <v>1.7000000000000001E-2</v>
      </c>
      <c r="N30590" s="26">
        <v>1.6199999999999999E-2</v>
      </c>
      <c r="O30590" s="26">
        <v>1.37E-2</v>
      </c>
      <c r="Q30590" s="26">
        <v>1.06E-2</v>
      </c>
      <c r="S30590">
        <v>96</v>
      </c>
    </row>
    <row r="30591" spans="1:19" x14ac:dyDescent="0.35">
      <c r="A30591" t="s">
        <v>228</v>
      </c>
      <c r="B30591" t="s">
        <v>2732</v>
      </c>
      <c r="C30591" s="26">
        <v>0.31130000000000002</v>
      </c>
      <c r="D30591" s="26">
        <v>0.33610000000000001</v>
      </c>
      <c r="E30591" s="26">
        <v>0.2281</v>
      </c>
      <c r="F30591" s="26">
        <v>0.1216</v>
      </c>
      <c r="G30591" s="26">
        <v>9.5699999999999993E-2</v>
      </c>
      <c r="H30591" s="26">
        <v>0.1091</v>
      </c>
      <c r="I30591" s="26">
        <v>6.7900000000000002E-2</v>
      </c>
      <c r="J30591" s="26">
        <v>8.7599999999999997E-2</v>
      </c>
      <c r="K30591" s="26">
        <v>5.7299999999999997E-2</v>
      </c>
      <c r="L30591" s="26">
        <v>4.9000000000000002E-2</v>
      </c>
      <c r="M30591" s="26">
        <v>6.5500000000000003E-2</v>
      </c>
      <c r="N30591" s="26">
        <v>4.6100000000000002E-2</v>
      </c>
      <c r="O30591" s="26">
        <v>3.4000000000000002E-2</v>
      </c>
      <c r="P30591" s="26">
        <v>1.7399999999999999E-2</v>
      </c>
      <c r="Q30591" s="26">
        <v>2.5999999999999999E-3</v>
      </c>
      <c r="R30591" s="26">
        <v>1.6000000000000001E-3</v>
      </c>
      <c r="S30591">
        <v>569</v>
      </c>
    </row>
    <row r="30592" spans="1:19" x14ac:dyDescent="0.35">
      <c r="A30592" t="s">
        <v>229</v>
      </c>
      <c r="B30592" t="s">
        <v>2730</v>
      </c>
      <c r="C30592" s="26">
        <v>0.3523</v>
      </c>
      <c r="D30592" s="26">
        <v>0.3831</v>
      </c>
      <c r="E30592" s="26">
        <v>0.1623</v>
      </c>
      <c r="F30592" s="26">
        <v>0.12620000000000001</v>
      </c>
      <c r="G30592" s="26">
        <v>0.1419</v>
      </c>
      <c r="H30592" s="26">
        <v>7.6999999999999999E-2</v>
      </c>
      <c r="I30592" s="26">
        <v>0.11509999999999999</v>
      </c>
      <c r="J30592" s="26">
        <v>2.7199999999999998E-2</v>
      </c>
      <c r="K30592" s="26">
        <v>7.7399999999999997E-2</v>
      </c>
      <c r="L30592" s="26">
        <v>2.5600000000000001E-2</v>
      </c>
      <c r="M30592" s="26">
        <v>4.4200000000000003E-2</v>
      </c>
      <c r="N30592" s="26">
        <v>2.7699999999999999E-2</v>
      </c>
      <c r="O30592" s="26">
        <v>2.3999999999999998E-3</v>
      </c>
      <c r="P30592" s="26">
        <v>1.2200000000000001E-2</v>
      </c>
      <c r="Q30592" s="26">
        <v>2.01E-2</v>
      </c>
      <c r="R30592" s="26">
        <v>5.9999999999999995E-4</v>
      </c>
      <c r="S30592">
        <v>299</v>
      </c>
    </row>
    <row r="30593" spans="1:19" x14ac:dyDescent="0.35">
      <c r="A30593" t="s">
        <v>229</v>
      </c>
      <c r="B30593" t="s">
        <v>2731</v>
      </c>
      <c r="C30593" s="26">
        <v>0.7389</v>
      </c>
      <c r="D30593" s="26">
        <v>0.1406</v>
      </c>
      <c r="E30593" s="26">
        <v>0.1008</v>
      </c>
      <c r="F30593" s="26">
        <v>1.8200000000000001E-2</v>
      </c>
      <c r="G30593" s="26">
        <v>8.3999999999999995E-3</v>
      </c>
      <c r="H30593" s="26">
        <v>3.9800000000000002E-2</v>
      </c>
      <c r="I30593" s="26">
        <v>3.8699999999999998E-2</v>
      </c>
      <c r="L30593" s="26">
        <v>4.0000000000000001E-3</v>
      </c>
      <c r="P30593" s="26">
        <v>3.0599999999999999E-2</v>
      </c>
      <c r="S30593">
        <v>85</v>
      </c>
    </row>
    <row r="30594" spans="1:19" x14ac:dyDescent="0.35">
      <c r="A30594" t="s">
        <v>229</v>
      </c>
      <c r="B30594" t="s">
        <v>2732</v>
      </c>
      <c r="C30594" s="26">
        <v>0.40849999999999997</v>
      </c>
      <c r="D30594" s="26">
        <v>0.32450000000000001</v>
      </c>
      <c r="E30594" s="26">
        <v>0.215</v>
      </c>
      <c r="F30594" s="26">
        <v>9.2499999999999999E-2</v>
      </c>
      <c r="G30594" s="26">
        <v>9.64E-2</v>
      </c>
      <c r="H30594" s="26">
        <v>0.1066</v>
      </c>
      <c r="I30594" s="26">
        <v>8.9099999999999999E-2</v>
      </c>
      <c r="J30594" s="26">
        <v>9.1399999999999995E-2</v>
      </c>
      <c r="K30594" s="26">
        <v>3.9600000000000003E-2</v>
      </c>
      <c r="L30594" s="26">
        <v>3.8699999999999998E-2</v>
      </c>
      <c r="M30594" s="26">
        <v>5.7200000000000001E-2</v>
      </c>
      <c r="N30594" s="26">
        <v>5.8400000000000001E-2</v>
      </c>
      <c r="O30594" s="26">
        <v>2.47E-2</v>
      </c>
      <c r="P30594" s="26">
        <v>2.4799999999999999E-2</v>
      </c>
      <c r="Q30594" s="26">
        <v>4.0000000000000002E-4</v>
      </c>
      <c r="R30594" s="26">
        <v>1E-4</v>
      </c>
      <c r="S30594">
        <v>507</v>
      </c>
    </row>
    <row r="30595" spans="1:19" x14ac:dyDescent="0.35">
      <c r="A30595" t="s">
        <v>230</v>
      </c>
      <c r="B30595" t="s">
        <v>2730</v>
      </c>
      <c r="C30595" s="26">
        <v>0.49509999999999998</v>
      </c>
      <c r="D30595" s="26">
        <v>0.24260000000000001</v>
      </c>
      <c r="E30595" s="26">
        <v>0.183</v>
      </c>
      <c r="F30595" s="26">
        <v>9.8599999999999993E-2</v>
      </c>
      <c r="G30595" s="26">
        <v>0.17019999999999999</v>
      </c>
      <c r="H30595" s="26">
        <v>6.2300000000000001E-2</v>
      </c>
      <c r="I30595" s="26">
        <v>5.4600000000000003E-2</v>
      </c>
      <c r="J30595" s="26">
        <v>5.4999999999999997E-3</v>
      </c>
      <c r="K30595" s="26">
        <v>5.6599999999999998E-2</v>
      </c>
      <c r="L30595" s="26">
        <v>4.9200000000000001E-2</v>
      </c>
      <c r="N30595" s="26">
        <v>2.9000000000000001E-2</v>
      </c>
      <c r="O30595" s="26">
        <v>3.78E-2</v>
      </c>
      <c r="P30595" s="26">
        <v>1.9900000000000001E-2</v>
      </c>
      <c r="S30595">
        <v>194</v>
      </c>
    </row>
    <row r="30596" spans="1:19" x14ac:dyDescent="0.35">
      <c r="A30596" t="s">
        <v>230</v>
      </c>
      <c r="B30596" t="s">
        <v>2731</v>
      </c>
      <c r="C30596" s="26">
        <v>0.63280000000000003</v>
      </c>
      <c r="D30596" s="26">
        <v>0.17699999999999999</v>
      </c>
      <c r="E30596" s="26">
        <v>0.24349999999999999</v>
      </c>
      <c r="F30596" s="26">
        <v>0.1163</v>
      </c>
      <c r="G30596" s="26">
        <v>3.0599999999999999E-2</v>
      </c>
      <c r="H30596" s="26">
        <v>4.7100000000000003E-2</v>
      </c>
      <c r="K30596" s="26">
        <v>1.15E-2</v>
      </c>
      <c r="M30596" s="26">
        <v>1.18E-2</v>
      </c>
      <c r="P30596" s="26">
        <v>1.18E-2</v>
      </c>
      <c r="S30596">
        <v>50</v>
      </c>
    </row>
    <row r="30597" spans="1:19" x14ac:dyDescent="0.35">
      <c r="A30597" t="s">
        <v>230</v>
      </c>
      <c r="B30597" t="s">
        <v>2732</v>
      </c>
      <c r="C30597" s="26">
        <v>0.35980000000000001</v>
      </c>
      <c r="D30597" s="26">
        <v>0.37419999999999998</v>
      </c>
      <c r="E30597" s="26">
        <v>0.23019999999999999</v>
      </c>
      <c r="F30597" s="26">
        <v>0.1125</v>
      </c>
      <c r="G30597" s="26">
        <v>5.3499999999999999E-2</v>
      </c>
      <c r="H30597" s="26">
        <v>6.8699999999999997E-2</v>
      </c>
      <c r="I30597" s="26">
        <v>5.8200000000000002E-2</v>
      </c>
      <c r="J30597" s="26">
        <v>9.0300000000000005E-2</v>
      </c>
      <c r="K30597" s="26">
        <v>5.33E-2</v>
      </c>
      <c r="L30597" s="26">
        <v>7.2400000000000006E-2</v>
      </c>
      <c r="M30597" s="26">
        <v>2.64E-2</v>
      </c>
      <c r="N30597" s="26">
        <v>3.4799999999999998E-2</v>
      </c>
      <c r="O30597" s="26">
        <v>2.0400000000000001E-2</v>
      </c>
      <c r="P30597" s="26">
        <v>2.3400000000000001E-2</v>
      </c>
      <c r="Q30597" s="26">
        <v>1.5E-3</v>
      </c>
      <c r="S30597">
        <v>310</v>
      </c>
    </row>
    <row r="30598" spans="1:19" x14ac:dyDescent="0.35">
      <c r="A30598" t="s">
        <v>231</v>
      </c>
      <c r="B30598" t="s">
        <v>2730</v>
      </c>
      <c r="C30598" s="26">
        <v>0.41820000000000002</v>
      </c>
      <c r="D30598" s="26">
        <v>0.41820000000000002</v>
      </c>
      <c r="E30598" s="26">
        <v>0.18179999999999999</v>
      </c>
      <c r="F30598" s="26">
        <v>0.1091</v>
      </c>
      <c r="G30598" s="26">
        <v>0.18179999999999999</v>
      </c>
      <c r="H30598" s="26">
        <v>5.45E-2</v>
      </c>
      <c r="I30598" s="26">
        <v>3.6400000000000002E-2</v>
      </c>
      <c r="J30598" s="26">
        <v>1.8200000000000001E-2</v>
      </c>
      <c r="K30598" s="26">
        <v>0.1273</v>
      </c>
      <c r="L30598" s="26">
        <v>3.6400000000000002E-2</v>
      </c>
      <c r="M30598" s="26">
        <v>1.8200000000000001E-2</v>
      </c>
      <c r="N30598" s="26">
        <v>3.6400000000000002E-2</v>
      </c>
      <c r="P30598" s="26">
        <v>1.8200000000000001E-2</v>
      </c>
      <c r="S30598">
        <v>55</v>
      </c>
    </row>
    <row r="30599" spans="1:19" x14ac:dyDescent="0.35">
      <c r="A30599" s="27" t="s">
        <v>231</v>
      </c>
      <c r="B30599" s="27" t="s">
        <v>2731</v>
      </c>
      <c r="C30599" s="28">
        <v>0.70589999999999997</v>
      </c>
      <c r="D30599" s="28">
        <v>0.23530000000000001</v>
      </c>
      <c r="E30599" s="28">
        <v>0.1176</v>
      </c>
      <c r="F30599" s="29"/>
      <c r="G30599" s="29"/>
      <c r="H30599" s="29"/>
      <c r="I30599" s="29"/>
      <c r="J30599" s="29"/>
      <c r="K30599" s="29"/>
      <c r="L30599" s="29"/>
      <c r="M30599" s="29"/>
      <c r="N30599" s="29"/>
      <c r="O30599" s="29"/>
      <c r="P30599" s="29"/>
      <c r="Q30599" s="29"/>
      <c r="R30599" s="29"/>
      <c r="S30599" s="29" t="s">
        <v>343</v>
      </c>
    </row>
    <row r="30600" spans="1:19" x14ac:dyDescent="0.35">
      <c r="A30600" t="s">
        <v>231</v>
      </c>
      <c r="B30600" t="s">
        <v>2732</v>
      </c>
      <c r="C30600" s="26">
        <v>0.32969999999999999</v>
      </c>
      <c r="D30600" s="26">
        <v>0.37359999999999999</v>
      </c>
      <c r="E30600" s="26">
        <v>0.25269999999999998</v>
      </c>
      <c r="F30600" s="26">
        <v>0.1429</v>
      </c>
      <c r="G30600" s="26">
        <v>0.1099</v>
      </c>
      <c r="H30600" s="26">
        <v>7.6899999999999996E-2</v>
      </c>
      <c r="I30600" s="26">
        <v>0.1099</v>
      </c>
      <c r="J30600" s="26">
        <v>0.1099</v>
      </c>
      <c r="K30600" s="26">
        <v>3.3000000000000002E-2</v>
      </c>
      <c r="L30600" s="26">
        <v>8.7900000000000006E-2</v>
      </c>
      <c r="M30600" s="26">
        <v>5.4899999999999997E-2</v>
      </c>
      <c r="N30600" s="26">
        <v>4.3999999999999997E-2</v>
      </c>
      <c r="O30600" s="26">
        <v>2.1999999999999999E-2</v>
      </c>
      <c r="R30600" s="26">
        <v>1.0999999999999999E-2</v>
      </c>
      <c r="S30600">
        <v>91</v>
      </c>
    </row>
    <row r="30601" spans="1:19" x14ac:dyDescent="0.35">
      <c r="A30601" t="s">
        <v>232</v>
      </c>
      <c r="B30601" t="s">
        <v>232</v>
      </c>
      <c r="C30601" s="26">
        <v>0.40010000000000001</v>
      </c>
      <c r="D30601" s="26">
        <v>0.35039999999999999</v>
      </c>
      <c r="E30601" s="26">
        <v>0.2084</v>
      </c>
      <c r="F30601" s="26">
        <v>0.1074</v>
      </c>
      <c r="G30601" s="26">
        <v>0.10390000000000001</v>
      </c>
      <c r="H30601" s="26">
        <v>8.6499999999999994E-2</v>
      </c>
      <c r="I30601" s="26">
        <v>7.2300000000000003E-2</v>
      </c>
      <c r="J30601" s="26">
        <v>6.3399999999999998E-2</v>
      </c>
      <c r="K30601" s="26">
        <v>5.2499999999999998E-2</v>
      </c>
      <c r="L30601" s="26">
        <v>4.7899999999999998E-2</v>
      </c>
      <c r="M30601" s="26">
        <v>3.9600000000000003E-2</v>
      </c>
      <c r="N30601" s="26">
        <v>3.7199999999999997E-2</v>
      </c>
      <c r="O30601" s="26">
        <v>1.4999999999999999E-2</v>
      </c>
      <c r="P30601" s="26">
        <v>1.34E-2</v>
      </c>
      <c r="Q30601" s="26">
        <v>2.2000000000000001E-3</v>
      </c>
      <c r="R30601" s="26">
        <v>1.9E-3</v>
      </c>
      <c r="S30601">
        <v>2788</v>
      </c>
    </row>
    <row r="30603" spans="1:19" x14ac:dyDescent="0.35">
      <c r="A30603" s="1" t="s">
        <v>2734</v>
      </c>
    </row>
    <row r="30604" spans="1:19" x14ac:dyDescent="0.35">
      <c r="A30604" t="s">
        <v>219</v>
      </c>
      <c r="B30604" t="s">
        <v>305</v>
      </c>
      <c r="C30604" t="s">
        <v>576</v>
      </c>
      <c r="D30604" t="s">
        <v>577</v>
      </c>
      <c r="E30604" t="s">
        <v>578</v>
      </c>
      <c r="F30604" t="s">
        <v>579</v>
      </c>
      <c r="G30604" t="s">
        <v>580</v>
      </c>
      <c r="H30604" t="s">
        <v>281</v>
      </c>
      <c r="I30604" t="s">
        <v>286</v>
      </c>
      <c r="J30604" t="s">
        <v>226</v>
      </c>
    </row>
    <row r="30605" spans="1:19" x14ac:dyDescent="0.35">
      <c r="A30605" s="27" t="s">
        <v>227</v>
      </c>
      <c r="B30605" s="27" t="s">
        <v>2730</v>
      </c>
      <c r="C30605" s="28">
        <v>0.76919999999999999</v>
      </c>
      <c r="D30605" s="28">
        <v>0.1154</v>
      </c>
      <c r="E30605" s="28">
        <v>3.85E-2</v>
      </c>
      <c r="F30605" s="28">
        <v>3.85E-2</v>
      </c>
      <c r="G30605" s="29"/>
      <c r="H30605" s="28">
        <v>3.85E-2</v>
      </c>
      <c r="I30605" s="29"/>
      <c r="J30605" s="29" t="s">
        <v>357</v>
      </c>
    </row>
    <row r="30606" spans="1:19" x14ac:dyDescent="0.35">
      <c r="A30606" s="27" t="s">
        <v>227</v>
      </c>
      <c r="B30606" s="27" t="s">
        <v>2731</v>
      </c>
      <c r="C30606" s="28">
        <v>0.875</v>
      </c>
      <c r="D30606" s="28">
        <v>0.125</v>
      </c>
      <c r="E30606" s="29"/>
      <c r="F30606" s="29"/>
      <c r="G30606" s="29"/>
      <c r="H30606" s="29"/>
      <c r="I30606" s="29"/>
      <c r="J30606" s="29" t="s">
        <v>333</v>
      </c>
    </row>
    <row r="30607" spans="1:19" x14ac:dyDescent="0.35">
      <c r="A30607" t="s">
        <v>227</v>
      </c>
      <c r="B30607" t="s">
        <v>2732</v>
      </c>
      <c r="C30607" s="26">
        <v>0.79690000000000005</v>
      </c>
      <c r="D30607" s="26">
        <v>4.6899999999999997E-2</v>
      </c>
      <c r="E30607" s="26">
        <v>6.25E-2</v>
      </c>
      <c r="F30607" s="26">
        <v>7.8100000000000003E-2</v>
      </c>
      <c r="H30607" s="26">
        <v>1.5599999999999999E-2</v>
      </c>
      <c r="J30607">
        <v>64</v>
      </c>
    </row>
    <row r="30608" spans="1:19" x14ac:dyDescent="0.35">
      <c r="A30608" t="s">
        <v>228</v>
      </c>
      <c r="B30608" t="s">
        <v>2730</v>
      </c>
      <c r="C30608" s="26">
        <v>0.71599999999999997</v>
      </c>
      <c r="D30608" s="26">
        <v>0.14460000000000001</v>
      </c>
      <c r="E30608" s="26">
        <v>7.3999999999999996E-2</v>
      </c>
      <c r="F30608" s="26">
        <v>3.9800000000000002E-2</v>
      </c>
      <c r="G30608" s="26">
        <v>2.24E-2</v>
      </c>
      <c r="H30608" s="26">
        <v>3.0999999999999999E-3</v>
      </c>
      <c r="J30608">
        <v>235</v>
      </c>
    </row>
    <row r="30609" spans="1:21" x14ac:dyDescent="0.35">
      <c r="A30609" t="s">
        <v>228</v>
      </c>
      <c r="B30609" t="s">
        <v>2731</v>
      </c>
      <c r="C30609" s="26">
        <v>0.82589999999999997</v>
      </c>
      <c r="D30609" s="26">
        <v>4.8500000000000001E-2</v>
      </c>
      <c r="E30609" s="26">
        <v>6.2300000000000001E-2</v>
      </c>
      <c r="F30609" s="26">
        <v>3.0700000000000002E-2</v>
      </c>
      <c r="G30609" s="26">
        <v>3.2599999999999997E-2</v>
      </c>
      <c r="J30609">
        <v>51</v>
      </c>
    </row>
    <row r="30610" spans="1:21" x14ac:dyDescent="0.35">
      <c r="A30610" t="s">
        <v>228</v>
      </c>
      <c r="B30610" t="s">
        <v>2732</v>
      </c>
      <c r="C30610" s="26">
        <v>0.79830000000000001</v>
      </c>
      <c r="D30610" s="26">
        <v>5.8900000000000001E-2</v>
      </c>
      <c r="E30610" s="26">
        <v>4.3999999999999997E-2</v>
      </c>
      <c r="F30610" s="26">
        <v>2.63E-2</v>
      </c>
      <c r="G30610" s="26">
        <v>5.8599999999999999E-2</v>
      </c>
      <c r="H30610" s="26">
        <v>1.3899999999999999E-2</v>
      </c>
      <c r="J30610">
        <v>392</v>
      </c>
    </row>
    <row r="30611" spans="1:21" x14ac:dyDescent="0.35">
      <c r="A30611" t="s">
        <v>229</v>
      </c>
      <c r="B30611" t="s">
        <v>2730</v>
      </c>
      <c r="C30611" s="26">
        <v>0.69950000000000001</v>
      </c>
      <c r="D30611" s="26">
        <v>0.1166</v>
      </c>
      <c r="E30611" s="26">
        <v>6.1800000000000001E-2</v>
      </c>
      <c r="F30611" s="26">
        <v>4.5199999999999997E-2</v>
      </c>
      <c r="G30611" s="26">
        <v>4.8599999999999997E-2</v>
      </c>
      <c r="H30611" s="26">
        <v>2.8299999999999999E-2</v>
      </c>
      <c r="J30611">
        <v>153</v>
      </c>
    </row>
    <row r="30612" spans="1:21" x14ac:dyDescent="0.35">
      <c r="A30612" s="27" t="s">
        <v>229</v>
      </c>
      <c r="B30612" s="27" t="s">
        <v>2731</v>
      </c>
      <c r="C30612" s="28">
        <v>0.58220000000000005</v>
      </c>
      <c r="D30612" s="28">
        <v>0.40210000000000001</v>
      </c>
      <c r="E30612" s="29"/>
      <c r="F30612" s="29"/>
      <c r="G30612" s="28">
        <v>7.7999999999999996E-3</v>
      </c>
      <c r="H30612" s="28">
        <v>7.7999999999999996E-3</v>
      </c>
      <c r="I30612" s="29"/>
      <c r="J30612" s="29" t="s">
        <v>338</v>
      </c>
    </row>
    <row r="30613" spans="1:21" x14ac:dyDescent="0.35">
      <c r="A30613" t="s">
        <v>229</v>
      </c>
      <c r="B30613" t="s">
        <v>2732</v>
      </c>
      <c r="C30613" s="26">
        <v>0.70850000000000002</v>
      </c>
      <c r="D30613" s="26">
        <v>8.3299999999999999E-2</v>
      </c>
      <c r="E30613" s="26">
        <v>9.1499999999999998E-2</v>
      </c>
      <c r="F30613" s="26">
        <v>6.0499999999999998E-2</v>
      </c>
      <c r="G30613" s="26">
        <v>4.7699999999999999E-2</v>
      </c>
      <c r="H30613" s="26">
        <v>8.3999999999999995E-3</v>
      </c>
      <c r="J30613">
        <v>287</v>
      </c>
    </row>
    <row r="30614" spans="1:21" x14ac:dyDescent="0.35">
      <c r="A30614" t="s">
        <v>230</v>
      </c>
      <c r="B30614" t="s">
        <v>2730</v>
      </c>
      <c r="C30614" s="26">
        <v>0.64510000000000001</v>
      </c>
      <c r="D30614" s="26">
        <v>6.9800000000000001E-2</v>
      </c>
      <c r="E30614" s="26">
        <v>7.0400000000000004E-2</v>
      </c>
      <c r="F30614" s="26">
        <v>4.6199999999999998E-2</v>
      </c>
      <c r="G30614" s="26">
        <v>0.1019</v>
      </c>
      <c r="H30614" s="26">
        <v>3.3300000000000003E-2</v>
      </c>
      <c r="I30614" s="26">
        <v>3.3300000000000003E-2</v>
      </c>
      <c r="J30614">
        <v>103</v>
      </c>
    </row>
    <row r="30615" spans="1:21" x14ac:dyDescent="0.35">
      <c r="A30615" s="27" t="s">
        <v>230</v>
      </c>
      <c r="B30615" s="27" t="s">
        <v>2731</v>
      </c>
      <c r="C30615" s="28">
        <v>0.72660000000000002</v>
      </c>
      <c r="D30615" s="28">
        <v>4.1700000000000001E-2</v>
      </c>
      <c r="E30615" s="28">
        <v>0.22209999999999999</v>
      </c>
      <c r="F30615" s="29"/>
      <c r="G30615" s="29"/>
      <c r="H30615" s="28">
        <v>9.5999999999999992E-3</v>
      </c>
      <c r="I30615" s="29"/>
      <c r="J30615" s="29" t="s">
        <v>350</v>
      </c>
    </row>
    <row r="30616" spans="1:21" x14ac:dyDescent="0.35">
      <c r="A30616" t="s">
        <v>230</v>
      </c>
      <c r="B30616" t="s">
        <v>2732</v>
      </c>
      <c r="C30616" s="26">
        <v>0.77939999999999998</v>
      </c>
      <c r="D30616" s="26">
        <v>8.0399999999999999E-2</v>
      </c>
      <c r="E30616" s="26">
        <v>5.8900000000000001E-2</v>
      </c>
      <c r="F30616" s="26">
        <v>2.1399999999999999E-2</v>
      </c>
      <c r="G30616" s="26">
        <v>4.6100000000000002E-2</v>
      </c>
      <c r="H30616" s="26">
        <v>1.38E-2</v>
      </c>
      <c r="J30616">
        <v>206</v>
      </c>
    </row>
    <row r="30617" spans="1:21" x14ac:dyDescent="0.35">
      <c r="A30617" t="s">
        <v>231</v>
      </c>
      <c r="B30617" t="s">
        <v>2730</v>
      </c>
      <c r="C30617" s="26">
        <v>0.84379999999999999</v>
      </c>
      <c r="D30617" s="26">
        <v>3.1199999999999999E-2</v>
      </c>
      <c r="E30617" s="26">
        <v>3.1199999999999999E-2</v>
      </c>
      <c r="F30617" s="26">
        <v>3.1199999999999999E-2</v>
      </c>
      <c r="G30617" s="26">
        <v>3.1199999999999999E-2</v>
      </c>
      <c r="H30617" s="26">
        <v>3.1199999999999999E-2</v>
      </c>
      <c r="J30617">
        <v>32</v>
      </c>
    </row>
    <row r="30618" spans="1:21" x14ac:dyDescent="0.35">
      <c r="A30618" s="27" t="s">
        <v>231</v>
      </c>
      <c r="B30618" s="27" t="s">
        <v>2731</v>
      </c>
      <c r="C30618" s="28">
        <v>0.8</v>
      </c>
      <c r="D30618" s="28">
        <v>0.2</v>
      </c>
      <c r="E30618" s="29"/>
      <c r="F30618" s="29"/>
      <c r="G30618" s="29"/>
      <c r="H30618" s="29"/>
      <c r="I30618" s="29"/>
      <c r="J30618" s="29" t="s">
        <v>332</v>
      </c>
    </row>
    <row r="30619" spans="1:21" x14ac:dyDescent="0.35">
      <c r="A30619" t="s">
        <v>231</v>
      </c>
      <c r="B30619" t="s">
        <v>2732</v>
      </c>
      <c r="C30619" s="26">
        <v>0.75409999999999999</v>
      </c>
      <c r="D30619" s="26">
        <v>8.2000000000000003E-2</v>
      </c>
      <c r="E30619" s="26">
        <v>9.8400000000000001E-2</v>
      </c>
      <c r="F30619" s="26">
        <v>3.2800000000000003E-2</v>
      </c>
      <c r="G30619" s="26">
        <v>3.2800000000000003E-2</v>
      </c>
      <c r="J30619">
        <v>61</v>
      </c>
    </row>
    <row r="30620" spans="1:21" x14ac:dyDescent="0.35">
      <c r="A30620" t="s">
        <v>232</v>
      </c>
      <c r="B30620" t="s">
        <v>232</v>
      </c>
      <c r="C30620" s="26">
        <v>0.75780000000000003</v>
      </c>
      <c r="D30620" s="26">
        <v>8.3699999999999997E-2</v>
      </c>
      <c r="E30620" s="26">
        <v>6.6600000000000006E-2</v>
      </c>
      <c r="F30620" s="26">
        <v>4.1300000000000003E-2</v>
      </c>
      <c r="G30620" s="26">
        <v>3.5999999999999997E-2</v>
      </c>
      <c r="H30620" s="26">
        <v>1.37E-2</v>
      </c>
      <c r="I30620" s="26">
        <v>8.9999999999999998E-4</v>
      </c>
      <c r="J30620">
        <v>1670</v>
      </c>
    </row>
    <row r="30622" spans="1:21" x14ac:dyDescent="0.35">
      <c r="A30622" s="1" t="s">
        <v>2735</v>
      </c>
    </row>
    <row r="30623" spans="1:21" x14ac:dyDescent="0.35">
      <c r="A30623" t="s">
        <v>219</v>
      </c>
      <c r="B30623" t="s">
        <v>305</v>
      </c>
      <c r="C30623" t="s">
        <v>320</v>
      </c>
      <c r="D30623" t="s">
        <v>593</v>
      </c>
      <c r="E30623" t="s">
        <v>594</v>
      </c>
      <c r="F30623" t="s">
        <v>595</v>
      </c>
      <c r="G30623" t="s">
        <v>596</v>
      </c>
      <c r="H30623" t="s">
        <v>597</v>
      </c>
      <c r="I30623" t="s">
        <v>598</v>
      </c>
      <c r="J30623" t="s">
        <v>599</v>
      </c>
      <c r="K30623" t="s">
        <v>600</v>
      </c>
      <c r="L30623" t="s">
        <v>601</v>
      </c>
      <c r="M30623" t="s">
        <v>602</v>
      </c>
      <c r="N30623" t="s">
        <v>603</v>
      </c>
      <c r="O30623" t="s">
        <v>604</v>
      </c>
      <c r="P30623" t="s">
        <v>605</v>
      </c>
      <c r="Q30623" t="s">
        <v>606</v>
      </c>
      <c r="R30623" t="s">
        <v>607</v>
      </c>
      <c r="S30623" t="s">
        <v>281</v>
      </c>
      <c r="T30623" t="s">
        <v>286</v>
      </c>
      <c r="U30623" t="s">
        <v>226</v>
      </c>
    </row>
    <row r="30624" spans="1:21" x14ac:dyDescent="0.35">
      <c r="A30624" t="s">
        <v>227</v>
      </c>
      <c r="B30624" t="s">
        <v>2730</v>
      </c>
      <c r="C30624" s="26">
        <v>0.45710000000000001</v>
      </c>
      <c r="D30624" s="26">
        <v>0.2</v>
      </c>
      <c r="E30624" s="26">
        <v>0.1429</v>
      </c>
      <c r="F30624" s="26">
        <v>8.5699999999999998E-2</v>
      </c>
      <c r="G30624" s="26">
        <v>0.1143</v>
      </c>
      <c r="H30624" s="26">
        <v>2.86E-2</v>
      </c>
      <c r="I30624" s="26">
        <v>2.86E-2</v>
      </c>
      <c r="K30624" s="26">
        <v>2.86E-2</v>
      </c>
      <c r="S30624" s="26">
        <v>2.86E-2</v>
      </c>
      <c r="U30624">
        <v>35</v>
      </c>
    </row>
    <row r="30625" spans="1:21" x14ac:dyDescent="0.35">
      <c r="A30625" s="27" t="s">
        <v>227</v>
      </c>
      <c r="B30625" s="27" t="s">
        <v>2731</v>
      </c>
      <c r="C30625" s="28">
        <v>0.8</v>
      </c>
      <c r="D30625" s="28">
        <v>0.1</v>
      </c>
      <c r="E30625" s="28">
        <v>0.2</v>
      </c>
      <c r="F30625" s="29"/>
      <c r="G30625" s="29"/>
      <c r="H30625" s="29"/>
      <c r="I30625" s="29"/>
      <c r="J30625" s="29"/>
      <c r="K30625" s="29"/>
      <c r="L30625" s="29"/>
      <c r="M30625" s="29"/>
      <c r="N30625" s="29"/>
      <c r="O30625" s="29"/>
      <c r="P30625" s="29"/>
      <c r="Q30625" s="28">
        <v>0.1</v>
      </c>
      <c r="R30625" s="29"/>
      <c r="S30625" s="29"/>
      <c r="T30625" s="29"/>
      <c r="U30625" s="29" t="s">
        <v>307</v>
      </c>
    </row>
    <row r="30626" spans="1:21" x14ac:dyDescent="0.35">
      <c r="A30626" t="s">
        <v>227</v>
      </c>
      <c r="B30626" t="s">
        <v>2732</v>
      </c>
      <c r="C30626" s="26">
        <v>0.65380000000000005</v>
      </c>
      <c r="D30626" s="26">
        <v>0.23080000000000001</v>
      </c>
      <c r="E30626" s="26">
        <v>8.9700000000000002E-2</v>
      </c>
      <c r="F30626" s="26">
        <v>2.5600000000000001E-2</v>
      </c>
      <c r="H30626" s="26">
        <v>2.5600000000000001E-2</v>
      </c>
      <c r="I30626" s="26">
        <v>2.5600000000000001E-2</v>
      </c>
      <c r="J30626" s="26">
        <v>3.85E-2</v>
      </c>
      <c r="K30626" s="26">
        <v>1.2800000000000001E-2</v>
      </c>
      <c r="L30626" s="26">
        <v>2.5600000000000001E-2</v>
      </c>
      <c r="O30626" s="26">
        <v>1.2800000000000001E-2</v>
      </c>
      <c r="P30626" s="26">
        <v>1.2800000000000001E-2</v>
      </c>
      <c r="Q30626" s="26">
        <v>1.2800000000000001E-2</v>
      </c>
      <c r="U30626">
        <v>78</v>
      </c>
    </row>
    <row r="30627" spans="1:21" x14ac:dyDescent="0.35">
      <c r="A30627" t="s">
        <v>228</v>
      </c>
      <c r="B30627" t="s">
        <v>2730</v>
      </c>
      <c r="C30627" s="26">
        <v>0.55920000000000003</v>
      </c>
      <c r="D30627" s="26">
        <v>0.2515</v>
      </c>
      <c r="E30627" s="26">
        <v>0.17660000000000001</v>
      </c>
      <c r="F30627" s="26">
        <v>5.5100000000000003E-2</v>
      </c>
      <c r="G30627" s="26">
        <v>0.1207</v>
      </c>
      <c r="H30627" s="26">
        <v>6.2100000000000002E-2</v>
      </c>
      <c r="I30627" s="26">
        <v>4.4299999999999999E-2</v>
      </c>
      <c r="J30627" s="26">
        <v>1E-3</v>
      </c>
      <c r="K30627" s="26">
        <v>9.2999999999999992E-3</v>
      </c>
      <c r="L30627" s="26">
        <v>9.2999999999999992E-3</v>
      </c>
      <c r="M30627" s="26">
        <v>3.6600000000000001E-2</v>
      </c>
      <c r="N30627" s="26">
        <v>2.0299999999999999E-2</v>
      </c>
      <c r="O30627" s="26">
        <v>7.4999999999999997E-3</v>
      </c>
      <c r="P30627" s="26">
        <v>1.6199999999999999E-2</v>
      </c>
      <c r="Q30627" s="26">
        <v>3.49E-2</v>
      </c>
      <c r="R30627" s="26">
        <v>9.7000000000000003E-3</v>
      </c>
      <c r="U30627">
        <v>269</v>
      </c>
    </row>
    <row r="30628" spans="1:21" x14ac:dyDescent="0.35">
      <c r="A30628" t="s">
        <v>228</v>
      </c>
      <c r="B30628" t="s">
        <v>2731</v>
      </c>
      <c r="C30628" s="26">
        <v>0.50629999999999997</v>
      </c>
      <c r="D30628" s="26">
        <v>0.2452</v>
      </c>
      <c r="E30628" s="26">
        <v>0.13159999999999999</v>
      </c>
      <c r="F30628" s="26">
        <v>8.6400000000000005E-2</v>
      </c>
      <c r="G30628" s="26">
        <v>3.1899999999999998E-2</v>
      </c>
      <c r="H30628" s="26">
        <v>4.2099999999999999E-2</v>
      </c>
      <c r="I30628" s="26">
        <v>0.14949999999999999</v>
      </c>
      <c r="K30628" s="26">
        <v>2.07E-2</v>
      </c>
      <c r="M30628" s="26">
        <v>3.8100000000000002E-2</v>
      </c>
      <c r="O30628" s="26">
        <v>1.26E-2</v>
      </c>
      <c r="Q30628" s="26">
        <v>1.5100000000000001E-2</v>
      </c>
      <c r="R30628" s="26">
        <v>8.2199999999999995E-2</v>
      </c>
      <c r="S30628" s="26">
        <v>2.69E-2</v>
      </c>
      <c r="U30628">
        <v>57</v>
      </c>
    </row>
    <row r="30629" spans="1:21" x14ac:dyDescent="0.35">
      <c r="A30629" t="s">
        <v>228</v>
      </c>
      <c r="B30629" t="s">
        <v>2732</v>
      </c>
      <c r="C30629" s="26">
        <v>0.5524</v>
      </c>
      <c r="D30629" s="26">
        <v>0.1893</v>
      </c>
      <c r="E30629" s="26">
        <v>0.1646</v>
      </c>
      <c r="F30629" s="26">
        <v>6.0100000000000001E-2</v>
      </c>
      <c r="G30629" s="26">
        <v>6.7699999999999996E-2</v>
      </c>
      <c r="H30629" s="26">
        <v>7.7200000000000005E-2</v>
      </c>
      <c r="I30629" s="26">
        <v>5.8000000000000003E-2</v>
      </c>
      <c r="J30629" s="26">
        <v>1.4200000000000001E-2</v>
      </c>
      <c r="K30629" s="26">
        <v>3.1199999999999999E-2</v>
      </c>
      <c r="L30629" s="26">
        <v>1.54E-2</v>
      </c>
      <c r="M30629" s="26">
        <v>2.2700000000000001E-2</v>
      </c>
      <c r="N30629" s="26">
        <v>9.2999999999999992E-3</v>
      </c>
      <c r="O30629" s="26">
        <v>1.61E-2</v>
      </c>
      <c r="P30629" s="26">
        <v>1.09E-2</v>
      </c>
      <c r="Q30629" s="26">
        <v>1.77E-2</v>
      </c>
      <c r="R30629" s="26">
        <v>1.1999999999999999E-3</v>
      </c>
      <c r="S30629" s="26">
        <v>8.9999999999999998E-4</v>
      </c>
      <c r="U30629">
        <v>476</v>
      </c>
    </row>
    <row r="30630" spans="1:21" x14ac:dyDescent="0.35">
      <c r="A30630" t="s">
        <v>229</v>
      </c>
      <c r="B30630" t="s">
        <v>2730</v>
      </c>
      <c r="C30630" s="26">
        <v>0.56299999999999994</v>
      </c>
      <c r="D30630" s="26">
        <v>0.22500000000000001</v>
      </c>
      <c r="E30630" s="26">
        <v>0.1618</v>
      </c>
      <c r="F30630" s="26">
        <v>4.7199999999999999E-2</v>
      </c>
      <c r="G30630" s="26">
        <v>3.6999999999999998E-2</v>
      </c>
      <c r="H30630" s="26">
        <v>6.7100000000000007E-2</v>
      </c>
      <c r="I30630" s="26">
        <v>8.2000000000000003E-2</v>
      </c>
      <c r="J30630" s="26">
        <v>2.4500000000000001E-2</v>
      </c>
      <c r="K30630" s="26">
        <v>1.15E-2</v>
      </c>
      <c r="L30630" s="26">
        <v>1.84E-2</v>
      </c>
      <c r="M30630" s="26">
        <v>3.0599999999999999E-2</v>
      </c>
      <c r="N30630" s="26">
        <v>1.38E-2</v>
      </c>
      <c r="O30630" s="26">
        <v>1.61E-2</v>
      </c>
      <c r="P30630" s="26">
        <v>1.84E-2</v>
      </c>
      <c r="Q30630" s="26">
        <v>3.5000000000000001E-3</v>
      </c>
      <c r="R30630" s="26">
        <v>3.0999999999999999E-3</v>
      </c>
      <c r="U30630">
        <v>192</v>
      </c>
    </row>
    <row r="30631" spans="1:21" x14ac:dyDescent="0.35">
      <c r="A30631" t="s">
        <v>229</v>
      </c>
      <c r="B30631" t="s">
        <v>2731</v>
      </c>
      <c r="C30631" s="26">
        <v>0.38579999999999998</v>
      </c>
      <c r="D30631" s="26">
        <v>0.34770000000000001</v>
      </c>
      <c r="E30631" s="26">
        <v>0.19259999999999999</v>
      </c>
      <c r="F30631" s="26">
        <v>0.01</v>
      </c>
      <c r="G30631" s="26">
        <v>7.9000000000000001E-2</v>
      </c>
      <c r="H30631" s="26">
        <v>9.11E-2</v>
      </c>
      <c r="I30631" s="26">
        <v>7.6100000000000001E-2</v>
      </c>
      <c r="M30631" s="26">
        <v>2.8999999999999998E-3</v>
      </c>
      <c r="N30631" s="26">
        <v>7.6100000000000001E-2</v>
      </c>
      <c r="P30631" s="26">
        <v>7.6100000000000001E-2</v>
      </c>
      <c r="Q30631" s="26">
        <v>7.6100000000000001E-2</v>
      </c>
      <c r="U30631">
        <v>41</v>
      </c>
    </row>
    <row r="30632" spans="1:21" x14ac:dyDescent="0.35">
      <c r="A30632" t="s">
        <v>229</v>
      </c>
      <c r="B30632" t="s">
        <v>2732</v>
      </c>
      <c r="C30632" s="26">
        <v>0.53349999999999997</v>
      </c>
      <c r="D30632" s="26">
        <v>0.20119999999999999</v>
      </c>
      <c r="E30632" s="26">
        <v>0.1454</v>
      </c>
      <c r="F30632" s="26">
        <v>9.7500000000000003E-2</v>
      </c>
      <c r="G30632" s="26">
        <v>4.8000000000000001E-2</v>
      </c>
      <c r="H30632" s="26">
        <v>6.4199999999999993E-2</v>
      </c>
      <c r="I30632" s="26">
        <v>2.6100000000000002E-2</v>
      </c>
      <c r="J30632" s="26">
        <v>2.3699999999999999E-2</v>
      </c>
      <c r="K30632" s="26">
        <v>4.1500000000000002E-2</v>
      </c>
      <c r="L30632" s="26">
        <v>1.0999999999999999E-2</v>
      </c>
      <c r="M30632" s="26">
        <v>1.2999999999999999E-3</v>
      </c>
      <c r="N30632" s="26">
        <v>0.02</v>
      </c>
      <c r="O30632" s="26">
        <v>1.84E-2</v>
      </c>
      <c r="P30632" s="26">
        <v>2.7099999999999999E-2</v>
      </c>
      <c r="Q30632" s="26">
        <v>5.1999999999999998E-3</v>
      </c>
      <c r="R30632" s="26">
        <v>5.0000000000000001E-3</v>
      </c>
      <c r="T30632" s="26">
        <v>1.2999999999999999E-3</v>
      </c>
      <c r="U30632">
        <v>391</v>
      </c>
    </row>
    <row r="30633" spans="1:21" x14ac:dyDescent="0.35">
      <c r="A30633" t="s">
        <v>230</v>
      </c>
      <c r="B30633" t="s">
        <v>2730</v>
      </c>
      <c r="C30633" s="26">
        <v>0.4042</v>
      </c>
      <c r="D30633" s="26">
        <v>0.31090000000000001</v>
      </c>
      <c r="E30633" s="26">
        <v>0.2122</v>
      </c>
      <c r="F30633" s="26">
        <v>0.14929999999999999</v>
      </c>
      <c r="G30633" s="26">
        <v>0.1105</v>
      </c>
      <c r="H30633" s="26">
        <v>9.5399999999999999E-2</v>
      </c>
      <c r="I30633" s="26">
        <v>5.9900000000000002E-2</v>
      </c>
      <c r="K30633" s="26">
        <v>4.2299999999999997E-2</v>
      </c>
      <c r="M30633" s="26">
        <v>1.2999999999999999E-3</v>
      </c>
      <c r="N30633" s="26">
        <v>2.5600000000000001E-2</v>
      </c>
      <c r="O30633" s="26">
        <v>8.1100000000000005E-2</v>
      </c>
      <c r="Q30633" s="26">
        <v>5.5999999999999999E-3</v>
      </c>
      <c r="U30633">
        <v>130</v>
      </c>
    </row>
    <row r="30634" spans="1:21" x14ac:dyDescent="0.35">
      <c r="A30634" s="27" t="s">
        <v>230</v>
      </c>
      <c r="B30634" s="27" t="s">
        <v>2731</v>
      </c>
      <c r="C30634" s="28">
        <v>0.29389999999999999</v>
      </c>
      <c r="D30634" s="28">
        <v>0.3206</v>
      </c>
      <c r="E30634" s="29"/>
      <c r="F30634" s="28">
        <v>4.99E-2</v>
      </c>
      <c r="G30634" s="28">
        <v>3.2399999999999998E-2</v>
      </c>
      <c r="H30634" s="28">
        <v>0.19769999999999999</v>
      </c>
      <c r="I30634" s="28">
        <v>7.4999999999999997E-3</v>
      </c>
      <c r="J30634" s="29"/>
      <c r="K30634" s="29"/>
      <c r="L30634" s="29"/>
      <c r="M30634" s="29"/>
      <c r="N30634" s="28">
        <v>0.14779999999999999</v>
      </c>
      <c r="O30634" s="28">
        <v>2.4899999999999999E-2</v>
      </c>
      <c r="P30634" s="29"/>
      <c r="Q30634" s="29"/>
      <c r="R30634" s="29"/>
      <c r="S30634" s="29"/>
      <c r="T30634" s="29"/>
      <c r="U30634" s="29" t="s">
        <v>310</v>
      </c>
    </row>
    <row r="30635" spans="1:21" x14ac:dyDescent="0.35">
      <c r="A30635" t="s">
        <v>230</v>
      </c>
      <c r="B30635" t="s">
        <v>2732</v>
      </c>
      <c r="C30635" s="26">
        <v>0.61860000000000004</v>
      </c>
      <c r="D30635" s="26">
        <v>0.2127</v>
      </c>
      <c r="E30635" s="26">
        <v>0.1195</v>
      </c>
      <c r="F30635" s="26">
        <v>9.6699999999999994E-2</v>
      </c>
      <c r="G30635" s="26">
        <v>5.6399999999999999E-2</v>
      </c>
      <c r="H30635" s="26">
        <v>3.4599999999999999E-2</v>
      </c>
      <c r="I30635" s="26">
        <v>4.8899999999999999E-2</v>
      </c>
      <c r="J30635" s="26">
        <v>3.2300000000000002E-2</v>
      </c>
      <c r="L30635" s="26">
        <v>1.11E-2</v>
      </c>
      <c r="M30635" s="26">
        <v>2.69E-2</v>
      </c>
      <c r="N30635" s="26">
        <v>3.5000000000000001E-3</v>
      </c>
      <c r="O30635" s="26">
        <v>1.29E-2</v>
      </c>
      <c r="P30635" s="26">
        <v>5.0000000000000001E-4</v>
      </c>
      <c r="Q30635" s="26">
        <v>1.06E-2</v>
      </c>
      <c r="S30635" s="26">
        <v>1.8E-3</v>
      </c>
      <c r="U30635">
        <v>256</v>
      </c>
    </row>
    <row r="30636" spans="1:21" x14ac:dyDescent="0.35">
      <c r="A30636" t="s">
        <v>231</v>
      </c>
      <c r="B30636" t="s">
        <v>2730</v>
      </c>
      <c r="C30636" s="26">
        <v>0.56410000000000005</v>
      </c>
      <c r="D30636" s="26">
        <v>0.23080000000000001</v>
      </c>
      <c r="E30636" s="26">
        <v>0.12820000000000001</v>
      </c>
      <c r="F30636" s="26">
        <v>5.1299999999999998E-2</v>
      </c>
      <c r="G30636" s="26">
        <v>0.1026</v>
      </c>
      <c r="H30636" s="26">
        <v>7.6899999999999996E-2</v>
      </c>
      <c r="I30636" s="26">
        <v>5.1299999999999998E-2</v>
      </c>
      <c r="J30636" s="26">
        <v>2.5600000000000001E-2</v>
      </c>
      <c r="N30636" s="26">
        <v>2.5600000000000001E-2</v>
      </c>
      <c r="U30636">
        <v>39</v>
      </c>
    </row>
    <row r="30637" spans="1:21" x14ac:dyDescent="0.35">
      <c r="A30637" s="27" t="s">
        <v>231</v>
      </c>
      <c r="B30637" s="27" t="s">
        <v>2731</v>
      </c>
      <c r="C30637" s="28">
        <v>0.63639999999999997</v>
      </c>
      <c r="D30637" s="28">
        <v>0.18179999999999999</v>
      </c>
      <c r="E30637" s="29"/>
      <c r="F30637" s="28">
        <v>9.0899999999999995E-2</v>
      </c>
      <c r="G30637" s="29"/>
      <c r="H30637" s="29"/>
      <c r="I30637" s="29"/>
      <c r="J30637" s="29"/>
      <c r="K30637" s="28">
        <v>9.0899999999999995E-2</v>
      </c>
      <c r="L30637" s="28">
        <v>9.0899999999999995E-2</v>
      </c>
      <c r="M30637" s="29"/>
      <c r="N30637" s="29"/>
      <c r="O30637" s="29"/>
      <c r="P30637" s="29"/>
      <c r="Q30637" s="29"/>
      <c r="R30637" s="29"/>
      <c r="S30637" s="29"/>
      <c r="T30637" s="29"/>
      <c r="U30637" s="29" t="s">
        <v>352</v>
      </c>
    </row>
    <row r="30638" spans="1:21" x14ac:dyDescent="0.35">
      <c r="A30638" t="s">
        <v>231</v>
      </c>
      <c r="B30638" t="s">
        <v>2732</v>
      </c>
      <c r="C30638" s="26">
        <v>0.65749999999999997</v>
      </c>
      <c r="D30638" s="26">
        <v>0.17810000000000001</v>
      </c>
      <c r="E30638" s="26">
        <v>9.5899999999999999E-2</v>
      </c>
      <c r="F30638" s="26">
        <v>8.2199999999999995E-2</v>
      </c>
      <c r="G30638" s="26">
        <v>6.8500000000000005E-2</v>
      </c>
      <c r="H30638" s="26">
        <v>5.4800000000000001E-2</v>
      </c>
      <c r="I30638" s="26">
        <v>1.37E-2</v>
      </c>
      <c r="J30638" s="26">
        <v>2.7400000000000001E-2</v>
      </c>
      <c r="L30638" s="26">
        <v>1.37E-2</v>
      </c>
      <c r="M30638" s="26">
        <v>1.37E-2</v>
      </c>
      <c r="U30638">
        <v>73</v>
      </c>
    </row>
    <row r="30639" spans="1:21" x14ac:dyDescent="0.35">
      <c r="A30639" t="s">
        <v>232</v>
      </c>
      <c r="B30639" t="s">
        <v>232</v>
      </c>
      <c r="C30639" s="26">
        <v>0.57579999999999998</v>
      </c>
      <c r="D30639" s="26">
        <v>0.21099999999999999</v>
      </c>
      <c r="E30639" s="26">
        <v>0.13300000000000001</v>
      </c>
      <c r="F30639" s="26">
        <v>7.0599999999999996E-2</v>
      </c>
      <c r="G30639" s="26">
        <v>6.08E-2</v>
      </c>
      <c r="H30639" s="26">
        <v>5.74E-2</v>
      </c>
      <c r="I30639" s="26">
        <v>3.9300000000000002E-2</v>
      </c>
      <c r="J30639" s="26">
        <v>2.07E-2</v>
      </c>
      <c r="K30639" s="26">
        <v>1.9199999999999998E-2</v>
      </c>
      <c r="L30639" s="26">
        <v>1.37E-2</v>
      </c>
      <c r="M30639" s="26">
        <v>1.23E-2</v>
      </c>
      <c r="N30639" s="26">
        <v>1.2E-2</v>
      </c>
      <c r="O30639" s="26">
        <v>1.17E-2</v>
      </c>
      <c r="P30639" s="26">
        <v>1.12E-2</v>
      </c>
      <c r="Q30639" s="26">
        <v>1.01E-2</v>
      </c>
      <c r="R30639" s="26">
        <v>2.8999999999999998E-3</v>
      </c>
      <c r="S30639" s="26">
        <v>1.8E-3</v>
      </c>
      <c r="T30639" s="26">
        <v>2.9999999999999997E-4</v>
      </c>
      <c r="U30639">
        <v>2082</v>
      </c>
    </row>
    <row r="30641" spans="1:7" x14ac:dyDescent="0.35">
      <c r="A30641" s="1" t="s">
        <v>2736</v>
      </c>
    </row>
    <row r="30642" spans="1:7" x14ac:dyDescent="0.35">
      <c r="A30642" t="s">
        <v>219</v>
      </c>
      <c r="B30642" t="s">
        <v>305</v>
      </c>
      <c r="C30642" t="s">
        <v>303</v>
      </c>
      <c r="D30642" t="s">
        <v>302</v>
      </c>
      <c r="E30642" t="s">
        <v>281</v>
      </c>
      <c r="F30642" t="s">
        <v>286</v>
      </c>
      <c r="G30642" t="s">
        <v>226</v>
      </c>
    </row>
    <row r="30643" spans="1:7" x14ac:dyDescent="0.35">
      <c r="A30643" t="s">
        <v>227</v>
      </c>
      <c r="B30643" t="s">
        <v>2730</v>
      </c>
      <c r="C30643" s="26">
        <v>0.59570000000000001</v>
      </c>
      <c r="D30643" s="26">
        <v>0.40429999999999999</v>
      </c>
      <c r="G30643">
        <v>47</v>
      </c>
    </row>
    <row r="30644" spans="1:7" x14ac:dyDescent="0.35">
      <c r="A30644" s="27" t="s">
        <v>227</v>
      </c>
      <c r="B30644" s="27" t="s">
        <v>2731</v>
      </c>
      <c r="C30644" s="28">
        <v>0.33329999999999999</v>
      </c>
      <c r="D30644" s="28">
        <v>0.66669999999999996</v>
      </c>
      <c r="E30644" s="29"/>
      <c r="F30644" s="29"/>
      <c r="G30644" s="29" t="s">
        <v>351</v>
      </c>
    </row>
    <row r="30645" spans="1:7" x14ac:dyDescent="0.35">
      <c r="A30645" t="s">
        <v>227</v>
      </c>
      <c r="B30645" t="s">
        <v>2732</v>
      </c>
      <c r="C30645" s="26">
        <v>0.60219999999999996</v>
      </c>
      <c r="D30645" s="26">
        <v>0.39779999999999999</v>
      </c>
      <c r="G30645">
        <v>93</v>
      </c>
    </row>
    <row r="30646" spans="1:7" x14ac:dyDescent="0.35">
      <c r="A30646" t="s">
        <v>228</v>
      </c>
      <c r="B30646" t="s">
        <v>2730</v>
      </c>
      <c r="C30646" s="26">
        <v>0.64680000000000004</v>
      </c>
      <c r="D30646" s="26">
        <v>0.35249999999999998</v>
      </c>
      <c r="E30646" s="26">
        <v>6.9999999999999999E-4</v>
      </c>
      <c r="G30646">
        <v>360</v>
      </c>
    </row>
    <row r="30647" spans="1:7" x14ac:dyDescent="0.35">
      <c r="A30647" t="s">
        <v>228</v>
      </c>
      <c r="B30647" t="s">
        <v>2731</v>
      </c>
      <c r="C30647" s="26">
        <v>0.4773</v>
      </c>
      <c r="D30647" s="26">
        <v>0.45860000000000001</v>
      </c>
      <c r="E30647" s="26">
        <v>5.7099999999999998E-2</v>
      </c>
      <c r="F30647" s="26">
        <v>7.0000000000000001E-3</v>
      </c>
      <c r="G30647">
        <v>96</v>
      </c>
    </row>
    <row r="30648" spans="1:7" x14ac:dyDescent="0.35">
      <c r="A30648" t="s">
        <v>228</v>
      </c>
      <c r="B30648" t="s">
        <v>2732</v>
      </c>
      <c r="C30648" s="26">
        <v>0.65559999999999996</v>
      </c>
      <c r="D30648" s="26">
        <v>0.33929999999999999</v>
      </c>
      <c r="E30648" s="26">
        <v>3.0999999999999999E-3</v>
      </c>
      <c r="F30648" s="26">
        <v>2E-3</v>
      </c>
      <c r="G30648">
        <v>576</v>
      </c>
    </row>
    <row r="30649" spans="1:7" x14ac:dyDescent="0.35">
      <c r="A30649" t="s">
        <v>229</v>
      </c>
      <c r="B30649" t="s">
        <v>2730</v>
      </c>
      <c r="C30649" s="26">
        <v>0.70860000000000001</v>
      </c>
      <c r="D30649" s="26">
        <v>0.2707</v>
      </c>
      <c r="E30649" s="26">
        <v>1.17E-2</v>
      </c>
      <c r="F30649" s="26">
        <v>8.9999999999999993E-3</v>
      </c>
      <c r="G30649">
        <v>302</v>
      </c>
    </row>
    <row r="30650" spans="1:7" x14ac:dyDescent="0.35">
      <c r="A30650" t="s">
        <v>229</v>
      </c>
      <c r="B30650" t="s">
        <v>2731</v>
      </c>
      <c r="C30650" s="26">
        <v>0.49430000000000002</v>
      </c>
      <c r="D30650" s="26">
        <v>0.50570000000000004</v>
      </c>
      <c r="G30650">
        <v>86</v>
      </c>
    </row>
    <row r="30651" spans="1:7" x14ac:dyDescent="0.35">
      <c r="A30651" t="s">
        <v>229</v>
      </c>
      <c r="B30651" t="s">
        <v>2732</v>
      </c>
      <c r="C30651" s="26">
        <v>0.64339999999999997</v>
      </c>
      <c r="D30651" s="26">
        <v>0.35160000000000002</v>
      </c>
      <c r="E30651" s="26">
        <v>5.0000000000000001E-3</v>
      </c>
      <c r="G30651">
        <v>507</v>
      </c>
    </row>
    <row r="30652" spans="1:7" x14ac:dyDescent="0.35">
      <c r="A30652" t="s">
        <v>230</v>
      </c>
      <c r="B30652" t="s">
        <v>2730</v>
      </c>
      <c r="C30652" s="26">
        <v>0.66879999999999995</v>
      </c>
      <c r="D30652" s="26">
        <v>0.33119999999999999</v>
      </c>
      <c r="G30652">
        <v>197</v>
      </c>
    </row>
    <row r="30653" spans="1:7" x14ac:dyDescent="0.35">
      <c r="A30653" t="s">
        <v>230</v>
      </c>
      <c r="B30653" t="s">
        <v>2731</v>
      </c>
      <c r="C30653" s="26">
        <v>0.32069999999999999</v>
      </c>
      <c r="D30653" s="26">
        <v>0.67930000000000001</v>
      </c>
      <c r="G30653">
        <v>50</v>
      </c>
    </row>
    <row r="30654" spans="1:7" x14ac:dyDescent="0.35">
      <c r="A30654" t="s">
        <v>230</v>
      </c>
      <c r="B30654" t="s">
        <v>2732</v>
      </c>
      <c r="C30654" s="26">
        <v>0.67620000000000002</v>
      </c>
      <c r="D30654" s="26">
        <v>0.32229999999999998</v>
      </c>
      <c r="F30654" s="26">
        <v>1.5E-3</v>
      </c>
      <c r="G30654">
        <v>313</v>
      </c>
    </row>
    <row r="30655" spans="1:7" x14ac:dyDescent="0.35">
      <c r="A30655" t="s">
        <v>231</v>
      </c>
      <c r="B30655" t="s">
        <v>2730</v>
      </c>
      <c r="C30655" s="26">
        <v>0.65449999999999997</v>
      </c>
      <c r="D30655" s="26">
        <v>0.34549999999999997</v>
      </c>
      <c r="G30655">
        <v>55</v>
      </c>
    </row>
    <row r="30656" spans="1:7" x14ac:dyDescent="0.35">
      <c r="A30656" s="27" t="s">
        <v>231</v>
      </c>
      <c r="B30656" s="27" t="s">
        <v>2731</v>
      </c>
      <c r="C30656" s="28">
        <v>0.29409999999999997</v>
      </c>
      <c r="D30656" s="28">
        <v>0.70589999999999997</v>
      </c>
      <c r="E30656" s="29"/>
      <c r="F30656" s="29"/>
      <c r="G30656" s="29" t="s">
        <v>343</v>
      </c>
    </row>
    <row r="30657" spans="1:8" x14ac:dyDescent="0.35">
      <c r="A30657" t="s">
        <v>231</v>
      </c>
      <c r="B30657" t="s">
        <v>2732</v>
      </c>
      <c r="C30657" s="26">
        <v>0.66300000000000003</v>
      </c>
      <c r="D30657" s="26">
        <v>0.31519999999999998</v>
      </c>
      <c r="E30657" s="26">
        <v>2.1700000000000001E-2</v>
      </c>
      <c r="G30657">
        <v>92</v>
      </c>
    </row>
    <row r="30658" spans="1:8" x14ac:dyDescent="0.35">
      <c r="A30658" t="s">
        <v>232</v>
      </c>
      <c r="B30658" t="s">
        <v>232</v>
      </c>
      <c r="C30658" s="26">
        <v>0.627</v>
      </c>
      <c r="D30658" s="26">
        <v>0.3654</v>
      </c>
      <c r="E30658" s="26">
        <v>6.4000000000000003E-3</v>
      </c>
      <c r="F30658" s="26">
        <v>1.1000000000000001E-3</v>
      </c>
      <c r="G30658">
        <v>2812</v>
      </c>
    </row>
    <row r="30660" spans="1:8" x14ac:dyDescent="0.35">
      <c r="A30660" s="1" t="s">
        <v>2737</v>
      </c>
    </row>
    <row r="30661" spans="1:8" x14ac:dyDescent="0.35">
      <c r="A30661" t="s">
        <v>219</v>
      </c>
      <c r="B30661" t="s">
        <v>305</v>
      </c>
      <c r="C30661" t="s">
        <v>632</v>
      </c>
      <c r="D30661" t="s">
        <v>633</v>
      </c>
      <c r="E30661" t="s">
        <v>634</v>
      </c>
      <c r="F30661" t="s">
        <v>635</v>
      </c>
      <c r="G30661" t="s">
        <v>281</v>
      </c>
      <c r="H30661" t="s">
        <v>226</v>
      </c>
    </row>
    <row r="30662" spans="1:8" x14ac:dyDescent="0.35">
      <c r="A30662" s="27" t="s">
        <v>227</v>
      </c>
      <c r="B30662" s="27" t="s">
        <v>2730</v>
      </c>
      <c r="C30662" s="28">
        <v>0.28570000000000001</v>
      </c>
      <c r="D30662" s="28">
        <v>0.28570000000000001</v>
      </c>
      <c r="E30662" s="28">
        <v>0.25</v>
      </c>
      <c r="F30662" s="28">
        <v>0.17860000000000001</v>
      </c>
      <c r="G30662" s="29"/>
      <c r="H30662" s="29" t="s">
        <v>336</v>
      </c>
    </row>
    <row r="30663" spans="1:8" x14ac:dyDescent="0.35">
      <c r="A30663" s="27" t="s">
        <v>227</v>
      </c>
      <c r="B30663" s="27" t="s">
        <v>2731</v>
      </c>
      <c r="C30663" s="28">
        <v>0.42859999999999998</v>
      </c>
      <c r="D30663" s="28">
        <v>0.1429</v>
      </c>
      <c r="E30663" s="28">
        <v>0.1429</v>
      </c>
      <c r="F30663" s="28">
        <v>0.28570000000000001</v>
      </c>
      <c r="G30663" s="29"/>
      <c r="H30663" s="29" t="s">
        <v>339</v>
      </c>
    </row>
    <row r="30664" spans="1:8" x14ac:dyDescent="0.35">
      <c r="A30664" t="s">
        <v>227</v>
      </c>
      <c r="B30664" t="s">
        <v>2732</v>
      </c>
      <c r="C30664" s="26">
        <v>0.28570000000000001</v>
      </c>
      <c r="D30664" s="26">
        <v>0.21429999999999999</v>
      </c>
      <c r="E30664" s="26">
        <v>0.2321</v>
      </c>
      <c r="F30664" s="26">
        <v>0.25</v>
      </c>
      <c r="G30664" s="26">
        <v>1.7899999999999999E-2</v>
      </c>
      <c r="H30664">
        <v>56</v>
      </c>
    </row>
    <row r="30665" spans="1:8" x14ac:dyDescent="0.35">
      <c r="A30665" t="s">
        <v>228</v>
      </c>
      <c r="B30665" t="s">
        <v>2730</v>
      </c>
      <c r="C30665" s="26">
        <v>0.33460000000000001</v>
      </c>
      <c r="D30665" s="26">
        <v>0.28960000000000002</v>
      </c>
      <c r="E30665" s="26">
        <v>0.2293</v>
      </c>
      <c r="F30665" s="26">
        <v>0.13930000000000001</v>
      </c>
      <c r="G30665" s="26">
        <v>7.3000000000000001E-3</v>
      </c>
      <c r="H30665">
        <v>251</v>
      </c>
    </row>
    <row r="30666" spans="1:8" x14ac:dyDescent="0.35">
      <c r="A30666" t="s">
        <v>228</v>
      </c>
      <c r="B30666" t="s">
        <v>2731</v>
      </c>
      <c r="C30666" s="26">
        <v>0.29559999999999997</v>
      </c>
      <c r="D30666" s="26">
        <v>0.20380000000000001</v>
      </c>
      <c r="E30666" s="26">
        <v>0.38269999999999998</v>
      </c>
      <c r="F30666" s="26">
        <v>0.1033</v>
      </c>
      <c r="G30666" s="26">
        <v>1.46E-2</v>
      </c>
      <c r="H30666">
        <v>53</v>
      </c>
    </row>
    <row r="30667" spans="1:8" x14ac:dyDescent="0.35">
      <c r="A30667" t="s">
        <v>228</v>
      </c>
      <c r="B30667" t="s">
        <v>2732</v>
      </c>
      <c r="C30667" s="26">
        <v>0.35170000000000001</v>
      </c>
      <c r="D30667" s="26">
        <v>0.25440000000000002</v>
      </c>
      <c r="E30667" s="26">
        <v>0.18429999999999999</v>
      </c>
      <c r="F30667" s="26">
        <v>0.1963</v>
      </c>
      <c r="G30667" s="26">
        <v>1.3299999999999999E-2</v>
      </c>
      <c r="H30667">
        <v>383</v>
      </c>
    </row>
    <row r="30668" spans="1:8" x14ac:dyDescent="0.35">
      <c r="A30668" t="s">
        <v>229</v>
      </c>
      <c r="B30668" t="s">
        <v>2730</v>
      </c>
      <c r="C30668" s="26">
        <v>0.27129999999999999</v>
      </c>
      <c r="D30668" s="26">
        <v>0.2001</v>
      </c>
      <c r="E30668" s="26">
        <v>0.25800000000000001</v>
      </c>
      <c r="F30668" s="26">
        <v>0.22509999999999999</v>
      </c>
      <c r="G30668" s="26">
        <v>4.5499999999999999E-2</v>
      </c>
      <c r="H30668">
        <v>188</v>
      </c>
    </row>
    <row r="30669" spans="1:8" x14ac:dyDescent="0.35">
      <c r="A30669" t="s">
        <v>229</v>
      </c>
      <c r="B30669" t="s">
        <v>2731</v>
      </c>
      <c r="C30669" s="26">
        <v>0.31280000000000002</v>
      </c>
      <c r="D30669" s="26">
        <v>0.17249999999999999</v>
      </c>
      <c r="E30669" s="26">
        <v>0.36680000000000001</v>
      </c>
      <c r="F30669" s="26">
        <v>0.13980000000000001</v>
      </c>
      <c r="G30669" s="26">
        <v>8.0999999999999996E-3</v>
      </c>
      <c r="H30669">
        <v>34</v>
      </c>
    </row>
    <row r="30670" spans="1:8" x14ac:dyDescent="0.35">
      <c r="A30670" t="s">
        <v>229</v>
      </c>
      <c r="B30670" t="s">
        <v>2732</v>
      </c>
      <c r="C30670" s="26">
        <v>0.2843</v>
      </c>
      <c r="D30670" s="26">
        <v>0.26469999999999999</v>
      </c>
      <c r="E30670" s="26">
        <v>0.22359999999999999</v>
      </c>
      <c r="F30670" s="26">
        <v>0.21049999999999999</v>
      </c>
      <c r="G30670" s="26">
        <v>1.6799999999999999E-2</v>
      </c>
      <c r="H30670">
        <v>312</v>
      </c>
    </row>
    <row r="30671" spans="1:8" x14ac:dyDescent="0.35">
      <c r="A30671" t="s">
        <v>230</v>
      </c>
      <c r="B30671" t="s">
        <v>2730</v>
      </c>
      <c r="C30671" s="26">
        <v>0.28720000000000001</v>
      </c>
      <c r="D30671" s="26">
        <v>0.33110000000000001</v>
      </c>
      <c r="E30671" s="26">
        <v>0.2324</v>
      </c>
      <c r="F30671" s="26">
        <v>0.14380000000000001</v>
      </c>
      <c r="G30671" s="26">
        <v>5.4999999999999997E-3</v>
      </c>
      <c r="H30671">
        <v>132</v>
      </c>
    </row>
    <row r="30672" spans="1:8" x14ac:dyDescent="0.35">
      <c r="A30672" s="27" t="s">
        <v>230</v>
      </c>
      <c r="B30672" s="27" t="s">
        <v>2731</v>
      </c>
      <c r="C30672" s="28">
        <v>0.48299999999999998</v>
      </c>
      <c r="D30672" s="28">
        <v>0.10929999999999999</v>
      </c>
      <c r="E30672" s="28">
        <v>0.36</v>
      </c>
      <c r="F30672" s="28">
        <v>4.7699999999999999E-2</v>
      </c>
      <c r="G30672" s="29"/>
      <c r="H30672" s="29" t="s">
        <v>351</v>
      </c>
    </row>
    <row r="30673" spans="1:10" x14ac:dyDescent="0.35">
      <c r="A30673" t="s">
        <v>230</v>
      </c>
      <c r="B30673" t="s">
        <v>2732</v>
      </c>
      <c r="C30673" s="26">
        <v>0.38340000000000002</v>
      </c>
      <c r="D30673" s="26">
        <v>0.31619999999999998</v>
      </c>
      <c r="E30673" s="26">
        <v>0.1943</v>
      </c>
      <c r="F30673" s="26">
        <v>9.2899999999999996E-2</v>
      </c>
      <c r="G30673" s="26">
        <v>1.3100000000000001E-2</v>
      </c>
      <c r="H30673">
        <v>209</v>
      </c>
    </row>
    <row r="30674" spans="1:10" x14ac:dyDescent="0.35">
      <c r="A30674" t="s">
        <v>231</v>
      </c>
      <c r="B30674" t="s">
        <v>2730</v>
      </c>
      <c r="C30674" s="26">
        <v>0.36109999999999998</v>
      </c>
      <c r="D30674" s="26">
        <v>0.25</v>
      </c>
      <c r="E30674" s="26">
        <v>0.19439999999999999</v>
      </c>
      <c r="F30674" s="26">
        <v>0.19439999999999999</v>
      </c>
      <c r="H30674">
        <v>36</v>
      </c>
    </row>
    <row r="30675" spans="1:10" x14ac:dyDescent="0.35">
      <c r="A30675" s="27" t="s">
        <v>231</v>
      </c>
      <c r="B30675" s="27" t="s">
        <v>2731</v>
      </c>
      <c r="C30675" s="28">
        <v>0.4</v>
      </c>
      <c r="D30675" s="29"/>
      <c r="E30675" s="28">
        <v>0.2</v>
      </c>
      <c r="F30675" s="28">
        <v>0.2</v>
      </c>
      <c r="G30675" s="28">
        <v>0.2</v>
      </c>
      <c r="H30675" s="29" t="s">
        <v>332</v>
      </c>
    </row>
    <row r="30676" spans="1:10" x14ac:dyDescent="0.35">
      <c r="A30676" t="s">
        <v>231</v>
      </c>
      <c r="B30676" t="s">
        <v>2732</v>
      </c>
      <c r="C30676" s="26">
        <v>0.39340000000000003</v>
      </c>
      <c r="D30676" s="26">
        <v>0.18029999999999999</v>
      </c>
      <c r="E30676" s="26">
        <v>0.26229999999999998</v>
      </c>
      <c r="F30676" s="26">
        <v>0.14749999999999999</v>
      </c>
      <c r="G30676" s="26">
        <v>1.6400000000000001E-2</v>
      </c>
      <c r="H30676">
        <v>61</v>
      </c>
    </row>
    <row r="30677" spans="1:10" x14ac:dyDescent="0.35">
      <c r="A30677" t="s">
        <v>232</v>
      </c>
      <c r="B30677" t="s">
        <v>232</v>
      </c>
      <c r="C30677" s="26">
        <v>0.33129999999999998</v>
      </c>
      <c r="D30677" s="26">
        <v>0.2382</v>
      </c>
      <c r="E30677" s="26">
        <v>0.2298</v>
      </c>
      <c r="F30677" s="26">
        <v>0.18329999999999999</v>
      </c>
      <c r="G30677" s="26">
        <v>1.7399999999999999E-2</v>
      </c>
      <c r="H30677">
        <v>1776</v>
      </c>
    </row>
    <row r="30679" spans="1:10" x14ac:dyDescent="0.35">
      <c r="A30679" s="1" t="s">
        <v>2738</v>
      </c>
    </row>
    <row r="30680" spans="1:10" x14ac:dyDescent="0.35">
      <c r="A30680" t="s">
        <v>219</v>
      </c>
      <c r="B30680" t="s">
        <v>305</v>
      </c>
      <c r="C30680" t="s">
        <v>302</v>
      </c>
      <c r="D30680" t="s">
        <v>648</v>
      </c>
      <c r="E30680" t="s">
        <v>649</v>
      </c>
      <c r="F30680" t="s">
        <v>650</v>
      </c>
      <c r="G30680" t="s">
        <v>651</v>
      </c>
      <c r="H30680" t="s">
        <v>652</v>
      </c>
      <c r="I30680" t="s">
        <v>281</v>
      </c>
      <c r="J30680" t="s">
        <v>226</v>
      </c>
    </row>
    <row r="30681" spans="1:10" x14ac:dyDescent="0.35">
      <c r="A30681" s="27" t="s">
        <v>227</v>
      </c>
      <c r="B30681" s="27" t="s">
        <v>2730</v>
      </c>
      <c r="C30681" s="28">
        <v>0.92859999999999998</v>
      </c>
      <c r="D30681" s="29"/>
      <c r="E30681" s="28">
        <v>7.1400000000000005E-2</v>
      </c>
      <c r="F30681" s="29"/>
      <c r="G30681" s="29"/>
      <c r="H30681" s="29"/>
      <c r="I30681" s="29"/>
      <c r="J30681" s="29" t="s">
        <v>336</v>
      </c>
    </row>
    <row r="30682" spans="1:10" x14ac:dyDescent="0.35">
      <c r="A30682" s="27" t="s">
        <v>227</v>
      </c>
      <c r="B30682" s="27" t="s">
        <v>2731</v>
      </c>
      <c r="C30682" s="28">
        <v>0.71430000000000005</v>
      </c>
      <c r="D30682" s="29"/>
      <c r="E30682" s="28">
        <v>0.1429</v>
      </c>
      <c r="F30682" s="29"/>
      <c r="G30682" s="28">
        <v>0.1429</v>
      </c>
      <c r="H30682" s="29"/>
      <c r="I30682" s="28">
        <v>0.1429</v>
      </c>
      <c r="J30682" s="29" t="s">
        <v>339</v>
      </c>
    </row>
    <row r="30683" spans="1:10" x14ac:dyDescent="0.35">
      <c r="A30683" t="s">
        <v>227</v>
      </c>
      <c r="B30683" t="s">
        <v>2732</v>
      </c>
      <c r="C30683" s="26">
        <v>0.76359999999999995</v>
      </c>
      <c r="D30683" s="26">
        <v>5.45E-2</v>
      </c>
      <c r="E30683" s="26">
        <v>9.0899999999999995E-2</v>
      </c>
      <c r="F30683" s="26">
        <v>5.45E-2</v>
      </c>
      <c r="G30683" s="26">
        <v>3.6400000000000002E-2</v>
      </c>
      <c r="H30683" s="26">
        <v>1.8200000000000001E-2</v>
      </c>
      <c r="J30683">
        <v>55</v>
      </c>
    </row>
    <row r="30684" spans="1:10" x14ac:dyDescent="0.35">
      <c r="A30684" t="s">
        <v>228</v>
      </c>
      <c r="B30684" t="s">
        <v>2730</v>
      </c>
      <c r="C30684" s="26">
        <v>0.79279999999999995</v>
      </c>
      <c r="D30684" s="26">
        <v>7.0699999999999999E-2</v>
      </c>
      <c r="E30684" s="26">
        <v>8.1699999999999995E-2</v>
      </c>
      <c r="F30684" s="26">
        <v>4.5999999999999999E-2</v>
      </c>
      <c r="G30684" s="26">
        <v>1.2800000000000001E-2</v>
      </c>
      <c r="H30684" s="26">
        <v>2.3800000000000002E-2</v>
      </c>
      <c r="J30684">
        <v>251</v>
      </c>
    </row>
    <row r="30685" spans="1:10" x14ac:dyDescent="0.35">
      <c r="A30685" t="s">
        <v>228</v>
      </c>
      <c r="B30685" t="s">
        <v>2731</v>
      </c>
      <c r="C30685" s="26">
        <v>0.84430000000000005</v>
      </c>
      <c r="D30685" s="26">
        <v>5.1999999999999998E-2</v>
      </c>
      <c r="E30685" s="26">
        <v>5.5399999999999998E-2</v>
      </c>
      <c r="F30685" s="26">
        <v>1.4800000000000001E-2</v>
      </c>
      <c r="G30685" s="26">
        <v>1.11E-2</v>
      </c>
      <c r="H30685" s="26">
        <v>2.24E-2</v>
      </c>
      <c r="J30685">
        <v>52</v>
      </c>
    </row>
    <row r="30686" spans="1:10" x14ac:dyDescent="0.35">
      <c r="A30686" t="s">
        <v>228</v>
      </c>
      <c r="B30686" t="s">
        <v>2732</v>
      </c>
      <c r="C30686" s="26">
        <v>0.81069999999999998</v>
      </c>
      <c r="D30686" s="26">
        <v>7.8799999999999995E-2</v>
      </c>
      <c r="E30686" s="26">
        <v>6.3899999999999998E-2</v>
      </c>
      <c r="F30686" s="26">
        <v>2.4799999999999999E-2</v>
      </c>
      <c r="G30686" s="26">
        <v>2.3400000000000001E-2</v>
      </c>
      <c r="H30686" s="26">
        <v>1.9199999999999998E-2</v>
      </c>
      <c r="I30686" s="26">
        <v>5.9999999999999995E-4</v>
      </c>
      <c r="J30686">
        <v>383</v>
      </c>
    </row>
    <row r="30687" spans="1:10" x14ac:dyDescent="0.35">
      <c r="A30687" t="s">
        <v>229</v>
      </c>
      <c r="B30687" t="s">
        <v>2730</v>
      </c>
      <c r="C30687" s="26">
        <v>0.84430000000000005</v>
      </c>
      <c r="D30687" s="26">
        <v>2.9499999999999998E-2</v>
      </c>
      <c r="E30687" s="26">
        <v>8.5300000000000001E-2</v>
      </c>
      <c r="F30687" s="26">
        <v>1.77E-2</v>
      </c>
      <c r="G30687" s="26">
        <v>2.58E-2</v>
      </c>
      <c r="H30687" s="26">
        <v>1.5100000000000001E-2</v>
      </c>
      <c r="I30687" s="26">
        <v>1.6999999999999999E-3</v>
      </c>
      <c r="J30687">
        <v>188</v>
      </c>
    </row>
    <row r="30688" spans="1:10" x14ac:dyDescent="0.35">
      <c r="A30688" t="s">
        <v>229</v>
      </c>
      <c r="B30688" t="s">
        <v>2731</v>
      </c>
      <c r="C30688" s="26">
        <v>0.96499999999999997</v>
      </c>
      <c r="E30688" s="26">
        <v>1.0500000000000001E-2</v>
      </c>
      <c r="G30688" s="26">
        <v>8.0999999999999996E-3</v>
      </c>
      <c r="H30688" s="26">
        <v>1.6400000000000001E-2</v>
      </c>
      <c r="J30688">
        <v>34</v>
      </c>
    </row>
    <row r="30689" spans="1:10" x14ac:dyDescent="0.35">
      <c r="A30689" t="s">
        <v>229</v>
      </c>
      <c r="B30689" t="s">
        <v>2732</v>
      </c>
      <c r="C30689" s="26">
        <v>0.74739999999999995</v>
      </c>
      <c r="D30689" s="26">
        <v>9.4600000000000004E-2</v>
      </c>
      <c r="E30689" s="26">
        <v>9.0700000000000003E-2</v>
      </c>
      <c r="F30689" s="26">
        <v>5.7200000000000001E-2</v>
      </c>
      <c r="G30689" s="26">
        <v>3.8899999999999997E-2</v>
      </c>
      <c r="H30689" s="26">
        <v>2.0999999999999999E-3</v>
      </c>
      <c r="I30689" s="26">
        <v>6.1999999999999998E-3</v>
      </c>
      <c r="J30689">
        <v>309</v>
      </c>
    </row>
    <row r="30690" spans="1:10" x14ac:dyDescent="0.35">
      <c r="A30690" t="s">
        <v>230</v>
      </c>
      <c r="B30690" t="s">
        <v>2730</v>
      </c>
      <c r="C30690" s="26">
        <v>0.87580000000000002</v>
      </c>
      <c r="D30690" s="26">
        <v>4.1799999999999997E-2</v>
      </c>
      <c r="E30690" s="26">
        <v>1.4E-2</v>
      </c>
      <c r="F30690" s="26">
        <v>5.1999999999999998E-2</v>
      </c>
      <c r="G30690" s="26">
        <v>2.9499999999999998E-2</v>
      </c>
      <c r="H30690" s="26">
        <v>1.2200000000000001E-2</v>
      </c>
      <c r="J30690">
        <v>131</v>
      </c>
    </row>
    <row r="30691" spans="1:10" x14ac:dyDescent="0.35">
      <c r="A30691" s="27" t="s">
        <v>230</v>
      </c>
      <c r="B30691" s="27" t="s">
        <v>2731</v>
      </c>
      <c r="C30691" s="28">
        <v>0.66120000000000001</v>
      </c>
      <c r="D30691" s="28">
        <v>3.6700000000000003E-2</v>
      </c>
      <c r="E30691" s="28">
        <v>0.29099999999999998</v>
      </c>
      <c r="F30691" s="29"/>
      <c r="G30691" s="28">
        <v>0.2286</v>
      </c>
      <c r="H30691" s="29"/>
      <c r="I30691" s="29"/>
      <c r="J30691" s="29" t="s">
        <v>351</v>
      </c>
    </row>
    <row r="30692" spans="1:10" x14ac:dyDescent="0.35">
      <c r="A30692" t="s">
        <v>230</v>
      </c>
      <c r="B30692" t="s">
        <v>2732</v>
      </c>
      <c r="C30692" s="26">
        <v>0.76639999999999997</v>
      </c>
      <c r="D30692" s="26">
        <v>0.1082</v>
      </c>
      <c r="E30692" s="26">
        <v>7.6499999999999999E-2</v>
      </c>
      <c r="F30692" s="26">
        <v>3.6400000000000002E-2</v>
      </c>
      <c r="G30692" s="26">
        <v>0.04</v>
      </c>
      <c r="H30692" s="26">
        <v>2.8999999999999998E-3</v>
      </c>
      <c r="J30692">
        <v>209</v>
      </c>
    </row>
    <row r="30693" spans="1:10" x14ac:dyDescent="0.35">
      <c r="A30693" t="s">
        <v>231</v>
      </c>
      <c r="B30693" t="s">
        <v>2730</v>
      </c>
      <c r="C30693" s="26">
        <v>0.83330000000000004</v>
      </c>
      <c r="D30693" s="26">
        <v>8.3299999999999999E-2</v>
      </c>
      <c r="E30693" s="26">
        <v>5.5599999999999997E-2</v>
      </c>
      <c r="H30693" s="26">
        <v>2.7799999999999998E-2</v>
      </c>
      <c r="J30693">
        <v>36</v>
      </c>
    </row>
    <row r="30694" spans="1:10" x14ac:dyDescent="0.35">
      <c r="A30694" s="27" t="s">
        <v>231</v>
      </c>
      <c r="B30694" s="27" t="s">
        <v>2731</v>
      </c>
      <c r="C30694" s="28">
        <v>1</v>
      </c>
      <c r="D30694" s="29"/>
      <c r="E30694" s="29"/>
      <c r="F30694" s="29"/>
      <c r="G30694" s="29"/>
      <c r="H30694" s="29"/>
      <c r="I30694" s="29"/>
      <c r="J30694" s="29" t="s">
        <v>332</v>
      </c>
    </row>
    <row r="30695" spans="1:10" x14ac:dyDescent="0.35">
      <c r="A30695" t="s">
        <v>231</v>
      </c>
      <c r="B30695" t="s">
        <v>2732</v>
      </c>
      <c r="C30695" s="26">
        <v>0.64410000000000001</v>
      </c>
      <c r="D30695" s="26">
        <v>0.16950000000000001</v>
      </c>
      <c r="E30695" s="26">
        <v>8.4699999999999998E-2</v>
      </c>
      <c r="F30695" s="26">
        <v>0.1356</v>
      </c>
      <c r="G30695" s="26">
        <v>1.6899999999999998E-2</v>
      </c>
      <c r="H30695" s="26">
        <v>3.39E-2</v>
      </c>
      <c r="I30695" s="26">
        <v>1.6899999999999998E-2</v>
      </c>
      <c r="J30695">
        <v>59</v>
      </c>
    </row>
    <row r="30696" spans="1:10" x14ac:dyDescent="0.35">
      <c r="A30696" t="s">
        <v>232</v>
      </c>
      <c r="B30696" t="s">
        <v>232</v>
      </c>
      <c r="C30696" s="26">
        <v>0.78029999999999999</v>
      </c>
      <c r="D30696" s="26">
        <v>8.4000000000000005E-2</v>
      </c>
      <c r="E30696" s="26">
        <v>7.5899999999999995E-2</v>
      </c>
      <c r="F30696" s="26">
        <v>4.8500000000000001E-2</v>
      </c>
      <c r="G30696" s="26">
        <v>2.5100000000000001E-2</v>
      </c>
      <c r="H30696" s="26">
        <v>1.6400000000000001E-2</v>
      </c>
      <c r="I30696" s="26">
        <v>5.5999999999999999E-3</v>
      </c>
      <c r="J30696">
        <v>1768</v>
      </c>
    </row>
    <row r="30698" spans="1:10" x14ac:dyDescent="0.35">
      <c r="A30698" s="1" t="s">
        <v>2739</v>
      </c>
    </row>
    <row r="30699" spans="1:10" x14ac:dyDescent="0.35">
      <c r="A30699" t="s">
        <v>219</v>
      </c>
      <c r="B30699" t="s">
        <v>305</v>
      </c>
      <c r="C30699" t="s">
        <v>302</v>
      </c>
      <c r="D30699" t="s">
        <v>665</v>
      </c>
      <c r="E30699" t="s">
        <v>666</v>
      </c>
      <c r="F30699" t="s">
        <v>667</v>
      </c>
      <c r="G30699" t="s">
        <v>668</v>
      </c>
      <c r="H30699" t="s">
        <v>281</v>
      </c>
      <c r="I30699" t="s">
        <v>226</v>
      </c>
    </row>
    <row r="30700" spans="1:10" x14ac:dyDescent="0.35">
      <c r="A30700" t="s">
        <v>227</v>
      </c>
      <c r="B30700" t="s">
        <v>2730</v>
      </c>
      <c r="C30700" s="26">
        <v>0.85109999999999997</v>
      </c>
      <c r="D30700" s="26">
        <v>8.5099999999999995E-2</v>
      </c>
      <c r="E30700" s="26">
        <v>4.2599999999999999E-2</v>
      </c>
      <c r="F30700" s="26">
        <v>2.1299999999999999E-2</v>
      </c>
      <c r="I30700">
        <v>47</v>
      </c>
    </row>
    <row r="30701" spans="1:10" x14ac:dyDescent="0.35">
      <c r="A30701" s="27" t="s">
        <v>227</v>
      </c>
      <c r="B30701" s="27" t="s">
        <v>2731</v>
      </c>
      <c r="C30701" s="28">
        <v>0.95240000000000002</v>
      </c>
      <c r="D30701" s="28">
        <v>4.7600000000000003E-2</v>
      </c>
      <c r="E30701" s="29"/>
      <c r="F30701" s="29"/>
      <c r="G30701" s="29"/>
      <c r="H30701" s="29"/>
      <c r="I30701" s="29" t="s">
        <v>351</v>
      </c>
    </row>
    <row r="30702" spans="1:10" x14ac:dyDescent="0.35">
      <c r="A30702" t="s">
        <v>227</v>
      </c>
      <c r="B30702" t="s">
        <v>2732</v>
      </c>
      <c r="C30702" s="26">
        <v>0.68820000000000003</v>
      </c>
      <c r="D30702" s="26">
        <v>0.17199999999999999</v>
      </c>
      <c r="E30702" s="26">
        <v>0.1075</v>
      </c>
      <c r="F30702" s="26">
        <v>4.2999999999999997E-2</v>
      </c>
      <c r="G30702" s="26">
        <v>1.0800000000000001E-2</v>
      </c>
      <c r="I30702">
        <v>93</v>
      </c>
    </row>
    <row r="30703" spans="1:10" x14ac:dyDescent="0.35">
      <c r="A30703" t="s">
        <v>228</v>
      </c>
      <c r="B30703" t="s">
        <v>2730</v>
      </c>
      <c r="C30703" s="26">
        <v>0.89680000000000004</v>
      </c>
      <c r="D30703" s="26">
        <v>5.7200000000000001E-2</v>
      </c>
      <c r="E30703" s="26">
        <v>3.2000000000000001E-2</v>
      </c>
      <c r="F30703" s="26">
        <v>1.46E-2</v>
      </c>
      <c r="H30703" s="26">
        <v>1.1999999999999999E-3</v>
      </c>
      <c r="I30703">
        <v>360</v>
      </c>
    </row>
    <row r="30704" spans="1:10" x14ac:dyDescent="0.35">
      <c r="A30704" t="s">
        <v>228</v>
      </c>
      <c r="B30704" t="s">
        <v>2731</v>
      </c>
      <c r="C30704" s="26">
        <v>0.77710000000000001</v>
      </c>
      <c r="D30704" s="26">
        <v>8.2799999999999999E-2</v>
      </c>
      <c r="E30704" s="26">
        <v>7.1400000000000005E-2</v>
      </c>
      <c r="F30704" s="26">
        <v>2.64E-2</v>
      </c>
      <c r="G30704" s="26">
        <v>4.2299999999999997E-2</v>
      </c>
      <c r="I30704">
        <v>96</v>
      </c>
    </row>
    <row r="30705" spans="1:9" x14ac:dyDescent="0.35">
      <c r="A30705" t="s">
        <v>228</v>
      </c>
      <c r="B30705" t="s">
        <v>2732</v>
      </c>
      <c r="C30705" s="26">
        <v>0.73509999999999998</v>
      </c>
      <c r="D30705" s="26">
        <v>0.11409999999999999</v>
      </c>
      <c r="E30705" s="26">
        <v>9.6600000000000005E-2</v>
      </c>
      <c r="F30705" s="26">
        <v>3.0700000000000002E-2</v>
      </c>
      <c r="G30705" s="26">
        <v>0.03</v>
      </c>
      <c r="H30705" s="26">
        <v>2.7000000000000001E-3</v>
      </c>
      <c r="I30705">
        <v>576</v>
      </c>
    </row>
    <row r="30706" spans="1:9" x14ac:dyDescent="0.35">
      <c r="A30706" t="s">
        <v>229</v>
      </c>
      <c r="B30706" t="s">
        <v>2730</v>
      </c>
      <c r="C30706" s="26">
        <v>0.83240000000000003</v>
      </c>
      <c r="D30706" s="26">
        <v>7.0099999999999996E-2</v>
      </c>
      <c r="E30706" s="26">
        <v>8.43E-2</v>
      </c>
      <c r="F30706" s="26">
        <v>1.01E-2</v>
      </c>
      <c r="G30706" s="26">
        <v>3.0000000000000001E-3</v>
      </c>
      <c r="H30706" s="26">
        <v>1.0699999999999999E-2</v>
      </c>
      <c r="I30706">
        <v>302</v>
      </c>
    </row>
    <row r="30707" spans="1:9" x14ac:dyDescent="0.35">
      <c r="A30707" t="s">
        <v>229</v>
      </c>
      <c r="B30707" t="s">
        <v>2731</v>
      </c>
      <c r="C30707" s="26">
        <v>0.95530000000000004</v>
      </c>
      <c r="D30707" s="26">
        <v>1.4200000000000001E-2</v>
      </c>
      <c r="E30707" s="26">
        <v>3.0499999999999999E-2</v>
      </c>
      <c r="I30707">
        <v>86</v>
      </c>
    </row>
    <row r="30708" spans="1:9" x14ac:dyDescent="0.35">
      <c r="A30708" t="s">
        <v>229</v>
      </c>
      <c r="B30708" t="s">
        <v>2732</v>
      </c>
      <c r="C30708" s="26">
        <v>0.72899999999999998</v>
      </c>
      <c r="D30708" s="26">
        <v>0.12540000000000001</v>
      </c>
      <c r="E30708" s="26">
        <v>0.13100000000000001</v>
      </c>
      <c r="F30708" s="26">
        <v>3.3500000000000002E-2</v>
      </c>
      <c r="G30708" s="26">
        <v>5.7000000000000002E-3</v>
      </c>
      <c r="H30708" s="26">
        <v>1E-4</v>
      </c>
      <c r="I30708">
        <v>507</v>
      </c>
    </row>
    <row r="30709" spans="1:9" x14ac:dyDescent="0.35">
      <c r="A30709" t="s">
        <v>230</v>
      </c>
      <c r="B30709" t="s">
        <v>2730</v>
      </c>
      <c r="C30709" s="26">
        <v>0.88190000000000002</v>
      </c>
      <c r="D30709" s="26">
        <v>5.91E-2</v>
      </c>
      <c r="E30709" s="26">
        <v>2.06E-2</v>
      </c>
      <c r="F30709" s="26">
        <v>1.8700000000000001E-2</v>
      </c>
      <c r="G30709" s="26">
        <v>2.8E-3</v>
      </c>
      <c r="H30709" s="26">
        <v>1.6899999999999998E-2</v>
      </c>
      <c r="I30709">
        <v>197</v>
      </c>
    </row>
    <row r="30710" spans="1:9" x14ac:dyDescent="0.35">
      <c r="A30710" t="s">
        <v>230</v>
      </c>
      <c r="B30710" t="s">
        <v>2731</v>
      </c>
      <c r="C30710" s="26">
        <v>0.84930000000000005</v>
      </c>
      <c r="D30710" s="26">
        <v>9.2200000000000004E-2</v>
      </c>
      <c r="E30710" s="26">
        <v>2.3300000000000001E-2</v>
      </c>
      <c r="F30710" s="26">
        <v>3.5299999999999998E-2</v>
      </c>
      <c r="I30710">
        <v>50</v>
      </c>
    </row>
    <row r="30711" spans="1:9" x14ac:dyDescent="0.35">
      <c r="A30711" t="s">
        <v>230</v>
      </c>
      <c r="B30711" t="s">
        <v>2732</v>
      </c>
      <c r="C30711" s="26">
        <v>0.68979999999999997</v>
      </c>
      <c r="D30711" s="26">
        <v>0.12970000000000001</v>
      </c>
      <c r="E30711" s="26">
        <v>0.13519999999999999</v>
      </c>
      <c r="F30711" s="26">
        <v>5.2299999999999999E-2</v>
      </c>
      <c r="G30711" s="26">
        <v>1.4800000000000001E-2</v>
      </c>
      <c r="H30711" s="26">
        <v>1.9E-3</v>
      </c>
      <c r="I30711">
        <v>313</v>
      </c>
    </row>
    <row r="30712" spans="1:9" x14ac:dyDescent="0.35">
      <c r="A30712" t="s">
        <v>231</v>
      </c>
      <c r="B30712" t="s">
        <v>2730</v>
      </c>
      <c r="C30712" s="26">
        <v>0.90910000000000002</v>
      </c>
      <c r="D30712" s="26">
        <v>5.45E-2</v>
      </c>
      <c r="E30712" s="26">
        <v>1.8200000000000001E-2</v>
      </c>
      <c r="F30712" s="26">
        <v>1.8200000000000001E-2</v>
      </c>
      <c r="I30712">
        <v>55</v>
      </c>
    </row>
    <row r="30713" spans="1:9" x14ac:dyDescent="0.35">
      <c r="A30713" s="27" t="s">
        <v>231</v>
      </c>
      <c r="B30713" s="27" t="s">
        <v>2731</v>
      </c>
      <c r="C30713" s="28">
        <v>0.88239999999999996</v>
      </c>
      <c r="D30713" s="28">
        <v>5.8799999999999998E-2</v>
      </c>
      <c r="E30713" s="29"/>
      <c r="F30713" s="28">
        <v>5.8799999999999998E-2</v>
      </c>
      <c r="G30713" s="29"/>
      <c r="H30713" s="29"/>
      <c r="I30713" s="29" t="s">
        <v>343</v>
      </c>
    </row>
    <row r="30714" spans="1:9" x14ac:dyDescent="0.35">
      <c r="A30714" t="s">
        <v>231</v>
      </c>
      <c r="B30714" t="s">
        <v>2732</v>
      </c>
      <c r="C30714" s="26">
        <v>0.73909999999999998</v>
      </c>
      <c r="D30714" s="26">
        <v>0.13039999999999999</v>
      </c>
      <c r="E30714" s="26">
        <v>7.6100000000000001E-2</v>
      </c>
      <c r="F30714" s="26">
        <v>6.5199999999999994E-2</v>
      </c>
      <c r="G30714" s="26">
        <v>1.09E-2</v>
      </c>
      <c r="H30714" s="26">
        <v>1.09E-2</v>
      </c>
      <c r="I30714">
        <v>92</v>
      </c>
    </row>
    <row r="30715" spans="1:9" x14ac:dyDescent="0.35">
      <c r="A30715" t="s">
        <v>232</v>
      </c>
      <c r="B30715" t="s">
        <v>232</v>
      </c>
      <c r="C30715" s="26">
        <v>0.78690000000000004</v>
      </c>
      <c r="D30715" s="26">
        <v>0.1031</v>
      </c>
      <c r="E30715" s="26">
        <v>7.8700000000000006E-2</v>
      </c>
      <c r="F30715" s="26">
        <v>3.3700000000000001E-2</v>
      </c>
      <c r="G30715" s="26">
        <v>8.8999999999999999E-3</v>
      </c>
      <c r="H30715" s="26">
        <v>3.5999999999999999E-3</v>
      </c>
      <c r="I30715">
        <v>2812</v>
      </c>
    </row>
    <row r="30717" spans="1:9" x14ac:dyDescent="0.35">
      <c r="A30717" s="1" t="s">
        <v>2740</v>
      </c>
    </row>
    <row r="30718" spans="1:9" x14ac:dyDescent="0.35">
      <c r="A30718" t="s">
        <v>219</v>
      </c>
      <c r="B30718" t="s">
        <v>305</v>
      </c>
      <c r="C30718" t="s">
        <v>681</v>
      </c>
      <c r="D30718" t="s">
        <v>682</v>
      </c>
      <c r="E30718" t="s">
        <v>683</v>
      </c>
      <c r="F30718" t="s">
        <v>684</v>
      </c>
      <c r="G30718" t="s">
        <v>281</v>
      </c>
      <c r="H30718" t="s">
        <v>286</v>
      </c>
      <c r="I30718" t="s">
        <v>226</v>
      </c>
    </row>
    <row r="30719" spans="1:9" x14ac:dyDescent="0.35">
      <c r="A30719" t="s">
        <v>227</v>
      </c>
      <c r="B30719" t="s">
        <v>2730</v>
      </c>
      <c r="C30719" s="26">
        <v>0.65959999999999996</v>
      </c>
      <c r="D30719" s="26">
        <v>0.23400000000000001</v>
      </c>
      <c r="E30719" s="26">
        <v>8.5099999999999995E-2</v>
      </c>
      <c r="F30719" s="26">
        <v>2.1299999999999999E-2</v>
      </c>
      <c r="I30719">
        <v>47</v>
      </c>
    </row>
    <row r="30720" spans="1:9" x14ac:dyDescent="0.35">
      <c r="A30720" s="27" t="s">
        <v>227</v>
      </c>
      <c r="B30720" s="27" t="s">
        <v>2731</v>
      </c>
      <c r="C30720" s="28">
        <v>0.66669999999999996</v>
      </c>
      <c r="D30720" s="28">
        <v>0.28570000000000001</v>
      </c>
      <c r="E30720" s="29"/>
      <c r="F30720" s="28">
        <v>4.7600000000000003E-2</v>
      </c>
      <c r="G30720" s="29"/>
      <c r="H30720" s="29"/>
      <c r="I30720" s="29" t="s">
        <v>351</v>
      </c>
    </row>
    <row r="30721" spans="1:9" x14ac:dyDescent="0.35">
      <c r="A30721" t="s">
        <v>227</v>
      </c>
      <c r="B30721" t="s">
        <v>2732</v>
      </c>
      <c r="C30721" s="26">
        <v>0.56989999999999996</v>
      </c>
      <c r="D30721" s="26">
        <v>0.30109999999999998</v>
      </c>
      <c r="E30721" s="26">
        <v>0.1183</v>
      </c>
      <c r="G30721" s="26">
        <v>1.0800000000000001E-2</v>
      </c>
      <c r="I30721">
        <v>93</v>
      </c>
    </row>
    <row r="30722" spans="1:9" x14ac:dyDescent="0.35">
      <c r="A30722" t="s">
        <v>228</v>
      </c>
      <c r="B30722" t="s">
        <v>2730</v>
      </c>
      <c r="C30722" s="26">
        <v>0.65490000000000004</v>
      </c>
      <c r="D30722" s="26">
        <v>0.26569999999999999</v>
      </c>
      <c r="E30722" s="26">
        <v>6.7900000000000002E-2</v>
      </c>
      <c r="F30722" s="26">
        <v>6.7999999999999996E-3</v>
      </c>
      <c r="G30722" s="26">
        <v>3.5000000000000001E-3</v>
      </c>
      <c r="H30722" s="26">
        <v>1.1000000000000001E-3</v>
      </c>
      <c r="I30722">
        <v>360</v>
      </c>
    </row>
    <row r="30723" spans="1:9" x14ac:dyDescent="0.35">
      <c r="A30723" t="s">
        <v>228</v>
      </c>
      <c r="B30723" t="s">
        <v>2731</v>
      </c>
      <c r="C30723" s="26">
        <v>0.66990000000000005</v>
      </c>
      <c r="D30723" s="26">
        <v>0.29139999999999999</v>
      </c>
      <c r="E30723" s="26">
        <v>3.8699999999999998E-2</v>
      </c>
      <c r="I30723">
        <v>96</v>
      </c>
    </row>
    <row r="30724" spans="1:9" x14ac:dyDescent="0.35">
      <c r="A30724" t="s">
        <v>228</v>
      </c>
      <c r="B30724" t="s">
        <v>2732</v>
      </c>
      <c r="C30724" s="26">
        <v>0.64159999999999995</v>
      </c>
      <c r="D30724" s="26">
        <v>0.26040000000000002</v>
      </c>
      <c r="E30724" s="26">
        <v>7.8200000000000006E-2</v>
      </c>
      <c r="F30724" s="26">
        <v>7.9000000000000008E-3</v>
      </c>
      <c r="G30724" s="26">
        <v>1.11E-2</v>
      </c>
      <c r="H30724" s="26">
        <v>6.9999999999999999E-4</v>
      </c>
      <c r="I30724">
        <v>576</v>
      </c>
    </row>
    <row r="30725" spans="1:9" x14ac:dyDescent="0.35">
      <c r="A30725" t="s">
        <v>229</v>
      </c>
      <c r="B30725" t="s">
        <v>2730</v>
      </c>
      <c r="C30725" s="26">
        <v>0.61380000000000001</v>
      </c>
      <c r="D30725" s="26">
        <v>0.2596</v>
      </c>
      <c r="E30725" s="26">
        <v>9.5000000000000001E-2</v>
      </c>
      <c r="F30725" s="26">
        <v>1.37E-2</v>
      </c>
      <c r="G30725" s="26">
        <v>8.9999999999999993E-3</v>
      </c>
      <c r="H30725" s="26">
        <v>8.9999999999999993E-3</v>
      </c>
      <c r="I30725">
        <v>302</v>
      </c>
    </row>
    <row r="30726" spans="1:9" x14ac:dyDescent="0.35">
      <c r="A30726" t="s">
        <v>229</v>
      </c>
      <c r="B30726" t="s">
        <v>2731</v>
      </c>
      <c r="C30726" s="26">
        <v>0.77539999999999998</v>
      </c>
      <c r="D30726" s="26">
        <v>0.21940000000000001</v>
      </c>
      <c r="E30726" s="26">
        <v>5.1999999999999998E-3</v>
      </c>
      <c r="I30726">
        <v>86</v>
      </c>
    </row>
    <row r="30727" spans="1:9" x14ac:dyDescent="0.35">
      <c r="A30727" t="s">
        <v>229</v>
      </c>
      <c r="B30727" t="s">
        <v>2732</v>
      </c>
      <c r="C30727" s="26">
        <v>0.67</v>
      </c>
      <c r="D30727" s="26">
        <v>0.2326</v>
      </c>
      <c r="E30727" s="26">
        <v>8.4500000000000006E-2</v>
      </c>
      <c r="F30727" s="26">
        <v>7.3000000000000001E-3</v>
      </c>
      <c r="G30727" s="26">
        <v>5.5999999999999999E-3</v>
      </c>
      <c r="I30727">
        <v>507</v>
      </c>
    </row>
    <row r="30728" spans="1:9" x14ac:dyDescent="0.35">
      <c r="A30728" t="s">
        <v>230</v>
      </c>
      <c r="B30728" t="s">
        <v>2730</v>
      </c>
      <c r="C30728" s="26">
        <v>0.6905</v>
      </c>
      <c r="D30728" s="26">
        <v>0.24759999999999999</v>
      </c>
      <c r="E30728" s="26">
        <v>5.2600000000000001E-2</v>
      </c>
      <c r="F30728" s="26">
        <v>3.7000000000000002E-3</v>
      </c>
      <c r="G30728" s="26">
        <v>5.7000000000000002E-3</v>
      </c>
      <c r="I30728">
        <v>197</v>
      </c>
    </row>
    <row r="30729" spans="1:9" x14ac:dyDescent="0.35">
      <c r="A30729" t="s">
        <v>230</v>
      </c>
      <c r="B30729" t="s">
        <v>2731</v>
      </c>
      <c r="C30729" s="26">
        <v>0.79479999999999995</v>
      </c>
      <c r="D30729" s="26">
        <v>0.18990000000000001</v>
      </c>
      <c r="E30729" s="26">
        <v>1.18E-2</v>
      </c>
      <c r="G30729" s="26">
        <v>3.5000000000000001E-3</v>
      </c>
      <c r="I30729">
        <v>50</v>
      </c>
    </row>
    <row r="30730" spans="1:9" x14ac:dyDescent="0.35">
      <c r="A30730" t="s">
        <v>230</v>
      </c>
      <c r="B30730" t="s">
        <v>2732</v>
      </c>
      <c r="C30730" s="26">
        <v>0.63600000000000001</v>
      </c>
      <c r="D30730" s="26">
        <v>0.29509999999999997</v>
      </c>
      <c r="E30730" s="26">
        <v>4.6800000000000001E-2</v>
      </c>
      <c r="F30730" s="26">
        <v>2.8E-3</v>
      </c>
      <c r="G30730" s="26">
        <v>1.04E-2</v>
      </c>
      <c r="H30730" s="26">
        <v>8.8999999999999999E-3</v>
      </c>
      <c r="I30730">
        <v>313</v>
      </c>
    </row>
    <row r="30731" spans="1:9" x14ac:dyDescent="0.35">
      <c r="A30731" t="s">
        <v>231</v>
      </c>
      <c r="B30731" t="s">
        <v>2730</v>
      </c>
      <c r="C30731" s="26">
        <v>0.63639999999999997</v>
      </c>
      <c r="D30731" s="26">
        <v>0.2727</v>
      </c>
      <c r="E30731" s="26">
        <v>7.2700000000000001E-2</v>
      </c>
      <c r="F30731" s="26">
        <v>1.8200000000000001E-2</v>
      </c>
      <c r="I30731">
        <v>55</v>
      </c>
    </row>
    <row r="30732" spans="1:9" x14ac:dyDescent="0.35">
      <c r="A30732" s="27" t="s">
        <v>231</v>
      </c>
      <c r="B30732" s="27" t="s">
        <v>2731</v>
      </c>
      <c r="C30732" s="28">
        <v>0.88239999999999996</v>
      </c>
      <c r="D30732" s="28">
        <v>0.1176</v>
      </c>
      <c r="E30732" s="29"/>
      <c r="F30732" s="29"/>
      <c r="G30732" s="29"/>
      <c r="H30732" s="29"/>
      <c r="I30732" s="29" t="s">
        <v>343</v>
      </c>
    </row>
    <row r="30733" spans="1:9" x14ac:dyDescent="0.35">
      <c r="A30733" t="s">
        <v>231</v>
      </c>
      <c r="B30733" t="s">
        <v>2732</v>
      </c>
      <c r="C30733" s="26">
        <v>0.63039999999999996</v>
      </c>
      <c r="D30733" s="26">
        <v>0.28260000000000002</v>
      </c>
      <c r="E30733" s="26">
        <v>6.5199999999999994E-2</v>
      </c>
      <c r="F30733" s="26">
        <v>1.09E-2</v>
      </c>
      <c r="G30733" s="26">
        <v>1.09E-2</v>
      </c>
      <c r="I30733">
        <v>92</v>
      </c>
    </row>
    <row r="30734" spans="1:9" x14ac:dyDescent="0.35">
      <c r="A30734" t="s">
        <v>232</v>
      </c>
      <c r="B30734" t="s">
        <v>232</v>
      </c>
      <c r="C30734" s="26">
        <v>0.6512</v>
      </c>
      <c r="D30734" s="26">
        <v>0.25940000000000002</v>
      </c>
      <c r="E30734" s="26">
        <v>7.2099999999999997E-2</v>
      </c>
      <c r="F30734" s="26">
        <v>9.2999999999999992E-3</v>
      </c>
      <c r="G30734" s="26">
        <v>6.6E-3</v>
      </c>
      <c r="H30734" s="26">
        <v>1.4E-3</v>
      </c>
      <c r="I30734">
        <v>2812</v>
      </c>
    </row>
    <row r="30736" spans="1:9" x14ac:dyDescent="0.35">
      <c r="A30736" s="1" t="s">
        <v>2741</v>
      </c>
    </row>
    <row r="30737" spans="1:9" x14ac:dyDescent="0.35">
      <c r="A30737" t="s">
        <v>219</v>
      </c>
      <c r="B30737" t="s">
        <v>305</v>
      </c>
      <c r="C30737" t="s">
        <v>681</v>
      </c>
      <c r="D30737" t="s">
        <v>682</v>
      </c>
      <c r="E30737" t="s">
        <v>683</v>
      </c>
      <c r="F30737" t="s">
        <v>684</v>
      </c>
      <c r="G30737" t="s">
        <v>281</v>
      </c>
      <c r="H30737" t="s">
        <v>286</v>
      </c>
      <c r="I30737" t="s">
        <v>226</v>
      </c>
    </row>
    <row r="30738" spans="1:9" x14ac:dyDescent="0.35">
      <c r="A30738" t="s">
        <v>227</v>
      </c>
      <c r="B30738" t="s">
        <v>2730</v>
      </c>
      <c r="C30738" s="26">
        <v>0.87229999999999996</v>
      </c>
      <c r="D30738" s="26">
        <v>6.3799999999999996E-2</v>
      </c>
      <c r="E30738" s="26">
        <v>6.3799999999999996E-2</v>
      </c>
      <c r="I30738">
        <v>47</v>
      </c>
    </row>
    <row r="30739" spans="1:9" x14ac:dyDescent="0.35">
      <c r="A30739" s="27" t="s">
        <v>227</v>
      </c>
      <c r="B30739" s="27" t="s">
        <v>2731</v>
      </c>
      <c r="C30739" s="28">
        <v>0.85709999999999997</v>
      </c>
      <c r="D30739" s="28">
        <v>0.1429</v>
      </c>
      <c r="E30739" s="29"/>
      <c r="F30739" s="29"/>
      <c r="G30739" s="29"/>
      <c r="H30739" s="29"/>
      <c r="I30739" s="29" t="s">
        <v>351</v>
      </c>
    </row>
    <row r="30740" spans="1:9" x14ac:dyDescent="0.35">
      <c r="A30740" t="s">
        <v>227</v>
      </c>
      <c r="B30740" t="s">
        <v>2732</v>
      </c>
      <c r="C30740" s="26">
        <v>0.92469999999999997</v>
      </c>
      <c r="D30740" s="26">
        <v>5.3800000000000001E-2</v>
      </c>
      <c r="E30740" s="26">
        <v>1.0800000000000001E-2</v>
      </c>
      <c r="F30740" s="26">
        <v>1.0800000000000001E-2</v>
      </c>
      <c r="I30740">
        <v>93</v>
      </c>
    </row>
    <row r="30741" spans="1:9" x14ac:dyDescent="0.35">
      <c r="A30741" t="s">
        <v>228</v>
      </c>
      <c r="B30741" t="s">
        <v>2730</v>
      </c>
      <c r="C30741" s="26">
        <v>0.88890000000000002</v>
      </c>
      <c r="D30741" s="26">
        <v>8.5300000000000001E-2</v>
      </c>
      <c r="E30741" s="26">
        <v>2.1399999999999999E-2</v>
      </c>
      <c r="G30741" s="26">
        <v>4.3E-3</v>
      </c>
      <c r="I30741">
        <v>360</v>
      </c>
    </row>
    <row r="30742" spans="1:9" x14ac:dyDescent="0.35">
      <c r="A30742" t="s">
        <v>228</v>
      </c>
      <c r="B30742" t="s">
        <v>2731</v>
      </c>
      <c r="C30742" s="26">
        <v>0.95550000000000002</v>
      </c>
      <c r="D30742" s="26">
        <v>4.1399999999999999E-2</v>
      </c>
      <c r="E30742" s="26">
        <v>3.0999999999999999E-3</v>
      </c>
      <c r="I30742">
        <v>96</v>
      </c>
    </row>
    <row r="30743" spans="1:9" x14ac:dyDescent="0.35">
      <c r="A30743" t="s">
        <v>228</v>
      </c>
      <c r="B30743" t="s">
        <v>2732</v>
      </c>
      <c r="C30743" s="26">
        <v>0.90469999999999995</v>
      </c>
      <c r="D30743" s="26">
        <v>6.9699999999999998E-2</v>
      </c>
      <c r="E30743" s="26">
        <v>1.7399999999999999E-2</v>
      </c>
      <c r="F30743" s="26">
        <v>5.7000000000000002E-3</v>
      </c>
      <c r="G30743" s="26">
        <v>1.8E-3</v>
      </c>
      <c r="H30743" s="26">
        <v>6.9999999999999999E-4</v>
      </c>
      <c r="I30743">
        <v>576</v>
      </c>
    </row>
    <row r="30744" spans="1:9" x14ac:dyDescent="0.35">
      <c r="A30744" t="s">
        <v>229</v>
      </c>
      <c r="B30744" t="s">
        <v>2730</v>
      </c>
      <c r="C30744" s="26">
        <v>0.92730000000000001</v>
      </c>
      <c r="D30744" s="26">
        <v>5.0599999999999999E-2</v>
      </c>
      <c r="E30744" s="26">
        <v>2.2100000000000002E-2</v>
      </c>
      <c r="I30744">
        <v>302</v>
      </c>
    </row>
    <row r="30745" spans="1:9" x14ac:dyDescent="0.35">
      <c r="A30745" t="s">
        <v>229</v>
      </c>
      <c r="B30745" t="s">
        <v>2731</v>
      </c>
      <c r="C30745" s="26">
        <v>0.92689999999999995</v>
      </c>
      <c r="D30745" s="26">
        <v>7.3099999999999998E-2</v>
      </c>
      <c r="I30745">
        <v>86</v>
      </c>
    </row>
    <row r="30746" spans="1:9" x14ac:dyDescent="0.35">
      <c r="A30746" t="s">
        <v>229</v>
      </c>
      <c r="B30746" t="s">
        <v>2732</v>
      </c>
      <c r="C30746" s="26">
        <v>0.93289999999999995</v>
      </c>
      <c r="D30746" s="26">
        <v>5.6300000000000003E-2</v>
      </c>
      <c r="E30746" s="26">
        <v>1.0200000000000001E-2</v>
      </c>
      <c r="G30746" s="26">
        <v>5.9999999999999995E-4</v>
      </c>
      <c r="I30746">
        <v>507</v>
      </c>
    </row>
    <row r="30747" spans="1:9" x14ac:dyDescent="0.35">
      <c r="A30747" t="s">
        <v>230</v>
      </c>
      <c r="B30747" t="s">
        <v>2730</v>
      </c>
      <c r="C30747" s="26">
        <v>0.94289999999999996</v>
      </c>
      <c r="D30747" s="26">
        <v>5.2600000000000001E-2</v>
      </c>
      <c r="E30747" s="26">
        <v>4.5999999999999999E-3</v>
      </c>
      <c r="I30747">
        <v>197</v>
      </c>
    </row>
    <row r="30748" spans="1:9" x14ac:dyDescent="0.35">
      <c r="A30748" t="s">
        <v>230</v>
      </c>
      <c r="B30748" t="s">
        <v>2731</v>
      </c>
      <c r="C30748" s="26">
        <v>0.97289999999999999</v>
      </c>
      <c r="D30748" s="26">
        <v>1.5299999999999999E-2</v>
      </c>
      <c r="E30748" s="26">
        <v>1.18E-2</v>
      </c>
      <c r="I30748">
        <v>50</v>
      </c>
    </row>
    <row r="30749" spans="1:9" x14ac:dyDescent="0.35">
      <c r="A30749" t="s">
        <v>230</v>
      </c>
      <c r="B30749" t="s">
        <v>2732</v>
      </c>
      <c r="C30749" s="26">
        <v>0.93579999999999997</v>
      </c>
      <c r="D30749" s="26">
        <v>4.9000000000000002E-2</v>
      </c>
      <c r="E30749" s="26">
        <v>1.43E-2</v>
      </c>
      <c r="F30749" s="26">
        <v>8.9999999999999998E-4</v>
      </c>
      <c r="I30749">
        <v>313</v>
      </c>
    </row>
    <row r="30750" spans="1:9" x14ac:dyDescent="0.35">
      <c r="A30750" t="s">
        <v>231</v>
      </c>
      <c r="B30750" t="s">
        <v>2730</v>
      </c>
      <c r="C30750" s="26">
        <v>0.92730000000000001</v>
      </c>
      <c r="D30750" s="26">
        <v>7.2700000000000001E-2</v>
      </c>
      <c r="I30750">
        <v>55</v>
      </c>
    </row>
    <row r="30751" spans="1:9" x14ac:dyDescent="0.35">
      <c r="A30751" s="27" t="s">
        <v>231</v>
      </c>
      <c r="B30751" s="27" t="s">
        <v>2731</v>
      </c>
      <c r="C30751" s="28">
        <v>1</v>
      </c>
      <c r="D30751" s="29"/>
      <c r="E30751" s="29"/>
      <c r="F30751" s="29"/>
      <c r="G30751" s="29"/>
      <c r="H30751" s="29"/>
      <c r="I30751" s="29" t="s">
        <v>343</v>
      </c>
    </row>
    <row r="30752" spans="1:9" x14ac:dyDescent="0.35">
      <c r="A30752" t="s">
        <v>231</v>
      </c>
      <c r="B30752" t="s">
        <v>2732</v>
      </c>
      <c r="C30752" s="26">
        <v>0.92390000000000005</v>
      </c>
      <c r="D30752" s="26">
        <v>4.3499999999999997E-2</v>
      </c>
      <c r="E30752" s="26">
        <v>3.2599999999999997E-2</v>
      </c>
      <c r="I30752">
        <v>92</v>
      </c>
    </row>
    <row r="30753" spans="1:9" x14ac:dyDescent="0.35">
      <c r="A30753" t="s">
        <v>232</v>
      </c>
      <c r="B30753" t="s">
        <v>232</v>
      </c>
      <c r="C30753" s="26">
        <v>0.92259999999999998</v>
      </c>
      <c r="D30753" s="26">
        <v>5.8299999999999998E-2</v>
      </c>
      <c r="E30753" s="26">
        <v>1.6799999999999999E-2</v>
      </c>
      <c r="F30753" s="26">
        <v>1.6000000000000001E-3</v>
      </c>
      <c r="G30753" s="26">
        <v>5.9999999999999995E-4</v>
      </c>
      <c r="H30753" s="26">
        <v>1E-4</v>
      </c>
      <c r="I30753">
        <v>2812</v>
      </c>
    </row>
    <row r="30755" spans="1:9" x14ac:dyDescent="0.35">
      <c r="A30755" s="1" t="s">
        <v>2742</v>
      </c>
    </row>
    <row r="30756" spans="1:9" x14ac:dyDescent="0.35">
      <c r="A30756" t="s">
        <v>219</v>
      </c>
      <c r="B30756" t="s">
        <v>305</v>
      </c>
      <c r="C30756" t="s">
        <v>681</v>
      </c>
      <c r="D30756" t="s">
        <v>682</v>
      </c>
      <c r="E30756" t="s">
        <v>683</v>
      </c>
      <c r="F30756" t="s">
        <v>684</v>
      </c>
      <c r="G30756" t="s">
        <v>281</v>
      </c>
      <c r="H30756" t="s">
        <v>226</v>
      </c>
    </row>
    <row r="30757" spans="1:9" x14ac:dyDescent="0.35">
      <c r="A30757" t="s">
        <v>227</v>
      </c>
      <c r="B30757" t="s">
        <v>2730</v>
      </c>
      <c r="C30757" s="26">
        <v>0.51060000000000005</v>
      </c>
      <c r="D30757" s="26">
        <v>0.27660000000000001</v>
      </c>
      <c r="E30757" s="26">
        <v>0.1915</v>
      </c>
      <c r="F30757" s="26">
        <v>2.1299999999999999E-2</v>
      </c>
      <c r="H30757">
        <v>47</v>
      </c>
    </row>
    <row r="30758" spans="1:9" x14ac:dyDescent="0.35">
      <c r="A30758" s="27" t="s">
        <v>227</v>
      </c>
      <c r="B30758" s="27" t="s">
        <v>2731</v>
      </c>
      <c r="C30758" s="28">
        <v>0.61899999999999999</v>
      </c>
      <c r="D30758" s="28">
        <v>0.33329999999999999</v>
      </c>
      <c r="E30758" s="28">
        <v>4.7600000000000003E-2</v>
      </c>
      <c r="F30758" s="29"/>
      <c r="G30758" s="29"/>
      <c r="H30758" s="29" t="s">
        <v>351</v>
      </c>
    </row>
    <row r="30759" spans="1:9" x14ac:dyDescent="0.35">
      <c r="A30759" t="s">
        <v>227</v>
      </c>
      <c r="B30759" t="s">
        <v>2732</v>
      </c>
      <c r="C30759" s="26">
        <v>0.59140000000000004</v>
      </c>
      <c r="D30759" s="26">
        <v>0.24729999999999999</v>
      </c>
      <c r="E30759" s="26">
        <v>0.1183</v>
      </c>
      <c r="F30759" s="26">
        <v>3.2300000000000002E-2</v>
      </c>
      <c r="G30759" s="26">
        <v>1.0800000000000001E-2</v>
      </c>
      <c r="H30759">
        <v>93</v>
      </c>
    </row>
    <row r="30760" spans="1:9" x14ac:dyDescent="0.35">
      <c r="A30760" t="s">
        <v>228</v>
      </c>
      <c r="B30760" t="s">
        <v>2730</v>
      </c>
      <c r="C30760" s="26">
        <v>0.56710000000000005</v>
      </c>
      <c r="D30760" s="26">
        <v>0.23530000000000001</v>
      </c>
      <c r="E30760" s="26">
        <v>0.17879999999999999</v>
      </c>
      <c r="F30760" s="26">
        <v>1.72E-2</v>
      </c>
      <c r="G30760" s="26">
        <v>1.6000000000000001E-3</v>
      </c>
      <c r="H30760">
        <v>360</v>
      </c>
    </row>
    <row r="30761" spans="1:9" x14ac:dyDescent="0.35">
      <c r="A30761" t="s">
        <v>228</v>
      </c>
      <c r="B30761" t="s">
        <v>2731</v>
      </c>
      <c r="C30761" s="26">
        <v>0.71599999999999997</v>
      </c>
      <c r="D30761" s="26">
        <v>0.23100000000000001</v>
      </c>
      <c r="E30761" s="26">
        <v>3.5900000000000001E-2</v>
      </c>
      <c r="F30761" s="26">
        <v>1.01E-2</v>
      </c>
      <c r="G30761" s="26">
        <v>7.0000000000000001E-3</v>
      </c>
      <c r="H30761">
        <v>96</v>
      </c>
    </row>
    <row r="30762" spans="1:9" x14ac:dyDescent="0.35">
      <c r="A30762" t="s">
        <v>228</v>
      </c>
      <c r="B30762" t="s">
        <v>2732</v>
      </c>
      <c r="C30762" s="26">
        <v>0.59189999999999998</v>
      </c>
      <c r="D30762" s="26">
        <v>0.254</v>
      </c>
      <c r="E30762" s="26">
        <v>0.1323</v>
      </c>
      <c r="F30762" s="26">
        <v>1.9800000000000002E-2</v>
      </c>
      <c r="G30762" s="26">
        <v>2E-3</v>
      </c>
      <c r="H30762">
        <v>576</v>
      </c>
    </row>
    <row r="30763" spans="1:9" x14ac:dyDescent="0.35">
      <c r="A30763" t="s">
        <v>229</v>
      </c>
      <c r="B30763" t="s">
        <v>2730</v>
      </c>
      <c r="C30763" s="26">
        <v>0.48130000000000001</v>
      </c>
      <c r="D30763" s="26">
        <v>0.2646</v>
      </c>
      <c r="E30763" s="26">
        <v>0.22309999999999999</v>
      </c>
      <c r="F30763" s="26">
        <v>3.1E-2</v>
      </c>
      <c r="H30763">
        <v>302</v>
      </c>
    </row>
    <row r="30764" spans="1:9" x14ac:dyDescent="0.35">
      <c r="A30764" t="s">
        <v>229</v>
      </c>
      <c r="B30764" t="s">
        <v>2731</v>
      </c>
      <c r="C30764" s="26">
        <v>0.73329999999999995</v>
      </c>
      <c r="D30764" s="26">
        <v>0.2281</v>
      </c>
      <c r="E30764" s="26">
        <v>3.8600000000000002E-2</v>
      </c>
      <c r="H30764">
        <v>86</v>
      </c>
    </row>
    <row r="30765" spans="1:9" x14ac:dyDescent="0.35">
      <c r="A30765" t="s">
        <v>229</v>
      </c>
      <c r="B30765" t="s">
        <v>2732</v>
      </c>
      <c r="C30765" s="26">
        <v>0.60119999999999996</v>
      </c>
      <c r="D30765" s="26">
        <v>0.18640000000000001</v>
      </c>
      <c r="E30765" s="26">
        <v>0.17879999999999999</v>
      </c>
      <c r="F30765" s="26">
        <v>2.1700000000000001E-2</v>
      </c>
      <c r="G30765" s="26">
        <v>1.18E-2</v>
      </c>
      <c r="H30765">
        <v>507</v>
      </c>
    </row>
    <row r="30766" spans="1:9" x14ac:dyDescent="0.35">
      <c r="A30766" t="s">
        <v>230</v>
      </c>
      <c r="B30766" t="s">
        <v>2730</v>
      </c>
      <c r="C30766" s="26">
        <v>0.52129999999999999</v>
      </c>
      <c r="D30766" s="26">
        <v>0.25290000000000001</v>
      </c>
      <c r="E30766" s="26">
        <v>0.1628</v>
      </c>
      <c r="F30766" s="26">
        <v>6.0100000000000001E-2</v>
      </c>
      <c r="G30766" s="26">
        <v>2.8E-3</v>
      </c>
      <c r="H30766">
        <v>197</v>
      </c>
    </row>
    <row r="30767" spans="1:9" x14ac:dyDescent="0.35">
      <c r="A30767" t="s">
        <v>230</v>
      </c>
      <c r="B30767" t="s">
        <v>2731</v>
      </c>
      <c r="C30767" s="26">
        <v>0.70289999999999997</v>
      </c>
      <c r="D30767" s="26">
        <v>0.192</v>
      </c>
      <c r="E30767" s="26">
        <v>0.1051</v>
      </c>
      <c r="H30767">
        <v>50</v>
      </c>
    </row>
    <row r="30768" spans="1:9" x14ac:dyDescent="0.35">
      <c r="A30768" t="s">
        <v>230</v>
      </c>
      <c r="B30768" t="s">
        <v>2732</v>
      </c>
      <c r="C30768" s="26">
        <v>0.6421</v>
      </c>
      <c r="D30768" s="26">
        <v>0.24729999999999999</v>
      </c>
      <c r="E30768" s="26">
        <v>8.6800000000000002E-2</v>
      </c>
      <c r="F30768" s="26">
        <v>2.3699999999999999E-2</v>
      </c>
      <c r="H30768">
        <v>313</v>
      </c>
    </row>
    <row r="30769" spans="1:8" x14ac:dyDescent="0.35">
      <c r="A30769" t="s">
        <v>231</v>
      </c>
      <c r="B30769" t="s">
        <v>2730</v>
      </c>
      <c r="C30769" s="26">
        <v>0.54549999999999998</v>
      </c>
      <c r="D30769" s="26">
        <v>0.21820000000000001</v>
      </c>
      <c r="E30769" s="26">
        <v>0.21820000000000001</v>
      </c>
      <c r="F30769" s="26">
        <v>1.8200000000000001E-2</v>
      </c>
      <c r="H30769">
        <v>55</v>
      </c>
    </row>
    <row r="30770" spans="1:8" x14ac:dyDescent="0.35">
      <c r="A30770" s="27" t="s">
        <v>231</v>
      </c>
      <c r="B30770" s="27" t="s">
        <v>2731</v>
      </c>
      <c r="C30770" s="28">
        <v>0.47060000000000002</v>
      </c>
      <c r="D30770" s="28">
        <v>0.35289999999999999</v>
      </c>
      <c r="E30770" s="28">
        <v>0.17649999999999999</v>
      </c>
      <c r="F30770" s="29"/>
      <c r="G30770" s="29"/>
      <c r="H30770" s="29" t="s">
        <v>343</v>
      </c>
    </row>
    <row r="30771" spans="1:8" x14ac:dyDescent="0.35">
      <c r="A30771" t="s">
        <v>231</v>
      </c>
      <c r="B30771" t="s">
        <v>2732</v>
      </c>
      <c r="C30771" s="26">
        <v>0.57609999999999995</v>
      </c>
      <c r="D30771" s="26">
        <v>0.28260000000000002</v>
      </c>
      <c r="E30771" s="26">
        <v>0.1196</v>
      </c>
      <c r="F30771" s="26">
        <v>1.09E-2</v>
      </c>
      <c r="G30771" s="26">
        <v>1.09E-2</v>
      </c>
      <c r="H30771">
        <v>92</v>
      </c>
    </row>
    <row r="30772" spans="1:8" x14ac:dyDescent="0.35">
      <c r="A30772" t="s">
        <v>232</v>
      </c>
      <c r="B30772" t="s">
        <v>232</v>
      </c>
      <c r="C30772" s="26">
        <v>0.57640000000000002</v>
      </c>
      <c r="D30772" s="26">
        <v>0.24590000000000001</v>
      </c>
      <c r="E30772" s="26">
        <v>0.1522</v>
      </c>
      <c r="F30772" s="26">
        <v>2.0199999999999999E-2</v>
      </c>
      <c r="G30772" s="26">
        <v>5.3E-3</v>
      </c>
      <c r="H30772">
        <v>2812</v>
      </c>
    </row>
    <row r="30774" spans="1:8" x14ac:dyDescent="0.35">
      <c r="A30774" s="1" t="s">
        <v>2743</v>
      </c>
    </row>
    <row r="30775" spans="1:8" x14ac:dyDescent="0.35">
      <c r="A30775" t="s">
        <v>219</v>
      </c>
      <c r="B30775" t="s">
        <v>305</v>
      </c>
      <c r="C30775" t="s">
        <v>681</v>
      </c>
      <c r="D30775" t="s">
        <v>682</v>
      </c>
      <c r="E30775" t="s">
        <v>683</v>
      </c>
      <c r="F30775" t="s">
        <v>684</v>
      </c>
      <c r="G30775" t="s">
        <v>281</v>
      </c>
      <c r="H30775" t="s">
        <v>226</v>
      </c>
    </row>
    <row r="30776" spans="1:8" x14ac:dyDescent="0.35">
      <c r="A30776" t="s">
        <v>227</v>
      </c>
      <c r="B30776" t="s">
        <v>2730</v>
      </c>
      <c r="C30776" s="26">
        <v>0.61699999999999999</v>
      </c>
      <c r="D30776" s="26">
        <v>0.2979</v>
      </c>
      <c r="E30776" s="26">
        <v>6.3799999999999996E-2</v>
      </c>
      <c r="F30776" s="26">
        <v>2.1299999999999999E-2</v>
      </c>
      <c r="H30776">
        <v>47</v>
      </c>
    </row>
    <row r="30777" spans="1:8" x14ac:dyDescent="0.35">
      <c r="A30777" s="27" t="s">
        <v>227</v>
      </c>
      <c r="B30777" s="27" t="s">
        <v>2731</v>
      </c>
      <c r="C30777" s="28">
        <v>0.66669999999999996</v>
      </c>
      <c r="D30777" s="28">
        <v>0.33329999999999999</v>
      </c>
      <c r="E30777" s="29"/>
      <c r="F30777" s="29"/>
      <c r="G30777" s="29"/>
      <c r="H30777" s="29" t="s">
        <v>351</v>
      </c>
    </row>
    <row r="30778" spans="1:8" x14ac:dyDescent="0.35">
      <c r="A30778" t="s">
        <v>227</v>
      </c>
      <c r="B30778" t="s">
        <v>2732</v>
      </c>
      <c r="C30778" s="26">
        <v>0.69889999999999997</v>
      </c>
      <c r="D30778" s="26">
        <v>0.2258</v>
      </c>
      <c r="E30778" s="26">
        <v>5.3800000000000001E-2</v>
      </c>
      <c r="F30778" s="26">
        <v>2.1499999999999998E-2</v>
      </c>
      <c r="H30778">
        <v>93</v>
      </c>
    </row>
    <row r="30779" spans="1:8" x14ac:dyDescent="0.35">
      <c r="A30779" t="s">
        <v>228</v>
      </c>
      <c r="B30779" t="s">
        <v>2730</v>
      </c>
      <c r="C30779" s="26">
        <v>0.60870000000000002</v>
      </c>
      <c r="D30779" s="26">
        <v>0.30570000000000003</v>
      </c>
      <c r="E30779" s="26">
        <v>7.8E-2</v>
      </c>
      <c r="F30779" s="26">
        <v>6.0000000000000001E-3</v>
      </c>
      <c r="G30779" s="26">
        <v>1.6000000000000001E-3</v>
      </c>
      <c r="H30779">
        <v>360</v>
      </c>
    </row>
    <row r="30780" spans="1:8" x14ac:dyDescent="0.35">
      <c r="A30780" t="s">
        <v>228</v>
      </c>
      <c r="B30780" t="s">
        <v>2731</v>
      </c>
      <c r="C30780" s="26">
        <v>0.82689999999999997</v>
      </c>
      <c r="D30780" s="26">
        <v>0.153</v>
      </c>
      <c r="E30780" s="26">
        <v>2.01E-2</v>
      </c>
      <c r="H30780">
        <v>96</v>
      </c>
    </row>
    <row r="30781" spans="1:8" x14ac:dyDescent="0.35">
      <c r="A30781" t="s">
        <v>228</v>
      </c>
      <c r="B30781" t="s">
        <v>2732</v>
      </c>
      <c r="C30781" s="26">
        <v>0.61439999999999995</v>
      </c>
      <c r="D30781" s="26">
        <v>0.30220000000000002</v>
      </c>
      <c r="E30781" s="26">
        <v>7.3800000000000004E-2</v>
      </c>
      <c r="F30781" s="26">
        <v>1E-3</v>
      </c>
      <c r="G30781" s="26">
        <v>8.6E-3</v>
      </c>
      <c r="H30781">
        <v>576</v>
      </c>
    </row>
    <row r="30782" spans="1:8" x14ac:dyDescent="0.35">
      <c r="A30782" t="s">
        <v>229</v>
      </c>
      <c r="B30782" t="s">
        <v>2730</v>
      </c>
      <c r="C30782" s="26">
        <v>0.51400000000000001</v>
      </c>
      <c r="D30782" s="26">
        <v>0.38590000000000002</v>
      </c>
      <c r="E30782" s="26">
        <v>8.8800000000000004E-2</v>
      </c>
      <c r="F30782" s="26">
        <v>1.1299999999999999E-2</v>
      </c>
      <c r="H30782">
        <v>302</v>
      </c>
    </row>
    <row r="30783" spans="1:8" x14ac:dyDescent="0.35">
      <c r="A30783" t="s">
        <v>229</v>
      </c>
      <c r="B30783" t="s">
        <v>2731</v>
      </c>
      <c r="C30783" s="26">
        <v>0.58099999999999996</v>
      </c>
      <c r="D30783" s="26">
        <v>0.34789999999999999</v>
      </c>
      <c r="E30783" s="26">
        <v>7.1099999999999997E-2</v>
      </c>
      <c r="H30783">
        <v>86</v>
      </c>
    </row>
    <row r="30784" spans="1:8" x14ac:dyDescent="0.35">
      <c r="A30784" t="s">
        <v>229</v>
      </c>
      <c r="B30784" t="s">
        <v>2732</v>
      </c>
      <c r="C30784" s="26">
        <v>0.59599999999999997</v>
      </c>
      <c r="D30784" s="26">
        <v>0.31380000000000002</v>
      </c>
      <c r="E30784" s="26">
        <v>7.2800000000000004E-2</v>
      </c>
      <c r="F30784" s="26">
        <v>9.5999999999999992E-3</v>
      </c>
      <c r="G30784" s="26">
        <v>7.7999999999999996E-3</v>
      </c>
      <c r="H30784">
        <v>507</v>
      </c>
    </row>
    <row r="30785" spans="1:9" x14ac:dyDescent="0.35">
      <c r="A30785" t="s">
        <v>230</v>
      </c>
      <c r="B30785" t="s">
        <v>2730</v>
      </c>
      <c r="C30785" s="26">
        <v>0.55710000000000004</v>
      </c>
      <c r="D30785" s="26">
        <v>0.38740000000000002</v>
      </c>
      <c r="E30785" s="26">
        <v>5.2600000000000001E-2</v>
      </c>
      <c r="F30785" s="26">
        <v>2.8999999999999998E-3</v>
      </c>
      <c r="H30785">
        <v>197</v>
      </c>
    </row>
    <row r="30786" spans="1:9" x14ac:dyDescent="0.35">
      <c r="A30786" t="s">
        <v>230</v>
      </c>
      <c r="B30786" t="s">
        <v>2731</v>
      </c>
      <c r="C30786" s="26">
        <v>0.86460000000000004</v>
      </c>
      <c r="D30786" s="26">
        <v>0.1239</v>
      </c>
      <c r="G30786" s="26">
        <v>1.15E-2</v>
      </c>
      <c r="H30786">
        <v>50</v>
      </c>
    </row>
    <row r="30787" spans="1:9" x14ac:dyDescent="0.35">
      <c r="A30787" t="s">
        <v>230</v>
      </c>
      <c r="B30787" t="s">
        <v>2732</v>
      </c>
      <c r="C30787" s="26">
        <v>0.63380000000000003</v>
      </c>
      <c r="D30787" s="26">
        <v>0.3155</v>
      </c>
      <c r="E30787" s="26">
        <v>3.8399999999999997E-2</v>
      </c>
      <c r="F30787" s="26">
        <v>1.0800000000000001E-2</v>
      </c>
      <c r="G30787" s="26">
        <v>1.5E-3</v>
      </c>
      <c r="H30787">
        <v>313</v>
      </c>
    </row>
    <row r="30788" spans="1:9" x14ac:dyDescent="0.35">
      <c r="A30788" t="s">
        <v>231</v>
      </c>
      <c r="B30788" t="s">
        <v>2730</v>
      </c>
      <c r="C30788" s="26">
        <v>0.56359999999999999</v>
      </c>
      <c r="D30788" s="26">
        <v>0.34549999999999997</v>
      </c>
      <c r="E30788" s="26">
        <v>7.2700000000000001E-2</v>
      </c>
      <c r="G30788" s="26">
        <v>1.8200000000000001E-2</v>
      </c>
      <c r="H30788">
        <v>55</v>
      </c>
    </row>
    <row r="30789" spans="1:9" x14ac:dyDescent="0.35">
      <c r="A30789" s="27" t="s">
        <v>231</v>
      </c>
      <c r="B30789" s="27" t="s">
        <v>2731</v>
      </c>
      <c r="C30789" s="28">
        <v>0.76470000000000005</v>
      </c>
      <c r="D30789" s="28">
        <v>0.23530000000000001</v>
      </c>
      <c r="E30789" s="29"/>
      <c r="F30789" s="29"/>
      <c r="G30789" s="29"/>
      <c r="H30789" s="29" t="s">
        <v>343</v>
      </c>
    </row>
    <row r="30790" spans="1:9" x14ac:dyDescent="0.35">
      <c r="A30790" t="s">
        <v>231</v>
      </c>
      <c r="B30790" t="s">
        <v>2732</v>
      </c>
      <c r="C30790" s="26">
        <v>0.67390000000000005</v>
      </c>
      <c r="D30790" s="26">
        <v>0.2717</v>
      </c>
      <c r="E30790" s="26">
        <v>3.2599999999999997E-2</v>
      </c>
      <c r="F30790" s="26">
        <v>2.1700000000000001E-2</v>
      </c>
      <c r="H30790">
        <v>92</v>
      </c>
    </row>
    <row r="30791" spans="1:9" x14ac:dyDescent="0.35">
      <c r="A30791" t="s">
        <v>232</v>
      </c>
      <c r="B30791" t="s">
        <v>232</v>
      </c>
      <c r="C30791" s="26">
        <v>0.62329999999999997</v>
      </c>
      <c r="D30791" s="26">
        <v>0.30359999999999998</v>
      </c>
      <c r="E30791" s="26">
        <v>5.8700000000000002E-2</v>
      </c>
      <c r="F30791" s="26">
        <v>0.01</v>
      </c>
      <c r="G30791" s="26">
        <v>4.4000000000000003E-3</v>
      </c>
      <c r="H30791">
        <v>2812</v>
      </c>
    </row>
    <row r="30793" spans="1:9" x14ac:dyDescent="0.35">
      <c r="A30793" s="1" t="s">
        <v>2744</v>
      </c>
    </row>
    <row r="30794" spans="1:9" x14ac:dyDescent="0.35">
      <c r="A30794" t="s">
        <v>219</v>
      </c>
      <c r="B30794" t="s">
        <v>305</v>
      </c>
      <c r="C30794" t="s">
        <v>681</v>
      </c>
      <c r="D30794" t="s">
        <v>682</v>
      </c>
      <c r="E30794" t="s">
        <v>683</v>
      </c>
      <c r="F30794" t="s">
        <v>684</v>
      </c>
      <c r="G30794" t="s">
        <v>281</v>
      </c>
      <c r="H30794" t="s">
        <v>286</v>
      </c>
      <c r="I30794" t="s">
        <v>226</v>
      </c>
    </row>
    <row r="30795" spans="1:9" x14ac:dyDescent="0.35">
      <c r="A30795" t="s">
        <v>227</v>
      </c>
      <c r="B30795" t="s">
        <v>2730</v>
      </c>
      <c r="C30795" s="26">
        <v>0.89359999999999995</v>
      </c>
      <c r="D30795" s="26">
        <v>8.5099999999999995E-2</v>
      </c>
      <c r="E30795" s="26">
        <v>2.1299999999999999E-2</v>
      </c>
      <c r="I30795">
        <v>47</v>
      </c>
    </row>
    <row r="30796" spans="1:9" x14ac:dyDescent="0.35">
      <c r="A30796" s="27" t="s">
        <v>227</v>
      </c>
      <c r="B30796" s="27" t="s">
        <v>2731</v>
      </c>
      <c r="C30796" s="28">
        <v>0.95240000000000002</v>
      </c>
      <c r="D30796" s="29"/>
      <c r="E30796" s="28">
        <v>4.7600000000000003E-2</v>
      </c>
      <c r="F30796" s="29"/>
      <c r="G30796" s="29"/>
      <c r="H30796" s="29"/>
      <c r="I30796" s="29" t="s">
        <v>351</v>
      </c>
    </row>
    <row r="30797" spans="1:9" x14ac:dyDescent="0.35">
      <c r="A30797" t="s">
        <v>227</v>
      </c>
      <c r="B30797" t="s">
        <v>2732</v>
      </c>
      <c r="C30797" s="26">
        <v>0.8387</v>
      </c>
      <c r="D30797" s="26">
        <v>7.5300000000000006E-2</v>
      </c>
      <c r="E30797" s="26">
        <v>3.2300000000000002E-2</v>
      </c>
      <c r="F30797" s="26">
        <v>4.2999999999999997E-2</v>
      </c>
      <c r="G30797" s="26">
        <v>1.0800000000000001E-2</v>
      </c>
      <c r="I30797">
        <v>93</v>
      </c>
    </row>
    <row r="30798" spans="1:9" x14ac:dyDescent="0.35">
      <c r="A30798" t="s">
        <v>228</v>
      </c>
      <c r="B30798" t="s">
        <v>2730</v>
      </c>
      <c r="C30798" s="26">
        <v>0.86319999999999997</v>
      </c>
      <c r="D30798" s="26">
        <v>0.1024</v>
      </c>
      <c r="E30798" s="26">
        <v>2.5899999999999999E-2</v>
      </c>
      <c r="F30798" s="26">
        <v>8.5000000000000006E-3</v>
      </c>
      <c r="I30798">
        <v>360</v>
      </c>
    </row>
    <row r="30799" spans="1:9" x14ac:dyDescent="0.35">
      <c r="A30799" t="s">
        <v>228</v>
      </c>
      <c r="B30799" t="s">
        <v>2731</v>
      </c>
      <c r="C30799" s="26">
        <v>0.97089999999999999</v>
      </c>
      <c r="D30799" s="26">
        <v>1.6E-2</v>
      </c>
      <c r="E30799" s="26">
        <v>1.01E-2</v>
      </c>
      <c r="F30799" s="26">
        <v>3.0999999999999999E-3</v>
      </c>
      <c r="I30799">
        <v>96</v>
      </c>
    </row>
    <row r="30800" spans="1:9" x14ac:dyDescent="0.35">
      <c r="A30800" t="s">
        <v>228</v>
      </c>
      <c r="B30800" t="s">
        <v>2732</v>
      </c>
      <c r="C30800" s="26">
        <v>0.83879999999999999</v>
      </c>
      <c r="D30800" s="26">
        <v>0.10100000000000001</v>
      </c>
      <c r="E30800" s="26">
        <v>5.3999999999999999E-2</v>
      </c>
      <c r="F30800" s="26">
        <v>6.1999999999999998E-3</v>
      </c>
      <c r="I30800">
        <v>576</v>
      </c>
    </row>
    <row r="30801" spans="1:9" x14ac:dyDescent="0.35">
      <c r="A30801" t="s">
        <v>229</v>
      </c>
      <c r="B30801" t="s">
        <v>2730</v>
      </c>
      <c r="C30801" s="26">
        <v>0.80769999999999997</v>
      </c>
      <c r="D30801" s="26">
        <v>9.7699999999999995E-2</v>
      </c>
      <c r="E30801" s="26">
        <v>6.6000000000000003E-2</v>
      </c>
      <c r="F30801" s="26">
        <v>1.9699999999999999E-2</v>
      </c>
      <c r="H30801" s="26">
        <v>8.9999999999999993E-3</v>
      </c>
      <c r="I30801">
        <v>302</v>
      </c>
    </row>
    <row r="30802" spans="1:9" x14ac:dyDescent="0.35">
      <c r="A30802" t="s">
        <v>229</v>
      </c>
      <c r="B30802" t="s">
        <v>2731</v>
      </c>
      <c r="C30802" s="26">
        <v>0.96020000000000005</v>
      </c>
      <c r="D30802" s="26">
        <v>3.9800000000000002E-2</v>
      </c>
      <c r="I30802">
        <v>86</v>
      </c>
    </row>
    <row r="30803" spans="1:9" x14ac:dyDescent="0.35">
      <c r="A30803" t="s">
        <v>229</v>
      </c>
      <c r="B30803" t="s">
        <v>2732</v>
      </c>
      <c r="C30803" s="26">
        <v>0.81530000000000002</v>
      </c>
      <c r="D30803" s="26">
        <v>0.1052</v>
      </c>
      <c r="E30803" s="26">
        <v>5.6000000000000001E-2</v>
      </c>
      <c r="F30803" s="26">
        <v>2.3300000000000001E-2</v>
      </c>
      <c r="G30803" s="26">
        <v>2.9999999999999997E-4</v>
      </c>
      <c r="I30803">
        <v>507</v>
      </c>
    </row>
    <row r="30804" spans="1:9" x14ac:dyDescent="0.35">
      <c r="A30804" t="s">
        <v>230</v>
      </c>
      <c r="B30804" t="s">
        <v>2730</v>
      </c>
      <c r="C30804" s="26">
        <v>0.79620000000000002</v>
      </c>
      <c r="D30804" s="26">
        <v>0.1061</v>
      </c>
      <c r="E30804" s="26">
        <v>7.7899999999999997E-2</v>
      </c>
      <c r="F30804" s="26">
        <v>1.9800000000000002E-2</v>
      </c>
      <c r="I30804">
        <v>197</v>
      </c>
    </row>
    <row r="30805" spans="1:9" x14ac:dyDescent="0.35">
      <c r="A30805" t="s">
        <v>230</v>
      </c>
      <c r="B30805" t="s">
        <v>2731</v>
      </c>
      <c r="C30805" s="26">
        <v>0.94940000000000002</v>
      </c>
      <c r="D30805" s="26">
        <v>1.5299999999999999E-2</v>
      </c>
      <c r="E30805" s="26">
        <v>3.5299999999999998E-2</v>
      </c>
      <c r="I30805">
        <v>50</v>
      </c>
    </row>
    <row r="30806" spans="1:9" x14ac:dyDescent="0.35">
      <c r="A30806" t="s">
        <v>230</v>
      </c>
      <c r="B30806" t="s">
        <v>2732</v>
      </c>
      <c r="C30806" s="26">
        <v>0.86850000000000005</v>
      </c>
      <c r="D30806" s="26">
        <v>9.6100000000000005E-2</v>
      </c>
      <c r="E30806" s="26">
        <v>2.2599999999999999E-2</v>
      </c>
      <c r="F30806" s="26">
        <v>1.2800000000000001E-2</v>
      </c>
      <c r="I30806">
        <v>313</v>
      </c>
    </row>
    <row r="30807" spans="1:9" x14ac:dyDescent="0.35">
      <c r="A30807" t="s">
        <v>231</v>
      </c>
      <c r="B30807" t="s">
        <v>2730</v>
      </c>
      <c r="C30807" s="26">
        <v>0.81820000000000004</v>
      </c>
      <c r="D30807" s="26">
        <v>0.1273</v>
      </c>
      <c r="E30807" s="26">
        <v>3.6400000000000002E-2</v>
      </c>
      <c r="G30807" s="26">
        <v>1.8200000000000001E-2</v>
      </c>
      <c r="I30807">
        <v>55</v>
      </c>
    </row>
    <row r="30808" spans="1:9" x14ac:dyDescent="0.35">
      <c r="A30808" s="27" t="s">
        <v>231</v>
      </c>
      <c r="B30808" s="27" t="s">
        <v>2731</v>
      </c>
      <c r="C30808" s="28">
        <v>0.88239999999999996</v>
      </c>
      <c r="D30808" s="29"/>
      <c r="E30808" s="28">
        <v>0.1176</v>
      </c>
      <c r="F30808" s="29"/>
      <c r="G30808" s="29"/>
      <c r="H30808" s="29"/>
      <c r="I30808" s="29" t="s">
        <v>343</v>
      </c>
    </row>
    <row r="30809" spans="1:9" x14ac:dyDescent="0.35">
      <c r="A30809" t="s">
        <v>231</v>
      </c>
      <c r="B30809" t="s">
        <v>2732</v>
      </c>
      <c r="C30809" s="26">
        <v>0.89129999999999998</v>
      </c>
      <c r="D30809" s="26">
        <v>6.5199999999999994E-2</v>
      </c>
      <c r="E30809" s="26">
        <v>2.1700000000000001E-2</v>
      </c>
      <c r="F30809" s="26">
        <v>2.1700000000000001E-2</v>
      </c>
      <c r="I30809">
        <v>92</v>
      </c>
    </row>
    <row r="30810" spans="1:9" x14ac:dyDescent="0.35">
      <c r="A30810" t="s">
        <v>232</v>
      </c>
      <c r="B30810" t="s">
        <v>232</v>
      </c>
      <c r="C30810" s="26">
        <v>0.85119999999999996</v>
      </c>
      <c r="D30810" s="26">
        <v>8.7800000000000003E-2</v>
      </c>
      <c r="E30810" s="26">
        <v>4.2099999999999999E-2</v>
      </c>
      <c r="F30810" s="26">
        <v>1.55E-2</v>
      </c>
      <c r="G30810" s="26">
        <v>2.7000000000000001E-3</v>
      </c>
      <c r="H30810" s="26">
        <v>6.9999999999999999E-4</v>
      </c>
      <c r="I30810">
        <v>2812</v>
      </c>
    </row>
    <row r="30812" spans="1:9" x14ac:dyDescent="0.35">
      <c r="A30812" s="1" t="s">
        <v>2745</v>
      </c>
    </row>
    <row r="30813" spans="1:9" x14ac:dyDescent="0.35">
      <c r="A30813" t="s">
        <v>219</v>
      </c>
      <c r="B30813" t="s">
        <v>305</v>
      </c>
      <c r="C30813" t="s">
        <v>681</v>
      </c>
      <c r="D30813" t="s">
        <v>682</v>
      </c>
      <c r="E30813" t="s">
        <v>683</v>
      </c>
      <c r="F30813" t="s">
        <v>684</v>
      </c>
      <c r="G30813" t="s">
        <v>281</v>
      </c>
      <c r="H30813" t="s">
        <v>226</v>
      </c>
    </row>
    <row r="30814" spans="1:9" x14ac:dyDescent="0.35">
      <c r="A30814" t="s">
        <v>227</v>
      </c>
      <c r="B30814" t="s">
        <v>2730</v>
      </c>
      <c r="C30814" s="26">
        <v>0.93620000000000003</v>
      </c>
      <c r="D30814" s="26">
        <v>4.2599999999999999E-2</v>
      </c>
      <c r="E30814" s="26">
        <v>2.1299999999999999E-2</v>
      </c>
      <c r="H30814">
        <v>47</v>
      </c>
    </row>
    <row r="30815" spans="1:9" x14ac:dyDescent="0.35">
      <c r="A30815" s="27" t="s">
        <v>227</v>
      </c>
      <c r="B30815" s="27" t="s">
        <v>2731</v>
      </c>
      <c r="C30815" s="28">
        <v>0.8095</v>
      </c>
      <c r="D30815" s="28">
        <v>0.1429</v>
      </c>
      <c r="E30815" s="28">
        <v>4.7600000000000003E-2</v>
      </c>
      <c r="F30815" s="29"/>
      <c r="G30815" s="29"/>
      <c r="H30815" s="29" t="s">
        <v>351</v>
      </c>
    </row>
    <row r="30816" spans="1:9" x14ac:dyDescent="0.35">
      <c r="A30816" t="s">
        <v>227</v>
      </c>
      <c r="B30816" t="s">
        <v>2732</v>
      </c>
      <c r="C30816" s="26">
        <v>0.84950000000000003</v>
      </c>
      <c r="D30816" s="26">
        <v>9.6799999999999997E-2</v>
      </c>
      <c r="E30816" s="26">
        <v>3.2300000000000002E-2</v>
      </c>
      <c r="F30816" s="26">
        <v>2.1499999999999998E-2</v>
      </c>
      <c r="H30816">
        <v>93</v>
      </c>
    </row>
    <row r="30817" spans="1:8" x14ac:dyDescent="0.35">
      <c r="A30817" t="s">
        <v>228</v>
      </c>
      <c r="B30817" t="s">
        <v>2730</v>
      </c>
      <c r="C30817" s="26">
        <v>0.89570000000000005</v>
      </c>
      <c r="D30817" s="26">
        <v>9.0700000000000003E-2</v>
      </c>
      <c r="E30817" s="26">
        <v>1.1599999999999999E-2</v>
      </c>
      <c r="F30817" s="26">
        <v>1.1999999999999999E-3</v>
      </c>
      <c r="G30817" s="26">
        <v>6.9999999999999999E-4</v>
      </c>
      <c r="H30817">
        <v>360</v>
      </c>
    </row>
    <row r="30818" spans="1:8" x14ac:dyDescent="0.35">
      <c r="A30818" t="s">
        <v>228</v>
      </c>
      <c r="B30818" t="s">
        <v>2731</v>
      </c>
      <c r="C30818" s="26">
        <v>0.89839999999999998</v>
      </c>
      <c r="D30818" s="26">
        <v>9.4600000000000004E-2</v>
      </c>
      <c r="F30818" s="26">
        <v>7.0000000000000001E-3</v>
      </c>
      <c r="H30818">
        <v>96</v>
      </c>
    </row>
    <row r="30819" spans="1:8" x14ac:dyDescent="0.35">
      <c r="A30819" t="s">
        <v>228</v>
      </c>
      <c r="B30819" t="s">
        <v>2732</v>
      </c>
      <c r="C30819" s="26">
        <v>0.85980000000000001</v>
      </c>
      <c r="D30819" s="26">
        <v>8.9499999999999996E-2</v>
      </c>
      <c r="E30819" s="26">
        <v>4.1099999999999998E-2</v>
      </c>
      <c r="F30819" s="26">
        <v>2.5999999999999999E-3</v>
      </c>
      <c r="G30819" s="26">
        <v>7.0000000000000001E-3</v>
      </c>
      <c r="H30819">
        <v>576</v>
      </c>
    </row>
    <row r="30820" spans="1:8" x14ac:dyDescent="0.35">
      <c r="A30820" t="s">
        <v>229</v>
      </c>
      <c r="B30820" t="s">
        <v>2730</v>
      </c>
      <c r="C30820" s="26">
        <v>0.84719999999999995</v>
      </c>
      <c r="D30820" s="26">
        <v>0.10580000000000001</v>
      </c>
      <c r="E30820" s="26">
        <v>4.2299999999999997E-2</v>
      </c>
      <c r="F30820" s="26">
        <v>2.3999999999999998E-3</v>
      </c>
      <c r="G30820" s="26">
        <v>2.3999999999999998E-3</v>
      </c>
      <c r="H30820">
        <v>302</v>
      </c>
    </row>
    <row r="30821" spans="1:8" x14ac:dyDescent="0.35">
      <c r="A30821" t="s">
        <v>229</v>
      </c>
      <c r="B30821" t="s">
        <v>2731</v>
      </c>
      <c r="C30821" s="26">
        <v>0.86370000000000002</v>
      </c>
      <c r="D30821" s="26">
        <v>0.13420000000000001</v>
      </c>
      <c r="G30821" s="26">
        <v>2.0999999999999999E-3</v>
      </c>
      <c r="H30821">
        <v>86</v>
      </c>
    </row>
    <row r="30822" spans="1:8" x14ac:dyDescent="0.35">
      <c r="A30822" t="s">
        <v>229</v>
      </c>
      <c r="B30822" t="s">
        <v>2732</v>
      </c>
      <c r="C30822" s="26">
        <v>0.83409999999999995</v>
      </c>
      <c r="D30822" s="26">
        <v>0.11899999999999999</v>
      </c>
      <c r="E30822" s="26">
        <v>4.1700000000000001E-2</v>
      </c>
      <c r="F30822" s="26">
        <v>4.7000000000000002E-3</v>
      </c>
      <c r="G30822" s="26">
        <v>5.0000000000000001E-4</v>
      </c>
      <c r="H30822">
        <v>507</v>
      </c>
    </row>
    <row r="30823" spans="1:8" x14ac:dyDescent="0.35">
      <c r="A30823" t="s">
        <v>230</v>
      </c>
      <c r="B30823" t="s">
        <v>2730</v>
      </c>
      <c r="C30823" s="26">
        <v>0.83179999999999998</v>
      </c>
      <c r="D30823" s="26">
        <v>0.1484</v>
      </c>
      <c r="E30823" s="26">
        <v>1.7000000000000001E-2</v>
      </c>
      <c r="F30823" s="26">
        <v>2.8999999999999998E-3</v>
      </c>
      <c r="H30823">
        <v>197</v>
      </c>
    </row>
    <row r="30824" spans="1:8" x14ac:dyDescent="0.35">
      <c r="A30824" t="s">
        <v>230</v>
      </c>
      <c r="B30824" t="s">
        <v>2731</v>
      </c>
      <c r="C30824" s="26">
        <v>0.8881</v>
      </c>
      <c r="D30824" s="26">
        <v>8.5099999999999995E-2</v>
      </c>
      <c r="F30824" s="26">
        <v>2.3300000000000001E-2</v>
      </c>
      <c r="G30824" s="26">
        <v>3.5000000000000001E-3</v>
      </c>
      <c r="H30824">
        <v>50</v>
      </c>
    </row>
    <row r="30825" spans="1:8" x14ac:dyDescent="0.35">
      <c r="A30825" t="s">
        <v>230</v>
      </c>
      <c r="B30825" t="s">
        <v>2732</v>
      </c>
      <c r="C30825" s="26">
        <v>0.84960000000000002</v>
      </c>
      <c r="D30825" s="26">
        <v>0.1144</v>
      </c>
      <c r="E30825" s="26">
        <v>1.67E-2</v>
      </c>
      <c r="F30825" s="26">
        <v>1.9199999999999998E-2</v>
      </c>
      <c r="H30825">
        <v>313</v>
      </c>
    </row>
    <row r="30826" spans="1:8" x14ac:dyDescent="0.35">
      <c r="A30826" t="s">
        <v>231</v>
      </c>
      <c r="B30826" t="s">
        <v>2730</v>
      </c>
      <c r="C30826" s="26">
        <v>0.94550000000000001</v>
      </c>
      <c r="D30826" s="26">
        <v>3.6400000000000002E-2</v>
      </c>
      <c r="E30826" s="26">
        <v>1.8200000000000001E-2</v>
      </c>
      <c r="H30826">
        <v>55</v>
      </c>
    </row>
    <row r="30827" spans="1:8" x14ac:dyDescent="0.35">
      <c r="A30827" s="27" t="s">
        <v>231</v>
      </c>
      <c r="B30827" s="27" t="s">
        <v>2731</v>
      </c>
      <c r="C30827" s="28">
        <v>1</v>
      </c>
      <c r="D30827" s="29"/>
      <c r="E30827" s="29"/>
      <c r="F30827" s="29"/>
      <c r="G30827" s="29"/>
      <c r="H30827" s="29" t="s">
        <v>343</v>
      </c>
    </row>
    <row r="30828" spans="1:8" x14ac:dyDescent="0.35">
      <c r="A30828" t="s">
        <v>231</v>
      </c>
      <c r="B30828" t="s">
        <v>2732</v>
      </c>
      <c r="C30828" s="26">
        <v>0.86960000000000004</v>
      </c>
      <c r="D30828" s="26">
        <v>8.6999999999999994E-2</v>
      </c>
      <c r="E30828" s="26">
        <v>2.1700000000000001E-2</v>
      </c>
      <c r="F30828" s="26">
        <v>2.1700000000000001E-2</v>
      </c>
      <c r="H30828">
        <v>92</v>
      </c>
    </row>
    <row r="30829" spans="1:8" x14ac:dyDescent="0.35">
      <c r="A30829" t="s">
        <v>232</v>
      </c>
      <c r="B30829" t="s">
        <v>232</v>
      </c>
      <c r="C30829" s="26">
        <v>0.87080000000000002</v>
      </c>
      <c r="D30829" s="26">
        <v>9.2299999999999993E-2</v>
      </c>
      <c r="E30829" s="26">
        <v>2.76E-2</v>
      </c>
      <c r="F30829" s="26">
        <v>8.0999999999999996E-3</v>
      </c>
      <c r="G30829" s="26">
        <v>1.1999999999999999E-3</v>
      </c>
      <c r="H30829">
        <v>2812</v>
      </c>
    </row>
    <row r="30831" spans="1:8" x14ac:dyDescent="0.35">
      <c r="A30831" s="1" t="s">
        <v>2746</v>
      </c>
    </row>
    <row r="30832" spans="1:8" x14ac:dyDescent="0.35">
      <c r="A30832" t="s">
        <v>219</v>
      </c>
      <c r="B30832" t="s">
        <v>305</v>
      </c>
      <c r="C30832" t="s">
        <v>303</v>
      </c>
      <c r="D30832" t="s">
        <v>302</v>
      </c>
      <c r="E30832" t="s">
        <v>281</v>
      </c>
      <c r="F30832" t="s">
        <v>226</v>
      </c>
    </row>
    <row r="30833" spans="1:6" x14ac:dyDescent="0.35">
      <c r="A30833" s="27" t="s">
        <v>227</v>
      </c>
      <c r="B30833" s="27" t="s">
        <v>2730</v>
      </c>
      <c r="C30833" s="28">
        <v>0.83330000000000004</v>
      </c>
      <c r="D30833" s="28">
        <v>0.16669999999999999</v>
      </c>
      <c r="E30833" s="29"/>
      <c r="F30833" s="29" t="s">
        <v>335</v>
      </c>
    </row>
    <row r="30834" spans="1:6" x14ac:dyDescent="0.35">
      <c r="A30834" t="s">
        <v>227</v>
      </c>
      <c r="B30834" t="s">
        <v>2732</v>
      </c>
      <c r="C30834" s="26">
        <v>0.8649</v>
      </c>
      <c r="D30834" s="26">
        <v>0.1351</v>
      </c>
      <c r="F30834">
        <v>37</v>
      </c>
    </row>
    <row r="30835" spans="1:6" x14ac:dyDescent="0.35">
      <c r="A30835" t="s">
        <v>228</v>
      </c>
      <c r="B30835" t="s">
        <v>2730</v>
      </c>
      <c r="C30835" s="26">
        <v>0.69540000000000002</v>
      </c>
      <c r="D30835" s="26">
        <v>0.2903</v>
      </c>
      <c r="E30835" s="26">
        <v>1.43E-2</v>
      </c>
      <c r="F30835">
        <v>53</v>
      </c>
    </row>
    <row r="30836" spans="1:6" x14ac:dyDescent="0.35">
      <c r="A30836" s="27" t="s">
        <v>228</v>
      </c>
      <c r="B30836" s="27" t="s">
        <v>2731</v>
      </c>
      <c r="C30836" s="28">
        <v>0.21959999999999999</v>
      </c>
      <c r="D30836" s="28">
        <v>0.78039999999999998</v>
      </c>
      <c r="E30836" s="29"/>
      <c r="F30836" s="29" t="s">
        <v>315</v>
      </c>
    </row>
    <row r="30837" spans="1:6" x14ac:dyDescent="0.35">
      <c r="A30837" t="s">
        <v>228</v>
      </c>
      <c r="B30837" t="s">
        <v>2732</v>
      </c>
      <c r="C30837" s="26">
        <v>0.74060000000000004</v>
      </c>
      <c r="D30837" s="26">
        <v>0.2535</v>
      </c>
      <c r="E30837" s="26">
        <v>5.8999999999999999E-3</v>
      </c>
      <c r="F30837">
        <v>177</v>
      </c>
    </row>
    <row r="30838" spans="1:6" x14ac:dyDescent="0.35">
      <c r="A30838" t="s">
        <v>229</v>
      </c>
      <c r="B30838" t="s">
        <v>2730</v>
      </c>
      <c r="C30838" s="26">
        <v>0.92510000000000003</v>
      </c>
      <c r="D30838" s="26">
        <v>7.4899999999999994E-2</v>
      </c>
      <c r="F30838">
        <v>49</v>
      </c>
    </row>
    <row r="30839" spans="1:6" x14ac:dyDescent="0.35">
      <c r="A30839" s="27" t="s">
        <v>229</v>
      </c>
      <c r="B30839" s="27" t="s">
        <v>2731</v>
      </c>
      <c r="C30839" s="28">
        <v>1</v>
      </c>
      <c r="D30839" s="29"/>
      <c r="E30839" s="29"/>
      <c r="F30839" s="29" t="s">
        <v>314</v>
      </c>
    </row>
    <row r="30840" spans="1:6" x14ac:dyDescent="0.35">
      <c r="A30840" t="s">
        <v>229</v>
      </c>
      <c r="B30840" t="s">
        <v>2732</v>
      </c>
      <c r="C30840" s="26">
        <v>0.82789999999999997</v>
      </c>
      <c r="D30840" s="26">
        <v>0.15160000000000001</v>
      </c>
      <c r="E30840" s="26">
        <v>2.0500000000000001E-2</v>
      </c>
      <c r="F30840">
        <v>188</v>
      </c>
    </row>
    <row r="30841" spans="1:6" x14ac:dyDescent="0.35">
      <c r="A30841" t="s">
        <v>230</v>
      </c>
      <c r="B30841" t="s">
        <v>2730</v>
      </c>
      <c r="C30841" s="26">
        <v>0.54349999999999998</v>
      </c>
      <c r="D30841" s="26">
        <v>0.45650000000000002</v>
      </c>
      <c r="F30841">
        <v>40</v>
      </c>
    </row>
    <row r="30842" spans="1:6" x14ac:dyDescent="0.35">
      <c r="A30842" s="27" t="s">
        <v>230</v>
      </c>
      <c r="B30842" s="27" t="s">
        <v>2731</v>
      </c>
      <c r="C30842" s="28">
        <v>1</v>
      </c>
      <c r="D30842" s="29"/>
      <c r="E30842" s="29"/>
      <c r="F30842" s="29" t="s">
        <v>314</v>
      </c>
    </row>
    <row r="30843" spans="1:6" x14ac:dyDescent="0.35">
      <c r="A30843" t="s">
        <v>230</v>
      </c>
      <c r="B30843" t="s">
        <v>2732</v>
      </c>
      <c r="C30843" s="26">
        <v>0.68049999999999999</v>
      </c>
      <c r="D30843" s="26">
        <v>0.3155</v>
      </c>
      <c r="E30843" s="26">
        <v>4.0000000000000001E-3</v>
      </c>
      <c r="F30843">
        <v>113</v>
      </c>
    </row>
    <row r="30844" spans="1:6" x14ac:dyDescent="0.35">
      <c r="A30844" s="27" t="s">
        <v>231</v>
      </c>
      <c r="B30844" s="27" t="s">
        <v>2730</v>
      </c>
      <c r="C30844" s="28">
        <v>0.42859999999999998</v>
      </c>
      <c r="D30844" s="28">
        <v>0.57140000000000002</v>
      </c>
      <c r="E30844" s="29"/>
      <c r="F30844" s="29" t="s">
        <v>339</v>
      </c>
    </row>
    <row r="30845" spans="1:6" x14ac:dyDescent="0.35">
      <c r="A30845" s="27" t="s">
        <v>231</v>
      </c>
      <c r="B30845" s="27" t="s">
        <v>2732</v>
      </c>
      <c r="C30845" s="28">
        <v>0.76</v>
      </c>
      <c r="D30845" s="28">
        <v>0.24</v>
      </c>
      <c r="E30845" s="29"/>
      <c r="F30845" s="29" t="s">
        <v>312</v>
      </c>
    </row>
    <row r="30846" spans="1:6" x14ac:dyDescent="0.35">
      <c r="A30846" t="s">
        <v>232</v>
      </c>
      <c r="B30846" t="s">
        <v>232</v>
      </c>
      <c r="C30846" s="26">
        <v>0.76939999999999997</v>
      </c>
      <c r="D30846" s="26">
        <v>0.2233</v>
      </c>
      <c r="E30846" s="26">
        <v>7.3000000000000001E-3</v>
      </c>
      <c r="F30846">
        <v>702</v>
      </c>
    </row>
    <row r="30848" spans="1:6" x14ac:dyDescent="0.35">
      <c r="A30848" s="1" t="s">
        <v>2747</v>
      </c>
    </row>
    <row r="30849" spans="1:7" x14ac:dyDescent="0.35">
      <c r="A30849" t="s">
        <v>219</v>
      </c>
      <c r="B30849" t="s">
        <v>305</v>
      </c>
      <c r="C30849" t="s">
        <v>767</v>
      </c>
      <c r="D30849" t="s">
        <v>768</v>
      </c>
      <c r="E30849" t="s">
        <v>769</v>
      </c>
      <c r="F30849" t="s">
        <v>770</v>
      </c>
      <c r="G30849" t="s">
        <v>226</v>
      </c>
    </row>
    <row r="30850" spans="1:7" x14ac:dyDescent="0.35">
      <c r="A30850" s="27" t="s">
        <v>227</v>
      </c>
      <c r="B30850" s="27" t="s">
        <v>2730</v>
      </c>
      <c r="C30850" s="28">
        <v>0.66669999999999996</v>
      </c>
      <c r="D30850" s="28">
        <v>0.16669999999999999</v>
      </c>
      <c r="E30850" s="29"/>
      <c r="F30850" s="28">
        <v>0.16669999999999999</v>
      </c>
      <c r="G30850" s="29" t="s">
        <v>335</v>
      </c>
    </row>
    <row r="30851" spans="1:7" x14ac:dyDescent="0.35">
      <c r="A30851" t="s">
        <v>227</v>
      </c>
      <c r="B30851" t="s">
        <v>2732</v>
      </c>
      <c r="C30851" s="26">
        <v>0.27029999999999998</v>
      </c>
      <c r="D30851" s="26">
        <v>0.29730000000000001</v>
      </c>
      <c r="E30851" s="26">
        <v>0.29730000000000001</v>
      </c>
      <c r="F30851" s="26">
        <v>0.1351</v>
      </c>
      <c r="G30851">
        <v>37</v>
      </c>
    </row>
    <row r="30852" spans="1:7" x14ac:dyDescent="0.35">
      <c r="A30852" t="s">
        <v>228</v>
      </c>
      <c r="B30852" t="s">
        <v>2730</v>
      </c>
      <c r="C30852" s="26">
        <v>0.30259999999999998</v>
      </c>
      <c r="D30852" s="26">
        <v>7.3700000000000002E-2</v>
      </c>
      <c r="E30852" s="26">
        <v>0.2233</v>
      </c>
      <c r="F30852" s="26">
        <v>0.40039999999999998</v>
      </c>
      <c r="G30852">
        <v>53</v>
      </c>
    </row>
    <row r="30853" spans="1:7" x14ac:dyDescent="0.35">
      <c r="A30853" s="27" t="s">
        <v>228</v>
      </c>
      <c r="B30853" s="27" t="s">
        <v>2731</v>
      </c>
      <c r="C30853" s="28">
        <v>0.78039999999999998</v>
      </c>
      <c r="D30853" s="28">
        <v>0.21959999999999999</v>
      </c>
      <c r="E30853" s="29"/>
      <c r="F30853" s="29"/>
      <c r="G30853" s="29" t="s">
        <v>315</v>
      </c>
    </row>
    <row r="30854" spans="1:7" x14ac:dyDescent="0.35">
      <c r="A30854" t="s">
        <v>228</v>
      </c>
      <c r="B30854" t="s">
        <v>2732</v>
      </c>
      <c r="C30854" s="26">
        <v>0.4103</v>
      </c>
      <c r="D30854" s="26">
        <v>0.27810000000000001</v>
      </c>
      <c r="E30854" s="26">
        <v>0.2233</v>
      </c>
      <c r="F30854" s="26">
        <v>8.8300000000000003E-2</v>
      </c>
      <c r="G30854">
        <v>177</v>
      </c>
    </row>
    <row r="30855" spans="1:7" x14ac:dyDescent="0.35">
      <c r="A30855" t="s">
        <v>229</v>
      </c>
      <c r="B30855" t="s">
        <v>2730</v>
      </c>
      <c r="C30855" s="26">
        <v>0.5726</v>
      </c>
      <c r="D30855" s="26">
        <v>9.2999999999999999E-2</v>
      </c>
      <c r="E30855" s="26">
        <v>0.1694</v>
      </c>
      <c r="F30855" s="26">
        <v>0.1651</v>
      </c>
      <c r="G30855">
        <v>49</v>
      </c>
    </row>
    <row r="30856" spans="1:7" x14ac:dyDescent="0.35">
      <c r="A30856" s="27" t="s">
        <v>229</v>
      </c>
      <c r="B30856" s="27" t="s">
        <v>2731</v>
      </c>
      <c r="C30856" s="29"/>
      <c r="D30856" s="29"/>
      <c r="E30856" s="28">
        <v>0.77590000000000003</v>
      </c>
      <c r="F30856" s="28">
        <v>0.22409999999999999</v>
      </c>
      <c r="G30856" s="29" t="s">
        <v>314</v>
      </c>
    </row>
    <row r="30857" spans="1:7" x14ac:dyDescent="0.35">
      <c r="A30857" t="s">
        <v>229</v>
      </c>
      <c r="B30857" t="s">
        <v>2732</v>
      </c>
      <c r="C30857" s="26">
        <v>0.40300000000000002</v>
      </c>
      <c r="D30857" s="26">
        <v>0.27129999999999999</v>
      </c>
      <c r="E30857" s="26">
        <v>0.15040000000000001</v>
      </c>
      <c r="F30857" s="26">
        <v>0.17530000000000001</v>
      </c>
      <c r="G30857">
        <v>188</v>
      </c>
    </row>
    <row r="30858" spans="1:7" x14ac:dyDescent="0.35">
      <c r="A30858" t="s">
        <v>230</v>
      </c>
      <c r="B30858" t="s">
        <v>2730</v>
      </c>
      <c r="C30858" s="26">
        <v>0.33900000000000002</v>
      </c>
      <c r="D30858" s="26">
        <v>0.37869999999999998</v>
      </c>
      <c r="E30858" s="26">
        <v>0.1578</v>
      </c>
      <c r="F30858" s="26">
        <v>0.1246</v>
      </c>
      <c r="G30858">
        <v>40</v>
      </c>
    </row>
    <row r="30859" spans="1:7" x14ac:dyDescent="0.35">
      <c r="A30859" s="27" t="s">
        <v>230</v>
      </c>
      <c r="B30859" s="27" t="s">
        <v>2731</v>
      </c>
      <c r="C30859" s="28">
        <v>1</v>
      </c>
      <c r="D30859" s="29"/>
      <c r="E30859" s="29"/>
      <c r="F30859" s="29"/>
      <c r="G30859" s="29" t="s">
        <v>314</v>
      </c>
    </row>
    <row r="30860" spans="1:7" x14ac:dyDescent="0.35">
      <c r="A30860" t="s">
        <v>230</v>
      </c>
      <c r="B30860" t="s">
        <v>2732</v>
      </c>
      <c r="C30860" s="26">
        <v>0.35049999999999998</v>
      </c>
      <c r="D30860" s="26">
        <v>0.24329999999999999</v>
      </c>
      <c r="E30860" s="26">
        <v>0.22770000000000001</v>
      </c>
      <c r="F30860" s="26">
        <v>0.17849999999999999</v>
      </c>
      <c r="G30860">
        <v>113</v>
      </c>
    </row>
    <row r="30861" spans="1:7" x14ac:dyDescent="0.35">
      <c r="A30861" s="27" t="s">
        <v>231</v>
      </c>
      <c r="B30861" s="27" t="s">
        <v>2730</v>
      </c>
      <c r="C30861" s="28">
        <v>0.42859999999999998</v>
      </c>
      <c r="D30861" s="28">
        <v>0.28570000000000001</v>
      </c>
      <c r="E30861" s="29"/>
      <c r="F30861" s="28">
        <v>0.28570000000000001</v>
      </c>
      <c r="G30861" s="29" t="s">
        <v>339</v>
      </c>
    </row>
    <row r="30862" spans="1:7" x14ac:dyDescent="0.35">
      <c r="A30862" s="27" t="s">
        <v>231</v>
      </c>
      <c r="B30862" s="27" t="s">
        <v>2732</v>
      </c>
      <c r="C30862" s="28">
        <v>0.48</v>
      </c>
      <c r="D30862" s="28">
        <v>0.32</v>
      </c>
      <c r="E30862" s="28">
        <v>0.08</v>
      </c>
      <c r="F30862" s="28">
        <v>0.12</v>
      </c>
      <c r="G30862" s="29" t="s">
        <v>312</v>
      </c>
    </row>
    <row r="30863" spans="1:7" x14ac:dyDescent="0.35">
      <c r="A30863" t="s">
        <v>232</v>
      </c>
      <c r="B30863" t="s">
        <v>232</v>
      </c>
      <c r="C30863" s="26">
        <v>0.40749999999999997</v>
      </c>
      <c r="D30863" s="26">
        <v>0.2621</v>
      </c>
      <c r="E30863" s="26">
        <v>0.1701</v>
      </c>
      <c r="F30863" s="26">
        <v>0.1603</v>
      </c>
      <c r="G30863">
        <v>702</v>
      </c>
    </row>
    <row r="30865" spans="1:20" x14ac:dyDescent="0.35">
      <c r="A30865" s="1" t="s">
        <v>2748</v>
      </c>
    </row>
    <row r="30866" spans="1:20" x14ac:dyDescent="0.35">
      <c r="A30866" t="s">
        <v>219</v>
      </c>
      <c r="B30866" t="s">
        <v>305</v>
      </c>
      <c r="C30866" t="s">
        <v>862</v>
      </c>
      <c r="D30866" t="s">
        <v>863</v>
      </c>
      <c r="E30866" t="s">
        <v>864</v>
      </c>
      <c r="F30866" t="s">
        <v>865</v>
      </c>
      <c r="G30866" t="s">
        <v>866</v>
      </c>
      <c r="H30866" t="s">
        <v>867</v>
      </c>
      <c r="I30866" t="s">
        <v>868</v>
      </c>
      <c r="J30866" t="s">
        <v>869</v>
      </c>
      <c r="K30866" t="s">
        <v>870</v>
      </c>
      <c r="L30866" t="s">
        <v>871</v>
      </c>
      <c r="M30866" t="s">
        <v>872</v>
      </c>
      <c r="N30866" t="s">
        <v>873</v>
      </c>
      <c r="O30866" t="s">
        <v>874</v>
      </c>
      <c r="P30866" t="s">
        <v>875</v>
      </c>
      <c r="Q30866" t="s">
        <v>876</v>
      </c>
      <c r="R30866" t="s">
        <v>286</v>
      </c>
      <c r="S30866" t="s">
        <v>877</v>
      </c>
      <c r="T30866" t="s">
        <v>226</v>
      </c>
    </row>
    <row r="30867" spans="1:20" x14ac:dyDescent="0.35">
      <c r="A30867" t="s">
        <v>227</v>
      </c>
      <c r="B30867" t="s">
        <v>2730</v>
      </c>
      <c r="C30867" s="26">
        <v>0.97870000000000001</v>
      </c>
      <c r="D30867" s="26">
        <v>0.97870000000000001</v>
      </c>
      <c r="E30867" s="26">
        <v>0.95740000000000003</v>
      </c>
      <c r="F30867" s="26">
        <v>0.8085</v>
      </c>
      <c r="G30867" s="26">
        <v>0.59570000000000001</v>
      </c>
      <c r="H30867" s="26">
        <v>0.57450000000000001</v>
      </c>
      <c r="I30867" s="26">
        <v>0.57450000000000001</v>
      </c>
      <c r="J30867" s="26">
        <v>0.55320000000000003</v>
      </c>
      <c r="K30867" s="26">
        <v>0.38300000000000001</v>
      </c>
      <c r="L30867" s="26">
        <v>0.2979</v>
      </c>
      <c r="M30867" s="26">
        <v>0.17019999999999999</v>
      </c>
      <c r="N30867" s="26">
        <v>0.10639999999999999</v>
      </c>
      <c r="O30867" s="26">
        <v>0.10639999999999999</v>
      </c>
      <c r="P30867" s="26">
        <v>4.2599999999999999E-2</v>
      </c>
      <c r="T30867">
        <v>47</v>
      </c>
    </row>
    <row r="30868" spans="1:20" x14ac:dyDescent="0.35">
      <c r="A30868" s="27" t="s">
        <v>227</v>
      </c>
      <c r="B30868" s="27" t="s">
        <v>2731</v>
      </c>
      <c r="C30868" s="28">
        <v>1</v>
      </c>
      <c r="D30868" s="28">
        <v>0.90480000000000005</v>
      </c>
      <c r="E30868" s="28">
        <v>1</v>
      </c>
      <c r="F30868" s="28">
        <v>0.61899999999999999</v>
      </c>
      <c r="G30868" s="28">
        <v>0.52380000000000004</v>
      </c>
      <c r="H30868" s="29"/>
      <c r="I30868" s="28">
        <v>0.23810000000000001</v>
      </c>
      <c r="J30868" s="28">
        <v>0.38100000000000001</v>
      </c>
      <c r="K30868" s="28">
        <v>0.33329999999999999</v>
      </c>
      <c r="L30868" s="28">
        <v>0.38100000000000001</v>
      </c>
      <c r="M30868" s="28">
        <v>0.1429</v>
      </c>
      <c r="N30868" s="28">
        <v>4.7600000000000003E-2</v>
      </c>
      <c r="O30868" s="29"/>
      <c r="P30868" s="28">
        <v>4.7600000000000003E-2</v>
      </c>
      <c r="Q30868" s="29"/>
      <c r="R30868" s="29"/>
      <c r="S30868" s="29"/>
      <c r="T30868" s="29" t="s">
        <v>351</v>
      </c>
    </row>
    <row r="30869" spans="1:20" x14ac:dyDescent="0.35">
      <c r="A30869" t="s">
        <v>227</v>
      </c>
      <c r="B30869" t="s">
        <v>2732</v>
      </c>
      <c r="C30869" s="26">
        <v>1</v>
      </c>
      <c r="D30869" s="26">
        <v>0.95699999999999996</v>
      </c>
      <c r="E30869" s="26">
        <v>0.95699999999999996</v>
      </c>
      <c r="F30869" s="26">
        <v>0.89249999999999996</v>
      </c>
      <c r="G30869" s="26">
        <v>0.78490000000000004</v>
      </c>
      <c r="H30869" s="26">
        <v>0.7419</v>
      </c>
      <c r="I30869" s="26">
        <v>0.60219999999999996</v>
      </c>
      <c r="J30869" s="26">
        <v>0.63439999999999996</v>
      </c>
      <c r="K30869" s="26">
        <v>0.5484</v>
      </c>
      <c r="L30869" s="26">
        <v>0.44090000000000001</v>
      </c>
      <c r="M30869" s="26">
        <v>0.2903</v>
      </c>
      <c r="N30869" s="26">
        <v>0.21510000000000001</v>
      </c>
      <c r="O30869" s="26">
        <v>0.2258</v>
      </c>
      <c r="P30869" s="26">
        <v>8.5999999999999993E-2</v>
      </c>
      <c r="Q30869" s="26">
        <v>2.1499999999999998E-2</v>
      </c>
      <c r="T30869">
        <v>93</v>
      </c>
    </row>
    <row r="30870" spans="1:20" x14ac:dyDescent="0.35">
      <c r="A30870" t="s">
        <v>228</v>
      </c>
      <c r="B30870" t="s">
        <v>2730</v>
      </c>
      <c r="C30870" s="26">
        <v>0.9738</v>
      </c>
      <c r="D30870" s="26">
        <v>0.94789999999999996</v>
      </c>
      <c r="E30870" s="26">
        <v>0.8861</v>
      </c>
      <c r="F30870" s="26">
        <v>0.7893</v>
      </c>
      <c r="G30870" s="26">
        <v>0.46350000000000002</v>
      </c>
      <c r="H30870" s="26">
        <v>0.57740000000000002</v>
      </c>
      <c r="I30870" s="26">
        <v>0.55189999999999995</v>
      </c>
      <c r="J30870" s="26">
        <v>0.4027</v>
      </c>
      <c r="K30870" s="26">
        <v>0.35659999999999997</v>
      </c>
      <c r="L30870" s="26">
        <v>0.28639999999999999</v>
      </c>
      <c r="M30870" s="26">
        <v>0.121</v>
      </c>
      <c r="N30870" s="26">
        <v>0.14460000000000001</v>
      </c>
      <c r="O30870" s="26">
        <v>4.4699999999999997E-2</v>
      </c>
      <c r="P30870" s="26">
        <v>3.73E-2</v>
      </c>
      <c r="Q30870" s="26">
        <v>2.1100000000000001E-2</v>
      </c>
      <c r="R30870" s="26">
        <v>4.7999999999999996E-3</v>
      </c>
      <c r="S30870" s="26">
        <v>0.01</v>
      </c>
      <c r="T30870">
        <v>360</v>
      </c>
    </row>
    <row r="30871" spans="1:20" x14ac:dyDescent="0.35">
      <c r="A30871" t="s">
        <v>228</v>
      </c>
      <c r="B30871" t="s">
        <v>2731</v>
      </c>
      <c r="C30871" s="26">
        <v>1</v>
      </c>
      <c r="D30871" s="26">
        <v>0.92130000000000001</v>
      </c>
      <c r="E30871" s="26">
        <v>0.88790000000000002</v>
      </c>
      <c r="F30871" s="26">
        <v>0.62170000000000003</v>
      </c>
      <c r="G30871" s="26">
        <v>0.58340000000000003</v>
      </c>
      <c r="H30871" s="26">
        <v>2.8000000000000001E-2</v>
      </c>
      <c r="I30871" s="26">
        <v>0.67800000000000005</v>
      </c>
      <c r="J30871" s="26">
        <v>0.28100000000000003</v>
      </c>
      <c r="K30871" s="26">
        <v>0.30049999999999999</v>
      </c>
      <c r="L30871" s="26">
        <v>0.28399999999999997</v>
      </c>
      <c r="M30871" s="26">
        <v>0.1716</v>
      </c>
      <c r="N30871" s="26">
        <v>0.2019</v>
      </c>
      <c r="O30871" s="26">
        <v>5.3800000000000001E-2</v>
      </c>
      <c r="P30871" s="26">
        <v>4.2200000000000001E-2</v>
      </c>
      <c r="Q30871" s="26">
        <v>2.4899999999999999E-2</v>
      </c>
      <c r="T30871">
        <v>96</v>
      </c>
    </row>
    <row r="30872" spans="1:20" x14ac:dyDescent="0.35">
      <c r="A30872" t="s">
        <v>228</v>
      </c>
      <c r="B30872" t="s">
        <v>2732</v>
      </c>
      <c r="C30872" s="26">
        <v>0.99399999999999999</v>
      </c>
      <c r="D30872" s="26">
        <v>0.93700000000000006</v>
      </c>
      <c r="E30872" s="26">
        <v>0.94620000000000004</v>
      </c>
      <c r="F30872" s="26">
        <v>0.8518</v>
      </c>
      <c r="G30872" s="26">
        <v>0.64390000000000003</v>
      </c>
      <c r="H30872" s="26">
        <v>0.65329999999999999</v>
      </c>
      <c r="I30872" s="26">
        <v>0.61950000000000005</v>
      </c>
      <c r="J30872" s="26">
        <v>0.5474</v>
      </c>
      <c r="K30872" s="26">
        <v>0.46810000000000002</v>
      </c>
      <c r="L30872" s="26">
        <v>0.42159999999999997</v>
      </c>
      <c r="M30872" s="26">
        <v>0.23960000000000001</v>
      </c>
      <c r="N30872" s="26">
        <v>0.19389999999999999</v>
      </c>
      <c r="O30872" s="26">
        <v>0.1542</v>
      </c>
      <c r="P30872" s="26">
        <v>0.1003</v>
      </c>
      <c r="Q30872" s="26">
        <v>1.35E-2</v>
      </c>
      <c r="R30872" s="26">
        <v>3.5000000000000001E-3</v>
      </c>
      <c r="T30872">
        <v>576</v>
      </c>
    </row>
    <row r="30873" spans="1:20" x14ac:dyDescent="0.35">
      <c r="A30873" t="s">
        <v>229</v>
      </c>
      <c r="B30873" t="s">
        <v>2730</v>
      </c>
      <c r="C30873" s="26">
        <v>0.99909999999999999</v>
      </c>
      <c r="D30873" s="26">
        <v>0.94220000000000004</v>
      </c>
      <c r="E30873" s="26">
        <v>0.97289999999999999</v>
      </c>
      <c r="F30873" s="26">
        <v>0.84689999999999999</v>
      </c>
      <c r="G30873" s="26">
        <v>0.61960000000000004</v>
      </c>
      <c r="H30873" s="26">
        <v>0.64219999999999999</v>
      </c>
      <c r="I30873" s="26">
        <v>0.55359999999999998</v>
      </c>
      <c r="J30873" s="26">
        <v>0.44519999999999998</v>
      </c>
      <c r="K30873" s="26">
        <v>0.42899999999999999</v>
      </c>
      <c r="L30873" s="26">
        <v>0.34639999999999999</v>
      </c>
      <c r="M30873" s="26">
        <v>0.17460000000000001</v>
      </c>
      <c r="N30873" s="26">
        <v>0.19259999999999999</v>
      </c>
      <c r="O30873" s="26">
        <v>6.7100000000000007E-2</v>
      </c>
      <c r="P30873" s="26">
        <v>4.3900000000000002E-2</v>
      </c>
      <c r="Q30873" s="26">
        <v>1.26E-2</v>
      </c>
      <c r="R30873" s="26">
        <v>5.9999999999999995E-4</v>
      </c>
      <c r="T30873">
        <v>302</v>
      </c>
    </row>
    <row r="30874" spans="1:20" x14ac:dyDescent="0.35">
      <c r="A30874" t="s">
        <v>229</v>
      </c>
      <c r="B30874" t="s">
        <v>2731</v>
      </c>
      <c r="C30874" s="26">
        <v>1</v>
      </c>
      <c r="D30874" s="26">
        <v>0.89629999999999999</v>
      </c>
      <c r="E30874" s="26">
        <v>0.92759999999999998</v>
      </c>
      <c r="F30874" s="26">
        <v>0.76329999999999998</v>
      </c>
      <c r="G30874" s="26">
        <v>0.57969999999999999</v>
      </c>
      <c r="H30874" s="26">
        <v>9.2999999999999992E-3</v>
      </c>
      <c r="I30874" s="26">
        <v>0.42820000000000003</v>
      </c>
      <c r="J30874" s="26">
        <v>0.34939999999999999</v>
      </c>
      <c r="K30874" s="26">
        <v>0.37980000000000003</v>
      </c>
      <c r="L30874" s="26">
        <v>0.3085</v>
      </c>
      <c r="M30874" s="26">
        <v>0.18210000000000001</v>
      </c>
      <c r="N30874" s="26">
        <v>0.12609999999999999</v>
      </c>
      <c r="O30874" s="26">
        <v>0.1144</v>
      </c>
      <c r="T30874">
        <v>86</v>
      </c>
    </row>
    <row r="30875" spans="1:20" x14ac:dyDescent="0.35">
      <c r="A30875" t="s">
        <v>229</v>
      </c>
      <c r="B30875" t="s">
        <v>2732</v>
      </c>
      <c r="C30875" s="26">
        <v>0.99950000000000006</v>
      </c>
      <c r="D30875" s="26">
        <v>0.95299999999999996</v>
      </c>
      <c r="E30875" s="26">
        <v>0.9819</v>
      </c>
      <c r="F30875" s="26">
        <v>0.92110000000000003</v>
      </c>
      <c r="G30875" s="26">
        <v>0.81040000000000001</v>
      </c>
      <c r="H30875" s="26">
        <v>0.75560000000000005</v>
      </c>
      <c r="I30875" s="26">
        <v>0.61609999999999998</v>
      </c>
      <c r="J30875" s="26">
        <v>0.53820000000000001</v>
      </c>
      <c r="K30875" s="26">
        <v>0.60640000000000005</v>
      </c>
      <c r="L30875" s="26">
        <v>0.56630000000000003</v>
      </c>
      <c r="M30875" s="26">
        <v>0.3836</v>
      </c>
      <c r="N30875" s="26">
        <v>0.1449</v>
      </c>
      <c r="O30875" s="26">
        <v>0.1386</v>
      </c>
      <c r="P30875" s="26">
        <v>0.13289999999999999</v>
      </c>
      <c r="Q30875" s="26">
        <v>2.8799999999999999E-2</v>
      </c>
      <c r="T30875">
        <v>507</v>
      </c>
    </row>
    <row r="30876" spans="1:20" x14ac:dyDescent="0.35">
      <c r="A30876" t="s">
        <v>230</v>
      </c>
      <c r="B30876" t="s">
        <v>2730</v>
      </c>
      <c r="C30876" s="26">
        <v>0.99629999999999996</v>
      </c>
      <c r="D30876" s="26">
        <v>0.9486</v>
      </c>
      <c r="E30876" s="26">
        <v>0.96340000000000003</v>
      </c>
      <c r="F30876" s="26">
        <v>0.88549999999999995</v>
      </c>
      <c r="G30876" s="26">
        <v>0.56159999999999999</v>
      </c>
      <c r="H30876" s="26">
        <v>0.63100000000000001</v>
      </c>
      <c r="I30876" s="26">
        <v>0.61939999999999995</v>
      </c>
      <c r="J30876" s="26">
        <v>0.56530000000000002</v>
      </c>
      <c r="K30876" s="26">
        <v>0.42520000000000002</v>
      </c>
      <c r="L30876" s="26">
        <v>0.35720000000000002</v>
      </c>
      <c r="M30876" s="26">
        <v>0.22389999999999999</v>
      </c>
      <c r="N30876" s="26">
        <v>0.1852</v>
      </c>
      <c r="O30876" s="26">
        <v>5.3499999999999999E-2</v>
      </c>
      <c r="P30876" s="26">
        <v>1.9400000000000001E-2</v>
      </c>
      <c r="Q30876" s="26">
        <v>5.1700000000000003E-2</v>
      </c>
      <c r="T30876">
        <v>197</v>
      </c>
    </row>
    <row r="30877" spans="1:20" x14ac:dyDescent="0.35">
      <c r="A30877" t="s">
        <v>230</v>
      </c>
      <c r="B30877" t="s">
        <v>2731</v>
      </c>
      <c r="C30877" s="26">
        <v>0.99650000000000005</v>
      </c>
      <c r="D30877" s="26">
        <v>0.89990000000000003</v>
      </c>
      <c r="E30877" s="26">
        <v>0.87780000000000002</v>
      </c>
      <c r="F30877" s="26">
        <v>0.82330000000000003</v>
      </c>
      <c r="G30877" s="26">
        <v>0.52210000000000001</v>
      </c>
      <c r="H30877" s="26">
        <v>6.9800000000000001E-2</v>
      </c>
      <c r="I30877" s="26">
        <v>0.49120000000000003</v>
      </c>
      <c r="J30877" s="26">
        <v>0.374</v>
      </c>
      <c r="K30877" s="26">
        <v>0.38579999999999998</v>
      </c>
      <c r="L30877" s="26">
        <v>0.51790000000000003</v>
      </c>
      <c r="M30877" s="26">
        <v>0.2014</v>
      </c>
      <c r="N30877" s="26">
        <v>0.10780000000000001</v>
      </c>
      <c r="O30877" s="26">
        <v>0.13950000000000001</v>
      </c>
      <c r="Q30877" s="26">
        <v>1.5299999999999999E-2</v>
      </c>
      <c r="T30877">
        <v>50</v>
      </c>
    </row>
    <row r="30878" spans="1:20" x14ac:dyDescent="0.35">
      <c r="A30878" t="s">
        <v>230</v>
      </c>
      <c r="B30878" t="s">
        <v>2732</v>
      </c>
      <c r="C30878" s="26">
        <v>0.99950000000000006</v>
      </c>
      <c r="D30878" s="26">
        <v>0.9647</v>
      </c>
      <c r="E30878" s="26">
        <v>0.96409999999999996</v>
      </c>
      <c r="F30878" s="26">
        <v>0.91090000000000004</v>
      </c>
      <c r="G30878" s="26">
        <v>0.77059999999999995</v>
      </c>
      <c r="H30878" s="26">
        <v>0.68579999999999997</v>
      </c>
      <c r="I30878" s="26">
        <v>0.54479999999999995</v>
      </c>
      <c r="J30878" s="26">
        <v>0.55030000000000001</v>
      </c>
      <c r="K30878" s="26">
        <v>0.52249999999999996</v>
      </c>
      <c r="L30878" s="26">
        <v>0.41980000000000001</v>
      </c>
      <c r="M30878" s="26">
        <v>0.38519999999999999</v>
      </c>
      <c r="N30878" s="26">
        <v>0.2387</v>
      </c>
      <c r="O30878" s="26">
        <v>0.16120000000000001</v>
      </c>
      <c r="P30878" s="26">
        <v>7.0400000000000004E-2</v>
      </c>
      <c r="Q30878" s="26">
        <v>1.9699999999999999E-2</v>
      </c>
      <c r="S30878" s="26">
        <v>5.0000000000000001E-4</v>
      </c>
      <c r="T30878">
        <v>313</v>
      </c>
    </row>
    <row r="30879" spans="1:20" x14ac:dyDescent="0.35">
      <c r="A30879" t="s">
        <v>231</v>
      </c>
      <c r="B30879" t="s">
        <v>2730</v>
      </c>
      <c r="C30879" s="26">
        <v>1</v>
      </c>
      <c r="D30879" s="26">
        <v>0.87270000000000003</v>
      </c>
      <c r="E30879" s="26">
        <v>0.85450000000000004</v>
      </c>
      <c r="F30879" s="26">
        <v>0.70909999999999995</v>
      </c>
      <c r="G30879" s="26">
        <v>0.63639999999999997</v>
      </c>
      <c r="H30879" s="26">
        <v>0.52729999999999999</v>
      </c>
      <c r="I30879" s="26">
        <v>0.38179999999999997</v>
      </c>
      <c r="J30879" s="26">
        <v>0.4</v>
      </c>
      <c r="K30879" s="26">
        <v>0.4</v>
      </c>
      <c r="L30879" s="26">
        <v>0.36359999999999998</v>
      </c>
      <c r="M30879" s="26">
        <v>0.2</v>
      </c>
      <c r="N30879" s="26">
        <v>0.29089999999999999</v>
      </c>
      <c r="O30879" s="26">
        <v>0.1273</v>
      </c>
      <c r="P30879" s="26">
        <v>3.6400000000000002E-2</v>
      </c>
      <c r="Q30879" s="26">
        <v>1.8200000000000001E-2</v>
      </c>
      <c r="T30879">
        <v>55</v>
      </c>
    </row>
    <row r="30880" spans="1:20" x14ac:dyDescent="0.35">
      <c r="A30880" s="27" t="s">
        <v>231</v>
      </c>
      <c r="B30880" s="27" t="s">
        <v>2731</v>
      </c>
      <c r="C30880" s="28">
        <v>1</v>
      </c>
      <c r="D30880" s="28">
        <v>0.94120000000000004</v>
      </c>
      <c r="E30880" s="28">
        <v>0.76470000000000005</v>
      </c>
      <c r="F30880" s="28">
        <v>0.76470000000000005</v>
      </c>
      <c r="G30880" s="28">
        <v>0.64710000000000001</v>
      </c>
      <c r="H30880" s="28">
        <v>5.8799999999999998E-2</v>
      </c>
      <c r="I30880" s="28">
        <v>0.58819999999999995</v>
      </c>
      <c r="J30880" s="28">
        <v>0.35289999999999999</v>
      </c>
      <c r="K30880" s="28">
        <v>0.52939999999999998</v>
      </c>
      <c r="L30880" s="28">
        <v>0.29409999999999997</v>
      </c>
      <c r="M30880" s="28">
        <v>0.17649999999999999</v>
      </c>
      <c r="N30880" s="28">
        <v>5.8799999999999998E-2</v>
      </c>
      <c r="O30880" s="28">
        <v>0.23530000000000001</v>
      </c>
      <c r="P30880" s="29"/>
      <c r="Q30880" s="29"/>
      <c r="R30880" s="29"/>
      <c r="S30880" s="29"/>
      <c r="T30880" s="29" t="s">
        <v>343</v>
      </c>
    </row>
    <row r="30881" spans="1:78" x14ac:dyDescent="0.35">
      <c r="A30881" t="s">
        <v>231</v>
      </c>
      <c r="B30881" t="s">
        <v>2732</v>
      </c>
      <c r="C30881" s="26">
        <v>1</v>
      </c>
      <c r="D30881" s="26">
        <v>0.97829999999999995</v>
      </c>
      <c r="E30881" s="26">
        <v>0.93479999999999996</v>
      </c>
      <c r="F30881" s="26">
        <v>0.89129999999999998</v>
      </c>
      <c r="G30881" s="26">
        <v>0.78259999999999996</v>
      </c>
      <c r="H30881" s="26">
        <v>0.79349999999999998</v>
      </c>
      <c r="I30881" s="26">
        <v>0.44569999999999999</v>
      </c>
      <c r="J30881" s="26">
        <v>0.55430000000000001</v>
      </c>
      <c r="K30881" s="26">
        <v>0.6522</v>
      </c>
      <c r="L30881" s="26">
        <v>0.58699999999999997</v>
      </c>
      <c r="M30881" s="26">
        <v>0.31519999999999998</v>
      </c>
      <c r="N30881" s="26">
        <v>0.14130000000000001</v>
      </c>
      <c r="O30881" s="26">
        <v>0.23910000000000001</v>
      </c>
      <c r="P30881" s="26">
        <v>0.13039999999999999</v>
      </c>
      <c r="Q30881" s="26">
        <v>1.09E-2</v>
      </c>
      <c r="T30881">
        <v>92</v>
      </c>
    </row>
    <row r="30882" spans="1:78" x14ac:dyDescent="0.35">
      <c r="A30882" t="s">
        <v>232</v>
      </c>
      <c r="B30882" t="s">
        <v>232</v>
      </c>
      <c r="C30882" s="26">
        <v>0.99639999999999995</v>
      </c>
      <c r="D30882" s="26">
        <v>0.94510000000000005</v>
      </c>
      <c r="E30882" s="26">
        <v>0.93789999999999996</v>
      </c>
      <c r="F30882" s="26">
        <v>0.84630000000000005</v>
      </c>
      <c r="G30882" s="26">
        <v>0.69089999999999996</v>
      </c>
      <c r="H30882" s="26">
        <v>0.62309999999999999</v>
      </c>
      <c r="I30882" s="26">
        <v>0.54010000000000002</v>
      </c>
      <c r="J30882" s="26">
        <v>0.50590000000000002</v>
      </c>
      <c r="K30882" s="26">
        <v>0.50429999999999997</v>
      </c>
      <c r="L30882" s="26">
        <v>0.43940000000000001</v>
      </c>
      <c r="M30882" s="26">
        <v>0.26440000000000002</v>
      </c>
      <c r="N30882" s="26">
        <v>0.1739</v>
      </c>
      <c r="O30882" s="26">
        <v>0.14599999999999999</v>
      </c>
      <c r="P30882" s="26">
        <v>8.0500000000000002E-2</v>
      </c>
      <c r="Q30882" s="26">
        <v>1.8200000000000001E-2</v>
      </c>
      <c r="R30882" s="26">
        <v>8.0000000000000004E-4</v>
      </c>
      <c r="S30882" s="26">
        <v>6.9999999999999999E-4</v>
      </c>
      <c r="T30882">
        <v>2812</v>
      </c>
    </row>
    <row r="30884" spans="1:78" x14ac:dyDescent="0.35">
      <c r="A30884" s="1" t="s">
        <v>2749</v>
      </c>
    </row>
    <row r="30885" spans="1:78" x14ac:dyDescent="0.35">
      <c r="A30885" t="s">
        <v>219</v>
      </c>
      <c r="B30885" t="s">
        <v>305</v>
      </c>
      <c r="C30885" t="s">
        <v>889</v>
      </c>
      <c r="D30885" t="s">
        <v>890</v>
      </c>
      <c r="E30885" t="s">
        <v>891</v>
      </c>
      <c r="F30885" t="s">
        <v>892</v>
      </c>
      <c r="G30885" t="s">
        <v>893</v>
      </c>
      <c r="H30885" t="s">
        <v>894</v>
      </c>
      <c r="I30885" t="s">
        <v>895</v>
      </c>
      <c r="J30885" t="s">
        <v>896</v>
      </c>
      <c r="K30885" t="s">
        <v>897</v>
      </c>
      <c r="L30885" t="s">
        <v>898</v>
      </c>
      <c r="M30885" t="s">
        <v>899</v>
      </c>
      <c r="N30885" t="s">
        <v>900</v>
      </c>
      <c r="O30885" t="s">
        <v>901</v>
      </c>
      <c r="P30885" t="s">
        <v>902</v>
      </c>
      <c r="Q30885" t="s">
        <v>903</v>
      </c>
      <c r="R30885" t="s">
        <v>904</v>
      </c>
      <c r="S30885" t="s">
        <v>905</v>
      </c>
      <c r="T30885" t="s">
        <v>906</v>
      </c>
      <c r="U30885" t="s">
        <v>907</v>
      </c>
      <c r="V30885" t="s">
        <v>908</v>
      </c>
      <c r="W30885" t="s">
        <v>909</v>
      </c>
      <c r="X30885" t="s">
        <v>910</v>
      </c>
      <c r="Y30885" t="s">
        <v>911</v>
      </c>
      <c r="Z30885" t="s">
        <v>912</v>
      </c>
      <c r="AA30885" t="s">
        <v>913</v>
      </c>
      <c r="AB30885" t="s">
        <v>914</v>
      </c>
      <c r="AC30885" t="s">
        <v>915</v>
      </c>
      <c r="AD30885" t="s">
        <v>916</v>
      </c>
      <c r="AE30885" t="s">
        <v>917</v>
      </c>
      <c r="AF30885" t="s">
        <v>918</v>
      </c>
      <c r="AG30885" t="s">
        <v>919</v>
      </c>
      <c r="AH30885" t="s">
        <v>920</v>
      </c>
      <c r="AI30885" t="s">
        <v>921</v>
      </c>
      <c r="AJ30885" t="s">
        <v>922</v>
      </c>
      <c r="AK30885" t="s">
        <v>923</v>
      </c>
      <c r="AL30885" t="s">
        <v>924</v>
      </c>
      <c r="AM30885" t="s">
        <v>925</v>
      </c>
      <c r="AN30885" t="s">
        <v>926</v>
      </c>
      <c r="AO30885" t="s">
        <v>927</v>
      </c>
      <c r="AP30885" t="s">
        <v>928</v>
      </c>
      <c r="AQ30885" t="s">
        <v>929</v>
      </c>
      <c r="AR30885" t="s">
        <v>930</v>
      </c>
      <c r="AS30885" t="s">
        <v>931</v>
      </c>
      <c r="AT30885" t="s">
        <v>932</v>
      </c>
      <c r="AU30885" t="s">
        <v>933</v>
      </c>
      <c r="AV30885" t="s">
        <v>934</v>
      </c>
      <c r="AW30885" t="s">
        <v>935</v>
      </c>
      <c r="AX30885" t="s">
        <v>936</v>
      </c>
      <c r="AY30885" t="s">
        <v>937</v>
      </c>
      <c r="AZ30885" t="s">
        <v>938</v>
      </c>
      <c r="BA30885" t="s">
        <v>939</v>
      </c>
      <c r="BB30885" t="s">
        <v>940</v>
      </c>
      <c r="BC30885" t="s">
        <v>941</v>
      </c>
      <c r="BD30885" t="s">
        <v>942</v>
      </c>
      <c r="BE30885" t="s">
        <v>943</v>
      </c>
      <c r="BF30885" t="s">
        <v>944</v>
      </c>
      <c r="BG30885" t="s">
        <v>945</v>
      </c>
      <c r="BH30885" t="s">
        <v>946</v>
      </c>
      <c r="BI30885" t="s">
        <v>947</v>
      </c>
      <c r="BJ30885" t="s">
        <v>948</v>
      </c>
      <c r="BK30885" t="s">
        <v>949</v>
      </c>
      <c r="BL30885" t="s">
        <v>950</v>
      </c>
      <c r="BM30885" t="s">
        <v>951</v>
      </c>
      <c r="BN30885" t="s">
        <v>952</v>
      </c>
      <c r="BO30885" t="s">
        <v>953</v>
      </c>
      <c r="BP30885" t="s">
        <v>954</v>
      </c>
      <c r="BQ30885" t="s">
        <v>955</v>
      </c>
      <c r="BR30885" t="s">
        <v>956</v>
      </c>
      <c r="BS30885" t="s">
        <v>957</v>
      </c>
      <c r="BT30885" t="s">
        <v>958</v>
      </c>
      <c r="BU30885" t="s">
        <v>959</v>
      </c>
      <c r="BV30885" t="s">
        <v>960</v>
      </c>
      <c r="BW30885" t="s">
        <v>961</v>
      </c>
      <c r="BX30885" t="s">
        <v>962</v>
      </c>
      <c r="BY30885" t="s">
        <v>963</v>
      </c>
      <c r="BZ30885" t="s">
        <v>964</v>
      </c>
    </row>
    <row r="30886" spans="1:78" x14ac:dyDescent="0.35">
      <c r="A30886" t="s">
        <v>227</v>
      </c>
      <c r="B30886" t="s">
        <v>2730</v>
      </c>
      <c r="C30886">
        <v>4181.25</v>
      </c>
      <c r="D30886">
        <v>3000</v>
      </c>
      <c r="E30886">
        <v>500</v>
      </c>
      <c r="F30886">
        <v>15000</v>
      </c>
      <c r="G30886" s="30">
        <v>40</v>
      </c>
      <c r="H30886">
        <v>3087</v>
      </c>
      <c r="I30886">
        <v>3000</v>
      </c>
      <c r="J30886">
        <v>119</v>
      </c>
      <c r="K30886">
        <v>8000</v>
      </c>
      <c r="L30886" s="30">
        <v>14</v>
      </c>
      <c r="M30886">
        <v>5200</v>
      </c>
      <c r="N30886">
        <v>6000</v>
      </c>
      <c r="O30886">
        <v>3000</v>
      </c>
      <c r="P30886">
        <v>6000</v>
      </c>
      <c r="Q30886" s="30">
        <v>5</v>
      </c>
      <c r="R30886">
        <v>275.2</v>
      </c>
      <c r="S30886">
        <v>200</v>
      </c>
      <c r="T30886">
        <v>50</v>
      </c>
      <c r="U30886">
        <v>1000</v>
      </c>
      <c r="V30886" s="30">
        <v>25</v>
      </c>
      <c r="W30886">
        <v>360.74</v>
      </c>
      <c r="X30886">
        <v>300</v>
      </c>
      <c r="Y30886">
        <v>50</v>
      </c>
      <c r="Z30886">
        <v>1000</v>
      </c>
      <c r="AA30886" s="30">
        <v>23</v>
      </c>
      <c r="AB30886">
        <v>603.64</v>
      </c>
      <c r="AC30886">
        <v>500</v>
      </c>
      <c r="AD30886">
        <v>100</v>
      </c>
      <c r="AE30886">
        <v>3000</v>
      </c>
      <c r="AF30886" s="30">
        <v>33</v>
      </c>
      <c r="AG30886">
        <v>457.31</v>
      </c>
      <c r="AH30886">
        <v>300</v>
      </c>
      <c r="AI30886">
        <v>100</v>
      </c>
      <c r="AJ30886">
        <v>1500</v>
      </c>
      <c r="AK30886" s="30">
        <v>13</v>
      </c>
      <c r="AL30886">
        <v>1391.49</v>
      </c>
      <c r="AM30886">
        <v>1500</v>
      </c>
      <c r="AN30886">
        <v>350</v>
      </c>
      <c r="AO30886">
        <v>3500</v>
      </c>
      <c r="AP30886" s="30">
        <v>41</v>
      </c>
      <c r="AQ30886">
        <v>726.8</v>
      </c>
      <c r="AR30886">
        <v>300</v>
      </c>
      <c r="AS30886">
        <v>50</v>
      </c>
      <c r="AT30886">
        <v>4000</v>
      </c>
      <c r="AU30886" s="30">
        <v>25</v>
      </c>
      <c r="AV30886">
        <v>1000</v>
      </c>
      <c r="AW30886">
        <v>1500</v>
      </c>
      <c r="AX30886">
        <v>500</v>
      </c>
      <c r="AY30886">
        <v>1500</v>
      </c>
      <c r="AZ30886" s="30">
        <v>3</v>
      </c>
      <c r="BA30886">
        <v>378.28</v>
      </c>
      <c r="BB30886">
        <v>330</v>
      </c>
      <c r="BC30886">
        <v>100</v>
      </c>
      <c r="BD30886">
        <v>1500</v>
      </c>
      <c r="BE30886" s="30">
        <v>43</v>
      </c>
      <c r="BF30886">
        <v>3000</v>
      </c>
      <c r="BG30886">
        <v>3000</v>
      </c>
      <c r="BH30886">
        <v>3000</v>
      </c>
      <c r="BI30886">
        <v>3000</v>
      </c>
      <c r="BJ30886" s="30">
        <v>1</v>
      </c>
      <c r="BK30886">
        <v>3083.33</v>
      </c>
      <c r="BL30886">
        <v>5000</v>
      </c>
      <c r="BM30886">
        <v>1200</v>
      </c>
      <c r="BN30886">
        <v>6000</v>
      </c>
      <c r="BO30886" s="30">
        <v>6</v>
      </c>
      <c r="BP30886">
        <v>672.75</v>
      </c>
      <c r="BQ30886">
        <v>356</v>
      </c>
      <c r="BR30886">
        <v>50</v>
      </c>
      <c r="BS30886">
        <v>2000</v>
      </c>
      <c r="BT30886" s="30">
        <v>24</v>
      </c>
      <c r="BU30886">
        <v>4137.5</v>
      </c>
      <c r="BV30886">
        <v>5000</v>
      </c>
      <c r="BW30886">
        <v>1000</v>
      </c>
      <c r="BX30886">
        <v>5550</v>
      </c>
      <c r="BY30886" s="30">
        <v>4</v>
      </c>
      <c r="BZ30886">
        <v>43</v>
      </c>
    </row>
    <row r="30887" spans="1:78" x14ac:dyDescent="0.35">
      <c r="A30887" s="27" t="s">
        <v>227</v>
      </c>
      <c r="B30887" s="27" t="s">
        <v>2731</v>
      </c>
      <c r="C30887" s="29">
        <v>4553.79</v>
      </c>
      <c r="D30887" s="29">
        <v>3500</v>
      </c>
      <c r="E30887" s="29">
        <v>1500</v>
      </c>
      <c r="F30887" s="29">
        <v>16322</v>
      </c>
      <c r="G30887" s="29">
        <v>19</v>
      </c>
      <c r="H30887" s="29">
        <v>2557.14</v>
      </c>
      <c r="I30887" s="29">
        <v>2000</v>
      </c>
      <c r="J30887" s="29">
        <v>900</v>
      </c>
      <c r="K30887" s="29">
        <v>6000</v>
      </c>
      <c r="L30887" s="29">
        <v>7</v>
      </c>
      <c r="M30887" s="29">
        <v>6000</v>
      </c>
      <c r="N30887" s="29">
        <v>6000</v>
      </c>
      <c r="O30887" s="29">
        <v>6000</v>
      </c>
      <c r="P30887" s="29">
        <v>6000</v>
      </c>
      <c r="Q30887" s="29">
        <v>1</v>
      </c>
      <c r="R30887" s="29">
        <v>216</v>
      </c>
      <c r="S30887" s="29">
        <v>280</v>
      </c>
      <c r="T30887" s="29">
        <v>100</v>
      </c>
      <c r="U30887" s="29">
        <v>300</v>
      </c>
      <c r="V30887" s="29">
        <v>5</v>
      </c>
      <c r="W30887" s="29"/>
      <c r="X30887" s="29"/>
      <c r="Y30887" s="29"/>
      <c r="Z30887" s="29"/>
      <c r="AA30887" s="29"/>
      <c r="AB30887" s="29">
        <v>805.85</v>
      </c>
      <c r="AC30887" s="29">
        <v>700</v>
      </c>
      <c r="AD30887" s="29">
        <v>100</v>
      </c>
      <c r="AE30887" s="29">
        <v>2646</v>
      </c>
      <c r="AF30887" s="29">
        <v>13</v>
      </c>
      <c r="AG30887" s="29">
        <v>664.57</v>
      </c>
      <c r="AH30887" s="29">
        <v>500</v>
      </c>
      <c r="AI30887" s="29">
        <v>100</v>
      </c>
      <c r="AJ30887" s="29">
        <v>3000</v>
      </c>
      <c r="AK30887" s="29">
        <v>7</v>
      </c>
      <c r="AL30887" s="29">
        <v>1969.05</v>
      </c>
      <c r="AM30887" s="29">
        <v>1500</v>
      </c>
      <c r="AN30887" s="29">
        <v>400</v>
      </c>
      <c r="AO30887" s="29">
        <v>8000</v>
      </c>
      <c r="AP30887" s="29">
        <v>21</v>
      </c>
      <c r="AQ30887" s="29">
        <v>1130.9100000000001</v>
      </c>
      <c r="AR30887" s="29">
        <v>800</v>
      </c>
      <c r="AS30887" s="29">
        <v>50</v>
      </c>
      <c r="AT30887" s="29">
        <v>5000</v>
      </c>
      <c r="AU30887" s="29">
        <v>11</v>
      </c>
      <c r="AV30887" s="29"/>
      <c r="AW30887" s="29"/>
      <c r="AX30887" s="29"/>
      <c r="AY30887" s="29"/>
      <c r="AZ30887" s="29"/>
      <c r="BA30887" s="29">
        <v>370.16</v>
      </c>
      <c r="BB30887" s="29">
        <v>305</v>
      </c>
      <c r="BC30887" s="29">
        <v>100</v>
      </c>
      <c r="BD30887" s="29">
        <v>800</v>
      </c>
      <c r="BE30887" s="29">
        <v>19</v>
      </c>
      <c r="BF30887" s="29">
        <v>6500</v>
      </c>
      <c r="BG30887" s="29">
        <v>6500</v>
      </c>
      <c r="BH30887" s="29">
        <v>6500</v>
      </c>
      <c r="BI30887" s="29">
        <v>6500</v>
      </c>
      <c r="BJ30887" s="29">
        <v>1</v>
      </c>
      <c r="BK30887" s="29">
        <v>600</v>
      </c>
      <c r="BL30887" s="29">
        <v>1000</v>
      </c>
      <c r="BM30887" s="29">
        <v>300</v>
      </c>
      <c r="BN30887" s="29">
        <v>1000</v>
      </c>
      <c r="BO30887" s="29">
        <v>3</v>
      </c>
      <c r="BP30887" s="29">
        <v>1456.25</v>
      </c>
      <c r="BQ30887" s="29">
        <v>1000</v>
      </c>
      <c r="BR30887" s="29">
        <v>50</v>
      </c>
      <c r="BS30887" s="29">
        <v>3500</v>
      </c>
      <c r="BT30887" s="29">
        <v>8</v>
      </c>
      <c r="BU30887" s="29">
        <v>3500</v>
      </c>
      <c r="BV30887" s="29">
        <v>3500</v>
      </c>
      <c r="BW30887" s="29">
        <v>3500</v>
      </c>
      <c r="BX30887" s="29">
        <v>3500</v>
      </c>
      <c r="BY30887" s="29">
        <v>1</v>
      </c>
      <c r="BZ30887" s="29">
        <v>21</v>
      </c>
    </row>
    <row r="30888" spans="1:78" x14ac:dyDescent="0.35">
      <c r="A30888" t="s">
        <v>227</v>
      </c>
      <c r="B30888" t="s">
        <v>2732</v>
      </c>
      <c r="C30888">
        <v>7469.06</v>
      </c>
      <c r="D30888">
        <v>7000</v>
      </c>
      <c r="E30888">
        <v>1500</v>
      </c>
      <c r="F30888">
        <v>30000</v>
      </c>
      <c r="G30888" s="30">
        <v>83</v>
      </c>
      <c r="H30888">
        <v>3785.56</v>
      </c>
      <c r="I30888">
        <v>2800</v>
      </c>
      <c r="J30888">
        <v>250</v>
      </c>
      <c r="K30888">
        <v>30000</v>
      </c>
      <c r="L30888" s="30">
        <v>45</v>
      </c>
      <c r="M30888">
        <v>4585</v>
      </c>
      <c r="N30888">
        <v>4200</v>
      </c>
      <c r="O30888">
        <v>1000</v>
      </c>
      <c r="P30888">
        <v>12000</v>
      </c>
      <c r="Q30888" s="30">
        <v>20</v>
      </c>
      <c r="R30888">
        <v>402.22</v>
      </c>
      <c r="S30888">
        <v>250</v>
      </c>
      <c r="T30888">
        <v>50</v>
      </c>
      <c r="U30888">
        <v>2000</v>
      </c>
      <c r="V30888" s="30">
        <v>54</v>
      </c>
      <c r="W30888">
        <v>609.98</v>
      </c>
      <c r="X30888">
        <v>500</v>
      </c>
      <c r="Y30888">
        <v>50</v>
      </c>
      <c r="Z30888">
        <v>2000</v>
      </c>
      <c r="AA30888" s="30">
        <v>56</v>
      </c>
      <c r="AB30888">
        <v>854</v>
      </c>
      <c r="AC30888">
        <v>700</v>
      </c>
      <c r="AD30888">
        <v>100</v>
      </c>
      <c r="AE30888">
        <v>5000</v>
      </c>
      <c r="AF30888" s="30">
        <v>75</v>
      </c>
      <c r="AG30888">
        <v>656.13</v>
      </c>
      <c r="AH30888">
        <v>500</v>
      </c>
      <c r="AI30888">
        <v>100</v>
      </c>
      <c r="AJ30888">
        <v>4000</v>
      </c>
      <c r="AK30888" s="30">
        <v>31</v>
      </c>
      <c r="AL30888">
        <v>2096.87</v>
      </c>
      <c r="AM30888">
        <v>2000</v>
      </c>
      <c r="AN30888">
        <v>500</v>
      </c>
      <c r="AO30888">
        <v>5500</v>
      </c>
      <c r="AP30888" s="30">
        <v>84</v>
      </c>
      <c r="AQ30888">
        <v>3894.34</v>
      </c>
      <c r="AR30888">
        <v>2000</v>
      </c>
      <c r="AS30888">
        <v>150</v>
      </c>
      <c r="AT30888">
        <v>30000</v>
      </c>
      <c r="AU30888" s="30">
        <v>65</v>
      </c>
      <c r="AV30888">
        <v>1120.53</v>
      </c>
      <c r="AW30888">
        <v>1000</v>
      </c>
      <c r="AX30888">
        <v>200</v>
      </c>
      <c r="AY30888">
        <v>3000</v>
      </c>
      <c r="AZ30888" s="30">
        <v>19</v>
      </c>
      <c r="BA30888">
        <v>679.22</v>
      </c>
      <c r="BB30888">
        <v>650</v>
      </c>
      <c r="BC30888">
        <v>140</v>
      </c>
      <c r="BD30888">
        <v>2500</v>
      </c>
      <c r="BE30888" s="30">
        <v>83</v>
      </c>
      <c r="BF30888">
        <v>2316.67</v>
      </c>
      <c r="BG30888">
        <v>2500</v>
      </c>
      <c r="BH30888">
        <v>400</v>
      </c>
      <c r="BI30888">
        <v>5000</v>
      </c>
      <c r="BJ30888" s="30">
        <v>6</v>
      </c>
      <c r="BK30888">
        <v>5025.4799999999996</v>
      </c>
      <c r="BL30888">
        <v>3000</v>
      </c>
      <c r="BM30888">
        <v>300</v>
      </c>
      <c r="BN30888">
        <v>25000</v>
      </c>
      <c r="BO30888" s="30">
        <v>25</v>
      </c>
      <c r="BP30888">
        <v>724.74</v>
      </c>
      <c r="BQ30888">
        <v>500</v>
      </c>
      <c r="BR30888">
        <v>50</v>
      </c>
      <c r="BS30888">
        <v>3500</v>
      </c>
      <c r="BT30888" s="30">
        <v>57</v>
      </c>
      <c r="BU30888">
        <v>4140</v>
      </c>
      <c r="BV30888">
        <v>7000</v>
      </c>
      <c r="BW30888">
        <v>700</v>
      </c>
      <c r="BX30888">
        <v>7500</v>
      </c>
      <c r="BY30888" s="30">
        <v>5</v>
      </c>
      <c r="BZ30888">
        <v>84</v>
      </c>
    </row>
    <row r="30889" spans="1:78" x14ac:dyDescent="0.35">
      <c r="A30889" t="s">
        <v>228</v>
      </c>
      <c r="B30889" t="s">
        <v>2730</v>
      </c>
      <c r="C30889">
        <v>5205.34</v>
      </c>
      <c r="D30889">
        <v>4000</v>
      </c>
      <c r="E30889">
        <v>200</v>
      </c>
      <c r="F30889">
        <v>26000</v>
      </c>
      <c r="G30889" s="30">
        <v>288</v>
      </c>
      <c r="H30889">
        <v>3559.89</v>
      </c>
      <c r="I30889">
        <v>2000</v>
      </c>
      <c r="J30889">
        <v>200</v>
      </c>
      <c r="K30889">
        <v>30000</v>
      </c>
      <c r="L30889" s="30">
        <v>93</v>
      </c>
      <c r="M30889">
        <v>4304.62</v>
      </c>
      <c r="N30889">
        <v>4000</v>
      </c>
      <c r="O30889">
        <v>300</v>
      </c>
      <c r="P30889">
        <v>14000</v>
      </c>
      <c r="Q30889" s="30">
        <v>40</v>
      </c>
      <c r="R30889">
        <v>347.42</v>
      </c>
      <c r="S30889">
        <v>240</v>
      </c>
      <c r="T30889">
        <v>50</v>
      </c>
      <c r="U30889">
        <v>3000</v>
      </c>
      <c r="V30889" s="30">
        <v>143</v>
      </c>
      <c r="W30889">
        <v>432.69</v>
      </c>
      <c r="X30889">
        <v>300</v>
      </c>
      <c r="Y30889">
        <v>50</v>
      </c>
      <c r="Z30889">
        <v>2000</v>
      </c>
      <c r="AA30889" s="30">
        <v>144</v>
      </c>
      <c r="AB30889">
        <v>625.32000000000005</v>
      </c>
      <c r="AC30889">
        <v>500</v>
      </c>
      <c r="AD30889">
        <v>100</v>
      </c>
      <c r="AE30889">
        <v>5000</v>
      </c>
      <c r="AF30889" s="30">
        <v>209</v>
      </c>
      <c r="AG30889">
        <v>540.55999999999995</v>
      </c>
      <c r="AH30889">
        <v>300</v>
      </c>
      <c r="AI30889">
        <v>100</v>
      </c>
      <c r="AJ30889">
        <v>3000</v>
      </c>
      <c r="AK30889" s="30">
        <v>73</v>
      </c>
      <c r="AL30889">
        <v>1607.64</v>
      </c>
      <c r="AM30889">
        <v>1500</v>
      </c>
      <c r="AN30889">
        <v>300</v>
      </c>
      <c r="AO30889">
        <v>7000</v>
      </c>
      <c r="AP30889" s="30">
        <v>298</v>
      </c>
      <c r="AQ30889">
        <v>1649.62</v>
      </c>
      <c r="AR30889">
        <v>600</v>
      </c>
      <c r="AS30889">
        <v>50</v>
      </c>
      <c r="AT30889">
        <v>30000</v>
      </c>
      <c r="AU30889" s="30">
        <v>127</v>
      </c>
      <c r="AV30889">
        <v>1001.09</v>
      </c>
      <c r="AW30889">
        <v>1030</v>
      </c>
      <c r="AX30889">
        <v>100</v>
      </c>
      <c r="AY30889">
        <v>3000</v>
      </c>
      <c r="AZ30889" s="30">
        <v>16</v>
      </c>
      <c r="BA30889">
        <v>484.58</v>
      </c>
      <c r="BB30889">
        <v>400</v>
      </c>
      <c r="BC30889">
        <v>85</v>
      </c>
      <c r="BD30889">
        <v>2800</v>
      </c>
      <c r="BE30889" s="30">
        <v>308</v>
      </c>
      <c r="BF30889">
        <v>1686.15</v>
      </c>
      <c r="BG30889">
        <v>2000</v>
      </c>
      <c r="BH30889">
        <v>500</v>
      </c>
      <c r="BI30889">
        <v>7000</v>
      </c>
      <c r="BJ30889" s="30">
        <v>6</v>
      </c>
      <c r="BK30889">
        <v>3631.06</v>
      </c>
      <c r="BL30889">
        <v>2000</v>
      </c>
      <c r="BM30889">
        <v>100</v>
      </c>
      <c r="BN30889">
        <v>28000</v>
      </c>
      <c r="BO30889" s="30">
        <v>31</v>
      </c>
      <c r="BP30889">
        <v>903.07</v>
      </c>
      <c r="BQ30889">
        <v>500</v>
      </c>
      <c r="BR30889">
        <v>50</v>
      </c>
      <c r="BS30889">
        <v>7000</v>
      </c>
      <c r="BT30889" s="30">
        <v>144</v>
      </c>
      <c r="BU30889">
        <v>1759.15</v>
      </c>
      <c r="BV30889">
        <v>1360</v>
      </c>
      <c r="BW30889">
        <v>500</v>
      </c>
      <c r="BX30889">
        <v>4000</v>
      </c>
      <c r="BY30889" s="30">
        <v>13</v>
      </c>
      <c r="BZ30889">
        <v>308</v>
      </c>
    </row>
    <row r="30890" spans="1:78" x14ac:dyDescent="0.35">
      <c r="A30890" t="s">
        <v>228</v>
      </c>
      <c r="B30890" t="s">
        <v>2731</v>
      </c>
      <c r="C30890">
        <v>5675.95</v>
      </c>
      <c r="D30890">
        <v>5000</v>
      </c>
      <c r="E30890">
        <v>300</v>
      </c>
      <c r="F30890">
        <v>15000</v>
      </c>
      <c r="G30890" s="30">
        <v>80</v>
      </c>
      <c r="H30890">
        <v>2789.13</v>
      </c>
      <c r="I30890">
        <v>2000</v>
      </c>
      <c r="J30890">
        <v>300</v>
      </c>
      <c r="K30890">
        <v>15000</v>
      </c>
      <c r="L30890" s="30">
        <v>25</v>
      </c>
      <c r="M30890">
        <v>6716.37</v>
      </c>
      <c r="N30890">
        <v>7000</v>
      </c>
      <c r="O30890">
        <v>1000</v>
      </c>
      <c r="P30890">
        <v>15000</v>
      </c>
      <c r="Q30890" s="30">
        <v>11</v>
      </c>
      <c r="R30890">
        <v>374.43</v>
      </c>
      <c r="S30890">
        <v>300</v>
      </c>
      <c r="T30890">
        <v>50</v>
      </c>
      <c r="U30890">
        <v>2000</v>
      </c>
      <c r="V30890" s="30">
        <v>41</v>
      </c>
      <c r="W30890">
        <v>512.79</v>
      </c>
      <c r="X30890">
        <v>1000</v>
      </c>
      <c r="Y30890">
        <v>101</v>
      </c>
      <c r="Z30890">
        <v>1500</v>
      </c>
      <c r="AA30890" s="30">
        <v>4</v>
      </c>
      <c r="AB30890">
        <v>565.64</v>
      </c>
      <c r="AC30890">
        <v>500</v>
      </c>
      <c r="AD30890">
        <v>100</v>
      </c>
      <c r="AE30890">
        <v>2000</v>
      </c>
      <c r="AF30890" s="30">
        <v>43</v>
      </c>
      <c r="AG30890">
        <v>485.82</v>
      </c>
      <c r="AH30890">
        <v>500</v>
      </c>
      <c r="AI30890">
        <v>100</v>
      </c>
      <c r="AJ30890">
        <v>1000</v>
      </c>
      <c r="AK30890" s="30">
        <v>20</v>
      </c>
      <c r="AL30890">
        <v>1805.05</v>
      </c>
      <c r="AM30890">
        <v>1600</v>
      </c>
      <c r="AN30890">
        <v>350</v>
      </c>
      <c r="AO30890">
        <v>5000</v>
      </c>
      <c r="AP30890" s="30">
        <v>77</v>
      </c>
      <c r="AQ30890">
        <v>2238.4899999999998</v>
      </c>
      <c r="AR30890">
        <v>1000</v>
      </c>
      <c r="AS30890">
        <v>50</v>
      </c>
      <c r="AT30890">
        <v>15000</v>
      </c>
      <c r="AU30890" s="30">
        <v>49</v>
      </c>
      <c r="AV30890">
        <v>699.26</v>
      </c>
      <c r="AW30890">
        <v>900</v>
      </c>
      <c r="AX30890">
        <v>100</v>
      </c>
      <c r="AY30890">
        <v>2000</v>
      </c>
      <c r="AZ30890" s="30">
        <v>8</v>
      </c>
      <c r="BA30890">
        <v>506.5</v>
      </c>
      <c r="BB30890">
        <v>400</v>
      </c>
      <c r="BC30890">
        <v>100</v>
      </c>
      <c r="BD30890">
        <v>1200</v>
      </c>
      <c r="BE30890" s="30">
        <v>74</v>
      </c>
      <c r="BF30890">
        <v>2831.49</v>
      </c>
      <c r="BG30890">
        <v>2000</v>
      </c>
      <c r="BH30890">
        <v>2000</v>
      </c>
      <c r="BI30890">
        <v>4000</v>
      </c>
      <c r="BJ30890" s="30">
        <v>2</v>
      </c>
      <c r="BK30890">
        <v>3459.39</v>
      </c>
      <c r="BL30890">
        <v>2000</v>
      </c>
      <c r="BM30890">
        <v>500</v>
      </c>
      <c r="BN30890">
        <v>8000</v>
      </c>
      <c r="BO30890" s="30">
        <v>13</v>
      </c>
      <c r="BP30890">
        <v>1037.05</v>
      </c>
      <c r="BQ30890">
        <v>850</v>
      </c>
      <c r="BR30890">
        <v>100</v>
      </c>
      <c r="BS30890">
        <v>4500</v>
      </c>
      <c r="BT30890" s="30">
        <v>31</v>
      </c>
      <c r="BU30890">
        <v>1638.17</v>
      </c>
      <c r="BV30890">
        <v>1950</v>
      </c>
      <c r="BW30890">
        <v>500</v>
      </c>
      <c r="BX30890">
        <v>4000</v>
      </c>
      <c r="BY30890" s="30">
        <v>4</v>
      </c>
      <c r="BZ30890">
        <v>80</v>
      </c>
    </row>
    <row r="30891" spans="1:78" x14ac:dyDescent="0.35">
      <c r="A30891" t="s">
        <v>228</v>
      </c>
      <c r="B30891" t="s">
        <v>2732</v>
      </c>
      <c r="C30891">
        <v>9512.14</v>
      </c>
      <c r="D30891">
        <v>8000</v>
      </c>
      <c r="E30891">
        <v>300</v>
      </c>
      <c r="F30891">
        <v>30000</v>
      </c>
      <c r="G30891" s="30">
        <v>452</v>
      </c>
      <c r="H30891">
        <v>3722.54</v>
      </c>
      <c r="I30891">
        <v>3000</v>
      </c>
      <c r="J30891">
        <v>100</v>
      </c>
      <c r="K30891">
        <v>15000</v>
      </c>
      <c r="L30891" s="30">
        <v>206</v>
      </c>
      <c r="M30891">
        <v>6193.42</v>
      </c>
      <c r="N30891">
        <v>6000</v>
      </c>
      <c r="O30891">
        <v>183</v>
      </c>
      <c r="P30891">
        <v>16000</v>
      </c>
      <c r="Q30891" s="30">
        <v>79</v>
      </c>
      <c r="R30891">
        <v>501.23</v>
      </c>
      <c r="S30891">
        <v>350</v>
      </c>
      <c r="T30891">
        <v>50</v>
      </c>
      <c r="U30891">
        <v>3000</v>
      </c>
      <c r="V30891" s="30">
        <v>263</v>
      </c>
      <c r="W30891">
        <v>517.5</v>
      </c>
      <c r="X30891">
        <v>300</v>
      </c>
      <c r="Y30891">
        <v>50</v>
      </c>
      <c r="Z30891">
        <v>3000</v>
      </c>
      <c r="AA30891" s="30">
        <v>254</v>
      </c>
      <c r="AB30891">
        <v>799.86</v>
      </c>
      <c r="AC30891">
        <v>500</v>
      </c>
      <c r="AD30891">
        <v>100</v>
      </c>
      <c r="AE30891">
        <v>5000</v>
      </c>
      <c r="AF30891" s="30">
        <v>378</v>
      </c>
      <c r="AG30891">
        <v>666.48</v>
      </c>
      <c r="AH30891">
        <v>500</v>
      </c>
      <c r="AI30891">
        <v>100</v>
      </c>
      <c r="AJ30891">
        <v>5000</v>
      </c>
      <c r="AK30891" s="30">
        <v>171</v>
      </c>
      <c r="AL30891">
        <v>2313.59</v>
      </c>
      <c r="AM30891">
        <v>2000</v>
      </c>
      <c r="AN30891">
        <v>300</v>
      </c>
      <c r="AO30891">
        <v>9000</v>
      </c>
      <c r="AP30891" s="30">
        <v>484</v>
      </c>
      <c r="AQ30891">
        <v>2512.86</v>
      </c>
      <c r="AR30891">
        <v>1200</v>
      </c>
      <c r="AS30891">
        <v>50</v>
      </c>
      <c r="AT30891">
        <v>20000</v>
      </c>
      <c r="AU30891" s="30">
        <v>304</v>
      </c>
      <c r="AV30891">
        <v>659.61</v>
      </c>
      <c r="AW30891">
        <v>500</v>
      </c>
      <c r="AX30891">
        <v>100</v>
      </c>
      <c r="AY30891">
        <v>3000</v>
      </c>
      <c r="AZ30891" s="30">
        <v>60</v>
      </c>
      <c r="BA30891">
        <v>728.39</v>
      </c>
      <c r="BB30891">
        <v>600</v>
      </c>
      <c r="BC30891">
        <v>100</v>
      </c>
      <c r="BD30891">
        <v>2500</v>
      </c>
      <c r="BE30891" s="30">
        <v>494</v>
      </c>
      <c r="BF30891">
        <v>2570.63</v>
      </c>
      <c r="BG30891">
        <v>2000</v>
      </c>
      <c r="BH30891">
        <v>600</v>
      </c>
      <c r="BI30891">
        <v>6000</v>
      </c>
      <c r="BJ30891" s="30">
        <v>42</v>
      </c>
      <c r="BK30891">
        <v>4361.63</v>
      </c>
      <c r="BL30891">
        <v>2000</v>
      </c>
      <c r="BM30891">
        <v>100</v>
      </c>
      <c r="BN30891">
        <v>30000</v>
      </c>
      <c r="BO30891" s="30">
        <v>86</v>
      </c>
      <c r="BP30891">
        <v>1205.78</v>
      </c>
      <c r="BQ30891">
        <v>600</v>
      </c>
      <c r="BR30891">
        <v>50</v>
      </c>
      <c r="BS30891">
        <v>20000</v>
      </c>
      <c r="BT30891" s="30">
        <v>268</v>
      </c>
      <c r="BU30891">
        <v>2665.73</v>
      </c>
      <c r="BV30891">
        <v>2000</v>
      </c>
      <c r="BW30891">
        <v>254</v>
      </c>
      <c r="BX30891">
        <v>7000</v>
      </c>
      <c r="BY30891" s="30">
        <v>21</v>
      </c>
      <c r="BZ30891">
        <v>494</v>
      </c>
    </row>
    <row r="30892" spans="1:78" x14ac:dyDescent="0.35">
      <c r="A30892" t="s">
        <v>229</v>
      </c>
      <c r="B30892" t="s">
        <v>2730</v>
      </c>
      <c r="C30892">
        <v>5529.3</v>
      </c>
      <c r="D30892">
        <v>5000</v>
      </c>
      <c r="E30892">
        <v>200</v>
      </c>
      <c r="F30892">
        <v>25000</v>
      </c>
      <c r="G30892" s="30">
        <v>255</v>
      </c>
      <c r="H30892">
        <v>2727.95</v>
      </c>
      <c r="I30892">
        <v>2000</v>
      </c>
      <c r="J30892">
        <v>100</v>
      </c>
      <c r="K30892">
        <v>15000</v>
      </c>
      <c r="L30892" s="30">
        <v>107</v>
      </c>
      <c r="M30892">
        <v>5151.63</v>
      </c>
      <c r="N30892">
        <v>4500</v>
      </c>
      <c r="O30892">
        <v>400</v>
      </c>
      <c r="P30892">
        <v>15000</v>
      </c>
      <c r="Q30892" s="30">
        <v>34</v>
      </c>
      <c r="R30892">
        <v>366.35</v>
      </c>
      <c r="S30892">
        <v>200</v>
      </c>
      <c r="T30892">
        <v>50</v>
      </c>
      <c r="U30892">
        <v>2000</v>
      </c>
      <c r="V30892" s="30">
        <v>99</v>
      </c>
      <c r="W30892">
        <v>372.83</v>
      </c>
      <c r="X30892">
        <v>300</v>
      </c>
      <c r="Y30892">
        <v>50</v>
      </c>
      <c r="Z30892">
        <v>2200</v>
      </c>
      <c r="AA30892" s="30">
        <v>171</v>
      </c>
      <c r="AB30892">
        <v>683.96</v>
      </c>
      <c r="AC30892">
        <v>500</v>
      </c>
      <c r="AD30892">
        <v>100</v>
      </c>
      <c r="AE30892">
        <v>3000</v>
      </c>
      <c r="AF30892" s="30">
        <v>211</v>
      </c>
      <c r="AG30892">
        <v>453.15</v>
      </c>
      <c r="AH30892">
        <v>300</v>
      </c>
      <c r="AI30892">
        <v>100</v>
      </c>
      <c r="AJ30892">
        <v>2000</v>
      </c>
      <c r="AK30892" s="30">
        <v>75</v>
      </c>
      <c r="AL30892">
        <v>1840.42</v>
      </c>
      <c r="AM30892">
        <v>1500</v>
      </c>
      <c r="AN30892">
        <v>300</v>
      </c>
      <c r="AO30892">
        <v>9000</v>
      </c>
      <c r="AP30892" s="30">
        <v>266</v>
      </c>
      <c r="AQ30892">
        <v>1001.25</v>
      </c>
      <c r="AR30892">
        <v>500</v>
      </c>
      <c r="AS30892">
        <v>50</v>
      </c>
      <c r="AT30892">
        <v>15000</v>
      </c>
      <c r="AU30892" s="30">
        <v>146</v>
      </c>
      <c r="AV30892">
        <v>772.1</v>
      </c>
      <c r="AW30892">
        <v>500</v>
      </c>
      <c r="AX30892">
        <v>100</v>
      </c>
      <c r="AY30892">
        <v>2000</v>
      </c>
      <c r="AZ30892" s="30">
        <v>21</v>
      </c>
      <c r="BA30892">
        <v>446.62</v>
      </c>
      <c r="BB30892">
        <v>350</v>
      </c>
      <c r="BC30892">
        <v>50</v>
      </c>
      <c r="BD30892">
        <v>2000</v>
      </c>
      <c r="BE30892" s="30">
        <v>268</v>
      </c>
      <c r="BF30892">
        <v>1921.65</v>
      </c>
      <c r="BG30892">
        <v>2000</v>
      </c>
      <c r="BH30892">
        <v>500</v>
      </c>
      <c r="BI30892">
        <v>3000</v>
      </c>
      <c r="BJ30892" s="30">
        <v>6</v>
      </c>
      <c r="BK30892">
        <v>2801.86</v>
      </c>
      <c r="BL30892">
        <v>1000</v>
      </c>
      <c r="BM30892">
        <v>200</v>
      </c>
      <c r="BN30892">
        <v>17000</v>
      </c>
      <c r="BO30892" s="30">
        <v>34</v>
      </c>
      <c r="BP30892">
        <v>1117.6199999999999</v>
      </c>
      <c r="BQ30892">
        <v>650</v>
      </c>
      <c r="BR30892">
        <v>50</v>
      </c>
      <c r="BS30892">
        <v>7000</v>
      </c>
      <c r="BT30892" s="30">
        <v>118</v>
      </c>
      <c r="BU30892">
        <v>2109.13</v>
      </c>
      <c r="BV30892">
        <v>1500</v>
      </c>
      <c r="BW30892">
        <v>600</v>
      </c>
      <c r="BX30892">
        <v>4000</v>
      </c>
      <c r="BY30892" s="30">
        <v>8</v>
      </c>
      <c r="BZ30892">
        <v>268</v>
      </c>
    </row>
    <row r="30893" spans="1:78" x14ac:dyDescent="0.35">
      <c r="A30893" t="s">
        <v>229</v>
      </c>
      <c r="B30893" t="s">
        <v>2731</v>
      </c>
      <c r="C30893">
        <v>6420.68</v>
      </c>
      <c r="D30893">
        <v>5000</v>
      </c>
      <c r="E30893">
        <v>900</v>
      </c>
      <c r="F30893">
        <v>16500</v>
      </c>
      <c r="G30893" s="30">
        <v>75</v>
      </c>
      <c r="H30893">
        <v>2641.5</v>
      </c>
      <c r="I30893">
        <v>2000</v>
      </c>
      <c r="J30893">
        <v>200</v>
      </c>
      <c r="K30893">
        <v>10000</v>
      </c>
      <c r="L30893" s="30">
        <v>31</v>
      </c>
      <c r="M30893">
        <v>5644.12</v>
      </c>
      <c r="N30893">
        <v>8000</v>
      </c>
      <c r="O30893">
        <v>500</v>
      </c>
      <c r="P30893">
        <v>8500</v>
      </c>
      <c r="Q30893" s="30">
        <v>9</v>
      </c>
      <c r="R30893">
        <v>576.11</v>
      </c>
      <c r="S30893">
        <v>500</v>
      </c>
      <c r="T30893">
        <v>60</v>
      </c>
      <c r="U30893">
        <v>1500</v>
      </c>
      <c r="V30893" s="30">
        <v>22</v>
      </c>
      <c r="W30893">
        <v>287.52999999999997</v>
      </c>
      <c r="X30893">
        <v>300</v>
      </c>
      <c r="Y30893">
        <v>200</v>
      </c>
      <c r="Z30893">
        <v>300</v>
      </c>
      <c r="AA30893" s="30">
        <v>2</v>
      </c>
      <c r="AB30893">
        <v>851.17</v>
      </c>
      <c r="AC30893">
        <v>500</v>
      </c>
      <c r="AD30893">
        <v>100</v>
      </c>
      <c r="AE30893">
        <v>4000</v>
      </c>
      <c r="AF30893" s="30">
        <v>57</v>
      </c>
      <c r="AG30893">
        <v>382.45</v>
      </c>
      <c r="AH30893">
        <v>400</v>
      </c>
      <c r="AI30893">
        <v>100</v>
      </c>
      <c r="AJ30893">
        <v>1500</v>
      </c>
      <c r="AK30893" s="30">
        <v>24</v>
      </c>
      <c r="AL30893">
        <v>1711.9</v>
      </c>
      <c r="AM30893">
        <v>1200</v>
      </c>
      <c r="AN30893">
        <v>300</v>
      </c>
      <c r="AO30893">
        <v>8000</v>
      </c>
      <c r="AP30893" s="30">
        <v>76</v>
      </c>
      <c r="AQ30893">
        <v>1222.8599999999999</v>
      </c>
      <c r="AR30893">
        <v>500</v>
      </c>
      <c r="AS30893">
        <v>50</v>
      </c>
      <c r="AT30893">
        <v>6000</v>
      </c>
      <c r="AU30893" s="30">
        <v>41</v>
      </c>
      <c r="AV30893">
        <v>372.12</v>
      </c>
      <c r="AW30893">
        <v>500</v>
      </c>
      <c r="AX30893">
        <v>100</v>
      </c>
      <c r="AY30893">
        <v>2000</v>
      </c>
      <c r="AZ30893" s="30">
        <v>11</v>
      </c>
      <c r="BA30893">
        <v>363.08</v>
      </c>
      <c r="BB30893">
        <v>350</v>
      </c>
      <c r="BC30893">
        <v>50</v>
      </c>
      <c r="BD30893">
        <v>800</v>
      </c>
      <c r="BE30893" s="30">
        <v>79</v>
      </c>
      <c r="BK30893">
        <v>1313.4</v>
      </c>
      <c r="BL30893">
        <v>1000</v>
      </c>
      <c r="BM30893">
        <v>300</v>
      </c>
      <c r="BN30893">
        <v>6000</v>
      </c>
      <c r="BO30893" s="30">
        <v>9</v>
      </c>
      <c r="BP30893">
        <v>569.51</v>
      </c>
      <c r="BQ30893">
        <v>450</v>
      </c>
      <c r="BR30893">
        <v>100</v>
      </c>
      <c r="BS30893">
        <v>3500</v>
      </c>
      <c r="BT30893" s="30">
        <v>34</v>
      </c>
      <c r="BU30893">
        <v>2050</v>
      </c>
      <c r="BV30893">
        <v>2050</v>
      </c>
      <c r="BW30893">
        <v>2050</v>
      </c>
      <c r="BX30893">
        <v>2050</v>
      </c>
      <c r="BY30893" s="30">
        <v>1</v>
      </c>
      <c r="BZ30893">
        <v>79</v>
      </c>
    </row>
    <row r="30894" spans="1:78" x14ac:dyDescent="0.35">
      <c r="A30894" t="s">
        <v>229</v>
      </c>
      <c r="B30894" t="s">
        <v>2732</v>
      </c>
      <c r="C30894">
        <v>11311.81</v>
      </c>
      <c r="D30894">
        <v>10000</v>
      </c>
      <c r="E30894">
        <v>300</v>
      </c>
      <c r="F30894">
        <v>30000</v>
      </c>
      <c r="G30894" s="30">
        <v>437</v>
      </c>
      <c r="H30894">
        <v>4806.4799999999996</v>
      </c>
      <c r="I30894">
        <v>4000</v>
      </c>
      <c r="J30894">
        <v>100</v>
      </c>
      <c r="K30894">
        <v>30000</v>
      </c>
      <c r="L30894" s="30">
        <v>249</v>
      </c>
      <c r="M30894">
        <v>8520.5300000000007</v>
      </c>
      <c r="N30894">
        <v>9000</v>
      </c>
      <c r="O30894">
        <v>600</v>
      </c>
      <c r="P30894">
        <v>16000</v>
      </c>
      <c r="Q30894" s="30">
        <v>54</v>
      </c>
      <c r="R30894">
        <v>568.6</v>
      </c>
      <c r="S30894">
        <v>480</v>
      </c>
      <c r="T30894">
        <v>50</v>
      </c>
      <c r="U30894">
        <v>3000</v>
      </c>
      <c r="V30894" s="30">
        <v>203</v>
      </c>
      <c r="W30894">
        <v>570.45000000000005</v>
      </c>
      <c r="X30894">
        <v>500</v>
      </c>
      <c r="Y30894">
        <v>100</v>
      </c>
      <c r="Z30894">
        <v>3000</v>
      </c>
      <c r="AA30894" s="30">
        <v>280</v>
      </c>
      <c r="AB30894">
        <v>1146.29</v>
      </c>
      <c r="AC30894">
        <v>1000</v>
      </c>
      <c r="AD30894">
        <v>100</v>
      </c>
      <c r="AE30894">
        <v>5000</v>
      </c>
      <c r="AF30894" s="30">
        <v>390</v>
      </c>
      <c r="AG30894">
        <v>779.45</v>
      </c>
      <c r="AH30894">
        <v>500</v>
      </c>
      <c r="AI30894">
        <v>100</v>
      </c>
      <c r="AJ30894">
        <v>5000</v>
      </c>
      <c r="AK30894" s="30">
        <v>203</v>
      </c>
      <c r="AL30894">
        <v>2727.6</v>
      </c>
      <c r="AM30894">
        <v>2500</v>
      </c>
      <c r="AN30894">
        <v>300</v>
      </c>
      <c r="AO30894">
        <v>8000</v>
      </c>
      <c r="AP30894" s="30">
        <v>461</v>
      </c>
      <c r="AQ30894">
        <v>3086.54</v>
      </c>
      <c r="AR30894">
        <v>2000</v>
      </c>
      <c r="AS30894">
        <v>50</v>
      </c>
      <c r="AT30894">
        <v>30000</v>
      </c>
      <c r="AU30894" s="30">
        <v>328</v>
      </c>
      <c r="AV30894">
        <v>953.6</v>
      </c>
      <c r="AW30894">
        <v>500</v>
      </c>
      <c r="AX30894">
        <v>100</v>
      </c>
      <c r="AY30894">
        <v>3000</v>
      </c>
      <c r="AZ30894" s="30">
        <v>57</v>
      </c>
      <c r="BA30894">
        <v>760.99</v>
      </c>
      <c r="BB30894">
        <v>700</v>
      </c>
      <c r="BC30894">
        <v>100</v>
      </c>
      <c r="BD30894">
        <v>2800</v>
      </c>
      <c r="BE30894" s="30">
        <v>460</v>
      </c>
      <c r="BF30894">
        <v>3263.89</v>
      </c>
      <c r="BG30894">
        <v>2000</v>
      </c>
      <c r="BH30894">
        <v>200</v>
      </c>
      <c r="BI30894">
        <v>10000</v>
      </c>
      <c r="BJ30894" s="30">
        <v>36</v>
      </c>
      <c r="BK30894">
        <v>7151.35</v>
      </c>
      <c r="BL30894">
        <v>3500</v>
      </c>
      <c r="BM30894">
        <v>100</v>
      </c>
      <c r="BN30894">
        <v>30000</v>
      </c>
      <c r="BO30894" s="30">
        <v>114</v>
      </c>
      <c r="BP30894">
        <v>1904.64</v>
      </c>
      <c r="BQ30894">
        <v>1000</v>
      </c>
      <c r="BR30894">
        <v>50</v>
      </c>
      <c r="BS30894">
        <v>30000</v>
      </c>
      <c r="BT30894" s="30">
        <v>264</v>
      </c>
      <c r="BU30894">
        <v>4161.41</v>
      </c>
      <c r="BV30894">
        <v>3000</v>
      </c>
      <c r="BW30894">
        <v>200</v>
      </c>
      <c r="BX30894">
        <v>10000</v>
      </c>
      <c r="BY30894" s="30">
        <v>24</v>
      </c>
      <c r="BZ30894">
        <v>461</v>
      </c>
    </row>
    <row r="30895" spans="1:78" x14ac:dyDescent="0.35">
      <c r="A30895" t="s">
        <v>230</v>
      </c>
      <c r="B30895" t="s">
        <v>2730</v>
      </c>
      <c r="C30895">
        <v>4919.28</v>
      </c>
      <c r="D30895">
        <v>4000</v>
      </c>
      <c r="E30895">
        <v>200</v>
      </c>
      <c r="F30895">
        <v>20000</v>
      </c>
      <c r="G30895" s="30">
        <v>170</v>
      </c>
      <c r="H30895">
        <v>2179.71</v>
      </c>
      <c r="I30895">
        <v>1000</v>
      </c>
      <c r="J30895">
        <v>170</v>
      </c>
      <c r="K30895">
        <v>11000</v>
      </c>
      <c r="L30895" s="30">
        <v>63</v>
      </c>
      <c r="M30895">
        <v>4832.55</v>
      </c>
      <c r="N30895">
        <v>4000</v>
      </c>
      <c r="O30895">
        <v>1000</v>
      </c>
      <c r="P30895">
        <v>11500</v>
      </c>
      <c r="Q30895" s="30">
        <v>22</v>
      </c>
      <c r="R30895">
        <v>337.91</v>
      </c>
      <c r="S30895">
        <v>200</v>
      </c>
      <c r="T30895">
        <v>50</v>
      </c>
      <c r="U30895">
        <v>2000</v>
      </c>
      <c r="V30895" s="30">
        <v>93</v>
      </c>
      <c r="W30895">
        <v>290.2</v>
      </c>
      <c r="X30895">
        <v>200</v>
      </c>
      <c r="Y30895">
        <v>30</v>
      </c>
      <c r="Z30895">
        <v>2000</v>
      </c>
      <c r="AA30895" s="30">
        <v>97</v>
      </c>
      <c r="AB30895">
        <v>659.36</v>
      </c>
      <c r="AC30895">
        <v>300</v>
      </c>
      <c r="AD30895">
        <v>100</v>
      </c>
      <c r="AE30895">
        <v>5000</v>
      </c>
      <c r="AF30895" s="30">
        <v>136</v>
      </c>
      <c r="AG30895">
        <v>347.26</v>
      </c>
      <c r="AH30895">
        <v>200</v>
      </c>
      <c r="AI30895">
        <v>100</v>
      </c>
      <c r="AJ30895">
        <v>5000</v>
      </c>
      <c r="AK30895" s="30">
        <v>54</v>
      </c>
      <c r="AL30895">
        <v>1654.41</v>
      </c>
      <c r="AM30895">
        <v>1500</v>
      </c>
      <c r="AN30895">
        <v>300</v>
      </c>
      <c r="AO30895">
        <v>7000</v>
      </c>
      <c r="AP30895" s="30">
        <v>166</v>
      </c>
      <c r="AQ30895">
        <v>755.61</v>
      </c>
      <c r="AR30895">
        <v>480</v>
      </c>
      <c r="AS30895">
        <v>50</v>
      </c>
      <c r="AT30895">
        <v>4000</v>
      </c>
      <c r="AU30895" s="30">
        <v>93</v>
      </c>
      <c r="AV30895">
        <v>589.76</v>
      </c>
      <c r="AW30895">
        <v>500</v>
      </c>
      <c r="AX30895">
        <v>100</v>
      </c>
      <c r="AY30895">
        <v>2000</v>
      </c>
      <c r="AZ30895" s="30">
        <v>9</v>
      </c>
      <c r="BA30895">
        <v>430.81</v>
      </c>
      <c r="BB30895">
        <v>400</v>
      </c>
      <c r="BC30895">
        <v>100</v>
      </c>
      <c r="BD30895">
        <v>2000</v>
      </c>
      <c r="BE30895" s="30">
        <v>172</v>
      </c>
      <c r="BF30895">
        <v>1784.46</v>
      </c>
      <c r="BG30895">
        <v>2000</v>
      </c>
      <c r="BH30895">
        <v>400</v>
      </c>
      <c r="BI30895">
        <v>4000</v>
      </c>
      <c r="BJ30895" s="30">
        <v>7</v>
      </c>
      <c r="BK30895">
        <v>1700.1</v>
      </c>
      <c r="BL30895">
        <v>1500</v>
      </c>
      <c r="BM30895">
        <v>100</v>
      </c>
      <c r="BN30895">
        <v>10000</v>
      </c>
      <c r="BO30895" s="30">
        <v>24</v>
      </c>
      <c r="BP30895">
        <v>1201.7</v>
      </c>
      <c r="BQ30895">
        <v>600</v>
      </c>
      <c r="BR30895">
        <v>50</v>
      </c>
      <c r="BS30895">
        <v>10000</v>
      </c>
      <c r="BT30895" s="30">
        <v>93</v>
      </c>
      <c r="BU30895">
        <v>2266.3200000000002</v>
      </c>
      <c r="BV30895">
        <v>2500</v>
      </c>
      <c r="BW30895">
        <v>100</v>
      </c>
      <c r="BX30895">
        <v>3500</v>
      </c>
      <c r="BY30895" s="30">
        <v>13</v>
      </c>
      <c r="BZ30895">
        <v>172</v>
      </c>
    </row>
    <row r="30896" spans="1:78" x14ac:dyDescent="0.35">
      <c r="A30896" t="s">
        <v>230</v>
      </c>
      <c r="B30896" t="s">
        <v>2731</v>
      </c>
      <c r="C30896">
        <v>5949.46</v>
      </c>
      <c r="D30896">
        <v>4500</v>
      </c>
      <c r="E30896">
        <v>200</v>
      </c>
      <c r="F30896">
        <v>20000</v>
      </c>
      <c r="G30896" s="30">
        <v>47</v>
      </c>
      <c r="H30896">
        <v>12324.41</v>
      </c>
      <c r="I30896">
        <v>1000</v>
      </c>
      <c r="J30896">
        <v>200</v>
      </c>
      <c r="K30896">
        <v>60000</v>
      </c>
      <c r="L30896" s="30">
        <v>14</v>
      </c>
      <c r="M30896">
        <v>6482.34</v>
      </c>
      <c r="N30896">
        <v>8000</v>
      </c>
      <c r="O30896">
        <v>2000</v>
      </c>
      <c r="P30896">
        <v>8000</v>
      </c>
      <c r="Q30896" s="30">
        <v>5</v>
      </c>
      <c r="R30896">
        <v>363.19</v>
      </c>
      <c r="S30896">
        <v>200</v>
      </c>
      <c r="T30896">
        <v>50</v>
      </c>
      <c r="U30896">
        <v>2000</v>
      </c>
      <c r="V30896" s="30">
        <v>24</v>
      </c>
      <c r="W30896">
        <v>200</v>
      </c>
      <c r="X30896">
        <v>200</v>
      </c>
      <c r="Y30896">
        <v>200</v>
      </c>
      <c r="Z30896">
        <v>200</v>
      </c>
      <c r="AA30896" s="30">
        <v>1</v>
      </c>
      <c r="AB30896">
        <v>674.95</v>
      </c>
      <c r="AC30896">
        <v>500</v>
      </c>
      <c r="AD30896">
        <v>100</v>
      </c>
      <c r="AE30896">
        <v>2000</v>
      </c>
      <c r="AF30896" s="30">
        <v>26</v>
      </c>
      <c r="AG30896">
        <v>388.29</v>
      </c>
      <c r="AH30896">
        <v>500</v>
      </c>
      <c r="AI30896">
        <v>100</v>
      </c>
      <c r="AJ30896">
        <v>2000</v>
      </c>
      <c r="AK30896" s="30">
        <v>16</v>
      </c>
      <c r="AL30896">
        <v>1518.59</v>
      </c>
      <c r="AM30896">
        <v>1200</v>
      </c>
      <c r="AN30896">
        <v>500</v>
      </c>
      <c r="AO30896">
        <v>5000</v>
      </c>
      <c r="AP30896" s="30">
        <v>38</v>
      </c>
      <c r="AQ30896">
        <v>1064.0899999999999</v>
      </c>
      <c r="AR30896">
        <v>1000</v>
      </c>
      <c r="AS30896">
        <v>100</v>
      </c>
      <c r="AT30896">
        <v>4500</v>
      </c>
      <c r="AU30896" s="30">
        <v>28</v>
      </c>
      <c r="AV30896">
        <v>1000</v>
      </c>
      <c r="AW30896">
        <v>1000</v>
      </c>
      <c r="AX30896">
        <v>1000</v>
      </c>
      <c r="AY30896">
        <v>1000</v>
      </c>
      <c r="AZ30896" s="30">
        <v>1</v>
      </c>
      <c r="BA30896">
        <v>492.56</v>
      </c>
      <c r="BB30896">
        <v>500</v>
      </c>
      <c r="BC30896">
        <v>120</v>
      </c>
      <c r="BD30896">
        <v>1500</v>
      </c>
      <c r="BE30896" s="30">
        <v>45</v>
      </c>
      <c r="BK30896">
        <v>781.26</v>
      </c>
      <c r="BL30896">
        <v>500</v>
      </c>
      <c r="BM30896">
        <v>300</v>
      </c>
      <c r="BN30896">
        <v>3000</v>
      </c>
      <c r="BO30896" s="30">
        <v>8</v>
      </c>
      <c r="BP30896">
        <v>920.69</v>
      </c>
      <c r="BQ30896">
        <v>1000</v>
      </c>
      <c r="BR30896">
        <v>50</v>
      </c>
      <c r="BS30896">
        <v>3500</v>
      </c>
      <c r="BT30896" s="30">
        <v>20</v>
      </c>
      <c r="BU30896">
        <v>2387.1799999999998</v>
      </c>
      <c r="BV30896">
        <v>3300</v>
      </c>
      <c r="BW30896">
        <v>2000</v>
      </c>
      <c r="BX30896">
        <v>3300</v>
      </c>
      <c r="BY30896" s="30">
        <v>3</v>
      </c>
      <c r="BZ30896">
        <v>47</v>
      </c>
    </row>
    <row r="30897" spans="1:78" x14ac:dyDescent="0.35">
      <c r="A30897" t="s">
        <v>230</v>
      </c>
      <c r="B30897" t="s">
        <v>2732</v>
      </c>
      <c r="C30897">
        <v>9415.6299999999992</v>
      </c>
      <c r="D30897">
        <v>7000</v>
      </c>
      <c r="E30897">
        <v>500</v>
      </c>
      <c r="F30897">
        <v>25000</v>
      </c>
      <c r="G30897" s="30">
        <v>282</v>
      </c>
      <c r="H30897">
        <v>4818.62</v>
      </c>
      <c r="I30897">
        <v>3000</v>
      </c>
      <c r="J30897">
        <v>100</v>
      </c>
      <c r="K30897">
        <v>30000</v>
      </c>
      <c r="L30897" s="30">
        <v>143</v>
      </c>
      <c r="M30897">
        <v>6397.99</v>
      </c>
      <c r="N30897">
        <v>6700</v>
      </c>
      <c r="O30897">
        <v>2000</v>
      </c>
      <c r="P30897">
        <v>12000</v>
      </c>
      <c r="Q30897" s="30">
        <v>41</v>
      </c>
      <c r="R30897">
        <v>652.4</v>
      </c>
      <c r="S30897">
        <v>500</v>
      </c>
      <c r="T30897">
        <v>50</v>
      </c>
      <c r="U30897">
        <v>3000</v>
      </c>
      <c r="V30897" s="30">
        <v>139</v>
      </c>
      <c r="W30897">
        <v>661.94</v>
      </c>
      <c r="X30897">
        <v>500</v>
      </c>
      <c r="Y30897">
        <v>50</v>
      </c>
      <c r="Z30897">
        <v>3000</v>
      </c>
      <c r="AA30897" s="30">
        <v>152</v>
      </c>
      <c r="AB30897">
        <v>976.91</v>
      </c>
      <c r="AC30897">
        <v>700</v>
      </c>
      <c r="AD30897">
        <v>100</v>
      </c>
      <c r="AE30897">
        <v>5000</v>
      </c>
      <c r="AF30897" s="30">
        <v>235</v>
      </c>
      <c r="AG30897">
        <v>1006.8</v>
      </c>
      <c r="AH30897">
        <v>500</v>
      </c>
      <c r="AI30897">
        <v>100</v>
      </c>
      <c r="AJ30897">
        <v>5000</v>
      </c>
      <c r="AK30897" s="30">
        <v>104</v>
      </c>
      <c r="AL30897">
        <v>2470.91</v>
      </c>
      <c r="AM30897">
        <v>2000</v>
      </c>
      <c r="AN30897">
        <v>300</v>
      </c>
      <c r="AO30897">
        <v>9100</v>
      </c>
      <c r="AP30897" s="30">
        <v>282</v>
      </c>
      <c r="AQ30897">
        <v>2848.85</v>
      </c>
      <c r="AR30897">
        <v>1500</v>
      </c>
      <c r="AS30897">
        <v>50</v>
      </c>
      <c r="AT30897">
        <v>30000</v>
      </c>
      <c r="AU30897" s="30">
        <v>198</v>
      </c>
      <c r="AV30897">
        <v>944.01</v>
      </c>
      <c r="AW30897">
        <v>950</v>
      </c>
      <c r="AX30897">
        <v>100</v>
      </c>
      <c r="AY30897">
        <v>2400</v>
      </c>
      <c r="AZ30897" s="30">
        <v>40</v>
      </c>
      <c r="BA30897">
        <v>810.47</v>
      </c>
      <c r="BB30897">
        <v>700</v>
      </c>
      <c r="BC30897">
        <v>100</v>
      </c>
      <c r="BD30897">
        <v>2300</v>
      </c>
      <c r="BE30897" s="30">
        <v>284</v>
      </c>
      <c r="BF30897">
        <v>5226.1099999999997</v>
      </c>
      <c r="BG30897">
        <v>5000</v>
      </c>
      <c r="BH30897">
        <v>550</v>
      </c>
      <c r="BI30897">
        <v>10000</v>
      </c>
      <c r="BJ30897" s="30">
        <v>16</v>
      </c>
      <c r="BK30897">
        <v>3703.31</v>
      </c>
      <c r="BL30897">
        <v>1500</v>
      </c>
      <c r="BM30897">
        <v>100</v>
      </c>
      <c r="BN30897">
        <v>30000</v>
      </c>
      <c r="BO30897" s="30">
        <v>69</v>
      </c>
      <c r="BP30897">
        <v>1401.62</v>
      </c>
      <c r="BQ30897">
        <v>1000</v>
      </c>
      <c r="BR30897">
        <v>50</v>
      </c>
      <c r="BS30897">
        <v>16000</v>
      </c>
      <c r="BT30897" s="30">
        <v>163</v>
      </c>
      <c r="BU30897">
        <v>4250.43</v>
      </c>
      <c r="BV30897">
        <v>5000</v>
      </c>
      <c r="BW30897">
        <v>300</v>
      </c>
      <c r="BX30897">
        <v>8000</v>
      </c>
      <c r="BY30897" s="30">
        <v>17</v>
      </c>
      <c r="BZ30897">
        <v>284</v>
      </c>
    </row>
    <row r="30898" spans="1:78" x14ac:dyDescent="0.35">
      <c r="A30898" t="s">
        <v>231</v>
      </c>
      <c r="B30898" t="s">
        <v>2730</v>
      </c>
      <c r="C30898">
        <v>4293.88</v>
      </c>
      <c r="D30898">
        <v>3000</v>
      </c>
      <c r="E30898">
        <v>500</v>
      </c>
      <c r="F30898">
        <v>15000</v>
      </c>
      <c r="G30898" s="30">
        <v>49</v>
      </c>
      <c r="H30898">
        <v>2930</v>
      </c>
      <c r="I30898">
        <v>3000</v>
      </c>
      <c r="J30898">
        <v>100</v>
      </c>
      <c r="K30898">
        <v>8000</v>
      </c>
      <c r="L30898" s="30">
        <v>20</v>
      </c>
      <c r="M30898">
        <v>5250</v>
      </c>
      <c r="N30898">
        <v>5000</v>
      </c>
      <c r="O30898">
        <v>500</v>
      </c>
      <c r="P30898">
        <v>10000</v>
      </c>
      <c r="Q30898" s="30">
        <v>12</v>
      </c>
      <c r="R30898">
        <v>297</v>
      </c>
      <c r="S30898">
        <v>200</v>
      </c>
      <c r="T30898">
        <v>60</v>
      </c>
      <c r="U30898">
        <v>1500</v>
      </c>
      <c r="V30898" s="30">
        <v>20</v>
      </c>
      <c r="W30898">
        <v>442.93</v>
      </c>
      <c r="X30898">
        <v>391</v>
      </c>
      <c r="Y30898">
        <v>50</v>
      </c>
      <c r="Z30898">
        <v>1000</v>
      </c>
      <c r="AA30898" s="30">
        <v>27</v>
      </c>
      <c r="AB30898">
        <v>596.15</v>
      </c>
      <c r="AC30898">
        <v>500</v>
      </c>
      <c r="AD30898">
        <v>100</v>
      </c>
      <c r="AE30898">
        <v>2000</v>
      </c>
      <c r="AF30898" s="30">
        <v>39</v>
      </c>
      <c r="AG30898">
        <v>425</v>
      </c>
      <c r="AH30898">
        <v>400</v>
      </c>
      <c r="AI30898">
        <v>100</v>
      </c>
      <c r="AJ30898">
        <v>2000</v>
      </c>
      <c r="AK30898" s="30">
        <v>16</v>
      </c>
      <c r="AL30898">
        <v>1625.65</v>
      </c>
      <c r="AM30898">
        <v>1500</v>
      </c>
      <c r="AN30898">
        <v>300</v>
      </c>
      <c r="AO30898">
        <v>4000</v>
      </c>
      <c r="AP30898" s="30">
        <v>46</v>
      </c>
      <c r="AQ30898">
        <v>777.42</v>
      </c>
      <c r="AR30898">
        <v>300</v>
      </c>
      <c r="AS30898">
        <v>50</v>
      </c>
      <c r="AT30898">
        <v>10000</v>
      </c>
      <c r="AU30898" s="30">
        <v>31</v>
      </c>
      <c r="AV30898">
        <v>400</v>
      </c>
      <c r="AW30898">
        <v>200</v>
      </c>
      <c r="AX30898">
        <v>100</v>
      </c>
      <c r="AY30898">
        <v>1000</v>
      </c>
      <c r="AZ30898" s="30">
        <v>4</v>
      </c>
      <c r="BA30898">
        <v>381.35</v>
      </c>
      <c r="BB30898">
        <v>400</v>
      </c>
      <c r="BC30898">
        <v>50</v>
      </c>
      <c r="BD30898">
        <v>1000</v>
      </c>
      <c r="BE30898" s="30">
        <v>48</v>
      </c>
      <c r="BF30898">
        <v>3000</v>
      </c>
      <c r="BG30898">
        <v>3000</v>
      </c>
      <c r="BH30898">
        <v>3000</v>
      </c>
      <c r="BI30898">
        <v>3000</v>
      </c>
      <c r="BJ30898" s="30">
        <v>1</v>
      </c>
      <c r="BK30898">
        <v>1590.91</v>
      </c>
      <c r="BL30898">
        <v>1500</v>
      </c>
      <c r="BM30898">
        <v>200</v>
      </c>
      <c r="BN30898">
        <v>5000</v>
      </c>
      <c r="BO30898" s="30">
        <v>11</v>
      </c>
      <c r="BP30898">
        <v>1182.5</v>
      </c>
      <c r="BQ30898">
        <v>500</v>
      </c>
      <c r="BR30898">
        <v>100</v>
      </c>
      <c r="BS30898">
        <v>8500</v>
      </c>
      <c r="BT30898" s="30">
        <v>20</v>
      </c>
      <c r="BU30898">
        <v>700</v>
      </c>
      <c r="BV30898">
        <v>800</v>
      </c>
      <c r="BW30898">
        <v>500</v>
      </c>
      <c r="BX30898">
        <v>800</v>
      </c>
      <c r="BY30898" s="30">
        <v>3</v>
      </c>
      <c r="BZ30898">
        <v>49</v>
      </c>
    </row>
    <row r="30899" spans="1:78" x14ac:dyDescent="0.35">
      <c r="A30899" s="27" t="s">
        <v>231</v>
      </c>
      <c r="B30899" s="27" t="s">
        <v>2731</v>
      </c>
      <c r="C30899" s="29">
        <v>7500</v>
      </c>
      <c r="D30899" s="29">
        <v>5000</v>
      </c>
      <c r="E30899" s="29">
        <v>2000</v>
      </c>
      <c r="F30899" s="29">
        <v>30000</v>
      </c>
      <c r="G30899" s="29">
        <v>13</v>
      </c>
      <c r="H30899" s="29">
        <v>3612.5</v>
      </c>
      <c r="I30899" s="29">
        <v>2000</v>
      </c>
      <c r="J30899" s="29">
        <v>500</v>
      </c>
      <c r="K30899" s="29">
        <v>15000</v>
      </c>
      <c r="L30899" s="29">
        <v>8</v>
      </c>
      <c r="M30899" s="29">
        <v>5000</v>
      </c>
      <c r="N30899" s="29">
        <v>5000</v>
      </c>
      <c r="O30899" s="29">
        <v>5000</v>
      </c>
      <c r="P30899" s="29">
        <v>5000</v>
      </c>
      <c r="Q30899" s="29">
        <v>1</v>
      </c>
      <c r="R30899" s="29">
        <v>395</v>
      </c>
      <c r="S30899" s="29">
        <v>200</v>
      </c>
      <c r="T30899" s="29">
        <v>50</v>
      </c>
      <c r="U30899" s="29">
        <v>1500</v>
      </c>
      <c r="V30899" s="29">
        <v>10</v>
      </c>
      <c r="W30899" s="29">
        <v>800</v>
      </c>
      <c r="X30899" s="29">
        <v>800</v>
      </c>
      <c r="Y30899" s="29">
        <v>800</v>
      </c>
      <c r="Z30899" s="29">
        <v>800</v>
      </c>
      <c r="AA30899" s="29">
        <v>1</v>
      </c>
      <c r="AB30899" s="29">
        <v>1036.3599999999999</v>
      </c>
      <c r="AC30899" s="29">
        <v>500</v>
      </c>
      <c r="AD30899" s="29">
        <v>100</v>
      </c>
      <c r="AE30899" s="29">
        <v>5000</v>
      </c>
      <c r="AF30899" s="29">
        <v>11</v>
      </c>
      <c r="AG30899" s="29">
        <v>275</v>
      </c>
      <c r="AH30899" s="29">
        <v>200</v>
      </c>
      <c r="AI30899" s="29">
        <v>100</v>
      </c>
      <c r="AJ30899" s="29">
        <v>600</v>
      </c>
      <c r="AK30899" s="29">
        <v>4</v>
      </c>
      <c r="AL30899" s="29">
        <v>1580.77</v>
      </c>
      <c r="AM30899" s="29">
        <v>1500</v>
      </c>
      <c r="AN30899" s="29">
        <v>500</v>
      </c>
      <c r="AO30899" s="29">
        <v>4000</v>
      </c>
      <c r="AP30899" s="29">
        <v>13</v>
      </c>
      <c r="AQ30899" s="29">
        <v>3773</v>
      </c>
      <c r="AR30899" s="29">
        <v>500</v>
      </c>
      <c r="AS30899" s="29">
        <v>100</v>
      </c>
      <c r="AT30899" s="29">
        <v>30000</v>
      </c>
      <c r="AU30899" s="29">
        <v>10</v>
      </c>
      <c r="AV30899" s="29">
        <v>800</v>
      </c>
      <c r="AW30899" s="29">
        <v>1500</v>
      </c>
      <c r="AX30899" s="29">
        <v>300</v>
      </c>
      <c r="AY30899" s="29">
        <v>1500</v>
      </c>
      <c r="AZ30899" s="29">
        <v>3</v>
      </c>
      <c r="BA30899" s="29">
        <v>498.44</v>
      </c>
      <c r="BB30899" s="29">
        <v>300</v>
      </c>
      <c r="BC30899" s="29">
        <v>100</v>
      </c>
      <c r="BD30899" s="29">
        <v>2000</v>
      </c>
      <c r="BE30899" s="29">
        <v>16</v>
      </c>
      <c r="BF30899" s="29"/>
      <c r="BG30899" s="29"/>
      <c r="BH30899" s="29"/>
      <c r="BI30899" s="29"/>
      <c r="BJ30899" s="29"/>
      <c r="BK30899" s="29">
        <v>800</v>
      </c>
      <c r="BL30899" s="29">
        <v>1000</v>
      </c>
      <c r="BM30899" s="29">
        <v>400</v>
      </c>
      <c r="BN30899" s="29">
        <v>1000</v>
      </c>
      <c r="BO30899" s="29">
        <v>3</v>
      </c>
      <c r="BP30899" s="29">
        <v>407.5</v>
      </c>
      <c r="BQ30899" s="29">
        <v>130</v>
      </c>
      <c r="BR30899" s="29">
        <v>100</v>
      </c>
      <c r="BS30899" s="29">
        <v>1000</v>
      </c>
      <c r="BT30899" s="29">
        <v>4</v>
      </c>
      <c r="BU30899" s="29"/>
      <c r="BV30899" s="29"/>
      <c r="BW30899" s="29"/>
      <c r="BX30899" s="29"/>
      <c r="BY30899" s="29"/>
      <c r="BZ30899" s="29">
        <v>16</v>
      </c>
    </row>
    <row r="30900" spans="1:78" x14ac:dyDescent="0.35">
      <c r="A30900" t="s">
        <v>231</v>
      </c>
      <c r="B30900" t="s">
        <v>2732</v>
      </c>
      <c r="C30900">
        <v>9426.92</v>
      </c>
      <c r="D30900">
        <v>8000</v>
      </c>
      <c r="E30900">
        <v>1000</v>
      </c>
      <c r="F30900">
        <v>30000</v>
      </c>
      <c r="G30900" s="30">
        <v>78</v>
      </c>
      <c r="H30900">
        <v>4813.7299999999996</v>
      </c>
      <c r="I30900">
        <v>5000</v>
      </c>
      <c r="J30900">
        <v>500</v>
      </c>
      <c r="K30900">
        <v>24000</v>
      </c>
      <c r="L30900" s="30">
        <v>51</v>
      </c>
      <c r="M30900">
        <v>6385.82</v>
      </c>
      <c r="N30900">
        <v>7500</v>
      </c>
      <c r="O30900">
        <v>2244</v>
      </c>
      <c r="P30900">
        <v>13000</v>
      </c>
      <c r="Q30900" s="30">
        <v>11</v>
      </c>
      <c r="R30900">
        <v>594.74</v>
      </c>
      <c r="S30900">
        <v>500</v>
      </c>
      <c r="T30900">
        <v>50</v>
      </c>
      <c r="U30900">
        <v>2500</v>
      </c>
      <c r="V30900" s="30">
        <v>38</v>
      </c>
      <c r="W30900">
        <v>713.5</v>
      </c>
      <c r="X30900">
        <v>500</v>
      </c>
      <c r="Y30900">
        <v>50</v>
      </c>
      <c r="Z30900">
        <v>2000</v>
      </c>
      <c r="AA30900" s="30">
        <v>52</v>
      </c>
      <c r="AB30900">
        <v>1006.54</v>
      </c>
      <c r="AC30900">
        <v>900</v>
      </c>
      <c r="AD30900">
        <v>100</v>
      </c>
      <c r="AE30900">
        <v>5000</v>
      </c>
      <c r="AF30900" s="30">
        <v>69</v>
      </c>
      <c r="AG30900">
        <v>788.64</v>
      </c>
      <c r="AH30900">
        <v>500</v>
      </c>
      <c r="AI30900">
        <v>100</v>
      </c>
      <c r="AJ30900">
        <v>3000</v>
      </c>
      <c r="AK30900" s="30">
        <v>44</v>
      </c>
      <c r="AL30900">
        <v>2362.16</v>
      </c>
      <c r="AM30900">
        <v>2500</v>
      </c>
      <c r="AN30900">
        <v>400</v>
      </c>
      <c r="AO30900">
        <v>6000</v>
      </c>
      <c r="AP30900" s="30">
        <v>77</v>
      </c>
      <c r="AQ30900">
        <v>2077.94</v>
      </c>
      <c r="AR30900">
        <v>1500</v>
      </c>
      <c r="AS30900">
        <v>100</v>
      </c>
      <c r="AT30900">
        <v>10000</v>
      </c>
      <c r="AU30900" s="30">
        <v>63</v>
      </c>
      <c r="AV30900">
        <v>503.57</v>
      </c>
      <c r="AW30900">
        <v>500</v>
      </c>
      <c r="AX30900">
        <v>100</v>
      </c>
      <c r="AY30900">
        <v>1400</v>
      </c>
      <c r="AZ30900" s="30">
        <v>14</v>
      </c>
      <c r="BA30900">
        <v>743</v>
      </c>
      <c r="BB30900">
        <v>600</v>
      </c>
      <c r="BC30900">
        <v>140</v>
      </c>
      <c r="BD30900">
        <v>2000</v>
      </c>
      <c r="BE30900" s="30">
        <v>85</v>
      </c>
      <c r="BF30900">
        <v>3000</v>
      </c>
      <c r="BG30900">
        <v>1500</v>
      </c>
      <c r="BH30900">
        <v>300</v>
      </c>
      <c r="BI30900">
        <v>10000</v>
      </c>
      <c r="BJ30900" s="30">
        <v>8</v>
      </c>
      <c r="BK30900">
        <v>6885.42</v>
      </c>
      <c r="BL30900">
        <v>3000</v>
      </c>
      <c r="BM30900">
        <v>450</v>
      </c>
      <c r="BN30900">
        <v>30000</v>
      </c>
      <c r="BO30900" s="30">
        <v>24</v>
      </c>
      <c r="BP30900">
        <v>1582.98</v>
      </c>
      <c r="BQ30900">
        <v>1000</v>
      </c>
      <c r="BR30900">
        <v>50</v>
      </c>
      <c r="BS30900">
        <v>15000</v>
      </c>
      <c r="BT30900" s="30">
        <v>47</v>
      </c>
      <c r="BU30900">
        <v>3800</v>
      </c>
      <c r="BV30900">
        <v>2000</v>
      </c>
      <c r="BW30900">
        <v>200</v>
      </c>
      <c r="BX30900">
        <v>10000</v>
      </c>
      <c r="BY30900" s="30">
        <v>6</v>
      </c>
      <c r="BZ30900">
        <v>85</v>
      </c>
    </row>
    <row r="30901" spans="1:78" x14ac:dyDescent="0.35">
      <c r="A30901" t="s">
        <v>232</v>
      </c>
      <c r="B30901" t="s">
        <v>232</v>
      </c>
      <c r="C30901">
        <v>7868.72</v>
      </c>
      <c r="D30901">
        <v>6000</v>
      </c>
      <c r="E30901">
        <v>200</v>
      </c>
      <c r="F30901">
        <v>30000</v>
      </c>
      <c r="G30901" s="30">
        <v>2369</v>
      </c>
      <c r="H30901">
        <v>4052.31</v>
      </c>
      <c r="I30901">
        <v>3000</v>
      </c>
      <c r="J30901">
        <v>100</v>
      </c>
      <c r="K30901">
        <v>60000</v>
      </c>
      <c r="L30901" s="30">
        <v>1077</v>
      </c>
      <c r="M30901">
        <v>5938.14</v>
      </c>
      <c r="N30901">
        <v>5000</v>
      </c>
      <c r="O30901">
        <v>183</v>
      </c>
      <c r="P30901">
        <v>16000</v>
      </c>
      <c r="Q30901" s="30">
        <v>345</v>
      </c>
      <c r="R30901">
        <v>468.12</v>
      </c>
      <c r="S30901">
        <v>300</v>
      </c>
      <c r="T30901">
        <v>50</v>
      </c>
      <c r="U30901">
        <v>3000</v>
      </c>
      <c r="V30901" s="30">
        <v>1180</v>
      </c>
      <c r="W30901">
        <v>542.04</v>
      </c>
      <c r="X30901">
        <v>401</v>
      </c>
      <c r="Y30901">
        <v>30</v>
      </c>
      <c r="Z30901">
        <v>3000</v>
      </c>
      <c r="AA30901" s="30">
        <v>1265</v>
      </c>
      <c r="AB30901">
        <v>868.78</v>
      </c>
      <c r="AC30901">
        <v>500</v>
      </c>
      <c r="AD30901">
        <v>100</v>
      </c>
      <c r="AE30901">
        <v>5000</v>
      </c>
      <c r="AF30901" s="30">
        <v>1926</v>
      </c>
      <c r="AG30901">
        <v>667.4</v>
      </c>
      <c r="AH30901">
        <v>500</v>
      </c>
      <c r="AI30901">
        <v>100</v>
      </c>
      <c r="AJ30901">
        <v>5000</v>
      </c>
      <c r="AK30901" s="30">
        <v>856</v>
      </c>
      <c r="AL30901">
        <v>2130.96</v>
      </c>
      <c r="AM30901">
        <v>2000</v>
      </c>
      <c r="AN30901">
        <v>300</v>
      </c>
      <c r="AO30901">
        <v>9100</v>
      </c>
      <c r="AP30901" s="30">
        <v>2431</v>
      </c>
      <c r="AQ30901">
        <v>2285.5300000000002</v>
      </c>
      <c r="AR30901">
        <v>1000</v>
      </c>
      <c r="AS30901">
        <v>50</v>
      </c>
      <c r="AT30901">
        <v>30000</v>
      </c>
      <c r="AU30901" s="30">
        <v>1520</v>
      </c>
      <c r="AV30901">
        <v>776.74</v>
      </c>
      <c r="AW30901">
        <v>500</v>
      </c>
      <c r="AX30901">
        <v>100</v>
      </c>
      <c r="AY30901">
        <v>3000</v>
      </c>
      <c r="AZ30901" s="30">
        <v>266</v>
      </c>
      <c r="BA30901">
        <v>615.85</v>
      </c>
      <c r="BB30901">
        <v>500</v>
      </c>
      <c r="BC30901">
        <v>50</v>
      </c>
      <c r="BD30901">
        <v>2800</v>
      </c>
      <c r="BE30901" s="30">
        <v>2479</v>
      </c>
      <c r="BF30901">
        <v>3040.04</v>
      </c>
      <c r="BG30901">
        <v>2000</v>
      </c>
      <c r="BH30901">
        <v>200</v>
      </c>
      <c r="BI30901">
        <v>10000</v>
      </c>
      <c r="BJ30901" s="30">
        <v>132</v>
      </c>
      <c r="BK30901">
        <v>4895.0200000000004</v>
      </c>
      <c r="BL30901">
        <v>2000</v>
      </c>
      <c r="BM30901">
        <v>100</v>
      </c>
      <c r="BN30901">
        <v>30000</v>
      </c>
      <c r="BO30901" s="30">
        <v>461</v>
      </c>
      <c r="BP30901">
        <v>1288.5999999999999</v>
      </c>
      <c r="BQ30901">
        <v>600</v>
      </c>
      <c r="BR30901">
        <v>50</v>
      </c>
      <c r="BS30901">
        <v>30000</v>
      </c>
      <c r="BT30901" s="30">
        <v>1296</v>
      </c>
      <c r="BU30901">
        <v>3251.2</v>
      </c>
      <c r="BV30901">
        <v>2500</v>
      </c>
      <c r="BW30901">
        <v>100</v>
      </c>
      <c r="BX30901">
        <v>10000</v>
      </c>
      <c r="BY30901" s="30">
        <v>124</v>
      </c>
      <c r="BZ30901">
        <v>2479</v>
      </c>
    </row>
    <row r="30903" spans="1:78" x14ac:dyDescent="0.35">
      <c r="A30903" s="1" t="s">
        <v>2750</v>
      </c>
    </row>
    <row r="30904" spans="1:78" x14ac:dyDescent="0.35">
      <c r="A30904" t="s">
        <v>219</v>
      </c>
      <c r="B30904" t="s">
        <v>305</v>
      </c>
      <c r="C30904" t="s">
        <v>534</v>
      </c>
      <c r="D30904" t="s">
        <v>535</v>
      </c>
      <c r="E30904" t="s">
        <v>536</v>
      </c>
      <c r="F30904" t="s">
        <v>537</v>
      </c>
      <c r="G30904" t="s">
        <v>226</v>
      </c>
    </row>
    <row r="30905" spans="1:78" x14ac:dyDescent="0.35">
      <c r="A30905" t="s">
        <v>227</v>
      </c>
      <c r="B30905" t="s">
        <v>2730</v>
      </c>
      <c r="C30905">
        <v>2196.5100000000002</v>
      </c>
      <c r="D30905">
        <v>2000</v>
      </c>
      <c r="E30905">
        <v>500</v>
      </c>
      <c r="F30905">
        <v>7300</v>
      </c>
      <c r="G30905">
        <v>43</v>
      </c>
    </row>
    <row r="30906" spans="1:78" x14ac:dyDescent="0.35">
      <c r="A30906" s="27" t="s">
        <v>227</v>
      </c>
      <c r="B30906" s="27" t="s">
        <v>2731</v>
      </c>
      <c r="C30906" s="29">
        <v>2660</v>
      </c>
      <c r="D30906" s="29">
        <v>2100</v>
      </c>
      <c r="E30906" s="29">
        <v>300</v>
      </c>
      <c r="F30906" s="29">
        <v>9500</v>
      </c>
      <c r="G30906" s="29">
        <v>19</v>
      </c>
    </row>
    <row r="30907" spans="1:78" x14ac:dyDescent="0.35">
      <c r="A30907" t="s">
        <v>227</v>
      </c>
      <c r="B30907" t="s">
        <v>2732</v>
      </c>
      <c r="C30907">
        <v>2766.1</v>
      </c>
      <c r="D30907">
        <v>2400</v>
      </c>
      <c r="E30907">
        <v>0</v>
      </c>
      <c r="F30907">
        <v>18000</v>
      </c>
      <c r="G30907">
        <v>82</v>
      </c>
    </row>
    <row r="30908" spans="1:78" x14ac:dyDescent="0.35">
      <c r="A30908" t="s">
        <v>228</v>
      </c>
      <c r="B30908" t="s">
        <v>2730</v>
      </c>
      <c r="C30908">
        <v>2794.1</v>
      </c>
      <c r="D30908">
        <v>2000</v>
      </c>
      <c r="E30908">
        <v>0</v>
      </c>
      <c r="F30908">
        <v>33900</v>
      </c>
      <c r="G30908">
        <v>294</v>
      </c>
    </row>
    <row r="30909" spans="1:78" x14ac:dyDescent="0.35">
      <c r="A30909" t="s">
        <v>228</v>
      </c>
      <c r="B30909" t="s">
        <v>2731</v>
      </c>
      <c r="C30909">
        <v>1941.87</v>
      </c>
      <c r="D30909">
        <v>1800</v>
      </c>
      <c r="E30909">
        <v>0</v>
      </c>
      <c r="F30909">
        <v>20000</v>
      </c>
      <c r="G30909">
        <v>79</v>
      </c>
    </row>
    <row r="30910" spans="1:78" x14ac:dyDescent="0.35">
      <c r="A30910" t="s">
        <v>228</v>
      </c>
      <c r="B30910" t="s">
        <v>2732</v>
      </c>
      <c r="C30910">
        <v>2650.25</v>
      </c>
      <c r="D30910">
        <v>2000</v>
      </c>
      <c r="E30910">
        <v>0</v>
      </c>
      <c r="F30910">
        <v>31000</v>
      </c>
      <c r="G30910">
        <v>462</v>
      </c>
    </row>
    <row r="30911" spans="1:78" x14ac:dyDescent="0.35">
      <c r="A30911" t="s">
        <v>229</v>
      </c>
      <c r="B30911" t="s">
        <v>2730</v>
      </c>
      <c r="C30911">
        <v>2303.25</v>
      </c>
      <c r="D30911">
        <v>2000</v>
      </c>
      <c r="E30911">
        <v>200</v>
      </c>
      <c r="F30911">
        <v>15000</v>
      </c>
      <c r="G30911">
        <v>248</v>
      </c>
    </row>
    <row r="30912" spans="1:78" x14ac:dyDescent="0.35">
      <c r="A30912" t="s">
        <v>229</v>
      </c>
      <c r="B30912" t="s">
        <v>2731</v>
      </c>
      <c r="C30912">
        <v>2170.16</v>
      </c>
      <c r="D30912">
        <v>2000</v>
      </c>
      <c r="E30912">
        <v>0</v>
      </c>
      <c r="F30912">
        <v>8000</v>
      </c>
      <c r="G30912">
        <v>76</v>
      </c>
    </row>
    <row r="30913" spans="1:12" x14ac:dyDescent="0.35">
      <c r="A30913" t="s">
        <v>229</v>
      </c>
      <c r="B30913" t="s">
        <v>2732</v>
      </c>
      <c r="C30913">
        <v>2892.4</v>
      </c>
      <c r="D30913">
        <v>2400</v>
      </c>
      <c r="E30913">
        <v>0</v>
      </c>
      <c r="F30913">
        <v>25000</v>
      </c>
      <c r="G30913">
        <v>439</v>
      </c>
    </row>
    <row r="30914" spans="1:12" x14ac:dyDescent="0.35">
      <c r="A30914" t="s">
        <v>230</v>
      </c>
      <c r="B30914" t="s">
        <v>2730</v>
      </c>
      <c r="C30914">
        <v>2002.74</v>
      </c>
      <c r="D30914">
        <v>1800</v>
      </c>
      <c r="E30914">
        <v>0</v>
      </c>
      <c r="F30914">
        <v>25000</v>
      </c>
      <c r="G30914">
        <v>169</v>
      </c>
    </row>
    <row r="30915" spans="1:12" x14ac:dyDescent="0.35">
      <c r="A30915" t="s">
        <v>230</v>
      </c>
      <c r="B30915" t="s">
        <v>2731</v>
      </c>
      <c r="C30915">
        <v>1629.04</v>
      </c>
      <c r="D30915">
        <v>1000</v>
      </c>
      <c r="E30915">
        <v>0</v>
      </c>
      <c r="F30915">
        <v>5000</v>
      </c>
      <c r="G30915">
        <v>40</v>
      </c>
    </row>
    <row r="30916" spans="1:12" x14ac:dyDescent="0.35">
      <c r="A30916" t="s">
        <v>230</v>
      </c>
      <c r="B30916" t="s">
        <v>2732</v>
      </c>
      <c r="C30916">
        <v>3165.58</v>
      </c>
      <c r="D30916">
        <v>2500</v>
      </c>
      <c r="E30916">
        <v>0</v>
      </c>
      <c r="F30916">
        <v>22500</v>
      </c>
      <c r="G30916">
        <v>272</v>
      </c>
    </row>
    <row r="30917" spans="1:12" x14ac:dyDescent="0.35">
      <c r="A30917" t="s">
        <v>231</v>
      </c>
      <c r="B30917" t="s">
        <v>2730</v>
      </c>
      <c r="C30917">
        <v>1910.93</v>
      </c>
      <c r="D30917">
        <v>2000</v>
      </c>
      <c r="E30917">
        <v>0</v>
      </c>
      <c r="F30917">
        <v>5000</v>
      </c>
      <c r="G30917">
        <v>43</v>
      </c>
    </row>
    <row r="30918" spans="1:12" x14ac:dyDescent="0.35">
      <c r="A30918" s="27" t="s">
        <v>231</v>
      </c>
      <c r="B30918" s="27" t="s">
        <v>2731</v>
      </c>
      <c r="C30918" s="29">
        <v>2891.67</v>
      </c>
      <c r="D30918" s="29">
        <v>2000</v>
      </c>
      <c r="E30918" s="29">
        <v>0</v>
      </c>
      <c r="F30918" s="29">
        <v>15000</v>
      </c>
      <c r="G30918" s="29">
        <v>15</v>
      </c>
    </row>
    <row r="30919" spans="1:12" x14ac:dyDescent="0.35">
      <c r="A30919" t="s">
        <v>231</v>
      </c>
      <c r="B30919" t="s">
        <v>2732</v>
      </c>
      <c r="C30919">
        <v>3054.27</v>
      </c>
      <c r="D30919">
        <v>3000</v>
      </c>
      <c r="E30919">
        <v>0</v>
      </c>
      <c r="F30919">
        <v>20000</v>
      </c>
      <c r="G30919">
        <v>74</v>
      </c>
    </row>
    <row r="30920" spans="1:12" x14ac:dyDescent="0.35">
      <c r="A30920" t="s">
        <v>232</v>
      </c>
      <c r="B30920" t="s">
        <v>232</v>
      </c>
      <c r="C30920">
        <v>2648.46</v>
      </c>
      <c r="D30920">
        <v>2000</v>
      </c>
      <c r="E30920">
        <v>0</v>
      </c>
      <c r="F30920">
        <v>33900</v>
      </c>
      <c r="G30920">
        <v>2356</v>
      </c>
    </row>
    <row r="30922" spans="1:12" x14ac:dyDescent="0.35">
      <c r="A30922" s="1" t="s">
        <v>2751</v>
      </c>
    </row>
    <row r="30923" spans="1:12" x14ac:dyDescent="0.35">
      <c r="A30923" t="s">
        <v>219</v>
      </c>
      <c r="B30923" t="s">
        <v>305</v>
      </c>
      <c r="C30923" t="s">
        <v>988</v>
      </c>
      <c r="D30923" t="s">
        <v>989</v>
      </c>
      <c r="E30923" t="s">
        <v>990</v>
      </c>
      <c r="F30923" t="s">
        <v>991</v>
      </c>
      <c r="G30923" t="s">
        <v>992</v>
      </c>
      <c r="H30923" t="s">
        <v>993</v>
      </c>
      <c r="I30923" t="s">
        <v>994</v>
      </c>
      <c r="J30923" t="s">
        <v>281</v>
      </c>
      <c r="K30923" t="s">
        <v>286</v>
      </c>
      <c r="L30923" t="s">
        <v>226</v>
      </c>
    </row>
    <row r="30924" spans="1:12" x14ac:dyDescent="0.35">
      <c r="A30924" t="s">
        <v>227</v>
      </c>
      <c r="B30924" t="s">
        <v>2730</v>
      </c>
      <c r="C30924" s="26">
        <v>0.87229999999999996</v>
      </c>
      <c r="D30924" s="26">
        <v>0.23400000000000001</v>
      </c>
      <c r="E30924" s="26">
        <v>6.3799999999999996E-2</v>
      </c>
      <c r="F30924" s="26">
        <v>8.5099999999999995E-2</v>
      </c>
      <c r="G30924" s="26">
        <v>6.3799999999999996E-2</v>
      </c>
      <c r="H30924" s="26">
        <v>6.3799999999999996E-2</v>
      </c>
      <c r="I30924" s="26">
        <v>4.2599999999999999E-2</v>
      </c>
      <c r="J30924" s="26">
        <v>2.1299999999999999E-2</v>
      </c>
      <c r="L30924">
        <v>47</v>
      </c>
    </row>
    <row r="30925" spans="1:12" x14ac:dyDescent="0.35">
      <c r="A30925" s="27" t="s">
        <v>227</v>
      </c>
      <c r="B30925" s="27" t="s">
        <v>2731</v>
      </c>
      <c r="C30925" s="28">
        <v>0.6</v>
      </c>
      <c r="D30925" s="28">
        <v>0.25</v>
      </c>
      <c r="E30925" s="28">
        <v>0.45</v>
      </c>
      <c r="F30925" s="28">
        <v>0.05</v>
      </c>
      <c r="G30925" s="28">
        <v>0.2</v>
      </c>
      <c r="H30925" s="28">
        <v>0.25</v>
      </c>
      <c r="I30925" s="28">
        <v>0.05</v>
      </c>
      <c r="J30925" s="29"/>
      <c r="K30925" s="29"/>
      <c r="L30925" s="29" t="s">
        <v>350</v>
      </c>
    </row>
    <row r="30926" spans="1:12" x14ac:dyDescent="0.35">
      <c r="A30926" t="s">
        <v>227</v>
      </c>
      <c r="B30926" t="s">
        <v>2732</v>
      </c>
      <c r="C30926" s="26">
        <v>0.82609999999999995</v>
      </c>
      <c r="D30926" s="26">
        <v>0.38040000000000002</v>
      </c>
      <c r="E30926" s="26">
        <v>0.25</v>
      </c>
      <c r="F30926" s="26">
        <v>0.29349999999999998</v>
      </c>
      <c r="G30926" s="26">
        <v>0.1739</v>
      </c>
      <c r="H30926" s="26">
        <v>9.7799999999999998E-2</v>
      </c>
      <c r="I30926" s="26">
        <v>2.1700000000000001E-2</v>
      </c>
      <c r="L30926">
        <v>92</v>
      </c>
    </row>
    <row r="30927" spans="1:12" x14ac:dyDescent="0.35">
      <c r="A30927" t="s">
        <v>228</v>
      </c>
      <c r="B30927" t="s">
        <v>2730</v>
      </c>
      <c r="C30927" s="26">
        <v>0.7107</v>
      </c>
      <c r="D30927" s="26">
        <v>0.1988</v>
      </c>
      <c r="E30927" s="26">
        <v>0.16930000000000001</v>
      </c>
      <c r="F30927" s="26">
        <v>0.15390000000000001</v>
      </c>
      <c r="G30927" s="26">
        <v>0.1447</v>
      </c>
      <c r="H30927" s="26">
        <v>0.18640000000000001</v>
      </c>
      <c r="I30927" s="26">
        <v>1.8499999999999999E-2</v>
      </c>
      <c r="J30927" s="26">
        <v>4.7999999999999996E-3</v>
      </c>
      <c r="K30927" s="26">
        <v>6.9999999999999999E-4</v>
      </c>
      <c r="L30927">
        <v>359</v>
      </c>
    </row>
    <row r="30928" spans="1:12" x14ac:dyDescent="0.35">
      <c r="A30928" t="s">
        <v>228</v>
      </c>
      <c r="B30928" t="s">
        <v>2731</v>
      </c>
      <c r="C30928" s="26">
        <v>0.61880000000000002</v>
      </c>
      <c r="D30928" s="26">
        <v>0.26219999999999999</v>
      </c>
      <c r="E30928" s="26">
        <v>0.20419999999999999</v>
      </c>
      <c r="F30928" s="26">
        <v>1.9199999999999998E-2</v>
      </c>
      <c r="G30928" s="26">
        <v>0.17949999999999999</v>
      </c>
      <c r="H30928" s="26">
        <v>0.2</v>
      </c>
      <c r="I30928" s="26">
        <v>2.8799999999999999E-2</v>
      </c>
      <c r="L30928">
        <v>96</v>
      </c>
    </row>
    <row r="30929" spans="1:33" x14ac:dyDescent="0.35">
      <c r="A30929" t="s">
        <v>228</v>
      </c>
      <c r="B30929" t="s">
        <v>2732</v>
      </c>
      <c r="C30929" s="26">
        <v>0.84209999999999996</v>
      </c>
      <c r="D30929" s="26">
        <v>0.2858</v>
      </c>
      <c r="E30929" s="26">
        <v>0.26690000000000003</v>
      </c>
      <c r="F30929" s="26">
        <v>0.27029999999999998</v>
      </c>
      <c r="G30929" s="26">
        <v>0.20899999999999999</v>
      </c>
      <c r="H30929" s="26">
        <v>7.9299999999999995E-2</v>
      </c>
      <c r="I30929" s="26">
        <v>9.4999999999999998E-3</v>
      </c>
      <c r="J30929" s="26">
        <v>1.9E-3</v>
      </c>
      <c r="L30929">
        <v>572</v>
      </c>
    </row>
    <row r="30930" spans="1:33" x14ac:dyDescent="0.35">
      <c r="A30930" t="s">
        <v>229</v>
      </c>
      <c r="B30930" t="s">
        <v>2730</v>
      </c>
      <c r="C30930" s="26">
        <v>0.80900000000000005</v>
      </c>
      <c r="D30930" s="26">
        <v>0.30259999999999998</v>
      </c>
      <c r="E30930" s="26">
        <v>0.22989999999999999</v>
      </c>
      <c r="F30930" s="26">
        <v>0.16639999999999999</v>
      </c>
      <c r="G30930" s="26">
        <v>0.16120000000000001</v>
      </c>
      <c r="H30930" s="26">
        <v>0.111</v>
      </c>
      <c r="I30930" s="26">
        <v>1.15E-2</v>
      </c>
      <c r="J30930" s="26">
        <v>9.7999999999999997E-3</v>
      </c>
      <c r="L30930">
        <v>301</v>
      </c>
    </row>
    <row r="30931" spans="1:33" x14ac:dyDescent="0.35">
      <c r="A30931" t="s">
        <v>229</v>
      </c>
      <c r="B30931" t="s">
        <v>2731</v>
      </c>
      <c r="C30931" s="26">
        <v>0.56859999999999999</v>
      </c>
      <c r="D30931" s="26">
        <v>0.3523</v>
      </c>
      <c r="E30931" s="26">
        <v>0.16070000000000001</v>
      </c>
      <c r="F30931" s="26">
        <v>8.7300000000000003E-2</v>
      </c>
      <c r="G30931" s="26">
        <v>0.18890000000000001</v>
      </c>
      <c r="H30931" s="26">
        <v>0.28589999999999999</v>
      </c>
      <c r="J30931" s="26">
        <v>3.2599999999999997E-2</v>
      </c>
      <c r="L30931">
        <v>86</v>
      </c>
    </row>
    <row r="30932" spans="1:33" x14ac:dyDescent="0.35">
      <c r="A30932" t="s">
        <v>229</v>
      </c>
      <c r="B30932" t="s">
        <v>2732</v>
      </c>
      <c r="C30932" s="26">
        <v>0.85270000000000001</v>
      </c>
      <c r="D30932" s="26">
        <v>0.32800000000000001</v>
      </c>
      <c r="E30932" s="26">
        <v>0.31559999999999999</v>
      </c>
      <c r="F30932" s="26">
        <v>0.37090000000000001</v>
      </c>
      <c r="G30932" s="26">
        <v>0.22459999999999999</v>
      </c>
      <c r="H30932" s="26">
        <v>6.5100000000000005E-2</v>
      </c>
      <c r="I30932" s="26">
        <v>1.8100000000000002E-2</v>
      </c>
      <c r="J30932" s="26">
        <v>2.0999999999999999E-3</v>
      </c>
      <c r="K30932" s="26">
        <v>5.0000000000000001E-4</v>
      </c>
      <c r="L30932">
        <v>503</v>
      </c>
    </row>
    <row r="30933" spans="1:33" x14ac:dyDescent="0.35">
      <c r="A30933" t="s">
        <v>230</v>
      </c>
      <c r="B30933" t="s">
        <v>2730</v>
      </c>
      <c r="C30933" s="26">
        <v>0.82930000000000004</v>
      </c>
      <c r="D30933" s="26">
        <v>0.23250000000000001</v>
      </c>
      <c r="E30933" s="26">
        <v>0.1368</v>
      </c>
      <c r="F30933" s="26">
        <v>0.18970000000000001</v>
      </c>
      <c r="G30933" s="26">
        <v>0.21759999999999999</v>
      </c>
      <c r="H30933" s="26">
        <v>6.8699999999999997E-2</v>
      </c>
      <c r="I30933" s="26">
        <v>8.5000000000000006E-3</v>
      </c>
      <c r="J30933" s="26">
        <v>8.9999999999999998E-4</v>
      </c>
      <c r="K30933" s="26">
        <v>8.9999999999999998E-4</v>
      </c>
      <c r="L30933">
        <v>197</v>
      </c>
    </row>
    <row r="30934" spans="1:33" x14ac:dyDescent="0.35">
      <c r="A30934" t="s">
        <v>230</v>
      </c>
      <c r="B30934" t="s">
        <v>2731</v>
      </c>
      <c r="C30934" s="26">
        <v>0.68479999999999996</v>
      </c>
      <c r="D30934" s="26">
        <v>0.23469999999999999</v>
      </c>
      <c r="E30934" s="26">
        <v>0.27429999999999999</v>
      </c>
      <c r="F30934" s="26">
        <v>7.0599999999999996E-2</v>
      </c>
      <c r="G30934" s="26">
        <v>0.13370000000000001</v>
      </c>
      <c r="H30934" s="26">
        <v>0.1782</v>
      </c>
      <c r="I30934" s="26">
        <v>2.35E-2</v>
      </c>
      <c r="L30934">
        <v>49</v>
      </c>
    </row>
    <row r="30935" spans="1:33" x14ac:dyDescent="0.35">
      <c r="A30935" t="s">
        <v>230</v>
      </c>
      <c r="B30935" t="s">
        <v>2732</v>
      </c>
      <c r="C30935" s="26">
        <v>0.81200000000000006</v>
      </c>
      <c r="D30935" s="26">
        <v>0.39369999999999999</v>
      </c>
      <c r="E30935" s="26">
        <v>0.28389999999999999</v>
      </c>
      <c r="F30935" s="26">
        <v>0.31950000000000001</v>
      </c>
      <c r="G30935" s="26">
        <v>0.21909999999999999</v>
      </c>
      <c r="H30935" s="26">
        <v>8.6300000000000002E-2</v>
      </c>
      <c r="I30935" s="26">
        <v>1.9300000000000001E-2</v>
      </c>
      <c r="J30935" s="26">
        <v>1.5E-3</v>
      </c>
      <c r="L30935">
        <v>311</v>
      </c>
    </row>
    <row r="30936" spans="1:33" x14ac:dyDescent="0.35">
      <c r="A30936" t="s">
        <v>231</v>
      </c>
      <c r="B30936" t="s">
        <v>2730</v>
      </c>
      <c r="C30936" s="26">
        <v>0.8</v>
      </c>
      <c r="D30936" s="26">
        <v>0.14549999999999999</v>
      </c>
      <c r="E30936" s="26">
        <v>0.2364</v>
      </c>
      <c r="F30936" s="26">
        <v>9.0899999999999995E-2</v>
      </c>
      <c r="G30936" s="26">
        <v>0.1636</v>
      </c>
      <c r="H30936" s="26">
        <v>0.1273</v>
      </c>
      <c r="I30936" s="26">
        <v>1.8200000000000001E-2</v>
      </c>
      <c r="L30936">
        <v>55</v>
      </c>
    </row>
    <row r="30937" spans="1:33" x14ac:dyDescent="0.35">
      <c r="A30937" s="27" t="s">
        <v>231</v>
      </c>
      <c r="B30937" s="27" t="s">
        <v>2731</v>
      </c>
      <c r="C30937" s="28">
        <v>0.64710000000000001</v>
      </c>
      <c r="D30937" s="28">
        <v>0.29409999999999997</v>
      </c>
      <c r="E30937" s="28">
        <v>0.29409999999999997</v>
      </c>
      <c r="F30937" s="29"/>
      <c r="G30937" s="28">
        <v>0.23530000000000001</v>
      </c>
      <c r="H30937" s="28">
        <v>0.17649999999999999</v>
      </c>
      <c r="I30937" s="28">
        <v>0.1176</v>
      </c>
      <c r="J30937" s="29"/>
      <c r="K30937" s="29"/>
      <c r="L30937" s="29" t="s">
        <v>343</v>
      </c>
    </row>
    <row r="30938" spans="1:33" x14ac:dyDescent="0.35">
      <c r="A30938" t="s">
        <v>231</v>
      </c>
      <c r="B30938" t="s">
        <v>2732</v>
      </c>
      <c r="C30938" s="26">
        <v>0.82609999999999995</v>
      </c>
      <c r="D30938" s="26">
        <v>0.36959999999999998</v>
      </c>
      <c r="E30938" s="26">
        <v>0.30430000000000001</v>
      </c>
      <c r="F30938" s="26">
        <v>0.26090000000000002</v>
      </c>
      <c r="G30938" s="26">
        <v>0.26090000000000002</v>
      </c>
      <c r="H30938" s="26">
        <v>9.7799999999999998E-2</v>
      </c>
      <c r="I30938" s="26">
        <v>2.1700000000000001E-2</v>
      </c>
      <c r="L30938">
        <v>92</v>
      </c>
    </row>
    <row r="30939" spans="1:33" x14ac:dyDescent="0.35">
      <c r="A30939" t="s">
        <v>232</v>
      </c>
      <c r="B30939" t="s">
        <v>232</v>
      </c>
      <c r="C30939" s="26">
        <v>0.80330000000000001</v>
      </c>
      <c r="D30939" s="26">
        <v>0.2999</v>
      </c>
      <c r="E30939" s="26">
        <v>0.25729999999999997</v>
      </c>
      <c r="F30939" s="26">
        <v>0.22720000000000001</v>
      </c>
      <c r="G30939" s="26">
        <v>0.19800000000000001</v>
      </c>
      <c r="H30939" s="26">
        <v>0.10780000000000001</v>
      </c>
      <c r="I30939" s="26">
        <v>2.1600000000000001E-2</v>
      </c>
      <c r="J30939" s="26">
        <v>3.5000000000000001E-3</v>
      </c>
      <c r="K30939" s="26">
        <v>2.0000000000000001E-4</v>
      </c>
      <c r="L30939">
        <v>2797</v>
      </c>
    </row>
    <row r="30941" spans="1:33" x14ac:dyDescent="0.35">
      <c r="A30941" s="1" t="s">
        <v>2752</v>
      </c>
    </row>
    <row r="30942" spans="1:33" x14ac:dyDescent="0.35">
      <c r="A30942" t="s">
        <v>219</v>
      </c>
      <c r="B30942" t="s">
        <v>305</v>
      </c>
      <c r="C30942" t="s">
        <v>995</v>
      </c>
      <c r="D30942" t="s">
        <v>996</v>
      </c>
      <c r="E30942" t="s">
        <v>997</v>
      </c>
      <c r="F30942" t="s">
        <v>998</v>
      </c>
      <c r="G30942" t="s">
        <v>999</v>
      </c>
      <c r="H30942" t="s">
        <v>1000</v>
      </c>
      <c r="I30942" t="s">
        <v>1001</v>
      </c>
      <c r="J30942" t="s">
        <v>1002</v>
      </c>
      <c r="K30942" t="s">
        <v>1003</v>
      </c>
      <c r="L30942" t="s">
        <v>1004</v>
      </c>
      <c r="M30942" t="s">
        <v>1005</v>
      </c>
      <c r="N30942" t="s">
        <v>1006</v>
      </c>
      <c r="O30942" t="s">
        <v>1007</v>
      </c>
      <c r="P30942" t="s">
        <v>1008</v>
      </c>
      <c r="Q30942" t="s">
        <v>1009</v>
      </c>
      <c r="R30942" t="s">
        <v>1010</v>
      </c>
      <c r="S30942" t="s">
        <v>1011</v>
      </c>
      <c r="T30942" t="s">
        <v>1012</v>
      </c>
      <c r="U30942" t="s">
        <v>1013</v>
      </c>
      <c r="V30942" t="s">
        <v>1014</v>
      </c>
      <c r="W30942" t="s">
        <v>1015</v>
      </c>
      <c r="X30942" t="s">
        <v>1016</v>
      </c>
      <c r="Y30942" t="s">
        <v>1017</v>
      </c>
      <c r="Z30942" t="s">
        <v>1018</v>
      </c>
      <c r="AA30942" t="s">
        <v>1019</v>
      </c>
      <c r="AB30942" t="s">
        <v>1020</v>
      </c>
      <c r="AC30942" t="s">
        <v>1021</v>
      </c>
      <c r="AD30942" t="s">
        <v>1022</v>
      </c>
      <c r="AE30942" t="s">
        <v>1023</v>
      </c>
      <c r="AF30942" t="s">
        <v>1024</v>
      </c>
      <c r="AG30942" t="s">
        <v>964</v>
      </c>
    </row>
    <row r="30943" spans="1:33" x14ac:dyDescent="0.35">
      <c r="A30943" t="s">
        <v>227</v>
      </c>
      <c r="B30943" t="s">
        <v>2730</v>
      </c>
      <c r="C30943">
        <v>1995</v>
      </c>
      <c r="D30943">
        <v>1300</v>
      </c>
      <c r="E30943">
        <v>150</v>
      </c>
      <c r="F30943">
        <v>5000</v>
      </c>
      <c r="G30943" s="30">
        <v>10</v>
      </c>
      <c r="H30943">
        <v>1500</v>
      </c>
      <c r="I30943">
        <v>2000</v>
      </c>
      <c r="J30943">
        <v>500</v>
      </c>
      <c r="K30943">
        <v>2000</v>
      </c>
      <c r="L30943" s="30">
        <v>3</v>
      </c>
      <c r="M30943">
        <v>5955.56</v>
      </c>
      <c r="N30943">
        <v>3500</v>
      </c>
      <c r="O30943">
        <v>100</v>
      </c>
      <c r="P30943">
        <v>30000</v>
      </c>
      <c r="Q30943" s="30">
        <v>36</v>
      </c>
      <c r="R30943">
        <v>15500</v>
      </c>
      <c r="S30943">
        <v>30000</v>
      </c>
      <c r="T30943">
        <v>6500</v>
      </c>
      <c r="U30943">
        <v>30000</v>
      </c>
      <c r="V30943" s="30">
        <v>3</v>
      </c>
      <c r="W30943">
        <v>137500</v>
      </c>
      <c r="X30943">
        <v>400000</v>
      </c>
      <c r="Y30943">
        <v>5000</v>
      </c>
      <c r="Z30943">
        <v>400000</v>
      </c>
      <c r="AA30943" s="30">
        <v>3</v>
      </c>
      <c r="AB30943">
        <v>13053.33</v>
      </c>
      <c r="AC30943">
        <v>25000</v>
      </c>
      <c r="AD30943">
        <v>2160</v>
      </c>
      <c r="AE30943">
        <v>25000</v>
      </c>
      <c r="AF30943" s="30">
        <v>3</v>
      </c>
      <c r="AG30943">
        <v>36</v>
      </c>
    </row>
    <row r="30944" spans="1:33" x14ac:dyDescent="0.35">
      <c r="A30944" s="27" t="s">
        <v>227</v>
      </c>
      <c r="B30944" s="27" t="s">
        <v>2731</v>
      </c>
      <c r="C30944" s="29">
        <v>10260</v>
      </c>
      <c r="D30944" s="29">
        <v>5000</v>
      </c>
      <c r="E30944" s="29">
        <v>300</v>
      </c>
      <c r="F30944" s="29">
        <v>40000</v>
      </c>
      <c r="G30944" s="29">
        <v>5</v>
      </c>
      <c r="H30944" s="29">
        <v>1998.86</v>
      </c>
      <c r="I30944" s="29">
        <v>2000</v>
      </c>
      <c r="J30944" s="29">
        <v>500</v>
      </c>
      <c r="K30944" s="29">
        <v>3900</v>
      </c>
      <c r="L30944" s="29">
        <v>7</v>
      </c>
      <c r="M30944" s="29">
        <v>4675</v>
      </c>
      <c r="N30944" s="29">
        <v>3000</v>
      </c>
      <c r="O30944" s="29">
        <v>200</v>
      </c>
      <c r="P30944" s="29">
        <v>20000</v>
      </c>
      <c r="Q30944" s="29">
        <v>12</v>
      </c>
      <c r="R30944" s="29">
        <v>600</v>
      </c>
      <c r="S30944" s="29">
        <v>600</v>
      </c>
      <c r="T30944" s="29">
        <v>600</v>
      </c>
      <c r="U30944" s="29">
        <v>600</v>
      </c>
      <c r="V30944" s="29">
        <v>1</v>
      </c>
      <c r="W30944" s="29">
        <v>10833.33</v>
      </c>
      <c r="X30944" s="29">
        <v>15000</v>
      </c>
      <c r="Y30944" s="29">
        <v>7500</v>
      </c>
      <c r="Z30944" s="29">
        <v>15000</v>
      </c>
      <c r="AA30944" s="29">
        <v>3</v>
      </c>
      <c r="AB30944" s="29">
        <v>8333.33</v>
      </c>
      <c r="AC30944" s="29">
        <v>10000</v>
      </c>
      <c r="AD30944" s="29">
        <v>5000</v>
      </c>
      <c r="AE30944" s="29">
        <v>10000</v>
      </c>
      <c r="AF30944" s="29">
        <v>3</v>
      </c>
      <c r="AG30944" s="29">
        <v>12</v>
      </c>
    </row>
    <row r="30945" spans="1:33" x14ac:dyDescent="0.35">
      <c r="A30945" t="s">
        <v>227</v>
      </c>
      <c r="B30945" t="s">
        <v>2732</v>
      </c>
      <c r="C30945">
        <v>13771.43</v>
      </c>
      <c r="D30945">
        <v>5000</v>
      </c>
      <c r="E30945">
        <v>500</v>
      </c>
      <c r="F30945">
        <v>100000</v>
      </c>
      <c r="G30945" s="30">
        <v>28</v>
      </c>
      <c r="H30945">
        <v>5576.47</v>
      </c>
      <c r="I30945">
        <v>5000</v>
      </c>
      <c r="J30945">
        <v>300</v>
      </c>
      <c r="K30945">
        <v>25000</v>
      </c>
      <c r="L30945" s="30">
        <v>17</v>
      </c>
      <c r="M30945">
        <v>8152.21</v>
      </c>
      <c r="N30945">
        <v>5000</v>
      </c>
      <c r="O30945">
        <v>400</v>
      </c>
      <c r="P30945">
        <v>50000</v>
      </c>
      <c r="Q30945" s="30">
        <v>68</v>
      </c>
      <c r="R30945">
        <v>7047.83</v>
      </c>
      <c r="S30945">
        <v>6000</v>
      </c>
      <c r="T30945">
        <v>500</v>
      </c>
      <c r="U30945">
        <v>42000</v>
      </c>
      <c r="V30945" s="30">
        <v>23</v>
      </c>
      <c r="W30945">
        <v>16873.330000000002</v>
      </c>
      <c r="X30945">
        <v>8000</v>
      </c>
      <c r="Y30945">
        <v>1300</v>
      </c>
      <c r="Z30945">
        <v>60000</v>
      </c>
      <c r="AA30945" s="30">
        <v>15</v>
      </c>
      <c r="AB30945">
        <v>7511.11</v>
      </c>
      <c r="AC30945">
        <v>7000</v>
      </c>
      <c r="AD30945">
        <v>1000</v>
      </c>
      <c r="AE30945">
        <v>20000</v>
      </c>
      <c r="AF30945" s="30">
        <v>9</v>
      </c>
      <c r="AG30945">
        <v>68</v>
      </c>
    </row>
    <row r="30946" spans="1:33" x14ac:dyDescent="0.35">
      <c r="A30946" t="s">
        <v>228</v>
      </c>
      <c r="B30946" t="s">
        <v>2730</v>
      </c>
      <c r="C30946">
        <v>7393.18</v>
      </c>
      <c r="D30946">
        <v>3000</v>
      </c>
      <c r="E30946">
        <v>180</v>
      </c>
      <c r="F30946">
        <v>100000</v>
      </c>
      <c r="G30946" s="30">
        <v>61</v>
      </c>
      <c r="H30946">
        <v>4024.98</v>
      </c>
      <c r="I30946">
        <v>2000</v>
      </c>
      <c r="J30946">
        <v>250</v>
      </c>
      <c r="K30946">
        <v>30000</v>
      </c>
      <c r="L30946" s="30">
        <v>40</v>
      </c>
      <c r="M30946">
        <v>7750.13</v>
      </c>
      <c r="N30946">
        <v>5000</v>
      </c>
      <c r="O30946">
        <v>120</v>
      </c>
      <c r="P30946">
        <v>50000</v>
      </c>
      <c r="Q30946" s="30">
        <v>227</v>
      </c>
      <c r="R30946">
        <v>11169.75</v>
      </c>
      <c r="S30946">
        <v>7200</v>
      </c>
      <c r="T30946">
        <v>300</v>
      </c>
      <c r="U30946">
        <v>40000</v>
      </c>
      <c r="V30946" s="30">
        <v>34</v>
      </c>
      <c r="W30946">
        <v>11541.1</v>
      </c>
      <c r="X30946">
        <v>5000</v>
      </c>
      <c r="Y30946">
        <v>250</v>
      </c>
      <c r="Z30946">
        <v>81000</v>
      </c>
      <c r="AA30946" s="30">
        <v>40</v>
      </c>
      <c r="AB30946">
        <v>4240.8900000000003</v>
      </c>
      <c r="AC30946">
        <v>3000</v>
      </c>
      <c r="AD30946">
        <v>350</v>
      </c>
      <c r="AE30946">
        <v>31000</v>
      </c>
      <c r="AF30946" s="30">
        <v>12</v>
      </c>
      <c r="AG30946">
        <v>227</v>
      </c>
    </row>
    <row r="30947" spans="1:33" x14ac:dyDescent="0.35">
      <c r="A30947" t="s">
        <v>228</v>
      </c>
      <c r="B30947" t="s">
        <v>2731</v>
      </c>
      <c r="C30947">
        <v>7966.56</v>
      </c>
      <c r="D30947">
        <v>5000</v>
      </c>
      <c r="E30947">
        <v>300</v>
      </c>
      <c r="F30947">
        <v>60000</v>
      </c>
      <c r="G30947" s="30">
        <v>18</v>
      </c>
      <c r="H30947">
        <v>2268.9899999999998</v>
      </c>
      <c r="I30947">
        <v>2000</v>
      </c>
      <c r="J30947">
        <v>500</v>
      </c>
      <c r="K30947">
        <v>5000</v>
      </c>
      <c r="L30947" s="30">
        <v>12</v>
      </c>
      <c r="M30947">
        <v>13237.78</v>
      </c>
      <c r="N30947">
        <v>5000</v>
      </c>
      <c r="O30947">
        <v>100</v>
      </c>
      <c r="P30947">
        <v>100000</v>
      </c>
      <c r="Q30947" s="30">
        <v>53</v>
      </c>
      <c r="R30947">
        <v>6397.24</v>
      </c>
      <c r="S30947">
        <v>15000</v>
      </c>
      <c r="T30947">
        <v>300</v>
      </c>
      <c r="U30947">
        <v>15000</v>
      </c>
      <c r="V30947" s="30">
        <v>3</v>
      </c>
      <c r="W30947">
        <v>9879.52</v>
      </c>
      <c r="X30947">
        <v>10000</v>
      </c>
      <c r="Y30947">
        <v>200</v>
      </c>
      <c r="Z30947">
        <v>30000</v>
      </c>
      <c r="AA30947" s="30">
        <v>10</v>
      </c>
      <c r="AB30947">
        <v>19507.509999999998</v>
      </c>
      <c r="AC30947">
        <v>30000</v>
      </c>
      <c r="AD30947">
        <v>800</v>
      </c>
      <c r="AE30947">
        <v>30000</v>
      </c>
      <c r="AF30947" s="30">
        <v>5</v>
      </c>
      <c r="AG30947">
        <v>53</v>
      </c>
    </row>
    <row r="30948" spans="1:33" x14ac:dyDescent="0.35">
      <c r="A30948" t="s">
        <v>228</v>
      </c>
      <c r="B30948" t="s">
        <v>2732</v>
      </c>
      <c r="C30948">
        <v>12748.45</v>
      </c>
      <c r="D30948">
        <v>5000</v>
      </c>
      <c r="E30948">
        <v>200</v>
      </c>
      <c r="F30948">
        <v>200000</v>
      </c>
      <c r="G30948" s="30">
        <v>127</v>
      </c>
      <c r="H30948">
        <v>5429.66</v>
      </c>
      <c r="I30948">
        <v>3000</v>
      </c>
      <c r="J30948">
        <v>200</v>
      </c>
      <c r="K30948">
        <v>30000</v>
      </c>
      <c r="L30948" s="30">
        <v>110</v>
      </c>
      <c r="M30948">
        <v>10862.03</v>
      </c>
      <c r="N30948">
        <v>5000</v>
      </c>
      <c r="O30948">
        <v>200</v>
      </c>
      <c r="P30948">
        <v>80000</v>
      </c>
      <c r="Q30948" s="30">
        <v>392</v>
      </c>
      <c r="R30948">
        <v>7790.24</v>
      </c>
      <c r="S30948">
        <v>4800</v>
      </c>
      <c r="T30948">
        <v>150</v>
      </c>
      <c r="U30948">
        <v>40000</v>
      </c>
      <c r="V30948" s="30">
        <v>103</v>
      </c>
      <c r="W30948">
        <v>21038.23</v>
      </c>
      <c r="X30948">
        <v>10000</v>
      </c>
      <c r="Y30948">
        <v>200</v>
      </c>
      <c r="Z30948">
        <v>120000</v>
      </c>
      <c r="AA30948" s="30">
        <v>89</v>
      </c>
      <c r="AB30948">
        <v>7096</v>
      </c>
      <c r="AC30948">
        <v>9000</v>
      </c>
      <c r="AD30948">
        <v>100</v>
      </c>
      <c r="AE30948">
        <v>30000</v>
      </c>
      <c r="AF30948" s="30">
        <v>24</v>
      </c>
      <c r="AG30948">
        <v>392</v>
      </c>
    </row>
    <row r="30949" spans="1:33" x14ac:dyDescent="0.35">
      <c r="A30949" t="s">
        <v>229</v>
      </c>
      <c r="B30949" t="s">
        <v>2730</v>
      </c>
      <c r="C30949">
        <v>6608.95</v>
      </c>
      <c r="D30949">
        <v>3500</v>
      </c>
      <c r="E30949">
        <v>200</v>
      </c>
      <c r="F30949">
        <v>80000</v>
      </c>
      <c r="G30949" s="30">
        <v>62</v>
      </c>
      <c r="H30949">
        <v>3931.62</v>
      </c>
      <c r="I30949">
        <v>2000</v>
      </c>
      <c r="J30949">
        <v>200</v>
      </c>
      <c r="K30949">
        <v>15000</v>
      </c>
      <c r="L30949" s="30">
        <v>46</v>
      </c>
      <c r="M30949">
        <v>8061.96</v>
      </c>
      <c r="N30949">
        <v>5000</v>
      </c>
      <c r="O30949">
        <v>200</v>
      </c>
      <c r="P30949">
        <v>70000</v>
      </c>
      <c r="Q30949" s="30">
        <v>194</v>
      </c>
      <c r="R30949">
        <v>4418.8999999999996</v>
      </c>
      <c r="S30949">
        <v>2000</v>
      </c>
      <c r="T30949">
        <v>400</v>
      </c>
      <c r="U30949">
        <v>45000</v>
      </c>
      <c r="V30949" s="30">
        <v>35</v>
      </c>
      <c r="W30949">
        <v>16470.13</v>
      </c>
      <c r="X30949">
        <v>10000</v>
      </c>
      <c r="Y30949">
        <v>560</v>
      </c>
      <c r="Z30949">
        <v>50000</v>
      </c>
      <c r="AA30949" s="30">
        <v>34</v>
      </c>
      <c r="AB30949">
        <v>6454.26</v>
      </c>
      <c r="AC30949">
        <v>2000</v>
      </c>
      <c r="AD30949">
        <v>1000</v>
      </c>
      <c r="AE30949">
        <v>20000</v>
      </c>
      <c r="AF30949" s="30">
        <v>13</v>
      </c>
      <c r="AG30949">
        <v>194</v>
      </c>
    </row>
    <row r="30950" spans="1:33" x14ac:dyDescent="0.35">
      <c r="A30950" t="s">
        <v>229</v>
      </c>
      <c r="B30950" t="s">
        <v>2731</v>
      </c>
      <c r="C30950">
        <v>7496.25</v>
      </c>
      <c r="D30950">
        <v>3000</v>
      </c>
      <c r="E30950">
        <v>200</v>
      </c>
      <c r="F30950">
        <v>30000</v>
      </c>
      <c r="G30950" s="30">
        <v>25</v>
      </c>
      <c r="H30950">
        <v>5007.92</v>
      </c>
      <c r="I30950">
        <v>3000</v>
      </c>
      <c r="J30950">
        <v>240</v>
      </c>
      <c r="K30950">
        <v>12000</v>
      </c>
      <c r="L30950" s="30">
        <v>11</v>
      </c>
      <c r="M30950">
        <v>4367.09</v>
      </c>
      <c r="N30950">
        <v>2700</v>
      </c>
      <c r="O30950">
        <v>150</v>
      </c>
      <c r="P30950">
        <v>24000</v>
      </c>
      <c r="Q30950" s="30">
        <v>47</v>
      </c>
      <c r="R30950">
        <v>9634.73</v>
      </c>
      <c r="S30950">
        <v>12000</v>
      </c>
      <c r="T30950">
        <v>1300</v>
      </c>
      <c r="U30950">
        <v>20000</v>
      </c>
      <c r="V30950" s="30">
        <v>5</v>
      </c>
      <c r="W30950">
        <v>9277.48</v>
      </c>
      <c r="X30950">
        <v>14000</v>
      </c>
      <c r="Y30950">
        <v>2000</v>
      </c>
      <c r="Z30950">
        <v>30000</v>
      </c>
      <c r="AA30950" s="30">
        <v>8</v>
      </c>
      <c r="AB30950">
        <v>2500</v>
      </c>
      <c r="AC30950">
        <v>2500</v>
      </c>
      <c r="AD30950">
        <v>2500</v>
      </c>
      <c r="AE30950">
        <v>2500</v>
      </c>
      <c r="AF30950" s="30">
        <v>1</v>
      </c>
      <c r="AG30950">
        <v>47</v>
      </c>
    </row>
    <row r="30951" spans="1:33" x14ac:dyDescent="0.35">
      <c r="A30951" t="s">
        <v>229</v>
      </c>
      <c r="B30951" t="s">
        <v>2732</v>
      </c>
      <c r="C30951">
        <v>19631</v>
      </c>
      <c r="D30951">
        <v>7000</v>
      </c>
      <c r="E30951">
        <v>100</v>
      </c>
      <c r="F30951">
        <v>200000</v>
      </c>
      <c r="G30951" s="30">
        <v>126</v>
      </c>
      <c r="H30951">
        <v>7804.2</v>
      </c>
      <c r="I30951">
        <v>5000</v>
      </c>
      <c r="J30951">
        <v>300</v>
      </c>
      <c r="K30951">
        <v>30000</v>
      </c>
      <c r="L30951" s="30">
        <v>108</v>
      </c>
      <c r="M30951">
        <v>12819.67</v>
      </c>
      <c r="N30951">
        <v>8000</v>
      </c>
      <c r="O30951">
        <v>200</v>
      </c>
      <c r="P30951">
        <v>100000</v>
      </c>
      <c r="Q30951" s="30">
        <v>350</v>
      </c>
      <c r="R30951">
        <v>8985.35</v>
      </c>
      <c r="S30951">
        <v>5000</v>
      </c>
      <c r="T30951">
        <v>200</v>
      </c>
      <c r="U30951">
        <v>40000</v>
      </c>
      <c r="V30951" s="30">
        <v>134</v>
      </c>
      <c r="W30951">
        <v>22627.46</v>
      </c>
      <c r="X30951">
        <v>15000</v>
      </c>
      <c r="Y30951">
        <v>300</v>
      </c>
      <c r="Z30951">
        <v>200000</v>
      </c>
      <c r="AA30951" s="30">
        <v>84</v>
      </c>
      <c r="AB30951">
        <v>7674.19</v>
      </c>
      <c r="AC30951">
        <v>4000</v>
      </c>
      <c r="AD30951">
        <v>200</v>
      </c>
      <c r="AE30951">
        <v>30000</v>
      </c>
      <c r="AF30951" s="30">
        <v>31</v>
      </c>
      <c r="AG30951">
        <v>350</v>
      </c>
    </row>
    <row r="30952" spans="1:33" x14ac:dyDescent="0.35">
      <c r="A30952" t="s">
        <v>230</v>
      </c>
      <c r="B30952" t="s">
        <v>2730</v>
      </c>
      <c r="C30952">
        <v>7844.59</v>
      </c>
      <c r="D30952">
        <v>3000</v>
      </c>
      <c r="E30952">
        <v>400</v>
      </c>
      <c r="F30952">
        <v>200000</v>
      </c>
      <c r="G30952" s="30">
        <v>46</v>
      </c>
      <c r="H30952">
        <v>3900.3</v>
      </c>
      <c r="I30952">
        <v>3000</v>
      </c>
      <c r="J30952">
        <v>500</v>
      </c>
      <c r="K30952">
        <v>30000</v>
      </c>
      <c r="L30952" s="30">
        <v>29</v>
      </c>
      <c r="M30952">
        <v>5549.45</v>
      </c>
      <c r="N30952">
        <v>4500</v>
      </c>
      <c r="O30952">
        <v>100</v>
      </c>
      <c r="P30952">
        <v>40000</v>
      </c>
      <c r="Q30952" s="30">
        <v>132</v>
      </c>
      <c r="R30952">
        <v>4594.66</v>
      </c>
      <c r="S30952">
        <v>3000</v>
      </c>
      <c r="T30952">
        <v>200</v>
      </c>
      <c r="U30952">
        <v>30000</v>
      </c>
      <c r="V30952" s="30">
        <v>25</v>
      </c>
      <c r="W30952">
        <v>9103.66</v>
      </c>
      <c r="X30952">
        <v>6000</v>
      </c>
      <c r="Y30952">
        <v>400</v>
      </c>
      <c r="Z30952">
        <v>36000</v>
      </c>
      <c r="AA30952" s="30">
        <v>32</v>
      </c>
      <c r="AB30952">
        <v>6319.8</v>
      </c>
      <c r="AC30952">
        <v>10000</v>
      </c>
      <c r="AD30952">
        <v>500</v>
      </c>
      <c r="AE30952">
        <v>20000</v>
      </c>
      <c r="AF30952" s="30">
        <v>12</v>
      </c>
      <c r="AG30952">
        <v>132</v>
      </c>
    </row>
    <row r="30953" spans="1:33" x14ac:dyDescent="0.35">
      <c r="A30953" s="27" t="s">
        <v>230</v>
      </c>
      <c r="B30953" s="27" t="s">
        <v>2731</v>
      </c>
      <c r="C30953" s="29">
        <v>4647.49</v>
      </c>
      <c r="D30953" s="29">
        <v>3500</v>
      </c>
      <c r="E30953" s="29">
        <v>200</v>
      </c>
      <c r="F30953" s="29">
        <v>20000</v>
      </c>
      <c r="G30953" s="29">
        <v>10</v>
      </c>
      <c r="H30953" s="29">
        <v>4190.18</v>
      </c>
      <c r="I30953" s="29">
        <v>7000</v>
      </c>
      <c r="J30953" s="29">
        <v>200</v>
      </c>
      <c r="K30953" s="29">
        <v>7000</v>
      </c>
      <c r="L30953" s="29">
        <v>9</v>
      </c>
      <c r="M30953" s="29">
        <v>5967.27</v>
      </c>
      <c r="N30953" s="29">
        <v>3000</v>
      </c>
      <c r="O30953" s="29">
        <v>400</v>
      </c>
      <c r="P30953" s="29">
        <v>40000</v>
      </c>
      <c r="Q30953" s="29">
        <v>27</v>
      </c>
      <c r="R30953" s="29">
        <v>3000</v>
      </c>
      <c r="S30953" s="29">
        <v>3000</v>
      </c>
      <c r="T30953" s="29">
        <v>3000</v>
      </c>
      <c r="U30953" s="29">
        <v>3000</v>
      </c>
      <c r="V30953" s="29">
        <v>1</v>
      </c>
      <c r="W30953" s="29">
        <v>5172.66</v>
      </c>
      <c r="X30953" s="29">
        <v>25000</v>
      </c>
      <c r="Y30953" s="29">
        <v>2000</v>
      </c>
      <c r="Z30953" s="29">
        <v>25000</v>
      </c>
      <c r="AA30953" s="29">
        <v>7</v>
      </c>
      <c r="AB30953" s="29">
        <v>12448.82</v>
      </c>
      <c r="AC30953" s="29">
        <v>30000</v>
      </c>
      <c r="AD30953" s="29">
        <v>900</v>
      </c>
      <c r="AE30953" s="29">
        <v>30000</v>
      </c>
      <c r="AF30953" s="29">
        <v>4</v>
      </c>
      <c r="AG30953" s="29">
        <v>27</v>
      </c>
    </row>
    <row r="30954" spans="1:33" x14ac:dyDescent="0.35">
      <c r="A30954" t="s">
        <v>230</v>
      </c>
      <c r="B30954" t="s">
        <v>2732</v>
      </c>
      <c r="C30954">
        <v>13885.31</v>
      </c>
      <c r="D30954">
        <v>5000</v>
      </c>
      <c r="E30954">
        <v>100</v>
      </c>
      <c r="F30954">
        <v>200000</v>
      </c>
      <c r="G30954" s="30">
        <v>102</v>
      </c>
      <c r="H30954">
        <v>5433.19</v>
      </c>
      <c r="I30954">
        <v>3000</v>
      </c>
      <c r="J30954">
        <v>250</v>
      </c>
      <c r="K30954">
        <v>30000</v>
      </c>
      <c r="L30954" s="30">
        <v>62</v>
      </c>
      <c r="M30954">
        <v>12588.66</v>
      </c>
      <c r="N30954">
        <v>6000</v>
      </c>
      <c r="O30954">
        <v>200</v>
      </c>
      <c r="P30954">
        <v>100000</v>
      </c>
      <c r="Q30954" s="30">
        <v>223</v>
      </c>
      <c r="R30954">
        <v>8214.51</v>
      </c>
      <c r="S30954">
        <v>6000</v>
      </c>
      <c r="T30954">
        <v>200</v>
      </c>
      <c r="U30954">
        <v>40000</v>
      </c>
      <c r="V30954" s="30">
        <v>63</v>
      </c>
      <c r="W30954">
        <v>20128.98</v>
      </c>
      <c r="X30954">
        <v>12000</v>
      </c>
      <c r="Y30954">
        <v>800</v>
      </c>
      <c r="Z30954">
        <v>250000</v>
      </c>
      <c r="AA30954" s="30">
        <v>61</v>
      </c>
      <c r="AB30954">
        <v>5513.42</v>
      </c>
      <c r="AC30954">
        <v>5000</v>
      </c>
      <c r="AD30954">
        <v>740</v>
      </c>
      <c r="AE30954">
        <v>21000</v>
      </c>
      <c r="AF30954" s="30">
        <v>16</v>
      </c>
      <c r="AG30954">
        <v>223</v>
      </c>
    </row>
    <row r="30955" spans="1:33" x14ac:dyDescent="0.35">
      <c r="A30955" t="s">
        <v>231</v>
      </c>
      <c r="B30955" t="s">
        <v>2730</v>
      </c>
      <c r="C30955">
        <v>7800</v>
      </c>
      <c r="D30955">
        <v>2000</v>
      </c>
      <c r="E30955">
        <v>500</v>
      </c>
      <c r="F30955">
        <v>30000</v>
      </c>
      <c r="G30955" s="30">
        <v>8</v>
      </c>
      <c r="H30955">
        <v>5099.17</v>
      </c>
      <c r="I30955">
        <v>2000</v>
      </c>
      <c r="J30955">
        <v>490</v>
      </c>
      <c r="K30955">
        <v>30000</v>
      </c>
      <c r="L30955" s="30">
        <v>12</v>
      </c>
      <c r="M30955">
        <v>7476.35</v>
      </c>
      <c r="N30955">
        <v>4000</v>
      </c>
      <c r="O30955">
        <v>405</v>
      </c>
      <c r="P30955">
        <v>40000</v>
      </c>
      <c r="Q30955" s="30">
        <v>37</v>
      </c>
      <c r="R30955">
        <v>11880</v>
      </c>
      <c r="S30955">
        <v>10000</v>
      </c>
      <c r="T30955">
        <v>2000</v>
      </c>
      <c r="U30955">
        <v>40000</v>
      </c>
      <c r="V30955" s="30">
        <v>5</v>
      </c>
      <c r="W30955">
        <v>5450</v>
      </c>
      <c r="X30955">
        <v>7000</v>
      </c>
      <c r="Y30955">
        <v>500</v>
      </c>
      <c r="Z30955">
        <v>10000</v>
      </c>
      <c r="AA30955" s="30">
        <v>7</v>
      </c>
      <c r="AB30955">
        <v>650</v>
      </c>
      <c r="AC30955">
        <v>300</v>
      </c>
      <c r="AD30955">
        <v>300</v>
      </c>
      <c r="AE30955">
        <v>1000</v>
      </c>
      <c r="AF30955" s="30">
        <v>2</v>
      </c>
      <c r="AG30955">
        <v>37</v>
      </c>
    </row>
    <row r="30956" spans="1:33" x14ac:dyDescent="0.35">
      <c r="A30956" s="27" t="s">
        <v>231</v>
      </c>
      <c r="B30956" s="27" t="s">
        <v>2731</v>
      </c>
      <c r="C30956" s="29">
        <v>9300</v>
      </c>
      <c r="D30956" s="29">
        <v>2000</v>
      </c>
      <c r="E30956" s="29">
        <v>1200</v>
      </c>
      <c r="F30956" s="29">
        <v>30000</v>
      </c>
      <c r="G30956" s="29">
        <v>4</v>
      </c>
      <c r="H30956" s="29">
        <v>2066.67</v>
      </c>
      <c r="I30956" s="29">
        <v>3500</v>
      </c>
      <c r="J30956" s="29">
        <v>1200</v>
      </c>
      <c r="K30956" s="29">
        <v>3500</v>
      </c>
      <c r="L30956" s="29">
        <v>3</v>
      </c>
      <c r="M30956" s="29">
        <v>2147</v>
      </c>
      <c r="N30956" s="29">
        <v>1800</v>
      </c>
      <c r="O30956" s="29">
        <v>170</v>
      </c>
      <c r="P30956" s="29">
        <v>5000</v>
      </c>
      <c r="Q30956" s="29">
        <v>10</v>
      </c>
      <c r="R30956" s="29"/>
      <c r="S30956" s="29"/>
      <c r="T30956" s="29"/>
      <c r="U30956" s="29"/>
      <c r="V30956" s="29"/>
      <c r="W30956" s="29">
        <v>1500</v>
      </c>
      <c r="X30956" s="29">
        <v>1500</v>
      </c>
      <c r="Y30956" s="29">
        <v>1500</v>
      </c>
      <c r="Z30956" s="29">
        <v>1500</v>
      </c>
      <c r="AA30956" s="29">
        <v>1</v>
      </c>
      <c r="AB30956" s="29">
        <v>2000</v>
      </c>
      <c r="AC30956" s="29">
        <v>2000</v>
      </c>
      <c r="AD30956" s="29">
        <v>2000</v>
      </c>
      <c r="AE30956" s="29">
        <v>2000</v>
      </c>
      <c r="AF30956" s="29">
        <v>1</v>
      </c>
      <c r="AG30956" s="29">
        <v>10</v>
      </c>
    </row>
    <row r="30957" spans="1:33" x14ac:dyDescent="0.35">
      <c r="A30957" t="s">
        <v>231</v>
      </c>
      <c r="B30957" t="s">
        <v>2732</v>
      </c>
      <c r="C30957">
        <v>25318.75</v>
      </c>
      <c r="D30957">
        <v>10000</v>
      </c>
      <c r="E30957">
        <v>200</v>
      </c>
      <c r="F30957">
        <v>200000</v>
      </c>
      <c r="G30957" s="30">
        <v>32</v>
      </c>
      <c r="H30957">
        <v>6690.91</v>
      </c>
      <c r="I30957">
        <v>5000</v>
      </c>
      <c r="J30957">
        <v>200</v>
      </c>
      <c r="K30957">
        <v>20000</v>
      </c>
      <c r="L30957" s="30">
        <v>22</v>
      </c>
      <c r="M30957">
        <v>9604.69</v>
      </c>
      <c r="N30957">
        <v>6000</v>
      </c>
      <c r="O30957">
        <v>500</v>
      </c>
      <c r="P30957">
        <v>100000</v>
      </c>
      <c r="Q30957" s="30">
        <v>64</v>
      </c>
      <c r="R30957">
        <v>10250</v>
      </c>
      <c r="S30957">
        <v>5000</v>
      </c>
      <c r="T30957">
        <v>350</v>
      </c>
      <c r="U30957">
        <v>40000</v>
      </c>
      <c r="V30957" s="30">
        <v>17</v>
      </c>
      <c r="W30957">
        <v>13501.65</v>
      </c>
      <c r="X30957">
        <v>10000</v>
      </c>
      <c r="Y30957">
        <v>2538</v>
      </c>
      <c r="Z30957">
        <v>50000</v>
      </c>
      <c r="AA30957" s="30">
        <v>23</v>
      </c>
      <c r="AB30957">
        <v>3175</v>
      </c>
      <c r="AC30957">
        <v>1700</v>
      </c>
      <c r="AD30957">
        <v>1000</v>
      </c>
      <c r="AE30957">
        <v>8000</v>
      </c>
      <c r="AF30957" s="30">
        <v>4</v>
      </c>
      <c r="AG30957">
        <v>64</v>
      </c>
    </row>
    <row r="30958" spans="1:33" x14ac:dyDescent="0.35">
      <c r="A30958" t="s">
        <v>232</v>
      </c>
      <c r="B30958" t="s">
        <v>232</v>
      </c>
      <c r="C30958">
        <v>14899.73</v>
      </c>
      <c r="D30958">
        <v>5000</v>
      </c>
      <c r="E30958">
        <v>100</v>
      </c>
      <c r="F30958">
        <v>200000</v>
      </c>
      <c r="G30958" s="30">
        <v>664</v>
      </c>
      <c r="H30958">
        <v>5630.43</v>
      </c>
      <c r="I30958">
        <v>3000</v>
      </c>
      <c r="J30958">
        <v>200</v>
      </c>
      <c r="K30958">
        <v>30000</v>
      </c>
      <c r="L30958" s="30">
        <v>492</v>
      </c>
      <c r="M30958">
        <v>9336.61</v>
      </c>
      <c r="N30958">
        <v>5000</v>
      </c>
      <c r="O30958">
        <v>100</v>
      </c>
      <c r="P30958">
        <v>100000</v>
      </c>
      <c r="Q30958" s="30">
        <v>1873</v>
      </c>
      <c r="R30958">
        <v>8628.5300000000007</v>
      </c>
      <c r="S30958">
        <v>5000</v>
      </c>
      <c r="T30958">
        <v>150</v>
      </c>
      <c r="U30958">
        <v>45000</v>
      </c>
      <c r="V30958" s="30">
        <v>452</v>
      </c>
      <c r="W30958">
        <v>18064.68</v>
      </c>
      <c r="X30958">
        <v>9000</v>
      </c>
      <c r="Y30958">
        <v>200</v>
      </c>
      <c r="Z30958">
        <v>400000</v>
      </c>
      <c r="AA30958" s="30">
        <v>417</v>
      </c>
      <c r="AB30958">
        <v>6639.38</v>
      </c>
      <c r="AC30958">
        <v>4000</v>
      </c>
      <c r="AD30958">
        <v>100</v>
      </c>
      <c r="AE30958">
        <v>31000</v>
      </c>
      <c r="AF30958" s="30">
        <v>140</v>
      </c>
      <c r="AG30958">
        <v>1873</v>
      </c>
    </row>
    <row r="30960" spans="1:33" x14ac:dyDescent="0.35">
      <c r="A30960" s="1" t="s">
        <v>2753</v>
      </c>
    </row>
    <row r="30961" spans="1:7" x14ac:dyDescent="0.35">
      <c r="A30961" t="s">
        <v>219</v>
      </c>
      <c r="B30961" t="s">
        <v>305</v>
      </c>
      <c r="C30961" t="s">
        <v>534</v>
      </c>
      <c r="D30961" t="s">
        <v>535</v>
      </c>
      <c r="E30961" t="s">
        <v>536</v>
      </c>
      <c r="F30961" t="s">
        <v>537</v>
      </c>
      <c r="G30961" t="s">
        <v>226</v>
      </c>
    </row>
    <row r="30962" spans="1:7" x14ac:dyDescent="0.35">
      <c r="A30962" t="s">
        <v>227</v>
      </c>
      <c r="B30962" t="s">
        <v>2730</v>
      </c>
      <c r="C30962">
        <v>9852.24</v>
      </c>
      <c r="D30962">
        <v>6820</v>
      </c>
      <c r="E30962">
        <v>235</v>
      </c>
      <c r="F30962">
        <v>102149.5</v>
      </c>
      <c r="G30962">
        <v>46</v>
      </c>
    </row>
    <row r="30963" spans="1:7" x14ac:dyDescent="0.35">
      <c r="A30963" s="27" t="s">
        <v>227</v>
      </c>
      <c r="B30963" s="27" t="s">
        <v>2731</v>
      </c>
      <c r="C30963" s="29">
        <v>11215.16</v>
      </c>
      <c r="D30963" s="29">
        <v>8033.3</v>
      </c>
      <c r="E30963" s="29">
        <v>2560</v>
      </c>
      <c r="F30963" s="29">
        <v>31580</v>
      </c>
      <c r="G30963" s="29">
        <v>21</v>
      </c>
    </row>
    <row r="30964" spans="1:7" x14ac:dyDescent="0.35">
      <c r="A30964" t="s">
        <v>227</v>
      </c>
      <c r="B30964" t="s">
        <v>2732</v>
      </c>
      <c r="C30964">
        <v>8633.1299999999992</v>
      </c>
      <c r="D30964">
        <v>6233.3</v>
      </c>
      <c r="E30964">
        <v>255.6</v>
      </c>
      <c r="F30964">
        <v>82666.7</v>
      </c>
      <c r="G30964">
        <v>93</v>
      </c>
    </row>
    <row r="30965" spans="1:7" x14ac:dyDescent="0.35">
      <c r="A30965" t="s">
        <v>228</v>
      </c>
      <c r="B30965" t="s">
        <v>2730</v>
      </c>
      <c r="C30965">
        <v>8832.76</v>
      </c>
      <c r="D30965">
        <v>6383.3</v>
      </c>
      <c r="E30965">
        <v>0</v>
      </c>
      <c r="F30965">
        <v>70216.7</v>
      </c>
      <c r="G30965">
        <v>344</v>
      </c>
    </row>
    <row r="30966" spans="1:7" x14ac:dyDescent="0.35">
      <c r="A30966" t="s">
        <v>228</v>
      </c>
      <c r="B30966" t="s">
        <v>2731</v>
      </c>
      <c r="C30966">
        <v>13569.36</v>
      </c>
      <c r="D30966">
        <v>9666.7000000000007</v>
      </c>
      <c r="E30966">
        <v>150</v>
      </c>
      <c r="F30966">
        <v>65366.7</v>
      </c>
      <c r="G30966">
        <v>90</v>
      </c>
    </row>
    <row r="30967" spans="1:7" x14ac:dyDescent="0.35">
      <c r="A30967" t="s">
        <v>228</v>
      </c>
      <c r="B30967" t="s">
        <v>2732</v>
      </c>
      <c r="C30967">
        <v>8593.2900000000009</v>
      </c>
      <c r="D30967">
        <v>6516.7</v>
      </c>
      <c r="E30967">
        <v>41.7</v>
      </c>
      <c r="F30967">
        <v>58611.1</v>
      </c>
      <c r="G30967">
        <v>548</v>
      </c>
    </row>
    <row r="30968" spans="1:7" x14ac:dyDescent="0.35">
      <c r="A30968" t="s">
        <v>229</v>
      </c>
      <c r="B30968" t="s">
        <v>2730</v>
      </c>
      <c r="C30968">
        <v>10269.950000000001</v>
      </c>
      <c r="D30968">
        <v>7308.3</v>
      </c>
      <c r="E30968">
        <v>100</v>
      </c>
      <c r="F30968">
        <v>53166.7</v>
      </c>
      <c r="G30968">
        <v>293</v>
      </c>
    </row>
    <row r="30969" spans="1:7" x14ac:dyDescent="0.35">
      <c r="A30969" t="s">
        <v>229</v>
      </c>
      <c r="B30969" t="s">
        <v>2731</v>
      </c>
      <c r="C30969">
        <v>14009.43</v>
      </c>
      <c r="D30969">
        <v>11283.3</v>
      </c>
      <c r="E30969">
        <v>550</v>
      </c>
      <c r="F30969">
        <v>34523.300000000003</v>
      </c>
      <c r="G30969">
        <v>83</v>
      </c>
    </row>
    <row r="30970" spans="1:7" x14ac:dyDescent="0.35">
      <c r="A30970" t="s">
        <v>229</v>
      </c>
      <c r="B30970" t="s">
        <v>2732</v>
      </c>
      <c r="C30970">
        <v>12267.84</v>
      </c>
      <c r="D30970">
        <v>9075</v>
      </c>
      <c r="E30970">
        <v>27.8</v>
      </c>
      <c r="F30970">
        <v>92200</v>
      </c>
      <c r="G30970">
        <v>491</v>
      </c>
    </row>
    <row r="30971" spans="1:7" x14ac:dyDescent="0.35">
      <c r="A30971" t="s">
        <v>230</v>
      </c>
      <c r="B30971" t="s">
        <v>2730</v>
      </c>
      <c r="C30971">
        <v>9508.0300000000007</v>
      </c>
      <c r="D30971">
        <v>8215</v>
      </c>
      <c r="E30971">
        <v>216.7</v>
      </c>
      <c r="F30971">
        <v>114386.7</v>
      </c>
      <c r="G30971">
        <v>189</v>
      </c>
    </row>
    <row r="30972" spans="1:7" x14ac:dyDescent="0.35">
      <c r="A30972" t="s">
        <v>230</v>
      </c>
      <c r="B30972" t="s">
        <v>2731</v>
      </c>
      <c r="C30972">
        <v>17377.7</v>
      </c>
      <c r="D30972">
        <v>9466.7000000000007</v>
      </c>
      <c r="E30972">
        <v>1456.7</v>
      </c>
      <c r="F30972">
        <v>82350</v>
      </c>
      <c r="G30972">
        <v>50</v>
      </c>
    </row>
    <row r="30973" spans="1:7" x14ac:dyDescent="0.35">
      <c r="A30973" t="s">
        <v>230</v>
      </c>
      <c r="B30973" t="s">
        <v>2732</v>
      </c>
      <c r="C30973">
        <v>11006.5</v>
      </c>
      <c r="D30973">
        <v>7581.7</v>
      </c>
      <c r="E30973">
        <v>0</v>
      </c>
      <c r="F30973">
        <v>122633.3</v>
      </c>
      <c r="G30973">
        <v>310</v>
      </c>
    </row>
    <row r="30974" spans="1:7" x14ac:dyDescent="0.35">
      <c r="A30974" t="s">
        <v>231</v>
      </c>
      <c r="B30974" t="s">
        <v>2730</v>
      </c>
      <c r="C30974">
        <v>12001.93</v>
      </c>
      <c r="D30974">
        <v>6233.3</v>
      </c>
      <c r="E30974">
        <v>850</v>
      </c>
      <c r="F30974">
        <v>97600</v>
      </c>
      <c r="G30974">
        <v>55</v>
      </c>
    </row>
    <row r="30975" spans="1:7" x14ac:dyDescent="0.35">
      <c r="A30975" s="27" t="s">
        <v>231</v>
      </c>
      <c r="B30975" s="27" t="s">
        <v>2731</v>
      </c>
      <c r="C30975" s="29">
        <v>14475.39</v>
      </c>
      <c r="D30975" s="29">
        <v>11233.3</v>
      </c>
      <c r="E30975" s="29">
        <v>1433.3</v>
      </c>
      <c r="F30975" s="29">
        <v>68666.7</v>
      </c>
      <c r="G30975" s="29">
        <v>17</v>
      </c>
    </row>
    <row r="30976" spans="1:7" x14ac:dyDescent="0.35">
      <c r="A30976" t="s">
        <v>231</v>
      </c>
      <c r="B30976" t="s">
        <v>2732</v>
      </c>
      <c r="C30976">
        <v>9718.26</v>
      </c>
      <c r="D30976">
        <v>6913.3</v>
      </c>
      <c r="E30976">
        <v>200</v>
      </c>
      <c r="F30976">
        <v>39350</v>
      </c>
      <c r="G30976">
        <v>92</v>
      </c>
    </row>
    <row r="30977" spans="1:17" x14ac:dyDescent="0.35">
      <c r="A30977" t="s">
        <v>232</v>
      </c>
      <c r="B30977" t="s">
        <v>232</v>
      </c>
      <c r="C30977">
        <v>10625.29</v>
      </c>
      <c r="D30977">
        <v>7296.7</v>
      </c>
      <c r="E30977">
        <v>0</v>
      </c>
      <c r="F30977">
        <v>122633.3</v>
      </c>
      <c r="G30977">
        <v>2723</v>
      </c>
    </row>
    <row r="30979" spans="1:17" x14ac:dyDescent="0.35">
      <c r="A30979" s="1" t="s">
        <v>2754</v>
      </c>
    </row>
    <row r="30980" spans="1:17" x14ac:dyDescent="0.35">
      <c r="A30980" t="s">
        <v>219</v>
      </c>
      <c r="B30980" t="s">
        <v>305</v>
      </c>
      <c r="C30980" t="s">
        <v>550</v>
      </c>
      <c r="D30980" t="s">
        <v>1058</v>
      </c>
      <c r="E30980" t="s">
        <v>1059</v>
      </c>
      <c r="F30980" t="s">
        <v>1060</v>
      </c>
      <c r="G30980" t="s">
        <v>1061</v>
      </c>
      <c r="H30980" t="s">
        <v>1062</v>
      </c>
      <c r="I30980" t="s">
        <v>1063</v>
      </c>
      <c r="J30980" t="s">
        <v>1064</v>
      </c>
      <c r="K30980" t="s">
        <v>1065</v>
      </c>
      <c r="L30980" t="s">
        <v>1066</v>
      </c>
      <c r="M30980" t="s">
        <v>281</v>
      </c>
      <c r="N30980" t="s">
        <v>1067</v>
      </c>
      <c r="O30980" t="s">
        <v>326</v>
      </c>
      <c r="P30980" t="s">
        <v>286</v>
      </c>
      <c r="Q30980" t="s">
        <v>226</v>
      </c>
    </row>
    <row r="30981" spans="1:17" x14ac:dyDescent="0.35">
      <c r="A30981" t="s">
        <v>227</v>
      </c>
      <c r="B30981" t="s">
        <v>2730</v>
      </c>
      <c r="C30981" s="26">
        <v>0.70209999999999995</v>
      </c>
      <c r="D30981" s="26">
        <v>0.12770000000000001</v>
      </c>
      <c r="E30981" s="26">
        <v>0.12770000000000001</v>
      </c>
      <c r="F30981" s="26">
        <v>8.5099999999999995E-2</v>
      </c>
      <c r="G30981" s="26">
        <v>2.1299999999999999E-2</v>
      </c>
      <c r="H30981" s="26">
        <v>4.2599999999999999E-2</v>
      </c>
      <c r="I30981" s="26">
        <v>0.10639999999999999</v>
      </c>
      <c r="J30981" s="26">
        <v>2.1299999999999999E-2</v>
      </c>
      <c r="K30981" s="26">
        <v>6.3799999999999996E-2</v>
      </c>
      <c r="Q30981">
        <v>47</v>
      </c>
    </row>
    <row r="30982" spans="1:17" x14ac:dyDescent="0.35">
      <c r="A30982" s="27" t="s">
        <v>227</v>
      </c>
      <c r="B30982" s="27" t="s">
        <v>2731</v>
      </c>
      <c r="C30982" s="28">
        <v>0.71430000000000005</v>
      </c>
      <c r="D30982" s="28">
        <v>4.7600000000000003E-2</v>
      </c>
      <c r="E30982" s="28">
        <v>4.7600000000000003E-2</v>
      </c>
      <c r="F30982" s="28">
        <v>4.7600000000000003E-2</v>
      </c>
      <c r="G30982" s="28">
        <v>9.5200000000000007E-2</v>
      </c>
      <c r="H30982" s="29"/>
      <c r="I30982" s="29"/>
      <c r="J30982" s="28">
        <v>4.7600000000000003E-2</v>
      </c>
      <c r="K30982" s="29"/>
      <c r="L30982" s="28">
        <v>4.7600000000000003E-2</v>
      </c>
      <c r="M30982" s="29"/>
      <c r="N30982" s="29"/>
      <c r="O30982" s="29"/>
      <c r="P30982" s="29"/>
      <c r="Q30982" s="29" t="s">
        <v>351</v>
      </c>
    </row>
    <row r="30983" spans="1:17" x14ac:dyDescent="0.35">
      <c r="A30983" t="s">
        <v>227</v>
      </c>
      <c r="B30983" t="s">
        <v>2732</v>
      </c>
      <c r="C30983" s="26">
        <v>0.75270000000000004</v>
      </c>
      <c r="D30983" s="26">
        <v>0.1183</v>
      </c>
      <c r="E30983" s="26">
        <v>8.5999999999999993E-2</v>
      </c>
      <c r="F30983" s="26">
        <v>8.5999999999999993E-2</v>
      </c>
      <c r="G30983" s="26">
        <v>9.6799999999999997E-2</v>
      </c>
      <c r="H30983" s="26">
        <v>3.2300000000000002E-2</v>
      </c>
      <c r="I30983" s="26">
        <v>4.2999999999999997E-2</v>
      </c>
      <c r="J30983" s="26">
        <v>4.2999999999999997E-2</v>
      </c>
      <c r="K30983" s="26">
        <v>4.2999999999999997E-2</v>
      </c>
      <c r="L30983" s="26">
        <v>1.0800000000000001E-2</v>
      </c>
      <c r="Q30983">
        <v>93</v>
      </c>
    </row>
    <row r="30984" spans="1:17" x14ac:dyDescent="0.35">
      <c r="A30984" t="s">
        <v>228</v>
      </c>
      <c r="B30984" t="s">
        <v>2730</v>
      </c>
      <c r="C30984" s="26">
        <v>0.62590000000000001</v>
      </c>
      <c r="D30984" s="26">
        <v>0.18759999999999999</v>
      </c>
      <c r="E30984" s="26">
        <v>0.14349999999999999</v>
      </c>
      <c r="F30984" s="26">
        <v>0.1623</v>
      </c>
      <c r="G30984" s="26">
        <v>4.1599999999999998E-2</v>
      </c>
      <c r="H30984" s="26">
        <v>9.8900000000000002E-2</v>
      </c>
      <c r="I30984" s="26">
        <v>7.8899999999999998E-2</v>
      </c>
      <c r="J30984" s="26">
        <v>6.0699999999999997E-2</v>
      </c>
      <c r="K30984" s="26">
        <v>6.6699999999999995E-2</v>
      </c>
      <c r="L30984" s="26">
        <v>3.9399999999999998E-2</v>
      </c>
      <c r="M30984" s="26">
        <v>2E-3</v>
      </c>
      <c r="N30984" s="26">
        <v>6.0000000000000001E-3</v>
      </c>
      <c r="O30984" s="26">
        <v>0.01</v>
      </c>
      <c r="Q30984">
        <v>360</v>
      </c>
    </row>
    <row r="30985" spans="1:17" x14ac:dyDescent="0.35">
      <c r="A30985" t="s">
        <v>228</v>
      </c>
      <c r="B30985" t="s">
        <v>2731</v>
      </c>
      <c r="C30985" s="26">
        <v>0.67679999999999996</v>
      </c>
      <c r="D30985" s="26">
        <v>0.1333</v>
      </c>
      <c r="E30985" s="26">
        <v>0.1128</v>
      </c>
      <c r="F30985" s="26">
        <v>0.1643</v>
      </c>
      <c r="G30985" s="26">
        <v>6.0199999999999997E-2</v>
      </c>
      <c r="H30985" s="26">
        <v>4.6100000000000002E-2</v>
      </c>
      <c r="K30985" s="26">
        <v>5.91E-2</v>
      </c>
      <c r="L30985" s="26">
        <v>1.0800000000000001E-2</v>
      </c>
      <c r="M30985" s="26">
        <v>1.5100000000000001E-2</v>
      </c>
      <c r="P30985" s="26">
        <v>7.1000000000000004E-3</v>
      </c>
      <c r="Q30985">
        <v>93</v>
      </c>
    </row>
    <row r="30986" spans="1:17" x14ac:dyDescent="0.35">
      <c r="A30986" t="s">
        <v>228</v>
      </c>
      <c r="B30986" t="s">
        <v>2732</v>
      </c>
      <c r="C30986" s="26">
        <v>0.6734</v>
      </c>
      <c r="D30986" s="26">
        <v>0.12089999999999999</v>
      </c>
      <c r="E30986" s="26">
        <v>0.10730000000000001</v>
      </c>
      <c r="F30986" s="26">
        <v>0.1027</v>
      </c>
      <c r="G30986" s="26">
        <v>6.6799999999999998E-2</v>
      </c>
      <c r="H30986" s="26">
        <v>7.8E-2</v>
      </c>
      <c r="I30986" s="26">
        <v>7.3800000000000004E-2</v>
      </c>
      <c r="J30986" s="26">
        <v>3.7400000000000003E-2</v>
      </c>
      <c r="K30986" s="26">
        <v>6.6600000000000006E-2</v>
      </c>
      <c r="L30986" s="26">
        <v>6.0699999999999997E-2</v>
      </c>
      <c r="M30986" s="26">
        <v>2.35E-2</v>
      </c>
      <c r="N30986" s="26">
        <v>1.5100000000000001E-2</v>
      </c>
      <c r="P30986" s="26">
        <v>6.3E-3</v>
      </c>
      <c r="Q30986">
        <v>573</v>
      </c>
    </row>
    <row r="30987" spans="1:17" x14ac:dyDescent="0.35">
      <c r="A30987" t="s">
        <v>229</v>
      </c>
      <c r="B30987" t="s">
        <v>2730</v>
      </c>
      <c r="C30987" s="26">
        <v>0.59199999999999997</v>
      </c>
      <c r="D30987" s="26">
        <v>0.1986</v>
      </c>
      <c r="E30987" s="26">
        <v>0.12620000000000001</v>
      </c>
      <c r="F30987" s="26">
        <v>0.1497</v>
      </c>
      <c r="G30987" s="26">
        <v>4.9099999999999998E-2</v>
      </c>
      <c r="H30987" s="26">
        <v>0.11609999999999999</v>
      </c>
      <c r="I30987" s="26">
        <v>7.8600000000000003E-2</v>
      </c>
      <c r="J30987" s="26">
        <v>7.8299999999999995E-2</v>
      </c>
      <c r="K30987" s="26">
        <v>6.1400000000000003E-2</v>
      </c>
      <c r="L30987" s="26">
        <v>7.1499999999999994E-2</v>
      </c>
      <c r="M30987" s="26">
        <v>5.9999999999999995E-4</v>
      </c>
      <c r="O30987" s="26">
        <v>8.9999999999999993E-3</v>
      </c>
      <c r="Q30987">
        <v>302</v>
      </c>
    </row>
    <row r="30988" spans="1:17" x14ac:dyDescent="0.35">
      <c r="A30988" t="s">
        <v>229</v>
      </c>
      <c r="B30988" t="s">
        <v>2731</v>
      </c>
      <c r="C30988" s="26">
        <v>0.85880000000000001</v>
      </c>
      <c r="D30988" s="26">
        <v>0.1022</v>
      </c>
      <c r="E30988" s="26">
        <v>4.1799999999999997E-2</v>
      </c>
      <c r="F30988" s="26">
        <v>3.2000000000000002E-3</v>
      </c>
      <c r="G30988" s="26">
        <v>7.1999999999999998E-3</v>
      </c>
      <c r="H30988" s="26">
        <v>4.0000000000000001E-3</v>
      </c>
      <c r="J30988" s="26">
        <v>3.0599999999999999E-2</v>
      </c>
      <c r="K30988" s="26">
        <v>3.4599999999999999E-2</v>
      </c>
      <c r="L30988" s="26">
        <v>3.2000000000000002E-3</v>
      </c>
      <c r="Q30988">
        <v>85</v>
      </c>
    </row>
    <row r="30989" spans="1:17" x14ac:dyDescent="0.35">
      <c r="A30989" t="s">
        <v>229</v>
      </c>
      <c r="B30989" t="s">
        <v>2732</v>
      </c>
      <c r="C30989" s="26">
        <v>0.75339999999999996</v>
      </c>
      <c r="D30989" s="26">
        <v>9.9699999999999997E-2</v>
      </c>
      <c r="E30989" s="26">
        <v>0.1024</v>
      </c>
      <c r="F30989" s="26">
        <v>6.9500000000000006E-2</v>
      </c>
      <c r="G30989" s="26">
        <v>6.2E-2</v>
      </c>
      <c r="H30989" s="26">
        <v>3.7400000000000003E-2</v>
      </c>
      <c r="I30989" s="26">
        <v>4.53E-2</v>
      </c>
      <c r="J30989" s="26">
        <v>3.9399999999999998E-2</v>
      </c>
      <c r="K30989" s="26">
        <v>2.3099999999999999E-2</v>
      </c>
      <c r="L30989" s="26">
        <v>4.3900000000000002E-2</v>
      </c>
      <c r="M30989" s="26">
        <v>1.83E-2</v>
      </c>
      <c r="N30989" s="26">
        <v>2.3E-3</v>
      </c>
      <c r="P30989" s="26">
        <v>5.1999999999999998E-3</v>
      </c>
      <c r="Q30989">
        <v>506</v>
      </c>
    </row>
    <row r="30990" spans="1:17" x14ac:dyDescent="0.35">
      <c r="A30990" t="s">
        <v>230</v>
      </c>
      <c r="B30990" t="s">
        <v>2730</v>
      </c>
      <c r="C30990" s="26">
        <v>0.56779999999999997</v>
      </c>
      <c r="D30990" s="26">
        <v>0.19239999999999999</v>
      </c>
      <c r="E30990" s="26">
        <v>0.12720000000000001</v>
      </c>
      <c r="F30990" s="26">
        <v>0.14080000000000001</v>
      </c>
      <c r="G30990" s="26">
        <v>9.3700000000000006E-2</v>
      </c>
      <c r="H30990" s="26">
        <v>0.11749999999999999</v>
      </c>
      <c r="I30990" s="26">
        <v>9.5899999999999999E-2</v>
      </c>
      <c r="J30990" s="26">
        <v>8.9099999999999999E-2</v>
      </c>
      <c r="K30990" s="26">
        <v>6.3E-2</v>
      </c>
      <c r="L30990" s="26">
        <v>7.9500000000000001E-2</v>
      </c>
      <c r="M30990" s="26">
        <v>5.7000000000000002E-3</v>
      </c>
      <c r="N30990" s="26">
        <v>1.78E-2</v>
      </c>
      <c r="O30990" s="26">
        <v>1.9800000000000002E-2</v>
      </c>
      <c r="Q30990">
        <v>196</v>
      </c>
    </row>
    <row r="30991" spans="1:17" x14ac:dyDescent="0.35">
      <c r="A30991" t="s">
        <v>230</v>
      </c>
      <c r="B30991" t="s">
        <v>2731</v>
      </c>
      <c r="C30991" s="26">
        <v>0.84219999999999995</v>
      </c>
      <c r="D30991" s="26">
        <v>8.1500000000000003E-2</v>
      </c>
      <c r="E30991" s="26">
        <v>2.6800000000000001E-2</v>
      </c>
      <c r="F30991" s="26">
        <v>3.5299999999999998E-2</v>
      </c>
      <c r="G30991" s="26">
        <v>0.10390000000000001</v>
      </c>
      <c r="H30991" s="26">
        <v>1.18E-2</v>
      </c>
      <c r="J30991" s="26">
        <v>1.8800000000000001E-2</v>
      </c>
      <c r="K30991" s="26">
        <v>1.5299999999999999E-2</v>
      </c>
      <c r="L30991" s="26">
        <v>1.18E-2</v>
      </c>
      <c r="Q30991">
        <v>50</v>
      </c>
    </row>
    <row r="30992" spans="1:17" x14ac:dyDescent="0.35">
      <c r="A30992" t="s">
        <v>230</v>
      </c>
      <c r="B30992" t="s">
        <v>2732</v>
      </c>
      <c r="C30992" s="26">
        <v>0.72219999999999995</v>
      </c>
      <c r="D30992" s="26">
        <v>0.10879999999999999</v>
      </c>
      <c r="E30992" s="26">
        <v>8.3299999999999999E-2</v>
      </c>
      <c r="F30992" s="26">
        <v>0.1019</v>
      </c>
      <c r="G30992" s="26">
        <v>8.5199999999999998E-2</v>
      </c>
      <c r="H30992" s="26">
        <v>4.7399999999999998E-2</v>
      </c>
      <c r="I30992" s="26">
        <v>4.8899999999999999E-2</v>
      </c>
      <c r="J30992" s="26">
        <v>8.1000000000000003E-2</v>
      </c>
      <c r="K30992" s="26">
        <v>2.1600000000000001E-2</v>
      </c>
      <c r="L30992" s="26">
        <v>6.7799999999999999E-2</v>
      </c>
      <c r="M30992" s="26">
        <v>1.09E-2</v>
      </c>
      <c r="N30992" s="26">
        <v>0.03</v>
      </c>
      <c r="Q30992">
        <v>307</v>
      </c>
    </row>
    <row r="30993" spans="1:20" x14ac:dyDescent="0.35">
      <c r="A30993" t="s">
        <v>231</v>
      </c>
      <c r="B30993" t="s">
        <v>2730</v>
      </c>
      <c r="C30993" s="26">
        <v>0.70369999999999999</v>
      </c>
      <c r="D30993" s="26">
        <v>0.1111</v>
      </c>
      <c r="E30993" s="26">
        <v>5.5599999999999997E-2</v>
      </c>
      <c r="F30993" s="26">
        <v>0.12959999999999999</v>
      </c>
      <c r="G30993" s="26">
        <v>7.4099999999999999E-2</v>
      </c>
      <c r="H30993" s="26">
        <v>9.2600000000000002E-2</v>
      </c>
      <c r="I30993" s="26">
        <v>5.5599999999999997E-2</v>
      </c>
      <c r="J30993" s="26">
        <v>3.6999999999999998E-2</v>
      </c>
      <c r="K30993" s="26">
        <v>3.6999999999999998E-2</v>
      </c>
      <c r="M30993" s="26">
        <v>1.8499999999999999E-2</v>
      </c>
      <c r="Q30993">
        <v>54</v>
      </c>
    </row>
    <row r="30994" spans="1:20" x14ac:dyDescent="0.35">
      <c r="A30994" s="27" t="s">
        <v>231</v>
      </c>
      <c r="B30994" s="27" t="s">
        <v>2731</v>
      </c>
      <c r="C30994" s="28">
        <v>0.82350000000000001</v>
      </c>
      <c r="D30994" s="28">
        <v>5.8799999999999998E-2</v>
      </c>
      <c r="E30994" s="28">
        <v>5.8799999999999998E-2</v>
      </c>
      <c r="F30994" s="29"/>
      <c r="G30994" s="29"/>
      <c r="H30994" s="28">
        <v>5.8799999999999998E-2</v>
      </c>
      <c r="I30994" s="29"/>
      <c r="J30994" s="28">
        <v>5.8799999999999998E-2</v>
      </c>
      <c r="K30994" s="28">
        <v>5.8799999999999998E-2</v>
      </c>
      <c r="L30994" s="29"/>
      <c r="M30994" s="28">
        <v>5.8799999999999998E-2</v>
      </c>
      <c r="N30994" s="29"/>
      <c r="O30994" s="29"/>
      <c r="P30994" s="29"/>
      <c r="Q30994" s="29" t="s">
        <v>343</v>
      </c>
    </row>
    <row r="30995" spans="1:20" x14ac:dyDescent="0.35">
      <c r="A30995" t="s">
        <v>231</v>
      </c>
      <c r="B30995" t="s">
        <v>2732</v>
      </c>
      <c r="C30995" s="26">
        <v>0.67779999999999996</v>
      </c>
      <c r="D30995" s="26">
        <v>0.1444</v>
      </c>
      <c r="E30995" s="26">
        <v>0.1333</v>
      </c>
      <c r="F30995" s="26">
        <v>0.1222</v>
      </c>
      <c r="G30995" s="26">
        <v>0.1111</v>
      </c>
      <c r="H30995" s="26">
        <v>5.5599999999999997E-2</v>
      </c>
      <c r="I30995" s="26">
        <v>4.4400000000000002E-2</v>
      </c>
      <c r="J30995" s="26">
        <v>8.8900000000000007E-2</v>
      </c>
      <c r="K30995" s="26">
        <v>7.7799999999999994E-2</v>
      </c>
      <c r="L30995" s="26">
        <v>5.5599999999999997E-2</v>
      </c>
      <c r="M30995" s="26">
        <v>1.11E-2</v>
      </c>
      <c r="N30995" s="26">
        <v>1.11E-2</v>
      </c>
      <c r="Q30995">
        <v>90</v>
      </c>
    </row>
    <row r="30996" spans="1:20" x14ac:dyDescent="0.35">
      <c r="A30996" t="s">
        <v>232</v>
      </c>
      <c r="B30996" t="s">
        <v>232</v>
      </c>
      <c r="C30996" s="26">
        <v>0.7006</v>
      </c>
      <c r="D30996" s="26">
        <v>0.128</v>
      </c>
      <c r="E30996" s="26">
        <v>0.1031</v>
      </c>
      <c r="F30996" s="26">
        <v>0.10249999999999999</v>
      </c>
      <c r="G30996" s="26">
        <v>7.0099999999999996E-2</v>
      </c>
      <c r="H30996" s="26">
        <v>6.1899999999999997E-2</v>
      </c>
      <c r="I30996" s="26">
        <v>5.4199999999999998E-2</v>
      </c>
      <c r="J30996" s="26">
        <v>5.4100000000000002E-2</v>
      </c>
      <c r="K30996" s="26">
        <v>4.9599999999999998E-2</v>
      </c>
      <c r="L30996" s="26">
        <v>4.0099999999999997E-2</v>
      </c>
      <c r="M30996" s="26">
        <v>1.23E-2</v>
      </c>
      <c r="N30996" s="26">
        <v>6.4000000000000003E-3</v>
      </c>
      <c r="O30996" s="26">
        <v>2E-3</v>
      </c>
      <c r="P30996" s="26">
        <v>1.8E-3</v>
      </c>
      <c r="Q30996">
        <v>2794</v>
      </c>
    </row>
    <row r="30998" spans="1:20" x14ac:dyDescent="0.35">
      <c r="A30998" s="1" t="s">
        <v>2755</v>
      </c>
    </row>
    <row r="30999" spans="1:20" x14ac:dyDescent="0.35">
      <c r="A30999" t="s">
        <v>219</v>
      </c>
      <c r="B30999" t="s">
        <v>305</v>
      </c>
      <c r="C30999" t="s">
        <v>1080</v>
      </c>
      <c r="D30999" t="s">
        <v>1081</v>
      </c>
      <c r="E30999" t="s">
        <v>1082</v>
      </c>
      <c r="F30999" t="s">
        <v>1083</v>
      </c>
      <c r="G30999" t="s">
        <v>1084</v>
      </c>
      <c r="H30999" t="s">
        <v>1085</v>
      </c>
      <c r="I30999" t="s">
        <v>1086</v>
      </c>
      <c r="J30999" t="s">
        <v>1087</v>
      </c>
      <c r="K30999" t="s">
        <v>1088</v>
      </c>
      <c r="L30999" t="s">
        <v>1089</v>
      </c>
      <c r="M30999" t="s">
        <v>326</v>
      </c>
      <c r="N30999" t="s">
        <v>1090</v>
      </c>
      <c r="O30999" t="s">
        <v>1091</v>
      </c>
      <c r="P30999" t="s">
        <v>1092</v>
      </c>
      <c r="Q30999" t="s">
        <v>1093</v>
      </c>
      <c r="R30999" t="s">
        <v>286</v>
      </c>
      <c r="S30999" t="s">
        <v>281</v>
      </c>
      <c r="T30999" t="s">
        <v>226</v>
      </c>
    </row>
    <row r="31000" spans="1:20" x14ac:dyDescent="0.35">
      <c r="A31000" t="s">
        <v>227</v>
      </c>
      <c r="B31000" t="s">
        <v>2730</v>
      </c>
      <c r="C31000" s="26">
        <v>0.51060000000000005</v>
      </c>
      <c r="D31000" s="26">
        <v>0.53190000000000004</v>
      </c>
      <c r="E31000" s="26">
        <v>0.17019999999999999</v>
      </c>
      <c r="F31000" s="26">
        <v>6.3799999999999996E-2</v>
      </c>
      <c r="G31000" s="26">
        <v>0.17019999999999999</v>
      </c>
      <c r="H31000" s="26">
        <v>0.1489</v>
      </c>
      <c r="I31000" s="26">
        <v>6.3799999999999996E-2</v>
      </c>
      <c r="J31000" s="26">
        <v>2.1299999999999999E-2</v>
      </c>
      <c r="K31000" s="26">
        <v>2.1299999999999999E-2</v>
      </c>
      <c r="L31000" s="26">
        <v>2.1299999999999999E-2</v>
      </c>
      <c r="T31000">
        <v>47</v>
      </c>
    </row>
    <row r="31001" spans="1:20" x14ac:dyDescent="0.35">
      <c r="A31001" s="27" t="s">
        <v>227</v>
      </c>
      <c r="B31001" s="27" t="s">
        <v>2731</v>
      </c>
      <c r="C31001" s="28">
        <v>0.42859999999999998</v>
      </c>
      <c r="D31001" s="28">
        <v>0.33329999999999999</v>
      </c>
      <c r="E31001" s="28">
        <v>0.1429</v>
      </c>
      <c r="F31001" s="28">
        <v>0.1905</v>
      </c>
      <c r="G31001" s="29"/>
      <c r="H31001" s="28">
        <v>4.7600000000000003E-2</v>
      </c>
      <c r="I31001" s="29"/>
      <c r="J31001" s="29"/>
      <c r="K31001" s="28">
        <v>4.7600000000000003E-2</v>
      </c>
      <c r="L31001" s="29"/>
      <c r="M31001" s="29"/>
      <c r="N31001" s="29"/>
      <c r="O31001" s="29"/>
      <c r="P31001" s="28">
        <v>4.7600000000000003E-2</v>
      </c>
      <c r="Q31001" s="29"/>
      <c r="R31001" s="29"/>
      <c r="S31001" s="29"/>
      <c r="T31001" s="29" t="s">
        <v>351</v>
      </c>
    </row>
    <row r="31002" spans="1:20" x14ac:dyDescent="0.35">
      <c r="A31002" t="s">
        <v>227</v>
      </c>
      <c r="B31002" t="s">
        <v>2732</v>
      </c>
      <c r="C31002" s="26">
        <v>0.6774</v>
      </c>
      <c r="D31002" s="26">
        <v>0.4516</v>
      </c>
      <c r="E31002" s="26">
        <v>0.20430000000000001</v>
      </c>
      <c r="F31002" s="26">
        <v>0.1075</v>
      </c>
      <c r="G31002" s="26">
        <v>0.129</v>
      </c>
      <c r="H31002" s="26">
        <v>0.129</v>
      </c>
      <c r="I31002" s="26">
        <v>4.2999999999999997E-2</v>
      </c>
      <c r="J31002" s="26">
        <v>3.2300000000000002E-2</v>
      </c>
      <c r="K31002" s="26">
        <v>4.2999999999999997E-2</v>
      </c>
      <c r="L31002" s="26">
        <v>1.0800000000000001E-2</v>
      </c>
      <c r="M31002" s="26">
        <v>1.0800000000000001E-2</v>
      </c>
      <c r="N31002" s="26">
        <v>1.0800000000000001E-2</v>
      </c>
      <c r="P31002" s="26">
        <v>1.0800000000000001E-2</v>
      </c>
      <c r="Q31002" s="26">
        <v>1.0800000000000001E-2</v>
      </c>
      <c r="T31002">
        <v>93</v>
      </c>
    </row>
    <row r="31003" spans="1:20" x14ac:dyDescent="0.35">
      <c r="A31003" t="s">
        <v>228</v>
      </c>
      <c r="B31003" t="s">
        <v>2730</v>
      </c>
      <c r="C31003" s="26">
        <v>0.45379999999999998</v>
      </c>
      <c r="D31003" s="26">
        <v>0.5514</v>
      </c>
      <c r="E31003" s="26">
        <v>0.1016</v>
      </c>
      <c r="F31003" s="26">
        <v>8.6099999999999996E-2</v>
      </c>
      <c r="G31003" s="26">
        <v>9.7100000000000006E-2</v>
      </c>
      <c r="H31003" s="26">
        <v>0.122</v>
      </c>
      <c r="I31003" s="26">
        <v>1.35E-2</v>
      </c>
      <c r="J31003" s="26">
        <v>6.9199999999999998E-2</v>
      </c>
      <c r="K31003" s="26">
        <v>1.8800000000000001E-2</v>
      </c>
      <c r="L31003" s="26">
        <v>1.17E-2</v>
      </c>
      <c r="M31003" s="26">
        <v>1.0800000000000001E-2</v>
      </c>
      <c r="N31003" s="26">
        <v>3.1600000000000003E-2</v>
      </c>
      <c r="O31003" s="26">
        <v>3.5999999999999999E-3</v>
      </c>
      <c r="P31003" s="26">
        <v>1.83E-2</v>
      </c>
      <c r="Q31003" s="26">
        <v>3.5000000000000001E-3</v>
      </c>
      <c r="R31003" s="26">
        <v>1.1999999999999999E-3</v>
      </c>
      <c r="T31003">
        <v>358</v>
      </c>
    </row>
    <row r="31004" spans="1:20" x14ac:dyDescent="0.35">
      <c r="A31004" t="s">
        <v>228</v>
      </c>
      <c r="B31004" t="s">
        <v>2731</v>
      </c>
      <c r="C31004" s="26">
        <v>0.44640000000000002</v>
      </c>
      <c r="D31004" s="26">
        <v>0.34670000000000001</v>
      </c>
      <c r="E31004" s="26">
        <v>0.14069999999999999</v>
      </c>
      <c r="F31004" s="26">
        <v>0.1245</v>
      </c>
      <c r="G31004" s="26">
        <v>8.7300000000000003E-2</v>
      </c>
      <c r="H31004" s="26">
        <v>0.1066</v>
      </c>
      <c r="I31004" s="26">
        <v>0.21210000000000001</v>
      </c>
      <c r="J31004" s="26">
        <v>0.126</v>
      </c>
      <c r="K31004" s="26">
        <v>1.6899999999999998E-2</v>
      </c>
      <c r="L31004" s="26">
        <v>4.2599999999999999E-2</v>
      </c>
      <c r="N31004" s="26">
        <v>8.3999999999999995E-3</v>
      </c>
      <c r="P31004" s="26">
        <v>9.1999999999999998E-3</v>
      </c>
      <c r="R31004" s="26">
        <v>3.0999999999999999E-3</v>
      </c>
      <c r="T31004">
        <v>95</v>
      </c>
    </row>
    <row r="31005" spans="1:20" x14ac:dyDescent="0.35">
      <c r="A31005" t="s">
        <v>228</v>
      </c>
      <c r="B31005" t="s">
        <v>2732</v>
      </c>
      <c r="C31005" s="26">
        <v>0.63770000000000004</v>
      </c>
      <c r="D31005" s="26">
        <v>0.54049999999999998</v>
      </c>
      <c r="E31005" s="26">
        <v>0.1953</v>
      </c>
      <c r="F31005" s="26">
        <v>0.1182</v>
      </c>
      <c r="G31005" s="26">
        <v>5.67E-2</v>
      </c>
      <c r="H31005" s="26">
        <v>0.12590000000000001</v>
      </c>
      <c r="I31005" s="26">
        <v>6.7799999999999999E-2</v>
      </c>
      <c r="J31005" s="26">
        <v>5.2900000000000003E-2</v>
      </c>
      <c r="K31005" s="26">
        <v>1.7100000000000001E-2</v>
      </c>
      <c r="L31005" s="26">
        <v>2.3099999999999999E-2</v>
      </c>
      <c r="M31005" s="26">
        <v>3.7000000000000002E-3</v>
      </c>
      <c r="N31005" s="26">
        <v>2.4799999999999999E-2</v>
      </c>
      <c r="O31005" s="26">
        <v>1.18E-2</v>
      </c>
      <c r="Q31005" s="26">
        <v>1.2999999999999999E-3</v>
      </c>
      <c r="R31005" s="26">
        <v>1.9E-3</v>
      </c>
      <c r="S31005" s="26">
        <v>1.6000000000000001E-3</v>
      </c>
      <c r="T31005">
        <v>576</v>
      </c>
    </row>
    <row r="31006" spans="1:20" x14ac:dyDescent="0.35">
      <c r="A31006" t="s">
        <v>229</v>
      </c>
      <c r="B31006" t="s">
        <v>2730</v>
      </c>
      <c r="C31006" s="26">
        <v>0.54869999999999997</v>
      </c>
      <c r="D31006" s="26">
        <v>0.47889999999999999</v>
      </c>
      <c r="E31006" s="26">
        <v>9.9000000000000005E-2</v>
      </c>
      <c r="F31006" s="26">
        <v>6.93E-2</v>
      </c>
      <c r="G31006" s="26">
        <v>0.16719999999999999</v>
      </c>
      <c r="H31006" s="26">
        <v>0.1106</v>
      </c>
      <c r="I31006" s="26">
        <v>2.0999999999999999E-3</v>
      </c>
      <c r="J31006" s="26">
        <v>5.79E-2</v>
      </c>
      <c r="K31006" s="26">
        <v>5.8999999999999999E-3</v>
      </c>
      <c r="L31006" s="26">
        <v>1.03E-2</v>
      </c>
      <c r="M31006" s="26">
        <v>3.9199999999999999E-2</v>
      </c>
      <c r="O31006" s="26">
        <v>1.03E-2</v>
      </c>
      <c r="P31006" s="26">
        <v>6.9999999999999999E-4</v>
      </c>
      <c r="Q31006" s="26">
        <v>1.0800000000000001E-2</v>
      </c>
      <c r="R31006" s="26">
        <v>5.9999999999999995E-4</v>
      </c>
      <c r="T31006">
        <v>301</v>
      </c>
    </row>
    <row r="31007" spans="1:20" x14ac:dyDescent="0.35">
      <c r="A31007" t="s">
        <v>229</v>
      </c>
      <c r="B31007" t="s">
        <v>2731</v>
      </c>
      <c r="C31007" s="26">
        <v>0.64580000000000004</v>
      </c>
      <c r="D31007" s="26">
        <v>0.1308</v>
      </c>
      <c r="E31007" s="26">
        <v>5.1799999999999999E-2</v>
      </c>
      <c r="F31007" s="26">
        <v>0.15590000000000001</v>
      </c>
      <c r="G31007" s="26">
        <v>8.6699999999999999E-2</v>
      </c>
      <c r="H31007" s="26">
        <v>1.26E-2</v>
      </c>
      <c r="I31007" s="26">
        <v>4.2299999999999997E-2</v>
      </c>
      <c r="J31007" s="26">
        <v>0.10349999999999999</v>
      </c>
      <c r="K31007" s="26">
        <v>1.6E-2</v>
      </c>
      <c r="L31007" s="26">
        <v>3.7900000000000003E-2</v>
      </c>
      <c r="N31007" s="26">
        <v>5.4000000000000003E-3</v>
      </c>
      <c r="O31007" s="26">
        <v>4.1999999999999997E-3</v>
      </c>
      <c r="P31007" s="26">
        <v>4.0099999999999997E-2</v>
      </c>
      <c r="R31007" s="26">
        <v>8.3999999999999995E-3</v>
      </c>
      <c r="T31007">
        <v>85</v>
      </c>
    </row>
    <row r="31008" spans="1:20" x14ac:dyDescent="0.35">
      <c r="A31008" t="s">
        <v>229</v>
      </c>
      <c r="B31008" t="s">
        <v>2732</v>
      </c>
      <c r="C31008" s="26">
        <v>0.71779999999999999</v>
      </c>
      <c r="D31008" s="26">
        <v>0.4249</v>
      </c>
      <c r="E31008" s="26">
        <v>0.18859999999999999</v>
      </c>
      <c r="F31008" s="26">
        <v>0.11260000000000001</v>
      </c>
      <c r="G31008" s="26">
        <v>7.4899999999999994E-2</v>
      </c>
      <c r="H31008" s="26">
        <v>6.7900000000000002E-2</v>
      </c>
      <c r="I31008" s="26">
        <v>0.1434</v>
      </c>
      <c r="J31008" s="26">
        <v>3.1099999999999999E-2</v>
      </c>
      <c r="K31008" s="26">
        <v>4.02E-2</v>
      </c>
      <c r="L31008" s="26">
        <v>1.67E-2</v>
      </c>
      <c r="M31008" s="26">
        <v>8.9999999999999993E-3</v>
      </c>
      <c r="N31008" s="26">
        <v>6.1000000000000004E-3</v>
      </c>
      <c r="O31008" s="26">
        <v>4.7000000000000002E-3</v>
      </c>
      <c r="P31008" s="26">
        <v>5.0000000000000001E-4</v>
      </c>
      <c r="Q31008" s="26">
        <v>3.8999999999999998E-3</v>
      </c>
      <c r="R31008" s="26">
        <v>1E-4</v>
      </c>
      <c r="T31008">
        <v>507</v>
      </c>
    </row>
    <row r="31009" spans="1:73" x14ac:dyDescent="0.35">
      <c r="A31009" t="s">
        <v>230</v>
      </c>
      <c r="B31009" t="s">
        <v>2730</v>
      </c>
      <c r="C31009" s="26">
        <v>0.39800000000000002</v>
      </c>
      <c r="D31009" s="26">
        <v>0.4869</v>
      </c>
      <c r="E31009" s="26">
        <v>8.0299999999999996E-2</v>
      </c>
      <c r="F31009" s="26">
        <v>0.12920000000000001</v>
      </c>
      <c r="G31009" s="26">
        <v>0.1406</v>
      </c>
      <c r="H31009" s="26">
        <v>0.1361</v>
      </c>
      <c r="I31009" s="26">
        <v>2.8E-3</v>
      </c>
      <c r="J31009" s="26">
        <v>8.0699999999999994E-2</v>
      </c>
      <c r="K31009" s="26">
        <v>1.9699999999999999E-2</v>
      </c>
      <c r="L31009" s="26">
        <v>5.7000000000000002E-3</v>
      </c>
      <c r="M31009" s="26">
        <v>1.78E-2</v>
      </c>
      <c r="N31009" s="26">
        <v>6.8500000000000005E-2</v>
      </c>
      <c r="O31009" s="26">
        <v>5.7000000000000002E-3</v>
      </c>
      <c r="P31009" s="26">
        <v>2.06E-2</v>
      </c>
      <c r="R31009" s="26">
        <v>8.9999999999999998E-4</v>
      </c>
      <c r="T31009">
        <v>197</v>
      </c>
    </row>
    <row r="31010" spans="1:73" x14ac:dyDescent="0.35">
      <c r="A31010" t="s">
        <v>230</v>
      </c>
      <c r="B31010" t="s">
        <v>2731</v>
      </c>
      <c r="C31010" s="26">
        <v>0.45200000000000001</v>
      </c>
      <c r="D31010" s="26">
        <v>0.39810000000000001</v>
      </c>
      <c r="E31010" s="26">
        <v>0.14249999999999999</v>
      </c>
      <c r="F31010" s="26">
        <v>0.2049</v>
      </c>
      <c r="G31010" s="26">
        <v>3.5000000000000003E-2</v>
      </c>
      <c r="H31010" s="26">
        <v>1.4999999999999999E-2</v>
      </c>
      <c r="I31010" s="26">
        <v>1.18E-2</v>
      </c>
      <c r="J31010" s="26">
        <v>7.1000000000000004E-3</v>
      </c>
      <c r="K31010" s="26">
        <v>3.0599999999999999E-2</v>
      </c>
      <c r="L31010" s="26">
        <v>8.1500000000000003E-2</v>
      </c>
      <c r="M31010" s="26">
        <v>3.5000000000000001E-3</v>
      </c>
      <c r="N31010" s="26">
        <v>2.7099999999999999E-2</v>
      </c>
      <c r="O31010" s="26">
        <v>3.5000000000000001E-3</v>
      </c>
      <c r="Q31010" s="26">
        <v>3.5000000000000001E-3</v>
      </c>
      <c r="R31010" s="26">
        <v>6.9800000000000001E-2</v>
      </c>
      <c r="T31010">
        <v>50</v>
      </c>
    </row>
    <row r="31011" spans="1:73" x14ac:dyDescent="0.35">
      <c r="A31011" t="s">
        <v>230</v>
      </c>
      <c r="B31011" t="s">
        <v>2732</v>
      </c>
      <c r="C31011" s="26">
        <v>0.64990000000000003</v>
      </c>
      <c r="D31011" s="26">
        <v>0.38469999999999999</v>
      </c>
      <c r="E31011" s="26">
        <v>0.27200000000000002</v>
      </c>
      <c r="F31011" s="26">
        <v>9.7799999999999998E-2</v>
      </c>
      <c r="G31011" s="26">
        <v>0.1021</v>
      </c>
      <c r="H31011" s="26">
        <v>0.1002</v>
      </c>
      <c r="I31011" s="26">
        <v>0.13650000000000001</v>
      </c>
      <c r="J31011" s="26">
        <v>8.09E-2</v>
      </c>
      <c r="K31011" s="26">
        <v>5.9200000000000003E-2</v>
      </c>
      <c r="L31011" s="26">
        <v>1.78E-2</v>
      </c>
      <c r="M31011" s="26">
        <v>1.8700000000000001E-2</v>
      </c>
      <c r="N31011" s="26">
        <v>2.35E-2</v>
      </c>
      <c r="O31011" s="26">
        <v>1.04E-2</v>
      </c>
      <c r="R31011" s="26">
        <v>3.0000000000000001E-3</v>
      </c>
      <c r="T31011">
        <v>313</v>
      </c>
    </row>
    <row r="31012" spans="1:73" x14ac:dyDescent="0.35">
      <c r="A31012" t="s">
        <v>231</v>
      </c>
      <c r="B31012" t="s">
        <v>2730</v>
      </c>
      <c r="C31012" s="26">
        <v>0.4</v>
      </c>
      <c r="D31012" s="26">
        <v>0.54549999999999998</v>
      </c>
      <c r="E31012" s="26">
        <v>9.0899999999999995E-2</v>
      </c>
      <c r="F31012" s="26">
        <v>3.6400000000000002E-2</v>
      </c>
      <c r="G31012" s="26">
        <v>0.1273</v>
      </c>
      <c r="H31012" s="26">
        <v>0.14549999999999999</v>
      </c>
      <c r="I31012" s="26">
        <v>5.45E-2</v>
      </c>
      <c r="J31012" s="26">
        <v>1.8200000000000001E-2</v>
      </c>
      <c r="K31012" s="26">
        <v>1.8200000000000001E-2</v>
      </c>
      <c r="M31012" s="26">
        <v>3.6400000000000002E-2</v>
      </c>
      <c r="O31012" s="26">
        <v>1.8200000000000001E-2</v>
      </c>
      <c r="T31012">
        <v>55</v>
      </c>
    </row>
    <row r="31013" spans="1:73" x14ac:dyDescent="0.35">
      <c r="A31013" s="27" t="s">
        <v>231</v>
      </c>
      <c r="B31013" s="27" t="s">
        <v>2731</v>
      </c>
      <c r="C31013" s="28">
        <v>0.58819999999999995</v>
      </c>
      <c r="D31013" s="28">
        <v>0.47060000000000002</v>
      </c>
      <c r="E31013" s="28">
        <v>0.1176</v>
      </c>
      <c r="F31013" s="28">
        <v>0.1176</v>
      </c>
      <c r="G31013" s="29"/>
      <c r="H31013" s="29"/>
      <c r="I31013" s="29"/>
      <c r="J31013" s="29"/>
      <c r="K31013" s="29"/>
      <c r="L31013" s="28">
        <v>5.8799999999999998E-2</v>
      </c>
      <c r="M31013" s="29"/>
      <c r="N31013" s="29"/>
      <c r="O31013" s="29"/>
      <c r="P31013" s="29"/>
      <c r="Q31013" s="29"/>
      <c r="R31013" s="29"/>
      <c r="S31013" s="29"/>
      <c r="T31013" s="29" t="s">
        <v>343</v>
      </c>
    </row>
    <row r="31014" spans="1:73" x14ac:dyDescent="0.35">
      <c r="A31014" t="s">
        <v>231</v>
      </c>
      <c r="B31014" t="s">
        <v>2732</v>
      </c>
      <c r="C31014" s="26">
        <v>0.61960000000000004</v>
      </c>
      <c r="D31014" s="26">
        <v>0.52170000000000005</v>
      </c>
      <c r="E31014" s="26">
        <v>0.2283</v>
      </c>
      <c r="F31014" s="26">
        <v>0.1087</v>
      </c>
      <c r="G31014" s="26">
        <v>0.1087</v>
      </c>
      <c r="H31014" s="26">
        <v>4.3499999999999997E-2</v>
      </c>
      <c r="I31014" s="26">
        <v>0.1087</v>
      </c>
      <c r="J31014" s="26">
        <v>3.2599999999999997E-2</v>
      </c>
      <c r="K31014" s="26">
        <v>6.5199999999999994E-2</v>
      </c>
      <c r="L31014" s="26">
        <v>1.09E-2</v>
      </c>
      <c r="M31014" s="26">
        <v>1.09E-2</v>
      </c>
      <c r="O31014" s="26">
        <v>1.09E-2</v>
      </c>
      <c r="T31014">
        <v>92</v>
      </c>
    </row>
    <row r="31015" spans="1:73" x14ac:dyDescent="0.35">
      <c r="A31015" t="s">
        <v>232</v>
      </c>
      <c r="B31015" t="s">
        <v>232</v>
      </c>
      <c r="C31015" s="26">
        <v>0.59060000000000001</v>
      </c>
      <c r="D31015" s="26">
        <v>0.47499999999999998</v>
      </c>
      <c r="E31015" s="26">
        <v>0.16869999999999999</v>
      </c>
      <c r="F31015" s="26">
        <v>0.10100000000000001</v>
      </c>
      <c r="G31015" s="26">
        <v>0.10059999999999999</v>
      </c>
      <c r="H31015" s="26">
        <v>9.4200000000000006E-2</v>
      </c>
      <c r="I31015" s="26">
        <v>7.5499999999999998E-2</v>
      </c>
      <c r="J31015" s="26">
        <v>4.2599999999999999E-2</v>
      </c>
      <c r="K31015" s="26">
        <v>3.32E-2</v>
      </c>
      <c r="L31015" s="26">
        <v>1.5800000000000002E-2</v>
      </c>
      <c r="M31015" s="26">
        <v>1.35E-2</v>
      </c>
      <c r="N31015" s="26">
        <v>1.0800000000000001E-2</v>
      </c>
      <c r="O31015" s="26">
        <v>7.4999999999999997E-3</v>
      </c>
      <c r="P31015" s="26">
        <v>4.8999999999999998E-3</v>
      </c>
      <c r="Q31015" s="26">
        <v>2.8999999999999998E-3</v>
      </c>
      <c r="R31015" s="26">
        <v>1.2999999999999999E-3</v>
      </c>
      <c r="S31015" s="26">
        <v>2.0000000000000001E-4</v>
      </c>
      <c r="T31015">
        <v>2807</v>
      </c>
    </row>
    <row r="31017" spans="1:73" x14ac:dyDescent="0.35">
      <c r="A31017" s="1" t="s">
        <v>2756</v>
      </c>
    </row>
    <row r="31018" spans="1:73" x14ac:dyDescent="0.35">
      <c r="A31018" t="s">
        <v>219</v>
      </c>
      <c r="B31018" t="s">
        <v>305</v>
      </c>
      <c r="C31018" t="s">
        <v>1105</v>
      </c>
      <c r="D31018" t="s">
        <v>1106</v>
      </c>
      <c r="E31018" t="s">
        <v>1107</v>
      </c>
      <c r="F31018" t="s">
        <v>1108</v>
      </c>
      <c r="G31018" t="s">
        <v>1109</v>
      </c>
      <c r="H31018" t="s">
        <v>1110</v>
      </c>
      <c r="I31018" t="s">
        <v>1111</v>
      </c>
      <c r="J31018" t="s">
        <v>1112</v>
      </c>
      <c r="K31018" t="s">
        <v>1113</v>
      </c>
      <c r="L31018" t="s">
        <v>1114</v>
      </c>
      <c r="M31018" t="s">
        <v>1115</v>
      </c>
      <c r="N31018" t="s">
        <v>1116</v>
      </c>
      <c r="O31018" t="s">
        <v>1117</v>
      </c>
      <c r="P31018" t="s">
        <v>1118</v>
      </c>
      <c r="Q31018" t="s">
        <v>1119</v>
      </c>
      <c r="R31018" t="s">
        <v>1120</v>
      </c>
      <c r="S31018" t="s">
        <v>1121</v>
      </c>
      <c r="T31018" t="s">
        <v>1122</v>
      </c>
      <c r="U31018" t="s">
        <v>1123</v>
      </c>
      <c r="V31018" t="s">
        <v>1124</v>
      </c>
      <c r="W31018" t="s">
        <v>1125</v>
      </c>
      <c r="X31018" t="s">
        <v>1126</v>
      </c>
      <c r="Y31018" t="s">
        <v>1127</v>
      </c>
      <c r="Z31018" t="s">
        <v>1128</v>
      </c>
      <c r="AA31018" t="s">
        <v>1129</v>
      </c>
      <c r="AB31018" t="s">
        <v>1130</v>
      </c>
      <c r="AC31018" t="s">
        <v>1131</v>
      </c>
      <c r="AD31018" t="s">
        <v>1132</v>
      </c>
      <c r="AE31018" t="s">
        <v>1133</v>
      </c>
      <c r="AF31018" t="s">
        <v>1134</v>
      </c>
      <c r="AG31018" t="s">
        <v>1135</v>
      </c>
      <c r="AH31018" t="s">
        <v>1136</v>
      </c>
      <c r="AI31018" t="s">
        <v>1137</v>
      </c>
      <c r="AJ31018" t="s">
        <v>1138</v>
      </c>
      <c r="AK31018" t="s">
        <v>1139</v>
      </c>
      <c r="AL31018" t="s">
        <v>1140</v>
      </c>
      <c r="AM31018" t="s">
        <v>1141</v>
      </c>
      <c r="AN31018" t="s">
        <v>1142</v>
      </c>
      <c r="AO31018" t="s">
        <v>1143</v>
      </c>
      <c r="AP31018" t="s">
        <v>1144</v>
      </c>
      <c r="AQ31018" t="s">
        <v>1145</v>
      </c>
      <c r="AR31018" t="s">
        <v>1146</v>
      </c>
      <c r="AS31018" t="s">
        <v>1147</v>
      </c>
      <c r="AT31018" t="s">
        <v>1148</v>
      </c>
      <c r="AU31018" t="s">
        <v>1149</v>
      </c>
      <c r="AV31018" t="s">
        <v>1150</v>
      </c>
      <c r="AW31018" t="s">
        <v>1151</v>
      </c>
      <c r="AX31018" t="s">
        <v>1152</v>
      </c>
      <c r="AY31018" t="s">
        <v>1153</v>
      </c>
      <c r="AZ31018" t="s">
        <v>1154</v>
      </c>
      <c r="BA31018" t="s">
        <v>1155</v>
      </c>
      <c r="BB31018" t="s">
        <v>1156</v>
      </c>
      <c r="BC31018" t="s">
        <v>1157</v>
      </c>
      <c r="BD31018" t="s">
        <v>1158</v>
      </c>
      <c r="BE31018" t="s">
        <v>1159</v>
      </c>
      <c r="BF31018" t="s">
        <v>1160</v>
      </c>
      <c r="BG31018" t="s">
        <v>1161</v>
      </c>
      <c r="BH31018" t="s">
        <v>1162</v>
      </c>
      <c r="BI31018" t="s">
        <v>1163</v>
      </c>
      <c r="BJ31018" t="s">
        <v>1164</v>
      </c>
      <c r="BK31018" t="s">
        <v>1165</v>
      </c>
      <c r="BL31018" t="s">
        <v>1166</v>
      </c>
      <c r="BM31018" t="s">
        <v>1167</v>
      </c>
      <c r="BN31018" t="s">
        <v>1168</v>
      </c>
      <c r="BO31018" t="s">
        <v>1169</v>
      </c>
      <c r="BP31018" t="s">
        <v>1170</v>
      </c>
      <c r="BQ31018" t="s">
        <v>1171</v>
      </c>
      <c r="BR31018" t="s">
        <v>1172</v>
      </c>
      <c r="BS31018" t="s">
        <v>1173</v>
      </c>
      <c r="BT31018" t="s">
        <v>1174</v>
      </c>
      <c r="BU31018" t="s">
        <v>964</v>
      </c>
    </row>
    <row r="31019" spans="1:73" x14ac:dyDescent="0.35">
      <c r="A31019" s="27" t="s">
        <v>227</v>
      </c>
      <c r="B31019" s="27" t="s">
        <v>2730</v>
      </c>
      <c r="C31019" s="29">
        <v>9995.15</v>
      </c>
      <c r="D31019" s="29">
        <v>8200</v>
      </c>
      <c r="E31019" s="29">
        <v>3250</v>
      </c>
      <c r="F31019" s="29">
        <v>20000</v>
      </c>
      <c r="G31019" s="29">
        <v>18</v>
      </c>
      <c r="H31019" s="29">
        <v>3083.33</v>
      </c>
      <c r="I31019" s="29">
        <v>8000</v>
      </c>
      <c r="J31019" s="29">
        <v>500</v>
      </c>
      <c r="K31019" s="29">
        <v>8000</v>
      </c>
      <c r="L31019" s="29">
        <v>3</v>
      </c>
      <c r="M31019" s="29"/>
      <c r="N31019" s="29"/>
      <c r="O31019" s="29"/>
      <c r="P31019" s="29"/>
      <c r="Q31019" s="29"/>
      <c r="R31019" s="29">
        <v>2000</v>
      </c>
      <c r="S31019" s="29">
        <v>2000</v>
      </c>
      <c r="T31019" s="29">
        <v>2000</v>
      </c>
      <c r="U31019" s="29">
        <v>2000</v>
      </c>
      <c r="V31019" s="29">
        <v>1</v>
      </c>
      <c r="W31019" s="29">
        <v>2035.71</v>
      </c>
      <c r="X31019" s="29">
        <v>3000</v>
      </c>
      <c r="Y31019" s="29">
        <v>1000</v>
      </c>
      <c r="Z31019" s="29">
        <v>3000</v>
      </c>
      <c r="AA31019" s="29">
        <v>7</v>
      </c>
      <c r="AB31019" s="29">
        <v>4507.78</v>
      </c>
      <c r="AC31019" s="29">
        <v>4400</v>
      </c>
      <c r="AD31019" s="29">
        <v>1650</v>
      </c>
      <c r="AE31019" s="29">
        <v>8000</v>
      </c>
      <c r="AF31019" s="29">
        <v>24</v>
      </c>
      <c r="AG31019" s="29">
        <v>1857.14</v>
      </c>
      <c r="AH31019" s="29">
        <v>1650</v>
      </c>
      <c r="AI31019" s="29">
        <v>700</v>
      </c>
      <c r="AJ31019" s="29">
        <v>3300</v>
      </c>
      <c r="AK31019" s="29">
        <v>7</v>
      </c>
      <c r="AL31019" s="29">
        <v>100</v>
      </c>
      <c r="AM31019" s="29">
        <v>100</v>
      </c>
      <c r="AN31019" s="29">
        <v>100</v>
      </c>
      <c r="AO31019" s="29">
        <v>100</v>
      </c>
      <c r="AP31019" s="29">
        <v>1</v>
      </c>
      <c r="AQ31019" s="29">
        <v>4500</v>
      </c>
      <c r="AR31019" s="29">
        <v>4500</v>
      </c>
      <c r="AS31019" s="29">
        <v>4500</v>
      </c>
      <c r="AT31019" s="29">
        <v>4500</v>
      </c>
      <c r="AU31019" s="29">
        <v>1</v>
      </c>
      <c r="AV31019" s="29"/>
      <c r="AW31019" s="29"/>
      <c r="AX31019" s="29"/>
      <c r="AY31019" s="29"/>
      <c r="AZ31019" s="29"/>
      <c r="BA31019" s="29">
        <v>2857.14</v>
      </c>
      <c r="BB31019" s="29">
        <v>3000</v>
      </c>
      <c r="BC31019" s="29">
        <v>1000</v>
      </c>
      <c r="BD31019" s="29">
        <v>6500</v>
      </c>
      <c r="BE31019" s="29">
        <v>7</v>
      </c>
      <c r="BF31019" s="29"/>
      <c r="BG31019" s="29"/>
      <c r="BH31019" s="29"/>
      <c r="BI31019" s="29"/>
      <c r="BJ31019" s="29"/>
      <c r="BK31019" s="29"/>
      <c r="BL31019" s="29"/>
      <c r="BM31019" s="29"/>
      <c r="BN31019" s="29"/>
      <c r="BO31019" s="29"/>
      <c r="BP31019" s="29">
        <v>3100</v>
      </c>
      <c r="BQ31019" s="29">
        <v>200</v>
      </c>
      <c r="BR31019" s="29">
        <v>200</v>
      </c>
      <c r="BS31019" s="29">
        <v>6000</v>
      </c>
      <c r="BT31019" s="29">
        <v>2</v>
      </c>
      <c r="BU31019" s="29">
        <v>24</v>
      </c>
    </row>
    <row r="31020" spans="1:73" x14ac:dyDescent="0.35">
      <c r="A31020" s="27" t="s">
        <v>227</v>
      </c>
      <c r="B31020" s="27" t="s">
        <v>2731</v>
      </c>
      <c r="C31020" s="29">
        <v>18944</v>
      </c>
      <c r="D31020" s="29">
        <v>21000</v>
      </c>
      <c r="E31020" s="29">
        <v>10000</v>
      </c>
      <c r="F31020" s="29">
        <v>37896</v>
      </c>
      <c r="G31020" s="29">
        <v>9</v>
      </c>
      <c r="H31020" s="29">
        <v>8250</v>
      </c>
      <c r="I31020" s="29">
        <v>2500</v>
      </c>
      <c r="J31020" s="29">
        <v>1500</v>
      </c>
      <c r="K31020" s="29">
        <v>20000</v>
      </c>
      <c r="L31020" s="29">
        <v>4</v>
      </c>
      <c r="M31020" s="29"/>
      <c r="N31020" s="29"/>
      <c r="O31020" s="29"/>
      <c r="P31020" s="29"/>
      <c r="Q31020" s="29"/>
      <c r="R31020" s="29">
        <v>9000</v>
      </c>
      <c r="S31020" s="29">
        <v>9000</v>
      </c>
      <c r="T31020" s="29">
        <v>9000</v>
      </c>
      <c r="U31020" s="29">
        <v>9000</v>
      </c>
      <c r="V31020" s="29">
        <v>1</v>
      </c>
      <c r="W31020" s="29">
        <v>2000</v>
      </c>
      <c r="X31020" s="29">
        <v>2000</v>
      </c>
      <c r="Y31020" s="29">
        <v>2000</v>
      </c>
      <c r="Z31020" s="29">
        <v>2000</v>
      </c>
      <c r="AA31020" s="29">
        <v>1</v>
      </c>
      <c r="AB31020" s="29">
        <v>4738.29</v>
      </c>
      <c r="AC31020" s="29">
        <v>4690</v>
      </c>
      <c r="AD31020" s="29">
        <v>3028</v>
      </c>
      <c r="AE31020" s="29">
        <v>6800</v>
      </c>
      <c r="AF31020" s="29">
        <v>7</v>
      </c>
      <c r="AG31020" s="29">
        <v>7100</v>
      </c>
      <c r="AH31020" s="29">
        <v>300</v>
      </c>
      <c r="AI31020" s="29">
        <v>300</v>
      </c>
      <c r="AJ31020" s="29">
        <v>13900</v>
      </c>
      <c r="AK31020" s="29">
        <v>2</v>
      </c>
      <c r="AL31020" s="29"/>
      <c r="AM31020" s="29"/>
      <c r="AN31020" s="29"/>
      <c r="AO31020" s="29"/>
      <c r="AP31020" s="29"/>
      <c r="AQ31020" s="29"/>
      <c r="AR31020" s="29"/>
      <c r="AS31020" s="29"/>
      <c r="AT31020" s="29"/>
      <c r="AU31020" s="29"/>
      <c r="AV31020" s="29"/>
      <c r="AW31020" s="29"/>
      <c r="AX31020" s="29"/>
      <c r="AY31020" s="29"/>
      <c r="AZ31020" s="29"/>
      <c r="BA31020" s="29"/>
      <c r="BB31020" s="29"/>
      <c r="BC31020" s="29"/>
      <c r="BD31020" s="29"/>
      <c r="BE31020" s="29"/>
      <c r="BF31020" s="29"/>
      <c r="BG31020" s="29"/>
      <c r="BH31020" s="29"/>
      <c r="BI31020" s="29"/>
      <c r="BJ31020" s="29"/>
      <c r="BK31020" s="29"/>
      <c r="BL31020" s="29"/>
      <c r="BM31020" s="29"/>
      <c r="BN31020" s="29"/>
      <c r="BO31020" s="29"/>
      <c r="BP31020" s="29">
        <v>270</v>
      </c>
      <c r="BQ31020" s="29">
        <v>270</v>
      </c>
      <c r="BR31020" s="29">
        <v>270</v>
      </c>
      <c r="BS31020" s="29">
        <v>270</v>
      </c>
      <c r="BT31020" s="29">
        <v>1</v>
      </c>
      <c r="BU31020" s="29">
        <v>9</v>
      </c>
    </row>
    <row r="31021" spans="1:73" x14ac:dyDescent="0.35">
      <c r="A31021" t="s">
        <v>227</v>
      </c>
      <c r="B31021" t="s">
        <v>2732</v>
      </c>
      <c r="C31021">
        <v>8988.25</v>
      </c>
      <c r="D31021">
        <v>7000</v>
      </c>
      <c r="E31021">
        <v>500</v>
      </c>
      <c r="F31021">
        <v>60000</v>
      </c>
      <c r="G31021" s="30">
        <v>57</v>
      </c>
      <c r="H31021">
        <v>4261.67</v>
      </c>
      <c r="I31021">
        <v>3333.3</v>
      </c>
      <c r="J31021">
        <v>750</v>
      </c>
      <c r="K31021">
        <v>10000</v>
      </c>
      <c r="L31021" s="30">
        <v>10</v>
      </c>
      <c r="M31021">
        <v>16666.669999999998</v>
      </c>
      <c r="N31021">
        <v>13333.3</v>
      </c>
      <c r="O31021">
        <v>10000</v>
      </c>
      <c r="P31021">
        <v>30000</v>
      </c>
      <c r="Q31021" s="30">
        <v>4</v>
      </c>
      <c r="R31021">
        <v>2325</v>
      </c>
      <c r="S31021">
        <v>1000</v>
      </c>
      <c r="T31021">
        <v>300</v>
      </c>
      <c r="U31021">
        <v>6666.7</v>
      </c>
      <c r="V31021" s="30">
        <v>4</v>
      </c>
      <c r="W31021">
        <v>1980.3</v>
      </c>
      <c r="X31021">
        <v>2200</v>
      </c>
      <c r="Y31021">
        <v>1000</v>
      </c>
      <c r="Z31021">
        <v>2500</v>
      </c>
      <c r="AA31021" s="30">
        <v>11</v>
      </c>
      <c r="AB31021">
        <v>3778.24</v>
      </c>
      <c r="AC31021">
        <v>4000</v>
      </c>
      <c r="AD31021">
        <v>625</v>
      </c>
      <c r="AE31021">
        <v>10000</v>
      </c>
      <c r="AF31021" s="30">
        <v>37</v>
      </c>
      <c r="AG31021">
        <v>2480.0700000000002</v>
      </c>
      <c r="AH31021">
        <v>2500</v>
      </c>
      <c r="AI31021">
        <v>215</v>
      </c>
      <c r="AJ31021">
        <v>6666.7</v>
      </c>
      <c r="AK31021" s="30">
        <v>18</v>
      </c>
      <c r="AL31021">
        <v>1000</v>
      </c>
      <c r="AM31021">
        <v>1000</v>
      </c>
      <c r="AN31021">
        <v>1000</v>
      </c>
      <c r="AO31021">
        <v>1000</v>
      </c>
      <c r="AP31021" s="30">
        <v>1</v>
      </c>
      <c r="AQ31021">
        <v>2777.78</v>
      </c>
      <c r="AR31021">
        <v>3333.3</v>
      </c>
      <c r="AS31021">
        <v>2500</v>
      </c>
      <c r="AT31021">
        <v>3333.3</v>
      </c>
      <c r="AU31021" s="30">
        <v>3</v>
      </c>
      <c r="BA31021">
        <v>3875</v>
      </c>
      <c r="BB31021">
        <v>2500</v>
      </c>
      <c r="BC31021">
        <v>1250</v>
      </c>
      <c r="BD31021">
        <v>7500</v>
      </c>
      <c r="BE31021" s="30">
        <v>10</v>
      </c>
      <c r="BP31021">
        <v>6166.67</v>
      </c>
      <c r="BQ31021">
        <v>1666.7</v>
      </c>
      <c r="BR31021">
        <v>1333.3</v>
      </c>
      <c r="BS31021">
        <v>20000</v>
      </c>
      <c r="BT31021" s="30">
        <v>4</v>
      </c>
      <c r="BU31021">
        <v>57</v>
      </c>
    </row>
    <row r="31022" spans="1:73" x14ac:dyDescent="0.35">
      <c r="A31022" t="s">
        <v>228</v>
      </c>
      <c r="B31022" t="s">
        <v>2730</v>
      </c>
      <c r="C31022">
        <v>13053.62</v>
      </c>
      <c r="D31022">
        <v>10000</v>
      </c>
      <c r="E31022">
        <v>2000</v>
      </c>
      <c r="F31022">
        <v>55500</v>
      </c>
      <c r="G31022" s="30">
        <v>112</v>
      </c>
      <c r="H31022">
        <v>7138.61</v>
      </c>
      <c r="I31022">
        <v>6500</v>
      </c>
      <c r="J31022">
        <v>1000</v>
      </c>
      <c r="K31022">
        <v>39000</v>
      </c>
      <c r="L31022" s="30">
        <v>20</v>
      </c>
      <c r="M31022">
        <v>3801.21</v>
      </c>
      <c r="N31022">
        <v>2500</v>
      </c>
      <c r="O31022">
        <v>2500</v>
      </c>
      <c r="P31022">
        <v>7500</v>
      </c>
      <c r="Q31022" s="30">
        <v>2</v>
      </c>
      <c r="R31022">
        <v>2575.06</v>
      </c>
      <c r="S31022">
        <v>4333.3</v>
      </c>
      <c r="T31022">
        <v>500</v>
      </c>
      <c r="U31022">
        <v>4500</v>
      </c>
      <c r="V31022" s="30">
        <v>5</v>
      </c>
      <c r="W31022">
        <v>2116.73</v>
      </c>
      <c r="X31022">
        <v>2000</v>
      </c>
      <c r="Y31022">
        <v>666.7</v>
      </c>
      <c r="Z31022">
        <v>5000</v>
      </c>
      <c r="AA31022" s="30">
        <v>49</v>
      </c>
      <c r="AB31022">
        <v>5201.1099999999997</v>
      </c>
      <c r="AC31022">
        <v>4250</v>
      </c>
      <c r="AD31022">
        <v>575</v>
      </c>
      <c r="AE31022">
        <v>27000</v>
      </c>
      <c r="AF31022" s="30">
        <v>194</v>
      </c>
      <c r="AG31022">
        <v>1823.57</v>
      </c>
      <c r="AH31022">
        <v>1666.7</v>
      </c>
      <c r="AI31022">
        <v>286.7</v>
      </c>
      <c r="AJ31022">
        <v>8000</v>
      </c>
      <c r="AK31022" s="30">
        <v>36</v>
      </c>
      <c r="AL31022">
        <v>15721.2</v>
      </c>
      <c r="AM31022">
        <v>18000</v>
      </c>
      <c r="AN31022">
        <v>1900</v>
      </c>
      <c r="AO31022">
        <v>18000</v>
      </c>
      <c r="AP31022" s="30">
        <v>2</v>
      </c>
      <c r="AQ31022">
        <v>7893.73</v>
      </c>
      <c r="AR31022">
        <v>5000</v>
      </c>
      <c r="AS31022">
        <v>1800</v>
      </c>
      <c r="AT31022">
        <v>30000</v>
      </c>
      <c r="AU31022" s="30">
        <v>17</v>
      </c>
      <c r="AV31022">
        <v>1245.1199999999999</v>
      </c>
      <c r="AW31022">
        <v>1200</v>
      </c>
      <c r="AX31022">
        <v>1200</v>
      </c>
      <c r="AY31022">
        <v>1600</v>
      </c>
      <c r="AZ31022" s="30">
        <v>9</v>
      </c>
      <c r="BA31022">
        <v>7803.87</v>
      </c>
      <c r="BB31022">
        <v>6000</v>
      </c>
      <c r="BC31022">
        <v>166.7</v>
      </c>
      <c r="BD31022">
        <v>26000</v>
      </c>
      <c r="BE31022" s="30">
        <v>28</v>
      </c>
      <c r="BK31022">
        <v>1450</v>
      </c>
      <c r="BL31022">
        <v>1450</v>
      </c>
      <c r="BM31022">
        <v>1450</v>
      </c>
      <c r="BN31022">
        <v>1450</v>
      </c>
      <c r="BO31022" s="30">
        <v>1</v>
      </c>
      <c r="BP31022">
        <v>4053.78</v>
      </c>
      <c r="BQ31022">
        <v>1500</v>
      </c>
      <c r="BR31022">
        <v>100</v>
      </c>
      <c r="BS31022">
        <v>25300</v>
      </c>
      <c r="BT31022" s="30">
        <v>10</v>
      </c>
      <c r="BU31022">
        <v>194</v>
      </c>
    </row>
    <row r="31023" spans="1:73" x14ac:dyDescent="0.35">
      <c r="A31023" t="s">
        <v>228</v>
      </c>
      <c r="B31023" t="s">
        <v>2731</v>
      </c>
      <c r="C31023">
        <v>22687.23</v>
      </c>
      <c r="D31023">
        <v>20000</v>
      </c>
      <c r="E31023">
        <v>3000</v>
      </c>
      <c r="F31023">
        <v>80000</v>
      </c>
      <c r="G31023" s="30">
        <v>33</v>
      </c>
      <c r="H31023">
        <v>8414.7800000000007</v>
      </c>
      <c r="I31023">
        <v>12000</v>
      </c>
      <c r="J31023">
        <v>750</v>
      </c>
      <c r="K31023">
        <v>15000</v>
      </c>
      <c r="L31023" s="30">
        <v>10</v>
      </c>
      <c r="M31023">
        <v>25205.99</v>
      </c>
      <c r="N31023">
        <v>30000</v>
      </c>
      <c r="O31023">
        <v>2000</v>
      </c>
      <c r="P31023">
        <v>70000</v>
      </c>
      <c r="Q31023" s="30">
        <v>9</v>
      </c>
      <c r="R31023">
        <v>7118.87</v>
      </c>
      <c r="S31023">
        <v>450</v>
      </c>
      <c r="T31023">
        <v>450</v>
      </c>
      <c r="U31023">
        <v>30000</v>
      </c>
      <c r="V31023" s="30">
        <v>2</v>
      </c>
      <c r="W31023">
        <v>2137.91</v>
      </c>
      <c r="X31023">
        <v>2000</v>
      </c>
      <c r="Y31023">
        <v>1400</v>
      </c>
      <c r="Z31023">
        <v>3000</v>
      </c>
      <c r="AA31023" s="30">
        <v>13</v>
      </c>
      <c r="AB31023">
        <v>4078.36</v>
      </c>
      <c r="AC31023">
        <v>4000</v>
      </c>
      <c r="AD31023">
        <v>1500</v>
      </c>
      <c r="AE31023">
        <v>15000</v>
      </c>
      <c r="AF31023" s="30">
        <v>33</v>
      </c>
      <c r="AG31023">
        <v>2252.8000000000002</v>
      </c>
      <c r="AH31023">
        <v>1500</v>
      </c>
      <c r="AI31023">
        <v>1150</v>
      </c>
      <c r="AJ31023">
        <v>5500</v>
      </c>
      <c r="AK31023" s="30">
        <v>11</v>
      </c>
      <c r="AL31023">
        <v>1250</v>
      </c>
      <c r="AM31023">
        <v>1250</v>
      </c>
      <c r="AN31023">
        <v>1250</v>
      </c>
      <c r="AO31023">
        <v>1250</v>
      </c>
      <c r="AP31023" s="30">
        <v>1</v>
      </c>
      <c r="AQ31023">
        <v>11271.53</v>
      </c>
      <c r="AR31023">
        <v>16666.7</v>
      </c>
      <c r="AS31023">
        <v>1500</v>
      </c>
      <c r="AT31023">
        <v>16666.7</v>
      </c>
      <c r="AU31023" s="30">
        <v>5</v>
      </c>
      <c r="AV31023">
        <v>1200</v>
      </c>
      <c r="AW31023">
        <v>1200</v>
      </c>
      <c r="AX31023">
        <v>1200</v>
      </c>
      <c r="AY31023">
        <v>1200</v>
      </c>
      <c r="AZ31023" s="30">
        <v>1</v>
      </c>
      <c r="BA31023">
        <v>2370.12</v>
      </c>
      <c r="BB31023">
        <v>3000</v>
      </c>
      <c r="BC31023">
        <v>1000</v>
      </c>
      <c r="BD31023">
        <v>4000</v>
      </c>
      <c r="BE31023" s="30">
        <v>8</v>
      </c>
      <c r="BP31023">
        <v>7701.39</v>
      </c>
      <c r="BQ31023">
        <v>1000</v>
      </c>
      <c r="BR31023">
        <v>1000</v>
      </c>
      <c r="BS31023">
        <v>22000</v>
      </c>
      <c r="BT31023" s="30">
        <v>2</v>
      </c>
      <c r="BU31023">
        <v>33</v>
      </c>
    </row>
    <row r="31024" spans="1:73" x14ac:dyDescent="0.35">
      <c r="A31024" t="s">
        <v>228</v>
      </c>
      <c r="B31024" t="s">
        <v>2732</v>
      </c>
      <c r="C31024">
        <v>10973.13</v>
      </c>
      <c r="D31024">
        <v>7500</v>
      </c>
      <c r="E31024">
        <v>666.7</v>
      </c>
      <c r="F31024">
        <v>66666.7</v>
      </c>
      <c r="G31024" s="30">
        <v>269</v>
      </c>
      <c r="H31024">
        <v>3686.34</v>
      </c>
      <c r="I31024">
        <v>3000</v>
      </c>
      <c r="J31024">
        <v>500</v>
      </c>
      <c r="K31024">
        <v>20000</v>
      </c>
      <c r="L31024" s="30">
        <v>55</v>
      </c>
      <c r="M31024">
        <v>12016.41</v>
      </c>
      <c r="N31024">
        <v>6750</v>
      </c>
      <c r="O31024">
        <v>1250</v>
      </c>
      <c r="P31024">
        <v>35000</v>
      </c>
      <c r="Q31024" s="30">
        <v>25</v>
      </c>
      <c r="R31024">
        <v>3040.08</v>
      </c>
      <c r="S31024">
        <v>2500</v>
      </c>
      <c r="T31024">
        <v>800</v>
      </c>
      <c r="U31024">
        <v>8333.2999999999993</v>
      </c>
      <c r="V31024" s="30">
        <v>16</v>
      </c>
      <c r="W31024">
        <v>1656.94</v>
      </c>
      <c r="X31024">
        <v>2000</v>
      </c>
      <c r="Y31024">
        <v>400</v>
      </c>
      <c r="Z31024">
        <v>5000</v>
      </c>
      <c r="AA31024" s="30">
        <v>71</v>
      </c>
      <c r="AB31024">
        <v>4036.86</v>
      </c>
      <c r="AC31024">
        <v>3850</v>
      </c>
      <c r="AD31024">
        <v>428.6</v>
      </c>
      <c r="AE31024">
        <v>14000</v>
      </c>
      <c r="AF31024" s="30">
        <v>265</v>
      </c>
      <c r="AG31024">
        <v>1610.41</v>
      </c>
      <c r="AH31024">
        <v>1250</v>
      </c>
      <c r="AI31024">
        <v>160</v>
      </c>
      <c r="AJ31024">
        <v>9850</v>
      </c>
      <c r="AK31024" s="30">
        <v>94</v>
      </c>
      <c r="AL31024">
        <v>1842.56</v>
      </c>
      <c r="AM31024">
        <v>2000</v>
      </c>
      <c r="AN31024">
        <v>333.3</v>
      </c>
      <c r="AO31024">
        <v>4500</v>
      </c>
      <c r="AP31024" s="30">
        <v>8</v>
      </c>
      <c r="AQ31024">
        <v>3245.93</v>
      </c>
      <c r="AR31024">
        <v>1500</v>
      </c>
      <c r="AS31024">
        <v>233.3</v>
      </c>
      <c r="AT31024">
        <v>13333.3</v>
      </c>
      <c r="AU31024" s="30">
        <v>14</v>
      </c>
      <c r="AV31024">
        <v>890.89</v>
      </c>
      <c r="AW31024">
        <v>1000</v>
      </c>
      <c r="AX31024">
        <v>400</v>
      </c>
      <c r="AY31024">
        <v>1200</v>
      </c>
      <c r="AZ31024" s="30">
        <v>14</v>
      </c>
      <c r="BA31024">
        <v>1824.09</v>
      </c>
      <c r="BB31024">
        <v>1666.7</v>
      </c>
      <c r="BC31024">
        <v>100</v>
      </c>
      <c r="BD31024">
        <v>15000</v>
      </c>
      <c r="BE31024" s="30">
        <v>28</v>
      </c>
      <c r="BF31024">
        <v>1000</v>
      </c>
      <c r="BG31024">
        <v>1000</v>
      </c>
      <c r="BH31024">
        <v>1000</v>
      </c>
      <c r="BI31024">
        <v>1000</v>
      </c>
      <c r="BJ31024" s="30">
        <v>1</v>
      </c>
      <c r="BK31024">
        <v>1328.33</v>
      </c>
      <c r="BL31024">
        <v>21750</v>
      </c>
      <c r="BM31024">
        <v>500</v>
      </c>
      <c r="BN31024">
        <v>21750</v>
      </c>
      <c r="BO31024" s="30">
        <v>3</v>
      </c>
      <c r="BP31024">
        <v>6241.67</v>
      </c>
      <c r="BQ31024">
        <v>5000</v>
      </c>
      <c r="BR31024">
        <v>1000</v>
      </c>
      <c r="BS31024">
        <v>20000</v>
      </c>
      <c r="BT31024" s="30">
        <v>12</v>
      </c>
      <c r="BU31024">
        <v>269</v>
      </c>
    </row>
    <row r="31025" spans="1:73" x14ac:dyDescent="0.35">
      <c r="A31025" t="s">
        <v>229</v>
      </c>
      <c r="B31025" t="s">
        <v>2730</v>
      </c>
      <c r="C31025">
        <v>15926.21</v>
      </c>
      <c r="D31025">
        <v>8500</v>
      </c>
      <c r="E31025">
        <v>1800</v>
      </c>
      <c r="F31025">
        <v>100000</v>
      </c>
      <c r="G31025" s="30">
        <v>137</v>
      </c>
      <c r="H31025">
        <v>4949.63</v>
      </c>
      <c r="I31025">
        <v>5000</v>
      </c>
      <c r="J31025">
        <v>850</v>
      </c>
      <c r="K31025">
        <v>20000</v>
      </c>
      <c r="L31025" s="30">
        <v>17</v>
      </c>
      <c r="M31025">
        <v>17201.439999999999</v>
      </c>
      <c r="N31025">
        <v>25000</v>
      </c>
      <c r="O31025">
        <v>2000</v>
      </c>
      <c r="P31025">
        <v>25000</v>
      </c>
      <c r="Q31025" s="30">
        <v>2</v>
      </c>
      <c r="R31025">
        <v>2014.67</v>
      </c>
      <c r="S31025">
        <v>2000</v>
      </c>
      <c r="T31025">
        <v>100</v>
      </c>
      <c r="U31025">
        <v>5000</v>
      </c>
      <c r="V31025" s="30">
        <v>6</v>
      </c>
      <c r="W31025">
        <v>2378.1999999999998</v>
      </c>
      <c r="X31025">
        <v>2500</v>
      </c>
      <c r="Y31025">
        <v>2000</v>
      </c>
      <c r="Z31025">
        <v>3000</v>
      </c>
      <c r="AA31025" s="30">
        <v>15</v>
      </c>
      <c r="AB31025">
        <v>5188.95</v>
      </c>
      <c r="AC31025">
        <v>4500</v>
      </c>
      <c r="AD31025">
        <v>460</v>
      </c>
      <c r="AE31025">
        <v>16500</v>
      </c>
      <c r="AF31025" s="30">
        <v>113</v>
      </c>
      <c r="AG31025">
        <v>3407.4</v>
      </c>
      <c r="AH31025">
        <v>2000</v>
      </c>
      <c r="AI31025">
        <v>400</v>
      </c>
      <c r="AJ31025">
        <v>18000</v>
      </c>
      <c r="AK31025" s="30">
        <v>27</v>
      </c>
      <c r="AL31025">
        <v>4490.3100000000004</v>
      </c>
      <c r="AM31025">
        <v>5000</v>
      </c>
      <c r="AN31025">
        <v>608</v>
      </c>
      <c r="AO31025">
        <v>5000</v>
      </c>
      <c r="AP31025" s="30">
        <v>2</v>
      </c>
      <c r="AQ31025">
        <v>5109.95</v>
      </c>
      <c r="AR31025">
        <v>8000</v>
      </c>
      <c r="AS31025">
        <v>1000</v>
      </c>
      <c r="AT31025">
        <v>20000</v>
      </c>
      <c r="AU31025" s="30">
        <v>8</v>
      </c>
      <c r="BA31025">
        <v>3553.61</v>
      </c>
      <c r="BB31025">
        <v>2500</v>
      </c>
      <c r="BC31025">
        <v>100</v>
      </c>
      <c r="BD31025">
        <v>20000</v>
      </c>
      <c r="BE31025" s="30">
        <v>27</v>
      </c>
      <c r="BF31025">
        <v>666.67</v>
      </c>
      <c r="BG31025">
        <v>666.7</v>
      </c>
      <c r="BH31025">
        <v>666.7</v>
      </c>
      <c r="BI31025">
        <v>666.7</v>
      </c>
      <c r="BJ31025" s="30">
        <v>1</v>
      </c>
      <c r="BK31025">
        <v>75000</v>
      </c>
      <c r="BL31025">
        <v>75000</v>
      </c>
      <c r="BM31025">
        <v>75000</v>
      </c>
      <c r="BN31025">
        <v>75000</v>
      </c>
      <c r="BO31025" s="30">
        <v>1</v>
      </c>
      <c r="BP31025">
        <v>6563.72</v>
      </c>
      <c r="BQ31025">
        <v>6666.7</v>
      </c>
      <c r="BR31025">
        <v>125</v>
      </c>
      <c r="BS31025">
        <v>40000</v>
      </c>
      <c r="BT31025" s="30">
        <v>16</v>
      </c>
      <c r="BU31025">
        <v>137</v>
      </c>
    </row>
    <row r="31026" spans="1:73" x14ac:dyDescent="0.35">
      <c r="A31026" t="s">
        <v>229</v>
      </c>
      <c r="B31026" t="s">
        <v>2731</v>
      </c>
      <c r="C31026">
        <v>18268.939999999999</v>
      </c>
      <c r="D31026">
        <v>20000</v>
      </c>
      <c r="E31026">
        <v>3000</v>
      </c>
      <c r="F31026">
        <v>37500</v>
      </c>
      <c r="G31026" s="30">
        <v>39</v>
      </c>
      <c r="H31026">
        <v>20990.17</v>
      </c>
      <c r="I31026">
        <v>30000</v>
      </c>
      <c r="J31026">
        <v>1000</v>
      </c>
      <c r="K31026">
        <v>30000</v>
      </c>
      <c r="L31026" s="30">
        <v>10</v>
      </c>
      <c r="M31026">
        <v>8593.0499999999993</v>
      </c>
      <c r="N31026">
        <v>7000</v>
      </c>
      <c r="O31026">
        <v>3000</v>
      </c>
      <c r="P31026">
        <v>30000</v>
      </c>
      <c r="Q31026" s="30">
        <v>3</v>
      </c>
      <c r="R31026">
        <v>16251.37</v>
      </c>
      <c r="S31026">
        <v>20000</v>
      </c>
      <c r="T31026">
        <v>100</v>
      </c>
      <c r="U31026">
        <v>35000</v>
      </c>
      <c r="V31026" s="30">
        <v>7</v>
      </c>
      <c r="W31026">
        <v>2669.78</v>
      </c>
      <c r="X31026">
        <v>3000</v>
      </c>
      <c r="Y31026">
        <v>2000</v>
      </c>
      <c r="Z31026">
        <v>3000</v>
      </c>
      <c r="AA31026" s="30">
        <v>2</v>
      </c>
      <c r="AB31026">
        <v>5635.18</v>
      </c>
      <c r="AC31026">
        <v>5000</v>
      </c>
      <c r="AD31026">
        <v>2500</v>
      </c>
      <c r="AE31026">
        <v>30000</v>
      </c>
      <c r="AF31026" s="30">
        <v>20</v>
      </c>
      <c r="AG31026">
        <v>2968.11</v>
      </c>
      <c r="AH31026">
        <v>7200</v>
      </c>
      <c r="AI31026">
        <v>300</v>
      </c>
      <c r="AJ31026">
        <v>7200</v>
      </c>
      <c r="AK31026" s="30">
        <v>6</v>
      </c>
      <c r="AL31026">
        <v>10000</v>
      </c>
      <c r="AM31026">
        <v>10000</v>
      </c>
      <c r="AN31026">
        <v>10000</v>
      </c>
      <c r="AO31026">
        <v>10000</v>
      </c>
      <c r="AP31026" s="30">
        <v>1</v>
      </c>
      <c r="AQ31026">
        <v>11177.51</v>
      </c>
      <c r="AR31026">
        <v>20000</v>
      </c>
      <c r="AS31026">
        <v>4000</v>
      </c>
      <c r="AT31026">
        <v>20000</v>
      </c>
      <c r="AU31026" s="30">
        <v>3</v>
      </c>
      <c r="AV31026">
        <v>500</v>
      </c>
      <c r="AW31026">
        <v>500</v>
      </c>
      <c r="AX31026">
        <v>500</v>
      </c>
      <c r="AY31026">
        <v>500</v>
      </c>
      <c r="AZ31026" s="30">
        <v>1</v>
      </c>
      <c r="BA31026">
        <v>6464.61</v>
      </c>
      <c r="BB31026">
        <v>10000</v>
      </c>
      <c r="BC31026">
        <v>100</v>
      </c>
      <c r="BD31026">
        <v>10000</v>
      </c>
      <c r="BE31026" s="30">
        <v>6</v>
      </c>
      <c r="BK31026">
        <v>75000</v>
      </c>
      <c r="BL31026">
        <v>75000</v>
      </c>
      <c r="BM31026">
        <v>75000</v>
      </c>
      <c r="BN31026">
        <v>75000</v>
      </c>
      <c r="BO31026" s="30">
        <v>1</v>
      </c>
      <c r="BP31026">
        <v>9171.64</v>
      </c>
      <c r="BQ31026">
        <v>20000</v>
      </c>
      <c r="BR31026">
        <v>5000</v>
      </c>
      <c r="BS31026">
        <v>20000</v>
      </c>
      <c r="BT31026" s="30">
        <v>3</v>
      </c>
      <c r="BU31026">
        <v>39</v>
      </c>
    </row>
    <row r="31027" spans="1:73" x14ac:dyDescent="0.35">
      <c r="A31027" t="s">
        <v>229</v>
      </c>
      <c r="B31027" t="s">
        <v>2732</v>
      </c>
      <c r="C31027">
        <v>14952.43</v>
      </c>
      <c r="D31027">
        <v>13333.3</v>
      </c>
      <c r="E31027">
        <v>500</v>
      </c>
      <c r="F31027">
        <v>150000</v>
      </c>
      <c r="G31027" s="30">
        <v>276</v>
      </c>
      <c r="H31027">
        <v>7946.57</v>
      </c>
      <c r="I31027">
        <v>3750</v>
      </c>
      <c r="J31027">
        <v>16.7</v>
      </c>
      <c r="K31027">
        <v>66666.7</v>
      </c>
      <c r="L31027" s="30">
        <v>43</v>
      </c>
      <c r="M31027">
        <v>11378.94</v>
      </c>
      <c r="N31027">
        <v>10000</v>
      </c>
      <c r="O31027">
        <v>750</v>
      </c>
      <c r="P31027">
        <v>33333.300000000003</v>
      </c>
      <c r="Q31027" s="30">
        <v>32</v>
      </c>
      <c r="R31027">
        <v>1912.87</v>
      </c>
      <c r="S31027">
        <v>1000</v>
      </c>
      <c r="T31027">
        <v>200</v>
      </c>
      <c r="U31027">
        <v>16666.7</v>
      </c>
      <c r="V31027" s="30">
        <v>24</v>
      </c>
      <c r="W31027">
        <v>1558.17</v>
      </c>
      <c r="X31027">
        <v>1666.7</v>
      </c>
      <c r="Y31027">
        <v>500</v>
      </c>
      <c r="Z31027">
        <v>3150</v>
      </c>
      <c r="AA31027" s="30">
        <v>36</v>
      </c>
      <c r="AB31027">
        <v>4325.7299999999996</v>
      </c>
      <c r="AC31027">
        <v>3350</v>
      </c>
      <c r="AD31027">
        <v>600</v>
      </c>
      <c r="AE31027">
        <v>16000</v>
      </c>
      <c r="AF31027" s="30">
        <v>180</v>
      </c>
      <c r="AG31027">
        <v>2134.62</v>
      </c>
      <c r="AH31027">
        <v>1250</v>
      </c>
      <c r="AI31027">
        <v>150</v>
      </c>
      <c r="AJ31027">
        <v>20000</v>
      </c>
      <c r="AK31027" s="30">
        <v>89</v>
      </c>
      <c r="AL31027">
        <v>7991.58</v>
      </c>
      <c r="AM31027">
        <v>10000</v>
      </c>
      <c r="AN31027">
        <v>3750</v>
      </c>
      <c r="AO31027">
        <v>15000</v>
      </c>
      <c r="AP31027" s="30">
        <v>4</v>
      </c>
      <c r="AQ31027">
        <v>2628.83</v>
      </c>
      <c r="AR31027">
        <v>2500</v>
      </c>
      <c r="AS31027">
        <v>833.3</v>
      </c>
      <c r="AT31027">
        <v>8500</v>
      </c>
      <c r="AU31027" s="30">
        <v>14</v>
      </c>
      <c r="AV31027">
        <v>500</v>
      </c>
      <c r="AW31027">
        <v>500</v>
      </c>
      <c r="AX31027">
        <v>500</v>
      </c>
      <c r="AY31027">
        <v>500</v>
      </c>
      <c r="AZ31027" s="30">
        <v>1</v>
      </c>
      <c r="BA31027">
        <v>2532.44</v>
      </c>
      <c r="BB31027">
        <v>2733.3</v>
      </c>
      <c r="BC31027">
        <v>75</v>
      </c>
      <c r="BD31027">
        <v>7500</v>
      </c>
      <c r="BE31027" s="30">
        <v>24</v>
      </c>
      <c r="BF31027">
        <v>4000</v>
      </c>
      <c r="BG31027">
        <v>4000</v>
      </c>
      <c r="BH31027">
        <v>4000</v>
      </c>
      <c r="BI31027">
        <v>4000</v>
      </c>
      <c r="BJ31027" s="30">
        <v>1</v>
      </c>
      <c r="BK31027">
        <v>3333.33</v>
      </c>
      <c r="BL31027">
        <v>3333.3</v>
      </c>
      <c r="BM31027">
        <v>3333.3</v>
      </c>
      <c r="BN31027">
        <v>3333.3</v>
      </c>
      <c r="BO31027" s="30">
        <v>1</v>
      </c>
      <c r="BP31027">
        <v>5519.97</v>
      </c>
      <c r="BQ31027">
        <v>5000</v>
      </c>
      <c r="BR31027">
        <v>185</v>
      </c>
      <c r="BS31027">
        <v>20000</v>
      </c>
      <c r="BT31027" s="30">
        <v>15</v>
      </c>
      <c r="BU31027">
        <v>276</v>
      </c>
    </row>
    <row r="31028" spans="1:73" x14ac:dyDescent="0.35">
      <c r="A31028" t="s">
        <v>230</v>
      </c>
      <c r="B31028" t="s">
        <v>2730</v>
      </c>
      <c r="C31028">
        <v>11806.73</v>
      </c>
      <c r="D31028">
        <v>10000</v>
      </c>
      <c r="E31028">
        <v>1050</v>
      </c>
      <c r="F31028">
        <v>40000</v>
      </c>
      <c r="G31028" s="30">
        <v>71</v>
      </c>
      <c r="H31028">
        <v>4461.32</v>
      </c>
      <c r="I31028">
        <v>5000</v>
      </c>
      <c r="J31028">
        <v>200</v>
      </c>
      <c r="K31028">
        <v>10000</v>
      </c>
      <c r="L31028" s="30">
        <v>22</v>
      </c>
      <c r="M31028">
        <v>666.67</v>
      </c>
      <c r="N31028">
        <v>666.7</v>
      </c>
      <c r="O31028">
        <v>666.7</v>
      </c>
      <c r="P31028">
        <v>666.7</v>
      </c>
      <c r="Q31028" s="30">
        <v>1</v>
      </c>
      <c r="R31028">
        <v>1000</v>
      </c>
      <c r="S31028">
        <v>1000</v>
      </c>
      <c r="T31028">
        <v>1000</v>
      </c>
      <c r="U31028">
        <v>1000</v>
      </c>
      <c r="V31028" s="30">
        <v>2</v>
      </c>
      <c r="W31028">
        <v>2089.91</v>
      </c>
      <c r="X31028">
        <v>2666.7</v>
      </c>
      <c r="Y31028">
        <v>1000</v>
      </c>
      <c r="Z31028">
        <v>3000</v>
      </c>
      <c r="AA31028" s="30">
        <v>15</v>
      </c>
      <c r="AB31028">
        <v>4155.45</v>
      </c>
      <c r="AC31028">
        <v>4000</v>
      </c>
      <c r="AD31028">
        <v>750</v>
      </c>
      <c r="AE31028">
        <v>16000</v>
      </c>
      <c r="AF31028" s="30">
        <v>97</v>
      </c>
      <c r="AG31028">
        <v>3643.95</v>
      </c>
      <c r="AH31028">
        <v>4000</v>
      </c>
      <c r="AI31028">
        <v>253.3</v>
      </c>
      <c r="AJ31028">
        <v>10000</v>
      </c>
      <c r="AK31028" s="30">
        <v>19</v>
      </c>
      <c r="AL31028">
        <v>1857.68</v>
      </c>
      <c r="AM31028">
        <v>2500</v>
      </c>
      <c r="AN31028">
        <v>1200</v>
      </c>
      <c r="AO31028">
        <v>2500</v>
      </c>
      <c r="AP31028" s="30">
        <v>2</v>
      </c>
      <c r="AQ31028">
        <v>6260.96</v>
      </c>
      <c r="AR31028">
        <v>4000</v>
      </c>
      <c r="AS31028">
        <v>750</v>
      </c>
      <c r="AT31028">
        <v>20000</v>
      </c>
      <c r="AU31028" s="30">
        <v>10</v>
      </c>
      <c r="AV31028">
        <v>1986.55</v>
      </c>
      <c r="AW31028">
        <v>1200</v>
      </c>
      <c r="AX31028">
        <v>383.3</v>
      </c>
      <c r="AY31028">
        <v>3300</v>
      </c>
      <c r="AZ31028" s="30">
        <v>12</v>
      </c>
      <c r="BA31028">
        <v>3314.09</v>
      </c>
      <c r="BB31028">
        <v>3000</v>
      </c>
      <c r="BC31028">
        <v>333.3</v>
      </c>
      <c r="BD31028">
        <v>10000</v>
      </c>
      <c r="BE31028" s="30">
        <v>26</v>
      </c>
      <c r="BK31028">
        <v>3183.33</v>
      </c>
      <c r="BL31028">
        <v>1200</v>
      </c>
      <c r="BM31028">
        <v>1200</v>
      </c>
      <c r="BN31028">
        <v>5166.7</v>
      </c>
      <c r="BO31028" s="30">
        <v>2</v>
      </c>
      <c r="BP31028">
        <v>2026.08</v>
      </c>
      <c r="BQ31028">
        <v>3000</v>
      </c>
      <c r="BR31028">
        <v>500</v>
      </c>
      <c r="BS31028">
        <v>5000</v>
      </c>
      <c r="BT31028" s="30">
        <v>7</v>
      </c>
      <c r="BU31028">
        <v>97</v>
      </c>
    </row>
    <row r="31029" spans="1:73" x14ac:dyDescent="0.35">
      <c r="A31029" s="27" t="s">
        <v>230</v>
      </c>
      <c r="B31029" s="27" t="s">
        <v>2731</v>
      </c>
      <c r="C31029" s="29">
        <v>14190.22</v>
      </c>
      <c r="D31029" s="29">
        <v>15000</v>
      </c>
      <c r="E31029" s="29">
        <v>5000</v>
      </c>
      <c r="F31029" s="29">
        <v>50000</v>
      </c>
      <c r="G31029" s="29">
        <v>14</v>
      </c>
      <c r="H31029" s="29">
        <v>12615.16</v>
      </c>
      <c r="I31029" s="29">
        <v>15000</v>
      </c>
      <c r="J31029" s="29">
        <v>4000</v>
      </c>
      <c r="K31029" s="29">
        <v>21000</v>
      </c>
      <c r="L31029" s="29">
        <v>7</v>
      </c>
      <c r="M31029" s="29">
        <v>15000</v>
      </c>
      <c r="N31029" s="29">
        <v>15000</v>
      </c>
      <c r="O31029" s="29">
        <v>15000</v>
      </c>
      <c r="P31029" s="29">
        <v>15000</v>
      </c>
      <c r="Q31029" s="29">
        <v>1</v>
      </c>
      <c r="R31029" s="29">
        <v>4884.45</v>
      </c>
      <c r="S31029" s="29">
        <v>2000</v>
      </c>
      <c r="T31029" s="29">
        <v>1000</v>
      </c>
      <c r="U31029" s="29">
        <v>8000</v>
      </c>
      <c r="V31029" s="29">
        <v>4</v>
      </c>
      <c r="W31029" s="29">
        <v>2000</v>
      </c>
      <c r="X31029" s="29">
        <v>2000</v>
      </c>
      <c r="Y31029" s="29">
        <v>2000</v>
      </c>
      <c r="Z31029" s="29">
        <v>2000</v>
      </c>
      <c r="AA31029" s="29">
        <v>2</v>
      </c>
      <c r="AB31029" s="29">
        <v>6586.45</v>
      </c>
      <c r="AC31029" s="29">
        <v>6500</v>
      </c>
      <c r="AD31029" s="29">
        <v>3000</v>
      </c>
      <c r="AE31029" s="29">
        <v>18000</v>
      </c>
      <c r="AF31029" s="29">
        <v>17</v>
      </c>
      <c r="AG31029" s="29">
        <v>2226.0100000000002</v>
      </c>
      <c r="AH31029" s="29">
        <v>1500</v>
      </c>
      <c r="AI31029" s="29">
        <v>940</v>
      </c>
      <c r="AJ31029" s="29">
        <v>5150</v>
      </c>
      <c r="AK31029" s="29">
        <v>9</v>
      </c>
      <c r="AL31029" s="29">
        <v>8003.95</v>
      </c>
      <c r="AM31029" s="29">
        <v>9000</v>
      </c>
      <c r="AN31029" s="29">
        <v>2100</v>
      </c>
      <c r="AO31029" s="29">
        <v>9000</v>
      </c>
      <c r="AP31029" s="29">
        <v>2</v>
      </c>
      <c r="AQ31029" s="29">
        <v>5400</v>
      </c>
      <c r="AR31029" s="29">
        <v>4000</v>
      </c>
      <c r="AS31029" s="29">
        <v>4000</v>
      </c>
      <c r="AT31029" s="29">
        <v>6800</v>
      </c>
      <c r="AU31029" s="29">
        <v>2</v>
      </c>
      <c r="AV31029" s="29">
        <v>1113.06</v>
      </c>
      <c r="AW31029" s="29">
        <v>1200</v>
      </c>
      <c r="AX31029" s="29">
        <v>1000</v>
      </c>
      <c r="AY31029" s="29">
        <v>1200</v>
      </c>
      <c r="AZ31029" s="29">
        <v>3</v>
      </c>
      <c r="BA31029" s="29">
        <v>3570.38</v>
      </c>
      <c r="BB31029" s="29">
        <v>8000</v>
      </c>
      <c r="BC31029" s="29">
        <v>1000</v>
      </c>
      <c r="BD31029" s="29">
        <v>8000</v>
      </c>
      <c r="BE31029" s="29">
        <v>3</v>
      </c>
      <c r="BF31029" s="29"/>
      <c r="BG31029" s="29"/>
      <c r="BH31029" s="29"/>
      <c r="BI31029" s="29"/>
      <c r="BJ31029" s="29"/>
      <c r="BK31029" s="29">
        <v>1000</v>
      </c>
      <c r="BL31029" s="29">
        <v>1000</v>
      </c>
      <c r="BM31029" s="29">
        <v>1000</v>
      </c>
      <c r="BN31029" s="29">
        <v>1000</v>
      </c>
      <c r="BO31029" s="29">
        <v>1</v>
      </c>
      <c r="BP31029" s="29">
        <v>600</v>
      </c>
      <c r="BQ31029" s="29">
        <v>600</v>
      </c>
      <c r="BR31029" s="29">
        <v>600</v>
      </c>
      <c r="BS31029" s="29">
        <v>600</v>
      </c>
      <c r="BT31029" s="29">
        <v>1</v>
      </c>
      <c r="BU31029" s="29">
        <v>17</v>
      </c>
    </row>
    <row r="31030" spans="1:73" x14ac:dyDescent="0.35">
      <c r="A31030" t="s">
        <v>230</v>
      </c>
      <c r="B31030" t="s">
        <v>2732</v>
      </c>
      <c r="C31030">
        <v>11482.62</v>
      </c>
      <c r="D31030">
        <v>10000</v>
      </c>
      <c r="E31030">
        <v>333.3</v>
      </c>
      <c r="F31030">
        <v>75000</v>
      </c>
      <c r="G31030" s="30">
        <v>158</v>
      </c>
      <c r="H31030">
        <v>2816.38</v>
      </c>
      <c r="I31030">
        <v>2000</v>
      </c>
      <c r="J31030">
        <v>333.3</v>
      </c>
      <c r="K31030">
        <v>15000</v>
      </c>
      <c r="L31030" s="30">
        <v>30</v>
      </c>
      <c r="M31030">
        <v>30919.46</v>
      </c>
      <c r="N31030">
        <v>15000</v>
      </c>
      <c r="O31030">
        <v>1666.7</v>
      </c>
      <c r="P31030">
        <v>150000</v>
      </c>
      <c r="Q31030" s="30">
        <v>20</v>
      </c>
      <c r="R31030">
        <v>3641.66</v>
      </c>
      <c r="S31030">
        <v>3000</v>
      </c>
      <c r="T31030">
        <v>600</v>
      </c>
      <c r="U31030">
        <v>6250</v>
      </c>
      <c r="V31030" s="30">
        <v>15</v>
      </c>
      <c r="W31030">
        <v>1756.78</v>
      </c>
      <c r="X31030">
        <v>2000</v>
      </c>
      <c r="Y31030">
        <v>666.7</v>
      </c>
      <c r="Z31030">
        <v>3000</v>
      </c>
      <c r="AA31030" s="30">
        <v>30</v>
      </c>
      <c r="AB31030">
        <v>3583.84</v>
      </c>
      <c r="AC31030">
        <v>2900</v>
      </c>
      <c r="AD31030">
        <v>575</v>
      </c>
      <c r="AE31030">
        <v>17500</v>
      </c>
      <c r="AF31030" s="30">
        <v>127</v>
      </c>
      <c r="AG31030">
        <v>1588.75</v>
      </c>
      <c r="AH31030">
        <v>1100</v>
      </c>
      <c r="AI31030">
        <v>172</v>
      </c>
      <c r="AJ31030">
        <v>7000</v>
      </c>
      <c r="AK31030" s="30">
        <v>58</v>
      </c>
      <c r="AL31030">
        <v>15451.73</v>
      </c>
      <c r="AM31030">
        <v>25000</v>
      </c>
      <c r="AN31030">
        <v>500</v>
      </c>
      <c r="AO31030">
        <v>25000</v>
      </c>
      <c r="AP31030" s="30">
        <v>6</v>
      </c>
      <c r="AQ31030">
        <v>5762.64</v>
      </c>
      <c r="AR31030">
        <v>10000</v>
      </c>
      <c r="AS31030">
        <v>250</v>
      </c>
      <c r="AT31030">
        <v>13000</v>
      </c>
      <c r="AU31030" s="30">
        <v>11</v>
      </c>
      <c r="AV31030">
        <v>1311.22</v>
      </c>
      <c r="AW31030">
        <v>1200</v>
      </c>
      <c r="AX31030">
        <v>241.7</v>
      </c>
      <c r="AY31030">
        <v>2000</v>
      </c>
      <c r="AZ31030" s="30">
        <v>11</v>
      </c>
      <c r="BA31030">
        <v>3061.72</v>
      </c>
      <c r="BB31030">
        <v>3000</v>
      </c>
      <c r="BC31030">
        <v>500</v>
      </c>
      <c r="BD31030">
        <v>20000</v>
      </c>
      <c r="BE31030" s="30">
        <v>24</v>
      </c>
      <c r="BK31030">
        <v>6995.11</v>
      </c>
      <c r="BL31030">
        <v>6500</v>
      </c>
      <c r="BM31030">
        <v>6500</v>
      </c>
      <c r="BN31030">
        <v>10000</v>
      </c>
      <c r="BO31030" s="30">
        <v>2</v>
      </c>
      <c r="BP31030">
        <v>2350.08</v>
      </c>
      <c r="BQ31030">
        <v>1300</v>
      </c>
      <c r="BR31030">
        <v>400</v>
      </c>
      <c r="BS31030">
        <v>6000</v>
      </c>
      <c r="BT31030" s="30">
        <v>8</v>
      </c>
      <c r="BU31030">
        <v>158</v>
      </c>
    </row>
    <row r="31031" spans="1:73" x14ac:dyDescent="0.35">
      <c r="A31031" s="27" t="s">
        <v>231</v>
      </c>
      <c r="B31031" s="27" t="s">
        <v>2730</v>
      </c>
      <c r="C31031" s="29">
        <v>13845.59</v>
      </c>
      <c r="D31031" s="29">
        <v>14000</v>
      </c>
      <c r="E31031" s="29">
        <v>2375</v>
      </c>
      <c r="F31031" s="29">
        <v>38000</v>
      </c>
      <c r="G31031" s="29">
        <v>17</v>
      </c>
      <c r="H31031" s="29">
        <v>3000</v>
      </c>
      <c r="I31031" s="29">
        <v>3000</v>
      </c>
      <c r="J31031" s="29">
        <v>3000</v>
      </c>
      <c r="K31031" s="29">
        <v>3000</v>
      </c>
      <c r="L31031" s="29">
        <v>1</v>
      </c>
      <c r="M31031" s="29">
        <v>44333.33</v>
      </c>
      <c r="N31031" s="29">
        <v>93000</v>
      </c>
      <c r="O31031" s="29">
        <v>20000</v>
      </c>
      <c r="P31031" s="29">
        <v>93000</v>
      </c>
      <c r="Q31031" s="29">
        <v>3</v>
      </c>
      <c r="R31031" s="29"/>
      <c r="S31031" s="29"/>
      <c r="T31031" s="29"/>
      <c r="U31031" s="29"/>
      <c r="V31031" s="29"/>
      <c r="W31031" s="29">
        <v>1895.83</v>
      </c>
      <c r="X31031" s="29">
        <v>2000</v>
      </c>
      <c r="Y31031" s="29">
        <v>666.7</v>
      </c>
      <c r="Z31031" s="29">
        <v>3000</v>
      </c>
      <c r="AA31031" s="29">
        <v>8</v>
      </c>
      <c r="AB31031" s="29">
        <v>4685.12</v>
      </c>
      <c r="AC31031" s="29">
        <v>4615</v>
      </c>
      <c r="AD31031" s="29">
        <v>750</v>
      </c>
      <c r="AE31031" s="29">
        <v>13200</v>
      </c>
      <c r="AF31031" s="29">
        <v>28</v>
      </c>
      <c r="AG31031" s="29">
        <v>3627.2</v>
      </c>
      <c r="AH31031" s="29">
        <v>3336</v>
      </c>
      <c r="AI31031" s="29">
        <v>300</v>
      </c>
      <c r="AJ31031" s="29">
        <v>10000</v>
      </c>
      <c r="AK31031" s="29">
        <v>5</v>
      </c>
      <c r="AL31031" s="29"/>
      <c r="AM31031" s="29"/>
      <c r="AN31031" s="29"/>
      <c r="AO31031" s="29"/>
      <c r="AP31031" s="29"/>
      <c r="AQ31031" s="29">
        <v>4000</v>
      </c>
      <c r="AR31031" s="29">
        <v>4000</v>
      </c>
      <c r="AS31031" s="29">
        <v>4000</v>
      </c>
      <c r="AT31031" s="29">
        <v>4000</v>
      </c>
      <c r="AU31031" s="29">
        <v>1</v>
      </c>
      <c r="AV31031" s="29"/>
      <c r="AW31031" s="29"/>
      <c r="AX31031" s="29"/>
      <c r="AY31031" s="29"/>
      <c r="AZ31031" s="29"/>
      <c r="BA31031" s="29">
        <v>9550</v>
      </c>
      <c r="BB31031" s="29">
        <v>10000</v>
      </c>
      <c r="BC31031" s="29">
        <v>5000</v>
      </c>
      <c r="BD31031" s="29">
        <v>22750</v>
      </c>
      <c r="BE31031" s="29">
        <v>5</v>
      </c>
      <c r="BF31031" s="29"/>
      <c r="BG31031" s="29"/>
      <c r="BH31031" s="29"/>
      <c r="BI31031" s="29"/>
      <c r="BJ31031" s="29"/>
      <c r="BK31031" s="29">
        <v>500</v>
      </c>
      <c r="BL31031" s="29">
        <v>500</v>
      </c>
      <c r="BM31031" s="29">
        <v>500</v>
      </c>
      <c r="BN31031" s="29">
        <v>500</v>
      </c>
      <c r="BO31031" s="29">
        <v>1</v>
      </c>
      <c r="BP31031" s="29">
        <v>6060</v>
      </c>
      <c r="BQ31031" s="29">
        <v>5000</v>
      </c>
      <c r="BR31031" s="29">
        <v>2300</v>
      </c>
      <c r="BS31031" s="29">
        <v>17500</v>
      </c>
      <c r="BT31031" s="29">
        <v>5</v>
      </c>
      <c r="BU31031" s="29">
        <v>28</v>
      </c>
    </row>
    <row r="31032" spans="1:73" x14ac:dyDescent="0.35">
      <c r="A31032" s="27" t="s">
        <v>231</v>
      </c>
      <c r="B31032" s="27" t="s">
        <v>2731</v>
      </c>
      <c r="C31032" s="29">
        <v>16600</v>
      </c>
      <c r="D31032" s="29">
        <v>13000</v>
      </c>
      <c r="E31032" s="29">
        <v>3000</v>
      </c>
      <c r="F31032" s="29">
        <v>40000</v>
      </c>
      <c r="G31032" s="29">
        <v>10</v>
      </c>
      <c r="H31032" s="29">
        <v>20150</v>
      </c>
      <c r="I31032" s="29">
        <v>300</v>
      </c>
      <c r="J31032" s="29">
        <v>300</v>
      </c>
      <c r="K31032" s="29">
        <v>40000</v>
      </c>
      <c r="L31032" s="29">
        <v>2</v>
      </c>
      <c r="M31032" s="29"/>
      <c r="N31032" s="29"/>
      <c r="O31032" s="29"/>
      <c r="P31032" s="29"/>
      <c r="Q31032" s="29"/>
      <c r="R31032" s="29"/>
      <c r="S31032" s="29"/>
      <c r="T31032" s="29"/>
      <c r="U31032" s="29"/>
      <c r="V31032" s="29"/>
      <c r="W31032" s="29"/>
      <c r="X31032" s="29"/>
      <c r="Y31032" s="29"/>
      <c r="Z31032" s="29"/>
      <c r="AA31032" s="29"/>
      <c r="AB31032" s="29">
        <v>4962.5</v>
      </c>
      <c r="AC31032" s="29">
        <v>4000</v>
      </c>
      <c r="AD31032" s="29">
        <v>2000</v>
      </c>
      <c r="AE31032" s="29">
        <v>8000</v>
      </c>
      <c r="AF31032" s="29">
        <v>8</v>
      </c>
      <c r="AG31032" s="29">
        <v>3930.5</v>
      </c>
      <c r="AH31032" s="29">
        <v>2361</v>
      </c>
      <c r="AI31032" s="29">
        <v>2361</v>
      </c>
      <c r="AJ31032" s="29">
        <v>5500</v>
      </c>
      <c r="AK31032" s="29">
        <v>2</v>
      </c>
      <c r="AL31032" s="29">
        <v>8000</v>
      </c>
      <c r="AM31032" s="29">
        <v>8000</v>
      </c>
      <c r="AN31032" s="29">
        <v>8000</v>
      </c>
      <c r="AO31032" s="29">
        <v>8000</v>
      </c>
      <c r="AP31032" s="29">
        <v>1</v>
      </c>
      <c r="AQ31032" s="29"/>
      <c r="AR31032" s="29"/>
      <c r="AS31032" s="29"/>
      <c r="AT31032" s="29"/>
      <c r="AU31032" s="29"/>
      <c r="AV31032" s="29"/>
      <c r="AW31032" s="29"/>
      <c r="AX31032" s="29"/>
      <c r="AY31032" s="29"/>
      <c r="AZ31032" s="29"/>
      <c r="BA31032" s="29"/>
      <c r="BB31032" s="29"/>
      <c r="BC31032" s="29"/>
      <c r="BD31032" s="29"/>
      <c r="BE31032" s="29"/>
      <c r="BF31032" s="29"/>
      <c r="BG31032" s="29"/>
      <c r="BH31032" s="29"/>
      <c r="BI31032" s="29"/>
      <c r="BJ31032" s="29"/>
      <c r="BK31032" s="29"/>
      <c r="BL31032" s="29"/>
      <c r="BM31032" s="29"/>
      <c r="BN31032" s="29"/>
      <c r="BO31032" s="29"/>
      <c r="BP31032" s="29"/>
      <c r="BQ31032" s="29"/>
      <c r="BR31032" s="29"/>
      <c r="BS31032" s="29"/>
      <c r="BT31032" s="29"/>
      <c r="BU31032" s="29">
        <v>10</v>
      </c>
    </row>
    <row r="31033" spans="1:73" x14ac:dyDescent="0.35">
      <c r="A31033" t="s">
        <v>231</v>
      </c>
      <c r="B31033" t="s">
        <v>2732</v>
      </c>
      <c r="C31033">
        <v>10579.67</v>
      </c>
      <c r="D31033">
        <v>8000</v>
      </c>
      <c r="E31033">
        <v>1250</v>
      </c>
      <c r="F31033">
        <v>40000</v>
      </c>
      <c r="G31033" s="30">
        <v>50</v>
      </c>
      <c r="H31033">
        <v>2011.9</v>
      </c>
      <c r="I31033">
        <v>3000</v>
      </c>
      <c r="J31033">
        <v>300</v>
      </c>
      <c r="K31033">
        <v>3750</v>
      </c>
      <c r="L31033" s="30">
        <v>7</v>
      </c>
      <c r="M31033">
        <v>12380.95</v>
      </c>
      <c r="N31033">
        <v>10000</v>
      </c>
      <c r="O31033">
        <v>250</v>
      </c>
      <c r="P31033">
        <v>50000</v>
      </c>
      <c r="Q31033" s="30">
        <v>7</v>
      </c>
      <c r="R31033">
        <v>1716.67</v>
      </c>
      <c r="S31033">
        <v>3000</v>
      </c>
      <c r="T31033">
        <v>500</v>
      </c>
      <c r="U31033">
        <v>3000</v>
      </c>
      <c r="V31033" s="30">
        <v>5</v>
      </c>
      <c r="W31033">
        <v>2050</v>
      </c>
      <c r="X31033">
        <v>2000</v>
      </c>
      <c r="Y31033">
        <v>1500</v>
      </c>
      <c r="Z31033">
        <v>2500</v>
      </c>
      <c r="AA31033" s="30">
        <v>4</v>
      </c>
      <c r="AB31033">
        <v>3422.09</v>
      </c>
      <c r="AC31033">
        <v>2500</v>
      </c>
      <c r="AD31033">
        <v>500</v>
      </c>
      <c r="AE31033">
        <v>10500</v>
      </c>
      <c r="AF31033" s="30">
        <v>43</v>
      </c>
      <c r="AG31033">
        <v>1285.71</v>
      </c>
      <c r="AH31033">
        <v>1000</v>
      </c>
      <c r="AI31033">
        <v>106.7</v>
      </c>
      <c r="AJ31033">
        <v>5250</v>
      </c>
      <c r="AK31033" s="30">
        <v>21</v>
      </c>
      <c r="AL31033">
        <v>1000</v>
      </c>
      <c r="AM31033">
        <v>1000</v>
      </c>
      <c r="AN31033">
        <v>1000</v>
      </c>
      <c r="AO31033">
        <v>1000</v>
      </c>
      <c r="AP31033" s="30">
        <v>1</v>
      </c>
      <c r="AQ31033">
        <v>4888.8900000000003</v>
      </c>
      <c r="AR31033">
        <v>10000</v>
      </c>
      <c r="AS31033">
        <v>666.7</v>
      </c>
      <c r="AT31033">
        <v>10000</v>
      </c>
      <c r="AU31033" s="30">
        <v>3</v>
      </c>
      <c r="BA31033">
        <v>3686.67</v>
      </c>
      <c r="BB31033">
        <v>2500</v>
      </c>
      <c r="BC31033">
        <v>200</v>
      </c>
      <c r="BD31033">
        <v>10000</v>
      </c>
      <c r="BE31033" s="30">
        <v>10</v>
      </c>
      <c r="BK31033">
        <v>500</v>
      </c>
      <c r="BL31033">
        <v>500</v>
      </c>
      <c r="BM31033">
        <v>500</v>
      </c>
      <c r="BN31033">
        <v>500</v>
      </c>
      <c r="BO31033" s="30">
        <v>1</v>
      </c>
      <c r="BP31033">
        <v>133.33000000000001</v>
      </c>
      <c r="BQ31033">
        <v>133.30000000000001</v>
      </c>
      <c r="BR31033">
        <v>133.30000000000001</v>
      </c>
      <c r="BS31033">
        <v>133.30000000000001</v>
      </c>
      <c r="BT31033" s="30">
        <v>1</v>
      </c>
      <c r="BU31033">
        <v>50</v>
      </c>
    </row>
    <row r="31034" spans="1:73" x14ac:dyDescent="0.35">
      <c r="A31034" t="s">
        <v>232</v>
      </c>
      <c r="B31034" t="s">
        <v>232</v>
      </c>
      <c r="C31034">
        <v>12841.11</v>
      </c>
      <c r="D31034">
        <v>10000</v>
      </c>
      <c r="E31034">
        <v>333.3</v>
      </c>
      <c r="F31034">
        <v>150000</v>
      </c>
      <c r="G31034" s="30">
        <v>1271</v>
      </c>
      <c r="H31034">
        <v>6272.64</v>
      </c>
      <c r="I31034">
        <v>3333.3</v>
      </c>
      <c r="J31034">
        <v>16.7</v>
      </c>
      <c r="K31034">
        <v>66666.7</v>
      </c>
      <c r="L31034" s="30">
        <v>241</v>
      </c>
      <c r="M31034">
        <v>17578.79</v>
      </c>
      <c r="N31034">
        <v>10000</v>
      </c>
      <c r="O31034">
        <v>250</v>
      </c>
      <c r="P31034">
        <v>150000</v>
      </c>
      <c r="Q31034" s="30">
        <v>109</v>
      </c>
      <c r="R31034">
        <v>2698.25</v>
      </c>
      <c r="S31034">
        <v>1750</v>
      </c>
      <c r="T31034">
        <v>100</v>
      </c>
      <c r="U31034">
        <v>35000</v>
      </c>
      <c r="V31034" s="30">
        <v>92</v>
      </c>
      <c r="W31034">
        <v>1917.18</v>
      </c>
      <c r="X31034">
        <v>2000</v>
      </c>
      <c r="Y31034">
        <v>400</v>
      </c>
      <c r="Z31034">
        <v>5000</v>
      </c>
      <c r="AA31034" s="30">
        <v>264</v>
      </c>
      <c r="AB31034">
        <v>4296.82</v>
      </c>
      <c r="AC31034">
        <v>4000</v>
      </c>
      <c r="AD31034">
        <v>428.6</v>
      </c>
      <c r="AE31034">
        <v>30000</v>
      </c>
      <c r="AF31034" s="30">
        <v>1194</v>
      </c>
      <c r="AG31034">
        <v>2115.1799999999998</v>
      </c>
      <c r="AH31034">
        <v>1400</v>
      </c>
      <c r="AI31034">
        <v>106.7</v>
      </c>
      <c r="AJ31034">
        <v>20000</v>
      </c>
      <c r="AK31034" s="30">
        <v>404</v>
      </c>
      <c r="AL31034">
        <v>5888.89</v>
      </c>
      <c r="AM31034">
        <v>4000</v>
      </c>
      <c r="AN31034">
        <v>100</v>
      </c>
      <c r="AO31034">
        <v>25000</v>
      </c>
      <c r="AP31034" s="30">
        <v>32</v>
      </c>
      <c r="AQ31034">
        <v>5244.2</v>
      </c>
      <c r="AR31034">
        <v>3333.3</v>
      </c>
      <c r="AS31034">
        <v>233.3</v>
      </c>
      <c r="AT31034">
        <v>30000</v>
      </c>
      <c r="AU31034" s="30">
        <v>92</v>
      </c>
      <c r="AV31034">
        <v>1217.7</v>
      </c>
      <c r="AW31034">
        <v>1200</v>
      </c>
      <c r="AX31034">
        <v>241.7</v>
      </c>
      <c r="AY31034">
        <v>3300</v>
      </c>
      <c r="AZ31034" s="30">
        <v>52</v>
      </c>
      <c r="BA31034">
        <v>4143.3599999999997</v>
      </c>
      <c r="BB31034">
        <v>2500</v>
      </c>
      <c r="BC31034">
        <v>75</v>
      </c>
      <c r="BD31034">
        <v>26000</v>
      </c>
      <c r="BE31034" s="30">
        <v>206</v>
      </c>
      <c r="BF31034">
        <v>2109.21</v>
      </c>
      <c r="BG31034">
        <v>1000</v>
      </c>
      <c r="BH31034">
        <v>666.7</v>
      </c>
      <c r="BI31034">
        <v>4000</v>
      </c>
      <c r="BJ31034" s="30">
        <v>3</v>
      </c>
      <c r="BK31034">
        <v>9971.93</v>
      </c>
      <c r="BL31034">
        <v>666.7</v>
      </c>
      <c r="BM31034">
        <v>500</v>
      </c>
      <c r="BN31034">
        <v>75000</v>
      </c>
      <c r="BO31034" s="30">
        <v>14</v>
      </c>
      <c r="BP31034">
        <v>5190.95</v>
      </c>
      <c r="BQ31034">
        <v>3000</v>
      </c>
      <c r="BR31034">
        <v>100</v>
      </c>
      <c r="BS31034">
        <v>40000</v>
      </c>
      <c r="BT31034" s="30">
        <v>87</v>
      </c>
      <c r="BU31034">
        <v>1271</v>
      </c>
    </row>
    <row r="31036" spans="1:73" x14ac:dyDescent="0.35">
      <c r="A31036" s="1" t="s">
        <v>2757</v>
      </c>
    </row>
    <row r="31037" spans="1:73" x14ac:dyDescent="0.35">
      <c r="A31037" t="s">
        <v>219</v>
      </c>
      <c r="B31037" t="s">
        <v>305</v>
      </c>
      <c r="C31037" t="s">
        <v>534</v>
      </c>
      <c r="D31037" t="s">
        <v>535</v>
      </c>
      <c r="E31037" t="s">
        <v>536</v>
      </c>
      <c r="F31037" t="s">
        <v>537</v>
      </c>
      <c r="G31037" t="s">
        <v>226</v>
      </c>
    </row>
    <row r="31038" spans="1:73" x14ac:dyDescent="0.35">
      <c r="A31038" t="s">
        <v>227</v>
      </c>
      <c r="B31038" t="s">
        <v>2730</v>
      </c>
      <c r="C31038">
        <v>8311.61</v>
      </c>
      <c r="D31038">
        <v>6666.7</v>
      </c>
      <c r="E31038">
        <v>1200</v>
      </c>
      <c r="F31038">
        <v>27000</v>
      </c>
      <c r="G31038">
        <v>43</v>
      </c>
    </row>
    <row r="31039" spans="1:73" x14ac:dyDescent="0.35">
      <c r="A31039" s="27" t="s">
        <v>227</v>
      </c>
      <c r="B31039" s="27" t="s">
        <v>2731</v>
      </c>
      <c r="C31039" s="29">
        <v>12482.57</v>
      </c>
      <c r="D31039" s="29">
        <v>10000</v>
      </c>
      <c r="E31039" s="29">
        <v>0</v>
      </c>
      <c r="F31039" s="29">
        <v>39896</v>
      </c>
      <c r="G31039" s="29">
        <v>21</v>
      </c>
    </row>
    <row r="31040" spans="1:73" x14ac:dyDescent="0.35">
      <c r="A31040" t="s">
        <v>227</v>
      </c>
      <c r="B31040" t="s">
        <v>2732</v>
      </c>
      <c r="C31040">
        <v>10223.4</v>
      </c>
      <c r="D31040">
        <v>8000</v>
      </c>
      <c r="E31040">
        <v>0</v>
      </c>
      <c r="F31040">
        <v>60000</v>
      </c>
      <c r="G31040">
        <v>89</v>
      </c>
    </row>
    <row r="31041" spans="1:7" x14ac:dyDescent="0.35">
      <c r="A31041" t="s">
        <v>228</v>
      </c>
      <c r="B31041" t="s">
        <v>2730</v>
      </c>
      <c r="C31041">
        <v>11078.97</v>
      </c>
      <c r="D31041">
        <v>7500</v>
      </c>
      <c r="E31041">
        <v>0</v>
      </c>
      <c r="F31041">
        <v>55500</v>
      </c>
      <c r="G31041">
        <v>327</v>
      </c>
    </row>
    <row r="31042" spans="1:7" x14ac:dyDescent="0.35">
      <c r="A31042" t="s">
        <v>228</v>
      </c>
      <c r="B31042" t="s">
        <v>2731</v>
      </c>
      <c r="C31042">
        <v>19508.23</v>
      </c>
      <c r="D31042">
        <v>15000</v>
      </c>
      <c r="E31042">
        <v>0</v>
      </c>
      <c r="F31042">
        <v>80000</v>
      </c>
      <c r="G31042">
        <v>85</v>
      </c>
    </row>
    <row r="31043" spans="1:7" x14ac:dyDescent="0.35">
      <c r="A31043" t="s">
        <v>228</v>
      </c>
      <c r="B31043" t="s">
        <v>2732</v>
      </c>
      <c r="C31043">
        <v>10669.53</v>
      </c>
      <c r="D31043">
        <v>8333.2999999999993</v>
      </c>
      <c r="E31043">
        <v>286.7</v>
      </c>
      <c r="F31043">
        <v>85000</v>
      </c>
      <c r="G31043">
        <v>487</v>
      </c>
    </row>
    <row r="31044" spans="1:7" x14ac:dyDescent="0.35">
      <c r="A31044" t="s">
        <v>229</v>
      </c>
      <c r="B31044" t="s">
        <v>2730</v>
      </c>
      <c r="C31044">
        <v>13229.56</v>
      </c>
      <c r="D31044">
        <v>8000</v>
      </c>
      <c r="E31044">
        <v>0</v>
      </c>
      <c r="F31044">
        <v>100000</v>
      </c>
      <c r="G31044">
        <v>259</v>
      </c>
    </row>
    <row r="31045" spans="1:7" x14ac:dyDescent="0.35">
      <c r="A31045" t="s">
        <v>229</v>
      </c>
      <c r="B31045" t="s">
        <v>2731</v>
      </c>
      <c r="C31045">
        <v>18488.28</v>
      </c>
      <c r="D31045">
        <v>20000</v>
      </c>
      <c r="E31045">
        <v>0</v>
      </c>
      <c r="F31045">
        <v>84500</v>
      </c>
      <c r="G31045">
        <v>77</v>
      </c>
    </row>
    <row r="31046" spans="1:7" x14ac:dyDescent="0.35">
      <c r="A31046" t="s">
        <v>229</v>
      </c>
      <c r="B31046" t="s">
        <v>2732</v>
      </c>
      <c r="C31046">
        <v>14744.13</v>
      </c>
      <c r="D31046">
        <v>12250</v>
      </c>
      <c r="E31046">
        <v>0</v>
      </c>
      <c r="F31046">
        <v>150000</v>
      </c>
      <c r="G31046">
        <v>433</v>
      </c>
    </row>
    <row r="31047" spans="1:7" x14ac:dyDescent="0.35">
      <c r="A31047" t="s">
        <v>230</v>
      </c>
      <c r="B31047" t="s">
        <v>2730</v>
      </c>
      <c r="C31047">
        <v>9090.2000000000007</v>
      </c>
      <c r="D31047">
        <v>7500</v>
      </c>
      <c r="E31047">
        <v>0</v>
      </c>
      <c r="F31047">
        <v>40000</v>
      </c>
      <c r="G31047">
        <v>183</v>
      </c>
    </row>
    <row r="31048" spans="1:7" x14ac:dyDescent="0.35">
      <c r="A31048" t="s">
        <v>230</v>
      </c>
      <c r="B31048" t="s">
        <v>2731</v>
      </c>
      <c r="C31048">
        <v>13643.11</v>
      </c>
      <c r="D31048">
        <v>10300</v>
      </c>
      <c r="E31048">
        <v>940</v>
      </c>
      <c r="F31048">
        <v>50000</v>
      </c>
      <c r="G31048">
        <v>43</v>
      </c>
    </row>
    <row r="31049" spans="1:7" x14ac:dyDescent="0.35">
      <c r="A31049" t="s">
        <v>230</v>
      </c>
      <c r="B31049" t="s">
        <v>2732</v>
      </c>
      <c r="C31049">
        <v>13668.35</v>
      </c>
      <c r="D31049">
        <v>8750</v>
      </c>
      <c r="E31049">
        <v>588.79999999999995</v>
      </c>
      <c r="F31049">
        <v>175000</v>
      </c>
      <c r="G31049">
        <v>278</v>
      </c>
    </row>
    <row r="31050" spans="1:7" x14ac:dyDescent="0.35">
      <c r="A31050" t="s">
        <v>231</v>
      </c>
      <c r="B31050" t="s">
        <v>2730</v>
      </c>
      <c r="C31050">
        <v>12368.22</v>
      </c>
      <c r="D31050">
        <v>7000</v>
      </c>
      <c r="E31050">
        <v>1000</v>
      </c>
      <c r="F31050">
        <v>100500</v>
      </c>
      <c r="G31050">
        <v>50</v>
      </c>
    </row>
    <row r="31051" spans="1:7" x14ac:dyDescent="0.35">
      <c r="A31051" s="27" t="s">
        <v>231</v>
      </c>
      <c r="B31051" s="27" t="s">
        <v>2731</v>
      </c>
      <c r="C31051" s="29">
        <v>15403.59</v>
      </c>
      <c r="D31051" s="29">
        <v>13000</v>
      </c>
      <c r="E31051" s="29">
        <v>3500</v>
      </c>
      <c r="F31051" s="29">
        <v>48000</v>
      </c>
      <c r="G31051" s="29">
        <v>17</v>
      </c>
    </row>
    <row r="31052" spans="1:7" x14ac:dyDescent="0.35">
      <c r="A31052" t="s">
        <v>231</v>
      </c>
      <c r="B31052" t="s">
        <v>2732</v>
      </c>
      <c r="C31052">
        <v>10528.11</v>
      </c>
      <c r="D31052">
        <v>8160</v>
      </c>
      <c r="E31052">
        <v>433.3</v>
      </c>
      <c r="F31052">
        <v>50000</v>
      </c>
      <c r="G31052">
        <v>83</v>
      </c>
    </row>
    <row r="31053" spans="1:7" x14ac:dyDescent="0.35">
      <c r="A31053" t="s">
        <v>232</v>
      </c>
      <c r="B31053" t="s">
        <v>232</v>
      </c>
      <c r="C31053">
        <v>12264.58</v>
      </c>
      <c r="D31053">
        <v>8500</v>
      </c>
      <c r="E31053">
        <v>0</v>
      </c>
      <c r="F31053">
        <v>175000</v>
      </c>
      <c r="G31053">
        <v>2476</v>
      </c>
    </row>
    <row r="31055" spans="1:7" x14ac:dyDescent="0.35">
      <c r="A31055" s="1" t="s">
        <v>2758</v>
      </c>
    </row>
    <row r="31056" spans="1:7" x14ac:dyDescent="0.35">
      <c r="A31056" t="s">
        <v>219</v>
      </c>
      <c r="B31056" t="s">
        <v>305</v>
      </c>
      <c r="C31056" t="s">
        <v>1197</v>
      </c>
      <c r="D31056" t="s">
        <v>1198</v>
      </c>
      <c r="E31056" t="s">
        <v>226</v>
      </c>
    </row>
    <row r="31057" spans="1:5" x14ac:dyDescent="0.35">
      <c r="A31057" s="27" t="s">
        <v>227</v>
      </c>
      <c r="B31057" s="27" t="s">
        <v>2730</v>
      </c>
      <c r="C31057" s="28">
        <v>0.55559999999999998</v>
      </c>
      <c r="D31057" s="28">
        <v>0.44440000000000002</v>
      </c>
      <c r="E31057" s="29" t="s">
        <v>334</v>
      </c>
    </row>
    <row r="31058" spans="1:5" x14ac:dyDescent="0.35">
      <c r="A31058" s="27" t="s">
        <v>227</v>
      </c>
      <c r="B31058" s="27" t="s">
        <v>2732</v>
      </c>
      <c r="C31058" s="28">
        <v>0.61539999999999995</v>
      </c>
      <c r="D31058" s="28">
        <v>0.3846</v>
      </c>
      <c r="E31058" s="29" t="s">
        <v>341</v>
      </c>
    </row>
    <row r="31059" spans="1:5" x14ac:dyDescent="0.35">
      <c r="A31059" t="s">
        <v>228</v>
      </c>
      <c r="B31059" t="s">
        <v>2730</v>
      </c>
      <c r="C31059" s="26">
        <v>0.74829999999999997</v>
      </c>
      <c r="D31059" s="26">
        <v>0.25169999999999998</v>
      </c>
      <c r="E31059">
        <v>59</v>
      </c>
    </row>
    <row r="31060" spans="1:5" x14ac:dyDescent="0.35">
      <c r="A31060" s="27" t="s">
        <v>228</v>
      </c>
      <c r="B31060" s="27" t="s">
        <v>2731</v>
      </c>
      <c r="C31060" s="28">
        <v>0.80479999999999996</v>
      </c>
      <c r="D31060" s="28">
        <v>0.19520000000000001</v>
      </c>
      <c r="E31060" s="29" t="s">
        <v>352</v>
      </c>
    </row>
    <row r="31061" spans="1:5" x14ac:dyDescent="0.35">
      <c r="A31061" t="s">
        <v>228</v>
      </c>
      <c r="B31061" t="s">
        <v>2732</v>
      </c>
      <c r="C31061" s="26">
        <v>0.79590000000000005</v>
      </c>
      <c r="D31061" s="26">
        <v>0.2041</v>
      </c>
      <c r="E31061">
        <v>49</v>
      </c>
    </row>
    <row r="31062" spans="1:5" x14ac:dyDescent="0.35">
      <c r="A31062" t="s">
        <v>229</v>
      </c>
      <c r="B31062" t="s">
        <v>2730</v>
      </c>
      <c r="C31062" s="26">
        <v>0.53180000000000005</v>
      </c>
      <c r="D31062" s="26">
        <v>0.46820000000000001</v>
      </c>
      <c r="E31062">
        <v>48</v>
      </c>
    </row>
    <row r="31063" spans="1:5" x14ac:dyDescent="0.35">
      <c r="A31063" s="27" t="s">
        <v>229</v>
      </c>
      <c r="B31063" s="27" t="s">
        <v>2731</v>
      </c>
      <c r="C31063" s="28">
        <v>0.4945</v>
      </c>
      <c r="D31063" s="28">
        <v>0.50549999999999995</v>
      </c>
      <c r="E31063" s="29" t="s">
        <v>352</v>
      </c>
    </row>
    <row r="31064" spans="1:5" x14ac:dyDescent="0.35">
      <c r="A31064" t="s">
        <v>229</v>
      </c>
      <c r="B31064" t="s">
        <v>2732</v>
      </c>
      <c r="C31064" s="26">
        <v>0.88729999999999998</v>
      </c>
      <c r="D31064" s="26">
        <v>0.11269999999999999</v>
      </c>
      <c r="E31064">
        <v>43</v>
      </c>
    </row>
    <row r="31065" spans="1:5" x14ac:dyDescent="0.35">
      <c r="A31065" t="s">
        <v>230</v>
      </c>
      <c r="B31065" t="s">
        <v>2730</v>
      </c>
      <c r="C31065" s="26">
        <v>0.48209999999999997</v>
      </c>
      <c r="D31065" s="26">
        <v>0.51790000000000003</v>
      </c>
      <c r="E31065">
        <v>37</v>
      </c>
    </row>
    <row r="31066" spans="1:5" x14ac:dyDescent="0.35">
      <c r="A31066" s="27" t="s">
        <v>230</v>
      </c>
      <c r="B31066" s="27" t="s">
        <v>2731</v>
      </c>
      <c r="C31066" s="28">
        <v>0.59319999999999995</v>
      </c>
      <c r="D31066" s="28">
        <v>0.40679999999999999</v>
      </c>
      <c r="E31066" s="29" t="s">
        <v>335</v>
      </c>
    </row>
    <row r="31067" spans="1:5" x14ac:dyDescent="0.35">
      <c r="A31067" t="s">
        <v>230</v>
      </c>
      <c r="B31067" t="s">
        <v>2732</v>
      </c>
      <c r="C31067" s="26">
        <v>0.57689999999999997</v>
      </c>
      <c r="D31067" s="26">
        <v>0.42309999999999998</v>
      </c>
      <c r="E31067">
        <v>40</v>
      </c>
    </row>
    <row r="31068" spans="1:5" x14ac:dyDescent="0.35">
      <c r="A31068" s="27" t="s">
        <v>231</v>
      </c>
      <c r="B31068" s="27" t="s">
        <v>2730</v>
      </c>
      <c r="C31068" s="28">
        <v>0.85709999999999997</v>
      </c>
      <c r="D31068" s="28">
        <v>0.1429</v>
      </c>
      <c r="E31068" s="29" t="s">
        <v>339</v>
      </c>
    </row>
    <row r="31069" spans="1:5" x14ac:dyDescent="0.35">
      <c r="A31069" s="27" t="s">
        <v>231</v>
      </c>
      <c r="B31069" s="27" t="s">
        <v>2732</v>
      </c>
      <c r="C31069" s="28">
        <v>0.84619999999999995</v>
      </c>
      <c r="D31069" s="28">
        <v>0.15379999999999999</v>
      </c>
      <c r="E31069" s="29" t="s">
        <v>341</v>
      </c>
    </row>
    <row r="31070" spans="1:5" x14ac:dyDescent="0.35">
      <c r="A31070" t="s">
        <v>232</v>
      </c>
      <c r="B31070" t="s">
        <v>232</v>
      </c>
      <c r="C31070" s="26">
        <v>0.71330000000000005</v>
      </c>
      <c r="D31070" s="26">
        <v>0.28670000000000001</v>
      </c>
      <c r="E31070">
        <v>346</v>
      </c>
    </row>
    <row r="31072" spans="1:5" x14ac:dyDescent="0.35">
      <c r="A31072" s="1" t="s">
        <v>2759</v>
      </c>
    </row>
    <row r="31073" spans="1:7" x14ac:dyDescent="0.35">
      <c r="A31073" t="s">
        <v>219</v>
      </c>
      <c r="B31073" t="s">
        <v>305</v>
      </c>
      <c r="C31073" t="s">
        <v>302</v>
      </c>
      <c r="D31073" t="s">
        <v>303</v>
      </c>
      <c r="E31073" t="s">
        <v>281</v>
      </c>
      <c r="F31073" t="s">
        <v>286</v>
      </c>
      <c r="G31073" t="s">
        <v>226</v>
      </c>
    </row>
    <row r="31074" spans="1:7" x14ac:dyDescent="0.35">
      <c r="A31074" t="s">
        <v>227</v>
      </c>
      <c r="B31074" t="s">
        <v>2730</v>
      </c>
      <c r="C31074" s="26">
        <v>0.87229999999999996</v>
      </c>
      <c r="D31074" s="26">
        <v>0.10639999999999999</v>
      </c>
      <c r="F31074" s="26">
        <v>2.1299999999999999E-2</v>
      </c>
      <c r="G31074">
        <v>47</v>
      </c>
    </row>
    <row r="31075" spans="1:7" x14ac:dyDescent="0.35">
      <c r="A31075" s="27" t="s">
        <v>227</v>
      </c>
      <c r="B31075" s="27" t="s">
        <v>2731</v>
      </c>
      <c r="C31075" s="28">
        <v>0.76190000000000002</v>
      </c>
      <c r="D31075" s="28">
        <v>0.23810000000000001</v>
      </c>
      <c r="E31075" s="29"/>
      <c r="F31075" s="29"/>
      <c r="G31075" s="29" t="s">
        <v>351</v>
      </c>
    </row>
    <row r="31076" spans="1:7" x14ac:dyDescent="0.35">
      <c r="A31076" t="s">
        <v>227</v>
      </c>
      <c r="B31076" t="s">
        <v>2732</v>
      </c>
      <c r="C31076" s="26">
        <v>0.8387</v>
      </c>
      <c r="D31076" s="26">
        <v>0.1613</v>
      </c>
      <c r="G31076">
        <v>93</v>
      </c>
    </row>
    <row r="31077" spans="1:7" x14ac:dyDescent="0.35">
      <c r="A31077" t="s">
        <v>228</v>
      </c>
      <c r="B31077" t="s">
        <v>2730</v>
      </c>
      <c r="C31077" s="26">
        <v>0.81620000000000004</v>
      </c>
      <c r="D31077" s="26">
        <v>0.18060000000000001</v>
      </c>
      <c r="E31077" s="26">
        <v>6.9999999999999999E-4</v>
      </c>
      <c r="F31077" s="26">
        <v>2.5000000000000001E-3</v>
      </c>
      <c r="G31077">
        <v>360</v>
      </c>
    </row>
    <row r="31078" spans="1:7" x14ac:dyDescent="0.35">
      <c r="A31078" t="s">
        <v>228</v>
      </c>
      <c r="B31078" t="s">
        <v>2731</v>
      </c>
      <c r="C31078" s="26">
        <v>0.77270000000000005</v>
      </c>
      <c r="D31078" s="26">
        <v>0.2273</v>
      </c>
      <c r="G31078">
        <v>96</v>
      </c>
    </row>
    <row r="31079" spans="1:7" x14ac:dyDescent="0.35">
      <c r="A31079" t="s">
        <v>228</v>
      </c>
      <c r="B31079" t="s">
        <v>2732</v>
      </c>
      <c r="C31079" s="26">
        <v>0.80089999999999995</v>
      </c>
      <c r="D31079" s="26">
        <v>0.1928</v>
      </c>
      <c r="E31079" s="26">
        <v>6.4000000000000003E-3</v>
      </c>
      <c r="G31079">
        <v>576</v>
      </c>
    </row>
    <row r="31080" spans="1:7" x14ac:dyDescent="0.35">
      <c r="A31080" t="s">
        <v>229</v>
      </c>
      <c r="B31080" t="s">
        <v>2730</v>
      </c>
      <c r="C31080" s="26">
        <v>0.80520000000000003</v>
      </c>
      <c r="D31080" s="26">
        <v>0.19420000000000001</v>
      </c>
      <c r="E31080" s="26">
        <v>5.9999999999999995E-4</v>
      </c>
      <c r="G31080">
        <v>302</v>
      </c>
    </row>
    <row r="31081" spans="1:7" x14ac:dyDescent="0.35">
      <c r="A31081" t="s">
        <v>229</v>
      </c>
      <c r="B31081" t="s">
        <v>2731</v>
      </c>
      <c r="C31081" s="26">
        <v>0.8397</v>
      </c>
      <c r="D31081" s="26">
        <v>0.1603</v>
      </c>
      <c r="G31081">
        <v>86</v>
      </c>
    </row>
    <row r="31082" spans="1:7" x14ac:dyDescent="0.35">
      <c r="A31082" t="s">
        <v>229</v>
      </c>
      <c r="B31082" t="s">
        <v>2732</v>
      </c>
      <c r="C31082" s="26">
        <v>0.78310000000000002</v>
      </c>
      <c r="D31082" s="26">
        <v>0.21540000000000001</v>
      </c>
      <c r="E31082" s="26">
        <v>2.9999999999999997E-4</v>
      </c>
      <c r="F31082" s="26">
        <v>1.2999999999999999E-3</v>
      </c>
      <c r="G31082">
        <v>507</v>
      </c>
    </row>
    <row r="31083" spans="1:7" x14ac:dyDescent="0.35">
      <c r="A31083" t="s">
        <v>230</v>
      </c>
      <c r="B31083" t="s">
        <v>2730</v>
      </c>
      <c r="C31083" s="26">
        <v>0.84340000000000004</v>
      </c>
      <c r="D31083" s="26">
        <v>0.15659999999999999</v>
      </c>
      <c r="G31083">
        <v>197</v>
      </c>
    </row>
    <row r="31084" spans="1:7" x14ac:dyDescent="0.35">
      <c r="A31084" t="s">
        <v>230</v>
      </c>
      <c r="B31084" t="s">
        <v>2731</v>
      </c>
      <c r="C31084" s="26">
        <v>0.77529999999999999</v>
      </c>
      <c r="D31084" s="26">
        <v>0.22470000000000001</v>
      </c>
      <c r="G31084">
        <v>50</v>
      </c>
    </row>
    <row r="31085" spans="1:7" x14ac:dyDescent="0.35">
      <c r="A31085" t="s">
        <v>230</v>
      </c>
      <c r="B31085" t="s">
        <v>2732</v>
      </c>
      <c r="C31085" s="26">
        <v>0.75949999999999995</v>
      </c>
      <c r="D31085" s="26">
        <v>0.24049999999999999</v>
      </c>
      <c r="G31085">
        <v>313</v>
      </c>
    </row>
    <row r="31086" spans="1:7" x14ac:dyDescent="0.35">
      <c r="A31086" t="s">
        <v>231</v>
      </c>
      <c r="B31086" t="s">
        <v>2730</v>
      </c>
      <c r="C31086" s="26">
        <v>0.83640000000000003</v>
      </c>
      <c r="D31086" s="26">
        <v>0.1636</v>
      </c>
      <c r="G31086">
        <v>55</v>
      </c>
    </row>
    <row r="31087" spans="1:7" x14ac:dyDescent="0.35">
      <c r="A31087" s="27" t="s">
        <v>231</v>
      </c>
      <c r="B31087" s="27" t="s">
        <v>2731</v>
      </c>
      <c r="C31087" s="28">
        <v>0.88239999999999996</v>
      </c>
      <c r="D31087" s="28">
        <v>0.1176</v>
      </c>
      <c r="E31087" s="29"/>
      <c r="F31087" s="29"/>
      <c r="G31087" s="29" t="s">
        <v>343</v>
      </c>
    </row>
    <row r="31088" spans="1:7" x14ac:dyDescent="0.35">
      <c r="A31088" t="s">
        <v>231</v>
      </c>
      <c r="B31088" t="s">
        <v>2732</v>
      </c>
      <c r="C31088" s="26">
        <v>0.78259999999999996</v>
      </c>
      <c r="D31088" s="26">
        <v>0.20649999999999999</v>
      </c>
      <c r="E31088" s="26">
        <v>1.09E-2</v>
      </c>
      <c r="G31088">
        <v>92</v>
      </c>
    </row>
    <row r="31089" spans="1:19" x14ac:dyDescent="0.35">
      <c r="A31089" t="s">
        <v>232</v>
      </c>
      <c r="B31089" t="s">
        <v>232</v>
      </c>
      <c r="C31089" s="26">
        <v>0.80669999999999997</v>
      </c>
      <c r="D31089" s="26">
        <v>0.18940000000000001</v>
      </c>
      <c r="E31089" s="26">
        <v>2.5000000000000001E-3</v>
      </c>
      <c r="F31089" s="26">
        <v>1.2999999999999999E-3</v>
      </c>
      <c r="G31089">
        <v>2812</v>
      </c>
    </row>
    <row r="31091" spans="1:19" x14ac:dyDescent="0.35">
      <c r="A31091" s="1" t="s">
        <v>2760</v>
      </c>
    </row>
    <row r="31092" spans="1:19" x14ac:dyDescent="0.35">
      <c r="A31092" t="s">
        <v>219</v>
      </c>
      <c r="B31092" t="s">
        <v>305</v>
      </c>
      <c r="C31092" t="s">
        <v>1222</v>
      </c>
      <c r="D31092" t="s">
        <v>1223</v>
      </c>
      <c r="E31092" t="s">
        <v>1224</v>
      </c>
      <c r="F31092" t="s">
        <v>1225</v>
      </c>
      <c r="G31092" t="s">
        <v>1226</v>
      </c>
      <c r="H31092" t="s">
        <v>1227</v>
      </c>
      <c r="I31092" t="s">
        <v>1228</v>
      </c>
      <c r="J31092" t="s">
        <v>1229</v>
      </c>
      <c r="K31092" t="s">
        <v>1230</v>
      </c>
      <c r="L31092" t="s">
        <v>326</v>
      </c>
      <c r="M31092" t="s">
        <v>1231</v>
      </c>
      <c r="N31092" t="s">
        <v>1232</v>
      </c>
      <c r="O31092" t="s">
        <v>1233</v>
      </c>
      <c r="P31092" t="s">
        <v>286</v>
      </c>
      <c r="Q31092" t="s">
        <v>1234</v>
      </c>
      <c r="R31092" t="s">
        <v>281</v>
      </c>
      <c r="S31092" t="s">
        <v>226</v>
      </c>
    </row>
    <row r="31093" spans="1:19" x14ac:dyDescent="0.35">
      <c r="A31093" s="27" t="s">
        <v>227</v>
      </c>
      <c r="B31093" s="27" t="s">
        <v>2730</v>
      </c>
      <c r="C31093" s="28">
        <v>0.2</v>
      </c>
      <c r="D31093" s="28">
        <v>0.4</v>
      </c>
      <c r="E31093" s="29"/>
      <c r="F31093" s="29"/>
      <c r="G31093" s="29"/>
      <c r="H31093" s="28">
        <v>0.2</v>
      </c>
      <c r="I31093" s="28">
        <v>0.2</v>
      </c>
      <c r="J31093" s="29"/>
      <c r="K31093" s="28">
        <v>0.2</v>
      </c>
      <c r="L31093" s="29"/>
      <c r="M31093" s="29"/>
      <c r="N31093" s="29"/>
      <c r="O31093" s="29"/>
      <c r="P31093" s="29"/>
      <c r="Q31093" s="29"/>
      <c r="R31093" s="29"/>
      <c r="S31093" s="29" t="s">
        <v>332</v>
      </c>
    </row>
    <row r="31094" spans="1:19" x14ac:dyDescent="0.35">
      <c r="A31094" s="27" t="s">
        <v>227</v>
      </c>
      <c r="B31094" s="27" t="s">
        <v>2731</v>
      </c>
      <c r="C31094" s="28">
        <v>0.4</v>
      </c>
      <c r="D31094" s="29"/>
      <c r="E31094" s="28">
        <v>0.4</v>
      </c>
      <c r="F31094" s="28">
        <v>0.2</v>
      </c>
      <c r="G31094" s="29"/>
      <c r="H31094" s="29"/>
      <c r="I31094" s="29"/>
      <c r="J31094" s="29"/>
      <c r="K31094" s="29"/>
      <c r="L31094" s="29"/>
      <c r="M31094" s="29"/>
      <c r="N31094" s="29"/>
      <c r="O31094" s="29"/>
      <c r="P31094" s="29"/>
      <c r="Q31094" s="29"/>
      <c r="R31094" s="29"/>
      <c r="S31094" s="29" t="s">
        <v>332</v>
      </c>
    </row>
    <row r="31095" spans="1:19" x14ac:dyDescent="0.35">
      <c r="A31095" s="27" t="s">
        <v>227</v>
      </c>
      <c r="B31095" s="27" t="s">
        <v>2732</v>
      </c>
      <c r="C31095" s="28">
        <v>0.35709999999999997</v>
      </c>
      <c r="D31095" s="28">
        <v>0.5</v>
      </c>
      <c r="E31095" s="28">
        <v>0.28570000000000001</v>
      </c>
      <c r="F31095" s="28">
        <v>0.1429</v>
      </c>
      <c r="G31095" s="29"/>
      <c r="H31095" s="28">
        <v>7.1400000000000005E-2</v>
      </c>
      <c r="I31095" s="28">
        <v>7.1400000000000005E-2</v>
      </c>
      <c r="J31095" s="29"/>
      <c r="K31095" s="29"/>
      <c r="L31095" s="29"/>
      <c r="M31095" s="29"/>
      <c r="N31095" s="29"/>
      <c r="O31095" s="29"/>
      <c r="P31095" s="29"/>
      <c r="Q31095" s="29"/>
      <c r="R31095" s="29"/>
      <c r="S31095" s="29" t="s">
        <v>379</v>
      </c>
    </row>
    <row r="31096" spans="1:19" x14ac:dyDescent="0.35">
      <c r="A31096" t="s">
        <v>228</v>
      </c>
      <c r="B31096" t="s">
        <v>2730</v>
      </c>
      <c r="C31096" s="26">
        <v>0.20780000000000001</v>
      </c>
      <c r="D31096" s="26">
        <v>0.315</v>
      </c>
      <c r="E31096" s="26">
        <v>0.37980000000000003</v>
      </c>
      <c r="F31096" s="26">
        <v>2.8199999999999999E-2</v>
      </c>
      <c r="G31096" s="26">
        <v>6.8699999999999997E-2</v>
      </c>
      <c r="H31096" s="26">
        <v>7.51E-2</v>
      </c>
      <c r="I31096" s="26">
        <v>2.24E-2</v>
      </c>
      <c r="K31096" s="26">
        <v>2.01E-2</v>
      </c>
      <c r="M31096" s="26">
        <v>0.111</v>
      </c>
      <c r="N31096" s="26">
        <v>5.5500000000000001E-2</v>
      </c>
      <c r="O31096" s="26">
        <v>1.95E-2</v>
      </c>
      <c r="P31096" s="26">
        <v>6.8999999999999999E-3</v>
      </c>
      <c r="Q31096" s="26">
        <v>1.83E-2</v>
      </c>
      <c r="R31096" s="26">
        <v>4.1000000000000003E-3</v>
      </c>
      <c r="S31096">
        <v>61</v>
      </c>
    </row>
    <row r="31097" spans="1:19" x14ac:dyDescent="0.35">
      <c r="A31097" s="27" t="s">
        <v>228</v>
      </c>
      <c r="B31097" s="27" t="s">
        <v>2731</v>
      </c>
      <c r="C31097" s="28">
        <v>0.1721</v>
      </c>
      <c r="D31097" s="28">
        <v>0.17430000000000001</v>
      </c>
      <c r="E31097" s="28">
        <v>0.1321</v>
      </c>
      <c r="F31097" s="28">
        <v>9.3100000000000002E-2</v>
      </c>
      <c r="G31097" s="29"/>
      <c r="H31097" s="29"/>
      <c r="I31097" s="28">
        <v>2.3099999999999999E-2</v>
      </c>
      <c r="J31097" s="28">
        <v>0.28199999999999997</v>
      </c>
      <c r="K31097" s="29"/>
      <c r="L31097" s="28">
        <v>1.3599999999999999E-2</v>
      </c>
      <c r="M31097" s="28">
        <v>4.6600000000000003E-2</v>
      </c>
      <c r="N31097" s="28">
        <v>0.19950000000000001</v>
      </c>
      <c r="O31097" s="28">
        <v>1.3599999999999999E-2</v>
      </c>
      <c r="P31097" s="29"/>
      <c r="Q31097" s="29"/>
      <c r="R31097" s="29"/>
      <c r="S31097" s="29" t="s">
        <v>349</v>
      </c>
    </row>
    <row r="31098" spans="1:19" x14ac:dyDescent="0.35">
      <c r="A31098" t="s">
        <v>228</v>
      </c>
      <c r="B31098" t="s">
        <v>2732</v>
      </c>
      <c r="C31098" s="26">
        <v>0.38519999999999999</v>
      </c>
      <c r="D31098" s="26">
        <v>0.34689999999999999</v>
      </c>
      <c r="E31098" s="26">
        <v>0.34060000000000001</v>
      </c>
      <c r="F31098" s="26">
        <v>1.9599999999999999E-2</v>
      </c>
      <c r="G31098" s="26">
        <v>6.3600000000000004E-2</v>
      </c>
      <c r="H31098" s="26">
        <v>1.09E-2</v>
      </c>
      <c r="I31098" s="26">
        <v>1.5800000000000002E-2</v>
      </c>
      <c r="J31098" s="26">
        <v>7.6E-3</v>
      </c>
      <c r="K31098" s="26">
        <v>1.5800000000000002E-2</v>
      </c>
      <c r="L31098" s="26">
        <v>3.8E-3</v>
      </c>
      <c r="M31098" s="26">
        <v>5.0000000000000001E-3</v>
      </c>
      <c r="N31098" s="26">
        <v>3.8300000000000001E-2</v>
      </c>
      <c r="O31098" s="26">
        <v>3.8100000000000002E-2</v>
      </c>
      <c r="S31098">
        <v>89</v>
      </c>
    </row>
    <row r="31099" spans="1:19" x14ac:dyDescent="0.35">
      <c r="A31099" t="s">
        <v>229</v>
      </c>
      <c r="B31099" t="s">
        <v>2730</v>
      </c>
      <c r="C31099" s="26">
        <v>9.9000000000000005E-2</v>
      </c>
      <c r="D31099" s="26">
        <v>0.41339999999999999</v>
      </c>
      <c r="E31099" s="26">
        <v>0.49519999999999997</v>
      </c>
      <c r="F31099" s="26">
        <v>5.5599999999999997E-2</v>
      </c>
      <c r="G31099" s="26">
        <v>9.6100000000000005E-2</v>
      </c>
      <c r="H31099" s="26">
        <v>5.5599999999999997E-2</v>
      </c>
      <c r="I31099" s="26">
        <v>4.8999999999999998E-3</v>
      </c>
      <c r="L31099" s="26">
        <v>0.12239999999999999</v>
      </c>
      <c r="M31099" s="26">
        <v>7.1099999999999997E-2</v>
      </c>
      <c r="R31099" s="26">
        <v>6.1000000000000004E-3</v>
      </c>
      <c r="S31099">
        <v>39</v>
      </c>
    </row>
    <row r="31100" spans="1:19" x14ac:dyDescent="0.35">
      <c r="A31100" s="27" t="s">
        <v>229</v>
      </c>
      <c r="B31100" s="27" t="s">
        <v>2731</v>
      </c>
      <c r="C31100" s="28">
        <v>0.41839999999999999</v>
      </c>
      <c r="D31100" s="28">
        <v>0.27789999999999998</v>
      </c>
      <c r="E31100" s="28">
        <v>0.1905</v>
      </c>
      <c r="F31100" s="29"/>
      <c r="G31100" s="28">
        <v>0.1905</v>
      </c>
      <c r="H31100" s="29"/>
      <c r="I31100" s="28">
        <v>0.2155</v>
      </c>
      <c r="J31100" s="28">
        <v>5.0700000000000002E-2</v>
      </c>
      <c r="K31100" s="29"/>
      <c r="L31100" s="28">
        <v>2.5000000000000001E-2</v>
      </c>
      <c r="M31100" s="28">
        <v>0.22789999999999999</v>
      </c>
      <c r="N31100" s="29"/>
      <c r="O31100" s="29"/>
      <c r="P31100" s="29"/>
      <c r="Q31100" s="29"/>
      <c r="R31100" s="29"/>
      <c r="S31100" s="29" t="s">
        <v>333</v>
      </c>
    </row>
    <row r="31101" spans="1:19" x14ac:dyDescent="0.35">
      <c r="A31101" t="s">
        <v>229</v>
      </c>
      <c r="B31101" t="s">
        <v>2732</v>
      </c>
      <c r="C31101" s="26">
        <v>0.31569999999999998</v>
      </c>
      <c r="D31101" s="26">
        <v>0.27660000000000001</v>
      </c>
      <c r="E31101" s="26">
        <v>0.18709999999999999</v>
      </c>
      <c r="F31101" s="26">
        <v>8.8999999999999996E-2</v>
      </c>
      <c r="G31101" s="26">
        <v>5.2999999999999999E-2</v>
      </c>
      <c r="H31101" s="26">
        <v>7.4200000000000002E-2</v>
      </c>
      <c r="I31101" s="26">
        <v>4.5699999999999998E-2</v>
      </c>
      <c r="J31101" s="26">
        <v>4.5699999999999998E-2</v>
      </c>
      <c r="K31101" s="26">
        <v>3.8100000000000002E-2</v>
      </c>
      <c r="L31101" s="26">
        <v>3.7100000000000001E-2</v>
      </c>
      <c r="M31101" s="26">
        <v>4.8999999999999998E-3</v>
      </c>
      <c r="N31101" s="26">
        <v>5.9299999999999999E-2</v>
      </c>
      <c r="P31101" s="26">
        <v>1.8599999999999998E-2</v>
      </c>
      <c r="Q31101" s="26">
        <v>4.8999999999999998E-3</v>
      </c>
      <c r="S31101">
        <v>83</v>
      </c>
    </row>
    <row r="31102" spans="1:19" x14ac:dyDescent="0.35">
      <c r="A31102" s="27" t="s">
        <v>230</v>
      </c>
      <c r="B31102" s="27" t="s">
        <v>2730</v>
      </c>
      <c r="C31102" s="28">
        <v>0.1469</v>
      </c>
      <c r="D31102" s="28">
        <v>0.30399999999999999</v>
      </c>
      <c r="E31102" s="28">
        <v>0.52580000000000005</v>
      </c>
      <c r="F31102" s="28">
        <v>3.6700000000000003E-2</v>
      </c>
      <c r="G31102" s="28">
        <v>2.3699999999999999E-2</v>
      </c>
      <c r="H31102" s="28">
        <v>0.11020000000000001</v>
      </c>
      <c r="I31102" s="29"/>
      <c r="J31102" s="28">
        <v>0.11020000000000001</v>
      </c>
      <c r="K31102" s="29"/>
      <c r="L31102" s="29"/>
      <c r="M31102" s="29"/>
      <c r="N31102" s="29"/>
      <c r="O31102" s="28">
        <v>0.1283</v>
      </c>
      <c r="P31102" s="28">
        <v>5.5999999999999999E-3</v>
      </c>
      <c r="Q31102" s="29"/>
      <c r="R31102" s="29"/>
      <c r="S31102" s="29" t="s">
        <v>312</v>
      </c>
    </row>
    <row r="31103" spans="1:19" x14ac:dyDescent="0.35">
      <c r="A31103" s="27" t="s">
        <v>230</v>
      </c>
      <c r="B31103" s="27" t="s">
        <v>2731</v>
      </c>
      <c r="C31103" s="28">
        <v>5.1200000000000002E-2</v>
      </c>
      <c r="D31103" s="28">
        <v>0.41539999999999999</v>
      </c>
      <c r="E31103" s="28">
        <v>0.1205</v>
      </c>
      <c r="F31103" s="28">
        <v>0.31059999999999999</v>
      </c>
      <c r="G31103" s="29"/>
      <c r="H31103" s="29"/>
      <c r="I31103" s="29"/>
      <c r="J31103" s="29"/>
      <c r="K31103" s="29"/>
      <c r="L31103" s="29"/>
      <c r="M31103" s="28">
        <v>5.1200000000000002E-2</v>
      </c>
      <c r="N31103" s="29"/>
      <c r="O31103" s="29"/>
      <c r="P31103" s="28">
        <v>5.1200000000000002E-2</v>
      </c>
      <c r="Q31103" s="29"/>
      <c r="R31103" s="29"/>
      <c r="S31103" s="29" t="s">
        <v>307</v>
      </c>
    </row>
    <row r="31104" spans="1:19" x14ac:dyDescent="0.35">
      <c r="A31104" t="s">
        <v>230</v>
      </c>
      <c r="B31104" t="s">
        <v>2732</v>
      </c>
      <c r="C31104" s="26">
        <v>0.27589999999999998</v>
      </c>
      <c r="D31104" s="26">
        <v>0.2213</v>
      </c>
      <c r="E31104" s="26">
        <v>0.23369999999999999</v>
      </c>
      <c r="F31104" s="26">
        <v>5.74E-2</v>
      </c>
      <c r="G31104" s="26">
        <v>0.1479</v>
      </c>
      <c r="I31104" s="26">
        <v>4.9200000000000001E-2</v>
      </c>
      <c r="J31104" s="26">
        <v>5.4800000000000001E-2</v>
      </c>
      <c r="K31104" s="26">
        <v>4.3200000000000002E-2</v>
      </c>
      <c r="M31104" s="26">
        <v>8.2100000000000006E-2</v>
      </c>
      <c r="O31104" s="26">
        <v>6.1000000000000004E-3</v>
      </c>
      <c r="S31104">
        <v>67</v>
      </c>
    </row>
    <row r="31105" spans="1:19" x14ac:dyDescent="0.35">
      <c r="A31105" s="27" t="s">
        <v>231</v>
      </c>
      <c r="B31105" s="27" t="s">
        <v>2730</v>
      </c>
      <c r="C31105" s="28">
        <v>0.375</v>
      </c>
      <c r="D31105" s="28">
        <v>0.375</v>
      </c>
      <c r="E31105" s="28">
        <v>0.5</v>
      </c>
      <c r="F31105" s="28">
        <v>0.375</v>
      </c>
      <c r="G31105" s="28">
        <v>0.125</v>
      </c>
      <c r="H31105" s="28">
        <v>0.125</v>
      </c>
      <c r="I31105" s="28">
        <v>0.125</v>
      </c>
      <c r="J31105" s="29"/>
      <c r="K31105" s="29"/>
      <c r="L31105" s="29"/>
      <c r="M31105" s="29"/>
      <c r="N31105" s="29"/>
      <c r="O31105" s="29"/>
      <c r="P31105" s="29"/>
      <c r="Q31105" s="29"/>
      <c r="R31105" s="29"/>
      <c r="S31105" s="29" t="s">
        <v>333</v>
      </c>
    </row>
    <row r="31106" spans="1:19" x14ac:dyDescent="0.35">
      <c r="A31106" s="27" t="s">
        <v>231</v>
      </c>
      <c r="B31106" s="27" t="s">
        <v>2731</v>
      </c>
      <c r="C31106" s="29"/>
      <c r="D31106" s="29"/>
      <c r="E31106" s="28">
        <v>0.5</v>
      </c>
      <c r="F31106" s="29"/>
      <c r="G31106" s="29"/>
      <c r="H31106" s="29"/>
      <c r="I31106" s="29"/>
      <c r="J31106" s="29"/>
      <c r="K31106" s="29"/>
      <c r="L31106" s="28">
        <v>0.5</v>
      </c>
      <c r="M31106" s="29"/>
      <c r="N31106" s="29"/>
      <c r="O31106" s="29"/>
      <c r="P31106" s="29"/>
      <c r="Q31106" s="29"/>
      <c r="R31106" s="29"/>
      <c r="S31106" s="29" t="s">
        <v>314</v>
      </c>
    </row>
    <row r="31107" spans="1:19" x14ac:dyDescent="0.35">
      <c r="A31107" s="27" t="s">
        <v>231</v>
      </c>
      <c r="B31107" s="27" t="s">
        <v>2732</v>
      </c>
      <c r="C31107" s="28">
        <v>0.42109999999999997</v>
      </c>
      <c r="D31107" s="28">
        <v>0.26319999999999999</v>
      </c>
      <c r="E31107" s="28">
        <v>0.15790000000000001</v>
      </c>
      <c r="F31107" s="28">
        <v>0.15790000000000001</v>
      </c>
      <c r="G31107" s="28">
        <v>0.1053</v>
      </c>
      <c r="H31107" s="28">
        <v>5.2600000000000001E-2</v>
      </c>
      <c r="I31107" s="28">
        <v>5.2600000000000001E-2</v>
      </c>
      <c r="J31107" s="28">
        <v>5.2600000000000001E-2</v>
      </c>
      <c r="K31107" s="28">
        <v>5.2600000000000001E-2</v>
      </c>
      <c r="L31107" s="29"/>
      <c r="M31107" s="29"/>
      <c r="N31107" s="29"/>
      <c r="O31107" s="29"/>
      <c r="P31107" s="29"/>
      <c r="Q31107" s="29"/>
      <c r="R31107" s="29"/>
      <c r="S31107" s="29" t="s">
        <v>349</v>
      </c>
    </row>
    <row r="31108" spans="1:19" x14ac:dyDescent="0.35">
      <c r="A31108" t="s">
        <v>232</v>
      </c>
      <c r="B31108" t="s">
        <v>232</v>
      </c>
      <c r="C31108" s="26">
        <v>0.30740000000000001</v>
      </c>
      <c r="D31108" s="26">
        <v>0.30609999999999998</v>
      </c>
      <c r="E31108" s="26">
        <v>0.28370000000000001</v>
      </c>
      <c r="F31108" s="26">
        <v>0.10630000000000001</v>
      </c>
      <c r="G31108" s="26">
        <v>7.3300000000000004E-2</v>
      </c>
      <c r="H31108" s="26">
        <v>5.7000000000000002E-2</v>
      </c>
      <c r="I31108" s="26">
        <v>4.9799999999999997E-2</v>
      </c>
      <c r="J31108" s="26">
        <v>3.2599999999999997E-2</v>
      </c>
      <c r="K31108" s="26">
        <v>2.8400000000000002E-2</v>
      </c>
      <c r="L31108" s="26">
        <v>2.81E-2</v>
      </c>
      <c r="M31108" s="26">
        <v>2.6599999999999999E-2</v>
      </c>
      <c r="N31108" s="26">
        <v>2.3900000000000001E-2</v>
      </c>
      <c r="O31108" s="26">
        <v>9.4999999999999998E-3</v>
      </c>
      <c r="P31108" s="26">
        <v>4.8999999999999998E-3</v>
      </c>
      <c r="Q31108" s="26">
        <v>2.2000000000000001E-3</v>
      </c>
      <c r="R31108" s="26">
        <v>8.0000000000000004E-4</v>
      </c>
      <c r="S31108">
        <v>454</v>
      </c>
    </row>
    <row r="31110" spans="1:19" x14ac:dyDescent="0.35">
      <c r="A31110" s="1" t="s">
        <v>2761</v>
      </c>
    </row>
    <row r="31111" spans="1:19" x14ac:dyDescent="0.35">
      <c r="A31111" t="s">
        <v>219</v>
      </c>
      <c r="B31111" t="s">
        <v>305</v>
      </c>
      <c r="C31111" t="s">
        <v>1247</v>
      </c>
      <c r="D31111" t="s">
        <v>1248</v>
      </c>
      <c r="E31111" t="s">
        <v>1249</v>
      </c>
      <c r="F31111" t="s">
        <v>1250</v>
      </c>
      <c r="G31111" t="s">
        <v>1251</v>
      </c>
      <c r="H31111" t="s">
        <v>1252</v>
      </c>
      <c r="I31111" t="s">
        <v>1253</v>
      </c>
      <c r="J31111" t="s">
        <v>326</v>
      </c>
      <c r="K31111" t="s">
        <v>1254</v>
      </c>
      <c r="L31111" t="s">
        <v>1255</v>
      </c>
      <c r="M31111" t="s">
        <v>1256</v>
      </c>
      <c r="N31111" t="s">
        <v>1257</v>
      </c>
      <c r="O31111" t="s">
        <v>1258</v>
      </c>
      <c r="P31111" t="s">
        <v>226</v>
      </c>
    </row>
    <row r="31112" spans="1:19" x14ac:dyDescent="0.35">
      <c r="A31112" s="27" t="s">
        <v>227</v>
      </c>
      <c r="B31112" s="27" t="s">
        <v>2730</v>
      </c>
      <c r="C31112" s="29"/>
      <c r="D31112" s="28">
        <v>1</v>
      </c>
      <c r="E31112" s="29"/>
      <c r="F31112" s="29"/>
      <c r="G31112" s="28">
        <v>1</v>
      </c>
      <c r="H31112" s="28">
        <v>1</v>
      </c>
      <c r="I31112" s="29"/>
      <c r="J31112" s="29"/>
      <c r="K31112" s="29"/>
      <c r="L31112" s="29"/>
      <c r="M31112" s="29"/>
      <c r="N31112" s="29"/>
      <c r="O31112" s="29"/>
      <c r="P31112" s="29" t="s">
        <v>331</v>
      </c>
    </row>
    <row r="31113" spans="1:19" x14ac:dyDescent="0.35">
      <c r="A31113" s="27" t="s">
        <v>227</v>
      </c>
      <c r="B31113" s="27" t="s">
        <v>2731</v>
      </c>
      <c r="C31113" s="28">
        <v>1</v>
      </c>
      <c r="D31113" s="29"/>
      <c r="E31113" s="29"/>
      <c r="F31113" s="29"/>
      <c r="G31113" s="29"/>
      <c r="H31113" s="29"/>
      <c r="I31113" s="29"/>
      <c r="J31113" s="29"/>
      <c r="K31113" s="29"/>
      <c r="L31113" s="29"/>
      <c r="M31113" s="29"/>
      <c r="N31113" s="29"/>
      <c r="O31113" s="29"/>
      <c r="P31113" s="29" t="s">
        <v>331</v>
      </c>
    </row>
    <row r="31114" spans="1:19" x14ac:dyDescent="0.35">
      <c r="A31114" s="27" t="s">
        <v>227</v>
      </c>
      <c r="B31114" s="27" t="s">
        <v>2732</v>
      </c>
      <c r="C31114" s="28">
        <v>1</v>
      </c>
      <c r="D31114" s="29"/>
      <c r="E31114" s="29"/>
      <c r="F31114" s="29"/>
      <c r="G31114" s="29"/>
      <c r="H31114" s="29"/>
      <c r="I31114" s="29"/>
      <c r="J31114" s="29"/>
      <c r="K31114" s="29"/>
      <c r="L31114" s="29"/>
      <c r="M31114" s="29"/>
      <c r="N31114" s="29"/>
      <c r="O31114" s="29"/>
      <c r="P31114" s="29" t="s">
        <v>337</v>
      </c>
    </row>
    <row r="31115" spans="1:19" x14ac:dyDescent="0.35">
      <c r="A31115" s="27" t="s">
        <v>228</v>
      </c>
      <c r="B31115" s="27" t="s">
        <v>2730</v>
      </c>
      <c r="C31115" s="28">
        <v>0.59140000000000004</v>
      </c>
      <c r="D31115" s="28">
        <v>6.6400000000000001E-2</v>
      </c>
      <c r="E31115" s="28">
        <v>0.2757</v>
      </c>
      <c r="F31115" s="28">
        <v>8.7999999999999995E-2</v>
      </c>
      <c r="G31115" s="28">
        <v>6.6400000000000001E-2</v>
      </c>
      <c r="H31115" s="28">
        <v>8.7999999999999995E-2</v>
      </c>
      <c r="I31115" s="28">
        <v>6.6400000000000001E-2</v>
      </c>
      <c r="J31115" s="29"/>
      <c r="K31115" s="28">
        <v>6.6400000000000001E-2</v>
      </c>
      <c r="L31115" s="28">
        <v>8.7999999999999995E-2</v>
      </c>
      <c r="M31115" s="28">
        <v>6.6400000000000001E-2</v>
      </c>
      <c r="N31115" s="29"/>
      <c r="O31115" s="29"/>
      <c r="P31115" s="29" t="s">
        <v>335</v>
      </c>
    </row>
    <row r="31116" spans="1:19" x14ac:dyDescent="0.35">
      <c r="A31116" s="27" t="s">
        <v>228</v>
      </c>
      <c r="B31116" s="27" t="s">
        <v>2731</v>
      </c>
      <c r="C31116" s="28">
        <v>0.36830000000000002</v>
      </c>
      <c r="D31116" s="28">
        <v>0.63170000000000004</v>
      </c>
      <c r="E31116" s="29"/>
      <c r="F31116" s="29"/>
      <c r="G31116" s="29"/>
      <c r="H31116" s="29"/>
      <c r="I31116" s="29"/>
      <c r="J31116" s="29"/>
      <c r="K31116" s="29"/>
      <c r="L31116" s="29"/>
      <c r="M31116" s="29"/>
      <c r="N31116" s="29"/>
      <c r="O31116" s="29"/>
      <c r="P31116" s="29" t="s">
        <v>315</v>
      </c>
    </row>
    <row r="31117" spans="1:19" x14ac:dyDescent="0.35">
      <c r="A31117" s="27" t="s">
        <v>228</v>
      </c>
      <c r="B31117" s="27" t="s">
        <v>2732</v>
      </c>
      <c r="C31117" s="28">
        <v>0.4869</v>
      </c>
      <c r="D31117" s="28">
        <v>0.16189999999999999</v>
      </c>
      <c r="E31117" s="28">
        <v>0.18479999999999999</v>
      </c>
      <c r="F31117" s="28">
        <v>7.7299999999999994E-2</v>
      </c>
      <c r="G31117" s="28">
        <v>0.1898</v>
      </c>
      <c r="H31117" s="28">
        <v>0.14299999999999999</v>
      </c>
      <c r="I31117" s="28">
        <v>8.2799999999999999E-2</v>
      </c>
      <c r="J31117" s="28">
        <v>0.1187</v>
      </c>
      <c r="K31117" s="28">
        <v>7.7299999999999994E-2</v>
      </c>
      <c r="L31117" s="28">
        <v>6.5600000000000006E-2</v>
      </c>
      <c r="M31117" s="28">
        <v>8.2799999999999999E-2</v>
      </c>
      <c r="N31117" s="28">
        <v>0.1187</v>
      </c>
      <c r="O31117" s="29"/>
      <c r="P31117" s="29" t="s">
        <v>347</v>
      </c>
    </row>
    <row r="31118" spans="1:19" x14ac:dyDescent="0.35">
      <c r="A31118" s="27" t="s">
        <v>229</v>
      </c>
      <c r="B31118" s="27" t="s">
        <v>2730</v>
      </c>
      <c r="C31118" s="28">
        <v>0.88260000000000005</v>
      </c>
      <c r="D31118" s="28">
        <v>5.8700000000000002E-2</v>
      </c>
      <c r="E31118" s="29"/>
      <c r="F31118" s="28">
        <v>5.8700000000000002E-2</v>
      </c>
      <c r="G31118" s="29"/>
      <c r="H31118" s="29"/>
      <c r="I31118" s="29"/>
      <c r="J31118" s="29"/>
      <c r="K31118" s="29"/>
      <c r="L31118" s="29"/>
      <c r="M31118" s="29"/>
      <c r="N31118" s="29"/>
      <c r="O31118" s="29"/>
      <c r="P31118" s="29" t="s">
        <v>339</v>
      </c>
    </row>
    <row r="31119" spans="1:19" x14ac:dyDescent="0.35">
      <c r="A31119" s="27" t="s">
        <v>229</v>
      </c>
      <c r="B31119" s="27" t="s">
        <v>2731</v>
      </c>
      <c r="C31119" s="28">
        <v>0.52569999999999995</v>
      </c>
      <c r="D31119" s="29"/>
      <c r="E31119" s="29"/>
      <c r="F31119" s="28">
        <v>0.1331</v>
      </c>
      <c r="G31119" s="28">
        <v>0.1331</v>
      </c>
      <c r="H31119" s="29"/>
      <c r="I31119" s="29"/>
      <c r="J31119" s="29"/>
      <c r="K31119" s="28">
        <v>7.4999999999999997E-2</v>
      </c>
      <c r="L31119" s="29"/>
      <c r="M31119" s="28">
        <v>0.1331</v>
      </c>
      <c r="N31119" s="29"/>
      <c r="O31119" s="29"/>
      <c r="P31119" s="29" t="s">
        <v>339</v>
      </c>
    </row>
    <row r="31120" spans="1:19" x14ac:dyDescent="0.35">
      <c r="A31120" t="s">
        <v>229</v>
      </c>
      <c r="B31120" t="s">
        <v>2732</v>
      </c>
      <c r="C31120" s="26">
        <v>0.63280000000000003</v>
      </c>
      <c r="D31120" s="26">
        <v>2.3400000000000001E-2</v>
      </c>
      <c r="E31120" s="26">
        <v>0.28770000000000001</v>
      </c>
      <c r="F31120" s="26">
        <v>0.15229999999999999</v>
      </c>
      <c r="G31120" s="26">
        <v>0.14480000000000001</v>
      </c>
      <c r="H31120" s="26">
        <v>0.1288</v>
      </c>
      <c r="J31120" s="26">
        <v>3.8E-3</v>
      </c>
      <c r="K31120" s="26">
        <v>7.4999999999999997E-3</v>
      </c>
      <c r="L31120" s="26">
        <v>2.7199999999999998E-2</v>
      </c>
      <c r="N31120" s="26">
        <v>1.2999999999999999E-2</v>
      </c>
      <c r="O31120" s="26">
        <v>1.2999999999999999E-2</v>
      </c>
      <c r="P31120">
        <v>31</v>
      </c>
    </row>
    <row r="31121" spans="1:16" x14ac:dyDescent="0.35">
      <c r="A31121" s="27" t="s">
        <v>230</v>
      </c>
      <c r="B31121" s="27" t="s">
        <v>2730</v>
      </c>
      <c r="C31121" s="29"/>
      <c r="D31121" s="28">
        <v>0.14149999999999999</v>
      </c>
      <c r="E31121" s="28">
        <v>0.85850000000000004</v>
      </c>
      <c r="F31121" s="28">
        <v>0.14149999999999999</v>
      </c>
      <c r="G31121" s="29"/>
      <c r="H31121" s="29"/>
      <c r="I31121" s="29"/>
      <c r="J31121" s="29"/>
      <c r="K31121" s="29"/>
      <c r="L31121" s="29"/>
      <c r="M31121" s="29"/>
      <c r="N31121" s="29"/>
      <c r="O31121" s="29"/>
      <c r="P31121" s="29" t="s">
        <v>314</v>
      </c>
    </row>
    <row r="31122" spans="1:16" x14ac:dyDescent="0.35">
      <c r="A31122" s="27" t="s">
        <v>230</v>
      </c>
      <c r="B31122" s="27" t="s">
        <v>2731</v>
      </c>
      <c r="C31122" s="28">
        <v>0.38440000000000002</v>
      </c>
      <c r="D31122" s="28">
        <v>0.11559999999999999</v>
      </c>
      <c r="E31122" s="29"/>
      <c r="F31122" s="29"/>
      <c r="G31122" s="28">
        <v>0.38440000000000002</v>
      </c>
      <c r="H31122" s="29"/>
      <c r="I31122" s="29"/>
      <c r="J31122" s="28">
        <v>0.5</v>
      </c>
      <c r="K31122" s="28">
        <v>0.11559999999999999</v>
      </c>
      <c r="L31122" s="29"/>
      <c r="M31122" s="28">
        <v>0.11559999999999999</v>
      </c>
      <c r="N31122" s="29"/>
      <c r="O31122" s="29"/>
      <c r="P31122" s="29" t="s">
        <v>337</v>
      </c>
    </row>
    <row r="31123" spans="1:16" x14ac:dyDescent="0.35">
      <c r="A31123" s="27" t="s">
        <v>230</v>
      </c>
      <c r="B31123" s="27" t="s">
        <v>2732</v>
      </c>
      <c r="C31123" s="28">
        <v>0.36020000000000002</v>
      </c>
      <c r="D31123" s="28">
        <v>0.32390000000000002</v>
      </c>
      <c r="E31123" s="28">
        <v>0.16189999999999999</v>
      </c>
      <c r="F31123" s="28">
        <v>0.15409999999999999</v>
      </c>
      <c r="G31123" s="28">
        <v>0.15409999999999999</v>
      </c>
      <c r="H31123" s="28">
        <v>0.18729999999999999</v>
      </c>
      <c r="I31123" s="28">
        <v>5.0799999999999998E-2</v>
      </c>
      <c r="J31123" s="29"/>
      <c r="K31123" s="28">
        <v>0.18729999999999999</v>
      </c>
      <c r="L31123" s="28">
        <v>0.15409999999999999</v>
      </c>
      <c r="M31123" s="28">
        <v>0.15409999999999999</v>
      </c>
      <c r="N31123" s="29"/>
      <c r="O31123" s="29"/>
      <c r="P31123" s="29" t="s">
        <v>348</v>
      </c>
    </row>
    <row r="31124" spans="1:16" x14ac:dyDescent="0.35">
      <c r="A31124" s="27" t="s">
        <v>231</v>
      </c>
      <c r="B31124" s="27" t="s">
        <v>2730</v>
      </c>
      <c r="C31124" s="29"/>
      <c r="D31124" s="29"/>
      <c r="E31124" s="29"/>
      <c r="F31124" s="29"/>
      <c r="G31124" s="29"/>
      <c r="H31124" s="29"/>
      <c r="I31124" s="29"/>
      <c r="J31124" s="28">
        <v>1</v>
      </c>
      <c r="K31124" s="29"/>
      <c r="L31124" s="29"/>
      <c r="M31124" s="29"/>
      <c r="N31124" s="29"/>
      <c r="O31124" s="29"/>
      <c r="P31124" s="29" t="s">
        <v>331</v>
      </c>
    </row>
    <row r="31125" spans="1:16" x14ac:dyDescent="0.35">
      <c r="A31125" s="27" t="s">
        <v>231</v>
      </c>
      <c r="B31125" s="27" t="s">
        <v>2732</v>
      </c>
      <c r="C31125" s="28">
        <v>0.6</v>
      </c>
      <c r="D31125" s="28">
        <v>0.4</v>
      </c>
      <c r="E31125" s="28">
        <v>0.2</v>
      </c>
      <c r="F31125" s="28">
        <v>0.2</v>
      </c>
      <c r="G31125" s="29"/>
      <c r="H31125" s="29"/>
      <c r="I31125" s="28">
        <v>0.2</v>
      </c>
      <c r="J31125" s="29"/>
      <c r="K31125" s="29"/>
      <c r="L31125" s="29"/>
      <c r="M31125" s="29"/>
      <c r="N31125" s="29"/>
      <c r="O31125" s="29"/>
      <c r="P31125" s="29" t="s">
        <v>332</v>
      </c>
    </row>
    <row r="31126" spans="1:16" x14ac:dyDescent="0.35">
      <c r="A31126" t="s">
        <v>232</v>
      </c>
      <c r="B31126" t="s">
        <v>232</v>
      </c>
      <c r="C31126" s="26">
        <v>0.57289999999999996</v>
      </c>
      <c r="D31126" s="26">
        <v>0.19919999999999999</v>
      </c>
      <c r="E31126" s="26">
        <v>0.1757</v>
      </c>
      <c r="F31126" s="26">
        <v>0.11840000000000001</v>
      </c>
      <c r="G31126" s="26">
        <v>9.8500000000000004E-2</v>
      </c>
      <c r="H31126" s="26">
        <v>9.1999999999999998E-2</v>
      </c>
      <c r="I31126" s="26">
        <v>6.6600000000000006E-2</v>
      </c>
      <c r="J31126" s="26">
        <v>6.5299999999999997E-2</v>
      </c>
      <c r="K31126" s="26">
        <v>3.0800000000000001E-2</v>
      </c>
      <c r="L31126" s="26">
        <v>3.0200000000000001E-2</v>
      </c>
      <c r="M31126" s="26">
        <v>2.6599999999999999E-2</v>
      </c>
      <c r="N31126" s="26">
        <v>1.03E-2</v>
      </c>
      <c r="O31126" s="26">
        <v>3.0000000000000001E-3</v>
      </c>
      <c r="P31126">
        <v>110</v>
      </c>
    </row>
    <row r="31128" spans="1:16" x14ac:dyDescent="0.35">
      <c r="A31128" s="1" t="s">
        <v>2762</v>
      </c>
    </row>
    <row r="31129" spans="1:16" x14ac:dyDescent="0.35">
      <c r="A31129" t="s">
        <v>219</v>
      </c>
      <c r="B31129" t="s">
        <v>305</v>
      </c>
      <c r="C31129" t="s">
        <v>1270</v>
      </c>
      <c r="D31129" t="s">
        <v>1271</v>
      </c>
      <c r="E31129" t="s">
        <v>1272</v>
      </c>
      <c r="F31129" t="s">
        <v>1273</v>
      </c>
      <c r="G31129" t="s">
        <v>1274</v>
      </c>
      <c r="H31129" t="s">
        <v>1275</v>
      </c>
      <c r="I31129" t="s">
        <v>1276</v>
      </c>
      <c r="J31129" t="s">
        <v>1277</v>
      </c>
      <c r="K31129" t="s">
        <v>1278</v>
      </c>
      <c r="L31129" t="s">
        <v>1279</v>
      </c>
      <c r="M31129" t="s">
        <v>1280</v>
      </c>
      <c r="N31129" t="s">
        <v>964</v>
      </c>
    </row>
    <row r="31130" spans="1:16" x14ac:dyDescent="0.35">
      <c r="A31130" t="s">
        <v>227</v>
      </c>
      <c r="B31130" t="s">
        <v>2730</v>
      </c>
      <c r="C31130" t="s">
        <v>1281</v>
      </c>
      <c r="D31130" s="26">
        <v>0.80430000000000001</v>
      </c>
      <c r="E31130" s="26">
        <v>0.30430000000000001</v>
      </c>
      <c r="F31130" s="26">
        <v>0.8478</v>
      </c>
      <c r="G31130" s="26">
        <v>0.5</v>
      </c>
      <c r="H31130" s="26">
        <v>0.6522</v>
      </c>
      <c r="I31130" s="26">
        <v>0.6522</v>
      </c>
      <c r="J31130" s="26">
        <v>0.73909999999999998</v>
      </c>
      <c r="K31130" s="26">
        <v>0.69569999999999999</v>
      </c>
      <c r="L31130" s="26">
        <v>0.67390000000000005</v>
      </c>
      <c r="M31130" s="26">
        <v>0.8478</v>
      </c>
      <c r="N31130">
        <v>46</v>
      </c>
    </row>
    <row r="31131" spans="1:16" x14ac:dyDescent="0.35">
      <c r="A31131" t="s">
        <v>227</v>
      </c>
      <c r="B31131" t="s">
        <v>2730</v>
      </c>
      <c r="C31131" t="s">
        <v>1283</v>
      </c>
      <c r="D31131" s="26">
        <v>0.1739</v>
      </c>
      <c r="E31131" s="26">
        <v>0.23910000000000001</v>
      </c>
      <c r="F31131" s="26">
        <v>0.1087</v>
      </c>
      <c r="G31131" s="26">
        <v>0.3478</v>
      </c>
      <c r="H31131" s="26">
        <v>0.28260000000000002</v>
      </c>
      <c r="I31131" s="26">
        <v>0.1087</v>
      </c>
      <c r="J31131" s="26">
        <v>0.26090000000000002</v>
      </c>
      <c r="K31131" s="26">
        <v>0.28260000000000002</v>
      </c>
      <c r="L31131" s="26">
        <v>0.3261</v>
      </c>
      <c r="M31131" s="26">
        <v>0.1522</v>
      </c>
      <c r="N31131">
        <v>46</v>
      </c>
    </row>
    <row r="31132" spans="1:16" x14ac:dyDescent="0.35">
      <c r="A31132" t="s">
        <v>227</v>
      </c>
      <c r="B31132" t="s">
        <v>2730</v>
      </c>
      <c r="C31132" t="s">
        <v>303</v>
      </c>
      <c r="D31132" s="26">
        <v>2.1700000000000001E-2</v>
      </c>
      <c r="E31132" s="26">
        <v>0.39129999999999998</v>
      </c>
      <c r="F31132" s="26">
        <v>2.1700000000000001E-2</v>
      </c>
      <c r="G31132" s="26">
        <v>0.1087</v>
      </c>
      <c r="H31132" s="26">
        <v>2.1700000000000001E-2</v>
      </c>
      <c r="I31132" s="26">
        <v>0.23910000000000001</v>
      </c>
      <c r="N31132">
        <v>46</v>
      </c>
    </row>
    <row r="31133" spans="1:16" x14ac:dyDescent="0.35">
      <c r="A31133" s="27" t="s">
        <v>227</v>
      </c>
      <c r="B31133" s="27" t="s">
        <v>2731</v>
      </c>
      <c r="C31133" s="27" t="s">
        <v>1281</v>
      </c>
      <c r="D31133" s="28">
        <v>0.77780000000000005</v>
      </c>
      <c r="E31133" s="28">
        <v>0.72219999999999995</v>
      </c>
      <c r="F31133" s="28">
        <v>0.83330000000000004</v>
      </c>
      <c r="G31133" s="28">
        <v>0.61109999999999998</v>
      </c>
      <c r="H31133" s="28">
        <v>0.83330000000000004</v>
      </c>
      <c r="I31133" s="28">
        <v>0.72219999999999995</v>
      </c>
      <c r="J31133" s="28">
        <v>0.55559999999999998</v>
      </c>
      <c r="K31133" s="28">
        <v>0.77780000000000005</v>
      </c>
      <c r="L31133" s="28">
        <v>0.83330000000000004</v>
      </c>
      <c r="M31133" s="28">
        <v>0.83330000000000004</v>
      </c>
      <c r="N31133" s="29">
        <v>18</v>
      </c>
    </row>
    <row r="31134" spans="1:16" x14ac:dyDescent="0.35">
      <c r="A31134" s="27" t="s">
        <v>227</v>
      </c>
      <c r="B31134" s="27" t="s">
        <v>2731</v>
      </c>
      <c r="C31134" s="27" t="s">
        <v>1282</v>
      </c>
      <c r="D31134" s="28">
        <v>5.5599999999999997E-2</v>
      </c>
      <c r="E31134" s="28">
        <v>5.5599999999999997E-2</v>
      </c>
      <c r="F31134" s="28">
        <v>5.5599999999999997E-2</v>
      </c>
      <c r="G31134" s="28">
        <v>5.5599999999999997E-2</v>
      </c>
      <c r="H31134" s="28">
        <v>5.5599999999999997E-2</v>
      </c>
      <c r="I31134" s="29"/>
      <c r="J31134" s="28">
        <v>5.5599999999999997E-2</v>
      </c>
      <c r="K31134" s="28">
        <v>5.5599999999999997E-2</v>
      </c>
      <c r="L31134" s="29"/>
      <c r="M31134" s="29"/>
      <c r="N31134" s="29">
        <v>18</v>
      </c>
    </row>
    <row r="31135" spans="1:16" x14ac:dyDescent="0.35">
      <c r="A31135" s="27" t="s">
        <v>227</v>
      </c>
      <c r="B31135" s="27" t="s">
        <v>2731</v>
      </c>
      <c r="C31135" s="27" t="s">
        <v>1283</v>
      </c>
      <c r="D31135" s="28">
        <v>0.16669999999999999</v>
      </c>
      <c r="E31135" s="28">
        <v>0.1111</v>
      </c>
      <c r="F31135" s="28">
        <v>0.1111</v>
      </c>
      <c r="G31135" s="28">
        <v>0.33329999999999999</v>
      </c>
      <c r="H31135" s="28">
        <v>0.1111</v>
      </c>
      <c r="I31135" s="28">
        <v>0.16669999999999999</v>
      </c>
      <c r="J31135" s="28">
        <v>0.38890000000000002</v>
      </c>
      <c r="K31135" s="28">
        <v>0.16669999999999999</v>
      </c>
      <c r="L31135" s="28">
        <v>0.16669999999999999</v>
      </c>
      <c r="M31135" s="28">
        <v>0.16669999999999999</v>
      </c>
      <c r="N31135" s="29">
        <v>18</v>
      </c>
    </row>
    <row r="31136" spans="1:16" x14ac:dyDescent="0.35">
      <c r="A31136" t="s">
        <v>227</v>
      </c>
      <c r="B31136" t="s">
        <v>2732</v>
      </c>
      <c r="C31136" t="s">
        <v>1281</v>
      </c>
      <c r="D31136" s="26">
        <v>0.81179999999999997</v>
      </c>
      <c r="E31136" s="26">
        <v>0.35289999999999999</v>
      </c>
      <c r="F31136" s="26">
        <v>0.87060000000000004</v>
      </c>
      <c r="G31136" s="26">
        <v>0.67059999999999997</v>
      </c>
      <c r="H31136" s="26">
        <v>0.8</v>
      </c>
      <c r="I31136" s="26">
        <v>0.65880000000000005</v>
      </c>
      <c r="J31136" s="26">
        <v>0.89410000000000001</v>
      </c>
      <c r="K31136" s="26">
        <v>0.76470000000000005</v>
      </c>
      <c r="L31136" s="26">
        <v>0.88239999999999996</v>
      </c>
      <c r="M31136" s="26">
        <v>0.90590000000000004</v>
      </c>
      <c r="N31136">
        <v>85</v>
      </c>
    </row>
    <row r="31137" spans="1:14" x14ac:dyDescent="0.35">
      <c r="A31137" t="s">
        <v>227</v>
      </c>
      <c r="B31137" t="s">
        <v>2732</v>
      </c>
      <c r="C31137" t="s">
        <v>1282</v>
      </c>
      <c r="D31137" s="26">
        <v>2.35E-2</v>
      </c>
      <c r="E31137" s="26">
        <v>9.4100000000000003E-2</v>
      </c>
      <c r="F31137" s="26">
        <v>1.18E-2</v>
      </c>
      <c r="G31137" s="26">
        <v>5.8799999999999998E-2</v>
      </c>
      <c r="H31137" s="26">
        <v>2.35E-2</v>
      </c>
      <c r="J31137" s="26">
        <v>1.18E-2</v>
      </c>
      <c r="K31137" s="26">
        <v>1.18E-2</v>
      </c>
      <c r="N31137">
        <v>85</v>
      </c>
    </row>
    <row r="31138" spans="1:14" x14ac:dyDescent="0.35">
      <c r="A31138" t="s">
        <v>227</v>
      </c>
      <c r="B31138" t="s">
        <v>2732</v>
      </c>
      <c r="C31138" t="s">
        <v>1283</v>
      </c>
      <c r="D31138" s="26">
        <v>0.14119999999999999</v>
      </c>
      <c r="E31138" s="26">
        <v>0.14119999999999999</v>
      </c>
      <c r="F31138" s="26">
        <v>3.5299999999999998E-2</v>
      </c>
      <c r="G31138" s="26">
        <v>0.16470000000000001</v>
      </c>
      <c r="H31138" s="26">
        <v>0.15290000000000001</v>
      </c>
      <c r="I31138" s="26">
        <v>3.5299999999999998E-2</v>
      </c>
      <c r="J31138" s="26">
        <v>8.2400000000000001E-2</v>
      </c>
      <c r="K31138" s="26">
        <v>0.21179999999999999</v>
      </c>
      <c r="L31138" s="26">
        <v>0.1176</v>
      </c>
      <c r="M31138" s="26">
        <v>9.4100000000000003E-2</v>
      </c>
      <c r="N31138">
        <v>85</v>
      </c>
    </row>
    <row r="31139" spans="1:14" x14ac:dyDescent="0.35">
      <c r="A31139" t="s">
        <v>227</v>
      </c>
      <c r="B31139" t="s">
        <v>2732</v>
      </c>
      <c r="C31139" t="s">
        <v>303</v>
      </c>
      <c r="D31139" s="26">
        <v>2.35E-2</v>
      </c>
      <c r="E31139" s="26">
        <v>0.4118</v>
      </c>
      <c r="F31139" s="26">
        <v>8.2400000000000001E-2</v>
      </c>
      <c r="G31139" s="26">
        <v>0.10589999999999999</v>
      </c>
      <c r="H31139" s="26">
        <v>2.35E-2</v>
      </c>
      <c r="I31139" s="26">
        <v>0.30590000000000001</v>
      </c>
      <c r="J31139" s="26">
        <v>1.18E-2</v>
      </c>
      <c r="K31139" s="26">
        <v>1.18E-2</v>
      </c>
      <c r="N31139">
        <v>85</v>
      </c>
    </row>
    <row r="31140" spans="1:14" x14ac:dyDescent="0.35">
      <c r="A31140" t="s">
        <v>228</v>
      </c>
      <c r="B31140" t="s">
        <v>2732</v>
      </c>
      <c r="C31140" t="s">
        <v>303</v>
      </c>
      <c r="D31140" s="26">
        <v>5.6099999999999997E-2</v>
      </c>
      <c r="E31140" s="26">
        <v>0.44769999999999999</v>
      </c>
      <c r="F31140" s="26">
        <v>0.1507</v>
      </c>
      <c r="G31140" s="26">
        <v>0.21060000000000001</v>
      </c>
      <c r="H31140" s="26">
        <v>2.23E-2</v>
      </c>
      <c r="I31140" s="26">
        <v>0.29299999999999998</v>
      </c>
      <c r="J31140" s="26">
        <v>3.3E-3</v>
      </c>
      <c r="K31140" s="26">
        <v>7.7000000000000002E-3</v>
      </c>
      <c r="L31140" s="26">
        <v>2.3E-2</v>
      </c>
      <c r="M31140" s="26">
        <v>8.0000000000000004E-4</v>
      </c>
      <c r="N31140">
        <v>524</v>
      </c>
    </row>
    <row r="31141" spans="1:14" x14ac:dyDescent="0.35">
      <c r="A31141" t="s">
        <v>228</v>
      </c>
      <c r="B31141" t="s">
        <v>2732</v>
      </c>
      <c r="C31141" t="s">
        <v>1283</v>
      </c>
      <c r="D31141" s="26">
        <v>0.10589999999999999</v>
      </c>
      <c r="E31141" s="26">
        <v>0.1401</v>
      </c>
      <c r="F31141" s="26">
        <v>3.9E-2</v>
      </c>
      <c r="G31141" s="26">
        <v>0.1527</v>
      </c>
      <c r="H31141" s="26">
        <v>0.15509999999999999</v>
      </c>
      <c r="I31141" s="26">
        <v>2.5100000000000001E-2</v>
      </c>
      <c r="J31141" s="26">
        <v>8.6699999999999999E-2</v>
      </c>
      <c r="K31141" s="26">
        <v>0.15340000000000001</v>
      </c>
      <c r="L31141" s="26">
        <v>0.1124</v>
      </c>
      <c r="M31141" s="26">
        <v>7.3400000000000007E-2</v>
      </c>
      <c r="N31141">
        <v>524</v>
      </c>
    </row>
    <row r="31142" spans="1:14" x14ac:dyDescent="0.35">
      <c r="A31142" t="s">
        <v>228</v>
      </c>
      <c r="B31142" t="s">
        <v>2732</v>
      </c>
      <c r="C31142" t="s">
        <v>1282</v>
      </c>
      <c r="D31142" s="26">
        <v>1.49E-2</v>
      </c>
      <c r="E31142" s="26">
        <v>4.65E-2</v>
      </c>
      <c r="F31142" s="26">
        <v>4.1000000000000003E-3</v>
      </c>
      <c r="G31142" s="26">
        <v>1.47E-2</v>
      </c>
      <c r="H31142" s="26">
        <v>2.0400000000000001E-2</v>
      </c>
      <c r="I31142" s="26">
        <v>1.5100000000000001E-2</v>
      </c>
      <c r="K31142" s="26">
        <v>5.3E-3</v>
      </c>
      <c r="L31142" s="26">
        <v>3.7000000000000002E-3</v>
      </c>
      <c r="N31142">
        <v>524</v>
      </c>
    </row>
    <row r="31143" spans="1:14" x14ac:dyDescent="0.35">
      <c r="A31143" t="s">
        <v>228</v>
      </c>
      <c r="B31143" t="s">
        <v>2732</v>
      </c>
      <c r="C31143" t="s">
        <v>1281</v>
      </c>
      <c r="D31143" s="26">
        <v>0.82310000000000005</v>
      </c>
      <c r="E31143" s="26">
        <v>0.36570000000000003</v>
      </c>
      <c r="F31143" s="26">
        <v>0.80610000000000004</v>
      </c>
      <c r="G31143" s="26">
        <v>0.62209999999999999</v>
      </c>
      <c r="H31143" s="26">
        <v>0.80220000000000002</v>
      </c>
      <c r="I31143" s="26">
        <v>0.66679999999999995</v>
      </c>
      <c r="J31143" s="26">
        <v>0.91</v>
      </c>
      <c r="K31143" s="26">
        <v>0.83350000000000002</v>
      </c>
      <c r="L31143" s="26">
        <v>0.86080000000000001</v>
      </c>
      <c r="M31143" s="26">
        <v>0.92579999999999996</v>
      </c>
      <c r="N31143">
        <v>524</v>
      </c>
    </row>
    <row r="31144" spans="1:14" x14ac:dyDescent="0.35">
      <c r="A31144" t="s">
        <v>228</v>
      </c>
      <c r="B31144" t="s">
        <v>2731</v>
      </c>
      <c r="C31144" t="s">
        <v>303</v>
      </c>
      <c r="D31144" s="26">
        <v>1.4500000000000001E-2</v>
      </c>
      <c r="E31144" s="26">
        <v>0.37509999999999999</v>
      </c>
      <c r="F31144" s="26">
        <v>0.245</v>
      </c>
      <c r="G31144" s="26">
        <v>0.25169999999999998</v>
      </c>
      <c r="H31144" s="26">
        <v>1.35E-2</v>
      </c>
      <c r="I31144" s="26">
        <v>0.19420000000000001</v>
      </c>
      <c r="J31144" s="26">
        <v>1.9800000000000002E-2</v>
      </c>
      <c r="K31144" s="26">
        <v>4.6600000000000003E-2</v>
      </c>
      <c r="L31144" s="26">
        <v>0.05</v>
      </c>
      <c r="N31144">
        <v>85</v>
      </c>
    </row>
    <row r="31145" spans="1:14" x14ac:dyDescent="0.35">
      <c r="A31145" t="s">
        <v>228</v>
      </c>
      <c r="B31145" t="s">
        <v>2731</v>
      </c>
      <c r="C31145" t="s">
        <v>1283</v>
      </c>
      <c r="D31145" s="26">
        <v>9.1399999999999995E-2</v>
      </c>
      <c r="E31145" s="26">
        <v>9.6699999999999994E-2</v>
      </c>
      <c r="F31145" s="26">
        <v>1.35E-2</v>
      </c>
      <c r="G31145" s="26">
        <v>0.1741</v>
      </c>
      <c r="H31145" s="26">
        <v>0.1734</v>
      </c>
      <c r="I31145" s="26">
        <v>4.48E-2</v>
      </c>
      <c r="J31145" s="26">
        <v>0.30819999999999997</v>
      </c>
      <c r="K31145" s="26">
        <v>0.1673</v>
      </c>
      <c r="L31145" s="26">
        <v>0.10879999999999999</v>
      </c>
      <c r="M31145" s="26">
        <v>3.8699999999999998E-2</v>
      </c>
      <c r="N31145">
        <v>85</v>
      </c>
    </row>
    <row r="31146" spans="1:14" x14ac:dyDescent="0.35">
      <c r="A31146" t="s">
        <v>228</v>
      </c>
      <c r="B31146" t="s">
        <v>2730</v>
      </c>
      <c r="C31146" t="s">
        <v>303</v>
      </c>
      <c r="D31146" s="26">
        <v>4.02E-2</v>
      </c>
      <c r="E31146" s="26">
        <v>0.33150000000000002</v>
      </c>
      <c r="F31146" s="26">
        <v>9.8299999999999998E-2</v>
      </c>
      <c r="G31146" s="26">
        <v>0.1172</v>
      </c>
      <c r="H31146" s="26">
        <v>3.9100000000000003E-2</v>
      </c>
      <c r="I31146" s="26">
        <v>0.42659999999999998</v>
      </c>
      <c r="J31146" s="26">
        <v>7.7999999999999996E-3</v>
      </c>
      <c r="L31146" s="26">
        <v>5.1999999999999998E-3</v>
      </c>
      <c r="M31146" s="26">
        <v>5.7000000000000002E-3</v>
      </c>
      <c r="N31146">
        <v>334</v>
      </c>
    </row>
    <row r="31147" spans="1:14" x14ac:dyDescent="0.35">
      <c r="A31147" t="s">
        <v>228</v>
      </c>
      <c r="B31147" t="s">
        <v>2731</v>
      </c>
      <c r="C31147" t="s">
        <v>1281</v>
      </c>
      <c r="D31147" s="26">
        <v>0.88639999999999997</v>
      </c>
      <c r="E31147" s="26">
        <v>0.47610000000000002</v>
      </c>
      <c r="F31147" s="26">
        <v>0.7298</v>
      </c>
      <c r="G31147" s="26">
        <v>0.50929999999999997</v>
      </c>
      <c r="H31147" s="26">
        <v>0.81310000000000004</v>
      </c>
      <c r="I31147" s="26">
        <v>0.76100000000000001</v>
      </c>
      <c r="J31147" s="26">
        <v>0.67190000000000005</v>
      </c>
      <c r="K31147" s="26">
        <v>0.78610000000000002</v>
      </c>
      <c r="L31147" s="26">
        <v>0.84109999999999996</v>
      </c>
      <c r="M31147" s="26">
        <v>0.96130000000000004</v>
      </c>
      <c r="N31147">
        <v>85</v>
      </c>
    </row>
    <row r="31148" spans="1:14" x14ac:dyDescent="0.35">
      <c r="A31148" t="s">
        <v>228</v>
      </c>
      <c r="B31148" t="s">
        <v>2730</v>
      </c>
      <c r="C31148" t="s">
        <v>1283</v>
      </c>
      <c r="D31148" s="26">
        <v>0.13880000000000001</v>
      </c>
      <c r="E31148" s="26">
        <v>0.14779999999999999</v>
      </c>
      <c r="F31148" s="26">
        <v>0.09</v>
      </c>
      <c r="G31148" s="26">
        <v>0.22869999999999999</v>
      </c>
      <c r="H31148" s="26">
        <v>0.26929999999999998</v>
      </c>
      <c r="I31148" s="26">
        <v>4.5199999999999997E-2</v>
      </c>
      <c r="J31148" s="26">
        <v>0.2424</v>
      </c>
      <c r="K31148" s="26">
        <v>0.22600000000000001</v>
      </c>
      <c r="L31148" s="26">
        <v>0.15479999999999999</v>
      </c>
      <c r="M31148" s="26">
        <v>0.12540000000000001</v>
      </c>
      <c r="N31148">
        <v>334</v>
      </c>
    </row>
    <row r="31149" spans="1:14" x14ac:dyDescent="0.35">
      <c r="A31149" t="s">
        <v>228</v>
      </c>
      <c r="B31149" t="s">
        <v>2730</v>
      </c>
      <c r="C31149" t="s">
        <v>1282</v>
      </c>
      <c r="D31149" s="26">
        <v>3.7100000000000001E-2</v>
      </c>
      <c r="E31149" s="26">
        <v>8.6499999999999994E-2</v>
      </c>
      <c r="F31149" s="26">
        <v>1.4E-2</v>
      </c>
      <c r="G31149" s="26">
        <v>2.1000000000000001E-2</v>
      </c>
      <c r="H31149" s="26">
        <v>2.93E-2</v>
      </c>
      <c r="I31149" s="26">
        <v>8.0000000000000004E-4</v>
      </c>
      <c r="J31149" s="26">
        <v>1.09E-2</v>
      </c>
      <c r="K31149" s="26">
        <v>8.0000000000000004E-4</v>
      </c>
      <c r="N31149">
        <v>334</v>
      </c>
    </row>
    <row r="31150" spans="1:14" x14ac:dyDescent="0.35">
      <c r="A31150" t="s">
        <v>228</v>
      </c>
      <c r="B31150" t="s">
        <v>2730</v>
      </c>
      <c r="C31150" t="s">
        <v>1281</v>
      </c>
      <c r="D31150" s="26">
        <v>0.78380000000000005</v>
      </c>
      <c r="E31150" s="26">
        <v>0.43409999999999999</v>
      </c>
      <c r="F31150" s="26">
        <v>0.79769999999999996</v>
      </c>
      <c r="G31150" s="26">
        <v>0.6331</v>
      </c>
      <c r="H31150" s="26">
        <v>0.6623</v>
      </c>
      <c r="I31150" s="26">
        <v>0.52739999999999998</v>
      </c>
      <c r="J31150" s="26">
        <v>0.73899999999999999</v>
      </c>
      <c r="K31150" s="26">
        <v>0.7732</v>
      </c>
      <c r="L31150" s="26">
        <v>0.84</v>
      </c>
      <c r="M31150" s="26">
        <v>0.86890000000000001</v>
      </c>
      <c r="N31150">
        <v>334</v>
      </c>
    </row>
    <row r="31151" spans="1:14" x14ac:dyDescent="0.35">
      <c r="A31151" t="s">
        <v>228</v>
      </c>
      <c r="B31151" t="s">
        <v>2731</v>
      </c>
      <c r="C31151" t="s">
        <v>1282</v>
      </c>
      <c r="D31151" s="26">
        <v>7.7000000000000002E-3</v>
      </c>
      <c r="E31151" s="26">
        <v>5.21E-2</v>
      </c>
      <c r="F31151" s="26">
        <v>1.17E-2</v>
      </c>
      <c r="G31151" s="26">
        <v>6.4899999999999999E-2</v>
      </c>
      <c r="N31151">
        <v>85</v>
      </c>
    </row>
    <row r="31152" spans="1:14" x14ac:dyDescent="0.35">
      <c r="A31152" t="s">
        <v>229</v>
      </c>
      <c r="B31152" t="s">
        <v>2732</v>
      </c>
      <c r="C31152" t="s">
        <v>1281</v>
      </c>
      <c r="D31152" s="26">
        <v>0.86990000000000001</v>
      </c>
      <c r="E31152" s="26">
        <v>0.41289999999999999</v>
      </c>
      <c r="F31152" s="26">
        <v>0.82399999999999995</v>
      </c>
      <c r="G31152" s="26">
        <v>0.60189999999999999</v>
      </c>
      <c r="H31152" s="26">
        <v>0.79969999999999997</v>
      </c>
      <c r="I31152" s="26">
        <v>0.66379999999999995</v>
      </c>
      <c r="J31152" s="26">
        <v>0.91090000000000004</v>
      </c>
      <c r="K31152" s="26">
        <v>0.8145</v>
      </c>
      <c r="L31152" s="26">
        <v>0.86799999999999999</v>
      </c>
      <c r="M31152" s="26">
        <v>0.93069999999999997</v>
      </c>
      <c r="N31152">
        <v>454</v>
      </c>
    </row>
    <row r="31153" spans="1:14" x14ac:dyDescent="0.35">
      <c r="A31153" t="s">
        <v>229</v>
      </c>
      <c r="B31153" t="s">
        <v>2732</v>
      </c>
      <c r="C31153" t="s">
        <v>303</v>
      </c>
      <c r="D31153" s="26">
        <v>3.3399999999999999E-2</v>
      </c>
      <c r="E31153" s="26">
        <v>0.42659999999999998</v>
      </c>
      <c r="F31153" s="26">
        <v>0.124</v>
      </c>
      <c r="G31153" s="26">
        <v>0.2104</v>
      </c>
      <c r="H31153" s="26">
        <v>2.1899999999999999E-2</v>
      </c>
      <c r="I31153" s="26">
        <v>0.3049</v>
      </c>
      <c r="J31153" s="26">
        <v>1.61E-2</v>
      </c>
      <c r="K31153" s="26">
        <v>1.1000000000000001E-3</v>
      </c>
      <c r="L31153" s="26">
        <v>3.4299999999999997E-2</v>
      </c>
      <c r="M31153" s="26">
        <v>5.4000000000000003E-3</v>
      </c>
      <c r="N31153">
        <v>454</v>
      </c>
    </row>
    <row r="31154" spans="1:14" x14ac:dyDescent="0.35">
      <c r="A31154" t="s">
        <v>229</v>
      </c>
      <c r="B31154" t="s">
        <v>2732</v>
      </c>
      <c r="C31154" t="s">
        <v>1283</v>
      </c>
      <c r="D31154" s="26">
        <v>7.7600000000000002E-2</v>
      </c>
      <c r="E31154" s="26">
        <v>0.1075</v>
      </c>
      <c r="F31154" s="26">
        <v>4.6800000000000001E-2</v>
      </c>
      <c r="G31154" s="26">
        <v>0.1709</v>
      </c>
      <c r="H31154" s="26">
        <v>0.15290000000000001</v>
      </c>
      <c r="I31154" s="26">
        <v>1.83E-2</v>
      </c>
      <c r="J31154" s="26">
        <v>6.8699999999999997E-2</v>
      </c>
      <c r="K31154" s="26">
        <v>0.17530000000000001</v>
      </c>
      <c r="L31154" s="26">
        <v>9.7699999999999995E-2</v>
      </c>
      <c r="M31154" s="26">
        <v>6.3899999999999998E-2</v>
      </c>
      <c r="N31154">
        <v>454</v>
      </c>
    </row>
    <row r="31155" spans="1:14" x14ac:dyDescent="0.35">
      <c r="A31155" t="s">
        <v>229</v>
      </c>
      <c r="B31155" t="s">
        <v>2732</v>
      </c>
      <c r="C31155" t="s">
        <v>1282</v>
      </c>
      <c r="D31155" s="26">
        <v>1.9099999999999999E-2</v>
      </c>
      <c r="E31155" s="26">
        <v>5.3100000000000001E-2</v>
      </c>
      <c r="F31155" s="26">
        <v>5.1999999999999998E-3</v>
      </c>
      <c r="G31155" s="26">
        <v>1.6799999999999999E-2</v>
      </c>
      <c r="H31155" s="26">
        <v>2.5399999999999999E-2</v>
      </c>
      <c r="I31155" s="26">
        <v>1.2999999999999999E-2</v>
      </c>
      <c r="J31155" s="26">
        <v>4.3E-3</v>
      </c>
      <c r="K31155" s="26">
        <v>8.9999999999999993E-3</v>
      </c>
      <c r="N31155">
        <v>454</v>
      </c>
    </row>
    <row r="31156" spans="1:14" x14ac:dyDescent="0.35">
      <c r="A31156" t="s">
        <v>229</v>
      </c>
      <c r="B31156" t="s">
        <v>2731</v>
      </c>
      <c r="C31156" t="s">
        <v>1283</v>
      </c>
      <c r="D31156" s="26">
        <v>1.5100000000000001E-2</v>
      </c>
      <c r="E31156" s="26">
        <v>1.4E-2</v>
      </c>
      <c r="F31156" s="26">
        <v>0.12620000000000001</v>
      </c>
      <c r="G31156" s="26">
        <v>0.1542</v>
      </c>
      <c r="H31156" s="26">
        <v>0.2084</v>
      </c>
      <c r="I31156" s="26">
        <v>7.4999999999999997E-3</v>
      </c>
      <c r="J31156" s="26">
        <v>0.26290000000000002</v>
      </c>
      <c r="K31156" s="26">
        <v>0.1744</v>
      </c>
      <c r="L31156" s="26">
        <v>0.1011</v>
      </c>
      <c r="M31156" s="26">
        <v>5.2999999999999999E-2</v>
      </c>
      <c r="N31156">
        <v>75</v>
      </c>
    </row>
    <row r="31157" spans="1:14" x14ac:dyDescent="0.35">
      <c r="A31157" t="s">
        <v>229</v>
      </c>
      <c r="B31157" t="s">
        <v>2731</v>
      </c>
      <c r="C31157" t="s">
        <v>303</v>
      </c>
      <c r="D31157" s="26">
        <v>0.13120000000000001</v>
      </c>
      <c r="E31157" s="26">
        <v>0.35039999999999999</v>
      </c>
      <c r="F31157" s="26">
        <v>8.09E-2</v>
      </c>
      <c r="G31157" s="26">
        <v>0.25290000000000001</v>
      </c>
      <c r="H31157" s="26">
        <v>4.2900000000000001E-2</v>
      </c>
      <c r="I31157" s="26">
        <v>0.32250000000000001</v>
      </c>
      <c r="J31157" s="26">
        <v>4.5400000000000003E-2</v>
      </c>
      <c r="L31157" s="26">
        <v>7.5899999999999995E-2</v>
      </c>
      <c r="M31157" s="26">
        <v>3.7900000000000003E-2</v>
      </c>
      <c r="N31157">
        <v>75</v>
      </c>
    </row>
    <row r="31158" spans="1:14" x14ac:dyDescent="0.35">
      <c r="A31158" t="s">
        <v>229</v>
      </c>
      <c r="B31158" t="s">
        <v>2731</v>
      </c>
      <c r="C31158" t="s">
        <v>1281</v>
      </c>
      <c r="D31158" s="26">
        <v>0.76029999999999998</v>
      </c>
      <c r="E31158" s="26">
        <v>0.55510000000000004</v>
      </c>
      <c r="F31158" s="26">
        <v>0.79290000000000005</v>
      </c>
      <c r="G31158" s="26">
        <v>0.57189999999999996</v>
      </c>
      <c r="H31158" s="26">
        <v>0.70069999999999999</v>
      </c>
      <c r="I31158" s="26">
        <v>0.67</v>
      </c>
      <c r="J31158" s="26">
        <v>0.69169999999999998</v>
      </c>
      <c r="K31158" s="26">
        <v>0.78769999999999996</v>
      </c>
      <c r="L31158" s="26">
        <v>0.82310000000000005</v>
      </c>
      <c r="M31158" s="26">
        <v>0.90900000000000003</v>
      </c>
      <c r="N31158">
        <v>75</v>
      </c>
    </row>
    <row r="31159" spans="1:14" x14ac:dyDescent="0.35">
      <c r="A31159" t="s">
        <v>229</v>
      </c>
      <c r="B31159" t="s">
        <v>2730</v>
      </c>
      <c r="C31159" t="s">
        <v>303</v>
      </c>
      <c r="D31159" s="26">
        <v>1.9199999999999998E-2</v>
      </c>
      <c r="E31159" s="26">
        <v>0.40679999999999999</v>
      </c>
      <c r="F31159" s="26">
        <v>0.18379999999999999</v>
      </c>
      <c r="G31159" s="26">
        <v>0.1409</v>
      </c>
      <c r="H31159" s="26">
        <v>2.2700000000000001E-2</v>
      </c>
      <c r="I31159" s="26">
        <v>0.38059999999999999</v>
      </c>
      <c r="J31159" s="26">
        <v>1.2800000000000001E-2</v>
      </c>
      <c r="K31159" s="26">
        <v>2.7000000000000001E-3</v>
      </c>
      <c r="L31159" s="26">
        <v>1.5E-3</v>
      </c>
      <c r="M31159" s="26">
        <v>1.24E-2</v>
      </c>
      <c r="N31159">
        <v>264</v>
      </c>
    </row>
    <row r="31160" spans="1:14" x14ac:dyDescent="0.35">
      <c r="A31160" t="s">
        <v>229</v>
      </c>
      <c r="B31160" t="s">
        <v>2730</v>
      </c>
      <c r="C31160" t="s">
        <v>1283</v>
      </c>
      <c r="D31160" s="26">
        <v>0.16500000000000001</v>
      </c>
      <c r="E31160" s="26">
        <v>0.19750000000000001</v>
      </c>
      <c r="F31160" s="26">
        <v>5.96E-2</v>
      </c>
      <c r="G31160" s="26">
        <v>0.20610000000000001</v>
      </c>
      <c r="H31160" s="26">
        <v>0.36020000000000002</v>
      </c>
      <c r="I31160" s="26">
        <v>3.7100000000000001E-2</v>
      </c>
      <c r="J31160" s="26">
        <v>0.2306</v>
      </c>
      <c r="K31160" s="26">
        <v>0.22</v>
      </c>
      <c r="L31160" s="26">
        <v>0.2107</v>
      </c>
      <c r="M31160" s="26">
        <v>0.1321</v>
      </c>
      <c r="N31160">
        <v>264</v>
      </c>
    </row>
    <row r="31161" spans="1:14" x14ac:dyDescent="0.35">
      <c r="A31161" t="s">
        <v>229</v>
      </c>
      <c r="B31161" t="s">
        <v>2730</v>
      </c>
      <c r="C31161" t="s">
        <v>1282</v>
      </c>
      <c r="D31161" s="26">
        <v>2.8299999999999999E-2</v>
      </c>
      <c r="E31161" s="26">
        <v>7.9899999999999999E-2</v>
      </c>
      <c r="F31161" s="26">
        <v>1.5900000000000001E-2</v>
      </c>
      <c r="G31161" s="26">
        <v>1.32E-2</v>
      </c>
      <c r="H31161" s="26">
        <v>5.4999999999999997E-3</v>
      </c>
      <c r="I31161" s="26">
        <v>4.0000000000000002E-4</v>
      </c>
      <c r="J31161" s="26">
        <v>2.8E-3</v>
      </c>
      <c r="K31161" s="26">
        <v>1.7899999999999999E-2</v>
      </c>
      <c r="L31161" s="26">
        <v>6.9999999999999999E-4</v>
      </c>
      <c r="M31161" s="26">
        <v>3.8E-3</v>
      </c>
      <c r="N31161">
        <v>264</v>
      </c>
    </row>
    <row r="31162" spans="1:14" x14ac:dyDescent="0.35">
      <c r="A31162" t="s">
        <v>229</v>
      </c>
      <c r="B31162" t="s">
        <v>2730</v>
      </c>
      <c r="C31162" t="s">
        <v>1281</v>
      </c>
      <c r="D31162" s="26">
        <v>0.78749999999999998</v>
      </c>
      <c r="E31162" s="26">
        <v>0.31580000000000003</v>
      </c>
      <c r="F31162" s="26">
        <v>0.74070000000000003</v>
      </c>
      <c r="G31162" s="26">
        <v>0.63980000000000004</v>
      </c>
      <c r="H31162" s="26">
        <v>0.61160000000000003</v>
      </c>
      <c r="I31162" s="26">
        <v>0.58189999999999997</v>
      </c>
      <c r="J31162" s="26">
        <v>0.75380000000000003</v>
      </c>
      <c r="K31162" s="26">
        <v>0.75939999999999996</v>
      </c>
      <c r="L31162" s="26">
        <v>0.78720000000000001</v>
      </c>
      <c r="M31162" s="26">
        <v>0.85160000000000002</v>
      </c>
      <c r="N31162">
        <v>264</v>
      </c>
    </row>
    <row r="31163" spans="1:14" x14ac:dyDescent="0.35">
      <c r="A31163" t="s">
        <v>229</v>
      </c>
      <c r="B31163" t="s">
        <v>2731</v>
      </c>
      <c r="C31163" t="s">
        <v>1282</v>
      </c>
      <c r="D31163" s="26">
        <v>9.3399999999999997E-2</v>
      </c>
      <c r="E31163" s="26">
        <v>8.0500000000000002E-2</v>
      </c>
      <c r="G31163" s="26">
        <v>2.1100000000000001E-2</v>
      </c>
      <c r="H31163" s="26">
        <v>4.7899999999999998E-2</v>
      </c>
      <c r="K31163" s="26">
        <v>3.7900000000000003E-2</v>
      </c>
      <c r="N31163">
        <v>75</v>
      </c>
    </row>
    <row r="31164" spans="1:14" x14ac:dyDescent="0.35">
      <c r="A31164" t="s">
        <v>230</v>
      </c>
      <c r="B31164" t="s">
        <v>2732</v>
      </c>
      <c r="C31164" t="s">
        <v>303</v>
      </c>
      <c r="D31164" s="26">
        <v>5.6000000000000001E-2</v>
      </c>
      <c r="E31164" s="26">
        <v>0.41649999999999998</v>
      </c>
      <c r="F31164" s="26">
        <v>0.12609999999999999</v>
      </c>
      <c r="G31164" s="26">
        <v>0.27579999999999999</v>
      </c>
      <c r="H31164" s="26">
        <v>1.6400000000000001E-2</v>
      </c>
      <c r="I31164" s="26">
        <v>0.2863</v>
      </c>
      <c r="L31164" s="26">
        <v>1.3599999999999999E-2</v>
      </c>
      <c r="M31164" s="26">
        <v>1.1900000000000001E-2</v>
      </c>
      <c r="N31164">
        <v>288</v>
      </c>
    </row>
    <row r="31165" spans="1:14" x14ac:dyDescent="0.35">
      <c r="A31165" t="s">
        <v>230</v>
      </c>
      <c r="B31165" t="s">
        <v>2732</v>
      </c>
      <c r="C31165" t="s">
        <v>1282</v>
      </c>
      <c r="D31165" s="26">
        <v>3.7000000000000002E-3</v>
      </c>
      <c r="E31165" s="26">
        <v>9.4799999999999995E-2</v>
      </c>
      <c r="F31165" s="26">
        <v>5.8999999999999999E-3</v>
      </c>
      <c r="G31165" s="26">
        <v>7.1000000000000004E-3</v>
      </c>
      <c r="H31165" s="26">
        <v>4.2900000000000001E-2</v>
      </c>
      <c r="I31165" s="26">
        <v>1.03E-2</v>
      </c>
      <c r="J31165" s="26">
        <v>1.6000000000000001E-3</v>
      </c>
      <c r="K31165" s="26">
        <v>1.6000000000000001E-3</v>
      </c>
      <c r="L31165" s="26">
        <v>1.6000000000000001E-3</v>
      </c>
      <c r="M31165" s="26">
        <v>5.0000000000000001E-4</v>
      </c>
      <c r="N31165">
        <v>288</v>
      </c>
    </row>
    <row r="31166" spans="1:14" x14ac:dyDescent="0.35">
      <c r="A31166" t="s">
        <v>230</v>
      </c>
      <c r="B31166" t="s">
        <v>2732</v>
      </c>
      <c r="C31166" t="s">
        <v>1281</v>
      </c>
      <c r="D31166" s="26">
        <v>0.79430000000000001</v>
      </c>
      <c r="E31166" s="26">
        <v>0.33700000000000002</v>
      </c>
      <c r="F31166" s="26">
        <v>0.81320000000000003</v>
      </c>
      <c r="G31166" s="26">
        <v>0.57410000000000005</v>
      </c>
      <c r="H31166" s="26">
        <v>0.71740000000000004</v>
      </c>
      <c r="I31166" s="26">
        <v>0.67800000000000005</v>
      </c>
      <c r="J31166" s="26">
        <v>0.88680000000000003</v>
      </c>
      <c r="K31166" s="26">
        <v>0.79100000000000004</v>
      </c>
      <c r="L31166" s="26">
        <v>0.84050000000000002</v>
      </c>
      <c r="M31166" s="26">
        <v>0.91120000000000001</v>
      </c>
      <c r="N31166">
        <v>288</v>
      </c>
    </row>
    <row r="31167" spans="1:14" x14ac:dyDescent="0.35">
      <c r="A31167" t="s">
        <v>230</v>
      </c>
      <c r="B31167" t="s">
        <v>2731</v>
      </c>
      <c r="C31167" t="s">
        <v>303</v>
      </c>
      <c r="D31167" s="26">
        <v>1.2E-2</v>
      </c>
      <c r="E31167" s="26">
        <v>0.24099999999999999</v>
      </c>
      <c r="F31167" s="26">
        <v>8.48E-2</v>
      </c>
      <c r="G31167" s="26">
        <v>0.2228</v>
      </c>
      <c r="H31167" s="26">
        <v>1.2E-2</v>
      </c>
      <c r="I31167" s="26">
        <v>7.2900000000000006E-2</v>
      </c>
      <c r="N31167">
        <v>46</v>
      </c>
    </row>
    <row r="31168" spans="1:14" x14ac:dyDescent="0.35">
      <c r="A31168" t="s">
        <v>230</v>
      </c>
      <c r="B31168" t="s">
        <v>2731</v>
      </c>
      <c r="C31168" t="s">
        <v>1283</v>
      </c>
      <c r="D31168" s="26">
        <v>2.7900000000000001E-2</v>
      </c>
      <c r="E31168" s="26">
        <v>0.18429999999999999</v>
      </c>
      <c r="F31168" s="26">
        <v>2.8199999999999999E-2</v>
      </c>
      <c r="G31168" s="26">
        <v>0.2019</v>
      </c>
      <c r="H31168" s="26">
        <v>0.13200000000000001</v>
      </c>
      <c r="I31168" s="26">
        <v>0.1525</v>
      </c>
      <c r="J31168" s="26">
        <v>0.27739999999999998</v>
      </c>
      <c r="K31168" s="26">
        <v>0.26150000000000001</v>
      </c>
      <c r="L31168" s="26">
        <v>0.1163</v>
      </c>
      <c r="M31168" s="26">
        <v>0.17299999999999999</v>
      </c>
      <c r="N31168">
        <v>46</v>
      </c>
    </row>
    <row r="31169" spans="1:14" x14ac:dyDescent="0.35">
      <c r="A31169" t="s">
        <v>230</v>
      </c>
      <c r="B31169" t="s">
        <v>2732</v>
      </c>
      <c r="C31169" t="s">
        <v>1283</v>
      </c>
      <c r="D31169" s="26">
        <v>0.14599999999999999</v>
      </c>
      <c r="E31169" s="26">
        <v>0.1517</v>
      </c>
      <c r="F31169" s="26">
        <v>5.4800000000000001E-2</v>
      </c>
      <c r="G31169" s="26">
        <v>0.14299999999999999</v>
      </c>
      <c r="H31169" s="26">
        <v>0.22339999999999999</v>
      </c>
      <c r="I31169" s="26">
        <v>2.5399999999999999E-2</v>
      </c>
      <c r="J31169" s="26">
        <v>0.1116</v>
      </c>
      <c r="K31169" s="26">
        <v>0.20730000000000001</v>
      </c>
      <c r="L31169" s="26">
        <v>0.14419999999999999</v>
      </c>
      <c r="M31169" s="26">
        <v>7.6399999999999996E-2</v>
      </c>
      <c r="N31169">
        <v>288</v>
      </c>
    </row>
    <row r="31170" spans="1:14" x14ac:dyDescent="0.35">
      <c r="A31170" t="s">
        <v>230</v>
      </c>
      <c r="B31170" t="s">
        <v>2730</v>
      </c>
      <c r="C31170" t="s">
        <v>303</v>
      </c>
      <c r="D31170" s="26">
        <v>4.58E-2</v>
      </c>
      <c r="E31170" s="26">
        <v>0.3805</v>
      </c>
      <c r="F31170" s="26">
        <v>0.2079</v>
      </c>
      <c r="G31170" s="26">
        <v>0.1545</v>
      </c>
      <c r="H31170" s="26">
        <v>3.2000000000000002E-3</v>
      </c>
      <c r="I31170" s="26">
        <v>0.45119999999999999</v>
      </c>
      <c r="J31170" s="26">
        <v>1E-3</v>
      </c>
      <c r="K31170" s="26">
        <v>3.2000000000000002E-3</v>
      </c>
      <c r="L31170" s="26">
        <v>2E-3</v>
      </c>
      <c r="M31170" s="26">
        <v>8.5000000000000006E-3</v>
      </c>
      <c r="N31170">
        <v>181</v>
      </c>
    </row>
    <row r="31171" spans="1:14" x14ac:dyDescent="0.35">
      <c r="A31171" t="s">
        <v>230</v>
      </c>
      <c r="B31171" t="s">
        <v>2730</v>
      </c>
      <c r="C31171" t="s">
        <v>1283</v>
      </c>
      <c r="D31171" s="26">
        <v>0.25580000000000003</v>
      </c>
      <c r="E31171" s="26">
        <v>0.21990000000000001</v>
      </c>
      <c r="F31171" s="26">
        <v>0.1007</v>
      </c>
      <c r="G31171" s="26">
        <v>0.38269999999999998</v>
      </c>
      <c r="H31171" s="26">
        <v>0.3846</v>
      </c>
      <c r="I31171" s="26">
        <v>1.47E-2</v>
      </c>
      <c r="J31171" s="26">
        <v>0.28410000000000002</v>
      </c>
      <c r="K31171" s="26">
        <v>0.2858</v>
      </c>
      <c r="L31171" s="26">
        <v>0.31159999999999999</v>
      </c>
      <c r="M31171" s="26">
        <v>0.2432</v>
      </c>
      <c r="N31171">
        <v>181</v>
      </c>
    </row>
    <row r="31172" spans="1:14" x14ac:dyDescent="0.35">
      <c r="A31172" t="s">
        <v>230</v>
      </c>
      <c r="B31172" t="s">
        <v>2730</v>
      </c>
      <c r="C31172" t="s">
        <v>1282</v>
      </c>
      <c r="D31172" s="26">
        <v>7.4999999999999997E-3</v>
      </c>
      <c r="E31172" s="26">
        <v>7.9000000000000001E-2</v>
      </c>
      <c r="F31172" s="26">
        <v>2.6100000000000002E-2</v>
      </c>
      <c r="G31172" s="26">
        <v>5.4000000000000003E-3</v>
      </c>
      <c r="H31172" s="26">
        <v>2.6100000000000002E-2</v>
      </c>
      <c r="I31172" s="26">
        <v>2.29E-2</v>
      </c>
      <c r="J31172" s="26">
        <v>3.3E-3</v>
      </c>
      <c r="M31172" s="26">
        <v>3.2000000000000002E-3</v>
      </c>
      <c r="N31172">
        <v>181</v>
      </c>
    </row>
    <row r="31173" spans="1:14" x14ac:dyDescent="0.35">
      <c r="A31173" t="s">
        <v>230</v>
      </c>
      <c r="B31173" t="s">
        <v>2730</v>
      </c>
      <c r="C31173" t="s">
        <v>1281</v>
      </c>
      <c r="D31173" s="26">
        <v>0.69089999999999996</v>
      </c>
      <c r="E31173" s="26">
        <v>0.3206</v>
      </c>
      <c r="F31173" s="26">
        <v>0.66539999999999999</v>
      </c>
      <c r="G31173" s="26">
        <v>0.45739999999999997</v>
      </c>
      <c r="H31173" s="26">
        <v>0.58609999999999995</v>
      </c>
      <c r="I31173" s="26">
        <v>0.51119999999999999</v>
      </c>
      <c r="J31173" s="26">
        <v>0.71160000000000001</v>
      </c>
      <c r="K31173" s="26">
        <v>0.71089999999999998</v>
      </c>
      <c r="L31173" s="26">
        <v>0.6865</v>
      </c>
      <c r="M31173" s="26">
        <v>0.74509999999999998</v>
      </c>
      <c r="N31173">
        <v>181</v>
      </c>
    </row>
    <row r="31174" spans="1:14" x14ac:dyDescent="0.35">
      <c r="A31174" t="s">
        <v>230</v>
      </c>
      <c r="B31174" t="s">
        <v>2731</v>
      </c>
      <c r="C31174" t="s">
        <v>1281</v>
      </c>
      <c r="D31174" s="26">
        <v>0.96020000000000005</v>
      </c>
      <c r="E31174" s="26">
        <v>0.57099999999999995</v>
      </c>
      <c r="F31174" s="26">
        <v>0.88700000000000001</v>
      </c>
      <c r="G31174" s="26">
        <v>0.57540000000000002</v>
      </c>
      <c r="H31174" s="26">
        <v>0.85609999999999997</v>
      </c>
      <c r="I31174" s="26">
        <v>0.77470000000000006</v>
      </c>
      <c r="J31174" s="26">
        <v>0.71889999999999998</v>
      </c>
      <c r="K31174" s="26">
        <v>0.73850000000000005</v>
      </c>
      <c r="L31174" s="26">
        <v>0.81110000000000004</v>
      </c>
      <c r="M31174" s="26">
        <v>0.82699999999999996</v>
      </c>
      <c r="N31174">
        <v>46</v>
      </c>
    </row>
    <row r="31175" spans="1:14" x14ac:dyDescent="0.35">
      <c r="A31175" t="s">
        <v>231</v>
      </c>
      <c r="B31175" t="s">
        <v>2732</v>
      </c>
      <c r="C31175" t="s">
        <v>303</v>
      </c>
      <c r="D31175" s="26">
        <v>7.1400000000000005E-2</v>
      </c>
      <c r="E31175" s="26">
        <v>0.51190000000000002</v>
      </c>
      <c r="F31175" s="26">
        <v>0.2024</v>
      </c>
      <c r="G31175" s="26">
        <v>0.1951</v>
      </c>
      <c r="H31175" s="26">
        <v>1.1900000000000001E-2</v>
      </c>
      <c r="I31175" s="26">
        <v>0.28570000000000001</v>
      </c>
      <c r="J31175" s="26">
        <v>1.1900000000000001E-2</v>
      </c>
      <c r="L31175" s="26">
        <v>4.7600000000000003E-2</v>
      </c>
      <c r="M31175" s="26">
        <v>1.1900000000000001E-2</v>
      </c>
      <c r="N31175">
        <v>84</v>
      </c>
    </row>
    <row r="31176" spans="1:14" x14ac:dyDescent="0.35">
      <c r="A31176" t="s">
        <v>231</v>
      </c>
      <c r="B31176" t="s">
        <v>2732</v>
      </c>
      <c r="C31176" t="s">
        <v>1283</v>
      </c>
      <c r="D31176" s="26">
        <v>7.1400000000000005E-2</v>
      </c>
      <c r="E31176" s="26">
        <v>4.7600000000000003E-2</v>
      </c>
      <c r="F31176" s="26">
        <v>1.1900000000000001E-2</v>
      </c>
      <c r="G31176" s="26">
        <v>0.18290000000000001</v>
      </c>
      <c r="H31176" s="26">
        <v>0.2024</v>
      </c>
      <c r="I31176" s="26">
        <v>4.7600000000000003E-2</v>
      </c>
      <c r="J31176" s="26">
        <v>0.11899999999999999</v>
      </c>
      <c r="K31176" s="26">
        <v>0.1429</v>
      </c>
      <c r="L31176" s="26">
        <v>7.1400000000000005E-2</v>
      </c>
      <c r="M31176" s="26">
        <v>4.7600000000000003E-2</v>
      </c>
      <c r="N31176">
        <v>84</v>
      </c>
    </row>
    <row r="31177" spans="1:14" x14ac:dyDescent="0.35">
      <c r="A31177" t="s">
        <v>231</v>
      </c>
      <c r="B31177" t="s">
        <v>2732</v>
      </c>
      <c r="C31177" t="s">
        <v>1282</v>
      </c>
      <c r="D31177" s="26">
        <v>2.3800000000000002E-2</v>
      </c>
      <c r="E31177" s="26">
        <v>4.7600000000000003E-2</v>
      </c>
      <c r="F31177" s="26">
        <v>1.1900000000000001E-2</v>
      </c>
      <c r="G31177" s="26">
        <v>1.2200000000000001E-2</v>
      </c>
      <c r="H31177" s="26">
        <v>1.1900000000000001E-2</v>
      </c>
      <c r="I31177" s="26">
        <v>1.1900000000000001E-2</v>
      </c>
      <c r="J31177" s="26">
        <v>1.1900000000000001E-2</v>
      </c>
      <c r="K31177" s="26">
        <v>1.1900000000000001E-2</v>
      </c>
      <c r="L31177" s="26">
        <v>1.1900000000000001E-2</v>
      </c>
      <c r="N31177">
        <v>84</v>
      </c>
    </row>
    <row r="31178" spans="1:14" x14ac:dyDescent="0.35">
      <c r="A31178" t="s">
        <v>231</v>
      </c>
      <c r="B31178" t="s">
        <v>2732</v>
      </c>
      <c r="C31178" t="s">
        <v>1281</v>
      </c>
      <c r="D31178" s="26">
        <v>0.83330000000000004</v>
      </c>
      <c r="E31178" s="26">
        <v>0.39290000000000003</v>
      </c>
      <c r="F31178" s="26">
        <v>0.77380000000000004</v>
      </c>
      <c r="G31178" s="26">
        <v>0.60980000000000001</v>
      </c>
      <c r="H31178" s="26">
        <v>0.77380000000000004</v>
      </c>
      <c r="I31178" s="26">
        <v>0.65480000000000005</v>
      </c>
      <c r="J31178" s="26">
        <v>0.85709999999999997</v>
      </c>
      <c r="K31178" s="26">
        <v>0.84519999999999995</v>
      </c>
      <c r="L31178" s="26">
        <v>0.86899999999999999</v>
      </c>
      <c r="M31178" s="26">
        <v>0.9405</v>
      </c>
      <c r="N31178">
        <v>84</v>
      </c>
    </row>
    <row r="31179" spans="1:14" x14ac:dyDescent="0.35">
      <c r="A31179" s="27" t="s">
        <v>231</v>
      </c>
      <c r="B31179" s="27" t="s">
        <v>2731</v>
      </c>
      <c r="C31179" s="27" t="s">
        <v>1283</v>
      </c>
      <c r="D31179" s="28">
        <v>0.15379999999999999</v>
      </c>
      <c r="E31179" s="28">
        <v>0.30769999999999997</v>
      </c>
      <c r="F31179" s="29"/>
      <c r="G31179" s="28">
        <v>0.30769999999999997</v>
      </c>
      <c r="H31179" s="28">
        <v>0.23080000000000001</v>
      </c>
      <c r="I31179" s="29"/>
      <c r="J31179" s="28">
        <v>0.23080000000000001</v>
      </c>
      <c r="K31179" s="28">
        <v>7.6899999999999996E-2</v>
      </c>
      <c r="L31179" s="29"/>
      <c r="M31179" s="28">
        <v>7.6899999999999996E-2</v>
      </c>
      <c r="N31179" s="29">
        <v>13</v>
      </c>
    </row>
    <row r="31180" spans="1:14" x14ac:dyDescent="0.35">
      <c r="A31180" s="27" t="s">
        <v>231</v>
      </c>
      <c r="B31180" s="27" t="s">
        <v>2731</v>
      </c>
      <c r="C31180" s="27" t="s">
        <v>1281</v>
      </c>
      <c r="D31180" s="28">
        <v>0.84619999999999995</v>
      </c>
      <c r="E31180" s="28">
        <v>0.23080000000000001</v>
      </c>
      <c r="F31180" s="28">
        <v>0.92310000000000003</v>
      </c>
      <c r="G31180" s="28">
        <v>0.46150000000000002</v>
      </c>
      <c r="H31180" s="28">
        <v>0.76919999999999999</v>
      </c>
      <c r="I31180" s="28">
        <v>0.69230000000000003</v>
      </c>
      <c r="J31180" s="28">
        <v>0.76919999999999999</v>
      </c>
      <c r="K31180" s="28">
        <v>0.92310000000000003</v>
      </c>
      <c r="L31180" s="28">
        <v>1</v>
      </c>
      <c r="M31180" s="28">
        <v>0.84619999999999995</v>
      </c>
      <c r="N31180" s="29">
        <v>13</v>
      </c>
    </row>
    <row r="31181" spans="1:14" x14ac:dyDescent="0.35">
      <c r="A31181" t="s">
        <v>231</v>
      </c>
      <c r="B31181" t="s">
        <v>2730</v>
      </c>
      <c r="C31181" t="s">
        <v>1283</v>
      </c>
      <c r="D31181" s="26">
        <v>0.25</v>
      </c>
      <c r="E31181" s="26">
        <v>0.22919999999999999</v>
      </c>
      <c r="F31181" s="26">
        <v>4.1700000000000001E-2</v>
      </c>
      <c r="G31181" s="26">
        <v>0.23910000000000001</v>
      </c>
      <c r="H31181" s="26">
        <v>0.27079999999999999</v>
      </c>
      <c r="I31181" s="26">
        <v>6.25E-2</v>
      </c>
      <c r="J31181" s="26">
        <v>0.33329999999999999</v>
      </c>
      <c r="K31181" s="26">
        <v>0.35420000000000001</v>
      </c>
      <c r="L31181" s="26">
        <v>0.22919999999999999</v>
      </c>
      <c r="M31181" s="26">
        <v>0.125</v>
      </c>
      <c r="N31181">
        <v>48</v>
      </c>
    </row>
    <row r="31182" spans="1:14" x14ac:dyDescent="0.35">
      <c r="A31182" t="s">
        <v>231</v>
      </c>
      <c r="B31182" t="s">
        <v>2730</v>
      </c>
      <c r="C31182" t="s">
        <v>1282</v>
      </c>
      <c r="D31182" s="26">
        <v>2.0799999999999999E-2</v>
      </c>
      <c r="E31182" s="26">
        <v>4.1700000000000001E-2</v>
      </c>
      <c r="F31182" s="26">
        <v>2.0799999999999999E-2</v>
      </c>
      <c r="H31182" s="26">
        <v>6.25E-2</v>
      </c>
      <c r="K31182" s="26">
        <v>2.0799999999999999E-2</v>
      </c>
      <c r="N31182">
        <v>48</v>
      </c>
    </row>
    <row r="31183" spans="1:14" x14ac:dyDescent="0.35">
      <c r="A31183" t="s">
        <v>231</v>
      </c>
      <c r="B31183" t="s">
        <v>2730</v>
      </c>
      <c r="C31183" t="s">
        <v>1281</v>
      </c>
      <c r="D31183" s="26">
        <v>0.70830000000000004</v>
      </c>
      <c r="E31183" s="26">
        <v>0.375</v>
      </c>
      <c r="F31183" s="26">
        <v>0.77080000000000004</v>
      </c>
      <c r="G31183" s="26">
        <v>0.63039999999999996</v>
      </c>
      <c r="H31183" s="26">
        <v>0.66669999999999996</v>
      </c>
      <c r="I31183" s="26">
        <v>0.54169999999999996</v>
      </c>
      <c r="J31183" s="26">
        <v>0.66669999999999996</v>
      </c>
      <c r="K31183" s="26">
        <v>0.625</v>
      </c>
      <c r="L31183" s="26">
        <v>0.75</v>
      </c>
      <c r="M31183" s="26">
        <v>0.85419999999999996</v>
      </c>
      <c r="N31183">
        <v>48</v>
      </c>
    </row>
    <row r="31184" spans="1:14" x14ac:dyDescent="0.35">
      <c r="A31184" t="s">
        <v>231</v>
      </c>
      <c r="B31184" t="s">
        <v>2730</v>
      </c>
      <c r="C31184" t="s">
        <v>303</v>
      </c>
      <c r="D31184" s="26">
        <v>2.0799999999999999E-2</v>
      </c>
      <c r="E31184" s="26">
        <v>0.35420000000000001</v>
      </c>
      <c r="F31184" s="26">
        <v>0.16669999999999999</v>
      </c>
      <c r="G31184" s="26">
        <v>0.13039999999999999</v>
      </c>
      <c r="I31184" s="26">
        <v>0.39579999999999999</v>
      </c>
      <c r="L31184" s="26">
        <v>2.0799999999999999E-2</v>
      </c>
      <c r="M31184" s="26">
        <v>2.0799999999999999E-2</v>
      </c>
      <c r="N31184">
        <v>48</v>
      </c>
    </row>
    <row r="31185" spans="1:14" x14ac:dyDescent="0.35">
      <c r="A31185" t="s">
        <v>232</v>
      </c>
      <c r="B31185" t="s">
        <v>232</v>
      </c>
      <c r="C31185" t="s">
        <v>1283</v>
      </c>
      <c r="D31185" s="26">
        <v>0.12759999999999999</v>
      </c>
      <c r="E31185" s="26">
        <v>0.1409</v>
      </c>
      <c r="F31185" s="26">
        <v>4.8899999999999999E-2</v>
      </c>
      <c r="G31185" s="26">
        <v>0.2019</v>
      </c>
      <c r="H31185" s="26">
        <v>0.2152</v>
      </c>
      <c r="I31185" s="26">
        <v>4.0599999999999997E-2</v>
      </c>
      <c r="J31185" s="26">
        <v>0.1648</v>
      </c>
      <c r="K31185" s="26">
        <v>0.2019</v>
      </c>
      <c r="L31185" s="26">
        <v>0.14050000000000001</v>
      </c>
      <c r="M31185" s="26">
        <v>9.2600000000000002E-2</v>
      </c>
      <c r="N31185">
        <v>2546</v>
      </c>
    </row>
    <row r="31186" spans="1:14" x14ac:dyDescent="0.35">
      <c r="A31186" t="s">
        <v>232</v>
      </c>
      <c r="B31186" t="s">
        <v>232</v>
      </c>
      <c r="C31186" t="s">
        <v>1281</v>
      </c>
      <c r="D31186" s="26">
        <v>0.81079999999999997</v>
      </c>
      <c r="E31186" s="26">
        <v>0.38419999999999999</v>
      </c>
      <c r="F31186" s="26">
        <v>0.80230000000000001</v>
      </c>
      <c r="G31186" s="26">
        <v>0.60229999999999995</v>
      </c>
      <c r="H31186" s="26">
        <v>0.74029999999999996</v>
      </c>
      <c r="I31186" s="26">
        <v>0.63570000000000004</v>
      </c>
      <c r="J31186" s="26">
        <v>0.82030000000000003</v>
      </c>
      <c r="K31186" s="26">
        <v>0.78349999999999997</v>
      </c>
      <c r="L31186" s="26">
        <v>0.83460000000000001</v>
      </c>
      <c r="M31186" s="26">
        <v>0.89729999999999999</v>
      </c>
      <c r="N31186">
        <v>2546</v>
      </c>
    </row>
    <row r="31187" spans="1:14" x14ac:dyDescent="0.35">
      <c r="A31187" t="s">
        <v>232</v>
      </c>
      <c r="B31187" t="s">
        <v>232</v>
      </c>
      <c r="C31187" t="s">
        <v>1282</v>
      </c>
      <c r="D31187" s="26">
        <v>2.1100000000000001E-2</v>
      </c>
      <c r="E31187" s="26">
        <v>6.2899999999999998E-2</v>
      </c>
      <c r="F31187" s="26">
        <v>1.17E-2</v>
      </c>
      <c r="G31187" s="26">
        <v>1.9599999999999999E-2</v>
      </c>
      <c r="H31187" s="26">
        <v>2.63E-2</v>
      </c>
      <c r="I31187" s="26">
        <v>7.3000000000000001E-3</v>
      </c>
      <c r="J31187" s="26">
        <v>5.8999999999999999E-3</v>
      </c>
      <c r="K31187" s="26">
        <v>1.14E-2</v>
      </c>
      <c r="L31187" s="26">
        <v>3.0000000000000001E-3</v>
      </c>
      <c r="M31187" s="26">
        <v>4.0000000000000002E-4</v>
      </c>
      <c r="N31187">
        <v>2546</v>
      </c>
    </row>
    <row r="31188" spans="1:14" x14ac:dyDescent="0.35">
      <c r="A31188" t="s">
        <v>232</v>
      </c>
      <c r="B31188" t="s">
        <v>232</v>
      </c>
      <c r="C31188" t="s">
        <v>303</v>
      </c>
      <c r="D31188" s="26">
        <v>4.0599999999999997E-2</v>
      </c>
      <c r="E31188" s="26">
        <v>0.41199999999999998</v>
      </c>
      <c r="F31188" s="26">
        <v>0.1371</v>
      </c>
      <c r="G31188" s="26">
        <v>0.17610000000000001</v>
      </c>
      <c r="H31188" s="26">
        <v>1.8200000000000001E-2</v>
      </c>
      <c r="I31188" s="26">
        <v>0.31640000000000001</v>
      </c>
      <c r="J31188" s="26">
        <v>8.9999999999999993E-3</v>
      </c>
      <c r="K31188" s="26">
        <v>3.2000000000000002E-3</v>
      </c>
      <c r="L31188" s="26">
        <v>2.1899999999999999E-2</v>
      </c>
      <c r="M31188" s="26">
        <v>9.7000000000000003E-3</v>
      </c>
      <c r="N31188">
        <v>2546</v>
      </c>
    </row>
    <row r="31190" spans="1:14" x14ac:dyDescent="0.35">
      <c r="A31190" s="1" t="s">
        <v>2763</v>
      </c>
    </row>
    <row r="31191" spans="1:14" x14ac:dyDescent="0.35">
      <c r="A31191" t="s">
        <v>219</v>
      </c>
      <c r="B31191" t="s">
        <v>305</v>
      </c>
      <c r="C31191" t="s">
        <v>1285</v>
      </c>
      <c r="D31191" t="s">
        <v>1286</v>
      </c>
      <c r="E31191" t="s">
        <v>1287</v>
      </c>
      <c r="F31191" t="s">
        <v>1288</v>
      </c>
      <c r="G31191" t="s">
        <v>1289</v>
      </c>
      <c r="H31191" t="s">
        <v>281</v>
      </c>
      <c r="I31191" t="s">
        <v>226</v>
      </c>
    </row>
    <row r="31192" spans="1:14" x14ac:dyDescent="0.35">
      <c r="A31192" s="27" t="s">
        <v>227</v>
      </c>
      <c r="B31192" s="27" t="s">
        <v>2730</v>
      </c>
      <c r="C31192" s="28">
        <v>0.28570000000000001</v>
      </c>
      <c r="D31192" s="28">
        <v>0.47620000000000001</v>
      </c>
      <c r="E31192" s="28">
        <v>0.28570000000000001</v>
      </c>
      <c r="F31192" s="28">
        <v>0.1429</v>
      </c>
      <c r="G31192" s="28">
        <v>4.7600000000000003E-2</v>
      </c>
      <c r="H31192" s="29"/>
      <c r="I31192" s="29" t="s">
        <v>351</v>
      </c>
    </row>
    <row r="31193" spans="1:14" x14ac:dyDescent="0.35">
      <c r="A31193" s="27" t="s">
        <v>227</v>
      </c>
      <c r="B31193" s="27" t="s">
        <v>2731</v>
      </c>
      <c r="C31193" s="28">
        <v>0.5</v>
      </c>
      <c r="D31193" s="28">
        <v>0.5</v>
      </c>
      <c r="E31193" s="29"/>
      <c r="F31193" s="29"/>
      <c r="G31193" s="29"/>
      <c r="H31193" s="29"/>
      <c r="I31193" s="29" t="s">
        <v>314</v>
      </c>
    </row>
    <row r="31194" spans="1:14" x14ac:dyDescent="0.35">
      <c r="A31194" t="s">
        <v>227</v>
      </c>
      <c r="B31194" t="s">
        <v>2732</v>
      </c>
      <c r="C31194" s="26">
        <v>0.40479999999999999</v>
      </c>
      <c r="D31194" s="26">
        <v>0.38100000000000001</v>
      </c>
      <c r="E31194" s="26">
        <v>0.23810000000000001</v>
      </c>
      <c r="F31194" s="26">
        <v>0.11899999999999999</v>
      </c>
      <c r="G31194" s="26">
        <v>0.16669999999999999</v>
      </c>
      <c r="I31194">
        <v>42</v>
      </c>
    </row>
    <row r="31195" spans="1:14" x14ac:dyDescent="0.35">
      <c r="A31195" t="s">
        <v>228</v>
      </c>
      <c r="B31195" t="s">
        <v>2730</v>
      </c>
      <c r="C31195" s="26">
        <v>0.50639999999999996</v>
      </c>
      <c r="D31195" s="26">
        <v>0.49659999999999999</v>
      </c>
      <c r="E31195" s="26">
        <v>0.30730000000000002</v>
      </c>
      <c r="F31195" s="26">
        <v>8.1100000000000005E-2</v>
      </c>
      <c r="G31195" s="26">
        <v>9.06E-2</v>
      </c>
      <c r="H31195" s="26">
        <v>2.6499999999999999E-2</v>
      </c>
      <c r="I31195">
        <v>196</v>
      </c>
    </row>
    <row r="31196" spans="1:14" x14ac:dyDescent="0.35">
      <c r="A31196" t="s">
        <v>228</v>
      </c>
      <c r="B31196" t="s">
        <v>2731</v>
      </c>
      <c r="C31196" s="26">
        <v>0.45739999999999997</v>
      </c>
      <c r="D31196" s="26">
        <v>0.28810000000000002</v>
      </c>
      <c r="E31196" s="26">
        <v>0.45269999999999999</v>
      </c>
      <c r="F31196" s="26">
        <v>0.1303</v>
      </c>
      <c r="G31196" s="26">
        <v>2.18E-2</v>
      </c>
      <c r="H31196" s="26">
        <v>1.8100000000000002E-2</v>
      </c>
      <c r="I31196">
        <v>44</v>
      </c>
    </row>
    <row r="31197" spans="1:14" x14ac:dyDescent="0.35">
      <c r="A31197" t="s">
        <v>228</v>
      </c>
      <c r="B31197" t="s">
        <v>2732</v>
      </c>
      <c r="C31197" s="26">
        <v>0.42509999999999998</v>
      </c>
      <c r="D31197" s="26">
        <v>0.46920000000000001</v>
      </c>
      <c r="E31197" s="26">
        <v>0.33289999999999997</v>
      </c>
      <c r="F31197" s="26">
        <v>0.10920000000000001</v>
      </c>
      <c r="G31197" s="26">
        <v>8.2600000000000007E-2</v>
      </c>
      <c r="H31197" s="26">
        <v>4.48E-2</v>
      </c>
      <c r="I31197">
        <v>313</v>
      </c>
    </row>
    <row r="31198" spans="1:14" x14ac:dyDescent="0.35">
      <c r="A31198" t="s">
        <v>229</v>
      </c>
      <c r="B31198" t="s">
        <v>2730</v>
      </c>
      <c r="C31198" s="26">
        <v>0.54579999999999995</v>
      </c>
      <c r="D31198" s="26">
        <v>0.504</v>
      </c>
      <c r="E31198" s="26">
        <v>0.29089999999999999</v>
      </c>
      <c r="F31198" s="26">
        <v>5.2900000000000003E-2</v>
      </c>
      <c r="G31198" s="26">
        <v>7.6899999999999996E-2</v>
      </c>
      <c r="H31198" s="26">
        <v>1.8599999999999998E-2</v>
      </c>
      <c r="I31198">
        <v>140</v>
      </c>
    </row>
    <row r="31199" spans="1:14" x14ac:dyDescent="0.35">
      <c r="A31199" t="s">
        <v>229</v>
      </c>
      <c r="B31199" t="s">
        <v>2731</v>
      </c>
      <c r="C31199" s="26">
        <v>0.63480000000000003</v>
      </c>
      <c r="D31199" s="26">
        <v>0.37940000000000002</v>
      </c>
      <c r="E31199" s="26">
        <v>0.29620000000000002</v>
      </c>
      <c r="F31199" s="26">
        <v>0.13569999999999999</v>
      </c>
      <c r="G31199" s="26">
        <v>2.9000000000000001E-2</v>
      </c>
      <c r="H31199" s="26">
        <v>2.5000000000000001E-2</v>
      </c>
      <c r="I31199">
        <v>37</v>
      </c>
    </row>
    <row r="31200" spans="1:14" x14ac:dyDescent="0.35">
      <c r="A31200" t="s">
        <v>229</v>
      </c>
      <c r="B31200" t="s">
        <v>2732</v>
      </c>
      <c r="C31200" s="26">
        <v>0.43359999999999999</v>
      </c>
      <c r="D31200" s="26">
        <v>0.4199</v>
      </c>
      <c r="E31200" s="26">
        <v>0.39750000000000002</v>
      </c>
      <c r="F31200" s="26">
        <v>0.1045</v>
      </c>
      <c r="G31200" s="26">
        <v>0.13</v>
      </c>
      <c r="H31200" s="26">
        <v>5.6500000000000002E-2</v>
      </c>
      <c r="I31200">
        <v>250</v>
      </c>
    </row>
    <row r="31201" spans="1:9" x14ac:dyDescent="0.35">
      <c r="A31201" t="s">
        <v>230</v>
      </c>
      <c r="B31201" t="s">
        <v>2730</v>
      </c>
      <c r="C31201" s="26">
        <v>0.59550000000000003</v>
      </c>
      <c r="D31201" s="26">
        <v>0.44090000000000001</v>
      </c>
      <c r="E31201" s="26">
        <v>0.3281</v>
      </c>
      <c r="F31201" s="26">
        <v>0.1517</v>
      </c>
      <c r="G31201" s="26">
        <v>9.4700000000000006E-2</v>
      </c>
      <c r="H31201" s="26">
        <v>5.0000000000000001E-3</v>
      </c>
      <c r="I31201">
        <v>109</v>
      </c>
    </row>
    <row r="31202" spans="1:9" x14ac:dyDescent="0.35">
      <c r="A31202" s="27" t="s">
        <v>230</v>
      </c>
      <c r="B31202" s="27" t="s">
        <v>2731</v>
      </c>
      <c r="C31202" s="28">
        <v>0.54549999999999998</v>
      </c>
      <c r="D31202" s="28">
        <v>0.58930000000000005</v>
      </c>
      <c r="E31202" s="28">
        <v>0.2571</v>
      </c>
      <c r="F31202" s="28">
        <v>4.0800000000000003E-2</v>
      </c>
      <c r="G31202" s="28">
        <v>0.1857</v>
      </c>
      <c r="H31202" s="28">
        <v>6.1899999999999997E-2</v>
      </c>
      <c r="I31202" s="29" t="s">
        <v>350</v>
      </c>
    </row>
    <row r="31203" spans="1:9" x14ac:dyDescent="0.35">
      <c r="A31203" t="s">
        <v>230</v>
      </c>
      <c r="B31203" t="s">
        <v>2732</v>
      </c>
      <c r="C31203" s="26">
        <v>0.40939999999999999</v>
      </c>
      <c r="D31203" s="26">
        <v>0.47399999999999998</v>
      </c>
      <c r="E31203" s="26">
        <v>0.34350000000000003</v>
      </c>
      <c r="F31203" s="26">
        <v>0.1101</v>
      </c>
      <c r="G31203" s="26">
        <v>0.1195</v>
      </c>
      <c r="H31203" s="26">
        <v>5.21E-2</v>
      </c>
      <c r="I31203">
        <v>169</v>
      </c>
    </row>
    <row r="31204" spans="1:9" x14ac:dyDescent="0.35">
      <c r="A31204" s="27" t="s">
        <v>231</v>
      </c>
      <c r="B31204" s="27" t="s">
        <v>2730</v>
      </c>
      <c r="C31204" s="28">
        <v>0.5</v>
      </c>
      <c r="D31204" s="28">
        <v>0.57689999999999997</v>
      </c>
      <c r="E31204" s="28">
        <v>0.30769999999999997</v>
      </c>
      <c r="F31204" s="28">
        <v>7.6899999999999996E-2</v>
      </c>
      <c r="G31204" s="28">
        <v>7.6899999999999996E-2</v>
      </c>
      <c r="H31204" s="28">
        <v>3.85E-2</v>
      </c>
      <c r="I31204" s="29" t="s">
        <v>357</v>
      </c>
    </row>
    <row r="31205" spans="1:9" x14ac:dyDescent="0.35">
      <c r="A31205" s="27" t="s">
        <v>231</v>
      </c>
      <c r="B31205" s="27" t="s">
        <v>2731</v>
      </c>
      <c r="C31205" s="28">
        <v>0.6</v>
      </c>
      <c r="D31205" s="28">
        <v>0.4</v>
      </c>
      <c r="E31205" s="28">
        <v>0.4</v>
      </c>
      <c r="F31205" s="28">
        <v>0.4</v>
      </c>
      <c r="G31205" s="29"/>
      <c r="H31205" s="29"/>
      <c r="I31205" s="29" t="s">
        <v>332</v>
      </c>
    </row>
    <row r="31206" spans="1:9" x14ac:dyDescent="0.35">
      <c r="A31206" t="s">
        <v>231</v>
      </c>
      <c r="B31206" t="s">
        <v>2732</v>
      </c>
      <c r="C31206" s="26">
        <v>0.46939999999999998</v>
      </c>
      <c r="D31206" s="26">
        <v>0.42859999999999998</v>
      </c>
      <c r="E31206" s="26">
        <v>0.30609999999999998</v>
      </c>
      <c r="F31206" s="26">
        <v>4.0800000000000003E-2</v>
      </c>
      <c r="G31206" s="26">
        <v>8.1600000000000006E-2</v>
      </c>
      <c r="H31206" s="26">
        <v>4.0800000000000003E-2</v>
      </c>
      <c r="I31206">
        <v>49</v>
      </c>
    </row>
    <row r="31207" spans="1:9" x14ac:dyDescent="0.35">
      <c r="A31207" t="s">
        <v>232</v>
      </c>
      <c r="B31207" t="s">
        <v>232</v>
      </c>
      <c r="C31207" s="26">
        <v>0.46189999999999998</v>
      </c>
      <c r="D31207" s="26">
        <v>0.45610000000000001</v>
      </c>
      <c r="E31207" s="26">
        <v>0.32429999999999998</v>
      </c>
      <c r="F31207" s="26">
        <v>9.6000000000000002E-2</v>
      </c>
      <c r="G31207" s="26">
        <v>9.6000000000000002E-2</v>
      </c>
      <c r="H31207" s="26">
        <v>3.4500000000000003E-2</v>
      </c>
      <c r="I31207">
        <v>1423</v>
      </c>
    </row>
    <row r="31209" spans="1:9" x14ac:dyDescent="0.35">
      <c r="A31209" s="1" t="s">
        <v>2764</v>
      </c>
    </row>
    <row r="31210" spans="1:9" x14ac:dyDescent="0.35">
      <c r="A31210" t="s">
        <v>219</v>
      </c>
      <c r="B31210" t="s">
        <v>305</v>
      </c>
      <c r="C31210" t="s">
        <v>1313</v>
      </c>
      <c r="D31210" t="s">
        <v>1314</v>
      </c>
      <c r="E31210" t="s">
        <v>1315</v>
      </c>
      <c r="F31210" t="s">
        <v>1316</v>
      </c>
      <c r="G31210" t="s">
        <v>226</v>
      </c>
    </row>
    <row r="31211" spans="1:9" x14ac:dyDescent="0.35">
      <c r="A31211" t="s">
        <v>227</v>
      </c>
      <c r="B31211" t="s">
        <v>2730</v>
      </c>
      <c r="C31211" s="26">
        <v>0.36959999999999998</v>
      </c>
      <c r="D31211" s="26">
        <v>0.26090000000000002</v>
      </c>
      <c r="E31211" s="26">
        <v>0.3478</v>
      </c>
      <c r="F31211" s="26">
        <v>2.1700000000000001E-2</v>
      </c>
      <c r="G31211">
        <v>46</v>
      </c>
    </row>
    <row r="31212" spans="1:9" x14ac:dyDescent="0.35">
      <c r="A31212" s="27" t="s">
        <v>227</v>
      </c>
      <c r="B31212" s="27" t="s">
        <v>2731</v>
      </c>
      <c r="C31212" s="28">
        <v>0.66669999999999996</v>
      </c>
      <c r="D31212" s="28">
        <v>0.1111</v>
      </c>
      <c r="E31212" s="28">
        <v>0.16669999999999999</v>
      </c>
      <c r="F31212" s="28">
        <v>5.5599999999999997E-2</v>
      </c>
      <c r="G31212" s="29" t="s">
        <v>353</v>
      </c>
    </row>
    <row r="31213" spans="1:9" x14ac:dyDescent="0.35">
      <c r="A31213" t="s">
        <v>227</v>
      </c>
      <c r="B31213" t="s">
        <v>2732</v>
      </c>
      <c r="C31213" s="26">
        <v>0.42349999999999999</v>
      </c>
      <c r="D31213" s="26">
        <v>0.32940000000000003</v>
      </c>
      <c r="E31213" s="26">
        <v>0.2235</v>
      </c>
      <c r="F31213" s="26">
        <v>2.35E-2</v>
      </c>
      <c r="G31213">
        <v>85</v>
      </c>
    </row>
    <row r="31214" spans="1:9" x14ac:dyDescent="0.35">
      <c r="A31214" t="s">
        <v>228</v>
      </c>
      <c r="B31214" t="s">
        <v>2730</v>
      </c>
      <c r="C31214" s="26">
        <v>0.35310000000000002</v>
      </c>
      <c r="D31214" s="26">
        <v>0.43619999999999998</v>
      </c>
      <c r="E31214" s="26">
        <v>0.1991</v>
      </c>
      <c r="F31214" s="26">
        <v>1.1599999999999999E-2</v>
      </c>
      <c r="G31214">
        <v>334</v>
      </c>
    </row>
    <row r="31215" spans="1:9" x14ac:dyDescent="0.35">
      <c r="A31215" t="s">
        <v>228</v>
      </c>
      <c r="B31215" t="s">
        <v>2731</v>
      </c>
      <c r="C31215" s="26">
        <v>0.41470000000000001</v>
      </c>
      <c r="D31215" s="26">
        <v>0.15329999999999999</v>
      </c>
      <c r="E31215" s="26">
        <v>0.33529999999999999</v>
      </c>
      <c r="F31215" s="26">
        <v>9.6699999999999994E-2</v>
      </c>
      <c r="G31215">
        <v>85</v>
      </c>
    </row>
    <row r="31216" spans="1:9" x14ac:dyDescent="0.35">
      <c r="A31216" t="s">
        <v>228</v>
      </c>
      <c r="B31216" t="s">
        <v>2732</v>
      </c>
      <c r="C31216" s="26">
        <v>0.33579999999999999</v>
      </c>
      <c r="D31216" s="26">
        <v>0.30109999999999998</v>
      </c>
      <c r="E31216" s="26">
        <v>0.32250000000000001</v>
      </c>
      <c r="F31216" s="26">
        <v>4.0599999999999997E-2</v>
      </c>
      <c r="G31216">
        <v>524</v>
      </c>
    </row>
    <row r="31217" spans="1:7" x14ac:dyDescent="0.35">
      <c r="A31217" t="s">
        <v>229</v>
      </c>
      <c r="B31217" t="s">
        <v>2730</v>
      </c>
      <c r="C31217" s="26">
        <v>0.3231</v>
      </c>
      <c r="D31217" s="26">
        <v>0.39889999999999998</v>
      </c>
      <c r="E31217" s="26">
        <v>0.24279999999999999</v>
      </c>
      <c r="F31217" s="26">
        <v>3.5099999999999999E-2</v>
      </c>
      <c r="G31217">
        <v>264</v>
      </c>
    </row>
    <row r="31218" spans="1:7" x14ac:dyDescent="0.35">
      <c r="A31218" t="s">
        <v>229</v>
      </c>
      <c r="B31218" t="s">
        <v>2731</v>
      </c>
      <c r="C31218" s="26">
        <v>0.45979999999999999</v>
      </c>
      <c r="D31218" s="26">
        <v>0.21859999999999999</v>
      </c>
      <c r="E31218" s="26">
        <v>0.16980000000000001</v>
      </c>
      <c r="F31218" s="26">
        <v>0.1517</v>
      </c>
      <c r="G31218">
        <v>75</v>
      </c>
    </row>
    <row r="31219" spans="1:7" x14ac:dyDescent="0.35">
      <c r="A31219" t="s">
        <v>229</v>
      </c>
      <c r="B31219" t="s">
        <v>2732</v>
      </c>
      <c r="C31219" s="26">
        <v>0.35389999999999999</v>
      </c>
      <c r="D31219" s="26">
        <v>0.29909999999999998</v>
      </c>
      <c r="E31219" s="26">
        <v>0.30220000000000002</v>
      </c>
      <c r="F31219" s="26">
        <v>4.4900000000000002E-2</v>
      </c>
      <c r="G31219">
        <v>454</v>
      </c>
    </row>
    <row r="31220" spans="1:7" x14ac:dyDescent="0.35">
      <c r="A31220" t="s">
        <v>230</v>
      </c>
      <c r="B31220" t="s">
        <v>2730</v>
      </c>
      <c r="C31220" s="26">
        <v>0.30509999999999998</v>
      </c>
      <c r="D31220" s="26">
        <v>0.47</v>
      </c>
      <c r="E31220" s="26">
        <v>0.20899999999999999</v>
      </c>
      <c r="F31220" s="26">
        <v>1.5900000000000001E-2</v>
      </c>
      <c r="G31220">
        <v>181</v>
      </c>
    </row>
    <row r="31221" spans="1:7" x14ac:dyDescent="0.35">
      <c r="A31221" t="s">
        <v>230</v>
      </c>
      <c r="B31221" t="s">
        <v>2731</v>
      </c>
      <c r="C31221" s="26">
        <v>0.53680000000000005</v>
      </c>
      <c r="D31221" s="26">
        <v>7.6499999999999999E-2</v>
      </c>
      <c r="E31221" s="26">
        <v>0.31409999999999999</v>
      </c>
      <c r="F31221" s="26">
        <v>7.2599999999999998E-2</v>
      </c>
      <c r="G31221">
        <v>46</v>
      </c>
    </row>
    <row r="31222" spans="1:7" x14ac:dyDescent="0.35">
      <c r="A31222" t="s">
        <v>230</v>
      </c>
      <c r="B31222" t="s">
        <v>2732</v>
      </c>
      <c r="C31222" s="26">
        <v>0.27879999999999999</v>
      </c>
      <c r="D31222" s="26">
        <v>0.3221</v>
      </c>
      <c r="E31222" s="26">
        <v>0.36980000000000002</v>
      </c>
      <c r="F31222" s="26">
        <v>2.92E-2</v>
      </c>
      <c r="G31222">
        <v>288</v>
      </c>
    </row>
    <row r="31223" spans="1:7" x14ac:dyDescent="0.35">
      <c r="A31223" t="s">
        <v>231</v>
      </c>
      <c r="B31223" t="s">
        <v>2730</v>
      </c>
      <c r="C31223" s="26">
        <v>0.4375</v>
      </c>
      <c r="D31223" s="26">
        <v>0.35420000000000001</v>
      </c>
      <c r="E31223" s="26">
        <v>0.14580000000000001</v>
      </c>
      <c r="F31223" s="26">
        <v>6.25E-2</v>
      </c>
      <c r="G31223">
        <v>48</v>
      </c>
    </row>
    <row r="31224" spans="1:7" x14ac:dyDescent="0.35">
      <c r="A31224" s="27" t="s">
        <v>231</v>
      </c>
      <c r="B31224" s="27" t="s">
        <v>2731</v>
      </c>
      <c r="C31224" s="28">
        <v>0.3846</v>
      </c>
      <c r="D31224" s="28">
        <v>0.23080000000000001</v>
      </c>
      <c r="E31224" s="28">
        <v>0.30769999999999997</v>
      </c>
      <c r="F31224" s="28">
        <v>7.6899999999999996E-2</v>
      </c>
      <c r="G31224" s="29" t="s">
        <v>341</v>
      </c>
    </row>
    <row r="31225" spans="1:7" x14ac:dyDescent="0.35">
      <c r="A31225" t="s">
        <v>231</v>
      </c>
      <c r="B31225" t="s">
        <v>2732</v>
      </c>
      <c r="C31225" s="26">
        <v>0.27379999999999999</v>
      </c>
      <c r="D31225" s="26">
        <v>0.27379999999999999</v>
      </c>
      <c r="E31225" s="26">
        <v>0.38100000000000001</v>
      </c>
      <c r="F31225" s="26">
        <v>7.1400000000000005E-2</v>
      </c>
      <c r="G31225">
        <v>84</v>
      </c>
    </row>
    <row r="31226" spans="1:7" x14ac:dyDescent="0.35">
      <c r="A31226" t="s">
        <v>232</v>
      </c>
      <c r="B31226" t="s">
        <v>232</v>
      </c>
      <c r="C31226" s="26">
        <v>0.35639999999999999</v>
      </c>
      <c r="D31226" s="26">
        <v>0.31380000000000002</v>
      </c>
      <c r="E31226" s="26">
        <v>0.28320000000000001</v>
      </c>
      <c r="F31226" s="26">
        <v>4.6600000000000003E-2</v>
      </c>
      <c r="G31226">
        <v>2545</v>
      </c>
    </row>
    <row r="31228" spans="1:7" x14ac:dyDescent="0.35">
      <c r="A31228" s="1" t="s">
        <v>2765</v>
      </c>
    </row>
    <row r="31229" spans="1:7" x14ac:dyDescent="0.35">
      <c r="A31229" t="s">
        <v>219</v>
      </c>
      <c r="B31229" t="s">
        <v>305</v>
      </c>
      <c r="C31229" t="s">
        <v>302</v>
      </c>
      <c r="D31229" t="s">
        <v>303</v>
      </c>
      <c r="E31229" t="s">
        <v>281</v>
      </c>
      <c r="F31229" t="s">
        <v>286</v>
      </c>
      <c r="G31229" t="s">
        <v>226</v>
      </c>
    </row>
    <row r="31230" spans="1:7" x14ac:dyDescent="0.35">
      <c r="A31230" t="s">
        <v>227</v>
      </c>
      <c r="B31230" t="s">
        <v>2730</v>
      </c>
      <c r="C31230" s="26">
        <v>1</v>
      </c>
      <c r="G31230">
        <v>47</v>
      </c>
    </row>
    <row r="31231" spans="1:7" x14ac:dyDescent="0.35">
      <c r="A31231" s="27" t="s">
        <v>227</v>
      </c>
      <c r="B31231" s="27" t="s">
        <v>2731</v>
      </c>
      <c r="C31231" s="28">
        <v>1</v>
      </c>
      <c r="D31231" s="29"/>
      <c r="E31231" s="29"/>
      <c r="F31231" s="29"/>
      <c r="G31231" s="29" t="s">
        <v>351</v>
      </c>
    </row>
    <row r="31232" spans="1:7" x14ac:dyDescent="0.35">
      <c r="A31232" t="s">
        <v>227</v>
      </c>
      <c r="B31232" t="s">
        <v>2732</v>
      </c>
      <c r="C31232" s="26">
        <v>1</v>
      </c>
      <c r="G31232">
        <v>93</v>
      </c>
    </row>
    <row r="31233" spans="1:7" x14ac:dyDescent="0.35">
      <c r="A31233" t="s">
        <v>228</v>
      </c>
      <c r="B31233" t="s">
        <v>2730</v>
      </c>
      <c r="C31233" s="26">
        <v>0.57599999999999996</v>
      </c>
      <c r="D31233" s="26">
        <v>0.40960000000000002</v>
      </c>
      <c r="E31233" s="26">
        <v>1.3299999999999999E-2</v>
      </c>
      <c r="F31233" s="26">
        <v>1.1000000000000001E-3</v>
      </c>
      <c r="G31233">
        <v>360</v>
      </c>
    </row>
    <row r="31234" spans="1:7" x14ac:dyDescent="0.35">
      <c r="A31234" t="s">
        <v>228</v>
      </c>
      <c r="B31234" t="s">
        <v>2731</v>
      </c>
      <c r="C31234" s="26">
        <v>0.64700000000000002</v>
      </c>
      <c r="D31234" s="26">
        <v>0.35299999999999998</v>
      </c>
      <c r="G31234">
        <v>96</v>
      </c>
    </row>
    <row r="31235" spans="1:7" x14ac:dyDescent="0.35">
      <c r="A31235" t="s">
        <v>228</v>
      </c>
      <c r="B31235" t="s">
        <v>2732</v>
      </c>
      <c r="C31235" s="26">
        <v>0.6875</v>
      </c>
      <c r="D31235" s="26">
        <v>0.30209999999999998</v>
      </c>
      <c r="E31235" s="26">
        <v>8.3999999999999995E-3</v>
      </c>
      <c r="F31235" s="26">
        <v>2E-3</v>
      </c>
      <c r="G31235">
        <v>576</v>
      </c>
    </row>
    <row r="31236" spans="1:7" x14ac:dyDescent="0.35">
      <c r="A31236" t="s">
        <v>229</v>
      </c>
      <c r="B31236" t="s">
        <v>2730</v>
      </c>
      <c r="C31236" s="26">
        <v>0.83499999999999996</v>
      </c>
      <c r="D31236" s="26">
        <v>0.14430000000000001</v>
      </c>
      <c r="E31236" s="26">
        <v>2.01E-2</v>
      </c>
      <c r="F31236" s="26">
        <v>5.9999999999999995E-4</v>
      </c>
      <c r="G31236">
        <v>302</v>
      </c>
    </row>
    <row r="31237" spans="1:7" x14ac:dyDescent="0.35">
      <c r="A31237" t="s">
        <v>229</v>
      </c>
      <c r="B31237" t="s">
        <v>2731</v>
      </c>
      <c r="C31237" s="26">
        <v>0.81799999999999995</v>
      </c>
      <c r="D31237" s="26">
        <v>0.182</v>
      </c>
      <c r="G31237">
        <v>86</v>
      </c>
    </row>
    <row r="31238" spans="1:7" x14ac:dyDescent="0.35">
      <c r="A31238" t="s">
        <v>229</v>
      </c>
      <c r="B31238" t="s">
        <v>2732</v>
      </c>
      <c r="C31238" s="26">
        <v>0.76180000000000003</v>
      </c>
      <c r="D31238" s="26">
        <v>0.23469999999999999</v>
      </c>
      <c r="E31238" s="26">
        <v>2.8999999999999998E-3</v>
      </c>
      <c r="F31238" s="26">
        <v>6.9999999999999999E-4</v>
      </c>
      <c r="G31238">
        <v>507</v>
      </c>
    </row>
    <row r="31239" spans="1:7" x14ac:dyDescent="0.35">
      <c r="A31239" t="s">
        <v>230</v>
      </c>
      <c r="B31239" t="s">
        <v>2730</v>
      </c>
      <c r="C31239" s="26">
        <v>0.70450000000000002</v>
      </c>
      <c r="D31239" s="26">
        <v>0.26369999999999999</v>
      </c>
      <c r="E31239" s="26">
        <v>3.1800000000000002E-2</v>
      </c>
      <c r="G31239">
        <v>197</v>
      </c>
    </row>
    <row r="31240" spans="1:7" x14ac:dyDescent="0.35">
      <c r="A31240" t="s">
        <v>230</v>
      </c>
      <c r="B31240" t="s">
        <v>2731</v>
      </c>
      <c r="C31240" s="26">
        <v>0.83350000000000002</v>
      </c>
      <c r="D31240" s="26">
        <v>0.16650000000000001</v>
      </c>
      <c r="G31240">
        <v>50</v>
      </c>
    </row>
    <row r="31241" spans="1:7" x14ac:dyDescent="0.35">
      <c r="A31241" t="s">
        <v>230</v>
      </c>
      <c r="B31241" t="s">
        <v>2732</v>
      </c>
      <c r="C31241" s="26">
        <v>0.77410000000000001</v>
      </c>
      <c r="D31241" s="26">
        <v>0.22589999999999999</v>
      </c>
      <c r="G31241">
        <v>313</v>
      </c>
    </row>
    <row r="31242" spans="1:7" x14ac:dyDescent="0.35">
      <c r="A31242" t="s">
        <v>231</v>
      </c>
      <c r="B31242" t="s">
        <v>2730</v>
      </c>
      <c r="C31242" s="26">
        <v>1</v>
      </c>
      <c r="G31242">
        <v>55</v>
      </c>
    </row>
    <row r="31243" spans="1:7" x14ac:dyDescent="0.35">
      <c r="A31243" s="27" t="s">
        <v>231</v>
      </c>
      <c r="B31243" s="27" t="s">
        <v>2731</v>
      </c>
      <c r="C31243" s="28">
        <v>1</v>
      </c>
      <c r="D31243" s="29"/>
      <c r="E31243" s="29"/>
      <c r="F31243" s="29"/>
      <c r="G31243" s="29" t="s">
        <v>343</v>
      </c>
    </row>
    <row r="31244" spans="1:7" x14ac:dyDescent="0.35">
      <c r="A31244" t="s">
        <v>231</v>
      </c>
      <c r="B31244" t="s">
        <v>2732</v>
      </c>
      <c r="C31244" s="26">
        <v>0.97829999999999995</v>
      </c>
      <c r="E31244" s="26">
        <v>1.09E-2</v>
      </c>
      <c r="F31244" s="26">
        <v>1.09E-2</v>
      </c>
      <c r="G31244">
        <v>92</v>
      </c>
    </row>
    <row r="31245" spans="1:7" x14ac:dyDescent="0.35">
      <c r="A31245" t="s">
        <v>232</v>
      </c>
      <c r="B31245" t="s">
        <v>232</v>
      </c>
      <c r="C31245" s="26">
        <v>0.84379999999999999</v>
      </c>
      <c r="D31245" s="26">
        <v>0.14749999999999999</v>
      </c>
      <c r="E31245" s="26">
        <v>6.6E-3</v>
      </c>
      <c r="F31245" s="26">
        <v>2.0999999999999999E-3</v>
      </c>
      <c r="G31245">
        <v>2812</v>
      </c>
    </row>
    <row r="31247" spans="1:7" x14ac:dyDescent="0.35">
      <c r="A31247" s="1" t="s">
        <v>2766</v>
      </c>
    </row>
    <row r="31248" spans="1:7" x14ac:dyDescent="0.35">
      <c r="A31248" t="s">
        <v>219</v>
      </c>
      <c r="B31248" t="s">
        <v>305</v>
      </c>
      <c r="C31248" t="s">
        <v>1351</v>
      </c>
      <c r="D31248" t="s">
        <v>1352</v>
      </c>
      <c r="E31248" t="s">
        <v>1353</v>
      </c>
      <c r="F31248" t="s">
        <v>1354</v>
      </c>
      <c r="G31248" t="s">
        <v>226</v>
      </c>
    </row>
    <row r="31249" spans="1:7" x14ac:dyDescent="0.35">
      <c r="A31249" t="s">
        <v>228</v>
      </c>
      <c r="B31249" t="s">
        <v>2730</v>
      </c>
      <c r="C31249" s="26">
        <v>0.55820000000000003</v>
      </c>
      <c r="D31249" s="26">
        <v>0.2717</v>
      </c>
      <c r="E31249" s="26">
        <v>0.1411</v>
      </c>
      <c r="F31249" s="26">
        <v>2.9100000000000001E-2</v>
      </c>
      <c r="G31249">
        <v>172</v>
      </c>
    </row>
    <row r="31250" spans="1:7" x14ac:dyDescent="0.35">
      <c r="A31250" t="s">
        <v>228</v>
      </c>
      <c r="B31250" t="s">
        <v>2731</v>
      </c>
      <c r="C31250" s="26">
        <v>0.39050000000000001</v>
      </c>
      <c r="D31250" s="26">
        <v>0.51490000000000002</v>
      </c>
      <c r="E31250" s="26">
        <v>5.2400000000000002E-2</v>
      </c>
      <c r="F31250" s="26">
        <v>4.2099999999999999E-2</v>
      </c>
      <c r="G31250">
        <v>40</v>
      </c>
    </row>
    <row r="31251" spans="1:7" x14ac:dyDescent="0.35">
      <c r="A31251" t="s">
        <v>228</v>
      </c>
      <c r="B31251" t="s">
        <v>2732</v>
      </c>
      <c r="C31251" s="26">
        <v>0.57850000000000001</v>
      </c>
      <c r="D31251" s="26">
        <v>0.20519999999999999</v>
      </c>
      <c r="E31251" s="26">
        <v>0.13489999999999999</v>
      </c>
      <c r="F31251" s="26">
        <v>8.14E-2</v>
      </c>
      <c r="G31251">
        <v>223</v>
      </c>
    </row>
    <row r="31252" spans="1:7" x14ac:dyDescent="0.35">
      <c r="A31252" t="s">
        <v>229</v>
      </c>
      <c r="B31252" t="s">
        <v>2730</v>
      </c>
      <c r="C31252" s="26">
        <v>0.50319999999999998</v>
      </c>
      <c r="D31252" s="26">
        <v>9.8699999999999996E-2</v>
      </c>
      <c r="E31252" s="26">
        <v>0.31669999999999998</v>
      </c>
      <c r="F31252" s="26">
        <v>8.14E-2</v>
      </c>
      <c r="G31252">
        <v>73</v>
      </c>
    </row>
    <row r="31253" spans="1:7" x14ac:dyDescent="0.35">
      <c r="A31253" s="27" t="s">
        <v>229</v>
      </c>
      <c r="B31253" s="27" t="s">
        <v>2731</v>
      </c>
      <c r="C31253" s="28">
        <v>0.54090000000000005</v>
      </c>
      <c r="D31253" s="28">
        <v>0.26740000000000003</v>
      </c>
      <c r="E31253" s="28">
        <v>0.1918</v>
      </c>
      <c r="F31253" s="29"/>
      <c r="G31253" s="29" t="s">
        <v>343</v>
      </c>
    </row>
    <row r="31254" spans="1:7" x14ac:dyDescent="0.35">
      <c r="A31254" t="s">
        <v>229</v>
      </c>
      <c r="B31254" t="s">
        <v>2732</v>
      </c>
      <c r="C31254" s="26">
        <v>0.50119999999999998</v>
      </c>
      <c r="D31254" s="26">
        <v>0.30099999999999999</v>
      </c>
      <c r="E31254" s="26">
        <v>0.11020000000000001</v>
      </c>
      <c r="F31254" s="26">
        <v>8.7599999999999997E-2</v>
      </c>
      <c r="G31254">
        <v>130</v>
      </c>
    </row>
    <row r="31255" spans="1:7" x14ac:dyDescent="0.35">
      <c r="A31255" t="s">
        <v>230</v>
      </c>
      <c r="B31255" t="s">
        <v>2730</v>
      </c>
      <c r="C31255" s="26">
        <v>0.39340000000000003</v>
      </c>
      <c r="D31255" s="26">
        <v>0.22969999999999999</v>
      </c>
      <c r="E31255" s="26">
        <v>0.21310000000000001</v>
      </c>
      <c r="F31255" s="26">
        <v>0.1638</v>
      </c>
      <c r="G31255">
        <v>75</v>
      </c>
    </row>
    <row r="31256" spans="1:7" x14ac:dyDescent="0.35">
      <c r="A31256" s="27" t="s">
        <v>230</v>
      </c>
      <c r="B31256" s="27" t="s">
        <v>2731</v>
      </c>
      <c r="C31256" s="28">
        <v>0.58919999999999995</v>
      </c>
      <c r="D31256" s="28">
        <v>0.1381</v>
      </c>
      <c r="E31256" s="28">
        <v>0.25140000000000001</v>
      </c>
      <c r="F31256" s="28">
        <v>2.1299999999999999E-2</v>
      </c>
      <c r="G31256" s="29" t="s">
        <v>343</v>
      </c>
    </row>
    <row r="31257" spans="1:7" x14ac:dyDescent="0.35">
      <c r="A31257" t="s">
        <v>230</v>
      </c>
      <c r="B31257" t="s">
        <v>2732</v>
      </c>
      <c r="C31257" s="26">
        <v>0.43790000000000001</v>
      </c>
      <c r="D31257" s="26">
        <v>0.3624</v>
      </c>
      <c r="E31257" s="26">
        <v>7.3099999999999998E-2</v>
      </c>
      <c r="F31257" s="26">
        <v>0.12659999999999999</v>
      </c>
      <c r="G31257">
        <v>116</v>
      </c>
    </row>
    <row r="31258" spans="1:7" x14ac:dyDescent="0.35">
      <c r="A31258" t="s">
        <v>232</v>
      </c>
      <c r="B31258" t="s">
        <v>232</v>
      </c>
      <c r="C31258" s="26">
        <v>0.51800000000000002</v>
      </c>
      <c r="D31258" s="26">
        <v>0.26350000000000001</v>
      </c>
      <c r="E31258" s="26">
        <v>0.14080000000000001</v>
      </c>
      <c r="F31258" s="26">
        <v>7.7700000000000005E-2</v>
      </c>
      <c r="G31258">
        <v>863</v>
      </c>
    </row>
    <row r="31260" spans="1:7" x14ac:dyDescent="0.35">
      <c r="A31260" s="1" t="s">
        <v>2767</v>
      </c>
    </row>
    <row r="31261" spans="1:7" x14ac:dyDescent="0.35">
      <c r="A31261" t="s">
        <v>219</v>
      </c>
      <c r="B31261" t="s">
        <v>305</v>
      </c>
      <c r="C31261" t="s">
        <v>303</v>
      </c>
      <c r="D31261" t="s">
        <v>302</v>
      </c>
      <c r="E31261" t="s">
        <v>281</v>
      </c>
      <c r="F31261" t="s">
        <v>286</v>
      </c>
      <c r="G31261" t="s">
        <v>226</v>
      </c>
    </row>
    <row r="31262" spans="1:7" x14ac:dyDescent="0.35">
      <c r="A31262" t="s">
        <v>227</v>
      </c>
      <c r="B31262" t="s">
        <v>2730</v>
      </c>
      <c r="C31262" s="26">
        <v>0.43240000000000001</v>
      </c>
      <c r="D31262" s="26">
        <v>0.56759999999999999</v>
      </c>
      <c r="G31262">
        <v>37</v>
      </c>
    </row>
    <row r="31263" spans="1:7" x14ac:dyDescent="0.35">
      <c r="A31263" s="27" t="s">
        <v>227</v>
      </c>
      <c r="B31263" s="27" t="s">
        <v>2731</v>
      </c>
      <c r="C31263" s="28">
        <v>0.4375</v>
      </c>
      <c r="D31263" s="28">
        <v>0.5625</v>
      </c>
      <c r="E31263" s="29"/>
      <c r="F31263" s="29"/>
      <c r="G31263" s="29" t="s">
        <v>348</v>
      </c>
    </row>
    <row r="31264" spans="1:7" x14ac:dyDescent="0.35">
      <c r="A31264" t="s">
        <v>227</v>
      </c>
      <c r="B31264" t="s">
        <v>2732</v>
      </c>
      <c r="C31264" s="26">
        <v>0.46879999999999999</v>
      </c>
      <c r="D31264" s="26">
        <v>0.53120000000000001</v>
      </c>
      <c r="G31264">
        <v>64</v>
      </c>
    </row>
    <row r="31265" spans="1:7" x14ac:dyDescent="0.35">
      <c r="A31265" t="s">
        <v>228</v>
      </c>
      <c r="B31265" t="s">
        <v>2730</v>
      </c>
      <c r="C31265" s="26">
        <v>0.82509999999999994</v>
      </c>
      <c r="D31265" s="26">
        <v>0.17030000000000001</v>
      </c>
      <c r="E31265" s="26">
        <v>4.5999999999999999E-3</v>
      </c>
      <c r="G31265">
        <v>360</v>
      </c>
    </row>
    <row r="31266" spans="1:7" x14ac:dyDescent="0.35">
      <c r="A31266" t="s">
        <v>228</v>
      </c>
      <c r="B31266" t="s">
        <v>2731</v>
      </c>
      <c r="C31266" s="26">
        <v>0.73509999999999998</v>
      </c>
      <c r="D31266" s="26">
        <v>0.26490000000000002</v>
      </c>
      <c r="G31266">
        <v>96</v>
      </c>
    </row>
    <row r="31267" spans="1:7" x14ac:dyDescent="0.35">
      <c r="A31267" t="s">
        <v>228</v>
      </c>
      <c r="B31267" t="s">
        <v>2732</v>
      </c>
      <c r="C31267" s="26">
        <v>0.75629999999999997</v>
      </c>
      <c r="D31267" s="26">
        <v>0.23649999999999999</v>
      </c>
      <c r="E31267" s="26">
        <v>5.8999999999999999E-3</v>
      </c>
      <c r="F31267" s="26">
        <v>1.2999999999999999E-3</v>
      </c>
      <c r="G31267">
        <v>576</v>
      </c>
    </row>
    <row r="31268" spans="1:7" x14ac:dyDescent="0.35">
      <c r="A31268" t="s">
        <v>229</v>
      </c>
      <c r="B31268" t="s">
        <v>2730</v>
      </c>
      <c r="C31268" s="26">
        <v>0.70309999999999995</v>
      </c>
      <c r="D31268" s="26">
        <v>0.28339999999999999</v>
      </c>
      <c r="E31268" s="26">
        <v>1.29E-2</v>
      </c>
      <c r="F31268" s="26">
        <v>5.9999999999999995E-4</v>
      </c>
      <c r="G31268">
        <v>302</v>
      </c>
    </row>
    <row r="31269" spans="1:7" x14ac:dyDescent="0.35">
      <c r="A31269" t="s">
        <v>229</v>
      </c>
      <c r="B31269" t="s">
        <v>2731</v>
      </c>
      <c r="C31269" s="26">
        <v>0.7571</v>
      </c>
      <c r="D31269" s="26">
        <v>0.2429</v>
      </c>
      <c r="G31269">
        <v>86</v>
      </c>
    </row>
    <row r="31270" spans="1:7" x14ac:dyDescent="0.35">
      <c r="A31270" t="s">
        <v>229</v>
      </c>
      <c r="B31270" t="s">
        <v>2732</v>
      </c>
      <c r="C31270" s="26">
        <v>0.80110000000000003</v>
      </c>
      <c r="D31270" s="26">
        <v>0.1973</v>
      </c>
      <c r="E31270" s="26">
        <v>5.0000000000000001E-4</v>
      </c>
      <c r="F31270" s="26">
        <v>1E-3</v>
      </c>
      <c r="G31270">
        <v>507</v>
      </c>
    </row>
    <row r="31271" spans="1:7" x14ac:dyDescent="0.35">
      <c r="A31271" t="s">
        <v>230</v>
      </c>
      <c r="B31271" t="s">
        <v>2730</v>
      </c>
      <c r="C31271" s="26">
        <v>0.71040000000000003</v>
      </c>
      <c r="D31271" s="26">
        <v>0.28399999999999997</v>
      </c>
      <c r="E31271" s="26">
        <v>5.5999999999999999E-3</v>
      </c>
      <c r="G31271">
        <v>197</v>
      </c>
    </row>
    <row r="31272" spans="1:7" x14ac:dyDescent="0.35">
      <c r="A31272" t="s">
        <v>230</v>
      </c>
      <c r="B31272" t="s">
        <v>2731</v>
      </c>
      <c r="C31272" s="26">
        <v>0.56540000000000001</v>
      </c>
      <c r="D31272" s="26">
        <v>0.43459999999999999</v>
      </c>
      <c r="G31272">
        <v>50</v>
      </c>
    </row>
    <row r="31273" spans="1:7" x14ac:dyDescent="0.35">
      <c r="A31273" t="s">
        <v>230</v>
      </c>
      <c r="B31273" t="s">
        <v>2732</v>
      </c>
      <c r="C31273" s="26">
        <v>0.79090000000000005</v>
      </c>
      <c r="D31273" s="26">
        <v>0.20910000000000001</v>
      </c>
      <c r="G31273">
        <v>313</v>
      </c>
    </row>
    <row r="31274" spans="1:7" x14ac:dyDescent="0.35">
      <c r="A31274" t="s">
        <v>231</v>
      </c>
      <c r="B31274" t="s">
        <v>2730</v>
      </c>
      <c r="C31274" s="26">
        <v>0.3256</v>
      </c>
      <c r="D31274" s="26">
        <v>0.6744</v>
      </c>
      <c r="G31274">
        <v>43</v>
      </c>
    </row>
    <row r="31275" spans="1:7" x14ac:dyDescent="0.35">
      <c r="A31275" s="27" t="s">
        <v>231</v>
      </c>
      <c r="B31275" s="27" t="s">
        <v>2731</v>
      </c>
      <c r="C31275" s="28">
        <v>0.33329999999999999</v>
      </c>
      <c r="D31275" s="28">
        <v>0.66669999999999996</v>
      </c>
      <c r="E31275" s="29"/>
      <c r="F31275" s="29"/>
      <c r="G31275" s="29" t="s">
        <v>346</v>
      </c>
    </row>
    <row r="31276" spans="1:7" x14ac:dyDescent="0.35">
      <c r="A31276" t="s">
        <v>231</v>
      </c>
      <c r="B31276" t="s">
        <v>2732</v>
      </c>
      <c r="C31276" s="26">
        <v>0.26390000000000002</v>
      </c>
      <c r="D31276" s="26">
        <v>0.72219999999999995</v>
      </c>
      <c r="E31276" s="26">
        <v>1.3899999999999999E-2</v>
      </c>
      <c r="G31276">
        <v>72</v>
      </c>
    </row>
    <row r="31277" spans="1:7" x14ac:dyDescent="0.35">
      <c r="A31277" t="s">
        <v>232</v>
      </c>
      <c r="B31277" t="s">
        <v>232</v>
      </c>
      <c r="C31277" s="26">
        <v>0.61570000000000003</v>
      </c>
      <c r="D31277" s="26">
        <v>0.3795</v>
      </c>
      <c r="E31277" s="26">
        <v>4.4000000000000003E-3</v>
      </c>
      <c r="F31277" s="26">
        <v>4.0000000000000002E-4</v>
      </c>
      <c r="G31277">
        <v>2734</v>
      </c>
    </row>
    <row r="31279" spans="1:7" x14ac:dyDescent="0.35">
      <c r="A31279" s="1" t="s">
        <v>2768</v>
      </c>
    </row>
    <row r="31280" spans="1:7" x14ac:dyDescent="0.35">
      <c r="A31280" t="s">
        <v>219</v>
      </c>
      <c r="B31280" t="s">
        <v>305</v>
      </c>
      <c r="C31280" t="s">
        <v>1351</v>
      </c>
      <c r="D31280" t="s">
        <v>1352</v>
      </c>
      <c r="E31280" t="s">
        <v>1353</v>
      </c>
      <c r="F31280" t="s">
        <v>1354</v>
      </c>
      <c r="G31280" t="s">
        <v>226</v>
      </c>
    </row>
    <row r="31281" spans="1:7" x14ac:dyDescent="0.35">
      <c r="A31281" s="27" t="s">
        <v>227</v>
      </c>
      <c r="B31281" s="27" t="s">
        <v>2730</v>
      </c>
      <c r="C31281" s="29"/>
      <c r="D31281" s="29"/>
      <c r="E31281" s="28">
        <v>0.4375</v>
      </c>
      <c r="F31281" s="28">
        <v>0.5625</v>
      </c>
      <c r="G31281" s="29" t="s">
        <v>348</v>
      </c>
    </row>
    <row r="31282" spans="1:7" x14ac:dyDescent="0.35">
      <c r="A31282" s="27" t="s">
        <v>227</v>
      </c>
      <c r="B31282" s="27" t="s">
        <v>2731</v>
      </c>
      <c r="C31282" s="29"/>
      <c r="D31282" s="29"/>
      <c r="E31282" s="28">
        <v>0.85709999999999997</v>
      </c>
      <c r="F31282" s="28">
        <v>0.1429</v>
      </c>
      <c r="G31282" s="29" t="s">
        <v>339</v>
      </c>
    </row>
    <row r="31283" spans="1:7" x14ac:dyDescent="0.35">
      <c r="A31283" t="s">
        <v>227</v>
      </c>
      <c r="B31283" t="s">
        <v>2732</v>
      </c>
      <c r="E31283" s="26">
        <v>0.4667</v>
      </c>
      <c r="F31283" s="26">
        <v>0.5333</v>
      </c>
      <c r="G31283">
        <v>30</v>
      </c>
    </row>
    <row r="31284" spans="1:7" x14ac:dyDescent="0.35">
      <c r="A31284" t="s">
        <v>228</v>
      </c>
      <c r="B31284" t="s">
        <v>2730</v>
      </c>
      <c r="C31284" s="26">
        <v>0.54139999999999999</v>
      </c>
      <c r="D31284" s="26">
        <v>0.3039</v>
      </c>
      <c r="E31284" s="26">
        <v>9.6100000000000005E-2</v>
      </c>
      <c r="F31284" s="26">
        <v>5.8599999999999999E-2</v>
      </c>
      <c r="G31284">
        <v>294</v>
      </c>
    </row>
    <row r="31285" spans="1:7" x14ac:dyDescent="0.35">
      <c r="A31285" t="s">
        <v>228</v>
      </c>
      <c r="B31285" t="s">
        <v>2731</v>
      </c>
      <c r="C31285" s="26">
        <v>0.57940000000000003</v>
      </c>
      <c r="D31285" s="26">
        <v>0.20019999999999999</v>
      </c>
      <c r="E31285" s="26">
        <v>0.12280000000000001</v>
      </c>
      <c r="F31285" s="26">
        <v>9.7600000000000006E-2</v>
      </c>
      <c r="G31285">
        <v>79</v>
      </c>
    </row>
    <row r="31286" spans="1:7" x14ac:dyDescent="0.35">
      <c r="A31286" t="s">
        <v>228</v>
      </c>
      <c r="B31286" t="s">
        <v>2732</v>
      </c>
      <c r="C31286" s="26">
        <v>0.57340000000000002</v>
      </c>
      <c r="D31286" s="26">
        <v>0.25140000000000001</v>
      </c>
      <c r="E31286" s="26">
        <v>0.1358</v>
      </c>
      <c r="F31286" s="26">
        <v>3.9399999999999998E-2</v>
      </c>
      <c r="G31286">
        <v>442</v>
      </c>
    </row>
    <row r="31287" spans="1:7" x14ac:dyDescent="0.35">
      <c r="A31287" t="s">
        <v>229</v>
      </c>
      <c r="B31287" t="s">
        <v>2730</v>
      </c>
      <c r="C31287" s="26">
        <v>0.56369999999999998</v>
      </c>
      <c r="D31287" s="26">
        <v>0.28349999999999997</v>
      </c>
      <c r="E31287" s="26">
        <v>0.1085</v>
      </c>
      <c r="F31287" s="26">
        <v>4.4200000000000003E-2</v>
      </c>
      <c r="G31287">
        <v>231</v>
      </c>
    </row>
    <row r="31288" spans="1:7" x14ac:dyDescent="0.35">
      <c r="A31288" t="s">
        <v>229</v>
      </c>
      <c r="B31288" t="s">
        <v>2731</v>
      </c>
      <c r="C31288" s="26">
        <v>0.63119999999999998</v>
      </c>
      <c r="D31288" s="26">
        <v>0.23119999999999999</v>
      </c>
      <c r="E31288" s="26">
        <v>0.1174</v>
      </c>
      <c r="F31288" s="26">
        <v>2.0299999999999999E-2</v>
      </c>
      <c r="G31288">
        <v>69</v>
      </c>
    </row>
    <row r="31289" spans="1:7" x14ac:dyDescent="0.35">
      <c r="A31289" t="s">
        <v>229</v>
      </c>
      <c r="B31289" t="s">
        <v>2732</v>
      </c>
      <c r="C31289" s="26">
        <v>0.58489999999999998</v>
      </c>
      <c r="D31289" s="26">
        <v>0.26340000000000002</v>
      </c>
      <c r="E31289" s="26">
        <v>7.5700000000000003E-2</v>
      </c>
      <c r="F31289" s="26">
        <v>7.5899999999999995E-2</v>
      </c>
      <c r="G31289">
        <v>391</v>
      </c>
    </row>
    <row r="31290" spans="1:7" x14ac:dyDescent="0.35">
      <c r="A31290" t="s">
        <v>230</v>
      </c>
      <c r="B31290" t="s">
        <v>2730</v>
      </c>
      <c r="C31290" s="26">
        <v>0.4002</v>
      </c>
      <c r="D31290" s="26">
        <v>0.3261</v>
      </c>
      <c r="E31290" s="26">
        <v>0.16650000000000001</v>
      </c>
      <c r="F31290" s="26">
        <v>0.10730000000000001</v>
      </c>
      <c r="G31290">
        <v>141</v>
      </c>
    </row>
    <row r="31291" spans="1:7" x14ac:dyDescent="0.35">
      <c r="A31291" t="s">
        <v>230</v>
      </c>
      <c r="B31291" t="s">
        <v>2731</v>
      </c>
      <c r="C31291" s="26">
        <v>0.7198</v>
      </c>
      <c r="D31291" s="26">
        <v>4.7399999999999998E-2</v>
      </c>
      <c r="E31291" s="26">
        <v>0.20569999999999999</v>
      </c>
      <c r="F31291" s="26">
        <v>2.7099999999999999E-2</v>
      </c>
      <c r="G31291">
        <v>32</v>
      </c>
    </row>
    <row r="31292" spans="1:7" x14ac:dyDescent="0.35">
      <c r="A31292" t="s">
        <v>230</v>
      </c>
      <c r="B31292" t="s">
        <v>2732</v>
      </c>
      <c r="C31292" s="26">
        <v>0.51800000000000002</v>
      </c>
      <c r="D31292" s="26">
        <v>0.30120000000000002</v>
      </c>
      <c r="E31292" s="26">
        <v>0.14460000000000001</v>
      </c>
      <c r="F31292" s="26">
        <v>3.6200000000000003E-2</v>
      </c>
      <c r="G31292">
        <v>233</v>
      </c>
    </row>
    <row r="31293" spans="1:7" x14ac:dyDescent="0.35">
      <c r="A31293" s="27" t="s">
        <v>231</v>
      </c>
      <c r="B31293" s="27" t="s">
        <v>2730</v>
      </c>
      <c r="C31293" s="29"/>
      <c r="D31293" s="29"/>
      <c r="E31293" s="28">
        <v>0.64290000000000003</v>
      </c>
      <c r="F31293" s="28">
        <v>0.35709999999999997</v>
      </c>
      <c r="G31293" s="29" t="s">
        <v>379</v>
      </c>
    </row>
    <row r="31294" spans="1:7" x14ac:dyDescent="0.35">
      <c r="A31294" s="27" t="s">
        <v>231</v>
      </c>
      <c r="B31294" s="27" t="s">
        <v>2731</v>
      </c>
      <c r="C31294" s="29"/>
      <c r="D31294" s="29"/>
      <c r="E31294" s="28">
        <v>0.4</v>
      </c>
      <c r="F31294" s="28">
        <v>0.6</v>
      </c>
      <c r="G31294" s="29" t="s">
        <v>332</v>
      </c>
    </row>
    <row r="31295" spans="1:7" x14ac:dyDescent="0.35">
      <c r="A31295" s="27" t="s">
        <v>231</v>
      </c>
      <c r="B31295" s="27" t="s">
        <v>2732</v>
      </c>
      <c r="C31295" s="29"/>
      <c r="D31295" s="29"/>
      <c r="E31295" s="28">
        <v>0.47370000000000001</v>
      </c>
      <c r="F31295" s="28">
        <v>0.52629999999999999</v>
      </c>
      <c r="G31295" s="29" t="s">
        <v>349</v>
      </c>
    </row>
    <row r="31296" spans="1:7" x14ac:dyDescent="0.35">
      <c r="A31296" t="s">
        <v>232</v>
      </c>
      <c r="B31296" t="s">
        <v>232</v>
      </c>
      <c r="C31296" s="26">
        <v>0.4476</v>
      </c>
      <c r="D31296" s="26">
        <v>0.215</v>
      </c>
      <c r="E31296" s="26">
        <v>0.19309999999999999</v>
      </c>
      <c r="F31296" s="26">
        <v>0.14430000000000001</v>
      </c>
      <c r="G31296">
        <v>2003</v>
      </c>
    </row>
    <row r="31298" spans="1:16" x14ac:dyDescent="0.35">
      <c r="A31298" s="1" t="s">
        <v>2769</v>
      </c>
    </row>
    <row r="31299" spans="1:16" x14ac:dyDescent="0.35">
      <c r="A31299" t="s">
        <v>219</v>
      </c>
      <c r="B31299" t="s">
        <v>305</v>
      </c>
      <c r="C31299" t="s">
        <v>550</v>
      </c>
      <c r="D31299" t="s">
        <v>1400</v>
      </c>
      <c r="E31299" t="s">
        <v>281</v>
      </c>
      <c r="F31299" t="s">
        <v>1401</v>
      </c>
      <c r="G31299" t="s">
        <v>1402</v>
      </c>
      <c r="H31299" t="s">
        <v>1403</v>
      </c>
      <c r="I31299" t="s">
        <v>1404</v>
      </c>
      <c r="J31299" t="s">
        <v>1405</v>
      </c>
      <c r="K31299" t="s">
        <v>286</v>
      </c>
      <c r="L31299" t="s">
        <v>1406</v>
      </c>
      <c r="M31299" t="s">
        <v>1407</v>
      </c>
      <c r="N31299" t="s">
        <v>1408</v>
      </c>
      <c r="O31299" t="s">
        <v>326</v>
      </c>
      <c r="P31299" t="s">
        <v>226</v>
      </c>
    </row>
    <row r="31300" spans="1:16" x14ac:dyDescent="0.35">
      <c r="A31300" t="s">
        <v>227</v>
      </c>
      <c r="B31300" t="s">
        <v>2730</v>
      </c>
      <c r="C31300" s="26">
        <v>0.95740000000000003</v>
      </c>
      <c r="E31300" s="26">
        <v>4.2599999999999999E-2</v>
      </c>
      <c r="P31300">
        <v>47</v>
      </c>
    </row>
    <row r="31301" spans="1:16" x14ac:dyDescent="0.35">
      <c r="A31301" s="27" t="s">
        <v>227</v>
      </c>
      <c r="B31301" s="27" t="s">
        <v>2731</v>
      </c>
      <c r="C31301" s="28">
        <v>0.95</v>
      </c>
      <c r="D31301" s="28">
        <v>0.05</v>
      </c>
      <c r="E31301" s="29"/>
      <c r="F31301" s="29"/>
      <c r="G31301" s="29"/>
      <c r="H31301" s="29"/>
      <c r="I31301" s="29"/>
      <c r="J31301" s="29"/>
      <c r="K31301" s="29"/>
      <c r="L31301" s="29"/>
      <c r="M31301" s="29"/>
      <c r="N31301" s="29"/>
      <c r="O31301" s="29"/>
      <c r="P31301" s="29" t="s">
        <v>350</v>
      </c>
    </row>
    <row r="31302" spans="1:16" x14ac:dyDescent="0.35">
      <c r="A31302" t="s">
        <v>227</v>
      </c>
      <c r="B31302" t="s">
        <v>2732</v>
      </c>
      <c r="C31302" s="26">
        <v>0.9556</v>
      </c>
      <c r="D31302" s="26">
        <v>1.11E-2</v>
      </c>
      <c r="E31302" s="26">
        <v>1.11E-2</v>
      </c>
      <c r="F31302" s="26">
        <v>1.11E-2</v>
      </c>
      <c r="H31302" s="26">
        <v>1.11E-2</v>
      </c>
      <c r="P31302">
        <v>90</v>
      </c>
    </row>
    <row r="31303" spans="1:16" x14ac:dyDescent="0.35">
      <c r="A31303" t="s">
        <v>228</v>
      </c>
      <c r="B31303" t="s">
        <v>2730</v>
      </c>
      <c r="C31303" s="26">
        <v>0.82599999999999996</v>
      </c>
      <c r="D31303" s="26">
        <v>3.78E-2</v>
      </c>
      <c r="E31303" s="26">
        <v>8.3799999999999999E-2</v>
      </c>
      <c r="F31303" s="26">
        <v>1.43E-2</v>
      </c>
      <c r="G31303" s="26">
        <v>1.5100000000000001E-2</v>
      </c>
      <c r="H31303" s="26">
        <v>1.2999999999999999E-2</v>
      </c>
      <c r="I31303" s="26">
        <v>5.8999999999999999E-3</v>
      </c>
      <c r="J31303" s="26">
        <v>2.4299999999999999E-2</v>
      </c>
      <c r="P31303">
        <v>354</v>
      </c>
    </row>
    <row r="31304" spans="1:16" x14ac:dyDescent="0.35">
      <c r="A31304" t="s">
        <v>228</v>
      </c>
      <c r="B31304" t="s">
        <v>2731</v>
      </c>
      <c r="C31304" s="26">
        <v>0.73660000000000003</v>
      </c>
      <c r="D31304" s="26">
        <v>0.19919999999999999</v>
      </c>
      <c r="E31304" s="26">
        <v>2.4E-2</v>
      </c>
      <c r="F31304" s="26">
        <v>2.2100000000000002E-2</v>
      </c>
      <c r="G31304" s="26">
        <v>2.5700000000000001E-2</v>
      </c>
      <c r="H31304" s="26">
        <v>1.4999999999999999E-2</v>
      </c>
      <c r="I31304" s="26">
        <v>1.8100000000000002E-2</v>
      </c>
      <c r="J31304" s="26">
        <v>4.3799999999999999E-2</v>
      </c>
      <c r="L31304" s="26">
        <v>1.4999999999999999E-2</v>
      </c>
      <c r="N31304" s="26">
        <v>1.4999999999999999E-2</v>
      </c>
      <c r="P31304">
        <v>94</v>
      </c>
    </row>
    <row r="31305" spans="1:16" x14ac:dyDescent="0.35">
      <c r="A31305" t="s">
        <v>228</v>
      </c>
      <c r="B31305" t="s">
        <v>2732</v>
      </c>
      <c r="C31305" s="26">
        <v>0.88219999999999998</v>
      </c>
      <c r="D31305" s="26">
        <v>4.6600000000000003E-2</v>
      </c>
      <c r="E31305" s="26">
        <v>3.8100000000000002E-2</v>
      </c>
      <c r="F31305" s="26">
        <v>8.5000000000000006E-3</v>
      </c>
      <c r="G31305" s="26">
        <v>9.7999999999999997E-3</v>
      </c>
      <c r="H31305" s="26">
        <v>2.8E-3</v>
      </c>
      <c r="I31305" s="26">
        <v>1.1900000000000001E-2</v>
      </c>
      <c r="J31305" s="26">
        <v>2.3999999999999998E-3</v>
      </c>
      <c r="K31305" s="26">
        <v>1.6999999999999999E-3</v>
      </c>
      <c r="N31305" s="26">
        <v>2.8999999999999998E-3</v>
      </c>
      <c r="O31305" s="26">
        <v>3.0000000000000001E-3</v>
      </c>
      <c r="P31305">
        <v>561</v>
      </c>
    </row>
    <row r="31306" spans="1:16" x14ac:dyDescent="0.35">
      <c r="A31306" t="s">
        <v>229</v>
      </c>
      <c r="B31306" t="s">
        <v>2730</v>
      </c>
      <c r="C31306" s="26">
        <v>0.89170000000000005</v>
      </c>
      <c r="D31306" s="26">
        <v>2.7300000000000001E-2</v>
      </c>
      <c r="E31306" s="26">
        <v>6.8500000000000005E-2</v>
      </c>
      <c r="F31306" s="26">
        <v>1.01E-2</v>
      </c>
      <c r="G31306" s="26">
        <v>2.5000000000000001E-3</v>
      </c>
      <c r="H31306" s="26">
        <v>9.4000000000000004E-3</v>
      </c>
      <c r="J31306" s="26">
        <v>2.2000000000000001E-3</v>
      </c>
      <c r="K31306" s="26">
        <v>5.9999999999999995E-4</v>
      </c>
      <c r="L31306" s="26">
        <v>5.9999999999999995E-4</v>
      </c>
      <c r="P31306">
        <v>292</v>
      </c>
    </row>
    <row r="31307" spans="1:16" x14ac:dyDescent="0.35">
      <c r="A31307" t="s">
        <v>229</v>
      </c>
      <c r="B31307" t="s">
        <v>2731</v>
      </c>
      <c r="C31307" s="26">
        <v>0.80059999999999998</v>
      </c>
      <c r="D31307" s="26">
        <v>9.0800000000000006E-2</v>
      </c>
      <c r="E31307" s="26">
        <v>3.9100000000000003E-2</v>
      </c>
      <c r="H31307" s="26">
        <v>3.78E-2</v>
      </c>
      <c r="I31307" s="26">
        <v>3.1600000000000003E-2</v>
      </c>
      <c r="P31307">
        <v>84</v>
      </c>
    </row>
    <row r="31308" spans="1:16" x14ac:dyDescent="0.35">
      <c r="A31308" t="s">
        <v>229</v>
      </c>
      <c r="B31308" t="s">
        <v>2732</v>
      </c>
      <c r="C31308" s="26">
        <v>0.92669999999999997</v>
      </c>
      <c r="D31308" s="26">
        <v>1.95E-2</v>
      </c>
      <c r="E31308" s="26">
        <v>1.8100000000000002E-2</v>
      </c>
      <c r="F31308" s="26">
        <v>1.44E-2</v>
      </c>
      <c r="G31308" s="26">
        <v>1.11E-2</v>
      </c>
      <c r="H31308" s="26">
        <v>9.7999999999999997E-3</v>
      </c>
      <c r="I31308" s="26">
        <v>6.1999999999999998E-3</v>
      </c>
      <c r="J31308" s="26">
        <v>2.9999999999999997E-4</v>
      </c>
      <c r="K31308" s="26">
        <v>5.8999999999999999E-3</v>
      </c>
      <c r="L31308" s="26">
        <v>4.8999999999999998E-3</v>
      </c>
      <c r="M31308" s="26">
        <v>4.8999999999999998E-3</v>
      </c>
      <c r="P31308">
        <v>496</v>
      </c>
    </row>
    <row r="31309" spans="1:16" x14ac:dyDescent="0.35">
      <c r="A31309" t="s">
        <v>230</v>
      </c>
      <c r="B31309" t="s">
        <v>2730</v>
      </c>
      <c r="C31309" s="26">
        <v>0.77659999999999996</v>
      </c>
      <c r="D31309" s="26">
        <v>2.9899999999999999E-2</v>
      </c>
      <c r="E31309" s="26">
        <v>9.3200000000000005E-2</v>
      </c>
      <c r="F31309" s="26">
        <v>3.9800000000000002E-2</v>
      </c>
      <c r="G31309" s="26">
        <v>2.7799999999999998E-2</v>
      </c>
      <c r="H31309" s="26">
        <v>3.0000000000000001E-3</v>
      </c>
      <c r="I31309" s="26">
        <v>3.8899999999999997E-2</v>
      </c>
      <c r="J31309" s="26">
        <v>1.7899999999999999E-2</v>
      </c>
      <c r="P31309">
        <v>190</v>
      </c>
    </row>
    <row r="31310" spans="1:16" x14ac:dyDescent="0.35">
      <c r="A31310" t="s">
        <v>230</v>
      </c>
      <c r="B31310" t="s">
        <v>2731</v>
      </c>
      <c r="C31310" s="26">
        <v>0.94620000000000004</v>
      </c>
      <c r="D31310" s="26">
        <v>3.8699999999999998E-2</v>
      </c>
      <c r="E31310" s="26">
        <v>1.5100000000000001E-2</v>
      </c>
      <c r="G31310" s="26">
        <v>1.18E-2</v>
      </c>
      <c r="H31310" s="26">
        <v>1.18E-2</v>
      </c>
      <c r="J31310" s="26">
        <v>1.15E-2</v>
      </c>
      <c r="P31310">
        <v>49</v>
      </c>
    </row>
    <row r="31311" spans="1:16" x14ac:dyDescent="0.35">
      <c r="A31311" t="s">
        <v>230</v>
      </c>
      <c r="B31311" t="s">
        <v>2732</v>
      </c>
      <c r="C31311" s="26">
        <v>0.88900000000000001</v>
      </c>
      <c r="D31311" s="26">
        <v>5.33E-2</v>
      </c>
      <c r="E31311" s="26">
        <v>2.2800000000000001E-2</v>
      </c>
      <c r="F31311" s="26">
        <v>4.4000000000000003E-3</v>
      </c>
      <c r="G31311" s="26">
        <v>1.2699999999999999E-2</v>
      </c>
      <c r="H31311" s="26">
        <v>1.5E-3</v>
      </c>
      <c r="I31311" s="26">
        <v>1.5E-3</v>
      </c>
      <c r="J31311" s="26">
        <v>1.46E-2</v>
      </c>
      <c r="K31311" s="26">
        <v>9.1999999999999998E-3</v>
      </c>
      <c r="L31311" s="26">
        <v>9.1999999999999998E-3</v>
      </c>
      <c r="O31311" s="26">
        <v>5.0000000000000001E-4</v>
      </c>
      <c r="P31311">
        <v>305</v>
      </c>
    </row>
    <row r="31312" spans="1:16" x14ac:dyDescent="0.35">
      <c r="A31312" t="s">
        <v>231</v>
      </c>
      <c r="B31312" t="s">
        <v>2730</v>
      </c>
      <c r="C31312" s="26">
        <v>0.92730000000000001</v>
      </c>
      <c r="D31312" s="26">
        <v>1.8200000000000001E-2</v>
      </c>
      <c r="E31312" s="26">
        <v>1.8200000000000001E-2</v>
      </c>
      <c r="F31312" s="26">
        <v>1.8200000000000001E-2</v>
      </c>
      <c r="G31312" s="26">
        <v>1.8200000000000001E-2</v>
      </c>
      <c r="P31312">
        <v>55</v>
      </c>
    </row>
    <row r="31313" spans="1:16" x14ac:dyDescent="0.35">
      <c r="A31313" s="27" t="s">
        <v>231</v>
      </c>
      <c r="B31313" s="27" t="s">
        <v>2731</v>
      </c>
      <c r="C31313" s="28">
        <v>1</v>
      </c>
      <c r="D31313" s="29"/>
      <c r="E31313" s="29"/>
      <c r="F31313" s="29"/>
      <c r="G31313" s="29"/>
      <c r="H31313" s="29"/>
      <c r="I31313" s="29"/>
      <c r="J31313" s="29"/>
      <c r="K31313" s="29"/>
      <c r="L31313" s="29"/>
      <c r="M31313" s="29"/>
      <c r="N31313" s="29"/>
      <c r="O31313" s="29"/>
      <c r="P31313" s="29" t="s">
        <v>343</v>
      </c>
    </row>
    <row r="31314" spans="1:16" x14ac:dyDescent="0.35">
      <c r="A31314" t="s">
        <v>231</v>
      </c>
      <c r="B31314" t="s">
        <v>2732</v>
      </c>
      <c r="C31314" s="26">
        <v>0.95599999999999996</v>
      </c>
      <c r="D31314" s="26">
        <v>2.1999999999999999E-2</v>
      </c>
      <c r="F31314" s="26">
        <v>1.0999999999999999E-2</v>
      </c>
      <c r="G31314" s="26">
        <v>1.0999999999999999E-2</v>
      </c>
      <c r="H31314" s="26">
        <v>1.0999999999999999E-2</v>
      </c>
      <c r="K31314" s="26">
        <v>1.0999999999999999E-2</v>
      </c>
      <c r="P31314">
        <v>91</v>
      </c>
    </row>
    <row r="31315" spans="1:16" x14ac:dyDescent="0.35">
      <c r="A31315" t="s">
        <v>232</v>
      </c>
      <c r="B31315" t="s">
        <v>232</v>
      </c>
      <c r="C31315" s="26">
        <v>0.91120000000000001</v>
      </c>
      <c r="D31315" s="26">
        <v>2.9899999999999999E-2</v>
      </c>
      <c r="E31315" s="26">
        <v>2.8400000000000002E-2</v>
      </c>
      <c r="F31315" s="26">
        <v>1.14E-2</v>
      </c>
      <c r="G31315" s="26">
        <v>9.7000000000000003E-3</v>
      </c>
      <c r="H31315" s="26">
        <v>7.7000000000000002E-3</v>
      </c>
      <c r="I31315" s="26">
        <v>5.1000000000000004E-3</v>
      </c>
      <c r="J31315" s="26">
        <v>4.1999999999999997E-3</v>
      </c>
      <c r="K31315" s="26">
        <v>3.5000000000000001E-3</v>
      </c>
      <c r="L31315" s="26">
        <v>1.6999999999999999E-3</v>
      </c>
      <c r="M31315" s="26">
        <v>8.9999999999999998E-4</v>
      </c>
      <c r="N31315" s="26">
        <v>5.9999999999999995E-4</v>
      </c>
      <c r="O31315" s="26">
        <v>4.0000000000000002E-4</v>
      </c>
      <c r="P31315">
        <v>2745</v>
      </c>
    </row>
    <row r="31317" spans="1:16" x14ac:dyDescent="0.35">
      <c r="A31317" s="1" t="s">
        <v>2770</v>
      </c>
    </row>
    <row r="31318" spans="1:16" x14ac:dyDescent="0.35">
      <c r="A31318" t="s">
        <v>219</v>
      </c>
      <c r="B31318" t="s">
        <v>305</v>
      </c>
      <c r="C31318" t="s">
        <v>1424</v>
      </c>
      <c r="D31318" t="s">
        <v>1425</v>
      </c>
      <c r="E31318" t="s">
        <v>1426</v>
      </c>
      <c r="F31318" t="s">
        <v>1427</v>
      </c>
      <c r="G31318" t="s">
        <v>281</v>
      </c>
      <c r="H31318" t="s">
        <v>286</v>
      </c>
      <c r="I31318" t="s">
        <v>226</v>
      </c>
    </row>
    <row r="31319" spans="1:16" x14ac:dyDescent="0.35">
      <c r="A31319" t="s">
        <v>227</v>
      </c>
      <c r="B31319" t="s">
        <v>2730</v>
      </c>
      <c r="C31319" s="26">
        <v>0.87229999999999996</v>
      </c>
      <c r="D31319" s="26">
        <v>8.5099999999999995E-2</v>
      </c>
      <c r="E31319" s="26">
        <v>4.2599999999999999E-2</v>
      </c>
      <c r="I31319">
        <v>47</v>
      </c>
    </row>
    <row r="31320" spans="1:16" x14ac:dyDescent="0.35">
      <c r="A31320" s="27" t="s">
        <v>227</v>
      </c>
      <c r="B31320" s="27" t="s">
        <v>2731</v>
      </c>
      <c r="C31320" s="28">
        <v>1</v>
      </c>
      <c r="D31320" s="29"/>
      <c r="E31320" s="29"/>
      <c r="F31320" s="29"/>
      <c r="G31320" s="29"/>
      <c r="H31320" s="29"/>
      <c r="I31320" s="29" t="s">
        <v>351</v>
      </c>
    </row>
    <row r="31321" spans="1:16" x14ac:dyDescent="0.35">
      <c r="A31321" t="s">
        <v>227</v>
      </c>
      <c r="B31321" t="s">
        <v>2732</v>
      </c>
      <c r="C31321" s="26">
        <v>0.89249999999999996</v>
      </c>
      <c r="D31321" s="26">
        <v>5.3800000000000001E-2</v>
      </c>
      <c r="E31321" s="26">
        <v>4.2999999999999997E-2</v>
      </c>
      <c r="G31321" s="26">
        <v>1.0800000000000001E-2</v>
      </c>
      <c r="I31321">
        <v>93</v>
      </c>
    </row>
    <row r="31322" spans="1:16" x14ac:dyDescent="0.35">
      <c r="A31322" t="s">
        <v>228</v>
      </c>
      <c r="B31322" t="s">
        <v>2730</v>
      </c>
      <c r="C31322" s="26">
        <v>0.87219999999999998</v>
      </c>
      <c r="D31322" s="26">
        <v>6.1800000000000001E-2</v>
      </c>
      <c r="E31322" s="26">
        <v>2.5600000000000001E-2</v>
      </c>
      <c r="F31322" s="26">
        <v>1.6299999999999999E-2</v>
      </c>
      <c r="G31322" s="26">
        <v>2.4E-2</v>
      </c>
      <c r="I31322">
        <v>360</v>
      </c>
    </row>
    <row r="31323" spans="1:16" x14ac:dyDescent="0.35">
      <c r="A31323" t="s">
        <v>228</v>
      </c>
      <c r="B31323" t="s">
        <v>2731</v>
      </c>
      <c r="C31323" s="26">
        <v>0.88890000000000002</v>
      </c>
      <c r="D31323" s="26">
        <v>7.3899999999999993E-2</v>
      </c>
      <c r="E31323" s="26">
        <v>3.0200000000000001E-2</v>
      </c>
      <c r="F31323" s="26">
        <v>7.0000000000000001E-3</v>
      </c>
      <c r="I31323">
        <v>96</v>
      </c>
    </row>
    <row r="31324" spans="1:16" x14ac:dyDescent="0.35">
      <c r="A31324" t="s">
        <v>228</v>
      </c>
      <c r="B31324" t="s">
        <v>2732</v>
      </c>
      <c r="C31324" s="26">
        <v>0.82320000000000004</v>
      </c>
      <c r="D31324" s="26">
        <v>8.3099999999999993E-2</v>
      </c>
      <c r="E31324" s="26">
        <v>5.2299999999999999E-2</v>
      </c>
      <c r="F31324" s="26">
        <v>2.1499999999999998E-2</v>
      </c>
      <c r="G31324" s="26">
        <v>1.6899999999999998E-2</v>
      </c>
      <c r="H31324" s="26">
        <v>3.0000000000000001E-3</v>
      </c>
      <c r="I31324">
        <v>576</v>
      </c>
    </row>
    <row r="31325" spans="1:16" x14ac:dyDescent="0.35">
      <c r="A31325" t="s">
        <v>229</v>
      </c>
      <c r="B31325" t="s">
        <v>2730</v>
      </c>
      <c r="C31325" s="26">
        <v>0.82789999999999997</v>
      </c>
      <c r="D31325" s="26">
        <v>6.2199999999999998E-2</v>
      </c>
      <c r="E31325" s="26">
        <v>3.6600000000000001E-2</v>
      </c>
      <c r="F31325" s="26">
        <v>3.44E-2</v>
      </c>
      <c r="G31325" s="26">
        <v>2.98E-2</v>
      </c>
      <c r="H31325" s="26">
        <v>8.9999999999999993E-3</v>
      </c>
      <c r="I31325">
        <v>302</v>
      </c>
    </row>
    <row r="31326" spans="1:16" x14ac:dyDescent="0.35">
      <c r="A31326" t="s">
        <v>229</v>
      </c>
      <c r="B31326" t="s">
        <v>2731</v>
      </c>
      <c r="C31326" s="26">
        <v>0.89829999999999999</v>
      </c>
      <c r="D31326" s="26">
        <v>3.6499999999999998E-2</v>
      </c>
      <c r="E31326" s="26">
        <v>3.4599999999999999E-2</v>
      </c>
      <c r="G31326" s="26">
        <v>3.0499999999999999E-2</v>
      </c>
      <c r="I31326">
        <v>86</v>
      </c>
    </row>
    <row r="31327" spans="1:16" x14ac:dyDescent="0.35">
      <c r="A31327" t="s">
        <v>229</v>
      </c>
      <c r="B31327" t="s">
        <v>2732</v>
      </c>
      <c r="C31327" s="26">
        <v>0.84260000000000002</v>
      </c>
      <c r="D31327" s="26">
        <v>7.7899999999999997E-2</v>
      </c>
      <c r="E31327" s="26">
        <v>5.7700000000000001E-2</v>
      </c>
      <c r="F31327" s="26">
        <v>5.1000000000000004E-3</v>
      </c>
      <c r="G31327" s="26">
        <v>1.1299999999999999E-2</v>
      </c>
      <c r="H31327" s="26">
        <v>5.4999999999999997E-3</v>
      </c>
      <c r="I31327">
        <v>507</v>
      </c>
    </row>
    <row r="31328" spans="1:16" x14ac:dyDescent="0.35">
      <c r="A31328" t="s">
        <v>230</v>
      </c>
      <c r="B31328" t="s">
        <v>2730</v>
      </c>
      <c r="C31328" s="26">
        <v>0.92579999999999996</v>
      </c>
      <c r="D31328" s="26">
        <v>1.35E-2</v>
      </c>
      <c r="E31328" s="26">
        <v>4.48E-2</v>
      </c>
      <c r="F31328" s="26">
        <v>3.7000000000000002E-3</v>
      </c>
      <c r="G31328" s="26">
        <v>1.1299999999999999E-2</v>
      </c>
      <c r="H31328" s="26">
        <v>8.9999999999999998E-4</v>
      </c>
      <c r="I31328">
        <v>197</v>
      </c>
    </row>
    <row r="31329" spans="1:9" x14ac:dyDescent="0.35">
      <c r="A31329" t="s">
        <v>230</v>
      </c>
      <c r="B31329" t="s">
        <v>2731</v>
      </c>
      <c r="C31329" s="26">
        <v>0.86480000000000001</v>
      </c>
      <c r="D31329" s="26">
        <v>1.8800000000000001E-2</v>
      </c>
      <c r="E31329" s="26">
        <v>2.3300000000000001E-2</v>
      </c>
      <c r="F31329" s="26">
        <v>8.1299999999999997E-2</v>
      </c>
      <c r="G31329" s="26">
        <v>1.18E-2</v>
      </c>
      <c r="I31329">
        <v>50</v>
      </c>
    </row>
    <row r="31330" spans="1:9" x14ac:dyDescent="0.35">
      <c r="A31330" t="s">
        <v>230</v>
      </c>
      <c r="B31330" t="s">
        <v>2732</v>
      </c>
      <c r="C31330" s="26">
        <v>0.8569</v>
      </c>
      <c r="D31330" s="26">
        <v>7.4999999999999997E-2</v>
      </c>
      <c r="E31330" s="26">
        <v>4.6899999999999997E-2</v>
      </c>
      <c r="F31330" s="26">
        <v>1.78E-2</v>
      </c>
      <c r="G31330" s="26">
        <v>3.3999999999999998E-3</v>
      </c>
      <c r="I31330">
        <v>313</v>
      </c>
    </row>
    <row r="31331" spans="1:9" x14ac:dyDescent="0.35">
      <c r="A31331" t="s">
        <v>231</v>
      </c>
      <c r="B31331" t="s">
        <v>2730</v>
      </c>
      <c r="C31331" s="26">
        <v>0.90910000000000002</v>
      </c>
      <c r="D31331" s="26">
        <v>7.2700000000000001E-2</v>
      </c>
      <c r="E31331" s="26">
        <v>1.8200000000000001E-2</v>
      </c>
      <c r="I31331">
        <v>55</v>
      </c>
    </row>
    <row r="31332" spans="1:9" x14ac:dyDescent="0.35">
      <c r="A31332" s="27" t="s">
        <v>231</v>
      </c>
      <c r="B31332" s="27" t="s">
        <v>2731</v>
      </c>
      <c r="C31332" s="28">
        <v>0.82350000000000001</v>
      </c>
      <c r="D31332" s="28">
        <v>0.1176</v>
      </c>
      <c r="E31332" s="29"/>
      <c r="F31332" s="28">
        <v>5.8799999999999998E-2</v>
      </c>
      <c r="G31332" s="29"/>
      <c r="H31332" s="29"/>
      <c r="I31332" s="29" t="s">
        <v>343</v>
      </c>
    </row>
    <row r="31333" spans="1:9" x14ac:dyDescent="0.35">
      <c r="A31333" t="s">
        <v>231</v>
      </c>
      <c r="B31333" t="s">
        <v>2732</v>
      </c>
      <c r="C31333" s="26">
        <v>0.83699999999999997</v>
      </c>
      <c r="D31333" s="26">
        <v>0.1087</v>
      </c>
      <c r="F31333" s="26">
        <v>2.1700000000000001E-2</v>
      </c>
      <c r="G31333" s="26">
        <v>2.1700000000000001E-2</v>
      </c>
      <c r="H31333" s="26">
        <v>1.09E-2</v>
      </c>
      <c r="I31333">
        <v>92</v>
      </c>
    </row>
    <row r="31334" spans="1:9" x14ac:dyDescent="0.35">
      <c r="A31334" t="s">
        <v>232</v>
      </c>
      <c r="B31334" t="s">
        <v>232</v>
      </c>
      <c r="C31334" s="26">
        <v>0.86029999999999995</v>
      </c>
      <c r="D31334" s="26">
        <v>7.46E-2</v>
      </c>
      <c r="E31334" s="26">
        <v>3.3799999999999997E-2</v>
      </c>
      <c r="F31334" s="26">
        <v>1.4E-2</v>
      </c>
      <c r="G31334" s="26">
        <v>1.35E-2</v>
      </c>
      <c r="H31334" s="26">
        <v>3.7000000000000002E-3</v>
      </c>
      <c r="I31334">
        <v>2812</v>
      </c>
    </row>
    <row r="31336" spans="1:9" x14ac:dyDescent="0.35">
      <c r="A31336" s="1" t="s">
        <v>2771</v>
      </c>
    </row>
    <row r="31337" spans="1:9" x14ac:dyDescent="0.35">
      <c r="A31337" t="s">
        <v>219</v>
      </c>
      <c r="B31337" t="s">
        <v>305</v>
      </c>
      <c r="C31337" t="s">
        <v>1424</v>
      </c>
      <c r="D31337" t="s">
        <v>1425</v>
      </c>
      <c r="E31337" t="s">
        <v>1426</v>
      </c>
      <c r="F31337" t="s">
        <v>1427</v>
      </c>
      <c r="G31337" t="s">
        <v>281</v>
      </c>
      <c r="H31337" t="s">
        <v>286</v>
      </c>
      <c r="I31337" t="s">
        <v>226</v>
      </c>
    </row>
    <row r="31338" spans="1:9" x14ac:dyDescent="0.35">
      <c r="A31338" t="s">
        <v>227</v>
      </c>
      <c r="B31338" t="s">
        <v>2730</v>
      </c>
      <c r="C31338" s="26">
        <v>0.89359999999999995</v>
      </c>
      <c r="D31338" s="26">
        <v>6.3799999999999996E-2</v>
      </c>
      <c r="E31338" s="26">
        <v>4.2599999999999999E-2</v>
      </c>
      <c r="I31338">
        <v>47</v>
      </c>
    </row>
    <row r="31339" spans="1:9" x14ac:dyDescent="0.35">
      <c r="A31339" s="27" t="s">
        <v>227</v>
      </c>
      <c r="B31339" s="27" t="s">
        <v>2731</v>
      </c>
      <c r="C31339" s="28">
        <v>0.90480000000000005</v>
      </c>
      <c r="D31339" s="29"/>
      <c r="E31339" s="28">
        <v>4.7600000000000003E-2</v>
      </c>
      <c r="F31339" s="28">
        <v>4.7600000000000003E-2</v>
      </c>
      <c r="G31339" s="29"/>
      <c r="H31339" s="29"/>
      <c r="I31339" s="29" t="s">
        <v>351</v>
      </c>
    </row>
    <row r="31340" spans="1:9" x14ac:dyDescent="0.35">
      <c r="A31340" t="s">
        <v>227</v>
      </c>
      <c r="B31340" t="s">
        <v>2732</v>
      </c>
      <c r="C31340" s="26">
        <v>0.81720000000000004</v>
      </c>
      <c r="D31340" s="26">
        <v>7.5300000000000006E-2</v>
      </c>
      <c r="E31340" s="26">
        <v>5.3800000000000001E-2</v>
      </c>
      <c r="F31340" s="26">
        <v>5.3800000000000001E-2</v>
      </c>
      <c r="I31340">
        <v>93</v>
      </c>
    </row>
    <row r="31341" spans="1:9" x14ac:dyDescent="0.35">
      <c r="A31341" t="s">
        <v>228</v>
      </c>
      <c r="B31341" t="s">
        <v>2730</v>
      </c>
      <c r="C31341" s="26">
        <v>0.6179</v>
      </c>
      <c r="D31341" s="26">
        <v>0.20530000000000001</v>
      </c>
      <c r="E31341" s="26">
        <v>8.5099999999999995E-2</v>
      </c>
      <c r="F31341" s="26">
        <v>6.4199999999999993E-2</v>
      </c>
      <c r="G31341" s="26">
        <v>1.5900000000000001E-2</v>
      </c>
      <c r="H31341" s="26">
        <v>1.1599999999999999E-2</v>
      </c>
      <c r="I31341">
        <v>360</v>
      </c>
    </row>
    <row r="31342" spans="1:9" x14ac:dyDescent="0.35">
      <c r="A31342" t="s">
        <v>228</v>
      </c>
      <c r="B31342" t="s">
        <v>2731</v>
      </c>
      <c r="C31342" s="26">
        <v>0.71709999999999996</v>
      </c>
      <c r="D31342" s="26">
        <v>0.1002</v>
      </c>
      <c r="E31342" s="26">
        <v>6.4799999999999996E-2</v>
      </c>
      <c r="F31342" s="26">
        <v>9.3299999999999994E-2</v>
      </c>
      <c r="G31342" s="26">
        <v>1.7600000000000001E-2</v>
      </c>
      <c r="H31342" s="26">
        <v>7.0000000000000001E-3</v>
      </c>
      <c r="I31342">
        <v>96</v>
      </c>
    </row>
    <row r="31343" spans="1:9" x14ac:dyDescent="0.35">
      <c r="A31343" t="s">
        <v>228</v>
      </c>
      <c r="B31343" t="s">
        <v>2732</v>
      </c>
      <c r="C31343" s="26">
        <v>0.6472</v>
      </c>
      <c r="D31343" s="26">
        <v>0.19159999999999999</v>
      </c>
      <c r="E31343" s="26">
        <v>6.4799999999999996E-2</v>
      </c>
      <c r="F31343" s="26">
        <v>8.3599999999999994E-2</v>
      </c>
      <c r="G31343" s="26">
        <v>1.2800000000000001E-2</v>
      </c>
      <c r="I31343">
        <v>576</v>
      </c>
    </row>
    <row r="31344" spans="1:9" x14ac:dyDescent="0.35">
      <c r="A31344" t="s">
        <v>229</v>
      </c>
      <c r="B31344" t="s">
        <v>2730</v>
      </c>
      <c r="C31344" s="26">
        <v>0.71450000000000002</v>
      </c>
      <c r="D31344" s="26">
        <v>0.16589999999999999</v>
      </c>
      <c r="E31344" s="26">
        <v>4.6800000000000001E-2</v>
      </c>
      <c r="F31344" s="26">
        <v>5.3199999999999997E-2</v>
      </c>
      <c r="G31344" s="26">
        <v>8.9999999999999993E-3</v>
      </c>
      <c r="H31344" s="26">
        <v>1.0699999999999999E-2</v>
      </c>
      <c r="I31344">
        <v>302</v>
      </c>
    </row>
    <row r="31345" spans="1:9" x14ac:dyDescent="0.35">
      <c r="A31345" t="s">
        <v>229</v>
      </c>
      <c r="B31345" t="s">
        <v>2731</v>
      </c>
      <c r="C31345" s="26">
        <v>0.83389999999999997</v>
      </c>
      <c r="D31345" s="26">
        <v>9.2499999999999999E-2</v>
      </c>
      <c r="E31345" s="26">
        <v>4.7E-2</v>
      </c>
      <c r="F31345" s="26">
        <v>2.6599999999999999E-2</v>
      </c>
      <c r="I31345">
        <v>86</v>
      </c>
    </row>
    <row r="31346" spans="1:9" x14ac:dyDescent="0.35">
      <c r="A31346" t="s">
        <v>229</v>
      </c>
      <c r="B31346" t="s">
        <v>2732</v>
      </c>
      <c r="C31346" s="26">
        <v>0.77839999999999998</v>
      </c>
      <c r="D31346" s="26">
        <v>8.5199999999999998E-2</v>
      </c>
      <c r="E31346" s="26">
        <v>8.0799999999999997E-2</v>
      </c>
      <c r="F31346" s="26">
        <v>4.87E-2</v>
      </c>
      <c r="G31346" s="26">
        <v>6.4000000000000003E-3</v>
      </c>
      <c r="H31346" s="26">
        <v>5.0000000000000001E-4</v>
      </c>
      <c r="I31346">
        <v>507</v>
      </c>
    </row>
    <row r="31347" spans="1:9" x14ac:dyDescent="0.35">
      <c r="A31347" t="s">
        <v>230</v>
      </c>
      <c r="B31347" t="s">
        <v>2730</v>
      </c>
      <c r="C31347" s="26">
        <v>0.84279999999999999</v>
      </c>
      <c r="D31347" s="26">
        <v>7.9399999999999998E-2</v>
      </c>
      <c r="E31347" s="26">
        <v>4.0300000000000002E-2</v>
      </c>
      <c r="F31347" s="26">
        <v>1.9699999999999999E-2</v>
      </c>
      <c r="G31347" s="26">
        <v>1.78E-2</v>
      </c>
      <c r="I31347">
        <v>197</v>
      </c>
    </row>
    <row r="31348" spans="1:9" x14ac:dyDescent="0.35">
      <c r="A31348" t="s">
        <v>230</v>
      </c>
      <c r="B31348" t="s">
        <v>2731</v>
      </c>
      <c r="C31348" s="26">
        <v>0.89990000000000003</v>
      </c>
      <c r="E31348" s="26">
        <v>6.1600000000000002E-2</v>
      </c>
      <c r="F31348" s="26">
        <v>2.6800000000000001E-2</v>
      </c>
      <c r="G31348" s="26">
        <v>1.18E-2</v>
      </c>
      <c r="I31348">
        <v>50</v>
      </c>
    </row>
    <row r="31349" spans="1:9" x14ac:dyDescent="0.35">
      <c r="A31349" t="s">
        <v>230</v>
      </c>
      <c r="B31349" t="s">
        <v>2732</v>
      </c>
      <c r="C31349" s="26">
        <v>0.80530000000000002</v>
      </c>
      <c r="D31349" s="26">
        <v>9.0800000000000006E-2</v>
      </c>
      <c r="E31349" s="26">
        <v>6.2100000000000002E-2</v>
      </c>
      <c r="F31349" s="26">
        <v>3.1399999999999997E-2</v>
      </c>
      <c r="G31349" s="26">
        <v>1.04E-2</v>
      </c>
      <c r="I31349">
        <v>313</v>
      </c>
    </row>
    <row r="31350" spans="1:9" x14ac:dyDescent="0.35">
      <c r="A31350" t="s">
        <v>231</v>
      </c>
      <c r="B31350" t="s">
        <v>2730</v>
      </c>
      <c r="C31350" s="26">
        <v>0.92730000000000001</v>
      </c>
      <c r="F31350" s="26">
        <v>7.2700000000000001E-2</v>
      </c>
      <c r="I31350">
        <v>55</v>
      </c>
    </row>
    <row r="31351" spans="1:9" x14ac:dyDescent="0.35">
      <c r="A31351" s="27" t="s">
        <v>231</v>
      </c>
      <c r="B31351" s="27" t="s">
        <v>2731</v>
      </c>
      <c r="C31351" s="28">
        <v>0.82350000000000001</v>
      </c>
      <c r="D31351" s="28">
        <v>5.8799999999999998E-2</v>
      </c>
      <c r="E31351" s="28">
        <v>5.8799999999999998E-2</v>
      </c>
      <c r="F31351" s="28">
        <v>5.8799999999999998E-2</v>
      </c>
      <c r="G31351" s="29"/>
      <c r="H31351" s="29"/>
      <c r="I31351" s="29" t="s">
        <v>343</v>
      </c>
    </row>
    <row r="31352" spans="1:9" x14ac:dyDescent="0.35">
      <c r="A31352" t="s">
        <v>231</v>
      </c>
      <c r="B31352" t="s">
        <v>2732</v>
      </c>
      <c r="C31352" s="26">
        <v>0.85870000000000002</v>
      </c>
      <c r="D31352" s="26">
        <v>7.6100000000000001E-2</v>
      </c>
      <c r="E31352" s="26">
        <v>2.1700000000000001E-2</v>
      </c>
      <c r="F31352" s="26">
        <v>3.2599999999999997E-2</v>
      </c>
      <c r="G31352" s="26">
        <v>1.09E-2</v>
      </c>
      <c r="I31352">
        <v>92</v>
      </c>
    </row>
    <row r="31353" spans="1:9" x14ac:dyDescent="0.35">
      <c r="A31353" t="s">
        <v>232</v>
      </c>
      <c r="B31353" t="s">
        <v>232</v>
      </c>
      <c r="C31353" s="26">
        <v>0.79069999999999996</v>
      </c>
      <c r="D31353" s="26">
        <v>9.7799999999999998E-2</v>
      </c>
      <c r="E31353" s="26">
        <v>5.1799999999999999E-2</v>
      </c>
      <c r="F31353" s="26">
        <v>5.04E-2</v>
      </c>
      <c r="G31353" s="26">
        <v>7.4999999999999997E-3</v>
      </c>
      <c r="H31353" s="26">
        <v>1.8E-3</v>
      </c>
      <c r="I31353">
        <v>2812</v>
      </c>
    </row>
    <row r="31355" spans="1:9" x14ac:dyDescent="0.35">
      <c r="A31355" s="1" t="s">
        <v>2772</v>
      </c>
    </row>
    <row r="31356" spans="1:9" x14ac:dyDescent="0.35">
      <c r="A31356" t="s">
        <v>219</v>
      </c>
      <c r="B31356" t="s">
        <v>305</v>
      </c>
      <c r="C31356" t="s">
        <v>1424</v>
      </c>
      <c r="D31356" t="s">
        <v>1427</v>
      </c>
      <c r="E31356" t="s">
        <v>281</v>
      </c>
      <c r="F31356" t="s">
        <v>1426</v>
      </c>
      <c r="G31356" t="s">
        <v>1425</v>
      </c>
      <c r="H31356" t="s">
        <v>286</v>
      </c>
      <c r="I31356" t="s">
        <v>226</v>
      </c>
    </row>
    <row r="31357" spans="1:9" x14ac:dyDescent="0.35">
      <c r="A31357" t="s">
        <v>227</v>
      </c>
      <c r="B31357" t="s">
        <v>2730</v>
      </c>
      <c r="C31357" s="26">
        <v>0.95740000000000003</v>
      </c>
      <c r="D31357" s="26">
        <v>2.1299999999999999E-2</v>
      </c>
      <c r="E31357" s="26">
        <v>2.1299999999999999E-2</v>
      </c>
      <c r="I31357">
        <v>47</v>
      </c>
    </row>
    <row r="31358" spans="1:9" x14ac:dyDescent="0.35">
      <c r="A31358" s="27" t="s">
        <v>227</v>
      </c>
      <c r="B31358" s="27" t="s">
        <v>2731</v>
      </c>
      <c r="C31358" s="28">
        <v>0.95240000000000002</v>
      </c>
      <c r="D31358" s="28">
        <v>4.7600000000000003E-2</v>
      </c>
      <c r="E31358" s="29"/>
      <c r="F31358" s="29"/>
      <c r="G31358" s="29"/>
      <c r="H31358" s="29"/>
      <c r="I31358" s="29" t="s">
        <v>351</v>
      </c>
    </row>
    <row r="31359" spans="1:9" x14ac:dyDescent="0.35">
      <c r="A31359" t="s">
        <v>227</v>
      </c>
      <c r="B31359" t="s">
        <v>2732</v>
      </c>
      <c r="C31359" s="26">
        <v>0.9355</v>
      </c>
      <c r="D31359" s="26">
        <v>2.1499999999999998E-2</v>
      </c>
      <c r="F31359" s="26">
        <v>2.1499999999999998E-2</v>
      </c>
      <c r="G31359" s="26">
        <v>2.1499999999999998E-2</v>
      </c>
      <c r="I31359">
        <v>93</v>
      </c>
    </row>
    <row r="31360" spans="1:9" x14ac:dyDescent="0.35">
      <c r="A31360" t="s">
        <v>228</v>
      </c>
      <c r="B31360" t="s">
        <v>2730</v>
      </c>
      <c r="C31360" s="26">
        <v>0.9012</v>
      </c>
      <c r="D31360" s="26">
        <v>3.7999999999999999E-2</v>
      </c>
      <c r="E31360" s="26">
        <v>1.9300000000000001E-2</v>
      </c>
      <c r="F31360" s="26">
        <v>1.95E-2</v>
      </c>
      <c r="G31360" s="26">
        <v>2.2100000000000002E-2</v>
      </c>
      <c r="I31360">
        <v>360</v>
      </c>
    </row>
    <row r="31361" spans="1:9" x14ac:dyDescent="0.35">
      <c r="A31361" t="s">
        <v>228</v>
      </c>
      <c r="B31361" t="s">
        <v>2731</v>
      </c>
      <c r="C31361" s="26">
        <v>0.89800000000000002</v>
      </c>
      <c r="D31361" s="26">
        <v>5.3E-3</v>
      </c>
      <c r="E31361" s="26">
        <v>7.0000000000000001E-3</v>
      </c>
      <c r="F31361" s="26">
        <v>1.01E-2</v>
      </c>
      <c r="G31361" s="26">
        <v>7.9699999999999993E-2</v>
      </c>
      <c r="I31361">
        <v>96</v>
      </c>
    </row>
    <row r="31362" spans="1:9" x14ac:dyDescent="0.35">
      <c r="A31362" t="s">
        <v>228</v>
      </c>
      <c r="B31362" t="s">
        <v>2732</v>
      </c>
      <c r="C31362" s="26">
        <v>0.88859999999999995</v>
      </c>
      <c r="D31362" s="26">
        <v>2.52E-2</v>
      </c>
      <c r="E31362" s="26">
        <v>3.3300000000000003E-2</v>
      </c>
      <c r="F31362" s="26">
        <v>3.8100000000000002E-2</v>
      </c>
      <c r="G31362" s="26">
        <v>1.49E-2</v>
      </c>
      <c r="I31362">
        <v>576</v>
      </c>
    </row>
    <row r="31363" spans="1:9" x14ac:dyDescent="0.35">
      <c r="A31363" t="s">
        <v>229</v>
      </c>
      <c r="B31363" t="s">
        <v>2730</v>
      </c>
      <c r="C31363" s="26">
        <v>0.86719999999999997</v>
      </c>
      <c r="D31363" s="26">
        <v>3.3500000000000002E-2</v>
      </c>
      <c r="E31363" s="26">
        <v>2.69E-2</v>
      </c>
      <c r="F31363" s="26">
        <v>6.2199999999999998E-2</v>
      </c>
      <c r="G31363" s="26">
        <v>1.1999999999999999E-3</v>
      </c>
      <c r="H31363" s="26">
        <v>8.9999999999999993E-3</v>
      </c>
      <c r="I31363">
        <v>302</v>
      </c>
    </row>
    <row r="31364" spans="1:9" x14ac:dyDescent="0.35">
      <c r="A31364" t="s">
        <v>229</v>
      </c>
      <c r="B31364" t="s">
        <v>2731</v>
      </c>
      <c r="C31364" s="26">
        <v>0.87780000000000002</v>
      </c>
      <c r="D31364" s="26">
        <v>3.0499999999999999E-2</v>
      </c>
      <c r="E31364" s="26">
        <v>1.4200000000000001E-2</v>
      </c>
      <c r="F31364" s="26">
        <v>6.9400000000000003E-2</v>
      </c>
      <c r="G31364" s="26">
        <v>8.0999999999999996E-3</v>
      </c>
      <c r="I31364">
        <v>86</v>
      </c>
    </row>
    <row r="31365" spans="1:9" x14ac:dyDescent="0.35">
      <c r="A31365" t="s">
        <v>229</v>
      </c>
      <c r="B31365" t="s">
        <v>2732</v>
      </c>
      <c r="C31365" s="26">
        <v>0.91690000000000005</v>
      </c>
      <c r="D31365" s="26">
        <v>8.8000000000000005E-3</v>
      </c>
      <c r="E31365" s="26">
        <v>3.04E-2</v>
      </c>
      <c r="F31365" s="26">
        <v>3.2300000000000002E-2</v>
      </c>
      <c r="G31365" s="26">
        <v>1.09E-2</v>
      </c>
      <c r="H31365" s="26">
        <v>8.0000000000000004E-4</v>
      </c>
      <c r="I31365">
        <v>507</v>
      </c>
    </row>
    <row r="31366" spans="1:9" x14ac:dyDescent="0.35">
      <c r="A31366" t="s">
        <v>230</v>
      </c>
      <c r="B31366" t="s">
        <v>2730</v>
      </c>
      <c r="C31366" s="26">
        <v>0.93359999999999999</v>
      </c>
      <c r="D31366" s="26">
        <v>2.9100000000000001E-2</v>
      </c>
      <c r="E31366" s="26">
        <v>6.4000000000000003E-3</v>
      </c>
      <c r="F31366" s="26">
        <v>1.78E-2</v>
      </c>
      <c r="G31366" s="26">
        <v>1.2999999999999999E-2</v>
      </c>
      <c r="I31366">
        <v>197</v>
      </c>
    </row>
    <row r="31367" spans="1:9" x14ac:dyDescent="0.35">
      <c r="A31367" t="s">
        <v>230</v>
      </c>
      <c r="B31367" t="s">
        <v>2731</v>
      </c>
      <c r="C31367" s="26">
        <v>0.96499999999999997</v>
      </c>
      <c r="D31367" s="26">
        <v>1.18E-2</v>
      </c>
      <c r="E31367" s="26">
        <v>1.18E-2</v>
      </c>
      <c r="F31367" s="26">
        <v>1.15E-2</v>
      </c>
      <c r="I31367">
        <v>50</v>
      </c>
    </row>
    <row r="31368" spans="1:9" x14ac:dyDescent="0.35">
      <c r="A31368" t="s">
        <v>230</v>
      </c>
      <c r="B31368" t="s">
        <v>2732</v>
      </c>
      <c r="C31368" s="26">
        <v>0.91190000000000004</v>
      </c>
      <c r="D31368" s="26">
        <v>3.2000000000000001E-2</v>
      </c>
      <c r="E31368" s="26">
        <v>2.3999999999999998E-3</v>
      </c>
      <c r="F31368" s="26">
        <v>3.4000000000000002E-2</v>
      </c>
      <c r="G31368" s="26">
        <v>1.9699999999999999E-2</v>
      </c>
      <c r="I31368">
        <v>313</v>
      </c>
    </row>
    <row r="31369" spans="1:9" x14ac:dyDescent="0.35">
      <c r="A31369" t="s">
        <v>231</v>
      </c>
      <c r="B31369" t="s">
        <v>2730</v>
      </c>
      <c r="C31369" s="26">
        <v>0.92730000000000001</v>
      </c>
      <c r="D31369" s="26">
        <v>5.45E-2</v>
      </c>
      <c r="E31369" s="26">
        <v>1.8200000000000001E-2</v>
      </c>
      <c r="I31369">
        <v>55</v>
      </c>
    </row>
    <row r="31370" spans="1:9" x14ac:dyDescent="0.35">
      <c r="A31370" s="27" t="s">
        <v>231</v>
      </c>
      <c r="B31370" s="27" t="s">
        <v>2731</v>
      </c>
      <c r="C31370" s="28">
        <v>0.94120000000000004</v>
      </c>
      <c r="D31370" s="29"/>
      <c r="E31370" s="29"/>
      <c r="F31370" s="29"/>
      <c r="G31370" s="28">
        <v>5.8799999999999998E-2</v>
      </c>
      <c r="H31370" s="29"/>
      <c r="I31370" s="29" t="s">
        <v>343</v>
      </c>
    </row>
    <row r="31371" spans="1:9" x14ac:dyDescent="0.35">
      <c r="A31371" t="s">
        <v>231</v>
      </c>
      <c r="B31371" t="s">
        <v>2732</v>
      </c>
      <c r="C31371" s="26">
        <v>0.93479999999999996</v>
      </c>
      <c r="D31371" s="26">
        <v>1.09E-2</v>
      </c>
      <c r="E31371" s="26">
        <v>4.3499999999999997E-2</v>
      </c>
      <c r="G31371" s="26">
        <v>1.09E-2</v>
      </c>
      <c r="I31371">
        <v>92</v>
      </c>
    </row>
    <row r="31372" spans="1:9" x14ac:dyDescent="0.35">
      <c r="A31372" t="s">
        <v>232</v>
      </c>
      <c r="B31372" t="s">
        <v>232</v>
      </c>
      <c r="C31372" s="26">
        <v>0.91669999999999996</v>
      </c>
      <c r="D31372" s="26">
        <v>2.3599999999999999E-2</v>
      </c>
      <c r="E31372" s="26">
        <v>2.29E-2</v>
      </c>
      <c r="F31372" s="26">
        <v>2.2700000000000001E-2</v>
      </c>
      <c r="G31372" s="26">
        <v>1.3299999999999999E-2</v>
      </c>
      <c r="H31372" s="26">
        <v>8.9999999999999998E-4</v>
      </c>
      <c r="I31372">
        <v>2812</v>
      </c>
    </row>
    <row r="31374" spans="1:9" x14ac:dyDescent="0.35">
      <c r="A31374" s="1" t="s">
        <v>2773</v>
      </c>
    </row>
    <row r="31375" spans="1:9" x14ac:dyDescent="0.35">
      <c r="A31375" t="s">
        <v>219</v>
      </c>
      <c r="B31375" t="s">
        <v>305</v>
      </c>
      <c r="C31375" t="s">
        <v>1424</v>
      </c>
      <c r="D31375" t="s">
        <v>1426</v>
      </c>
      <c r="E31375" t="s">
        <v>1425</v>
      </c>
      <c r="F31375" t="s">
        <v>1427</v>
      </c>
      <c r="G31375" t="s">
        <v>281</v>
      </c>
      <c r="H31375" t="s">
        <v>286</v>
      </c>
      <c r="I31375" t="s">
        <v>226</v>
      </c>
    </row>
    <row r="31376" spans="1:9" x14ac:dyDescent="0.35">
      <c r="A31376" t="s">
        <v>227</v>
      </c>
      <c r="B31376" t="s">
        <v>2730</v>
      </c>
      <c r="C31376" s="26">
        <v>0.93620000000000003</v>
      </c>
      <c r="F31376" s="26">
        <v>6.3799999999999996E-2</v>
      </c>
      <c r="I31376">
        <v>47</v>
      </c>
    </row>
    <row r="31377" spans="1:9" x14ac:dyDescent="0.35">
      <c r="A31377" s="27" t="s">
        <v>227</v>
      </c>
      <c r="B31377" s="27" t="s">
        <v>2731</v>
      </c>
      <c r="C31377" s="28">
        <v>0.95240000000000002</v>
      </c>
      <c r="D31377" s="29"/>
      <c r="E31377" s="29"/>
      <c r="F31377" s="29"/>
      <c r="G31377" s="28">
        <v>4.7600000000000003E-2</v>
      </c>
      <c r="H31377" s="29"/>
      <c r="I31377" s="29" t="s">
        <v>351</v>
      </c>
    </row>
    <row r="31378" spans="1:9" x14ac:dyDescent="0.35">
      <c r="A31378" t="s">
        <v>227</v>
      </c>
      <c r="B31378" t="s">
        <v>2732</v>
      </c>
      <c r="C31378" s="26">
        <v>0.97850000000000004</v>
      </c>
      <c r="E31378" s="26">
        <v>2.1499999999999998E-2</v>
      </c>
      <c r="I31378">
        <v>93</v>
      </c>
    </row>
    <row r="31379" spans="1:9" x14ac:dyDescent="0.35">
      <c r="A31379" t="s">
        <v>228</v>
      </c>
      <c r="B31379" t="s">
        <v>2730</v>
      </c>
      <c r="C31379" s="26">
        <v>0.94130000000000003</v>
      </c>
      <c r="D31379" s="26">
        <v>6.1999999999999998E-3</v>
      </c>
      <c r="E31379" s="26">
        <v>2.9499999999999998E-2</v>
      </c>
      <c r="F31379" s="26">
        <v>1.29E-2</v>
      </c>
      <c r="G31379" s="26">
        <v>1.0200000000000001E-2</v>
      </c>
      <c r="I31379">
        <v>360</v>
      </c>
    </row>
    <row r="31380" spans="1:9" x14ac:dyDescent="0.35">
      <c r="A31380" t="s">
        <v>228</v>
      </c>
      <c r="B31380" t="s">
        <v>2731</v>
      </c>
      <c r="C31380" s="26">
        <v>0.82069999999999999</v>
      </c>
      <c r="D31380" s="26">
        <v>7.6600000000000001E-2</v>
      </c>
      <c r="E31380" s="26">
        <v>6.3299999999999995E-2</v>
      </c>
      <c r="F31380" s="26">
        <v>1.7600000000000001E-2</v>
      </c>
      <c r="G31380" s="26">
        <v>7.0000000000000001E-3</v>
      </c>
      <c r="H31380" s="26">
        <v>1.49E-2</v>
      </c>
      <c r="I31380">
        <v>96</v>
      </c>
    </row>
    <row r="31381" spans="1:9" x14ac:dyDescent="0.35">
      <c r="A31381" t="s">
        <v>228</v>
      </c>
      <c r="B31381" t="s">
        <v>2732</v>
      </c>
      <c r="C31381" s="26">
        <v>0.91379999999999995</v>
      </c>
      <c r="D31381" s="26">
        <v>2.4500000000000001E-2</v>
      </c>
      <c r="E31381" s="26">
        <v>3.8699999999999998E-2</v>
      </c>
      <c r="F31381" s="26">
        <v>1.84E-2</v>
      </c>
      <c r="G31381" s="26">
        <v>1.6000000000000001E-3</v>
      </c>
      <c r="H31381" s="26">
        <v>3.0000000000000001E-3</v>
      </c>
      <c r="I31381">
        <v>576</v>
      </c>
    </row>
    <row r="31382" spans="1:9" x14ac:dyDescent="0.35">
      <c r="A31382" t="s">
        <v>229</v>
      </c>
      <c r="B31382" t="s">
        <v>2730</v>
      </c>
      <c r="C31382" s="26">
        <v>0.94789999999999996</v>
      </c>
      <c r="D31382" s="26">
        <v>2.76E-2</v>
      </c>
      <c r="F31382" s="26">
        <v>2.3300000000000001E-2</v>
      </c>
      <c r="G31382" s="26">
        <v>1.1999999999999999E-3</v>
      </c>
      <c r="I31382">
        <v>302</v>
      </c>
    </row>
    <row r="31383" spans="1:9" x14ac:dyDescent="0.35">
      <c r="A31383" t="s">
        <v>229</v>
      </c>
      <c r="B31383" t="s">
        <v>2731</v>
      </c>
      <c r="C31383" s="26">
        <v>0.88419999999999999</v>
      </c>
      <c r="D31383" s="26">
        <v>3.8600000000000002E-2</v>
      </c>
      <c r="E31383" s="26">
        <v>3.6499999999999998E-2</v>
      </c>
      <c r="G31383" s="26">
        <v>4.07E-2</v>
      </c>
      <c r="I31383">
        <v>86</v>
      </c>
    </row>
    <row r="31384" spans="1:9" x14ac:dyDescent="0.35">
      <c r="A31384" t="s">
        <v>229</v>
      </c>
      <c r="B31384" t="s">
        <v>2732</v>
      </c>
      <c r="C31384" s="26">
        <v>0.90849999999999997</v>
      </c>
      <c r="D31384" s="26">
        <v>5.5399999999999998E-2</v>
      </c>
      <c r="E31384" s="26">
        <v>1.95E-2</v>
      </c>
      <c r="F31384" s="26">
        <v>1.18E-2</v>
      </c>
      <c r="G31384" s="26">
        <v>4.3E-3</v>
      </c>
      <c r="H31384" s="26">
        <v>5.0000000000000001E-4</v>
      </c>
      <c r="I31384">
        <v>507</v>
      </c>
    </row>
    <row r="31385" spans="1:9" x14ac:dyDescent="0.35">
      <c r="A31385" t="s">
        <v>230</v>
      </c>
      <c r="B31385" t="s">
        <v>2730</v>
      </c>
      <c r="C31385" s="26">
        <v>0.92290000000000005</v>
      </c>
      <c r="D31385" s="26">
        <v>1.6899999999999998E-2</v>
      </c>
      <c r="E31385" s="26">
        <v>2.5399999999999999E-2</v>
      </c>
      <c r="F31385" s="26">
        <v>3.39E-2</v>
      </c>
      <c r="G31385" s="26">
        <v>8.9999999999999998E-4</v>
      </c>
      <c r="I31385">
        <v>197</v>
      </c>
    </row>
    <row r="31386" spans="1:9" x14ac:dyDescent="0.35">
      <c r="A31386" t="s">
        <v>230</v>
      </c>
      <c r="B31386" t="s">
        <v>2731</v>
      </c>
      <c r="C31386" s="26">
        <v>0.98470000000000002</v>
      </c>
      <c r="F31386" s="26">
        <v>3.5000000000000001E-3</v>
      </c>
      <c r="G31386" s="26">
        <v>1.18E-2</v>
      </c>
      <c r="I31386">
        <v>50</v>
      </c>
    </row>
    <row r="31387" spans="1:9" x14ac:dyDescent="0.35">
      <c r="A31387" t="s">
        <v>230</v>
      </c>
      <c r="B31387" t="s">
        <v>2732</v>
      </c>
      <c r="C31387" s="26">
        <v>0.92010000000000003</v>
      </c>
      <c r="D31387" s="26">
        <v>3.1600000000000003E-2</v>
      </c>
      <c r="E31387" s="26">
        <v>1.8200000000000001E-2</v>
      </c>
      <c r="F31387" s="26">
        <v>2.07E-2</v>
      </c>
      <c r="G31387" s="26">
        <v>8.8999999999999999E-3</v>
      </c>
      <c r="H31387" s="26">
        <v>5.0000000000000001E-4</v>
      </c>
      <c r="I31387">
        <v>313</v>
      </c>
    </row>
    <row r="31388" spans="1:9" x14ac:dyDescent="0.35">
      <c r="A31388" t="s">
        <v>231</v>
      </c>
      <c r="B31388" t="s">
        <v>2730</v>
      </c>
      <c r="C31388" s="26">
        <v>1</v>
      </c>
      <c r="I31388">
        <v>55</v>
      </c>
    </row>
    <row r="31389" spans="1:9" x14ac:dyDescent="0.35">
      <c r="A31389" s="27" t="s">
        <v>231</v>
      </c>
      <c r="B31389" s="27" t="s">
        <v>2731</v>
      </c>
      <c r="C31389" s="28">
        <v>0.82350000000000001</v>
      </c>
      <c r="D31389" s="28">
        <v>5.8799999999999998E-2</v>
      </c>
      <c r="E31389" s="28">
        <v>5.8799999999999998E-2</v>
      </c>
      <c r="F31389" s="28">
        <v>5.8799999999999998E-2</v>
      </c>
      <c r="G31389" s="29"/>
      <c r="H31389" s="29"/>
      <c r="I31389" s="29" t="s">
        <v>343</v>
      </c>
    </row>
    <row r="31390" spans="1:9" x14ac:dyDescent="0.35">
      <c r="A31390" t="s">
        <v>231</v>
      </c>
      <c r="B31390" t="s">
        <v>2732</v>
      </c>
      <c r="C31390" s="26">
        <v>0.95650000000000002</v>
      </c>
      <c r="D31390" s="26">
        <v>2.1700000000000001E-2</v>
      </c>
      <c r="E31390" s="26">
        <v>2.1700000000000001E-2</v>
      </c>
      <c r="I31390">
        <v>92</v>
      </c>
    </row>
    <row r="31391" spans="1:9" x14ac:dyDescent="0.35">
      <c r="A31391" t="s">
        <v>232</v>
      </c>
      <c r="B31391" t="s">
        <v>232</v>
      </c>
      <c r="C31391" s="26">
        <v>0.93579999999999997</v>
      </c>
      <c r="D31391" s="26">
        <v>2.4899999999999999E-2</v>
      </c>
      <c r="E31391" s="26">
        <v>2.0400000000000001E-2</v>
      </c>
      <c r="F31391" s="26">
        <v>1.3899999999999999E-2</v>
      </c>
      <c r="G31391" s="26">
        <v>4.4000000000000003E-3</v>
      </c>
      <c r="H31391" s="26">
        <v>6.9999999999999999E-4</v>
      </c>
      <c r="I31391">
        <v>2812</v>
      </c>
    </row>
    <row r="31393" spans="1:9" x14ac:dyDescent="0.35">
      <c r="A31393" s="1" t="s">
        <v>2774</v>
      </c>
    </row>
    <row r="31394" spans="1:9" x14ac:dyDescent="0.35">
      <c r="A31394" t="s">
        <v>219</v>
      </c>
      <c r="B31394" t="s">
        <v>305</v>
      </c>
      <c r="C31394" t="s">
        <v>1424</v>
      </c>
      <c r="D31394" t="s">
        <v>1425</v>
      </c>
      <c r="E31394" t="s">
        <v>1427</v>
      </c>
      <c r="F31394" t="s">
        <v>281</v>
      </c>
      <c r="G31394" t="s">
        <v>1426</v>
      </c>
      <c r="H31394" t="s">
        <v>286</v>
      </c>
      <c r="I31394" t="s">
        <v>226</v>
      </c>
    </row>
    <row r="31395" spans="1:9" x14ac:dyDescent="0.35">
      <c r="A31395" t="s">
        <v>227</v>
      </c>
      <c r="B31395" t="s">
        <v>2730</v>
      </c>
      <c r="C31395" s="26">
        <v>0.97870000000000001</v>
      </c>
      <c r="D31395" s="26">
        <v>2.1299999999999999E-2</v>
      </c>
      <c r="I31395">
        <v>47</v>
      </c>
    </row>
    <row r="31396" spans="1:9" x14ac:dyDescent="0.35">
      <c r="A31396" s="27" t="s">
        <v>227</v>
      </c>
      <c r="B31396" s="27" t="s">
        <v>2731</v>
      </c>
      <c r="C31396" s="28">
        <v>0.90480000000000005</v>
      </c>
      <c r="D31396" s="29"/>
      <c r="E31396" s="28">
        <v>4.7600000000000003E-2</v>
      </c>
      <c r="F31396" s="28">
        <v>4.7600000000000003E-2</v>
      </c>
      <c r="G31396" s="29"/>
      <c r="H31396" s="29"/>
      <c r="I31396" s="29" t="s">
        <v>351</v>
      </c>
    </row>
    <row r="31397" spans="1:9" x14ac:dyDescent="0.35">
      <c r="A31397" t="s">
        <v>227</v>
      </c>
      <c r="B31397" t="s">
        <v>2732</v>
      </c>
      <c r="C31397" s="26">
        <v>0.94620000000000004</v>
      </c>
      <c r="D31397" s="26">
        <v>2.1499999999999998E-2</v>
      </c>
      <c r="E31397" s="26">
        <v>2.1499999999999998E-2</v>
      </c>
      <c r="G31397" s="26">
        <v>1.0800000000000001E-2</v>
      </c>
      <c r="I31397">
        <v>93</v>
      </c>
    </row>
    <row r="31398" spans="1:9" x14ac:dyDescent="0.35">
      <c r="A31398" t="s">
        <v>228</v>
      </c>
      <c r="B31398" t="s">
        <v>2730</v>
      </c>
      <c r="C31398" s="26">
        <v>0.97799999999999998</v>
      </c>
      <c r="D31398" s="26">
        <v>3.2000000000000002E-3</v>
      </c>
      <c r="E31398" s="26">
        <v>6.9999999999999999E-4</v>
      </c>
      <c r="F31398" s="26">
        <v>1.0800000000000001E-2</v>
      </c>
      <c r="G31398" s="26">
        <v>3.7000000000000002E-3</v>
      </c>
      <c r="H31398" s="26">
        <v>3.5000000000000001E-3</v>
      </c>
      <c r="I31398">
        <v>360</v>
      </c>
    </row>
    <row r="31399" spans="1:9" x14ac:dyDescent="0.35">
      <c r="A31399" t="s">
        <v>228</v>
      </c>
      <c r="B31399" t="s">
        <v>2731</v>
      </c>
      <c r="C31399" s="26">
        <v>0.92669999999999997</v>
      </c>
      <c r="D31399" s="26">
        <v>3.2800000000000003E-2</v>
      </c>
      <c r="E31399" s="26">
        <v>1.3599999999999999E-2</v>
      </c>
      <c r="F31399" s="26">
        <v>1.3899999999999999E-2</v>
      </c>
      <c r="G31399" s="26">
        <v>1.29E-2</v>
      </c>
      <c r="I31399">
        <v>96</v>
      </c>
    </row>
    <row r="31400" spans="1:9" x14ac:dyDescent="0.35">
      <c r="A31400" t="s">
        <v>228</v>
      </c>
      <c r="B31400" t="s">
        <v>2732</v>
      </c>
      <c r="C31400" s="26">
        <v>0.95809999999999995</v>
      </c>
      <c r="D31400" s="26">
        <v>1.2E-2</v>
      </c>
      <c r="E31400" s="26">
        <v>1.24E-2</v>
      </c>
      <c r="F31400" s="26">
        <v>6.1000000000000004E-3</v>
      </c>
      <c r="G31400" s="26">
        <v>1.14E-2</v>
      </c>
      <c r="I31400">
        <v>576</v>
      </c>
    </row>
    <row r="31401" spans="1:9" x14ac:dyDescent="0.35">
      <c r="A31401" t="s">
        <v>229</v>
      </c>
      <c r="B31401" t="s">
        <v>2730</v>
      </c>
      <c r="C31401" s="26">
        <v>0.96589999999999998</v>
      </c>
      <c r="D31401" s="26">
        <v>5.9999999999999995E-4</v>
      </c>
      <c r="E31401" s="26">
        <v>9.9000000000000008E-3</v>
      </c>
      <c r="F31401" s="26">
        <v>2.3999999999999998E-3</v>
      </c>
      <c r="G31401" s="26">
        <v>1.0500000000000001E-2</v>
      </c>
      <c r="H31401" s="26">
        <v>1.0699999999999999E-2</v>
      </c>
      <c r="I31401">
        <v>302</v>
      </c>
    </row>
    <row r="31402" spans="1:9" x14ac:dyDescent="0.35">
      <c r="A31402" t="s">
        <v>229</v>
      </c>
      <c r="B31402" t="s">
        <v>2731</v>
      </c>
      <c r="C31402" s="26">
        <v>0.98750000000000004</v>
      </c>
      <c r="E31402" s="26">
        <v>1.1999999999999999E-3</v>
      </c>
      <c r="F31402" s="26">
        <v>1.0200000000000001E-2</v>
      </c>
      <c r="G31402" s="26">
        <v>1.1999999999999999E-3</v>
      </c>
      <c r="I31402">
        <v>86</v>
      </c>
    </row>
    <row r="31403" spans="1:9" x14ac:dyDescent="0.35">
      <c r="A31403" t="s">
        <v>229</v>
      </c>
      <c r="B31403" t="s">
        <v>2732</v>
      </c>
      <c r="C31403" s="26">
        <v>0.97970000000000002</v>
      </c>
      <c r="D31403" s="26">
        <v>2E-3</v>
      </c>
      <c r="E31403" s="26">
        <v>6.3E-3</v>
      </c>
      <c r="F31403" s="26">
        <v>6.4999999999999997E-3</v>
      </c>
      <c r="G31403" s="26">
        <v>5.0000000000000001E-3</v>
      </c>
      <c r="H31403" s="26">
        <v>5.0000000000000001E-4</v>
      </c>
      <c r="I31403">
        <v>507</v>
      </c>
    </row>
    <row r="31404" spans="1:9" x14ac:dyDescent="0.35">
      <c r="A31404" t="s">
        <v>230</v>
      </c>
      <c r="B31404" t="s">
        <v>2730</v>
      </c>
      <c r="C31404" s="26">
        <v>0.97650000000000003</v>
      </c>
      <c r="D31404" s="26">
        <v>2.8999999999999998E-3</v>
      </c>
      <c r="F31404" s="26">
        <v>3.7000000000000002E-3</v>
      </c>
      <c r="G31404" s="26">
        <v>1.6899999999999998E-2</v>
      </c>
      <c r="I31404">
        <v>197</v>
      </c>
    </row>
    <row r="31405" spans="1:9" x14ac:dyDescent="0.35">
      <c r="A31405" t="s">
        <v>230</v>
      </c>
      <c r="B31405" t="s">
        <v>2731</v>
      </c>
      <c r="C31405" s="26">
        <v>0.96499999999999997</v>
      </c>
      <c r="E31405" s="26">
        <v>1.18E-2</v>
      </c>
      <c r="F31405" s="26">
        <v>1.18E-2</v>
      </c>
      <c r="G31405" s="26">
        <v>1.15E-2</v>
      </c>
      <c r="I31405">
        <v>50</v>
      </c>
    </row>
    <row r="31406" spans="1:9" x14ac:dyDescent="0.35">
      <c r="A31406" t="s">
        <v>230</v>
      </c>
      <c r="B31406" t="s">
        <v>2732</v>
      </c>
      <c r="C31406" s="26">
        <v>0.98919999999999997</v>
      </c>
      <c r="D31406" s="26">
        <v>2E-3</v>
      </c>
      <c r="G31406" s="26">
        <v>8.8999999999999999E-3</v>
      </c>
      <c r="I31406">
        <v>313</v>
      </c>
    </row>
    <row r="31407" spans="1:9" x14ac:dyDescent="0.35">
      <c r="A31407" t="s">
        <v>231</v>
      </c>
      <c r="B31407" t="s">
        <v>2730</v>
      </c>
      <c r="C31407" s="26">
        <v>0.98180000000000001</v>
      </c>
      <c r="F31407" s="26">
        <v>1.8200000000000001E-2</v>
      </c>
      <c r="I31407">
        <v>55</v>
      </c>
    </row>
    <row r="31408" spans="1:9" x14ac:dyDescent="0.35">
      <c r="A31408" s="27" t="s">
        <v>231</v>
      </c>
      <c r="B31408" s="27" t="s">
        <v>2731</v>
      </c>
      <c r="C31408" s="28">
        <v>0.94120000000000004</v>
      </c>
      <c r="D31408" s="28">
        <v>5.8799999999999998E-2</v>
      </c>
      <c r="E31408" s="29"/>
      <c r="F31408" s="29"/>
      <c r="G31408" s="29"/>
      <c r="H31408" s="29"/>
      <c r="I31408" s="29" t="s">
        <v>343</v>
      </c>
    </row>
    <row r="31409" spans="1:16" x14ac:dyDescent="0.35">
      <c r="A31409" t="s">
        <v>231</v>
      </c>
      <c r="B31409" t="s">
        <v>2732</v>
      </c>
      <c r="C31409" s="26">
        <v>0.96740000000000004</v>
      </c>
      <c r="D31409" s="26">
        <v>2.1700000000000001E-2</v>
      </c>
      <c r="E31409" s="26">
        <v>1.09E-2</v>
      </c>
      <c r="I31409">
        <v>92</v>
      </c>
    </row>
    <row r="31410" spans="1:16" x14ac:dyDescent="0.35">
      <c r="A31410" t="s">
        <v>232</v>
      </c>
      <c r="B31410" t="s">
        <v>232</v>
      </c>
      <c r="C31410" s="26">
        <v>0.96850000000000003</v>
      </c>
      <c r="D31410" s="26">
        <v>1.0500000000000001E-2</v>
      </c>
      <c r="E31410" s="26">
        <v>8.2000000000000007E-3</v>
      </c>
      <c r="F31410" s="26">
        <v>6.0000000000000001E-3</v>
      </c>
      <c r="G31410" s="26">
        <v>5.5999999999999999E-3</v>
      </c>
      <c r="H31410" s="26">
        <v>1.1999999999999999E-3</v>
      </c>
      <c r="I31410">
        <v>2812</v>
      </c>
    </row>
    <row r="31412" spans="1:16" x14ac:dyDescent="0.35">
      <c r="A31412" s="1" t="s">
        <v>2775</v>
      </c>
    </row>
    <row r="31413" spans="1:16" x14ac:dyDescent="0.35">
      <c r="A31413" t="s">
        <v>219</v>
      </c>
      <c r="B31413" t="s">
        <v>305</v>
      </c>
      <c r="C31413" t="s">
        <v>550</v>
      </c>
      <c r="D31413" t="s">
        <v>281</v>
      </c>
      <c r="E31413" t="s">
        <v>1403</v>
      </c>
      <c r="F31413" t="s">
        <v>1402</v>
      </c>
      <c r="G31413" t="s">
        <v>1401</v>
      </c>
      <c r="H31413" t="s">
        <v>1404</v>
      </c>
      <c r="I31413" t="s">
        <v>1503</v>
      </c>
      <c r="J31413" t="s">
        <v>1504</v>
      </c>
      <c r="K31413" t="s">
        <v>286</v>
      </c>
      <c r="L31413" t="s">
        <v>1406</v>
      </c>
      <c r="M31413" t="s">
        <v>326</v>
      </c>
      <c r="N31413" t="s">
        <v>1408</v>
      </c>
      <c r="O31413" t="s">
        <v>1407</v>
      </c>
      <c r="P31413" t="s">
        <v>226</v>
      </c>
    </row>
    <row r="31414" spans="1:16" x14ac:dyDescent="0.35">
      <c r="A31414" t="s">
        <v>227</v>
      </c>
      <c r="B31414" t="s">
        <v>2730</v>
      </c>
      <c r="C31414" s="26">
        <v>0.65959999999999996</v>
      </c>
      <c r="D31414" s="26">
        <v>0.23400000000000001</v>
      </c>
      <c r="E31414" s="26">
        <v>6.3799999999999996E-2</v>
      </c>
      <c r="F31414" s="26">
        <v>2.1299999999999999E-2</v>
      </c>
      <c r="H31414" s="26">
        <v>4.2599999999999999E-2</v>
      </c>
      <c r="P31414">
        <v>47</v>
      </c>
    </row>
    <row r="31415" spans="1:16" x14ac:dyDescent="0.35">
      <c r="A31415" s="27" t="s">
        <v>227</v>
      </c>
      <c r="B31415" s="27" t="s">
        <v>2731</v>
      </c>
      <c r="C31415" s="28">
        <v>0.47620000000000001</v>
      </c>
      <c r="D31415" s="28">
        <v>0.28570000000000001</v>
      </c>
      <c r="E31415" s="28">
        <v>0.1429</v>
      </c>
      <c r="F31415" s="28">
        <v>9.5200000000000007E-2</v>
      </c>
      <c r="G31415" s="29"/>
      <c r="H31415" s="29"/>
      <c r="I31415" s="28">
        <v>9.5200000000000007E-2</v>
      </c>
      <c r="J31415" s="29"/>
      <c r="K31415" s="29"/>
      <c r="L31415" s="29"/>
      <c r="M31415" s="29"/>
      <c r="N31415" s="29"/>
      <c r="O31415" s="29"/>
      <c r="P31415" s="29" t="s">
        <v>351</v>
      </c>
    </row>
    <row r="31416" spans="1:16" x14ac:dyDescent="0.35">
      <c r="A31416" t="s">
        <v>227</v>
      </c>
      <c r="B31416" t="s">
        <v>2732</v>
      </c>
      <c r="C31416" s="26">
        <v>0.71740000000000004</v>
      </c>
      <c r="D31416" s="26">
        <v>0.18479999999999999</v>
      </c>
      <c r="E31416" s="26">
        <v>2.1700000000000001E-2</v>
      </c>
      <c r="F31416" s="26">
        <v>2.1700000000000001E-2</v>
      </c>
      <c r="G31416" s="26">
        <v>3.2599999999999997E-2</v>
      </c>
      <c r="H31416" s="26">
        <v>3.2599999999999997E-2</v>
      </c>
      <c r="I31416" s="26">
        <v>1.09E-2</v>
      </c>
      <c r="M31416" s="26">
        <v>1.09E-2</v>
      </c>
      <c r="P31416">
        <v>92</v>
      </c>
    </row>
    <row r="31417" spans="1:16" x14ac:dyDescent="0.35">
      <c r="A31417" t="s">
        <v>228</v>
      </c>
      <c r="B31417" t="s">
        <v>2730</v>
      </c>
      <c r="C31417" s="26">
        <v>0.65869999999999995</v>
      </c>
      <c r="D31417" s="26">
        <v>0.18260000000000001</v>
      </c>
      <c r="E31417" s="26">
        <v>7.6300000000000007E-2</v>
      </c>
      <c r="F31417" s="26">
        <v>3.5400000000000001E-2</v>
      </c>
      <c r="G31417" s="26">
        <v>5.0099999999999999E-2</v>
      </c>
      <c r="H31417" s="26">
        <v>2.0799999999999999E-2</v>
      </c>
      <c r="I31417" s="26">
        <v>7.1999999999999998E-3</v>
      </c>
      <c r="J31417" s="26">
        <v>3.6999999999999998E-2</v>
      </c>
      <c r="K31417" s="26">
        <v>6.9999999999999999E-4</v>
      </c>
      <c r="L31417" s="26">
        <v>6.9999999999999999E-4</v>
      </c>
      <c r="P31417">
        <v>354</v>
      </c>
    </row>
    <row r="31418" spans="1:16" x14ac:dyDescent="0.35">
      <c r="A31418" t="s">
        <v>228</v>
      </c>
      <c r="B31418" t="s">
        <v>2731</v>
      </c>
      <c r="C31418" s="26">
        <v>0.46250000000000002</v>
      </c>
      <c r="D31418" s="26">
        <v>0.36880000000000002</v>
      </c>
      <c r="E31418" s="26">
        <v>7.5300000000000006E-2</v>
      </c>
      <c r="F31418" s="26">
        <v>6.5799999999999997E-2</v>
      </c>
      <c r="G31418" s="26">
        <v>2.5600000000000001E-2</v>
      </c>
      <c r="H31418" s="26">
        <v>1.9699999999999999E-2</v>
      </c>
      <c r="J31418" s="26">
        <v>3.3300000000000003E-2</v>
      </c>
      <c r="L31418" s="26">
        <v>7.1999999999999998E-3</v>
      </c>
      <c r="N31418" s="26">
        <v>7.1999999999999998E-3</v>
      </c>
      <c r="O31418" s="26">
        <v>7.1999999999999998E-3</v>
      </c>
      <c r="P31418">
        <v>94</v>
      </c>
    </row>
    <row r="31419" spans="1:16" x14ac:dyDescent="0.35">
      <c r="A31419" t="s">
        <v>228</v>
      </c>
      <c r="B31419" t="s">
        <v>2732</v>
      </c>
      <c r="C31419" s="26">
        <v>0.71599999999999997</v>
      </c>
      <c r="D31419" s="26">
        <v>0.19570000000000001</v>
      </c>
      <c r="E31419" s="26">
        <v>2.0500000000000001E-2</v>
      </c>
      <c r="F31419" s="26">
        <v>2.4199999999999999E-2</v>
      </c>
      <c r="G31419" s="26">
        <v>2.1399999999999999E-2</v>
      </c>
      <c r="H31419" s="26">
        <v>2.8500000000000001E-2</v>
      </c>
      <c r="I31419" s="26">
        <v>1.4E-3</v>
      </c>
      <c r="J31419" s="26">
        <v>1.3599999999999999E-2</v>
      </c>
      <c r="L31419" s="26">
        <v>1.6999999999999999E-3</v>
      </c>
      <c r="P31419">
        <v>559</v>
      </c>
    </row>
    <row r="31420" spans="1:16" x14ac:dyDescent="0.35">
      <c r="A31420" t="s">
        <v>229</v>
      </c>
      <c r="B31420" t="s">
        <v>2730</v>
      </c>
      <c r="C31420" s="26">
        <v>0.66210000000000002</v>
      </c>
      <c r="D31420" s="26">
        <v>0.1913</v>
      </c>
      <c r="E31420" s="26">
        <v>5.7700000000000001E-2</v>
      </c>
      <c r="F31420" s="26">
        <v>2.58E-2</v>
      </c>
      <c r="G31420" s="26">
        <v>3.3300000000000003E-2</v>
      </c>
      <c r="H31420" s="26">
        <v>1.24E-2</v>
      </c>
      <c r="I31420" s="26">
        <v>2.23E-2</v>
      </c>
      <c r="J31420" s="26">
        <v>1.15E-2</v>
      </c>
      <c r="K31420" s="26">
        <v>9.9000000000000008E-3</v>
      </c>
      <c r="L31420" s="26">
        <v>9.9000000000000008E-3</v>
      </c>
      <c r="O31420" s="26">
        <v>5.9999999999999995E-4</v>
      </c>
      <c r="P31420">
        <v>292</v>
      </c>
    </row>
    <row r="31421" spans="1:16" x14ac:dyDescent="0.35">
      <c r="A31421" t="s">
        <v>229</v>
      </c>
      <c r="B31421" t="s">
        <v>2731</v>
      </c>
      <c r="C31421" s="26">
        <v>0.69030000000000002</v>
      </c>
      <c r="D31421" s="26">
        <v>0.26860000000000001</v>
      </c>
      <c r="E31421" s="26">
        <v>4.1099999999999998E-2</v>
      </c>
      <c r="P31421">
        <v>85</v>
      </c>
    </row>
    <row r="31422" spans="1:16" x14ac:dyDescent="0.35">
      <c r="A31422" t="s">
        <v>229</v>
      </c>
      <c r="B31422" t="s">
        <v>2732</v>
      </c>
      <c r="C31422" s="26">
        <v>0.71289999999999998</v>
      </c>
      <c r="D31422" s="26">
        <v>0.16439999999999999</v>
      </c>
      <c r="E31422" s="26">
        <v>6.2199999999999998E-2</v>
      </c>
      <c r="F31422" s="26">
        <v>3.4000000000000002E-2</v>
      </c>
      <c r="G31422" s="26">
        <v>3.49E-2</v>
      </c>
      <c r="H31422" s="26">
        <v>2.8999999999999998E-3</v>
      </c>
      <c r="I31422" s="26">
        <v>2.7000000000000001E-3</v>
      </c>
      <c r="J31422" s="26">
        <v>6.4999999999999997E-3</v>
      </c>
      <c r="K31422" s="26">
        <v>5.0000000000000001E-4</v>
      </c>
      <c r="M31422" s="26">
        <v>1.1000000000000001E-3</v>
      </c>
      <c r="N31422" s="26">
        <v>4.1000000000000003E-3</v>
      </c>
      <c r="O31422" s="26">
        <v>2.9999999999999997E-4</v>
      </c>
      <c r="P31422">
        <v>490</v>
      </c>
    </row>
    <row r="31423" spans="1:16" x14ac:dyDescent="0.35">
      <c r="A31423" t="s">
        <v>230</v>
      </c>
      <c r="B31423" t="s">
        <v>2730</v>
      </c>
      <c r="C31423" s="26">
        <v>0.69510000000000005</v>
      </c>
      <c r="D31423" s="26">
        <v>0.1293</v>
      </c>
      <c r="E31423" s="26">
        <v>0.1153</v>
      </c>
      <c r="F31423" s="26">
        <v>8.8099999999999998E-2</v>
      </c>
      <c r="G31423" s="26">
        <v>1.0500000000000001E-2</v>
      </c>
      <c r="H31423" s="26">
        <v>2.5999999999999999E-2</v>
      </c>
      <c r="I31423" s="26">
        <v>2.8999999999999998E-3</v>
      </c>
      <c r="J31423" s="26">
        <v>1.8200000000000001E-2</v>
      </c>
      <c r="L31423" s="26">
        <v>8.9999999999999998E-4</v>
      </c>
      <c r="N31423" s="26">
        <v>8.9999999999999998E-4</v>
      </c>
      <c r="P31423">
        <v>192</v>
      </c>
    </row>
    <row r="31424" spans="1:16" x14ac:dyDescent="0.35">
      <c r="A31424" t="s">
        <v>230</v>
      </c>
      <c r="B31424" t="s">
        <v>2731</v>
      </c>
      <c r="C31424" s="26">
        <v>0.76190000000000002</v>
      </c>
      <c r="D31424" s="26">
        <v>0.1171</v>
      </c>
      <c r="E31424" s="26">
        <v>0.1056</v>
      </c>
      <c r="F31424" s="26">
        <v>1.1599999999999999E-2</v>
      </c>
      <c r="G31424" s="26">
        <v>1.1900000000000001E-2</v>
      </c>
      <c r="K31424" s="26">
        <v>3.5999999999999999E-3</v>
      </c>
      <c r="P31424">
        <v>48</v>
      </c>
    </row>
    <row r="31425" spans="1:16" x14ac:dyDescent="0.35">
      <c r="A31425" t="s">
        <v>230</v>
      </c>
      <c r="B31425" t="s">
        <v>2732</v>
      </c>
      <c r="C31425" s="26">
        <v>0.7177</v>
      </c>
      <c r="D31425" s="26">
        <v>0.15049999999999999</v>
      </c>
      <c r="E31425" s="26">
        <v>4.1599999999999998E-2</v>
      </c>
      <c r="F31425" s="26">
        <v>3.8199999999999998E-2</v>
      </c>
      <c r="G31425" s="26">
        <v>7.1999999999999998E-3</v>
      </c>
      <c r="H31425" s="26">
        <v>3.2099999999999997E-2</v>
      </c>
      <c r="I31425" s="26">
        <v>2.3599999999999999E-2</v>
      </c>
      <c r="J31425" s="26">
        <v>1.95E-2</v>
      </c>
      <c r="K31425" s="26">
        <v>9.1000000000000004E-3</v>
      </c>
      <c r="L31425" s="26">
        <v>9.1000000000000004E-3</v>
      </c>
      <c r="M31425" s="26">
        <v>9.1000000000000004E-3</v>
      </c>
      <c r="O31425" s="26">
        <v>9.1000000000000004E-3</v>
      </c>
      <c r="P31425">
        <v>304</v>
      </c>
    </row>
    <row r="31426" spans="1:16" x14ac:dyDescent="0.35">
      <c r="A31426" t="s">
        <v>231</v>
      </c>
      <c r="B31426" t="s">
        <v>2730</v>
      </c>
      <c r="C31426" s="26">
        <v>0.74550000000000005</v>
      </c>
      <c r="D31426" s="26">
        <v>0.14549999999999999</v>
      </c>
      <c r="E31426" s="26">
        <v>3.6400000000000002E-2</v>
      </c>
      <c r="F31426" s="26">
        <v>7.2700000000000001E-2</v>
      </c>
      <c r="H31426" s="26">
        <v>1.8200000000000001E-2</v>
      </c>
      <c r="P31426">
        <v>55</v>
      </c>
    </row>
    <row r="31427" spans="1:16" x14ac:dyDescent="0.35">
      <c r="A31427" s="27" t="s">
        <v>231</v>
      </c>
      <c r="B31427" s="27" t="s">
        <v>2731</v>
      </c>
      <c r="C31427" s="28">
        <v>0.82350000000000001</v>
      </c>
      <c r="D31427" s="28">
        <v>0.1176</v>
      </c>
      <c r="E31427" s="29"/>
      <c r="F31427" s="29"/>
      <c r="G31427" s="29"/>
      <c r="H31427" s="29"/>
      <c r="I31427" s="28">
        <v>5.8799999999999998E-2</v>
      </c>
      <c r="J31427" s="29"/>
      <c r="K31427" s="29"/>
      <c r="L31427" s="29"/>
      <c r="M31427" s="29"/>
      <c r="N31427" s="29"/>
      <c r="O31427" s="29"/>
      <c r="P31427" s="29" t="s">
        <v>343</v>
      </c>
    </row>
    <row r="31428" spans="1:16" x14ac:dyDescent="0.35">
      <c r="A31428" t="s">
        <v>231</v>
      </c>
      <c r="B31428" t="s">
        <v>2732</v>
      </c>
      <c r="C31428" s="26">
        <v>0.81110000000000004</v>
      </c>
      <c r="D31428" s="26">
        <v>0.1</v>
      </c>
      <c r="E31428" s="26">
        <v>4.4400000000000002E-2</v>
      </c>
      <c r="G31428" s="26">
        <v>2.2200000000000001E-2</v>
      </c>
      <c r="H31428" s="26">
        <v>1.11E-2</v>
      </c>
      <c r="K31428" s="26">
        <v>1.11E-2</v>
      </c>
      <c r="P31428">
        <v>90</v>
      </c>
    </row>
    <row r="31429" spans="1:16" x14ac:dyDescent="0.35">
      <c r="A31429" t="s">
        <v>232</v>
      </c>
      <c r="B31429" t="s">
        <v>232</v>
      </c>
      <c r="C31429" s="26">
        <v>0.71640000000000004</v>
      </c>
      <c r="D31429" s="26">
        <v>0.16869999999999999</v>
      </c>
      <c r="E31429" s="26">
        <v>4.9599999999999998E-2</v>
      </c>
      <c r="F31429" s="26">
        <v>3.0700000000000002E-2</v>
      </c>
      <c r="G31429" s="26">
        <v>2.1999999999999999E-2</v>
      </c>
      <c r="H31429" s="26">
        <v>1.72E-2</v>
      </c>
      <c r="I31429" s="26">
        <v>8.8999999999999999E-3</v>
      </c>
      <c r="J31429" s="26">
        <v>8.2000000000000007E-3</v>
      </c>
      <c r="K31429" s="26">
        <v>3.2000000000000002E-3</v>
      </c>
      <c r="L31429" s="26">
        <v>1.6999999999999999E-3</v>
      </c>
      <c r="M31429" s="26">
        <v>1.6999999999999999E-3</v>
      </c>
      <c r="N31429" s="26">
        <v>8.9999999999999998E-4</v>
      </c>
      <c r="O31429" s="26">
        <v>6.9999999999999999E-4</v>
      </c>
      <c r="P31429">
        <v>2740</v>
      </c>
    </row>
    <row r="31431" spans="1:16" x14ac:dyDescent="0.35">
      <c r="A31431" s="1" t="s">
        <v>2776</v>
      </c>
    </row>
    <row r="31432" spans="1:16" x14ac:dyDescent="0.35">
      <c r="A31432" t="s">
        <v>219</v>
      </c>
      <c r="B31432" t="s">
        <v>305</v>
      </c>
      <c r="C31432" t="s">
        <v>576</v>
      </c>
      <c r="D31432" t="s">
        <v>580</v>
      </c>
      <c r="E31432" t="s">
        <v>579</v>
      </c>
      <c r="F31432" t="s">
        <v>281</v>
      </c>
      <c r="G31432" t="s">
        <v>578</v>
      </c>
      <c r="H31432" t="s">
        <v>286</v>
      </c>
      <c r="I31432" t="s">
        <v>226</v>
      </c>
    </row>
    <row r="31433" spans="1:16" x14ac:dyDescent="0.35">
      <c r="A31433" t="s">
        <v>227</v>
      </c>
      <c r="B31433" t="s">
        <v>2730</v>
      </c>
      <c r="C31433" s="26">
        <v>0.76600000000000001</v>
      </c>
      <c r="D31433" s="26">
        <v>0.10639999999999999</v>
      </c>
      <c r="E31433" s="26">
        <v>8.5099999999999995E-2</v>
      </c>
      <c r="F31433" s="26">
        <v>2.1299999999999999E-2</v>
      </c>
      <c r="G31433" s="26">
        <v>2.1299999999999999E-2</v>
      </c>
      <c r="I31433">
        <v>47</v>
      </c>
    </row>
    <row r="31434" spans="1:16" x14ac:dyDescent="0.35">
      <c r="A31434" t="s">
        <v>227</v>
      </c>
      <c r="B31434" t="s">
        <v>2732</v>
      </c>
      <c r="C31434" s="26">
        <v>0.875</v>
      </c>
      <c r="D31434" s="26">
        <v>0.125</v>
      </c>
      <c r="I31434">
        <v>64</v>
      </c>
    </row>
    <row r="31435" spans="1:16" x14ac:dyDescent="0.35">
      <c r="A31435" t="s">
        <v>228</v>
      </c>
      <c r="B31435" t="s">
        <v>2730</v>
      </c>
      <c r="C31435" s="26">
        <v>0.5413</v>
      </c>
      <c r="D31435" s="26">
        <v>0.124</v>
      </c>
      <c r="E31435" s="26">
        <v>0.2094</v>
      </c>
      <c r="F31435" s="26">
        <v>6.3100000000000003E-2</v>
      </c>
      <c r="G31435" s="26">
        <v>5.21E-2</v>
      </c>
      <c r="H31435" s="26">
        <v>0.01</v>
      </c>
      <c r="I31435">
        <v>360</v>
      </c>
    </row>
    <row r="31436" spans="1:16" x14ac:dyDescent="0.35">
      <c r="A31436" t="s">
        <v>228</v>
      </c>
      <c r="B31436" t="s">
        <v>2732</v>
      </c>
      <c r="C31436" s="26">
        <v>0.59989999999999999</v>
      </c>
      <c r="D31436" s="26">
        <v>0.1464</v>
      </c>
      <c r="E31436" s="26">
        <v>0.1414</v>
      </c>
      <c r="F31436" s="26">
        <v>4.8300000000000003E-2</v>
      </c>
      <c r="G31436" s="26">
        <v>6.25E-2</v>
      </c>
      <c r="H31436" s="26">
        <v>1.5E-3</v>
      </c>
      <c r="I31436">
        <v>367</v>
      </c>
    </row>
    <row r="31437" spans="1:16" x14ac:dyDescent="0.35">
      <c r="A31437" t="s">
        <v>229</v>
      </c>
      <c r="B31437" t="s">
        <v>2730</v>
      </c>
      <c r="C31437" s="26">
        <v>0.64329999999999998</v>
      </c>
      <c r="D31437" s="26">
        <v>0.1195</v>
      </c>
      <c r="E31437" s="26">
        <v>0.1002</v>
      </c>
      <c r="F31437" s="26">
        <v>8.6400000000000005E-2</v>
      </c>
      <c r="G31437" s="26">
        <v>4.0899999999999999E-2</v>
      </c>
      <c r="H31437" s="26">
        <v>9.5999999999999992E-3</v>
      </c>
      <c r="I31437">
        <v>302</v>
      </c>
    </row>
    <row r="31438" spans="1:16" x14ac:dyDescent="0.35">
      <c r="A31438" t="s">
        <v>229</v>
      </c>
      <c r="B31438" t="s">
        <v>2732</v>
      </c>
      <c r="C31438" s="26">
        <v>0.60060000000000002</v>
      </c>
      <c r="D31438" s="26">
        <v>0.18010000000000001</v>
      </c>
      <c r="E31438" s="26">
        <v>0.1201</v>
      </c>
      <c r="F31438" s="26">
        <v>5.67E-2</v>
      </c>
      <c r="G31438" s="26">
        <v>4.1599999999999998E-2</v>
      </c>
      <c r="H31438" s="26">
        <v>8.0000000000000004E-4</v>
      </c>
      <c r="I31438">
        <v>320</v>
      </c>
    </row>
    <row r="31439" spans="1:16" x14ac:dyDescent="0.35">
      <c r="A31439" t="s">
        <v>230</v>
      </c>
      <c r="B31439" t="s">
        <v>2730</v>
      </c>
      <c r="C31439" s="26">
        <v>0.6109</v>
      </c>
      <c r="D31439" s="26">
        <v>7.5200000000000003E-2</v>
      </c>
      <c r="E31439" s="26">
        <v>0.18659999999999999</v>
      </c>
      <c r="F31439" s="26">
        <v>5.8000000000000003E-2</v>
      </c>
      <c r="G31439" s="26">
        <v>6.93E-2</v>
      </c>
      <c r="I31439">
        <v>197</v>
      </c>
    </row>
    <row r="31440" spans="1:16" x14ac:dyDescent="0.35">
      <c r="A31440" t="s">
        <v>230</v>
      </c>
      <c r="B31440" t="s">
        <v>2732</v>
      </c>
      <c r="C31440" s="26">
        <v>0.67600000000000005</v>
      </c>
      <c r="D31440" s="26">
        <v>0.1249</v>
      </c>
      <c r="E31440" s="26">
        <v>0.1701</v>
      </c>
      <c r="F31440" s="26">
        <v>7.9000000000000008E-3</v>
      </c>
      <c r="G31440" s="26">
        <v>2.0400000000000001E-2</v>
      </c>
      <c r="H31440" s="26">
        <v>6.9999999999999999E-4</v>
      </c>
      <c r="I31440">
        <v>207</v>
      </c>
    </row>
    <row r="31441" spans="1:19" x14ac:dyDescent="0.35">
      <c r="A31441" t="s">
        <v>231</v>
      </c>
      <c r="B31441" t="s">
        <v>2730</v>
      </c>
      <c r="C31441" s="26">
        <v>0.83640000000000003</v>
      </c>
      <c r="D31441" s="26">
        <v>7.2700000000000001E-2</v>
      </c>
      <c r="E31441" s="26">
        <v>1.8200000000000001E-2</v>
      </c>
      <c r="F31441" s="26">
        <v>3.6400000000000002E-2</v>
      </c>
      <c r="G31441" s="26">
        <v>3.6400000000000002E-2</v>
      </c>
      <c r="I31441">
        <v>55</v>
      </c>
    </row>
    <row r="31442" spans="1:19" x14ac:dyDescent="0.35">
      <c r="A31442" t="s">
        <v>231</v>
      </c>
      <c r="B31442" t="s">
        <v>2732</v>
      </c>
      <c r="C31442" s="26">
        <v>0.77270000000000005</v>
      </c>
      <c r="D31442" s="26">
        <v>9.0899999999999995E-2</v>
      </c>
      <c r="E31442" s="26">
        <v>4.5499999999999999E-2</v>
      </c>
      <c r="F31442" s="26">
        <v>6.8199999999999997E-2</v>
      </c>
      <c r="G31442" s="26">
        <v>2.2700000000000001E-2</v>
      </c>
      <c r="I31442">
        <v>44</v>
      </c>
    </row>
    <row r="31443" spans="1:19" x14ac:dyDescent="0.35">
      <c r="A31443" t="s">
        <v>232</v>
      </c>
      <c r="B31443" t="s">
        <v>232</v>
      </c>
      <c r="C31443" s="26">
        <v>0.69199999999999995</v>
      </c>
      <c r="D31443" s="26">
        <v>0.12130000000000001</v>
      </c>
      <c r="E31443" s="26">
        <v>9.8900000000000002E-2</v>
      </c>
      <c r="F31443" s="26">
        <v>4.8399999999999999E-2</v>
      </c>
      <c r="G31443" s="26">
        <v>3.6999999999999998E-2</v>
      </c>
      <c r="H31443" s="26">
        <v>2.5000000000000001E-3</v>
      </c>
      <c r="I31443">
        <v>1963</v>
      </c>
    </row>
    <row r="31445" spans="1:19" x14ac:dyDescent="0.35">
      <c r="A31445" s="1" t="s">
        <v>2777</v>
      </c>
    </row>
    <row r="31446" spans="1:19" x14ac:dyDescent="0.35">
      <c r="A31446" t="s">
        <v>219</v>
      </c>
      <c r="B31446" t="s">
        <v>305</v>
      </c>
      <c r="C31446" t="s">
        <v>281</v>
      </c>
      <c r="D31446" t="s">
        <v>550</v>
      </c>
      <c r="E31446" t="s">
        <v>1533</v>
      </c>
      <c r="F31446" t="s">
        <v>1534</v>
      </c>
      <c r="G31446" t="s">
        <v>1535</v>
      </c>
      <c r="H31446" t="s">
        <v>326</v>
      </c>
      <c r="I31446" t="s">
        <v>1536</v>
      </c>
      <c r="J31446" t="s">
        <v>1537</v>
      </c>
      <c r="K31446" t="s">
        <v>1538</v>
      </c>
      <c r="L31446" t="s">
        <v>1539</v>
      </c>
      <c r="M31446" t="s">
        <v>1540</v>
      </c>
      <c r="N31446" t="s">
        <v>1541</v>
      </c>
      <c r="O31446" t="s">
        <v>286</v>
      </c>
      <c r="P31446" t="s">
        <v>1542</v>
      </c>
      <c r="Q31446" t="s">
        <v>1543</v>
      </c>
      <c r="R31446" t="s">
        <v>1544</v>
      </c>
      <c r="S31446" t="s">
        <v>226</v>
      </c>
    </row>
    <row r="31447" spans="1:19" x14ac:dyDescent="0.35">
      <c r="A31447" s="27" t="s">
        <v>227</v>
      </c>
      <c r="B31447" s="27" t="s">
        <v>2730</v>
      </c>
      <c r="C31447" s="28">
        <v>0.5625</v>
      </c>
      <c r="D31447" s="28">
        <v>0.1875</v>
      </c>
      <c r="E31447" s="28">
        <v>0.1875</v>
      </c>
      <c r="F31447" s="28">
        <v>6.25E-2</v>
      </c>
      <c r="G31447" s="28">
        <v>6.25E-2</v>
      </c>
      <c r="H31447" s="29"/>
      <c r="I31447" s="29"/>
      <c r="J31447" s="29"/>
      <c r="K31447" s="28">
        <v>6.25E-2</v>
      </c>
      <c r="L31447" s="29"/>
      <c r="M31447" s="29"/>
      <c r="N31447" s="29"/>
      <c r="O31447" s="29"/>
      <c r="P31447" s="29"/>
      <c r="Q31447" s="29"/>
      <c r="R31447" s="29"/>
      <c r="S31447" s="29" t="s">
        <v>348</v>
      </c>
    </row>
    <row r="31448" spans="1:19" x14ac:dyDescent="0.35">
      <c r="A31448" s="27" t="s">
        <v>227</v>
      </c>
      <c r="B31448" s="27" t="s">
        <v>2731</v>
      </c>
      <c r="C31448" s="28">
        <v>0.54549999999999998</v>
      </c>
      <c r="D31448" s="28">
        <v>9.0899999999999995E-2</v>
      </c>
      <c r="E31448" s="28">
        <v>0.18179999999999999</v>
      </c>
      <c r="F31448" s="28">
        <v>0.2727</v>
      </c>
      <c r="G31448" s="29"/>
      <c r="H31448" s="29"/>
      <c r="I31448" s="29"/>
      <c r="J31448" s="28">
        <v>9.0899999999999995E-2</v>
      </c>
      <c r="K31448" s="29"/>
      <c r="L31448" s="29"/>
      <c r="M31448" s="29"/>
      <c r="N31448" s="29"/>
      <c r="O31448" s="29"/>
      <c r="P31448" s="29"/>
      <c r="Q31448" s="29"/>
      <c r="R31448" s="29"/>
      <c r="S31448" s="29" t="s">
        <v>352</v>
      </c>
    </row>
    <row r="31449" spans="1:19" x14ac:dyDescent="0.35">
      <c r="A31449" s="27" t="s">
        <v>227</v>
      </c>
      <c r="B31449" s="27" t="s">
        <v>2732</v>
      </c>
      <c r="C31449" s="28">
        <v>0.33329999999999999</v>
      </c>
      <c r="D31449" s="28">
        <v>0.37040000000000001</v>
      </c>
      <c r="E31449" s="28">
        <v>0.14810000000000001</v>
      </c>
      <c r="F31449" s="28">
        <v>3.6999999999999998E-2</v>
      </c>
      <c r="G31449" s="28">
        <v>3.6999999999999998E-2</v>
      </c>
      <c r="H31449" s="28">
        <v>0.1111</v>
      </c>
      <c r="I31449" s="29"/>
      <c r="J31449" s="29"/>
      <c r="K31449" s="28">
        <v>3.6999999999999998E-2</v>
      </c>
      <c r="L31449" s="29"/>
      <c r="M31449" s="29"/>
      <c r="N31449" s="28">
        <v>3.6999999999999998E-2</v>
      </c>
      <c r="O31449" s="29"/>
      <c r="P31449" s="29"/>
      <c r="Q31449" s="29"/>
      <c r="R31449" s="29"/>
      <c r="S31449" s="29" t="s">
        <v>338</v>
      </c>
    </row>
    <row r="31450" spans="1:19" x14ac:dyDescent="0.35">
      <c r="A31450" t="s">
        <v>228</v>
      </c>
      <c r="B31450" t="s">
        <v>2730</v>
      </c>
      <c r="C31450" s="26">
        <v>0.46189999999999998</v>
      </c>
      <c r="D31450" s="26">
        <v>0.16139999999999999</v>
      </c>
      <c r="E31450" s="26">
        <v>0.28970000000000001</v>
      </c>
      <c r="F31450" s="26">
        <v>9.9500000000000005E-2</v>
      </c>
      <c r="G31450" s="26">
        <v>7.3999999999999996E-2</v>
      </c>
      <c r="H31450" s="26">
        <v>2.92E-2</v>
      </c>
      <c r="I31450" s="26">
        <v>0.10290000000000001</v>
      </c>
      <c r="J31450" s="26">
        <v>6.13E-2</v>
      </c>
      <c r="K31450" s="26">
        <v>2.12E-2</v>
      </c>
      <c r="L31450" s="26">
        <v>2.5999999999999999E-2</v>
      </c>
      <c r="M31450" s="26">
        <v>3.0700000000000002E-2</v>
      </c>
      <c r="N31450" s="26">
        <v>6.8999999999999999E-3</v>
      </c>
      <c r="P31450" s="26">
        <v>1.89E-2</v>
      </c>
      <c r="Q31450" s="26">
        <v>4.3E-3</v>
      </c>
      <c r="R31450" s="26">
        <v>9.4000000000000004E-3</v>
      </c>
      <c r="S31450">
        <v>118</v>
      </c>
    </row>
    <row r="31451" spans="1:19" x14ac:dyDescent="0.35">
      <c r="A31451" t="s">
        <v>228</v>
      </c>
      <c r="B31451" t="s">
        <v>2731</v>
      </c>
      <c r="C31451" s="26">
        <v>0.52180000000000004</v>
      </c>
      <c r="D31451" s="26">
        <v>0.14960000000000001</v>
      </c>
      <c r="E31451" s="26">
        <v>0.21</v>
      </c>
      <c r="F31451" s="26">
        <v>8.8900000000000007E-2</v>
      </c>
      <c r="G31451" s="26">
        <v>4.3499999999999997E-2</v>
      </c>
      <c r="I31451" s="26">
        <v>4.3499999999999997E-2</v>
      </c>
      <c r="K31451" s="26">
        <v>2.9600000000000001E-2</v>
      </c>
      <c r="M31451" s="26">
        <v>1.3899999999999999E-2</v>
      </c>
      <c r="S31451">
        <v>37</v>
      </c>
    </row>
    <row r="31452" spans="1:19" x14ac:dyDescent="0.35">
      <c r="A31452" t="s">
        <v>228</v>
      </c>
      <c r="B31452" t="s">
        <v>2732</v>
      </c>
      <c r="C31452" s="26">
        <v>0.44869999999999999</v>
      </c>
      <c r="D31452" s="26">
        <v>0.23499999999999999</v>
      </c>
      <c r="E31452" s="26">
        <v>0.15429999999999999</v>
      </c>
      <c r="F31452" s="26">
        <v>0.11070000000000001</v>
      </c>
      <c r="G31452" s="26">
        <v>7.1400000000000005E-2</v>
      </c>
      <c r="H31452" s="26">
        <v>2.4E-2</v>
      </c>
      <c r="I31452" s="26">
        <v>6.4500000000000002E-2</v>
      </c>
      <c r="J31452" s="26">
        <v>3.4599999999999999E-2</v>
      </c>
      <c r="K31452" s="26">
        <v>4.5100000000000001E-2</v>
      </c>
      <c r="L31452" s="26">
        <v>3.32E-2</v>
      </c>
      <c r="M31452" s="26">
        <v>3.2800000000000003E-2</v>
      </c>
      <c r="N31452" s="26">
        <v>2.3999999999999998E-3</v>
      </c>
      <c r="O31452" s="26">
        <v>1.4E-3</v>
      </c>
      <c r="P31452" s="26">
        <v>2.3999999999999998E-3</v>
      </c>
      <c r="Q31452" s="26">
        <v>9.1000000000000004E-3</v>
      </c>
      <c r="R31452" s="26">
        <v>2.3999999999999998E-3</v>
      </c>
      <c r="S31452">
        <v>155</v>
      </c>
    </row>
    <row r="31453" spans="1:19" x14ac:dyDescent="0.35">
      <c r="A31453" t="s">
        <v>229</v>
      </c>
      <c r="B31453" t="s">
        <v>2730</v>
      </c>
      <c r="C31453" s="26">
        <v>0.36890000000000001</v>
      </c>
      <c r="D31453" s="26">
        <v>0.2581</v>
      </c>
      <c r="E31453" s="26">
        <v>0.1754</v>
      </c>
      <c r="F31453" s="26">
        <v>0.13750000000000001</v>
      </c>
      <c r="G31453" s="26">
        <v>6.4500000000000002E-2</v>
      </c>
      <c r="H31453" s="26">
        <v>5.1499999999999997E-2</v>
      </c>
      <c r="I31453" s="26">
        <v>3.7999999999999999E-2</v>
      </c>
      <c r="J31453" s="26">
        <v>5.2999999999999999E-2</v>
      </c>
      <c r="K31453" s="26">
        <v>3.1899999999999998E-2</v>
      </c>
      <c r="L31453" s="26">
        <v>8.8000000000000005E-3</v>
      </c>
      <c r="M31453" s="26">
        <v>4.2799999999999998E-2</v>
      </c>
      <c r="N31453" s="26">
        <v>3.3999999999999998E-3</v>
      </c>
      <c r="O31453" s="26">
        <v>2.58E-2</v>
      </c>
      <c r="P31453" s="26">
        <v>3.3999999999999998E-3</v>
      </c>
      <c r="Q31453" s="26">
        <v>3.3999999999999998E-3</v>
      </c>
      <c r="R31453" s="26">
        <v>3.3999999999999998E-3</v>
      </c>
      <c r="S31453">
        <v>92</v>
      </c>
    </row>
    <row r="31454" spans="1:19" x14ac:dyDescent="0.35">
      <c r="A31454" s="27" t="s">
        <v>229</v>
      </c>
      <c r="B31454" s="27" t="s">
        <v>2731</v>
      </c>
      <c r="C31454" s="28">
        <v>0.52510000000000001</v>
      </c>
      <c r="D31454" s="28">
        <v>0.1056</v>
      </c>
      <c r="E31454" s="28">
        <v>0.35599999999999998</v>
      </c>
      <c r="F31454" s="28">
        <v>0.22339999999999999</v>
      </c>
      <c r="G31454" s="29"/>
      <c r="H31454" s="29"/>
      <c r="I31454" s="28">
        <v>3.8999999999999998E-3</v>
      </c>
      <c r="J31454" s="29"/>
      <c r="K31454" s="29"/>
      <c r="L31454" s="29"/>
      <c r="M31454" s="29"/>
      <c r="N31454" s="29"/>
      <c r="O31454" s="29"/>
      <c r="P31454" s="28">
        <v>1.34E-2</v>
      </c>
      <c r="Q31454" s="29"/>
      <c r="R31454" s="29"/>
      <c r="S31454" s="29" t="s">
        <v>347</v>
      </c>
    </row>
    <row r="31455" spans="1:19" x14ac:dyDescent="0.35">
      <c r="A31455" t="s">
        <v>229</v>
      </c>
      <c r="B31455" t="s">
        <v>2732</v>
      </c>
      <c r="C31455" s="26">
        <v>0.29289999999999999</v>
      </c>
      <c r="D31455" s="26">
        <v>0.24349999999999999</v>
      </c>
      <c r="E31455" s="26">
        <v>0.30640000000000001</v>
      </c>
      <c r="F31455" s="26">
        <v>0.1641</v>
      </c>
      <c r="G31455" s="26">
        <v>6.3700000000000007E-2</v>
      </c>
      <c r="H31455" s="26">
        <v>2.4299999999999999E-2</v>
      </c>
      <c r="I31455" s="26">
        <v>2.8500000000000001E-2</v>
      </c>
      <c r="J31455" s="26">
        <v>3.3599999999999998E-2</v>
      </c>
      <c r="K31455" s="26">
        <v>7.6E-3</v>
      </c>
      <c r="L31455" s="26">
        <v>1.5900000000000001E-2</v>
      </c>
      <c r="M31455" s="26">
        <v>6.7000000000000002E-3</v>
      </c>
      <c r="N31455" s="26">
        <v>1.7299999999999999E-2</v>
      </c>
      <c r="O31455" s="26">
        <v>1.6999999999999999E-3</v>
      </c>
      <c r="P31455" s="26">
        <v>1.6999999999999999E-3</v>
      </c>
      <c r="Q31455" s="26">
        <v>1.6999999999999999E-3</v>
      </c>
      <c r="R31455" s="26">
        <v>8.0000000000000004E-4</v>
      </c>
      <c r="S31455">
        <v>157</v>
      </c>
    </row>
    <row r="31456" spans="1:19" x14ac:dyDescent="0.35">
      <c r="A31456" t="s">
        <v>230</v>
      </c>
      <c r="B31456" t="s">
        <v>2730</v>
      </c>
      <c r="C31456" s="26">
        <v>0.40820000000000001</v>
      </c>
      <c r="D31456" s="26">
        <v>7.8600000000000003E-2</v>
      </c>
      <c r="E31456" s="26">
        <v>0.31669999999999998</v>
      </c>
      <c r="F31456" s="26">
        <v>9.9900000000000003E-2</v>
      </c>
      <c r="G31456" s="26">
        <v>7.17E-2</v>
      </c>
      <c r="H31456" s="26">
        <v>0.1133</v>
      </c>
      <c r="I31456" s="26">
        <v>2.4899999999999999E-2</v>
      </c>
      <c r="J31456" s="26">
        <v>2.3699999999999999E-2</v>
      </c>
      <c r="K31456" s="26">
        <v>4.3299999999999998E-2</v>
      </c>
      <c r="L31456" s="26">
        <v>2.18E-2</v>
      </c>
      <c r="M31456" s="26">
        <v>3.6600000000000001E-2</v>
      </c>
      <c r="P31456" s="26">
        <v>5.7000000000000002E-3</v>
      </c>
      <c r="Q31456" s="26">
        <v>2.8999999999999998E-3</v>
      </c>
      <c r="R31456" s="26">
        <v>2.8999999999999998E-3</v>
      </c>
      <c r="S31456">
        <v>60</v>
      </c>
    </row>
    <row r="31457" spans="1:19" x14ac:dyDescent="0.35">
      <c r="A31457" s="27" t="s">
        <v>230</v>
      </c>
      <c r="B31457" s="27" t="s">
        <v>2731</v>
      </c>
      <c r="C31457" s="28">
        <v>0.14599999999999999</v>
      </c>
      <c r="D31457" s="28">
        <v>0.38769999999999999</v>
      </c>
      <c r="E31457" s="28">
        <v>0.14599999999999999</v>
      </c>
      <c r="F31457" s="28">
        <v>0.11169999999999999</v>
      </c>
      <c r="G31457" s="28">
        <v>0.2908</v>
      </c>
      <c r="H31457" s="29"/>
      <c r="I31457" s="29"/>
      <c r="J31457" s="28">
        <v>1.47E-2</v>
      </c>
      <c r="K31457" s="28">
        <v>4.7899999999999998E-2</v>
      </c>
      <c r="L31457" s="28">
        <v>0.2908</v>
      </c>
      <c r="M31457" s="28">
        <v>1.47E-2</v>
      </c>
      <c r="N31457" s="29"/>
      <c r="O31457" s="28">
        <v>1.47E-2</v>
      </c>
      <c r="P31457" s="28">
        <v>1.47E-2</v>
      </c>
      <c r="Q31457" s="29"/>
      <c r="R31457" s="28">
        <v>1.47E-2</v>
      </c>
      <c r="S31457" s="29" t="s">
        <v>342</v>
      </c>
    </row>
    <row r="31458" spans="1:19" x14ac:dyDescent="0.35">
      <c r="A31458" t="s">
        <v>230</v>
      </c>
      <c r="B31458" t="s">
        <v>2732</v>
      </c>
      <c r="C31458" s="26">
        <v>0.3397</v>
      </c>
      <c r="D31458" s="26">
        <v>0.2833</v>
      </c>
      <c r="E31458" s="26">
        <v>0.30309999999999998</v>
      </c>
      <c r="F31458" s="26">
        <v>8.7400000000000005E-2</v>
      </c>
      <c r="G31458" s="26">
        <v>0.12620000000000001</v>
      </c>
      <c r="H31458" s="26">
        <v>3.6900000000000002E-2</v>
      </c>
      <c r="I31458" s="26">
        <v>2.5399999999999999E-2</v>
      </c>
      <c r="J31458" s="26">
        <v>2.1700000000000001E-2</v>
      </c>
      <c r="K31458" s="26">
        <v>3.32E-2</v>
      </c>
      <c r="L31458" s="26">
        <v>9.6299999999999997E-2</v>
      </c>
      <c r="M31458" s="26">
        <v>3.4799999999999998E-2</v>
      </c>
      <c r="N31458" s="26">
        <v>6.7999999999999996E-3</v>
      </c>
      <c r="O31458" s="26">
        <v>3.1600000000000003E-2</v>
      </c>
      <c r="P31458" s="26">
        <v>1.1599999999999999E-2</v>
      </c>
      <c r="R31458" s="26">
        <v>8.3999999999999995E-3</v>
      </c>
      <c r="S31458">
        <v>79</v>
      </c>
    </row>
    <row r="31459" spans="1:19" x14ac:dyDescent="0.35">
      <c r="A31459" s="27" t="s">
        <v>231</v>
      </c>
      <c r="B31459" s="27" t="s">
        <v>2730</v>
      </c>
      <c r="C31459" s="28">
        <v>0.28570000000000001</v>
      </c>
      <c r="D31459" s="28">
        <v>0.42859999999999998</v>
      </c>
      <c r="E31459" s="28">
        <v>0.1429</v>
      </c>
      <c r="F31459" s="28">
        <v>0.1429</v>
      </c>
      <c r="G31459" s="28">
        <v>0.21429999999999999</v>
      </c>
      <c r="H31459" s="29"/>
      <c r="I31459" s="29"/>
      <c r="J31459" s="29"/>
      <c r="K31459" s="29"/>
      <c r="L31459" s="29"/>
      <c r="M31459" s="29"/>
      <c r="N31459" s="29"/>
      <c r="O31459" s="29"/>
      <c r="P31459" s="29"/>
      <c r="Q31459" s="29"/>
      <c r="R31459" s="29"/>
      <c r="S31459" s="29" t="s">
        <v>379</v>
      </c>
    </row>
    <row r="31460" spans="1:19" x14ac:dyDescent="0.35">
      <c r="A31460" s="27" t="s">
        <v>231</v>
      </c>
      <c r="B31460" s="27" t="s">
        <v>2731</v>
      </c>
      <c r="C31460" s="29"/>
      <c r="D31460" s="28">
        <v>1</v>
      </c>
      <c r="E31460" s="29"/>
      <c r="F31460" s="29"/>
      <c r="G31460" s="29"/>
      <c r="H31460" s="29"/>
      <c r="I31460" s="29"/>
      <c r="J31460" s="29"/>
      <c r="K31460" s="29"/>
      <c r="L31460" s="29"/>
      <c r="M31460" s="29"/>
      <c r="N31460" s="29"/>
      <c r="O31460" s="29"/>
      <c r="P31460" s="29"/>
      <c r="Q31460" s="29"/>
      <c r="R31460" s="29"/>
      <c r="S31460" s="29" t="s">
        <v>314</v>
      </c>
    </row>
    <row r="31461" spans="1:19" x14ac:dyDescent="0.35">
      <c r="A31461" s="27" t="s">
        <v>231</v>
      </c>
      <c r="B31461" s="27" t="s">
        <v>2732</v>
      </c>
      <c r="C31461" s="28">
        <v>0.38890000000000002</v>
      </c>
      <c r="D31461" s="28">
        <v>0.38890000000000002</v>
      </c>
      <c r="E31461" s="28">
        <v>0.22220000000000001</v>
      </c>
      <c r="F31461" s="28">
        <v>0.1111</v>
      </c>
      <c r="G31461" s="28">
        <v>5.5599999999999997E-2</v>
      </c>
      <c r="H31461" s="29"/>
      <c r="I31461" s="29"/>
      <c r="J31461" s="29"/>
      <c r="K31461" s="29"/>
      <c r="L31461" s="29"/>
      <c r="M31461" s="29"/>
      <c r="N31461" s="29"/>
      <c r="O31461" s="29"/>
      <c r="P31461" s="29"/>
      <c r="Q31461" s="29"/>
      <c r="R31461" s="29"/>
      <c r="S31461" s="29" t="s">
        <v>353</v>
      </c>
    </row>
    <row r="31462" spans="1:19" x14ac:dyDescent="0.35">
      <c r="A31462" t="s">
        <v>232</v>
      </c>
      <c r="B31462" t="s">
        <v>232</v>
      </c>
      <c r="C31462" s="26">
        <v>0.38069999999999998</v>
      </c>
      <c r="D31462" s="26">
        <v>0.27139999999999997</v>
      </c>
      <c r="E31462" s="26">
        <v>0.22270000000000001</v>
      </c>
      <c r="F31462" s="26">
        <v>0.1215</v>
      </c>
      <c r="G31462" s="26">
        <v>7.4499999999999997E-2</v>
      </c>
      <c r="H31462" s="26">
        <v>3.0099999999999998E-2</v>
      </c>
      <c r="I31462" s="26">
        <v>2.8000000000000001E-2</v>
      </c>
      <c r="J31462" s="26">
        <v>2.5600000000000001E-2</v>
      </c>
      <c r="K31462" s="26">
        <v>2.2200000000000001E-2</v>
      </c>
      <c r="L31462" s="26">
        <v>1.77E-2</v>
      </c>
      <c r="M31462" s="26">
        <v>1.5100000000000001E-2</v>
      </c>
      <c r="N31462" s="26">
        <v>8.0999999999999996E-3</v>
      </c>
      <c r="O31462" s="26">
        <v>4.7999999999999996E-3</v>
      </c>
      <c r="P31462" s="26">
        <v>3.5999999999999999E-3</v>
      </c>
      <c r="Q31462" s="26">
        <v>2.0999999999999999E-3</v>
      </c>
      <c r="R31462" s="26">
        <v>2.0999999999999999E-3</v>
      </c>
      <c r="S31462">
        <v>820</v>
      </c>
    </row>
    <row r="31464" spans="1:19" x14ac:dyDescent="0.35">
      <c r="A31464" s="1" t="s">
        <v>2778</v>
      </c>
    </row>
    <row r="31465" spans="1:19" x14ac:dyDescent="0.35">
      <c r="A31465" t="s">
        <v>219</v>
      </c>
      <c r="B31465" t="s">
        <v>305</v>
      </c>
      <c r="C31465" t="s">
        <v>550</v>
      </c>
      <c r="D31465" t="s">
        <v>1400</v>
      </c>
      <c r="E31465" t="s">
        <v>281</v>
      </c>
      <c r="F31465" t="s">
        <v>1403</v>
      </c>
      <c r="G31465" t="s">
        <v>1504</v>
      </c>
      <c r="H31465" t="s">
        <v>1402</v>
      </c>
      <c r="I31465" t="s">
        <v>1404</v>
      </c>
      <c r="J31465" t="s">
        <v>1408</v>
      </c>
      <c r="K31465" t="s">
        <v>1401</v>
      </c>
      <c r="L31465" t="s">
        <v>1406</v>
      </c>
      <c r="M31465" t="s">
        <v>286</v>
      </c>
      <c r="N31465" t="s">
        <v>1407</v>
      </c>
      <c r="O31465" t="s">
        <v>326</v>
      </c>
      <c r="P31465" t="s">
        <v>226</v>
      </c>
    </row>
    <row r="31466" spans="1:19" x14ac:dyDescent="0.35">
      <c r="A31466" t="s">
        <v>227</v>
      </c>
      <c r="B31466" t="s">
        <v>2730</v>
      </c>
      <c r="C31466" s="26">
        <v>0.44440000000000002</v>
      </c>
      <c r="D31466" s="26">
        <v>0.15559999999999999</v>
      </c>
      <c r="E31466" s="26">
        <v>0.35560000000000003</v>
      </c>
      <c r="J31466" s="26">
        <v>2.2200000000000001E-2</v>
      </c>
      <c r="O31466" s="26">
        <v>2.2200000000000001E-2</v>
      </c>
      <c r="P31466">
        <v>45</v>
      </c>
    </row>
    <row r="31467" spans="1:19" x14ac:dyDescent="0.35">
      <c r="A31467" s="27" t="s">
        <v>227</v>
      </c>
      <c r="B31467" s="27" t="s">
        <v>2731</v>
      </c>
      <c r="C31467" s="28">
        <v>0.4</v>
      </c>
      <c r="D31467" s="28">
        <v>0.3</v>
      </c>
      <c r="E31467" s="28">
        <v>0.2</v>
      </c>
      <c r="F31467" s="28">
        <v>0.1</v>
      </c>
      <c r="G31467" s="29"/>
      <c r="H31467" s="28">
        <v>0.1</v>
      </c>
      <c r="I31467" s="29"/>
      <c r="J31467" s="29"/>
      <c r="K31467" s="29"/>
      <c r="L31467" s="29"/>
      <c r="M31467" s="29"/>
      <c r="N31467" s="29"/>
      <c r="O31467" s="29"/>
      <c r="P31467" s="29" t="s">
        <v>350</v>
      </c>
    </row>
    <row r="31468" spans="1:19" x14ac:dyDescent="0.35">
      <c r="A31468" t="s">
        <v>227</v>
      </c>
      <c r="B31468" t="s">
        <v>2732</v>
      </c>
      <c r="C31468" s="26">
        <v>0.53259999999999996</v>
      </c>
      <c r="D31468" s="26">
        <v>0.26090000000000002</v>
      </c>
      <c r="E31468" s="26">
        <v>0.16300000000000001</v>
      </c>
      <c r="H31468" s="26">
        <v>1.09E-2</v>
      </c>
      <c r="I31468" s="26">
        <v>3.2599999999999997E-2</v>
      </c>
      <c r="K31468" s="26">
        <v>1.09E-2</v>
      </c>
      <c r="M31468" s="26">
        <v>1.09E-2</v>
      </c>
      <c r="P31468">
        <v>92</v>
      </c>
    </row>
    <row r="31469" spans="1:19" x14ac:dyDescent="0.35">
      <c r="A31469" t="s">
        <v>228</v>
      </c>
      <c r="B31469" t="s">
        <v>2730</v>
      </c>
      <c r="C31469" s="26">
        <v>0.3503</v>
      </c>
      <c r="D31469" s="26">
        <v>0.31929999999999997</v>
      </c>
      <c r="E31469" s="26">
        <v>0.27350000000000002</v>
      </c>
      <c r="F31469" s="26">
        <v>2.3199999999999998E-2</v>
      </c>
      <c r="G31469" s="26">
        <v>2.81E-2</v>
      </c>
      <c r="H31469" s="26">
        <v>1.9599999999999999E-2</v>
      </c>
      <c r="J31469" s="26">
        <v>6.3E-3</v>
      </c>
      <c r="K31469" s="26">
        <v>2.2200000000000001E-2</v>
      </c>
      <c r="L31469" s="26">
        <v>2.8E-3</v>
      </c>
      <c r="M31469" s="26">
        <v>6.9999999999999999E-4</v>
      </c>
      <c r="P31469">
        <v>357</v>
      </c>
    </row>
    <row r="31470" spans="1:19" x14ac:dyDescent="0.35">
      <c r="A31470" t="s">
        <v>228</v>
      </c>
      <c r="B31470" t="s">
        <v>2731</v>
      </c>
      <c r="C31470" s="26">
        <v>0.42809999999999998</v>
      </c>
      <c r="D31470" s="26">
        <v>0.36499999999999999</v>
      </c>
      <c r="E31470" s="26">
        <v>0.18260000000000001</v>
      </c>
      <c r="F31470" s="26">
        <v>1.0500000000000001E-2</v>
      </c>
      <c r="G31470" s="26">
        <v>6.6600000000000006E-2</v>
      </c>
      <c r="H31470" s="26">
        <v>1.43E-2</v>
      </c>
      <c r="J31470" s="26">
        <v>4.2200000000000001E-2</v>
      </c>
      <c r="K31470" s="26">
        <v>1.0500000000000001E-2</v>
      </c>
      <c r="L31470" s="26">
        <v>1.5599999999999999E-2</v>
      </c>
      <c r="P31470">
        <v>92</v>
      </c>
    </row>
    <row r="31471" spans="1:19" x14ac:dyDescent="0.35">
      <c r="A31471" t="s">
        <v>228</v>
      </c>
      <c r="B31471" t="s">
        <v>2732</v>
      </c>
      <c r="C31471" s="26">
        <v>0.51759999999999995</v>
      </c>
      <c r="D31471" s="26">
        <v>0.25779999999999997</v>
      </c>
      <c r="E31471" s="26">
        <v>0.17960000000000001</v>
      </c>
      <c r="F31471" s="26">
        <v>1.7500000000000002E-2</v>
      </c>
      <c r="G31471" s="26">
        <v>1.06E-2</v>
      </c>
      <c r="H31471" s="26">
        <v>5.1000000000000004E-3</v>
      </c>
      <c r="I31471" s="26">
        <v>3.8999999999999998E-3</v>
      </c>
      <c r="J31471" s="26">
        <v>7.0000000000000001E-3</v>
      </c>
      <c r="K31471" s="26">
        <v>5.4999999999999997E-3</v>
      </c>
      <c r="L31471" s="26">
        <v>7.9000000000000008E-3</v>
      </c>
      <c r="M31471" s="26">
        <v>1.1000000000000001E-3</v>
      </c>
      <c r="P31471">
        <v>565</v>
      </c>
    </row>
    <row r="31472" spans="1:19" x14ac:dyDescent="0.35">
      <c r="A31472" t="s">
        <v>229</v>
      </c>
      <c r="B31472" t="s">
        <v>2730</v>
      </c>
      <c r="C31472" s="26">
        <v>0.39660000000000001</v>
      </c>
      <c r="D31472" s="26">
        <v>0.34489999999999998</v>
      </c>
      <c r="E31472" s="26">
        <v>0.20549999999999999</v>
      </c>
      <c r="F31472" s="26">
        <v>3.1199999999999999E-2</v>
      </c>
      <c r="G31472" s="26">
        <v>3.5400000000000001E-2</v>
      </c>
      <c r="H31472" s="26">
        <v>1.03E-2</v>
      </c>
      <c r="I31472" s="26">
        <v>9.1000000000000004E-3</v>
      </c>
      <c r="J31472" s="26">
        <v>3.1399999999999997E-2</v>
      </c>
      <c r="K31472" s="26">
        <v>1.4500000000000001E-2</v>
      </c>
      <c r="L31472" s="26">
        <v>1.15E-2</v>
      </c>
      <c r="M31472" s="26">
        <v>0.01</v>
      </c>
      <c r="P31472">
        <v>298</v>
      </c>
    </row>
    <row r="31473" spans="1:17" x14ac:dyDescent="0.35">
      <c r="A31473" t="s">
        <v>229</v>
      </c>
      <c r="B31473" t="s">
        <v>2731</v>
      </c>
      <c r="C31473" s="26">
        <v>0.53990000000000005</v>
      </c>
      <c r="D31473" s="26">
        <v>0.30649999999999999</v>
      </c>
      <c r="E31473" s="26">
        <v>0.1537</v>
      </c>
      <c r="F31473" s="26">
        <v>3.0499999999999999E-2</v>
      </c>
      <c r="G31473" s="26">
        <v>1.1999999999999999E-3</v>
      </c>
      <c r="P31473">
        <v>86</v>
      </c>
    </row>
    <row r="31474" spans="1:17" x14ac:dyDescent="0.35">
      <c r="A31474" t="s">
        <v>229</v>
      </c>
      <c r="B31474" t="s">
        <v>2732</v>
      </c>
      <c r="C31474" s="26">
        <v>0.52510000000000001</v>
      </c>
      <c r="D31474" s="26">
        <v>0.24440000000000001</v>
      </c>
      <c r="E31474" s="26">
        <v>0.15790000000000001</v>
      </c>
      <c r="F31474" s="26">
        <v>3.1300000000000001E-2</v>
      </c>
      <c r="G31474" s="26">
        <v>1.4E-2</v>
      </c>
      <c r="H31474" s="26">
        <v>3.4200000000000001E-2</v>
      </c>
      <c r="I31474" s="26">
        <v>1.8100000000000002E-2</v>
      </c>
      <c r="J31474" s="26">
        <v>1.1299999999999999E-2</v>
      </c>
      <c r="K31474" s="26">
        <v>9.7000000000000003E-3</v>
      </c>
      <c r="L31474" s="26">
        <v>5.1000000000000004E-3</v>
      </c>
      <c r="M31474" s="26">
        <v>5.0000000000000001E-4</v>
      </c>
      <c r="O31474" s="26">
        <v>4.1000000000000003E-3</v>
      </c>
      <c r="P31474">
        <v>490</v>
      </c>
    </row>
    <row r="31475" spans="1:17" x14ac:dyDescent="0.35">
      <c r="A31475" t="s">
        <v>230</v>
      </c>
      <c r="B31475" t="s">
        <v>2730</v>
      </c>
      <c r="C31475" s="26">
        <v>0.32550000000000001</v>
      </c>
      <c r="D31475" s="26">
        <v>0.41399999999999998</v>
      </c>
      <c r="E31475" s="26">
        <v>0.17399999999999999</v>
      </c>
      <c r="F31475" s="26">
        <v>5.3900000000000003E-2</v>
      </c>
      <c r="G31475" s="26">
        <v>1.7899999999999999E-2</v>
      </c>
      <c r="H31475" s="26">
        <v>5.5599999999999997E-2</v>
      </c>
      <c r="J31475" s="26">
        <v>5.5999999999999999E-3</v>
      </c>
      <c r="K31475" s="26">
        <v>1.9900000000000001E-2</v>
      </c>
      <c r="L31475" s="26">
        <v>1.9599999999999999E-2</v>
      </c>
      <c r="M31475" s="26">
        <v>3.7000000000000002E-3</v>
      </c>
      <c r="P31475">
        <v>194</v>
      </c>
    </row>
    <row r="31476" spans="1:17" x14ac:dyDescent="0.35">
      <c r="A31476" t="s">
        <v>230</v>
      </c>
      <c r="B31476" t="s">
        <v>2731</v>
      </c>
      <c r="C31476" s="26">
        <v>0.51890000000000003</v>
      </c>
      <c r="D31476" s="26">
        <v>0.4042</v>
      </c>
      <c r="E31476" s="26">
        <v>6.5299999999999997E-2</v>
      </c>
      <c r="F31476" s="26">
        <v>2.3400000000000001E-2</v>
      </c>
      <c r="G31476" s="26">
        <v>1.15E-2</v>
      </c>
      <c r="H31476" s="26">
        <v>1.15E-2</v>
      </c>
      <c r="P31476">
        <v>49</v>
      </c>
    </row>
    <row r="31477" spans="1:17" x14ac:dyDescent="0.35">
      <c r="A31477" t="s">
        <v>230</v>
      </c>
      <c r="B31477" t="s">
        <v>2732</v>
      </c>
      <c r="C31477" s="26">
        <v>0.45939999999999998</v>
      </c>
      <c r="D31477" s="26">
        <v>0.38080000000000003</v>
      </c>
      <c r="E31477" s="26">
        <v>0.1182</v>
      </c>
      <c r="F31477" s="26">
        <v>1.84E-2</v>
      </c>
      <c r="G31477" s="26">
        <v>1.9300000000000001E-2</v>
      </c>
      <c r="H31477" s="26">
        <v>1.14E-2</v>
      </c>
      <c r="I31477" s="26">
        <v>2.7300000000000001E-2</v>
      </c>
      <c r="J31477" s="26">
        <v>1.9400000000000001E-2</v>
      </c>
      <c r="K31477" s="26">
        <v>1.3299999999999999E-2</v>
      </c>
      <c r="L31477" s="26">
        <v>1.7899999999999999E-2</v>
      </c>
      <c r="M31477" s="26">
        <v>5.0000000000000001E-4</v>
      </c>
      <c r="P31477">
        <v>304</v>
      </c>
    </row>
    <row r="31478" spans="1:17" x14ac:dyDescent="0.35">
      <c r="A31478" t="s">
        <v>231</v>
      </c>
      <c r="B31478" t="s">
        <v>2730</v>
      </c>
      <c r="C31478" s="26">
        <v>0.43640000000000001</v>
      </c>
      <c r="D31478" s="26">
        <v>0.2545</v>
      </c>
      <c r="E31478" s="26">
        <v>0.30909999999999999</v>
      </c>
      <c r="F31478" s="26">
        <v>1.8200000000000001E-2</v>
      </c>
      <c r="G31478" s="26">
        <v>3.6400000000000002E-2</v>
      </c>
      <c r="J31478" s="26">
        <v>1.8200000000000001E-2</v>
      </c>
      <c r="P31478">
        <v>55</v>
      </c>
    </row>
    <row r="31479" spans="1:17" x14ac:dyDescent="0.35">
      <c r="A31479" s="27" t="s">
        <v>231</v>
      </c>
      <c r="B31479" s="27" t="s">
        <v>2731</v>
      </c>
      <c r="C31479" s="28">
        <v>0.625</v>
      </c>
      <c r="D31479" s="28">
        <v>0.25</v>
      </c>
      <c r="E31479" s="28">
        <v>6.25E-2</v>
      </c>
      <c r="F31479" s="28">
        <v>6.25E-2</v>
      </c>
      <c r="G31479" s="28">
        <v>6.25E-2</v>
      </c>
      <c r="H31479" s="29"/>
      <c r="I31479" s="29"/>
      <c r="J31479" s="29"/>
      <c r="K31479" s="29"/>
      <c r="L31479" s="29"/>
      <c r="M31479" s="29"/>
      <c r="N31479" s="29"/>
      <c r="O31479" s="29"/>
      <c r="P31479" s="29" t="s">
        <v>348</v>
      </c>
    </row>
    <row r="31480" spans="1:17" x14ac:dyDescent="0.35">
      <c r="A31480" t="s">
        <v>231</v>
      </c>
      <c r="B31480" t="s">
        <v>2732</v>
      </c>
      <c r="C31480" s="26">
        <v>0.54949999999999999</v>
      </c>
      <c r="D31480" s="26">
        <v>0.3407</v>
      </c>
      <c r="E31480" s="26">
        <v>6.59E-2</v>
      </c>
      <c r="F31480" s="26">
        <v>2.1999999999999999E-2</v>
      </c>
      <c r="I31480" s="26">
        <v>1.0999999999999999E-2</v>
      </c>
      <c r="L31480" s="26">
        <v>1.0999999999999999E-2</v>
      </c>
      <c r="N31480" s="26">
        <v>1.0999999999999999E-2</v>
      </c>
      <c r="P31480">
        <v>91</v>
      </c>
    </row>
    <row r="31481" spans="1:17" x14ac:dyDescent="0.35">
      <c r="A31481" t="s">
        <v>232</v>
      </c>
      <c r="B31481" t="s">
        <v>232</v>
      </c>
      <c r="C31481" s="26">
        <v>0.48409999999999997</v>
      </c>
      <c r="D31481" s="26">
        <v>0.29170000000000001</v>
      </c>
      <c r="E31481" s="26">
        <v>0.1764</v>
      </c>
      <c r="F31481" s="26">
        <v>2.41E-2</v>
      </c>
      <c r="G31481" s="26">
        <v>1.6299999999999999E-2</v>
      </c>
      <c r="H31481" s="26">
        <v>1.43E-2</v>
      </c>
      <c r="I31481" s="26">
        <v>1.06E-2</v>
      </c>
      <c r="J31481" s="26">
        <v>1.04E-2</v>
      </c>
      <c r="K31481" s="26">
        <v>7.4999999999999997E-3</v>
      </c>
      <c r="L31481" s="26">
        <v>6.4999999999999997E-3</v>
      </c>
      <c r="M31481" s="26">
        <v>2.2000000000000001E-3</v>
      </c>
      <c r="N31481" s="26">
        <v>1.6999999999999999E-3</v>
      </c>
      <c r="O31481" s="26">
        <v>1.6999999999999999E-3</v>
      </c>
      <c r="P31481">
        <v>2754</v>
      </c>
    </row>
    <row r="31483" spans="1:17" x14ac:dyDescent="0.35">
      <c r="A31483" s="1" t="s">
        <v>2779</v>
      </c>
    </row>
    <row r="31484" spans="1:17" x14ac:dyDescent="0.35">
      <c r="A31484" t="s">
        <v>219</v>
      </c>
      <c r="B31484" t="s">
        <v>305</v>
      </c>
      <c r="C31484" t="s">
        <v>550</v>
      </c>
      <c r="D31484" t="s">
        <v>281</v>
      </c>
      <c r="E31484" t="s">
        <v>1575</v>
      </c>
      <c r="F31484" t="s">
        <v>1401</v>
      </c>
      <c r="G31484" t="s">
        <v>1576</v>
      </c>
      <c r="H31484" t="s">
        <v>1577</v>
      </c>
      <c r="I31484" t="s">
        <v>1406</v>
      </c>
      <c r="J31484" t="s">
        <v>1578</v>
      </c>
      <c r="K31484" t="s">
        <v>326</v>
      </c>
      <c r="L31484" t="s">
        <v>1579</v>
      </c>
      <c r="M31484" t="s">
        <v>1504</v>
      </c>
      <c r="N31484" t="s">
        <v>1580</v>
      </c>
      <c r="O31484" t="s">
        <v>286</v>
      </c>
      <c r="P31484" t="s">
        <v>1408</v>
      </c>
      <c r="Q31484" t="s">
        <v>226</v>
      </c>
    </row>
    <row r="31485" spans="1:17" x14ac:dyDescent="0.35">
      <c r="A31485" t="s">
        <v>227</v>
      </c>
      <c r="B31485" t="s">
        <v>2730</v>
      </c>
      <c r="C31485" s="26">
        <v>0.64290000000000003</v>
      </c>
      <c r="D31485" s="26">
        <v>0.3095</v>
      </c>
      <c r="K31485" s="26">
        <v>4.7600000000000003E-2</v>
      </c>
      <c r="Q31485">
        <v>42</v>
      </c>
    </row>
    <row r="31486" spans="1:17" x14ac:dyDescent="0.35">
      <c r="A31486" s="27" t="s">
        <v>227</v>
      </c>
      <c r="B31486" s="27" t="s">
        <v>2731</v>
      </c>
      <c r="C31486" s="28">
        <v>0.625</v>
      </c>
      <c r="D31486" s="28">
        <v>0.25</v>
      </c>
      <c r="E31486" s="28">
        <v>6.25E-2</v>
      </c>
      <c r="F31486" s="28">
        <v>6.25E-2</v>
      </c>
      <c r="G31486" s="28">
        <v>6.25E-2</v>
      </c>
      <c r="H31486" s="29"/>
      <c r="I31486" s="29"/>
      <c r="J31486" s="28">
        <v>6.25E-2</v>
      </c>
      <c r="K31486" s="29"/>
      <c r="L31486" s="28">
        <v>6.25E-2</v>
      </c>
      <c r="M31486" s="29"/>
      <c r="N31486" s="29"/>
      <c r="O31486" s="29"/>
      <c r="P31486" s="29"/>
      <c r="Q31486" s="29" t="s">
        <v>348</v>
      </c>
    </row>
    <row r="31487" spans="1:17" x14ac:dyDescent="0.35">
      <c r="A31487" t="s">
        <v>227</v>
      </c>
      <c r="B31487" t="s">
        <v>2732</v>
      </c>
      <c r="C31487" s="26">
        <v>0.69410000000000005</v>
      </c>
      <c r="D31487" s="26">
        <v>0.17649999999999999</v>
      </c>
      <c r="E31487" s="26">
        <v>1.18E-2</v>
      </c>
      <c r="F31487" s="26">
        <v>4.7100000000000003E-2</v>
      </c>
      <c r="G31487" s="26">
        <v>1.18E-2</v>
      </c>
      <c r="H31487" s="26">
        <v>4.7100000000000003E-2</v>
      </c>
      <c r="I31487" s="26">
        <v>1.18E-2</v>
      </c>
      <c r="J31487" s="26">
        <v>2.35E-2</v>
      </c>
      <c r="K31487" s="26">
        <v>1.18E-2</v>
      </c>
      <c r="Q31487">
        <v>85</v>
      </c>
    </row>
    <row r="31488" spans="1:17" x14ac:dyDescent="0.35">
      <c r="A31488" t="s">
        <v>228</v>
      </c>
      <c r="B31488" t="s">
        <v>2730</v>
      </c>
      <c r="C31488" s="26">
        <v>0.59250000000000003</v>
      </c>
      <c r="D31488" s="26">
        <v>0.27689999999999998</v>
      </c>
      <c r="E31488" s="26">
        <v>4.1599999999999998E-2</v>
      </c>
      <c r="F31488" s="26">
        <v>4.3200000000000002E-2</v>
      </c>
      <c r="G31488" s="26">
        <v>3.5700000000000003E-2</v>
      </c>
      <c r="H31488" s="26">
        <v>1.1999999999999999E-3</v>
      </c>
      <c r="I31488" s="26">
        <v>1.9E-3</v>
      </c>
      <c r="J31488" s="26">
        <v>2.5499999999999998E-2</v>
      </c>
      <c r="L31488" s="26">
        <v>1.5699999999999999E-2</v>
      </c>
      <c r="M31488" s="26">
        <v>6.0000000000000001E-3</v>
      </c>
      <c r="O31488" s="26">
        <v>8.0000000000000004E-4</v>
      </c>
      <c r="Q31488">
        <v>332</v>
      </c>
    </row>
    <row r="31489" spans="1:17" x14ac:dyDescent="0.35">
      <c r="A31489" t="s">
        <v>228</v>
      </c>
      <c r="B31489" t="s">
        <v>2731</v>
      </c>
      <c r="C31489" s="26">
        <v>0.55559999999999998</v>
      </c>
      <c r="D31489" s="26">
        <v>0.31280000000000002</v>
      </c>
      <c r="E31489" s="26">
        <v>7.3200000000000001E-2</v>
      </c>
      <c r="F31489" s="26">
        <v>4.3499999999999997E-2</v>
      </c>
      <c r="G31489" s="26">
        <v>1.5699999999999999E-2</v>
      </c>
      <c r="I31489" s="26">
        <v>1.5699999999999999E-2</v>
      </c>
      <c r="J31489" s="26">
        <v>4.5699999999999998E-2</v>
      </c>
      <c r="K31489" s="26">
        <v>1.5699999999999999E-2</v>
      </c>
      <c r="L31489" s="26">
        <v>1.5699999999999999E-2</v>
      </c>
      <c r="M31489" s="26">
        <v>1.5699999999999999E-2</v>
      </c>
      <c r="N31489" s="26">
        <v>1.11E-2</v>
      </c>
      <c r="P31489" s="26">
        <v>1.5699999999999999E-2</v>
      </c>
      <c r="Q31489">
        <v>92</v>
      </c>
    </row>
    <row r="31490" spans="1:17" x14ac:dyDescent="0.35">
      <c r="A31490" t="s">
        <v>228</v>
      </c>
      <c r="B31490" t="s">
        <v>2732</v>
      </c>
      <c r="C31490" s="26">
        <v>0.66379999999999995</v>
      </c>
      <c r="D31490" s="26">
        <v>0.21859999999999999</v>
      </c>
      <c r="E31490" s="26">
        <v>1.35E-2</v>
      </c>
      <c r="F31490" s="26">
        <v>9.9000000000000008E-3</v>
      </c>
      <c r="G31490" s="26">
        <v>2.2100000000000002E-2</v>
      </c>
      <c r="H31490" s="26">
        <v>1.67E-2</v>
      </c>
      <c r="I31490" s="26">
        <v>8.0999999999999996E-3</v>
      </c>
      <c r="J31490" s="26">
        <v>1.84E-2</v>
      </c>
      <c r="K31490" s="26">
        <v>1.0500000000000001E-2</v>
      </c>
      <c r="L31490" s="26">
        <v>2.5999999999999999E-2</v>
      </c>
      <c r="M31490" s="26">
        <v>9.9000000000000008E-3</v>
      </c>
      <c r="N31490" s="26">
        <v>6.1000000000000004E-3</v>
      </c>
      <c r="O31490" s="26">
        <v>8.9999999999999998E-4</v>
      </c>
      <c r="Q31490">
        <v>531</v>
      </c>
    </row>
    <row r="31491" spans="1:17" x14ac:dyDescent="0.35">
      <c r="A31491" t="s">
        <v>229</v>
      </c>
      <c r="B31491" t="s">
        <v>2730</v>
      </c>
      <c r="C31491" s="26">
        <v>0.62370000000000003</v>
      </c>
      <c r="D31491" s="26">
        <v>0.24759999999999999</v>
      </c>
      <c r="E31491" s="26">
        <v>4.9700000000000001E-2</v>
      </c>
      <c r="F31491" s="26">
        <v>4.3799999999999999E-2</v>
      </c>
      <c r="G31491" s="26">
        <v>2.3900000000000001E-2</v>
      </c>
      <c r="H31491" s="26">
        <v>2.3199999999999998E-2</v>
      </c>
      <c r="I31491" s="26">
        <v>3.2800000000000003E-2</v>
      </c>
      <c r="J31491" s="26">
        <v>1.03E-2</v>
      </c>
      <c r="K31491" s="26">
        <v>1.6999999999999999E-3</v>
      </c>
      <c r="L31491" s="26">
        <v>1.09E-2</v>
      </c>
      <c r="M31491" s="26">
        <v>2.0500000000000001E-2</v>
      </c>
      <c r="N31491" s="26">
        <v>1.03E-2</v>
      </c>
      <c r="O31491" s="26">
        <v>1.03E-2</v>
      </c>
      <c r="P31491" s="26">
        <v>1.03E-2</v>
      </c>
      <c r="Q31491">
        <v>271</v>
      </c>
    </row>
    <row r="31492" spans="1:17" x14ac:dyDescent="0.35">
      <c r="A31492" t="s">
        <v>229</v>
      </c>
      <c r="B31492" t="s">
        <v>2731</v>
      </c>
      <c r="C31492" s="26">
        <v>0.67569999999999997</v>
      </c>
      <c r="D31492" s="26">
        <v>0.2109</v>
      </c>
      <c r="E31492" s="26">
        <v>6.3600000000000004E-2</v>
      </c>
      <c r="F31492" s="26">
        <v>3.0800000000000001E-2</v>
      </c>
      <c r="J31492" s="26">
        <v>1.4800000000000001E-2</v>
      </c>
      <c r="L31492" s="26">
        <v>1.9E-2</v>
      </c>
      <c r="Q31492">
        <v>81</v>
      </c>
    </row>
    <row r="31493" spans="1:17" x14ac:dyDescent="0.35">
      <c r="A31493" t="s">
        <v>229</v>
      </c>
      <c r="B31493" t="s">
        <v>2732</v>
      </c>
      <c r="C31493" s="26">
        <v>0.6573</v>
      </c>
      <c r="D31493" s="26">
        <v>0.1716</v>
      </c>
      <c r="E31493" s="26">
        <v>6.6500000000000004E-2</v>
      </c>
      <c r="F31493" s="26">
        <v>4.3799999999999999E-2</v>
      </c>
      <c r="G31493" s="26">
        <v>4.0399999999999998E-2</v>
      </c>
      <c r="H31493" s="26">
        <v>3.7100000000000001E-2</v>
      </c>
      <c r="I31493" s="26">
        <v>1.2800000000000001E-2</v>
      </c>
      <c r="J31493" s="26">
        <v>3.5000000000000001E-3</v>
      </c>
      <c r="K31493" s="26">
        <v>7.9000000000000008E-3</v>
      </c>
      <c r="L31493" s="26">
        <v>3.2000000000000002E-3</v>
      </c>
      <c r="M31493" s="26">
        <v>1.18E-2</v>
      </c>
      <c r="N31493" s="26">
        <v>6.4999999999999997E-3</v>
      </c>
      <c r="O31493" s="26">
        <v>8.0000000000000004E-4</v>
      </c>
      <c r="P31493" s="26">
        <v>5.3E-3</v>
      </c>
      <c r="Q31493">
        <v>459</v>
      </c>
    </row>
    <row r="31494" spans="1:17" x14ac:dyDescent="0.35">
      <c r="A31494" t="s">
        <v>230</v>
      </c>
      <c r="B31494" t="s">
        <v>2730</v>
      </c>
      <c r="C31494" s="26">
        <v>0.68489999999999995</v>
      </c>
      <c r="D31494" s="26">
        <v>0.1203</v>
      </c>
      <c r="E31494" s="26">
        <v>0.1288</v>
      </c>
      <c r="F31494" s="26">
        <v>2.69E-2</v>
      </c>
      <c r="G31494" s="26">
        <v>5.3699999999999998E-2</v>
      </c>
      <c r="H31494" s="26">
        <v>1.7299999999999999E-2</v>
      </c>
      <c r="I31494" s="26">
        <v>6.93E-2</v>
      </c>
      <c r="J31494" s="26">
        <v>3.7400000000000003E-2</v>
      </c>
      <c r="K31494" s="26">
        <v>3.4700000000000002E-2</v>
      </c>
      <c r="L31494" s="26">
        <v>5.7000000000000002E-3</v>
      </c>
      <c r="N31494" s="26">
        <v>1.8200000000000001E-2</v>
      </c>
      <c r="O31494" s="26">
        <v>8.9999999999999998E-4</v>
      </c>
      <c r="Q31494">
        <v>185</v>
      </c>
    </row>
    <row r="31495" spans="1:17" x14ac:dyDescent="0.35">
      <c r="A31495" t="s">
        <v>230</v>
      </c>
      <c r="B31495" t="s">
        <v>2731</v>
      </c>
      <c r="C31495" s="26">
        <v>0.67569999999999997</v>
      </c>
      <c r="D31495" s="26">
        <v>0.22800000000000001</v>
      </c>
      <c r="E31495" s="26">
        <v>1.3100000000000001E-2</v>
      </c>
      <c r="F31495" s="26">
        <v>4.0000000000000001E-3</v>
      </c>
      <c r="H31495" s="26">
        <v>7.9200000000000007E-2</v>
      </c>
      <c r="Q31495">
        <v>42</v>
      </c>
    </row>
    <row r="31496" spans="1:17" x14ac:dyDescent="0.35">
      <c r="A31496" t="s">
        <v>230</v>
      </c>
      <c r="B31496" t="s">
        <v>2732</v>
      </c>
      <c r="C31496" s="26">
        <v>0.66410000000000002</v>
      </c>
      <c r="D31496" s="26">
        <v>0.16439999999999999</v>
      </c>
      <c r="E31496" s="26">
        <v>4.2700000000000002E-2</v>
      </c>
      <c r="F31496" s="26">
        <v>2.1000000000000001E-2</v>
      </c>
      <c r="G31496" s="26">
        <v>3.0099999999999998E-2</v>
      </c>
      <c r="H31496" s="26">
        <v>3.0099999999999998E-2</v>
      </c>
      <c r="I31496" s="26">
        <v>5.0999999999999997E-2</v>
      </c>
      <c r="J31496" s="26">
        <v>1.52E-2</v>
      </c>
      <c r="K31496" s="26">
        <v>1.4800000000000001E-2</v>
      </c>
      <c r="L31496" s="26">
        <v>2.5000000000000001E-2</v>
      </c>
      <c r="M31496" s="26">
        <v>2.12E-2</v>
      </c>
      <c r="N31496" s="26">
        <v>9.9000000000000008E-3</v>
      </c>
      <c r="Q31496">
        <v>285</v>
      </c>
    </row>
    <row r="31497" spans="1:17" x14ac:dyDescent="0.35">
      <c r="A31497" t="s">
        <v>231</v>
      </c>
      <c r="B31497" t="s">
        <v>2730</v>
      </c>
      <c r="C31497" s="26">
        <v>0.73080000000000001</v>
      </c>
      <c r="D31497" s="26">
        <v>0.23080000000000001</v>
      </c>
      <c r="E31497" s="26">
        <v>3.85E-2</v>
      </c>
      <c r="G31497" s="26">
        <v>1.9199999999999998E-2</v>
      </c>
      <c r="I31497" s="26">
        <v>1.9199999999999998E-2</v>
      </c>
      <c r="Q31497">
        <v>52</v>
      </c>
    </row>
    <row r="31498" spans="1:17" x14ac:dyDescent="0.35">
      <c r="A31498" s="27" t="s">
        <v>231</v>
      </c>
      <c r="B31498" s="27" t="s">
        <v>2731</v>
      </c>
      <c r="C31498" s="28">
        <v>0.94120000000000004</v>
      </c>
      <c r="D31498" s="29"/>
      <c r="E31498" s="28">
        <v>5.8799999999999998E-2</v>
      </c>
      <c r="F31498" s="29"/>
      <c r="G31498" s="29"/>
      <c r="H31498" s="29"/>
      <c r="I31498" s="29"/>
      <c r="J31498" s="29"/>
      <c r="K31498" s="29"/>
      <c r="L31498" s="29"/>
      <c r="M31498" s="29"/>
      <c r="N31498" s="29"/>
      <c r="O31498" s="29"/>
      <c r="P31498" s="29"/>
      <c r="Q31498" s="29" t="s">
        <v>343</v>
      </c>
    </row>
    <row r="31499" spans="1:17" x14ac:dyDescent="0.35">
      <c r="A31499" t="s">
        <v>231</v>
      </c>
      <c r="B31499" t="s">
        <v>2732</v>
      </c>
      <c r="C31499" s="26">
        <v>0.80459999999999998</v>
      </c>
      <c r="D31499" s="26">
        <v>9.1999999999999998E-2</v>
      </c>
      <c r="E31499" s="26">
        <v>2.3E-2</v>
      </c>
      <c r="F31499" s="26">
        <v>4.5999999999999999E-2</v>
      </c>
      <c r="G31499" s="26">
        <v>1.15E-2</v>
      </c>
      <c r="H31499" s="26">
        <v>2.3E-2</v>
      </c>
      <c r="K31499" s="26">
        <v>1.15E-2</v>
      </c>
      <c r="O31499" s="26">
        <v>1.15E-2</v>
      </c>
      <c r="Q31499">
        <v>87</v>
      </c>
    </row>
    <row r="31500" spans="1:17" x14ac:dyDescent="0.35">
      <c r="A31500" t="s">
        <v>232</v>
      </c>
      <c r="B31500" t="s">
        <v>232</v>
      </c>
      <c r="C31500" s="26">
        <v>0.69269999999999998</v>
      </c>
      <c r="D31500" s="26">
        <v>0.186</v>
      </c>
      <c r="E31500" s="26">
        <v>4.0300000000000002E-2</v>
      </c>
      <c r="F31500" s="26">
        <v>3.09E-2</v>
      </c>
      <c r="G31500" s="26">
        <v>2.3099999999999999E-2</v>
      </c>
      <c r="H31500" s="26">
        <v>2.0899999999999998E-2</v>
      </c>
      <c r="I31500" s="26">
        <v>1.41E-2</v>
      </c>
      <c r="J31500" s="26">
        <v>1.14E-2</v>
      </c>
      <c r="K31500" s="26">
        <v>9.9000000000000008E-3</v>
      </c>
      <c r="L31500" s="26">
        <v>8.6999999999999994E-3</v>
      </c>
      <c r="M31500" s="26">
        <v>7.3000000000000001E-3</v>
      </c>
      <c r="N31500" s="26">
        <v>4.0000000000000001E-3</v>
      </c>
      <c r="O31500" s="26">
        <v>2.8999999999999998E-3</v>
      </c>
      <c r="P31500" s="26">
        <v>2E-3</v>
      </c>
      <c r="Q31500">
        <v>2577</v>
      </c>
    </row>
    <row r="31502" spans="1:17" x14ac:dyDescent="0.35">
      <c r="A31502" s="1" t="s">
        <v>2780</v>
      </c>
    </row>
    <row r="31503" spans="1:17" x14ac:dyDescent="0.35">
      <c r="A31503" t="s">
        <v>219</v>
      </c>
      <c r="B31503" t="s">
        <v>305</v>
      </c>
      <c r="C31503" t="s">
        <v>550</v>
      </c>
      <c r="D31503" t="s">
        <v>1596</v>
      </c>
      <c r="E31503" t="s">
        <v>1597</v>
      </c>
      <c r="F31503" t="s">
        <v>1598</v>
      </c>
      <c r="G31503" t="s">
        <v>1599</v>
      </c>
      <c r="H31503" t="s">
        <v>1600</v>
      </c>
      <c r="I31503" t="s">
        <v>281</v>
      </c>
      <c r="J31503" t="s">
        <v>1601</v>
      </c>
      <c r="K31503" t="s">
        <v>1602</v>
      </c>
      <c r="L31503" t="s">
        <v>1603</v>
      </c>
      <c r="M31503" t="s">
        <v>1604</v>
      </c>
      <c r="N31503" t="s">
        <v>286</v>
      </c>
      <c r="O31503" t="s">
        <v>226</v>
      </c>
    </row>
    <row r="31504" spans="1:17" x14ac:dyDescent="0.35">
      <c r="A31504" t="s">
        <v>227</v>
      </c>
      <c r="B31504" t="s">
        <v>2730</v>
      </c>
      <c r="C31504" s="26">
        <v>0.89129999999999998</v>
      </c>
      <c r="D31504" s="26">
        <v>2.1700000000000001E-2</v>
      </c>
      <c r="E31504" s="26">
        <v>6.5199999999999994E-2</v>
      </c>
      <c r="G31504" s="26">
        <v>2.1700000000000001E-2</v>
      </c>
      <c r="O31504">
        <v>46</v>
      </c>
    </row>
    <row r="31505" spans="1:15" x14ac:dyDescent="0.35">
      <c r="A31505" s="27" t="s">
        <v>227</v>
      </c>
      <c r="B31505" s="27" t="s">
        <v>2731</v>
      </c>
      <c r="C31505" s="28">
        <v>0.95240000000000002</v>
      </c>
      <c r="D31505" s="29"/>
      <c r="E31505" s="29"/>
      <c r="F31505" s="29"/>
      <c r="G31505" s="29"/>
      <c r="H31505" s="29"/>
      <c r="I31505" s="28">
        <v>4.7600000000000003E-2</v>
      </c>
      <c r="J31505" s="29"/>
      <c r="K31505" s="29"/>
      <c r="L31505" s="29"/>
      <c r="M31505" s="29"/>
      <c r="N31505" s="29"/>
      <c r="O31505" s="29" t="s">
        <v>351</v>
      </c>
    </row>
    <row r="31506" spans="1:15" x14ac:dyDescent="0.35">
      <c r="A31506" t="s">
        <v>227</v>
      </c>
      <c r="B31506" t="s">
        <v>2732</v>
      </c>
      <c r="C31506" s="26">
        <v>0.80679999999999996</v>
      </c>
      <c r="D31506" s="26">
        <v>3.4099999999999998E-2</v>
      </c>
      <c r="E31506" s="26">
        <v>7.9500000000000001E-2</v>
      </c>
      <c r="F31506" s="26">
        <v>6.8199999999999997E-2</v>
      </c>
      <c r="G31506" s="26">
        <v>2.2700000000000001E-2</v>
      </c>
      <c r="J31506" s="26">
        <v>2.2700000000000001E-2</v>
      </c>
      <c r="O31506">
        <v>88</v>
      </c>
    </row>
    <row r="31507" spans="1:15" x14ac:dyDescent="0.35">
      <c r="A31507" t="s">
        <v>228</v>
      </c>
      <c r="B31507" t="s">
        <v>2730</v>
      </c>
      <c r="C31507" s="26">
        <v>0.75919999999999999</v>
      </c>
      <c r="D31507" s="26">
        <v>9.1999999999999998E-2</v>
      </c>
      <c r="E31507" s="26">
        <v>6.0600000000000001E-2</v>
      </c>
      <c r="F31507" s="26">
        <v>6.0600000000000001E-2</v>
      </c>
      <c r="G31507" s="26">
        <v>3.4599999999999999E-2</v>
      </c>
      <c r="H31507" s="26">
        <v>3.5700000000000003E-2</v>
      </c>
      <c r="I31507" s="26">
        <v>1.1599999999999999E-2</v>
      </c>
      <c r="J31507" s="26">
        <v>1.7999999999999999E-2</v>
      </c>
      <c r="K31507" s="26">
        <v>4.8999999999999998E-3</v>
      </c>
      <c r="L31507" s="26">
        <v>1.2999999999999999E-3</v>
      </c>
      <c r="M31507" s="26">
        <v>6.0000000000000001E-3</v>
      </c>
      <c r="N31507" s="26">
        <v>1.1000000000000001E-3</v>
      </c>
      <c r="O31507">
        <v>356</v>
      </c>
    </row>
    <row r="31508" spans="1:15" x14ac:dyDescent="0.35">
      <c r="A31508" t="s">
        <v>228</v>
      </c>
      <c r="B31508" t="s">
        <v>2731</v>
      </c>
      <c r="C31508" s="26">
        <v>0.71360000000000001</v>
      </c>
      <c r="D31508" s="26">
        <v>4.9500000000000002E-2</v>
      </c>
      <c r="E31508" s="26">
        <v>0.11169999999999999</v>
      </c>
      <c r="F31508" s="26">
        <v>8.2299999999999998E-2</v>
      </c>
      <c r="G31508" s="26">
        <v>2.64E-2</v>
      </c>
      <c r="H31508" s="26">
        <v>2.9100000000000001E-2</v>
      </c>
      <c r="I31508" s="26">
        <v>1.61E-2</v>
      </c>
      <c r="K31508" s="26">
        <v>8.6099999999999996E-2</v>
      </c>
      <c r="M31508" s="26">
        <v>4.2999999999999997E-2</v>
      </c>
      <c r="O31508">
        <v>94</v>
      </c>
    </row>
    <row r="31509" spans="1:15" x14ac:dyDescent="0.35">
      <c r="A31509" t="s">
        <v>228</v>
      </c>
      <c r="B31509" t="s">
        <v>2732</v>
      </c>
      <c r="C31509" s="26">
        <v>0.74060000000000004</v>
      </c>
      <c r="D31509" s="26">
        <v>0.1171</v>
      </c>
      <c r="E31509" s="26">
        <v>3.9800000000000002E-2</v>
      </c>
      <c r="F31509" s="26">
        <v>6.7699999999999996E-2</v>
      </c>
      <c r="G31509" s="26">
        <v>2.5100000000000001E-2</v>
      </c>
      <c r="H31509" s="26">
        <v>2.8000000000000001E-2</v>
      </c>
      <c r="I31509" s="26">
        <v>1.0800000000000001E-2</v>
      </c>
      <c r="J31509" s="26">
        <v>1.46E-2</v>
      </c>
      <c r="K31509" s="26">
        <v>1.3100000000000001E-2</v>
      </c>
      <c r="L31509" s="26">
        <v>5.9999999999999995E-4</v>
      </c>
      <c r="M31509" s="26">
        <v>4.5999999999999999E-3</v>
      </c>
      <c r="N31509" s="26">
        <v>5.7000000000000002E-3</v>
      </c>
      <c r="O31509">
        <v>569</v>
      </c>
    </row>
    <row r="31510" spans="1:15" x14ac:dyDescent="0.35">
      <c r="A31510" t="s">
        <v>229</v>
      </c>
      <c r="B31510" t="s">
        <v>2730</v>
      </c>
      <c r="C31510" s="26">
        <v>0.75270000000000004</v>
      </c>
      <c r="D31510" s="26">
        <v>0.1147</v>
      </c>
      <c r="E31510" s="26">
        <v>2.24E-2</v>
      </c>
      <c r="F31510" s="26">
        <v>9.5200000000000007E-2</v>
      </c>
      <c r="G31510" s="26">
        <v>2.9899999999999999E-2</v>
      </c>
      <c r="H31510" s="26">
        <v>1.77E-2</v>
      </c>
      <c r="I31510" s="26">
        <v>2.3E-2</v>
      </c>
      <c r="K31510" s="26">
        <v>9.4000000000000004E-3</v>
      </c>
      <c r="L31510" s="26">
        <v>0.01</v>
      </c>
      <c r="M31510" s="26">
        <v>5.9999999999999995E-4</v>
      </c>
      <c r="N31510" s="26">
        <v>9.4000000000000004E-3</v>
      </c>
      <c r="O31510">
        <v>295</v>
      </c>
    </row>
    <row r="31511" spans="1:15" x14ac:dyDescent="0.35">
      <c r="A31511" t="s">
        <v>229</v>
      </c>
      <c r="B31511" t="s">
        <v>2731</v>
      </c>
      <c r="C31511" s="26">
        <v>0.87090000000000001</v>
      </c>
      <c r="D31511" s="26">
        <v>8.6499999999999994E-2</v>
      </c>
      <c r="F31511" s="26">
        <v>4.0000000000000001E-3</v>
      </c>
      <c r="G31511" s="26">
        <v>2.0999999999999999E-3</v>
      </c>
      <c r="H31511" s="26">
        <v>2.1399999999999999E-2</v>
      </c>
      <c r="I31511" s="26">
        <v>4.0000000000000001E-3</v>
      </c>
      <c r="L31511" s="26">
        <v>3.6499999999999998E-2</v>
      </c>
      <c r="O31511">
        <v>86</v>
      </c>
    </row>
    <row r="31512" spans="1:15" x14ac:dyDescent="0.35">
      <c r="A31512" t="s">
        <v>229</v>
      </c>
      <c r="B31512" t="s">
        <v>2732</v>
      </c>
      <c r="C31512" s="26">
        <v>0.8226</v>
      </c>
      <c r="D31512" s="26">
        <v>8.1100000000000005E-2</v>
      </c>
      <c r="E31512" s="26">
        <v>2.3800000000000002E-2</v>
      </c>
      <c r="F31512" s="26">
        <v>2.75E-2</v>
      </c>
      <c r="G31512" s="26">
        <v>1.7100000000000001E-2</v>
      </c>
      <c r="H31512" s="26">
        <v>8.0000000000000002E-3</v>
      </c>
      <c r="I31512" s="26">
        <v>4.1999999999999997E-3</v>
      </c>
      <c r="J31512" s="26">
        <v>1.03E-2</v>
      </c>
      <c r="K31512" s="26">
        <v>1.12E-2</v>
      </c>
      <c r="L31512" s="26">
        <v>2.9999999999999997E-4</v>
      </c>
      <c r="M31512" s="26">
        <v>1.9E-3</v>
      </c>
      <c r="N31512" s="26">
        <v>5.0000000000000001E-4</v>
      </c>
      <c r="O31512">
        <v>496</v>
      </c>
    </row>
    <row r="31513" spans="1:15" x14ac:dyDescent="0.35">
      <c r="A31513" t="s">
        <v>230</v>
      </c>
      <c r="B31513" t="s">
        <v>2730</v>
      </c>
      <c r="C31513" s="26">
        <v>0.79659999999999997</v>
      </c>
      <c r="D31513" s="26">
        <v>6.7000000000000004E-2</v>
      </c>
      <c r="E31513" s="26">
        <v>1.8200000000000001E-2</v>
      </c>
      <c r="F31513" s="26">
        <v>4.07E-2</v>
      </c>
      <c r="G31513" s="26">
        <v>8.3999999999999995E-3</v>
      </c>
      <c r="H31513" s="26">
        <v>1.2999999999999999E-2</v>
      </c>
      <c r="I31513" s="26">
        <v>2.6800000000000001E-2</v>
      </c>
      <c r="J31513" s="26">
        <v>1.7299999999999999E-2</v>
      </c>
      <c r="L31513" s="26">
        <v>1.7299999999999999E-2</v>
      </c>
      <c r="O31513">
        <v>194</v>
      </c>
    </row>
    <row r="31514" spans="1:15" x14ac:dyDescent="0.35">
      <c r="A31514" t="s">
        <v>230</v>
      </c>
      <c r="B31514" t="s">
        <v>2731</v>
      </c>
      <c r="C31514" s="26">
        <v>0.96299999999999997</v>
      </c>
      <c r="D31514" s="26">
        <v>1.43E-2</v>
      </c>
      <c r="F31514" s="26">
        <v>7.1999999999999998E-3</v>
      </c>
      <c r="G31514" s="26">
        <v>3.5999999999999999E-3</v>
      </c>
      <c r="H31514" s="26">
        <v>1.1900000000000001E-2</v>
      </c>
      <c r="K31514" s="26">
        <v>3.5999999999999999E-3</v>
      </c>
      <c r="O31514">
        <v>49</v>
      </c>
    </row>
    <row r="31515" spans="1:15" x14ac:dyDescent="0.35">
      <c r="A31515" t="s">
        <v>230</v>
      </c>
      <c r="B31515" t="s">
        <v>2732</v>
      </c>
      <c r="C31515" s="26">
        <v>0.77739999999999998</v>
      </c>
      <c r="D31515" s="26">
        <v>7.8100000000000003E-2</v>
      </c>
      <c r="E31515" s="26">
        <v>5.6300000000000003E-2</v>
      </c>
      <c r="F31515" s="26">
        <v>5.1700000000000003E-2</v>
      </c>
      <c r="G31515" s="26">
        <v>2.1999999999999999E-2</v>
      </c>
      <c r="H31515" s="26">
        <v>5.1000000000000004E-3</v>
      </c>
      <c r="I31515" s="26">
        <v>2.2499999999999999E-2</v>
      </c>
      <c r="J31515" s="26">
        <v>9.9000000000000008E-3</v>
      </c>
      <c r="K31515" s="26">
        <v>2.8999999999999998E-3</v>
      </c>
      <c r="M31515" s="26">
        <v>5.0000000000000001E-4</v>
      </c>
      <c r="O31515">
        <v>309</v>
      </c>
    </row>
    <row r="31516" spans="1:15" x14ac:dyDescent="0.35">
      <c r="A31516" t="s">
        <v>231</v>
      </c>
      <c r="B31516" t="s">
        <v>2730</v>
      </c>
      <c r="C31516" s="26">
        <v>0.78180000000000005</v>
      </c>
      <c r="D31516" s="26">
        <v>3.6400000000000002E-2</v>
      </c>
      <c r="E31516" s="26">
        <v>0.1273</v>
      </c>
      <c r="F31516" s="26">
        <v>1.8200000000000001E-2</v>
      </c>
      <c r="G31516" s="26">
        <v>1.8200000000000001E-2</v>
      </c>
      <c r="H31516" s="26">
        <v>3.6400000000000002E-2</v>
      </c>
      <c r="J31516" s="26">
        <v>3.6400000000000002E-2</v>
      </c>
      <c r="O31516">
        <v>55</v>
      </c>
    </row>
    <row r="31517" spans="1:15" x14ac:dyDescent="0.35">
      <c r="A31517" s="27" t="s">
        <v>231</v>
      </c>
      <c r="B31517" s="27" t="s">
        <v>2731</v>
      </c>
      <c r="C31517" s="28">
        <v>0.88239999999999996</v>
      </c>
      <c r="D31517" s="28">
        <v>5.8799999999999998E-2</v>
      </c>
      <c r="E31517" s="29"/>
      <c r="F31517" s="29"/>
      <c r="G31517" s="29"/>
      <c r="H31517" s="28">
        <v>5.8799999999999998E-2</v>
      </c>
      <c r="I31517" s="29"/>
      <c r="J31517" s="29"/>
      <c r="K31517" s="29"/>
      <c r="L31517" s="28">
        <v>5.8799999999999998E-2</v>
      </c>
      <c r="M31517" s="29"/>
      <c r="N31517" s="29"/>
      <c r="O31517" s="29" t="s">
        <v>343</v>
      </c>
    </row>
    <row r="31518" spans="1:15" x14ac:dyDescent="0.35">
      <c r="A31518" t="s">
        <v>231</v>
      </c>
      <c r="B31518" t="s">
        <v>2732</v>
      </c>
      <c r="C31518" s="26">
        <v>0.86670000000000003</v>
      </c>
      <c r="D31518" s="26">
        <v>4.4400000000000002E-2</v>
      </c>
      <c r="E31518" s="26">
        <v>1.11E-2</v>
      </c>
      <c r="F31518" s="26">
        <v>1.11E-2</v>
      </c>
      <c r="G31518" s="26">
        <v>1.11E-2</v>
      </c>
      <c r="I31518" s="26">
        <v>3.3300000000000003E-2</v>
      </c>
      <c r="K31518" s="26">
        <v>1.11E-2</v>
      </c>
      <c r="L31518" s="26">
        <v>1.11E-2</v>
      </c>
      <c r="O31518">
        <v>90</v>
      </c>
    </row>
    <row r="31519" spans="1:15" x14ac:dyDescent="0.35">
      <c r="A31519" t="s">
        <v>232</v>
      </c>
      <c r="B31519" t="s">
        <v>232</v>
      </c>
      <c r="C31519" s="26">
        <v>0.80920000000000003</v>
      </c>
      <c r="D31519" s="26">
        <v>6.9000000000000006E-2</v>
      </c>
      <c r="E31519" s="26">
        <v>4.3400000000000001E-2</v>
      </c>
      <c r="F31519" s="26">
        <v>3.8899999999999997E-2</v>
      </c>
      <c r="G31519" s="26">
        <v>1.89E-2</v>
      </c>
      <c r="H31519" s="26">
        <v>1.52E-2</v>
      </c>
      <c r="I31519" s="26">
        <v>1.3100000000000001E-2</v>
      </c>
      <c r="J31519" s="26">
        <v>1.11E-2</v>
      </c>
      <c r="K31519" s="26">
        <v>7.7999999999999996E-3</v>
      </c>
      <c r="L31519" s="26">
        <v>5.7999999999999996E-3</v>
      </c>
      <c r="M31519" s="26">
        <v>2E-3</v>
      </c>
      <c r="N31519" s="26">
        <v>1.6000000000000001E-3</v>
      </c>
      <c r="O31519">
        <v>2765</v>
      </c>
    </row>
    <row r="31521" spans="1:8" x14ac:dyDescent="0.35">
      <c r="A31521" s="1" t="s">
        <v>2781</v>
      </c>
    </row>
    <row r="31522" spans="1:8" x14ac:dyDescent="0.35">
      <c r="A31522" t="s">
        <v>219</v>
      </c>
      <c r="B31522" t="s">
        <v>305</v>
      </c>
      <c r="C31522" t="s">
        <v>302</v>
      </c>
      <c r="D31522" t="s">
        <v>281</v>
      </c>
      <c r="E31522" t="s">
        <v>1620</v>
      </c>
      <c r="F31522" t="s">
        <v>1621</v>
      </c>
      <c r="G31522" t="s">
        <v>286</v>
      </c>
      <c r="H31522" t="s">
        <v>226</v>
      </c>
    </row>
    <row r="31523" spans="1:8" x14ac:dyDescent="0.35">
      <c r="A31523" t="s">
        <v>227</v>
      </c>
      <c r="B31523" t="s">
        <v>2730</v>
      </c>
      <c r="C31523" s="26">
        <v>0.89359999999999995</v>
      </c>
      <c r="D31523" s="26">
        <v>0.10639999999999999</v>
      </c>
      <c r="H31523">
        <v>47</v>
      </c>
    </row>
    <row r="31524" spans="1:8" x14ac:dyDescent="0.35">
      <c r="A31524" s="27" t="s">
        <v>227</v>
      </c>
      <c r="B31524" s="27" t="s">
        <v>2731</v>
      </c>
      <c r="C31524" s="28">
        <v>0.85709999999999997</v>
      </c>
      <c r="D31524" s="28">
        <v>0.1429</v>
      </c>
      <c r="E31524" s="29"/>
      <c r="F31524" s="29"/>
      <c r="G31524" s="29"/>
      <c r="H31524" s="29" t="s">
        <v>351</v>
      </c>
    </row>
    <row r="31525" spans="1:8" x14ac:dyDescent="0.35">
      <c r="A31525" t="s">
        <v>227</v>
      </c>
      <c r="B31525" t="s">
        <v>2732</v>
      </c>
      <c r="C31525" s="26">
        <v>0.9022</v>
      </c>
      <c r="D31525" s="26">
        <v>9.7799999999999998E-2</v>
      </c>
      <c r="H31525">
        <v>92</v>
      </c>
    </row>
    <row r="31526" spans="1:8" x14ac:dyDescent="0.35">
      <c r="A31526" t="s">
        <v>228</v>
      </c>
      <c r="B31526" t="s">
        <v>2730</v>
      </c>
      <c r="C31526" s="26">
        <v>0.71419999999999995</v>
      </c>
      <c r="D31526" s="26">
        <v>0.18410000000000001</v>
      </c>
      <c r="E31526" s="26">
        <v>0.08</v>
      </c>
      <c r="F31526" s="26">
        <v>2.07E-2</v>
      </c>
      <c r="G31526" s="26">
        <v>1.1000000000000001E-3</v>
      </c>
      <c r="H31526">
        <v>360</v>
      </c>
    </row>
    <row r="31527" spans="1:8" x14ac:dyDescent="0.35">
      <c r="A31527" t="s">
        <v>228</v>
      </c>
      <c r="B31527" t="s">
        <v>2731</v>
      </c>
      <c r="C31527" s="26">
        <v>0.60740000000000005</v>
      </c>
      <c r="D31527" s="26">
        <v>0.1244</v>
      </c>
      <c r="E31527" s="26">
        <v>0.12089999999999999</v>
      </c>
      <c r="F31527" s="26">
        <v>0.14729999999999999</v>
      </c>
      <c r="H31527">
        <v>96</v>
      </c>
    </row>
    <row r="31528" spans="1:8" x14ac:dyDescent="0.35">
      <c r="A31528" t="s">
        <v>228</v>
      </c>
      <c r="B31528" t="s">
        <v>2732</v>
      </c>
      <c r="C31528" s="26">
        <v>0.7661</v>
      </c>
      <c r="D31528" s="26">
        <v>9.8799999999999999E-2</v>
      </c>
      <c r="E31528" s="26">
        <v>9.5899999999999999E-2</v>
      </c>
      <c r="F31528" s="26">
        <v>3.7699999999999997E-2</v>
      </c>
      <c r="G31528" s="26">
        <v>1.5E-3</v>
      </c>
      <c r="H31528">
        <v>576</v>
      </c>
    </row>
    <row r="31529" spans="1:8" x14ac:dyDescent="0.35">
      <c r="A31529" t="s">
        <v>229</v>
      </c>
      <c r="B31529" t="s">
        <v>2730</v>
      </c>
      <c r="C31529" s="26">
        <v>0.7863</v>
      </c>
      <c r="D31529" s="26">
        <v>8.8099999999999998E-2</v>
      </c>
      <c r="E31529" s="26">
        <v>8.8499999999999995E-2</v>
      </c>
      <c r="F31529" s="26">
        <v>3.5900000000000001E-2</v>
      </c>
      <c r="G31529" s="26">
        <v>1.1999999999999999E-3</v>
      </c>
      <c r="H31529">
        <v>302</v>
      </c>
    </row>
    <row r="31530" spans="1:8" x14ac:dyDescent="0.35">
      <c r="A31530" t="s">
        <v>229</v>
      </c>
      <c r="B31530" t="s">
        <v>2731</v>
      </c>
      <c r="C31530" s="26">
        <v>0.76100000000000001</v>
      </c>
      <c r="D31530" s="26">
        <v>0.1066</v>
      </c>
      <c r="E31530" s="26">
        <v>0.13009999999999999</v>
      </c>
      <c r="F31530" s="26">
        <v>2.3E-3</v>
      </c>
      <c r="H31530">
        <v>86</v>
      </c>
    </row>
    <row r="31531" spans="1:8" x14ac:dyDescent="0.35">
      <c r="A31531" t="s">
        <v>229</v>
      </c>
      <c r="B31531" t="s">
        <v>2732</v>
      </c>
      <c r="C31531" s="26">
        <v>0.76100000000000001</v>
      </c>
      <c r="D31531" s="26">
        <v>0.122</v>
      </c>
      <c r="E31531" s="26">
        <v>7.9899999999999999E-2</v>
      </c>
      <c r="F31531" s="26">
        <v>3.6600000000000001E-2</v>
      </c>
      <c r="G31531" s="26">
        <v>5.0000000000000001E-4</v>
      </c>
      <c r="H31531">
        <v>507</v>
      </c>
    </row>
    <row r="31532" spans="1:8" x14ac:dyDescent="0.35">
      <c r="A31532" t="s">
        <v>230</v>
      </c>
      <c r="B31532" t="s">
        <v>2730</v>
      </c>
      <c r="C31532" s="26">
        <v>0.66600000000000004</v>
      </c>
      <c r="D31532" s="26">
        <v>0.2084</v>
      </c>
      <c r="E31532" s="26">
        <v>9.2499999999999999E-2</v>
      </c>
      <c r="F31532" s="26">
        <v>3.3099999999999997E-2</v>
      </c>
      <c r="H31532">
        <v>197</v>
      </c>
    </row>
    <row r="31533" spans="1:8" x14ac:dyDescent="0.35">
      <c r="A31533" t="s">
        <v>230</v>
      </c>
      <c r="B31533" t="s">
        <v>2731</v>
      </c>
      <c r="C31533" s="26">
        <v>0.56859999999999999</v>
      </c>
      <c r="D31533" s="26">
        <v>0.1163</v>
      </c>
      <c r="E31533" s="26">
        <v>0.27360000000000001</v>
      </c>
      <c r="F31533" s="26">
        <v>4.1599999999999998E-2</v>
      </c>
      <c r="H31533">
        <v>50</v>
      </c>
    </row>
    <row r="31534" spans="1:8" x14ac:dyDescent="0.35">
      <c r="A31534" t="s">
        <v>230</v>
      </c>
      <c r="B31534" t="s">
        <v>2732</v>
      </c>
      <c r="C31534" s="26">
        <v>0.71579999999999999</v>
      </c>
      <c r="D31534" s="26">
        <v>8.6699999999999999E-2</v>
      </c>
      <c r="E31534" s="26">
        <v>0.1109</v>
      </c>
      <c r="F31534" s="26">
        <v>8.6599999999999996E-2</v>
      </c>
      <c r="H31534">
        <v>313</v>
      </c>
    </row>
    <row r="31535" spans="1:8" x14ac:dyDescent="0.35">
      <c r="A31535" t="s">
        <v>231</v>
      </c>
      <c r="B31535" t="s">
        <v>2730</v>
      </c>
      <c r="C31535" s="26">
        <v>0.98150000000000004</v>
      </c>
      <c r="D31535" s="26">
        <v>1.8499999999999999E-2</v>
      </c>
      <c r="H31535">
        <v>54</v>
      </c>
    </row>
    <row r="31536" spans="1:8" x14ac:dyDescent="0.35">
      <c r="A31536" s="27" t="s">
        <v>231</v>
      </c>
      <c r="B31536" s="27" t="s">
        <v>2731</v>
      </c>
      <c r="C31536" s="28">
        <v>1</v>
      </c>
      <c r="D31536" s="29"/>
      <c r="E31536" s="29"/>
      <c r="F31536" s="29"/>
      <c r="G31536" s="29"/>
      <c r="H31536" s="29" t="s">
        <v>348</v>
      </c>
    </row>
    <row r="31537" spans="1:8" x14ac:dyDescent="0.35">
      <c r="A31537" t="s">
        <v>231</v>
      </c>
      <c r="B31537" t="s">
        <v>2732</v>
      </c>
      <c r="C31537" s="26">
        <v>0.9667</v>
      </c>
      <c r="D31537" s="26">
        <v>3.3300000000000003E-2</v>
      </c>
      <c r="H31537">
        <v>90</v>
      </c>
    </row>
    <row r="31538" spans="1:8" x14ac:dyDescent="0.35">
      <c r="A31538" t="s">
        <v>232</v>
      </c>
      <c r="B31538" t="s">
        <v>232</v>
      </c>
      <c r="C31538" s="26">
        <v>0.82920000000000005</v>
      </c>
      <c r="D31538" s="26">
        <v>9.2299999999999993E-2</v>
      </c>
      <c r="E31538" s="26">
        <v>5.4199999999999998E-2</v>
      </c>
      <c r="F31538" s="26">
        <v>2.3900000000000001E-2</v>
      </c>
      <c r="G31538" s="26">
        <v>4.0000000000000002E-4</v>
      </c>
      <c r="H31538">
        <v>2807</v>
      </c>
    </row>
    <row r="31540" spans="1:8" x14ac:dyDescent="0.35">
      <c r="A31540" s="1" t="s">
        <v>2782</v>
      </c>
    </row>
    <row r="31541" spans="1:8" x14ac:dyDescent="0.35">
      <c r="A31541" t="s">
        <v>219</v>
      </c>
      <c r="B31541" t="s">
        <v>305</v>
      </c>
      <c r="C31541" t="s">
        <v>303</v>
      </c>
      <c r="D31541" t="s">
        <v>302</v>
      </c>
      <c r="E31541" t="s">
        <v>281</v>
      </c>
      <c r="F31541" t="s">
        <v>226</v>
      </c>
    </row>
    <row r="31542" spans="1:8" x14ac:dyDescent="0.35">
      <c r="A31542" s="27" t="s">
        <v>227</v>
      </c>
      <c r="B31542" s="27" t="s">
        <v>2732</v>
      </c>
      <c r="C31542" s="28">
        <v>1</v>
      </c>
      <c r="D31542" s="29"/>
      <c r="E31542" s="29"/>
      <c r="F31542" s="29" t="s">
        <v>331</v>
      </c>
    </row>
    <row r="31543" spans="1:8" x14ac:dyDescent="0.35">
      <c r="A31543" t="s">
        <v>228</v>
      </c>
      <c r="B31543" t="s">
        <v>2730</v>
      </c>
      <c r="C31543" s="26">
        <v>0.63349999999999995</v>
      </c>
      <c r="D31543" s="26">
        <v>0.26550000000000001</v>
      </c>
      <c r="E31543" s="26">
        <v>0.10100000000000001</v>
      </c>
      <c r="F31543">
        <v>59</v>
      </c>
    </row>
    <row r="31544" spans="1:8" x14ac:dyDescent="0.35">
      <c r="A31544" t="s">
        <v>228</v>
      </c>
      <c r="B31544" t="s">
        <v>2731</v>
      </c>
      <c r="C31544" s="26">
        <v>0.84730000000000005</v>
      </c>
      <c r="D31544" s="26">
        <v>5.3699999999999998E-2</v>
      </c>
      <c r="E31544" s="26">
        <v>9.8900000000000002E-2</v>
      </c>
      <c r="F31544">
        <v>32</v>
      </c>
    </row>
    <row r="31545" spans="1:8" x14ac:dyDescent="0.35">
      <c r="A31545" t="s">
        <v>228</v>
      </c>
      <c r="B31545" t="s">
        <v>2732</v>
      </c>
      <c r="C31545" s="26">
        <v>0.66020000000000001</v>
      </c>
      <c r="D31545" s="26">
        <v>0.18110000000000001</v>
      </c>
      <c r="E31545" s="26">
        <v>0.15870000000000001</v>
      </c>
      <c r="F31545">
        <v>116</v>
      </c>
    </row>
    <row r="31546" spans="1:8" x14ac:dyDescent="0.35">
      <c r="A31546" t="s">
        <v>229</v>
      </c>
      <c r="B31546" t="s">
        <v>2730</v>
      </c>
      <c r="C31546" s="26">
        <v>0.3881</v>
      </c>
      <c r="D31546" s="26">
        <v>0.35289999999999999</v>
      </c>
      <c r="E31546" s="26">
        <v>0.2591</v>
      </c>
      <c r="F31546">
        <v>51</v>
      </c>
    </row>
    <row r="31547" spans="1:8" x14ac:dyDescent="0.35">
      <c r="A31547" s="27" t="s">
        <v>229</v>
      </c>
      <c r="B31547" s="27" t="s">
        <v>2731</v>
      </c>
      <c r="C31547" s="28">
        <v>0.30130000000000001</v>
      </c>
      <c r="D31547" s="28">
        <v>0.33729999999999999</v>
      </c>
      <c r="E31547" s="28">
        <v>0.3614</v>
      </c>
      <c r="F31547" s="29" t="s">
        <v>350</v>
      </c>
    </row>
    <row r="31548" spans="1:8" x14ac:dyDescent="0.35">
      <c r="A31548" t="s">
        <v>229</v>
      </c>
      <c r="B31548" t="s">
        <v>2732</v>
      </c>
      <c r="C31548" s="26">
        <v>0.5524</v>
      </c>
      <c r="D31548" s="26">
        <v>0.3896</v>
      </c>
      <c r="E31548" s="26">
        <v>5.8000000000000003E-2</v>
      </c>
      <c r="F31548">
        <v>76</v>
      </c>
    </row>
    <row r="31549" spans="1:8" x14ac:dyDescent="0.35">
      <c r="A31549" t="s">
        <v>230</v>
      </c>
      <c r="B31549" t="s">
        <v>2730</v>
      </c>
      <c r="C31549" s="26">
        <v>0.6069</v>
      </c>
      <c r="D31549" s="26">
        <v>0.2</v>
      </c>
      <c r="E31549" s="26">
        <v>0.19309999999999999</v>
      </c>
      <c r="F31549">
        <v>47</v>
      </c>
    </row>
    <row r="31550" spans="1:8" x14ac:dyDescent="0.35">
      <c r="A31550" s="27" t="s">
        <v>230</v>
      </c>
      <c r="B31550" s="27" t="s">
        <v>2731</v>
      </c>
      <c r="C31550" s="28">
        <v>0.43469999999999998</v>
      </c>
      <c r="D31550" s="28">
        <v>0.27</v>
      </c>
      <c r="E31550" s="28">
        <v>0.29530000000000001</v>
      </c>
      <c r="F31550" s="29" t="s">
        <v>343</v>
      </c>
    </row>
    <row r="31551" spans="1:8" x14ac:dyDescent="0.35">
      <c r="A31551" t="s">
        <v>230</v>
      </c>
      <c r="B31551" t="s">
        <v>2732</v>
      </c>
      <c r="C31551" s="26">
        <v>0.47799999999999998</v>
      </c>
      <c r="D31551" s="26">
        <v>0.50470000000000004</v>
      </c>
      <c r="E31551" s="26">
        <v>1.7299999999999999E-2</v>
      </c>
      <c r="F31551">
        <v>87</v>
      </c>
    </row>
    <row r="31552" spans="1:8" x14ac:dyDescent="0.35">
      <c r="A31552" s="27" t="s">
        <v>231</v>
      </c>
      <c r="B31552" s="27" t="s">
        <v>2730</v>
      </c>
      <c r="C31552" s="29"/>
      <c r="D31552" s="28">
        <v>1</v>
      </c>
      <c r="E31552" s="29"/>
      <c r="F31552" s="29" t="s">
        <v>331</v>
      </c>
    </row>
    <row r="31553" spans="1:7" x14ac:dyDescent="0.35">
      <c r="A31553" s="27" t="s">
        <v>231</v>
      </c>
      <c r="B31553" s="27" t="s">
        <v>2731</v>
      </c>
      <c r="C31553" s="28">
        <v>1</v>
      </c>
      <c r="D31553" s="29"/>
      <c r="E31553" s="29"/>
      <c r="F31553" s="29" t="s">
        <v>331</v>
      </c>
    </row>
    <row r="31554" spans="1:7" x14ac:dyDescent="0.35">
      <c r="A31554" s="27" t="s">
        <v>231</v>
      </c>
      <c r="B31554" s="27" t="s">
        <v>2732</v>
      </c>
      <c r="C31554" s="29"/>
      <c r="D31554" s="28">
        <v>1</v>
      </c>
      <c r="E31554" s="29"/>
      <c r="F31554" s="29" t="s">
        <v>314</v>
      </c>
    </row>
    <row r="31555" spans="1:7" x14ac:dyDescent="0.35">
      <c r="A31555" t="s">
        <v>232</v>
      </c>
      <c r="B31555" t="s">
        <v>232</v>
      </c>
      <c r="C31555" s="26">
        <v>0.53410000000000002</v>
      </c>
      <c r="D31555" s="26">
        <v>0.34849999999999998</v>
      </c>
      <c r="E31555" s="26">
        <v>0.1174</v>
      </c>
      <c r="F31555">
        <v>510</v>
      </c>
    </row>
    <row r="31557" spans="1:7" x14ac:dyDescent="0.35">
      <c r="A31557" s="1" t="s">
        <v>2783</v>
      </c>
    </row>
    <row r="31558" spans="1:7" x14ac:dyDescent="0.35">
      <c r="A31558" t="s">
        <v>219</v>
      </c>
      <c r="B31558" t="s">
        <v>305</v>
      </c>
      <c r="C31558" t="s">
        <v>534</v>
      </c>
      <c r="D31558" t="s">
        <v>535</v>
      </c>
      <c r="E31558" t="s">
        <v>536</v>
      </c>
      <c r="F31558" t="s">
        <v>537</v>
      </c>
      <c r="G31558" t="s">
        <v>226</v>
      </c>
    </row>
    <row r="31559" spans="1:7" x14ac:dyDescent="0.35">
      <c r="A31559" t="s">
        <v>227</v>
      </c>
      <c r="B31559" t="s">
        <v>2730</v>
      </c>
      <c r="C31559">
        <v>1.29</v>
      </c>
      <c r="D31559">
        <v>0</v>
      </c>
      <c r="E31559">
        <v>0</v>
      </c>
      <c r="F31559">
        <v>12</v>
      </c>
      <c r="G31559">
        <v>45</v>
      </c>
    </row>
    <row r="31560" spans="1:7" x14ac:dyDescent="0.35">
      <c r="A31560" s="27" t="s">
        <v>227</v>
      </c>
      <c r="B31560" s="27" t="s">
        <v>2731</v>
      </c>
      <c r="C31560" s="29">
        <v>1.95</v>
      </c>
      <c r="D31560" s="29">
        <v>1</v>
      </c>
      <c r="E31560" s="29">
        <v>0</v>
      </c>
      <c r="F31560" s="29">
        <v>10</v>
      </c>
      <c r="G31560" s="29">
        <v>20</v>
      </c>
    </row>
    <row r="31561" spans="1:7" x14ac:dyDescent="0.35">
      <c r="A31561" t="s">
        <v>227</v>
      </c>
      <c r="B31561" t="s">
        <v>2732</v>
      </c>
      <c r="C31561">
        <v>2</v>
      </c>
      <c r="D31561">
        <v>0</v>
      </c>
      <c r="E31561">
        <v>0</v>
      </c>
      <c r="F31561">
        <v>20</v>
      </c>
      <c r="G31561">
        <v>91</v>
      </c>
    </row>
    <row r="31562" spans="1:7" x14ac:dyDescent="0.35">
      <c r="A31562" t="s">
        <v>228</v>
      </c>
      <c r="B31562" t="s">
        <v>2730</v>
      </c>
      <c r="C31562">
        <v>2.44</v>
      </c>
      <c r="D31562">
        <v>0</v>
      </c>
      <c r="E31562">
        <v>0</v>
      </c>
      <c r="F31562">
        <v>24</v>
      </c>
      <c r="G31562">
        <v>356</v>
      </c>
    </row>
    <row r="31563" spans="1:7" x14ac:dyDescent="0.35">
      <c r="A31563" t="s">
        <v>228</v>
      </c>
      <c r="B31563" t="s">
        <v>2731</v>
      </c>
      <c r="C31563">
        <v>1.4</v>
      </c>
      <c r="D31563">
        <v>1</v>
      </c>
      <c r="E31563">
        <v>0</v>
      </c>
      <c r="F31563">
        <v>15</v>
      </c>
      <c r="G31563">
        <v>93</v>
      </c>
    </row>
    <row r="31564" spans="1:7" x14ac:dyDescent="0.35">
      <c r="A31564" t="s">
        <v>228</v>
      </c>
      <c r="B31564" t="s">
        <v>2732</v>
      </c>
      <c r="C31564">
        <v>1.91</v>
      </c>
      <c r="D31564">
        <v>1</v>
      </c>
      <c r="E31564">
        <v>0</v>
      </c>
      <c r="F31564">
        <v>20</v>
      </c>
      <c r="G31564">
        <v>569</v>
      </c>
    </row>
    <row r="31565" spans="1:7" x14ac:dyDescent="0.35">
      <c r="A31565" t="s">
        <v>229</v>
      </c>
      <c r="B31565" t="s">
        <v>2730</v>
      </c>
      <c r="C31565">
        <v>1.83</v>
      </c>
      <c r="D31565">
        <v>0</v>
      </c>
      <c r="E31565">
        <v>0</v>
      </c>
      <c r="F31565">
        <v>20</v>
      </c>
      <c r="G31565">
        <v>301</v>
      </c>
    </row>
    <row r="31566" spans="1:7" x14ac:dyDescent="0.35">
      <c r="A31566" t="s">
        <v>229</v>
      </c>
      <c r="B31566" t="s">
        <v>2731</v>
      </c>
      <c r="C31566">
        <v>1.22</v>
      </c>
      <c r="D31566">
        <v>0</v>
      </c>
      <c r="E31566">
        <v>0</v>
      </c>
      <c r="F31566">
        <v>20</v>
      </c>
      <c r="G31566">
        <v>85</v>
      </c>
    </row>
    <row r="31567" spans="1:7" x14ac:dyDescent="0.35">
      <c r="A31567" t="s">
        <v>229</v>
      </c>
      <c r="B31567" t="s">
        <v>2732</v>
      </c>
      <c r="C31567">
        <v>1.45</v>
      </c>
      <c r="D31567">
        <v>0</v>
      </c>
      <c r="E31567">
        <v>0</v>
      </c>
      <c r="F31567">
        <v>20</v>
      </c>
      <c r="G31567">
        <v>498</v>
      </c>
    </row>
    <row r="31568" spans="1:7" x14ac:dyDescent="0.35">
      <c r="A31568" t="s">
        <v>230</v>
      </c>
      <c r="B31568" t="s">
        <v>2730</v>
      </c>
      <c r="C31568">
        <v>1.21</v>
      </c>
      <c r="D31568">
        <v>0</v>
      </c>
      <c r="E31568">
        <v>0</v>
      </c>
      <c r="F31568">
        <v>20</v>
      </c>
      <c r="G31568">
        <v>195</v>
      </c>
    </row>
    <row r="31569" spans="1:10" x14ac:dyDescent="0.35">
      <c r="A31569" t="s">
        <v>230</v>
      </c>
      <c r="B31569" t="s">
        <v>2731</v>
      </c>
      <c r="C31569">
        <v>0.52</v>
      </c>
      <c r="D31569">
        <v>0</v>
      </c>
      <c r="E31569">
        <v>0</v>
      </c>
      <c r="F31569">
        <v>10</v>
      </c>
      <c r="G31569">
        <v>49</v>
      </c>
    </row>
    <row r="31570" spans="1:10" x14ac:dyDescent="0.35">
      <c r="A31570" t="s">
        <v>230</v>
      </c>
      <c r="B31570" t="s">
        <v>2732</v>
      </c>
      <c r="C31570">
        <v>2.2999999999999998</v>
      </c>
      <c r="D31570">
        <v>1</v>
      </c>
      <c r="E31570">
        <v>0</v>
      </c>
      <c r="F31570">
        <v>20</v>
      </c>
      <c r="G31570">
        <v>311</v>
      </c>
    </row>
    <row r="31571" spans="1:10" x14ac:dyDescent="0.35">
      <c r="A31571" t="s">
        <v>231</v>
      </c>
      <c r="B31571" t="s">
        <v>2730</v>
      </c>
      <c r="C31571">
        <v>1.5</v>
      </c>
      <c r="D31571">
        <v>0</v>
      </c>
      <c r="E31571">
        <v>0</v>
      </c>
      <c r="F31571">
        <v>10</v>
      </c>
      <c r="G31571">
        <v>54</v>
      </c>
    </row>
    <row r="31572" spans="1:10" x14ac:dyDescent="0.35">
      <c r="A31572" s="27" t="s">
        <v>231</v>
      </c>
      <c r="B31572" s="27" t="s">
        <v>2731</v>
      </c>
      <c r="C31572" s="29">
        <v>1.71</v>
      </c>
      <c r="D31572" s="29">
        <v>0</v>
      </c>
      <c r="E31572" s="29">
        <v>0</v>
      </c>
      <c r="F31572" s="29">
        <v>20</v>
      </c>
      <c r="G31572" s="29">
        <v>17</v>
      </c>
    </row>
    <row r="31573" spans="1:10" x14ac:dyDescent="0.35">
      <c r="A31573" t="s">
        <v>231</v>
      </c>
      <c r="B31573" t="s">
        <v>2732</v>
      </c>
      <c r="C31573">
        <v>1.22</v>
      </c>
      <c r="D31573">
        <v>0</v>
      </c>
      <c r="E31573">
        <v>0</v>
      </c>
      <c r="F31573">
        <v>20</v>
      </c>
      <c r="G31573">
        <v>87</v>
      </c>
    </row>
    <row r="31574" spans="1:10" x14ac:dyDescent="0.35">
      <c r="A31574" t="s">
        <v>232</v>
      </c>
      <c r="B31574" t="s">
        <v>232</v>
      </c>
      <c r="C31574">
        <v>1.66</v>
      </c>
      <c r="D31574">
        <v>0</v>
      </c>
      <c r="E31574">
        <v>0</v>
      </c>
      <c r="F31574">
        <v>24</v>
      </c>
      <c r="G31574">
        <v>2772</v>
      </c>
    </row>
    <row r="31576" spans="1:10" x14ac:dyDescent="0.35">
      <c r="A31576" s="1" t="s">
        <v>2784</v>
      </c>
    </row>
    <row r="31577" spans="1:10" x14ac:dyDescent="0.35">
      <c r="A31577" t="s">
        <v>219</v>
      </c>
      <c r="B31577" t="s">
        <v>305</v>
      </c>
      <c r="C31577" t="s">
        <v>1667</v>
      </c>
      <c r="D31577" t="s">
        <v>1668</v>
      </c>
      <c r="E31577" t="s">
        <v>1669</v>
      </c>
      <c r="F31577" t="s">
        <v>1670</v>
      </c>
      <c r="G31577" t="s">
        <v>1671</v>
      </c>
      <c r="H31577" t="s">
        <v>286</v>
      </c>
      <c r="I31577" t="s">
        <v>281</v>
      </c>
      <c r="J31577" t="s">
        <v>226</v>
      </c>
    </row>
    <row r="31578" spans="1:10" x14ac:dyDescent="0.35">
      <c r="A31578" t="s">
        <v>227</v>
      </c>
      <c r="B31578" t="s">
        <v>2730</v>
      </c>
      <c r="C31578" s="26">
        <v>0.87229999999999996</v>
      </c>
      <c r="D31578" s="26">
        <v>4.2599999999999999E-2</v>
      </c>
      <c r="E31578" s="26">
        <v>6.3799999999999996E-2</v>
      </c>
      <c r="F31578" s="26">
        <v>2.1299999999999999E-2</v>
      </c>
      <c r="J31578">
        <v>47</v>
      </c>
    </row>
    <row r="31579" spans="1:10" x14ac:dyDescent="0.35">
      <c r="A31579" s="27" t="s">
        <v>227</v>
      </c>
      <c r="B31579" s="27" t="s">
        <v>2731</v>
      </c>
      <c r="C31579" s="28">
        <v>0.95240000000000002</v>
      </c>
      <c r="D31579" s="29"/>
      <c r="E31579" s="28">
        <v>4.7600000000000003E-2</v>
      </c>
      <c r="F31579" s="29"/>
      <c r="G31579" s="29"/>
      <c r="H31579" s="29"/>
      <c r="I31579" s="29"/>
      <c r="J31579" s="29" t="s">
        <v>351</v>
      </c>
    </row>
    <row r="31580" spans="1:10" x14ac:dyDescent="0.35">
      <c r="A31580" t="s">
        <v>227</v>
      </c>
      <c r="B31580" t="s">
        <v>2732</v>
      </c>
      <c r="C31580" s="26">
        <v>0.94620000000000004</v>
      </c>
      <c r="D31580" s="26">
        <v>1.0800000000000001E-2</v>
      </c>
      <c r="E31580" s="26">
        <v>3.2300000000000002E-2</v>
      </c>
      <c r="F31580" s="26">
        <v>1.0800000000000001E-2</v>
      </c>
      <c r="J31580">
        <v>93</v>
      </c>
    </row>
    <row r="31581" spans="1:10" x14ac:dyDescent="0.35">
      <c r="A31581" t="s">
        <v>228</v>
      </c>
      <c r="B31581" t="s">
        <v>2730</v>
      </c>
      <c r="C31581" s="26">
        <v>0.8508</v>
      </c>
      <c r="D31581" s="26">
        <v>6.7599999999999993E-2</v>
      </c>
      <c r="E31581" s="26">
        <v>5.8700000000000002E-2</v>
      </c>
      <c r="F31581" s="26">
        <v>2.0199999999999999E-2</v>
      </c>
      <c r="G31581" s="26">
        <v>1.6000000000000001E-3</v>
      </c>
      <c r="I31581" s="26">
        <v>1.1000000000000001E-3</v>
      </c>
      <c r="J31581">
        <v>360</v>
      </c>
    </row>
    <row r="31582" spans="1:10" x14ac:dyDescent="0.35">
      <c r="A31582" t="s">
        <v>228</v>
      </c>
      <c r="B31582" t="s">
        <v>2731</v>
      </c>
      <c r="C31582" s="26">
        <v>0.90469999999999995</v>
      </c>
      <c r="D31582" s="26">
        <v>8.7599999999999997E-2</v>
      </c>
      <c r="F31582" s="26">
        <v>7.7000000000000002E-3</v>
      </c>
      <c r="J31582">
        <v>96</v>
      </c>
    </row>
    <row r="31583" spans="1:10" x14ac:dyDescent="0.35">
      <c r="A31583" t="s">
        <v>228</v>
      </c>
      <c r="B31583" t="s">
        <v>2732</v>
      </c>
      <c r="C31583" s="26">
        <v>0.91300000000000003</v>
      </c>
      <c r="D31583" s="26">
        <v>3.6200000000000003E-2</v>
      </c>
      <c r="E31583" s="26">
        <v>3.1300000000000001E-2</v>
      </c>
      <c r="F31583" s="26">
        <v>1.2800000000000001E-2</v>
      </c>
      <c r="G31583" s="26">
        <v>6.6E-3</v>
      </c>
      <c r="J31583">
        <v>576</v>
      </c>
    </row>
    <row r="31584" spans="1:10" x14ac:dyDescent="0.35">
      <c r="A31584" t="s">
        <v>229</v>
      </c>
      <c r="B31584" t="s">
        <v>2730</v>
      </c>
      <c r="C31584" s="26">
        <v>0.85589999999999999</v>
      </c>
      <c r="D31584" s="26">
        <v>9.8100000000000007E-2</v>
      </c>
      <c r="E31584" s="26">
        <v>9.2999999999999992E-3</v>
      </c>
      <c r="F31584" s="26">
        <v>1.3100000000000001E-2</v>
      </c>
      <c r="G31584" s="26">
        <v>1.29E-2</v>
      </c>
      <c r="H31584" s="26">
        <v>1.0699999999999999E-2</v>
      </c>
      <c r="J31584">
        <v>302</v>
      </c>
    </row>
    <row r="31585" spans="1:10" x14ac:dyDescent="0.35">
      <c r="A31585" t="s">
        <v>229</v>
      </c>
      <c r="B31585" t="s">
        <v>2731</v>
      </c>
      <c r="C31585" s="26">
        <v>0.88819999999999999</v>
      </c>
      <c r="D31585" s="26">
        <v>4.6699999999999998E-2</v>
      </c>
      <c r="F31585" s="26">
        <v>3.4500000000000003E-2</v>
      </c>
      <c r="G31585" s="26">
        <v>3.0499999999999999E-2</v>
      </c>
      <c r="J31585">
        <v>86</v>
      </c>
    </row>
    <row r="31586" spans="1:10" x14ac:dyDescent="0.35">
      <c r="A31586" t="s">
        <v>229</v>
      </c>
      <c r="B31586" t="s">
        <v>2732</v>
      </c>
      <c r="C31586" s="26">
        <v>0.92349999999999999</v>
      </c>
      <c r="D31586" s="26">
        <v>3.9699999999999999E-2</v>
      </c>
      <c r="E31586" s="26">
        <v>1.5599999999999999E-2</v>
      </c>
      <c r="F31586" s="26">
        <v>1.55E-2</v>
      </c>
      <c r="G31586" s="26">
        <v>5.1000000000000004E-3</v>
      </c>
      <c r="H31586" s="26">
        <v>5.0000000000000001E-4</v>
      </c>
      <c r="J31586">
        <v>507</v>
      </c>
    </row>
    <row r="31587" spans="1:10" x14ac:dyDescent="0.35">
      <c r="A31587" t="s">
        <v>230</v>
      </c>
      <c r="B31587" t="s">
        <v>2730</v>
      </c>
      <c r="C31587" s="26">
        <v>0.85850000000000004</v>
      </c>
      <c r="D31587" s="26">
        <v>2.8199999999999999E-2</v>
      </c>
      <c r="E31587" s="26">
        <v>5.5300000000000002E-2</v>
      </c>
      <c r="F31587" s="26">
        <v>5.8000000000000003E-2</v>
      </c>
      <c r="J31587">
        <v>197</v>
      </c>
    </row>
    <row r="31588" spans="1:10" x14ac:dyDescent="0.35">
      <c r="A31588" t="s">
        <v>230</v>
      </c>
      <c r="B31588" t="s">
        <v>2731</v>
      </c>
      <c r="C31588" s="26">
        <v>0.96989999999999998</v>
      </c>
      <c r="D31588" s="26">
        <v>1.15E-2</v>
      </c>
      <c r="E31588" s="26">
        <v>1.15E-2</v>
      </c>
      <c r="F31588" s="26">
        <v>7.1000000000000004E-3</v>
      </c>
      <c r="J31588">
        <v>50</v>
      </c>
    </row>
    <row r="31589" spans="1:10" x14ac:dyDescent="0.35">
      <c r="A31589" t="s">
        <v>230</v>
      </c>
      <c r="B31589" t="s">
        <v>2732</v>
      </c>
      <c r="C31589" s="26">
        <v>0.94410000000000005</v>
      </c>
      <c r="D31589" s="26">
        <v>3.7400000000000003E-2</v>
      </c>
      <c r="E31589" s="26">
        <v>1.23E-2</v>
      </c>
      <c r="F31589" s="26">
        <v>6.3E-3</v>
      </c>
      <c r="J31589">
        <v>313</v>
      </c>
    </row>
    <row r="31590" spans="1:10" x14ac:dyDescent="0.35">
      <c r="A31590" t="s">
        <v>231</v>
      </c>
      <c r="B31590" t="s">
        <v>2730</v>
      </c>
      <c r="C31590" s="26">
        <v>0.83640000000000003</v>
      </c>
      <c r="D31590" s="26">
        <v>3.6400000000000002E-2</v>
      </c>
      <c r="E31590" s="26">
        <v>9.0899999999999995E-2</v>
      </c>
      <c r="F31590" s="26">
        <v>1.8200000000000001E-2</v>
      </c>
      <c r="G31590" s="26">
        <v>1.8200000000000001E-2</v>
      </c>
      <c r="J31590">
        <v>55</v>
      </c>
    </row>
    <row r="31591" spans="1:10" x14ac:dyDescent="0.35">
      <c r="A31591" s="27" t="s">
        <v>231</v>
      </c>
      <c r="B31591" s="27" t="s">
        <v>2731</v>
      </c>
      <c r="C31591" s="28">
        <v>0.70589999999999997</v>
      </c>
      <c r="D31591" s="28">
        <v>0.1176</v>
      </c>
      <c r="E31591" s="28">
        <v>0.1176</v>
      </c>
      <c r="F31591" s="29"/>
      <c r="G31591" s="28">
        <v>5.8799999999999998E-2</v>
      </c>
      <c r="H31591" s="29"/>
      <c r="I31591" s="29"/>
      <c r="J31591" s="29" t="s">
        <v>343</v>
      </c>
    </row>
    <row r="31592" spans="1:10" x14ac:dyDescent="0.35">
      <c r="A31592" t="s">
        <v>231</v>
      </c>
      <c r="B31592" t="s">
        <v>2732</v>
      </c>
      <c r="C31592" s="26">
        <v>0.9022</v>
      </c>
      <c r="D31592" s="26">
        <v>3.2599999999999997E-2</v>
      </c>
      <c r="E31592" s="26">
        <v>6.5199999999999994E-2</v>
      </c>
      <c r="J31592">
        <v>92</v>
      </c>
    </row>
    <row r="31593" spans="1:10" x14ac:dyDescent="0.35">
      <c r="A31593" t="s">
        <v>232</v>
      </c>
      <c r="B31593" t="s">
        <v>232</v>
      </c>
      <c r="C31593" s="26">
        <v>0.89359999999999995</v>
      </c>
      <c r="D31593" s="26">
        <v>4.36E-2</v>
      </c>
      <c r="E31593" s="26">
        <v>4.1700000000000001E-2</v>
      </c>
      <c r="F31593" s="26">
        <v>1.3299999999999999E-2</v>
      </c>
      <c r="G31593" s="26">
        <v>6.8999999999999999E-3</v>
      </c>
      <c r="H31593" s="26">
        <v>8.9999999999999998E-4</v>
      </c>
      <c r="I31593" s="26">
        <v>1E-4</v>
      </c>
      <c r="J31593">
        <v>2812</v>
      </c>
    </row>
    <row r="31595" spans="1:10" x14ac:dyDescent="0.35">
      <c r="A31595" s="1" t="s">
        <v>2785</v>
      </c>
    </row>
    <row r="31596" spans="1:10" x14ac:dyDescent="0.35">
      <c r="A31596" t="s">
        <v>219</v>
      </c>
      <c r="B31596" t="s">
        <v>305</v>
      </c>
      <c r="C31596" t="s">
        <v>1684</v>
      </c>
      <c r="D31596" t="s">
        <v>1685</v>
      </c>
      <c r="E31596" t="s">
        <v>1686</v>
      </c>
      <c r="F31596" t="s">
        <v>1687</v>
      </c>
      <c r="G31596" t="s">
        <v>286</v>
      </c>
      <c r="H31596" t="s">
        <v>281</v>
      </c>
      <c r="I31596" t="s">
        <v>226</v>
      </c>
    </row>
    <row r="31597" spans="1:10" x14ac:dyDescent="0.35">
      <c r="A31597" t="s">
        <v>227</v>
      </c>
      <c r="B31597" t="s">
        <v>2730</v>
      </c>
      <c r="C31597" s="26">
        <v>0.52270000000000005</v>
      </c>
      <c r="D31597" s="26">
        <v>0.45450000000000002</v>
      </c>
      <c r="E31597" s="26">
        <v>2.2700000000000001E-2</v>
      </c>
      <c r="I31597">
        <v>44</v>
      </c>
    </row>
    <row r="31598" spans="1:10" x14ac:dyDescent="0.35">
      <c r="A31598" s="27" t="s">
        <v>227</v>
      </c>
      <c r="B31598" s="27" t="s">
        <v>2731</v>
      </c>
      <c r="C31598" s="28">
        <v>0.25</v>
      </c>
      <c r="D31598" s="28">
        <v>0.75</v>
      </c>
      <c r="E31598" s="29"/>
      <c r="F31598" s="29"/>
      <c r="G31598" s="29"/>
      <c r="H31598" s="29"/>
      <c r="I31598" s="29" t="s">
        <v>350</v>
      </c>
    </row>
    <row r="31599" spans="1:10" x14ac:dyDescent="0.35">
      <c r="A31599" t="s">
        <v>227</v>
      </c>
      <c r="B31599" t="s">
        <v>2732</v>
      </c>
      <c r="C31599" s="26">
        <v>0.34439999999999998</v>
      </c>
      <c r="D31599" s="26">
        <v>0.65559999999999996</v>
      </c>
      <c r="I31599">
        <v>90</v>
      </c>
    </row>
    <row r="31600" spans="1:10" x14ac:dyDescent="0.35">
      <c r="A31600" t="s">
        <v>228</v>
      </c>
      <c r="B31600" t="s">
        <v>2730</v>
      </c>
      <c r="C31600" s="26">
        <v>0.64280000000000004</v>
      </c>
      <c r="D31600" s="26">
        <v>0.34910000000000002</v>
      </c>
      <c r="E31600" s="26">
        <v>2.5999999999999999E-3</v>
      </c>
      <c r="F31600" s="26">
        <v>3.7000000000000002E-3</v>
      </c>
      <c r="G31600" s="26">
        <v>1.6999999999999999E-3</v>
      </c>
      <c r="I31600">
        <v>351</v>
      </c>
    </row>
    <row r="31601" spans="1:9" x14ac:dyDescent="0.35">
      <c r="A31601" t="s">
        <v>228</v>
      </c>
      <c r="B31601" t="s">
        <v>2731</v>
      </c>
      <c r="C31601" s="26">
        <v>0.72130000000000005</v>
      </c>
      <c r="D31601" s="26">
        <v>0.2717</v>
      </c>
      <c r="E31601" s="26">
        <v>7.0000000000000001E-3</v>
      </c>
      <c r="I31601">
        <v>96</v>
      </c>
    </row>
    <row r="31602" spans="1:9" x14ac:dyDescent="0.35">
      <c r="A31602" t="s">
        <v>228</v>
      </c>
      <c r="B31602" t="s">
        <v>2732</v>
      </c>
      <c r="C31602" s="26">
        <v>0.57410000000000005</v>
      </c>
      <c r="D31602" s="26">
        <v>0.4259</v>
      </c>
      <c r="I31602">
        <v>560</v>
      </c>
    </row>
    <row r="31603" spans="1:9" x14ac:dyDescent="0.35">
      <c r="A31603" t="s">
        <v>229</v>
      </c>
      <c r="B31603" t="s">
        <v>2730</v>
      </c>
      <c r="C31603" s="26">
        <v>0.62229999999999996</v>
      </c>
      <c r="D31603" s="26">
        <v>0.3674</v>
      </c>
      <c r="E31603" s="26">
        <v>1.04E-2</v>
      </c>
      <c r="I31603">
        <v>298</v>
      </c>
    </row>
    <row r="31604" spans="1:9" x14ac:dyDescent="0.35">
      <c r="A31604" t="s">
        <v>229</v>
      </c>
      <c r="B31604" t="s">
        <v>2731</v>
      </c>
      <c r="C31604" s="26">
        <v>0.59640000000000004</v>
      </c>
      <c r="D31604" s="26">
        <v>0.40360000000000001</v>
      </c>
      <c r="I31604">
        <v>86</v>
      </c>
    </row>
    <row r="31605" spans="1:9" x14ac:dyDescent="0.35">
      <c r="A31605" t="s">
        <v>229</v>
      </c>
      <c r="B31605" t="s">
        <v>2732</v>
      </c>
      <c r="C31605" s="26">
        <v>0.60660000000000003</v>
      </c>
      <c r="D31605" s="26">
        <v>0.37530000000000002</v>
      </c>
      <c r="E31605" s="26">
        <v>1.8100000000000002E-2</v>
      </c>
      <c r="I31605">
        <v>501</v>
      </c>
    </row>
    <row r="31606" spans="1:9" x14ac:dyDescent="0.35">
      <c r="A31606" t="s">
        <v>230</v>
      </c>
      <c r="B31606" t="s">
        <v>2730</v>
      </c>
      <c r="C31606" s="26">
        <v>0.48780000000000001</v>
      </c>
      <c r="D31606" s="26">
        <v>0.51129999999999998</v>
      </c>
      <c r="E31606" s="26">
        <v>8.9999999999999998E-4</v>
      </c>
      <c r="I31606">
        <v>191</v>
      </c>
    </row>
    <row r="31607" spans="1:9" x14ac:dyDescent="0.35">
      <c r="A31607" t="s">
        <v>230</v>
      </c>
      <c r="B31607" t="s">
        <v>2731</v>
      </c>
      <c r="C31607" s="26">
        <v>0.56210000000000004</v>
      </c>
      <c r="D31607" s="26">
        <v>0.42599999999999999</v>
      </c>
      <c r="E31607" s="26">
        <v>1.1900000000000001E-2</v>
      </c>
      <c r="I31607">
        <v>49</v>
      </c>
    </row>
    <row r="31608" spans="1:9" x14ac:dyDescent="0.35">
      <c r="A31608" t="s">
        <v>230</v>
      </c>
      <c r="B31608" t="s">
        <v>2732</v>
      </c>
      <c r="C31608" s="26">
        <v>0.47920000000000001</v>
      </c>
      <c r="D31608" s="26">
        <v>0.50680000000000003</v>
      </c>
      <c r="E31608" s="26">
        <v>1.35E-2</v>
      </c>
      <c r="H31608" s="26">
        <v>5.0000000000000001E-4</v>
      </c>
      <c r="I31608">
        <v>308</v>
      </c>
    </row>
    <row r="31609" spans="1:9" x14ac:dyDescent="0.35">
      <c r="A31609" t="s">
        <v>231</v>
      </c>
      <c r="B31609" t="s">
        <v>2730</v>
      </c>
      <c r="C31609" s="26">
        <v>0.63460000000000005</v>
      </c>
      <c r="D31609" s="26">
        <v>0.3654</v>
      </c>
      <c r="I31609">
        <v>52</v>
      </c>
    </row>
    <row r="31610" spans="1:9" x14ac:dyDescent="0.35">
      <c r="A31610" s="27" t="s">
        <v>231</v>
      </c>
      <c r="B31610" s="27" t="s">
        <v>2731</v>
      </c>
      <c r="C31610" s="28">
        <v>0.4</v>
      </c>
      <c r="D31610" s="28">
        <v>0.4667</v>
      </c>
      <c r="E31610" s="28">
        <v>0.1333</v>
      </c>
      <c r="F31610" s="29"/>
      <c r="G31610" s="29"/>
      <c r="H31610" s="29"/>
      <c r="I31610" s="29" t="s">
        <v>346</v>
      </c>
    </row>
    <row r="31611" spans="1:9" x14ac:dyDescent="0.35">
      <c r="A31611" t="s">
        <v>231</v>
      </c>
      <c r="B31611" t="s">
        <v>2732</v>
      </c>
      <c r="C31611" s="26">
        <v>0.39529999999999998</v>
      </c>
      <c r="D31611" s="26">
        <v>0.60470000000000002</v>
      </c>
      <c r="I31611">
        <v>86</v>
      </c>
    </row>
    <row r="31612" spans="1:9" x14ac:dyDescent="0.35">
      <c r="A31612" t="s">
        <v>232</v>
      </c>
      <c r="B31612" t="s">
        <v>232</v>
      </c>
      <c r="C31612" s="26">
        <v>0.52880000000000005</v>
      </c>
      <c r="D31612" s="26">
        <v>0.46100000000000002</v>
      </c>
      <c r="E31612" s="26">
        <v>9.9000000000000008E-3</v>
      </c>
      <c r="F31612" s="26">
        <v>2.0000000000000001E-4</v>
      </c>
      <c r="G31612" s="26">
        <v>1E-4</v>
      </c>
      <c r="H31612" s="26">
        <v>0</v>
      </c>
      <c r="I31612">
        <v>2747</v>
      </c>
    </row>
    <row r="31614" spans="1:9" x14ac:dyDescent="0.35">
      <c r="A31614" s="1" t="s">
        <v>2786</v>
      </c>
    </row>
    <row r="31615" spans="1:9" x14ac:dyDescent="0.35">
      <c r="A31615" t="s">
        <v>219</v>
      </c>
      <c r="B31615" t="s">
        <v>305</v>
      </c>
      <c r="C31615" t="s">
        <v>534</v>
      </c>
      <c r="D31615" t="s">
        <v>535</v>
      </c>
      <c r="E31615" t="s">
        <v>536</v>
      </c>
      <c r="F31615" t="s">
        <v>537</v>
      </c>
      <c r="G31615" t="s">
        <v>226</v>
      </c>
    </row>
    <row r="31616" spans="1:9" x14ac:dyDescent="0.35">
      <c r="A31616" t="s">
        <v>227</v>
      </c>
      <c r="B31616" t="s">
        <v>2730</v>
      </c>
      <c r="C31616">
        <v>51.84</v>
      </c>
      <c r="D31616">
        <v>51</v>
      </c>
      <c r="E31616">
        <v>13</v>
      </c>
      <c r="F31616">
        <v>120</v>
      </c>
      <c r="G31616">
        <v>37</v>
      </c>
    </row>
    <row r="31617" spans="1:7" x14ac:dyDescent="0.35">
      <c r="A31617" s="27" t="s">
        <v>227</v>
      </c>
      <c r="B31617" s="27" t="s">
        <v>2731</v>
      </c>
      <c r="C31617" s="29">
        <v>64.73</v>
      </c>
      <c r="D31617" s="29">
        <v>70</v>
      </c>
      <c r="E31617" s="29">
        <v>35</v>
      </c>
      <c r="F31617" s="29">
        <v>120</v>
      </c>
      <c r="G31617" s="29">
        <v>15</v>
      </c>
    </row>
    <row r="31618" spans="1:7" x14ac:dyDescent="0.35">
      <c r="A31618" t="s">
        <v>227</v>
      </c>
      <c r="B31618" t="s">
        <v>2732</v>
      </c>
      <c r="C31618">
        <v>66.260000000000005</v>
      </c>
      <c r="D31618">
        <v>61</v>
      </c>
      <c r="E31618">
        <v>6</v>
      </c>
      <c r="F31618">
        <v>245</v>
      </c>
      <c r="G31618">
        <v>80</v>
      </c>
    </row>
    <row r="31619" spans="1:7" x14ac:dyDescent="0.35">
      <c r="A31619" t="s">
        <v>228</v>
      </c>
      <c r="B31619" t="s">
        <v>2730</v>
      </c>
      <c r="C31619">
        <v>50.13</v>
      </c>
      <c r="D31619">
        <v>48</v>
      </c>
      <c r="E31619">
        <v>5</v>
      </c>
      <c r="F31619">
        <v>200</v>
      </c>
      <c r="G31619">
        <v>297</v>
      </c>
    </row>
    <row r="31620" spans="1:7" x14ac:dyDescent="0.35">
      <c r="A31620" t="s">
        <v>228</v>
      </c>
      <c r="B31620" t="s">
        <v>2731</v>
      </c>
      <c r="C31620">
        <v>51.25</v>
      </c>
      <c r="D31620">
        <v>52</v>
      </c>
      <c r="E31620">
        <v>18</v>
      </c>
      <c r="F31620">
        <v>120</v>
      </c>
      <c r="G31620">
        <v>75</v>
      </c>
    </row>
    <row r="31621" spans="1:7" x14ac:dyDescent="0.35">
      <c r="A31621" t="s">
        <v>228</v>
      </c>
      <c r="B31621" t="s">
        <v>2732</v>
      </c>
      <c r="C31621">
        <v>64.61</v>
      </c>
      <c r="D31621">
        <v>60</v>
      </c>
      <c r="E31621">
        <v>6</v>
      </c>
      <c r="F31621">
        <v>205</v>
      </c>
      <c r="G31621">
        <v>458</v>
      </c>
    </row>
    <row r="31622" spans="1:7" x14ac:dyDescent="0.35">
      <c r="A31622" t="s">
        <v>229</v>
      </c>
      <c r="B31622" t="s">
        <v>2730</v>
      </c>
      <c r="C31622">
        <v>49.09</v>
      </c>
      <c r="D31622">
        <v>46</v>
      </c>
      <c r="E31622">
        <v>12</v>
      </c>
      <c r="F31622">
        <v>220</v>
      </c>
      <c r="G31622">
        <v>253</v>
      </c>
    </row>
    <row r="31623" spans="1:7" x14ac:dyDescent="0.35">
      <c r="A31623" t="s">
        <v>229</v>
      </c>
      <c r="B31623" t="s">
        <v>2731</v>
      </c>
      <c r="C31623">
        <v>58.24</v>
      </c>
      <c r="D31623">
        <v>55</v>
      </c>
      <c r="E31623">
        <v>15</v>
      </c>
      <c r="F31623">
        <v>130</v>
      </c>
      <c r="G31623">
        <v>76</v>
      </c>
    </row>
    <row r="31624" spans="1:7" x14ac:dyDescent="0.35">
      <c r="A31624" t="s">
        <v>229</v>
      </c>
      <c r="B31624" t="s">
        <v>2732</v>
      </c>
      <c r="C31624">
        <v>66.430000000000007</v>
      </c>
      <c r="D31624">
        <v>62</v>
      </c>
      <c r="E31624">
        <v>15</v>
      </c>
      <c r="F31624">
        <v>285</v>
      </c>
      <c r="G31624">
        <v>428</v>
      </c>
    </row>
    <row r="31625" spans="1:7" x14ac:dyDescent="0.35">
      <c r="A31625" t="s">
        <v>230</v>
      </c>
      <c r="B31625" t="s">
        <v>2730</v>
      </c>
      <c r="C31625">
        <v>54.94</v>
      </c>
      <c r="D31625">
        <v>50</v>
      </c>
      <c r="E31625">
        <v>8</v>
      </c>
      <c r="F31625">
        <v>150</v>
      </c>
      <c r="G31625">
        <v>154</v>
      </c>
    </row>
    <row r="31626" spans="1:7" x14ac:dyDescent="0.35">
      <c r="A31626" t="s">
        <v>230</v>
      </c>
      <c r="B31626" t="s">
        <v>2731</v>
      </c>
      <c r="C31626">
        <v>49.57</v>
      </c>
      <c r="D31626">
        <v>44</v>
      </c>
      <c r="E31626">
        <v>8</v>
      </c>
      <c r="F31626">
        <v>248</v>
      </c>
      <c r="G31626">
        <v>43</v>
      </c>
    </row>
    <row r="31627" spans="1:7" x14ac:dyDescent="0.35">
      <c r="A31627" t="s">
        <v>230</v>
      </c>
      <c r="B31627" t="s">
        <v>2732</v>
      </c>
      <c r="C31627">
        <v>71.319999999999993</v>
      </c>
      <c r="D31627">
        <v>60</v>
      </c>
      <c r="E31627">
        <v>12</v>
      </c>
      <c r="F31627">
        <v>260</v>
      </c>
      <c r="G31627">
        <v>267</v>
      </c>
    </row>
    <row r="31628" spans="1:7" x14ac:dyDescent="0.35">
      <c r="A31628" t="s">
        <v>231</v>
      </c>
      <c r="B31628" t="s">
        <v>2730</v>
      </c>
      <c r="C31628">
        <v>61.79</v>
      </c>
      <c r="D31628">
        <v>60</v>
      </c>
      <c r="E31628">
        <v>12</v>
      </c>
      <c r="F31628">
        <v>190</v>
      </c>
      <c r="G31628">
        <v>39</v>
      </c>
    </row>
    <row r="31629" spans="1:7" x14ac:dyDescent="0.35">
      <c r="A31629" s="27" t="s">
        <v>231</v>
      </c>
      <c r="B31629" s="27" t="s">
        <v>2731</v>
      </c>
      <c r="C31629" s="29">
        <v>60.67</v>
      </c>
      <c r="D31629" s="29">
        <v>50</v>
      </c>
      <c r="E31629" s="29">
        <v>10</v>
      </c>
      <c r="F31629" s="29">
        <v>200</v>
      </c>
      <c r="G31629" s="29">
        <v>15</v>
      </c>
    </row>
    <row r="31630" spans="1:7" x14ac:dyDescent="0.35">
      <c r="A31630" t="s">
        <v>231</v>
      </c>
      <c r="B31630" t="s">
        <v>2732</v>
      </c>
      <c r="C31630">
        <v>77.81</v>
      </c>
      <c r="D31630">
        <v>70</v>
      </c>
      <c r="E31630">
        <v>20</v>
      </c>
      <c r="F31630">
        <v>260</v>
      </c>
      <c r="G31630">
        <v>72</v>
      </c>
    </row>
    <row r="31631" spans="1:7" x14ac:dyDescent="0.35">
      <c r="A31631" t="s">
        <v>232</v>
      </c>
      <c r="B31631" t="s">
        <v>232</v>
      </c>
      <c r="C31631">
        <v>63.55</v>
      </c>
      <c r="D31631">
        <v>59</v>
      </c>
      <c r="E31631">
        <v>5</v>
      </c>
      <c r="F31631">
        <v>285</v>
      </c>
      <c r="G31631">
        <v>2310</v>
      </c>
    </row>
    <row r="31633" spans="1:7" x14ac:dyDescent="0.35">
      <c r="A31633" s="1" t="s">
        <v>2787</v>
      </c>
    </row>
    <row r="31634" spans="1:7" x14ac:dyDescent="0.35">
      <c r="A31634" t="s">
        <v>219</v>
      </c>
      <c r="B31634" t="s">
        <v>305</v>
      </c>
      <c r="C31634" t="s">
        <v>534</v>
      </c>
      <c r="D31634" t="s">
        <v>535</v>
      </c>
      <c r="E31634" t="s">
        <v>536</v>
      </c>
      <c r="F31634" t="s">
        <v>537</v>
      </c>
      <c r="G31634" t="s">
        <v>226</v>
      </c>
    </row>
    <row r="31635" spans="1:7" x14ac:dyDescent="0.35">
      <c r="A31635" t="s">
        <v>227</v>
      </c>
      <c r="B31635" t="s">
        <v>2730</v>
      </c>
      <c r="C31635">
        <v>1.48</v>
      </c>
      <c r="D31635">
        <v>1</v>
      </c>
      <c r="E31635">
        <v>1</v>
      </c>
      <c r="F31635">
        <v>6</v>
      </c>
      <c r="G31635">
        <v>44</v>
      </c>
    </row>
    <row r="31636" spans="1:7" x14ac:dyDescent="0.35">
      <c r="A31636" s="27" t="s">
        <v>227</v>
      </c>
      <c r="B31636" s="27" t="s">
        <v>2731</v>
      </c>
      <c r="C31636" s="29">
        <v>1.05</v>
      </c>
      <c r="D31636" s="29">
        <v>1</v>
      </c>
      <c r="E31636" s="29">
        <v>1</v>
      </c>
      <c r="F31636" s="29">
        <v>2</v>
      </c>
      <c r="G31636" s="29">
        <v>20</v>
      </c>
    </row>
    <row r="31637" spans="1:7" x14ac:dyDescent="0.35">
      <c r="A31637" t="s">
        <v>227</v>
      </c>
      <c r="B31637" t="s">
        <v>2732</v>
      </c>
      <c r="C31637">
        <v>2.99</v>
      </c>
      <c r="D31637">
        <v>3</v>
      </c>
      <c r="E31637">
        <v>2</v>
      </c>
      <c r="F31637">
        <v>8</v>
      </c>
      <c r="G31637">
        <v>90</v>
      </c>
    </row>
    <row r="31638" spans="1:7" x14ac:dyDescent="0.35">
      <c r="A31638" t="s">
        <v>228</v>
      </c>
      <c r="B31638" t="s">
        <v>2730</v>
      </c>
      <c r="C31638">
        <v>1.5</v>
      </c>
      <c r="D31638">
        <v>1</v>
      </c>
      <c r="E31638">
        <v>1</v>
      </c>
      <c r="F31638">
        <v>5</v>
      </c>
      <c r="G31638">
        <v>351</v>
      </c>
    </row>
    <row r="31639" spans="1:7" x14ac:dyDescent="0.35">
      <c r="A31639" t="s">
        <v>228</v>
      </c>
      <c r="B31639" t="s">
        <v>2731</v>
      </c>
      <c r="C31639">
        <v>1.3</v>
      </c>
      <c r="D31639">
        <v>1</v>
      </c>
      <c r="E31639">
        <v>1</v>
      </c>
      <c r="F31639">
        <v>3</v>
      </c>
      <c r="G31639">
        <v>96</v>
      </c>
    </row>
    <row r="31640" spans="1:7" x14ac:dyDescent="0.35">
      <c r="A31640" t="s">
        <v>228</v>
      </c>
      <c r="B31640" t="s">
        <v>2732</v>
      </c>
      <c r="C31640">
        <v>3.05</v>
      </c>
      <c r="D31640">
        <v>3</v>
      </c>
      <c r="E31640">
        <v>2</v>
      </c>
      <c r="F31640">
        <v>10</v>
      </c>
      <c r="G31640">
        <v>560</v>
      </c>
    </row>
    <row r="31641" spans="1:7" x14ac:dyDescent="0.35">
      <c r="A31641" t="s">
        <v>229</v>
      </c>
      <c r="B31641" t="s">
        <v>2730</v>
      </c>
      <c r="C31641">
        <v>1.56</v>
      </c>
      <c r="D31641">
        <v>1</v>
      </c>
      <c r="E31641">
        <v>1</v>
      </c>
      <c r="F31641">
        <v>5</v>
      </c>
      <c r="G31641">
        <v>299</v>
      </c>
    </row>
    <row r="31642" spans="1:7" x14ac:dyDescent="0.35">
      <c r="A31642" t="s">
        <v>229</v>
      </c>
      <c r="B31642" t="s">
        <v>2731</v>
      </c>
      <c r="C31642">
        <v>1.0900000000000001</v>
      </c>
      <c r="D31642">
        <v>1</v>
      </c>
      <c r="E31642">
        <v>1</v>
      </c>
      <c r="F31642">
        <v>3</v>
      </c>
      <c r="G31642">
        <v>86</v>
      </c>
    </row>
    <row r="31643" spans="1:7" x14ac:dyDescent="0.35">
      <c r="A31643" t="s">
        <v>229</v>
      </c>
      <c r="B31643" t="s">
        <v>2732</v>
      </c>
      <c r="C31643">
        <v>2.98</v>
      </c>
      <c r="D31643">
        <v>3</v>
      </c>
      <c r="E31643">
        <v>1</v>
      </c>
      <c r="F31643">
        <v>39</v>
      </c>
      <c r="G31643">
        <v>501</v>
      </c>
    </row>
    <row r="31644" spans="1:7" x14ac:dyDescent="0.35">
      <c r="A31644" t="s">
        <v>230</v>
      </c>
      <c r="B31644" t="s">
        <v>2730</v>
      </c>
      <c r="C31644">
        <v>1.48</v>
      </c>
      <c r="D31644">
        <v>1</v>
      </c>
      <c r="E31644">
        <v>1</v>
      </c>
      <c r="F31644">
        <v>4</v>
      </c>
      <c r="G31644">
        <v>191</v>
      </c>
    </row>
    <row r="31645" spans="1:7" x14ac:dyDescent="0.35">
      <c r="A31645" t="s">
        <v>230</v>
      </c>
      <c r="B31645" t="s">
        <v>2731</v>
      </c>
      <c r="C31645">
        <v>1.17</v>
      </c>
      <c r="D31645">
        <v>1</v>
      </c>
      <c r="E31645">
        <v>1</v>
      </c>
      <c r="F31645">
        <v>5</v>
      </c>
      <c r="G31645">
        <v>49</v>
      </c>
    </row>
    <row r="31646" spans="1:7" x14ac:dyDescent="0.35">
      <c r="A31646" t="s">
        <v>230</v>
      </c>
      <c r="B31646" t="s">
        <v>2732</v>
      </c>
      <c r="C31646">
        <v>3.01</v>
      </c>
      <c r="D31646">
        <v>3</v>
      </c>
      <c r="E31646">
        <v>2</v>
      </c>
      <c r="F31646">
        <v>8</v>
      </c>
      <c r="G31646">
        <v>309</v>
      </c>
    </row>
    <row r="31647" spans="1:7" x14ac:dyDescent="0.35">
      <c r="A31647" t="s">
        <v>231</v>
      </c>
      <c r="B31647" t="s">
        <v>2730</v>
      </c>
      <c r="C31647">
        <v>1.35</v>
      </c>
      <c r="D31647">
        <v>1</v>
      </c>
      <c r="E31647">
        <v>1</v>
      </c>
      <c r="F31647">
        <v>4</v>
      </c>
      <c r="G31647">
        <v>52</v>
      </c>
    </row>
    <row r="31648" spans="1:7" x14ac:dyDescent="0.35">
      <c r="A31648" s="27" t="s">
        <v>231</v>
      </c>
      <c r="B31648" s="27" t="s">
        <v>2731</v>
      </c>
      <c r="C31648" s="29">
        <v>1.93</v>
      </c>
      <c r="D31648" s="29">
        <v>1</v>
      </c>
      <c r="E31648" s="29">
        <v>1</v>
      </c>
      <c r="F31648" s="29">
        <v>10</v>
      </c>
      <c r="G31648" s="29">
        <v>15</v>
      </c>
    </row>
    <row r="31649" spans="1:9" x14ac:dyDescent="0.35">
      <c r="A31649" t="s">
        <v>231</v>
      </c>
      <c r="B31649" t="s">
        <v>2732</v>
      </c>
      <c r="C31649">
        <v>3.17</v>
      </c>
      <c r="D31649">
        <v>3</v>
      </c>
      <c r="E31649">
        <v>2</v>
      </c>
      <c r="F31649">
        <v>15</v>
      </c>
      <c r="G31649">
        <v>86</v>
      </c>
    </row>
    <row r="31650" spans="1:9" x14ac:dyDescent="0.35">
      <c r="A31650" t="s">
        <v>232</v>
      </c>
      <c r="B31650" t="s">
        <v>232</v>
      </c>
      <c r="C31650">
        <v>2.4</v>
      </c>
      <c r="D31650">
        <v>2</v>
      </c>
      <c r="E31650">
        <v>1</v>
      </c>
      <c r="F31650">
        <v>39</v>
      </c>
      <c r="G31650">
        <v>2750</v>
      </c>
    </row>
    <row r="31652" spans="1:9" x14ac:dyDescent="0.35">
      <c r="A31652" s="1" t="s">
        <v>2788</v>
      </c>
    </row>
    <row r="31653" spans="1:9" x14ac:dyDescent="0.35">
      <c r="A31653" t="s">
        <v>219</v>
      </c>
      <c r="B31653" t="s">
        <v>305</v>
      </c>
      <c r="C31653" t="s">
        <v>1724</v>
      </c>
      <c r="D31653" t="s">
        <v>1725</v>
      </c>
      <c r="E31653" t="s">
        <v>1726</v>
      </c>
      <c r="F31653" t="s">
        <v>281</v>
      </c>
      <c r="G31653" t="s">
        <v>1727</v>
      </c>
      <c r="H31653" t="s">
        <v>286</v>
      </c>
      <c r="I31653" t="s">
        <v>226</v>
      </c>
    </row>
    <row r="31654" spans="1:9" x14ac:dyDescent="0.35">
      <c r="A31654" t="s">
        <v>227</v>
      </c>
      <c r="B31654" t="s">
        <v>2730</v>
      </c>
      <c r="C31654" s="26">
        <v>0.84089999999999998</v>
      </c>
      <c r="D31654" s="26">
        <v>6.8199999999999997E-2</v>
      </c>
      <c r="E31654" s="26">
        <v>9.0899999999999995E-2</v>
      </c>
      <c r="I31654">
        <v>44</v>
      </c>
    </row>
    <row r="31655" spans="1:9" x14ac:dyDescent="0.35">
      <c r="A31655" s="27" t="s">
        <v>227</v>
      </c>
      <c r="B31655" s="27" t="s">
        <v>2731</v>
      </c>
      <c r="C31655" s="28">
        <v>0.85</v>
      </c>
      <c r="D31655" s="28">
        <v>0.15</v>
      </c>
      <c r="E31655" s="29"/>
      <c r="F31655" s="29"/>
      <c r="G31655" s="29"/>
      <c r="H31655" s="29"/>
      <c r="I31655" s="29" t="s">
        <v>350</v>
      </c>
    </row>
    <row r="31656" spans="1:9" x14ac:dyDescent="0.35">
      <c r="A31656" t="s">
        <v>227</v>
      </c>
      <c r="B31656" t="s">
        <v>2732</v>
      </c>
      <c r="C31656" s="26">
        <v>0.78890000000000005</v>
      </c>
      <c r="D31656" s="26">
        <v>0.18890000000000001</v>
      </c>
      <c r="E31656" s="26">
        <v>2.2200000000000001E-2</v>
      </c>
      <c r="I31656">
        <v>90</v>
      </c>
    </row>
    <row r="31657" spans="1:9" x14ac:dyDescent="0.35">
      <c r="A31657" t="s">
        <v>228</v>
      </c>
      <c r="B31657" t="s">
        <v>2730</v>
      </c>
      <c r="C31657" s="26">
        <v>0.747</v>
      </c>
      <c r="D31657" s="26">
        <v>0.14230000000000001</v>
      </c>
      <c r="E31657" s="26">
        <v>9.3700000000000006E-2</v>
      </c>
      <c r="F31657" s="26">
        <v>1.4500000000000001E-2</v>
      </c>
      <c r="G31657" s="26">
        <v>1.1000000000000001E-3</v>
      </c>
      <c r="H31657" s="26">
        <v>1.2999999999999999E-3</v>
      </c>
      <c r="I31657">
        <v>351</v>
      </c>
    </row>
    <row r="31658" spans="1:9" x14ac:dyDescent="0.35">
      <c r="A31658" t="s">
        <v>228</v>
      </c>
      <c r="B31658" t="s">
        <v>2731</v>
      </c>
      <c r="C31658" s="26">
        <v>0.72640000000000005</v>
      </c>
      <c r="D31658" s="26">
        <v>0.21820000000000001</v>
      </c>
      <c r="E31658" s="26">
        <v>5.5399999999999998E-2</v>
      </c>
      <c r="I31658">
        <v>96</v>
      </c>
    </row>
    <row r="31659" spans="1:9" x14ac:dyDescent="0.35">
      <c r="A31659" t="s">
        <v>228</v>
      </c>
      <c r="B31659" t="s">
        <v>2732</v>
      </c>
      <c r="C31659" s="26">
        <v>0.7873</v>
      </c>
      <c r="D31659" s="26">
        <v>0.16669999999999999</v>
      </c>
      <c r="E31659" s="26">
        <v>4.4600000000000001E-2</v>
      </c>
      <c r="F31659" s="26">
        <v>4.0000000000000002E-4</v>
      </c>
      <c r="G31659" s="26">
        <v>1E-3</v>
      </c>
      <c r="I31659">
        <v>560</v>
      </c>
    </row>
    <row r="31660" spans="1:9" x14ac:dyDescent="0.35">
      <c r="A31660" t="s">
        <v>229</v>
      </c>
      <c r="B31660" t="s">
        <v>2730</v>
      </c>
      <c r="C31660" s="26">
        <v>0.74990000000000001</v>
      </c>
      <c r="D31660" s="26">
        <v>0.19409999999999999</v>
      </c>
      <c r="E31660" s="26">
        <v>4.3299999999999998E-2</v>
      </c>
      <c r="F31660" s="26">
        <v>1.1599999999999999E-2</v>
      </c>
      <c r="H31660" s="26">
        <v>1.1999999999999999E-3</v>
      </c>
      <c r="I31660">
        <v>299</v>
      </c>
    </row>
    <row r="31661" spans="1:9" x14ac:dyDescent="0.35">
      <c r="A31661" t="s">
        <v>229</v>
      </c>
      <c r="B31661" t="s">
        <v>2731</v>
      </c>
      <c r="C31661" s="26">
        <v>0.78359999999999996</v>
      </c>
      <c r="D31661" s="26">
        <v>0.1341</v>
      </c>
      <c r="E31661" s="26">
        <v>5.0599999999999999E-2</v>
      </c>
      <c r="F31661" s="26">
        <v>3.0499999999999999E-2</v>
      </c>
      <c r="G31661" s="26">
        <v>1.1999999999999999E-3</v>
      </c>
      <c r="I31661">
        <v>86</v>
      </c>
    </row>
    <row r="31662" spans="1:9" x14ac:dyDescent="0.35">
      <c r="A31662" t="s">
        <v>229</v>
      </c>
      <c r="B31662" t="s">
        <v>2732</v>
      </c>
      <c r="C31662" s="26">
        <v>0.83140000000000003</v>
      </c>
      <c r="D31662" s="26">
        <v>0.1195</v>
      </c>
      <c r="E31662" s="26">
        <v>4.7899999999999998E-2</v>
      </c>
      <c r="F31662" s="26">
        <v>1.1999999999999999E-3</v>
      </c>
      <c r="I31662">
        <v>501</v>
      </c>
    </row>
    <row r="31663" spans="1:9" x14ac:dyDescent="0.35">
      <c r="A31663" t="s">
        <v>230</v>
      </c>
      <c r="B31663" t="s">
        <v>2730</v>
      </c>
      <c r="C31663" s="26">
        <v>0.75800000000000001</v>
      </c>
      <c r="D31663" s="26">
        <v>0.1721</v>
      </c>
      <c r="E31663" s="26">
        <v>6.9900000000000004E-2</v>
      </c>
      <c r="I31663">
        <v>191</v>
      </c>
    </row>
    <row r="31664" spans="1:9" x14ac:dyDescent="0.35">
      <c r="A31664" t="s">
        <v>230</v>
      </c>
      <c r="B31664" t="s">
        <v>2731</v>
      </c>
      <c r="C31664" s="26">
        <v>0.80600000000000005</v>
      </c>
      <c r="D31664" s="26">
        <v>0.1091</v>
      </c>
      <c r="E31664" s="26">
        <v>8.4900000000000003E-2</v>
      </c>
      <c r="I31664">
        <v>49</v>
      </c>
    </row>
    <row r="31665" spans="1:9" x14ac:dyDescent="0.35">
      <c r="A31665" t="s">
        <v>230</v>
      </c>
      <c r="B31665" t="s">
        <v>2732</v>
      </c>
      <c r="C31665" s="26">
        <v>0.74729999999999996</v>
      </c>
      <c r="D31665" s="26">
        <v>0.2001</v>
      </c>
      <c r="E31665" s="26">
        <v>5.2499999999999998E-2</v>
      </c>
      <c r="I31665">
        <v>309</v>
      </c>
    </row>
    <row r="31666" spans="1:9" x14ac:dyDescent="0.35">
      <c r="A31666" t="s">
        <v>231</v>
      </c>
      <c r="B31666" t="s">
        <v>2730</v>
      </c>
      <c r="C31666" s="26">
        <v>0.63460000000000005</v>
      </c>
      <c r="D31666" s="26">
        <v>0.30769999999999997</v>
      </c>
      <c r="E31666" s="26">
        <v>3.85E-2</v>
      </c>
      <c r="F31666" s="26">
        <v>1.9199999999999998E-2</v>
      </c>
      <c r="I31666">
        <v>52</v>
      </c>
    </row>
    <row r="31667" spans="1:9" x14ac:dyDescent="0.35">
      <c r="A31667" s="27" t="s">
        <v>231</v>
      </c>
      <c r="B31667" s="27" t="s">
        <v>2731</v>
      </c>
      <c r="C31667" s="28">
        <v>0.8</v>
      </c>
      <c r="D31667" s="28">
        <v>6.6699999999999995E-2</v>
      </c>
      <c r="E31667" s="28">
        <v>6.6699999999999995E-2</v>
      </c>
      <c r="F31667" s="29"/>
      <c r="G31667" s="28">
        <v>6.6699999999999995E-2</v>
      </c>
      <c r="H31667" s="29"/>
      <c r="I31667" s="29" t="s">
        <v>346</v>
      </c>
    </row>
    <row r="31668" spans="1:9" x14ac:dyDescent="0.35">
      <c r="A31668" t="s">
        <v>231</v>
      </c>
      <c r="B31668" t="s">
        <v>2732</v>
      </c>
      <c r="C31668" s="26">
        <v>0.86050000000000004</v>
      </c>
      <c r="D31668" s="26">
        <v>9.2999999999999999E-2</v>
      </c>
      <c r="E31668" s="26">
        <v>4.65E-2</v>
      </c>
      <c r="I31668">
        <v>86</v>
      </c>
    </row>
    <row r="31669" spans="1:9" x14ac:dyDescent="0.35">
      <c r="A31669" t="s">
        <v>232</v>
      </c>
      <c r="B31669" t="s">
        <v>232</v>
      </c>
      <c r="C31669" s="26">
        <v>0.78700000000000003</v>
      </c>
      <c r="D31669" s="26">
        <v>0.15670000000000001</v>
      </c>
      <c r="E31669" s="26">
        <v>4.9500000000000002E-2</v>
      </c>
      <c r="F31669" s="26">
        <v>4.5999999999999999E-3</v>
      </c>
      <c r="G31669" s="26">
        <v>1.9E-3</v>
      </c>
      <c r="H31669" s="26">
        <v>2.0000000000000001E-4</v>
      </c>
      <c r="I31669">
        <v>2749</v>
      </c>
    </row>
    <row r="31671" spans="1:9" x14ac:dyDescent="0.35">
      <c r="A31671" s="1" t="s">
        <v>2789</v>
      </c>
    </row>
    <row r="31672" spans="1:9" x14ac:dyDescent="0.35">
      <c r="A31672" t="s">
        <v>219</v>
      </c>
      <c r="B31672" t="s">
        <v>305</v>
      </c>
      <c r="C31672" t="s">
        <v>302</v>
      </c>
      <c r="D31672" t="s">
        <v>281</v>
      </c>
      <c r="E31672" t="s">
        <v>303</v>
      </c>
      <c r="F31672" t="s">
        <v>286</v>
      </c>
      <c r="G31672" t="s">
        <v>226</v>
      </c>
    </row>
    <row r="31673" spans="1:9" x14ac:dyDescent="0.35">
      <c r="A31673" t="s">
        <v>227</v>
      </c>
      <c r="B31673" t="s">
        <v>2730</v>
      </c>
      <c r="C31673" s="26">
        <v>0.91490000000000005</v>
      </c>
      <c r="D31673" s="26">
        <v>6.3799999999999996E-2</v>
      </c>
      <c r="E31673" s="26">
        <v>2.1299999999999999E-2</v>
      </c>
      <c r="G31673">
        <v>47</v>
      </c>
    </row>
    <row r="31674" spans="1:9" x14ac:dyDescent="0.35">
      <c r="A31674" s="27" t="s">
        <v>227</v>
      </c>
      <c r="B31674" s="27" t="s">
        <v>2731</v>
      </c>
      <c r="C31674" s="28">
        <v>0.95240000000000002</v>
      </c>
      <c r="D31674" s="28">
        <v>4.7600000000000003E-2</v>
      </c>
      <c r="E31674" s="29"/>
      <c r="F31674" s="29"/>
      <c r="G31674" s="29" t="s">
        <v>351</v>
      </c>
    </row>
    <row r="31675" spans="1:9" x14ac:dyDescent="0.35">
      <c r="A31675" t="s">
        <v>227</v>
      </c>
      <c r="B31675" t="s">
        <v>2732</v>
      </c>
      <c r="C31675" s="26">
        <v>0.92469999999999997</v>
      </c>
      <c r="D31675" s="26">
        <v>1.0800000000000001E-2</v>
      </c>
      <c r="E31675" s="26">
        <v>6.4500000000000002E-2</v>
      </c>
      <c r="G31675">
        <v>93</v>
      </c>
    </row>
    <row r="31676" spans="1:9" x14ac:dyDescent="0.35">
      <c r="A31676" t="s">
        <v>228</v>
      </c>
      <c r="B31676" t="s">
        <v>2730</v>
      </c>
      <c r="C31676" s="26">
        <v>0.82750000000000001</v>
      </c>
      <c r="D31676" s="26">
        <v>0.128</v>
      </c>
      <c r="E31676" s="26">
        <v>4.4600000000000001E-2</v>
      </c>
      <c r="G31676">
        <v>359</v>
      </c>
    </row>
    <row r="31677" spans="1:9" x14ac:dyDescent="0.35">
      <c r="A31677" t="s">
        <v>228</v>
      </c>
      <c r="B31677" t="s">
        <v>2731</v>
      </c>
      <c r="C31677" s="26">
        <v>0.79449999999999998</v>
      </c>
      <c r="D31677" s="26">
        <v>0.17949999999999999</v>
      </c>
      <c r="E31677" s="26">
        <v>2.5999999999999999E-2</v>
      </c>
      <c r="G31677">
        <v>96</v>
      </c>
    </row>
    <row r="31678" spans="1:9" x14ac:dyDescent="0.35">
      <c r="A31678" t="s">
        <v>228</v>
      </c>
      <c r="B31678" t="s">
        <v>2732</v>
      </c>
      <c r="C31678" s="26">
        <v>0.83889999999999998</v>
      </c>
      <c r="D31678" s="26">
        <v>9.0800000000000006E-2</v>
      </c>
      <c r="E31678" s="26">
        <v>7.0300000000000001E-2</v>
      </c>
      <c r="G31678">
        <v>576</v>
      </c>
    </row>
    <row r="31679" spans="1:9" x14ac:dyDescent="0.35">
      <c r="A31679" t="s">
        <v>229</v>
      </c>
      <c r="B31679" t="s">
        <v>2730</v>
      </c>
      <c r="C31679" s="26">
        <v>0.87390000000000001</v>
      </c>
      <c r="D31679" s="26">
        <v>9.8000000000000004E-2</v>
      </c>
      <c r="E31679" s="26">
        <v>2.8199999999999999E-2</v>
      </c>
      <c r="G31679">
        <v>301</v>
      </c>
    </row>
    <row r="31680" spans="1:9" x14ac:dyDescent="0.35">
      <c r="A31680" t="s">
        <v>229</v>
      </c>
      <c r="B31680" t="s">
        <v>2731</v>
      </c>
      <c r="C31680" s="26">
        <v>0.85370000000000001</v>
      </c>
      <c r="D31680" s="26">
        <v>4.2700000000000002E-2</v>
      </c>
      <c r="E31680" s="26">
        <v>0.1036</v>
      </c>
      <c r="G31680">
        <v>86</v>
      </c>
    </row>
    <row r="31681" spans="1:9" x14ac:dyDescent="0.35">
      <c r="A31681" t="s">
        <v>229</v>
      </c>
      <c r="B31681" t="s">
        <v>2732</v>
      </c>
      <c r="C31681" s="26">
        <v>0.90869999999999995</v>
      </c>
      <c r="D31681" s="26">
        <v>5.8200000000000002E-2</v>
      </c>
      <c r="E31681" s="26">
        <v>3.2899999999999999E-2</v>
      </c>
      <c r="F31681" s="26">
        <v>1E-4</v>
      </c>
      <c r="G31681">
        <v>506</v>
      </c>
    </row>
    <row r="31682" spans="1:9" x14ac:dyDescent="0.35">
      <c r="A31682" t="s">
        <v>230</v>
      </c>
      <c r="B31682" t="s">
        <v>2730</v>
      </c>
      <c r="C31682" s="26">
        <v>0.83809999999999996</v>
      </c>
      <c r="D31682" s="26">
        <v>0.1186</v>
      </c>
      <c r="E31682" s="26">
        <v>4.3299999999999998E-2</v>
      </c>
      <c r="G31682">
        <v>197</v>
      </c>
    </row>
    <row r="31683" spans="1:9" x14ac:dyDescent="0.35">
      <c r="A31683" t="s">
        <v>230</v>
      </c>
      <c r="B31683" t="s">
        <v>2731</v>
      </c>
      <c r="C31683" s="26">
        <v>0.96640000000000004</v>
      </c>
      <c r="D31683" s="26">
        <v>1.4999999999999999E-2</v>
      </c>
      <c r="E31683" s="26">
        <v>1.8599999999999998E-2</v>
      </c>
      <c r="G31683">
        <v>50</v>
      </c>
    </row>
    <row r="31684" spans="1:9" x14ac:dyDescent="0.35">
      <c r="A31684" t="s">
        <v>230</v>
      </c>
      <c r="B31684" t="s">
        <v>2732</v>
      </c>
      <c r="C31684" s="26">
        <v>0.92920000000000003</v>
      </c>
      <c r="D31684" s="26">
        <v>4.7800000000000002E-2</v>
      </c>
      <c r="E31684" s="26">
        <v>2.3E-2</v>
      </c>
      <c r="G31684">
        <v>313</v>
      </c>
    </row>
    <row r="31685" spans="1:9" x14ac:dyDescent="0.35">
      <c r="A31685" t="s">
        <v>231</v>
      </c>
      <c r="B31685" t="s">
        <v>2730</v>
      </c>
      <c r="C31685" s="26">
        <v>0.83640000000000003</v>
      </c>
      <c r="D31685" s="26">
        <v>0.1091</v>
      </c>
      <c r="E31685" s="26">
        <v>5.45E-2</v>
      </c>
      <c r="G31685">
        <v>55</v>
      </c>
    </row>
    <row r="31686" spans="1:9" x14ac:dyDescent="0.35">
      <c r="A31686" s="27" t="s">
        <v>231</v>
      </c>
      <c r="B31686" s="27" t="s">
        <v>2731</v>
      </c>
      <c r="C31686" s="28">
        <v>0.88239999999999996</v>
      </c>
      <c r="D31686" s="28">
        <v>0.1176</v>
      </c>
      <c r="E31686" s="29"/>
      <c r="F31686" s="29"/>
      <c r="G31686" s="29" t="s">
        <v>343</v>
      </c>
    </row>
    <row r="31687" spans="1:9" x14ac:dyDescent="0.35">
      <c r="A31687" t="s">
        <v>231</v>
      </c>
      <c r="B31687" t="s">
        <v>2732</v>
      </c>
      <c r="C31687" s="26">
        <v>0.91300000000000003</v>
      </c>
      <c r="D31687" s="26">
        <v>3.2599999999999997E-2</v>
      </c>
      <c r="E31687" s="26">
        <v>5.4300000000000001E-2</v>
      </c>
      <c r="G31687">
        <v>92</v>
      </c>
    </row>
    <row r="31688" spans="1:9" x14ac:dyDescent="0.35">
      <c r="A31688" t="s">
        <v>232</v>
      </c>
      <c r="B31688" t="s">
        <v>232</v>
      </c>
      <c r="C31688" s="26">
        <v>0.8851</v>
      </c>
      <c r="D31688" s="26">
        <v>7.0199999999999999E-2</v>
      </c>
      <c r="E31688" s="26">
        <v>4.4699999999999997E-2</v>
      </c>
      <c r="F31688" s="26">
        <v>0</v>
      </c>
      <c r="G31688">
        <v>2809</v>
      </c>
    </row>
    <row r="31690" spans="1:9" x14ac:dyDescent="0.35">
      <c r="A31690" s="1" t="s">
        <v>2790</v>
      </c>
    </row>
    <row r="31691" spans="1:9" x14ac:dyDescent="0.35">
      <c r="A31691" t="s">
        <v>219</v>
      </c>
      <c r="B31691" t="s">
        <v>305</v>
      </c>
      <c r="C31691" t="s">
        <v>302</v>
      </c>
      <c r="D31691" t="s">
        <v>1752</v>
      </c>
      <c r="E31691" t="s">
        <v>1753</v>
      </c>
      <c r="F31691" t="s">
        <v>281</v>
      </c>
      <c r="G31691" t="s">
        <v>1754</v>
      </c>
      <c r="H31691" t="s">
        <v>286</v>
      </c>
      <c r="I31691" t="s">
        <v>226</v>
      </c>
    </row>
    <row r="31692" spans="1:9" x14ac:dyDescent="0.35">
      <c r="A31692" s="27" t="s">
        <v>227</v>
      </c>
      <c r="B31692" s="27" t="s">
        <v>2730</v>
      </c>
      <c r="C31692" s="28">
        <v>1</v>
      </c>
      <c r="D31692" s="29"/>
      <c r="E31692" s="29"/>
      <c r="F31692" s="29"/>
      <c r="G31692" s="29"/>
      <c r="H31692" s="29"/>
      <c r="I31692" s="29" t="s">
        <v>331</v>
      </c>
    </row>
    <row r="31693" spans="1:9" x14ac:dyDescent="0.35">
      <c r="A31693" s="27" t="s">
        <v>227</v>
      </c>
      <c r="B31693" s="27" t="s">
        <v>2732</v>
      </c>
      <c r="C31693" s="28">
        <v>0.33329999999999999</v>
      </c>
      <c r="D31693" s="28">
        <v>0.5</v>
      </c>
      <c r="E31693" s="28">
        <v>0.16669999999999999</v>
      </c>
      <c r="F31693" s="29"/>
      <c r="G31693" s="29"/>
      <c r="H31693" s="29"/>
      <c r="I31693" s="29" t="s">
        <v>335</v>
      </c>
    </row>
    <row r="31694" spans="1:9" x14ac:dyDescent="0.35">
      <c r="A31694" s="27" t="s">
        <v>228</v>
      </c>
      <c r="B31694" s="27" t="s">
        <v>2730</v>
      </c>
      <c r="C31694" s="28">
        <v>0.27350000000000002</v>
      </c>
      <c r="D31694" s="28">
        <v>0.40679999999999999</v>
      </c>
      <c r="E31694" s="28">
        <v>0.22439999999999999</v>
      </c>
      <c r="F31694" s="28">
        <v>1.6400000000000001E-2</v>
      </c>
      <c r="G31694" s="28">
        <v>7.9000000000000001E-2</v>
      </c>
      <c r="H31694" s="29"/>
      <c r="I31694" s="29" t="s">
        <v>350</v>
      </c>
    </row>
    <row r="31695" spans="1:9" x14ac:dyDescent="0.35">
      <c r="A31695" s="27" t="s">
        <v>228</v>
      </c>
      <c r="B31695" s="27" t="s">
        <v>2731</v>
      </c>
      <c r="C31695" s="28">
        <v>0.76280000000000003</v>
      </c>
      <c r="D31695" s="28">
        <v>0.1186</v>
      </c>
      <c r="E31695" s="28">
        <v>0.1186</v>
      </c>
      <c r="F31695" s="29"/>
      <c r="G31695" s="29"/>
      <c r="H31695" s="29"/>
      <c r="I31695" s="29" t="s">
        <v>335</v>
      </c>
    </row>
    <row r="31696" spans="1:9" x14ac:dyDescent="0.35">
      <c r="A31696" t="s">
        <v>228</v>
      </c>
      <c r="B31696" t="s">
        <v>2732</v>
      </c>
      <c r="C31696" s="26">
        <v>0.56730000000000003</v>
      </c>
      <c r="D31696" s="26">
        <v>0.27239999999999998</v>
      </c>
      <c r="E31696" s="26">
        <v>0.104</v>
      </c>
      <c r="F31696" s="26">
        <v>5.8999999999999999E-3</v>
      </c>
      <c r="G31696" s="26">
        <v>5.04E-2</v>
      </c>
      <c r="I31696">
        <v>42</v>
      </c>
    </row>
    <row r="31697" spans="1:18" x14ac:dyDescent="0.35">
      <c r="A31697" s="27" t="s">
        <v>229</v>
      </c>
      <c r="B31697" s="27" t="s">
        <v>2730</v>
      </c>
      <c r="C31697" s="28">
        <v>0.3342</v>
      </c>
      <c r="D31697" s="28">
        <v>0.64410000000000001</v>
      </c>
      <c r="E31697" s="29"/>
      <c r="F31697" s="29"/>
      <c r="G31697" s="28">
        <v>2.1700000000000001E-2</v>
      </c>
      <c r="H31697" s="29"/>
      <c r="I31697" s="29" t="s">
        <v>332</v>
      </c>
    </row>
    <row r="31698" spans="1:18" x14ac:dyDescent="0.35">
      <c r="A31698" s="27" t="s">
        <v>229</v>
      </c>
      <c r="B31698" s="27" t="s">
        <v>2731</v>
      </c>
      <c r="C31698" s="28">
        <v>0.35260000000000002</v>
      </c>
      <c r="D31698" s="29"/>
      <c r="E31698" s="28">
        <v>0.64739999999999998</v>
      </c>
      <c r="F31698" s="29"/>
      <c r="G31698" s="29"/>
      <c r="H31698" s="29"/>
      <c r="I31698" s="29" t="s">
        <v>315</v>
      </c>
    </row>
    <row r="31699" spans="1:18" x14ac:dyDescent="0.35">
      <c r="A31699" s="27" t="s">
        <v>229</v>
      </c>
      <c r="B31699" s="27" t="s">
        <v>2732</v>
      </c>
      <c r="C31699" s="28">
        <v>0.38040000000000002</v>
      </c>
      <c r="D31699" s="28">
        <v>0.47239999999999999</v>
      </c>
      <c r="E31699" s="29"/>
      <c r="F31699" s="28">
        <v>0.14269999999999999</v>
      </c>
      <c r="G31699" s="29"/>
      <c r="H31699" s="28">
        <v>4.4999999999999997E-3</v>
      </c>
      <c r="I31699" s="29" t="s">
        <v>349</v>
      </c>
    </row>
    <row r="31700" spans="1:18" x14ac:dyDescent="0.35">
      <c r="A31700" s="27" t="s">
        <v>230</v>
      </c>
      <c r="B31700" s="27" t="s">
        <v>2730</v>
      </c>
      <c r="C31700" s="28">
        <v>8.4400000000000003E-2</v>
      </c>
      <c r="D31700" s="28">
        <v>0.45779999999999998</v>
      </c>
      <c r="E31700" s="28">
        <v>0.39169999999999999</v>
      </c>
      <c r="F31700" s="28">
        <v>6.6100000000000006E-2</v>
      </c>
      <c r="G31700" s="29"/>
      <c r="H31700" s="29"/>
      <c r="I31700" s="29" t="s">
        <v>335</v>
      </c>
    </row>
    <row r="31701" spans="1:18" x14ac:dyDescent="0.35">
      <c r="A31701" s="27" t="s">
        <v>230</v>
      </c>
      <c r="B31701" s="27" t="s">
        <v>2731</v>
      </c>
      <c r="C31701" s="28">
        <v>0.8095</v>
      </c>
      <c r="D31701" s="29"/>
      <c r="E31701" s="29"/>
      <c r="F31701" s="29"/>
      <c r="G31701" s="28">
        <v>0.1905</v>
      </c>
      <c r="H31701" s="29"/>
      <c r="I31701" s="29" t="s">
        <v>315</v>
      </c>
    </row>
    <row r="31702" spans="1:18" x14ac:dyDescent="0.35">
      <c r="A31702" s="27" t="s">
        <v>230</v>
      </c>
      <c r="B31702" s="27" t="s">
        <v>2732</v>
      </c>
      <c r="C31702" s="28">
        <v>0.1421</v>
      </c>
      <c r="D31702" s="28">
        <v>0.40610000000000002</v>
      </c>
      <c r="E31702" s="28">
        <v>0.38650000000000001</v>
      </c>
      <c r="F31702" s="28">
        <v>6.5199999999999994E-2</v>
      </c>
      <c r="G31702" s="29"/>
      <c r="H31702" s="29"/>
      <c r="I31702" s="29" t="s">
        <v>334</v>
      </c>
    </row>
    <row r="31703" spans="1:18" x14ac:dyDescent="0.35">
      <c r="A31703" s="27" t="s">
        <v>231</v>
      </c>
      <c r="B31703" s="27" t="s">
        <v>2730</v>
      </c>
      <c r="C31703" s="28">
        <v>0.66669999999999996</v>
      </c>
      <c r="D31703" s="29"/>
      <c r="E31703" s="28">
        <v>0.33329999999999999</v>
      </c>
      <c r="F31703" s="29"/>
      <c r="G31703" s="29"/>
      <c r="H31703" s="29"/>
      <c r="I31703" s="29" t="s">
        <v>315</v>
      </c>
    </row>
    <row r="31704" spans="1:18" x14ac:dyDescent="0.35">
      <c r="A31704" s="27" t="s">
        <v>231</v>
      </c>
      <c r="B31704" s="27" t="s">
        <v>2732</v>
      </c>
      <c r="C31704" s="28">
        <v>0.8</v>
      </c>
      <c r="D31704" s="28">
        <v>0.2</v>
      </c>
      <c r="E31704" s="29"/>
      <c r="F31704" s="29"/>
      <c r="G31704" s="29"/>
      <c r="H31704" s="29"/>
      <c r="I31704" s="29" t="s">
        <v>332</v>
      </c>
    </row>
    <row r="31705" spans="1:18" x14ac:dyDescent="0.35">
      <c r="A31705" t="s">
        <v>232</v>
      </c>
      <c r="B31705" t="s">
        <v>232</v>
      </c>
      <c r="C31705" s="26">
        <v>0.51</v>
      </c>
      <c r="D31705" s="26">
        <v>0.29759999999999998</v>
      </c>
      <c r="E31705" s="26">
        <v>0.15090000000000001</v>
      </c>
      <c r="F31705" s="26">
        <v>2.5100000000000001E-2</v>
      </c>
      <c r="G31705" s="26">
        <v>1.5800000000000002E-2</v>
      </c>
      <c r="H31705" s="26">
        <v>5.9999999999999995E-4</v>
      </c>
      <c r="I31705">
        <v>128</v>
      </c>
    </row>
    <row r="31707" spans="1:18" x14ac:dyDescent="0.35">
      <c r="A31707" s="1" t="s">
        <v>2791</v>
      </c>
    </row>
    <row r="31708" spans="1:18" x14ac:dyDescent="0.35">
      <c r="A31708" t="s">
        <v>219</v>
      </c>
      <c r="B31708" t="s">
        <v>305</v>
      </c>
      <c r="C31708" t="s">
        <v>1767</v>
      </c>
      <c r="D31708" t="s">
        <v>1768</v>
      </c>
      <c r="E31708" t="s">
        <v>1769</v>
      </c>
      <c r="F31708" t="s">
        <v>1770</v>
      </c>
      <c r="G31708" t="s">
        <v>1771</v>
      </c>
      <c r="H31708" t="s">
        <v>1772</v>
      </c>
      <c r="I31708" t="s">
        <v>1773</v>
      </c>
      <c r="J31708" t="s">
        <v>1774</v>
      </c>
      <c r="K31708" t="s">
        <v>1775</v>
      </c>
      <c r="L31708" t="s">
        <v>326</v>
      </c>
      <c r="M31708" t="s">
        <v>1776</v>
      </c>
      <c r="N31708" t="s">
        <v>1777</v>
      </c>
      <c r="O31708" t="s">
        <v>281</v>
      </c>
      <c r="P31708" t="s">
        <v>1778</v>
      </c>
      <c r="Q31708" t="s">
        <v>286</v>
      </c>
      <c r="R31708" t="s">
        <v>226</v>
      </c>
    </row>
    <row r="31709" spans="1:18" x14ac:dyDescent="0.35">
      <c r="A31709" t="s">
        <v>227</v>
      </c>
      <c r="B31709" t="s">
        <v>2730</v>
      </c>
      <c r="C31709" s="26">
        <v>0.61699999999999999</v>
      </c>
      <c r="D31709" s="26">
        <v>0.21279999999999999</v>
      </c>
      <c r="E31709" s="26">
        <v>0.12770000000000001</v>
      </c>
      <c r="F31709" s="26">
        <v>8.5099999999999995E-2</v>
      </c>
      <c r="G31709" s="26">
        <v>2.1299999999999999E-2</v>
      </c>
      <c r="H31709" s="26">
        <v>4.2599999999999999E-2</v>
      </c>
      <c r="I31709" s="26">
        <v>2.1299999999999999E-2</v>
      </c>
      <c r="J31709" s="26">
        <v>4.2599999999999999E-2</v>
      </c>
      <c r="L31709" s="26">
        <v>2.1299999999999999E-2</v>
      </c>
      <c r="R31709">
        <v>47</v>
      </c>
    </row>
    <row r="31710" spans="1:18" x14ac:dyDescent="0.35">
      <c r="A31710" s="27" t="s">
        <v>227</v>
      </c>
      <c r="B31710" s="27" t="s">
        <v>2731</v>
      </c>
      <c r="C31710" s="28">
        <v>0.8095</v>
      </c>
      <c r="D31710" s="28">
        <v>0.1429</v>
      </c>
      <c r="E31710" s="28">
        <v>4.7600000000000003E-2</v>
      </c>
      <c r="F31710" s="29"/>
      <c r="G31710" s="29"/>
      <c r="H31710" s="29"/>
      <c r="I31710" s="29"/>
      <c r="J31710" s="29"/>
      <c r="K31710" s="29"/>
      <c r="L31710" s="28">
        <v>4.7600000000000003E-2</v>
      </c>
      <c r="M31710" s="29"/>
      <c r="N31710" s="29"/>
      <c r="O31710" s="29"/>
      <c r="P31710" s="29"/>
      <c r="Q31710" s="29"/>
      <c r="R31710" s="29" t="s">
        <v>351</v>
      </c>
    </row>
    <row r="31711" spans="1:18" x14ac:dyDescent="0.35">
      <c r="A31711" t="s">
        <v>227</v>
      </c>
      <c r="B31711" t="s">
        <v>2732</v>
      </c>
      <c r="C31711" s="26">
        <v>0.69569999999999999</v>
      </c>
      <c r="D31711" s="26">
        <v>0.18479999999999999</v>
      </c>
      <c r="E31711" s="26">
        <v>1.09E-2</v>
      </c>
      <c r="F31711" s="26">
        <v>5.4300000000000001E-2</v>
      </c>
      <c r="G31711" s="26">
        <v>9.7799999999999998E-2</v>
      </c>
      <c r="H31711" s="26">
        <v>7.6100000000000001E-2</v>
      </c>
      <c r="I31711" s="26">
        <v>3.2599999999999997E-2</v>
      </c>
      <c r="J31711" s="26">
        <v>4.3499999999999997E-2</v>
      </c>
      <c r="K31711" s="26">
        <v>3.2599999999999997E-2</v>
      </c>
      <c r="R31711">
        <v>92</v>
      </c>
    </row>
    <row r="31712" spans="1:18" x14ac:dyDescent="0.35">
      <c r="A31712" t="s">
        <v>228</v>
      </c>
      <c r="B31712" t="s">
        <v>2730</v>
      </c>
      <c r="C31712" s="26">
        <v>0.7349</v>
      </c>
      <c r="D31712" s="26">
        <v>0.13600000000000001</v>
      </c>
      <c r="E31712" s="26">
        <v>4.3400000000000001E-2</v>
      </c>
      <c r="F31712" s="26">
        <v>6.9800000000000001E-2</v>
      </c>
      <c r="G31712" s="26">
        <v>3.95E-2</v>
      </c>
      <c r="H31712" s="26">
        <v>2.81E-2</v>
      </c>
      <c r="I31712" s="26">
        <v>4.7999999999999996E-3</v>
      </c>
      <c r="J31712" s="26">
        <v>1.2699999999999999E-2</v>
      </c>
      <c r="K31712" s="26">
        <v>2.75E-2</v>
      </c>
      <c r="L31712" s="26">
        <v>1.44E-2</v>
      </c>
      <c r="M31712" s="26">
        <v>4.3400000000000001E-2</v>
      </c>
      <c r="N31712" s="26">
        <v>1.67E-2</v>
      </c>
      <c r="O31712" s="26">
        <v>3.7000000000000002E-3</v>
      </c>
      <c r="P31712" s="26">
        <v>2.5000000000000001E-3</v>
      </c>
      <c r="Q31712" s="26">
        <v>1.2999999999999999E-3</v>
      </c>
      <c r="R31712">
        <v>353</v>
      </c>
    </row>
    <row r="31713" spans="1:18" x14ac:dyDescent="0.35">
      <c r="A31713" t="s">
        <v>228</v>
      </c>
      <c r="B31713" t="s">
        <v>2731</v>
      </c>
      <c r="C31713" s="26">
        <v>0.80020000000000002</v>
      </c>
      <c r="D31713" s="26">
        <v>7.51E-2</v>
      </c>
      <c r="E31713" s="26">
        <v>4.5600000000000002E-2</v>
      </c>
      <c r="F31713" s="26">
        <v>1.67E-2</v>
      </c>
      <c r="G31713" s="26">
        <v>1.84E-2</v>
      </c>
      <c r="H31713" s="26">
        <v>5.6899999999999999E-2</v>
      </c>
      <c r="I31713" s="26">
        <v>3.2000000000000002E-3</v>
      </c>
      <c r="J31713" s="26">
        <v>1.5299999999999999E-2</v>
      </c>
      <c r="L31713" s="26">
        <v>1.5299999999999999E-2</v>
      </c>
      <c r="M31713" s="26">
        <v>1.01E-2</v>
      </c>
      <c r="N31713" s="26">
        <v>2.07E-2</v>
      </c>
      <c r="R31713">
        <v>93</v>
      </c>
    </row>
    <row r="31714" spans="1:18" x14ac:dyDescent="0.35">
      <c r="A31714" t="s">
        <v>228</v>
      </c>
      <c r="B31714" t="s">
        <v>2732</v>
      </c>
      <c r="C31714" s="26">
        <v>0.77949999999999997</v>
      </c>
      <c r="D31714" s="26">
        <v>0.1193</v>
      </c>
      <c r="E31714" s="26">
        <v>4.2700000000000002E-2</v>
      </c>
      <c r="F31714" s="26">
        <v>4.0099999999999997E-2</v>
      </c>
      <c r="G31714" s="26">
        <v>4.1000000000000002E-2</v>
      </c>
      <c r="H31714" s="26">
        <v>1.0999999999999999E-2</v>
      </c>
      <c r="I31714" s="26">
        <v>2.1100000000000001E-2</v>
      </c>
      <c r="J31714" s="26">
        <v>1.34E-2</v>
      </c>
      <c r="K31714" s="26">
        <v>1.5699999999999999E-2</v>
      </c>
      <c r="L31714" s="26">
        <v>1.8E-3</v>
      </c>
      <c r="M31714" s="26">
        <v>1.5699999999999999E-2</v>
      </c>
      <c r="N31714" s="26">
        <v>1.32E-2</v>
      </c>
      <c r="O31714" s="26">
        <v>4.0000000000000002E-4</v>
      </c>
      <c r="P31714" s="26">
        <v>7.1999999999999998E-3</v>
      </c>
      <c r="Q31714" s="26">
        <v>8.9999999999999998E-4</v>
      </c>
      <c r="R31714">
        <v>567</v>
      </c>
    </row>
    <row r="31715" spans="1:18" x14ac:dyDescent="0.35">
      <c r="A31715" t="s">
        <v>229</v>
      </c>
      <c r="B31715" t="s">
        <v>2730</v>
      </c>
      <c r="C31715" s="26">
        <v>0.66539999999999999</v>
      </c>
      <c r="D31715" s="26">
        <v>0.16539999999999999</v>
      </c>
      <c r="E31715" s="26">
        <v>6.3799999999999996E-2</v>
      </c>
      <c r="F31715" s="26">
        <v>3.9800000000000002E-2</v>
      </c>
      <c r="G31715" s="26">
        <v>6.1199999999999997E-2</v>
      </c>
      <c r="H31715" s="26">
        <v>2.2200000000000001E-2</v>
      </c>
      <c r="I31715" s="26">
        <v>1.34E-2</v>
      </c>
      <c r="J31715" s="26">
        <v>1.21E-2</v>
      </c>
      <c r="K31715" s="26">
        <v>1.09E-2</v>
      </c>
      <c r="L31715" s="26">
        <v>2.3400000000000001E-2</v>
      </c>
      <c r="M31715" s="26">
        <v>2.1299999999999999E-2</v>
      </c>
      <c r="N31715" s="26">
        <v>2.01E-2</v>
      </c>
      <c r="O31715" s="26">
        <v>1.0999999999999999E-2</v>
      </c>
      <c r="P31715" s="26">
        <v>5.9999999999999995E-4</v>
      </c>
      <c r="R31715">
        <v>293</v>
      </c>
    </row>
    <row r="31716" spans="1:18" x14ac:dyDescent="0.35">
      <c r="A31716" t="s">
        <v>229</v>
      </c>
      <c r="B31716" t="s">
        <v>2731</v>
      </c>
      <c r="C31716" s="26">
        <v>0.83589999999999998</v>
      </c>
      <c r="D31716" s="26">
        <v>1.1999999999999999E-3</v>
      </c>
      <c r="E31716" s="26">
        <v>4.8500000000000001E-2</v>
      </c>
      <c r="F31716" s="26">
        <v>7.0599999999999996E-2</v>
      </c>
      <c r="H31716" s="26">
        <v>3.2899999999999999E-2</v>
      </c>
      <c r="L31716" s="26">
        <v>4.3E-3</v>
      </c>
      <c r="M31716" s="26">
        <v>7.2400000000000006E-2</v>
      </c>
      <c r="R31716">
        <v>82</v>
      </c>
    </row>
    <row r="31717" spans="1:18" x14ac:dyDescent="0.35">
      <c r="A31717" t="s">
        <v>229</v>
      </c>
      <c r="B31717" t="s">
        <v>2732</v>
      </c>
      <c r="C31717" s="26">
        <v>0.72829999999999995</v>
      </c>
      <c r="D31717" s="26">
        <v>0.1128</v>
      </c>
      <c r="E31717" s="26">
        <v>3.8600000000000002E-2</v>
      </c>
      <c r="F31717" s="26">
        <v>5.7700000000000001E-2</v>
      </c>
      <c r="G31717" s="26">
        <v>5.7599999999999998E-2</v>
      </c>
      <c r="H31717" s="26">
        <v>4.1799999999999997E-2</v>
      </c>
      <c r="I31717" s="26">
        <v>2.3800000000000002E-2</v>
      </c>
      <c r="J31717" s="26">
        <v>1.54E-2</v>
      </c>
      <c r="K31717" s="26">
        <v>1.9900000000000001E-2</v>
      </c>
      <c r="L31717" s="26">
        <v>2.9700000000000001E-2</v>
      </c>
      <c r="M31717" s="26">
        <v>1.6799999999999999E-2</v>
      </c>
      <c r="N31717" s="26">
        <v>7.0000000000000001E-3</v>
      </c>
      <c r="O31717" s="26">
        <v>4.5999999999999999E-3</v>
      </c>
      <c r="P31717" s="26">
        <v>2.0000000000000001E-4</v>
      </c>
      <c r="R31717">
        <v>492</v>
      </c>
    </row>
    <row r="31718" spans="1:18" x14ac:dyDescent="0.35">
      <c r="A31718" t="s">
        <v>230</v>
      </c>
      <c r="B31718" t="s">
        <v>2730</v>
      </c>
      <c r="C31718" s="26">
        <v>0.5847</v>
      </c>
      <c r="D31718" s="26">
        <v>0.24809999999999999</v>
      </c>
      <c r="E31718" s="26">
        <v>0.1148</v>
      </c>
      <c r="F31718" s="26">
        <v>0.11609999999999999</v>
      </c>
      <c r="G31718" s="26">
        <v>2.24E-2</v>
      </c>
      <c r="H31718" s="26">
        <v>6.8900000000000003E-2</v>
      </c>
      <c r="I31718" s="26">
        <v>7.0699999999999999E-2</v>
      </c>
      <c r="L31718" s="26">
        <v>8.9999999999999998E-4</v>
      </c>
      <c r="M31718" s="26">
        <v>3.6799999999999999E-2</v>
      </c>
      <c r="N31718" s="26">
        <v>3.49E-2</v>
      </c>
      <c r="O31718" s="26">
        <v>4.4999999999999997E-3</v>
      </c>
      <c r="P31718" s="26">
        <v>3.6900000000000002E-2</v>
      </c>
      <c r="Q31718" s="26">
        <v>8.9999999999999998E-4</v>
      </c>
      <c r="R31718">
        <v>194</v>
      </c>
    </row>
    <row r="31719" spans="1:18" x14ac:dyDescent="0.35">
      <c r="A31719" t="s">
        <v>230</v>
      </c>
      <c r="B31719" t="s">
        <v>2731</v>
      </c>
      <c r="C31719" s="26">
        <v>0.8962</v>
      </c>
      <c r="D31719" s="26">
        <v>5.3999999999999999E-2</v>
      </c>
      <c r="E31719" s="26">
        <v>1.1900000000000001E-2</v>
      </c>
      <c r="F31719" s="26">
        <v>2.7099999999999999E-2</v>
      </c>
      <c r="G31719" s="26">
        <v>2.35E-2</v>
      </c>
      <c r="H31719" s="26">
        <v>1.1900000000000001E-2</v>
      </c>
      <c r="I31719" s="26">
        <v>1.55E-2</v>
      </c>
      <c r="L31719" s="26">
        <v>3.5999999999999999E-3</v>
      </c>
      <c r="M31719" s="26">
        <v>1.55E-2</v>
      </c>
      <c r="N31719" s="26">
        <v>1.55E-2</v>
      </c>
      <c r="R31719">
        <v>49</v>
      </c>
    </row>
    <row r="31720" spans="1:18" x14ac:dyDescent="0.35">
      <c r="A31720" t="s">
        <v>230</v>
      </c>
      <c r="B31720" t="s">
        <v>2732</v>
      </c>
      <c r="C31720" s="26">
        <v>0.74139999999999995</v>
      </c>
      <c r="D31720" s="26">
        <v>0.14460000000000001</v>
      </c>
      <c r="E31720" s="26">
        <v>5.8799999999999998E-2</v>
      </c>
      <c r="F31720" s="26">
        <v>0.1016</v>
      </c>
      <c r="G31720" s="26">
        <v>6.54E-2</v>
      </c>
      <c r="H31720" s="26">
        <v>4.3200000000000002E-2</v>
      </c>
      <c r="I31720" s="26">
        <v>2.41E-2</v>
      </c>
      <c r="J31720" s="26">
        <v>1.06E-2</v>
      </c>
      <c r="K31720" s="26">
        <v>9.4999999999999998E-3</v>
      </c>
      <c r="L31720" s="26">
        <v>1.2999999999999999E-2</v>
      </c>
      <c r="M31720" s="26">
        <v>1.21E-2</v>
      </c>
      <c r="N31720" s="26">
        <v>1.5E-3</v>
      </c>
      <c r="R31720">
        <v>304</v>
      </c>
    </row>
    <row r="31721" spans="1:18" x14ac:dyDescent="0.35">
      <c r="A31721" t="s">
        <v>231</v>
      </c>
      <c r="B31721" t="s">
        <v>2730</v>
      </c>
      <c r="C31721" s="26">
        <v>0.81479999999999997</v>
      </c>
      <c r="D31721" s="26">
        <v>7.4099999999999999E-2</v>
      </c>
      <c r="E31721" s="26">
        <v>3.6999999999999998E-2</v>
      </c>
      <c r="G31721" s="26">
        <v>3.6999999999999998E-2</v>
      </c>
      <c r="H31721" s="26">
        <v>3.6999999999999998E-2</v>
      </c>
      <c r="I31721" s="26">
        <v>1.8499999999999999E-2</v>
      </c>
      <c r="L31721" s="26">
        <v>1.8499999999999999E-2</v>
      </c>
      <c r="O31721" s="26">
        <v>1.8499999999999999E-2</v>
      </c>
      <c r="R31721">
        <v>54</v>
      </c>
    </row>
    <row r="31722" spans="1:18" x14ac:dyDescent="0.35">
      <c r="A31722" s="27" t="s">
        <v>231</v>
      </c>
      <c r="B31722" s="27" t="s">
        <v>2731</v>
      </c>
      <c r="C31722" s="28">
        <v>0.8125</v>
      </c>
      <c r="D31722" s="28">
        <v>6.25E-2</v>
      </c>
      <c r="E31722" s="28">
        <v>6.25E-2</v>
      </c>
      <c r="F31722" s="28">
        <v>0.125</v>
      </c>
      <c r="G31722" s="29"/>
      <c r="H31722" s="29"/>
      <c r="I31722" s="29"/>
      <c r="J31722" s="29"/>
      <c r="K31722" s="28">
        <v>6.25E-2</v>
      </c>
      <c r="L31722" s="29"/>
      <c r="M31722" s="29"/>
      <c r="N31722" s="29"/>
      <c r="O31722" s="29"/>
      <c r="P31722" s="29"/>
      <c r="Q31722" s="29"/>
      <c r="R31722" s="29" t="s">
        <v>348</v>
      </c>
    </row>
    <row r="31723" spans="1:18" x14ac:dyDescent="0.35">
      <c r="A31723" t="s">
        <v>231</v>
      </c>
      <c r="B31723" t="s">
        <v>2732</v>
      </c>
      <c r="C31723" s="26">
        <v>0.76090000000000002</v>
      </c>
      <c r="D31723" s="26">
        <v>6.5199999999999994E-2</v>
      </c>
      <c r="E31723" s="26">
        <v>9.7799999999999998E-2</v>
      </c>
      <c r="F31723" s="26">
        <v>6.5199999999999994E-2</v>
      </c>
      <c r="G31723" s="26">
        <v>4.3499999999999997E-2</v>
      </c>
      <c r="I31723" s="26">
        <v>2.1700000000000001E-2</v>
      </c>
      <c r="J31723" s="26">
        <v>2.1700000000000001E-2</v>
      </c>
      <c r="K31723" s="26">
        <v>1.09E-2</v>
      </c>
      <c r="N31723" s="26">
        <v>1.09E-2</v>
      </c>
      <c r="R31723">
        <v>92</v>
      </c>
    </row>
    <row r="31724" spans="1:18" x14ac:dyDescent="0.35">
      <c r="A31724" t="s">
        <v>232</v>
      </c>
      <c r="B31724" t="s">
        <v>232</v>
      </c>
      <c r="C31724" s="26">
        <v>0.73970000000000002</v>
      </c>
      <c r="D31724" s="26">
        <v>0.1208</v>
      </c>
      <c r="E31724" s="26">
        <v>5.6599999999999998E-2</v>
      </c>
      <c r="F31724" s="26">
        <v>5.6300000000000003E-2</v>
      </c>
      <c r="G31724" s="26">
        <v>4.7100000000000003E-2</v>
      </c>
      <c r="H31724" s="26">
        <v>3.0599999999999999E-2</v>
      </c>
      <c r="I31724" s="26">
        <v>2.07E-2</v>
      </c>
      <c r="J31724" s="26">
        <v>1.61E-2</v>
      </c>
      <c r="K31724" s="26">
        <v>1.4800000000000001E-2</v>
      </c>
      <c r="L31724" s="26">
        <v>1.3100000000000001E-2</v>
      </c>
      <c r="M31724" s="26">
        <v>1.2999999999999999E-2</v>
      </c>
      <c r="N31724" s="26">
        <v>8.6999999999999994E-3</v>
      </c>
      <c r="O31724" s="26">
        <v>3.8E-3</v>
      </c>
      <c r="P31724" s="26">
        <v>2.2000000000000001E-3</v>
      </c>
      <c r="Q31724" s="26">
        <v>2.0000000000000001E-4</v>
      </c>
      <c r="R31724">
        <v>2749</v>
      </c>
    </row>
    <row r="31726" spans="1:18" x14ac:dyDescent="0.35">
      <c r="A31726" s="1" t="s">
        <v>2792</v>
      </c>
    </row>
    <row r="31727" spans="1:18" x14ac:dyDescent="0.35">
      <c r="A31727" t="s">
        <v>219</v>
      </c>
      <c r="B31727" t="s">
        <v>305</v>
      </c>
      <c r="C31727" t="s">
        <v>302</v>
      </c>
      <c r="D31727" t="s">
        <v>303</v>
      </c>
      <c r="E31727" t="s">
        <v>286</v>
      </c>
      <c r="F31727" t="s">
        <v>226</v>
      </c>
    </row>
    <row r="31728" spans="1:18" x14ac:dyDescent="0.35">
      <c r="A31728" t="s">
        <v>227</v>
      </c>
      <c r="B31728" t="s">
        <v>2730</v>
      </c>
      <c r="C31728" s="26">
        <v>0.97870000000000001</v>
      </c>
      <c r="D31728" s="26">
        <v>2.1299999999999999E-2</v>
      </c>
      <c r="F31728">
        <v>47</v>
      </c>
    </row>
    <row r="31729" spans="1:6" x14ac:dyDescent="0.35">
      <c r="A31729" s="27" t="s">
        <v>227</v>
      </c>
      <c r="B31729" s="27" t="s">
        <v>2731</v>
      </c>
      <c r="C31729" s="28">
        <v>0.95240000000000002</v>
      </c>
      <c r="D31729" s="28">
        <v>4.7600000000000003E-2</v>
      </c>
      <c r="E31729" s="29"/>
      <c r="F31729" s="29" t="s">
        <v>351</v>
      </c>
    </row>
    <row r="31730" spans="1:6" x14ac:dyDescent="0.35">
      <c r="A31730" t="s">
        <v>227</v>
      </c>
      <c r="B31730" t="s">
        <v>2732</v>
      </c>
      <c r="C31730" s="26">
        <v>0.9677</v>
      </c>
      <c r="D31730" s="26">
        <v>3.2300000000000002E-2</v>
      </c>
      <c r="F31730">
        <v>93</v>
      </c>
    </row>
    <row r="31731" spans="1:6" x14ac:dyDescent="0.35">
      <c r="A31731" t="s">
        <v>228</v>
      </c>
      <c r="B31731" t="s">
        <v>2730</v>
      </c>
      <c r="C31731" s="26">
        <v>0.82689999999999997</v>
      </c>
      <c r="D31731" s="26">
        <v>0.1724</v>
      </c>
      <c r="E31731" s="26">
        <v>6.9999999999999999E-4</v>
      </c>
      <c r="F31731">
        <v>359</v>
      </c>
    </row>
    <row r="31732" spans="1:6" x14ac:dyDescent="0.35">
      <c r="A31732" t="s">
        <v>228</v>
      </c>
      <c r="B31732" t="s">
        <v>2731</v>
      </c>
      <c r="C31732" s="26">
        <v>0.76829999999999998</v>
      </c>
      <c r="D31732" s="26">
        <v>0.23169999999999999</v>
      </c>
      <c r="F31732">
        <v>96</v>
      </c>
    </row>
    <row r="31733" spans="1:6" x14ac:dyDescent="0.35">
      <c r="A31733" t="s">
        <v>228</v>
      </c>
      <c r="B31733" t="s">
        <v>2732</v>
      </c>
      <c r="C31733" s="26">
        <v>0.80310000000000004</v>
      </c>
      <c r="D31733" s="26">
        <v>0.19650000000000001</v>
      </c>
      <c r="E31733" s="26">
        <v>4.0000000000000002E-4</v>
      </c>
      <c r="F31733">
        <v>576</v>
      </c>
    </row>
    <row r="31734" spans="1:6" x14ac:dyDescent="0.35">
      <c r="A31734" t="s">
        <v>229</v>
      </c>
      <c r="B31734" t="s">
        <v>2730</v>
      </c>
      <c r="C31734" s="26">
        <v>0.87809999999999999</v>
      </c>
      <c r="D31734" s="26">
        <v>0.12189999999999999</v>
      </c>
      <c r="F31734">
        <v>301</v>
      </c>
    </row>
    <row r="31735" spans="1:6" x14ac:dyDescent="0.35">
      <c r="A31735" t="s">
        <v>229</v>
      </c>
      <c r="B31735" t="s">
        <v>2731</v>
      </c>
      <c r="C31735" s="26">
        <v>0.90239999999999998</v>
      </c>
      <c r="D31735" s="26">
        <v>9.7600000000000006E-2</v>
      </c>
      <c r="F31735">
        <v>86</v>
      </c>
    </row>
    <row r="31736" spans="1:6" x14ac:dyDescent="0.35">
      <c r="A31736" t="s">
        <v>229</v>
      </c>
      <c r="B31736" t="s">
        <v>2732</v>
      </c>
      <c r="C31736" s="26">
        <v>0.88759999999999994</v>
      </c>
      <c r="D31736" s="26">
        <v>0.1118</v>
      </c>
      <c r="E31736" s="26">
        <v>5.0000000000000001E-4</v>
      </c>
      <c r="F31736">
        <v>506</v>
      </c>
    </row>
    <row r="31737" spans="1:6" x14ac:dyDescent="0.35">
      <c r="A31737" t="s">
        <v>230</v>
      </c>
      <c r="B31737" t="s">
        <v>2730</v>
      </c>
      <c r="C31737" s="26">
        <v>0.82299999999999995</v>
      </c>
      <c r="D31737" s="26">
        <v>0.17610000000000001</v>
      </c>
      <c r="E31737" s="26">
        <v>8.9999999999999998E-4</v>
      </c>
      <c r="F31737">
        <v>197</v>
      </c>
    </row>
    <row r="31738" spans="1:6" x14ac:dyDescent="0.35">
      <c r="A31738" t="s">
        <v>230</v>
      </c>
      <c r="B31738" t="s">
        <v>2731</v>
      </c>
      <c r="C31738" s="26">
        <v>0.89859999999999995</v>
      </c>
      <c r="D31738" s="26">
        <v>0.1014</v>
      </c>
      <c r="F31738">
        <v>50</v>
      </c>
    </row>
    <row r="31739" spans="1:6" x14ac:dyDescent="0.35">
      <c r="A31739" t="s">
        <v>230</v>
      </c>
      <c r="B31739" t="s">
        <v>2732</v>
      </c>
      <c r="C31739" s="26">
        <v>0.85570000000000002</v>
      </c>
      <c r="D31739" s="26">
        <v>0.14430000000000001</v>
      </c>
      <c r="F31739">
        <v>313</v>
      </c>
    </row>
    <row r="31740" spans="1:6" x14ac:dyDescent="0.35">
      <c r="A31740" t="s">
        <v>231</v>
      </c>
      <c r="B31740" t="s">
        <v>2730</v>
      </c>
      <c r="C31740" s="26">
        <v>0.98180000000000001</v>
      </c>
      <c r="D31740" s="26">
        <v>1.8200000000000001E-2</v>
      </c>
      <c r="F31740">
        <v>55</v>
      </c>
    </row>
    <row r="31741" spans="1:6" x14ac:dyDescent="0.35">
      <c r="A31741" s="27" t="s">
        <v>231</v>
      </c>
      <c r="B31741" s="27" t="s">
        <v>2731</v>
      </c>
      <c r="C31741" s="28">
        <v>0.94120000000000004</v>
      </c>
      <c r="D31741" s="28">
        <v>5.8799999999999998E-2</v>
      </c>
      <c r="E31741" s="29"/>
      <c r="F31741" s="29" t="s">
        <v>343</v>
      </c>
    </row>
    <row r="31742" spans="1:6" x14ac:dyDescent="0.35">
      <c r="A31742" t="s">
        <v>231</v>
      </c>
      <c r="B31742" t="s">
        <v>2732</v>
      </c>
      <c r="C31742" s="26">
        <v>0.96740000000000004</v>
      </c>
      <c r="D31742" s="26">
        <v>3.2599999999999997E-2</v>
      </c>
      <c r="F31742">
        <v>92</v>
      </c>
    </row>
    <row r="31743" spans="1:6" x14ac:dyDescent="0.35">
      <c r="A31743" t="s">
        <v>232</v>
      </c>
      <c r="B31743" t="s">
        <v>232</v>
      </c>
      <c r="C31743" s="26">
        <v>0.90300000000000002</v>
      </c>
      <c r="D31743" s="26">
        <v>9.6799999999999997E-2</v>
      </c>
      <c r="E31743" s="26">
        <v>2.0000000000000001E-4</v>
      </c>
      <c r="F31743">
        <v>2809</v>
      </c>
    </row>
    <row r="31745" spans="1:6" x14ac:dyDescent="0.35">
      <c r="A31745" s="1" t="s">
        <v>2793</v>
      </c>
    </row>
    <row r="31746" spans="1:6" x14ac:dyDescent="0.35">
      <c r="A31746" t="s">
        <v>219</v>
      </c>
      <c r="B31746" t="s">
        <v>305</v>
      </c>
      <c r="C31746" t="s">
        <v>303</v>
      </c>
      <c r="D31746" t="s">
        <v>302</v>
      </c>
      <c r="E31746" t="s">
        <v>286</v>
      </c>
      <c r="F31746" t="s">
        <v>226</v>
      </c>
    </row>
    <row r="31747" spans="1:6" x14ac:dyDescent="0.35">
      <c r="A31747" s="27" t="s">
        <v>227</v>
      </c>
      <c r="B31747" s="27" t="s">
        <v>2730</v>
      </c>
      <c r="C31747" s="28">
        <v>1</v>
      </c>
      <c r="D31747" s="29"/>
      <c r="E31747" s="29"/>
      <c r="F31747" s="29" t="s">
        <v>331</v>
      </c>
    </row>
    <row r="31748" spans="1:6" x14ac:dyDescent="0.35">
      <c r="A31748" s="27" t="s">
        <v>227</v>
      </c>
      <c r="B31748" s="27" t="s">
        <v>2731</v>
      </c>
      <c r="C31748" s="28">
        <v>1</v>
      </c>
      <c r="D31748" s="29"/>
      <c r="E31748" s="29"/>
      <c r="F31748" s="29" t="s">
        <v>331</v>
      </c>
    </row>
    <row r="31749" spans="1:6" x14ac:dyDescent="0.35">
      <c r="A31749" s="27" t="s">
        <v>227</v>
      </c>
      <c r="B31749" s="27" t="s">
        <v>2732</v>
      </c>
      <c r="C31749" s="28">
        <v>1</v>
      </c>
      <c r="D31749" s="29"/>
      <c r="E31749" s="29"/>
      <c r="F31749" s="29" t="s">
        <v>315</v>
      </c>
    </row>
    <row r="31750" spans="1:6" x14ac:dyDescent="0.35">
      <c r="A31750" t="s">
        <v>228</v>
      </c>
      <c r="B31750" t="s">
        <v>2730</v>
      </c>
      <c r="C31750" s="26">
        <v>0.68579999999999997</v>
      </c>
      <c r="D31750" s="26">
        <v>0.30470000000000003</v>
      </c>
      <c r="E31750" s="26">
        <v>9.5999999999999992E-3</v>
      </c>
      <c r="F31750">
        <v>97</v>
      </c>
    </row>
    <row r="31751" spans="1:6" x14ac:dyDescent="0.35">
      <c r="A31751" s="27" t="s">
        <v>228</v>
      </c>
      <c r="B31751" s="27" t="s">
        <v>2731</v>
      </c>
      <c r="C31751" s="28">
        <v>0.78059999999999996</v>
      </c>
      <c r="D31751" s="28">
        <v>0.21940000000000001</v>
      </c>
      <c r="E31751" s="29"/>
      <c r="F31751" s="29" t="s">
        <v>312</v>
      </c>
    </row>
    <row r="31752" spans="1:6" x14ac:dyDescent="0.35">
      <c r="A31752" t="s">
        <v>228</v>
      </c>
      <c r="B31752" t="s">
        <v>2732</v>
      </c>
      <c r="C31752" s="26">
        <v>0.64080000000000004</v>
      </c>
      <c r="D31752" s="26">
        <v>0.35920000000000002</v>
      </c>
      <c r="F31752">
        <v>170</v>
      </c>
    </row>
    <row r="31753" spans="1:6" x14ac:dyDescent="0.35">
      <c r="A31753" t="s">
        <v>229</v>
      </c>
      <c r="B31753" t="s">
        <v>2730</v>
      </c>
      <c r="C31753" s="26">
        <v>0.6794</v>
      </c>
      <c r="D31753" s="26">
        <v>0.3206</v>
      </c>
      <c r="F31753">
        <v>48</v>
      </c>
    </row>
    <row r="31754" spans="1:6" x14ac:dyDescent="0.35">
      <c r="A31754" s="27" t="s">
        <v>229</v>
      </c>
      <c r="B31754" s="27" t="s">
        <v>2731</v>
      </c>
      <c r="C31754" s="28">
        <v>0.95889999999999997</v>
      </c>
      <c r="D31754" s="28">
        <v>4.1099999999999998E-2</v>
      </c>
      <c r="E31754" s="29"/>
      <c r="F31754" s="29" t="s">
        <v>342</v>
      </c>
    </row>
    <row r="31755" spans="1:6" x14ac:dyDescent="0.35">
      <c r="A31755" t="s">
        <v>229</v>
      </c>
      <c r="B31755" t="s">
        <v>2732</v>
      </c>
      <c r="C31755" s="26">
        <v>0.75170000000000003</v>
      </c>
      <c r="D31755" s="26">
        <v>0.24829999999999999</v>
      </c>
      <c r="F31755">
        <v>73</v>
      </c>
    </row>
    <row r="31756" spans="1:6" x14ac:dyDescent="0.35">
      <c r="A31756" t="s">
        <v>230</v>
      </c>
      <c r="B31756" t="s">
        <v>2730</v>
      </c>
      <c r="C31756" s="26">
        <v>0.63070000000000004</v>
      </c>
      <c r="D31756" s="26">
        <v>0.3644</v>
      </c>
      <c r="E31756" s="26">
        <v>4.8999999999999998E-3</v>
      </c>
      <c r="F31756">
        <v>62</v>
      </c>
    </row>
    <row r="31757" spans="1:6" x14ac:dyDescent="0.35">
      <c r="A31757" s="27" t="s">
        <v>230</v>
      </c>
      <c r="B31757" s="27" t="s">
        <v>2731</v>
      </c>
      <c r="C31757" s="28">
        <v>0.71209999999999996</v>
      </c>
      <c r="D31757" s="28">
        <v>0.28789999999999999</v>
      </c>
      <c r="E31757" s="29"/>
      <c r="F31757" s="29" t="s">
        <v>346</v>
      </c>
    </row>
    <row r="31758" spans="1:6" x14ac:dyDescent="0.35">
      <c r="A31758" t="s">
        <v>230</v>
      </c>
      <c r="B31758" t="s">
        <v>2732</v>
      </c>
      <c r="C31758" s="26">
        <v>0.61040000000000005</v>
      </c>
      <c r="D31758" s="26">
        <v>0.3896</v>
      </c>
      <c r="F31758">
        <v>97</v>
      </c>
    </row>
    <row r="31759" spans="1:6" x14ac:dyDescent="0.35">
      <c r="A31759" s="27" t="s">
        <v>231</v>
      </c>
      <c r="B31759" s="27" t="s">
        <v>2730</v>
      </c>
      <c r="C31759" s="28">
        <v>1</v>
      </c>
      <c r="D31759" s="29"/>
      <c r="E31759" s="29"/>
      <c r="F31759" s="29" t="s">
        <v>331</v>
      </c>
    </row>
    <row r="31760" spans="1:6" x14ac:dyDescent="0.35">
      <c r="A31760" s="27" t="s">
        <v>231</v>
      </c>
      <c r="B31760" s="27" t="s">
        <v>2731</v>
      </c>
      <c r="C31760" s="29"/>
      <c r="D31760" s="28">
        <v>1</v>
      </c>
      <c r="E31760" s="29"/>
      <c r="F31760" s="29" t="s">
        <v>331</v>
      </c>
    </row>
    <row r="31761" spans="1:11" x14ac:dyDescent="0.35">
      <c r="A31761" s="27" t="s">
        <v>231</v>
      </c>
      <c r="B31761" s="27" t="s">
        <v>2732</v>
      </c>
      <c r="C31761" s="28">
        <v>0.66669999999999996</v>
      </c>
      <c r="D31761" s="28">
        <v>0.33329999999999999</v>
      </c>
      <c r="E31761" s="29"/>
      <c r="F31761" s="29" t="s">
        <v>315</v>
      </c>
    </row>
    <row r="31762" spans="1:11" x14ac:dyDescent="0.35">
      <c r="A31762" t="s">
        <v>232</v>
      </c>
      <c r="B31762" t="s">
        <v>232</v>
      </c>
      <c r="C31762" s="26">
        <v>0.69699999999999995</v>
      </c>
      <c r="D31762" s="26">
        <v>0.30159999999999998</v>
      </c>
      <c r="E31762" s="26">
        <v>1.4E-3</v>
      </c>
      <c r="F31762">
        <v>609</v>
      </c>
    </row>
    <row r="31764" spans="1:11" x14ac:dyDescent="0.35">
      <c r="A31764" s="1" t="s">
        <v>2794</v>
      </c>
    </row>
    <row r="31765" spans="1:11" x14ac:dyDescent="0.35">
      <c r="A31765" t="s">
        <v>219</v>
      </c>
      <c r="B31765" t="s">
        <v>305</v>
      </c>
      <c r="C31765" t="s">
        <v>1815</v>
      </c>
      <c r="D31765" t="s">
        <v>1816</v>
      </c>
      <c r="E31765" t="s">
        <v>281</v>
      </c>
      <c r="F31765" t="s">
        <v>1817</v>
      </c>
      <c r="G31765" t="s">
        <v>1818</v>
      </c>
      <c r="H31765" t="s">
        <v>1819</v>
      </c>
      <c r="I31765" t="s">
        <v>1820</v>
      </c>
      <c r="J31765" t="s">
        <v>1821</v>
      </c>
      <c r="K31765" t="s">
        <v>226</v>
      </c>
    </row>
    <row r="31766" spans="1:11" x14ac:dyDescent="0.35">
      <c r="A31766" t="s">
        <v>228</v>
      </c>
      <c r="B31766" t="s">
        <v>2730</v>
      </c>
      <c r="C31766" s="26">
        <v>0.44490000000000002</v>
      </c>
      <c r="D31766" s="26">
        <v>0.2283</v>
      </c>
      <c r="E31766" s="26">
        <v>1.3899999999999999E-2</v>
      </c>
      <c r="F31766" s="26">
        <v>0.1147</v>
      </c>
      <c r="G31766" s="26">
        <v>5.1499999999999997E-2</v>
      </c>
      <c r="H31766" s="26">
        <v>0.39439999999999997</v>
      </c>
      <c r="I31766" s="26">
        <v>6.1600000000000002E-2</v>
      </c>
      <c r="J31766" s="26">
        <v>2.7799999999999998E-2</v>
      </c>
      <c r="K31766">
        <v>37</v>
      </c>
    </row>
    <row r="31767" spans="1:11" x14ac:dyDescent="0.35">
      <c r="A31767" s="27" t="s">
        <v>228</v>
      </c>
      <c r="B31767" s="27" t="s">
        <v>2731</v>
      </c>
      <c r="C31767" s="28">
        <v>6.0699999999999997E-2</v>
      </c>
      <c r="D31767" s="28">
        <v>0.4904</v>
      </c>
      <c r="E31767" s="29"/>
      <c r="F31767" s="29"/>
      <c r="G31767" s="28">
        <v>0.1371</v>
      </c>
      <c r="H31767" s="29"/>
      <c r="I31767" s="28">
        <v>0.10349999999999999</v>
      </c>
      <c r="J31767" s="28">
        <v>0.2082</v>
      </c>
      <c r="K31767" s="29" t="s">
        <v>339</v>
      </c>
    </row>
    <row r="31768" spans="1:11" x14ac:dyDescent="0.35">
      <c r="A31768" t="s">
        <v>228</v>
      </c>
      <c r="B31768" t="s">
        <v>2732</v>
      </c>
      <c r="C31768" s="26">
        <v>0.48</v>
      </c>
      <c r="D31768" s="26">
        <v>0.36409999999999998</v>
      </c>
      <c r="E31768" s="26">
        <v>0.13250000000000001</v>
      </c>
      <c r="F31768" s="26">
        <v>0.1608</v>
      </c>
      <c r="G31768" s="26">
        <v>0.14929999999999999</v>
      </c>
      <c r="H31768" s="26">
        <v>3.8600000000000002E-2</v>
      </c>
      <c r="I31768" s="26">
        <v>3.0099999999999998E-2</v>
      </c>
      <c r="J31768" s="26">
        <v>4.8099999999999997E-2</v>
      </c>
      <c r="K31768">
        <v>69</v>
      </c>
    </row>
    <row r="31769" spans="1:11" x14ac:dyDescent="0.35">
      <c r="A31769" s="27" t="s">
        <v>229</v>
      </c>
      <c r="B31769" s="27" t="s">
        <v>2730</v>
      </c>
      <c r="C31769" s="28">
        <v>0.60350000000000004</v>
      </c>
      <c r="D31769" s="28">
        <v>9.2200000000000004E-2</v>
      </c>
      <c r="E31769" s="28">
        <v>3.0700000000000002E-2</v>
      </c>
      <c r="F31769" s="28">
        <v>0.46800000000000003</v>
      </c>
      <c r="G31769" s="28">
        <v>3.9600000000000003E-2</v>
      </c>
      <c r="H31769" s="28">
        <v>3.0700000000000002E-2</v>
      </c>
      <c r="I31769" s="28">
        <v>8.8999999999999999E-3</v>
      </c>
      <c r="J31769" s="29"/>
      <c r="K31769" s="29" t="s">
        <v>346</v>
      </c>
    </row>
    <row r="31770" spans="1:11" x14ac:dyDescent="0.35">
      <c r="A31770" s="27" t="s">
        <v>229</v>
      </c>
      <c r="B31770" s="27" t="s">
        <v>2731</v>
      </c>
      <c r="C31770" s="29"/>
      <c r="D31770" s="29"/>
      <c r="E31770" s="29"/>
      <c r="F31770" s="29"/>
      <c r="G31770" s="28">
        <v>1</v>
      </c>
      <c r="H31770" s="29"/>
      <c r="I31770" s="29"/>
      <c r="J31770" s="29"/>
      <c r="K31770" s="29" t="s">
        <v>331</v>
      </c>
    </row>
    <row r="31771" spans="1:11" x14ac:dyDescent="0.35">
      <c r="A31771" s="27" t="s">
        <v>229</v>
      </c>
      <c r="B31771" s="27" t="s">
        <v>2732</v>
      </c>
      <c r="C31771" s="28">
        <v>0.45960000000000001</v>
      </c>
      <c r="D31771" s="28">
        <v>0.1119</v>
      </c>
      <c r="E31771" s="28">
        <v>0.16919999999999999</v>
      </c>
      <c r="F31771" s="28">
        <v>2.3900000000000001E-2</v>
      </c>
      <c r="G31771" s="28">
        <v>0.1976</v>
      </c>
      <c r="H31771" s="28">
        <v>0.22539999999999999</v>
      </c>
      <c r="I31771" s="28">
        <v>5.62E-2</v>
      </c>
      <c r="J31771" s="28">
        <v>9.4999999999999998E-3</v>
      </c>
      <c r="K31771" s="29" t="s">
        <v>350</v>
      </c>
    </row>
    <row r="31772" spans="1:11" x14ac:dyDescent="0.35">
      <c r="A31772" s="27" t="s">
        <v>230</v>
      </c>
      <c r="B31772" s="27" t="s">
        <v>2730</v>
      </c>
      <c r="C31772" s="28">
        <v>0.38869999999999999</v>
      </c>
      <c r="D31772" s="28">
        <v>0.28070000000000001</v>
      </c>
      <c r="E31772" s="28">
        <v>0.1273</v>
      </c>
      <c r="F31772" s="28">
        <v>0.20330000000000001</v>
      </c>
      <c r="G31772" s="28">
        <v>0.1016</v>
      </c>
      <c r="H31772" s="28">
        <v>3.8699999999999998E-2</v>
      </c>
      <c r="I31772" s="28">
        <v>0.18540000000000001</v>
      </c>
      <c r="J31772" s="28">
        <v>1.9400000000000001E-2</v>
      </c>
      <c r="K31772" s="29" t="s">
        <v>329</v>
      </c>
    </row>
    <row r="31773" spans="1:11" x14ac:dyDescent="0.35">
      <c r="A31773" s="27" t="s">
        <v>230</v>
      </c>
      <c r="B31773" s="27" t="s">
        <v>2731</v>
      </c>
      <c r="C31773" s="28">
        <v>0.75760000000000005</v>
      </c>
      <c r="D31773" s="28">
        <v>0.1212</v>
      </c>
      <c r="E31773" s="29"/>
      <c r="F31773" s="29"/>
      <c r="G31773" s="28">
        <v>0.5151</v>
      </c>
      <c r="H31773" s="28">
        <v>0.1212</v>
      </c>
      <c r="I31773" s="28">
        <v>0.39389999999999997</v>
      </c>
      <c r="J31773" s="29"/>
      <c r="K31773" s="29" t="s">
        <v>335</v>
      </c>
    </row>
    <row r="31774" spans="1:11" x14ac:dyDescent="0.35">
      <c r="A31774" t="s">
        <v>230</v>
      </c>
      <c r="B31774" t="s">
        <v>2732</v>
      </c>
      <c r="C31774" s="26">
        <v>0.57569999999999999</v>
      </c>
      <c r="D31774" s="26">
        <v>0.43580000000000002</v>
      </c>
      <c r="E31774" s="26">
        <v>2.7400000000000001E-2</v>
      </c>
      <c r="F31774" s="26">
        <v>8.2000000000000007E-3</v>
      </c>
      <c r="G31774" s="26">
        <v>0.1235</v>
      </c>
      <c r="H31774" s="26">
        <v>3.5000000000000003E-2</v>
      </c>
      <c r="I31774" s="26">
        <v>8.2000000000000007E-3</v>
      </c>
      <c r="J31774" s="26">
        <v>6.1699999999999998E-2</v>
      </c>
      <c r="K31774">
        <v>36</v>
      </c>
    </row>
    <row r="31775" spans="1:11" x14ac:dyDescent="0.35">
      <c r="A31775" s="27" t="s">
        <v>231</v>
      </c>
      <c r="B31775" s="27" t="s">
        <v>2731</v>
      </c>
      <c r="C31775" s="28">
        <v>1</v>
      </c>
      <c r="D31775" s="29"/>
      <c r="E31775" s="29"/>
      <c r="F31775" s="29"/>
      <c r="G31775" s="29"/>
      <c r="H31775" s="29"/>
      <c r="I31775" s="29"/>
      <c r="J31775" s="29"/>
      <c r="K31775" s="29" t="s">
        <v>331</v>
      </c>
    </row>
    <row r="31776" spans="1:11" x14ac:dyDescent="0.35">
      <c r="A31776" s="27" t="s">
        <v>231</v>
      </c>
      <c r="B31776" s="27" t="s">
        <v>2732</v>
      </c>
      <c r="C31776" s="29"/>
      <c r="D31776" s="29"/>
      <c r="E31776" s="28">
        <v>1</v>
      </c>
      <c r="F31776" s="29"/>
      <c r="G31776" s="29"/>
      <c r="H31776" s="29"/>
      <c r="I31776" s="29"/>
      <c r="J31776" s="29"/>
      <c r="K31776" s="29" t="s">
        <v>331</v>
      </c>
    </row>
    <row r="31777" spans="1:11" x14ac:dyDescent="0.35">
      <c r="A31777" t="s">
        <v>232</v>
      </c>
      <c r="B31777" t="s">
        <v>232</v>
      </c>
      <c r="C31777" s="26">
        <v>0.48330000000000001</v>
      </c>
      <c r="D31777" s="26">
        <v>0.23419999999999999</v>
      </c>
      <c r="E31777" s="26">
        <v>0.14030000000000001</v>
      </c>
      <c r="F31777" s="26">
        <v>0.1235</v>
      </c>
      <c r="G31777" s="26">
        <v>0.1167</v>
      </c>
      <c r="H31777" s="26">
        <v>0.1085</v>
      </c>
      <c r="I31777" s="26">
        <v>4.24E-2</v>
      </c>
      <c r="J31777" s="26">
        <v>3.1800000000000002E-2</v>
      </c>
      <c r="K31777">
        <v>222</v>
      </c>
    </row>
    <row r="31779" spans="1:11" x14ac:dyDescent="0.35">
      <c r="A31779" s="1" t="s">
        <v>2795</v>
      </c>
    </row>
    <row r="31780" spans="1:11" x14ac:dyDescent="0.35">
      <c r="A31780" t="s">
        <v>219</v>
      </c>
      <c r="B31780" t="s">
        <v>305</v>
      </c>
      <c r="C31780" t="s">
        <v>1834</v>
      </c>
      <c r="D31780" t="s">
        <v>1835</v>
      </c>
      <c r="E31780" t="s">
        <v>1836</v>
      </c>
      <c r="F31780" t="s">
        <v>1837</v>
      </c>
      <c r="G31780" t="s">
        <v>1838</v>
      </c>
      <c r="H31780" t="s">
        <v>281</v>
      </c>
      <c r="I31780" t="s">
        <v>226</v>
      </c>
    </row>
    <row r="31781" spans="1:11" x14ac:dyDescent="0.35">
      <c r="A31781" s="27" t="s">
        <v>227</v>
      </c>
      <c r="B31781" s="27" t="s">
        <v>2730</v>
      </c>
      <c r="C31781" s="28">
        <v>1</v>
      </c>
      <c r="D31781" s="29"/>
      <c r="E31781" s="29"/>
      <c r="F31781" s="29"/>
      <c r="G31781" s="29"/>
      <c r="H31781" s="29"/>
      <c r="I31781" s="29" t="s">
        <v>331</v>
      </c>
    </row>
    <row r="31782" spans="1:11" x14ac:dyDescent="0.35">
      <c r="A31782" s="27" t="s">
        <v>227</v>
      </c>
      <c r="B31782" s="27" t="s">
        <v>2731</v>
      </c>
      <c r="C31782" s="28">
        <v>1</v>
      </c>
      <c r="D31782" s="29"/>
      <c r="E31782" s="29"/>
      <c r="F31782" s="29"/>
      <c r="G31782" s="29"/>
      <c r="H31782" s="29"/>
      <c r="I31782" s="29" t="s">
        <v>331</v>
      </c>
    </row>
    <row r="31783" spans="1:11" x14ac:dyDescent="0.35">
      <c r="A31783" s="27" t="s">
        <v>227</v>
      </c>
      <c r="B31783" s="27" t="s">
        <v>2732</v>
      </c>
      <c r="C31783" s="28">
        <v>0.33329999999999999</v>
      </c>
      <c r="D31783" s="28">
        <v>0.33329999999999999</v>
      </c>
      <c r="E31783" s="28">
        <v>0.33329999999999999</v>
      </c>
      <c r="F31783" s="29"/>
      <c r="G31783" s="29"/>
      <c r="H31783" s="29"/>
      <c r="I31783" s="29" t="s">
        <v>315</v>
      </c>
    </row>
    <row r="31784" spans="1:11" x14ac:dyDescent="0.35">
      <c r="A31784" t="s">
        <v>228</v>
      </c>
      <c r="B31784" t="s">
        <v>2730</v>
      </c>
      <c r="C31784" s="26">
        <v>0.53069999999999995</v>
      </c>
      <c r="D31784" s="26">
        <v>0.29089999999999999</v>
      </c>
      <c r="E31784" s="26">
        <v>0.12</v>
      </c>
      <c r="F31784" s="26">
        <v>5.11E-2</v>
      </c>
      <c r="G31784" s="26">
        <v>7.1999999999999998E-3</v>
      </c>
      <c r="I31784">
        <v>97</v>
      </c>
    </row>
    <row r="31785" spans="1:11" x14ac:dyDescent="0.35">
      <c r="A31785" s="27" t="s">
        <v>228</v>
      </c>
      <c r="B31785" s="27" t="s">
        <v>2731</v>
      </c>
      <c r="C31785" s="28">
        <v>0.54459999999999997</v>
      </c>
      <c r="D31785" s="28">
        <v>0.22270000000000001</v>
      </c>
      <c r="E31785" s="28">
        <v>0.1303</v>
      </c>
      <c r="F31785" s="28">
        <v>5.67E-2</v>
      </c>
      <c r="G31785" s="28">
        <v>4.5699999999999998E-2</v>
      </c>
      <c r="H31785" s="29"/>
      <c r="I31785" s="29" t="s">
        <v>312</v>
      </c>
    </row>
    <row r="31786" spans="1:11" x14ac:dyDescent="0.35">
      <c r="A31786" t="s">
        <v>228</v>
      </c>
      <c r="B31786" t="s">
        <v>2732</v>
      </c>
      <c r="C31786" s="26">
        <v>0.57469999999999999</v>
      </c>
      <c r="D31786" s="26">
        <v>0.24160000000000001</v>
      </c>
      <c r="E31786" s="26">
        <v>0.113</v>
      </c>
      <c r="F31786" s="26">
        <v>6.3500000000000001E-2</v>
      </c>
      <c r="G31786" s="26">
        <v>7.1999999999999998E-3</v>
      </c>
      <c r="I31786">
        <v>170</v>
      </c>
    </row>
    <row r="31787" spans="1:11" x14ac:dyDescent="0.35">
      <c r="A31787" t="s">
        <v>229</v>
      </c>
      <c r="B31787" t="s">
        <v>2730</v>
      </c>
      <c r="C31787" s="26">
        <v>0.66400000000000003</v>
      </c>
      <c r="D31787" s="26">
        <v>0.21099999999999999</v>
      </c>
      <c r="E31787" s="26">
        <v>1.1299999999999999E-2</v>
      </c>
      <c r="F31787" s="26">
        <v>0.1137</v>
      </c>
      <c r="I31787">
        <v>48</v>
      </c>
    </row>
    <row r="31788" spans="1:11" x14ac:dyDescent="0.35">
      <c r="A31788" s="27" t="s">
        <v>229</v>
      </c>
      <c r="B31788" s="27" t="s">
        <v>2731</v>
      </c>
      <c r="C31788" s="28">
        <v>0.85309999999999997</v>
      </c>
      <c r="D31788" s="28">
        <v>0.1351</v>
      </c>
      <c r="E31788" s="29"/>
      <c r="F31788" s="28">
        <v>1.1900000000000001E-2</v>
      </c>
      <c r="G31788" s="29"/>
      <c r="H31788" s="29"/>
      <c r="I31788" s="29" t="s">
        <v>342</v>
      </c>
    </row>
    <row r="31789" spans="1:11" x14ac:dyDescent="0.35">
      <c r="A31789" t="s">
        <v>229</v>
      </c>
      <c r="B31789" t="s">
        <v>2732</v>
      </c>
      <c r="C31789" s="26">
        <v>0.54510000000000003</v>
      </c>
      <c r="D31789" s="26">
        <v>0.254</v>
      </c>
      <c r="E31789" s="26">
        <v>4.9299999999999997E-2</v>
      </c>
      <c r="F31789" s="26">
        <v>6.7599999999999993E-2</v>
      </c>
      <c r="H31789" s="26">
        <v>8.4000000000000005E-2</v>
      </c>
      <c r="I31789">
        <v>73</v>
      </c>
    </row>
    <row r="31790" spans="1:11" x14ac:dyDescent="0.35">
      <c r="A31790" t="s">
        <v>230</v>
      </c>
      <c r="B31790" t="s">
        <v>2730</v>
      </c>
      <c r="C31790" s="26">
        <v>0.5</v>
      </c>
      <c r="D31790" s="26">
        <v>0.36349999999999999</v>
      </c>
      <c r="E31790" s="26">
        <v>0.12670000000000001</v>
      </c>
      <c r="F31790" s="26">
        <v>9.7999999999999997E-3</v>
      </c>
      <c r="I31790">
        <v>62</v>
      </c>
    </row>
    <row r="31791" spans="1:11" x14ac:dyDescent="0.35">
      <c r="A31791" s="27" t="s">
        <v>230</v>
      </c>
      <c r="B31791" s="27" t="s">
        <v>2731</v>
      </c>
      <c r="C31791" s="28">
        <v>0.66579999999999995</v>
      </c>
      <c r="D31791" s="28">
        <v>0.2208</v>
      </c>
      <c r="E31791" s="29"/>
      <c r="F31791" s="28">
        <v>0.1134</v>
      </c>
      <c r="G31791" s="29"/>
      <c r="H31791" s="29"/>
      <c r="I31791" s="29" t="s">
        <v>346</v>
      </c>
    </row>
    <row r="31792" spans="1:11" x14ac:dyDescent="0.35">
      <c r="A31792" t="s">
        <v>230</v>
      </c>
      <c r="B31792" t="s">
        <v>2732</v>
      </c>
      <c r="C31792" s="26">
        <v>0.50119999999999998</v>
      </c>
      <c r="D31792" s="26">
        <v>0.25059999999999999</v>
      </c>
      <c r="E31792" s="26">
        <v>0.16700000000000001</v>
      </c>
      <c r="F31792" s="26">
        <v>8.1100000000000005E-2</v>
      </c>
      <c r="I31792">
        <v>97</v>
      </c>
    </row>
    <row r="31793" spans="1:9" x14ac:dyDescent="0.35">
      <c r="A31793" s="27" t="s">
        <v>231</v>
      </c>
      <c r="B31793" s="27" t="s">
        <v>2730</v>
      </c>
      <c r="C31793" s="28">
        <v>1</v>
      </c>
      <c r="D31793" s="29"/>
      <c r="E31793" s="29"/>
      <c r="F31793" s="29"/>
      <c r="G31793" s="29"/>
      <c r="H31793" s="29"/>
      <c r="I31793" s="29" t="s">
        <v>331</v>
      </c>
    </row>
    <row r="31794" spans="1:9" x14ac:dyDescent="0.35">
      <c r="A31794" s="27" t="s">
        <v>231</v>
      </c>
      <c r="B31794" s="27" t="s">
        <v>2731</v>
      </c>
      <c r="C31794" s="29"/>
      <c r="D31794" s="28">
        <v>1</v>
      </c>
      <c r="E31794" s="29"/>
      <c r="F31794" s="29"/>
      <c r="G31794" s="29"/>
      <c r="H31794" s="29"/>
      <c r="I31794" s="29" t="s">
        <v>331</v>
      </c>
    </row>
    <row r="31795" spans="1:9" x14ac:dyDescent="0.35">
      <c r="A31795" s="27" t="s">
        <v>231</v>
      </c>
      <c r="B31795" s="27" t="s">
        <v>2732</v>
      </c>
      <c r="C31795" s="29"/>
      <c r="D31795" s="28">
        <v>0.66669999999999996</v>
      </c>
      <c r="E31795" s="29"/>
      <c r="F31795" s="29"/>
      <c r="G31795" s="28">
        <v>0.33329999999999999</v>
      </c>
      <c r="H31795" s="29"/>
      <c r="I31795" s="29" t="s">
        <v>315</v>
      </c>
    </row>
    <row r="31796" spans="1:9" x14ac:dyDescent="0.35">
      <c r="A31796" t="s">
        <v>232</v>
      </c>
      <c r="B31796" t="s">
        <v>232</v>
      </c>
      <c r="C31796" s="26">
        <v>0.53680000000000005</v>
      </c>
      <c r="D31796" s="26">
        <v>0.28000000000000003</v>
      </c>
      <c r="E31796" s="26">
        <v>8.7300000000000003E-2</v>
      </c>
      <c r="F31796" s="26">
        <v>5.6800000000000003E-2</v>
      </c>
      <c r="G31796" s="26">
        <v>2.1499999999999998E-2</v>
      </c>
      <c r="H31796" s="26">
        <v>1.77E-2</v>
      </c>
      <c r="I31796">
        <v>609</v>
      </c>
    </row>
    <row r="31798" spans="1:9" x14ac:dyDescent="0.35">
      <c r="A31798" s="1" t="s">
        <v>2796</v>
      </c>
    </row>
    <row r="31799" spans="1:9" x14ac:dyDescent="0.35">
      <c r="A31799" t="s">
        <v>219</v>
      </c>
      <c r="B31799" t="s">
        <v>305</v>
      </c>
      <c r="C31799" t="s">
        <v>303</v>
      </c>
      <c r="D31799" t="s">
        <v>1851</v>
      </c>
      <c r="E31799" t="s">
        <v>1852</v>
      </c>
      <c r="F31799" t="s">
        <v>226</v>
      </c>
    </row>
    <row r="31800" spans="1:9" x14ac:dyDescent="0.35">
      <c r="A31800" t="s">
        <v>227</v>
      </c>
      <c r="B31800" t="s">
        <v>2730</v>
      </c>
      <c r="C31800" s="26">
        <v>1</v>
      </c>
      <c r="F31800">
        <v>47</v>
      </c>
    </row>
    <row r="31801" spans="1:9" x14ac:dyDescent="0.35">
      <c r="A31801" s="27" t="s">
        <v>227</v>
      </c>
      <c r="B31801" s="27" t="s">
        <v>2731</v>
      </c>
      <c r="C31801" s="28">
        <v>1</v>
      </c>
      <c r="D31801" s="29"/>
      <c r="E31801" s="29"/>
      <c r="F31801" s="29" t="s">
        <v>351</v>
      </c>
    </row>
    <row r="31802" spans="1:9" x14ac:dyDescent="0.35">
      <c r="A31802" t="s">
        <v>227</v>
      </c>
      <c r="B31802" t="s">
        <v>2732</v>
      </c>
      <c r="C31802" s="26">
        <v>0.98919999999999997</v>
      </c>
      <c r="D31802" s="26">
        <v>1.0800000000000001E-2</v>
      </c>
      <c r="F31802">
        <v>93</v>
      </c>
    </row>
    <row r="31803" spans="1:9" x14ac:dyDescent="0.35">
      <c r="A31803" t="s">
        <v>228</v>
      </c>
      <c r="B31803" t="s">
        <v>2730</v>
      </c>
      <c r="C31803" s="26">
        <v>0.94510000000000005</v>
      </c>
      <c r="D31803" s="26">
        <v>4.4999999999999998E-2</v>
      </c>
      <c r="E31803" s="26">
        <v>0.01</v>
      </c>
      <c r="F31803">
        <v>359</v>
      </c>
    </row>
    <row r="31804" spans="1:9" x14ac:dyDescent="0.35">
      <c r="A31804" t="s">
        <v>228</v>
      </c>
      <c r="B31804" t="s">
        <v>2731</v>
      </c>
      <c r="C31804" s="26">
        <v>1</v>
      </c>
      <c r="F31804">
        <v>96</v>
      </c>
    </row>
    <row r="31805" spans="1:9" x14ac:dyDescent="0.35">
      <c r="A31805" t="s">
        <v>228</v>
      </c>
      <c r="B31805" t="s">
        <v>2732</v>
      </c>
      <c r="C31805" s="26">
        <v>0.97240000000000004</v>
      </c>
      <c r="D31805" s="26">
        <v>2.76E-2</v>
      </c>
      <c r="F31805">
        <v>576</v>
      </c>
    </row>
    <row r="31806" spans="1:9" x14ac:dyDescent="0.35">
      <c r="A31806" t="s">
        <v>229</v>
      </c>
      <c r="B31806" t="s">
        <v>2730</v>
      </c>
      <c r="C31806" s="26">
        <v>0.96919999999999995</v>
      </c>
      <c r="D31806" s="26">
        <v>3.0800000000000001E-2</v>
      </c>
      <c r="F31806">
        <v>301</v>
      </c>
    </row>
    <row r="31807" spans="1:9" x14ac:dyDescent="0.35">
      <c r="A31807" t="s">
        <v>229</v>
      </c>
      <c r="B31807" t="s">
        <v>2731</v>
      </c>
      <c r="C31807" s="26">
        <v>0.99790000000000001</v>
      </c>
      <c r="D31807" s="26">
        <v>2.0999999999999999E-3</v>
      </c>
      <c r="F31807">
        <v>86</v>
      </c>
    </row>
    <row r="31808" spans="1:9" x14ac:dyDescent="0.35">
      <c r="A31808" t="s">
        <v>229</v>
      </c>
      <c r="B31808" t="s">
        <v>2732</v>
      </c>
      <c r="C31808" s="26">
        <v>0.97599999999999998</v>
      </c>
      <c r="D31808" s="26">
        <v>2.4E-2</v>
      </c>
      <c r="F31808">
        <v>506</v>
      </c>
    </row>
    <row r="31809" spans="1:6" x14ac:dyDescent="0.35">
      <c r="A31809" t="s">
        <v>230</v>
      </c>
      <c r="B31809" t="s">
        <v>2730</v>
      </c>
      <c r="C31809" s="26">
        <v>0.97650000000000003</v>
      </c>
      <c r="D31809" s="26">
        <v>2.35E-2</v>
      </c>
      <c r="F31809">
        <v>197</v>
      </c>
    </row>
    <row r="31810" spans="1:6" x14ac:dyDescent="0.35">
      <c r="A31810" t="s">
        <v>230</v>
      </c>
      <c r="B31810" t="s">
        <v>2731</v>
      </c>
      <c r="C31810" s="26">
        <v>0.90700000000000003</v>
      </c>
      <c r="D31810" s="26">
        <v>9.2999999999999999E-2</v>
      </c>
      <c r="F31810">
        <v>50</v>
      </c>
    </row>
    <row r="31811" spans="1:6" x14ac:dyDescent="0.35">
      <c r="A31811" t="s">
        <v>230</v>
      </c>
      <c r="B31811" t="s">
        <v>2732</v>
      </c>
      <c r="C31811" s="26">
        <v>0.98080000000000001</v>
      </c>
      <c r="D31811" s="26">
        <v>1.9199999999999998E-2</v>
      </c>
      <c r="F31811">
        <v>313</v>
      </c>
    </row>
    <row r="31812" spans="1:6" x14ac:dyDescent="0.35">
      <c r="A31812" t="s">
        <v>231</v>
      </c>
      <c r="B31812" t="s">
        <v>2730</v>
      </c>
      <c r="C31812" s="26">
        <v>1</v>
      </c>
      <c r="F31812">
        <v>55</v>
      </c>
    </row>
    <row r="31813" spans="1:6" x14ac:dyDescent="0.35">
      <c r="A31813" s="27" t="s">
        <v>231</v>
      </c>
      <c r="B31813" s="27" t="s">
        <v>2731</v>
      </c>
      <c r="C31813" s="28">
        <v>1</v>
      </c>
      <c r="D31813" s="29"/>
      <c r="E31813" s="29"/>
      <c r="F31813" s="29" t="s">
        <v>343</v>
      </c>
    </row>
    <row r="31814" spans="1:6" x14ac:dyDescent="0.35">
      <c r="A31814" t="s">
        <v>231</v>
      </c>
      <c r="B31814" t="s">
        <v>2732</v>
      </c>
      <c r="C31814" s="26">
        <v>0.96740000000000004</v>
      </c>
      <c r="D31814" s="26">
        <v>3.2599999999999997E-2</v>
      </c>
      <c r="F31814">
        <v>92</v>
      </c>
    </row>
    <row r="31815" spans="1:6" x14ac:dyDescent="0.35">
      <c r="A31815" t="s">
        <v>232</v>
      </c>
      <c r="B31815" t="s">
        <v>232</v>
      </c>
      <c r="C31815" s="26">
        <v>0.97799999999999998</v>
      </c>
      <c r="D31815" s="26">
        <v>2.1299999999999999E-2</v>
      </c>
      <c r="E31815" s="26">
        <v>5.9999999999999995E-4</v>
      </c>
      <c r="F31815">
        <v>2809</v>
      </c>
    </row>
    <row r="31817" spans="1:6" x14ac:dyDescent="0.35">
      <c r="A31817" s="1" t="s">
        <v>2797</v>
      </c>
    </row>
    <row r="31818" spans="1:6" x14ac:dyDescent="0.35">
      <c r="A31818" t="s">
        <v>219</v>
      </c>
      <c r="B31818" t="s">
        <v>305</v>
      </c>
      <c r="C31818" t="s">
        <v>303</v>
      </c>
      <c r="D31818" t="s">
        <v>302</v>
      </c>
      <c r="E31818" t="s">
        <v>226</v>
      </c>
    </row>
    <row r="31819" spans="1:6" x14ac:dyDescent="0.35">
      <c r="A31819" t="s">
        <v>227</v>
      </c>
      <c r="B31819" t="s">
        <v>2730</v>
      </c>
      <c r="C31819" s="26">
        <v>1</v>
      </c>
      <c r="E31819">
        <v>47</v>
      </c>
    </row>
    <row r="31820" spans="1:6" x14ac:dyDescent="0.35">
      <c r="A31820" s="27" t="s">
        <v>227</v>
      </c>
      <c r="B31820" s="27" t="s">
        <v>2731</v>
      </c>
      <c r="C31820" s="28">
        <v>1</v>
      </c>
      <c r="D31820" s="29"/>
      <c r="E31820" s="29" t="s">
        <v>351</v>
      </c>
    </row>
    <row r="31821" spans="1:6" x14ac:dyDescent="0.35">
      <c r="A31821" t="s">
        <v>227</v>
      </c>
      <c r="B31821" t="s">
        <v>2732</v>
      </c>
      <c r="C31821" s="26">
        <v>1</v>
      </c>
      <c r="E31821">
        <v>93</v>
      </c>
    </row>
    <row r="31822" spans="1:6" x14ac:dyDescent="0.35">
      <c r="A31822" t="s">
        <v>228</v>
      </c>
      <c r="B31822" t="s">
        <v>2730</v>
      </c>
      <c r="C31822" s="26">
        <v>0.97619999999999996</v>
      </c>
      <c r="D31822" s="26">
        <v>2.3800000000000002E-2</v>
      </c>
      <c r="E31822">
        <v>359</v>
      </c>
    </row>
    <row r="31823" spans="1:6" x14ac:dyDescent="0.35">
      <c r="A31823" t="s">
        <v>228</v>
      </c>
      <c r="B31823" t="s">
        <v>2731</v>
      </c>
      <c r="C31823" s="26">
        <v>1</v>
      </c>
      <c r="E31823">
        <v>96</v>
      </c>
    </row>
    <row r="31824" spans="1:6" x14ac:dyDescent="0.35">
      <c r="A31824" t="s">
        <v>228</v>
      </c>
      <c r="B31824" t="s">
        <v>2732</v>
      </c>
      <c r="C31824" s="26">
        <v>0.96260000000000001</v>
      </c>
      <c r="D31824" s="26">
        <v>3.7400000000000003E-2</v>
      </c>
      <c r="E31824">
        <v>576</v>
      </c>
    </row>
    <row r="31825" spans="1:6" x14ac:dyDescent="0.35">
      <c r="A31825" t="s">
        <v>229</v>
      </c>
      <c r="B31825" t="s">
        <v>2730</v>
      </c>
      <c r="C31825" s="26">
        <v>0.96740000000000004</v>
      </c>
      <c r="D31825" s="26">
        <v>3.2599999999999997E-2</v>
      </c>
      <c r="E31825">
        <v>301</v>
      </c>
    </row>
    <row r="31826" spans="1:6" x14ac:dyDescent="0.35">
      <c r="A31826" t="s">
        <v>229</v>
      </c>
      <c r="B31826" t="s">
        <v>2731</v>
      </c>
      <c r="C31826" s="26">
        <v>1</v>
      </c>
      <c r="E31826">
        <v>86</v>
      </c>
    </row>
    <row r="31827" spans="1:6" x14ac:dyDescent="0.35">
      <c r="A31827" t="s">
        <v>229</v>
      </c>
      <c r="B31827" t="s">
        <v>2732</v>
      </c>
      <c r="C31827" s="26">
        <v>0.97740000000000005</v>
      </c>
      <c r="D31827" s="26">
        <v>2.2599999999999999E-2</v>
      </c>
      <c r="E31827">
        <v>506</v>
      </c>
    </row>
    <row r="31828" spans="1:6" x14ac:dyDescent="0.35">
      <c r="A31828" t="s">
        <v>230</v>
      </c>
      <c r="B31828" t="s">
        <v>2730</v>
      </c>
      <c r="C31828" s="26">
        <v>0.99339999999999995</v>
      </c>
      <c r="D31828" s="26">
        <v>6.6E-3</v>
      </c>
      <c r="E31828">
        <v>197</v>
      </c>
    </row>
    <row r="31829" spans="1:6" x14ac:dyDescent="0.35">
      <c r="A31829" t="s">
        <v>230</v>
      </c>
      <c r="B31829" t="s">
        <v>2731</v>
      </c>
      <c r="C31829" s="26">
        <v>1</v>
      </c>
      <c r="E31829">
        <v>50</v>
      </c>
    </row>
    <row r="31830" spans="1:6" x14ac:dyDescent="0.35">
      <c r="A31830" t="s">
        <v>230</v>
      </c>
      <c r="B31830" t="s">
        <v>2732</v>
      </c>
      <c r="C31830" s="26">
        <v>0.99550000000000005</v>
      </c>
      <c r="D31830" s="26">
        <v>4.4999999999999997E-3</v>
      </c>
      <c r="E31830">
        <v>313</v>
      </c>
    </row>
    <row r="31831" spans="1:6" x14ac:dyDescent="0.35">
      <c r="A31831" t="s">
        <v>231</v>
      </c>
      <c r="B31831" t="s">
        <v>2730</v>
      </c>
      <c r="C31831" s="26">
        <v>0.98180000000000001</v>
      </c>
      <c r="D31831" s="26">
        <v>1.8200000000000001E-2</v>
      </c>
      <c r="E31831">
        <v>55</v>
      </c>
    </row>
    <row r="31832" spans="1:6" x14ac:dyDescent="0.35">
      <c r="A31832" s="27" t="s">
        <v>231</v>
      </c>
      <c r="B31832" s="27" t="s">
        <v>2731</v>
      </c>
      <c r="C31832" s="28">
        <v>1</v>
      </c>
      <c r="D31832" s="29"/>
      <c r="E31832" s="29" t="s">
        <v>343</v>
      </c>
    </row>
    <row r="31833" spans="1:6" x14ac:dyDescent="0.35">
      <c r="A31833" t="s">
        <v>231</v>
      </c>
      <c r="B31833" t="s">
        <v>2732</v>
      </c>
      <c r="C31833" s="26">
        <v>0.98909999999999998</v>
      </c>
      <c r="D31833" s="26">
        <v>1.09E-2</v>
      </c>
      <c r="E31833">
        <v>92</v>
      </c>
    </row>
    <row r="31834" spans="1:6" x14ac:dyDescent="0.35">
      <c r="A31834" t="s">
        <v>232</v>
      </c>
      <c r="B31834" t="s">
        <v>232</v>
      </c>
      <c r="C31834" s="26">
        <v>0.98370000000000002</v>
      </c>
      <c r="D31834" s="26">
        <v>1.6299999999999999E-2</v>
      </c>
      <c r="E31834">
        <v>2809</v>
      </c>
    </row>
    <row r="31836" spans="1:6" x14ac:dyDescent="0.35">
      <c r="A31836" s="1" t="s">
        <v>2798</v>
      </c>
    </row>
    <row r="31837" spans="1:6" x14ac:dyDescent="0.35">
      <c r="A31837" t="s">
        <v>219</v>
      </c>
      <c r="B31837" t="s">
        <v>305</v>
      </c>
      <c r="C31837" t="s">
        <v>303</v>
      </c>
      <c r="D31837" t="s">
        <v>302</v>
      </c>
      <c r="E31837" t="s">
        <v>286</v>
      </c>
      <c r="F31837" t="s">
        <v>226</v>
      </c>
    </row>
    <row r="31838" spans="1:6" x14ac:dyDescent="0.35">
      <c r="A31838" t="s">
        <v>227</v>
      </c>
      <c r="B31838" t="s">
        <v>2730</v>
      </c>
      <c r="C31838" s="26">
        <v>0.97870000000000001</v>
      </c>
      <c r="D31838" s="26">
        <v>2.1299999999999999E-2</v>
      </c>
      <c r="F31838">
        <v>47</v>
      </c>
    </row>
    <row r="31839" spans="1:6" x14ac:dyDescent="0.35">
      <c r="A31839" s="27" t="s">
        <v>227</v>
      </c>
      <c r="B31839" s="27" t="s">
        <v>2731</v>
      </c>
      <c r="C31839" s="28">
        <v>1</v>
      </c>
      <c r="D31839" s="29"/>
      <c r="E31839" s="29"/>
      <c r="F31839" s="29" t="s">
        <v>351</v>
      </c>
    </row>
    <row r="31840" spans="1:6" x14ac:dyDescent="0.35">
      <c r="A31840" t="s">
        <v>227</v>
      </c>
      <c r="B31840" t="s">
        <v>2732</v>
      </c>
      <c r="C31840" s="26">
        <v>1</v>
      </c>
      <c r="F31840">
        <v>93</v>
      </c>
    </row>
    <row r="31841" spans="1:11" x14ac:dyDescent="0.35">
      <c r="A31841" t="s">
        <v>228</v>
      </c>
      <c r="B31841" t="s">
        <v>2730</v>
      </c>
      <c r="C31841" s="26">
        <v>0.97199999999999998</v>
      </c>
      <c r="D31841" s="26">
        <v>2.8000000000000001E-2</v>
      </c>
      <c r="F31841">
        <v>359</v>
      </c>
    </row>
    <row r="31842" spans="1:11" x14ac:dyDescent="0.35">
      <c r="A31842" t="s">
        <v>228</v>
      </c>
      <c r="B31842" t="s">
        <v>2731</v>
      </c>
      <c r="C31842" s="26">
        <v>0.99690000000000001</v>
      </c>
      <c r="D31842" s="26">
        <v>3.0999999999999999E-3</v>
      </c>
      <c r="F31842">
        <v>96</v>
      </c>
    </row>
    <row r="31843" spans="1:11" x14ac:dyDescent="0.35">
      <c r="A31843" t="s">
        <v>228</v>
      </c>
      <c r="B31843" t="s">
        <v>2732</v>
      </c>
      <c r="C31843" s="26">
        <v>0.98909999999999998</v>
      </c>
      <c r="D31843" s="26">
        <v>1.09E-2</v>
      </c>
      <c r="F31843">
        <v>576</v>
      </c>
    </row>
    <row r="31844" spans="1:11" x14ac:dyDescent="0.35">
      <c r="A31844" t="s">
        <v>229</v>
      </c>
      <c r="B31844" t="s">
        <v>2730</v>
      </c>
      <c r="C31844" s="26">
        <v>0.98939999999999995</v>
      </c>
      <c r="D31844" s="26">
        <v>1.06E-2</v>
      </c>
      <c r="F31844">
        <v>301</v>
      </c>
    </row>
    <row r="31845" spans="1:11" x14ac:dyDescent="0.35">
      <c r="A31845" t="s">
        <v>229</v>
      </c>
      <c r="B31845" t="s">
        <v>2731</v>
      </c>
      <c r="C31845" s="26">
        <v>1</v>
      </c>
      <c r="F31845">
        <v>86</v>
      </c>
    </row>
    <row r="31846" spans="1:11" x14ac:dyDescent="0.35">
      <c r="A31846" t="s">
        <v>229</v>
      </c>
      <c r="B31846" t="s">
        <v>2732</v>
      </c>
      <c r="C31846" s="26">
        <v>0.99460000000000004</v>
      </c>
      <c r="D31846" s="26">
        <v>5.4000000000000003E-3</v>
      </c>
      <c r="F31846">
        <v>506</v>
      </c>
    </row>
    <row r="31847" spans="1:11" x14ac:dyDescent="0.35">
      <c r="A31847" t="s">
        <v>230</v>
      </c>
      <c r="B31847" t="s">
        <v>2730</v>
      </c>
      <c r="C31847" s="26">
        <v>0.99660000000000004</v>
      </c>
      <c r="D31847" s="26">
        <v>2.5999999999999999E-3</v>
      </c>
      <c r="E31847" s="26">
        <v>8.9999999999999998E-4</v>
      </c>
      <c r="F31847">
        <v>197</v>
      </c>
    </row>
    <row r="31848" spans="1:11" x14ac:dyDescent="0.35">
      <c r="A31848" t="s">
        <v>230</v>
      </c>
      <c r="B31848" t="s">
        <v>2731</v>
      </c>
      <c r="C31848" s="26">
        <v>0.99650000000000005</v>
      </c>
      <c r="D31848" s="26">
        <v>3.5000000000000001E-3</v>
      </c>
      <c r="F31848">
        <v>50</v>
      </c>
    </row>
    <row r="31849" spans="1:11" x14ac:dyDescent="0.35">
      <c r="A31849" t="s">
        <v>230</v>
      </c>
      <c r="B31849" t="s">
        <v>2732</v>
      </c>
      <c r="C31849" s="26">
        <v>0.99850000000000005</v>
      </c>
      <c r="D31849" s="26">
        <v>1.5E-3</v>
      </c>
      <c r="F31849">
        <v>313</v>
      </c>
    </row>
    <row r="31850" spans="1:11" x14ac:dyDescent="0.35">
      <c r="A31850" t="s">
        <v>231</v>
      </c>
      <c r="B31850" t="s">
        <v>2730</v>
      </c>
      <c r="C31850" s="26">
        <v>1</v>
      </c>
      <c r="F31850">
        <v>55</v>
      </c>
    </row>
    <row r="31851" spans="1:11" x14ac:dyDescent="0.35">
      <c r="A31851" s="27" t="s">
        <v>231</v>
      </c>
      <c r="B31851" s="27" t="s">
        <v>2731</v>
      </c>
      <c r="C31851" s="28">
        <v>1</v>
      </c>
      <c r="D31851" s="29"/>
      <c r="E31851" s="29"/>
      <c r="F31851" s="29" t="s">
        <v>343</v>
      </c>
    </row>
    <row r="31852" spans="1:11" x14ac:dyDescent="0.35">
      <c r="A31852" t="s">
        <v>231</v>
      </c>
      <c r="B31852" t="s">
        <v>2732</v>
      </c>
      <c r="C31852" s="26">
        <v>0.97829999999999995</v>
      </c>
      <c r="D31852" s="26">
        <v>2.1700000000000001E-2</v>
      </c>
      <c r="F31852">
        <v>92</v>
      </c>
    </row>
    <row r="31853" spans="1:11" x14ac:dyDescent="0.35">
      <c r="A31853" t="s">
        <v>232</v>
      </c>
      <c r="B31853" t="s">
        <v>232</v>
      </c>
      <c r="C31853" s="26">
        <v>0.99060000000000004</v>
      </c>
      <c r="D31853" s="26">
        <v>9.4000000000000004E-3</v>
      </c>
      <c r="E31853" s="26">
        <v>0</v>
      </c>
      <c r="F31853">
        <v>2809</v>
      </c>
    </row>
    <row r="31855" spans="1:11" x14ac:dyDescent="0.35">
      <c r="A31855" s="1" t="s">
        <v>2799</v>
      </c>
    </row>
    <row r="31856" spans="1:11" x14ac:dyDescent="0.35">
      <c r="A31856" t="s">
        <v>219</v>
      </c>
      <c r="B31856" t="s">
        <v>305</v>
      </c>
      <c r="C31856" t="s">
        <v>1889</v>
      </c>
      <c r="D31856" t="s">
        <v>1890</v>
      </c>
      <c r="E31856" t="s">
        <v>1891</v>
      </c>
      <c r="F31856" t="s">
        <v>1892</v>
      </c>
      <c r="G31856" t="s">
        <v>281</v>
      </c>
      <c r="H31856" t="s">
        <v>1893</v>
      </c>
      <c r="I31856" t="s">
        <v>1894</v>
      </c>
      <c r="J31856" t="s">
        <v>286</v>
      </c>
      <c r="K31856" t="s">
        <v>226</v>
      </c>
    </row>
    <row r="31857" spans="1:11" x14ac:dyDescent="0.35">
      <c r="A31857" t="s">
        <v>227</v>
      </c>
      <c r="B31857" t="s">
        <v>2730</v>
      </c>
      <c r="C31857" s="26">
        <v>0.44679999999999997</v>
      </c>
      <c r="D31857" s="26">
        <v>0.40429999999999999</v>
      </c>
      <c r="E31857" s="26">
        <v>0.1489</v>
      </c>
      <c r="K31857">
        <v>47</v>
      </c>
    </row>
    <row r="31858" spans="1:11" x14ac:dyDescent="0.35">
      <c r="A31858" s="27" t="s">
        <v>227</v>
      </c>
      <c r="B31858" s="27" t="s">
        <v>2731</v>
      </c>
      <c r="C31858" s="28">
        <v>0.33329999999999999</v>
      </c>
      <c r="D31858" s="28">
        <v>0.42859999999999998</v>
      </c>
      <c r="E31858" s="28">
        <v>0.23810000000000001</v>
      </c>
      <c r="F31858" s="29"/>
      <c r="G31858" s="29"/>
      <c r="H31858" s="29"/>
      <c r="I31858" s="29"/>
      <c r="J31858" s="29"/>
      <c r="K31858" s="29" t="s">
        <v>351</v>
      </c>
    </row>
    <row r="31859" spans="1:11" x14ac:dyDescent="0.35">
      <c r="A31859" t="s">
        <v>227</v>
      </c>
      <c r="B31859" t="s">
        <v>2732</v>
      </c>
      <c r="C31859" s="26">
        <v>0.3871</v>
      </c>
      <c r="D31859" s="26">
        <v>0.2903</v>
      </c>
      <c r="E31859" s="26">
        <v>0.2366</v>
      </c>
      <c r="F31859" s="26">
        <v>6.4500000000000002E-2</v>
      </c>
      <c r="G31859" s="26">
        <v>2.1499999999999998E-2</v>
      </c>
      <c r="K31859">
        <v>93</v>
      </c>
    </row>
    <row r="31860" spans="1:11" x14ac:dyDescent="0.35">
      <c r="A31860" t="s">
        <v>228</v>
      </c>
      <c r="B31860" t="s">
        <v>2730</v>
      </c>
      <c r="C31860" s="26">
        <v>0.65390000000000004</v>
      </c>
      <c r="D31860" s="26">
        <v>0.14510000000000001</v>
      </c>
      <c r="E31860" s="26">
        <v>0.10680000000000001</v>
      </c>
      <c r="F31860" s="26">
        <v>4.7800000000000002E-2</v>
      </c>
      <c r="G31860" s="26">
        <v>0.01</v>
      </c>
      <c r="H31860" s="26">
        <v>1.2500000000000001E-2</v>
      </c>
      <c r="I31860" s="26">
        <v>2.3800000000000002E-2</v>
      </c>
      <c r="K31860">
        <v>360</v>
      </c>
    </row>
    <row r="31861" spans="1:11" x14ac:dyDescent="0.35">
      <c r="A31861" t="s">
        <v>228</v>
      </c>
      <c r="B31861" t="s">
        <v>2731</v>
      </c>
      <c r="C31861" s="26">
        <v>0.70189999999999997</v>
      </c>
      <c r="D31861" s="26">
        <v>0.14680000000000001</v>
      </c>
      <c r="E31861" s="26">
        <v>6.8000000000000005E-2</v>
      </c>
      <c r="F31861" s="26">
        <v>6.54E-2</v>
      </c>
      <c r="G31861" s="26">
        <v>1.49E-2</v>
      </c>
      <c r="H31861" s="26">
        <v>3.0999999999999999E-3</v>
      </c>
      <c r="K31861">
        <v>96</v>
      </c>
    </row>
    <row r="31862" spans="1:11" x14ac:dyDescent="0.35">
      <c r="A31862" t="s">
        <v>228</v>
      </c>
      <c r="B31862" t="s">
        <v>2732</v>
      </c>
      <c r="C31862" s="26">
        <v>0.55279999999999996</v>
      </c>
      <c r="D31862" s="26">
        <v>0.2422</v>
      </c>
      <c r="E31862" s="26">
        <v>0.11890000000000001</v>
      </c>
      <c r="F31862" s="26">
        <v>6.0299999999999999E-2</v>
      </c>
      <c r="G31862" s="26">
        <v>1.04E-2</v>
      </c>
      <c r="H31862" s="26">
        <v>8.0999999999999996E-3</v>
      </c>
      <c r="I31862" s="26">
        <v>6.7999999999999996E-3</v>
      </c>
      <c r="J31862" s="26">
        <v>5.9999999999999995E-4</v>
      </c>
      <c r="K31862">
        <v>576</v>
      </c>
    </row>
    <row r="31863" spans="1:11" x14ac:dyDescent="0.35">
      <c r="A31863" t="s">
        <v>229</v>
      </c>
      <c r="B31863" t="s">
        <v>2730</v>
      </c>
      <c r="C31863" s="26">
        <v>0.55030000000000001</v>
      </c>
      <c r="D31863" s="26">
        <v>0.2681</v>
      </c>
      <c r="E31863" s="26">
        <v>0.1173</v>
      </c>
      <c r="F31863" s="26">
        <v>4.2799999999999998E-2</v>
      </c>
      <c r="G31863" s="26">
        <v>2.0899999999999998E-2</v>
      </c>
      <c r="I31863" s="26">
        <v>5.9999999999999995E-4</v>
      </c>
      <c r="K31863">
        <v>301</v>
      </c>
    </row>
    <row r="31864" spans="1:11" x14ac:dyDescent="0.35">
      <c r="A31864" t="s">
        <v>229</v>
      </c>
      <c r="B31864" t="s">
        <v>2731</v>
      </c>
      <c r="C31864" s="26">
        <v>0.58530000000000004</v>
      </c>
      <c r="D31864" s="26">
        <v>0.20419999999999999</v>
      </c>
      <c r="E31864" s="26">
        <v>0.17399999999999999</v>
      </c>
      <c r="G31864" s="26">
        <v>3.6499999999999998E-2</v>
      </c>
      <c r="K31864">
        <v>86</v>
      </c>
    </row>
    <row r="31865" spans="1:11" x14ac:dyDescent="0.35">
      <c r="A31865" t="s">
        <v>229</v>
      </c>
      <c r="B31865" t="s">
        <v>2732</v>
      </c>
      <c r="C31865" s="26">
        <v>0.59650000000000003</v>
      </c>
      <c r="D31865" s="26">
        <v>0.2195</v>
      </c>
      <c r="E31865" s="26">
        <v>0.1221</v>
      </c>
      <c r="F31865" s="26">
        <v>4.3200000000000002E-2</v>
      </c>
      <c r="G31865" s="26">
        <v>1.2699999999999999E-2</v>
      </c>
      <c r="H31865" s="26">
        <v>4.4000000000000003E-3</v>
      </c>
      <c r="I31865" s="26">
        <v>1E-3</v>
      </c>
      <c r="J31865" s="26">
        <v>5.0000000000000001E-4</v>
      </c>
      <c r="K31865">
        <v>507</v>
      </c>
    </row>
    <row r="31866" spans="1:11" x14ac:dyDescent="0.35">
      <c r="A31866" t="s">
        <v>230</v>
      </c>
      <c r="B31866" t="s">
        <v>2730</v>
      </c>
      <c r="C31866" s="26">
        <v>0.47089999999999999</v>
      </c>
      <c r="D31866" s="26">
        <v>0.2581</v>
      </c>
      <c r="E31866" s="26">
        <v>0.19439999999999999</v>
      </c>
      <c r="F31866" s="26">
        <v>4.4900000000000002E-2</v>
      </c>
      <c r="H31866" s="26">
        <v>2.81E-2</v>
      </c>
      <c r="I31866" s="26">
        <v>3.7000000000000002E-3</v>
      </c>
      <c r="K31866">
        <v>197</v>
      </c>
    </row>
    <row r="31867" spans="1:11" x14ac:dyDescent="0.35">
      <c r="A31867" t="s">
        <v>230</v>
      </c>
      <c r="B31867" t="s">
        <v>2731</v>
      </c>
      <c r="C31867" s="26">
        <v>0.37369999999999998</v>
      </c>
      <c r="D31867" s="26">
        <v>0.2356</v>
      </c>
      <c r="E31867" s="26">
        <v>0.29409999999999997</v>
      </c>
      <c r="F31867" s="26">
        <v>9.2999999999999999E-2</v>
      </c>
      <c r="H31867" s="26">
        <v>3.5000000000000001E-3</v>
      </c>
      <c r="K31867">
        <v>50</v>
      </c>
    </row>
    <row r="31868" spans="1:11" x14ac:dyDescent="0.35">
      <c r="A31868" t="s">
        <v>230</v>
      </c>
      <c r="B31868" t="s">
        <v>2732</v>
      </c>
      <c r="C31868" s="26">
        <v>0.4733</v>
      </c>
      <c r="D31868" s="26">
        <v>0.2079</v>
      </c>
      <c r="E31868" s="26">
        <v>0.2006</v>
      </c>
      <c r="F31868" s="26">
        <v>4.87E-2</v>
      </c>
      <c r="G31868" s="26">
        <v>1.0800000000000001E-2</v>
      </c>
      <c r="H31868" s="26">
        <v>4.9299999999999997E-2</v>
      </c>
      <c r="I31868" s="26">
        <v>9.2999999999999992E-3</v>
      </c>
      <c r="K31868">
        <v>313</v>
      </c>
    </row>
    <row r="31869" spans="1:11" x14ac:dyDescent="0.35">
      <c r="A31869" t="s">
        <v>231</v>
      </c>
      <c r="B31869" t="s">
        <v>2730</v>
      </c>
      <c r="C31869" s="26">
        <v>0.36359999999999998</v>
      </c>
      <c r="D31869" s="26">
        <v>0.32729999999999998</v>
      </c>
      <c r="E31869" s="26">
        <v>0.21820000000000001</v>
      </c>
      <c r="F31869" s="26">
        <v>7.2700000000000001E-2</v>
      </c>
      <c r="G31869" s="26">
        <v>1.8200000000000001E-2</v>
      </c>
      <c r="K31869">
        <v>55</v>
      </c>
    </row>
    <row r="31870" spans="1:11" x14ac:dyDescent="0.35">
      <c r="A31870" s="27" t="s">
        <v>231</v>
      </c>
      <c r="B31870" s="27" t="s">
        <v>2731</v>
      </c>
      <c r="C31870" s="28">
        <v>0.23530000000000001</v>
      </c>
      <c r="D31870" s="28">
        <v>0.47060000000000002</v>
      </c>
      <c r="E31870" s="28">
        <v>0.23530000000000001</v>
      </c>
      <c r="F31870" s="28">
        <v>5.8799999999999998E-2</v>
      </c>
      <c r="G31870" s="29"/>
      <c r="H31870" s="29"/>
      <c r="I31870" s="29"/>
      <c r="J31870" s="29"/>
      <c r="K31870" s="29" t="s">
        <v>343</v>
      </c>
    </row>
    <row r="31871" spans="1:11" x14ac:dyDescent="0.35">
      <c r="A31871" t="s">
        <v>231</v>
      </c>
      <c r="B31871" t="s">
        <v>2732</v>
      </c>
      <c r="C31871" s="26">
        <v>0.2717</v>
      </c>
      <c r="D31871" s="26">
        <v>0.41299999999999998</v>
      </c>
      <c r="E31871" s="26">
        <v>0.25</v>
      </c>
      <c r="F31871" s="26">
        <v>5.4300000000000001E-2</v>
      </c>
      <c r="I31871" s="26">
        <v>1.09E-2</v>
      </c>
      <c r="K31871">
        <v>92</v>
      </c>
    </row>
    <row r="31872" spans="1:11" x14ac:dyDescent="0.35">
      <c r="A31872" t="s">
        <v>232</v>
      </c>
      <c r="B31872" t="s">
        <v>232</v>
      </c>
      <c r="C31872" s="26">
        <v>0.46879999999999999</v>
      </c>
      <c r="D31872" s="26">
        <v>0.28549999999999998</v>
      </c>
      <c r="E31872" s="26">
        <v>0.1739</v>
      </c>
      <c r="F31872" s="26">
        <v>4.9399999999999999E-2</v>
      </c>
      <c r="G31872" s="26">
        <v>1.11E-2</v>
      </c>
      <c r="H31872" s="26">
        <v>6.3E-3</v>
      </c>
      <c r="I31872" s="26">
        <v>4.8999999999999998E-3</v>
      </c>
      <c r="J31872" s="26">
        <v>2.0000000000000001E-4</v>
      </c>
      <c r="K31872">
        <v>2811</v>
      </c>
    </row>
    <row r="31874" spans="1:11" x14ac:dyDescent="0.35">
      <c r="A31874" s="1" t="s">
        <v>2800</v>
      </c>
    </row>
    <row r="31875" spans="1:11" x14ac:dyDescent="0.35">
      <c r="A31875" t="s">
        <v>219</v>
      </c>
      <c r="B31875" t="s">
        <v>305</v>
      </c>
      <c r="C31875" t="s">
        <v>1907</v>
      </c>
      <c r="D31875" t="s">
        <v>1908</v>
      </c>
      <c r="E31875" t="s">
        <v>1909</v>
      </c>
      <c r="F31875" t="s">
        <v>1910</v>
      </c>
      <c r="G31875" t="s">
        <v>1911</v>
      </c>
      <c r="H31875" t="s">
        <v>1912</v>
      </c>
      <c r="I31875" t="s">
        <v>1913</v>
      </c>
      <c r="J31875" t="s">
        <v>1914</v>
      </c>
      <c r="K31875" t="s">
        <v>226</v>
      </c>
    </row>
    <row r="31876" spans="1:11" x14ac:dyDescent="0.35">
      <c r="A31876" t="s">
        <v>227</v>
      </c>
      <c r="B31876" t="s">
        <v>2730</v>
      </c>
      <c r="C31876" s="26">
        <v>1</v>
      </c>
      <c r="K31876">
        <v>47</v>
      </c>
    </row>
    <row r="31877" spans="1:11" x14ac:dyDescent="0.35">
      <c r="A31877" s="27" t="s">
        <v>227</v>
      </c>
      <c r="B31877" s="27" t="s">
        <v>2731</v>
      </c>
      <c r="C31877" s="28">
        <v>1</v>
      </c>
      <c r="D31877" s="29"/>
      <c r="E31877" s="29"/>
      <c r="F31877" s="29"/>
      <c r="G31877" s="29"/>
      <c r="H31877" s="29"/>
      <c r="I31877" s="29"/>
      <c r="J31877" s="29"/>
      <c r="K31877" s="29" t="s">
        <v>351</v>
      </c>
    </row>
    <row r="31878" spans="1:11" x14ac:dyDescent="0.35">
      <c r="A31878" t="s">
        <v>227</v>
      </c>
      <c r="B31878" t="s">
        <v>2732</v>
      </c>
      <c r="C31878" s="26">
        <v>1</v>
      </c>
      <c r="K31878">
        <v>93</v>
      </c>
    </row>
    <row r="31879" spans="1:11" x14ac:dyDescent="0.35">
      <c r="A31879" t="s">
        <v>228</v>
      </c>
      <c r="B31879" t="s">
        <v>2730</v>
      </c>
      <c r="C31879" s="26">
        <v>0.97709999999999997</v>
      </c>
      <c r="D31879" s="26">
        <v>1.0699999999999999E-2</v>
      </c>
      <c r="E31879" s="26">
        <v>0.01</v>
      </c>
      <c r="I31879" s="26">
        <v>2.2000000000000001E-3</v>
      </c>
      <c r="K31879">
        <v>360</v>
      </c>
    </row>
    <row r="31880" spans="1:11" x14ac:dyDescent="0.35">
      <c r="A31880" t="s">
        <v>228</v>
      </c>
      <c r="B31880" t="s">
        <v>2731</v>
      </c>
      <c r="C31880" s="26">
        <v>1</v>
      </c>
      <c r="K31880">
        <v>96</v>
      </c>
    </row>
    <row r="31881" spans="1:11" x14ac:dyDescent="0.35">
      <c r="A31881" t="s">
        <v>228</v>
      </c>
      <c r="B31881" t="s">
        <v>2732</v>
      </c>
      <c r="C31881" s="26">
        <v>0.99860000000000004</v>
      </c>
      <c r="D31881" s="26">
        <v>1.4E-3</v>
      </c>
      <c r="K31881">
        <v>576</v>
      </c>
    </row>
    <row r="31882" spans="1:11" x14ac:dyDescent="0.35">
      <c r="A31882" t="s">
        <v>229</v>
      </c>
      <c r="B31882" t="s">
        <v>2730</v>
      </c>
      <c r="C31882" s="26">
        <v>1</v>
      </c>
      <c r="K31882">
        <v>302</v>
      </c>
    </row>
    <row r="31883" spans="1:11" x14ac:dyDescent="0.35">
      <c r="A31883" t="s">
        <v>229</v>
      </c>
      <c r="B31883" t="s">
        <v>2731</v>
      </c>
      <c r="C31883" s="26">
        <v>1</v>
      </c>
      <c r="K31883">
        <v>86</v>
      </c>
    </row>
    <row r="31884" spans="1:11" x14ac:dyDescent="0.35">
      <c r="A31884" t="s">
        <v>229</v>
      </c>
      <c r="B31884" t="s">
        <v>2732</v>
      </c>
      <c r="C31884" s="26">
        <v>0.99770000000000003</v>
      </c>
      <c r="F31884" s="26">
        <v>1E-3</v>
      </c>
      <c r="G31884" s="26">
        <v>8.0000000000000004E-4</v>
      </c>
      <c r="H31884" s="26">
        <v>5.0000000000000001E-4</v>
      </c>
      <c r="K31884">
        <v>507</v>
      </c>
    </row>
    <row r="31885" spans="1:11" x14ac:dyDescent="0.35">
      <c r="A31885" t="s">
        <v>230</v>
      </c>
      <c r="B31885" t="s">
        <v>2730</v>
      </c>
      <c r="C31885" s="26">
        <v>0.99829999999999997</v>
      </c>
      <c r="H31885" s="26">
        <v>8.9999999999999998E-4</v>
      </c>
      <c r="J31885" s="26">
        <v>8.9999999999999998E-4</v>
      </c>
      <c r="K31885">
        <v>197</v>
      </c>
    </row>
    <row r="31886" spans="1:11" x14ac:dyDescent="0.35">
      <c r="A31886" t="s">
        <v>230</v>
      </c>
      <c r="B31886" t="s">
        <v>2731</v>
      </c>
      <c r="C31886" s="26">
        <v>1</v>
      </c>
      <c r="K31886">
        <v>50</v>
      </c>
    </row>
    <row r="31887" spans="1:11" x14ac:dyDescent="0.35">
      <c r="A31887" t="s">
        <v>230</v>
      </c>
      <c r="B31887" t="s">
        <v>2732</v>
      </c>
      <c r="C31887" s="26">
        <v>0.998</v>
      </c>
      <c r="E31887" s="26">
        <v>1.5E-3</v>
      </c>
      <c r="G31887" s="26">
        <v>5.0000000000000001E-4</v>
      </c>
      <c r="K31887">
        <v>313</v>
      </c>
    </row>
    <row r="31888" spans="1:11" x14ac:dyDescent="0.35">
      <c r="A31888" t="s">
        <v>231</v>
      </c>
      <c r="B31888" t="s">
        <v>2730</v>
      </c>
      <c r="C31888" s="26">
        <v>1</v>
      </c>
      <c r="K31888">
        <v>55</v>
      </c>
    </row>
    <row r="31889" spans="1:11" x14ac:dyDescent="0.35">
      <c r="A31889" s="27" t="s">
        <v>231</v>
      </c>
      <c r="B31889" s="27" t="s">
        <v>2731</v>
      </c>
      <c r="C31889" s="28">
        <v>1</v>
      </c>
      <c r="D31889" s="29"/>
      <c r="E31889" s="29"/>
      <c r="F31889" s="29"/>
      <c r="G31889" s="29"/>
      <c r="H31889" s="29"/>
      <c r="I31889" s="29"/>
      <c r="J31889" s="29"/>
      <c r="K31889" s="29" t="s">
        <v>343</v>
      </c>
    </row>
    <row r="31890" spans="1:11" x14ac:dyDescent="0.35">
      <c r="A31890" t="s">
        <v>231</v>
      </c>
      <c r="B31890" t="s">
        <v>2732</v>
      </c>
      <c r="C31890" s="26">
        <v>1</v>
      </c>
      <c r="K31890">
        <v>92</v>
      </c>
    </row>
    <row r="31891" spans="1:11" x14ac:dyDescent="0.35">
      <c r="A31891" t="s">
        <v>232</v>
      </c>
      <c r="B31891" t="s">
        <v>232</v>
      </c>
      <c r="C31891" s="26">
        <v>0.99780000000000002</v>
      </c>
      <c r="D31891" s="26">
        <v>8.9999999999999998E-4</v>
      </c>
      <c r="E31891" s="26">
        <v>6.9999999999999999E-4</v>
      </c>
      <c r="F31891" s="26">
        <v>2.0000000000000001E-4</v>
      </c>
      <c r="G31891" s="26">
        <v>2.0000000000000001E-4</v>
      </c>
      <c r="H31891" s="26">
        <v>1E-4</v>
      </c>
      <c r="I31891" s="26">
        <v>1E-4</v>
      </c>
      <c r="J31891" s="26">
        <v>0</v>
      </c>
      <c r="K31891">
        <v>2812</v>
      </c>
    </row>
    <row r="31893" spans="1:11" x14ac:dyDescent="0.35">
      <c r="A31893" s="1" t="s">
        <v>2801</v>
      </c>
    </row>
    <row r="31894" spans="1:11" x14ac:dyDescent="0.35">
      <c r="A31894" t="s">
        <v>219</v>
      </c>
      <c r="B31894" t="s">
        <v>305</v>
      </c>
      <c r="C31894" t="s">
        <v>1927</v>
      </c>
      <c r="D31894" t="s">
        <v>1928</v>
      </c>
      <c r="E31894" t="s">
        <v>1929</v>
      </c>
      <c r="F31894" t="s">
        <v>281</v>
      </c>
      <c r="G31894" t="s">
        <v>286</v>
      </c>
      <c r="H31894" t="s">
        <v>226</v>
      </c>
    </row>
    <row r="31895" spans="1:11" x14ac:dyDescent="0.35">
      <c r="A31895" t="s">
        <v>227</v>
      </c>
      <c r="B31895" t="s">
        <v>2730</v>
      </c>
      <c r="C31895" s="26">
        <v>0.8085</v>
      </c>
      <c r="D31895" s="26">
        <v>0.1915</v>
      </c>
      <c r="H31895">
        <v>47</v>
      </c>
    </row>
    <row r="31896" spans="1:11" x14ac:dyDescent="0.35">
      <c r="A31896" s="27" t="s">
        <v>227</v>
      </c>
      <c r="B31896" s="27" t="s">
        <v>2731</v>
      </c>
      <c r="C31896" s="28">
        <v>0.71430000000000005</v>
      </c>
      <c r="D31896" s="28">
        <v>0.1905</v>
      </c>
      <c r="E31896" s="28">
        <v>9.5200000000000007E-2</v>
      </c>
      <c r="F31896" s="29"/>
      <c r="G31896" s="29"/>
      <c r="H31896" s="29" t="s">
        <v>351</v>
      </c>
    </row>
    <row r="31897" spans="1:11" x14ac:dyDescent="0.35">
      <c r="A31897" t="s">
        <v>227</v>
      </c>
      <c r="B31897" t="s">
        <v>2732</v>
      </c>
      <c r="C31897" s="26">
        <v>0.69889999999999997</v>
      </c>
      <c r="D31897" s="26">
        <v>0.2581</v>
      </c>
      <c r="E31897" s="26">
        <v>3.2300000000000002E-2</v>
      </c>
      <c r="F31897" s="26">
        <v>1.0800000000000001E-2</v>
      </c>
      <c r="H31897">
        <v>93</v>
      </c>
    </row>
    <row r="31898" spans="1:11" x14ac:dyDescent="0.35">
      <c r="A31898" t="s">
        <v>228</v>
      </c>
      <c r="B31898" t="s">
        <v>2730</v>
      </c>
      <c r="C31898" s="26">
        <v>0.66110000000000002</v>
      </c>
      <c r="D31898" s="26">
        <v>0.2989</v>
      </c>
      <c r="E31898" s="26">
        <v>4.0099999999999997E-2</v>
      </c>
      <c r="H31898">
        <v>358</v>
      </c>
    </row>
    <row r="31899" spans="1:11" x14ac:dyDescent="0.35">
      <c r="A31899" t="s">
        <v>228</v>
      </c>
      <c r="B31899" t="s">
        <v>2731</v>
      </c>
      <c r="C31899" s="26">
        <v>0.58360000000000001</v>
      </c>
      <c r="D31899" s="26">
        <v>0.4133</v>
      </c>
      <c r="E31899" s="26">
        <v>3.0999999999999999E-3</v>
      </c>
      <c r="H31899">
        <v>96</v>
      </c>
    </row>
    <row r="31900" spans="1:11" x14ac:dyDescent="0.35">
      <c r="A31900" t="s">
        <v>228</v>
      </c>
      <c r="B31900" t="s">
        <v>2732</v>
      </c>
      <c r="C31900" s="26">
        <v>0.66600000000000004</v>
      </c>
      <c r="D31900" s="26">
        <v>0.31159999999999999</v>
      </c>
      <c r="E31900" s="26">
        <v>2.1700000000000001E-2</v>
      </c>
      <c r="G31900" s="26">
        <v>6.9999999999999999E-4</v>
      </c>
      <c r="H31900">
        <v>575</v>
      </c>
    </row>
    <row r="31901" spans="1:11" x14ac:dyDescent="0.35">
      <c r="A31901" t="s">
        <v>229</v>
      </c>
      <c r="B31901" t="s">
        <v>2730</v>
      </c>
      <c r="C31901" s="26">
        <v>0.70099999999999996</v>
      </c>
      <c r="D31901" s="26">
        <v>0.25840000000000002</v>
      </c>
      <c r="E31901" s="26">
        <v>3.6900000000000002E-2</v>
      </c>
      <c r="F31901" s="26">
        <v>1.1999999999999999E-3</v>
      </c>
      <c r="G31901" s="26">
        <v>2.5000000000000001E-3</v>
      </c>
      <c r="H31901">
        <v>299</v>
      </c>
    </row>
    <row r="31902" spans="1:11" x14ac:dyDescent="0.35">
      <c r="A31902" t="s">
        <v>229</v>
      </c>
      <c r="B31902" t="s">
        <v>2731</v>
      </c>
      <c r="C31902" s="26">
        <v>0.56459999999999999</v>
      </c>
      <c r="D31902" s="26">
        <v>0.43540000000000001</v>
      </c>
      <c r="H31902">
        <v>86</v>
      </c>
    </row>
    <row r="31903" spans="1:11" x14ac:dyDescent="0.35">
      <c r="A31903" t="s">
        <v>229</v>
      </c>
      <c r="B31903" t="s">
        <v>2732</v>
      </c>
      <c r="C31903" s="26">
        <v>0.60060000000000002</v>
      </c>
      <c r="D31903" s="26">
        <v>0.36749999999999999</v>
      </c>
      <c r="E31903" s="26">
        <v>3.1800000000000002E-2</v>
      </c>
      <c r="F31903" s="26">
        <v>1E-4</v>
      </c>
      <c r="H31903">
        <v>504</v>
      </c>
    </row>
    <row r="31904" spans="1:11" x14ac:dyDescent="0.35">
      <c r="A31904" t="s">
        <v>230</v>
      </c>
      <c r="B31904" t="s">
        <v>2730</v>
      </c>
      <c r="C31904" s="26">
        <v>0.55400000000000005</v>
      </c>
      <c r="D31904" s="26">
        <v>0.40400000000000003</v>
      </c>
      <c r="E31904" s="26">
        <v>4.0300000000000002E-2</v>
      </c>
      <c r="F31904" s="26">
        <v>8.9999999999999998E-4</v>
      </c>
      <c r="G31904" s="26">
        <v>8.9999999999999998E-4</v>
      </c>
      <c r="H31904">
        <v>196</v>
      </c>
    </row>
    <row r="31905" spans="1:11" x14ac:dyDescent="0.35">
      <c r="A31905" t="s">
        <v>230</v>
      </c>
      <c r="B31905" t="s">
        <v>2731</v>
      </c>
      <c r="C31905" s="26">
        <v>0.71340000000000003</v>
      </c>
      <c r="D31905" s="26">
        <v>0.25979999999999998</v>
      </c>
      <c r="E31905" s="26">
        <v>2.6800000000000001E-2</v>
      </c>
      <c r="H31905">
        <v>50</v>
      </c>
    </row>
    <row r="31906" spans="1:11" x14ac:dyDescent="0.35">
      <c r="A31906" t="s">
        <v>230</v>
      </c>
      <c r="B31906" t="s">
        <v>2732</v>
      </c>
      <c r="C31906" s="26">
        <v>0.67759999999999998</v>
      </c>
      <c r="D31906" s="26">
        <v>0.28999999999999998</v>
      </c>
      <c r="E31906" s="26">
        <v>2.7900000000000001E-2</v>
      </c>
      <c r="F31906" s="26">
        <v>4.4999999999999997E-3</v>
      </c>
      <c r="H31906">
        <v>313</v>
      </c>
    </row>
    <row r="31907" spans="1:11" x14ac:dyDescent="0.35">
      <c r="A31907" t="s">
        <v>231</v>
      </c>
      <c r="B31907" t="s">
        <v>2730</v>
      </c>
      <c r="C31907" s="26">
        <v>0.81820000000000004</v>
      </c>
      <c r="D31907" s="26">
        <v>0.18179999999999999</v>
      </c>
      <c r="H31907">
        <v>55</v>
      </c>
    </row>
    <row r="31908" spans="1:11" x14ac:dyDescent="0.35">
      <c r="A31908" s="27" t="s">
        <v>231</v>
      </c>
      <c r="B31908" s="27" t="s">
        <v>2731</v>
      </c>
      <c r="C31908" s="28">
        <v>0.64710000000000001</v>
      </c>
      <c r="D31908" s="28">
        <v>0.29409999999999997</v>
      </c>
      <c r="E31908" s="28">
        <v>5.8799999999999998E-2</v>
      </c>
      <c r="F31908" s="29"/>
      <c r="G31908" s="29"/>
      <c r="H31908" s="29" t="s">
        <v>343</v>
      </c>
    </row>
    <row r="31909" spans="1:11" x14ac:dyDescent="0.35">
      <c r="A31909" t="s">
        <v>231</v>
      </c>
      <c r="B31909" t="s">
        <v>2732</v>
      </c>
      <c r="C31909" s="26">
        <v>0.64129999999999998</v>
      </c>
      <c r="D31909" s="26">
        <v>0.31519999999999998</v>
      </c>
      <c r="E31909" s="26">
        <v>2.1700000000000001E-2</v>
      </c>
      <c r="F31909" s="26">
        <v>2.1700000000000001E-2</v>
      </c>
      <c r="H31909">
        <v>92</v>
      </c>
    </row>
    <row r="31910" spans="1:11" x14ac:dyDescent="0.35">
      <c r="A31910" t="s">
        <v>232</v>
      </c>
      <c r="B31910" t="s">
        <v>232</v>
      </c>
      <c r="C31910" s="26">
        <v>0.67049999999999998</v>
      </c>
      <c r="D31910" s="26">
        <v>0.2979</v>
      </c>
      <c r="E31910" s="26">
        <v>2.6499999999999999E-2</v>
      </c>
      <c r="F31910" s="26">
        <v>4.7000000000000002E-3</v>
      </c>
      <c r="G31910" s="26">
        <v>2.9999999999999997E-4</v>
      </c>
      <c r="H31910">
        <v>2802</v>
      </c>
    </row>
    <row r="31912" spans="1:11" x14ac:dyDescent="0.35">
      <c r="A31912" s="1" t="s">
        <v>2802</v>
      </c>
    </row>
    <row r="31913" spans="1:11" x14ac:dyDescent="0.35">
      <c r="A31913" t="s">
        <v>219</v>
      </c>
      <c r="B31913" t="s">
        <v>305</v>
      </c>
      <c r="C31913" t="s">
        <v>1942</v>
      </c>
      <c r="D31913" t="s">
        <v>1943</v>
      </c>
      <c r="E31913" t="s">
        <v>1944</v>
      </c>
      <c r="F31913" t="s">
        <v>1945</v>
      </c>
      <c r="G31913" t="s">
        <v>1946</v>
      </c>
      <c r="H31913" t="s">
        <v>1947</v>
      </c>
      <c r="I31913" t="s">
        <v>281</v>
      </c>
      <c r="J31913" t="s">
        <v>286</v>
      </c>
      <c r="K31913" t="s">
        <v>226</v>
      </c>
    </row>
    <row r="31914" spans="1:11" x14ac:dyDescent="0.35">
      <c r="A31914" t="s">
        <v>227</v>
      </c>
      <c r="B31914" t="s">
        <v>2730</v>
      </c>
      <c r="C31914" s="26">
        <v>0.82979999999999998</v>
      </c>
      <c r="D31914" s="26">
        <v>8.5099999999999995E-2</v>
      </c>
      <c r="E31914" s="26">
        <v>2.1299999999999999E-2</v>
      </c>
      <c r="G31914" s="26">
        <v>2.1299999999999999E-2</v>
      </c>
      <c r="H31914" s="26">
        <v>4.2599999999999999E-2</v>
      </c>
      <c r="K31914">
        <v>47</v>
      </c>
    </row>
    <row r="31915" spans="1:11" x14ac:dyDescent="0.35">
      <c r="A31915" s="27" t="s">
        <v>227</v>
      </c>
      <c r="B31915" s="27" t="s">
        <v>2731</v>
      </c>
      <c r="C31915" s="28">
        <v>0.8095</v>
      </c>
      <c r="D31915" s="28">
        <v>9.5200000000000007E-2</v>
      </c>
      <c r="E31915" s="28">
        <v>4.7600000000000003E-2</v>
      </c>
      <c r="F31915" s="29"/>
      <c r="G31915" s="29"/>
      <c r="H31915" s="28">
        <v>4.7600000000000003E-2</v>
      </c>
      <c r="I31915" s="29"/>
      <c r="J31915" s="29"/>
      <c r="K31915" s="29" t="s">
        <v>351</v>
      </c>
    </row>
    <row r="31916" spans="1:11" x14ac:dyDescent="0.35">
      <c r="A31916" t="s">
        <v>227</v>
      </c>
      <c r="B31916" t="s">
        <v>2732</v>
      </c>
      <c r="C31916" s="26">
        <v>0.73119999999999996</v>
      </c>
      <c r="D31916" s="26">
        <v>0.15049999999999999</v>
      </c>
      <c r="E31916" s="26">
        <v>5.3800000000000001E-2</v>
      </c>
      <c r="F31916" s="26">
        <v>4.2999999999999997E-2</v>
      </c>
      <c r="G31916" s="26">
        <v>3.2300000000000002E-2</v>
      </c>
      <c r="H31916" s="26">
        <v>1.0800000000000001E-2</v>
      </c>
      <c r="K31916">
        <v>93</v>
      </c>
    </row>
    <row r="31917" spans="1:11" x14ac:dyDescent="0.35">
      <c r="A31917" t="s">
        <v>228</v>
      </c>
      <c r="B31917" t="s">
        <v>2730</v>
      </c>
      <c r="C31917" s="26">
        <v>0.79430000000000001</v>
      </c>
      <c r="D31917" s="26">
        <v>0.1072</v>
      </c>
      <c r="E31917" s="26">
        <v>3.2000000000000001E-2</v>
      </c>
      <c r="F31917" s="26">
        <v>9.0300000000000005E-2</v>
      </c>
      <c r="G31917" s="26">
        <v>4.0500000000000001E-2</v>
      </c>
      <c r="H31917" s="26">
        <v>1.6500000000000001E-2</v>
      </c>
      <c r="I31917" s="26">
        <v>1.2999999999999999E-3</v>
      </c>
      <c r="K31917">
        <v>356</v>
      </c>
    </row>
    <row r="31918" spans="1:11" x14ac:dyDescent="0.35">
      <c r="A31918" t="s">
        <v>228</v>
      </c>
      <c r="B31918" t="s">
        <v>2731</v>
      </c>
      <c r="C31918" s="26">
        <v>0.7036</v>
      </c>
      <c r="D31918" s="26">
        <v>0.14749999999999999</v>
      </c>
      <c r="E31918" s="26">
        <v>9.3299999999999994E-2</v>
      </c>
      <c r="F31918" s="26">
        <v>0.13639999999999999</v>
      </c>
      <c r="G31918" s="26">
        <v>4.24E-2</v>
      </c>
      <c r="H31918" s="26">
        <v>1.7000000000000001E-2</v>
      </c>
      <c r="K31918">
        <v>96</v>
      </c>
    </row>
    <row r="31919" spans="1:11" x14ac:dyDescent="0.35">
      <c r="A31919" t="s">
        <v>228</v>
      </c>
      <c r="B31919" t="s">
        <v>2732</v>
      </c>
      <c r="C31919" s="26">
        <v>0.7913</v>
      </c>
      <c r="D31919" s="26">
        <v>0.1249</v>
      </c>
      <c r="E31919" s="26">
        <v>4.87E-2</v>
      </c>
      <c r="F31919" s="26">
        <v>5.04E-2</v>
      </c>
      <c r="G31919" s="26">
        <v>3.9399999999999998E-2</v>
      </c>
      <c r="H31919" s="26">
        <v>2.93E-2</v>
      </c>
      <c r="I31919" s="26">
        <v>2E-3</v>
      </c>
      <c r="J31919" s="26">
        <v>6.9999999999999999E-4</v>
      </c>
      <c r="K31919">
        <v>575</v>
      </c>
    </row>
    <row r="31920" spans="1:11" x14ac:dyDescent="0.35">
      <c r="A31920" t="s">
        <v>229</v>
      </c>
      <c r="B31920" t="s">
        <v>2730</v>
      </c>
      <c r="C31920" s="26">
        <v>0.75970000000000004</v>
      </c>
      <c r="D31920" s="26">
        <v>0.109</v>
      </c>
      <c r="E31920" s="26">
        <v>0.1206</v>
      </c>
      <c r="F31920" s="26">
        <v>5.2600000000000001E-2</v>
      </c>
      <c r="G31920" s="26">
        <v>2.63E-2</v>
      </c>
      <c r="H31920" s="26">
        <v>7.4000000000000003E-3</v>
      </c>
      <c r="J31920" s="26">
        <v>2.3999999999999998E-3</v>
      </c>
      <c r="K31920">
        <v>300</v>
      </c>
    </row>
    <row r="31921" spans="1:11" x14ac:dyDescent="0.35">
      <c r="A31921" t="s">
        <v>229</v>
      </c>
      <c r="B31921" t="s">
        <v>2731</v>
      </c>
      <c r="C31921" s="26">
        <v>0.71960000000000002</v>
      </c>
      <c r="D31921" s="26">
        <v>0.1198</v>
      </c>
      <c r="E31921" s="26">
        <v>0.1867</v>
      </c>
      <c r="F31921" s="26">
        <v>4.7E-2</v>
      </c>
      <c r="G31921" s="26">
        <v>1.01E-2</v>
      </c>
      <c r="H31921" s="26">
        <v>5.1999999999999998E-3</v>
      </c>
      <c r="K31921">
        <v>86</v>
      </c>
    </row>
    <row r="31922" spans="1:11" x14ac:dyDescent="0.35">
      <c r="A31922" t="s">
        <v>229</v>
      </c>
      <c r="B31922" t="s">
        <v>2732</v>
      </c>
      <c r="C31922" s="26">
        <v>0.71240000000000003</v>
      </c>
      <c r="D31922" s="26">
        <v>0.1143</v>
      </c>
      <c r="E31922" s="26">
        <v>0.17380000000000001</v>
      </c>
      <c r="F31922" s="26">
        <v>5.1999999999999998E-2</v>
      </c>
      <c r="G31922" s="26">
        <v>3.44E-2</v>
      </c>
      <c r="H31922" s="26">
        <v>2.4400000000000002E-2</v>
      </c>
      <c r="I31922" s="26">
        <v>1E-4</v>
      </c>
      <c r="K31922">
        <v>506</v>
      </c>
    </row>
    <row r="31923" spans="1:11" x14ac:dyDescent="0.35">
      <c r="A31923" t="s">
        <v>230</v>
      </c>
      <c r="B31923" t="s">
        <v>2730</v>
      </c>
      <c r="C31923" s="26">
        <v>0.65259999999999996</v>
      </c>
      <c r="D31923" s="26">
        <v>0.26279999999999998</v>
      </c>
      <c r="E31923" s="26">
        <v>5.2400000000000002E-2</v>
      </c>
      <c r="F31923" s="26">
        <v>6.3299999999999995E-2</v>
      </c>
      <c r="G31923" s="26">
        <v>6.2899999999999998E-2</v>
      </c>
      <c r="H31923" s="26">
        <v>4.3700000000000003E-2</v>
      </c>
      <c r="I31923" s="26">
        <v>8.9999999999999998E-4</v>
      </c>
      <c r="K31923">
        <v>196</v>
      </c>
    </row>
    <row r="31924" spans="1:11" x14ac:dyDescent="0.35">
      <c r="A31924" t="s">
        <v>230</v>
      </c>
      <c r="B31924" t="s">
        <v>2731</v>
      </c>
      <c r="C31924" s="26">
        <v>0.7429</v>
      </c>
      <c r="D31924" s="26">
        <v>4.9200000000000001E-2</v>
      </c>
      <c r="E31924" s="26">
        <v>8.1299999999999997E-2</v>
      </c>
      <c r="F31924" s="26">
        <v>9.98E-2</v>
      </c>
      <c r="G31924" s="26">
        <v>0.10009999999999999</v>
      </c>
      <c r="H31924" s="26">
        <v>3.5000000000000001E-3</v>
      </c>
      <c r="K31924">
        <v>50</v>
      </c>
    </row>
    <row r="31925" spans="1:11" x14ac:dyDescent="0.35">
      <c r="A31925" t="s">
        <v>230</v>
      </c>
      <c r="B31925" t="s">
        <v>2732</v>
      </c>
      <c r="C31925" s="26">
        <v>0.71719999999999995</v>
      </c>
      <c r="D31925" s="26">
        <v>0.19839999999999999</v>
      </c>
      <c r="E31925" s="26">
        <v>4.1300000000000003E-2</v>
      </c>
      <c r="F31925" s="26">
        <v>7.3999999999999996E-2</v>
      </c>
      <c r="G31925" s="26">
        <v>4.1700000000000001E-2</v>
      </c>
      <c r="H31925" s="26">
        <v>3.8999999999999998E-3</v>
      </c>
      <c r="I31925" s="26">
        <v>5.0000000000000001E-4</v>
      </c>
      <c r="K31925">
        <v>313</v>
      </c>
    </row>
    <row r="31926" spans="1:11" x14ac:dyDescent="0.35">
      <c r="A31926" t="s">
        <v>231</v>
      </c>
      <c r="B31926" t="s">
        <v>2730</v>
      </c>
      <c r="C31926" s="26">
        <v>0.85450000000000004</v>
      </c>
      <c r="D31926" s="26">
        <v>7.2700000000000001E-2</v>
      </c>
      <c r="E31926" s="26">
        <v>1.8200000000000001E-2</v>
      </c>
      <c r="F31926" s="26">
        <v>1.8200000000000001E-2</v>
      </c>
      <c r="G31926" s="26">
        <v>1.8200000000000001E-2</v>
      </c>
      <c r="I31926" s="26">
        <v>1.8200000000000001E-2</v>
      </c>
      <c r="K31926">
        <v>55</v>
      </c>
    </row>
    <row r="31927" spans="1:11" x14ac:dyDescent="0.35">
      <c r="A31927" s="27" t="s">
        <v>231</v>
      </c>
      <c r="B31927" s="27" t="s">
        <v>2731</v>
      </c>
      <c r="C31927" s="28">
        <v>0.82350000000000001</v>
      </c>
      <c r="D31927" s="28">
        <v>5.8799999999999998E-2</v>
      </c>
      <c r="E31927" s="29"/>
      <c r="F31927" s="28">
        <v>0.17649999999999999</v>
      </c>
      <c r="G31927" s="29"/>
      <c r="H31927" s="29"/>
      <c r="I31927" s="29"/>
      <c r="J31927" s="29"/>
      <c r="K31927" s="29" t="s">
        <v>343</v>
      </c>
    </row>
    <row r="31928" spans="1:11" x14ac:dyDescent="0.35">
      <c r="A31928" t="s">
        <v>231</v>
      </c>
      <c r="B31928" t="s">
        <v>2732</v>
      </c>
      <c r="C31928" s="26">
        <v>0.90110000000000001</v>
      </c>
      <c r="D31928" s="26">
        <v>4.3999999999999997E-2</v>
      </c>
      <c r="E31928" s="26">
        <v>3.3000000000000002E-2</v>
      </c>
      <c r="F31928" s="26">
        <v>4.3999999999999997E-2</v>
      </c>
      <c r="K31928">
        <v>91</v>
      </c>
    </row>
    <row r="31929" spans="1:11" x14ac:dyDescent="0.35">
      <c r="A31929" t="s">
        <v>232</v>
      </c>
      <c r="B31929" t="s">
        <v>232</v>
      </c>
      <c r="C31929" s="26">
        <v>0.78259999999999996</v>
      </c>
      <c r="D31929" s="26">
        <v>0.1094</v>
      </c>
      <c r="E31929" s="26">
        <v>7.2499999999999995E-2</v>
      </c>
      <c r="F31929" s="26">
        <v>5.3100000000000001E-2</v>
      </c>
      <c r="G31929" s="26">
        <v>2.6800000000000001E-2</v>
      </c>
      <c r="H31929" s="26">
        <v>1.5100000000000001E-2</v>
      </c>
      <c r="I31929" s="26">
        <v>2.0999999999999999E-3</v>
      </c>
      <c r="J31929" s="26">
        <v>2.9999999999999997E-4</v>
      </c>
      <c r="K31929">
        <v>2802</v>
      </c>
    </row>
    <row r="31931" spans="1:11" x14ac:dyDescent="0.35">
      <c r="A31931" s="1" t="s">
        <v>2803</v>
      </c>
    </row>
    <row r="31932" spans="1:11" x14ac:dyDescent="0.35">
      <c r="A31932" t="s">
        <v>219</v>
      </c>
      <c r="B31932" t="s">
        <v>305</v>
      </c>
      <c r="C31932" t="s">
        <v>302</v>
      </c>
      <c r="D31932" t="s">
        <v>303</v>
      </c>
      <c r="E31932" t="s">
        <v>281</v>
      </c>
      <c r="F31932" t="s">
        <v>286</v>
      </c>
      <c r="G31932" t="s">
        <v>226</v>
      </c>
    </row>
    <row r="31933" spans="1:11" x14ac:dyDescent="0.35">
      <c r="A31933" t="s">
        <v>227</v>
      </c>
      <c r="B31933" t="s">
        <v>2730</v>
      </c>
      <c r="C31933" s="26">
        <v>0.72340000000000004</v>
      </c>
      <c r="D31933" s="26">
        <v>0.27660000000000001</v>
      </c>
      <c r="G31933">
        <v>47</v>
      </c>
    </row>
    <row r="31934" spans="1:11" x14ac:dyDescent="0.35">
      <c r="A31934" s="27" t="s">
        <v>227</v>
      </c>
      <c r="B31934" s="27" t="s">
        <v>2731</v>
      </c>
      <c r="C31934" s="28">
        <v>0.71430000000000005</v>
      </c>
      <c r="D31934" s="28">
        <v>0.28570000000000001</v>
      </c>
      <c r="E31934" s="29"/>
      <c r="F31934" s="29"/>
      <c r="G31934" s="29" t="s">
        <v>351</v>
      </c>
    </row>
    <row r="31935" spans="1:11" x14ac:dyDescent="0.35">
      <c r="A31935" t="s">
        <v>227</v>
      </c>
      <c r="B31935" t="s">
        <v>2732</v>
      </c>
      <c r="C31935" s="26">
        <v>0.7419</v>
      </c>
      <c r="D31935" s="26">
        <v>0.2581</v>
      </c>
      <c r="G31935">
        <v>93</v>
      </c>
    </row>
    <row r="31936" spans="1:11" x14ac:dyDescent="0.35">
      <c r="A31936" t="s">
        <v>228</v>
      </c>
      <c r="B31936" t="s">
        <v>2730</v>
      </c>
      <c r="C31936" s="26">
        <v>0.78580000000000005</v>
      </c>
      <c r="D31936" s="26">
        <v>0.19120000000000001</v>
      </c>
      <c r="E31936" s="26">
        <v>2.3099999999999999E-2</v>
      </c>
      <c r="G31936">
        <v>359</v>
      </c>
    </row>
    <row r="31937" spans="1:9" x14ac:dyDescent="0.35">
      <c r="A31937" t="s">
        <v>228</v>
      </c>
      <c r="B31937" t="s">
        <v>2731</v>
      </c>
      <c r="C31937" s="26">
        <v>0.74199999999999999</v>
      </c>
      <c r="D31937" s="26">
        <v>0.25800000000000001</v>
      </c>
      <c r="G31937">
        <v>96</v>
      </c>
    </row>
    <row r="31938" spans="1:9" x14ac:dyDescent="0.35">
      <c r="A31938" t="s">
        <v>228</v>
      </c>
      <c r="B31938" t="s">
        <v>2732</v>
      </c>
      <c r="C31938" s="26">
        <v>0.68120000000000003</v>
      </c>
      <c r="D31938" s="26">
        <v>0.31680000000000003</v>
      </c>
      <c r="E31938" s="26">
        <v>2E-3</v>
      </c>
      <c r="G31938">
        <v>576</v>
      </c>
    </row>
    <row r="31939" spans="1:9" x14ac:dyDescent="0.35">
      <c r="A31939" t="s">
        <v>229</v>
      </c>
      <c r="B31939" t="s">
        <v>2730</v>
      </c>
      <c r="C31939" s="26">
        <v>0.80689999999999995</v>
      </c>
      <c r="D31939" s="26">
        <v>0.18940000000000001</v>
      </c>
      <c r="F31939" s="26">
        <v>3.5999999999999999E-3</v>
      </c>
      <c r="G31939">
        <v>301</v>
      </c>
    </row>
    <row r="31940" spans="1:9" x14ac:dyDescent="0.35">
      <c r="A31940" t="s">
        <v>229</v>
      </c>
      <c r="B31940" t="s">
        <v>2731</v>
      </c>
      <c r="C31940" s="26">
        <v>0.7984</v>
      </c>
      <c r="D31940" s="26">
        <v>0.2016</v>
      </c>
      <c r="G31940">
        <v>86</v>
      </c>
    </row>
    <row r="31941" spans="1:9" x14ac:dyDescent="0.35">
      <c r="A31941" t="s">
        <v>229</v>
      </c>
      <c r="B31941" t="s">
        <v>2732</v>
      </c>
      <c r="C31941" s="26">
        <v>0.63019999999999998</v>
      </c>
      <c r="D31941" s="26">
        <v>0.36520000000000002</v>
      </c>
      <c r="E31941" s="26">
        <v>4.7000000000000002E-3</v>
      </c>
      <c r="G31941">
        <v>506</v>
      </c>
    </row>
    <row r="31942" spans="1:9" x14ac:dyDescent="0.35">
      <c r="A31942" t="s">
        <v>230</v>
      </c>
      <c r="B31942" t="s">
        <v>2730</v>
      </c>
      <c r="C31942" s="26">
        <v>0.8095</v>
      </c>
      <c r="D31942" s="26">
        <v>0.1905</v>
      </c>
      <c r="G31942">
        <v>197</v>
      </c>
    </row>
    <row r="31943" spans="1:9" x14ac:dyDescent="0.35">
      <c r="A31943" t="s">
        <v>230</v>
      </c>
      <c r="B31943" t="s">
        <v>2731</v>
      </c>
      <c r="C31943" s="26">
        <v>0.65169999999999995</v>
      </c>
      <c r="D31943" s="26">
        <v>0.3483</v>
      </c>
      <c r="G31943">
        <v>50</v>
      </c>
    </row>
    <row r="31944" spans="1:9" x14ac:dyDescent="0.35">
      <c r="A31944" t="s">
        <v>230</v>
      </c>
      <c r="B31944" t="s">
        <v>2732</v>
      </c>
      <c r="C31944" s="26">
        <v>0.56940000000000002</v>
      </c>
      <c r="D31944" s="26">
        <v>0.42020000000000002</v>
      </c>
      <c r="E31944" s="26">
        <v>1.04E-2</v>
      </c>
      <c r="G31944">
        <v>313</v>
      </c>
    </row>
    <row r="31945" spans="1:9" x14ac:dyDescent="0.35">
      <c r="A31945" t="s">
        <v>231</v>
      </c>
      <c r="B31945" t="s">
        <v>2730</v>
      </c>
      <c r="C31945" s="26">
        <v>0.76359999999999995</v>
      </c>
      <c r="D31945" s="26">
        <v>0.21820000000000001</v>
      </c>
      <c r="E31945" s="26">
        <v>1.8200000000000001E-2</v>
      </c>
      <c r="G31945">
        <v>55</v>
      </c>
    </row>
    <row r="31946" spans="1:9" x14ac:dyDescent="0.35">
      <c r="A31946" s="27" t="s">
        <v>231</v>
      </c>
      <c r="B31946" s="27" t="s">
        <v>2731</v>
      </c>
      <c r="C31946" s="28">
        <v>0.64710000000000001</v>
      </c>
      <c r="D31946" s="28">
        <v>0.35289999999999999</v>
      </c>
      <c r="E31946" s="29"/>
      <c r="F31946" s="29"/>
      <c r="G31946" s="29" t="s">
        <v>343</v>
      </c>
    </row>
    <row r="31947" spans="1:9" x14ac:dyDescent="0.35">
      <c r="A31947" t="s">
        <v>231</v>
      </c>
      <c r="B31947" t="s">
        <v>2732</v>
      </c>
      <c r="C31947" s="26">
        <v>0.71740000000000004</v>
      </c>
      <c r="D31947" s="26">
        <v>0.2717</v>
      </c>
      <c r="E31947" s="26">
        <v>1.09E-2</v>
      </c>
      <c r="G31947">
        <v>92</v>
      </c>
    </row>
    <row r="31948" spans="1:9" x14ac:dyDescent="0.35">
      <c r="A31948" t="s">
        <v>232</v>
      </c>
      <c r="B31948" t="s">
        <v>232</v>
      </c>
      <c r="C31948" s="26">
        <v>0.7097</v>
      </c>
      <c r="D31948" s="26">
        <v>0.28349999999999997</v>
      </c>
      <c r="E31948" s="26">
        <v>6.4999999999999997E-3</v>
      </c>
      <c r="F31948" s="26">
        <v>2.9999999999999997E-4</v>
      </c>
      <c r="G31948">
        <v>2809</v>
      </c>
    </row>
    <row r="31950" spans="1:9" x14ac:dyDescent="0.35">
      <c r="A31950" s="1" t="s">
        <v>2804</v>
      </c>
    </row>
    <row r="31951" spans="1:9" x14ac:dyDescent="0.35">
      <c r="A31951" t="s">
        <v>219</v>
      </c>
      <c r="B31951" t="s">
        <v>305</v>
      </c>
      <c r="C31951" t="s">
        <v>1972</v>
      </c>
      <c r="D31951" t="s">
        <v>1973</v>
      </c>
      <c r="E31951" t="s">
        <v>1974</v>
      </c>
      <c r="F31951" t="s">
        <v>1975</v>
      </c>
      <c r="G31951" t="s">
        <v>281</v>
      </c>
      <c r="H31951" t="s">
        <v>286</v>
      </c>
      <c r="I31951" t="s">
        <v>226</v>
      </c>
    </row>
    <row r="31952" spans="1:9" x14ac:dyDescent="0.35">
      <c r="A31952" t="s">
        <v>227</v>
      </c>
      <c r="B31952" t="s">
        <v>2730</v>
      </c>
      <c r="C31952" s="26">
        <v>0.8085</v>
      </c>
      <c r="E31952" s="26">
        <v>6.3799999999999996E-2</v>
      </c>
      <c r="F31952" s="26">
        <v>6.3799999999999996E-2</v>
      </c>
      <c r="G31952" s="26">
        <v>6.3799999999999996E-2</v>
      </c>
      <c r="I31952">
        <v>47</v>
      </c>
    </row>
    <row r="31953" spans="1:9" x14ac:dyDescent="0.35">
      <c r="A31953" s="27" t="s">
        <v>227</v>
      </c>
      <c r="B31953" s="27" t="s">
        <v>2731</v>
      </c>
      <c r="C31953" s="28">
        <v>0.66669999999999996</v>
      </c>
      <c r="D31953" s="28">
        <v>4.7600000000000003E-2</v>
      </c>
      <c r="E31953" s="28">
        <v>0.1905</v>
      </c>
      <c r="F31953" s="28">
        <v>4.7600000000000003E-2</v>
      </c>
      <c r="G31953" s="28">
        <v>4.7600000000000003E-2</v>
      </c>
      <c r="H31953" s="29"/>
      <c r="I31953" s="29" t="s">
        <v>351</v>
      </c>
    </row>
    <row r="31954" spans="1:9" x14ac:dyDescent="0.35">
      <c r="A31954" t="s">
        <v>227</v>
      </c>
      <c r="B31954" t="s">
        <v>2732</v>
      </c>
      <c r="C31954" s="26">
        <v>0.78490000000000004</v>
      </c>
      <c r="D31954" s="26">
        <v>6.4500000000000002E-2</v>
      </c>
      <c r="E31954" s="26">
        <v>6.4500000000000002E-2</v>
      </c>
      <c r="F31954" s="26">
        <v>6.4500000000000002E-2</v>
      </c>
      <c r="G31954" s="26">
        <v>2.1499999999999998E-2</v>
      </c>
      <c r="I31954">
        <v>93</v>
      </c>
    </row>
    <row r="31955" spans="1:9" x14ac:dyDescent="0.35">
      <c r="A31955" t="s">
        <v>228</v>
      </c>
      <c r="B31955" t="s">
        <v>2730</v>
      </c>
      <c r="C31955" s="26">
        <v>0.74360000000000004</v>
      </c>
      <c r="D31955" s="26">
        <v>0.1174</v>
      </c>
      <c r="E31955" s="26">
        <v>9.0499999999999997E-2</v>
      </c>
      <c r="F31955" s="26">
        <v>3.4799999999999998E-2</v>
      </c>
      <c r="G31955" s="26">
        <v>1.1900000000000001E-2</v>
      </c>
      <c r="H31955" s="26">
        <v>1.8E-3</v>
      </c>
      <c r="I31955">
        <v>360</v>
      </c>
    </row>
    <row r="31956" spans="1:9" x14ac:dyDescent="0.35">
      <c r="A31956" t="s">
        <v>228</v>
      </c>
      <c r="B31956" t="s">
        <v>2731</v>
      </c>
      <c r="C31956" s="26">
        <v>0.81330000000000002</v>
      </c>
      <c r="D31956" s="26">
        <v>0.12039999999999999</v>
      </c>
      <c r="E31956" s="26">
        <v>2.06E-2</v>
      </c>
      <c r="F31956" s="26">
        <v>3.6499999999999998E-2</v>
      </c>
      <c r="G31956" s="26">
        <v>9.1000000000000004E-3</v>
      </c>
      <c r="I31956">
        <v>96</v>
      </c>
    </row>
    <row r="31957" spans="1:9" x14ac:dyDescent="0.35">
      <c r="A31957" t="s">
        <v>228</v>
      </c>
      <c r="B31957" t="s">
        <v>2732</v>
      </c>
      <c r="C31957" s="26">
        <v>0.81100000000000005</v>
      </c>
      <c r="D31957" s="26">
        <v>0.11210000000000001</v>
      </c>
      <c r="E31957" s="26">
        <v>2.2800000000000001E-2</v>
      </c>
      <c r="F31957" s="26">
        <v>3.9800000000000002E-2</v>
      </c>
      <c r="G31957" s="26">
        <v>1.1299999999999999E-2</v>
      </c>
      <c r="H31957" s="26">
        <v>3.0999999999999999E-3</v>
      </c>
      <c r="I31957">
        <v>576</v>
      </c>
    </row>
    <row r="31958" spans="1:9" x14ac:dyDescent="0.35">
      <c r="A31958" t="s">
        <v>229</v>
      </c>
      <c r="B31958" t="s">
        <v>2730</v>
      </c>
      <c r="C31958" s="26">
        <v>0.75770000000000004</v>
      </c>
      <c r="D31958" s="26">
        <v>9.8199999999999996E-2</v>
      </c>
      <c r="E31958" s="26">
        <v>7.0099999999999996E-2</v>
      </c>
      <c r="F31958" s="26">
        <v>4.2700000000000002E-2</v>
      </c>
      <c r="G31958" s="26">
        <v>2.6599999999999999E-2</v>
      </c>
      <c r="H31958" s="26">
        <v>4.7000000000000002E-3</v>
      </c>
      <c r="I31958">
        <v>302</v>
      </c>
    </row>
    <row r="31959" spans="1:9" x14ac:dyDescent="0.35">
      <c r="A31959" t="s">
        <v>229</v>
      </c>
      <c r="B31959" t="s">
        <v>2731</v>
      </c>
      <c r="C31959" s="26">
        <v>0.8155</v>
      </c>
      <c r="D31959" s="26">
        <v>9.5699999999999993E-2</v>
      </c>
      <c r="E31959" s="26">
        <v>8.0399999999999999E-2</v>
      </c>
      <c r="F31959" s="26">
        <v>1.1999999999999999E-3</v>
      </c>
      <c r="G31959" s="26">
        <v>7.1999999999999998E-3</v>
      </c>
      <c r="I31959">
        <v>86</v>
      </c>
    </row>
    <row r="31960" spans="1:9" x14ac:dyDescent="0.35">
      <c r="A31960" t="s">
        <v>229</v>
      </c>
      <c r="B31960" t="s">
        <v>2732</v>
      </c>
      <c r="C31960" s="26">
        <v>0.85150000000000003</v>
      </c>
      <c r="D31960" s="26">
        <v>8.3099999999999993E-2</v>
      </c>
      <c r="E31960" s="26">
        <v>4.2700000000000002E-2</v>
      </c>
      <c r="F31960" s="26">
        <v>1.9300000000000001E-2</v>
      </c>
      <c r="G31960" s="26">
        <v>2.7000000000000001E-3</v>
      </c>
      <c r="H31960" s="26">
        <v>8.0000000000000004E-4</v>
      </c>
      <c r="I31960">
        <v>507</v>
      </c>
    </row>
    <row r="31961" spans="1:9" x14ac:dyDescent="0.35">
      <c r="A31961" t="s">
        <v>230</v>
      </c>
      <c r="B31961" t="s">
        <v>2730</v>
      </c>
      <c r="C31961" s="26">
        <v>0.7641</v>
      </c>
      <c r="D31961" s="26">
        <v>5.7500000000000002E-2</v>
      </c>
      <c r="E31961" s="26">
        <v>3.2500000000000001E-2</v>
      </c>
      <c r="F31961" s="26">
        <v>0.1142</v>
      </c>
      <c r="G31961" s="26">
        <v>3.1600000000000003E-2</v>
      </c>
      <c r="I31961">
        <v>197</v>
      </c>
    </row>
    <row r="31962" spans="1:9" x14ac:dyDescent="0.35">
      <c r="A31962" t="s">
        <v>230</v>
      </c>
      <c r="B31962" t="s">
        <v>2731</v>
      </c>
      <c r="C31962" s="26">
        <v>0.74609999999999999</v>
      </c>
      <c r="D31962" s="26">
        <v>0.1231</v>
      </c>
      <c r="E31962" s="26">
        <v>8.1500000000000003E-2</v>
      </c>
      <c r="F31962" s="26">
        <v>3.7400000000000003E-2</v>
      </c>
      <c r="G31962" s="26">
        <v>1.18E-2</v>
      </c>
      <c r="I31962">
        <v>50</v>
      </c>
    </row>
    <row r="31963" spans="1:9" x14ac:dyDescent="0.35">
      <c r="A31963" t="s">
        <v>230</v>
      </c>
      <c r="B31963" t="s">
        <v>2732</v>
      </c>
      <c r="C31963" s="26">
        <v>0.88260000000000005</v>
      </c>
      <c r="D31963" s="26">
        <v>6.7500000000000004E-2</v>
      </c>
      <c r="E31963" s="26">
        <v>1.49E-2</v>
      </c>
      <c r="F31963" s="26">
        <v>3.1199999999999999E-2</v>
      </c>
      <c r="G31963" s="26">
        <v>3.8999999999999998E-3</v>
      </c>
      <c r="I31963">
        <v>313</v>
      </c>
    </row>
    <row r="31964" spans="1:9" x14ac:dyDescent="0.35">
      <c r="A31964" t="s">
        <v>231</v>
      </c>
      <c r="B31964" t="s">
        <v>2730</v>
      </c>
      <c r="C31964" s="26">
        <v>0.76359999999999995</v>
      </c>
      <c r="D31964" s="26">
        <v>7.2700000000000001E-2</v>
      </c>
      <c r="E31964" s="26">
        <v>0.1091</v>
      </c>
      <c r="F31964" s="26">
        <v>3.6400000000000002E-2</v>
      </c>
      <c r="G31964" s="26">
        <v>1.8200000000000001E-2</v>
      </c>
      <c r="I31964">
        <v>55</v>
      </c>
    </row>
    <row r="31965" spans="1:9" x14ac:dyDescent="0.35">
      <c r="A31965" s="27" t="s">
        <v>231</v>
      </c>
      <c r="B31965" s="27" t="s">
        <v>2731</v>
      </c>
      <c r="C31965" s="28">
        <v>0.64710000000000001</v>
      </c>
      <c r="D31965" s="28">
        <v>5.8799999999999998E-2</v>
      </c>
      <c r="E31965" s="28">
        <v>0.17649999999999999</v>
      </c>
      <c r="F31965" s="28">
        <v>0.1176</v>
      </c>
      <c r="G31965" s="29"/>
      <c r="H31965" s="29"/>
      <c r="I31965" s="29" t="s">
        <v>343</v>
      </c>
    </row>
    <row r="31966" spans="1:9" x14ac:dyDescent="0.35">
      <c r="A31966" t="s">
        <v>231</v>
      </c>
      <c r="B31966" t="s">
        <v>2732</v>
      </c>
      <c r="C31966" s="26">
        <v>0.86960000000000004</v>
      </c>
      <c r="D31966" s="26">
        <v>3.2599999999999997E-2</v>
      </c>
      <c r="E31966" s="26">
        <v>4.3499999999999997E-2</v>
      </c>
      <c r="F31966" s="26">
        <v>2.1700000000000001E-2</v>
      </c>
      <c r="G31966" s="26">
        <v>3.2599999999999997E-2</v>
      </c>
      <c r="I31966">
        <v>92</v>
      </c>
    </row>
    <row r="31967" spans="1:9" x14ac:dyDescent="0.35">
      <c r="A31967" t="s">
        <v>232</v>
      </c>
      <c r="B31967" t="s">
        <v>232</v>
      </c>
      <c r="C31967" s="26">
        <v>0.80640000000000001</v>
      </c>
      <c r="D31967" s="26">
        <v>7.3800000000000004E-2</v>
      </c>
      <c r="E31967" s="26">
        <v>6.0299999999999999E-2</v>
      </c>
      <c r="F31967" s="26">
        <v>3.9899999999999998E-2</v>
      </c>
      <c r="G31967" s="26">
        <v>1.8599999999999998E-2</v>
      </c>
      <c r="H31967" s="26">
        <v>1E-3</v>
      </c>
      <c r="I31967">
        <v>2812</v>
      </c>
    </row>
    <row r="31969" spans="1:19" x14ac:dyDescent="0.35">
      <c r="A31969" s="1" t="s">
        <v>2805</v>
      </c>
    </row>
    <row r="31970" spans="1:19" x14ac:dyDescent="0.35">
      <c r="A31970" t="s">
        <v>219</v>
      </c>
      <c r="B31970" t="s">
        <v>305</v>
      </c>
      <c r="C31970" t="s">
        <v>1988</v>
      </c>
      <c r="D31970" t="s">
        <v>1989</v>
      </c>
      <c r="E31970" t="s">
        <v>1990</v>
      </c>
      <c r="F31970" t="s">
        <v>1991</v>
      </c>
      <c r="G31970" t="s">
        <v>1992</v>
      </c>
      <c r="H31970" t="s">
        <v>1993</v>
      </c>
      <c r="I31970" t="s">
        <v>1994</v>
      </c>
      <c r="J31970" t="s">
        <v>1995</v>
      </c>
      <c r="K31970" t="s">
        <v>1996</v>
      </c>
      <c r="L31970" t="s">
        <v>1997</v>
      </c>
      <c r="M31970" t="s">
        <v>1998</v>
      </c>
      <c r="N31970" t="s">
        <v>1999</v>
      </c>
      <c r="O31970" t="s">
        <v>281</v>
      </c>
      <c r="P31970" t="s">
        <v>2000</v>
      </c>
      <c r="Q31970" t="s">
        <v>286</v>
      </c>
      <c r="R31970" t="s">
        <v>2001</v>
      </c>
      <c r="S31970" t="s">
        <v>226</v>
      </c>
    </row>
    <row r="31971" spans="1:19" x14ac:dyDescent="0.35">
      <c r="A31971" t="s">
        <v>227</v>
      </c>
      <c r="B31971" t="s">
        <v>2730</v>
      </c>
      <c r="C31971" s="26">
        <v>0.42549999999999999</v>
      </c>
      <c r="D31971" s="26">
        <v>0.17019999999999999</v>
      </c>
      <c r="E31971" s="26">
        <v>0.1915</v>
      </c>
      <c r="F31971" s="26">
        <v>0.10639999999999999</v>
      </c>
      <c r="G31971" s="26">
        <v>6.3799999999999996E-2</v>
      </c>
      <c r="I31971" s="26">
        <v>4.2599999999999999E-2</v>
      </c>
      <c r="S31971">
        <v>47</v>
      </c>
    </row>
    <row r="31972" spans="1:19" x14ac:dyDescent="0.35">
      <c r="A31972" s="27" t="s">
        <v>227</v>
      </c>
      <c r="B31972" s="27" t="s">
        <v>2731</v>
      </c>
      <c r="C31972" s="28">
        <v>0.52380000000000004</v>
      </c>
      <c r="D31972" s="28">
        <v>0.1429</v>
      </c>
      <c r="E31972" s="29"/>
      <c r="F31972" s="28">
        <v>0.23810000000000001</v>
      </c>
      <c r="G31972" s="28">
        <v>9.5200000000000007E-2</v>
      </c>
      <c r="H31972" s="29"/>
      <c r="I31972" s="29"/>
      <c r="J31972" s="29"/>
      <c r="K31972" s="29"/>
      <c r="L31972" s="29"/>
      <c r="M31972" s="29"/>
      <c r="N31972" s="29"/>
      <c r="O31972" s="29"/>
      <c r="P31972" s="29"/>
      <c r="Q31972" s="29"/>
      <c r="R31972" s="29"/>
      <c r="S31972" s="29" t="s">
        <v>351</v>
      </c>
    </row>
    <row r="31973" spans="1:19" x14ac:dyDescent="0.35">
      <c r="A31973" t="s">
        <v>227</v>
      </c>
      <c r="B31973" t="s">
        <v>2732</v>
      </c>
      <c r="C31973" s="26">
        <v>0.34410000000000002</v>
      </c>
      <c r="D31973" s="26">
        <v>0.31180000000000002</v>
      </c>
      <c r="E31973" s="26">
        <v>0.19350000000000001</v>
      </c>
      <c r="F31973" s="26">
        <v>6.4500000000000002E-2</v>
      </c>
      <c r="G31973" s="26">
        <v>3.2300000000000002E-2</v>
      </c>
      <c r="H31973" s="26">
        <v>2.1499999999999998E-2</v>
      </c>
      <c r="J31973" s="26">
        <v>2.1499999999999998E-2</v>
      </c>
      <c r="O31973" s="26">
        <v>1.0800000000000001E-2</v>
      </c>
      <c r="S31973">
        <v>93</v>
      </c>
    </row>
    <row r="31974" spans="1:19" x14ac:dyDescent="0.35">
      <c r="A31974" t="s">
        <v>228</v>
      </c>
      <c r="B31974" t="s">
        <v>2730</v>
      </c>
      <c r="C31974" s="26">
        <v>0.36199999999999999</v>
      </c>
      <c r="D31974" s="26">
        <v>0.2485</v>
      </c>
      <c r="E31974" s="26">
        <v>0.22650000000000001</v>
      </c>
      <c r="F31974" s="26">
        <v>4.02E-2</v>
      </c>
      <c r="G31974" s="26">
        <v>2.5100000000000001E-2</v>
      </c>
      <c r="H31974" s="26">
        <v>6.6799999999999998E-2</v>
      </c>
      <c r="I31974" s="26">
        <v>1.7500000000000002E-2</v>
      </c>
      <c r="J31974" s="26">
        <v>2.7000000000000001E-3</v>
      </c>
      <c r="K31974" s="26">
        <v>2.3999999999999998E-3</v>
      </c>
      <c r="L31974" s="26">
        <v>3.8E-3</v>
      </c>
      <c r="M31974" s="26">
        <v>4.5999999999999999E-3</v>
      </c>
      <c r="S31974">
        <v>360</v>
      </c>
    </row>
    <row r="31975" spans="1:19" x14ac:dyDescent="0.35">
      <c r="A31975" t="s">
        <v>228</v>
      </c>
      <c r="B31975" t="s">
        <v>2731</v>
      </c>
      <c r="C31975" s="26">
        <v>0.42099999999999999</v>
      </c>
      <c r="D31975" s="26">
        <v>0.20749999999999999</v>
      </c>
      <c r="E31975" s="26">
        <v>0.2414</v>
      </c>
      <c r="F31975" s="26">
        <v>3.5900000000000001E-2</v>
      </c>
      <c r="G31975" s="26">
        <v>2.2499999999999999E-2</v>
      </c>
      <c r="H31975" s="26">
        <v>4.2200000000000001E-2</v>
      </c>
      <c r="I31975" s="26">
        <v>1.49E-2</v>
      </c>
      <c r="K31975" s="26">
        <v>3.0999999999999999E-3</v>
      </c>
      <c r="L31975" s="26">
        <v>1.15E-2</v>
      </c>
      <c r="S31975">
        <v>96</v>
      </c>
    </row>
    <row r="31976" spans="1:19" x14ac:dyDescent="0.35">
      <c r="A31976" t="s">
        <v>228</v>
      </c>
      <c r="B31976" t="s">
        <v>2732</v>
      </c>
      <c r="C31976" s="26">
        <v>0.34589999999999999</v>
      </c>
      <c r="D31976" s="26">
        <v>0.2999</v>
      </c>
      <c r="E31976" s="26">
        <v>0.19059999999999999</v>
      </c>
      <c r="F31976" s="26">
        <v>2.58E-2</v>
      </c>
      <c r="G31976" s="26">
        <v>0.04</v>
      </c>
      <c r="H31976" s="26">
        <v>5.0999999999999997E-2</v>
      </c>
      <c r="I31976" s="26">
        <v>1.54E-2</v>
      </c>
      <c r="J31976" s="26">
        <v>8.6E-3</v>
      </c>
      <c r="K31976" s="26">
        <v>1.35E-2</v>
      </c>
      <c r="L31976" s="26">
        <v>1.4E-3</v>
      </c>
      <c r="M31976" s="26">
        <v>2.8999999999999998E-3</v>
      </c>
      <c r="O31976" s="26">
        <v>2E-3</v>
      </c>
      <c r="P31976" s="26">
        <v>2.8999999999999998E-3</v>
      </c>
      <c r="S31976">
        <v>576</v>
      </c>
    </row>
    <row r="31977" spans="1:19" x14ac:dyDescent="0.35">
      <c r="A31977" t="s">
        <v>229</v>
      </c>
      <c r="B31977" t="s">
        <v>2730</v>
      </c>
      <c r="C31977" s="26">
        <v>0.39650000000000002</v>
      </c>
      <c r="D31977" s="26">
        <v>0.1825</v>
      </c>
      <c r="E31977" s="26">
        <v>0.15740000000000001</v>
      </c>
      <c r="F31977" s="26">
        <v>5.9700000000000003E-2</v>
      </c>
      <c r="G31977" s="26">
        <v>6.7000000000000004E-2</v>
      </c>
      <c r="H31977" s="26">
        <v>4.1200000000000001E-2</v>
      </c>
      <c r="I31977" s="26">
        <v>2.46E-2</v>
      </c>
      <c r="J31977" s="26">
        <v>2.93E-2</v>
      </c>
      <c r="K31977" s="26">
        <v>2.87E-2</v>
      </c>
      <c r="L31977" s="26">
        <v>1.8E-3</v>
      </c>
      <c r="N31977" s="26">
        <v>8.9999999999999993E-3</v>
      </c>
      <c r="Q31977" s="26">
        <v>2.3999999999999998E-3</v>
      </c>
      <c r="S31977">
        <v>302</v>
      </c>
    </row>
    <row r="31978" spans="1:19" x14ac:dyDescent="0.35">
      <c r="A31978" t="s">
        <v>229</v>
      </c>
      <c r="B31978" t="s">
        <v>2731</v>
      </c>
      <c r="C31978" s="26">
        <v>0.34089999999999998</v>
      </c>
      <c r="D31978" s="26">
        <v>0.29659999999999997</v>
      </c>
      <c r="E31978" s="26">
        <v>0.1474</v>
      </c>
      <c r="F31978" s="26">
        <v>0.1017</v>
      </c>
      <c r="G31978" s="26">
        <v>6.83E-2</v>
      </c>
      <c r="H31978" s="26">
        <v>2.0999999999999999E-3</v>
      </c>
      <c r="I31978" s="26">
        <v>3.2000000000000002E-3</v>
      </c>
      <c r="J31978" s="26">
        <v>3.2000000000000002E-3</v>
      </c>
      <c r="K31978" s="26">
        <v>3.6499999999999998E-2</v>
      </c>
      <c r="S31978">
        <v>86</v>
      </c>
    </row>
    <row r="31979" spans="1:19" x14ac:dyDescent="0.35">
      <c r="A31979" t="s">
        <v>229</v>
      </c>
      <c r="B31979" t="s">
        <v>2732</v>
      </c>
      <c r="C31979" s="26">
        <v>0.35880000000000001</v>
      </c>
      <c r="D31979" s="26">
        <v>0.254</v>
      </c>
      <c r="E31979" s="26">
        <v>0.19040000000000001</v>
      </c>
      <c r="F31979" s="26">
        <v>6.9000000000000006E-2</v>
      </c>
      <c r="G31979" s="26">
        <v>5.8000000000000003E-2</v>
      </c>
      <c r="H31979" s="26">
        <v>9.7000000000000003E-3</v>
      </c>
      <c r="I31979" s="26">
        <v>1.11E-2</v>
      </c>
      <c r="J31979" s="26">
        <v>9.2999999999999992E-3</v>
      </c>
      <c r="K31979" s="26">
        <v>1.83E-2</v>
      </c>
      <c r="L31979" s="26">
        <v>8.6E-3</v>
      </c>
      <c r="M31979" s="26">
        <v>7.7999999999999996E-3</v>
      </c>
      <c r="N31979" s="26">
        <v>3.8999999999999998E-3</v>
      </c>
      <c r="P31979" s="26">
        <v>5.0000000000000001E-4</v>
      </c>
      <c r="Q31979" s="26">
        <v>5.0000000000000001E-4</v>
      </c>
      <c r="S31979">
        <v>507</v>
      </c>
    </row>
    <row r="31980" spans="1:19" x14ac:dyDescent="0.35">
      <c r="A31980" t="s">
        <v>230</v>
      </c>
      <c r="B31980" t="s">
        <v>2730</v>
      </c>
      <c r="C31980" s="26">
        <v>0.56110000000000004</v>
      </c>
      <c r="D31980" s="26">
        <v>0.1404</v>
      </c>
      <c r="E31980" s="26">
        <v>8.3000000000000004E-2</v>
      </c>
      <c r="F31980" s="26">
        <v>3.56E-2</v>
      </c>
      <c r="G31980" s="26">
        <v>3.9600000000000003E-2</v>
      </c>
      <c r="H31980" s="26">
        <v>3.5299999999999998E-2</v>
      </c>
      <c r="I31980" s="26">
        <v>5.0500000000000003E-2</v>
      </c>
      <c r="K31980" s="26">
        <v>3.39E-2</v>
      </c>
      <c r="L31980" s="26">
        <v>2.07E-2</v>
      </c>
      <c r="S31980">
        <v>196</v>
      </c>
    </row>
    <row r="31981" spans="1:19" x14ac:dyDescent="0.35">
      <c r="A31981" t="s">
        <v>230</v>
      </c>
      <c r="B31981" t="s">
        <v>2731</v>
      </c>
      <c r="C31981" s="26">
        <v>0.40189999999999998</v>
      </c>
      <c r="D31981" s="26">
        <v>0.19939999999999999</v>
      </c>
      <c r="E31981" s="26">
        <v>7.3300000000000004E-2</v>
      </c>
      <c r="F31981" s="26">
        <v>0.1051</v>
      </c>
      <c r="G31981" s="26">
        <v>8.8599999999999998E-2</v>
      </c>
      <c r="H31981" s="26">
        <v>2.3300000000000001E-2</v>
      </c>
      <c r="I31981" s="26">
        <v>8.48E-2</v>
      </c>
      <c r="L31981" s="26">
        <v>1.18E-2</v>
      </c>
      <c r="M31981" s="26">
        <v>1.18E-2</v>
      </c>
      <c r="S31981">
        <v>50</v>
      </c>
    </row>
    <row r="31982" spans="1:19" x14ac:dyDescent="0.35">
      <c r="A31982" t="s">
        <v>230</v>
      </c>
      <c r="B31982" t="s">
        <v>2732</v>
      </c>
      <c r="C31982" s="26">
        <v>0.51149999999999995</v>
      </c>
      <c r="D31982" s="26">
        <v>0.187</v>
      </c>
      <c r="E31982" s="26">
        <v>9.0499999999999997E-2</v>
      </c>
      <c r="F31982" s="26">
        <v>1.09E-2</v>
      </c>
      <c r="G31982" s="26">
        <v>3.15E-2</v>
      </c>
      <c r="H31982" s="26">
        <v>1.17E-2</v>
      </c>
      <c r="I31982" s="26">
        <v>8.5800000000000001E-2</v>
      </c>
      <c r="J31982" s="26">
        <v>2.8199999999999999E-2</v>
      </c>
      <c r="K31982" s="26">
        <v>1.6299999999999999E-2</v>
      </c>
      <c r="L31982" s="26">
        <v>2.3599999999999999E-2</v>
      </c>
      <c r="O31982" s="26">
        <v>1.5E-3</v>
      </c>
      <c r="R31982" s="26">
        <v>1.5E-3</v>
      </c>
      <c r="S31982">
        <v>313</v>
      </c>
    </row>
    <row r="31983" spans="1:19" x14ac:dyDescent="0.35">
      <c r="A31983" t="s">
        <v>231</v>
      </c>
      <c r="B31983" t="s">
        <v>2730</v>
      </c>
      <c r="C31983" s="26">
        <v>0.5091</v>
      </c>
      <c r="D31983" s="26">
        <v>0.2364</v>
      </c>
      <c r="E31983" s="26">
        <v>0.1273</v>
      </c>
      <c r="F31983" s="26">
        <v>5.45E-2</v>
      </c>
      <c r="G31983" s="26">
        <v>3.6400000000000002E-2</v>
      </c>
      <c r="I31983" s="26">
        <v>1.8200000000000001E-2</v>
      </c>
      <c r="J31983" s="26">
        <v>1.8200000000000001E-2</v>
      </c>
      <c r="S31983">
        <v>55</v>
      </c>
    </row>
    <row r="31984" spans="1:19" x14ac:dyDescent="0.35">
      <c r="A31984" s="27" t="s">
        <v>231</v>
      </c>
      <c r="B31984" s="27" t="s">
        <v>2731</v>
      </c>
      <c r="C31984" s="28">
        <v>0.4118</v>
      </c>
      <c r="D31984" s="28">
        <v>0.23530000000000001</v>
      </c>
      <c r="E31984" s="28">
        <v>5.8799999999999998E-2</v>
      </c>
      <c r="F31984" s="28">
        <v>0.1176</v>
      </c>
      <c r="G31984" s="28">
        <v>0.1176</v>
      </c>
      <c r="H31984" s="28">
        <v>5.8799999999999998E-2</v>
      </c>
      <c r="I31984" s="29"/>
      <c r="J31984" s="29"/>
      <c r="K31984" s="29"/>
      <c r="L31984" s="29"/>
      <c r="M31984" s="29"/>
      <c r="N31984" s="29"/>
      <c r="O31984" s="29"/>
      <c r="P31984" s="29"/>
      <c r="Q31984" s="29"/>
      <c r="R31984" s="29"/>
      <c r="S31984" s="29" t="s">
        <v>343</v>
      </c>
    </row>
    <row r="31985" spans="1:19" x14ac:dyDescent="0.35">
      <c r="A31985" t="s">
        <v>231</v>
      </c>
      <c r="B31985" t="s">
        <v>2732</v>
      </c>
      <c r="C31985" s="26">
        <v>0.4239</v>
      </c>
      <c r="D31985" s="26">
        <v>0.2283</v>
      </c>
      <c r="E31985" s="26">
        <v>2.1700000000000001E-2</v>
      </c>
      <c r="F31985" s="26">
        <v>0.1739</v>
      </c>
      <c r="G31985" s="26">
        <v>5.4300000000000001E-2</v>
      </c>
      <c r="H31985" s="26">
        <v>2.1700000000000001E-2</v>
      </c>
      <c r="I31985" s="26">
        <v>2.1700000000000001E-2</v>
      </c>
      <c r="J31985" s="26">
        <v>4.3499999999999997E-2</v>
      </c>
      <c r="M31985" s="26">
        <v>1.09E-2</v>
      </c>
      <c r="S31985">
        <v>92</v>
      </c>
    </row>
    <row r="31986" spans="1:19" x14ac:dyDescent="0.35">
      <c r="A31986" t="s">
        <v>232</v>
      </c>
      <c r="B31986" t="s">
        <v>232</v>
      </c>
      <c r="C31986" s="26">
        <v>0.40639999999999998</v>
      </c>
      <c r="D31986" s="26">
        <v>0.23860000000000001</v>
      </c>
      <c r="E31986" s="26">
        <v>0.1416</v>
      </c>
      <c r="F31986" s="26">
        <v>7.8399999999999997E-2</v>
      </c>
      <c r="G31986" s="26">
        <v>5.0200000000000002E-2</v>
      </c>
      <c r="H31986" s="26">
        <v>2.46E-2</v>
      </c>
      <c r="I31986" s="26">
        <v>2.12E-2</v>
      </c>
      <c r="J31986" s="26">
        <v>1.7100000000000001E-2</v>
      </c>
      <c r="K31986" s="26">
        <v>1.0200000000000001E-2</v>
      </c>
      <c r="L31986" s="26">
        <v>4.4000000000000003E-3</v>
      </c>
      <c r="M31986" s="26">
        <v>3.8E-3</v>
      </c>
      <c r="N31986" s="26">
        <v>1.4E-3</v>
      </c>
      <c r="O31986" s="26">
        <v>1.2999999999999999E-3</v>
      </c>
      <c r="P31986" s="26">
        <v>4.0000000000000002E-4</v>
      </c>
      <c r="Q31986" s="26">
        <v>2.9999999999999997E-4</v>
      </c>
      <c r="R31986" s="26">
        <v>1E-4</v>
      </c>
      <c r="S31986">
        <v>2811</v>
      </c>
    </row>
    <row r="31988" spans="1:19" x14ac:dyDescent="0.35">
      <c r="A31988" s="1" t="s">
        <v>2806</v>
      </c>
    </row>
    <row r="31989" spans="1:19" x14ac:dyDescent="0.35">
      <c r="A31989" t="s">
        <v>219</v>
      </c>
      <c r="B31989" t="s">
        <v>305</v>
      </c>
      <c r="C31989" t="s">
        <v>534</v>
      </c>
      <c r="D31989" t="s">
        <v>535</v>
      </c>
      <c r="E31989" t="s">
        <v>536</v>
      </c>
      <c r="F31989" t="s">
        <v>537</v>
      </c>
      <c r="G31989" t="s">
        <v>226</v>
      </c>
    </row>
    <row r="31990" spans="1:19" x14ac:dyDescent="0.35">
      <c r="A31990" s="27" t="s">
        <v>227</v>
      </c>
      <c r="B31990" s="27" t="s">
        <v>2730</v>
      </c>
      <c r="C31990" s="29">
        <v>9.59</v>
      </c>
      <c r="D31990" s="29">
        <v>5</v>
      </c>
      <c r="E31990" s="29">
        <v>0</v>
      </c>
      <c r="F31990" s="29">
        <v>40</v>
      </c>
      <c r="G31990" s="29">
        <v>27</v>
      </c>
    </row>
    <row r="31991" spans="1:19" x14ac:dyDescent="0.35">
      <c r="A31991" s="27" t="s">
        <v>227</v>
      </c>
      <c r="B31991" s="27" t="s">
        <v>2731</v>
      </c>
      <c r="C31991" s="29">
        <v>8.6999999999999993</v>
      </c>
      <c r="D31991" s="29">
        <v>5</v>
      </c>
      <c r="E31991" s="29">
        <v>0</v>
      </c>
      <c r="F31991" s="29">
        <v>30</v>
      </c>
      <c r="G31991" s="29">
        <v>10</v>
      </c>
    </row>
    <row r="31992" spans="1:19" x14ac:dyDescent="0.35">
      <c r="A31992" t="s">
        <v>227</v>
      </c>
      <c r="B31992" t="s">
        <v>2732</v>
      </c>
      <c r="C31992">
        <v>13.9</v>
      </c>
      <c r="D31992">
        <v>10</v>
      </c>
      <c r="E31992">
        <v>0</v>
      </c>
      <c r="F31992">
        <v>90</v>
      </c>
      <c r="G31992">
        <v>58</v>
      </c>
    </row>
    <row r="31993" spans="1:19" x14ac:dyDescent="0.35">
      <c r="A31993" t="s">
        <v>228</v>
      </c>
      <c r="B31993" t="s">
        <v>2730</v>
      </c>
      <c r="C31993">
        <v>20.100000000000001</v>
      </c>
      <c r="D31993">
        <v>15</v>
      </c>
      <c r="E31993">
        <v>0</v>
      </c>
      <c r="F31993">
        <v>240</v>
      </c>
      <c r="G31993">
        <v>200</v>
      </c>
    </row>
    <row r="31994" spans="1:19" x14ac:dyDescent="0.35">
      <c r="A31994" t="s">
        <v>228</v>
      </c>
      <c r="B31994" t="s">
        <v>2731</v>
      </c>
      <c r="C31994">
        <v>17.71</v>
      </c>
      <c r="D31994">
        <v>15</v>
      </c>
      <c r="E31994">
        <v>0</v>
      </c>
      <c r="F31994">
        <v>180</v>
      </c>
      <c r="G31994">
        <v>58</v>
      </c>
    </row>
    <row r="31995" spans="1:19" x14ac:dyDescent="0.35">
      <c r="A31995" t="s">
        <v>228</v>
      </c>
      <c r="B31995" t="s">
        <v>2732</v>
      </c>
      <c r="C31995">
        <v>17.12</v>
      </c>
      <c r="D31995">
        <v>10</v>
      </c>
      <c r="E31995">
        <v>0</v>
      </c>
      <c r="F31995">
        <v>160</v>
      </c>
      <c r="G31995">
        <v>334</v>
      </c>
    </row>
    <row r="31996" spans="1:19" x14ac:dyDescent="0.35">
      <c r="A31996" t="s">
        <v>229</v>
      </c>
      <c r="B31996" t="s">
        <v>2730</v>
      </c>
      <c r="C31996">
        <v>17.59</v>
      </c>
      <c r="D31996">
        <v>10</v>
      </c>
      <c r="E31996">
        <v>0</v>
      </c>
      <c r="F31996">
        <v>60</v>
      </c>
      <c r="G31996">
        <v>119</v>
      </c>
    </row>
    <row r="31997" spans="1:19" x14ac:dyDescent="0.35">
      <c r="A31997" t="s">
        <v>229</v>
      </c>
      <c r="B31997" t="s">
        <v>2731</v>
      </c>
      <c r="C31997">
        <v>10.81</v>
      </c>
      <c r="D31997">
        <v>10</v>
      </c>
      <c r="E31997">
        <v>1</v>
      </c>
      <c r="F31997">
        <v>30</v>
      </c>
      <c r="G31997">
        <v>42</v>
      </c>
    </row>
    <row r="31998" spans="1:19" x14ac:dyDescent="0.35">
      <c r="A31998" t="s">
        <v>229</v>
      </c>
      <c r="B31998" t="s">
        <v>2732</v>
      </c>
      <c r="C31998">
        <v>13.8</v>
      </c>
      <c r="D31998">
        <v>10</v>
      </c>
      <c r="E31998">
        <v>0</v>
      </c>
      <c r="F31998">
        <v>180</v>
      </c>
      <c r="G31998">
        <v>234</v>
      </c>
    </row>
    <row r="31999" spans="1:19" x14ac:dyDescent="0.35">
      <c r="A31999" t="s">
        <v>230</v>
      </c>
      <c r="B31999" t="s">
        <v>2730</v>
      </c>
      <c r="C31999">
        <v>19.420000000000002</v>
      </c>
      <c r="D31999">
        <v>15</v>
      </c>
      <c r="E31999">
        <v>0</v>
      </c>
      <c r="F31999">
        <v>120</v>
      </c>
      <c r="G31999">
        <v>98</v>
      </c>
    </row>
    <row r="32000" spans="1:19" x14ac:dyDescent="0.35">
      <c r="A32000" t="s">
        <v>230</v>
      </c>
      <c r="B32000" t="s">
        <v>2731</v>
      </c>
      <c r="C32000">
        <v>26.33</v>
      </c>
      <c r="D32000">
        <v>15</v>
      </c>
      <c r="E32000">
        <v>0</v>
      </c>
      <c r="F32000">
        <v>120</v>
      </c>
      <c r="G32000">
        <v>31</v>
      </c>
    </row>
    <row r="32001" spans="1:7" x14ac:dyDescent="0.35">
      <c r="A32001" t="s">
        <v>230</v>
      </c>
      <c r="B32001" t="s">
        <v>2732</v>
      </c>
      <c r="C32001">
        <v>17.97</v>
      </c>
      <c r="D32001">
        <v>10</v>
      </c>
      <c r="E32001">
        <v>0</v>
      </c>
      <c r="F32001">
        <v>90</v>
      </c>
      <c r="G32001">
        <v>151</v>
      </c>
    </row>
    <row r="32002" spans="1:7" x14ac:dyDescent="0.35">
      <c r="A32002" s="27" t="s">
        <v>231</v>
      </c>
      <c r="B32002" s="27" t="s">
        <v>2730</v>
      </c>
      <c r="C32002" s="29">
        <v>12.78</v>
      </c>
      <c r="D32002" s="29">
        <v>10</v>
      </c>
      <c r="E32002" s="29">
        <v>0</v>
      </c>
      <c r="F32002" s="29">
        <v>90</v>
      </c>
      <c r="G32002" s="29">
        <v>27</v>
      </c>
    </row>
    <row r="32003" spans="1:7" x14ac:dyDescent="0.35">
      <c r="A32003" s="27" t="s">
        <v>231</v>
      </c>
      <c r="B32003" s="27" t="s">
        <v>2731</v>
      </c>
      <c r="C32003" s="29">
        <v>14.14</v>
      </c>
      <c r="D32003" s="29">
        <v>15</v>
      </c>
      <c r="E32003" s="29">
        <v>2</v>
      </c>
      <c r="F32003" s="29">
        <v>40</v>
      </c>
      <c r="G32003" s="29">
        <v>7</v>
      </c>
    </row>
    <row r="32004" spans="1:7" x14ac:dyDescent="0.35">
      <c r="A32004" t="s">
        <v>231</v>
      </c>
      <c r="B32004" t="s">
        <v>2732</v>
      </c>
      <c r="C32004">
        <v>8.58</v>
      </c>
      <c r="D32004">
        <v>5</v>
      </c>
      <c r="E32004">
        <v>0</v>
      </c>
      <c r="F32004">
        <v>60</v>
      </c>
      <c r="G32004">
        <v>48</v>
      </c>
    </row>
    <row r="32005" spans="1:7" x14ac:dyDescent="0.35">
      <c r="A32005" t="s">
        <v>232</v>
      </c>
      <c r="B32005" t="s">
        <v>232</v>
      </c>
      <c r="C32005">
        <v>14.22</v>
      </c>
      <c r="D32005">
        <v>10</v>
      </c>
      <c r="E32005">
        <v>0</v>
      </c>
      <c r="F32005">
        <v>240</v>
      </c>
      <c r="G32005">
        <v>1445</v>
      </c>
    </row>
    <row r="32007" spans="1:7" x14ac:dyDescent="0.35">
      <c r="A32007" s="1" t="s">
        <v>2807</v>
      </c>
    </row>
    <row r="32008" spans="1:7" x14ac:dyDescent="0.35">
      <c r="A32008" t="s">
        <v>219</v>
      </c>
      <c r="B32008" t="s">
        <v>305</v>
      </c>
      <c r="C32008" t="s">
        <v>303</v>
      </c>
      <c r="D32008" t="s">
        <v>302</v>
      </c>
      <c r="E32008" t="s">
        <v>281</v>
      </c>
      <c r="F32008" t="s">
        <v>2026</v>
      </c>
      <c r="G32008" t="s">
        <v>226</v>
      </c>
    </row>
    <row r="32009" spans="1:7" x14ac:dyDescent="0.35">
      <c r="A32009" t="s">
        <v>227</v>
      </c>
      <c r="B32009" t="s">
        <v>2730</v>
      </c>
      <c r="C32009" s="26">
        <v>0.89359999999999995</v>
      </c>
      <c r="D32009" s="26">
        <v>4.2599999999999999E-2</v>
      </c>
      <c r="E32009" s="26">
        <v>4.2599999999999999E-2</v>
      </c>
      <c r="F32009" s="26">
        <v>2.1299999999999999E-2</v>
      </c>
      <c r="G32009">
        <v>47</v>
      </c>
    </row>
    <row r="32010" spans="1:7" x14ac:dyDescent="0.35">
      <c r="A32010" s="27" t="s">
        <v>227</v>
      </c>
      <c r="B32010" s="27" t="s">
        <v>2731</v>
      </c>
      <c r="C32010" s="28">
        <v>0.95240000000000002</v>
      </c>
      <c r="D32010" s="28">
        <v>4.7600000000000003E-2</v>
      </c>
      <c r="E32010" s="29"/>
      <c r="F32010" s="29"/>
      <c r="G32010" s="29" t="s">
        <v>351</v>
      </c>
    </row>
    <row r="32011" spans="1:7" x14ac:dyDescent="0.35">
      <c r="A32011" t="s">
        <v>227</v>
      </c>
      <c r="B32011" t="s">
        <v>2732</v>
      </c>
      <c r="C32011" s="26">
        <v>0.9</v>
      </c>
      <c r="D32011" s="26">
        <v>7.7799999999999994E-2</v>
      </c>
      <c r="E32011" s="26">
        <v>2.2200000000000001E-2</v>
      </c>
      <c r="G32011">
        <v>90</v>
      </c>
    </row>
    <row r="32012" spans="1:7" x14ac:dyDescent="0.35">
      <c r="A32012" t="s">
        <v>228</v>
      </c>
      <c r="B32012" t="s">
        <v>2730</v>
      </c>
      <c r="C32012" s="26">
        <v>0.8075</v>
      </c>
      <c r="D32012" s="26">
        <v>0.1812</v>
      </c>
      <c r="E32012" s="26">
        <v>1.1299999999999999E-2</v>
      </c>
      <c r="G32012">
        <v>344</v>
      </c>
    </row>
    <row r="32013" spans="1:7" x14ac:dyDescent="0.35">
      <c r="A32013" t="s">
        <v>228</v>
      </c>
      <c r="B32013" t="s">
        <v>2731</v>
      </c>
      <c r="C32013" s="26">
        <v>0.85299999999999998</v>
      </c>
      <c r="D32013" s="26">
        <v>0.1439</v>
      </c>
      <c r="E32013" s="26">
        <v>3.0999999999999999E-3</v>
      </c>
      <c r="G32013">
        <v>96</v>
      </c>
    </row>
    <row r="32014" spans="1:7" x14ac:dyDescent="0.35">
      <c r="A32014" t="s">
        <v>228</v>
      </c>
      <c r="B32014" t="s">
        <v>2732</v>
      </c>
      <c r="C32014" s="26">
        <v>0.87509999999999999</v>
      </c>
      <c r="D32014" s="26">
        <v>0.10340000000000001</v>
      </c>
      <c r="E32014" s="26">
        <v>2.1499999999999998E-2</v>
      </c>
      <c r="G32014">
        <v>560</v>
      </c>
    </row>
    <row r="32015" spans="1:7" x14ac:dyDescent="0.35">
      <c r="A32015" t="s">
        <v>229</v>
      </c>
      <c r="B32015" t="s">
        <v>2730</v>
      </c>
      <c r="C32015" s="26">
        <v>0.874</v>
      </c>
      <c r="D32015" s="26">
        <v>0.1021</v>
      </c>
      <c r="E32015" s="26">
        <v>2.1499999999999998E-2</v>
      </c>
      <c r="F32015" s="26">
        <v>2.3999999999999998E-3</v>
      </c>
      <c r="G32015">
        <v>301</v>
      </c>
    </row>
    <row r="32016" spans="1:7" x14ac:dyDescent="0.35">
      <c r="A32016" t="s">
        <v>229</v>
      </c>
      <c r="B32016" t="s">
        <v>2731</v>
      </c>
      <c r="C32016" s="26">
        <v>0.9919</v>
      </c>
      <c r="D32016" s="26">
        <v>8.0999999999999996E-3</v>
      </c>
      <c r="G32016">
        <v>86</v>
      </c>
    </row>
    <row r="32017" spans="1:7" x14ac:dyDescent="0.35">
      <c r="A32017" t="s">
        <v>229</v>
      </c>
      <c r="B32017" t="s">
        <v>2732</v>
      </c>
      <c r="C32017" s="26">
        <v>0.90980000000000005</v>
      </c>
      <c r="D32017" s="26">
        <v>6.6100000000000006E-2</v>
      </c>
      <c r="E32017" s="26">
        <v>2.41E-2</v>
      </c>
      <c r="G32017">
        <v>499</v>
      </c>
    </row>
    <row r="32018" spans="1:7" x14ac:dyDescent="0.35">
      <c r="A32018" t="s">
        <v>230</v>
      </c>
      <c r="B32018" t="s">
        <v>2730</v>
      </c>
      <c r="C32018" s="26">
        <v>0.78979999999999995</v>
      </c>
      <c r="D32018" s="26">
        <v>0.16969999999999999</v>
      </c>
      <c r="E32018" s="26">
        <v>4.0500000000000001E-2</v>
      </c>
      <c r="G32018">
        <v>195</v>
      </c>
    </row>
    <row r="32019" spans="1:7" x14ac:dyDescent="0.35">
      <c r="A32019" t="s">
        <v>230</v>
      </c>
      <c r="B32019" t="s">
        <v>2731</v>
      </c>
      <c r="C32019" s="26">
        <v>0.95399999999999996</v>
      </c>
      <c r="D32019" s="26">
        <v>3.4500000000000003E-2</v>
      </c>
      <c r="E32019" s="26">
        <v>1.15E-2</v>
      </c>
      <c r="G32019">
        <v>50</v>
      </c>
    </row>
    <row r="32020" spans="1:7" x14ac:dyDescent="0.35">
      <c r="A32020" t="s">
        <v>230</v>
      </c>
      <c r="B32020" t="s">
        <v>2732</v>
      </c>
      <c r="C32020" s="26">
        <v>0.85699999999999998</v>
      </c>
      <c r="D32020" s="26">
        <v>0.1177</v>
      </c>
      <c r="E32020" s="26">
        <v>2.53E-2</v>
      </c>
      <c r="G32020">
        <v>310</v>
      </c>
    </row>
    <row r="32021" spans="1:7" x14ac:dyDescent="0.35">
      <c r="A32021" t="s">
        <v>231</v>
      </c>
      <c r="B32021" t="s">
        <v>2730</v>
      </c>
      <c r="C32021" s="26">
        <v>0.92449999999999999</v>
      </c>
      <c r="D32021" s="26">
        <v>5.6599999999999998E-2</v>
      </c>
      <c r="E32021" s="26">
        <v>1.89E-2</v>
      </c>
      <c r="G32021">
        <v>53</v>
      </c>
    </row>
    <row r="32022" spans="1:7" x14ac:dyDescent="0.35">
      <c r="A32022" s="27" t="s">
        <v>231</v>
      </c>
      <c r="B32022" s="27" t="s">
        <v>2731</v>
      </c>
      <c r="C32022" s="28">
        <v>0.82350000000000001</v>
      </c>
      <c r="D32022" s="28">
        <v>0.17649999999999999</v>
      </c>
      <c r="E32022" s="29"/>
      <c r="F32022" s="29"/>
      <c r="G32022" s="29" t="s">
        <v>343</v>
      </c>
    </row>
    <row r="32023" spans="1:7" x14ac:dyDescent="0.35">
      <c r="A32023" t="s">
        <v>231</v>
      </c>
      <c r="B32023" t="s">
        <v>2732</v>
      </c>
      <c r="C32023" s="26">
        <v>0.92130000000000001</v>
      </c>
      <c r="D32023" s="26">
        <v>7.8700000000000006E-2</v>
      </c>
      <c r="G32023">
        <v>89</v>
      </c>
    </row>
    <row r="32024" spans="1:7" x14ac:dyDescent="0.35">
      <c r="A32024" t="s">
        <v>232</v>
      </c>
      <c r="B32024" t="s">
        <v>232</v>
      </c>
      <c r="C32024" s="26">
        <v>0.89100000000000001</v>
      </c>
      <c r="D32024" s="26">
        <v>9.01E-2</v>
      </c>
      <c r="E32024" s="26">
        <v>1.77E-2</v>
      </c>
      <c r="F32024" s="26">
        <v>1.1999999999999999E-3</v>
      </c>
      <c r="G32024">
        <v>2758</v>
      </c>
    </row>
    <row r="32026" spans="1:7" x14ac:dyDescent="0.35">
      <c r="A32026" s="1" t="s">
        <v>2808</v>
      </c>
    </row>
    <row r="32027" spans="1:7" x14ac:dyDescent="0.35">
      <c r="A32027" t="s">
        <v>219</v>
      </c>
      <c r="B32027" t="s">
        <v>305</v>
      </c>
      <c r="C32027" t="s">
        <v>302</v>
      </c>
      <c r="D32027" t="s">
        <v>303</v>
      </c>
      <c r="E32027" t="s">
        <v>281</v>
      </c>
      <c r="F32027" t="s">
        <v>2026</v>
      </c>
      <c r="G32027" t="s">
        <v>226</v>
      </c>
    </row>
    <row r="32028" spans="1:7" x14ac:dyDescent="0.35">
      <c r="A32028" t="s">
        <v>227</v>
      </c>
      <c r="B32028" t="s">
        <v>2730</v>
      </c>
      <c r="C32028" s="26">
        <v>0.76600000000000001</v>
      </c>
      <c r="D32028" s="26">
        <v>0.23400000000000001</v>
      </c>
      <c r="G32028">
        <v>47</v>
      </c>
    </row>
    <row r="32029" spans="1:7" x14ac:dyDescent="0.35">
      <c r="A32029" s="27" t="s">
        <v>227</v>
      </c>
      <c r="B32029" s="27" t="s">
        <v>2731</v>
      </c>
      <c r="C32029" s="28">
        <v>0.76190000000000002</v>
      </c>
      <c r="D32029" s="28">
        <v>0.23810000000000001</v>
      </c>
      <c r="E32029" s="29"/>
      <c r="F32029" s="29"/>
      <c r="G32029" s="29" t="s">
        <v>351</v>
      </c>
    </row>
    <row r="32030" spans="1:7" x14ac:dyDescent="0.35">
      <c r="A32030" t="s">
        <v>227</v>
      </c>
      <c r="B32030" t="s">
        <v>2732</v>
      </c>
      <c r="C32030" s="26">
        <v>0.86019999999999996</v>
      </c>
      <c r="D32030" s="26">
        <v>0.129</v>
      </c>
      <c r="E32030" s="26">
        <v>1.0800000000000001E-2</v>
      </c>
      <c r="G32030">
        <v>93</v>
      </c>
    </row>
    <row r="32031" spans="1:7" x14ac:dyDescent="0.35">
      <c r="A32031" t="s">
        <v>228</v>
      </c>
      <c r="B32031" t="s">
        <v>2730</v>
      </c>
      <c r="C32031" s="26">
        <v>0.7157</v>
      </c>
      <c r="D32031" s="26">
        <v>0.28260000000000002</v>
      </c>
      <c r="F32031" s="26">
        <v>1.6000000000000001E-3</v>
      </c>
      <c r="G32031">
        <v>360</v>
      </c>
    </row>
    <row r="32032" spans="1:7" x14ac:dyDescent="0.35">
      <c r="A32032" t="s">
        <v>228</v>
      </c>
      <c r="B32032" t="s">
        <v>2731</v>
      </c>
      <c r="C32032" s="26">
        <v>0.75880000000000003</v>
      </c>
      <c r="D32032" s="26">
        <v>0.2412</v>
      </c>
      <c r="G32032">
        <v>96</v>
      </c>
    </row>
    <row r="32033" spans="1:10" x14ac:dyDescent="0.35">
      <c r="A32033" t="s">
        <v>228</v>
      </c>
      <c r="B32033" t="s">
        <v>2732</v>
      </c>
      <c r="C32033" s="26">
        <v>0.72389999999999999</v>
      </c>
      <c r="D32033" s="26">
        <v>0.27550000000000002</v>
      </c>
      <c r="F32033" s="26">
        <v>5.9999999999999995E-4</v>
      </c>
      <c r="G32033">
        <v>576</v>
      </c>
    </row>
    <row r="32034" spans="1:10" x14ac:dyDescent="0.35">
      <c r="A32034" t="s">
        <v>229</v>
      </c>
      <c r="B32034" t="s">
        <v>2730</v>
      </c>
      <c r="C32034" s="26">
        <v>0.7681</v>
      </c>
      <c r="D32034" s="26">
        <v>0.22950000000000001</v>
      </c>
      <c r="F32034" s="26">
        <v>2.3999999999999998E-3</v>
      </c>
      <c r="G32034">
        <v>302</v>
      </c>
    </row>
    <row r="32035" spans="1:10" x14ac:dyDescent="0.35">
      <c r="A32035" t="s">
        <v>229</v>
      </c>
      <c r="B32035" t="s">
        <v>2731</v>
      </c>
      <c r="C32035" s="26">
        <v>0.88290000000000002</v>
      </c>
      <c r="D32035" s="26">
        <v>0.1171</v>
      </c>
      <c r="G32035">
        <v>86</v>
      </c>
    </row>
    <row r="32036" spans="1:10" x14ac:dyDescent="0.35">
      <c r="A32036" t="s">
        <v>229</v>
      </c>
      <c r="B32036" t="s">
        <v>2732</v>
      </c>
      <c r="C32036" s="26">
        <v>0.75249999999999995</v>
      </c>
      <c r="D32036" s="26">
        <v>0.247</v>
      </c>
      <c r="F32036" s="26">
        <v>5.0000000000000001E-4</v>
      </c>
      <c r="G32036">
        <v>507</v>
      </c>
    </row>
    <row r="32037" spans="1:10" x14ac:dyDescent="0.35">
      <c r="A32037" t="s">
        <v>230</v>
      </c>
      <c r="B32037" t="s">
        <v>2730</v>
      </c>
      <c r="C32037" s="26">
        <v>0.67549999999999999</v>
      </c>
      <c r="D32037" s="26">
        <v>0.32450000000000001</v>
      </c>
      <c r="G32037">
        <v>197</v>
      </c>
    </row>
    <row r="32038" spans="1:10" x14ac:dyDescent="0.35">
      <c r="A32038" t="s">
        <v>230</v>
      </c>
      <c r="B32038" t="s">
        <v>2731</v>
      </c>
      <c r="C32038" s="26">
        <v>0.84840000000000004</v>
      </c>
      <c r="D32038" s="26">
        <v>0.15160000000000001</v>
      </c>
      <c r="G32038">
        <v>50</v>
      </c>
    </row>
    <row r="32039" spans="1:10" x14ac:dyDescent="0.35">
      <c r="A32039" t="s">
        <v>230</v>
      </c>
      <c r="B32039" t="s">
        <v>2732</v>
      </c>
      <c r="C32039" s="26">
        <v>0.70150000000000001</v>
      </c>
      <c r="D32039" s="26">
        <v>0.29699999999999999</v>
      </c>
      <c r="E32039" s="26">
        <v>1.5E-3</v>
      </c>
      <c r="G32039">
        <v>313</v>
      </c>
    </row>
    <row r="32040" spans="1:10" x14ac:dyDescent="0.35">
      <c r="A32040" t="s">
        <v>231</v>
      </c>
      <c r="B32040" t="s">
        <v>2730</v>
      </c>
      <c r="C32040" s="26">
        <v>0.81820000000000004</v>
      </c>
      <c r="D32040" s="26">
        <v>0.18179999999999999</v>
      </c>
      <c r="G32040">
        <v>55</v>
      </c>
    </row>
    <row r="32041" spans="1:10" x14ac:dyDescent="0.35">
      <c r="A32041" s="27" t="s">
        <v>231</v>
      </c>
      <c r="B32041" s="27" t="s">
        <v>2731</v>
      </c>
      <c r="C32041" s="28">
        <v>0.88239999999999996</v>
      </c>
      <c r="D32041" s="28">
        <v>0.1176</v>
      </c>
      <c r="E32041" s="29"/>
      <c r="F32041" s="29"/>
      <c r="G32041" s="29" t="s">
        <v>343</v>
      </c>
    </row>
    <row r="32042" spans="1:10" x14ac:dyDescent="0.35">
      <c r="A32042" t="s">
        <v>231</v>
      </c>
      <c r="B32042" t="s">
        <v>2732</v>
      </c>
      <c r="C32042" s="26">
        <v>0.61960000000000004</v>
      </c>
      <c r="D32042" s="26">
        <v>0.38040000000000002</v>
      </c>
      <c r="G32042">
        <v>92</v>
      </c>
    </row>
    <row r="32043" spans="1:10" x14ac:dyDescent="0.35">
      <c r="A32043" t="s">
        <v>232</v>
      </c>
      <c r="B32043" t="s">
        <v>232</v>
      </c>
      <c r="C32043" s="26">
        <v>0.74629999999999996</v>
      </c>
      <c r="D32043" s="26">
        <v>0.25219999999999998</v>
      </c>
      <c r="E32043" s="26">
        <v>1E-3</v>
      </c>
      <c r="F32043" s="26">
        <v>5.0000000000000001E-4</v>
      </c>
      <c r="G32043">
        <v>2812</v>
      </c>
    </row>
    <row r="32045" spans="1:10" x14ac:dyDescent="0.35">
      <c r="A32045" s="1" t="s">
        <v>2809</v>
      </c>
    </row>
    <row r="32046" spans="1:10" x14ac:dyDescent="0.35">
      <c r="A32046" t="s">
        <v>219</v>
      </c>
      <c r="B32046" t="s">
        <v>305</v>
      </c>
      <c r="C32046" t="s">
        <v>2051</v>
      </c>
      <c r="D32046" t="s">
        <v>2052</v>
      </c>
      <c r="E32046" t="s">
        <v>2053</v>
      </c>
      <c r="F32046" t="s">
        <v>2054</v>
      </c>
      <c r="G32046" t="s">
        <v>2055</v>
      </c>
      <c r="H32046" t="s">
        <v>281</v>
      </c>
      <c r="I32046" t="s">
        <v>286</v>
      </c>
      <c r="J32046" t="s">
        <v>226</v>
      </c>
    </row>
    <row r="32047" spans="1:10" x14ac:dyDescent="0.35">
      <c r="A32047" t="s">
        <v>227</v>
      </c>
      <c r="B32047" t="s">
        <v>2730</v>
      </c>
      <c r="C32047" s="26">
        <v>0.91490000000000005</v>
      </c>
      <c r="D32047" s="26">
        <v>4.2599999999999999E-2</v>
      </c>
      <c r="E32047" s="26">
        <v>4.2599999999999999E-2</v>
      </c>
      <c r="J32047">
        <v>47</v>
      </c>
    </row>
    <row r="32048" spans="1:10" x14ac:dyDescent="0.35">
      <c r="A32048" s="27" t="s">
        <v>227</v>
      </c>
      <c r="B32048" s="27" t="s">
        <v>2731</v>
      </c>
      <c r="C32048" s="28">
        <v>0.95240000000000002</v>
      </c>
      <c r="D32048" s="29"/>
      <c r="E32048" s="29"/>
      <c r="F32048" s="29"/>
      <c r="G32048" s="28">
        <v>4.7600000000000003E-2</v>
      </c>
      <c r="H32048" s="29"/>
      <c r="I32048" s="29"/>
      <c r="J32048" s="29" t="s">
        <v>351</v>
      </c>
    </row>
    <row r="32049" spans="1:10" x14ac:dyDescent="0.35">
      <c r="A32049" t="s">
        <v>227</v>
      </c>
      <c r="B32049" t="s">
        <v>2732</v>
      </c>
      <c r="C32049" s="26">
        <v>0.91400000000000003</v>
      </c>
      <c r="D32049" s="26">
        <v>6.4500000000000002E-2</v>
      </c>
      <c r="E32049" s="26">
        <v>1.0800000000000001E-2</v>
      </c>
      <c r="F32049" s="26">
        <v>1.0800000000000001E-2</v>
      </c>
      <c r="J32049">
        <v>93</v>
      </c>
    </row>
    <row r="32050" spans="1:10" x14ac:dyDescent="0.35">
      <c r="A32050" t="s">
        <v>228</v>
      </c>
      <c r="B32050" t="s">
        <v>2730</v>
      </c>
      <c r="C32050" s="26">
        <v>0.92869999999999997</v>
      </c>
      <c r="D32050" s="26">
        <v>2.5600000000000001E-2</v>
      </c>
      <c r="E32050" s="26">
        <v>3.0200000000000001E-2</v>
      </c>
      <c r="F32050" s="26">
        <v>2.7000000000000001E-3</v>
      </c>
      <c r="G32050" s="26">
        <v>1.2E-2</v>
      </c>
      <c r="H32050" s="26">
        <v>6.9999999999999999E-4</v>
      </c>
      <c r="J32050">
        <v>360</v>
      </c>
    </row>
    <row r="32051" spans="1:10" x14ac:dyDescent="0.35">
      <c r="A32051" t="s">
        <v>228</v>
      </c>
      <c r="B32051" t="s">
        <v>2731</v>
      </c>
      <c r="C32051" s="26">
        <v>0.89159999999999995</v>
      </c>
      <c r="D32051" s="26">
        <v>0.1032</v>
      </c>
      <c r="E32051" s="26">
        <v>5.3E-3</v>
      </c>
      <c r="J32051">
        <v>96</v>
      </c>
    </row>
    <row r="32052" spans="1:10" x14ac:dyDescent="0.35">
      <c r="A32052" t="s">
        <v>228</v>
      </c>
      <c r="B32052" t="s">
        <v>2732</v>
      </c>
      <c r="C32052" s="26">
        <v>0.92330000000000001</v>
      </c>
      <c r="D32052" s="26">
        <v>4.2999999999999997E-2</v>
      </c>
      <c r="E32052" s="26">
        <v>3.0700000000000002E-2</v>
      </c>
      <c r="F32052" s="26">
        <v>1.4E-3</v>
      </c>
      <c r="G32052" s="26">
        <v>8.0000000000000004E-4</v>
      </c>
      <c r="I32052" s="26">
        <v>6.9999999999999999E-4</v>
      </c>
      <c r="J32052">
        <v>576</v>
      </c>
    </row>
    <row r="32053" spans="1:10" x14ac:dyDescent="0.35">
      <c r="A32053" t="s">
        <v>229</v>
      </c>
      <c r="B32053" t="s">
        <v>2730</v>
      </c>
      <c r="C32053" s="26">
        <v>0.87729999999999997</v>
      </c>
      <c r="D32053" s="26">
        <v>7.7299999999999994E-2</v>
      </c>
      <c r="E32053" s="26">
        <v>1.1900000000000001E-2</v>
      </c>
      <c r="F32053" s="26">
        <v>1.7899999999999999E-2</v>
      </c>
      <c r="H32053" s="26">
        <v>1.3100000000000001E-2</v>
      </c>
      <c r="I32053" s="26">
        <v>2.3999999999999998E-3</v>
      </c>
      <c r="J32053">
        <v>302</v>
      </c>
    </row>
    <row r="32054" spans="1:10" x14ac:dyDescent="0.35">
      <c r="A32054" t="s">
        <v>229</v>
      </c>
      <c r="B32054" t="s">
        <v>2731</v>
      </c>
      <c r="C32054" s="26">
        <v>0.96020000000000005</v>
      </c>
      <c r="D32054" s="26">
        <v>6.1000000000000004E-3</v>
      </c>
      <c r="E32054" s="26">
        <v>3.3700000000000001E-2</v>
      </c>
      <c r="J32054">
        <v>86</v>
      </c>
    </row>
    <row r="32055" spans="1:10" x14ac:dyDescent="0.35">
      <c r="A32055" t="s">
        <v>229</v>
      </c>
      <c r="B32055" t="s">
        <v>2732</v>
      </c>
      <c r="C32055" s="26">
        <v>0.93710000000000004</v>
      </c>
      <c r="D32055" s="26">
        <v>4.8800000000000003E-2</v>
      </c>
      <c r="E32055" s="26">
        <v>7.7999999999999996E-3</v>
      </c>
      <c r="F32055" s="26">
        <v>5.0000000000000001E-4</v>
      </c>
      <c r="G32055" s="26">
        <v>5.0000000000000001E-4</v>
      </c>
      <c r="H32055" s="26">
        <v>4.7000000000000002E-3</v>
      </c>
      <c r="I32055" s="26">
        <v>5.0000000000000001E-4</v>
      </c>
      <c r="J32055">
        <v>507</v>
      </c>
    </row>
    <row r="32056" spans="1:10" x14ac:dyDescent="0.35">
      <c r="A32056" t="s">
        <v>230</v>
      </c>
      <c r="B32056" t="s">
        <v>2730</v>
      </c>
      <c r="C32056" s="26">
        <v>0.89870000000000005</v>
      </c>
      <c r="D32056" s="26">
        <v>4.6800000000000001E-2</v>
      </c>
      <c r="E32056" s="26">
        <v>3.0099999999999998E-2</v>
      </c>
      <c r="F32056" s="26">
        <v>1.9800000000000002E-2</v>
      </c>
      <c r="G32056" s="26">
        <v>3.7000000000000002E-3</v>
      </c>
      <c r="H32056" s="26">
        <v>8.9999999999999998E-4</v>
      </c>
      <c r="J32056">
        <v>197</v>
      </c>
    </row>
    <row r="32057" spans="1:10" x14ac:dyDescent="0.35">
      <c r="A32057" t="s">
        <v>230</v>
      </c>
      <c r="B32057" t="s">
        <v>2731</v>
      </c>
      <c r="C32057" s="26">
        <v>0.91139999999999999</v>
      </c>
      <c r="D32057" s="26">
        <v>7.3300000000000004E-2</v>
      </c>
      <c r="F32057" s="26">
        <v>3.5000000000000001E-3</v>
      </c>
      <c r="G32057" s="26">
        <v>1.18E-2</v>
      </c>
      <c r="J32057">
        <v>50</v>
      </c>
    </row>
    <row r="32058" spans="1:10" x14ac:dyDescent="0.35">
      <c r="A32058" t="s">
        <v>230</v>
      </c>
      <c r="B32058" t="s">
        <v>2732</v>
      </c>
      <c r="C32058" s="26">
        <v>0.90920000000000001</v>
      </c>
      <c r="D32058" s="26">
        <v>5.8999999999999997E-2</v>
      </c>
      <c r="E32058" s="26">
        <v>5.7000000000000002E-3</v>
      </c>
      <c r="F32058" s="26">
        <v>4.8999999999999998E-3</v>
      </c>
      <c r="G32058" s="26">
        <v>1.9699999999999999E-2</v>
      </c>
      <c r="H32058" s="26">
        <v>1.5E-3</v>
      </c>
      <c r="J32058">
        <v>313</v>
      </c>
    </row>
    <row r="32059" spans="1:10" x14ac:dyDescent="0.35">
      <c r="A32059" t="s">
        <v>231</v>
      </c>
      <c r="B32059" t="s">
        <v>2730</v>
      </c>
      <c r="C32059" s="26">
        <v>0.94550000000000001</v>
      </c>
      <c r="D32059" s="26">
        <v>3.6400000000000002E-2</v>
      </c>
      <c r="E32059" s="26">
        <v>1.8200000000000001E-2</v>
      </c>
      <c r="J32059">
        <v>55</v>
      </c>
    </row>
    <row r="32060" spans="1:10" x14ac:dyDescent="0.35">
      <c r="A32060" s="27" t="s">
        <v>231</v>
      </c>
      <c r="B32060" s="27" t="s">
        <v>2731</v>
      </c>
      <c r="C32060" s="28">
        <v>0.94120000000000004</v>
      </c>
      <c r="D32060" s="28">
        <v>5.8799999999999998E-2</v>
      </c>
      <c r="E32060" s="29"/>
      <c r="F32060" s="29"/>
      <c r="G32060" s="29"/>
      <c r="H32060" s="29"/>
      <c r="I32060" s="29"/>
      <c r="J32060" s="29" t="s">
        <v>343</v>
      </c>
    </row>
    <row r="32061" spans="1:10" x14ac:dyDescent="0.35">
      <c r="A32061" t="s">
        <v>231</v>
      </c>
      <c r="B32061" t="s">
        <v>2732</v>
      </c>
      <c r="C32061" s="26">
        <v>0.89129999999999998</v>
      </c>
      <c r="D32061" s="26">
        <v>6.5199999999999994E-2</v>
      </c>
      <c r="E32061" s="26">
        <v>4.3499999999999997E-2</v>
      </c>
      <c r="J32061">
        <v>92</v>
      </c>
    </row>
    <row r="32062" spans="1:10" x14ac:dyDescent="0.35">
      <c r="A32062" t="s">
        <v>232</v>
      </c>
      <c r="B32062" t="s">
        <v>232</v>
      </c>
      <c r="C32062" s="26">
        <v>0.91830000000000001</v>
      </c>
      <c r="D32062" s="26">
        <v>5.1200000000000002E-2</v>
      </c>
      <c r="E32062" s="26">
        <v>2.1100000000000001E-2</v>
      </c>
      <c r="F32062" s="26">
        <v>3.7000000000000002E-3</v>
      </c>
      <c r="G32062" s="26">
        <v>3.2000000000000002E-3</v>
      </c>
      <c r="H32062" s="26">
        <v>2.0999999999999999E-3</v>
      </c>
      <c r="I32062" s="26">
        <v>4.0000000000000002E-4</v>
      </c>
      <c r="J32062">
        <v>2812</v>
      </c>
    </row>
    <row r="32064" spans="1:10" x14ac:dyDescent="0.35">
      <c r="A32064" s="1" t="s">
        <v>2810</v>
      </c>
    </row>
    <row r="32065" spans="1:20" x14ac:dyDescent="0.35">
      <c r="A32065" t="s">
        <v>219</v>
      </c>
      <c r="B32065" t="s">
        <v>305</v>
      </c>
      <c r="C32065" t="s">
        <v>2068</v>
      </c>
      <c r="D32065" t="s">
        <v>1991</v>
      </c>
      <c r="E32065" t="s">
        <v>1992</v>
      </c>
      <c r="F32065" t="s">
        <v>1995</v>
      </c>
      <c r="G32065" t="s">
        <v>1994</v>
      </c>
      <c r="H32065" t="s">
        <v>1998</v>
      </c>
      <c r="I32065" t="s">
        <v>1993</v>
      </c>
      <c r="J32065" t="s">
        <v>1989</v>
      </c>
      <c r="K32065" t="s">
        <v>1997</v>
      </c>
      <c r="L32065" t="s">
        <v>1999</v>
      </c>
      <c r="M32065" t="s">
        <v>2001</v>
      </c>
      <c r="N32065" t="s">
        <v>1996</v>
      </c>
      <c r="O32065" t="s">
        <v>2000</v>
      </c>
      <c r="P32065" t="s">
        <v>1990</v>
      </c>
      <c r="Q32065" t="s">
        <v>286</v>
      </c>
      <c r="R32065" t="s">
        <v>281</v>
      </c>
      <c r="S32065" t="s">
        <v>2069</v>
      </c>
      <c r="T32065" t="s">
        <v>226</v>
      </c>
    </row>
    <row r="32066" spans="1:20" x14ac:dyDescent="0.35">
      <c r="A32066" t="s">
        <v>227</v>
      </c>
      <c r="B32066" t="s">
        <v>2730</v>
      </c>
      <c r="C32066" s="26">
        <v>0.8085</v>
      </c>
      <c r="D32066" s="26">
        <v>0.10639999999999999</v>
      </c>
      <c r="E32066" s="26">
        <v>6.3799999999999996E-2</v>
      </c>
      <c r="G32066" s="26">
        <v>2.1299999999999999E-2</v>
      </c>
      <c r="T32066">
        <v>47</v>
      </c>
    </row>
    <row r="32067" spans="1:20" x14ac:dyDescent="0.35">
      <c r="A32067" s="27" t="s">
        <v>227</v>
      </c>
      <c r="B32067" s="27" t="s">
        <v>2731</v>
      </c>
      <c r="C32067" s="28">
        <v>0.66669999999999996</v>
      </c>
      <c r="D32067" s="28">
        <v>0.1905</v>
      </c>
      <c r="E32067" s="28">
        <v>9.5200000000000007E-2</v>
      </c>
      <c r="F32067" s="29"/>
      <c r="G32067" s="29"/>
      <c r="H32067" s="29"/>
      <c r="I32067" s="28">
        <v>4.7600000000000003E-2</v>
      </c>
      <c r="J32067" s="29"/>
      <c r="K32067" s="29"/>
      <c r="L32067" s="29"/>
      <c r="M32067" s="29"/>
      <c r="N32067" s="29"/>
      <c r="O32067" s="29"/>
      <c r="P32067" s="29"/>
      <c r="Q32067" s="29"/>
      <c r="R32067" s="29"/>
      <c r="S32067" s="29"/>
      <c r="T32067" s="29" t="s">
        <v>351</v>
      </c>
    </row>
    <row r="32068" spans="1:20" x14ac:dyDescent="0.35">
      <c r="A32068" t="s">
        <v>227</v>
      </c>
      <c r="B32068" t="s">
        <v>2732</v>
      </c>
      <c r="C32068" s="26">
        <v>0.82799999999999996</v>
      </c>
      <c r="D32068" s="26">
        <v>7.5300000000000006E-2</v>
      </c>
      <c r="E32068" s="26">
        <v>5.3800000000000001E-2</v>
      </c>
      <c r="F32068" s="26">
        <v>3.2300000000000002E-2</v>
      </c>
      <c r="G32068" s="26">
        <v>1.0800000000000001E-2</v>
      </c>
      <c r="T32068">
        <v>93</v>
      </c>
    </row>
    <row r="32069" spans="1:20" x14ac:dyDescent="0.35">
      <c r="A32069" t="s">
        <v>228</v>
      </c>
      <c r="B32069" t="s">
        <v>2730</v>
      </c>
      <c r="C32069" s="26">
        <v>0.86770000000000003</v>
      </c>
      <c r="D32069" s="26">
        <v>3.5400000000000001E-2</v>
      </c>
      <c r="E32069" s="26">
        <v>2.5000000000000001E-2</v>
      </c>
      <c r="F32069" s="26">
        <v>6.7000000000000002E-3</v>
      </c>
      <c r="G32069" s="26">
        <v>8.0000000000000002E-3</v>
      </c>
      <c r="I32069" s="26">
        <v>8.5000000000000006E-3</v>
      </c>
      <c r="J32069" s="26">
        <v>2.2499999999999999E-2</v>
      </c>
      <c r="K32069" s="26">
        <v>7.7000000000000002E-3</v>
      </c>
      <c r="L32069" s="26">
        <v>0.01</v>
      </c>
      <c r="N32069" s="26">
        <v>3.8E-3</v>
      </c>
      <c r="P32069" s="26">
        <v>3.0999999999999999E-3</v>
      </c>
      <c r="R32069" s="26">
        <v>1.6000000000000001E-3</v>
      </c>
      <c r="T32069">
        <v>360</v>
      </c>
    </row>
    <row r="32070" spans="1:20" x14ac:dyDescent="0.35">
      <c r="A32070" t="s">
        <v>228</v>
      </c>
      <c r="B32070" t="s">
        <v>2731</v>
      </c>
      <c r="C32070" s="26">
        <v>0.90059999999999996</v>
      </c>
      <c r="D32070" s="26">
        <v>4.6399999999999997E-2</v>
      </c>
      <c r="E32070" s="26">
        <v>1.01E-2</v>
      </c>
      <c r="F32070" s="26">
        <v>5.3E-3</v>
      </c>
      <c r="J32070" s="26">
        <v>2.5499999999999998E-2</v>
      </c>
      <c r="K32070" s="26">
        <v>4.5999999999999999E-3</v>
      </c>
      <c r="N32070" s="26">
        <v>3.0999999999999999E-3</v>
      </c>
      <c r="R32070" s="26">
        <v>4.5999999999999999E-3</v>
      </c>
      <c r="T32070">
        <v>96</v>
      </c>
    </row>
    <row r="32071" spans="1:20" x14ac:dyDescent="0.35">
      <c r="A32071" t="s">
        <v>228</v>
      </c>
      <c r="B32071" t="s">
        <v>2732</v>
      </c>
      <c r="C32071" s="26">
        <v>0.92579999999999996</v>
      </c>
      <c r="D32071" s="26">
        <v>2.0199999999999999E-2</v>
      </c>
      <c r="E32071" s="26">
        <v>3.2899999999999999E-2</v>
      </c>
      <c r="F32071" s="26">
        <v>4.3E-3</v>
      </c>
      <c r="G32071" s="26">
        <v>5.5999999999999999E-3</v>
      </c>
      <c r="H32071" s="26">
        <v>8.9999999999999998E-4</v>
      </c>
      <c r="I32071" s="26">
        <v>2.0999999999999999E-3</v>
      </c>
      <c r="J32071" s="26">
        <v>1.4E-3</v>
      </c>
      <c r="K32071" s="26">
        <v>2.3E-3</v>
      </c>
      <c r="N32071" s="26">
        <v>2.5999999999999999E-3</v>
      </c>
      <c r="O32071" s="26">
        <v>1.1000000000000001E-3</v>
      </c>
      <c r="Q32071" s="26">
        <v>6.9999999999999999E-4</v>
      </c>
      <c r="T32071">
        <v>576</v>
      </c>
    </row>
    <row r="32072" spans="1:20" x14ac:dyDescent="0.35">
      <c r="A32072" t="s">
        <v>229</v>
      </c>
      <c r="B32072" t="s">
        <v>2730</v>
      </c>
      <c r="C32072" s="26">
        <v>0.89019999999999999</v>
      </c>
      <c r="D32072" s="26">
        <v>5.96E-2</v>
      </c>
      <c r="E32072" s="26">
        <v>2.1000000000000001E-2</v>
      </c>
      <c r="F32072" s="26">
        <v>2.1000000000000001E-2</v>
      </c>
      <c r="G32072" s="26">
        <v>3.0000000000000001E-3</v>
      </c>
      <c r="K32072" s="26">
        <v>1.8E-3</v>
      </c>
      <c r="N32072" s="26">
        <v>8.9999999999999998E-4</v>
      </c>
      <c r="Q32072" s="26">
        <v>2.3999999999999998E-3</v>
      </c>
      <c r="T32072">
        <v>302</v>
      </c>
    </row>
    <row r="32073" spans="1:20" x14ac:dyDescent="0.35">
      <c r="A32073" t="s">
        <v>229</v>
      </c>
      <c r="B32073" t="s">
        <v>2731</v>
      </c>
      <c r="C32073" s="26">
        <v>0.83560000000000001</v>
      </c>
      <c r="D32073" s="26">
        <v>8.3599999999999994E-2</v>
      </c>
      <c r="E32073" s="26">
        <v>7.0300000000000001E-2</v>
      </c>
      <c r="F32073" s="26">
        <v>3.2000000000000002E-3</v>
      </c>
      <c r="G32073" s="26">
        <v>1.1999999999999999E-3</v>
      </c>
      <c r="K32073" s="26">
        <v>4.0000000000000001E-3</v>
      </c>
      <c r="M32073" s="26">
        <v>2.0999999999999999E-3</v>
      </c>
      <c r="T32073">
        <v>86</v>
      </c>
    </row>
    <row r="32074" spans="1:20" x14ac:dyDescent="0.35">
      <c r="A32074" t="s">
        <v>229</v>
      </c>
      <c r="B32074" t="s">
        <v>2732</v>
      </c>
      <c r="C32074" s="26">
        <v>0.84530000000000005</v>
      </c>
      <c r="D32074" s="26">
        <v>5.8400000000000001E-2</v>
      </c>
      <c r="E32074" s="26">
        <v>5.2600000000000001E-2</v>
      </c>
      <c r="F32074" s="26">
        <v>1.7100000000000001E-2</v>
      </c>
      <c r="G32074" s="26">
        <v>5.5999999999999999E-3</v>
      </c>
      <c r="H32074" s="26">
        <v>3.8999999999999998E-3</v>
      </c>
      <c r="I32074" s="26">
        <v>2.9999999999999997E-4</v>
      </c>
      <c r="J32074" s="26">
        <v>1.6000000000000001E-3</v>
      </c>
      <c r="K32074" s="26">
        <v>1E-3</v>
      </c>
      <c r="L32074" s="26">
        <v>3.8999999999999998E-3</v>
      </c>
      <c r="M32074" s="26">
        <v>5.0000000000000001E-3</v>
      </c>
      <c r="N32074" s="26">
        <v>2.9999999999999997E-4</v>
      </c>
      <c r="O32074" s="26">
        <v>4.4000000000000003E-3</v>
      </c>
      <c r="Q32074" s="26">
        <v>5.0000000000000001E-4</v>
      </c>
      <c r="T32074">
        <v>507</v>
      </c>
    </row>
    <row r="32075" spans="1:20" x14ac:dyDescent="0.35">
      <c r="A32075" t="s">
        <v>230</v>
      </c>
      <c r="B32075" t="s">
        <v>2730</v>
      </c>
      <c r="C32075" s="26">
        <v>0.91279999999999994</v>
      </c>
      <c r="D32075" s="26">
        <v>3.85E-2</v>
      </c>
      <c r="E32075" s="26">
        <v>1.7000000000000001E-2</v>
      </c>
      <c r="G32075" s="26">
        <v>2.8E-3</v>
      </c>
      <c r="I32075" s="26">
        <v>1.0200000000000001E-2</v>
      </c>
      <c r="J32075" s="26">
        <v>2.8E-3</v>
      </c>
      <c r="K32075" s="26">
        <v>6.6E-3</v>
      </c>
      <c r="L32075" s="26">
        <v>2.8E-3</v>
      </c>
      <c r="M32075" s="26">
        <v>2.8999999999999998E-3</v>
      </c>
      <c r="N32075" s="26">
        <v>3.7000000000000002E-3</v>
      </c>
      <c r="T32075">
        <v>197</v>
      </c>
    </row>
    <row r="32076" spans="1:20" x14ac:dyDescent="0.35">
      <c r="A32076" t="s">
        <v>230</v>
      </c>
      <c r="B32076" t="s">
        <v>2731</v>
      </c>
      <c r="C32076" s="26">
        <v>0.84899999999999998</v>
      </c>
      <c r="D32076" s="26">
        <v>0.1086</v>
      </c>
      <c r="E32076" s="26">
        <v>1.5299999999999999E-2</v>
      </c>
      <c r="I32076" s="26">
        <v>1.18E-2</v>
      </c>
      <c r="J32076" s="26">
        <v>3.5000000000000001E-3</v>
      </c>
      <c r="K32076" s="26">
        <v>1.18E-2</v>
      </c>
      <c r="T32076">
        <v>50</v>
      </c>
    </row>
    <row r="32077" spans="1:20" x14ac:dyDescent="0.35">
      <c r="A32077" t="s">
        <v>230</v>
      </c>
      <c r="B32077" t="s">
        <v>2732</v>
      </c>
      <c r="C32077" s="26">
        <v>0.88160000000000005</v>
      </c>
      <c r="D32077" s="26">
        <v>2.7699999999999999E-2</v>
      </c>
      <c r="E32077" s="26">
        <v>3.5499999999999997E-2</v>
      </c>
      <c r="F32077" s="26">
        <v>2.0799999999999999E-2</v>
      </c>
      <c r="G32077" s="26">
        <v>8.8999999999999999E-3</v>
      </c>
      <c r="I32077" s="26">
        <v>6.4000000000000003E-3</v>
      </c>
      <c r="K32077" s="26">
        <v>5.8999999999999999E-3</v>
      </c>
      <c r="N32077" s="26">
        <v>1.5E-3</v>
      </c>
      <c r="P32077" s="26">
        <v>9.7999999999999997E-3</v>
      </c>
      <c r="R32077" s="26">
        <v>5.0000000000000001E-4</v>
      </c>
      <c r="S32077" s="26">
        <v>1.5E-3</v>
      </c>
      <c r="T32077">
        <v>312</v>
      </c>
    </row>
    <row r="32078" spans="1:20" x14ac:dyDescent="0.35">
      <c r="A32078" t="s">
        <v>231</v>
      </c>
      <c r="B32078" t="s">
        <v>2730</v>
      </c>
      <c r="C32078" s="26">
        <v>0.89090000000000003</v>
      </c>
      <c r="D32078" s="26">
        <v>7.2700000000000001E-2</v>
      </c>
      <c r="E32078" s="26">
        <v>1.8200000000000001E-2</v>
      </c>
      <c r="F32078" s="26">
        <v>1.8200000000000001E-2</v>
      </c>
      <c r="T32078">
        <v>55</v>
      </c>
    </row>
    <row r="32079" spans="1:20" x14ac:dyDescent="0.35">
      <c r="A32079" s="27" t="s">
        <v>231</v>
      </c>
      <c r="B32079" s="27" t="s">
        <v>2731</v>
      </c>
      <c r="C32079" s="28">
        <v>0.82350000000000001</v>
      </c>
      <c r="D32079" s="29"/>
      <c r="E32079" s="28">
        <v>0.1176</v>
      </c>
      <c r="F32079" s="28">
        <v>5.8799999999999998E-2</v>
      </c>
      <c r="G32079" s="29"/>
      <c r="H32079" s="29"/>
      <c r="I32079" s="29"/>
      <c r="J32079" s="29"/>
      <c r="K32079" s="29"/>
      <c r="L32079" s="29"/>
      <c r="M32079" s="29"/>
      <c r="N32079" s="29"/>
      <c r="O32079" s="29"/>
      <c r="P32079" s="29"/>
      <c r="Q32079" s="29"/>
      <c r="R32079" s="29"/>
      <c r="S32079" s="29"/>
      <c r="T32079" s="29" t="s">
        <v>343</v>
      </c>
    </row>
    <row r="32080" spans="1:20" x14ac:dyDescent="0.35">
      <c r="A32080" t="s">
        <v>231</v>
      </c>
      <c r="B32080" t="s">
        <v>2732</v>
      </c>
      <c r="C32080" s="26">
        <v>0.68479999999999996</v>
      </c>
      <c r="D32080" s="26">
        <v>0.18479999999999999</v>
      </c>
      <c r="E32080" s="26">
        <v>6.5199999999999994E-2</v>
      </c>
      <c r="F32080" s="26">
        <v>3.2599999999999997E-2</v>
      </c>
      <c r="G32080" s="26">
        <v>2.1700000000000001E-2</v>
      </c>
      <c r="H32080" s="26">
        <v>1.09E-2</v>
      </c>
      <c r="T32080">
        <v>92</v>
      </c>
    </row>
    <row r="32081" spans="1:20" x14ac:dyDescent="0.35">
      <c r="A32081" t="s">
        <v>232</v>
      </c>
      <c r="B32081" t="s">
        <v>232</v>
      </c>
      <c r="C32081" s="26">
        <v>0.83660000000000001</v>
      </c>
      <c r="D32081" s="26">
        <v>7.6300000000000007E-2</v>
      </c>
      <c r="E32081" s="26">
        <v>4.5499999999999999E-2</v>
      </c>
      <c r="F32081" s="26">
        <v>1.8200000000000001E-2</v>
      </c>
      <c r="G32081" s="26">
        <v>8.3000000000000001E-3</v>
      </c>
      <c r="H32081" s="26">
        <v>2.5000000000000001E-3</v>
      </c>
      <c r="I32081" s="26">
        <v>2.5000000000000001E-3</v>
      </c>
      <c r="J32081" s="26">
        <v>2.3999999999999998E-3</v>
      </c>
      <c r="K32081" s="26">
        <v>1.9E-3</v>
      </c>
      <c r="L32081" s="26">
        <v>1.4E-3</v>
      </c>
      <c r="M32081" s="26">
        <v>1E-3</v>
      </c>
      <c r="N32081" s="26">
        <v>8.9999999999999998E-4</v>
      </c>
      <c r="O32081" s="26">
        <v>8.9999999999999998E-4</v>
      </c>
      <c r="P32081" s="26">
        <v>8.0000000000000004E-4</v>
      </c>
      <c r="Q32081" s="26">
        <v>4.0000000000000002E-4</v>
      </c>
      <c r="R32081" s="26">
        <v>2.0000000000000001E-4</v>
      </c>
      <c r="S32081" s="26">
        <v>1E-4</v>
      </c>
      <c r="T32081">
        <v>2811</v>
      </c>
    </row>
    <row r="32083" spans="1:20" x14ac:dyDescent="0.35">
      <c r="A32083" s="1" t="s">
        <v>2811</v>
      </c>
    </row>
    <row r="32084" spans="1:20" x14ac:dyDescent="0.35">
      <c r="A32084" t="s">
        <v>219</v>
      </c>
      <c r="B32084" t="s">
        <v>305</v>
      </c>
      <c r="C32084" t="s">
        <v>2051</v>
      </c>
      <c r="D32084" t="s">
        <v>2052</v>
      </c>
      <c r="E32084" t="s">
        <v>2053</v>
      </c>
      <c r="F32084" t="s">
        <v>2054</v>
      </c>
      <c r="G32084" t="s">
        <v>2055</v>
      </c>
      <c r="H32084" t="s">
        <v>281</v>
      </c>
      <c r="I32084" t="s">
        <v>286</v>
      </c>
      <c r="J32084" t="s">
        <v>226</v>
      </c>
    </row>
    <row r="32085" spans="1:20" x14ac:dyDescent="0.35">
      <c r="A32085" t="s">
        <v>227</v>
      </c>
      <c r="B32085" t="s">
        <v>2730</v>
      </c>
      <c r="C32085" s="26">
        <v>0.91490000000000005</v>
      </c>
      <c r="D32085" s="26">
        <v>6.3799999999999996E-2</v>
      </c>
      <c r="E32085" s="26">
        <v>2.1299999999999999E-2</v>
      </c>
      <c r="J32085">
        <v>47</v>
      </c>
    </row>
    <row r="32086" spans="1:20" x14ac:dyDescent="0.35">
      <c r="A32086" s="27" t="s">
        <v>227</v>
      </c>
      <c r="B32086" s="27" t="s">
        <v>2731</v>
      </c>
      <c r="C32086" s="28">
        <v>1</v>
      </c>
      <c r="D32086" s="29"/>
      <c r="E32086" s="29"/>
      <c r="F32086" s="29"/>
      <c r="G32086" s="29"/>
      <c r="H32086" s="29"/>
      <c r="I32086" s="29"/>
      <c r="J32086" s="29" t="s">
        <v>351</v>
      </c>
    </row>
    <row r="32087" spans="1:20" x14ac:dyDescent="0.35">
      <c r="A32087" t="s">
        <v>227</v>
      </c>
      <c r="B32087" t="s">
        <v>2732</v>
      </c>
      <c r="C32087" s="26">
        <v>0.78490000000000004</v>
      </c>
      <c r="D32087" s="26">
        <v>0.13980000000000001</v>
      </c>
      <c r="E32087" s="26">
        <v>5.3800000000000001E-2</v>
      </c>
      <c r="F32087" s="26">
        <v>2.1499999999999998E-2</v>
      </c>
      <c r="J32087">
        <v>93</v>
      </c>
    </row>
    <row r="32088" spans="1:20" x14ac:dyDescent="0.35">
      <c r="A32088" t="s">
        <v>228</v>
      </c>
      <c r="B32088" t="s">
        <v>2730</v>
      </c>
      <c r="C32088" s="26">
        <v>0.86950000000000005</v>
      </c>
      <c r="D32088" s="26">
        <v>4.7399999999999998E-2</v>
      </c>
      <c r="E32088" s="26">
        <v>3.3799999999999997E-2</v>
      </c>
      <c r="F32088" s="26">
        <v>1.66E-2</v>
      </c>
      <c r="G32088" s="26">
        <v>3.27E-2</v>
      </c>
      <c r="J32088">
        <v>360</v>
      </c>
    </row>
    <row r="32089" spans="1:20" x14ac:dyDescent="0.35">
      <c r="A32089" t="s">
        <v>228</v>
      </c>
      <c r="B32089" t="s">
        <v>2731</v>
      </c>
      <c r="C32089" s="26">
        <v>0.76870000000000005</v>
      </c>
      <c r="D32089" s="26">
        <v>0.15890000000000001</v>
      </c>
      <c r="E32089" s="26">
        <v>5.7099999999999998E-2</v>
      </c>
      <c r="F32089" s="26">
        <v>1.5299999999999999E-2</v>
      </c>
      <c r="J32089">
        <v>96</v>
      </c>
    </row>
    <row r="32090" spans="1:20" x14ac:dyDescent="0.35">
      <c r="A32090" t="s">
        <v>228</v>
      </c>
      <c r="B32090" t="s">
        <v>2732</v>
      </c>
      <c r="C32090" s="26">
        <v>0.84919999999999995</v>
      </c>
      <c r="D32090" s="26">
        <v>7.17E-2</v>
      </c>
      <c r="E32090" s="26">
        <v>0.06</v>
      </c>
      <c r="F32090" s="26">
        <v>4.4000000000000003E-3</v>
      </c>
      <c r="G32090" s="26">
        <v>1.4E-2</v>
      </c>
      <c r="I32090" s="26">
        <v>6.9999999999999999E-4</v>
      </c>
      <c r="J32090">
        <v>576</v>
      </c>
    </row>
    <row r="32091" spans="1:20" x14ac:dyDescent="0.35">
      <c r="A32091" t="s">
        <v>229</v>
      </c>
      <c r="B32091" t="s">
        <v>2730</v>
      </c>
      <c r="C32091" s="26">
        <v>0.86109999999999998</v>
      </c>
      <c r="D32091" s="26">
        <v>9.2299999999999993E-2</v>
      </c>
      <c r="E32091" s="26">
        <v>3.2800000000000003E-2</v>
      </c>
      <c r="F32091" s="26">
        <v>1.0200000000000001E-2</v>
      </c>
      <c r="H32091" s="26">
        <v>1.1999999999999999E-3</v>
      </c>
      <c r="I32091" s="26">
        <v>2.3999999999999998E-3</v>
      </c>
      <c r="J32091">
        <v>302</v>
      </c>
    </row>
    <row r="32092" spans="1:20" x14ac:dyDescent="0.35">
      <c r="A32092" t="s">
        <v>229</v>
      </c>
      <c r="B32092" t="s">
        <v>2731</v>
      </c>
      <c r="C32092" s="26">
        <v>0.92549999999999999</v>
      </c>
      <c r="D32092" s="26">
        <v>2.0999999999999999E-3</v>
      </c>
      <c r="E32092" s="26">
        <v>7.2400000000000006E-2</v>
      </c>
      <c r="J32092">
        <v>86</v>
      </c>
    </row>
    <row r="32093" spans="1:20" x14ac:dyDescent="0.35">
      <c r="A32093" t="s">
        <v>229</v>
      </c>
      <c r="B32093" t="s">
        <v>2732</v>
      </c>
      <c r="C32093" s="26">
        <v>0.88500000000000001</v>
      </c>
      <c r="D32093" s="26">
        <v>7.6399999999999996E-2</v>
      </c>
      <c r="E32093" s="26">
        <v>1.83E-2</v>
      </c>
      <c r="F32093" s="26">
        <v>9.9000000000000008E-3</v>
      </c>
      <c r="H32093" s="26">
        <v>9.9000000000000008E-3</v>
      </c>
      <c r="I32093" s="26">
        <v>5.0000000000000001E-4</v>
      </c>
      <c r="J32093">
        <v>507</v>
      </c>
    </row>
    <row r="32094" spans="1:20" x14ac:dyDescent="0.35">
      <c r="A32094" t="s">
        <v>230</v>
      </c>
      <c r="B32094" t="s">
        <v>2730</v>
      </c>
      <c r="C32094" s="26">
        <v>0.84699999999999998</v>
      </c>
      <c r="D32094" s="26">
        <v>9.2399999999999996E-2</v>
      </c>
      <c r="E32094" s="26">
        <v>3.15E-2</v>
      </c>
      <c r="F32094" s="26">
        <v>2.2499999999999999E-2</v>
      </c>
      <c r="G32094" s="26">
        <v>6.6E-3</v>
      </c>
      <c r="J32094">
        <v>197</v>
      </c>
    </row>
    <row r="32095" spans="1:20" x14ac:dyDescent="0.35">
      <c r="A32095" t="s">
        <v>230</v>
      </c>
      <c r="B32095" t="s">
        <v>2731</v>
      </c>
      <c r="C32095" s="26">
        <v>0.90449999999999997</v>
      </c>
      <c r="D32095" s="26">
        <v>5.7200000000000001E-2</v>
      </c>
      <c r="E32095" s="26">
        <v>2.3300000000000001E-2</v>
      </c>
      <c r="F32095" s="26">
        <v>3.5000000000000001E-3</v>
      </c>
      <c r="G32095" s="26">
        <v>1.15E-2</v>
      </c>
      <c r="J32095">
        <v>50</v>
      </c>
    </row>
    <row r="32096" spans="1:20" x14ac:dyDescent="0.35">
      <c r="A32096" t="s">
        <v>230</v>
      </c>
      <c r="B32096" t="s">
        <v>2732</v>
      </c>
      <c r="C32096" s="26">
        <v>0.82909999999999995</v>
      </c>
      <c r="D32096" s="26">
        <v>0.11700000000000001</v>
      </c>
      <c r="E32096" s="26">
        <v>4.36E-2</v>
      </c>
      <c r="F32096" s="26">
        <v>3.8E-3</v>
      </c>
      <c r="G32096" s="26">
        <v>5.0000000000000001E-3</v>
      </c>
      <c r="H32096" s="26">
        <v>1.5E-3</v>
      </c>
      <c r="J32096">
        <v>313</v>
      </c>
    </row>
    <row r="32097" spans="1:10" x14ac:dyDescent="0.35">
      <c r="A32097" t="s">
        <v>231</v>
      </c>
      <c r="B32097" t="s">
        <v>2730</v>
      </c>
      <c r="C32097" s="26">
        <v>0.89090000000000003</v>
      </c>
      <c r="D32097" s="26">
        <v>9.0899999999999995E-2</v>
      </c>
      <c r="E32097" s="26">
        <v>1.8200000000000001E-2</v>
      </c>
      <c r="J32097">
        <v>55</v>
      </c>
    </row>
    <row r="32098" spans="1:10" x14ac:dyDescent="0.35">
      <c r="A32098" s="27" t="s">
        <v>231</v>
      </c>
      <c r="B32098" s="27" t="s">
        <v>2731</v>
      </c>
      <c r="C32098" s="28">
        <v>0.82350000000000001</v>
      </c>
      <c r="D32098" s="28">
        <v>0.17649999999999999</v>
      </c>
      <c r="E32098" s="29"/>
      <c r="F32098" s="29"/>
      <c r="G32098" s="29"/>
      <c r="H32098" s="29"/>
      <c r="I32098" s="29"/>
      <c r="J32098" s="29" t="s">
        <v>343</v>
      </c>
    </row>
    <row r="32099" spans="1:10" x14ac:dyDescent="0.35">
      <c r="A32099" t="s">
        <v>231</v>
      </c>
      <c r="B32099" t="s">
        <v>2732</v>
      </c>
      <c r="C32099" s="26">
        <v>0.92390000000000005</v>
      </c>
      <c r="D32099" s="26">
        <v>4.3499999999999997E-2</v>
      </c>
      <c r="E32099" s="26">
        <v>3.2599999999999997E-2</v>
      </c>
      <c r="J32099">
        <v>92</v>
      </c>
    </row>
    <row r="32100" spans="1:10" x14ac:dyDescent="0.35">
      <c r="A32100" t="s">
        <v>232</v>
      </c>
      <c r="B32100" t="s">
        <v>232</v>
      </c>
      <c r="C32100" s="26">
        <v>0.87270000000000003</v>
      </c>
      <c r="D32100" s="26">
        <v>0.08</v>
      </c>
      <c r="E32100" s="26">
        <v>3.3500000000000002E-2</v>
      </c>
      <c r="F32100" s="26">
        <v>7.1999999999999998E-3</v>
      </c>
      <c r="G32100" s="26">
        <v>4.3E-3</v>
      </c>
      <c r="H32100" s="26">
        <v>2E-3</v>
      </c>
      <c r="I32100" s="26">
        <v>4.0000000000000002E-4</v>
      </c>
      <c r="J32100">
        <v>2812</v>
      </c>
    </row>
    <row r="32102" spans="1:10" x14ac:dyDescent="0.35">
      <c r="A32102" s="1" t="s">
        <v>2812</v>
      </c>
    </row>
    <row r="32103" spans="1:10" x14ac:dyDescent="0.35">
      <c r="A32103" t="s">
        <v>219</v>
      </c>
      <c r="B32103" t="s">
        <v>305</v>
      </c>
      <c r="C32103" t="s">
        <v>303</v>
      </c>
      <c r="D32103" t="s">
        <v>302</v>
      </c>
      <c r="E32103" t="s">
        <v>286</v>
      </c>
      <c r="F32103" t="s">
        <v>226</v>
      </c>
    </row>
    <row r="32104" spans="1:10" x14ac:dyDescent="0.35">
      <c r="A32104" t="s">
        <v>227</v>
      </c>
      <c r="B32104" t="s">
        <v>2730</v>
      </c>
      <c r="C32104" s="26">
        <v>1</v>
      </c>
      <c r="F32104">
        <v>47</v>
      </c>
    </row>
    <row r="32105" spans="1:10" x14ac:dyDescent="0.35">
      <c r="A32105" s="27" t="s">
        <v>227</v>
      </c>
      <c r="B32105" s="27" t="s">
        <v>2731</v>
      </c>
      <c r="C32105" s="28">
        <v>1</v>
      </c>
      <c r="D32105" s="29"/>
      <c r="E32105" s="29"/>
      <c r="F32105" s="29" t="s">
        <v>351</v>
      </c>
    </row>
    <row r="32106" spans="1:10" x14ac:dyDescent="0.35">
      <c r="A32106" t="s">
        <v>227</v>
      </c>
      <c r="B32106" t="s">
        <v>2732</v>
      </c>
      <c r="C32106" s="26">
        <v>0.98919999999999997</v>
      </c>
      <c r="D32106" s="26">
        <v>1.0800000000000001E-2</v>
      </c>
      <c r="F32106">
        <v>93</v>
      </c>
    </row>
    <row r="32107" spans="1:10" x14ac:dyDescent="0.35">
      <c r="A32107" t="s">
        <v>228</v>
      </c>
      <c r="B32107" t="s">
        <v>2730</v>
      </c>
      <c r="C32107" s="26">
        <v>0.97709999999999997</v>
      </c>
      <c r="D32107" s="26">
        <v>2.29E-2</v>
      </c>
      <c r="F32107">
        <v>360</v>
      </c>
    </row>
    <row r="32108" spans="1:10" x14ac:dyDescent="0.35">
      <c r="A32108" t="s">
        <v>228</v>
      </c>
      <c r="B32108" t="s">
        <v>2731</v>
      </c>
      <c r="C32108" s="26">
        <v>1</v>
      </c>
      <c r="F32108">
        <v>96</v>
      </c>
    </row>
    <row r="32109" spans="1:10" x14ac:dyDescent="0.35">
      <c r="A32109" t="s">
        <v>228</v>
      </c>
      <c r="B32109" t="s">
        <v>2732</v>
      </c>
      <c r="C32109" s="26">
        <v>0.97909999999999997</v>
      </c>
      <c r="D32109" s="26">
        <v>1.95E-2</v>
      </c>
      <c r="E32109" s="26">
        <v>1.2999999999999999E-3</v>
      </c>
      <c r="F32109">
        <v>576</v>
      </c>
    </row>
    <row r="32110" spans="1:10" x14ac:dyDescent="0.35">
      <c r="A32110" t="s">
        <v>229</v>
      </c>
      <c r="B32110" t="s">
        <v>2730</v>
      </c>
      <c r="C32110" s="26">
        <v>0.97489999999999999</v>
      </c>
      <c r="D32110" s="26">
        <v>2.2700000000000001E-2</v>
      </c>
      <c r="E32110" s="26">
        <v>2.3999999999999998E-3</v>
      </c>
      <c r="F32110">
        <v>302</v>
      </c>
    </row>
    <row r="32111" spans="1:10" x14ac:dyDescent="0.35">
      <c r="A32111" t="s">
        <v>229</v>
      </c>
      <c r="B32111" t="s">
        <v>2731</v>
      </c>
      <c r="C32111" s="26">
        <v>0.96740000000000004</v>
      </c>
      <c r="D32111" s="26">
        <v>3.2599999999999997E-2</v>
      </c>
      <c r="F32111">
        <v>86</v>
      </c>
    </row>
    <row r="32112" spans="1:10" x14ac:dyDescent="0.35">
      <c r="A32112" t="s">
        <v>229</v>
      </c>
      <c r="B32112" t="s">
        <v>2732</v>
      </c>
      <c r="C32112" s="26">
        <v>0.98870000000000002</v>
      </c>
      <c r="D32112" s="26">
        <v>6.3E-3</v>
      </c>
      <c r="E32112" s="26">
        <v>5.0000000000000001E-3</v>
      </c>
      <c r="F32112">
        <v>507</v>
      </c>
    </row>
    <row r="32113" spans="1:9" x14ac:dyDescent="0.35">
      <c r="A32113" t="s">
        <v>230</v>
      </c>
      <c r="B32113" t="s">
        <v>2730</v>
      </c>
      <c r="C32113" s="26">
        <v>0.97570000000000001</v>
      </c>
      <c r="D32113" s="26">
        <v>2.35E-2</v>
      </c>
      <c r="E32113" s="26">
        <v>8.9999999999999998E-4</v>
      </c>
      <c r="F32113">
        <v>197</v>
      </c>
    </row>
    <row r="32114" spans="1:9" x14ac:dyDescent="0.35">
      <c r="A32114" t="s">
        <v>230</v>
      </c>
      <c r="B32114" t="s">
        <v>2731</v>
      </c>
      <c r="C32114" s="26">
        <v>1</v>
      </c>
      <c r="F32114">
        <v>50</v>
      </c>
    </row>
    <row r="32115" spans="1:9" x14ac:dyDescent="0.35">
      <c r="A32115" t="s">
        <v>230</v>
      </c>
      <c r="B32115" t="s">
        <v>2732</v>
      </c>
      <c r="C32115" s="26">
        <v>0.98919999999999997</v>
      </c>
      <c r="D32115" s="26">
        <v>1.0800000000000001E-2</v>
      </c>
      <c r="F32115">
        <v>313</v>
      </c>
    </row>
    <row r="32116" spans="1:9" x14ac:dyDescent="0.35">
      <c r="A32116" t="s">
        <v>231</v>
      </c>
      <c r="B32116" t="s">
        <v>2730</v>
      </c>
      <c r="C32116" s="26">
        <v>0.96360000000000001</v>
      </c>
      <c r="D32116" s="26">
        <v>1.8200000000000001E-2</v>
      </c>
      <c r="E32116" s="26">
        <v>1.8200000000000001E-2</v>
      </c>
      <c r="F32116">
        <v>55</v>
      </c>
    </row>
    <row r="32117" spans="1:9" x14ac:dyDescent="0.35">
      <c r="A32117" s="27" t="s">
        <v>231</v>
      </c>
      <c r="B32117" s="27" t="s">
        <v>2731</v>
      </c>
      <c r="C32117" s="28">
        <v>0.94120000000000004</v>
      </c>
      <c r="D32117" s="28">
        <v>5.8799999999999998E-2</v>
      </c>
      <c r="E32117" s="29"/>
      <c r="F32117" s="29" t="s">
        <v>343</v>
      </c>
    </row>
    <row r="32118" spans="1:9" x14ac:dyDescent="0.35">
      <c r="A32118" t="s">
        <v>231</v>
      </c>
      <c r="B32118" t="s">
        <v>2732</v>
      </c>
      <c r="C32118" s="26">
        <v>0.96740000000000004</v>
      </c>
      <c r="D32118" s="26">
        <v>3.2599999999999997E-2</v>
      </c>
      <c r="F32118">
        <v>92</v>
      </c>
    </row>
    <row r="32119" spans="1:9" x14ac:dyDescent="0.35">
      <c r="A32119" t="s">
        <v>232</v>
      </c>
      <c r="B32119" t="s">
        <v>232</v>
      </c>
      <c r="C32119" s="26">
        <v>0.97899999999999998</v>
      </c>
      <c r="D32119" s="26">
        <v>1.7999999999999999E-2</v>
      </c>
      <c r="E32119" s="26">
        <v>2.8999999999999998E-3</v>
      </c>
      <c r="F32119">
        <v>2812</v>
      </c>
    </row>
    <row r="32121" spans="1:9" x14ac:dyDescent="0.35">
      <c r="A32121" s="1" t="s">
        <v>2813</v>
      </c>
    </row>
    <row r="32122" spans="1:9" x14ac:dyDescent="0.35">
      <c r="A32122" t="s">
        <v>219</v>
      </c>
      <c r="B32122" t="s">
        <v>305</v>
      </c>
      <c r="C32122" t="s">
        <v>2106</v>
      </c>
      <c r="D32122" t="s">
        <v>2107</v>
      </c>
      <c r="E32122" t="s">
        <v>2108</v>
      </c>
      <c r="F32122" t="s">
        <v>2109</v>
      </c>
      <c r="G32122" t="s">
        <v>286</v>
      </c>
      <c r="H32122" t="s">
        <v>281</v>
      </c>
      <c r="I32122" t="s">
        <v>226</v>
      </c>
    </row>
    <row r="32123" spans="1:9" x14ac:dyDescent="0.35">
      <c r="A32123" t="s">
        <v>227</v>
      </c>
      <c r="B32123" t="s">
        <v>2730</v>
      </c>
      <c r="C32123" s="26">
        <v>0.85109999999999997</v>
      </c>
      <c r="D32123" s="26">
        <v>8.5099999999999995E-2</v>
      </c>
      <c r="E32123" s="26">
        <v>6.3799999999999996E-2</v>
      </c>
      <c r="I32123">
        <v>47</v>
      </c>
    </row>
    <row r="32124" spans="1:9" x14ac:dyDescent="0.35">
      <c r="A32124" s="27" t="s">
        <v>227</v>
      </c>
      <c r="B32124" s="27" t="s">
        <v>2731</v>
      </c>
      <c r="C32124" s="28">
        <v>0.95240000000000002</v>
      </c>
      <c r="D32124" s="28">
        <v>4.7600000000000003E-2</v>
      </c>
      <c r="E32124" s="29"/>
      <c r="F32124" s="29"/>
      <c r="G32124" s="29"/>
      <c r="H32124" s="29"/>
      <c r="I32124" s="29" t="s">
        <v>351</v>
      </c>
    </row>
    <row r="32125" spans="1:9" x14ac:dyDescent="0.35">
      <c r="A32125" t="s">
        <v>227</v>
      </c>
      <c r="B32125" t="s">
        <v>2732</v>
      </c>
      <c r="C32125" s="26">
        <v>0.95699999999999996</v>
      </c>
      <c r="D32125" s="26">
        <v>3.2300000000000002E-2</v>
      </c>
      <c r="E32125" s="26">
        <v>1.0800000000000001E-2</v>
      </c>
      <c r="I32125">
        <v>93</v>
      </c>
    </row>
    <row r="32126" spans="1:9" x14ac:dyDescent="0.35">
      <c r="A32126" t="s">
        <v>228</v>
      </c>
      <c r="B32126" t="s">
        <v>2730</v>
      </c>
      <c r="C32126" s="26">
        <v>0.92579999999999996</v>
      </c>
      <c r="D32126" s="26">
        <v>2.7300000000000001E-2</v>
      </c>
      <c r="E32126" s="26">
        <v>3.6900000000000002E-2</v>
      </c>
      <c r="F32126" s="26">
        <v>0.01</v>
      </c>
      <c r="I32126">
        <v>360</v>
      </c>
    </row>
    <row r="32127" spans="1:9" x14ac:dyDescent="0.35">
      <c r="A32127" t="s">
        <v>228</v>
      </c>
      <c r="B32127" t="s">
        <v>2731</v>
      </c>
      <c r="C32127" s="26">
        <v>0.94869999999999999</v>
      </c>
      <c r="D32127" s="26">
        <v>4.2900000000000001E-2</v>
      </c>
      <c r="E32127" s="26">
        <v>8.3000000000000001E-3</v>
      </c>
      <c r="I32127">
        <v>96</v>
      </c>
    </row>
    <row r="32128" spans="1:9" x14ac:dyDescent="0.35">
      <c r="A32128" t="s">
        <v>228</v>
      </c>
      <c r="B32128" t="s">
        <v>2732</v>
      </c>
      <c r="C32128" s="26">
        <v>0.97250000000000003</v>
      </c>
      <c r="D32128" s="26">
        <v>1.44E-2</v>
      </c>
      <c r="E32128" s="26">
        <v>1.15E-2</v>
      </c>
      <c r="F32128" s="26">
        <v>8.9999999999999998E-4</v>
      </c>
      <c r="G32128" s="26">
        <v>6.9999999999999999E-4</v>
      </c>
      <c r="I32128">
        <v>576</v>
      </c>
    </row>
    <row r="32129" spans="1:9" x14ac:dyDescent="0.35">
      <c r="A32129" t="s">
        <v>229</v>
      </c>
      <c r="B32129" t="s">
        <v>2730</v>
      </c>
      <c r="C32129" s="26">
        <v>0.96609999999999996</v>
      </c>
      <c r="D32129" s="26">
        <v>1.55E-2</v>
      </c>
      <c r="E32129" s="26">
        <v>1.5699999999999999E-2</v>
      </c>
      <c r="G32129" s="26">
        <v>2.3999999999999998E-3</v>
      </c>
      <c r="H32129" s="26">
        <v>2.9999999999999997E-4</v>
      </c>
      <c r="I32129">
        <v>302</v>
      </c>
    </row>
    <row r="32130" spans="1:9" x14ac:dyDescent="0.35">
      <c r="A32130" t="s">
        <v>229</v>
      </c>
      <c r="B32130" t="s">
        <v>2731</v>
      </c>
      <c r="C32130" s="26">
        <v>0.92759999999999998</v>
      </c>
      <c r="D32130" s="26">
        <v>4.07E-2</v>
      </c>
      <c r="E32130" s="26">
        <v>3.1699999999999999E-2</v>
      </c>
      <c r="I32130">
        <v>86</v>
      </c>
    </row>
    <row r="32131" spans="1:9" x14ac:dyDescent="0.35">
      <c r="A32131" t="s">
        <v>229</v>
      </c>
      <c r="B32131" t="s">
        <v>2732</v>
      </c>
      <c r="C32131" s="26">
        <v>0.95020000000000004</v>
      </c>
      <c r="D32131" s="26">
        <v>2.2700000000000001E-2</v>
      </c>
      <c r="E32131" s="26">
        <v>2.6599999999999999E-2</v>
      </c>
      <c r="G32131" s="26">
        <v>5.0000000000000001E-4</v>
      </c>
      <c r="I32131">
        <v>507</v>
      </c>
    </row>
    <row r="32132" spans="1:9" x14ac:dyDescent="0.35">
      <c r="A32132" t="s">
        <v>230</v>
      </c>
      <c r="B32132" t="s">
        <v>2730</v>
      </c>
      <c r="C32132" s="26">
        <v>0.94940000000000002</v>
      </c>
      <c r="D32132" s="26">
        <v>3.1E-2</v>
      </c>
      <c r="E32132" s="26">
        <v>1.9599999999999999E-2</v>
      </c>
      <c r="I32132">
        <v>197</v>
      </c>
    </row>
    <row r="32133" spans="1:9" x14ac:dyDescent="0.35">
      <c r="A32133" t="s">
        <v>230</v>
      </c>
      <c r="B32133" t="s">
        <v>2731</v>
      </c>
      <c r="C32133" s="26">
        <v>0.89139999999999997</v>
      </c>
      <c r="D32133" s="26">
        <v>3.8899999999999997E-2</v>
      </c>
      <c r="E32133" s="26">
        <v>6.9800000000000001E-2</v>
      </c>
      <c r="I32133">
        <v>50</v>
      </c>
    </row>
    <row r="32134" spans="1:9" x14ac:dyDescent="0.35">
      <c r="A32134" t="s">
        <v>230</v>
      </c>
      <c r="B32134" t="s">
        <v>2732</v>
      </c>
      <c r="C32134" s="26">
        <v>0.93689999999999996</v>
      </c>
      <c r="D32134" s="26">
        <v>3.9399999999999998E-2</v>
      </c>
      <c r="E32134" s="26">
        <v>2.3699999999999999E-2</v>
      </c>
      <c r="I32134">
        <v>313</v>
      </c>
    </row>
    <row r="32135" spans="1:9" x14ac:dyDescent="0.35">
      <c r="A32135" t="s">
        <v>231</v>
      </c>
      <c r="B32135" t="s">
        <v>2730</v>
      </c>
      <c r="C32135" s="26">
        <v>0.94550000000000001</v>
      </c>
      <c r="D32135" s="26">
        <v>3.6400000000000002E-2</v>
      </c>
      <c r="E32135" s="26">
        <v>1.8200000000000001E-2</v>
      </c>
      <c r="I32135">
        <v>55</v>
      </c>
    </row>
    <row r="32136" spans="1:9" x14ac:dyDescent="0.35">
      <c r="A32136" s="27" t="s">
        <v>231</v>
      </c>
      <c r="B32136" s="27" t="s">
        <v>2731</v>
      </c>
      <c r="C32136" s="28">
        <v>0.82350000000000001</v>
      </c>
      <c r="D32136" s="28">
        <v>0.1176</v>
      </c>
      <c r="E32136" s="28">
        <v>5.8799999999999998E-2</v>
      </c>
      <c r="F32136" s="29"/>
      <c r="G32136" s="29"/>
      <c r="H32136" s="29"/>
      <c r="I32136" s="29" t="s">
        <v>343</v>
      </c>
    </row>
    <row r="32137" spans="1:9" x14ac:dyDescent="0.35">
      <c r="A32137" t="s">
        <v>231</v>
      </c>
      <c r="B32137" t="s">
        <v>2732</v>
      </c>
      <c r="C32137" s="26">
        <v>0.92390000000000005</v>
      </c>
      <c r="D32137" s="26">
        <v>2.1700000000000001E-2</v>
      </c>
      <c r="E32137" s="26">
        <v>4.3499999999999997E-2</v>
      </c>
      <c r="F32137" s="26">
        <v>1.09E-2</v>
      </c>
      <c r="I32137">
        <v>92</v>
      </c>
    </row>
    <row r="32138" spans="1:9" x14ac:dyDescent="0.35">
      <c r="A32138" t="s">
        <v>232</v>
      </c>
      <c r="B32138" t="s">
        <v>232</v>
      </c>
      <c r="C32138" s="26">
        <v>0.93879999999999997</v>
      </c>
      <c r="D32138" s="26">
        <v>3.1399999999999997E-2</v>
      </c>
      <c r="E32138" s="26">
        <v>2.69E-2</v>
      </c>
      <c r="F32138" s="26">
        <v>2.3999999999999998E-3</v>
      </c>
      <c r="G32138" s="26">
        <v>4.0000000000000002E-4</v>
      </c>
      <c r="H32138" s="26">
        <v>0</v>
      </c>
      <c r="I32138">
        <v>2812</v>
      </c>
    </row>
    <row r="32140" spans="1:9" x14ac:dyDescent="0.35">
      <c r="A32140" s="1" t="s">
        <v>2814</v>
      </c>
    </row>
    <row r="32141" spans="1:9" x14ac:dyDescent="0.35">
      <c r="A32141" t="s">
        <v>219</v>
      </c>
      <c r="B32141" t="s">
        <v>305</v>
      </c>
      <c r="C32141" t="s">
        <v>303</v>
      </c>
      <c r="D32141" t="s">
        <v>302</v>
      </c>
      <c r="E32141" t="s">
        <v>286</v>
      </c>
      <c r="F32141" t="s">
        <v>226</v>
      </c>
    </row>
    <row r="32142" spans="1:9" x14ac:dyDescent="0.35">
      <c r="A32142" t="s">
        <v>227</v>
      </c>
      <c r="B32142" t="s">
        <v>2730</v>
      </c>
      <c r="C32142" s="26">
        <v>1</v>
      </c>
      <c r="F32142">
        <v>47</v>
      </c>
    </row>
    <row r="32143" spans="1:9" x14ac:dyDescent="0.35">
      <c r="A32143" s="27" t="s">
        <v>227</v>
      </c>
      <c r="B32143" s="27" t="s">
        <v>2731</v>
      </c>
      <c r="C32143" s="28">
        <v>1</v>
      </c>
      <c r="D32143" s="29"/>
      <c r="E32143" s="29"/>
      <c r="F32143" s="29" t="s">
        <v>351</v>
      </c>
    </row>
    <row r="32144" spans="1:9" x14ac:dyDescent="0.35">
      <c r="A32144" t="s">
        <v>227</v>
      </c>
      <c r="B32144" t="s">
        <v>2732</v>
      </c>
      <c r="C32144" s="26">
        <v>1</v>
      </c>
      <c r="F32144">
        <v>93</v>
      </c>
    </row>
    <row r="32145" spans="1:14" x14ac:dyDescent="0.35">
      <c r="A32145" t="s">
        <v>228</v>
      </c>
      <c r="B32145" t="s">
        <v>2730</v>
      </c>
      <c r="C32145" s="26">
        <v>0.99729999999999996</v>
      </c>
      <c r="D32145" s="26">
        <v>2.7000000000000001E-3</v>
      </c>
      <c r="F32145">
        <v>360</v>
      </c>
    </row>
    <row r="32146" spans="1:14" x14ac:dyDescent="0.35">
      <c r="A32146" t="s">
        <v>228</v>
      </c>
      <c r="B32146" t="s">
        <v>2731</v>
      </c>
      <c r="C32146" s="26">
        <v>0.99470000000000003</v>
      </c>
      <c r="D32146" s="26">
        <v>5.3E-3</v>
      </c>
      <c r="F32146">
        <v>96</v>
      </c>
    </row>
    <row r="32147" spans="1:14" x14ac:dyDescent="0.35">
      <c r="A32147" t="s">
        <v>228</v>
      </c>
      <c r="B32147" t="s">
        <v>2732</v>
      </c>
      <c r="C32147" s="26">
        <v>0.99060000000000004</v>
      </c>
      <c r="D32147" s="26">
        <v>8.6999999999999994E-3</v>
      </c>
      <c r="E32147" s="26">
        <v>6.9999999999999999E-4</v>
      </c>
      <c r="F32147">
        <v>576</v>
      </c>
    </row>
    <row r="32148" spans="1:14" x14ac:dyDescent="0.35">
      <c r="A32148" t="s">
        <v>229</v>
      </c>
      <c r="B32148" t="s">
        <v>2730</v>
      </c>
      <c r="C32148" s="26">
        <v>0.99760000000000004</v>
      </c>
      <c r="E32148" s="26">
        <v>2.3999999999999998E-3</v>
      </c>
      <c r="F32148">
        <v>302</v>
      </c>
    </row>
    <row r="32149" spans="1:14" x14ac:dyDescent="0.35">
      <c r="A32149" t="s">
        <v>229</v>
      </c>
      <c r="B32149" t="s">
        <v>2731</v>
      </c>
      <c r="C32149" s="26">
        <v>1</v>
      </c>
      <c r="F32149">
        <v>86</v>
      </c>
    </row>
    <row r="32150" spans="1:14" x14ac:dyDescent="0.35">
      <c r="A32150" t="s">
        <v>229</v>
      </c>
      <c r="B32150" t="s">
        <v>2732</v>
      </c>
      <c r="C32150" s="26">
        <v>0.99929999999999997</v>
      </c>
      <c r="D32150" s="26">
        <v>1E-4</v>
      </c>
      <c r="E32150" s="26">
        <v>5.0000000000000001E-4</v>
      </c>
      <c r="F32150">
        <v>507</v>
      </c>
    </row>
    <row r="32151" spans="1:14" x14ac:dyDescent="0.35">
      <c r="A32151" t="s">
        <v>230</v>
      </c>
      <c r="B32151" t="s">
        <v>2730</v>
      </c>
      <c r="C32151" s="26">
        <v>1</v>
      </c>
      <c r="F32151">
        <v>197</v>
      </c>
    </row>
    <row r="32152" spans="1:14" x14ac:dyDescent="0.35">
      <c r="A32152" t="s">
        <v>230</v>
      </c>
      <c r="B32152" t="s">
        <v>2731</v>
      </c>
      <c r="C32152" s="26">
        <v>1</v>
      </c>
      <c r="F32152">
        <v>50</v>
      </c>
    </row>
    <row r="32153" spans="1:14" x14ac:dyDescent="0.35">
      <c r="A32153" t="s">
        <v>230</v>
      </c>
      <c r="B32153" t="s">
        <v>2732</v>
      </c>
      <c r="C32153" s="26">
        <v>1</v>
      </c>
      <c r="F32153">
        <v>313</v>
      </c>
    </row>
    <row r="32154" spans="1:14" x14ac:dyDescent="0.35">
      <c r="A32154" t="s">
        <v>231</v>
      </c>
      <c r="B32154" t="s">
        <v>2730</v>
      </c>
      <c r="C32154" s="26">
        <v>1</v>
      </c>
      <c r="F32154">
        <v>55</v>
      </c>
    </row>
    <row r="32155" spans="1:14" x14ac:dyDescent="0.35">
      <c r="A32155" s="27" t="s">
        <v>231</v>
      </c>
      <c r="B32155" s="27" t="s">
        <v>2731</v>
      </c>
      <c r="C32155" s="28">
        <v>1</v>
      </c>
      <c r="D32155" s="29"/>
      <c r="E32155" s="29"/>
      <c r="F32155" s="29" t="s">
        <v>343</v>
      </c>
    </row>
    <row r="32156" spans="1:14" x14ac:dyDescent="0.35">
      <c r="A32156" t="s">
        <v>231</v>
      </c>
      <c r="B32156" t="s">
        <v>2732</v>
      </c>
      <c r="C32156" s="26">
        <v>0.98909999999999998</v>
      </c>
      <c r="D32156" s="26">
        <v>1.09E-2</v>
      </c>
      <c r="F32156">
        <v>92</v>
      </c>
    </row>
    <row r="32157" spans="1:14" x14ac:dyDescent="0.35">
      <c r="A32157" t="s">
        <v>232</v>
      </c>
      <c r="B32157" t="s">
        <v>232</v>
      </c>
      <c r="C32157" s="26">
        <v>0.99670000000000003</v>
      </c>
      <c r="D32157" s="26">
        <v>2.8999999999999998E-3</v>
      </c>
      <c r="E32157" s="26">
        <v>4.0000000000000002E-4</v>
      </c>
      <c r="F32157">
        <v>2812</v>
      </c>
    </row>
    <row r="32159" spans="1:14" x14ac:dyDescent="0.35">
      <c r="A32159" s="1" t="s">
        <v>2815</v>
      </c>
    </row>
    <row r="32160" spans="1:14" x14ac:dyDescent="0.35">
      <c r="A32160" t="s">
        <v>219</v>
      </c>
      <c r="B32160" t="s">
        <v>305</v>
      </c>
      <c r="C32160" t="s">
        <v>2134</v>
      </c>
      <c r="D32160" t="s">
        <v>2135</v>
      </c>
      <c r="E32160" t="s">
        <v>2136</v>
      </c>
      <c r="F32160" t="s">
        <v>2137</v>
      </c>
      <c r="G32160" t="s">
        <v>2138</v>
      </c>
      <c r="H32160" t="s">
        <v>2139</v>
      </c>
      <c r="I32160" t="s">
        <v>281</v>
      </c>
      <c r="J32160" t="s">
        <v>2140</v>
      </c>
      <c r="K32160" t="s">
        <v>2141</v>
      </c>
      <c r="L32160" t="s">
        <v>286</v>
      </c>
      <c r="M32160" t="s">
        <v>2142</v>
      </c>
      <c r="N32160" t="s">
        <v>226</v>
      </c>
    </row>
    <row r="32161" spans="1:14" x14ac:dyDescent="0.35">
      <c r="A32161" t="s">
        <v>227</v>
      </c>
      <c r="B32161" t="s">
        <v>2730</v>
      </c>
      <c r="C32161" s="26">
        <v>0.51060000000000005</v>
      </c>
      <c r="D32161" s="26">
        <v>0.21279999999999999</v>
      </c>
      <c r="E32161" s="26">
        <v>0.21279999999999999</v>
      </c>
      <c r="G32161" s="26">
        <v>2.1299999999999999E-2</v>
      </c>
      <c r="J32161" s="26">
        <v>4.2599999999999999E-2</v>
      </c>
      <c r="N32161">
        <v>47</v>
      </c>
    </row>
    <row r="32162" spans="1:14" x14ac:dyDescent="0.35">
      <c r="A32162" s="27" t="s">
        <v>227</v>
      </c>
      <c r="B32162" s="27" t="s">
        <v>2731</v>
      </c>
      <c r="C32162" s="28">
        <v>0.42859999999999998</v>
      </c>
      <c r="D32162" s="28">
        <v>0.23810000000000001</v>
      </c>
      <c r="E32162" s="28">
        <v>0.1905</v>
      </c>
      <c r="F32162" s="28">
        <v>9.5200000000000007E-2</v>
      </c>
      <c r="G32162" s="29"/>
      <c r="H32162" s="29"/>
      <c r="I32162" s="29"/>
      <c r="J32162" s="28">
        <v>4.7600000000000003E-2</v>
      </c>
      <c r="K32162" s="29"/>
      <c r="L32162" s="29"/>
      <c r="M32162" s="29"/>
      <c r="N32162" s="29" t="s">
        <v>351</v>
      </c>
    </row>
    <row r="32163" spans="1:14" x14ac:dyDescent="0.35">
      <c r="A32163" t="s">
        <v>227</v>
      </c>
      <c r="B32163" t="s">
        <v>2732</v>
      </c>
      <c r="C32163" s="26">
        <v>0.49459999999999998</v>
      </c>
      <c r="D32163" s="26">
        <v>0.3226</v>
      </c>
      <c r="E32163" s="26">
        <v>0.1075</v>
      </c>
      <c r="F32163" s="26">
        <v>6.4500000000000002E-2</v>
      </c>
      <c r="H32163" s="26">
        <v>1.0800000000000001E-2</v>
      </c>
      <c r="N32163">
        <v>93</v>
      </c>
    </row>
    <row r="32164" spans="1:14" x14ac:dyDescent="0.35">
      <c r="A32164" t="s">
        <v>228</v>
      </c>
      <c r="B32164" t="s">
        <v>2730</v>
      </c>
      <c r="C32164" s="26">
        <v>0.73280000000000001</v>
      </c>
      <c r="D32164" s="26">
        <v>8.8200000000000001E-2</v>
      </c>
      <c r="E32164" s="26">
        <v>0.10199999999999999</v>
      </c>
      <c r="F32164" s="26">
        <v>3.5999999999999997E-2</v>
      </c>
      <c r="G32164" s="26">
        <v>1.2E-2</v>
      </c>
      <c r="H32164" s="26">
        <v>2.8999999999999998E-3</v>
      </c>
      <c r="I32164" s="26">
        <v>1.1000000000000001E-3</v>
      </c>
      <c r="J32164" s="26">
        <v>1.6000000000000001E-3</v>
      </c>
      <c r="K32164" s="26">
        <v>1.14E-2</v>
      </c>
      <c r="L32164" s="26">
        <v>2E-3</v>
      </c>
      <c r="M32164" s="26">
        <v>0.01</v>
      </c>
      <c r="N32164">
        <v>360</v>
      </c>
    </row>
    <row r="32165" spans="1:14" x14ac:dyDescent="0.35">
      <c r="A32165" t="s">
        <v>228</v>
      </c>
      <c r="B32165" t="s">
        <v>2731</v>
      </c>
      <c r="C32165" s="26">
        <v>0.81630000000000003</v>
      </c>
      <c r="D32165" s="26">
        <v>4.4900000000000002E-2</v>
      </c>
      <c r="E32165" s="26">
        <v>7.3200000000000001E-2</v>
      </c>
      <c r="F32165" s="26">
        <v>3.5000000000000003E-2</v>
      </c>
      <c r="H32165" s="26">
        <v>5.3E-3</v>
      </c>
      <c r="I32165" s="26">
        <v>7.0000000000000001E-3</v>
      </c>
      <c r="J32165" s="26">
        <v>4.5999999999999999E-3</v>
      </c>
      <c r="K32165" s="26">
        <v>3.0999999999999999E-3</v>
      </c>
      <c r="L32165" s="26">
        <v>1.06E-2</v>
      </c>
      <c r="N32165">
        <v>96</v>
      </c>
    </row>
    <row r="32166" spans="1:14" x14ac:dyDescent="0.35">
      <c r="A32166" t="s">
        <v>228</v>
      </c>
      <c r="B32166" t="s">
        <v>2732</v>
      </c>
      <c r="C32166" s="26">
        <v>0.68969999999999998</v>
      </c>
      <c r="D32166" s="26">
        <v>0.154</v>
      </c>
      <c r="E32166" s="26">
        <v>8.8900000000000007E-2</v>
      </c>
      <c r="F32166" s="26">
        <v>5.62E-2</v>
      </c>
      <c r="G32166" s="26">
        <v>4.0000000000000002E-4</v>
      </c>
      <c r="H32166" s="26">
        <v>4.7999999999999996E-3</v>
      </c>
      <c r="I32166" s="26">
        <v>1.4E-3</v>
      </c>
      <c r="J32166" s="26">
        <v>5.9999999999999995E-4</v>
      </c>
      <c r="K32166" s="26">
        <v>1.6999999999999999E-3</v>
      </c>
      <c r="L32166" s="26">
        <v>2.3E-3</v>
      </c>
      <c r="N32166">
        <v>576</v>
      </c>
    </row>
    <row r="32167" spans="1:14" x14ac:dyDescent="0.35">
      <c r="A32167" t="s">
        <v>229</v>
      </c>
      <c r="B32167" t="s">
        <v>2730</v>
      </c>
      <c r="C32167" s="26">
        <v>0.74670000000000003</v>
      </c>
      <c r="D32167" s="26">
        <v>0.13919999999999999</v>
      </c>
      <c r="E32167" s="26">
        <v>5.9799999999999999E-2</v>
      </c>
      <c r="F32167" s="26">
        <v>2.8899999999999999E-2</v>
      </c>
      <c r="G32167" s="26">
        <v>8.9999999999999993E-3</v>
      </c>
      <c r="H32167" s="26">
        <v>3.8999999999999998E-3</v>
      </c>
      <c r="J32167" s="26">
        <v>1.01E-2</v>
      </c>
      <c r="L32167" s="26">
        <v>2.3999999999999998E-3</v>
      </c>
      <c r="N32167">
        <v>302</v>
      </c>
    </row>
    <row r="32168" spans="1:14" x14ac:dyDescent="0.35">
      <c r="A32168" t="s">
        <v>229</v>
      </c>
      <c r="B32168" t="s">
        <v>2731</v>
      </c>
      <c r="C32168" s="26">
        <v>0.72470000000000001</v>
      </c>
      <c r="D32168" s="26">
        <v>0.1099</v>
      </c>
      <c r="E32168" s="26">
        <v>8.0799999999999997E-2</v>
      </c>
      <c r="F32168" s="26">
        <v>8.14E-2</v>
      </c>
      <c r="J32168" s="26">
        <v>3.2000000000000002E-3</v>
      </c>
      <c r="N32168">
        <v>86</v>
      </c>
    </row>
    <row r="32169" spans="1:14" x14ac:dyDescent="0.35">
      <c r="A32169" t="s">
        <v>229</v>
      </c>
      <c r="B32169" t="s">
        <v>2732</v>
      </c>
      <c r="C32169" s="26">
        <v>0.6855</v>
      </c>
      <c r="D32169" s="26">
        <v>0.1181</v>
      </c>
      <c r="E32169" s="26">
        <v>0.10390000000000001</v>
      </c>
      <c r="F32169" s="26">
        <v>6.83E-2</v>
      </c>
      <c r="G32169" s="26">
        <v>7.7999999999999996E-3</v>
      </c>
      <c r="H32169" s="26">
        <v>9.2999999999999992E-3</v>
      </c>
      <c r="I32169" s="26">
        <v>5.0000000000000001E-3</v>
      </c>
      <c r="J32169" s="26">
        <v>1.6000000000000001E-3</v>
      </c>
      <c r="L32169" s="26">
        <v>5.0000000000000001E-4</v>
      </c>
      <c r="N32169">
        <v>507</v>
      </c>
    </row>
    <row r="32170" spans="1:14" x14ac:dyDescent="0.35">
      <c r="A32170" t="s">
        <v>230</v>
      </c>
      <c r="B32170" t="s">
        <v>2730</v>
      </c>
      <c r="C32170" s="26">
        <v>0.56840000000000002</v>
      </c>
      <c r="D32170" s="26">
        <v>0.23</v>
      </c>
      <c r="E32170" s="26">
        <v>0.1249</v>
      </c>
      <c r="F32170" s="26">
        <v>7.0400000000000004E-2</v>
      </c>
      <c r="G32170" s="26">
        <v>8.9999999999999998E-4</v>
      </c>
      <c r="H32170" s="26">
        <v>3.7000000000000002E-3</v>
      </c>
      <c r="I32170" s="26">
        <v>8.9999999999999998E-4</v>
      </c>
      <c r="J32170" s="26">
        <v>8.9999999999999998E-4</v>
      </c>
      <c r="N32170">
        <v>197</v>
      </c>
    </row>
    <row r="32171" spans="1:14" x14ac:dyDescent="0.35">
      <c r="A32171" t="s">
        <v>230</v>
      </c>
      <c r="B32171" t="s">
        <v>2731</v>
      </c>
      <c r="C32171" s="26">
        <v>0.68700000000000006</v>
      </c>
      <c r="D32171" s="26">
        <v>8.8700000000000001E-2</v>
      </c>
      <c r="E32171" s="26">
        <v>0.151</v>
      </c>
      <c r="F32171" s="26">
        <v>3.5000000000000001E-3</v>
      </c>
      <c r="H32171" s="26">
        <v>6.9800000000000001E-2</v>
      </c>
      <c r="N32171">
        <v>50</v>
      </c>
    </row>
    <row r="32172" spans="1:14" x14ac:dyDescent="0.35">
      <c r="A32172" t="s">
        <v>230</v>
      </c>
      <c r="B32172" t="s">
        <v>2732</v>
      </c>
      <c r="C32172" s="26">
        <v>0.61019999999999996</v>
      </c>
      <c r="D32172" s="26">
        <v>0.20649999999999999</v>
      </c>
      <c r="E32172" s="26">
        <v>0.10199999999999999</v>
      </c>
      <c r="F32172" s="26">
        <v>6.5000000000000002E-2</v>
      </c>
      <c r="H32172" s="26">
        <v>5.8999999999999999E-3</v>
      </c>
      <c r="J32172" s="26">
        <v>1.5E-3</v>
      </c>
      <c r="K32172" s="26">
        <v>8.8999999999999999E-3</v>
      </c>
      <c r="N32172">
        <v>313</v>
      </c>
    </row>
    <row r="32173" spans="1:14" x14ac:dyDescent="0.35">
      <c r="A32173" t="s">
        <v>231</v>
      </c>
      <c r="B32173" t="s">
        <v>2730</v>
      </c>
      <c r="C32173" s="26">
        <v>0.74550000000000005</v>
      </c>
      <c r="D32173" s="26">
        <v>5.45E-2</v>
      </c>
      <c r="E32173" s="26">
        <v>0.1273</v>
      </c>
      <c r="F32173" s="26">
        <v>5.45E-2</v>
      </c>
      <c r="I32173" s="26">
        <v>1.8200000000000001E-2</v>
      </c>
      <c r="N32173">
        <v>55</v>
      </c>
    </row>
    <row r="32174" spans="1:14" x14ac:dyDescent="0.35">
      <c r="A32174" s="27" t="s">
        <v>231</v>
      </c>
      <c r="B32174" s="27" t="s">
        <v>2731</v>
      </c>
      <c r="C32174" s="28">
        <v>0.52939999999999998</v>
      </c>
      <c r="D32174" s="29"/>
      <c r="E32174" s="28">
        <v>0.17649999999999999</v>
      </c>
      <c r="F32174" s="28">
        <v>0.17649999999999999</v>
      </c>
      <c r="G32174" s="28">
        <v>0.1176</v>
      </c>
      <c r="H32174" s="29"/>
      <c r="I32174" s="29"/>
      <c r="J32174" s="29"/>
      <c r="K32174" s="29"/>
      <c r="L32174" s="29"/>
      <c r="M32174" s="29"/>
      <c r="N32174" s="29" t="s">
        <v>343</v>
      </c>
    </row>
    <row r="32175" spans="1:14" x14ac:dyDescent="0.35">
      <c r="A32175" t="s">
        <v>231</v>
      </c>
      <c r="B32175" t="s">
        <v>2732</v>
      </c>
      <c r="C32175" s="26">
        <v>0.4783</v>
      </c>
      <c r="D32175" s="26">
        <v>0.13039999999999999</v>
      </c>
      <c r="E32175" s="26">
        <v>0.20649999999999999</v>
      </c>
      <c r="F32175" s="26">
        <v>0.14130000000000001</v>
      </c>
      <c r="G32175" s="26">
        <v>2.1700000000000001E-2</v>
      </c>
      <c r="H32175" s="26">
        <v>1.09E-2</v>
      </c>
      <c r="I32175" s="26">
        <v>1.09E-2</v>
      </c>
      <c r="N32175">
        <v>92</v>
      </c>
    </row>
    <row r="32176" spans="1:14" x14ac:dyDescent="0.35">
      <c r="A32176" t="s">
        <v>232</v>
      </c>
      <c r="B32176" t="s">
        <v>232</v>
      </c>
      <c r="C32176" s="26">
        <v>0.62880000000000003</v>
      </c>
      <c r="D32176" s="26">
        <v>0.14599999999999999</v>
      </c>
      <c r="E32176" s="26">
        <v>0.12520000000000001</v>
      </c>
      <c r="F32176" s="26">
        <v>7.1099999999999997E-2</v>
      </c>
      <c r="G32176" s="26">
        <v>1.06E-2</v>
      </c>
      <c r="H32176" s="26">
        <v>6.4000000000000003E-3</v>
      </c>
      <c r="I32176" s="26">
        <v>4.5999999999999999E-3</v>
      </c>
      <c r="J32176" s="26">
        <v>4.3E-3</v>
      </c>
      <c r="K32176" s="26">
        <v>1.5E-3</v>
      </c>
      <c r="L32176" s="26">
        <v>8.0000000000000004E-4</v>
      </c>
      <c r="M32176" s="26">
        <v>5.9999999999999995E-4</v>
      </c>
      <c r="N32176">
        <v>2812</v>
      </c>
    </row>
    <row r="32178" spans="1:7" x14ac:dyDescent="0.35">
      <c r="A32178" s="1" t="s">
        <v>2816</v>
      </c>
    </row>
    <row r="32179" spans="1:7" x14ac:dyDescent="0.35">
      <c r="A32179" t="s">
        <v>219</v>
      </c>
      <c r="B32179" t="s">
        <v>305</v>
      </c>
      <c r="C32179" t="s">
        <v>302</v>
      </c>
      <c r="D32179" t="s">
        <v>303</v>
      </c>
      <c r="E32179" t="s">
        <v>281</v>
      </c>
      <c r="F32179" t="s">
        <v>286</v>
      </c>
      <c r="G32179" t="s">
        <v>226</v>
      </c>
    </row>
    <row r="32180" spans="1:7" x14ac:dyDescent="0.35">
      <c r="A32180" t="s">
        <v>227</v>
      </c>
      <c r="B32180" t="s">
        <v>2730</v>
      </c>
      <c r="C32180" s="26">
        <v>0.91300000000000003</v>
      </c>
      <c r="D32180" s="26">
        <v>8.6999999999999994E-2</v>
      </c>
      <c r="G32180">
        <v>46</v>
      </c>
    </row>
    <row r="32181" spans="1:7" x14ac:dyDescent="0.35">
      <c r="A32181" s="27" t="s">
        <v>227</v>
      </c>
      <c r="B32181" s="27" t="s">
        <v>2731</v>
      </c>
      <c r="C32181" s="28">
        <v>1</v>
      </c>
      <c r="D32181" s="29"/>
      <c r="E32181" s="29"/>
      <c r="F32181" s="29"/>
      <c r="G32181" s="29" t="s">
        <v>351</v>
      </c>
    </row>
    <row r="32182" spans="1:7" x14ac:dyDescent="0.35">
      <c r="A32182" t="s">
        <v>227</v>
      </c>
      <c r="B32182" t="s">
        <v>2732</v>
      </c>
      <c r="C32182" s="26">
        <v>0.95699999999999996</v>
      </c>
      <c r="D32182" s="26">
        <v>4.2999999999999997E-2</v>
      </c>
      <c r="G32182">
        <v>93</v>
      </c>
    </row>
    <row r="32183" spans="1:7" x14ac:dyDescent="0.35">
      <c r="A32183" t="s">
        <v>228</v>
      </c>
      <c r="B32183" t="s">
        <v>2730</v>
      </c>
      <c r="C32183" s="26">
        <v>0.93810000000000004</v>
      </c>
      <c r="D32183" s="26">
        <v>6.1899999999999997E-2</v>
      </c>
      <c r="G32183">
        <v>353</v>
      </c>
    </row>
    <row r="32184" spans="1:7" x14ac:dyDescent="0.35">
      <c r="A32184" t="s">
        <v>228</v>
      </c>
      <c r="B32184" t="s">
        <v>2731</v>
      </c>
      <c r="C32184" s="26">
        <v>0.97609999999999997</v>
      </c>
      <c r="D32184" s="26">
        <v>2.0799999999999999E-2</v>
      </c>
      <c r="F32184" s="26">
        <v>3.0999999999999999E-3</v>
      </c>
      <c r="G32184">
        <v>94</v>
      </c>
    </row>
    <row r="32185" spans="1:7" x14ac:dyDescent="0.35">
      <c r="A32185" t="s">
        <v>228</v>
      </c>
      <c r="B32185" t="s">
        <v>2732</v>
      </c>
      <c r="C32185" s="26">
        <v>0.97240000000000004</v>
      </c>
      <c r="D32185" s="26">
        <v>2.76E-2</v>
      </c>
      <c r="G32185">
        <v>571</v>
      </c>
    </row>
    <row r="32186" spans="1:7" x14ac:dyDescent="0.35">
      <c r="A32186" t="s">
        <v>229</v>
      </c>
      <c r="B32186" t="s">
        <v>2730</v>
      </c>
      <c r="C32186" s="26">
        <v>0.9677</v>
      </c>
      <c r="D32186" s="26">
        <v>3.1899999999999998E-2</v>
      </c>
      <c r="E32186" s="26">
        <v>2.9999999999999997E-4</v>
      </c>
      <c r="G32186">
        <v>300</v>
      </c>
    </row>
    <row r="32187" spans="1:7" x14ac:dyDescent="0.35">
      <c r="A32187" t="s">
        <v>229</v>
      </c>
      <c r="B32187" t="s">
        <v>2731</v>
      </c>
      <c r="C32187" s="26">
        <v>0.96550000000000002</v>
      </c>
      <c r="D32187" s="26">
        <v>3.4500000000000003E-2</v>
      </c>
      <c r="G32187">
        <v>86</v>
      </c>
    </row>
    <row r="32188" spans="1:7" x14ac:dyDescent="0.35">
      <c r="A32188" t="s">
        <v>229</v>
      </c>
      <c r="B32188" t="s">
        <v>2732</v>
      </c>
      <c r="C32188" s="26">
        <v>0.98740000000000006</v>
      </c>
      <c r="D32188" s="26">
        <v>1.26E-2</v>
      </c>
      <c r="G32188">
        <v>502</v>
      </c>
    </row>
    <row r="32189" spans="1:7" x14ac:dyDescent="0.35">
      <c r="A32189" t="s">
        <v>230</v>
      </c>
      <c r="B32189" t="s">
        <v>2730</v>
      </c>
      <c r="C32189" s="26">
        <v>0.98040000000000005</v>
      </c>
      <c r="D32189" s="26">
        <v>1.9599999999999999E-2</v>
      </c>
      <c r="G32189">
        <v>195</v>
      </c>
    </row>
    <row r="32190" spans="1:7" x14ac:dyDescent="0.35">
      <c r="A32190" t="s">
        <v>230</v>
      </c>
      <c r="B32190" t="s">
        <v>2731</v>
      </c>
      <c r="C32190" s="26">
        <v>0.97699999999999998</v>
      </c>
      <c r="D32190" s="26">
        <v>2.3E-2</v>
      </c>
      <c r="G32190">
        <v>50</v>
      </c>
    </row>
    <row r="32191" spans="1:7" x14ac:dyDescent="0.35">
      <c r="A32191" t="s">
        <v>230</v>
      </c>
      <c r="B32191" t="s">
        <v>2732</v>
      </c>
      <c r="C32191" s="26">
        <v>0.98660000000000003</v>
      </c>
      <c r="D32191" s="26">
        <v>1.34E-2</v>
      </c>
      <c r="G32191">
        <v>313</v>
      </c>
    </row>
    <row r="32192" spans="1:7" x14ac:dyDescent="0.35">
      <c r="A32192" t="s">
        <v>231</v>
      </c>
      <c r="B32192" t="s">
        <v>2730</v>
      </c>
      <c r="C32192" s="26">
        <v>0.88890000000000002</v>
      </c>
      <c r="D32192" s="26">
        <v>9.2600000000000002E-2</v>
      </c>
      <c r="E32192" s="26">
        <v>1.8499999999999999E-2</v>
      </c>
      <c r="G32192">
        <v>54</v>
      </c>
    </row>
    <row r="32193" spans="1:7" x14ac:dyDescent="0.35">
      <c r="A32193" s="27" t="s">
        <v>231</v>
      </c>
      <c r="B32193" s="27" t="s">
        <v>2731</v>
      </c>
      <c r="C32193" s="28">
        <v>0.66669999999999996</v>
      </c>
      <c r="D32193" s="28">
        <v>0.33329999999999999</v>
      </c>
      <c r="E32193" s="29"/>
      <c r="F32193" s="29"/>
      <c r="G32193" s="29" t="s">
        <v>346</v>
      </c>
    </row>
    <row r="32194" spans="1:7" x14ac:dyDescent="0.35">
      <c r="A32194" t="s">
        <v>231</v>
      </c>
      <c r="B32194" t="s">
        <v>2732</v>
      </c>
      <c r="C32194" s="26">
        <v>0.93259999999999998</v>
      </c>
      <c r="D32194" s="26">
        <v>6.7400000000000002E-2</v>
      </c>
      <c r="G32194">
        <v>89</v>
      </c>
    </row>
    <row r="32195" spans="1:7" x14ac:dyDescent="0.35">
      <c r="A32195" t="s">
        <v>232</v>
      </c>
      <c r="B32195" t="s">
        <v>232</v>
      </c>
      <c r="C32195" s="26">
        <v>0.94869999999999999</v>
      </c>
      <c r="D32195" s="26">
        <v>4.9500000000000002E-2</v>
      </c>
      <c r="E32195" s="26">
        <v>1.6999999999999999E-3</v>
      </c>
      <c r="F32195" s="26">
        <v>0</v>
      </c>
      <c r="G32195">
        <v>2782</v>
      </c>
    </row>
    <row r="32197" spans="1:7" x14ac:dyDescent="0.35">
      <c r="A32197" s="1" t="s">
        <v>2817</v>
      </c>
    </row>
    <row r="32198" spans="1:7" x14ac:dyDescent="0.35">
      <c r="A32198" t="s">
        <v>219</v>
      </c>
      <c r="B32198" t="s">
        <v>305</v>
      </c>
      <c r="C32198" t="s">
        <v>534</v>
      </c>
      <c r="D32198" t="s">
        <v>535</v>
      </c>
      <c r="E32198" t="s">
        <v>536</v>
      </c>
      <c r="F32198" t="s">
        <v>537</v>
      </c>
      <c r="G32198" t="s">
        <v>226</v>
      </c>
    </row>
    <row r="32199" spans="1:7" x14ac:dyDescent="0.35">
      <c r="A32199" s="27" t="s">
        <v>227</v>
      </c>
      <c r="B32199" s="27" t="s">
        <v>2730</v>
      </c>
      <c r="C32199" s="29">
        <v>3.25</v>
      </c>
      <c r="D32199" s="29">
        <v>3</v>
      </c>
      <c r="E32199" s="29">
        <v>2</v>
      </c>
      <c r="F32199" s="29">
        <v>4</v>
      </c>
      <c r="G32199" s="29">
        <v>4</v>
      </c>
    </row>
    <row r="32200" spans="1:7" x14ac:dyDescent="0.35">
      <c r="A32200" s="27" t="s">
        <v>227</v>
      </c>
      <c r="B32200" s="27" t="s">
        <v>2732</v>
      </c>
      <c r="C32200" s="29">
        <v>6.67</v>
      </c>
      <c r="D32200" s="29">
        <v>15</v>
      </c>
      <c r="E32200" s="29">
        <v>2</v>
      </c>
      <c r="F32200" s="29">
        <v>15</v>
      </c>
      <c r="G32200" s="29">
        <v>3</v>
      </c>
    </row>
    <row r="32201" spans="1:7" x14ac:dyDescent="0.35">
      <c r="A32201" s="27" t="s">
        <v>228</v>
      </c>
      <c r="B32201" s="27" t="s">
        <v>2730</v>
      </c>
      <c r="C32201" s="29">
        <v>6.09</v>
      </c>
      <c r="D32201" s="29">
        <v>5</v>
      </c>
      <c r="E32201" s="29">
        <v>1</v>
      </c>
      <c r="F32201" s="29">
        <v>14</v>
      </c>
      <c r="G32201" s="29">
        <v>13</v>
      </c>
    </row>
    <row r="32202" spans="1:7" x14ac:dyDescent="0.35">
      <c r="A32202" s="27" t="s">
        <v>228</v>
      </c>
      <c r="B32202" s="27" t="s">
        <v>2731</v>
      </c>
      <c r="C32202" s="29">
        <v>2</v>
      </c>
      <c r="D32202" s="29">
        <v>2</v>
      </c>
      <c r="E32202" s="29">
        <v>2</v>
      </c>
      <c r="F32202" s="29">
        <v>2</v>
      </c>
      <c r="G32202" s="29">
        <v>2</v>
      </c>
    </row>
    <row r="32203" spans="1:7" x14ac:dyDescent="0.35">
      <c r="A32203" s="27" t="s">
        <v>228</v>
      </c>
      <c r="B32203" s="27" t="s">
        <v>2732</v>
      </c>
      <c r="C32203" s="29">
        <v>7.15</v>
      </c>
      <c r="D32203" s="29">
        <v>5</v>
      </c>
      <c r="E32203" s="29">
        <v>2</v>
      </c>
      <c r="F32203" s="29">
        <v>35</v>
      </c>
      <c r="G32203" s="29">
        <v>17</v>
      </c>
    </row>
    <row r="32204" spans="1:7" x14ac:dyDescent="0.35">
      <c r="A32204" s="27" t="s">
        <v>229</v>
      </c>
      <c r="B32204" s="27" t="s">
        <v>2730</v>
      </c>
      <c r="C32204" s="29">
        <v>3.97</v>
      </c>
      <c r="D32204" s="29">
        <v>9</v>
      </c>
      <c r="E32204" s="29">
        <v>1</v>
      </c>
      <c r="F32204" s="29">
        <v>9</v>
      </c>
      <c r="G32204" s="29">
        <v>7</v>
      </c>
    </row>
    <row r="32205" spans="1:7" x14ac:dyDescent="0.35">
      <c r="A32205" s="27" t="s">
        <v>229</v>
      </c>
      <c r="B32205" s="27" t="s">
        <v>2731</v>
      </c>
      <c r="C32205" s="29">
        <v>2</v>
      </c>
      <c r="D32205" s="29">
        <v>2</v>
      </c>
      <c r="E32205" s="29">
        <v>2</v>
      </c>
      <c r="F32205" s="29">
        <v>2</v>
      </c>
      <c r="G32205" s="29">
        <v>2</v>
      </c>
    </row>
    <row r="32206" spans="1:7" x14ac:dyDescent="0.35">
      <c r="A32206" s="27" t="s">
        <v>229</v>
      </c>
      <c r="B32206" s="27" t="s">
        <v>2732</v>
      </c>
      <c r="C32206" s="29">
        <v>2.89</v>
      </c>
      <c r="D32206" s="29">
        <v>2</v>
      </c>
      <c r="E32206" s="29">
        <v>1</v>
      </c>
      <c r="F32206" s="29">
        <v>5</v>
      </c>
      <c r="G32206" s="29">
        <v>7</v>
      </c>
    </row>
    <row r="32207" spans="1:7" x14ac:dyDescent="0.35">
      <c r="A32207" s="27" t="s">
        <v>230</v>
      </c>
      <c r="B32207" s="27" t="s">
        <v>2730</v>
      </c>
      <c r="C32207" s="29">
        <v>2.2799999999999998</v>
      </c>
      <c r="D32207" s="29">
        <v>8</v>
      </c>
      <c r="E32207" s="29">
        <v>2</v>
      </c>
      <c r="F32207" s="29">
        <v>8</v>
      </c>
      <c r="G32207" s="29">
        <v>3</v>
      </c>
    </row>
    <row r="32208" spans="1:7" x14ac:dyDescent="0.35">
      <c r="A32208" s="27" t="s">
        <v>230</v>
      </c>
      <c r="B32208" s="27" t="s">
        <v>2731</v>
      </c>
      <c r="C32208" s="29">
        <v>5</v>
      </c>
      <c r="D32208" s="29">
        <v>5</v>
      </c>
      <c r="E32208" s="29">
        <v>5</v>
      </c>
      <c r="F32208" s="29">
        <v>5</v>
      </c>
      <c r="G32208" s="29">
        <v>1</v>
      </c>
    </row>
    <row r="32209" spans="1:13" x14ac:dyDescent="0.35">
      <c r="A32209" s="27" t="s">
        <v>230</v>
      </c>
      <c r="B32209" s="27" t="s">
        <v>2732</v>
      </c>
      <c r="C32209" s="29">
        <v>1.89</v>
      </c>
      <c r="D32209" s="29">
        <v>2</v>
      </c>
      <c r="E32209" s="29">
        <v>1</v>
      </c>
      <c r="F32209" s="29">
        <v>2</v>
      </c>
      <c r="G32209" s="29">
        <v>4</v>
      </c>
    </row>
    <row r="32210" spans="1:13" x14ac:dyDescent="0.35">
      <c r="A32210" s="27" t="s">
        <v>231</v>
      </c>
      <c r="B32210" s="27" t="s">
        <v>2730</v>
      </c>
      <c r="C32210" s="29">
        <v>5.6</v>
      </c>
      <c r="D32210" s="29">
        <v>6</v>
      </c>
      <c r="E32210" s="29">
        <v>2</v>
      </c>
      <c r="F32210" s="29">
        <v>15</v>
      </c>
      <c r="G32210" s="29">
        <v>5</v>
      </c>
    </row>
    <row r="32211" spans="1:13" x14ac:dyDescent="0.35">
      <c r="A32211" s="27" t="s">
        <v>231</v>
      </c>
      <c r="B32211" s="27" t="s">
        <v>2731</v>
      </c>
      <c r="C32211" s="29">
        <v>6</v>
      </c>
      <c r="D32211" s="29">
        <v>3</v>
      </c>
      <c r="E32211" s="29">
        <v>3</v>
      </c>
      <c r="F32211" s="29">
        <v>10</v>
      </c>
      <c r="G32211" s="29">
        <v>4</v>
      </c>
    </row>
    <row r="32212" spans="1:13" x14ac:dyDescent="0.35">
      <c r="A32212" s="27" t="s">
        <v>231</v>
      </c>
      <c r="B32212" s="27" t="s">
        <v>2732</v>
      </c>
      <c r="C32212" s="29">
        <v>2</v>
      </c>
      <c r="D32212" s="29">
        <v>2</v>
      </c>
      <c r="E32212" s="29">
        <v>1</v>
      </c>
      <c r="F32212" s="29">
        <v>3</v>
      </c>
      <c r="G32212" s="29">
        <v>6</v>
      </c>
    </row>
    <row r="32213" spans="1:13" x14ac:dyDescent="0.35">
      <c r="A32213" t="s">
        <v>232</v>
      </c>
      <c r="B32213" t="s">
        <v>232</v>
      </c>
      <c r="C32213">
        <v>4.47</v>
      </c>
      <c r="D32213">
        <v>3</v>
      </c>
      <c r="E32213">
        <v>1</v>
      </c>
      <c r="F32213">
        <v>35</v>
      </c>
      <c r="G32213">
        <v>78</v>
      </c>
    </row>
    <row r="32215" spans="1:13" x14ac:dyDescent="0.35">
      <c r="A32215" s="1" t="s">
        <v>2818</v>
      </c>
    </row>
    <row r="32216" spans="1:13" x14ac:dyDescent="0.35">
      <c r="A32216" t="s">
        <v>219</v>
      </c>
      <c r="B32216" t="s">
        <v>305</v>
      </c>
      <c r="C32216" t="s">
        <v>2179</v>
      </c>
      <c r="D32216" t="s">
        <v>2180</v>
      </c>
      <c r="E32216" t="s">
        <v>2181</v>
      </c>
      <c r="F32216" t="s">
        <v>2182</v>
      </c>
      <c r="G32216" t="s">
        <v>2183</v>
      </c>
      <c r="H32216" t="s">
        <v>2184</v>
      </c>
      <c r="I32216" t="s">
        <v>2185</v>
      </c>
      <c r="J32216" t="s">
        <v>2186</v>
      </c>
      <c r="K32216" t="s">
        <v>281</v>
      </c>
      <c r="L32216" t="s">
        <v>286</v>
      </c>
      <c r="M32216" t="s">
        <v>226</v>
      </c>
    </row>
    <row r="32217" spans="1:13" x14ac:dyDescent="0.35">
      <c r="A32217" s="27" t="s">
        <v>227</v>
      </c>
      <c r="B32217" s="27" t="s">
        <v>2730</v>
      </c>
      <c r="C32217" s="28">
        <v>0.6</v>
      </c>
      <c r="D32217" s="28">
        <v>0.25</v>
      </c>
      <c r="E32217" s="28">
        <v>0.05</v>
      </c>
      <c r="F32217" s="29"/>
      <c r="G32217" s="28">
        <v>0.05</v>
      </c>
      <c r="H32217" s="29"/>
      <c r="I32217" s="29"/>
      <c r="J32217" s="28">
        <v>0.05</v>
      </c>
      <c r="K32217" s="29"/>
      <c r="L32217" s="29"/>
      <c r="M32217" s="29" t="s">
        <v>350</v>
      </c>
    </row>
    <row r="32218" spans="1:13" x14ac:dyDescent="0.35">
      <c r="A32218" s="27" t="s">
        <v>227</v>
      </c>
      <c r="B32218" s="27" t="s">
        <v>2731</v>
      </c>
      <c r="C32218" s="28">
        <v>0.81820000000000004</v>
      </c>
      <c r="D32218" s="28">
        <v>9.0899999999999995E-2</v>
      </c>
      <c r="E32218" s="28">
        <v>9.0899999999999995E-2</v>
      </c>
      <c r="F32218" s="29"/>
      <c r="G32218" s="29"/>
      <c r="H32218" s="29"/>
      <c r="I32218" s="29"/>
      <c r="J32218" s="29"/>
      <c r="K32218" s="29"/>
      <c r="L32218" s="29"/>
      <c r="M32218" s="29" t="s">
        <v>352</v>
      </c>
    </row>
    <row r="32219" spans="1:13" x14ac:dyDescent="0.35">
      <c r="A32219" t="s">
        <v>227</v>
      </c>
      <c r="B32219" t="s">
        <v>2732</v>
      </c>
      <c r="C32219" s="26">
        <v>0.8085</v>
      </c>
      <c r="D32219" s="26">
        <v>8.5099999999999995E-2</v>
      </c>
      <c r="E32219" s="26">
        <v>8.5099999999999995E-2</v>
      </c>
      <c r="H32219" s="26">
        <v>2.1299999999999999E-2</v>
      </c>
      <c r="M32219">
        <v>47</v>
      </c>
    </row>
    <row r="32220" spans="1:13" x14ac:dyDescent="0.35">
      <c r="A32220" t="s">
        <v>228</v>
      </c>
      <c r="B32220" t="s">
        <v>2730</v>
      </c>
      <c r="C32220" s="26">
        <v>0.66800000000000004</v>
      </c>
      <c r="D32220" s="26">
        <v>0.19339999999999999</v>
      </c>
      <c r="E32220" s="26">
        <v>0.1048</v>
      </c>
      <c r="F32220" s="26">
        <v>1.66E-2</v>
      </c>
      <c r="G32220" s="26">
        <v>3.2000000000000002E-3</v>
      </c>
      <c r="H32220" s="26">
        <v>5.4000000000000003E-3</v>
      </c>
      <c r="J32220" s="26">
        <v>5.4000000000000003E-3</v>
      </c>
      <c r="L32220" s="26">
        <v>3.2000000000000002E-3</v>
      </c>
      <c r="M32220">
        <v>116</v>
      </c>
    </row>
    <row r="32221" spans="1:13" x14ac:dyDescent="0.35">
      <c r="A32221" s="27" t="s">
        <v>228</v>
      </c>
      <c r="B32221" s="27" t="s">
        <v>2731</v>
      </c>
      <c r="C32221" s="28">
        <v>0.63749999999999996</v>
      </c>
      <c r="D32221" s="28">
        <v>0.20810000000000001</v>
      </c>
      <c r="E32221" s="28">
        <v>9.2299999999999993E-2</v>
      </c>
      <c r="F32221" s="29"/>
      <c r="G32221" s="29"/>
      <c r="H32221" s="29"/>
      <c r="I32221" s="29"/>
      <c r="J32221" s="28">
        <v>3.32E-2</v>
      </c>
      <c r="K32221" s="28">
        <v>2.8899999999999999E-2</v>
      </c>
      <c r="L32221" s="29"/>
      <c r="M32221" s="29" t="s">
        <v>329</v>
      </c>
    </row>
    <row r="32222" spans="1:13" x14ac:dyDescent="0.35">
      <c r="A32222" t="s">
        <v>228</v>
      </c>
      <c r="B32222" t="s">
        <v>2732</v>
      </c>
      <c r="C32222" s="26">
        <v>0.76049999999999995</v>
      </c>
      <c r="D32222" s="26">
        <v>0.1331</v>
      </c>
      <c r="E32222" s="26">
        <v>6.1600000000000002E-2</v>
      </c>
      <c r="F32222" s="26">
        <v>6.4999999999999997E-3</v>
      </c>
      <c r="G32222" s="26">
        <v>2.3E-3</v>
      </c>
      <c r="H32222" s="26">
        <v>2.0199999999999999E-2</v>
      </c>
      <c r="I32222" s="26">
        <v>1.3299999999999999E-2</v>
      </c>
      <c r="K32222" s="26">
        <v>2.3E-3</v>
      </c>
      <c r="M32222">
        <v>226</v>
      </c>
    </row>
    <row r="32223" spans="1:13" x14ac:dyDescent="0.35">
      <c r="A32223" t="s">
        <v>229</v>
      </c>
      <c r="B32223" t="s">
        <v>2730</v>
      </c>
      <c r="C32223" s="26">
        <v>0.7087</v>
      </c>
      <c r="D32223" s="26">
        <v>8.6400000000000005E-2</v>
      </c>
      <c r="E32223" s="26">
        <v>1.6799999999999999E-2</v>
      </c>
      <c r="F32223" s="26">
        <v>8.0399999999999999E-2</v>
      </c>
      <c r="G32223" s="26">
        <v>7.7799999999999994E-2</v>
      </c>
      <c r="H32223" s="26">
        <v>1.04E-2</v>
      </c>
      <c r="I32223" s="26">
        <v>9.1999999999999998E-3</v>
      </c>
      <c r="K32223" s="26">
        <v>1.04E-2</v>
      </c>
      <c r="M32223">
        <v>104</v>
      </c>
    </row>
    <row r="32224" spans="1:13" x14ac:dyDescent="0.35">
      <c r="A32224" t="s">
        <v>229</v>
      </c>
      <c r="B32224" t="s">
        <v>2731</v>
      </c>
      <c r="C32224" s="26">
        <v>0.79010000000000002</v>
      </c>
      <c r="D32224" s="26">
        <v>0.1729</v>
      </c>
      <c r="E32224" s="26">
        <v>2.9499999999999998E-2</v>
      </c>
      <c r="F32224" s="26">
        <v>7.6E-3</v>
      </c>
      <c r="M32224">
        <v>34</v>
      </c>
    </row>
    <row r="32225" spans="1:13" x14ac:dyDescent="0.35">
      <c r="A32225" t="s">
        <v>229</v>
      </c>
      <c r="B32225" t="s">
        <v>2732</v>
      </c>
      <c r="C32225" s="26">
        <v>0.6452</v>
      </c>
      <c r="D32225" s="26">
        <v>0.1633</v>
      </c>
      <c r="E32225" s="26">
        <v>0.11990000000000001</v>
      </c>
      <c r="F32225" s="26">
        <v>2.4199999999999999E-2</v>
      </c>
      <c r="H32225" s="26">
        <v>1.67E-2</v>
      </c>
      <c r="I32225" s="26">
        <v>8.6999999999999994E-3</v>
      </c>
      <c r="J32225" s="26">
        <v>7.1000000000000004E-3</v>
      </c>
      <c r="K32225" s="26">
        <v>1.32E-2</v>
      </c>
      <c r="L32225" s="26">
        <v>1.6999999999999999E-3</v>
      </c>
      <c r="M32225">
        <v>206</v>
      </c>
    </row>
    <row r="32226" spans="1:13" x14ac:dyDescent="0.35">
      <c r="A32226" t="s">
        <v>230</v>
      </c>
      <c r="B32226" t="s">
        <v>2730</v>
      </c>
      <c r="C32226" s="26">
        <v>0.61709999999999998</v>
      </c>
      <c r="D32226" s="26">
        <v>0.1852</v>
      </c>
      <c r="E32226" s="26">
        <v>0.1081</v>
      </c>
      <c r="G32226" s="26">
        <v>3.9800000000000002E-2</v>
      </c>
      <c r="H32226" s="26">
        <v>2E-3</v>
      </c>
      <c r="I32226" s="26">
        <v>4.58E-2</v>
      </c>
      <c r="K32226" s="26">
        <v>2E-3</v>
      </c>
      <c r="M32226">
        <v>84</v>
      </c>
    </row>
    <row r="32227" spans="1:13" x14ac:dyDescent="0.35">
      <c r="A32227" s="27" t="s">
        <v>230</v>
      </c>
      <c r="B32227" s="27" t="s">
        <v>2731</v>
      </c>
      <c r="C32227" s="28">
        <v>0.8306</v>
      </c>
      <c r="D32227" s="28">
        <v>0.15809999999999999</v>
      </c>
      <c r="E32227" s="29"/>
      <c r="F32227" s="29"/>
      <c r="G32227" s="29"/>
      <c r="H32227" s="29"/>
      <c r="I32227" s="28">
        <v>1.1299999999999999E-2</v>
      </c>
      <c r="J32227" s="29"/>
      <c r="K32227" s="29"/>
      <c r="L32227" s="29"/>
      <c r="M32227" s="29" t="s">
        <v>351</v>
      </c>
    </row>
    <row r="32228" spans="1:13" x14ac:dyDescent="0.35">
      <c r="A32228" t="s">
        <v>230</v>
      </c>
      <c r="B32228" t="s">
        <v>2732</v>
      </c>
      <c r="C32228" s="26">
        <v>0.70540000000000003</v>
      </c>
      <c r="D32228" s="26">
        <v>0.1502</v>
      </c>
      <c r="E32228" s="26">
        <v>9.6199999999999994E-2</v>
      </c>
      <c r="F32228" s="26">
        <v>3.6400000000000002E-2</v>
      </c>
      <c r="G32228" s="26">
        <v>4.0000000000000001E-3</v>
      </c>
      <c r="I32228" s="26">
        <v>3.8999999999999998E-3</v>
      </c>
      <c r="K32228" s="26">
        <v>4.0000000000000001E-3</v>
      </c>
      <c r="M32228">
        <v>131</v>
      </c>
    </row>
    <row r="32229" spans="1:13" x14ac:dyDescent="0.35">
      <c r="A32229" s="27" t="s">
        <v>231</v>
      </c>
      <c r="B32229" s="27" t="s">
        <v>2730</v>
      </c>
      <c r="C32229" s="28">
        <v>0.76919999999999999</v>
      </c>
      <c r="D32229" s="28">
        <v>0.15379999999999999</v>
      </c>
      <c r="E32229" s="29"/>
      <c r="F32229" s="28">
        <v>7.6899999999999996E-2</v>
      </c>
      <c r="G32229" s="29"/>
      <c r="H32229" s="29"/>
      <c r="I32229" s="29"/>
      <c r="J32229" s="29"/>
      <c r="K32229" s="29"/>
      <c r="L32229" s="29"/>
      <c r="M32229" s="29" t="s">
        <v>341</v>
      </c>
    </row>
    <row r="32230" spans="1:13" x14ac:dyDescent="0.35">
      <c r="A32230" s="27" t="s">
        <v>231</v>
      </c>
      <c r="B32230" s="27" t="s">
        <v>2731</v>
      </c>
      <c r="C32230" s="28">
        <v>0.5</v>
      </c>
      <c r="D32230" s="28">
        <v>0.5</v>
      </c>
      <c r="E32230" s="29"/>
      <c r="F32230" s="29"/>
      <c r="G32230" s="29"/>
      <c r="H32230" s="29"/>
      <c r="I32230" s="29"/>
      <c r="J32230" s="29"/>
      <c r="K32230" s="29"/>
      <c r="L32230" s="29"/>
      <c r="M32230" s="29" t="s">
        <v>335</v>
      </c>
    </row>
    <row r="32231" spans="1:13" x14ac:dyDescent="0.35">
      <c r="A32231" t="s">
        <v>231</v>
      </c>
      <c r="B32231" t="s">
        <v>2732</v>
      </c>
      <c r="C32231" s="26">
        <v>0.6</v>
      </c>
      <c r="D32231" s="26">
        <v>0.24440000000000001</v>
      </c>
      <c r="E32231" s="26">
        <v>6.6699999999999995E-2</v>
      </c>
      <c r="F32231" s="26">
        <v>8.8900000000000007E-2</v>
      </c>
      <c r="M32231">
        <v>45</v>
      </c>
    </row>
    <row r="32232" spans="1:13" x14ac:dyDescent="0.35">
      <c r="A32232" t="s">
        <v>232</v>
      </c>
      <c r="B32232" t="s">
        <v>232</v>
      </c>
      <c r="C32232" s="26">
        <v>0.68469999999999998</v>
      </c>
      <c r="D32232" s="26">
        <v>0.17730000000000001</v>
      </c>
      <c r="E32232" s="26">
        <v>7.1999999999999995E-2</v>
      </c>
      <c r="F32232" s="26">
        <v>3.5799999999999998E-2</v>
      </c>
      <c r="G32232" s="26">
        <v>8.8999999999999999E-3</v>
      </c>
      <c r="H32232" s="26">
        <v>8.0999999999999996E-3</v>
      </c>
      <c r="I32232" s="26">
        <v>5.1999999999999998E-3</v>
      </c>
      <c r="J32232" s="26">
        <v>4.3E-3</v>
      </c>
      <c r="K32232" s="26">
        <v>3.3999999999999998E-3</v>
      </c>
      <c r="L32232" s="26">
        <v>4.0000000000000002E-4</v>
      </c>
      <c r="M32232">
        <v>1093</v>
      </c>
    </row>
    <row r="32234" spans="1:13" x14ac:dyDescent="0.35">
      <c r="A32234" s="1" t="s">
        <v>2819</v>
      </c>
    </row>
    <row r="32235" spans="1:13" x14ac:dyDescent="0.35">
      <c r="A32235" t="s">
        <v>219</v>
      </c>
      <c r="B32235" t="s">
        <v>305</v>
      </c>
      <c r="C32235" t="s">
        <v>2051</v>
      </c>
      <c r="D32235" t="s">
        <v>2052</v>
      </c>
      <c r="E32235" t="s">
        <v>2053</v>
      </c>
      <c r="F32235" t="s">
        <v>281</v>
      </c>
      <c r="G32235" t="s">
        <v>2054</v>
      </c>
      <c r="H32235" t="s">
        <v>2055</v>
      </c>
      <c r="I32235" t="s">
        <v>286</v>
      </c>
      <c r="J32235" t="s">
        <v>226</v>
      </c>
    </row>
    <row r="32236" spans="1:13" x14ac:dyDescent="0.35">
      <c r="A32236" t="s">
        <v>227</v>
      </c>
      <c r="B32236" t="s">
        <v>2730</v>
      </c>
      <c r="C32236" s="26">
        <v>0.97870000000000001</v>
      </c>
      <c r="D32236" s="26">
        <v>2.1299999999999999E-2</v>
      </c>
      <c r="J32236">
        <v>47</v>
      </c>
    </row>
    <row r="32237" spans="1:13" x14ac:dyDescent="0.35">
      <c r="A32237" s="27" t="s">
        <v>227</v>
      </c>
      <c r="B32237" s="27" t="s">
        <v>2731</v>
      </c>
      <c r="C32237" s="28">
        <v>1</v>
      </c>
      <c r="D32237" s="29"/>
      <c r="E32237" s="29"/>
      <c r="F32237" s="29"/>
      <c r="G32237" s="29"/>
      <c r="H32237" s="29"/>
      <c r="I32237" s="29"/>
      <c r="J32237" s="29" t="s">
        <v>351</v>
      </c>
    </row>
    <row r="32238" spans="1:13" x14ac:dyDescent="0.35">
      <c r="A32238" t="s">
        <v>227</v>
      </c>
      <c r="B32238" t="s">
        <v>2732</v>
      </c>
      <c r="C32238" s="26">
        <v>0.95699999999999996</v>
      </c>
      <c r="D32238" s="26">
        <v>3.2300000000000002E-2</v>
      </c>
      <c r="E32238" s="26">
        <v>1.0800000000000001E-2</v>
      </c>
      <c r="J32238">
        <v>93</v>
      </c>
    </row>
    <row r="32239" spans="1:13" x14ac:dyDescent="0.35">
      <c r="A32239" t="s">
        <v>228</v>
      </c>
      <c r="B32239" t="s">
        <v>2730</v>
      </c>
      <c r="C32239" s="26">
        <v>0.96579999999999999</v>
      </c>
      <c r="D32239" s="26">
        <v>5.1999999999999998E-3</v>
      </c>
      <c r="E32239" s="26">
        <v>6.4999999999999997E-3</v>
      </c>
      <c r="G32239" s="26">
        <v>0.01</v>
      </c>
      <c r="H32239" s="26">
        <v>1.12E-2</v>
      </c>
      <c r="I32239" s="26">
        <v>1.1999999999999999E-3</v>
      </c>
      <c r="J32239">
        <v>360</v>
      </c>
    </row>
    <row r="32240" spans="1:13" x14ac:dyDescent="0.35">
      <c r="A32240" t="s">
        <v>228</v>
      </c>
      <c r="B32240" t="s">
        <v>2731</v>
      </c>
      <c r="C32240" s="26">
        <v>0.97989999999999999</v>
      </c>
      <c r="D32240" s="26">
        <v>1.49E-2</v>
      </c>
      <c r="E32240" s="26">
        <v>5.3E-3</v>
      </c>
      <c r="J32240">
        <v>96</v>
      </c>
    </row>
    <row r="32241" spans="1:10" x14ac:dyDescent="0.35">
      <c r="A32241" t="s">
        <v>228</v>
      </c>
      <c r="B32241" t="s">
        <v>2732</v>
      </c>
      <c r="C32241" s="26">
        <v>0.98060000000000003</v>
      </c>
      <c r="D32241" s="26">
        <v>9.7000000000000003E-3</v>
      </c>
      <c r="E32241" s="26">
        <v>6.3E-3</v>
      </c>
      <c r="G32241" s="26">
        <v>1.4E-3</v>
      </c>
      <c r="H32241" s="26">
        <v>4.0000000000000002E-4</v>
      </c>
      <c r="I32241" s="26">
        <v>1.6000000000000001E-3</v>
      </c>
      <c r="J32241">
        <v>576</v>
      </c>
    </row>
    <row r="32242" spans="1:10" x14ac:dyDescent="0.35">
      <c r="A32242" t="s">
        <v>229</v>
      </c>
      <c r="B32242" t="s">
        <v>2730</v>
      </c>
      <c r="C32242" s="26">
        <v>0.96960000000000002</v>
      </c>
      <c r="D32242" s="26">
        <v>2.8000000000000001E-2</v>
      </c>
      <c r="I32242" s="26">
        <v>2.3999999999999998E-3</v>
      </c>
      <c r="J32242">
        <v>302</v>
      </c>
    </row>
    <row r="32243" spans="1:10" x14ac:dyDescent="0.35">
      <c r="A32243" t="s">
        <v>229</v>
      </c>
      <c r="B32243" t="s">
        <v>2731</v>
      </c>
      <c r="C32243" s="26">
        <v>0.93889999999999996</v>
      </c>
      <c r="D32243" s="26">
        <v>3.0499999999999999E-2</v>
      </c>
      <c r="E32243" s="26">
        <v>3.0499999999999999E-2</v>
      </c>
      <c r="J32243">
        <v>86</v>
      </c>
    </row>
    <row r="32244" spans="1:10" x14ac:dyDescent="0.35">
      <c r="A32244" t="s">
        <v>229</v>
      </c>
      <c r="B32244" t="s">
        <v>2732</v>
      </c>
      <c r="C32244" s="26">
        <v>0.96009999999999995</v>
      </c>
      <c r="D32244" s="26">
        <v>3.0300000000000001E-2</v>
      </c>
      <c r="E32244" s="26">
        <v>9.1000000000000004E-3</v>
      </c>
      <c r="I32244" s="26">
        <v>5.0000000000000001E-4</v>
      </c>
      <c r="J32244">
        <v>507</v>
      </c>
    </row>
    <row r="32245" spans="1:10" x14ac:dyDescent="0.35">
      <c r="A32245" t="s">
        <v>230</v>
      </c>
      <c r="B32245" t="s">
        <v>2730</v>
      </c>
      <c r="C32245" s="26">
        <v>0.96240000000000003</v>
      </c>
      <c r="D32245" s="26">
        <v>2.8999999999999998E-3</v>
      </c>
      <c r="E32245" s="26">
        <v>9.2999999999999992E-3</v>
      </c>
      <c r="F32245" s="26">
        <v>2.8E-3</v>
      </c>
      <c r="G32245" s="26">
        <v>1.9800000000000002E-2</v>
      </c>
      <c r="H32245" s="26">
        <v>2.8999999999999998E-3</v>
      </c>
      <c r="J32245">
        <v>197</v>
      </c>
    </row>
    <row r="32246" spans="1:10" x14ac:dyDescent="0.35">
      <c r="A32246" t="s">
        <v>230</v>
      </c>
      <c r="B32246" t="s">
        <v>2731</v>
      </c>
      <c r="C32246" s="26">
        <v>0.98499999999999999</v>
      </c>
      <c r="D32246" s="26">
        <v>3.5000000000000001E-3</v>
      </c>
      <c r="E32246" s="26">
        <v>1.15E-2</v>
      </c>
      <c r="J32246">
        <v>50</v>
      </c>
    </row>
    <row r="32247" spans="1:10" x14ac:dyDescent="0.35">
      <c r="A32247" t="s">
        <v>230</v>
      </c>
      <c r="B32247" t="s">
        <v>2732</v>
      </c>
      <c r="C32247" s="26">
        <v>0.95189999999999997</v>
      </c>
      <c r="D32247" s="26">
        <v>4.07E-2</v>
      </c>
      <c r="E32247" s="26">
        <v>5.8999999999999999E-3</v>
      </c>
      <c r="G32247" s="26">
        <v>1.5E-3</v>
      </c>
      <c r="J32247">
        <v>313</v>
      </c>
    </row>
    <row r="32248" spans="1:10" x14ac:dyDescent="0.35">
      <c r="A32248" t="s">
        <v>231</v>
      </c>
      <c r="B32248" t="s">
        <v>2730</v>
      </c>
      <c r="C32248" s="26">
        <v>0.96360000000000001</v>
      </c>
      <c r="D32248" s="26">
        <v>3.6400000000000002E-2</v>
      </c>
      <c r="J32248">
        <v>55</v>
      </c>
    </row>
    <row r="32249" spans="1:10" x14ac:dyDescent="0.35">
      <c r="A32249" s="27" t="s">
        <v>231</v>
      </c>
      <c r="B32249" s="27" t="s">
        <v>2731</v>
      </c>
      <c r="C32249" s="28">
        <v>0.94120000000000004</v>
      </c>
      <c r="D32249" s="29"/>
      <c r="E32249" s="29"/>
      <c r="F32249" s="28">
        <v>5.8799999999999998E-2</v>
      </c>
      <c r="G32249" s="29"/>
      <c r="H32249" s="29"/>
      <c r="I32249" s="29"/>
      <c r="J32249" s="29" t="s">
        <v>343</v>
      </c>
    </row>
    <row r="32250" spans="1:10" x14ac:dyDescent="0.35">
      <c r="A32250" t="s">
        <v>231</v>
      </c>
      <c r="B32250" t="s">
        <v>2732</v>
      </c>
      <c r="C32250" s="26">
        <v>0.96740000000000004</v>
      </c>
      <c r="D32250" s="26">
        <v>2.1700000000000001E-2</v>
      </c>
      <c r="F32250" s="26">
        <v>1.09E-2</v>
      </c>
      <c r="J32250">
        <v>92</v>
      </c>
    </row>
    <row r="32251" spans="1:10" x14ac:dyDescent="0.35">
      <c r="A32251" t="s">
        <v>232</v>
      </c>
      <c r="B32251" t="s">
        <v>232</v>
      </c>
      <c r="C32251" s="26">
        <v>0.96540000000000004</v>
      </c>
      <c r="D32251" s="26">
        <v>2.3E-2</v>
      </c>
      <c r="E32251" s="26">
        <v>5.1999999999999998E-3</v>
      </c>
      <c r="F32251" s="26">
        <v>3.3999999999999998E-3</v>
      </c>
      <c r="G32251" s="26">
        <v>1.5E-3</v>
      </c>
      <c r="H32251" s="26">
        <v>8.9999999999999998E-4</v>
      </c>
      <c r="I32251" s="26">
        <v>5.9999999999999995E-4</v>
      </c>
      <c r="J32251">
        <v>2812</v>
      </c>
    </row>
    <row r="32253" spans="1:10" x14ac:dyDescent="0.35">
      <c r="A32253" s="1" t="s">
        <v>2820</v>
      </c>
    </row>
    <row r="32254" spans="1:10" x14ac:dyDescent="0.35">
      <c r="A32254" t="s">
        <v>219</v>
      </c>
      <c r="B32254" t="s">
        <v>305</v>
      </c>
      <c r="C32254" t="s">
        <v>2051</v>
      </c>
      <c r="D32254" t="s">
        <v>2052</v>
      </c>
      <c r="E32254" t="s">
        <v>2053</v>
      </c>
      <c r="F32254" t="s">
        <v>2055</v>
      </c>
      <c r="G32254" t="s">
        <v>2054</v>
      </c>
      <c r="H32254" t="s">
        <v>281</v>
      </c>
      <c r="I32254" t="s">
        <v>286</v>
      </c>
      <c r="J32254" t="s">
        <v>226</v>
      </c>
    </row>
    <row r="32255" spans="1:10" x14ac:dyDescent="0.35">
      <c r="A32255" t="s">
        <v>227</v>
      </c>
      <c r="B32255" t="s">
        <v>2730</v>
      </c>
      <c r="C32255" s="26">
        <v>0.95740000000000003</v>
      </c>
      <c r="D32255" s="26">
        <v>4.2599999999999999E-2</v>
      </c>
      <c r="J32255">
        <v>47</v>
      </c>
    </row>
    <row r="32256" spans="1:10" x14ac:dyDescent="0.35">
      <c r="A32256" s="27" t="s">
        <v>227</v>
      </c>
      <c r="B32256" s="27" t="s">
        <v>2731</v>
      </c>
      <c r="C32256" s="28">
        <v>0.95240000000000002</v>
      </c>
      <c r="D32256" s="29"/>
      <c r="E32256" s="29"/>
      <c r="F32256" s="29"/>
      <c r="G32256" s="29"/>
      <c r="H32256" s="28">
        <v>4.7600000000000003E-2</v>
      </c>
      <c r="I32256" s="29"/>
      <c r="J32256" s="29" t="s">
        <v>351</v>
      </c>
    </row>
    <row r="32257" spans="1:10" x14ac:dyDescent="0.35">
      <c r="A32257" t="s">
        <v>227</v>
      </c>
      <c r="B32257" t="s">
        <v>2732</v>
      </c>
      <c r="C32257" s="26">
        <v>0.9355</v>
      </c>
      <c r="D32257" s="26">
        <v>2.1499999999999998E-2</v>
      </c>
      <c r="E32257" s="26">
        <v>2.1499999999999998E-2</v>
      </c>
      <c r="F32257" s="26">
        <v>1.0800000000000001E-2</v>
      </c>
      <c r="G32257" s="26">
        <v>1.0800000000000001E-2</v>
      </c>
      <c r="J32257">
        <v>93</v>
      </c>
    </row>
    <row r="32258" spans="1:10" x14ac:dyDescent="0.35">
      <c r="A32258" t="s">
        <v>228</v>
      </c>
      <c r="B32258" t="s">
        <v>2730</v>
      </c>
      <c r="C32258" s="26">
        <v>0.87529999999999997</v>
      </c>
      <c r="D32258" s="26">
        <v>5.1400000000000001E-2</v>
      </c>
      <c r="E32258" s="26">
        <v>3.3300000000000003E-2</v>
      </c>
      <c r="F32258" s="26">
        <v>2.0400000000000001E-2</v>
      </c>
      <c r="G32258" s="26">
        <v>1.3899999999999999E-2</v>
      </c>
      <c r="H32258" s="26">
        <v>4.4999999999999997E-3</v>
      </c>
      <c r="I32258" s="26">
        <v>1.1999999999999999E-3</v>
      </c>
      <c r="J32258">
        <v>360</v>
      </c>
    </row>
    <row r="32259" spans="1:10" x14ac:dyDescent="0.35">
      <c r="A32259" t="s">
        <v>228</v>
      </c>
      <c r="B32259" t="s">
        <v>2731</v>
      </c>
      <c r="C32259" s="26">
        <v>0.90629999999999999</v>
      </c>
      <c r="D32259" s="26">
        <v>2.1999999999999999E-2</v>
      </c>
      <c r="E32259" s="26">
        <v>6.8599999999999994E-2</v>
      </c>
      <c r="F32259" s="26">
        <v>3.0999999999999999E-3</v>
      </c>
      <c r="J32259">
        <v>96</v>
      </c>
    </row>
    <row r="32260" spans="1:10" x14ac:dyDescent="0.35">
      <c r="A32260" t="s">
        <v>228</v>
      </c>
      <c r="B32260" t="s">
        <v>2732</v>
      </c>
      <c r="C32260" s="26">
        <v>0.93469999999999998</v>
      </c>
      <c r="D32260" s="26">
        <v>2.6599999999999999E-2</v>
      </c>
      <c r="E32260" s="26">
        <v>2.3699999999999999E-2</v>
      </c>
      <c r="F32260" s="26">
        <v>5.4999999999999997E-3</v>
      </c>
      <c r="G32260" s="26">
        <v>5.4000000000000003E-3</v>
      </c>
      <c r="H32260" s="26">
        <v>2.3999999999999998E-3</v>
      </c>
      <c r="I32260" s="26">
        <v>1.6000000000000001E-3</v>
      </c>
      <c r="J32260">
        <v>576</v>
      </c>
    </row>
    <row r="32261" spans="1:10" x14ac:dyDescent="0.35">
      <c r="A32261" t="s">
        <v>229</v>
      </c>
      <c r="B32261" t="s">
        <v>2730</v>
      </c>
      <c r="C32261" s="26">
        <v>0.86099999999999999</v>
      </c>
      <c r="D32261" s="26">
        <v>6.6100000000000006E-2</v>
      </c>
      <c r="E32261" s="26">
        <v>4.19E-2</v>
      </c>
      <c r="F32261" s="26">
        <v>8.9999999999999993E-3</v>
      </c>
      <c r="G32261" s="26">
        <v>8.9999999999999993E-3</v>
      </c>
      <c r="I32261" s="26">
        <v>1.3100000000000001E-2</v>
      </c>
      <c r="J32261">
        <v>302</v>
      </c>
    </row>
    <row r="32262" spans="1:10" x14ac:dyDescent="0.35">
      <c r="A32262" t="s">
        <v>229</v>
      </c>
      <c r="B32262" t="s">
        <v>2731</v>
      </c>
      <c r="C32262" s="26">
        <v>0.96709999999999996</v>
      </c>
      <c r="D32262" s="26">
        <v>3.0499999999999999E-2</v>
      </c>
      <c r="E32262" s="26">
        <v>2.3E-3</v>
      </c>
      <c r="J32262">
        <v>86</v>
      </c>
    </row>
    <row r="32263" spans="1:10" x14ac:dyDescent="0.35">
      <c r="A32263" t="s">
        <v>229</v>
      </c>
      <c r="B32263" t="s">
        <v>2732</v>
      </c>
      <c r="C32263" s="26">
        <v>0.91269999999999996</v>
      </c>
      <c r="D32263" s="26">
        <v>6.6400000000000001E-2</v>
      </c>
      <c r="E32263" s="26">
        <v>1.3299999999999999E-2</v>
      </c>
      <c r="F32263" s="26">
        <v>5.0000000000000001E-3</v>
      </c>
      <c r="G32263" s="26">
        <v>5.0000000000000001E-4</v>
      </c>
      <c r="H32263" s="26">
        <v>5.0000000000000001E-4</v>
      </c>
      <c r="I32263" s="26">
        <v>1.6000000000000001E-3</v>
      </c>
      <c r="J32263">
        <v>507</v>
      </c>
    </row>
    <row r="32264" spans="1:10" x14ac:dyDescent="0.35">
      <c r="A32264" t="s">
        <v>230</v>
      </c>
      <c r="B32264" t="s">
        <v>2730</v>
      </c>
      <c r="C32264" s="26">
        <v>0.86399999999999999</v>
      </c>
      <c r="D32264" s="26">
        <v>5.91E-2</v>
      </c>
      <c r="E32264" s="26">
        <v>1.38E-2</v>
      </c>
      <c r="F32264" s="26">
        <v>2.2700000000000001E-2</v>
      </c>
      <c r="G32264" s="26">
        <v>4.0500000000000001E-2</v>
      </c>
      <c r="J32264">
        <v>197</v>
      </c>
    </row>
    <row r="32265" spans="1:10" x14ac:dyDescent="0.35">
      <c r="A32265" t="s">
        <v>230</v>
      </c>
      <c r="B32265" t="s">
        <v>2731</v>
      </c>
      <c r="C32265" s="26">
        <v>0.96940000000000004</v>
      </c>
      <c r="D32265" s="26">
        <v>1.5299999999999999E-2</v>
      </c>
      <c r="E32265" s="26">
        <v>1.18E-2</v>
      </c>
      <c r="G32265" s="26">
        <v>3.5000000000000001E-3</v>
      </c>
      <c r="J32265">
        <v>50</v>
      </c>
    </row>
    <row r="32266" spans="1:10" x14ac:dyDescent="0.35">
      <c r="A32266" t="s">
        <v>230</v>
      </c>
      <c r="B32266" t="s">
        <v>2732</v>
      </c>
      <c r="C32266" s="26">
        <v>0.91600000000000004</v>
      </c>
      <c r="D32266" s="26">
        <v>4.2700000000000002E-2</v>
      </c>
      <c r="E32266" s="26">
        <v>2.7099999999999999E-2</v>
      </c>
      <c r="F32266" s="26">
        <v>7.9000000000000008E-3</v>
      </c>
      <c r="G32266" s="26">
        <v>4.7999999999999996E-3</v>
      </c>
      <c r="H32266" s="26">
        <v>1.5E-3</v>
      </c>
      <c r="J32266">
        <v>313</v>
      </c>
    </row>
    <row r="32267" spans="1:10" x14ac:dyDescent="0.35">
      <c r="A32267" t="s">
        <v>231</v>
      </c>
      <c r="B32267" t="s">
        <v>2730</v>
      </c>
      <c r="C32267" s="26">
        <v>0.98180000000000001</v>
      </c>
      <c r="H32267" s="26">
        <v>1.8200000000000001E-2</v>
      </c>
      <c r="J32267">
        <v>55</v>
      </c>
    </row>
    <row r="32268" spans="1:10" x14ac:dyDescent="0.35">
      <c r="A32268" s="27" t="s">
        <v>231</v>
      </c>
      <c r="B32268" s="27" t="s">
        <v>2731</v>
      </c>
      <c r="C32268" s="28">
        <v>0.88239999999999996</v>
      </c>
      <c r="D32268" s="28">
        <v>0.1176</v>
      </c>
      <c r="E32268" s="29"/>
      <c r="F32268" s="29"/>
      <c r="G32268" s="29"/>
      <c r="H32268" s="29"/>
      <c r="I32268" s="29"/>
      <c r="J32268" s="29" t="s">
        <v>343</v>
      </c>
    </row>
    <row r="32269" spans="1:10" x14ac:dyDescent="0.35">
      <c r="A32269" t="s">
        <v>231</v>
      </c>
      <c r="B32269" t="s">
        <v>2732</v>
      </c>
      <c r="C32269" s="26">
        <v>0.94569999999999999</v>
      </c>
      <c r="D32269" s="26">
        <v>4.3499999999999997E-2</v>
      </c>
      <c r="E32269" s="26">
        <v>1.09E-2</v>
      </c>
      <c r="J32269">
        <v>92</v>
      </c>
    </row>
    <row r="32270" spans="1:10" x14ac:dyDescent="0.35">
      <c r="A32270" t="s">
        <v>232</v>
      </c>
      <c r="B32270" t="s">
        <v>232</v>
      </c>
      <c r="C32270" s="26">
        <v>0.92430000000000001</v>
      </c>
      <c r="D32270" s="26">
        <v>4.2900000000000001E-2</v>
      </c>
      <c r="E32270" s="26">
        <v>1.7299999999999999E-2</v>
      </c>
      <c r="F32270" s="26">
        <v>5.7000000000000002E-3</v>
      </c>
      <c r="G32270" s="26">
        <v>4.7999999999999996E-3</v>
      </c>
      <c r="H32270" s="26">
        <v>3.3999999999999998E-3</v>
      </c>
      <c r="I32270" s="26">
        <v>1.6000000000000001E-3</v>
      </c>
      <c r="J32270">
        <v>2812</v>
      </c>
    </row>
    <row r="32272" spans="1:10" x14ac:dyDescent="0.35">
      <c r="A32272" s="1" t="s">
        <v>2821</v>
      </c>
    </row>
    <row r="32273" spans="1:10" x14ac:dyDescent="0.35">
      <c r="A32273" t="s">
        <v>219</v>
      </c>
      <c r="B32273" t="s">
        <v>305</v>
      </c>
      <c r="C32273" t="s">
        <v>2051</v>
      </c>
      <c r="D32273" t="s">
        <v>2052</v>
      </c>
      <c r="E32273" t="s">
        <v>2053</v>
      </c>
      <c r="F32273" t="s">
        <v>2054</v>
      </c>
      <c r="G32273" t="s">
        <v>2055</v>
      </c>
      <c r="H32273" t="s">
        <v>281</v>
      </c>
      <c r="I32273" t="s">
        <v>286</v>
      </c>
      <c r="J32273" t="s">
        <v>226</v>
      </c>
    </row>
    <row r="32274" spans="1:10" x14ac:dyDescent="0.35">
      <c r="A32274" t="s">
        <v>227</v>
      </c>
      <c r="B32274" t="s">
        <v>2730</v>
      </c>
      <c r="C32274" s="26">
        <v>0.97870000000000001</v>
      </c>
      <c r="D32274" s="26">
        <v>2.1299999999999999E-2</v>
      </c>
      <c r="J32274">
        <v>47</v>
      </c>
    </row>
    <row r="32275" spans="1:10" x14ac:dyDescent="0.35">
      <c r="A32275" s="27" t="s">
        <v>227</v>
      </c>
      <c r="B32275" s="27" t="s">
        <v>2731</v>
      </c>
      <c r="C32275" s="28">
        <v>1</v>
      </c>
      <c r="D32275" s="29"/>
      <c r="E32275" s="29"/>
      <c r="F32275" s="29"/>
      <c r="G32275" s="29"/>
      <c r="H32275" s="29"/>
      <c r="I32275" s="29"/>
      <c r="J32275" s="29" t="s">
        <v>351</v>
      </c>
    </row>
    <row r="32276" spans="1:10" x14ac:dyDescent="0.35">
      <c r="A32276" t="s">
        <v>227</v>
      </c>
      <c r="B32276" t="s">
        <v>2732</v>
      </c>
      <c r="C32276" s="26">
        <v>0.88170000000000004</v>
      </c>
      <c r="D32276" s="26">
        <v>6.4500000000000002E-2</v>
      </c>
      <c r="E32276" s="26">
        <v>3.2300000000000002E-2</v>
      </c>
      <c r="F32276" s="26">
        <v>2.1499999999999998E-2</v>
      </c>
      <c r="J32276">
        <v>93</v>
      </c>
    </row>
    <row r="32277" spans="1:10" x14ac:dyDescent="0.35">
      <c r="A32277" t="s">
        <v>228</v>
      </c>
      <c r="B32277" t="s">
        <v>2730</v>
      </c>
      <c r="C32277" s="26">
        <v>0.85740000000000005</v>
      </c>
      <c r="D32277" s="26">
        <v>8.9599999999999999E-2</v>
      </c>
      <c r="E32277" s="26">
        <v>2.3E-2</v>
      </c>
      <c r="F32277" s="26">
        <v>4.1999999999999997E-3</v>
      </c>
      <c r="G32277" s="26">
        <v>2.1899999999999999E-2</v>
      </c>
      <c r="H32277" s="26">
        <v>2.7000000000000001E-3</v>
      </c>
      <c r="I32277" s="26">
        <v>1.1999999999999999E-3</v>
      </c>
      <c r="J32277">
        <v>360</v>
      </c>
    </row>
    <row r="32278" spans="1:10" x14ac:dyDescent="0.35">
      <c r="A32278" t="s">
        <v>228</v>
      </c>
      <c r="B32278" t="s">
        <v>2731</v>
      </c>
      <c r="C32278" s="26">
        <v>0.91800000000000004</v>
      </c>
      <c r="D32278" s="26">
        <v>5.0799999999999998E-2</v>
      </c>
      <c r="E32278" s="26">
        <v>2.81E-2</v>
      </c>
      <c r="G32278" s="26">
        <v>3.0999999999999999E-3</v>
      </c>
      <c r="J32278">
        <v>96</v>
      </c>
    </row>
    <row r="32279" spans="1:10" x14ac:dyDescent="0.35">
      <c r="A32279" t="s">
        <v>228</v>
      </c>
      <c r="B32279" t="s">
        <v>2732</v>
      </c>
      <c r="C32279" s="26">
        <v>0.9103</v>
      </c>
      <c r="D32279" s="26">
        <v>4.99E-2</v>
      </c>
      <c r="E32279" s="26">
        <v>2.75E-2</v>
      </c>
      <c r="F32279" s="26">
        <v>2.2000000000000001E-3</v>
      </c>
      <c r="G32279" s="26">
        <v>6.7999999999999996E-3</v>
      </c>
      <c r="H32279" s="26">
        <v>2E-3</v>
      </c>
      <c r="I32279" s="26">
        <v>1.4E-3</v>
      </c>
      <c r="J32279">
        <v>576</v>
      </c>
    </row>
    <row r="32280" spans="1:10" x14ac:dyDescent="0.35">
      <c r="A32280" t="s">
        <v>229</v>
      </c>
      <c r="B32280" t="s">
        <v>2730</v>
      </c>
      <c r="C32280" s="26">
        <v>0.88819999999999999</v>
      </c>
      <c r="D32280" s="26">
        <v>5.4699999999999999E-2</v>
      </c>
      <c r="E32280" s="26">
        <v>4.2700000000000002E-2</v>
      </c>
      <c r="F32280" s="26">
        <v>1.1999999999999999E-3</v>
      </c>
      <c r="H32280" s="26">
        <v>1.0699999999999999E-2</v>
      </c>
      <c r="I32280" s="26">
        <v>2.3999999999999998E-3</v>
      </c>
      <c r="J32280">
        <v>302</v>
      </c>
    </row>
    <row r="32281" spans="1:10" x14ac:dyDescent="0.35">
      <c r="A32281" t="s">
        <v>229</v>
      </c>
      <c r="B32281" t="s">
        <v>2731</v>
      </c>
      <c r="C32281" s="26">
        <v>0.93179999999999996</v>
      </c>
      <c r="D32281" s="26">
        <v>3.6499999999999998E-2</v>
      </c>
      <c r="E32281" s="26">
        <v>1.1999999999999999E-3</v>
      </c>
      <c r="H32281" s="26">
        <v>3.0499999999999999E-2</v>
      </c>
      <c r="J32281">
        <v>86</v>
      </c>
    </row>
    <row r="32282" spans="1:10" x14ac:dyDescent="0.35">
      <c r="A32282" t="s">
        <v>229</v>
      </c>
      <c r="B32282" t="s">
        <v>2732</v>
      </c>
      <c r="C32282" s="26">
        <v>0.90439999999999998</v>
      </c>
      <c r="D32282" s="26">
        <v>6.8400000000000002E-2</v>
      </c>
      <c r="E32282" s="26">
        <v>2.6100000000000002E-2</v>
      </c>
      <c r="F32282" s="26">
        <v>5.0000000000000001E-4</v>
      </c>
      <c r="I32282" s="26">
        <v>5.0000000000000001E-4</v>
      </c>
      <c r="J32282">
        <v>507</v>
      </c>
    </row>
    <row r="32283" spans="1:10" x14ac:dyDescent="0.35">
      <c r="A32283" t="s">
        <v>230</v>
      </c>
      <c r="B32283" t="s">
        <v>2730</v>
      </c>
      <c r="C32283" s="26">
        <v>0.88119999999999998</v>
      </c>
      <c r="D32283" s="26">
        <v>6.4399999999999999E-2</v>
      </c>
      <c r="E32283" s="26">
        <v>3.09E-2</v>
      </c>
      <c r="F32283" s="26">
        <v>2.2700000000000001E-2</v>
      </c>
      <c r="G32283" s="26">
        <v>8.9999999999999998E-4</v>
      </c>
      <c r="J32283">
        <v>197</v>
      </c>
    </row>
    <row r="32284" spans="1:10" x14ac:dyDescent="0.35">
      <c r="A32284" t="s">
        <v>230</v>
      </c>
      <c r="B32284" t="s">
        <v>2731</v>
      </c>
      <c r="C32284" s="26">
        <v>0.96989999999999998</v>
      </c>
      <c r="D32284" s="26">
        <v>1.4999999999999999E-2</v>
      </c>
      <c r="E32284" s="26">
        <v>1.15E-2</v>
      </c>
      <c r="F32284" s="26">
        <v>3.5000000000000001E-3</v>
      </c>
      <c r="J32284">
        <v>50</v>
      </c>
    </row>
    <row r="32285" spans="1:10" x14ac:dyDescent="0.35">
      <c r="A32285" t="s">
        <v>230</v>
      </c>
      <c r="B32285" t="s">
        <v>2732</v>
      </c>
      <c r="C32285" s="26">
        <v>0.89249999999999996</v>
      </c>
      <c r="D32285" s="26">
        <v>8.0399999999999999E-2</v>
      </c>
      <c r="E32285" s="26">
        <v>2.1100000000000001E-2</v>
      </c>
      <c r="F32285" s="26">
        <v>3.0000000000000001E-3</v>
      </c>
      <c r="G32285" s="26">
        <v>1.5E-3</v>
      </c>
      <c r="H32285" s="26">
        <v>1.5E-3</v>
      </c>
      <c r="J32285">
        <v>313</v>
      </c>
    </row>
    <row r="32286" spans="1:10" x14ac:dyDescent="0.35">
      <c r="A32286" t="s">
        <v>231</v>
      </c>
      <c r="B32286" t="s">
        <v>2730</v>
      </c>
      <c r="C32286" s="26">
        <v>0.92730000000000001</v>
      </c>
      <c r="D32286" s="26">
        <v>5.45E-2</v>
      </c>
      <c r="E32286" s="26">
        <v>1.8200000000000001E-2</v>
      </c>
      <c r="J32286">
        <v>55</v>
      </c>
    </row>
    <row r="32287" spans="1:10" x14ac:dyDescent="0.35">
      <c r="A32287" s="27" t="s">
        <v>231</v>
      </c>
      <c r="B32287" s="27" t="s">
        <v>2731</v>
      </c>
      <c r="C32287" s="28">
        <v>0.82350000000000001</v>
      </c>
      <c r="D32287" s="28">
        <v>0.1176</v>
      </c>
      <c r="E32287" s="28">
        <v>5.8799999999999998E-2</v>
      </c>
      <c r="F32287" s="29"/>
      <c r="G32287" s="29"/>
      <c r="H32287" s="29"/>
      <c r="I32287" s="29"/>
      <c r="J32287" s="29" t="s">
        <v>343</v>
      </c>
    </row>
    <row r="32288" spans="1:10" x14ac:dyDescent="0.35">
      <c r="A32288" t="s">
        <v>231</v>
      </c>
      <c r="B32288" t="s">
        <v>2732</v>
      </c>
      <c r="C32288" s="26">
        <v>0.94569999999999999</v>
      </c>
      <c r="D32288" s="26">
        <v>5.4300000000000001E-2</v>
      </c>
      <c r="J32288">
        <v>92</v>
      </c>
    </row>
    <row r="32289" spans="1:10" x14ac:dyDescent="0.35">
      <c r="A32289" t="s">
        <v>232</v>
      </c>
      <c r="B32289" t="s">
        <v>232</v>
      </c>
      <c r="C32289" s="26">
        <v>0.91010000000000002</v>
      </c>
      <c r="D32289" s="26">
        <v>5.9900000000000002E-2</v>
      </c>
      <c r="E32289" s="26">
        <v>2.1600000000000001E-2</v>
      </c>
      <c r="F32289" s="26">
        <v>3.5000000000000001E-3</v>
      </c>
      <c r="G32289" s="26">
        <v>2.3E-3</v>
      </c>
      <c r="H32289" s="26">
        <v>2.0999999999999999E-3</v>
      </c>
      <c r="I32289" s="26">
        <v>5.0000000000000001E-4</v>
      </c>
      <c r="J32289">
        <v>2812</v>
      </c>
    </row>
    <row r="32291" spans="1:10" x14ac:dyDescent="0.35">
      <c r="A32291" s="1" t="s">
        <v>2822</v>
      </c>
    </row>
    <row r="32292" spans="1:10" x14ac:dyDescent="0.35">
      <c r="A32292" t="s">
        <v>219</v>
      </c>
      <c r="B32292" t="s">
        <v>305</v>
      </c>
      <c r="C32292" t="s">
        <v>2235</v>
      </c>
      <c r="D32292" t="s">
        <v>2236</v>
      </c>
      <c r="E32292" t="s">
        <v>2237</v>
      </c>
      <c r="F32292" t="s">
        <v>226</v>
      </c>
    </row>
    <row r="32293" spans="1:10" x14ac:dyDescent="0.35">
      <c r="A32293" t="s">
        <v>227</v>
      </c>
      <c r="B32293" t="s">
        <v>2730</v>
      </c>
      <c r="C32293" s="26">
        <v>0.70209999999999995</v>
      </c>
      <c r="D32293" s="26">
        <v>0.23400000000000001</v>
      </c>
      <c r="E32293" s="26">
        <v>6.3799999999999996E-2</v>
      </c>
      <c r="F32293">
        <v>47</v>
      </c>
    </row>
    <row r="32294" spans="1:10" x14ac:dyDescent="0.35">
      <c r="A32294" s="27" t="s">
        <v>227</v>
      </c>
      <c r="B32294" s="27" t="s">
        <v>2731</v>
      </c>
      <c r="C32294" s="28">
        <v>0.76190000000000002</v>
      </c>
      <c r="D32294" s="28">
        <v>0.23810000000000001</v>
      </c>
      <c r="E32294" s="29"/>
      <c r="F32294" s="29" t="s">
        <v>351</v>
      </c>
    </row>
    <row r="32295" spans="1:10" x14ac:dyDescent="0.35">
      <c r="A32295" t="s">
        <v>227</v>
      </c>
      <c r="B32295" t="s">
        <v>2732</v>
      </c>
      <c r="C32295" s="26">
        <v>0.79569999999999996</v>
      </c>
      <c r="D32295" s="26">
        <v>0.1613</v>
      </c>
      <c r="E32295" s="26">
        <v>4.2999999999999997E-2</v>
      </c>
      <c r="F32295">
        <v>93</v>
      </c>
    </row>
    <row r="32296" spans="1:10" x14ac:dyDescent="0.35">
      <c r="A32296" t="s">
        <v>228</v>
      </c>
      <c r="B32296" t="s">
        <v>2730</v>
      </c>
      <c r="C32296" s="26">
        <v>0.6</v>
      </c>
      <c r="D32296" s="26">
        <v>0.30409999999999998</v>
      </c>
      <c r="E32296" s="26">
        <v>9.6000000000000002E-2</v>
      </c>
      <c r="F32296">
        <v>360</v>
      </c>
    </row>
    <row r="32297" spans="1:10" x14ac:dyDescent="0.35">
      <c r="A32297" t="s">
        <v>228</v>
      </c>
      <c r="B32297" t="s">
        <v>2731</v>
      </c>
      <c r="C32297" s="26">
        <v>0.73460000000000003</v>
      </c>
      <c r="D32297" s="26">
        <v>0.22989999999999999</v>
      </c>
      <c r="E32297" s="26">
        <v>3.5499999999999997E-2</v>
      </c>
      <c r="F32297">
        <v>96</v>
      </c>
    </row>
    <row r="32298" spans="1:10" x14ac:dyDescent="0.35">
      <c r="A32298" t="s">
        <v>228</v>
      </c>
      <c r="B32298" t="s">
        <v>2732</v>
      </c>
      <c r="C32298" s="26">
        <v>0.75919999999999999</v>
      </c>
      <c r="D32298" s="26">
        <v>0.20760000000000001</v>
      </c>
      <c r="E32298" s="26">
        <v>3.32E-2</v>
      </c>
      <c r="F32298">
        <v>576</v>
      </c>
    </row>
    <row r="32299" spans="1:10" x14ac:dyDescent="0.35">
      <c r="A32299" t="s">
        <v>229</v>
      </c>
      <c r="B32299" t="s">
        <v>2730</v>
      </c>
      <c r="C32299" s="26">
        <v>0.68689999999999996</v>
      </c>
      <c r="D32299" s="26">
        <v>0.2465</v>
      </c>
      <c r="E32299" s="26">
        <v>6.6600000000000006E-2</v>
      </c>
      <c r="F32299">
        <v>302</v>
      </c>
    </row>
    <row r="32300" spans="1:10" x14ac:dyDescent="0.35">
      <c r="A32300" t="s">
        <v>229</v>
      </c>
      <c r="B32300" t="s">
        <v>2731</v>
      </c>
      <c r="C32300" s="26">
        <v>0.76070000000000004</v>
      </c>
      <c r="D32300" s="26">
        <v>0.2271</v>
      </c>
      <c r="E32300" s="26">
        <v>1.21E-2</v>
      </c>
      <c r="F32300">
        <v>86</v>
      </c>
    </row>
    <row r="32301" spans="1:10" x14ac:dyDescent="0.35">
      <c r="A32301" t="s">
        <v>229</v>
      </c>
      <c r="B32301" t="s">
        <v>2732</v>
      </c>
      <c r="C32301" s="26">
        <v>0.76959999999999995</v>
      </c>
      <c r="D32301" s="26">
        <v>0.19500000000000001</v>
      </c>
      <c r="E32301" s="26">
        <v>3.5400000000000001E-2</v>
      </c>
      <c r="F32301">
        <v>507</v>
      </c>
    </row>
    <row r="32302" spans="1:10" x14ac:dyDescent="0.35">
      <c r="A32302" t="s">
        <v>230</v>
      </c>
      <c r="B32302" t="s">
        <v>2730</v>
      </c>
      <c r="C32302" s="26">
        <v>0.57240000000000002</v>
      </c>
      <c r="D32302" s="26">
        <v>0.33379999999999999</v>
      </c>
      <c r="E32302" s="26">
        <v>9.3700000000000006E-2</v>
      </c>
      <c r="F32302">
        <v>197</v>
      </c>
    </row>
    <row r="32303" spans="1:10" x14ac:dyDescent="0.35">
      <c r="A32303" t="s">
        <v>230</v>
      </c>
      <c r="B32303" t="s">
        <v>2731</v>
      </c>
      <c r="C32303" s="26">
        <v>0.88460000000000005</v>
      </c>
      <c r="D32303" s="26">
        <v>0.1119</v>
      </c>
      <c r="E32303" s="26">
        <v>3.5000000000000001E-3</v>
      </c>
      <c r="F32303">
        <v>50</v>
      </c>
    </row>
    <row r="32304" spans="1:10" x14ac:dyDescent="0.35">
      <c r="A32304" t="s">
        <v>230</v>
      </c>
      <c r="B32304" t="s">
        <v>2732</v>
      </c>
      <c r="C32304" s="26">
        <v>0.77859999999999996</v>
      </c>
      <c r="D32304" s="26">
        <v>0.17460000000000001</v>
      </c>
      <c r="E32304" s="26">
        <v>4.6699999999999998E-2</v>
      </c>
      <c r="F32304">
        <v>313</v>
      </c>
    </row>
    <row r="32305" spans="1:6" x14ac:dyDescent="0.35">
      <c r="A32305" t="s">
        <v>231</v>
      </c>
      <c r="B32305" t="s">
        <v>2730</v>
      </c>
      <c r="C32305" s="26">
        <v>0.56359999999999999</v>
      </c>
      <c r="D32305" s="26">
        <v>0.34549999999999997</v>
      </c>
      <c r="E32305" s="26">
        <v>9.0899999999999995E-2</v>
      </c>
      <c r="F32305">
        <v>55</v>
      </c>
    </row>
    <row r="32306" spans="1:6" x14ac:dyDescent="0.35">
      <c r="A32306" s="27" t="s">
        <v>231</v>
      </c>
      <c r="B32306" s="27" t="s">
        <v>2731</v>
      </c>
      <c r="C32306" s="28">
        <v>0.64710000000000001</v>
      </c>
      <c r="D32306" s="28">
        <v>0.23530000000000001</v>
      </c>
      <c r="E32306" s="28">
        <v>0.1176</v>
      </c>
      <c r="F32306" s="29" t="s">
        <v>343</v>
      </c>
    </row>
    <row r="32307" spans="1:6" x14ac:dyDescent="0.35">
      <c r="A32307" t="s">
        <v>231</v>
      </c>
      <c r="B32307" t="s">
        <v>2732</v>
      </c>
      <c r="C32307" s="26">
        <v>0.78259999999999996</v>
      </c>
      <c r="D32307" s="26">
        <v>0.14130000000000001</v>
      </c>
      <c r="E32307" s="26">
        <v>7.6100000000000001E-2</v>
      </c>
      <c r="F32307">
        <v>92</v>
      </c>
    </row>
    <row r="32308" spans="1:6" x14ac:dyDescent="0.35">
      <c r="A32308" t="s">
        <v>232</v>
      </c>
      <c r="B32308" t="s">
        <v>232</v>
      </c>
      <c r="C32308" s="26">
        <v>0.72440000000000004</v>
      </c>
      <c r="D32308" s="26">
        <v>0.2175</v>
      </c>
      <c r="E32308" s="26">
        <v>5.8099999999999999E-2</v>
      </c>
      <c r="F32308">
        <v>2812</v>
      </c>
    </row>
    <row r="32310" spans="1:6" x14ac:dyDescent="0.35">
      <c r="A32310" s="1" t="s">
        <v>2823</v>
      </c>
    </row>
    <row r="32311" spans="1:6" x14ac:dyDescent="0.35">
      <c r="A32311" t="s">
        <v>219</v>
      </c>
      <c r="B32311" t="s">
        <v>305</v>
      </c>
      <c r="C32311" t="s">
        <v>2250</v>
      </c>
      <c r="D32311" t="s">
        <v>2251</v>
      </c>
      <c r="E32311" t="s">
        <v>2252</v>
      </c>
      <c r="F32311" t="s">
        <v>226</v>
      </c>
    </row>
    <row r="32312" spans="1:6" x14ac:dyDescent="0.35">
      <c r="A32312" t="s">
        <v>227</v>
      </c>
      <c r="B32312" t="s">
        <v>2730</v>
      </c>
      <c r="C32312" s="26">
        <v>0.91490000000000005</v>
      </c>
      <c r="D32312" s="26">
        <v>8.5099999999999995E-2</v>
      </c>
      <c r="F32312">
        <v>47</v>
      </c>
    </row>
    <row r="32313" spans="1:6" x14ac:dyDescent="0.35">
      <c r="A32313" s="27" t="s">
        <v>227</v>
      </c>
      <c r="B32313" s="27" t="s">
        <v>2731</v>
      </c>
      <c r="C32313" s="28">
        <v>0.90480000000000005</v>
      </c>
      <c r="D32313" s="28">
        <v>9.5200000000000007E-2</v>
      </c>
      <c r="E32313" s="29"/>
      <c r="F32313" s="29" t="s">
        <v>351</v>
      </c>
    </row>
    <row r="32314" spans="1:6" x14ac:dyDescent="0.35">
      <c r="A32314" t="s">
        <v>227</v>
      </c>
      <c r="B32314" t="s">
        <v>2732</v>
      </c>
      <c r="C32314" s="26">
        <v>0.95699999999999996</v>
      </c>
      <c r="D32314" s="26">
        <v>4.2999999999999997E-2</v>
      </c>
      <c r="F32314">
        <v>93</v>
      </c>
    </row>
    <row r="32315" spans="1:6" x14ac:dyDescent="0.35">
      <c r="A32315" t="s">
        <v>228</v>
      </c>
      <c r="B32315" t="s">
        <v>2730</v>
      </c>
      <c r="C32315" s="26">
        <v>0.87460000000000004</v>
      </c>
      <c r="D32315" s="26">
        <v>9.0300000000000005E-2</v>
      </c>
      <c r="E32315" s="26">
        <v>3.5099999999999999E-2</v>
      </c>
      <c r="F32315">
        <v>359</v>
      </c>
    </row>
    <row r="32316" spans="1:6" x14ac:dyDescent="0.35">
      <c r="A32316" t="s">
        <v>228</v>
      </c>
      <c r="B32316" t="s">
        <v>2731</v>
      </c>
      <c r="C32316" s="26">
        <v>0.89329999999999998</v>
      </c>
      <c r="D32316" s="26">
        <v>0.10349999999999999</v>
      </c>
      <c r="E32316" s="26">
        <v>3.0999999999999999E-3</v>
      </c>
      <c r="F32316">
        <v>93</v>
      </c>
    </row>
    <row r="32317" spans="1:6" x14ac:dyDescent="0.35">
      <c r="A32317" t="s">
        <v>228</v>
      </c>
      <c r="B32317" t="s">
        <v>2732</v>
      </c>
      <c r="C32317" s="26">
        <v>0.94399999999999995</v>
      </c>
      <c r="D32317" s="26">
        <v>4.9599999999999998E-2</v>
      </c>
      <c r="E32317" s="26">
        <v>6.4000000000000003E-3</v>
      </c>
      <c r="F32317">
        <v>575</v>
      </c>
    </row>
    <row r="32318" spans="1:6" x14ac:dyDescent="0.35">
      <c r="A32318" t="s">
        <v>229</v>
      </c>
      <c r="B32318" t="s">
        <v>2730</v>
      </c>
      <c r="C32318" s="26">
        <v>0.9173</v>
      </c>
      <c r="D32318" s="26">
        <v>4.9299999999999997E-2</v>
      </c>
      <c r="E32318" s="26">
        <v>3.3500000000000002E-2</v>
      </c>
      <c r="F32318">
        <v>300</v>
      </c>
    </row>
    <row r="32319" spans="1:6" x14ac:dyDescent="0.35">
      <c r="A32319" t="s">
        <v>229</v>
      </c>
      <c r="B32319" t="s">
        <v>2731</v>
      </c>
      <c r="C32319" s="26">
        <v>0.81269999999999998</v>
      </c>
      <c r="D32319" s="26">
        <v>0.14860000000000001</v>
      </c>
      <c r="E32319" s="26">
        <v>3.8699999999999998E-2</v>
      </c>
      <c r="F32319">
        <v>85</v>
      </c>
    </row>
    <row r="32320" spans="1:6" x14ac:dyDescent="0.35">
      <c r="A32320" t="s">
        <v>229</v>
      </c>
      <c r="B32320" t="s">
        <v>2732</v>
      </c>
      <c r="C32320" s="26">
        <v>0.94420000000000004</v>
      </c>
      <c r="D32320" s="26">
        <v>3.8100000000000002E-2</v>
      </c>
      <c r="E32320" s="26">
        <v>1.77E-2</v>
      </c>
      <c r="F32320">
        <v>504</v>
      </c>
    </row>
    <row r="32321" spans="1:9" x14ac:dyDescent="0.35">
      <c r="A32321" t="s">
        <v>230</v>
      </c>
      <c r="B32321" t="s">
        <v>2730</v>
      </c>
      <c r="C32321" s="26">
        <v>0.89600000000000002</v>
      </c>
      <c r="D32321" s="26">
        <v>6.93E-2</v>
      </c>
      <c r="E32321" s="26">
        <v>3.4700000000000002E-2</v>
      </c>
      <c r="F32321">
        <v>197</v>
      </c>
    </row>
    <row r="32322" spans="1:9" x14ac:dyDescent="0.35">
      <c r="A32322" t="s">
        <v>230</v>
      </c>
      <c r="B32322" t="s">
        <v>2731</v>
      </c>
      <c r="C32322" s="26">
        <v>0.90449999999999997</v>
      </c>
      <c r="D32322" s="26">
        <v>9.5500000000000002E-2</v>
      </c>
      <c r="F32322">
        <v>50</v>
      </c>
    </row>
    <row r="32323" spans="1:9" x14ac:dyDescent="0.35">
      <c r="A32323" t="s">
        <v>230</v>
      </c>
      <c r="B32323" t="s">
        <v>2732</v>
      </c>
      <c r="C32323" s="26">
        <v>0.94089999999999996</v>
      </c>
      <c r="D32323" s="26">
        <v>4.7800000000000002E-2</v>
      </c>
      <c r="E32323" s="26">
        <v>1.1299999999999999E-2</v>
      </c>
      <c r="F32323">
        <v>312</v>
      </c>
    </row>
    <row r="32324" spans="1:9" x14ac:dyDescent="0.35">
      <c r="A32324" t="s">
        <v>231</v>
      </c>
      <c r="B32324" t="s">
        <v>2730</v>
      </c>
      <c r="C32324" s="26">
        <v>0.83640000000000003</v>
      </c>
      <c r="D32324" s="26">
        <v>0.1273</v>
      </c>
      <c r="E32324" s="26">
        <v>3.6400000000000002E-2</v>
      </c>
      <c r="F32324">
        <v>55</v>
      </c>
    </row>
    <row r="32325" spans="1:9" x14ac:dyDescent="0.35">
      <c r="A32325" s="27" t="s">
        <v>231</v>
      </c>
      <c r="B32325" s="27" t="s">
        <v>2731</v>
      </c>
      <c r="C32325" s="28">
        <v>0.94120000000000004</v>
      </c>
      <c r="D32325" s="28">
        <v>5.8799999999999998E-2</v>
      </c>
      <c r="E32325" s="29"/>
      <c r="F32325" s="29" t="s">
        <v>343</v>
      </c>
    </row>
    <row r="32326" spans="1:9" x14ac:dyDescent="0.35">
      <c r="A32326" t="s">
        <v>231</v>
      </c>
      <c r="B32326" t="s">
        <v>2732</v>
      </c>
      <c r="C32326" s="26">
        <v>0.94569999999999999</v>
      </c>
      <c r="D32326" s="26">
        <v>5.4300000000000001E-2</v>
      </c>
      <c r="F32326">
        <v>92</v>
      </c>
    </row>
    <row r="32327" spans="1:9" x14ac:dyDescent="0.35">
      <c r="A32327" t="s">
        <v>232</v>
      </c>
      <c r="B32327" t="s">
        <v>232</v>
      </c>
      <c r="C32327" s="26">
        <v>0.92110000000000003</v>
      </c>
      <c r="D32327" s="26">
        <v>6.4100000000000004E-2</v>
      </c>
      <c r="E32327" s="26">
        <v>1.49E-2</v>
      </c>
      <c r="F32327">
        <v>2800</v>
      </c>
    </row>
    <row r="32329" spans="1:9" x14ac:dyDescent="0.35">
      <c r="A32329" s="1" t="s">
        <v>2824</v>
      </c>
    </row>
    <row r="32330" spans="1:9" x14ac:dyDescent="0.35">
      <c r="A32330" t="s">
        <v>219</v>
      </c>
      <c r="B32330" t="s">
        <v>305</v>
      </c>
      <c r="C32330" t="s">
        <v>1270</v>
      </c>
      <c r="D32330" t="s">
        <v>2264</v>
      </c>
      <c r="E32330" t="s">
        <v>2265</v>
      </c>
      <c r="F32330" t="s">
        <v>2266</v>
      </c>
      <c r="G32330" t="s">
        <v>2267</v>
      </c>
      <c r="H32330" t="s">
        <v>2268</v>
      </c>
      <c r="I32330" t="s">
        <v>964</v>
      </c>
    </row>
    <row r="32331" spans="1:9" x14ac:dyDescent="0.35">
      <c r="A32331" t="s">
        <v>227</v>
      </c>
      <c r="B32331" t="s">
        <v>2730</v>
      </c>
      <c r="C32331">
        <v>0</v>
      </c>
      <c r="D32331" s="26">
        <v>0.59570000000000001</v>
      </c>
      <c r="E32331" s="26">
        <v>0.87229999999999996</v>
      </c>
      <c r="F32331" s="26">
        <v>0.85109999999999997</v>
      </c>
      <c r="G32331" s="26">
        <v>0.97870000000000001</v>
      </c>
      <c r="H32331" s="26">
        <v>0.87229999999999996</v>
      </c>
      <c r="I32331">
        <v>47</v>
      </c>
    </row>
    <row r="32332" spans="1:9" x14ac:dyDescent="0.35">
      <c r="A32332" t="s">
        <v>227</v>
      </c>
      <c r="B32332" t="s">
        <v>2732</v>
      </c>
      <c r="C32332">
        <v>7</v>
      </c>
      <c r="D32332" s="26">
        <v>8.5999999999999993E-2</v>
      </c>
      <c r="F32332" s="26">
        <v>4.2999999999999997E-2</v>
      </c>
      <c r="G32332" s="26">
        <v>1.0800000000000001E-2</v>
      </c>
      <c r="H32332" s="26">
        <v>2.1499999999999998E-2</v>
      </c>
      <c r="I32332">
        <v>93</v>
      </c>
    </row>
    <row r="32333" spans="1:9" x14ac:dyDescent="0.35">
      <c r="A32333" t="s">
        <v>227</v>
      </c>
      <c r="B32333" t="s">
        <v>2732</v>
      </c>
      <c r="C32333">
        <v>2</v>
      </c>
      <c r="D32333" s="26">
        <v>6.4500000000000002E-2</v>
      </c>
      <c r="E32333" s="26">
        <v>4.2999999999999997E-2</v>
      </c>
      <c r="F32333" s="26">
        <v>2.1499999999999998E-2</v>
      </c>
      <c r="G32333" s="26">
        <v>2.1499999999999998E-2</v>
      </c>
      <c r="H32333" s="26">
        <v>2.1499999999999998E-2</v>
      </c>
      <c r="I32333">
        <v>93</v>
      </c>
    </row>
    <row r="32334" spans="1:9" x14ac:dyDescent="0.35">
      <c r="A32334" t="s">
        <v>227</v>
      </c>
      <c r="B32334" t="s">
        <v>2732</v>
      </c>
      <c r="C32334">
        <v>1</v>
      </c>
      <c r="D32334" s="26">
        <v>5.3800000000000001E-2</v>
      </c>
      <c r="E32334" s="26">
        <v>3.2300000000000002E-2</v>
      </c>
      <c r="F32334" s="26">
        <v>3.2300000000000002E-2</v>
      </c>
      <c r="G32334" s="26">
        <v>1.0800000000000001E-2</v>
      </c>
      <c r="I32334">
        <v>93</v>
      </c>
    </row>
    <row r="32335" spans="1:9" x14ac:dyDescent="0.35">
      <c r="A32335" t="s">
        <v>227</v>
      </c>
      <c r="B32335" t="s">
        <v>2732</v>
      </c>
      <c r="C32335">
        <v>0</v>
      </c>
      <c r="D32335" s="26">
        <v>0.73119999999999996</v>
      </c>
      <c r="E32335" s="26">
        <v>0.92469999999999997</v>
      </c>
      <c r="F32335" s="26">
        <v>0.88170000000000004</v>
      </c>
      <c r="G32335" s="26">
        <v>0.9355</v>
      </c>
      <c r="H32335" s="26">
        <v>0.91400000000000003</v>
      </c>
      <c r="I32335">
        <v>93</v>
      </c>
    </row>
    <row r="32336" spans="1:9" x14ac:dyDescent="0.35">
      <c r="A32336" s="27" t="s">
        <v>227</v>
      </c>
      <c r="B32336" s="27" t="s">
        <v>2731</v>
      </c>
      <c r="C32336" s="29">
        <v>7</v>
      </c>
      <c r="D32336" s="28">
        <v>0.1905</v>
      </c>
      <c r="E32336" s="29"/>
      <c r="F32336" s="28">
        <v>4.7600000000000003E-2</v>
      </c>
      <c r="G32336" s="29"/>
      <c r="H32336" s="29"/>
      <c r="I32336" s="29">
        <v>21</v>
      </c>
    </row>
    <row r="32337" spans="1:9" x14ac:dyDescent="0.35">
      <c r="A32337" t="s">
        <v>227</v>
      </c>
      <c r="B32337" t="s">
        <v>2732</v>
      </c>
      <c r="C32337">
        <v>3</v>
      </c>
      <c r="D32337" s="26">
        <v>6.4500000000000002E-2</v>
      </c>
      <c r="F32337" s="26">
        <v>1.0800000000000001E-2</v>
      </c>
      <c r="G32337" s="26">
        <v>1.0800000000000001E-2</v>
      </c>
      <c r="I32337">
        <v>93</v>
      </c>
    </row>
    <row r="32338" spans="1:9" x14ac:dyDescent="0.35">
      <c r="A32338" s="27" t="s">
        <v>227</v>
      </c>
      <c r="B32338" s="27" t="s">
        <v>2731</v>
      </c>
      <c r="C32338" s="29">
        <v>0</v>
      </c>
      <c r="D32338" s="28">
        <v>0.71430000000000005</v>
      </c>
      <c r="E32338" s="28">
        <v>0.95240000000000002</v>
      </c>
      <c r="F32338" s="28">
        <v>0.90480000000000005</v>
      </c>
      <c r="G32338" s="28">
        <v>1</v>
      </c>
      <c r="H32338" s="28">
        <v>1</v>
      </c>
      <c r="I32338" s="29">
        <v>21</v>
      </c>
    </row>
    <row r="32339" spans="1:9" x14ac:dyDescent="0.35">
      <c r="A32339" t="s">
        <v>227</v>
      </c>
      <c r="B32339" t="s">
        <v>2730</v>
      </c>
      <c r="C32339">
        <v>7</v>
      </c>
      <c r="D32339" s="26">
        <v>0.10639999999999999</v>
      </c>
      <c r="E32339" s="26">
        <v>2.1299999999999999E-2</v>
      </c>
      <c r="F32339" s="26">
        <v>8.5099999999999995E-2</v>
      </c>
      <c r="H32339" s="26">
        <v>6.3799999999999996E-2</v>
      </c>
      <c r="I32339">
        <v>47</v>
      </c>
    </row>
    <row r="32340" spans="1:9" x14ac:dyDescent="0.35">
      <c r="A32340" t="s">
        <v>227</v>
      </c>
      <c r="B32340" t="s">
        <v>2730</v>
      </c>
      <c r="C32340">
        <v>4</v>
      </c>
      <c r="D32340" s="26">
        <v>2.1299999999999999E-2</v>
      </c>
      <c r="F32340" s="26">
        <v>2.1299999999999999E-2</v>
      </c>
      <c r="G32340" s="26">
        <v>2.1299999999999999E-2</v>
      </c>
      <c r="H32340" s="26">
        <v>2.1299999999999999E-2</v>
      </c>
      <c r="I32340">
        <v>47</v>
      </c>
    </row>
    <row r="32341" spans="1:9" x14ac:dyDescent="0.35">
      <c r="A32341" t="s">
        <v>227</v>
      </c>
      <c r="B32341" t="s">
        <v>2730</v>
      </c>
      <c r="C32341">
        <v>3</v>
      </c>
      <c r="D32341" s="26">
        <v>0.1489</v>
      </c>
      <c r="E32341" s="26">
        <v>2.1299999999999999E-2</v>
      </c>
      <c r="F32341" s="26">
        <v>4.2599999999999999E-2</v>
      </c>
      <c r="H32341" s="26">
        <v>2.1299999999999999E-2</v>
      </c>
      <c r="I32341">
        <v>47</v>
      </c>
    </row>
    <row r="32342" spans="1:9" x14ac:dyDescent="0.35">
      <c r="A32342" t="s">
        <v>227</v>
      </c>
      <c r="B32342" t="s">
        <v>2730</v>
      </c>
      <c r="C32342">
        <v>2</v>
      </c>
      <c r="D32342" s="26">
        <v>0.12770000000000001</v>
      </c>
      <c r="E32342" s="26">
        <v>4.2599999999999999E-2</v>
      </c>
      <c r="I32342">
        <v>47</v>
      </c>
    </row>
    <row r="32343" spans="1:9" x14ac:dyDescent="0.35">
      <c r="A32343" s="27" t="s">
        <v>227</v>
      </c>
      <c r="B32343" s="27" t="s">
        <v>2731</v>
      </c>
      <c r="C32343" s="29">
        <v>2</v>
      </c>
      <c r="D32343" s="28">
        <v>9.5200000000000007E-2</v>
      </c>
      <c r="E32343" s="29"/>
      <c r="F32343" s="29"/>
      <c r="G32343" s="29"/>
      <c r="H32343" s="29"/>
      <c r="I32343" s="29">
        <v>21</v>
      </c>
    </row>
    <row r="32344" spans="1:9" x14ac:dyDescent="0.35">
      <c r="A32344" t="s">
        <v>228</v>
      </c>
      <c r="B32344" t="s">
        <v>2731</v>
      </c>
      <c r="C32344">
        <v>7</v>
      </c>
      <c r="D32344" s="26">
        <v>0.1036</v>
      </c>
      <c r="E32344" s="26">
        <v>1.49E-2</v>
      </c>
      <c r="F32344" s="26">
        <v>1.3599999999999999E-2</v>
      </c>
      <c r="G32344" s="26">
        <v>8.3000000000000001E-3</v>
      </c>
      <c r="H32344" s="26">
        <v>2.6700000000000002E-2</v>
      </c>
      <c r="I32344">
        <v>96</v>
      </c>
    </row>
    <row r="32345" spans="1:9" x14ac:dyDescent="0.35">
      <c r="A32345" t="s">
        <v>228</v>
      </c>
      <c r="B32345" t="s">
        <v>2732</v>
      </c>
      <c r="C32345">
        <v>0</v>
      </c>
      <c r="D32345" s="26">
        <v>0.71709999999999996</v>
      </c>
      <c r="E32345" s="26">
        <v>0.93820000000000003</v>
      </c>
      <c r="F32345" s="26">
        <v>0.89100000000000001</v>
      </c>
      <c r="G32345" s="26">
        <v>0.93520000000000003</v>
      </c>
      <c r="H32345" s="26">
        <v>0.92730000000000001</v>
      </c>
      <c r="I32345">
        <v>576</v>
      </c>
    </row>
    <row r="32346" spans="1:9" x14ac:dyDescent="0.35">
      <c r="A32346" t="s">
        <v>228</v>
      </c>
      <c r="B32346" t="s">
        <v>2732</v>
      </c>
      <c r="C32346">
        <v>1</v>
      </c>
      <c r="D32346" s="26">
        <v>2.6800000000000001E-2</v>
      </c>
      <c r="E32346" s="26">
        <v>2.5600000000000001E-2</v>
      </c>
      <c r="F32346" s="26">
        <v>1.8499999999999999E-2</v>
      </c>
      <c r="G32346" s="26">
        <v>1.2E-2</v>
      </c>
      <c r="H32346" s="26">
        <v>1.4800000000000001E-2</v>
      </c>
      <c r="I32346">
        <v>576</v>
      </c>
    </row>
    <row r="32347" spans="1:9" x14ac:dyDescent="0.35">
      <c r="A32347" t="s">
        <v>228</v>
      </c>
      <c r="B32347" t="s">
        <v>2732</v>
      </c>
      <c r="C32347">
        <v>2</v>
      </c>
      <c r="D32347" s="26">
        <v>5.3499999999999999E-2</v>
      </c>
      <c r="E32347" s="26">
        <v>1.8800000000000001E-2</v>
      </c>
      <c r="F32347" s="26">
        <v>2.8400000000000002E-2</v>
      </c>
      <c r="G32347" s="26">
        <v>2.3E-2</v>
      </c>
      <c r="H32347" s="26">
        <v>2.18E-2</v>
      </c>
      <c r="I32347">
        <v>576</v>
      </c>
    </row>
    <row r="32348" spans="1:9" x14ac:dyDescent="0.35">
      <c r="A32348" t="s">
        <v>228</v>
      </c>
      <c r="B32348" t="s">
        <v>2732</v>
      </c>
      <c r="C32348">
        <v>5</v>
      </c>
      <c r="D32348" s="26">
        <v>1.6400000000000001E-2</v>
      </c>
      <c r="E32348" s="26">
        <v>2.5000000000000001E-3</v>
      </c>
      <c r="G32348" s="26">
        <v>3.5000000000000001E-3</v>
      </c>
      <c r="H32348" s="26">
        <v>2.8999999999999998E-3</v>
      </c>
      <c r="I32348">
        <v>576</v>
      </c>
    </row>
    <row r="32349" spans="1:9" x14ac:dyDescent="0.35">
      <c r="A32349" t="s">
        <v>228</v>
      </c>
      <c r="B32349" t="s">
        <v>2732</v>
      </c>
      <c r="C32349">
        <v>4</v>
      </c>
      <c r="D32349" s="26">
        <v>1.4999999999999999E-2</v>
      </c>
      <c r="E32349" s="26">
        <v>5.9999999999999995E-4</v>
      </c>
      <c r="F32349" s="26">
        <v>5.8999999999999999E-3</v>
      </c>
      <c r="G32349" s="26">
        <v>4.0000000000000002E-4</v>
      </c>
      <c r="H32349" s="26">
        <v>6.4000000000000003E-3</v>
      </c>
      <c r="I32349">
        <v>576</v>
      </c>
    </row>
    <row r="32350" spans="1:9" x14ac:dyDescent="0.35">
      <c r="A32350" t="s">
        <v>228</v>
      </c>
      <c r="B32350" t="s">
        <v>2732</v>
      </c>
      <c r="C32350">
        <v>6</v>
      </c>
      <c r="D32350" s="26">
        <v>1.8E-3</v>
      </c>
      <c r="I32350">
        <v>576</v>
      </c>
    </row>
    <row r="32351" spans="1:9" x14ac:dyDescent="0.35">
      <c r="A32351" t="s">
        <v>228</v>
      </c>
      <c r="B32351" t="s">
        <v>2732</v>
      </c>
      <c r="C32351">
        <v>7</v>
      </c>
      <c r="D32351" s="26">
        <v>0.10680000000000001</v>
      </c>
      <c r="E32351" s="26">
        <v>4.7000000000000002E-3</v>
      </c>
      <c r="F32351" s="26">
        <v>3.5999999999999997E-2</v>
      </c>
      <c r="G32351" s="26">
        <v>1.12E-2</v>
      </c>
      <c r="H32351" s="26">
        <v>1.89E-2</v>
      </c>
      <c r="I32351">
        <v>576</v>
      </c>
    </row>
    <row r="32352" spans="1:9" x14ac:dyDescent="0.35">
      <c r="A32352" t="s">
        <v>228</v>
      </c>
      <c r="B32352" t="s">
        <v>2731</v>
      </c>
      <c r="C32352">
        <v>6</v>
      </c>
      <c r="D32352" s="26">
        <v>1.37E-2</v>
      </c>
      <c r="I32352">
        <v>96</v>
      </c>
    </row>
    <row r="32353" spans="1:9" x14ac:dyDescent="0.35">
      <c r="A32353" t="s">
        <v>228</v>
      </c>
      <c r="B32353" t="s">
        <v>2732</v>
      </c>
      <c r="C32353">
        <v>3</v>
      </c>
      <c r="D32353" s="26">
        <v>6.25E-2</v>
      </c>
      <c r="E32353" s="26">
        <v>9.4999999999999998E-3</v>
      </c>
      <c r="F32353" s="26">
        <v>2.01E-2</v>
      </c>
      <c r="G32353" s="26">
        <v>1.4800000000000001E-2</v>
      </c>
      <c r="H32353" s="26">
        <v>8.0000000000000002E-3</v>
      </c>
      <c r="I32353">
        <v>576</v>
      </c>
    </row>
    <row r="32354" spans="1:9" x14ac:dyDescent="0.35">
      <c r="A32354" t="s">
        <v>228</v>
      </c>
      <c r="B32354" t="s">
        <v>2731</v>
      </c>
      <c r="C32354">
        <v>5</v>
      </c>
      <c r="D32354" s="26">
        <v>7.0000000000000001E-3</v>
      </c>
      <c r="I32354">
        <v>96</v>
      </c>
    </row>
    <row r="32355" spans="1:9" x14ac:dyDescent="0.35">
      <c r="A32355" t="s">
        <v>228</v>
      </c>
      <c r="B32355" t="s">
        <v>2731</v>
      </c>
      <c r="C32355">
        <v>2</v>
      </c>
      <c r="D32355" s="26">
        <v>0.16020000000000001</v>
      </c>
      <c r="E32355" s="26">
        <v>2.12E-2</v>
      </c>
      <c r="F32355" s="26">
        <v>1.7600000000000001E-2</v>
      </c>
      <c r="G32355" s="26">
        <v>1.06E-2</v>
      </c>
      <c r="H32355" s="26">
        <v>5.3E-3</v>
      </c>
      <c r="I32355">
        <v>96</v>
      </c>
    </row>
    <row r="32356" spans="1:9" x14ac:dyDescent="0.35">
      <c r="A32356" t="s">
        <v>228</v>
      </c>
      <c r="B32356" t="s">
        <v>2731</v>
      </c>
      <c r="C32356">
        <v>3</v>
      </c>
      <c r="D32356" s="26">
        <v>3.1899999999999998E-2</v>
      </c>
      <c r="E32356" s="26">
        <v>1.7000000000000001E-2</v>
      </c>
      <c r="F32356" s="26">
        <v>1.5800000000000002E-2</v>
      </c>
      <c r="H32356" s="26">
        <v>1.06E-2</v>
      </c>
      <c r="I32356">
        <v>96</v>
      </c>
    </row>
    <row r="32357" spans="1:9" x14ac:dyDescent="0.35">
      <c r="A32357" t="s">
        <v>228</v>
      </c>
      <c r="B32357" t="s">
        <v>2731</v>
      </c>
      <c r="C32357">
        <v>4</v>
      </c>
      <c r="D32357" s="26">
        <v>5.2299999999999999E-2</v>
      </c>
      <c r="E32357" s="26">
        <v>7.0000000000000001E-3</v>
      </c>
      <c r="F32357" s="26">
        <v>1.2200000000000001E-2</v>
      </c>
      <c r="H32357" s="26">
        <v>5.3E-3</v>
      </c>
      <c r="I32357">
        <v>96</v>
      </c>
    </row>
    <row r="32358" spans="1:9" x14ac:dyDescent="0.35">
      <c r="A32358" t="s">
        <v>228</v>
      </c>
      <c r="B32358" t="s">
        <v>2730</v>
      </c>
      <c r="C32358">
        <v>1</v>
      </c>
      <c r="D32358" s="26">
        <v>5.1299999999999998E-2</v>
      </c>
      <c r="E32358" s="26">
        <v>6.3399999999999998E-2</v>
      </c>
      <c r="F32358" s="26">
        <v>9.9000000000000008E-3</v>
      </c>
      <c r="G32358" s="26">
        <v>1.1999999999999999E-3</v>
      </c>
      <c r="H32358" s="26">
        <v>5.8999999999999999E-3</v>
      </c>
      <c r="I32358">
        <v>360</v>
      </c>
    </row>
    <row r="32359" spans="1:9" x14ac:dyDescent="0.35">
      <c r="A32359" t="s">
        <v>228</v>
      </c>
      <c r="B32359" t="s">
        <v>2730</v>
      </c>
      <c r="C32359">
        <v>2</v>
      </c>
      <c r="D32359" s="26">
        <v>8.5400000000000004E-2</v>
      </c>
      <c r="E32359" s="26">
        <v>2.5399999999999999E-2</v>
      </c>
      <c r="F32359" s="26">
        <v>2.5600000000000001E-2</v>
      </c>
      <c r="G32359" s="26">
        <v>4.7999999999999996E-3</v>
      </c>
      <c r="H32359" s="26">
        <v>3.49E-2</v>
      </c>
      <c r="I32359">
        <v>360</v>
      </c>
    </row>
    <row r="32360" spans="1:9" x14ac:dyDescent="0.35">
      <c r="A32360" t="s">
        <v>228</v>
      </c>
      <c r="B32360" t="s">
        <v>2730</v>
      </c>
      <c r="C32360">
        <v>3</v>
      </c>
      <c r="D32360" s="26">
        <v>5.0900000000000001E-2</v>
      </c>
      <c r="E32360" s="26">
        <v>1.52E-2</v>
      </c>
      <c r="F32360" s="26">
        <v>5.7700000000000001E-2</v>
      </c>
      <c r="G32360" s="26">
        <v>1.32E-2</v>
      </c>
      <c r="H32360" s="26">
        <v>5.2999999999999999E-2</v>
      </c>
      <c r="I32360">
        <v>360</v>
      </c>
    </row>
    <row r="32361" spans="1:9" x14ac:dyDescent="0.35">
      <c r="A32361" t="s">
        <v>228</v>
      </c>
      <c r="B32361" t="s">
        <v>2730</v>
      </c>
      <c r="C32361">
        <v>4</v>
      </c>
      <c r="D32361" s="26">
        <v>2.53E-2</v>
      </c>
      <c r="E32361" s="26">
        <v>1.61E-2</v>
      </c>
      <c r="F32361" s="26">
        <v>7.1999999999999998E-3</v>
      </c>
      <c r="G32361" s="26">
        <v>2.8999999999999998E-3</v>
      </c>
      <c r="H32361" s="26">
        <v>1.2500000000000001E-2</v>
      </c>
      <c r="I32361">
        <v>360</v>
      </c>
    </row>
    <row r="32362" spans="1:9" x14ac:dyDescent="0.35">
      <c r="A32362" t="s">
        <v>228</v>
      </c>
      <c r="B32362" t="s">
        <v>2730</v>
      </c>
      <c r="C32362">
        <v>0</v>
      </c>
      <c r="D32362" s="26">
        <v>0.55130000000000001</v>
      </c>
      <c r="E32362" s="26">
        <v>0.85489999999999999</v>
      </c>
      <c r="F32362" s="26">
        <v>0.80930000000000002</v>
      </c>
      <c r="G32362" s="26">
        <v>0.93389999999999995</v>
      </c>
      <c r="H32362" s="26">
        <v>0.8024</v>
      </c>
      <c r="I32362">
        <v>360</v>
      </c>
    </row>
    <row r="32363" spans="1:9" x14ac:dyDescent="0.35">
      <c r="A32363" t="s">
        <v>228</v>
      </c>
      <c r="B32363" t="s">
        <v>2730</v>
      </c>
      <c r="C32363">
        <v>7</v>
      </c>
      <c r="D32363" s="26">
        <v>0.2112</v>
      </c>
      <c r="E32363" s="26">
        <v>2.5000000000000001E-2</v>
      </c>
      <c r="F32363" s="26">
        <v>8.0600000000000005E-2</v>
      </c>
      <c r="G32363" s="26">
        <v>3.85E-2</v>
      </c>
      <c r="H32363" s="26">
        <v>8.43E-2</v>
      </c>
      <c r="I32363">
        <v>360</v>
      </c>
    </row>
    <row r="32364" spans="1:9" x14ac:dyDescent="0.35">
      <c r="A32364" t="s">
        <v>228</v>
      </c>
      <c r="B32364" t="s">
        <v>2731</v>
      </c>
      <c r="C32364">
        <v>0</v>
      </c>
      <c r="D32364" s="26">
        <v>0.60950000000000004</v>
      </c>
      <c r="E32364" s="26">
        <v>0.88400000000000001</v>
      </c>
      <c r="F32364" s="26">
        <v>0.92010000000000003</v>
      </c>
      <c r="G32364" s="26">
        <v>0.98109999999999997</v>
      </c>
      <c r="H32364" s="26">
        <v>0.89459999999999995</v>
      </c>
      <c r="I32364">
        <v>96</v>
      </c>
    </row>
    <row r="32365" spans="1:9" x14ac:dyDescent="0.35">
      <c r="A32365" t="s">
        <v>228</v>
      </c>
      <c r="B32365" t="s">
        <v>2731</v>
      </c>
      <c r="C32365">
        <v>1</v>
      </c>
      <c r="D32365" s="26">
        <v>2.18E-2</v>
      </c>
      <c r="E32365" s="26">
        <v>5.5899999999999998E-2</v>
      </c>
      <c r="F32365" s="26">
        <v>2.06E-2</v>
      </c>
      <c r="H32365" s="26">
        <v>5.7599999999999998E-2</v>
      </c>
      <c r="I32365">
        <v>96</v>
      </c>
    </row>
    <row r="32366" spans="1:9" x14ac:dyDescent="0.35">
      <c r="A32366" t="s">
        <v>228</v>
      </c>
      <c r="B32366" t="s">
        <v>2730</v>
      </c>
      <c r="C32366">
        <v>5</v>
      </c>
      <c r="D32366" s="26">
        <v>2.4500000000000001E-2</v>
      </c>
      <c r="F32366" s="26">
        <v>6.1999999999999998E-3</v>
      </c>
      <c r="G32366" s="26">
        <v>5.4999999999999997E-3</v>
      </c>
      <c r="H32366" s="26">
        <v>7.0000000000000001E-3</v>
      </c>
      <c r="I32366">
        <v>360</v>
      </c>
    </row>
    <row r="32367" spans="1:9" x14ac:dyDescent="0.35">
      <c r="A32367" t="s">
        <v>229</v>
      </c>
      <c r="B32367" t="s">
        <v>2731</v>
      </c>
      <c r="C32367">
        <v>5</v>
      </c>
      <c r="D32367" s="26">
        <v>2.0999999999999999E-3</v>
      </c>
      <c r="F32367" s="26">
        <v>4.0000000000000001E-3</v>
      </c>
      <c r="G32367" s="26">
        <v>4.0000000000000001E-3</v>
      </c>
      <c r="H32367" s="26">
        <v>3.0499999999999999E-2</v>
      </c>
      <c r="I32367">
        <v>86</v>
      </c>
    </row>
    <row r="32368" spans="1:9" x14ac:dyDescent="0.35">
      <c r="A32368" t="s">
        <v>229</v>
      </c>
      <c r="B32368" t="s">
        <v>2732</v>
      </c>
      <c r="C32368">
        <v>7</v>
      </c>
      <c r="D32368" s="26">
        <v>8.9800000000000005E-2</v>
      </c>
      <c r="E32368" s="26">
        <v>9.4000000000000004E-3</v>
      </c>
      <c r="F32368" s="26">
        <v>4.6600000000000003E-2</v>
      </c>
      <c r="G32368" s="26">
        <v>1.2E-2</v>
      </c>
      <c r="H32368" s="26">
        <v>4.2000000000000003E-2</v>
      </c>
      <c r="I32368">
        <v>507</v>
      </c>
    </row>
    <row r="32369" spans="1:9" x14ac:dyDescent="0.35">
      <c r="A32369" t="s">
        <v>229</v>
      </c>
      <c r="B32369" t="s">
        <v>2732</v>
      </c>
      <c r="C32369">
        <v>6</v>
      </c>
      <c r="D32369" s="26">
        <v>3.8999999999999998E-3</v>
      </c>
      <c r="G32369" s="26">
        <v>3.8999999999999998E-3</v>
      </c>
      <c r="I32369">
        <v>507</v>
      </c>
    </row>
    <row r="32370" spans="1:9" x14ac:dyDescent="0.35">
      <c r="A32370" t="s">
        <v>229</v>
      </c>
      <c r="B32370" t="s">
        <v>2732</v>
      </c>
      <c r="C32370">
        <v>5</v>
      </c>
      <c r="D32370" s="26">
        <v>9.7000000000000003E-3</v>
      </c>
      <c r="E32370" s="26">
        <v>1.6000000000000001E-3</v>
      </c>
      <c r="F32370" s="26">
        <v>3.8999999999999998E-3</v>
      </c>
      <c r="G32370" s="26">
        <v>4.0000000000000002E-4</v>
      </c>
      <c r="H32370" s="26">
        <v>8.0000000000000004E-4</v>
      </c>
      <c r="I32370">
        <v>507</v>
      </c>
    </row>
    <row r="32371" spans="1:9" x14ac:dyDescent="0.35">
      <c r="A32371" t="s">
        <v>229</v>
      </c>
      <c r="B32371" t="s">
        <v>2732</v>
      </c>
      <c r="C32371">
        <v>4</v>
      </c>
      <c r="D32371" s="26">
        <v>2.63E-2</v>
      </c>
      <c r="E32371" s="26">
        <v>5.0000000000000001E-4</v>
      </c>
      <c r="F32371" s="26">
        <v>2.0999999999999999E-3</v>
      </c>
      <c r="H32371" s="26">
        <v>8.0000000000000004E-4</v>
      </c>
      <c r="I32371">
        <v>507</v>
      </c>
    </row>
    <row r="32372" spans="1:9" x14ac:dyDescent="0.35">
      <c r="A32372" t="s">
        <v>229</v>
      </c>
      <c r="B32372" t="s">
        <v>2732</v>
      </c>
      <c r="C32372">
        <v>3</v>
      </c>
      <c r="D32372" s="26">
        <v>4.1000000000000002E-2</v>
      </c>
      <c r="E32372" s="26">
        <v>8.8000000000000005E-3</v>
      </c>
      <c r="F32372" s="26">
        <v>2.35E-2</v>
      </c>
      <c r="G32372" s="26">
        <v>1.0999999999999999E-2</v>
      </c>
      <c r="H32372" s="26">
        <v>2.1999999999999999E-2</v>
      </c>
      <c r="I32372">
        <v>507</v>
      </c>
    </row>
    <row r="32373" spans="1:9" x14ac:dyDescent="0.35">
      <c r="A32373" t="s">
        <v>229</v>
      </c>
      <c r="B32373" t="s">
        <v>2732</v>
      </c>
      <c r="C32373">
        <v>1</v>
      </c>
      <c r="D32373" s="26">
        <v>4.8999999999999998E-3</v>
      </c>
      <c r="E32373" s="26">
        <v>5.16E-2</v>
      </c>
      <c r="F32373" s="26">
        <v>2.2200000000000001E-2</v>
      </c>
      <c r="G32373" s="26">
        <v>2.9999999999999997E-4</v>
      </c>
      <c r="H32373" s="26">
        <v>5.4000000000000003E-3</v>
      </c>
      <c r="I32373">
        <v>507</v>
      </c>
    </row>
    <row r="32374" spans="1:9" x14ac:dyDescent="0.35">
      <c r="A32374" t="s">
        <v>229</v>
      </c>
      <c r="B32374" t="s">
        <v>2732</v>
      </c>
      <c r="C32374">
        <v>0</v>
      </c>
      <c r="D32374" s="26">
        <v>0.71179999999999999</v>
      </c>
      <c r="E32374" s="26">
        <v>0.92020000000000002</v>
      </c>
      <c r="F32374" s="26">
        <v>0.86460000000000004</v>
      </c>
      <c r="G32374" s="26">
        <v>0.96689999999999998</v>
      </c>
      <c r="H32374" s="26">
        <v>0.9083</v>
      </c>
      <c r="I32374">
        <v>507</v>
      </c>
    </row>
    <row r="32375" spans="1:9" x14ac:dyDescent="0.35">
      <c r="A32375" t="s">
        <v>229</v>
      </c>
      <c r="B32375" t="s">
        <v>2731</v>
      </c>
      <c r="C32375">
        <v>7</v>
      </c>
      <c r="D32375" s="26">
        <v>5.3900000000000003E-2</v>
      </c>
      <c r="F32375" s="26">
        <v>8.0999999999999996E-3</v>
      </c>
      <c r="H32375" s="26">
        <v>1.6299999999999999E-2</v>
      </c>
      <c r="I32375">
        <v>86</v>
      </c>
    </row>
    <row r="32376" spans="1:9" x14ac:dyDescent="0.35">
      <c r="A32376" t="s">
        <v>229</v>
      </c>
      <c r="B32376" t="s">
        <v>2731</v>
      </c>
      <c r="C32376">
        <v>4</v>
      </c>
      <c r="D32376" s="26">
        <v>6.1100000000000002E-2</v>
      </c>
      <c r="F32376" s="26">
        <v>1.0200000000000001E-2</v>
      </c>
      <c r="I32376">
        <v>86</v>
      </c>
    </row>
    <row r="32377" spans="1:9" x14ac:dyDescent="0.35">
      <c r="A32377" t="s">
        <v>229</v>
      </c>
      <c r="B32377" t="s">
        <v>2732</v>
      </c>
      <c r="C32377">
        <v>2</v>
      </c>
      <c r="D32377" s="26">
        <v>0.11260000000000001</v>
      </c>
      <c r="E32377" s="26">
        <v>7.9000000000000008E-3</v>
      </c>
      <c r="F32377" s="26">
        <v>3.6999999999999998E-2</v>
      </c>
      <c r="G32377" s="26">
        <v>5.4999999999999997E-3</v>
      </c>
      <c r="H32377" s="26">
        <v>2.0799999999999999E-2</v>
      </c>
      <c r="I32377">
        <v>507</v>
      </c>
    </row>
    <row r="32378" spans="1:9" x14ac:dyDescent="0.35">
      <c r="A32378" t="s">
        <v>229</v>
      </c>
      <c r="B32378" t="s">
        <v>2731</v>
      </c>
      <c r="C32378">
        <v>2</v>
      </c>
      <c r="D32378" s="26">
        <v>0.10879999999999999</v>
      </c>
      <c r="E32378" s="26">
        <v>3.8800000000000001E-2</v>
      </c>
      <c r="F32378" s="26">
        <v>3.0499999999999999E-2</v>
      </c>
      <c r="H32378" s="26">
        <v>3.1699999999999999E-2</v>
      </c>
      <c r="I32378">
        <v>86</v>
      </c>
    </row>
    <row r="32379" spans="1:9" x14ac:dyDescent="0.35">
      <c r="A32379" t="s">
        <v>229</v>
      </c>
      <c r="B32379" t="s">
        <v>2731</v>
      </c>
      <c r="C32379">
        <v>3</v>
      </c>
      <c r="D32379" s="26">
        <v>3.2599999999999997E-2</v>
      </c>
      <c r="F32379" s="26">
        <v>3.9800000000000002E-2</v>
      </c>
      <c r="I32379">
        <v>86</v>
      </c>
    </row>
    <row r="32380" spans="1:9" x14ac:dyDescent="0.35">
      <c r="A32380" t="s">
        <v>229</v>
      </c>
      <c r="B32380" t="s">
        <v>2730</v>
      </c>
      <c r="C32380">
        <v>1</v>
      </c>
      <c r="D32380" s="26">
        <v>2.7799999999999998E-2</v>
      </c>
      <c r="E32380" s="26">
        <v>4.4299999999999999E-2</v>
      </c>
      <c r="F32380" s="26">
        <v>2.9999999999999997E-4</v>
      </c>
      <c r="G32380" s="26">
        <v>6.0000000000000001E-3</v>
      </c>
      <c r="H32380" s="26">
        <v>3.3399999999999999E-2</v>
      </c>
      <c r="I32380">
        <v>302</v>
      </c>
    </row>
    <row r="32381" spans="1:9" x14ac:dyDescent="0.35">
      <c r="A32381" t="s">
        <v>229</v>
      </c>
      <c r="B32381" t="s">
        <v>2730</v>
      </c>
      <c r="C32381">
        <v>2</v>
      </c>
      <c r="D32381" s="26">
        <v>7.9399999999999998E-2</v>
      </c>
      <c r="E32381" s="26">
        <v>3.7100000000000001E-2</v>
      </c>
      <c r="F32381" s="26">
        <v>6.4199999999999993E-2</v>
      </c>
      <c r="G32381" s="26">
        <v>2.87E-2</v>
      </c>
      <c r="H32381" s="26">
        <v>3.1E-2</v>
      </c>
      <c r="I32381">
        <v>302</v>
      </c>
    </row>
    <row r="32382" spans="1:9" x14ac:dyDescent="0.35">
      <c r="A32382" t="s">
        <v>229</v>
      </c>
      <c r="B32382" t="s">
        <v>2730</v>
      </c>
      <c r="C32382">
        <v>3</v>
      </c>
      <c r="D32382" s="26">
        <v>2.6700000000000002E-2</v>
      </c>
      <c r="E32382" s="26">
        <v>2.3199999999999998E-2</v>
      </c>
      <c r="F32382" s="26">
        <v>3.3099999999999997E-2</v>
      </c>
      <c r="G32382" s="26">
        <v>2.69E-2</v>
      </c>
      <c r="H32382" s="26">
        <v>3.9899999999999998E-2</v>
      </c>
      <c r="I32382">
        <v>302</v>
      </c>
    </row>
    <row r="32383" spans="1:9" x14ac:dyDescent="0.35">
      <c r="A32383" t="s">
        <v>229</v>
      </c>
      <c r="B32383" t="s">
        <v>2730</v>
      </c>
      <c r="C32383">
        <v>4</v>
      </c>
      <c r="D32383" s="26">
        <v>5.4399999999999997E-2</v>
      </c>
      <c r="F32383" s="26">
        <v>2.1499999999999998E-2</v>
      </c>
      <c r="G32383" s="26">
        <v>2.9999999999999997E-4</v>
      </c>
      <c r="H32383" s="26">
        <v>1.9699999999999999E-2</v>
      </c>
      <c r="I32383">
        <v>302</v>
      </c>
    </row>
    <row r="32384" spans="1:9" x14ac:dyDescent="0.35">
      <c r="A32384" t="s">
        <v>229</v>
      </c>
      <c r="B32384" t="s">
        <v>2730</v>
      </c>
      <c r="C32384">
        <v>0</v>
      </c>
      <c r="D32384" s="26">
        <v>0.66790000000000005</v>
      </c>
      <c r="E32384" s="26">
        <v>0.88109999999999999</v>
      </c>
      <c r="F32384" s="26">
        <v>0.8256</v>
      </c>
      <c r="G32384" s="26">
        <v>0.92679999999999996</v>
      </c>
      <c r="H32384" s="26">
        <v>0.8518</v>
      </c>
      <c r="I32384">
        <v>302</v>
      </c>
    </row>
    <row r="32385" spans="1:9" x14ac:dyDescent="0.35">
      <c r="A32385" t="s">
        <v>229</v>
      </c>
      <c r="B32385" t="s">
        <v>2730</v>
      </c>
      <c r="C32385">
        <v>5</v>
      </c>
      <c r="D32385" s="26">
        <v>4.7899999999999998E-2</v>
      </c>
      <c r="F32385" s="26">
        <v>8.9999999999999993E-3</v>
      </c>
      <c r="H32385" s="26">
        <v>2.3999999999999998E-3</v>
      </c>
      <c r="I32385">
        <v>302</v>
      </c>
    </row>
    <row r="32386" spans="1:9" x14ac:dyDescent="0.35">
      <c r="A32386" t="s">
        <v>229</v>
      </c>
      <c r="B32386" t="s">
        <v>2730</v>
      </c>
      <c r="C32386">
        <v>7</v>
      </c>
      <c r="D32386" s="26">
        <v>9.6000000000000002E-2</v>
      </c>
      <c r="E32386" s="26">
        <v>1.43E-2</v>
      </c>
      <c r="F32386" s="26">
        <v>4.6300000000000001E-2</v>
      </c>
      <c r="G32386" s="26">
        <v>1.1299999999999999E-2</v>
      </c>
      <c r="H32386" s="26">
        <v>2.18E-2</v>
      </c>
      <c r="I32386">
        <v>302</v>
      </c>
    </row>
    <row r="32387" spans="1:9" x14ac:dyDescent="0.35">
      <c r="A32387" t="s">
        <v>229</v>
      </c>
      <c r="B32387" t="s">
        <v>2731</v>
      </c>
      <c r="C32387">
        <v>0</v>
      </c>
      <c r="D32387" s="26">
        <v>0.70699999999999996</v>
      </c>
      <c r="E32387" s="26">
        <v>0.92659999999999998</v>
      </c>
      <c r="F32387" s="26">
        <v>0.9073</v>
      </c>
      <c r="G32387" s="26">
        <v>0.996</v>
      </c>
      <c r="H32387" s="26">
        <v>0.92149999999999999</v>
      </c>
      <c r="I32387">
        <v>86</v>
      </c>
    </row>
    <row r="32388" spans="1:9" x14ac:dyDescent="0.35">
      <c r="A32388" t="s">
        <v>229</v>
      </c>
      <c r="B32388" t="s">
        <v>2731</v>
      </c>
      <c r="C32388">
        <v>1</v>
      </c>
      <c r="D32388" s="26">
        <v>3.4599999999999999E-2</v>
      </c>
      <c r="E32388" s="26">
        <v>3.4500000000000003E-2</v>
      </c>
      <c r="I32388">
        <v>86</v>
      </c>
    </row>
    <row r="32389" spans="1:9" x14ac:dyDescent="0.35">
      <c r="A32389" t="s">
        <v>230</v>
      </c>
      <c r="B32389" t="s">
        <v>2731</v>
      </c>
      <c r="C32389">
        <v>4</v>
      </c>
      <c r="D32389" s="26">
        <v>2.35E-2</v>
      </c>
      <c r="G32389" s="26">
        <v>6.9800000000000001E-2</v>
      </c>
      <c r="I32389">
        <v>50</v>
      </c>
    </row>
    <row r="32390" spans="1:9" x14ac:dyDescent="0.35">
      <c r="A32390" t="s">
        <v>230</v>
      </c>
      <c r="B32390" t="s">
        <v>2732</v>
      </c>
      <c r="C32390">
        <v>6</v>
      </c>
      <c r="D32390" s="26">
        <v>1.9300000000000001E-2</v>
      </c>
      <c r="F32390" s="26">
        <v>3.0000000000000001E-3</v>
      </c>
      <c r="H32390" s="26">
        <v>1.5E-3</v>
      </c>
      <c r="I32390">
        <v>313</v>
      </c>
    </row>
    <row r="32391" spans="1:9" x14ac:dyDescent="0.35">
      <c r="A32391" t="s">
        <v>230</v>
      </c>
      <c r="B32391" t="s">
        <v>2732</v>
      </c>
      <c r="C32391">
        <v>4</v>
      </c>
      <c r="D32391" s="26">
        <v>1.9699999999999999E-2</v>
      </c>
      <c r="G32391" s="26">
        <v>9.2999999999999992E-3</v>
      </c>
      <c r="H32391" s="26">
        <v>1.0800000000000001E-2</v>
      </c>
      <c r="I32391">
        <v>313</v>
      </c>
    </row>
    <row r="32392" spans="1:9" x14ac:dyDescent="0.35">
      <c r="A32392" t="s">
        <v>230</v>
      </c>
      <c r="B32392" t="s">
        <v>2732</v>
      </c>
      <c r="C32392">
        <v>3</v>
      </c>
      <c r="D32392" s="26">
        <v>7.9699999999999993E-2</v>
      </c>
      <c r="E32392" s="26">
        <v>1.4200000000000001E-2</v>
      </c>
      <c r="F32392" s="26">
        <v>6.7999999999999996E-3</v>
      </c>
      <c r="G32392" s="26">
        <v>3.8999999999999998E-3</v>
      </c>
      <c r="H32392" s="26">
        <v>1.83E-2</v>
      </c>
      <c r="I32392">
        <v>313</v>
      </c>
    </row>
    <row r="32393" spans="1:9" x14ac:dyDescent="0.35">
      <c r="A32393" t="s">
        <v>230</v>
      </c>
      <c r="B32393" t="s">
        <v>2732</v>
      </c>
      <c r="C32393">
        <v>2</v>
      </c>
      <c r="D32393" s="26">
        <v>6.2899999999999998E-2</v>
      </c>
      <c r="E32393" s="26">
        <v>2.3099999999999999E-2</v>
      </c>
      <c r="F32393" s="26">
        <v>5.3100000000000001E-2</v>
      </c>
      <c r="G32393" s="26">
        <v>2.41E-2</v>
      </c>
      <c r="H32393" s="26">
        <v>2.12E-2</v>
      </c>
      <c r="I32393">
        <v>313</v>
      </c>
    </row>
    <row r="32394" spans="1:9" x14ac:dyDescent="0.35">
      <c r="A32394" t="s">
        <v>230</v>
      </c>
      <c r="B32394" t="s">
        <v>2732</v>
      </c>
      <c r="C32394">
        <v>1</v>
      </c>
      <c r="D32394" s="26">
        <v>3.9800000000000002E-2</v>
      </c>
      <c r="E32394" s="26">
        <v>2.5999999999999999E-2</v>
      </c>
      <c r="F32394" s="26">
        <v>1.34E-2</v>
      </c>
      <c r="G32394" s="26">
        <v>8.8999999999999999E-3</v>
      </c>
      <c r="H32394" s="26">
        <v>6.8999999999999999E-3</v>
      </c>
      <c r="I32394">
        <v>313</v>
      </c>
    </row>
    <row r="32395" spans="1:9" x14ac:dyDescent="0.35">
      <c r="A32395" t="s">
        <v>230</v>
      </c>
      <c r="B32395" t="s">
        <v>2732</v>
      </c>
      <c r="C32395">
        <v>0</v>
      </c>
      <c r="D32395" s="26">
        <v>0.7056</v>
      </c>
      <c r="E32395" s="26">
        <v>0.9173</v>
      </c>
      <c r="F32395" s="26">
        <v>0.91339999999999999</v>
      </c>
      <c r="G32395" s="26">
        <v>0.92169999999999996</v>
      </c>
      <c r="H32395" s="26">
        <v>0.92600000000000005</v>
      </c>
      <c r="I32395">
        <v>313</v>
      </c>
    </row>
    <row r="32396" spans="1:9" x14ac:dyDescent="0.35">
      <c r="A32396" t="s">
        <v>230</v>
      </c>
      <c r="B32396" t="s">
        <v>2731</v>
      </c>
      <c r="C32396">
        <v>7</v>
      </c>
      <c r="D32396" s="26">
        <v>1.8599999999999998E-2</v>
      </c>
      <c r="F32396" s="26">
        <v>3.5000000000000001E-3</v>
      </c>
      <c r="H32396" s="26">
        <v>1.18E-2</v>
      </c>
      <c r="I32396">
        <v>50</v>
      </c>
    </row>
    <row r="32397" spans="1:9" x14ac:dyDescent="0.35">
      <c r="A32397" t="s">
        <v>230</v>
      </c>
      <c r="B32397" t="s">
        <v>2732</v>
      </c>
      <c r="C32397">
        <v>7</v>
      </c>
      <c r="D32397" s="26">
        <v>6.3200000000000006E-2</v>
      </c>
      <c r="E32397" s="26">
        <v>8.8999999999999999E-3</v>
      </c>
      <c r="F32397" s="26">
        <v>7.3000000000000001E-3</v>
      </c>
      <c r="G32397" s="26">
        <v>3.2000000000000001E-2</v>
      </c>
      <c r="H32397" s="26">
        <v>1.52E-2</v>
      </c>
      <c r="I32397">
        <v>313</v>
      </c>
    </row>
    <row r="32398" spans="1:9" x14ac:dyDescent="0.35">
      <c r="A32398" t="s">
        <v>230</v>
      </c>
      <c r="B32398" t="s">
        <v>2731</v>
      </c>
      <c r="C32398">
        <v>3</v>
      </c>
      <c r="D32398" s="26">
        <v>3.5000000000000001E-3</v>
      </c>
      <c r="E32398" s="26">
        <v>3.5000000000000001E-3</v>
      </c>
      <c r="F32398" s="26">
        <v>1.18E-2</v>
      </c>
      <c r="H32398" s="26">
        <v>3.5000000000000001E-3</v>
      </c>
      <c r="I32398">
        <v>50</v>
      </c>
    </row>
    <row r="32399" spans="1:9" x14ac:dyDescent="0.35">
      <c r="A32399" t="s">
        <v>230</v>
      </c>
      <c r="B32399" t="s">
        <v>2732</v>
      </c>
      <c r="C32399">
        <v>5</v>
      </c>
      <c r="D32399" s="26">
        <v>9.7999999999999997E-3</v>
      </c>
      <c r="E32399" s="26">
        <v>1.04E-2</v>
      </c>
      <c r="F32399" s="26">
        <v>3.0000000000000001E-3</v>
      </c>
      <c r="I32399">
        <v>313</v>
      </c>
    </row>
    <row r="32400" spans="1:9" x14ac:dyDescent="0.35">
      <c r="A32400" t="s">
        <v>230</v>
      </c>
      <c r="B32400" t="s">
        <v>2731</v>
      </c>
      <c r="C32400">
        <v>0</v>
      </c>
      <c r="D32400" s="26">
        <v>0.93899999999999995</v>
      </c>
      <c r="E32400" s="26">
        <v>0.91490000000000005</v>
      </c>
      <c r="F32400" s="26">
        <v>0.96940000000000004</v>
      </c>
      <c r="G32400" s="26">
        <v>0.93020000000000003</v>
      </c>
      <c r="H32400" s="26">
        <v>0.91490000000000005</v>
      </c>
      <c r="I32400">
        <v>50</v>
      </c>
    </row>
    <row r="32401" spans="1:9" x14ac:dyDescent="0.35">
      <c r="A32401" t="s">
        <v>230</v>
      </c>
      <c r="B32401" t="s">
        <v>2730</v>
      </c>
      <c r="C32401">
        <v>0</v>
      </c>
      <c r="D32401" s="26">
        <v>0.55459999999999998</v>
      </c>
      <c r="E32401" s="26">
        <v>0.81210000000000004</v>
      </c>
      <c r="F32401" s="26">
        <v>0.77110000000000001</v>
      </c>
      <c r="G32401" s="26">
        <v>0.94369999999999998</v>
      </c>
      <c r="H32401" s="26">
        <v>0.75019999999999998</v>
      </c>
      <c r="I32401">
        <v>197</v>
      </c>
    </row>
    <row r="32402" spans="1:9" x14ac:dyDescent="0.35">
      <c r="A32402" t="s">
        <v>230</v>
      </c>
      <c r="B32402" t="s">
        <v>2730</v>
      </c>
      <c r="C32402">
        <v>1</v>
      </c>
      <c r="D32402" s="26">
        <v>1.41E-2</v>
      </c>
      <c r="E32402" s="26">
        <v>0.112</v>
      </c>
      <c r="H32402" s="26">
        <v>2.8999999999999998E-3</v>
      </c>
      <c r="I32402">
        <v>197</v>
      </c>
    </row>
    <row r="32403" spans="1:9" x14ac:dyDescent="0.35">
      <c r="A32403" t="s">
        <v>230</v>
      </c>
      <c r="B32403" t="s">
        <v>2730</v>
      </c>
      <c r="C32403">
        <v>2</v>
      </c>
      <c r="D32403" s="26">
        <v>4.3999999999999997E-2</v>
      </c>
      <c r="E32403" s="26">
        <v>5.8099999999999999E-2</v>
      </c>
      <c r="F32403" s="26">
        <v>8.4500000000000006E-2</v>
      </c>
      <c r="G32403" s="26">
        <v>2.07E-2</v>
      </c>
      <c r="H32403" s="26">
        <v>9.5699999999999993E-2</v>
      </c>
      <c r="I32403">
        <v>197</v>
      </c>
    </row>
    <row r="32404" spans="1:9" x14ac:dyDescent="0.35">
      <c r="A32404" t="s">
        <v>230</v>
      </c>
      <c r="B32404" t="s">
        <v>2730</v>
      </c>
      <c r="C32404">
        <v>3</v>
      </c>
      <c r="D32404" s="26">
        <v>7.3300000000000004E-2</v>
      </c>
      <c r="F32404" s="26">
        <v>7.4000000000000003E-3</v>
      </c>
      <c r="G32404" s="26">
        <v>2.2700000000000001E-2</v>
      </c>
      <c r="H32404" s="26">
        <v>0.03</v>
      </c>
      <c r="I32404">
        <v>197</v>
      </c>
    </row>
    <row r="32405" spans="1:9" x14ac:dyDescent="0.35">
      <c r="A32405" t="s">
        <v>230</v>
      </c>
      <c r="B32405" t="s">
        <v>2731</v>
      </c>
      <c r="C32405">
        <v>2</v>
      </c>
      <c r="D32405" s="26">
        <v>1.5299999999999999E-2</v>
      </c>
      <c r="F32405" s="26">
        <v>1.5299999999999999E-2</v>
      </c>
      <c r="H32405" s="26">
        <v>6.9800000000000001E-2</v>
      </c>
      <c r="I32405">
        <v>50</v>
      </c>
    </row>
    <row r="32406" spans="1:9" x14ac:dyDescent="0.35">
      <c r="A32406" t="s">
        <v>230</v>
      </c>
      <c r="B32406" t="s">
        <v>2730</v>
      </c>
      <c r="C32406">
        <v>5</v>
      </c>
      <c r="D32406" s="26">
        <v>9.4000000000000004E-3</v>
      </c>
      <c r="H32406" s="26">
        <v>2.8999999999999998E-3</v>
      </c>
      <c r="I32406">
        <v>197</v>
      </c>
    </row>
    <row r="32407" spans="1:9" x14ac:dyDescent="0.35">
      <c r="A32407" t="s">
        <v>230</v>
      </c>
      <c r="B32407" t="s">
        <v>2730</v>
      </c>
      <c r="C32407">
        <v>6</v>
      </c>
      <c r="D32407" s="26">
        <v>1.6899999999999998E-2</v>
      </c>
      <c r="I32407">
        <v>197</v>
      </c>
    </row>
    <row r="32408" spans="1:9" x14ac:dyDescent="0.35">
      <c r="A32408" t="s">
        <v>230</v>
      </c>
      <c r="B32408" t="s">
        <v>2730</v>
      </c>
      <c r="C32408">
        <v>7</v>
      </c>
      <c r="D32408" s="26">
        <v>0.27489999999999998</v>
      </c>
      <c r="E32408" s="26">
        <v>9.2999999999999992E-3</v>
      </c>
      <c r="F32408" s="26">
        <v>8.6400000000000005E-2</v>
      </c>
      <c r="G32408" s="26">
        <v>6.4999999999999997E-3</v>
      </c>
      <c r="H32408" s="26">
        <v>9.2200000000000004E-2</v>
      </c>
      <c r="I32408">
        <v>197</v>
      </c>
    </row>
    <row r="32409" spans="1:9" x14ac:dyDescent="0.35">
      <c r="A32409" t="s">
        <v>230</v>
      </c>
      <c r="B32409" t="s">
        <v>2730</v>
      </c>
      <c r="C32409">
        <v>4</v>
      </c>
      <c r="D32409" s="26">
        <v>1.2800000000000001E-2</v>
      </c>
      <c r="E32409" s="26">
        <v>8.5000000000000006E-3</v>
      </c>
      <c r="F32409" s="26">
        <v>5.0599999999999999E-2</v>
      </c>
      <c r="G32409" s="26">
        <v>6.4999999999999997E-3</v>
      </c>
      <c r="H32409" s="26">
        <v>2.6200000000000001E-2</v>
      </c>
      <c r="I32409">
        <v>197</v>
      </c>
    </row>
    <row r="32410" spans="1:9" x14ac:dyDescent="0.35">
      <c r="A32410" s="27" t="s">
        <v>231</v>
      </c>
      <c r="B32410" s="27" t="s">
        <v>2731</v>
      </c>
      <c r="C32410" s="29">
        <v>5</v>
      </c>
      <c r="D32410" s="28">
        <v>5.8799999999999998E-2</v>
      </c>
      <c r="E32410" s="29"/>
      <c r="F32410" s="29"/>
      <c r="G32410" s="29"/>
      <c r="H32410" s="29"/>
      <c r="I32410" s="29">
        <v>17</v>
      </c>
    </row>
    <row r="32411" spans="1:9" x14ac:dyDescent="0.35">
      <c r="A32411" t="s">
        <v>231</v>
      </c>
      <c r="B32411" t="s">
        <v>2732</v>
      </c>
      <c r="C32411">
        <v>5</v>
      </c>
      <c r="D32411" s="26">
        <v>3.2599999999999997E-2</v>
      </c>
      <c r="F32411" s="26">
        <v>3.2599999999999997E-2</v>
      </c>
      <c r="H32411" s="26">
        <v>2.1700000000000001E-2</v>
      </c>
      <c r="I32411">
        <v>92</v>
      </c>
    </row>
    <row r="32412" spans="1:9" x14ac:dyDescent="0.35">
      <c r="A32412" t="s">
        <v>231</v>
      </c>
      <c r="B32412" t="s">
        <v>2732</v>
      </c>
      <c r="C32412">
        <v>4</v>
      </c>
      <c r="D32412" s="26">
        <v>3.2599999999999997E-2</v>
      </c>
      <c r="F32412" s="26">
        <v>3.2599999999999997E-2</v>
      </c>
      <c r="G32412" s="26">
        <v>4.3499999999999997E-2</v>
      </c>
      <c r="H32412" s="26">
        <v>1.09E-2</v>
      </c>
      <c r="I32412">
        <v>92</v>
      </c>
    </row>
    <row r="32413" spans="1:9" x14ac:dyDescent="0.35">
      <c r="A32413" t="s">
        <v>231</v>
      </c>
      <c r="B32413" t="s">
        <v>2732</v>
      </c>
      <c r="C32413">
        <v>3</v>
      </c>
      <c r="D32413" s="26">
        <v>8.6999999999999994E-2</v>
      </c>
      <c r="E32413" s="26">
        <v>3.2599999999999997E-2</v>
      </c>
      <c r="G32413" s="26">
        <v>1.09E-2</v>
      </c>
      <c r="H32413" s="26">
        <v>1.09E-2</v>
      </c>
      <c r="I32413">
        <v>92</v>
      </c>
    </row>
    <row r="32414" spans="1:9" x14ac:dyDescent="0.35">
      <c r="A32414" t="s">
        <v>231</v>
      </c>
      <c r="B32414" t="s">
        <v>2732</v>
      </c>
      <c r="C32414">
        <v>2</v>
      </c>
      <c r="D32414" s="26">
        <v>6.5199999999999994E-2</v>
      </c>
      <c r="E32414" s="26">
        <v>4.3499999999999997E-2</v>
      </c>
      <c r="F32414" s="26">
        <v>3.2599999999999997E-2</v>
      </c>
      <c r="G32414" s="26">
        <v>1.09E-2</v>
      </c>
      <c r="H32414" s="26">
        <v>2.1700000000000001E-2</v>
      </c>
      <c r="I32414">
        <v>92</v>
      </c>
    </row>
    <row r="32415" spans="1:9" x14ac:dyDescent="0.35">
      <c r="A32415" t="s">
        <v>231</v>
      </c>
      <c r="B32415" t="s">
        <v>2732</v>
      </c>
      <c r="C32415">
        <v>1</v>
      </c>
      <c r="D32415" s="26">
        <v>3.2599999999999997E-2</v>
      </c>
      <c r="E32415" s="26">
        <v>2.1700000000000001E-2</v>
      </c>
      <c r="G32415" s="26">
        <v>1.09E-2</v>
      </c>
      <c r="H32415" s="26">
        <v>1.09E-2</v>
      </c>
      <c r="I32415">
        <v>92</v>
      </c>
    </row>
    <row r="32416" spans="1:9" x14ac:dyDescent="0.35">
      <c r="A32416" t="s">
        <v>231</v>
      </c>
      <c r="B32416" t="s">
        <v>2732</v>
      </c>
      <c r="C32416">
        <v>0</v>
      </c>
      <c r="D32416" s="26">
        <v>0.69569999999999999</v>
      </c>
      <c r="E32416" s="26">
        <v>0.89129999999999998</v>
      </c>
      <c r="F32416" s="26">
        <v>0.88039999999999996</v>
      </c>
      <c r="G32416" s="26">
        <v>0.9022</v>
      </c>
      <c r="H32416" s="26">
        <v>0.89129999999999998</v>
      </c>
      <c r="I32416">
        <v>92</v>
      </c>
    </row>
    <row r="32417" spans="1:9" x14ac:dyDescent="0.35">
      <c r="A32417" s="27" t="s">
        <v>231</v>
      </c>
      <c r="B32417" s="27" t="s">
        <v>2731</v>
      </c>
      <c r="C32417" s="29">
        <v>7</v>
      </c>
      <c r="D32417" s="28">
        <v>0.17649999999999999</v>
      </c>
      <c r="E32417" s="28">
        <v>5.8799999999999998E-2</v>
      </c>
      <c r="F32417" s="28">
        <v>5.8799999999999998E-2</v>
      </c>
      <c r="G32417" s="28">
        <v>5.8799999999999998E-2</v>
      </c>
      <c r="H32417" s="28">
        <v>0.1176</v>
      </c>
      <c r="I32417" s="29">
        <v>17</v>
      </c>
    </row>
    <row r="32418" spans="1:9" x14ac:dyDescent="0.35">
      <c r="A32418" t="s">
        <v>231</v>
      </c>
      <c r="B32418" t="s">
        <v>2732</v>
      </c>
      <c r="C32418">
        <v>7</v>
      </c>
      <c r="D32418" s="26">
        <v>5.4300000000000001E-2</v>
      </c>
      <c r="F32418" s="26">
        <v>2.1700000000000001E-2</v>
      </c>
      <c r="G32418" s="26">
        <v>1.09E-2</v>
      </c>
      <c r="H32418" s="26">
        <v>2.1700000000000001E-2</v>
      </c>
      <c r="I32418">
        <v>92</v>
      </c>
    </row>
    <row r="32419" spans="1:9" x14ac:dyDescent="0.35">
      <c r="A32419" s="27" t="s">
        <v>231</v>
      </c>
      <c r="B32419" s="27" t="s">
        <v>2731</v>
      </c>
      <c r="C32419" s="29">
        <v>2</v>
      </c>
      <c r="D32419" s="28">
        <v>0.17649999999999999</v>
      </c>
      <c r="E32419" s="29"/>
      <c r="F32419" s="28">
        <v>0.1176</v>
      </c>
      <c r="G32419" s="29"/>
      <c r="H32419" s="29"/>
      <c r="I32419" s="29">
        <v>17</v>
      </c>
    </row>
    <row r="32420" spans="1:9" x14ac:dyDescent="0.35">
      <c r="A32420" s="27" t="s">
        <v>231</v>
      </c>
      <c r="B32420" s="27" t="s">
        <v>2731</v>
      </c>
      <c r="C32420" s="29">
        <v>0</v>
      </c>
      <c r="D32420" s="28">
        <v>0.52939999999999998</v>
      </c>
      <c r="E32420" s="28">
        <v>0.82350000000000001</v>
      </c>
      <c r="F32420" s="28">
        <v>0.82350000000000001</v>
      </c>
      <c r="G32420" s="28">
        <v>0.94120000000000004</v>
      </c>
      <c r="H32420" s="28">
        <v>0.70589999999999997</v>
      </c>
      <c r="I32420" s="29">
        <v>17</v>
      </c>
    </row>
    <row r="32421" spans="1:9" x14ac:dyDescent="0.35">
      <c r="A32421" t="s">
        <v>231</v>
      </c>
      <c r="B32421" t="s">
        <v>2730</v>
      </c>
      <c r="C32421">
        <v>7</v>
      </c>
      <c r="D32421" s="26">
        <v>0.18179999999999999</v>
      </c>
      <c r="F32421" s="26">
        <v>7.2700000000000001E-2</v>
      </c>
      <c r="G32421" s="26">
        <v>1.8200000000000001E-2</v>
      </c>
      <c r="H32421" s="26">
        <v>0.1273</v>
      </c>
      <c r="I32421">
        <v>55</v>
      </c>
    </row>
    <row r="32422" spans="1:9" x14ac:dyDescent="0.35">
      <c r="A32422" t="s">
        <v>231</v>
      </c>
      <c r="B32422" t="s">
        <v>2730</v>
      </c>
      <c r="C32422">
        <v>5</v>
      </c>
      <c r="D32422" s="26">
        <v>5.45E-2</v>
      </c>
      <c r="E32422" s="26">
        <v>1.8200000000000001E-2</v>
      </c>
      <c r="F32422" s="26">
        <v>1.8200000000000001E-2</v>
      </c>
      <c r="H32422" s="26">
        <v>1.8200000000000001E-2</v>
      </c>
      <c r="I32422">
        <v>55</v>
      </c>
    </row>
    <row r="32423" spans="1:9" x14ac:dyDescent="0.35">
      <c r="A32423" t="s">
        <v>231</v>
      </c>
      <c r="B32423" t="s">
        <v>2730</v>
      </c>
      <c r="C32423">
        <v>4</v>
      </c>
      <c r="D32423" s="26">
        <v>1.8200000000000001E-2</v>
      </c>
      <c r="F32423" s="26">
        <v>1.8200000000000001E-2</v>
      </c>
      <c r="I32423">
        <v>55</v>
      </c>
    </row>
    <row r="32424" spans="1:9" x14ac:dyDescent="0.35">
      <c r="A32424" t="s">
        <v>231</v>
      </c>
      <c r="B32424" t="s">
        <v>2730</v>
      </c>
      <c r="C32424">
        <v>3</v>
      </c>
      <c r="D32424" s="26">
        <v>3.6400000000000002E-2</v>
      </c>
      <c r="E32424" s="26">
        <v>5.45E-2</v>
      </c>
      <c r="F32424" s="26">
        <v>9.0899999999999995E-2</v>
      </c>
      <c r="H32424" s="26">
        <v>3.6400000000000002E-2</v>
      </c>
      <c r="I32424">
        <v>55</v>
      </c>
    </row>
    <row r="32425" spans="1:9" x14ac:dyDescent="0.35">
      <c r="A32425" t="s">
        <v>231</v>
      </c>
      <c r="B32425" t="s">
        <v>2730</v>
      </c>
      <c r="C32425">
        <v>2</v>
      </c>
      <c r="D32425" s="26">
        <v>0.1091</v>
      </c>
      <c r="F32425" s="26">
        <v>1.8200000000000001E-2</v>
      </c>
      <c r="H32425" s="26">
        <v>5.45E-2</v>
      </c>
      <c r="I32425">
        <v>55</v>
      </c>
    </row>
    <row r="32426" spans="1:9" x14ac:dyDescent="0.35">
      <c r="A32426" t="s">
        <v>231</v>
      </c>
      <c r="B32426" t="s">
        <v>2730</v>
      </c>
      <c r="C32426">
        <v>1</v>
      </c>
      <c r="D32426" s="26">
        <v>7.2700000000000001E-2</v>
      </c>
      <c r="E32426" s="26">
        <v>5.45E-2</v>
      </c>
      <c r="F32426" s="26">
        <v>5.45E-2</v>
      </c>
      <c r="H32426" s="26">
        <v>5.45E-2</v>
      </c>
      <c r="I32426">
        <v>55</v>
      </c>
    </row>
    <row r="32427" spans="1:9" x14ac:dyDescent="0.35">
      <c r="A32427" t="s">
        <v>231</v>
      </c>
      <c r="B32427" t="s">
        <v>2730</v>
      </c>
      <c r="C32427">
        <v>0</v>
      </c>
      <c r="D32427" s="26">
        <v>0.52729999999999999</v>
      </c>
      <c r="E32427" s="26">
        <v>0.87270000000000003</v>
      </c>
      <c r="F32427" s="26">
        <v>0.72729999999999995</v>
      </c>
      <c r="G32427" s="26">
        <v>0.98180000000000001</v>
      </c>
      <c r="H32427" s="26">
        <v>0.70909999999999995</v>
      </c>
      <c r="I32427">
        <v>55</v>
      </c>
    </row>
    <row r="32428" spans="1:9" x14ac:dyDescent="0.35">
      <c r="A32428" s="27" t="s">
        <v>231</v>
      </c>
      <c r="B32428" s="27" t="s">
        <v>2731</v>
      </c>
      <c r="C32428" s="29">
        <v>3</v>
      </c>
      <c r="D32428" s="28">
        <v>5.8799999999999998E-2</v>
      </c>
      <c r="E32428" s="28">
        <v>5.8799999999999998E-2</v>
      </c>
      <c r="F32428" s="29"/>
      <c r="G32428" s="29"/>
      <c r="H32428" s="28">
        <v>5.8799999999999998E-2</v>
      </c>
      <c r="I32428" s="29">
        <v>17</v>
      </c>
    </row>
    <row r="32429" spans="1:9" x14ac:dyDescent="0.35">
      <c r="A32429" t="s">
        <v>232</v>
      </c>
      <c r="B32429" t="s">
        <v>232</v>
      </c>
      <c r="C32429">
        <v>5</v>
      </c>
      <c r="D32429" s="26">
        <v>2.1700000000000001E-2</v>
      </c>
      <c r="E32429" s="26">
        <v>2.8E-3</v>
      </c>
      <c r="F32429" s="26">
        <v>8.8000000000000005E-3</v>
      </c>
      <c r="G32429" s="26">
        <v>8.9999999999999998E-4</v>
      </c>
      <c r="H32429" s="26">
        <v>7.9000000000000008E-3</v>
      </c>
      <c r="I32429">
        <v>2813</v>
      </c>
    </row>
    <row r="32430" spans="1:9" x14ac:dyDescent="0.35">
      <c r="A32430" t="s">
        <v>232</v>
      </c>
      <c r="B32430" t="s">
        <v>232</v>
      </c>
      <c r="C32430">
        <v>4</v>
      </c>
      <c r="D32430" s="26">
        <v>2.4E-2</v>
      </c>
      <c r="E32430" s="26">
        <v>1.6000000000000001E-3</v>
      </c>
      <c r="F32430" s="26">
        <v>1.38E-2</v>
      </c>
      <c r="G32430" s="26">
        <v>1.01E-2</v>
      </c>
      <c r="H32430" s="26">
        <v>1.0200000000000001E-2</v>
      </c>
      <c r="I32430">
        <v>2813</v>
      </c>
    </row>
    <row r="32431" spans="1:9" x14ac:dyDescent="0.35">
      <c r="A32431" t="s">
        <v>232</v>
      </c>
      <c r="B32431" t="s">
        <v>232</v>
      </c>
      <c r="C32431">
        <v>3</v>
      </c>
      <c r="D32431" s="26">
        <v>5.8700000000000002E-2</v>
      </c>
      <c r="E32431" s="26">
        <v>1.9300000000000001E-2</v>
      </c>
      <c r="F32431" s="26">
        <v>2.5999999999999999E-2</v>
      </c>
      <c r="G32431" s="26">
        <v>1.0200000000000001E-2</v>
      </c>
      <c r="H32431" s="26">
        <v>2.1299999999999999E-2</v>
      </c>
      <c r="I32431">
        <v>2813</v>
      </c>
    </row>
    <row r="32432" spans="1:9" x14ac:dyDescent="0.35">
      <c r="A32432" t="s">
        <v>232</v>
      </c>
      <c r="B32432" t="s">
        <v>232</v>
      </c>
      <c r="C32432">
        <v>6</v>
      </c>
      <c r="D32432" s="26">
        <v>2.8E-3</v>
      </c>
      <c r="E32432" s="26">
        <v>1.6999999999999999E-3</v>
      </c>
      <c r="F32432" s="26">
        <v>4.0000000000000002E-4</v>
      </c>
      <c r="G32432" s="26">
        <v>2.3999999999999998E-3</v>
      </c>
      <c r="H32432" s="26">
        <v>1.8E-3</v>
      </c>
      <c r="I32432">
        <v>2813</v>
      </c>
    </row>
    <row r="32433" spans="1:26" x14ac:dyDescent="0.35">
      <c r="A32433" t="s">
        <v>232</v>
      </c>
      <c r="B32433" t="s">
        <v>232</v>
      </c>
      <c r="C32433">
        <v>1</v>
      </c>
      <c r="D32433" s="26">
        <v>2.9700000000000001E-2</v>
      </c>
      <c r="E32433" s="26">
        <v>4.2799999999999998E-2</v>
      </c>
      <c r="F32433" s="26">
        <v>1.67E-2</v>
      </c>
      <c r="G32433" s="26">
        <v>5.1000000000000004E-3</v>
      </c>
      <c r="H32433" s="26">
        <v>1.7999999999999999E-2</v>
      </c>
      <c r="I32433">
        <v>2813</v>
      </c>
    </row>
    <row r="32434" spans="1:26" x14ac:dyDescent="0.35">
      <c r="A32434" t="s">
        <v>232</v>
      </c>
      <c r="B32434" t="s">
        <v>232</v>
      </c>
      <c r="C32434">
        <v>0</v>
      </c>
      <c r="D32434" s="26">
        <v>0.66559999999999997</v>
      </c>
      <c r="E32434" s="26">
        <v>0.89839999999999998</v>
      </c>
      <c r="F32434" s="26">
        <v>0.85399999999999998</v>
      </c>
      <c r="G32434" s="26">
        <v>0.94440000000000002</v>
      </c>
      <c r="H32434" s="26">
        <v>0.86960000000000004</v>
      </c>
      <c r="I32434">
        <v>2813</v>
      </c>
    </row>
    <row r="32435" spans="1:26" x14ac:dyDescent="0.35">
      <c r="A32435" t="s">
        <v>232</v>
      </c>
      <c r="B32435" t="s">
        <v>232</v>
      </c>
      <c r="C32435">
        <v>2</v>
      </c>
      <c r="D32435" s="26">
        <v>8.6699999999999999E-2</v>
      </c>
      <c r="E32435" s="26">
        <v>2.4799999999999999E-2</v>
      </c>
      <c r="F32435" s="26">
        <v>3.5400000000000001E-2</v>
      </c>
      <c r="G32435" s="26">
        <v>1.1900000000000001E-2</v>
      </c>
      <c r="H32435" s="26">
        <v>2.6700000000000002E-2</v>
      </c>
      <c r="I32435">
        <v>2813</v>
      </c>
    </row>
    <row r="32436" spans="1:26" x14ac:dyDescent="0.35">
      <c r="A32436" t="s">
        <v>232</v>
      </c>
      <c r="B32436" t="s">
        <v>232</v>
      </c>
      <c r="C32436">
        <v>7</v>
      </c>
      <c r="D32436" s="26">
        <v>0.1108</v>
      </c>
      <c r="E32436" s="26">
        <v>8.6E-3</v>
      </c>
      <c r="F32436" s="26">
        <v>4.5100000000000001E-2</v>
      </c>
      <c r="G32436" s="26">
        <v>1.4999999999999999E-2</v>
      </c>
      <c r="H32436" s="26">
        <v>4.4600000000000001E-2</v>
      </c>
      <c r="I32436">
        <v>2813</v>
      </c>
    </row>
    <row r="32438" spans="1:26" x14ac:dyDescent="0.35">
      <c r="A32438" s="1" t="s">
        <v>2825</v>
      </c>
    </row>
    <row r="32439" spans="1:26" x14ac:dyDescent="0.35">
      <c r="A32439" t="s">
        <v>219</v>
      </c>
      <c r="B32439" t="s">
        <v>305</v>
      </c>
      <c r="C32439" t="s">
        <v>550</v>
      </c>
      <c r="D32439" t="s">
        <v>2281</v>
      </c>
      <c r="E32439" t="s">
        <v>2282</v>
      </c>
      <c r="F32439" t="s">
        <v>2283</v>
      </c>
      <c r="G32439" t="s">
        <v>2284</v>
      </c>
      <c r="H32439" t="s">
        <v>2285</v>
      </c>
      <c r="I32439" t="s">
        <v>2286</v>
      </c>
      <c r="J32439" t="s">
        <v>2287</v>
      </c>
      <c r="K32439" t="s">
        <v>2288</v>
      </c>
      <c r="L32439" t="s">
        <v>2289</v>
      </c>
      <c r="M32439" t="s">
        <v>2290</v>
      </c>
      <c r="N32439" t="s">
        <v>2291</v>
      </c>
      <c r="O32439" t="s">
        <v>2292</v>
      </c>
      <c r="P32439" t="s">
        <v>2293</v>
      </c>
      <c r="Q32439" t="s">
        <v>2294</v>
      </c>
      <c r="R32439" t="s">
        <v>2295</v>
      </c>
      <c r="S32439" t="s">
        <v>2296</v>
      </c>
      <c r="T32439" t="s">
        <v>2297</v>
      </c>
      <c r="U32439" t="s">
        <v>326</v>
      </c>
      <c r="V32439" t="s">
        <v>2298</v>
      </c>
      <c r="W32439" t="s">
        <v>2299</v>
      </c>
      <c r="X32439" t="s">
        <v>281</v>
      </c>
      <c r="Y32439" t="s">
        <v>286</v>
      </c>
      <c r="Z32439" t="s">
        <v>226</v>
      </c>
    </row>
    <row r="32440" spans="1:26" x14ac:dyDescent="0.35">
      <c r="A32440" t="s">
        <v>227</v>
      </c>
      <c r="B32440" t="s">
        <v>2730</v>
      </c>
      <c r="C32440" s="26">
        <v>0.57450000000000001</v>
      </c>
      <c r="D32440" s="26">
        <v>0.1915</v>
      </c>
      <c r="E32440" s="26">
        <v>0.10639999999999999</v>
      </c>
      <c r="F32440" s="26">
        <v>8.5099999999999995E-2</v>
      </c>
      <c r="G32440" s="26">
        <v>6.3799999999999996E-2</v>
      </c>
      <c r="H32440" s="26">
        <v>2.1299999999999999E-2</v>
      </c>
      <c r="I32440" s="26">
        <v>6.3799999999999996E-2</v>
      </c>
      <c r="J32440" s="26">
        <v>4.2599999999999999E-2</v>
      </c>
      <c r="K32440" s="26">
        <v>4.2599999999999999E-2</v>
      </c>
      <c r="L32440" s="26">
        <v>4.2599999999999999E-2</v>
      </c>
      <c r="N32440" s="26">
        <v>2.1299999999999999E-2</v>
      </c>
      <c r="P32440" s="26">
        <v>2.1299999999999999E-2</v>
      </c>
      <c r="U32440" s="26">
        <v>2.1299999999999999E-2</v>
      </c>
      <c r="Z32440">
        <v>47</v>
      </c>
    </row>
    <row r="32441" spans="1:26" x14ac:dyDescent="0.35">
      <c r="A32441" s="27" t="s">
        <v>227</v>
      </c>
      <c r="B32441" s="27" t="s">
        <v>2731</v>
      </c>
      <c r="C32441" s="28">
        <v>0.6</v>
      </c>
      <c r="D32441" s="28">
        <v>0.25</v>
      </c>
      <c r="E32441" s="29"/>
      <c r="F32441" s="29"/>
      <c r="G32441" s="29"/>
      <c r="H32441" s="28">
        <v>0.05</v>
      </c>
      <c r="I32441" s="28">
        <v>0.05</v>
      </c>
      <c r="J32441" s="28">
        <v>0.05</v>
      </c>
      <c r="K32441" s="29"/>
      <c r="L32441" s="29"/>
      <c r="M32441" s="29"/>
      <c r="N32441" s="29"/>
      <c r="O32441" s="29"/>
      <c r="P32441" s="29"/>
      <c r="Q32441" s="29"/>
      <c r="R32441" s="29"/>
      <c r="S32441" s="29"/>
      <c r="T32441" s="28">
        <v>0.05</v>
      </c>
      <c r="U32441" s="29"/>
      <c r="V32441" s="29"/>
      <c r="W32441" s="29"/>
      <c r="X32441" s="29"/>
      <c r="Y32441" s="29"/>
      <c r="Z32441" s="29" t="s">
        <v>350</v>
      </c>
    </row>
    <row r="32442" spans="1:26" x14ac:dyDescent="0.35">
      <c r="A32442" t="s">
        <v>227</v>
      </c>
      <c r="B32442" t="s">
        <v>2732</v>
      </c>
      <c r="C32442" s="26">
        <v>0.43009999999999998</v>
      </c>
      <c r="D32442" s="26">
        <v>0.2903</v>
      </c>
      <c r="E32442" s="26">
        <v>7.5300000000000006E-2</v>
      </c>
      <c r="F32442" s="26">
        <v>9.6799999999999997E-2</v>
      </c>
      <c r="G32442" s="26">
        <v>6.4500000000000002E-2</v>
      </c>
      <c r="H32442" s="26">
        <v>3.2300000000000002E-2</v>
      </c>
      <c r="I32442" s="26">
        <v>3.2300000000000002E-2</v>
      </c>
      <c r="J32442" s="26">
        <v>2.1499999999999998E-2</v>
      </c>
      <c r="K32442" s="26">
        <v>7.5300000000000006E-2</v>
      </c>
      <c r="L32442" s="26">
        <v>6.4500000000000002E-2</v>
      </c>
      <c r="M32442" s="26">
        <v>2.1499999999999998E-2</v>
      </c>
      <c r="N32442" s="26">
        <v>2.1499999999999998E-2</v>
      </c>
      <c r="O32442" s="26">
        <v>3.2300000000000002E-2</v>
      </c>
      <c r="P32442" s="26">
        <v>3.2300000000000002E-2</v>
      </c>
      <c r="Q32442" s="26">
        <v>2.1499999999999998E-2</v>
      </c>
      <c r="R32442" s="26">
        <v>2.1499999999999998E-2</v>
      </c>
      <c r="T32442" s="26">
        <v>2.1499999999999998E-2</v>
      </c>
      <c r="Z32442">
        <v>93</v>
      </c>
    </row>
    <row r="32443" spans="1:26" x14ac:dyDescent="0.35">
      <c r="A32443" t="s">
        <v>228</v>
      </c>
      <c r="B32443" t="s">
        <v>2730</v>
      </c>
      <c r="C32443" s="26">
        <v>0.4254</v>
      </c>
      <c r="D32443" s="26">
        <v>0.33560000000000001</v>
      </c>
      <c r="E32443" s="26">
        <v>9.69E-2</v>
      </c>
      <c r="F32443" s="26">
        <v>7.0699999999999999E-2</v>
      </c>
      <c r="G32443" s="26">
        <v>7.9200000000000007E-2</v>
      </c>
      <c r="H32443" s="26">
        <v>9.0200000000000002E-2</v>
      </c>
      <c r="I32443" s="26">
        <v>6.5199999999999994E-2</v>
      </c>
      <c r="J32443" s="26">
        <v>7.5200000000000003E-2</v>
      </c>
      <c r="K32443" s="26">
        <v>4.7199999999999999E-2</v>
      </c>
      <c r="L32443" s="26">
        <v>1.8100000000000002E-2</v>
      </c>
      <c r="M32443" s="26">
        <v>5.5199999999999999E-2</v>
      </c>
      <c r="N32443" s="26">
        <v>4.65E-2</v>
      </c>
      <c r="O32443" s="26">
        <v>2.87E-2</v>
      </c>
      <c r="P32443" s="26">
        <v>2.5600000000000001E-2</v>
      </c>
      <c r="Q32443" s="26">
        <v>2.0899999999999998E-2</v>
      </c>
      <c r="R32443" s="26">
        <v>6.1000000000000004E-3</v>
      </c>
      <c r="S32443" s="26">
        <v>2.8999999999999998E-3</v>
      </c>
      <c r="T32443" s="26">
        <v>5.0000000000000001E-3</v>
      </c>
      <c r="V32443" s="26">
        <v>2.4799999999999999E-2</v>
      </c>
      <c r="W32443" s="26">
        <v>2.8999999999999998E-3</v>
      </c>
      <c r="X32443" s="26">
        <v>6.4999999999999997E-3</v>
      </c>
      <c r="Z32443">
        <v>359</v>
      </c>
    </row>
    <row r="32444" spans="1:26" x14ac:dyDescent="0.35">
      <c r="A32444" t="s">
        <v>228</v>
      </c>
      <c r="B32444" t="s">
        <v>2731</v>
      </c>
      <c r="C32444" s="26">
        <v>0.51219999999999999</v>
      </c>
      <c r="D32444" s="26">
        <v>0.2427</v>
      </c>
      <c r="E32444" s="26">
        <v>4.4600000000000001E-2</v>
      </c>
      <c r="F32444" s="26">
        <v>2.92E-2</v>
      </c>
      <c r="G32444" s="26">
        <v>3.5499999999999997E-2</v>
      </c>
      <c r="H32444" s="26">
        <v>0.13789999999999999</v>
      </c>
      <c r="I32444" s="26">
        <v>5.3900000000000003E-2</v>
      </c>
      <c r="J32444" s="26">
        <v>4.2599999999999999E-2</v>
      </c>
      <c r="K32444" s="26">
        <v>1.78E-2</v>
      </c>
      <c r="M32444" s="26">
        <v>1.1599999999999999E-2</v>
      </c>
      <c r="N32444" s="26">
        <v>2.18E-2</v>
      </c>
      <c r="O32444" s="26">
        <v>7.6499999999999999E-2</v>
      </c>
      <c r="P32444" s="26">
        <v>3.2599999999999997E-2</v>
      </c>
      <c r="T32444" s="26">
        <v>1.5100000000000001E-2</v>
      </c>
      <c r="X32444" s="26">
        <v>1.3100000000000001E-2</v>
      </c>
      <c r="Y32444" s="26">
        <v>3.0999999999999999E-3</v>
      </c>
      <c r="Z32444">
        <v>95</v>
      </c>
    </row>
    <row r="32445" spans="1:26" x14ac:dyDescent="0.35">
      <c r="A32445" t="s">
        <v>228</v>
      </c>
      <c r="B32445" t="s">
        <v>2732</v>
      </c>
      <c r="C32445" s="26">
        <v>0.44979999999999998</v>
      </c>
      <c r="D32445" s="26">
        <v>0.2918</v>
      </c>
      <c r="E32445" s="26">
        <v>8.7400000000000005E-2</v>
      </c>
      <c r="F32445" s="26">
        <v>7.7100000000000002E-2</v>
      </c>
      <c r="G32445" s="26">
        <v>8.5699999999999998E-2</v>
      </c>
      <c r="H32445" s="26">
        <v>0.1045</v>
      </c>
      <c r="I32445" s="26">
        <v>4.2200000000000001E-2</v>
      </c>
      <c r="J32445" s="26">
        <v>1.78E-2</v>
      </c>
      <c r="K32445" s="26">
        <v>4.19E-2</v>
      </c>
      <c r="L32445" s="26">
        <v>3.3500000000000002E-2</v>
      </c>
      <c r="M32445" s="26">
        <v>2.2800000000000001E-2</v>
      </c>
      <c r="N32445" s="26">
        <v>4.87E-2</v>
      </c>
      <c r="O32445" s="26">
        <v>2.5999999999999999E-2</v>
      </c>
      <c r="P32445" s="26">
        <v>1.89E-2</v>
      </c>
      <c r="Q32445" s="26">
        <v>6.7999999999999996E-3</v>
      </c>
      <c r="R32445" s="26">
        <v>7.4000000000000003E-3</v>
      </c>
      <c r="S32445" s="26">
        <v>3.4200000000000001E-2</v>
      </c>
      <c r="T32445" s="26">
        <v>8.5000000000000006E-3</v>
      </c>
      <c r="U32445" s="26">
        <v>6.7000000000000002E-3</v>
      </c>
      <c r="V32445" s="26">
        <v>4.7000000000000002E-3</v>
      </c>
      <c r="W32445" s="26">
        <v>7.3000000000000001E-3</v>
      </c>
      <c r="X32445" s="26">
        <v>1.0200000000000001E-2</v>
      </c>
      <c r="Y32445" s="26">
        <v>6.6E-3</v>
      </c>
      <c r="Z32445">
        <v>571</v>
      </c>
    </row>
    <row r="32446" spans="1:26" x14ac:dyDescent="0.35">
      <c r="A32446" t="s">
        <v>229</v>
      </c>
      <c r="B32446" t="s">
        <v>2730</v>
      </c>
      <c r="C32446" s="26">
        <v>0.50980000000000003</v>
      </c>
      <c r="D32446" s="26">
        <v>0.29520000000000002</v>
      </c>
      <c r="E32446" s="26">
        <v>0.1076</v>
      </c>
      <c r="F32446" s="26">
        <v>6.2600000000000003E-2</v>
      </c>
      <c r="G32446" s="26">
        <v>6.1400000000000003E-2</v>
      </c>
      <c r="H32446" s="26">
        <v>5.3100000000000001E-2</v>
      </c>
      <c r="I32446" s="26">
        <v>1.9800000000000002E-2</v>
      </c>
      <c r="J32446" s="26">
        <v>4.5100000000000001E-2</v>
      </c>
      <c r="K32446" s="26">
        <v>2.9399999999999999E-2</v>
      </c>
      <c r="L32446" s="26">
        <v>4.2799999999999998E-2</v>
      </c>
      <c r="M32446" s="26">
        <v>4.1300000000000003E-2</v>
      </c>
      <c r="N32446" s="26">
        <v>2.75E-2</v>
      </c>
      <c r="O32446" s="26">
        <v>1.9099999999999999E-2</v>
      </c>
      <c r="P32446" s="26">
        <v>5.2400000000000002E-2</v>
      </c>
      <c r="Q32446" s="26">
        <v>2.53E-2</v>
      </c>
      <c r="R32446" s="26">
        <v>1.3100000000000001E-2</v>
      </c>
      <c r="S32446" s="26">
        <v>2.3999999999999998E-3</v>
      </c>
      <c r="T32446" s="26">
        <v>1.52E-2</v>
      </c>
      <c r="V32446" s="26">
        <v>1.01E-2</v>
      </c>
      <c r="X32446" s="26">
        <v>1.04E-2</v>
      </c>
      <c r="Y32446" s="26">
        <v>2.3999999999999998E-3</v>
      </c>
      <c r="Z32446">
        <v>299</v>
      </c>
    </row>
    <row r="32447" spans="1:26" x14ac:dyDescent="0.35">
      <c r="A32447" t="s">
        <v>229</v>
      </c>
      <c r="B32447" t="s">
        <v>2731</v>
      </c>
      <c r="C32447" s="26">
        <v>0.5544</v>
      </c>
      <c r="D32447" s="26">
        <v>0.17810000000000001</v>
      </c>
      <c r="E32447" s="26">
        <v>8.1500000000000003E-2</v>
      </c>
      <c r="F32447" s="26">
        <v>9.1999999999999998E-3</v>
      </c>
      <c r="G32447" s="26">
        <v>0.17680000000000001</v>
      </c>
      <c r="H32447" s="26">
        <v>5.4600000000000003E-2</v>
      </c>
      <c r="I32447" s="26">
        <v>3.6499999999999998E-2</v>
      </c>
      <c r="O32447" s="26">
        <v>7.8399999999999997E-2</v>
      </c>
      <c r="T32447" s="26">
        <v>6.1100000000000002E-2</v>
      </c>
      <c r="W32447" s="26">
        <v>8.0999999999999996E-3</v>
      </c>
      <c r="Z32447">
        <v>86</v>
      </c>
    </row>
    <row r="32448" spans="1:26" x14ac:dyDescent="0.35">
      <c r="A32448" t="s">
        <v>229</v>
      </c>
      <c r="B32448" t="s">
        <v>2732</v>
      </c>
      <c r="C32448" s="26">
        <v>0.53239999999999998</v>
      </c>
      <c r="D32448" s="26">
        <v>0.26900000000000002</v>
      </c>
      <c r="E32448" s="26">
        <v>9.8500000000000004E-2</v>
      </c>
      <c r="F32448" s="26">
        <v>3.9600000000000003E-2</v>
      </c>
      <c r="G32448" s="26">
        <v>6.2700000000000006E-2</v>
      </c>
      <c r="H32448" s="26">
        <v>5.2999999999999999E-2</v>
      </c>
      <c r="I32448" s="26">
        <v>4.36E-2</v>
      </c>
      <c r="J32448" s="26">
        <v>3.4299999999999997E-2</v>
      </c>
      <c r="K32448" s="26">
        <v>2.18E-2</v>
      </c>
      <c r="L32448" s="26">
        <v>1.89E-2</v>
      </c>
      <c r="M32448" s="26">
        <v>8.3000000000000001E-3</v>
      </c>
      <c r="N32448" s="26">
        <v>1.3899999999999999E-2</v>
      </c>
      <c r="O32448" s="26">
        <v>9.4999999999999998E-3</v>
      </c>
      <c r="P32448" s="26">
        <v>1.2999999999999999E-2</v>
      </c>
      <c r="Q32448" s="26">
        <v>2.0000000000000001E-4</v>
      </c>
      <c r="R32448" s="26">
        <v>5.0000000000000001E-4</v>
      </c>
      <c r="S32448" s="26">
        <v>1.7299999999999999E-2</v>
      </c>
      <c r="T32448" s="26">
        <v>1.03E-2</v>
      </c>
      <c r="U32448" s="26">
        <v>8.8000000000000005E-3</v>
      </c>
      <c r="V32448" s="26">
        <v>1.0500000000000001E-2</v>
      </c>
      <c r="W32448" s="26">
        <v>1.0999999999999999E-2</v>
      </c>
      <c r="X32448" s="26">
        <v>1.0200000000000001E-2</v>
      </c>
      <c r="Y32448" s="26">
        <v>6.3E-3</v>
      </c>
      <c r="Z32448">
        <v>504</v>
      </c>
    </row>
    <row r="32449" spans="1:26" x14ac:dyDescent="0.35">
      <c r="A32449" t="s">
        <v>230</v>
      </c>
      <c r="B32449" t="s">
        <v>2730</v>
      </c>
      <c r="C32449" s="26">
        <v>0.36299999999999999</v>
      </c>
      <c r="D32449" s="26">
        <v>0.42199999999999999</v>
      </c>
      <c r="E32449" s="26">
        <v>0.1464</v>
      </c>
      <c r="F32449" s="26">
        <v>0.1246</v>
      </c>
      <c r="G32449" s="26">
        <v>9.9699999999999997E-2</v>
      </c>
      <c r="H32449" s="26">
        <v>5.8299999999999998E-2</v>
      </c>
      <c r="I32449" s="26">
        <v>4.2999999999999997E-2</v>
      </c>
      <c r="J32449" s="26">
        <v>6.8400000000000002E-2</v>
      </c>
      <c r="K32449" s="26">
        <v>2.12E-2</v>
      </c>
      <c r="L32449" s="26">
        <v>0.1278</v>
      </c>
      <c r="M32449" s="26">
        <v>7.7200000000000005E-2</v>
      </c>
      <c r="N32449" s="26">
        <v>4.7800000000000002E-2</v>
      </c>
      <c r="O32449" s="26">
        <v>1.3899999999999999E-2</v>
      </c>
      <c r="P32449" s="26">
        <v>2.8199999999999999E-2</v>
      </c>
      <c r="Q32449" s="26">
        <v>1.3100000000000001E-2</v>
      </c>
      <c r="R32449" s="26">
        <v>2.8E-3</v>
      </c>
      <c r="S32449" s="26">
        <v>2.8000000000000001E-2</v>
      </c>
      <c r="T32449" s="26">
        <v>6.4999999999999997E-3</v>
      </c>
      <c r="U32449" s="26">
        <v>8.9999999999999998E-4</v>
      </c>
      <c r="V32449" s="26">
        <v>1.78E-2</v>
      </c>
      <c r="W32449" s="26">
        <v>8.9999999999999998E-4</v>
      </c>
      <c r="X32449" s="26">
        <v>5.7000000000000002E-3</v>
      </c>
      <c r="Z32449">
        <v>197</v>
      </c>
    </row>
    <row r="32450" spans="1:26" x14ac:dyDescent="0.35">
      <c r="A32450" t="s">
        <v>230</v>
      </c>
      <c r="B32450" t="s">
        <v>2731</v>
      </c>
      <c r="C32450" s="26">
        <v>0.39889999999999998</v>
      </c>
      <c r="D32450" s="26">
        <v>0.2409</v>
      </c>
      <c r="E32450" s="26">
        <v>7.8799999999999995E-2</v>
      </c>
      <c r="F32450" s="26">
        <v>4.1799999999999997E-2</v>
      </c>
      <c r="G32450" s="26">
        <v>8.77E-2</v>
      </c>
      <c r="H32450" s="26">
        <v>0.1273</v>
      </c>
      <c r="J32450" s="26">
        <v>7.4999999999999997E-2</v>
      </c>
      <c r="K32450" s="26">
        <v>2.8500000000000001E-2</v>
      </c>
      <c r="L32450" s="26">
        <v>1.2699999999999999E-2</v>
      </c>
      <c r="M32450" s="26">
        <v>3.8E-3</v>
      </c>
      <c r="N32450" s="26">
        <v>3.2899999999999999E-2</v>
      </c>
      <c r="O32450" s="26">
        <v>3.8E-3</v>
      </c>
      <c r="P32450" s="26">
        <v>3.8E-3</v>
      </c>
      <c r="Z32450">
        <v>49</v>
      </c>
    </row>
    <row r="32451" spans="1:26" x14ac:dyDescent="0.35">
      <c r="A32451" t="s">
        <v>230</v>
      </c>
      <c r="B32451" t="s">
        <v>2732</v>
      </c>
      <c r="C32451" s="26">
        <v>0.48159999999999997</v>
      </c>
      <c r="D32451" s="26">
        <v>0.32490000000000002</v>
      </c>
      <c r="E32451" s="26">
        <v>9.3200000000000005E-2</v>
      </c>
      <c r="F32451" s="26">
        <v>4.9799999999999997E-2</v>
      </c>
      <c r="G32451" s="26">
        <v>6.9199999999999998E-2</v>
      </c>
      <c r="H32451" s="26">
        <v>7.4999999999999997E-2</v>
      </c>
      <c r="I32451" s="26">
        <v>6.2799999999999995E-2</v>
      </c>
      <c r="J32451" s="26">
        <v>6.0100000000000001E-2</v>
      </c>
      <c r="K32451" s="26">
        <v>2.3300000000000001E-2</v>
      </c>
      <c r="L32451" s="26">
        <v>1.7000000000000001E-2</v>
      </c>
      <c r="M32451" s="26">
        <v>2.7900000000000001E-2</v>
      </c>
      <c r="N32451" s="26">
        <v>5.0700000000000002E-2</v>
      </c>
      <c r="O32451" s="26">
        <v>5.8099999999999999E-2</v>
      </c>
      <c r="P32451" s="26">
        <v>1.5299999999999999E-2</v>
      </c>
      <c r="Q32451" s="26">
        <v>1.0500000000000001E-2</v>
      </c>
      <c r="R32451" s="26">
        <v>9.4000000000000004E-3</v>
      </c>
      <c r="S32451" s="26">
        <v>1.83E-2</v>
      </c>
      <c r="T32451" s="26">
        <v>3.5000000000000001E-3</v>
      </c>
      <c r="U32451" s="26">
        <v>3.0000000000000001E-3</v>
      </c>
      <c r="V32451" s="26">
        <v>1.23E-2</v>
      </c>
      <c r="W32451" s="26">
        <v>1.84E-2</v>
      </c>
      <c r="X32451" s="26">
        <v>1.14E-2</v>
      </c>
      <c r="Z32451">
        <v>310</v>
      </c>
    </row>
    <row r="32452" spans="1:26" x14ac:dyDescent="0.35">
      <c r="A32452" t="s">
        <v>231</v>
      </c>
      <c r="B32452" t="s">
        <v>2730</v>
      </c>
      <c r="C32452" s="26">
        <v>0.4259</v>
      </c>
      <c r="D32452" s="26">
        <v>0.40739999999999998</v>
      </c>
      <c r="E32452" s="26">
        <v>3.6999999999999998E-2</v>
      </c>
      <c r="F32452" s="26">
        <v>5.5599999999999997E-2</v>
      </c>
      <c r="G32452" s="26">
        <v>1.8499999999999999E-2</v>
      </c>
      <c r="H32452" s="26">
        <v>3.6999999999999998E-2</v>
      </c>
      <c r="I32452" s="26">
        <v>9.2600000000000002E-2</v>
      </c>
      <c r="J32452" s="26">
        <v>1.8499999999999999E-2</v>
      </c>
      <c r="K32452" s="26">
        <v>1.8499999999999999E-2</v>
      </c>
      <c r="L32452" s="26">
        <v>3.6999999999999998E-2</v>
      </c>
      <c r="M32452" s="26">
        <v>5.5599999999999997E-2</v>
      </c>
      <c r="Q32452" s="26">
        <v>1.8499999999999999E-2</v>
      </c>
      <c r="U32452" s="26">
        <v>1.8499999999999999E-2</v>
      </c>
      <c r="V32452" s="26">
        <v>1.8499999999999999E-2</v>
      </c>
      <c r="W32452" s="26">
        <v>1.8499999999999999E-2</v>
      </c>
      <c r="Z32452">
        <v>54</v>
      </c>
    </row>
    <row r="32453" spans="1:26" x14ac:dyDescent="0.35">
      <c r="A32453" s="27" t="s">
        <v>231</v>
      </c>
      <c r="B32453" s="27" t="s">
        <v>2731</v>
      </c>
      <c r="C32453" s="28">
        <v>0.70589999999999997</v>
      </c>
      <c r="D32453" s="28">
        <v>0.17649999999999999</v>
      </c>
      <c r="E32453" s="28">
        <v>5.8799999999999998E-2</v>
      </c>
      <c r="F32453" s="29"/>
      <c r="G32453" s="29"/>
      <c r="H32453" s="29"/>
      <c r="I32453" s="29"/>
      <c r="J32453" s="28">
        <v>5.8799999999999998E-2</v>
      </c>
      <c r="K32453" s="29"/>
      <c r="L32453" s="29"/>
      <c r="M32453" s="29"/>
      <c r="N32453" s="29"/>
      <c r="O32453" s="29"/>
      <c r="P32453" s="29"/>
      <c r="Q32453" s="29"/>
      <c r="R32453" s="28">
        <v>5.8799999999999998E-2</v>
      </c>
      <c r="S32453" s="29"/>
      <c r="T32453" s="29"/>
      <c r="U32453" s="29"/>
      <c r="V32453" s="29"/>
      <c r="W32453" s="29"/>
      <c r="X32453" s="29"/>
      <c r="Y32453" s="29"/>
      <c r="Z32453" s="29" t="s">
        <v>343</v>
      </c>
    </row>
    <row r="32454" spans="1:26" x14ac:dyDescent="0.35">
      <c r="A32454" t="s">
        <v>231</v>
      </c>
      <c r="B32454" t="s">
        <v>2732</v>
      </c>
      <c r="C32454" s="26">
        <v>0.58889999999999998</v>
      </c>
      <c r="D32454" s="26">
        <v>0.24440000000000001</v>
      </c>
      <c r="E32454" s="26">
        <v>4.4400000000000002E-2</v>
      </c>
      <c r="F32454" s="26">
        <v>5.5599999999999997E-2</v>
      </c>
      <c r="G32454" s="26">
        <v>3.3300000000000003E-2</v>
      </c>
      <c r="H32454" s="26">
        <v>2.2200000000000001E-2</v>
      </c>
      <c r="I32454" s="26">
        <v>1.11E-2</v>
      </c>
      <c r="J32454" s="26">
        <v>2.2200000000000001E-2</v>
      </c>
      <c r="K32454" s="26">
        <v>3.3300000000000003E-2</v>
      </c>
      <c r="L32454" s="26">
        <v>1.11E-2</v>
      </c>
      <c r="M32454" s="26">
        <v>3.3300000000000003E-2</v>
      </c>
      <c r="N32454" s="26">
        <v>1.11E-2</v>
      </c>
      <c r="O32454" s="26">
        <v>2.2200000000000001E-2</v>
      </c>
      <c r="P32454" s="26">
        <v>1.11E-2</v>
      </c>
      <c r="Q32454" s="26">
        <v>1.11E-2</v>
      </c>
      <c r="R32454" s="26">
        <v>2.2200000000000001E-2</v>
      </c>
      <c r="U32454" s="26">
        <v>2.2200000000000001E-2</v>
      </c>
      <c r="Z32454">
        <v>90</v>
      </c>
    </row>
    <row r="32455" spans="1:26" x14ac:dyDescent="0.35">
      <c r="A32455" t="s">
        <v>232</v>
      </c>
      <c r="B32455" t="s">
        <v>232</v>
      </c>
      <c r="C32455" s="26">
        <v>0.50360000000000005</v>
      </c>
      <c r="D32455" s="26">
        <v>0.2873</v>
      </c>
      <c r="E32455" s="26">
        <v>7.9000000000000001E-2</v>
      </c>
      <c r="F32455" s="26">
        <v>5.91E-2</v>
      </c>
      <c r="G32455" s="26">
        <v>5.8900000000000001E-2</v>
      </c>
      <c r="H32455" s="26">
        <v>5.3600000000000002E-2</v>
      </c>
      <c r="I32455" s="26">
        <v>4.2000000000000003E-2</v>
      </c>
      <c r="J32455" s="26">
        <v>3.5000000000000003E-2</v>
      </c>
      <c r="K32455" s="26">
        <v>3.1899999999999998E-2</v>
      </c>
      <c r="L32455" s="26">
        <v>2.9499999999999998E-2</v>
      </c>
      <c r="M32455" s="26">
        <v>2.7199999999999998E-2</v>
      </c>
      <c r="N32455" s="26">
        <v>2.2800000000000001E-2</v>
      </c>
      <c r="O32455" s="26">
        <v>2.1100000000000001E-2</v>
      </c>
      <c r="P32455" s="26">
        <v>1.8100000000000002E-2</v>
      </c>
      <c r="Q32455" s="26">
        <v>1.0500000000000001E-2</v>
      </c>
      <c r="R32455" s="26">
        <v>0.01</v>
      </c>
      <c r="S32455" s="26">
        <v>9.4000000000000004E-3</v>
      </c>
      <c r="T32455" s="26">
        <v>9.2999999999999992E-3</v>
      </c>
      <c r="U32455" s="26">
        <v>8.6E-3</v>
      </c>
      <c r="V32455" s="26">
        <v>7.7999999999999996E-3</v>
      </c>
      <c r="W32455" s="26">
        <v>6.0000000000000001E-3</v>
      </c>
      <c r="X32455" s="26">
        <v>5.3E-3</v>
      </c>
      <c r="Y32455" s="26">
        <v>2.0999999999999999E-3</v>
      </c>
      <c r="Z32455">
        <v>2791</v>
      </c>
    </row>
    <row r="32457" spans="1:26" x14ac:dyDescent="0.35">
      <c r="A32457" s="1" t="s">
        <v>2826</v>
      </c>
    </row>
    <row r="32458" spans="1:26" x14ac:dyDescent="0.35">
      <c r="A32458" t="s">
        <v>219</v>
      </c>
      <c r="B32458" t="s">
        <v>305</v>
      </c>
      <c r="C32458" t="s">
        <v>2315</v>
      </c>
      <c r="D32458" t="s">
        <v>2316</v>
      </c>
      <c r="E32458" t="s">
        <v>2317</v>
      </c>
      <c r="F32458" t="s">
        <v>2318</v>
      </c>
      <c r="G32458" t="s">
        <v>2319</v>
      </c>
      <c r="H32458" t="s">
        <v>2320</v>
      </c>
      <c r="I32458" t="s">
        <v>2321</v>
      </c>
      <c r="J32458" t="s">
        <v>2322</v>
      </c>
      <c r="K32458" t="s">
        <v>2323</v>
      </c>
      <c r="L32458" t="s">
        <v>2324</v>
      </c>
      <c r="M32458" t="s">
        <v>2325</v>
      </c>
      <c r="N32458" t="s">
        <v>2326</v>
      </c>
      <c r="O32458" t="s">
        <v>2327</v>
      </c>
      <c r="P32458" t="s">
        <v>2328</v>
      </c>
      <c r="Q32458" t="s">
        <v>2329</v>
      </c>
      <c r="R32458" t="s">
        <v>2330</v>
      </c>
      <c r="S32458" t="s">
        <v>2331</v>
      </c>
      <c r="T32458" t="s">
        <v>2332</v>
      </c>
      <c r="U32458" t="s">
        <v>326</v>
      </c>
      <c r="V32458" t="s">
        <v>2333</v>
      </c>
      <c r="W32458" t="s">
        <v>2334</v>
      </c>
      <c r="X32458" t="s">
        <v>2335</v>
      </c>
      <c r="Y32458" t="s">
        <v>226</v>
      </c>
    </row>
    <row r="32459" spans="1:26" x14ac:dyDescent="0.35">
      <c r="A32459" s="27" t="s">
        <v>227</v>
      </c>
      <c r="B32459" s="27" t="s">
        <v>2730</v>
      </c>
      <c r="C32459" s="28">
        <v>0.4</v>
      </c>
      <c r="D32459" s="28">
        <v>0.25</v>
      </c>
      <c r="E32459" s="28">
        <v>0.45</v>
      </c>
      <c r="F32459" s="28">
        <v>0.35</v>
      </c>
      <c r="G32459" s="28">
        <v>0.05</v>
      </c>
      <c r="H32459" s="29"/>
      <c r="I32459" s="28">
        <v>0.1</v>
      </c>
      <c r="J32459" s="28">
        <v>0.05</v>
      </c>
      <c r="K32459" s="29"/>
      <c r="L32459" s="29"/>
      <c r="M32459" s="29"/>
      <c r="N32459" s="29"/>
      <c r="O32459" s="29"/>
      <c r="P32459" s="29"/>
      <c r="Q32459" s="29"/>
      <c r="R32459" s="29"/>
      <c r="S32459" s="29"/>
      <c r="T32459" s="29"/>
      <c r="U32459" s="29"/>
      <c r="V32459" s="29"/>
      <c r="W32459" s="29"/>
      <c r="X32459" s="29"/>
      <c r="Y32459" s="29" t="s">
        <v>350</v>
      </c>
    </row>
    <row r="32460" spans="1:26" x14ac:dyDescent="0.35">
      <c r="A32460" s="27" t="s">
        <v>227</v>
      </c>
      <c r="B32460" s="27" t="s">
        <v>2731</v>
      </c>
      <c r="C32460" s="28">
        <v>0.77780000000000005</v>
      </c>
      <c r="D32460" s="28">
        <v>0.33329999999999999</v>
      </c>
      <c r="E32460" s="28">
        <v>0.1111</v>
      </c>
      <c r="F32460" s="28">
        <v>0.1111</v>
      </c>
      <c r="G32460" s="29"/>
      <c r="H32460" s="29"/>
      <c r="I32460" s="29"/>
      <c r="J32460" s="29"/>
      <c r="K32460" s="29"/>
      <c r="L32460" s="29"/>
      <c r="M32460" s="29"/>
      <c r="N32460" s="29"/>
      <c r="O32460" s="29"/>
      <c r="P32460" s="29"/>
      <c r="Q32460" s="29"/>
      <c r="R32460" s="29"/>
      <c r="S32460" s="29"/>
      <c r="T32460" s="29"/>
      <c r="U32460" s="29"/>
      <c r="V32460" s="29"/>
      <c r="W32460" s="29"/>
      <c r="X32460" s="29"/>
      <c r="Y32460" s="29" t="s">
        <v>334</v>
      </c>
    </row>
    <row r="32461" spans="1:26" x14ac:dyDescent="0.35">
      <c r="A32461" t="s">
        <v>227</v>
      </c>
      <c r="B32461" t="s">
        <v>2732</v>
      </c>
      <c r="C32461" s="26">
        <v>0.54720000000000002</v>
      </c>
      <c r="D32461" s="26">
        <v>0.22639999999999999</v>
      </c>
      <c r="E32461" s="26">
        <v>0.16980000000000001</v>
      </c>
      <c r="F32461" s="26">
        <v>0.1321</v>
      </c>
      <c r="G32461" s="26">
        <v>9.4299999999999995E-2</v>
      </c>
      <c r="H32461" s="26">
        <v>5.6599999999999998E-2</v>
      </c>
      <c r="I32461" s="26">
        <v>3.7699999999999997E-2</v>
      </c>
      <c r="J32461" s="26">
        <v>9.4299999999999995E-2</v>
      </c>
      <c r="K32461" s="26">
        <v>1.89E-2</v>
      </c>
      <c r="L32461" s="26">
        <v>3.7699999999999997E-2</v>
      </c>
      <c r="M32461" s="26">
        <v>7.5499999999999998E-2</v>
      </c>
      <c r="N32461" s="26">
        <v>0.1132</v>
      </c>
      <c r="O32461" s="26">
        <v>5.6599999999999998E-2</v>
      </c>
      <c r="Q32461" s="26">
        <v>1.89E-2</v>
      </c>
      <c r="R32461" s="26">
        <v>7.5499999999999998E-2</v>
      </c>
      <c r="S32461" s="26">
        <v>1.89E-2</v>
      </c>
      <c r="T32461" s="26">
        <v>3.7699999999999997E-2</v>
      </c>
      <c r="U32461" s="26">
        <v>1.89E-2</v>
      </c>
      <c r="V32461" s="26">
        <v>1.89E-2</v>
      </c>
      <c r="X32461" s="26">
        <v>1.89E-2</v>
      </c>
      <c r="Y32461">
        <v>53</v>
      </c>
    </row>
    <row r="32462" spans="1:26" x14ac:dyDescent="0.35">
      <c r="A32462" t="s">
        <v>228</v>
      </c>
      <c r="B32462" t="s">
        <v>2730</v>
      </c>
      <c r="C32462" s="26">
        <v>0.69799999999999995</v>
      </c>
      <c r="D32462" s="26">
        <v>0.25950000000000001</v>
      </c>
      <c r="E32462" s="26">
        <v>0.25069999999999998</v>
      </c>
      <c r="F32462" s="26">
        <v>6.9199999999999998E-2</v>
      </c>
      <c r="G32462" s="26">
        <v>7.8899999999999998E-2</v>
      </c>
      <c r="H32462" s="26">
        <v>7.6899999999999996E-2</v>
      </c>
      <c r="I32462" s="26">
        <v>3.6900000000000002E-2</v>
      </c>
      <c r="J32462" s="26">
        <v>7.3800000000000004E-2</v>
      </c>
      <c r="K32462" s="26">
        <v>2.18E-2</v>
      </c>
      <c r="L32462" s="26">
        <v>7.0499999999999993E-2</v>
      </c>
      <c r="M32462" s="26">
        <v>5.1900000000000002E-2</v>
      </c>
      <c r="N32462" s="26">
        <v>1.5699999999999999E-2</v>
      </c>
      <c r="O32462" s="26">
        <v>2.4400000000000002E-2</v>
      </c>
      <c r="P32462" s="26">
        <v>5.28E-2</v>
      </c>
      <c r="Q32462" s="26">
        <v>2.6800000000000001E-2</v>
      </c>
      <c r="R32462" s="26">
        <v>2.2700000000000001E-2</v>
      </c>
      <c r="S32462" s="26">
        <v>3.6999999999999998E-2</v>
      </c>
      <c r="T32462" s="26">
        <v>2.87E-2</v>
      </c>
      <c r="U32462" s="26">
        <v>2.3800000000000002E-2</v>
      </c>
      <c r="W32462" s="26">
        <v>4.4000000000000003E-3</v>
      </c>
      <c r="X32462" s="26">
        <v>7.9000000000000008E-3</v>
      </c>
      <c r="Y32462">
        <v>224</v>
      </c>
    </row>
    <row r="32463" spans="1:26" x14ac:dyDescent="0.35">
      <c r="A32463" t="s">
        <v>228</v>
      </c>
      <c r="B32463" t="s">
        <v>2731</v>
      </c>
      <c r="C32463" s="26">
        <v>0.65290000000000004</v>
      </c>
      <c r="D32463" s="26">
        <v>0.2354</v>
      </c>
      <c r="E32463" s="26">
        <v>0.1464</v>
      </c>
      <c r="F32463" s="26">
        <v>0.24199999999999999</v>
      </c>
      <c r="G32463" s="26">
        <v>5.3400000000000003E-2</v>
      </c>
      <c r="H32463" s="26">
        <v>4.7899999999999998E-2</v>
      </c>
      <c r="I32463" s="26">
        <v>1.4500000000000001E-2</v>
      </c>
      <c r="K32463" s="26">
        <v>6.2E-2</v>
      </c>
      <c r="L32463" s="26">
        <v>9.4999999999999998E-3</v>
      </c>
      <c r="M32463" s="26">
        <v>0.15579999999999999</v>
      </c>
      <c r="O32463" s="26">
        <v>6.0100000000000001E-2</v>
      </c>
      <c r="P32463" s="26">
        <v>2.2100000000000002E-2</v>
      </c>
      <c r="Q32463" s="26">
        <v>8.8200000000000001E-2</v>
      </c>
      <c r="V32463" s="26">
        <v>2.9100000000000001E-2</v>
      </c>
      <c r="X32463" s="26">
        <v>2.8500000000000001E-2</v>
      </c>
      <c r="Y32463">
        <v>54</v>
      </c>
    </row>
    <row r="32464" spans="1:26" x14ac:dyDescent="0.35">
      <c r="A32464" t="s">
        <v>228</v>
      </c>
      <c r="B32464" t="s">
        <v>2732</v>
      </c>
      <c r="C32464" s="26">
        <v>0.57609999999999995</v>
      </c>
      <c r="D32464" s="26">
        <v>0.24729999999999999</v>
      </c>
      <c r="E32464" s="26">
        <v>0.2666</v>
      </c>
      <c r="F32464" s="26">
        <v>0.11550000000000001</v>
      </c>
      <c r="G32464" s="26">
        <v>7.6200000000000004E-2</v>
      </c>
      <c r="H32464" s="26">
        <v>4.8300000000000003E-2</v>
      </c>
      <c r="I32464" s="26">
        <v>9.9199999999999997E-2</v>
      </c>
      <c r="J32464" s="26">
        <v>5.96E-2</v>
      </c>
      <c r="K32464" s="26">
        <v>5.3600000000000002E-2</v>
      </c>
      <c r="L32464" s="26">
        <v>6.7599999999999993E-2</v>
      </c>
      <c r="M32464" s="26">
        <v>9.4000000000000004E-3</v>
      </c>
      <c r="N32464" s="26">
        <v>1.1299999999999999E-2</v>
      </c>
      <c r="O32464" s="26">
        <v>2.24E-2</v>
      </c>
      <c r="P32464" s="26">
        <v>6.3899999999999998E-2</v>
      </c>
      <c r="Q32464" s="26">
        <v>8.2000000000000007E-3</v>
      </c>
      <c r="R32464" s="26">
        <v>2.76E-2</v>
      </c>
      <c r="S32464" s="26">
        <v>1.7100000000000001E-2</v>
      </c>
      <c r="T32464" s="26">
        <v>4.65E-2</v>
      </c>
      <c r="U32464" s="26">
        <v>2.7000000000000001E-3</v>
      </c>
      <c r="V32464" s="26">
        <v>2.7000000000000001E-3</v>
      </c>
      <c r="W32464" s="26">
        <v>4.0000000000000001E-3</v>
      </c>
      <c r="X32464" s="26">
        <v>1.7299999999999999E-2</v>
      </c>
      <c r="Y32464">
        <v>342</v>
      </c>
    </row>
    <row r="32465" spans="1:25" x14ac:dyDescent="0.35">
      <c r="A32465" t="s">
        <v>229</v>
      </c>
      <c r="B32465" t="s">
        <v>2730</v>
      </c>
      <c r="C32465" s="26">
        <v>0.57310000000000005</v>
      </c>
      <c r="D32465" s="26">
        <v>0.27400000000000002</v>
      </c>
      <c r="E32465" s="26">
        <v>0.25209999999999999</v>
      </c>
      <c r="F32465" s="26">
        <v>0.14119999999999999</v>
      </c>
      <c r="G32465" s="26">
        <v>4.6800000000000001E-2</v>
      </c>
      <c r="H32465" s="26">
        <v>1.43E-2</v>
      </c>
      <c r="I32465" s="26">
        <v>6.4500000000000002E-2</v>
      </c>
      <c r="J32465" s="26">
        <v>0.1066</v>
      </c>
      <c r="K32465" s="26">
        <v>5.7299999999999997E-2</v>
      </c>
      <c r="L32465" s="26">
        <v>1.9099999999999999E-2</v>
      </c>
      <c r="M32465" s="26">
        <v>6.0199999999999997E-2</v>
      </c>
      <c r="N32465" s="26">
        <v>1.9099999999999999E-2</v>
      </c>
      <c r="O32465" s="26">
        <v>4.07E-2</v>
      </c>
      <c r="P32465" s="26">
        <v>1.4E-3</v>
      </c>
      <c r="Q32465" s="26">
        <v>3.0999999999999999E-3</v>
      </c>
      <c r="S32465" s="26">
        <v>2.7E-2</v>
      </c>
      <c r="U32465" s="26">
        <v>1.84E-2</v>
      </c>
      <c r="W32465" s="26">
        <v>3.6900000000000002E-2</v>
      </c>
      <c r="Y32465">
        <v>137</v>
      </c>
    </row>
    <row r="32466" spans="1:25" x14ac:dyDescent="0.35">
      <c r="A32466" t="s">
        <v>229</v>
      </c>
      <c r="B32466" t="s">
        <v>2731</v>
      </c>
      <c r="C32466" s="26">
        <v>0.45960000000000001</v>
      </c>
      <c r="D32466" s="26">
        <v>0.24709999999999999</v>
      </c>
      <c r="E32466" s="26">
        <v>0.16689999999999999</v>
      </c>
      <c r="F32466" s="26">
        <v>0.30059999999999998</v>
      </c>
      <c r="G32466" s="26">
        <v>7.1999999999999998E-3</v>
      </c>
      <c r="H32466" s="26">
        <v>2.5999999999999999E-3</v>
      </c>
      <c r="I32466" s="26">
        <v>8.9999999999999993E-3</v>
      </c>
      <c r="L32466" s="26">
        <v>8.6800000000000002E-2</v>
      </c>
      <c r="M32466" s="26">
        <v>9.0999999999999998E-2</v>
      </c>
      <c r="N32466" s="26">
        <v>0.15049999999999999</v>
      </c>
      <c r="O32466" s="26">
        <v>8.9999999999999993E-3</v>
      </c>
      <c r="S32466" s="26">
        <v>1.8200000000000001E-2</v>
      </c>
      <c r="Y32466">
        <v>33</v>
      </c>
    </row>
    <row r="32467" spans="1:25" x14ac:dyDescent="0.35">
      <c r="A32467" t="s">
        <v>229</v>
      </c>
      <c r="B32467" t="s">
        <v>2732</v>
      </c>
      <c r="C32467" s="26">
        <v>0.50970000000000004</v>
      </c>
      <c r="D32467" s="26">
        <v>0.154</v>
      </c>
      <c r="E32467" s="26">
        <v>0.27829999999999999</v>
      </c>
      <c r="F32467" s="26">
        <v>0.2437</v>
      </c>
      <c r="G32467" s="26">
        <v>6.9099999999999995E-2</v>
      </c>
      <c r="H32467" s="26">
        <v>2.1700000000000001E-2</v>
      </c>
      <c r="I32467" s="26">
        <v>3.6499999999999998E-2</v>
      </c>
      <c r="J32467" s="26">
        <v>2.0299999999999999E-2</v>
      </c>
      <c r="K32467" s="26">
        <v>3.9E-2</v>
      </c>
      <c r="L32467" s="26">
        <v>3.9E-2</v>
      </c>
      <c r="M32467" s="26">
        <v>1.5800000000000002E-2</v>
      </c>
      <c r="N32467" s="26">
        <v>1.95E-2</v>
      </c>
      <c r="O32467" s="26">
        <v>4.1200000000000001E-2</v>
      </c>
      <c r="P32467" s="26">
        <v>3.4099999999999998E-2</v>
      </c>
      <c r="Q32467" s="26">
        <v>2.1000000000000001E-2</v>
      </c>
      <c r="R32467" s="26">
        <v>1.03E-2</v>
      </c>
      <c r="S32467" s="26">
        <v>3.3799999999999997E-2</v>
      </c>
      <c r="U32467" s="26">
        <v>8.6E-3</v>
      </c>
      <c r="V32467" s="26">
        <v>1.06E-2</v>
      </c>
      <c r="W32467" s="26">
        <v>1.1000000000000001E-3</v>
      </c>
      <c r="Y32467">
        <v>235</v>
      </c>
    </row>
    <row r="32468" spans="1:25" x14ac:dyDescent="0.35">
      <c r="A32468" t="s">
        <v>230</v>
      </c>
      <c r="B32468" t="s">
        <v>2730</v>
      </c>
      <c r="C32468" s="26">
        <v>0.69940000000000002</v>
      </c>
      <c r="D32468" s="26">
        <v>0.36459999999999998</v>
      </c>
      <c r="E32468" s="26">
        <v>0.30470000000000003</v>
      </c>
      <c r="F32468" s="26">
        <v>3.2500000000000001E-2</v>
      </c>
      <c r="G32468" s="26">
        <v>2.3199999999999998E-2</v>
      </c>
      <c r="H32468" s="26">
        <v>0.16950000000000001</v>
      </c>
      <c r="I32468" s="26">
        <v>0.2097</v>
      </c>
      <c r="J32468" s="26">
        <v>0.1023</v>
      </c>
      <c r="K32468" s="26">
        <v>6.08E-2</v>
      </c>
      <c r="L32468" s="26">
        <v>4.02E-2</v>
      </c>
      <c r="M32468" s="26">
        <v>1.72E-2</v>
      </c>
      <c r="N32468" s="26">
        <v>3.73E-2</v>
      </c>
      <c r="O32468" s="26">
        <v>3.09E-2</v>
      </c>
      <c r="P32468" s="26">
        <v>3.8399999999999997E-2</v>
      </c>
      <c r="Q32468" s="26">
        <v>1.4E-3</v>
      </c>
      <c r="R32468" s="26">
        <v>2.8199999999999999E-2</v>
      </c>
      <c r="T32468" s="26">
        <v>2.8199999999999999E-2</v>
      </c>
      <c r="U32468" s="26">
        <v>2.8199999999999999E-2</v>
      </c>
      <c r="X32468" s="26">
        <v>4.4000000000000003E-3</v>
      </c>
      <c r="Y32468">
        <v>133</v>
      </c>
    </row>
    <row r="32469" spans="1:25" x14ac:dyDescent="0.35">
      <c r="A32469" t="s">
        <v>230</v>
      </c>
      <c r="B32469" t="s">
        <v>2731</v>
      </c>
      <c r="C32469" s="26">
        <v>0.50939999999999996</v>
      </c>
      <c r="D32469" s="26">
        <v>0.20269999999999999</v>
      </c>
      <c r="E32469" s="26">
        <v>3.7400000000000003E-2</v>
      </c>
      <c r="F32469" s="26">
        <v>0.25840000000000002</v>
      </c>
      <c r="G32469" s="26">
        <v>2.3900000000000001E-2</v>
      </c>
      <c r="H32469" s="26">
        <v>1.1299999999999999E-2</v>
      </c>
      <c r="I32469" s="26">
        <v>2.4299999999999999E-2</v>
      </c>
      <c r="K32469" s="26">
        <v>0.1166</v>
      </c>
      <c r="L32469" s="26">
        <v>0.1109</v>
      </c>
      <c r="M32469" s="26">
        <v>5.5999999999999999E-3</v>
      </c>
      <c r="S32469" s="26">
        <v>5.5999999999999999E-3</v>
      </c>
      <c r="T32469" s="26">
        <v>1.8700000000000001E-2</v>
      </c>
      <c r="Y32469">
        <v>31</v>
      </c>
    </row>
    <row r="32470" spans="1:25" x14ac:dyDescent="0.35">
      <c r="A32470" t="s">
        <v>230</v>
      </c>
      <c r="B32470" t="s">
        <v>2732</v>
      </c>
      <c r="C32470" s="26">
        <v>0.58479999999999999</v>
      </c>
      <c r="D32470" s="26">
        <v>0.33110000000000001</v>
      </c>
      <c r="E32470" s="26">
        <v>0.31090000000000001</v>
      </c>
      <c r="F32470" s="26">
        <v>0.129</v>
      </c>
      <c r="G32470" s="26">
        <v>0.1268</v>
      </c>
      <c r="H32470" s="26">
        <v>0.16919999999999999</v>
      </c>
      <c r="I32470" s="26">
        <v>2.87E-2</v>
      </c>
      <c r="J32470" s="26">
        <v>6.7699999999999996E-2</v>
      </c>
      <c r="K32470" s="26">
        <v>2.4899999999999999E-2</v>
      </c>
      <c r="L32470" s="26">
        <v>5.67E-2</v>
      </c>
      <c r="M32470" s="26">
        <v>3.2500000000000001E-2</v>
      </c>
      <c r="N32470" s="26">
        <v>5.4899999999999997E-2</v>
      </c>
      <c r="O32470" s="26">
        <v>4.9399999999999999E-2</v>
      </c>
      <c r="P32470" s="26">
        <v>6.1499999999999999E-2</v>
      </c>
      <c r="Q32470" s="26">
        <v>5.7000000000000002E-3</v>
      </c>
      <c r="R32470" s="26">
        <v>2.8999999999999998E-3</v>
      </c>
      <c r="S32470" s="26">
        <v>2.0199999999999999E-2</v>
      </c>
      <c r="T32470" s="26">
        <v>2.7699999999999999E-2</v>
      </c>
      <c r="X32470" s="26">
        <v>3.7000000000000002E-3</v>
      </c>
      <c r="Y32470">
        <v>192</v>
      </c>
    </row>
    <row r="32471" spans="1:25" x14ac:dyDescent="0.35">
      <c r="A32471" t="s">
        <v>231</v>
      </c>
      <c r="B32471" t="s">
        <v>2730</v>
      </c>
      <c r="C32471" s="26">
        <v>0.59379999999999999</v>
      </c>
      <c r="D32471" s="26">
        <v>0.3125</v>
      </c>
      <c r="E32471" s="26">
        <v>0.25</v>
      </c>
      <c r="F32471" s="26">
        <v>0.21879999999999999</v>
      </c>
      <c r="H32471" s="26">
        <v>9.3799999999999994E-2</v>
      </c>
      <c r="I32471" s="26">
        <v>6.25E-2</v>
      </c>
      <c r="J32471" s="26">
        <v>3.1199999999999999E-2</v>
      </c>
      <c r="K32471" s="26">
        <v>0.125</v>
      </c>
      <c r="M32471" s="26">
        <v>3.1199999999999999E-2</v>
      </c>
      <c r="Q32471" s="26">
        <v>3.1199999999999999E-2</v>
      </c>
      <c r="R32471" s="26">
        <v>3.1199999999999999E-2</v>
      </c>
      <c r="Y32471">
        <v>32</v>
      </c>
    </row>
    <row r="32472" spans="1:25" x14ac:dyDescent="0.35">
      <c r="A32472" s="27" t="s">
        <v>231</v>
      </c>
      <c r="B32472" s="27" t="s">
        <v>2731</v>
      </c>
      <c r="C32472" s="28">
        <v>0.4</v>
      </c>
      <c r="D32472" s="28">
        <v>0.4</v>
      </c>
      <c r="E32472" s="29"/>
      <c r="F32472" s="29"/>
      <c r="G32472" s="28">
        <v>0.2</v>
      </c>
      <c r="H32472" s="28">
        <v>0.2</v>
      </c>
      <c r="I32472" s="28">
        <v>0.2</v>
      </c>
      <c r="J32472" s="28">
        <v>0.2</v>
      </c>
      <c r="K32472" s="28">
        <v>0.2</v>
      </c>
      <c r="L32472" s="29"/>
      <c r="M32472" s="29"/>
      <c r="N32472" s="29"/>
      <c r="O32472" s="29"/>
      <c r="P32472" s="29"/>
      <c r="Q32472" s="28">
        <v>0.2</v>
      </c>
      <c r="R32472" s="29"/>
      <c r="S32472" s="29"/>
      <c r="T32472" s="29"/>
      <c r="U32472" s="29"/>
      <c r="V32472" s="29"/>
      <c r="W32472" s="28">
        <v>0.2</v>
      </c>
      <c r="X32472" s="29"/>
      <c r="Y32472" s="29" t="s">
        <v>332</v>
      </c>
    </row>
    <row r="32473" spans="1:25" x14ac:dyDescent="0.35">
      <c r="A32473" t="s">
        <v>231</v>
      </c>
      <c r="B32473" t="s">
        <v>2732</v>
      </c>
      <c r="C32473" s="26">
        <v>0.54049999999999998</v>
      </c>
      <c r="D32473" s="26">
        <v>0.27029999999999998</v>
      </c>
      <c r="E32473" s="26">
        <v>0.18920000000000001</v>
      </c>
      <c r="F32473" s="26">
        <v>0.16220000000000001</v>
      </c>
      <c r="G32473" s="26">
        <v>0.16220000000000001</v>
      </c>
      <c r="H32473" s="26">
        <v>0.1081</v>
      </c>
      <c r="I32473" s="26">
        <v>2.7E-2</v>
      </c>
      <c r="J32473" s="26">
        <v>5.4100000000000002E-2</v>
      </c>
      <c r="K32473" s="26">
        <v>2.7E-2</v>
      </c>
      <c r="L32473" s="26">
        <v>5.4100000000000002E-2</v>
      </c>
      <c r="M32473" s="26">
        <v>5.4100000000000002E-2</v>
      </c>
      <c r="N32473" s="26">
        <v>5.4100000000000002E-2</v>
      </c>
      <c r="O32473" s="26">
        <v>2.7E-2</v>
      </c>
      <c r="P32473" s="26">
        <v>2.7E-2</v>
      </c>
      <c r="Q32473" s="26">
        <v>2.7E-2</v>
      </c>
      <c r="V32473" s="26">
        <v>2.7E-2</v>
      </c>
      <c r="Y32473">
        <v>37</v>
      </c>
    </row>
    <row r="32474" spans="1:25" x14ac:dyDescent="0.35">
      <c r="A32474" t="s">
        <v>232</v>
      </c>
      <c r="B32474" t="s">
        <v>232</v>
      </c>
      <c r="C32474" s="26">
        <v>0.56540000000000001</v>
      </c>
      <c r="D32474" s="26">
        <v>0.25569999999999998</v>
      </c>
      <c r="E32474" s="26">
        <v>0.24279999999999999</v>
      </c>
      <c r="F32474" s="26">
        <v>0.16619999999999999</v>
      </c>
      <c r="G32474" s="26">
        <v>7.5700000000000003E-2</v>
      </c>
      <c r="H32474" s="26">
        <v>6.7299999999999999E-2</v>
      </c>
      <c r="I32474" s="26">
        <v>5.8099999999999999E-2</v>
      </c>
      <c r="J32474" s="26">
        <v>5.79E-2</v>
      </c>
      <c r="K32474" s="26">
        <v>4.7600000000000003E-2</v>
      </c>
      <c r="L32474" s="26">
        <v>4.0399999999999998E-2</v>
      </c>
      <c r="M32474" s="26">
        <v>3.73E-2</v>
      </c>
      <c r="N32474" s="26">
        <v>3.3700000000000001E-2</v>
      </c>
      <c r="O32474" s="26">
        <v>2.92E-2</v>
      </c>
      <c r="P32474" s="26">
        <v>2.6599999999999999E-2</v>
      </c>
      <c r="Q32474" s="26">
        <v>2.06E-2</v>
      </c>
      <c r="R32474" s="26">
        <v>1.9199999999999998E-2</v>
      </c>
      <c r="S32474" s="26">
        <v>1.6299999999999999E-2</v>
      </c>
      <c r="T32474" s="26">
        <v>1.47E-2</v>
      </c>
      <c r="U32474" s="26">
        <v>8.0000000000000002E-3</v>
      </c>
      <c r="V32474" s="26">
        <v>7.9000000000000008E-3</v>
      </c>
      <c r="W32474" s="26">
        <v>7.3000000000000001E-3</v>
      </c>
      <c r="X32474" s="26">
        <v>5.4999999999999997E-3</v>
      </c>
      <c r="Y32474">
        <v>1537</v>
      </c>
    </row>
    <row r="32476" spans="1:25" x14ac:dyDescent="0.35">
      <c r="A32476" s="1" t="s">
        <v>2827</v>
      </c>
    </row>
    <row r="32477" spans="1:25" x14ac:dyDescent="0.35">
      <c r="A32477" t="s">
        <v>219</v>
      </c>
      <c r="B32477" t="s">
        <v>305</v>
      </c>
      <c r="C32477" t="s">
        <v>2351</v>
      </c>
      <c r="D32477" t="s">
        <v>2352</v>
      </c>
      <c r="E32477" t="s">
        <v>2353</v>
      </c>
      <c r="F32477" t="s">
        <v>2354</v>
      </c>
      <c r="G32477" t="s">
        <v>2355</v>
      </c>
      <c r="H32477" t="s">
        <v>281</v>
      </c>
      <c r="I32477" t="s">
        <v>226</v>
      </c>
    </row>
    <row r="32478" spans="1:25" x14ac:dyDescent="0.35">
      <c r="A32478" s="27" t="s">
        <v>227</v>
      </c>
      <c r="B32478" s="27" t="s">
        <v>2730</v>
      </c>
      <c r="C32478" s="28">
        <v>0.61539999999999995</v>
      </c>
      <c r="D32478" s="28">
        <v>0.53849999999999998</v>
      </c>
      <c r="E32478" s="28">
        <v>7.6899999999999996E-2</v>
      </c>
      <c r="F32478" s="29"/>
      <c r="G32478" s="28">
        <v>7.6899999999999996E-2</v>
      </c>
      <c r="H32478" s="29"/>
      <c r="I32478" s="29" t="s">
        <v>341</v>
      </c>
    </row>
    <row r="32479" spans="1:25" x14ac:dyDescent="0.35">
      <c r="A32479" s="27" t="s">
        <v>227</v>
      </c>
      <c r="B32479" s="27" t="s">
        <v>2731</v>
      </c>
      <c r="C32479" s="28">
        <v>0.75</v>
      </c>
      <c r="D32479" s="28">
        <v>0.25</v>
      </c>
      <c r="E32479" s="29"/>
      <c r="F32479" s="29"/>
      <c r="G32479" s="29"/>
      <c r="H32479" s="28">
        <v>0.125</v>
      </c>
      <c r="I32479" s="29" t="s">
        <v>333</v>
      </c>
    </row>
    <row r="32480" spans="1:25" x14ac:dyDescent="0.35">
      <c r="A32480" t="s">
        <v>227</v>
      </c>
      <c r="B32480" t="s">
        <v>2732</v>
      </c>
      <c r="C32480" s="26">
        <v>0.76090000000000002</v>
      </c>
      <c r="D32480" s="26">
        <v>0.26090000000000002</v>
      </c>
      <c r="E32480" s="26">
        <v>8.6999999999999994E-2</v>
      </c>
      <c r="F32480" s="26">
        <v>6.5199999999999994E-2</v>
      </c>
      <c r="G32480" s="26">
        <v>8.6999999999999994E-2</v>
      </c>
      <c r="I32480">
        <v>46</v>
      </c>
    </row>
    <row r="32481" spans="1:10" x14ac:dyDescent="0.35">
      <c r="A32481" t="s">
        <v>228</v>
      </c>
      <c r="B32481" t="s">
        <v>2730</v>
      </c>
      <c r="C32481" s="26">
        <v>0.91100000000000003</v>
      </c>
      <c r="D32481" s="26">
        <v>0.31040000000000001</v>
      </c>
      <c r="E32481" s="26">
        <v>0.1148</v>
      </c>
      <c r="F32481" s="26">
        <v>8.3599999999999994E-2</v>
      </c>
      <c r="G32481" s="26">
        <v>2.1999999999999999E-2</v>
      </c>
      <c r="H32481" s="26">
        <v>6.1000000000000004E-3</v>
      </c>
      <c r="I32481">
        <v>214</v>
      </c>
    </row>
    <row r="32482" spans="1:10" x14ac:dyDescent="0.35">
      <c r="A32482" t="s">
        <v>228</v>
      </c>
      <c r="B32482" t="s">
        <v>2731</v>
      </c>
      <c r="C32482" s="26">
        <v>0.85319999999999996</v>
      </c>
      <c r="D32482" s="26">
        <v>0.33460000000000001</v>
      </c>
      <c r="E32482" s="26">
        <v>8.6499999999999994E-2</v>
      </c>
      <c r="F32482" s="26">
        <v>6.0100000000000001E-2</v>
      </c>
      <c r="I32482">
        <v>46</v>
      </c>
    </row>
    <row r="32483" spans="1:10" x14ac:dyDescent="0.35">
      <c r="A32483" t="s">
        <v>228</v>
      </c>
      <c r="B32483" t="s">
        <v>2732</v>
      </c>
      <c r="C32483" s="26">
        <v>0.83520000000000005</v>
      </c>
      <c r="D32483" s="26">
        <v>0.2681</v>
      </c>
      <c r="E32483" s="26">
        <v>9.06E-2</v>
      </c>
      <c r="F32483" s="26">
        <v>8.4400000000000003E-2</v>
      </c>
      <c r="G32483" s="26">
        <v>4.7199999999999999E-2</v>
      </c>
      <c r="H32483" s="26">
        <v>2.18E-2</v>
      </c>
      <c r="I32483">
        <v>314</v>
      </c>
    </row>
    <row r="32484" spans="1:10" x14ac:dyDescent="0.35">
      <c r="A32484" t="s">
        <v>229</v>
      </c>
      <c r="B32484" t="s">
        <v>2730</v>
      </c>
      <c r="C32484" s="26">
        <v>0.64590000000000003</v>
      </c>
      <c r="D32484" s="26">
        <v>0.40100000000000002</v>
      </c>
      <c r="E32484" s="26">
        <v>0.1197</v>
      </c>
      <c r="F32484" s="26">
        <v>0.13789999999999999</v>
      </c>
      <c r="G32484" s="26">
        <v>2.1399999999999999E-2</v>
      </c>
      <c r="H32484" s="26">
        <v>5.3400000000000003E-2</v>
      </c>
      <c r="I32484">
        <v>119</v>
      </c>
    </row>
    <row r="32485" spans="1:10" x14ac:dyDescent="0.35">
      <c r="A32485" s="27" t="s">
        <v>229</v>
      </c>
      <c r="B32485" s="27" t="s">
        <v>2731</v>
      </c>
      <c r="C32485" s="28">
        <v>0.87219999999999998</v>
      </c>
      <c r="D32485" s="28">
        <v>3.3500000000000002E-2</v>
      </c>
      <c r="E32485" s="28">
        <v>2.6100000000000002E-2</v>
      </c>
      <c r="F32485" s="29"/>
      <c r="G32485" s="29"/>
      <c r="H32485" s="28">
        <v>9.8000000000000004E-2</v>
      </c>
      <c r="I32485" s="29" t="s">
        <v>310</v>
      </c>
    </row>
    <row r="32486" spans="1:10" x14ac:dyDescent="0.35">
      <c r="A32486" t="s">
        <v>229</v>
      </c>
      <c r="B32486" t="s">
        <v>2732</v>
      </c>
      <c r="C32486" s="26">
        <v>0.89049999999999996</v>
      </c>
      <c r="D32486" s="26">
        <v>0.2535</v>
      </c>
      <c r="E32486" s="26">
        <v>0.14599999999999999</v>
      </c>
      <c r="F32486" s="26">
        <v>0.15620000000000001</v>
      </c>
      <c r="G32486" s="26">
        <v>1.14E-2</v>
      </c>
      <c r="H32486" s="26">
        <v>4.0000000000000002E-4</v>
      </c>
      <c r="I32486">
        <v>198</v>
      </c>
    </row>
    <row r="32487" spans="1:10" x14ac:dyDescent="0.35">
      <c r="A32487" t="s">
        <v>230</v>
      </c>
      <c r="B32487" t="s">
        <v>2730</v>
      </c>
      <c r="C32487" s="26">
        <v>0.84789999999999999</v>
      </c>
      <c r="D32487" s="26">
        <v>0.31480000000000002</v>
      </c>
      <c r="E32487" s="26">
        <v>0.15409999999999999</v>
      </c>
      <c r="F32487" s="26">
        <v>0.12870000000000001</v>
      </c>
      <c r="G32487" s="26">
        <v>3.6900000000000002E-2</v>
      </c>
      <c r="I32487">
        <v>125</v>
      </c>
    </row>
    <row r="32488" spans="1:10" x14ac:dyDescent="0.35">
      <c r="A32488" s="27" t="s">
        <v>230</v>
      </c>
      <c r="B32488" s="27" t="s">
        <v>2731</v>
      </c>
      <c r="C32488" s="28">
        <v>0.77659999999999996</v>
      </c>
      <c r="D32488" s="28">
        <v>0.33029999999999998</v>
      </c>
      <c r="E32488" s="28">
        <v>5.9400000000000001E-2</v>
      </c>
      <c r="F32488" s="29"/>
      <c r="G32488" s="29"/>
      <c r="H32488" s="29"/>
      <c r="I32488" s="29" t="s">
        <v>357</v>
      </c>
    </row>
    <row r="32489" spans="1:10" x14ac:dyDescent="0.35">
      <c r="A32489" t="s">
        <v>230</v>
      </c>
      <c r="B32489" t="s">
        <v>2732</v>
      </c>
      <c r="C32489" s="26">
        <v>0.78680000000000005</v>
      </c>
      <c r="D32489" s="26">
        <v>0.43080000000000002</v>
      </c>
      <c r="E32489" s="26">
        <v>0.1116</v>
      </c>
      <c r="F32489" s="26">
        <v>9.98E-2</v>
      </c>
      <c r="G32489" s="26">
        <v>4.4200000000000003E-2</v>
      </c>
      <c r="H32489" s="26">
        <v>3.3E-3</v>
      </c>
      <c r="I32489">
        <v>176</v>
      </c>
    </row>
    <row r="32490" spans="1:10" x14ac:dyDescent="0.35">
      <c r="A32490" s="27" t="s">
        <v>231</v>
      </c>
      <c r="B32490" s="27" t="s">
        <v>2730</v>
      </c>
      <c r="C32490" s="28">
        <v>0.8</v>
      </c>
      <c r="D32490" s="28">
        <v>0.28000000000000003</v>
      </c>
      <c r="E32490" s="28">
        <v>0.08</v>
      </c>
      <c r="F32490" s="29"/>
      <c r="G32490" s="29"/>
      <c r="H32490" s="28">
        <v>0.08</v>
      </c>
      <c r="I32490" s="29" t="s">
        <v>312</v>
      </c>
    </row>
    <row r="32491" spans="1:10" x14ac:dyDescent="0.35">
      <c r="A32491" s="27" t="s">
        <v>231</v>
      </c>
      <c r="B32491" s="27" t="s">
        <v>2731</v>
      </c>
      <c r="C32491" s="28">
        <v>0.6</v>
      </c>
      <c r="D32491" s="28">
        <v>0.6</v>
      </c>
      <c r="E32491" s="29"/>
      <c r="F32491" s="29"/>
      <c r="G32491" s="29"/>
      <c r="H32491" s="29"/>
      <c r="I32491" s="29" t="s">
        <v>332</v>
      </c>
    </row>
    <row r="32492" spans="1:10" x14ac:dyDescent="0.35">
      <c r="A32492" t="s">
        <v>231</v>
      </c>
      <c r="B32492" t="s">
        <v>2732</v>
      </c>
      <c r="C32492" s="26">
        <v>0.72729999999999995</v>
      </c>
      <c r="D32492" s="26">
        <v>0.36359999999999998</v>
      </c>
      <c r="E32492" s="26">
        <v>3.0300000000000001E-2</v>
      </c>
      <c r="F32492" s="26">
        <v>9.0899999999999995E-2</v>
      </c>
      <c r="G32492" s="26">
        <v>9.0899999999999995E-2</v>
      </c>
      <c r="I32492">
        <v>33</v>
      </c>
    </row>
    <row r="32493" spans="1:10" x14ac:dyDescent="0.35">
      <c r="A32493" t="s">
        <v>232</v>
      </c>
      <c r="B32493" t="s">
        <v>232</v>
      </c>
      <c r="C32493" s="26">
        <v>0.79400000000000004</v>
      </c>
      <c r="D32493" s="26">
        <v>0.31730000000000003</v>
      </c>
      <c r="E32493" s="26">
        <v>9.2700000000000005E-2</v>
      </c>
      <c r="F32493" s="26">
        <v>8.4699999999999998E-2</v>
      </c>
      <c r="G32493" s="26">
        <v>3.9399999999999998E-2</v>
      </c>
      <c r="H32493" s="26">
        <v>2.01E-2</v>
      </c>
      <c r="I32493">
        <v>1372</v>
      </c>
    </row>
    <row r="32495" spans="1:10" x14ac:dyDescent="0.35">
      <c r="A32495" s="1" t="s">
        <v>2828</v>
      </c>
    </row>
    <row r="32496" spans="1:10" x14ac:dyDescent="0.35">
      <c r="A32496" t="s">
        <v>219</v>
      </c>
      <c r="B32496" t="s">
        <v>305</v>
      </c>
      <c r="C32496" t="s">
        <v>2371</v>
      </c>
      <c r="D32496" t="s">
        <v>2372</v>
      </c>
      <c r="E32496" t="s">
        <v>2373</v>
      </c>
      <c r="F32496" t="s">
        <v>2374</v>
      </c>
      <c r="G32496" t="s">
        <v>2375</v>
      </c>
      <c r="H32496" t="s">
        <v>2376</v>
      </c>
      <c r="I32496" t="s">
        <v>281</v>
      </c>
      <c r="J32496" t="s">
        <v>226</v>
      </c>
    </row>
    <row r="32497" spans="1:10" x14ac:dyDescent="0.35">
      <c r="A32497" t="s">
        <v>227</v>
      </c>
      <c r="B32497" t="s">
        <v>2730</v>
      </c>
      <c r="C32497" s="26">
        <v>0.74470000000000003</v>
      </c>
      <c r="D32497" s="26">
        <v>0.1489</v>
      </c>
      <c r="E32497" s="26">
        <v>2.1299999999999999E-2</v>
      </c>
      <c r="F32497" s="26">
        <v>4.2599999999999999E-2</v>
      </c>
      <c r="G32497" s="26">
        <v>4.2599999999999999E-2</v>
      </c>
      <c r="J32497">
        <v>47</v>
      </c>
    </row>
    <row r="32498" spans="1:10" x14ac:dyDescent="0.35">
      <c r="A32498" s="27" t="s">
        <v>227</v>
      </c>
      <c r="B32498" s="27" t="s">
        <v>2731</v>
      </c>
      <c r="C32498" s="28">
        <v>0.71430000000000005</v>
      </c>
      <c r="D32498" s="28">
        <v>0.1429</v>
      </c>
      <c r="E32498" s="28">
        <v>9.5200000000000007E-2</v>
      </c>
      <c r="F32498" s="28">
        <v>4.7600000000000003E-2</v>
      </c>
      <c r="G32498" s="29"/>
      <c r="H32498" s="29"/>
      <c r="I32498" s="29"/>
      <c r="J32498" s="29" t="s">
        <v>351</v>
      </c>
    </row>
    <row r="32499" spans="1:10" x14ac:dyDescent="0.35">
      <c r="A32499" t="s">
        <v>227</v>
      </c>
      <c r="B32499" t="s">
        <v>2732</v>
      </c>
      <c r="C32499" s="26">
        <v>0.53759999999999997</v>
      </c>
      <c r="D32499" s="26">
        <v>0.2366</v>
      </c>
      <c r="E32499" s="26">
        <v>6.4500000000000002E-2</v>
      </c>
      <c r="F32499" s="26">
        <v>6.4500000000000002E-2</v>
      </c>
      <c r="G32499" s="26">
        <v>5.3800000000000001E-2</v>
      </c>
      <c r="H32499" s="26">
        <v>4.2999999999999997E-2</v>
      </c>
      <c r="J32499">
        <v>93</v>
      </c>
    </row>
    <row r="32500" spans="1:10" x14ac:dyDescent="0.35">
      <c r="A32500" t="s">
        <v>228</v>
      </c>
      <c r="B32500" t="s">
        <v>2730</v>
      </c>
      <c r="C32500" s="26">
        <v>0.35620000000000002</v>
      </c>
      <c r="D32500" s="26">
        <v>0.2611</v>
      </c>
      <c r="E32500" s="26">
        <v>0.14180000000000001</v>
      </c>
      <c r="F32500" s="26">
        <v>8.9899999999999994E-2</v>
      </c>
      <c r="G32500" s="26">
        <v>8.0500000000000002E-2</v>
      </c>
      <c r="H32500" s="26">
        <v>6.6199999999999995E-2</v>
      </c>
      <c r="I32500" s="26">
        <v>4.3E-3</v>
      </c>
      <c r="J32500">
        <v>360</v>
      </c>
    </row>
    <row r="32501" spans="1:10" x14ac:dyDescent="0.35">
      <c r="A32501" t="s">
        <v>228</v>
      </c>
      <c r="B32501" t="s">
        <v>2731</v>
      </c>
      <c r="C32501" s="26">
        <v>0.32119999999999999</v>
      </c>
      <c r="D32501" s="26">
        <v>0.46410000000000001</v>
      </c>
      <c r="E32501" s="26">
        <v>9.7299999999999998E-2</v>
      </c>
      <c r="F32501" s="26">
        <v>1.9699999999999999E-2</v>
      </c>
      <c r="G32501" s="26">
        <v>7.9299999999999995E-2</v>
      </c>
      <c r="H32501" s="26">
        <v>1.38E-2</v>
      </c>
      <c r="I32501" s="26">
        <v>4.5999999999999999E-3</v>
      </c>
      <c r="J32501">
        <v>96</v>
      </c>
    </row>
    <row r="32502" spans="1:10" x14ac:dyDescent="0.35">
      <c r="A32502" t="s">
        <v>228</v>
      </c>
      <c r="B32502" t="s">
        <v>2732</v>
      </c>
      <c r="C32502" s="26">
        <v>0.35060000000000002</v>
      </c>
      <c r="D32502" s="26">
        <v>0.28649999999999998</v>
      </c>
      <c r="E32502" s="26">
        <v>0.1235</v>
      </c>
      <c r="F32502" s="26">
        <v>8.7999999999999995E-2</v>
      </c>
      <c r="G32502" s="26">
        <v>6.6199999999999995E-2</v>
      </c>
      <c r="H32502" s="26">
        <v>6.7699999999999996E-2</v>
      </c>
      <c r="I32502" s="26">
        <v>1.7600000000000001E-2</v>
      </c>
      <c r="J32502">
        <v>576</v>
      </c>
    </row>
    <row r="32503" spans="1:10" x14ac:dyDescent="0.35">
      <c r="A32503" t="s">
        <v>229</v>
      </c>
      <c r="B32503" t="s">
        <v>2730</v>
      </c>
      <c r="C32503" s="26">
        <v>0.44419999999999998</v>
      </c>
      <c r="D32503" s="26">
        <v>0.26300000000000001</v>
      </c>
      <c r="E32503" s="26">
        <v>6.6799999999999998E-2</v>
      </c>
      <c r="F32503" s="26">
        <v>0.10299999999999999</v>
      </c>
      <c r="G32503" s="26">
        <v>7.0400000000000004E-2</v>
      </c>
      <c r="H32503" s="26">
        <v>3.73E-2</v>
      </c>
      <c r="I32503" s="26">
        <v>1.5299999999999999E-2</v>
      </c>
      <c r="J32503">
        <v>302</v>
      </c>
    </row>
    <row r="32504" spans="1:10" x14ac:dyDescent="0.35">
      <c r="A32504" t="s">
        <v>229</v>
      </c>
      <c r="B32504" t="s">
        <v>2731</v>
      </c>
      <c r="C32504" s="26">
        <v>0.74029999999999996</v>
      </c>
      <c r="D32504" s="26">
        <v>0.1074</v>
      </c>
      <c r="E32504" s="26">
        <v>2.8199999999999999E-2</v>
      </c>
      <c r="F32504" s="26">
        <v>4.4900000000000002E-2</v>
      </c>
      <c r="G32504" s="26">
        <v>1.9400000000000001E-2</v>
      </c>
      <c r="H32504" s="26">
        <v>5.7799999999999997E-2</v>
      </c>
      <c r="I32504" s="26">
        <v>2.0999999999999999E-3</v>
      </c>
      <c r="J32504">
        <v>86</v>
      </c>
    </row>
    <row r="32505" spans="1:10" x14ac:dyDescent="0.35">
      <c r="A32505" t="s">
        <v>229</v>
      </c>
      <c r="B32505" t="s">
        <v>2732</v>
      </c>
      <c r="C32505" s="26">
        <v>0.4743</v>
      </c>
      <c r="D32505" s="26">
        <v>0.31890000000000002</v>
      </c>
      <c r="E32505" s="26">
        <v>6.0699999999999997E-2</v>
      </c>
      <c r="F32505" s="26">
        <v>5.2699999999999997E-2</v>
      </c>
      <c r="G32505" s="26">
        <v>4.3799999999999999E-2</v>
      </c>
      <c r="H32505" s="26">
        <v>4.2099999999999999E-2</v>
      </c>
      <c r="I32505" s="26">
        <v>7.4999999999999997E-3</v>
      </c>
      <c r="J32505">
        <v>507</v>
      </c>
    </row>
    <row r="32506" spans="1:10" x14ac:dyDescent="0.35">
      <c r="A32506" t="s">
        <v>230</v>
      </c>
      <c r="B32506" t="s">
        <v>2730</v>
      </c>
      <c r="C32506" s="26">
        <v>0.3619</v>
      </c>
      <c r="D32506" s="26">
        <v>0.28710000000000002</v>
      </c>
      <c r="E32506" s="26">
        <v>0.14580000000000001</v>
      </c>
      <c r="F32506" s="26">
        <v>5.8099999999999999E-2</v>
      </c>
      <c r="G32506" s="26">
        <v>5.0099999999999999E-2</v>
      </c>
      <c r="H32506" s="26">
        <v>9.69E-2</v>
      </c>
      <c r="J32506">
        <v>197</v>
      </c>
    </row>
    <row r="32507" spans="1:10" x14ac:dyDescent="0.35">
      <c r="A32507" t="s">
        <v>230</v>
      </c>
      <c r="B32507" t="s">
        <v>2731</v>
      </c>
      <c r="C32507" s="26">
        <v>0.66310000000000002</v>
      </c>
      <c r="D32507" s="26">
        <v>8.0100000000000005E-2</v>
      </c>
      <c r="E32507" s="26">
        <v>0.12959999999999999</v>
      </c>
      <c r="F32507" s="26">
        <v>3.5000000000000001E-3</v>
      </c>
      <c r="G32507" s="26">
        <v>4.2099999999999999E-2</v>
      </c>
      <c r="H32507" s="26">
        <v>8.1500000000000003E-2</v>
      </c>
      <c r="J32507">
        <v>50</v>
      </c>
    </row>
    <row r="32508" spans="1:10" x14ac:dyDescent="0.35">
      <c r="A32508" t="s">
        <v>230</v>
      </c>
      <c r="B32508" t="s">
        <v>2732</v>
      </c>
      <c r="C32508" s="26">
        <v>0.36099999999999999</v>
      </c>
      <c r="D32508" s="26">
        <v>0.27660000000000001</v>
      </c>
      <c r="E32508" s="26">
        <v>0.13</v>
      </c>
      <c r="F32508" s="26">
        <v>5.5199999999999999E-2</v>
      </c>
      <c r="G32508" s="26">
        <v>8.6599999999999996E-2</v>
      </c>
      <c r="H32508" s="26">
        <v>6.6500000000000004E-2</v>
      </c>
      <c r="I32508" s="26">
        <v>2.4199999999999999E-2</v>
      </c>
      <c r="J32508">
        <v>313</v>
      </c>
    </row>
    <row r="32509" spans="1:10" x14ac:dyDescent="0.35">
      <c r="A32509" t="s">
        <v>231</v>
      </c>
      <c r="B32509" t="s">
        <v>2730</v>
      </c>
      <c r="C32509" s="26">
        <v>0.58179999999999998</v>
      </c>
      <c r="D32509" s="26">
        <v>0.18179999999999999</v>
      </c>
      <c r="E32509" s="26">
        <v>9.0899999999999995E-2</v>
      </c>
      <c r="F32509" s="26">
        <v>7.2700000000000001E-2</v>
      </c>
      <c r="G32509" s="26">
        <v>1.8200000000000001E-2</v>
      </c>
      <c r="H32509" s="26">
        <v>3.6400000000000002E-2</v>
      </c>
      <c r="I32509" s="26">
        <v>1.8200000000000001E-2</v>
      </c>
      <c r="J32509">
        <v>55</v>
      </c>
    </row>
    <row r="32510" spans="1:10" x14ac:dyDescent="0.35">
      <c r="A32510" s="27" t="s">
        <v>231</v>
      </c>
      <c r="B32510" s="27" t="s">
        <v>2731</v>
      </c>
      <c r="C32510" s="28">
        <v>0.58819999999999995</v>
      </c>
      <c r="D32510" s="28">
        <v>0.23530000000000001</v>
      </c>
      <c r="E32510" s="28">
        <v>5.8799999999999998E-2</v>
      </c>
      <c r="F32510" s="28">
        <v>5.8799999999999998E-2</v>
      </c>
      <c r="G32510" s="28">
        <v>5.8799999999999998E-2</v>
      </c>
      <c r="H32510" s="29"/>
      <c r="I32510" s="29"/>
      <c r="J32510" s="29" t="s">
        <v>343</v>
      </c>
    </row>
    <row r="32511" spans="1:10" x14ac:dyDescent="0.35">
      <c r="A32511" t="s">
        <v>231</v>
      </c>
      <c r="B32511" t="s">
        <v>2732</v>
      </c>
      <c r="C32511" s="26">
        <v>0.64129999999999998</v>
      </c>
      <c r="D32511" s="26">
        <v>9.7799999999999998E-2</v>
      </c>
      <c r="E32511" s="26">
        <v>9.7799999999999998E-2</v>
      </c>
      <c r="F32511" s="26">
        <v>8.6999999999999994E-2</v>
      </c>
      <c r="G32511" s="26">
        <v>5.4300000000000001E-2</v>
      </c>
      <c r="H32511" s="26">
        <v>1.09E-2</v>
      </c>
      <c r="I32511" s="26">
        <v>1.09E-2</v>
      </c>
      <c r="J32511">
        <v>92</v>
      </c>
    </row>
    <row r="32512" spans="1:10" x14ac:dyDescent="0.35">
      <c r="A32512" t="s">
        <v>232</v>
      </c>
      <c r="B32512" t="s">
        <v>232</v>
      </c>
      <c r="C32512" s="26">
        <v>0.50619999999999998</v>
      </c>
      <c r="D32512" s="26">
        <v>0.23180000000000001</v>
      </c>
      <c r="E32512" s="26">
        <v>8.8099999999999998E-2</v>
      </c>
      <c r="F32512" s="26">
        <v>7.0099999999999996E-2</v>
      </c>
      <c r="G32512" s="26">
        <v>5.3699999999999998E-2</v>
      </c>
      <c r="H32512" s="26">
        <v>4.0300000000000002E-2</v>
      </c>
      <c r="I32512" s="26">
        <v>9.7000000000000003E-3</v>
      </c>
      <c r="J32512">
        <v>2812</v>
      </c>
    </row>
    <row r="32514" spans="1:23" x14ac:dyDescent="0.35">
      <c r="A32514" s="1" t="s">
        <v>2829</v>
      </c>
    </row>
    <row r="32515" spans="1:23" x14ac:dyDescent="0.35">
      <c r="A32515" t="s">
        <v>219</v>
      </c>
      <c r="B32515" t="s">
        <v>305</v>
      </c>
      <c r="C32515" t="s">
        <v>2392</v>
      </c>
      <c r="D32515" t="s">
        <v>2393</v>
      </c>
      <c r="E32515" t="s">
        <v>2394</v>
      </c>
      <c r="F32515" t="s">
        <v>2395</v>
      </c>
      <c r="G32515" t="s">
        <v>2396</v>
      </c>
      <c r="H32515" t="s">
        <v>2397</v>
      </c>
      <c r="I32515" t="s">
        <v>281</v>
      </c>
      <c r="J32515" t="s">
        <v>2398</v>
      </c>
      <c r="K32515" t="s">
        <v>2399</v>
      </c>
      <c r="L32515" t="s">
        <v>2400</v>
      </c>
      <c r="M32515" t="s">
        <v>2401</v>
      </c>
      <c r="N32515" t="s">
        <v>2402</v>
      </c>
      <c r="O32515" t="s">
        <v>2403</v>
      </c>
      <c r="P32515" t="s">
        <v>2404</v>
      </c>
      <c r="Q32515" t="s">
        <v>2405</v>
      </c>
      <c r="R32515" t="s">
        <v>2406</v>
      </c>
      <c r="S32515" t="s">
        <v>326</v>
      </c>
      <c r="T32515" t="s">
        <v>2407</v>
      </c>
      <c r="U32515" t="s">
        <v>2408</v>
      </c>
      <c r="V32515" t="s">
        <v>286</v>
      </c>
      <c r="W32515" t="s">
        <v>226</v>
      </c>
    </row>
    <row r="32516" spans="1:23" x14ac:dyDescent="0.35">
      <c r="A32516" t="s">
        <v>227</v>
      </c>
      <c r="B32516" t="s">
        <v>2730</v>
      </c>
      <c r="C32516" s="26">
        <v>0.31909999999999999</v>
      </c>
      <c r="D32516" s="26">
        <v>0.40429999999999999</v>
      </c>
      <c r="E32516" s="26">
        <v>0.10639999999999999</v>
      </c>
      <c r="F32516" s="26">
        <v>0.10639999999999999</v>
      </c>
      <c r="G32516" s="26">
        <v>8.5099999999999995E-2</v>
      </c>
      <c r="H32516" s="26">
        <v>4.2599999999999999E-2</v>
      </c>
      <c r="I32516" s="26">
        <v>2.1299999999999999E-2</v>
      </c>
      <c r="W32516">
        <v>47</v>
      </c>
    </row>
    <row r="32517" spans="1:23" x14ac:dyDescent="0.35">
      <c r="A32517" s="27" t="s">
        <v>227</v>
      </c>
      <c r="B32517" s="27" t="s">
        <v>2731</v>
      </c>
      <c r="C32517" s="28">
        <v>0.38100000000000001</v>
      </c>
      <c r="D32517" s="28">
        <v>0.38100000000000001</v>
      </c>
      <c r="E32517" s="28">
        <v>9.5200000000000007E-2</v>
      </c>
      <c r="F32517" s="28">
        <v>9.5200000000000007E-2</v>
      </c>
      <c r="G32517" s="29"/>
      <c r="H32517" s="28">
        <v>9.5200000000000007E-2</v>
      </c>
      <c r="I32517" s="29"/>
      <c r="J32517" s="29"/>
      <c r="K32517" s="29"/>
      <c r="L32517" s="29"/>
      <c r="M32517" s="29"/>
      <c r="N32517" s="29"/>
      <c r="O32517" s="29"/>
      <c r="P32517" s="29"/>
      <c r="Q32517" s="29"/>
      <c r="R32517" s="29"/>
      <c r="S32517" s="29"/>
      <c r="T32517" s="29"/>
      <c r="U32517" s="29"/>
      <c r="V32517" s="29"/>
      <c r="W32517" s="29" t="s">
        <v>351</v>
      </c>
    </row>
    <row r="32518" spans="1:23" x14ac:dyDescent="0.35">
      <c r="A32518" t="s">
        <v>227</v>
      </c>
      <c r="B32518" t="s">
        <v>2732</v>
      </c>
      <c r="C32518" s="26">
        <v>0.3548</v>
      </c>
      <c r="D32518" s="26">
        <v>0.36559999999999998</v>
      </c>
      <c r="E32518" s="26">
        <v>7.5300000000000006E-2</v>
      </c>
      <c r="F32518" s="26">
        <v>7.5300000000000006E-2</v>
      </c>
      <c r="G32518" s="26">
        <v>0.1183</v>
      </c>
      <c r="H32518" s="26">
        <v>7.5300000000000006E-2</v>
      </c>
      <c r="I32518" s="26">
        <v>1.0800000000000001E-2</v>
      </c>
      <c r="J32518" s="26">
        <v>1.0800000000000001E-2</v>
      </c>
      <c r="K32518" s="26">
        <v>2.1499999999999998E-2</v>
      </c>
      <c r="L32518" s="26">
        <v>2.1499999999999998E-2</v>
      </c>
      <c r="M32518" s="26">
        <v>1.0800000000000001E-2</v>
      </c>
      <c r="S32518" s="26">
        <v>1.0800000000000001E-2</v>
      </c>
      <c r="W32518">
        <v>93</v>
      </c>
    </row>
    <row r="32519" spans="1:23" x14ac:dyDescent="0.35">
      <c r="A32519" t="s">
        <v>228</v>
      </c>
      <c r="B32519" t="s">
        <v>2730</v>
      </c>
      <c r="C32519" s="26">
        <v>0.4375</v>
      </c>
      <c r="D32519" s="26">
        <v>0.2601</v>
      </c>
      <c r="E32519" s="26">
        <v>8.8999999999999996E-2</v>
      </c>
      <c r="F32519" s="26">
        <v>9.6199999999999994E-2</v>
      </c>
      <c r="G32519" s="26">
        <v>5.6099999999999997E-2</v>
      </c>
      <c r="H32519" s="26">
        <v>8.0500000000000002E-2</v>
      </c>
      <c r="I32519" s="26">
        <v>7.6E-3</v>
      </c>
      <c r="J32519" s="26">
        <v>2.5100000000000001E-2</v>
      </c>
      <c r="K32519" s="26">
        <v>1.67E-2</v>
      </c>
      <c r="L32519" s="26">
        <v>2.93E-2</v>
      </c>
      <c r="M32519" s="26">
        <v>7.9000000000000008E-3</v>
      </c>
      <c r="N32519" s="26">
        <v>1.55E-2</v>
      </c>
      <c r="O32519" s="26">
        <v>8.3999999999999995E-3</v>
      </c>
      <c r="P32519" s="26">
        <v>3.8E-3</v>
      </c>
      <c r="S32519" s="26">
        <v>3.5000000000000001E-3</v>
      </c>
      <c r="U32519" s="26">
        <v>2.3999999999999998E-3</v>
      </c>
      <c r="W32519">
        <v>360</v>
      </c>
    </row>
    <row r="32520" spans="1:23" x14ac:dyDescent="0.35">
      <c r="A32520" t="s">
        <v>228</v>
      </c>
      <c r="B32520" t="s">
        <v>2731</v>
      </c>
      <c r="C32520" s="26">
        <v>0.53559999999999997</v>
      </c>
      <c r="D32520" s="26">
        <v>0.18770000000000001</v>
      </c>
      <c r="E32520" s="26">
        <v>9.5500000000000002E-2</v>
      </c>
      <c r="F32520" s="26">
        <v>6.8900000000000003E-2</v>
      </c>
      <c r="G32520" s="26">
        <v>5.2600000000000001E-2</v>
      </c>
      <c r="H32520" s="26">
        <v>5.74E-2</v>
      </c>
      <c r="I32520" s="26">
        <v>4.5999999999999999E-3</v>
      </c>
      <c r="J32520" s="26">
        <v>1.06E-2</v>
      </c>
      <c r="K32520" s="26">
        <v>1.49E-2</v>
      </c>
      <c r="L32520" s="26">
        <v>1.89E-2</v>
      </c>
      <c r="O32520" s="26">
        <v>1.49E-2</v>
      </c>
      <c r="P32520" s="26">
        <v>3.5499999999999997E-2</v>
      </c>
      <c r="R32520" s="26">
        <v>2.18E-2</v>
      </c>
      <c r="U32520" s="26">
        <v>2.9700000000000001E-2</v>
      </c>
      <c r="W32520">
        <v>96</v>
      </c>
    </row>
    <row r="32521" spans="1:23" x14ac:dyDescent="0.35">
      <c r="A32521" t="s">
        <v>228</v>
      </c>
      <c r="B32521" t="s">
        <v>2732</v>
      </c>
      <c r="C32521" s="26">
        <v>0.45400000000000001</v>
      </c>
      <c r="D32521" s="26">
        <v>0.25440000000000002</v>
      </c>
      <c r="E32521" s="26">
        <v>9.6000000000000002E-2</v>
      </c>
      <c r="F32521" s="26">
        <v>0.1109</v>
      </c>
      <c r="G32521" s="26">
        <v>7.0099999999999996E-2</v>
      </c>
      <c r="H32521" s="26">
        <v>5.8099999999999999E-2</v>
      </c>
      <c r="I32521" s="26">
        <v>1.84E-2</v>
      </c>
      <c r="J32521" s="26">
        <v>9.9000000000000008E-3</v>
      </c>
      <c r="K32521" s="26">
        <v>1.1599999999999999E-2</v>
      </c>
      <c r="L32521" s="26">
        <v>7.4000000000000003E-3</v>
      </c>
      <c r="M32521" s="26">
        <v>8.6E-3</v>
      </c>
      <c r="N32521" s="26">
        <v>2.3999999999999998E-3</v>
      </c>
      <c r="O32521" s="26">
        <v>1.5100000000000001E-2</v>
      </c>
      <c r="P32521" s="26">
        <v>1.4200000000000001E-2</v>
      </c>
      <c r="Q32521" s="26">
        <v>6.4000000000000003E-3</v>
      </c>
      <c r="R32521" s="26">
        <v>3.5000000000000001E-3</v>
      </c>
      <c r="S32521" s="26">
        <v>3.5999999999999999E-3</v>
      </c>
      <c r="T32521" s="26">
        <v>2E-3</v>
      </c>
      <c r="U32521" s="26">
        <v>4.0000000000000001E-3</v>
      </c>
      <c r="V32521" s="26">
        <v>8.2000000000000007E-3</v>
      </c>
      <c r="W32521">
        <v>576</v>
      </c>
    </row>
    <row r="32522" spans="1:23" x14ac:dyDescent="0.35">
      <c r="A32522" t="s">
        <v>229</v>
      </c>
      <c r="B32522" t="s">
        <v>2730</v>
      </c>
      <c r="C32522" s="26">
        <v>0.41660000000000003</v>
      </c>
      <c r="D32522" s="26">
        <v>0.29020000000000001</v>
      </c>
      <c r="E32522" s="26">
        <v>0.1037</v>
      </c>
      <c r="F32522" s="26">
        <v>8.5300000000000001E-2</v>
      </c>
      <c r="G32522" s="26">
        <v>5.3800000000000001E-2</v>
      </c>
      <c r="H32522" s="26">
        <v>8.5800000000000001E-2</v>
      </c>
      <c r="I32522" s="26">
        <v>2.1499999999999998E-2</v>
      </c>
      <c r="J32522" s="26">
        <v>3.5999999999999999E-3</v>
      </c>
      <c r="K32522" s="26">
        <v>1.95E-2</v>
      </c>
      <c r="M32522" s="26">
        <v>1.01E-2</v>
      </c>
      <c r="O32522" s="26">
        <v>2.9999999999999997E-4</v>
      </c>
      <c r="P32522" s="26">
        <v>2.9999999999999997E-4</v>
      </c>
      <c r="Q32522" s="26">
        <v>8.9999999999999993E-3</v>
      </c>
      <c r="U32522" s="26">
        <v>2.9999999999999997E-4</v>
      </c>
      <c r="V32522" s="26">
        <v>2.3999999999999998E-3</v>
      </c>
      <c r="W32522">
        <v>302</v>
      </c>
    </row>
    <row r="32523" spans="1:23" x14ac:dyDescent="0.35">
      <c r="A32523" t="s">
        <v>229</v>
      </c>
      <c r="B32523" t="s">
        <v>2731</v>
      </c>
      <c r="C32523" s="26">
        <v>0.42470000000000002</v>
      </c>
      <c r="D32523" s="26">
        <v>0.35070000000000001</v>
      </c>
      <c r="E32523" s="26">
        <v>0.11169999999999999</v>
      </c>
      <c r="F32523" s="26">
        <v>0.1454</v>
      </c>
      <c r="G32523" s="26">
        <v>7.9100000000000004E-2</v>
      </c>
      <c r="I32523" s="26">
        <v>3.0499999999999999E-2</v>
      </c>
      <c r="O32523" s="26">
        <v>4.0000000000000001E-3</v>
      </c>
      <c r="W32523">
        <v>86</v>
      </c>
    </row>
    <row r="32524" spans="1:23" x14ac:dyDescent="0.35">
      <c r="A32524" t="s">
        <v>229</v>
      </c>
      <c r="B32524" t="s">
        <v>2732</v>
      </c>
      <c r="C32524" s="26">
        <v>0.40960000000000002</v>
      </c>
      <c r="D32524" s="26">
        <v>0.38600000000000001</v>
      </c>
      <c r="E32524" s="26">
        <v>7.9000000000000001E-2</v>
      </c>
      <c r="F32524" s="26">
        <v>6.5100000000000005E-2</v>
      </c>
      <c r="G32524" s="26">
        <v>4.8300000000000003E-2</v>
      </c>
      <c r="H32524" s="26">
        <v>5.3800000000000001E-2</v>
      </c>
      <c r="I32524" s="26">
        <v>1.6400000000000001E-2</v>
      </c>
      <c r="J32524" s="26">
        <v>1.0500000000000001E-2</v>
      </c>
      <c r="K32524" s="26">
        <v>1.34E-2</v>
      </c>
      <c r="L32524" s="26">
        <v>5.4000000000000003E-3</v>
      </c>
      <c r="M32524" s="26">
        <v>1.5E-3</v>
      </c>
      <c r="N32524" s="26">
        <v>1.78E-2</v>
      </c>
      <c r="O32524" s="26">
        <v>5.1999999999999998E-3</v>
      </c>
      <c r="P32524" s="26">
        <v>5.0000000000000001E-3</v>
      </c>
      <c r="Q32524" s="26">
        <v>5.0000000000000001E-3</v>
      </c>
      <c r="R32524" s="26">
        <v>3.8999999999999998E-3</v>
      </c>
      <c r="S32524" s="26">
        <v>1.6000000000000001E-3</v>
      </c>
      <c r="V32524" s="26">
        <v>6.9999999999999999E-4</v>
      </c>
      <c r="W32524">
        <v>506</v>
      </c>
    </row>
    <row r="32525" spans="1:23" x14ac:dyDescent="0.35">
      <c r="A32525" t="s">
        <v>230</v>
      </c>
      <c r="B32525" t="s">
        <v>2730</v>
      </c>
      <c r="C32525" s="26">
        <v>0.37790000000000001</v>
      </c>
      <c r="D32525" s="26">
        <v>0.2475</v>
      </c>
      <c r="E32525" s="26">
        <v>0.17</v>
      </c>
      <c r="F32525" s="26">
        <v>0.1229</v>
      </c>
      <c r="G32525" s="26">
        <v>0.104</v>
      </c>
      <c r="H32525" s="26">
        <v>4.2500000000000003E-2</v>
      </c>
      <c r="I32525" s="26">
        <v>8.3999999999999995E-3</v>
      </c>
      <c r="J32525" s="26">
        <v>2.8000000000000001E-2</v>
      </c>
      <c r="K32525" s="26">
        <v>2.2700000000000001E-2</v>
      </c>
      <c r="L32525" s="26">
        <v>1.3100000000000001E-2</v>
      </c>
      <c r="M32525" s="26">
        <v>5.7000000000000002E-3</v>
      </c>
      <c r="N32525" s="26">
        <v>3.56E-2</v>
      </c>
      <c r="O32525" s="26">
        <v>3.85E-2</v>
      </c>
      <c r="P32525" s="26">
        <v>1.6899999999999998E-2</v>
      </c>
      <c r="U32525" s="26">
        <v>1.6899999999999998E-2</v>
      </c>
      <c r="W32525">
        <v>197</v>
      </c>
    </row>
    <row r="32526" spans="1:23" x14ac:dyDescent="0.35">
      <c r="A32526" t="s">
        <v>230</v>
      </c>
      <c r="B32526" t="s">
        <v>2731</v>
      </c>
      <c r="C32526" s="26">
        <v>0.51619999999999999</v>
      </c>
      <c r="D32526" s="26">
        <v>0.35239999999999999</v>
      </c>
      <c r="E32526" s="26">
        <v>3.5299999999999998E-2</v>
      </c>
      <c r="F32526" s="26">
        <v>4.65E-2</v>
      </c>
      <c r="G32526" s="26">
        <v>5.4199999999999998E-2</v>
      </c>
      <c r="J32526" s="26">
        <v>1.18E-2</v>
      </c>
      <c r="L32526" s="26">
        <v>1.18E-2</v>
      </c>
      <c r="M32526" s="26">
        <v>3.5000000000000001E-3</v>
      </c>
      <c r="N32526" s="26">
        <v>1.18E-2</v>
      </c>
      <c r="O32526" s="26">
        <v>1.18E-2</v>
      </c>
      <c r="R32526" s="26">
        <v>1.18E-2</v>
      </c>
      <c r="U32526" s="26">
        <v>3.5000000000000001E-3</v>
      </c>
      <c r="W32526">
        <v>50</v>
      </c>
    </row>
    <row r="32527" spans="1:23" x14ac:dyDescent="0.35">
      <c r="A32527" t="s">
        <v>230</v>
      </c>
      <c r="B32527" t="s">
        <v>2732</v>
      </c>
      <c r="C32527" s="26">
        <v>0.38869999999999999</v>
      </c>
      <c r="D32527" s="26">
        <v>0.36370000000000002</v>
      </c>
      <c r="E32527" s="26">
        <v>8.7599999999999997E-2</v>
      </c>
      <c r="F32527" s="26">
        <v>4.6199999999999998E-2</v>
      </c>
      <c r="G32527" s="26">
        <v>7.3499999999999996E-2</v>
      </c>
      <c r="H32527" s="26">
        <v>5.3999999999999999E-2</v>
      </c>
      <c r="I32527" s="26">
        <v>1.34E-2</v>
      </c>
      <c r="J32527" s="26">
        <v>4.1399999999999999E-2</v>
      </c>
      <c r="K32527" s="26">
        <v>2.3099999999999999E-2</v>
      </c>
      <c r="L32527" s="26">
        <v>1.4800000000000001E-2</v>
      </c>
      <c r="M32527" s="26">
        <v>2.8999999999999998E-3</v>
      </c>
      <c r="N32527" s="26">
        <v>1.0800000000000001E-2</v>
      </c>
      <c r="O32527" s="26">
        <v>1.0800000000000001E-2</v>
      </c>
      <c r="P32527" s="26">
        <v>1.5E-3</v>
      </c>
      <c r="Q32527" s="26">
        <v>1.5E-3</v>
      </c>
      <c r="R32527" s="26">
        <v>9.2999999999999992E-3</v>
      </c>
      <c r="U32527" s="26">
        <v>2.8E-3</v>
      </c>
      <c r="V32527" s="26">
        <v>1.5E-3</v>
      </c>
      <c r="W32527">
        <v>313</v>
      </c>
    </row>
    <row r="32528" spans="1:23" x14ac:dyDescent="0.35">
      <c r="A32528" t="s">
        <v>231</v>
      </c>
      <c r="B32528" t="s">
        <v>2730</v>
      </c>
      <c r="C32528" s="26">
        <v>0.36359999999999998</v>
      </c>
      <c r="D32528" s="26">
        <v>0.32729999999999998</v>
      </c>
      <c r="E32528" s="26">
        <v>0.18179999999999999</v>
      </c>
      <c r="F32528" s="26">
        <v>0.14549999999999999</v>
      </c>
      <c r="G32528" s="26">
        <v>9.0899999999999995E-2</v>
      </c>
      <c r="H32528" s="26">
        <v>5.45E-2</v>
      </c>
      <c r="I32528" s="26">
        <v>1.8200000000000001E-2</v>
      </c>
      <c r="L32528" s="26">
        <v>1.8200000000000001E-2</v>
      </c>
      <c r="W32528">
        <v>55</v>
      </c>
    </row>
    <row r="32529" spans="1:23" x14ac:dyDescent="0.35">
      <c r="A32529" s="27" t="s">
        <v>231</v>
      </c>
      <c r="B32529" s="27" t="s">
        <v>2731</v>
      </c>
      <c r="C32529" s="28">
        <v>0.47060000000000002</v>
      </c>
      <c r="D32529" s="28">
        <v>0.23530000000000001</v>
      </c>
      <c r="E32529" s="28">
        <v>0.17649999999999999</v>
      </c>
      <c r="F32529" s="28">
        <v>0.1176</v>
      </c>
      <c r="G32529" s="28">
        <v>5.8799999999999998E-2</v>
      </c>
      <c r="H32529" s="28">
        <v>5.8799999999999998E-2</v>
      </c>
      <c r="I32529" s="29"/>
      <c r="J32529" s="28">
        <v>5.8799999999999998E-2</v>
      </c>
      <c r="K32529" s="29"/>
      <c r="L32529" s="29"/>
      <c r="M32529" s="28">
        <v>5.8799999999999998E-2</v>
      </c>
      <c r="N32529" s="29"/>
      <c r="O32529" s="29"/>
      <c r="P32529" s="29"/>
      <c r="Q32529" s="29"/>
      <c r="R32529" s="29"/>
      <c r="S32529" s="29"/>
      <c r="T32529" s="29"/>
      <c r="U32529" s="29"/>
      <c r="V32529" s="29"/>
      <c r="W32529" s="29" t="s">
        <v>343</v>
      </c>
    </row>
    <row r="32530" spans="1:23" x14ac:dyDescent="0.35">
      <c r="A32530" t="s">
        <v>231</v>
      </c>
      <c r="B32530" t="s">
        <v>2732</v>
      </c>
      <c r="C32530" s="26">
        <v>0.54349999999999998</v>
      </c>
      <c r="D32530" s="26">
        <v>0.33700000000000002</v>
      </c>
      <c r="E32530" s="26">
        <v>3.2599999999999997E-2</v>
      </c>
      <c r="F32530" s="26">
        <v>3.2599999999999997E-2</v>
      </c>
      <c r="G32530" s="26">
        <v>4.3499999999999997E-2</v>
      </c>
      <c r="H32530" s="26">
        <v>3.2599999999999997E-2</v>
      </c>
      <c r="I32530" s="26">
        <v>1.09E-2</v>
      </c>
      <c r="M32530" s="26">
        <v>1.09E-2</v>
      </c>
      <c r="T32530" s="26">
        <v>1.09E-2</v>
      </c>
      <c r="W32530">
        <v>92</v>
      </c>
    </row>
    <row r="32531" spans="1:23" x14ac:dyDescent="0.35">
      <c r="A32531" t="s">
        <v>232</v>
      </c>
      <c r="B32531" t="s">
        <v>232</v>
      </c>
      <c r="C32531" s="26">
        <v>0.42699999999999999</v>
      </c>
      <c r="D32531" s="26">
        <v>0.3271</v>
      </c>
      <c r="E32531" s="26">
        <v>9.3799999999999994E-2</v>
      </c>
      <c r="F32531" s="26">
        <v>8.3500000000000005E-2</v>
      </c>
      <c r="G32531" s="26">
        <v>6.6000000000000003E-2</v>
      </c>
      <c r="H32531" s="26">
        <v>5.57E-2</v>
      </c>
      <c r="I32531" s="26">
        <v>1.43E-2</v>
      </c>
      <c r="J32531" s="26">
        <v>1.0999999999999999E-2</v>
      </c>
      <c r="K32531" s="26">
        <v>1.0500000000000001E-2</v>
      </c>
      <c r="L32531" s="26">
        <v>8.8999999999999999E-3</v>
      </c>
      <c r="M32531" s="26">
        <v>7.1999999999999998E-3</v>
      </c>
      <c r="N32531" s="26">
        <v>6.3E-3</v>
      </c>
      <c r="O32531" s="26">
        <v>5.4000000000000003E-3</v>
      </c>
      <c r="P32531" s="26">
        <v>3.8999999999999998E-3</v>
      </c>
      <c r="Q32531" s="26">
        <v>2.3999999999999998E-3</v>
      </c>
      <c r="R32531" s="26">
        <v>2.0999999999999999E-3</v>
      </c>
      <c r="S32531" s="26">
        <v>1.9E-3</v>
      </c>
      <c r="T32531" s="26">
        <v>1.9E-3</v>
      </c>
      <c r="U32531" s="26">
        <v>1.8E-3</v>
      </c>
      <c r="V32531" s="26">
        <v>1.2999999999999999E-3</v>
      </c>
      <c r="W32531">
        <v>2811</v>
      </c>
    </row>
    <row r="32533" spans="1:23" x14ac:dyDescent="0.35">
      <c r="A32533" s="1" t="s">
        <v>2830</v>
      </c>
    </row>
    <row r="32534" spans="1:23" x14ac:dyDescent="0.35">
      <c r="A32534" t="s">
        <v>219</v>
      </c>
      <c r="B32534" t="s">
        <v>305</v>
      </c>
      <c r="C32534" t="s">
        <v>2424</v>
      </c>
      <c r="D32534" t="s">
        <v>2425</v>
      </c>
      <c r="E32534" t="s">
        <v>2426</v>
      </c>
      <c r="F32534" t="s">
        <v>2427</v>
      </c>
      <c r="G32534" t="s">
        <v>2428</v>
      </c>
      <c r="H32534" t="s">
        <v>286</v>
      </c>
      <c r="I32534" t="s">
        <v>226</v>
      </c>
    </row>
    <row r="32535" spans="1:23" x14ac:dyDescent="0.35">
      <c r="A32535" s="27" t="s">
        <v>227</v>
      </c>
      <c r="B32535" s="27" t="s">
        <v>2730</v>
      </c>
      <c r="C32535" s="28">
        <v>0.2</v>
      </c>
      <c r="D32535" s="29"/>
      <c r="E32535" s="28">
        <v>0.2</v>
      </c>
      <c r="F32535" s="28">
        <v>0.4</v>
      </c>
      <c r="G32535" s="29"/>
      <c r="H32535" s="28">
        <v>0.2</v>
      </c>
      <c r="I32535" s="29" t="s">
        <v>332</v>
      </c>
    </row>
    <row r="32536" spans="1:23" x14ac:dyDescent="0.35">
      <c r="A32536" s="27" t="s">
        <v>227</v>
      </c>
      <c r="B32536" s="27" t="s">
        <v>2731</v>
      </c>
      <c r="C32536" s="28">
        <v>0.33329999999999999</v>
      </c>
      <c r="D32536" s="29"/>
      <c r="E32536" s="28">
        <v>0.66669999999999996</v>
      </c>
      <c r="F32536" s="29"/>
      <c r="G32536" s="29"/>
      <c r="H32536" s="29"/>
      <c r="I32536" s="29" t="s">
        <v>315</v>
      </c>
    </row>
    <row r="32537" spans="1:23" x14ac:dyDescent="0.35">
      <c r="A32537" s="27" t="s">
        <v>227</v>
      </c>
      <c r="B32537" s="27" t="s">
        <v>2732</v>
      </c>
      <c r="C32537" s="28">
        <v>0.57140000000000002</v>
      </c>
      <c r="D32537" s="28">
        <v>0.1905</v>
      </c>
      <c r="E32537" s="29"/>
      <c r="F32537" s="28">
        <v>0.1429</v>
      </c>
      <c r="G32537" s="28">
        <v>4.7600000000000003E-2</v>
      </c>
      <c r="H32537" s="28">
        <v>4.7600000000000003E-2</v>
      </c>
      <c r="I32537" s="29" t="s">
        <v>351</v>
      </c>
    </row>
    <row r="32538" spans="1:23" x14ac:dyDescent="0.35">
      <c r="A32538" t="s">
        <v>228</v>
      </c>
      <c r="B32538" t="s">
        <v>2730</v>
      </c>
      <c r="C32538" s="26">
        <v>0.48670000000000002</v>
      </c>
      <c r="D32538" s="26">
        <v>0.2757</v>
      </c>
      <c r="E32538" s="26">
        <v>0.1792</v>
      </c>
      <c r="F32538" s="26">
        <v>2.87E-2</v>
      </c>
      <c r="G32538" s="26">
        <v>2.64E-2</v>
      </c>
      <c r="H32538" s="26">
        <v>3.3E-3</v>
      </c>
      <c r="I32538">
        <v>174</v>
      </c>
    </row>
    <row r="32539" spans="1:23" x14ac:dyDescent="0.35">
      <c r="A32539" t="s">
        <v>228</v>
      </c>
      <c r="B32539" t="s">
        <v>2731</v>
      </c>
      <c r="C32539" s="26">
        <v>0.45479999999999998</v>
      </c>
      <c r="D32539" s="26">
        <v>0.32890000000000003</v>
      </c>
      <c r="E32539" s="26">
        <v>0.10150000000000001</v>
      </c>
      <c r="F32539" s="26">
        <v>1.47E-2</v>
      </c>
      <c r="H32539" s="26">
        <v>0.10009999999999999</v>
      </c>
      <c r="I32539">
        <v>31</v>
      </c>
    </row>
    <row r="32540" spans="1:23" x14ac:dyDescent="0.35">
      <c r="A32540" t="s">
        <v>228</v>
      </c>
      <c r="B32540" t="s">
        <v>2732</v>
      </c>
      <c r="C32540" s="26">
        <v>0.52290000000000003</v>
      </c>
      <c r="D32540" s="26">
        <v>0.23419999999999999</v>
      </c>
      <c r="E32540" s="26">
        <v>0.14030000000000001</v>
      </c>
      <c r="F32540" s="26">
        <v>9.0200000000000002E-2</v>
      </c>
      <c r="G32540" s="26">
        <v>1.8E-3</v>
      </c>
      <c r="H32540" s="26">
        <v>1.06E-2</v>
      </c>
      <c r="I32540">
        <v>235</v>
      </c>
    </row>
    <row r="32541" spans="1:23" x14ac:dyDescent="0.35">
      <c r="A32541" t="s">
        <v>229</v>
      </c>
      <c r="B32541" t="s">
        <v>2730</v>
      </c>
      <c r="C32541" s="26">
        <v>0.6008</v>
      </c>
      <c r="D32541" s="26">
        <v>0.1938</v>
      </c>
      <c r="E32541" s="26">
        <v>0.1676</v>
      </c>
      <c r="F32541" s="26">
        <v>5.4999999999999997E-3</v>
      </c>
      <c r="G32541" s="26">
        <v>3.2300000000000002E-2</v>
      </c>
      <c r="I32541">
        <v>81</v>
      </c>
    </row>
    <row r="32542" spans="1:23" x14ac:dyDescent="0.35">
      <c r="A32542" s="27" t="s">
        <v>229</v>
      </c>
      <c r="B32542" s="27" t="s">
        <v>2731</v>
      </c>
      <c r="C32542" s="28">
        <v>0.24399999999999999</v>
      </c>
      <c r="D32542" s="28">
        <v>0.1067</v>
      </c>
      <c r="E32542" s="28">
        <v>0.56079999999999997</v>
      </c>
      <c r="F32542" s="28">
        <v>5.4100000000000002E-2</v>
      </c>
      <c r="G32542" s="29"/>
      <c r="H32542" s="28">
        <v>3.44E-2</v>
      </c>
      <c r="I32542" s="29" t="s">
        <v>347</v>
      </c>
    </row>
    <row r="32543" spans="1:23" x14ac:dyDescent="0.35">
      <c r="A32543" t="s">
        <v>229</v>
      </c>
      <c r="B32543" t="s">
        <v>2732</v>
      </c>
      <c r="C32543" s="26">
        <v>0.52510000000000001</v>
      </c>
      <c r="D32543" s="26">
        <v>0.2271</v>
      </c>
      <c r="E32543" s="26">
        <v>0.1978</v>
      </c>
      <c r="F32543" s="26">
        <v>6.9999999999999999E-4</v>
      </c>
      <c r="G32543" s="26">
        <v>1.9699999999999999E-2</v>
      </c>
      <c r="H32543" s="26">
        <v>2.9499999999999998E-2</v>
      </c>
      <c r="I32543">
        <v>128</v>
      </c>
    </row>
    <row r="32544" spans="1:23" x14ac:dyDescent="0.35">
      <c r="A32544" t="s">
        <v>230</v>
      </c>
      <c r="B32544" t="s">
        <v>2730</v>
      </c>
      <c r="C32544" s="26">
        <v>0.46739999999999998</v>
      </c>
      <c r="D32544" s="26">
        <v>0.34720000000000001</v>
      </c>
      <c r="E32544" s="26">
        <v>0.17810000000000001</v>
      </c>
      <c r="F32544" s="26">
        <v>7.3000000000000001E-3</v>
      </c>
      <c r="I32544">
        <v>83</v>
      </c>
    </row>
    <row r="32545" spans="1:11" x14ac:dyDescent="0.35">
      <c r="A32545" s="27" t="s">
        <v>230</v>
      </c>
      <c r="B32545" s="27" t="s">
        <v>2731</v>
      </c>
      <c r="C32545" s="28">
        <v>0.5494</v>
      </c>
      <c r="D32545" s="28">
        <v>0.3589</v>
      </c>
      <c r="E32545" s="29"/>
      <c r="F32545" s="28">
        <v>4.58E-2</v>
      </c>
      <c r="G32545" s="28">
        <v>4.58E-2</v>
      </c>
      <c r="H32545" s="29"/>
      <c r="I32545" s="29" t="s">
        <v>349</v>
      </c>
    </row>
    <row r="32546" spans="1:11" x14ac:dyDescent="0.35">
      <c r="A32546" t="s">
        <v>230</v>
      </c>
      <c r="B32546" t="s">
        <v>2732</v>
      </c>
      <c r="C32546" s="26">
        <v>0.52669999999999995</v>
      </c>
      <c r="D32546" s="26">
        <v>0.22869999999999999</v>
      </c>
      <c r="E32546" s="26">
        <v>0.17480000000000001</v>
      </c>
      <c r="F32546" s="26">
        <v>1.14E-2</v>
      </c>
      <c r="G32546" s="26">
        <v>3.0700000000000002E-2</v>
      </c>
      <c r="H32546" s="26">
        <v>2.76E-2</v>
      </c>
      <c r="I32546">
        <v>141</v>
      </c>
    </row>
    <row r="32547" spans="1:11" x14ac:dyDescent="0.35">
      <c r="A32547" s="27" t="s">
        <v>231</v>
      </c>
      <c r="B32547" s="27" t="s">
        <v>2730</v>
      </c>
      <c r="C32547" s="28">
        <v>0.58330000000000004</v>
      </c>
      <c r="D32547" s="28">
        <v>0.16669999999999999</v>
      </c>
      <c r="E32547" s="28">
        <v>8.3299999999999999E-2</v>
      </c>
      <c r="F32547" s="28">
        <v>8.3299999999999999E-2</v>
      </c>
      <c r="G32547" s="28">
        <v>8.3299999999999999E-2</v>
      </c>
      <c r="H32547" s="29"/>
      <c r="I32547" s="29" t="s">
        <v>342</v>
      </c>
    </row>
    <row r="32548" spans="1:11" x14ac:dyDescent="0.35">
      <c r="A32548" s="27" t="s">
        <v>231</v>
      </c>
      <c r="B32548" s="27" t="s">
        <v>2731</v>
      </c>
      <c r="C32548" s="28">
        <v>0.66669999999999996</v>
      </c>
      <c r="D32548" s="28">
        <v>0.33329999999999999</v>
      </c>
      <c r="E32548" s="29"/>
      <c r="F32548" s="29"/>
      <c r="G32548" s="29"/>
      <c r="H32548" s="29"/>
      <c r="I32548" s="29" t="s">
        <v>315</v>
      </c>
    </row>
    <row r="32549" spans="1:11" x14ac:dyDescent="0.35">
      <c r="A32549" s="27" t="s">
        <v>231</v>
      </c>
      <c r="B32549" s="27" t="s">
        <v>2732</v>
      </c>
      <c r="C32549" s="28">
        <v>0.56520000000000004</v>
      </c>
      <c r="D32549" s="28">
        <v>0.21740000000000001</v>
      </c>
      <c r="E32549" s="28">
        <v>0.13039999999999999</v>
      </c>
      <c r="F32549" s="28">
        <v>4.3499999999999997E-2</v>
      </c>
      <c r="G32549" s="28">
        <v>4.3499999999999997E-2</v>
      </c>
      <c r="H32549" s="29"/>
      <c r="I32549" s="29" t="s">
        <v>328</v>
      </c>
    </row>
    <row r="32550" spans="1:11" x14ac:dyDescent="0.35">
      <c r="A32550" t="s">
        <v>232</v>
      </c>
      <c r="B32550" t="s">
        <v>232</v>
      </c>
      <c r="C32550" s="26">
        <v>0.53090000000000004</v>
      </c>
      <c r="D32550" s="26">
        <v>0.22140000000000001</v>
      </c>
      <c r="E32550" s="26">
        <v>0.15010000000000001</v>
      </c>
      <c r="F32550" s="26">
        <v>5.1700000000000003E-2</v>
      </c>
      <c r="G32550" s="26">
        <v>2.8199999999999999E-2</v>
      </c>
      <c r="H32550" s="26">
        <v>1.7500000000000002E-2</v>
      </c>
      <c r="I32550">
        <v>981</v>
      </c>
    </row>
    <row r="32552" spans="1:11" x14ac:dyDescent="0.35">
      <c r="A32552" s="1" t="s">
        <v>2831</v>
      </c>
    </row>
    <row r="32553" spans="1:11" x14ac:dyDescent="0.35">
      <c r="A32553" t="s">
        <v>219</v>
      </c>
      <c r="B32553" t="s">
        <v>305</v>
      </c>
      <c r="C32553" t="s">
        <v>2444</v>
      </c>
      <c r="D32553" t="s">
        <v>2445</v>
      </c>
      <c r="E32553" t="s">
        <v>2446</v>
      </c>
      <c r="F32553" t="s">
        <v>2447</v>
      </c>
      <c r="G32553" t="s">
        <v>286</v>
      </c>
      <c r="H32553" t="s">
        <v>326</v>
      </c>
      <c r="I32553" t="s">
        <v>2448</v>
      </c>
      <c r="J32553" t="s">
        <v>2449</v>
      </c>
      <c r="K32553" t="s">
        <v>226</v>
      </c>
    </row>
    <row r="32554" spans="1:11" x14ac:dyDescent="0.35">
      <c r="A32554" s="27" t="s">
        <v>227</v>
      </c>
      <c r="B32554" s="27" t="s">
        <v>2730</v>
      </c>
      <c r="C32554" s="28">
        <v>0.5</v>
      </c>
      <c r="D32554" s="29"/>
      <c r="E32554" s="29"/>
      <c r="F32554" s="28">
        <v>0.5</v>
      </c>
      <c r="G32554" s="29"/>
      <c r="H32554" s="29"/>
      <c r="I32554" s="29"/>
      <c r="J32554" s="29"/>
      <c r="K32554" s="29" t="s">
        <v>314</v>
      </c>
    </row>
    <row r="32555" spans="1:11" x14ac:dyDescent="0.35">
      <c r="A32555" s="27" t="s">
        <v>227</v>
      </c>
      <c r="B32555" s="27" t="s">
        <v>2732</v>
      </c>
      <c r="C32555" s="28">
        <v>0.5</v>
      </c>
      <c r="D32555" s="28">
        <v>0.25</v>
      </c>
      <c r="E32555" s="28">
        <v>0.25</v>
      </c>
      <c r="F32555" s="29"/>
      <c r="G32555" s="29"/>
      <c r="H32555" s="29"/>
      <c r="I32555" s="29"/>
      <c r="J32555" s="29"/>
      <c r="K32555" s="29" t="s">
        <v>337</v>
      </c>
    </row>
    <row r="32556" spans="1:11" x14ac:dyDescent="0.35">
      <c r="A32556" s="27" t="s">
        <v>228</v>
      </c>
      <c r="B32556" s="27" t="s">
        <v>2730</v>
      </c>
      <c r="C32556" s="28">
        <v>0.41610000000000003</v>
      </c>
      <c r="D32556" s="28">
        <v>0.372</v>
      </c>
      <c r="E32556" s="28">
        <v>3.5000000000000003E-2</v>
      </c>
      <c r="F32556" s="28">
        <v>7.9000000000000001E-2</v>
      </c>
      <c r="G32556" s="28">
        <v>0.51400000000000001</v>
      </c>
      <c r="H32556" s="29"/>
      <c r="I32556" s="29"/>
      <c r="J32556" s="29"/>
      <c r="K32556" s="29" t="s">
        <v>339</v>
      </c>
    </row>
    <row r="32557" spans="1:11" x14ac:dyDescent="0.35">
      <c r="A32557" s="27" t="s">
        <v>228</v>
      </c>
      <c r="B32557" s="27" t="s">
        <v>2731</v>
      </c>
      <c r="C32557" s="28">
        <v>1</v>
      </c>
      <c r="D32557" s="29"/>
      <c r="E32557" s="29"/>
      <c r="F32557" s="29"/>
      <c r="G32557" s="29"/>
      <c r="H32557" s="29"/>
      <c r="I32557" s="29"/>
      <c r="J32557" s="29"/>
      <c r="K32557" s="29" t="s">
        <v>331</v>
      </c>
    </row>
    <row r="32558" spans="1:11" x14ac:dyDescent="0.35">
      <c r="A32558" s="27" t="s">
        <v>228</v>
      </c>
      <c r="B32558" s="27" t="s">
        <v>2732</v>
      </c>
      <c r="C32558" s="28">
        <v>0.69369999999999998</v>
      </c>
      <c r="D32558" s="28">
        <v>0.22009999999999999</v>
      </c>
      <c r="E32558" s="28">
        <v>1.9300000000000001E-2</v>
      </c>
      <c r="F32558" s="29"/>
      <c r="G32558" s="29"/>
      <c r="H32558" s="28">
        <v>4.4699999999999997E-2</v>
      </c>
      <c r="I32558" s="28">
        <v>2.2200000000000001E-2</v>
      </c>
      <c r="J32558" s="28">
        <v>1.2999999999999999E-2</v>
      </c>
      <c r="K32558" s="29" t="s">
        <v>341</v>
      </c>
    </row>
    <row r="32559" spans="1:11" x14ac:dyDescent="0.35">
      <c r="A32559" s="27" t="s">
        <v>229</v>
      </c>
      <c r="B32559" s="27" t="s">
        <v>2730</v>
      </c>
      <c r="C32559" s="28">
        <v>0.1123</v>
      </c>
      <c r="D32559" s="29"/>
      <c r="E32559" s="28">
        <v>0.88770000000000004</v>
      </c>
      <c r="F32559" s="29"/>
      <c r="G32559" s="29"/>
      <c r="H32559" s="29"/>
      <c r="I32559" s="29"/>
      <c r="J32559" s="29"/>
      <c r="K32559" s="29" t="s">
        <v>315</v>
      </c>
    </row>
    <row r="32560" spans="1:11" x14ac:dyDescent="0.35">
      <c r="A32560" s="27" t="s">
        <v>229</v>
      </c>
      <c r="B32560" s="27" t="s">
        <v>2731</v>
      </c>
      <c r="C32560" s="29"/>
      <c r="D32560" s="29"/>
      <c r="E32560" s="29"/>
      <c r="F32560" s="28">
        <v>1</v>
      </c>
      <c r="G32560" s="29"/>
      <c r="H32560" s="29"/>
      <c r="I32560" s="29"/>
      <c r="J32560" s="29"/>
      <c r="K32560" s="29" t="s">
        <v>331</v>
      </c>
    </row>
    <row r="32561" spans="1:17" x14ac:dyDescent="0.35">
      <c r="A32561" s="27" t="s">
        <v>229</v>
      </c>
      <c r="B32561" s="27" t="s">
        <v>2732</v>
      </c>
      <c r="C32561" s="28">
        <v>0.96350000000000002</v>
      </c>
      <c r="D32561" s="29"/>
      <c r="E32561" s="28">
        <v>3.6499999999999998E-2</v>
      </c>
      <c r="F32561" s="29"/>
      <c r="G32561" s="29"/>
      <c r="H32561" s="29"/>
      <c r="I32561" s="29"/>
      <c r="J32561" s="29"/>
      <c r="K32561" s="29" t="s">
        <v>314</v>
      </c>
    </row>
    <row r="32562" spans="1:17" x14ac:dyDescent="0.35">
      <c r="A32562" s="27" t="s">
        <v>230</v>
      </c>
      <c r="B32562" s="27" t="s">
        <v>2730</v>
      </c>
      <c r="C32562" s="28">
        <v>0.33329999999999999</v>
      </c>
      <c r="D32562" s="28">
        <v>0.66669999999999996</v>
      </c>
      <c r="E32562" s="29"/>
      <c r="F32562" s="29"/>
      <c r="G32562" s="29"/>
      <c r="H32562" s="29"/>
      <c r="I32562" s="29"/>
      <c r="J32562" s="29"/>
      <c r="K32562" s="29" t="s">
        <v>315</v>
      </c>
    </row>
    <row r="32563" spans="1:17" x14ac:dyDescent="0.35">
      <c r="A32563" s="27" t="s">
        <v>230</v>
      </c>
      <c r="B32563" s="27" t="s">
        <v>2731</v>
      </c>
      <c r="C32563" s="28">
        <v>1</v>
      </c>
      <c r="D32563" s="28">
        <v>0.5</v>
      </c>
      <c r="E32563" s="29"/>
      <c r="F32563" s="29"/>
      <c r="G32563" s="29"/>
      <c r="H32563" s="29"/>
      <c r="I32563" s="29"/>
      <c r="J32563" s="29"/>
      <c r="K32563" s="29" t="s">
        <v>314</v>
      </c>
    </row>
    <row r="32564" spans="1:17" x14ac:dyDescent="0.35">
      <c r="A32564" s="27" t="s">
        <v>230</v>
      </c>
      <c r="B32564" s="27" t="s">
        <v>2732</v>
      </c>
      <c r="C32564" s="28">
        <v>0.96840000000000004</v>
      </c>
      <c r="D32564" s="29"/>
      <c r="E32564" s="28">
        <v>3.1600000000000003E-2</v>
      </c>
      <c r="F32564" s="28">
        <v>3.1600000000000003E-2</v>
      </c>
      <c r="G32564" s="29"/>
      <c r="H32564" s="29"/>
      <c r="I32564" s="29"/>
      <c r="J32564" s="28">
        <v>3.1600000000000003E-2</v>
      </c>
      <c r="K32564" s="29" t="s">
        <v>335</v>
      </c>
    </row>
    <row r="32565" spans="1:17" x14ac:dyDescent="0.35">
      <c r="A32565" s="27" t="s">
        <v>231</v>
      </c>
      <c r="B32565" s="27" t="s">
        <v>2730</v>
      </c>
      <c r="C32565" s="28">
        <v>1</v>
      </c>
      <c r="D32565" s="29"/>
      <c r="E32565" s="29"/>
      <c r="F32565" s="29"/>
      <c r="G32565" s="29"/>
      <c r="H32565" s="29"/>
      <c r="I32565" s="29"/>
      <c r="J32565" s="29"/>
      <c r="K32565" s="29" t="s">
        <v>314</v>
      </c>
    </row>
    <row r="32566" spans="1:17" x14ac:dyDescent="0.35">
      <c r="A32566" s="27" t="s">
        <v>231</v>
      </c>
      <c r="B32566" s="27" t="s">
        <v>2732</v>
      </c>
      <c r="C32566" s="28">
        <v>0.5</v>
      </c>
      <c r="D32566" s="28">
        <v>0.5</v>
      </c>
      <c r="E32566" s="29"/>
      <c r="F32566" s="29"/>
      <c r="G32566" s="29"/>
      <c r="H32566" s="29"/>
      <c r="I32566" s="29"/>
      <c r="J32566" s="29"/>
      <c r="K32566" s="29" t="s">
        <v>314</v>
      </c>
    </row>
    <row r="32567" spans="1:17" x14ac:dyDescent="0.35">
      <c r="A32567" t="s">
        <v>232</v>
      </c>
      <c r="B32567" t="s">
        <v>232</v>
      </c>
      <c r="C32567" s="26">
        <v>0.63229999999999997</v>
      </c>
      <c r="D32567" s="26">
        <v>0.2006</v>
      </c>
      <c r="E32567" s="26">
        <v>9.1700000000000004E-2</v>
      </c>
      <c r="F32567" s="26">
        <v>6.2600000000000003E-2</v>
      </c>
      <c r="G32567" s="26">
        <v>3.4299999999999997E-2</v>
      </c>
      <c r="H32567" s="26">
        <v>8.0000000000000002E-3</v>
      </c>
      <c r="I32567" s="26">
        <v>4.0000000000000001E-3</v>
      </c>
      <c r="J32567" s="26">
        <v>3.5999999999999999E-3</v>
      </c>
      <c r="K32567">
        <v>48</v>
      </c>
    </row>
    <row r="32569" spans="1:17" x14ac:dyDescent="0.35">
      <c r="A32569" s="1" t="s">
        <v>2832</v>
      </c>
    </row>
    <row r="32570" spans="1:17" x14ac:dyDescent="0.35">
      <c r="A32570" t="s">
        <v>219</v>
      </c>
      <c r="B32570" t="s">
        <v>305</v>
      </c>
      <c r="C32570" t="s">
        <v>2465</v>
      </c>
      <c r="D32570" t="s">
        <v>2466</v>
      </c>
      <c r="E32570" t="s">
        <v>2467</v>
      </c>
      <c r="F32570" t="s">
        <v>2468</v>
      </c>
      <c r="G32570" t="s">
        <v>2469</v>
      </c>
      <c r="H32570" t="s">
        <v>2470</v>
      </c>
      <c r="I32570" t="s">
        <v>550</v>
      </c>
      <c r="J32570" t="s">
        <v>281</v>
      </c>
      <c r="K32570" t="s">
        <v>2471</v>
      </c>
      <c r="L32570" t="s">
        <v>2472</v>
      </c>
      <c r="M32570" t="s">
        <v>2473</v>
      </c>
      <c r="N32570" t="s">
        <v>2474</v>
      </c>
      <c r="O32570" t="s">
        <v>286</v>
      </c>
      <c r="P32570" t="s">
        <v>2475</v>
      </c>
      <c r="Q32570" t="s">
        <v>226</v>
      </c>
    </row>
    <row r="32571" spans="1:17" x14ac:dyDescent="0.35">
      <c r="A32571" t="s">
        <v>227</v>
      </c>
      <c r="B32571" t="s">
        <v>2730</v>
      </c>
      <c r="C32571" s="26">
        <v>0.2979</v>
      </c>
      <c r="D32571" s="26">
        <v>0.10639999999999999</v>
      </c>
      <c r="E32571" s="26">
        <v>0.1489</v>
      </c>
      <c r="F32571" s="26">
        <v>8.5099999999999995E-2</v>
      </c>
      <c r="G32571" s="26">
        <v>6.3799999999999996E-2</v>
      </c>
      <c r="H32571" s="26">
        <v>0.12770000000000001</v>
      </c>
      <c r="I32571" s="26">
        <v>0.1489</v>
      </c>
      <c r="J32571" s="26">
        <v>0.1489</v>
      </c>
      <c r="K32571" s="26">
        <v>4.2599999999999999E-2</v>
      </c>
      <c r="L32571" s="26">
        <v>6.3799999999999996E-2</v>
      </c>
      <c r="M32571" s="26">
        <v>8.5099999999999995E-2</v>
      </c>
      <c r="N32571" s="26">
        <v>4.2599999999999999E-2</v>
      </c>
      <c r="Q32571">
        <v>47</v>
      </c>
    </row>
    <row r="32572" spans="1:17" x14ac:dyDescent="0.35">
      <c r="A32572" s="27" t="s">
        <v>227</v>
      </c>
      <c r="B32572" s="27" t="s">
        <v>2731</v>
      </c>
      <c r="C32572" s="28">
        <v>0.33329999999999999</v>
      </c>
      <c r="D32572" s="28">
        <v>0.1905</v>
      </c>
      <c r="E32572" s="28">
        <v>9.5200000000000007E-2</v>
      </c>
      <c r="F32572" s="28">
        <v>9.5200000000000007E-2</v>
      </c>
      <c r="G32572" s="28">
        <v>9.5200000000000007E-2</v>
      </c>
      <c r="H32572" s="28">
        <v>0.1429</v>
      </c>
      <c r="I32572" s="28">
        <v>9.5200000000000007E-2</v>
      </c>
      <c r="J32572" s="28">
        <v>0.1429</v>
      </c>
      <c r="K32572" s="28">
        <v>9.5200000000000007E-2</v>
      </c>
      <c r="L32572" s="29"/>
      <c r="M32572" s="29"/>
      <c r="N32572" s="28">
        <v>4.7600000000000003E-2</v>
      </c>
      <c r="O32572" s="29"/>
      <c r="P32572" s="29"/>
      <c r="Q32572" s="29" t="s">
        <v>351</v>
      </c>
    </row>
    <row r="32573" spans="1:17" x14ac:dyDescent="0.35">
      <c r="A32573" t="s">
        <v>227</v>
      </c>
      <c r="B32573" t="s">
        <v>2732</v>
      </c>
      <c r="C32573" s="26">
        <v>0.34410000000000002</v>
      </c>
      <c r="D32573" s="26">
        <v>0.19350000000000001</v>
      </c>
      <c r="E32573" s="26">
        <v>0.2258</v>
      </c>
      <c r="F32573" s="26">
        <v>0.20430000000000001</v>
      </c>
      <c r="G32573" s="26">
        <v>0.15049999999999999</v>
      </c>
      <c r="H32573" s="26">
        <v>0.13980000000000001</v>
      </c>
      <c r="I32573" s="26">
        <v>0.1075</v>
      </c>
      <c r="J32573" s="26">
        <v>4.2999999999999997E-2</v>
      </c>
      <c r="K32573" s="26">
        <v>5.3800000000000001E-2</v>
      </c>
      <c r="L32573" s="26">
        <v>3.2300000000000002E-2</v>
      </c>
      <c r="M32573" s="26">
        <v>6.4500000000000002E-2</v>
      </c>
      <c r="N32573" s="26">
        <v>1.0800000000000001E-2</v>
      </c>
      <c r="Q32573">
        <v>93</v>
      </c>
    </row>
    <row r="32574" spans="1:17" x14ac:dyDescent="0.35">
      <c r="A32574" t="s">
        <v>228</v>
      </c>
      <c r="B32574" t="s">
        <v>2730</v>
      </c>
      <c r="C32574" s="26">
        <v>0.40670000000000001</v>
      </c>
      <c r="D32574" s="26">
        <v>0.2109</v>
      </c>
      <c r="E32574" s="26">
        <v>0.15709999999999999</v>
      </c>
      <c r="F32574" s="26">
        <v>0.10580000000000001</v>
      </c>
      <c r="G32574" s="26">
        <v>8.7800000000000003E-2</v>
      </c>
      <c r="H32574" s="26">
        <v>0.22359999999999999</v>
      </c>
      <c r="I32574" s="26">
        <v>0.17299999999999999</v>
      </c>
      <c r="J32574" s="26">
        <v>6.9500000000000006E-2</v>
      </c>
      <c r="K32574" s="26">
        <v>1.5299999999999999E-2</v>
      </c>
      <c r="L32574" s="26">
        <v>2.92E-2</v>
      </c>
      <c r="M32574" s="26">
        <v>2.8400000000000002E-2</v>
      </c>
      <c r="N32574" s="26">
        <v>3.78E-2</v>
      </c>
      <c r="O32574" s="26">
        <v>1.6000000000000001E-3</v>
      </c>
      <c r="Q32574">
        <v>360</v>
      </c>
    </row>
    <row r="32575" spans="1:17" x14ac:dyDescent="0.35">
      <c r="A32575" t="s">
        <v>228</v>
      </c>
      <c r="B32575" t="s">
        <v>2731</v>
      </c>
      <c r="C32575" s="26">
        <v>0.56000000000000005</v>
      </c>
      <c r="D32575" s="26">
        <v>0.21820000000000001</v>
      </c>
      <c r="E32575" s="26">
        <v>0.15690000000000001</v>
      </c>
      <c r="F32575" s="26">
        <v>8.5199999999999998E-2</v>
      </c>
      <c r="G32575" s="26">
        <v>9.1399999999999995E-2</v>
      </c>
      <c r="H32575" s="26">
        <v>0.1676</v>
      </c>
      <c r="I32575" s="26">
        <v>0.13930000000000001</v>
      </c>
      <c r="J32575" s="26">
        <v>0.1072</v>
      </c>
      <c r="K32575" s="26">
        <v>1.49E-2</v>
      </c>
      <c r="L32575" s="26">
        <v>2.18E-2</v>
      </c>
      <c r="M32575" s="26">
        <v>3.6700000000000003E-2</v>
      </c>
      <c r="N32575" s="26">
        <v>4.1300000000000003E-2</v>
      </c>
      <c r="O32575" s="26">
        <v>3.0999999999999999E-3</v>
      </c>
      <c r="Q32575">
        <v>96</v>
      </c>
    </row>
    <row r="32576" spans="1:17" x14ac:dyDescent="0.35">
      <c r="A32576" t="s">
        <v>228</v>
      </c>
      <c r="B32576" t="s">
        <v>2732</v>
      </c>
      <c r="C32576" s="26">
        <v>0.48699999999999999</v>
      </c>
      <c r="D32576" s="26">
        <v>0.21510000000000001</v>
      </c>
      <c r="E32576" s="26">
        <v>0.18060000000000001</v>
      </c>
      <c r="F32576" s="26">
        <v>0.1239</v>
      </c>
      <c r="G32576" s="26">
        <v>0.13550000000000001</v>
      </c>
      <c r="H32576" s="26">
        <v>0.16919999999999999</v>
      </c>
      <c r="I32576" s="26">
        <v>0.12039999999999999</v>
      </c>
      <c r="J32576" s="26">
        <v>7.2900000000000006E-2</v>
      </c>
      <c r="K32576" s="26">
        <v>3.4799999999999998E-2</v>
      </c>
      <c r="L32576" s="26">
        <v>4.2900000000000001E-2</v>
      </c>
      <c r="M32576" s="26">
        <v>3.04E-2</v>
      </c>
      <c r="N32576" s="26">
        <v>3.6900000000000002E-2</v>
      </c>
      <c r="O32576" s="26">
        <v>3.5000000000000001E-3</v>
      </c>
      <c r="Q32576">
        <v>576</v>
      </c>
    </row>
    <row r="32577" spans="1:17" x14ac:dyDescent="0.35">
      <c r="A32577" t="s">
        <v>229</v>
      </c>
      <c r="B32577" t="s">
        <v>2730</v>
      </c>
      <c r="C32577" s="26">
        <v>0.38619999999999999</v>
      </c>
      <c r="D32577" s="26">
        <v>0.21690000000000001</v>
      </c>
      <c r="E32577" s="26">
        <v>0.1867</v>
      </c>
      <c r="F32577" s="26">
        <v>0.17330000000000001</v>
      </c>
      <c r="G32577" s="26">
        <v>0.1661</v>
      </c>
      <c r="H32577" s="26">
        <v>0.12959999999999999</v>
      </c>
      <c r="I32577" s="26">
        <v>8.43E-2</v>
      </c>
      <c r="J32577" s="26">
        <v>9.7100000000000006E-2</v>
      </c>
      <c r="K32577" s="26">
        <v>2.8899999999999999E-2</v>
      </c>
      <c r="L32577" s="26">
        <v>5.6500000000000002E-2</v>
      </c>
      <c r="M32577" s="26">
        <v>2.3300000000000001E-2</v>
      </c>
      <c r="N32577" s="26">
        <v>6.0000000000000001E-3</v>
      </c>
      <c r="O32577" s="26">
        <v>2.3999999999999998E-3</v>
      </c>
      <c r="P32577" s="26">
        <v>4.7999999999999996E-3</v>
      </c>
      <c r="Q32577">
        <v>302</v>
      </c>
    </row>
    <row r="32578" spans="1:17" x14ac:dyDescent="0.35">
      <c r="A32578" t="s">
        <v>229</v>
      </c>
      <c r="B32578" t="s">
        <v>2731</v>
      </c>
      <c r="C32578" s="26">
        <v>0.5071</v>
      </c>
      <c r="D32578" s="26">
        <v>0.2535</v>
      </c>
      <c r="E32578" s="26">
        <v>0.26850000000000002</v>
      </c>
      <c r="F32578" s="26">
        <v>0.1789</v>
      </c>
      <c r="G32578" s="26">
        <v>0.19120000000000001</v>
      </c>
      <c r="H32578" s="26">
        <v>0.1678</v>
      </c>
      <c r="I32578" s="26">
        <v>6.7400000000000002E-2</v>
      </c>
      <c r="J32578" s="26">
        <v>4.4699999999999997E-2</v>
      </c>
      <c r="K32578" s="26">
        <v>4.2900000000000001E-2</v>
      </c>
      <c r="L32578" s="26">
        <v>3.9699999999999999E-2</v>
      </c>
      <c r="M32578" s="26">
        <v>8.5199999999999998E-2</v>
      </c>
      <c r="N32578" s="26">
        <v>4.0500000000000001E-2</v>
      </c>
      <c r="Q32578">
        <v>86</v>
      </c>
    </row>
    <row r="32579" spans="1:17" x14ac:dyDescent="0.35">
      <c r="A32579" t="s">
        <v>229</v>
      </c>
      <c r="B32579" t="s">
        <v>2732</v>
      </c>
      <c r="C32579" s="26">
        <v>0.442</v>
      </c>
      <c r="D32579" s="26">
        <v>0.24959999999999999</v>
      </c>
      <c r="E32579" s="26">
        <v>0.23930000000000001</v>
      </c>
      <c r="F32579" s="26">
        <v>0.1915</v>
      </c>
      <c r="G32579" s="26">
        <v>0.17019999999999999</v>
      </c>
      <c r="H32579" s="26">
        <v>0.1336</v>
      </c>
      <c r="I32579" s="26">
        <v>0.1321</v>
      </c>
      <c r="J32579" s="26">
        <v>7.6700000000000004E-2</v>
      </c>
      <c r="K32579" s="26">
        <v>3.0800000000000001E-2</v>
      </c>
      <c r="L32579" s="26">
        <v>5.0900000000000001E-2</v>
      </c>
      <c r="M32579" s="26">
        <v>0.05</v>
      </c>
      <c r="N32579" s="26">
        <v>5.3699999999999998E-2</v>
      </c>
      <c r="O32579" s="26">
        <v>6.9999999999999999E-4</v>
      </c>
      <c r="Q32579">
        <v>507</v>
      </c>
    </row>
    <row r="32580" spans="1:17" x14ac:dyDescent="0.35">
      <c r="A32580" t="s">
        <v>230</v>
      </c>
      <c r="B32580" t="s">
        <v>2730</v>
      </c>
      <c r="C32580" s="26">
        <v>0.4143</v>
      </c>
      <c r="D32580" s="26">
        <v>0.32200000000000001</v>
      </c>
      <c r="E32580" s="26">
        <v>0.12529999999999999</v>
      </c>
      <c r="F32580" s="26">
        <v>9.7699999999999995E-2</v>
      </c>
      <c r="G32580" s="26">
        <v>0.1288</v>
      </c>
      <c r="H32580" s="26">
        <v>0.13189999999999999</v>
      </c>
      <c r="I32580" s="26">
        <v>0.14080000000000001</v>
      </c>
      <c r="J32580" s="26">
        <v>2.4799999999999999E-2</v>
      </c>
      <c r="K32580" s="26">
        <v>3.7000000000000002E-3</v>
      </c>
      <c r="L32580" s="26">
        <v>4.0500000000000001E-2</v>
      </c>
      <c r="M32580" s="26">
        <v>1.6899999999999998E-2</v>
      </c>
      <c r="N32580" s="26">
        <v>6.5699999999999995E-2</v>
      </c>
      <c r="O32580" s="26">
        <v>8.9999999999999998E-4</v>
      </c>
      <c r="Q32580">
        <v>197</v>
      </c>
    </row>
    <row r="32581" spans="1:17" x14ac:dyDescent="0.35">
      <c r="A32581" t="s">
        <v>230</v>
      </c>
      <c r="B32581" t="s">
        <v>2731</v>
      </c>
      <c r="C32581" s="26">
        <v>0.2616</v>
      </c>
      <c r="D32581" s="26">
        <v>0.30530000000000002</v>
      </c>
      <c r="E32581" s="26">
        <v>0.25119999999999998</v>
      </c>
      <c r="F32581" s="26">
        <v>0.1734</v>
      </c>
      <c r="G32581" s="26">
        <v>0.20080000000000001</v>
      </c>
      <c r="H32581" s="26">
        <v>0.19320000000000001</v>
      </c>
      <c r="I32581" s="26">
        <v>0.1749</v>
      </c>
      <c r="J32581" s="26">
        <v>1.4999999999999999E-2</v>
      </c>
      <c r="K32581" s="26">
        <v>7.3300000000000004E-2</v>
      </c>
      <c r="L32581" s="26">
        <v>3.5000000000000001E-3</v>
      </c>
      <c r="M32581" s="26">
        <v>0.15840000000000001</v>
      </c>
      <c r="N32581" s="26">
        <v>8.5099999999999995E-2</v>
      </c>
      <c r="Q32581">
        <v>50</v>
      </c>
    </row>
    <row r="32582" spans="1:17" x14ac:dyDescent="0.35">
      <c r="A32582" t="s">
        <v>230</v>
      </c>
      <c r="B32582" t="s">
        <v>2732</v>
      </c>
      <c r="C32582" s="26">
        <v>0.41870000000000002</v>
      </c>
      <c r="D32582" s="26">
        <v>0.26690000000000003</v>
      </c>
      <c r="E32582" s="26">
        <v>0.22670000000000001</v>
      </c>
      <c r="F32582" s="26">
        <v>0.1183</v>
      </c>
      <c r="G32582" s="26">
        <v>0.23849999999999999</v>
      </c>
      <c r="H32582" s="26">
        <v>0.1176</v>
      </c>
      <c r="I32582" s="26">
        <v>0.11890000000000001</v>
      </c>
      <c r="J32582" s="26">
        <v>2.4899999999999999E-2</v>
      </c>
      <c r="K32582" s="26">
        <v>1.23E-2</v>
      </c>
      <c r="L32582" s="26">
        <v>1.0800000000000001E-2</v>
      </c>
      <c r="M32582" s="26">
        <v>4.5400000000000003E-2</v>
      </c>
      <c r="N32582" s="26">
        <v>1.04E-2</v>
      </c>
      <c r="O32582" s="26">
        <v>1.5E-3</v>
      </c>
      <c r="Q32582">
        <v>313</v>
      </c>
    </row>
    <row r="32583" spans="1:17" x14ac:dyDescent="0.35">
      <c r="A32583" t="s">
        <v>231</v>
      </c>
      <c r="B32583" t="s">
        <v>2730</v>
      </c>
      <c r="C32583" s="26">
        <v>0.29089999999999999</v>
      </c>
      <c r="D32583" s="26">
        <v>0.1636</v>
      </c>
      <c r="E32583" s="26">
        <v>0.14549999999999999</v>
      </c>
      <c r="F32583" s="26">
        <v>0.14549999999999999</v>
      </c>
      <c r="G32583" s="26">
        <v>0.1636</v>
      </c>
      <c r="H32583" s="26">
        <v>0.1273</v>
      </c>
      <c r="I32583" s="26">
        <v>0.2</v>
      </c>
      <c r="J32583" s="26">
        <v>0.1636</v>
      </c>
      <c r="K32583" s="26">
        <v>3.6400000000000002E-2</v>
      </c>
      <c r="N32583" s="26">
        <v>3.6400000000000002E-2</v>
      </c>
      <c r="Q32583">
        <v>55</v>
      </c>
    </row>
    <row r="32584" spans="1:17" x14ac:dyDescent="0.35">
      <c r="A32584" s="27" t="s">
        <v>231</v>
      </c>
      <c r="B32584" s="27" t="s">
        <v>2731</v>
      </c>
      <c r="C32584" s="28">
        <v>0.23530000000000001</v>
      </c>
      <c r="D32584" s="28">
        <v>0.23530000000000001</v>
      </c>
      <c r="E32584" s="28">
        <v>0.23530000000000001</v>
      </c>
      <c r="F32584" s="28">
        <v>0.1176</v>
      </c>
      <c r="G32584" s="28">
        <v>5.8799999999999998E-2</v>
      </c>
      <c r="H32584" s="28">
        <v>5.8799999999999998E-2</v>
      </c>
      <c r="I32584" s="28">
        <v>0.23530000000000001</v>
      </c>
      <c r="J32584" s="28">
        <v>0.1176</v>
      </c>
      <c r="K32584" s="28">
        <v>5.8799999999999998E-2</v>
      </c>
      <c r="L32584" s="28">
        <v>5.8799999999999998E-2</v>
      </c>
      <c r="M32584" s="29"/>
      <c r="N32584" s="28">
        <v>5.8799999999999998E-2</v>
      </c>
      <c r="O32584" s="28">
        <v>5.8799999999999998E-2</v>
      </c>
      <c r="P32584" s="29"/>
      <c r="Q32584" s="29" t="s">
        <v>343</v>
      </c>
    </row>
    <row r="32585" spans="1:17" x14ac:dyDescent="0.35">
      <c r="A32585" t="s">
        <v>231</v>
      </c>
      <c r="B32585" t="s">
        <v>2732</v>
      </c>
      <c r="C32585" s="26">
        <v>0.39129999999999998</v>
      </c>
      <c r="D32585" s="26">
        <v>0.1739</v>
      </c>
      <c r="E32585" s="26">
        <v>0.21740000000000001</v>
      </c>
      <c r="F32585" s="26">
        <v>0.2283</v>
      </c>
      <c r="G32585" s="26">
        <v>0.16300000000000001</v>
      </c>
      <c r="H32585" s="26">
        <v>0.14130000000000001</v>
      </c>
      <c r="I32585" s="26">
        <v>6.5199999999999994E-2</v>
      </c>
      <c r="J32585" s="26">
        <v>9.7799999999999998E-2</v>
      </c>
      <c r="K32585" s="26">
        <v>7.6100000000000001E-2</v>
      </c>
      <c r="L32585" s="26">
        <v>5.4300000000000001E-2</v>
      </c>
      <c r="M32585" s="26">
        <v>4.3499999999999997E-2</v>
      </c>
      <c r="N32585" s="26">
        <v>2.1700000000000001E-2</v>
      </c>
      <c r="O32585" s="26">
        <v>1.09E-2</v>
      </c>
      <c r="Q32585">
        <v>92</v>
      </c>
    </row>
    <row r="32586" spans="1:17" x14ac:dyDescent="0.35">
      <c r="A32586" t="s">
        <v>232</v>
      </c>
      <c r="B32586" t="s">
        <v>232</v>
      </c>
      <c r="C32586" s="26">
        <v>0.39529999999999998</v>
      </c>
      <c r="D32586" s="26">
        <v>0.21199999999999999</v>
      </c>
      <c r="E32586" s="26">
        <v>0.1988</v>
      </c>
      <c r="F32586" s="26">
        <v>0.16139999999999999</v>
      </c>
      <c r="G32586" s="26">
        <v>0.15060000000000001</v>
      </c>
      <c r="H32586" s="26">
        <v>0.1434</v>
      </c>
      <c r="I32586" s="26">
        <v>0.12470000000000001</v>
      </c>
      <c r="J32586" s="26">
        <v>8.5999999999999993E-2</v>
      </c>
      <c r="K32586" s="26">
        <v>4.0599999999999997E-2</v>
      </c>
      <c r="L32586" s="26">
        <v>3.9300000000000002E-2</v>
      </c>
      <c r="M32586" s="26">
        <v>3.9199999999999999E-2</v>
      </c>
      <c r="N32586" s="26">
        <v>3.3799999999999997E-2</v>
      </c>
      <c r="O32586" s="26">
        <v>4.3E-3</v>
      </c>
      <c r="P32586" s="26">
        <v>4.0000000000000002E-4</v>
      </c>
      <c r="Q32586">
        <v>2812</v>
      </c>
    </row>
    <row r="32588" spans="1:17" x14ac:dyDescent="0.35">
      <c r="A32588" s="1" t="s">
        <v>2833</v>
      </c>
    </row>
    <row r="32589" spans="1:17" x14ac:dyDescent="0.35">
      <c r="A32589" t="s">
        <v>219</v>
      </c>
      <c r="B32589" t="s">
        <v>305</v>
      </c>
      <c r="C32589" t="s">
        <v>550</v>
      </c>
      <c r="D32589" t="s">
        <v>2491</v>
      </c>
      <c r="E32589" t="s">
        <v>2492</v>
      </c>
      <c r="F32589" t="s">
        <v>2493</v>
      </c>
      <c r="G32589" t="s">
        <v>2494</v>
      </c>
      <c r="H32589" t="s">
        <v>281</v>
      </c>
      <c r="I32589" t="s">
        <v>2495</v>
      </c>
      <c r="J32589" t="s">
        <v>286</v>
      </c>
      <c r="K32589" t="s">
        <v>226</v>
      </c>
    </row>
    <row r="32590" spans="1:17" x14ac:dyDescent="0.35">
      <c r="A32590" t="s">
        <v>227</v>
      </c>
      <c r="B32590" t="s">
        <v>2730</v>
      </c>
      <c r="C32590" s="26">
        <v>0.91490000000000005</v>
      </c>
      <c r="D32590" s="26">
        <v>4.2599999999999999E-2</v>
      </c>
      <c r="F32590" s="26">
        <v>2.1299999999999999E-2</v>
      </c>
      <c r="G32590" s="26">
        <v>2.1299999999999999E-2</v>
      </c>
      <c r="K32590">
        <v>47</v>
      </c>
    </row>
    <row r="32591" spans="1:17" x14ac:dyDescent="0.35">
      <c r="A32591" s="27" t="s">
        <v>227</v>
      </c>
      <c r="B32591" s="27" t="s">
        <v>2731</v>
      </c>
      <c r="C32591" s="28">
        <v>0.85709999999999997</v>
      </c>
      <c r="D32591" s="28">
        <v>9.5200000000000007E-2</v>
      </c>
      <c r="E32591" s="28">
        <v>4.7600000000000003E-2</v>
      </c>
      <c r="F32591" s="29"/>
      <c r="G32591" s="29"/>
      <c r="H32591" s="29"/>
      <c r="I32591" s="28">
        <v>4.7600000000000003E-2</v>
      </c>
      <c r="J32591" s="29"/>
      <c r="K32591" s="29" t="s">
        <v>351</v>
      </c>
    </row>
    <row r="32592" spans="1:17" x14ac:dyDescent="0.35">
      <c r="A32592" t="s">
        <v>227</v>
      </c>
      <c r="B32592" t="s">
        <v>2732</v>
      </c>
      <c r="C32592" s="26">
        <v>0.8387</v>
      </c>
      <c r="D32592" s="26">
        <v>8.5999999999999993E-2</v>
      </c>
      <c r="E32592" s="26">
        <v>3.2300000000000002E-2</v>
      </c>
      <c r="F32592" s="26">
        <v>2.1499999999999998E-2</v>
      </c>
      <c r="G32592" s="26">
        <v>2.1499999999999998E-2</v>
      </c>
      <c r="I32592" s="26">
        <v>2.1499999999999998E-2</v>
      </c>
      <c r="K32592">
        <v>93</v>
      </c>
    </row>
    <row r="32593" spans="1:11" x14ac:dyDescent="0.35">
      <c r="A32593" t="s">
        <v>228</v>
      </c>
      <c r="B32593" t="s">
        <v>2730</v>
      </c>
      <c r="C32593" s="26">
        <v>0.86799999999999999</v>
      </c>
      <c r="D32593" s="26">
        <v>8.0299999999999996E-2</v>
      </c>
      <c r="E32593" s="26">
        <v>1.4800000000000001E-2</v>
      </c>
      <c r="F32593" s="26">
        <v>2.1600000000000001E-2</v>
      </c>
      <c r="G32593" s="26">
        <v>3.1699999999999999E-2</v>
      </c>
      <c r="H32593" s="26">
        <v>4.4000000000000003E-3</v>
      </c>
      <c r="I32593" s="26">
        <v>1.32E-2</v>
      </c>
      <c r="K32593">
        <v>360</v>
      </c>
    </row>
    <row r="32594" spans="1:11" x14ac:dyDescent="0.35">
      <c r="A32594" t="s">
        <v>228</v>
      </c>
      <c r="B32594" t="s">
        <v>2731</v>
      </c>
      <c r="C32594" s="26">
        <v>0.83309999999999995</v>
      </c>
      <c r="D32594" s="26">
        <v>3.9899999999999998E-2</v>
      </c>
      <c r="E32594" s="26">
        <v>0.03</v>
      </c>
      <c r="F32594" s="26">
        <v>6.7699999999999996E-2</v>
      </c>
      <c r="G32594" s="26">
        <v>7.0000000000000001E-3</v>
      </c>
      <c r="H32594" s="26">
        <v>3.4099999999999998E-2</v>
      </c>
      <c r="J32594" s="26">
        <v>3.0999999999999999E-3</v>
      </c>
      <c r="K32594">
        <v>96</v>
      </c>
    </row>
    <row r="32595" spans="1:11" x14ac:dyDescent="0.35">
      <c r="A32595" t="s">
        <v>228</v>
      </c>
      <c r="B32595" t="s">
        <v>2732</v>
      </c>
      <c r="C32595" s="26">
        <v>0.89859999999999995</v>
      </c>
      <c r="D32595" s="26">
        <v>4.6699999999999998E-2</v>
      </c>
      <c r="E32595" s="26">
        <v>1.8800000000000001E-2</v>
      </c>
      <c r="F32595" s="26">
        <v>1.77E-2</v>
      </c>
      <c r="G32595" s="26">
        <v>1.4E-2</v>
      </c>
      <c r="H32595" s="26">
        <v>4.1000000000000003E-3</v>
      </c>
      <c r="I32595" s="26">
        <v>5.9999999999999995E-4</v>
      </c>
      <c r="J32595" s="26">
        <v>8.2000000000000007E-3</v>
      </c>
      <c r="K32595">
        <v>576</v>
      </c>
    </row>
    <row r="32596" spans="1:11" x14ac:dyDescent="0.35">
      <c r="A32596" t="s">
        <v>229</v>
      </c>
      <c r="B32596" t="s">
        <v>2730</v>
      </c>
      <c r="C32596" s="26">
        <v>0.8639</v>
      </c>
      <c r="D32596" s="26">
        <v>5.33E-2</v>
      </c>
      <c r="E32596" s="26">
        <v>3.2000000000000001E-2</v>
      </c>
      <c r="F32596" s="26">
        <v>4.5100000000000001E-2</v>
      </c>
      <c r="G32596" s="26">
        <v>1.41E-2</v>
      </c>
      <c r="H32596" s="26">
        <v>1.2E-2</v>
      </c>
      <c r="J32596" s="26">
        <v>2.3999999999999998E-3</v>
      </c>
      <c r="K32596">
        <v>302</v>
      </c>
    </row>
    <row r="32597" spans="1:11" x14ac:dyDescent="0.35">
      <c r="A32597" t="s">
        <v>229</v>
      </c>
      <c r="B32597" t="s">
        <v>2731</v>
      </c>
      <c r="C32597" s="26">
        <v>0.91759999999999997</v>
      </c>
      <c r="D32597" s="26">
        <v>7.4300000000000005E-2</v>
      </c>
      <c r="E32597" s="26">
        <v>8.0999999999999996E-3</v>
      </c>
      <c r="K32597">
        <v>86</v>
      </c>
    </row>
    <row r="32598" spans="1:11" x14ac:dyDescent="0.35">
      <c r="A32598" t="s">
        <v>229</v>
      </c>
      <c r="B32598" t="s">
        <v>2732</v>
      </c>
      <c r="C32598" s="26">
        <v>0.85719999999999996</v>
      </c>
      <c r="D32598" s="26">
        <v>8.0699999999999994E-2</v>
      </c>
      <c r="E32598" s="26">
        <v>3.73E-2</v>
      </c>
      <c r="F32598" s="26">
        <v>3.9E-2</v>
      </c>
      <c r="G32598" s="26">
        <v>1.6500000000000001E-2</v>
      </c>
      <c r="H32598" s="26">
        <v>1.2699999999999999E-2</v>
      </c>
      <c r="J32598" s="26">
        <v>5.0000000000000001E-4</v>
      </c>
      <c r="K32598">
        <v>507</v>
      </c>
    </row>
    <row r="32599" spans="1:11" x14ac:dyDescent="0.35">
      <c r="A32599" t="s">
        <v>230</v>
      </c>
      <c r="B32599" t="s">
        <v>2730</v>
      </c>
      <c r="C32599" s="26">
        <v>0.83819999999999995</v>
      </c>
      <c r="D32599" s="26">
        <v>7.2099999999999997E-2</v>
      </c>
      <c r="E32599" s="26">
        <v>3.9300000000000002E-2</v>
      </c>
      <c r="F32599" s="26">
        <v>3.0800000000000001E-2</v>
      </c>
      <c r="G32599" s="26">
        <v>2.8899999999999999E-2</v>
      </c>
      <c r="H32599" s="26">
        <v>8.3999999999999995E-3</v>
      </c>
      <c r="I32599" s="26">
        <v>4.4999999999999997E-3</v>
      </c>
      <c r="K32599">
        <v>196</v>
      </c>
    </row>
    <row r="32600" spans="1:11" x14ac:dyDescent="0.35">
      <c r="A32600" t="s">
        <v>230</v>
      </c>
      <c r="B32600" t="s">
        <v>2731</v>
      </c>
      <c r="C32600" s="26">
        <v>0.89629999999999999</v>
      </c>
      <c r="E32600" s="26">
        <v>8.48E-2</v>
      </c>
      <c r="F32600" s="26">
        <v>1.5299999999999999E-2</v>
      </c>
      <c r="G32600" s="26">
        <v>3.5000000000000001E-3</v>
      </c>
      <c r="K32600">
        <v>50</v>
      </c>
    </row>
    <row r="32601" spans="1:11" x14ac:dyDescent="0.35">
      <c r="A32601" t="s">
        <v>230</v>
      </c>
      <c r="B32601" t="s">
        <v>2732</v>
      </c>
      <c r="C32601" s="26">
        <v>0.83860000000000001</v>
      </c>
      <c r="D32601" s="26">
        <v>6.7799999999999999E-2</v>
      </c>
      <c r="E32601" s="26">
        <v>3.73E-2</v>
      </c>
      <c r="F32601" s="26">
        <v>2.3E-2</v>
      </c>
      <c r="G32601" s="26">
        <v>3.3000000000000002E-2</v>
      </c>
      <c r="H32601" s="26">
        <v>1.1900000000000001E-2</v>
      </c>
      <c r="I32601" s="26">
        <v>1.5E-3</v>
      </c>
      <c r="J32601" s="26">
        <v>3.0000000000000001E-3</v>
      </c>
      <c r="K32601">
        <v>313</v>
      </c>
    </row>
    <row r="32602" spans="1:11" x14ac:dyDescent="0.35">
      <c r="A32602" t="s">
        <v>231</v>
      </c>
      <c r="B32602" t="s">
        <v>2730</v>
      </c>
      <c r="C32602" s="26">
        <v>0.89090000000000003</v>
      </c>
      <c r="D32602" s="26">
        <v>3.6400000000000002E-2</v>
      </c>
      <c r="G32602" s="26">
        <v>1.8200000000000001E-2</v>
      </c>
      <c r="H32602" s="26">
        <v>3.6400000000000002E-2</v>
      </c>
      <c r="I32602" s="26">
        <v>1.8200000000000001E-2</v>
      </c>
      <c r="K32602">
        <v>55</v>
      </c>
    </row>
    <row r="32603" spans="1:11" x14ac:dyDescent="0.35">
      <c r="A32603" s="27" t="s">
        <v>231</v>
      </c>
      <c r="B32603" s="27" t="s">
        <v>2731</v>
      </c>
      <c r="C32603" s="28">
        <v>1</v>
      </c>
      <c r="D32603" s="29"/>
      <c r="E32603" s="29"/>
      <c r="F32603" s="29"/>
      <c r="G32603" s="29"/>
      <c r="H32603" s="29"/>
      <c r="I32603" s="29"/>
      <c r="J32603" s="29"/>
      <c r="K32603" s="29" t="s">
        <v>343</v>
      </c>
    </row>
    <row r="32604" spans="1:11" x14ac:dyDescent="0.35">
      <c r="A32604" t="s">
        <v>231</v>
      </c>
      <c r="B32604" t="s">
        <v>2732</v>
      </c>
      <c r="C32604" s="26">
        <v>0.9022</v>
      </c>
      <c r="D32604" s="26">
        <v>3.2599999999999997E-2</v>
      </c>
      <c r="E32604" s="26">
        <v>4.3499999999999997E-2</v>
      </c>
      <c r="F32604" s="26">
        <v>4.3499999999999997E-2</v>
      </c>
      <c r="G32604" s="26">
        <v>1.09E-2</v>
      </c>
      <c r="I32604" s="26">
        <v>1.09E-2</v>
      </c>
      <c r="K32604">
        <v>92</v>
      </c>
    </row>
    <row r="32605" spans="1:11" x14ac:dyDescent="0.35">
      <c r="A32605" t="s">
        <v>232</v>
      </c>
      <c r="B32605" t="s">
        <v>232</v>
      </c>
      <c r="C32605" s="26">
        <v>0.87729999999999997</v>
      </c>
      <c r="D32605" s="26">
        <v>5.8099999999999999E-2</v>
      </c>
      <c r="E32605" s="26">
        <v>2.75E-2</v>
      </c>
      <c r="F32605" s="26">
        <v>2.7E-2</v>
      </c>
      <c r="G32605" s="26">
        <v>1.6799999999999999E-2</v>
      </c>
      <c r="H32605" s="26">
        <v>8.8000000000000005E-3</v>
      </c>
      <c r="I32605" s="26">
        <v>7.3000000000000001E-3</v>
      </c>
      <c r="J32605" s="26">
        <v>1.4E-3</v>
      </c>
      <c r="K32605">
        <v>2811</v>
      </c>
    </row>
    <row r="32607" spans="1:11" x14ac:dyDescent="0.35">
      <c r="A32607" s="1" t="s">
        <v>2834</v>
      </c>
    </row>
    <row r="32608" spans="1:11" x14ac:dyDescent="0.35">
      <c r="A32608" t="s">
        <v>219</v>
      </c>
      <c r="B32608" t="s">
        <v>305</v>
      </c>
      <c r="C32608" t="s">
        <v>303</v>
      </c>
      <c r="D32608" t="s">
        <v>302</v>
      </c>
      <c r="E32608" t="s">
        <v>281</v>
      </c>
      <c r="F32608" t="s">
        <v>226</v>
      </c>
    </row>
    <row r="32609" spans="1:6" x14ac:dyDescent="0.35">
      <c r="A32609" s="27" t="s">
        <v>227</v>
      </c>
      <c r="B32609" s="27" t="s">
        <v>2730</v>
      </c>
      <c r="C32609" s="28">
        <v>0.5</v>
      </c>
      <c r="D32609" s="28">
        <v>0.5</v>
      </c>
      <c r="E32609" s="29"/>
      <c r="F32609" s="29" t="s">
        <v>337</v>
      </c>
    </row>
    <row r="32610" spans="1:6" x14ac:dyDescent="0.35">
      <c r="A32610" s="27" t="s">
        <v>227</v>
      </c>
      <c r="B32610" s="27" t="s">
        <v>2731</v>
      </c>
      <c r="C32610" s="28">
        <v>0.66669999999999996</v>
      </c>
      <c r="D32610" s="28">
        <v>0.33329999999999999</v>
      </c>
      <c r="E32610" s="29"/>
      <c r="F32610" s="29" t="s">
        <v>315</v>
      </c>
    </row>
    <row r="32611" spans="1:6" x14ac:dyDescent="0.35">
      <c r="A32611" s="27" t="s">
        <v>227</v>
      </c>
      <c r="B32611" s="27" t="s">
        <v>2732</v>
      </c>
      <c r="C32611" s="28">
        <v>0.66669999999999996</v>
      </c>
      <c r="D32611" s="28">
        <v>0.33329999999999999</v>
      </c>
      <c r="E32611" s="29"/>
      <c r="F32611" s="29" t="s">
        <v>346</v>
      </c>
    </row>
    <row r="32612" spans="1:6" x14ac:dyDescent="0.35">
      <c r="A32612" t="s">
        <v>228</v>
      </c>
      <c r="B32612" t="s">
        <v>2730</v>
      </c>
      <c r="C32612" s="26">
        <v>0.6</v>
      </c>
      <c r="D32612" s="26">
        <v>0.38040000000000002</v>
      </c>
      <c r="E32612" s="26">
        <v>1.9599999999999999E-2</v>
      </c>
      <c r="F32612">
        <v>55</v>
      </c>
    </row>
    <row r="32613" spans="1:6" x14ac:dyDescent="0.35">
      <c r="A32613" s="27" t="s">
        <v>228</v>
      </c>
      <c r="B32613" s="27" t="s">
        <v>2731</v>
      </c>
      <c r="C32613" s="28">
        <v>0.53580000000000005</v>
      </c>
      <c r="D32613" s="28">
        <v>0.1384</v>
      </c>
      <c r="E32613" s="28">
        <v>0.32579999999999998</v>
      </c>
      <c r="F32613" s="29" t="s">
        <v>341</v>
      </c>
    </row>
    <row r="32614" spans="1:6" x14ac:dyDescent="0.35">
      <c r="A32614" t="s">
        <v>228</v>
      </c>
      <c r="B32614" t="s">
        <v>2732</v>
      </c>
      <c r="C32614" s="26">
        <v>0.73370000000000002</v>
      </c>
      <c r="D32614" s="26">
        <v>0.23269999999999999</v>
      </c>
      <c r="E32614" s="26">
        <v>3.3599999999999998E-2</v>
      </c>
      <c r="F32614">
        <v>73</v>
      </c>
    </row>
    <row r="32615" spans="1:6" x14ac:dyDescent="0.35">
      <c r="A32615" t="s">
        <v>229</v>
      </c>
      <c r="B32615" t="s">
        <v>2730</v>
      </c>
      <c r="C32615" s="26">
        <v>0.2949</v>
      </c>
      <c r="D32615" s="26">
        <v>0.70509999999999995</v>
      </c>
      <c r="F32615">
        <v>32</v>
      </c>
    </row>
    <row r="32616" spans="1:6" x14ac:dyDescent="0.35">
      <c r="A32616" s="27" t="s">
        <v>229</v>
      </c>
      <c r="B32616" s="27" t="s">
        <v>2731</v>
      </c>
      <c r="C32616" s="28">
        <v>1</v>
      </c>
      <c r="D32616" s="29"/>
      <c r="E32616" s="29"/>
      <c r="F32616" s="29" t="s">
        <v>335</v>
      </c>
    </row>
    <row r="32617" spans="1:6" x14ac:dyDescent="0.35">
      <c r="A32617" t="s">
        <v>229</v>
      </c>
      <c r="B32617" t="s">
        <v>2732</v>
      </c>
      <c r="C32617" s="26">
        <v>0.59589999999999999</v>
      </c>
      <c r="D32617" s="26">
        <v>0.40410000000000001</v>
      </c>
      <c r="F32617">
        <v>60</v>
      </c>
    </row>
    <row r="32618" spans="1:6" x14ac:dyDescent="0.35">
      <c r="A32618" t="s">
        <v>230</v>
      </c>
      <c r="B32618" t="s">
        <v>2730</v>
      </c>
      <c r="C32618" s="26">
        <v>0.80030000000000001</v>
      </c>
      <c r="D32618" s="26">
        <v>0.18110000000000001</v>
      </c>
      <c r="E32618" s="26">
        <v>1.8599999999999998E-2</v>
      </c>
      <c r="F32618">
        <v>35</v>
      </c>
    </row>
    <row r="32619" spans="1:6" x14ac:dyDescent="0.35">
      <c r="A32619" s="27" t="s">
        <v>230</v>
      </c>
      <c r="B32619" s="27" t="s">
        <v>2731</v>
      </c>
      <c r="C32619" s="28">
        <v>0.29270000000000002</v>
      </c>
      <c r="D32619" s="28">
        <v>0.70730000000000004</v>
      </c>
      <c r="E32619" s="29"/>
      <c r="F32619" s="29" t="s">
        <v>335</v>
      </c>
    </row>
    <row r="32620" spans="1:6" x14ac:dyDescent="0.35">
      <c r="A32620" t="s">
        <v>230</v>
      </c>
      <c r="B32620" t="s">
        <v>2732</v>
      </c>
      <c r="C32620" s="26">
        <v>0.87660000000000005</v>
      </c>
      <c r="D32620" s="26">
        <v>0.1234</v>
      </c>
      <c r="F32620">
        <v>41</v>
      </c>
    </row>
    <row r="32621" spans="1:6" x14ac:dyDescent="0.35">
      <c r="A32621" s="27" t="s">
        <v>231</v>
      </c>
      <c r="B32621" s="27" t="s">
        <v>2730</v>
      </c>
      <c r="C32621" s="28">
        <v>0.5</v>
      </c>
      <c r="D32621" s="28">
        <v>0.5</v>
      </c>
      <c r="E32621" s="29"/>
      <c r="F32621" s="29" t="s">
        <v>337</v>
      </c>
    </row>
    <row r="32622" spans="1:6" x14ac:dyDescent="0.35">
      <c r="A32622" s="27" t="s">
        <v>231</v>
      </c>
      <c r="B32622" s="27" t="s">
        <v>2732</v>
      </c>
      <c r="C32622" s="28">
        <v>0.44440000000000002</v>
      </c>
      <c r="D32622" s="28">
        <v>0.55559999999999998</v>
      </c>
      <c r="E32622" s="29"/>
      <c r="F32622" s="29" t="s">
        <v>334</v>
      </c>
    </row>
    <row r="32623" spans="1:6" x14ac:dyDescent="0.35">
      <c r="A32623" t="s">
        <v>232</v>
      </c>
      <c r="B32623" t="s">
        <v>232</v>
      </c>
      <c r="C32623" s="26">
        <v>0.59989999999999999</v>
      </c>
      <c r="D32623" s="26">
        <v>0.38919999999999999</v>
      </c>
      <c r="E32623" s="26">
        <v>1.09E-2</v>
      </c>
      <c r="F32623">
        <v>356</v>
      </c>
    </row>
    <row r="32625" spans="1:13" x14ac:dyDescent="0.35">
      <c r="A32625" s="1" t="s">
        <v>2835</v>
      </c>
    </row>
    <row r="32626" spans="1:13" x14ac:dyDescent="0.35">
      <c r="A32626" t="s">
        <v>219</v>
      </c>
      <c r="B32626" t="s">
        <v>305</v>
      </c>
      <c r="C32626" t="s">
        <v>302</v>
      </c>
      <c r="D32626" t="s">
        <v>2526</v>
      </c>
      <c r="E32626" t="s">
        <v>2527</v>
      </c>
      <c r="F32626" t="s">
        <v>281</v>
      </c>
      <c r="G32626" t="s">
        <v>2528</v>
      </c>
      <c r="H32626" t="s">
        <v>2529</v>
      </c>
      <c r="I32626" t="s">
        <v>2530</v>
      </c>
      <c r="J32626" t="s">
        <v>286</v>
      </c>
      <c r="K32626" t="s">
        <v>326</v>
      </c>
      <c r="L32626" t="s">
        <v>2531</v>
      </c>
      <c r="M32626" t="s">
        <v>226</v>
      </c>
    </row>
    <row r="32627" spans="1:13" x14ac:dyDescent="0.35">
      <c r="A32627" t="s">
        <v>227</v>
      </c>
      <c r="B32627" t="s">
        <v>2730</v>
      </c>
      <c r="C32627" s="26">
        <v>1</v>
      </c>
      <c r="M32627">
        <v>47</v>
      </c>
    </row>
    <row r="32628" spans="1:13" x14ac:dyDescent="0.35">
      <c r="A32628" s="27" t="s">
        <v>227</v>
      </c>
      <c r="B32628" s="27" t="s">
        <v>2731</v>
      </c>
      <c r="C32628" s="28">
        <v>1</v>
      </c>
      <c r="D32628" s="29"/>
      <c r="E32628" s="29"/>
      <c r="F32628" s="29"/>
      <c r="G32628" s="29"/>
      <c r="H32628" s="29"/>
      <c r="I32628" s="29"/>
      <c r="J32628" s="29"/>
      <c r="K32628" s="29"/>
      <c r="L32628" s="29"/>
      <c r="M32628" s="29" t="s">
        <v>351</v>
      </c>
    </row>
    <row r="32629" spans="1:13" x14ac:dyDescent="0.35">
      <c r="A32629" t="s">
        <v>227</v>
      </c>
      <c r="B32629" t="s">
        <v>2732</v>
      </c>
      <c r="C32629" s="26">
        <v>0.91110000000000002</v>
      </c>
      <c r="D32629" s="26">
        <v>4.4400000000000002E-2</v>
      </c>
      <c r="E32629" s="26">
        <v>1.11E-2</v>
      </c>
      <c r="F32629" s="26">
        <v>1.11E-2</v>
      </c>
      <c r="G32629" s="26">
        <v>1.11E-2</v>
      </c>
      <c r="H32629" s="26">
        <v>1.11E-2</v>
      </c>
      <c r="M32629">
        <v>90</v>
      </c>
    </row>
    <row r="32630" spans="1:13" x14ac:dyDescent="0.35">
      <c r="A32630" t="s">
        <v>228</v>
      </c>
      <c r="B32630" t="s">
        <v>2730</v>
      </c>
      <c r="C32630" s="26">
        <v>0.90780000000000005</v>
      </c>
      <c r="D32630" s="26">
        <v>4.02E-2</v>
      </c>
      <c r="E32630" s="26">
        <v>3.7999999999999999E-2</v>
      </c>
      <c r="F32630" s="26">
        <v>6.7000000000000002E-3</v>
      </c>
      <c r="G32630" s="26">
        <v>2.7000000000000001E-3</v>
      </c>
      <c r="H32630" s="26">
        <v>2E-3</v>
      </c>
      <c r="I32630" s="26">
        <v>5.4999999999999997E-3</v>
      </c>
      <c r="K32630" s="26">
        <v>2.5000000000000001E-3</v>
      </c>
      <c r="M32630">
        <v>357</v>
      </c>
    </row>
    <row r="32631" spans="1:13" x14ac:dyDescent="0.35">
      <c r="A32631" t="s">
        <v>228</v>
      </c>
      <c r="B32631" t="s">
        <v>2731</v>
      </c>
      <c r="C32631" s="26">
        <v>0.87729999999999997</v>
      </c>
      <c r="D32631" s="26">
        <v>6.6500000000000004E-2</v>
      </c>
      <c r="E32631" s="26">
        <v>1.52E-2</v>
      </c>
      <c r="F32631" s="26">
        <v>7.7999999999999996E-3</v>
      </c>
      <c r="G32631" s="26">
        <v>3.0999999999999999E-3</v>
      </c>
      <c r="H32631" s="26">
        <v>4.7000000000000002E-3</v>
      </c>
      <c r="J32631" s="26">
        <v>1.0200000000000001E-2</v>
      </c>
      <c r="K32631" s="26">
        <v>1.52E-2</v>
      </c>
      <c r="M32631">
        <v>93</v>
      </c>
    </row>
    <row r="32632" spans="1:13" x14ac:dyDescent="0.35">
      <c r="A32632" t="s">
        <v>228</v>
      </c>
      <c r="B32632" t="s">
        <v>2732</v>
      </c>
      <c r="C32632" s="26">
        <v>0.87129999999999996</v>
      </c>
      <c r="D32632" s="26">
        <v>6.6000000000000003E-2</v>
      </c>
      <c r="E32632" s="26">
        <v>2.6499999999999999E-2</v>
      </c>
      <c r="F32632" s="26">
        <v>1.06E-2</v>
      </c>
      <c r="G32632" s="26">
        <v>2.3999999999999998E-3</v>
      </c>
      <c r="H32632" s="26">
        <v>5.7000000000000002E-3</v>
      </c>
      <c r="I32632" s="26">
        <v>1.01E-2</v>
      </c>
      <c r="J32632" s="26">
        <v>8.3000000000000001E-3</v>
      </c>
      <c r="L32632" s="26">
        <v>1.5E-3</v>
      </c>
      <c r="M32632">
        <v>570</v>
      </c>
    </row>
    <row r="32633" spans="1:13" x14ac:dyDescent="0.35">
      <c r="A32633" t="s">
        <v>229</v>
      </c>
      <c r="B32633" t="s">
        <v>2730</v>
      </c>
      <c r="C32633" s="26">
        <v>0.92810000000000004</v>
      </c>
      <c r="D32633" s="26">
        <v>4.1000000000000002E-2</v>
      </c>
      <c r="E32633" s="26">
        <v>1.0999999999999999E-2</v>
      </c>
      <c r="F32633" s="26">
        <v>5.7999999999999996E-3</v>
      </c>
      <c r="G32633" s="26">
        <v>9.1999999999999998E-3</v>
      </c>
      <c r="I32633" s="26">
        <v>1.1999999999999999E-3</v>
      </c>
      <c r="J32633" s="26">
        <v>3.7000000000000002E-3</v>
      </c>
      <c r="M32633">
        <v>298</v>
      </c>
    </row>
    <row r="32634" spans="1:13" x14ac:dyDescent="0.35">
      <c r="A32634" t="s">
        <v>229</v>
      </c>
      <c r="B32634" t="s">
        <v>2731</v>
      </c>
      <c r="C32634" s="26">
        <v>0.9919</v>
      </c>
      <c r="F32634" s="26">
        <v>8.0999999999999996E-3</v>
      </c>
      <c r="M32634">
        <v>85</v>
      </c>
    </row>
    <row r="32635" spans="1:13" x14ac:dyDescent="0.35">
      <c r="A32635" t="s">
        <v>229</v>
      </c>
      <c r="B32635" t="s">
        <v>2732</v>
      </c>
      <c r="C32635" s="26">
        <v>0.93140000000000001</v>
      </c>
      <c r="D32635" s="26">
        <v>3.3099999999999997E-2</v>
      </c>
      <c r="E32635" s="26">
        <v>1.7000000000000001E-2</v>
      </c>
      <c r="F32635" s="26">
        <v>7.3000000000000001E-3</v>
      </c>
      <c r="G32635" s="26">
        <v>1E-3</v>
      </c>
      <c r="H32635" s="26">
        <v>1.32E-2</v>
      </c>
      <c r="J32635" s="26">
        <v>6.9999999999999999E-4</v>
      </c>
      <c r="L32635" s="26">
        <v>1.1000000000000001E-3</v>
      </c>
      <c r="M32635">
        <v>503</v>
      </c>
    </row>
    <row r="32636" spans="1:13" x14ac:dyDescent="0.35">
      <c r="A32636" t="s">
        <v>230</v>
      </c>
      <c r="B32636" t="s">
        <v>2730</v>
      </c>
      <c r="C32636" s="26">
        <v>0.93979999999999997</v>
      </c>
      <c r="D32636" s="26">
        <v>1.4E-2</v>
      </c>
      <c r="E32636" s="26">
        <v>3.9699999999999999E-2</v>
      </c>
      <c r="F32636" s="26">
        <v>2.8E-3</v>
      </c>
      <c r="H32636" s="26">
        <v>2.8999999999999998E-3</v>
      </c>
      <c r="I32636" s="26">
        <v>2.8999999999999998E-3</v>
      </c>
      <c r="K32636" s="26">
        <v>8.9999999999999998E-4</v>
      </c>
      <c r="M32636">
        <v>196</v>
      </c>
    </row>
    <row r="32637" spans="1:13" x14ac:dyDescent="0.35">
      <c r="A32637" t="s">
        <v>230</v>
      </c>
      <c r="B32637" t="s">
        <v>2731</v>
      </c>
      <c r="C32637" s="26">
        <v>0.9929</v>
      </c>
      <c r="D32637" s="26">
        <v>7.1000000000000004E-3</v>
      </c>
      <c r="M32637">
        <v>50</v>
      </c>
    </row>
    <row r="32638" spans="1:13" x14ac:dyDescent="0.35">
      <c r="A32638" t="s">
        <v>230</v>
      </c>
      <c r="B32638" t="s">
        <v>2732</v>
      </c>
      <c r="C32638" s="26">
        <v>0.89800000000000002</v>
      </c>
      <c r="D32638" s="26">
        <v>4.4299999999999999E-2</v>
      </c>
      <c r="E32638" s="26">
        <v>1.9699999999999999E-2</v>
      </c>
      <c r="F32638" s="26">
        <v>1.34E-2</v>
      </c>
      <c r="G32638" s="26">
        <v>9.7999999999999997E-3</v>
      </c>
      <c r="H32638" s="26">
        <v>1.5E-3</v>
      </c>
      <c r="I32638" s="26">
        <v>9.7999999999999997E-3</v>
      </c>
      <c r="J32638" s="26">
        <v>1.23E-2</v>
      </c>
      <c r="M32638">
        <v>312</v>
      </c>
    </row>
    <row r="32639" spans="1:13" x14ac:dyDescent="0.35">
      <c r="A32639" t="s">
        <v>231</v>
      </c>
      <c r="B32639" t="s">
        <v>2730</v>
      </c>
      <c r="C32639" s="26">
        <v>0.92730000000000001</v>
      </c>
      <c r="D32639" s="26">
        <v>3.6400000000000002E-2</v>
      </c>
      <c r="E32639" s="26">
        <v>1.8200000000000001E-2</v>
      </c>
      <c r="I32639" s="26">
        <v>1.8200000000000001E-2</v>
      </c>
      <c r="M32639">
        <v>55</v>
      </c>
    </row>
    <row r="32640" spans="1:13" x14ac:dyDescent="0.35">
      <c r="A32640" s="27" t="s">
        <v>231</v>
      </c>
      <c r="B32640" s="27" t="s">
        <v>2731</v>
      </c>
      <c r="C32640" s="28">
        <v>0.9375</v>
      </c>
      <c r="D32640" s="29"/>
      <c r="E32640" s="29"/>
      <c r="F32640" s="29"/>
      <c r="G32640" s="28">
        <v>6.25E-2</v>
      </c>
      <c r="H32640" s="29"/>
      <c r="I32640" s="29"/>
      <c r="J32640" s="29"/>
      <c r="K32640" s="29"/>
      <c r="L32640" s="29"/>
      <c r="M32640" s="29" t="s">
        <v>348</v>
      </c>
    </row>
    <row r="32641" spans="1:16" x14ac:dyDescent="0.35">
      <c r="A32641" t="s">
        <v>231</v>
      </c>
      <c r="B32641" t="s">
        <v>2732</v>
      </c>
      <c r="C32641" s="26">
        <v>0.90110000000000001</v>
      </c>
      <c r="D32641" s="26">
        <v>3.3000000000000002E-2</v>
      </c>
      <c r="E32641" s="26">
        <v>1.0999999999999999E-2</v>
      </c>
      <c r="F32641" s="26">
        <v>2.1999999999999999E-2</v>
      </c>
      <c r="G32641" s="26">
        <v>2.1999999999999999E-2</v>
      </c>
      <c r="H32641" s="26">
        <v>1.0999999999999999E-2</v>
      </c>
      <c r="M32641">
        <v>91</v>
      </c>
    </row>
    <row r="32642" spans="1:16" x14ac:dyDescent="0.35">
      <c r="A32642" t="s">
        <v>232</v>
      </c>
      <c r="B32642" t="s">
        <v>232</v>
      </c>
      <c r="C32642" s="26">
        <v>0.92</v>
      </c>
      <c r="D32642" s="26">
        <v>3.5700000000000003E-2</v>
      </c>
      <c r="E32642" s="26">
        <v>1.6400000000000001E-2</v>
      </c>
      <c r="F32642" s="26">
        <v>8.9999999999999993E-3</v>
      </c>
      <c r="G32642" s="26">
        <v>8.0000000000000002E-3</v>
      </c>
      <c r="H32642" s="26">
        <v>6.1000000000000004E-3</v>
      </c>
      <c r="I32642" s="26">
        <v>4.0000000000000001E-3</v>
      </c>
      <c r="J32642" s="26">
        <v>2.2000000000000001E-3</v>
      </c>
      <c r="K32642" s="26">
        <v>4.0000000000000002E-4</v>
      </c>
      <c r="L32642" s="26">
        <v>4.0000000000000002E-4</v>
      </c>
      <c r="M32642">
        <v>2784</v>
      </c>
    </row>
    <row r="32644" spans="1:16" x14ac:dyDescent="0.35">
      <c r="A32644" s="1" t="s">
        <v>2836</v>
      </c>
    </row>
    <row r="32645" spans="1:16" x14ac:dyDescent="0.35">
      <c r="A32645" t="s">
        <v>219</v>
      </c>
      <c r="B32645" t="s">
        <v>305</v>
      </c>
      <c r="C32645" t="s">
        <v>550</v>
      </c>
      <c r="D32645" t="s">
        <v>2547</v>
      </c>
      <c r="E32645" t="s">
        <v>2548</v>
      </c>
      <c r="F32645" t="s">
        <v>2549</v>
      </c>
      <c r="G32645" t="s">
        <v>2550</v>
      </c>
      <c r="H32645" t="s">
        <v>2551</v>
      </c>
      <c r="I32645" t="s">
        <v>2552</v>
      </c>
      <c r="J32645" t="s">
        <v>281</v>
      </c>
      <c r="K32645" t="s">
        <v>2553</v>
      </c>
      <c r="L32645" t="s">
        <v>2554</v>
      </c>
      <c r="M32645" t="s">
        <v>286</v>
      </c>
      <c r="N32645" t="s">
        <v>2555</v>
      </c>
      <c r="O32645" t="s">
        <v>326</v>
      </c>
      <c r="P32645" t="s">
        <v>226</v>
      </c>
    </row>
    <row r="32646" spans="1:16" x14ac:dyDescent="0.35">
      <c r="A32646" t="s">
        <v>227</v>
      </c>
      <c r="B32646" t="s">
        <v>2730</v>
      </c>
      <c r="C32646" s="26">
        <v>0.93620000000000003</v>
      </c>
      <c r="D32646" s="26">
        <v>4.2599999999999999E-2</v>
      </c>
      <c r="I32646" s="26">
        <v>2.1299999999999999E-2</v>
      </c>
      <c r="P32646">
        <v>47</v>
      </c>
    </row>
    <row r="32647" spans="1:16" x14ac:dyDescent="0.35">
      <c r="A32647" s="27" t="s">
        <v>227</v>
      </c>
      <c r="B32647" s="27" t="s">
        <v>2731</v>
      </c>
      <c r="C32647" s="28">
        <v>0.90480000000000005</v>
      </c>
      <c r="D32647" s="28">
        <v>9.5200000000000007E-2</v>
      </c>
      <c r="E32647" s="29"/>
      <c r="F32647" s="29"/>
      <c r="G32647" s="29"/>
      <c r="H32647" s="28">
        <v>4.7600000000000003E-2</v>
      </c>
      <c r="I32647" s="29"/>
      <c r="J32647" s="29"/>
      <c r="K32647" s="29"/>
      <c r="L32647" s="29"/>
      <c r="M32647" s="29"/>
      <c r="N32647" s="29"/>
      <c r="O32647" s="29"/>
      <c r="P32647" s="29" t="s">
        <v>351</v>
      </c>
    </row>
    <row r="32648" spans="1:16" x14ac:dyDescent="0.35">
      <c r="A32648" t="s">
        <v>227</v>
      </c>
      <c r="B32648" t="s">
        <v>2732</v>
      </c>
      <c r="C32648" s="26">
        <v>0.95650000000000002</v>
      </c>
      <c r="D32648" s="26">
        <v>3.2599999999999997E-2</v>
      </c>
      <c r="H32648" s="26">
        <v>1.09E-2</v>
      </c>
      <c r="N32648" s="26">
        <v>1.09E-2</v>
      </c>
      <c r="P32648">
        <v>92</v>
      </c>
    </row>
    <row r="32649" spans="1:16" x14ac:dyDescent="0.35">
      <c r="A32649" t="s">
        <v>228</v>
      </c>
      <c r="B32649" t="s">
        <v>2730</v>
      </c>
      <c r="C32649" s="26">
        <v>0.94310000000000005</v>
      </c>
      <c r="D32649" s="26">
        <v>1.2500000000000001E-2</v>
      </c>
      <c r="E32649" s="26">
        <v>6.1000000000000004E-3</v>
      </c>
      <c r="F32649" s="26">
        <v>1.4200000000000001E-2</v>
      </c>
      <c r="G32649" s="26">
        <v>7.7999999999999996E-3</v>
      </c>
      <c r="H32649" s="26">
        <v>5.0000000000000001E-3</v>
      </c>
      <c r="I32649" s="26">
        <v>1.2500000000000001E-2</v>
      </c>
      <c r="J32649" s="26">
        <v>5.0000000000000001E-3</v>
      </c>
      <c r="K32649" s="26">
        <v>2.5000000000000001E-3</v>
      </c>
      <c r="L32649" s="26">
        <v>2.5000000000000001E-3</v>
      </c>
      <c r="P32649">
        <v>356</v>
      </c>
    </row>
    <row r="32650" spans="1:16" x14ac:dyDescent="0.35">
      <c r="A32650" t="s">
        <v>228</v>
      </c>
      <c r="B32650" t="s">
        <v>2731</v>
      </c>
      <c r="C32650" s="26">
        <v>0.9093</v>
      </c>
      <c r="E32650" s="26">
        <v>8.6999999999999994E-3</v>
      </c>
      <c r="G32650" s="26">
        <v>5.4999999999999997E-3</v>
      </c>
      <c r="I32650" s="26">
        <v>4.41E-2</v>
      </c>
      <c r="J32650" s="26">
        <v>8.0000000000000002E-3</v>
      </c>
      <c r="M32650" s="26">
        <v>3.2000000000000002E-3</v>
      </c>
      <c r="O32650" s="26">
        <v>2.6599999999999999E-2</v>
      </c>
      <c r="P32650">
        <v>95</v>
      </c>
    </row>
    <row r="32651" spans="1:16" x14ac:dyDescent="0.35">
      <c r="A32651" t="s">
        <v>228</v>
      </c>
      <c r="B32651" t="s">
        <v>2732</v>
      </c>
      <c r="C32651" s="26">
        <v>0.93520000000000003</v>
      </c>
      <c r="D32651" s="26">
        <v>4.0000000000000002E-4</v>
      </c>
      <c r="E32651" s="26">
        <v>9.4999999999999998E-3</v>
      </c>
      <c r="F32651" s="26">
        <v>6.3E-3</v>
      </c>
      <c r="G32651" s="26">
        <v>1.8100000000000002E-2</v>
      </c>
      <c r="H32651" s="26">
        <v>8.9999999999999998E-4</v>
      </c>
      <c r="I32651" s="26">
        <v>1.14E-2</v>
      </c>
      <c r="J32651" s="26">
        <v>6.3E-3</v>
      </c>
      <c r="K32651" s="26">
        <v>1.6000000000000001E-3</v>
      </c>
      <c r="L32651" s="26">
        <v>6.4000000000000003E-3</v>
      </c>
      <c r="M32651" s="26">
        <v>9.1999999999999998E-3</v>
      </c>
      <c r="N32651" s="26">
        <v>8.9999999999999998E-4</v>
      </c>
      <c r="O32651" s="26">
        <v>5.9999999999999995E-4</v>
      </c>
      <c r="P32651">
        <v>574</v>
      </c>
    </row>
    <row r="32652" spans="1:16" x14ac:dyDescent="0.35">
      <c r="A32652" t="s">
        <v>229</v>
      </c>
      <c r="B32652" t="s">
        <v>2730</v>
      </c>
      <c r="C32652" s="26">
        <v>0.91920000000000002</v>
      </c>
      <c r="E32652" s="26">
        <v>2.1100000000000001E-2</v>
      </c>
      <c r="F32652" s="26">
        <v>5.0700000000000002E-2</v>
      </c>
      <c r="G32652" s="26">
        <v>9.1000000000000004E-3</v>
      </c>
      <c r="J32652" s="26">
        <v>4.1999999999999997E-3</v>
      </c>
      <c r="K32652" s="26">
        <v>1.0800000000000001E-2</v>
      </c>
      <c r="M32652" s="26">
        <v>2.3999999999999998E-3</v>
      </c>
      <c r="N32652" s="26">
        <v>2.3999999999999998E-3</v>
      </c>
      <c r="P32652">
        <v>301</v>
      </c>
    </row>
    <row r="32653" spans="1:16" x14ac:dyDescent="0.35">
      <c r="A32653" t="s">
        <v>229</v>
      </c>
      <c r="B32653" t="s">
        <v>2731</v>
      </c>
      <c r="C32653" s="26">
        <v>0.96850000000000003</v>
      </c>
      <c r="D32653" s="26">
        <v>3.15E-2</v>
      </c>
      <c r="P32653">
        <v>85</v>
      </c>
    </row>
    <row r="32654" spans="1:16" x14ac:dyDescent="0.35">
      <c r="A32654" t="s">
        <v>229</v>
      </c>
      <c r="B32654" t="s">
        <v>2732</v>
      </c>
      <c r="C32654" s="26">
        <v>0.91059999999999997</v>
      </c>
      <c r="D32654" s="26">
        <v>1.5299999999999999E-2</v>
      </c>
      <c r="E32654" s="26">
        <v>1.9400000000000001E-2</v>
      </c>
      <c r="F32654" s="26">
        <v>6.7000000000000002E-3</v>
      </c>
      <c r="G32654" s="26">
        <v>1.32E-2</v>
      </c>
      <c r="H32654" s="26">
        <v>1.3599999999999999E-2</v>
      </c>
      <c r="I32654" s="26">
        <v>8.6999999999999994E-3</v>
      </c>
      <c r="J32654" s="26">
        <v>7.1999999999999998E-3</v>
      </c>
      <c r="K32654" s="26">
        <v>9.4999999999999998E-3</v>
      </c>
      <c r="L32654" s="26">
        <v>5.7999999999999996E-3</v>
      </c>
      <c r="M32654" s="26">
        <v>4.4999999999999997E-3</v>
      </c>
      <c r="N32654" s="26">
        <v>4.0000000000000001E-3</v>
      </c>
      <c r="O32654" s="26">
        <v>5.0000000000000001E-4</v>
      </c>
      <c r="P32654">
        <v>504</v>
      </c>
    </row>
    <row r="32655" spans="1:16" x14ac:dyDescent="0.35">
      <c r="A32655" t="s">
        <v>230</v>
      </c>
      <c r="B32655" t="s">
        <v>2730</v>
      </c>
      <c r="C32655" s="26">
        <v>0.98040000000000005</v>
      </c>
      <c r="D32655" s="26">
        <v>5.7000000000000002E-3</v>
      </c>
      <c r="E32655" s="26">
        <v>3.8E-3</v>
      </c>
      <c r="G32655" s="26">
        <v>2.5999999999999999E-3</v>
      </c>
      <c r="J32655" s="26">
        <v>2.8E-3</v>
      </c>
      <c r="K32655" s="26">
        <v>1.6999999999999999E-3</v>
      </c>
      <c r="M32655" s="26">
        <v>2.8999999999999998E-3</v>
      </c>
      <c r="N32655" s="26">
        <v>8.9999999999999998E-4</v>
      </c>
      <c r="P32655">
        <v>196</v>
      </c>
    </row>
    <row r="32656" spans="1:16" x14ac:dyDescent="0.35">
      <c r="A32656" t="s">
        <v>230</v>
      </c>
      <c r="B32656" t="s">
        <v>2731</v>
      </c>
      <c r="C32656" s="26">
        <v>0.95760000000000001</v>
      </c>
      <c r="E32656" s="26">
        <v>2.35E-2</v>
      </c>
      <c r="G32656" s="26">
        <v>7.1000000000000004E-3</v>
      </c>
      <c r="L32656" s="26">
        <v>1.18E-2</v>
      </c>
      <c r="P32656">
        <v>50</v>
      </c>
    </row>
    <row r="32657" spans="1:17" x14ac:dyDescent="0.35">
      <c r="A32657" t="s">
        <v>230</v>
      </c>
      <c r="B32657" t="s">
        <v>2732</v>
      </c>
      <c r="C32657" s="26">
        <v>0.92169999999999996</v>
      </c>
      <c r="D32657" s="26">
        <v>5.0000000000000001E-4</v>
      </c>
      <c r="E32657" s="26">
        <v>5.8999999999999999E-3</v>
      </c>
      <c r="F32657" s="26">
        <v>1.1299999999999999E-2</v>
      </c>
      <c r="G32657" s="26">
        <v>1.03E-2</v>
      </c>
      <c r="H32657" s="26">
        <v>1.9699999999999999E-2</v>
      </c>
      <c r="I32657" s="26">
        <v>8.8999999999999999E-3</v>
      </c>
      <c r="J32657" s="26">
        <v>1.9E-3</v>
      </c>
      <c r="L32657" s="26">
        <v>8.8999999999999999E-3</v>
      </c>
      <c r="M32657" s="26">
        <v>3.0000000000000001E-3</v>
      </c>
      <c r="O32657" s="26">
        <v>8.8999999999999999E-3</v>
      </c>
      <c r="P32657">
        <v>312</v>
      </c>
    </row>
    <row r="32658" spans="1:17" x14ac:dyDescent="0.35">
      <c r="A32658" t="s">
        <v>231</v>
      </c>
      <c r="B32658" t="s">
        <v>2730</v>
      </c>
      <c r="C32658" s="26">
        <v>0.94440000000000002</v>
      </c>
      <c r="E32658" s="26">
        <v>1.8499999999999999E-2</v>
      </c>
      <c r="G32658" s="26">
        <v>1.8499999999999999E-2</v>
      </c>
      <c r="L32658" s="26">
        <v>1.8499999999999999E-2</v>
      </c>
      <c r="P32658">
        <v>54</v>
      </c>
    </row>
    <row r="32659" spans="1:17" x14ac:dyDescent="0.35">
      <c r="A32659" s="27" t="s">
        <v>231</v>
      </c>
      <c r="B32659" s="27" t="s">
        <v>2731</v>
      </c>
      <c r="C32659" s="28">
        <v>0.94120000000000004</v>
      </c>
      <c r="D32659" s="29"/>
      <c r="E32659" s="29"/>
      <c r="F32659" s="29"/>
      <c r="G32659" s="29"/>
      <c r="H32659" s="29"/>
      <c r="I32659" s="29"/>
      <c r="J32659" s="29"/>
      <c r="K32659" s="28">
        <v>5.8799999999999998E-2</v>
      </c>
      <c r="L32659" s="29"/>
      <c r="M32659" s="29"/>
      <c r="N32659" s="29"/>
      <c r="O32659" s="29"/>
      <c r="P32659" s="29" t="s">
        <v>343</v>
      </c>
    </row>
    <row r="32660" spans="1:17" x14ac:dyDescent="0.35">
      <c r="A32660" t="s">
        <v>231</v>
      </c>
      <c r="B32660" t="s">
        <v>2732</v>
      </c>
      <c r="C32660" s="26">
        <v>0.93410000000000004</v>
      </c>
      <c r="D32660" s="26">
        <v>1.0999999999999999E-2</v>
      </c>
      <c r="E32660" s="26">
        <v>1.0999999999999999E-2</v>
      </c>
      <c r="F32660" s="26">
        <v>1.0999999999999999E-2</v>
      </c>
      <c r="H32660" s="26">
        <v>1.0999999999999999E-2</v>
      </c>
      <c r="I32660" s="26">
        <v>1.0999999999999999E-2</v>
      </c>
      <c r="J32660" s="26">
        <v>1.0999999999999999E-2</v>
      </c>
      <c r="P32660">
        <v>91</v>
      </c>
    </row>
    <row r="32661" spans="1:17" x14ac:dyDescent="0.35">
      <c r="A32661" t="s">
        <v>232</v>
      </c>
      <c r="B32661" t="s">
        <v>232</v>
      </c>
      <c r="C32661" s="26">
        <v>0.93330000000000002</v>
      </c>
      <c r="D32661" s="26">
        <v>1.29E-2</v>
      </c>
      <c r="E32661" s="26">
        <v>1.0800000000000001E-2</v>
      </c>
      <c r="F32661" s="26">
        <v>9.1999999999999998E-3</v>
      </c>
      <c r="G32661" s="26">
        <v>8.2000000000000007E-3</v>
      </c>
      <c r="H32661" s="26">
        <v>7.6E-3</v>
      </c>
      <c r="I32661" s="26">
        <v>7.4999999999999997E-3</v>
      </c>
      <c r="J32661" s="26">
        <v>4.7000000000000002E-3</v>
      </c>
      <c r="K32661" s="26">
        <v>4.7000000000000002E-3</v>
      </c>
      <c r="L32661" s="26">
        <v>4.1999999999999997E-3</v>
      </c>
      <c r="M32661" s="26">
        <v>2.3999999999999998E-3</v>
      </c>
      <c r="N32661" s="26">
        <v>2E-3</v>
      </c>
      <c r="O32661" s="26">
        <v>1.1000000000000001E-3</v>
      </c>
      <c r="P32661">
        <v>2795</v>
      </c>
    </row>
    <row r="32663" spans="1:17" x14ac:dyDescent="0.35">
      <c r="A32663" s="1" t="s">
        <v>2837</v>
      </c>
    </row>
    <row r="32664" spans="1:17" x14ac:dyDescent="0.35">
      <c r="A32664" t="s">
        <v>219</v>
      </c>
      <c r="B32664" t="s">
        <v>305</v>
      </c>
      <c r="C32664" t="s">
        <v>550</v>
      </c>
      <c r="D32664" t="s">
        <v>281</v>
      </c>
      <c r="E32664" t="s">
        <v>2571</v>
      </c>
      <c r="F32664" t="s">
        <v>2548</v>
      </c>
      <c r="G32664" t="s">
        <v>2572</v>
      </c>
      <c r="H32664" t="s">
        <v>2186</v>
      </c>
      <c r="I32664" t="s">
        <v>2551</v>
      </c>
      <c r="J32664" t="s">
        <v>2573</v>
      </c>
      <c r="K32664" t="s">
        <v>2574</v>
      </c>
      <c r="L32664" t="s">
        <v>2575</v>
      </c>
      <c r="M32664" t="s">
        <v>2576</v>
      </c>
      <c r="N32664" t="s">
        <v>2554</v>
      </c>
      <c r="O32664" t="s">
        <v>2577</v>
      </c>
      <c r="P32664" t="s">
        <v>286</v>
      </c>
      <c r="Q32664" t="s">
        <v>226</v>
      </c>
    </row>
    <row r="32665" spans="1:17" x14ac:dyDescent="0.35">
      <c r="A32665" t="s">
        <v>227</v>
      </c>
      <c r="B32665" t="s">
        <v>2730</v>
      </c>
      <c r="C32665" s="26">
        <v>0.97870000000000001</v>
      </c>
      <c r="D32665" s="26">
        <v>2.1299999999999999E-2</v>
      </c>
      <c r="Q32665">
        <v>47</v>
      </c>
    </row>
    <row r="32666" spans="1:17" x14ac:dyDescent="0.35">
      <c r="A32666" s="27" t="s">
        <v>227</v>
      </c>
      <c r="B32666" s="27" t="s">
        <v>2731</v>
      </c>
      <c r="C32666" s="28">
        <v>0.95240000000000002</v>
      </c>
      <c r="D32666" s="29"/>
      <c r="E32666" s="29"/>
      <c r="F32666" s="28">
        <v>4.7600000000000003E-2</v>
      </c>
      <c r="G32666" s="28">
        <v>4.7600000000000003E-2</v>
      </c>
      <c r="H32666" s="29"/>
      <c r="I32666" s="29"/>
      <c r="J32666" s="29"/>
      <c r="K32666" s="29"/>
      <c r="L32666" s="29"/>
      <c r="M32666" s="29"/>
      <c r="N32666" s="29"/>
      <c r="O32666" s="29"/>
      <c r="P32666" s="29"/>
      <c r="Q32666" s="29" t="s">
        <v>351</v>
      </c>
    </row>
    <row r="32667" spans="1:17" x14ac:dyDescent="0.35">
      <c r="A32667" t="s">
        <v>227</v>
      </c>
      <c r="B32667" t="s">
        <v>2732</v>
      </c>
      <c r="C32667" s="26">
        <v>0.95699999999999996</v>
      </c>
      <c r="F32667" s="26">
        <v>1.0800000000000001E-2</v>
      </c>
      <c r="G32667" s="26">
        <v>1.0800000000000001E-2</v>
      </c>
      <c r="H32667" s="26">
        <v>1.0800000000000001E-2</v>
      </c>
      <c r="J32667" s="26">
        <v>1.0800000000000001E-2</v>
      </c>
      <c r="Q32667">
        <v>93</v>
      </c>
    </row>
    <row r="32668" spans="1:17" x14ac:dyDescent="0.35">
      <c r="A32668" t="s">
        <v>228</v>
      </c>
      <c r="B32668" t="s">
        <v>2730</v>
      </c>
      <c r="C32668" s="26">
        <v>0.93330000000000002</v>
      </c>
      <c r="D32668" s="26">
        <v>7.1000000000000004E-3</v>
      </c>
      <c r="E32668" s="26">
        <v>1.7600000000000001E-2</v>
      </c>
      <c r="F32668" s="26">
        <v>4.8999999999999998E-3</v>
      </c>
      <c r="I32668" s="26">
        <v>2.2499999999999999E-2</v>
      </c>
      <c r="J32668" s="26">
        <v>0.01</v>
      </c>
      <c r="M32668" s="26">
        <v>1.1000000000000001E-3</v>
      </c>
      <c r="N32668" s="26">
        <v>4.1999999999999997E-3</v>
      </c>
      <c r="Q32668">
        <v>359</v>
      </c>
    </row>
    <row r="32669" spans="1:17" x14ac:dyDescent="0.35">
      <c r="A32669" t="s">
        <v>228</v>
      </c>
      <c r="B32669" t="s">
        <v>2731</v>
      </c>
      <c r="C32669" s="26">
        <v>0.93110000000000004</v>
      </c>
      <c r="D32669" s="26">
        <v>1.1599999999999999E-2</v>
      </c>
      <c r="E32669" s="26">
        <v>7.7000000000000002E-3</v>
      </c>
      <c r="G32669" s="26">
        <v>1.0699999999999999E-2</v>
      </c>
      <c r="H32669" s="26">
        <v>1.4999999999999999E-2</v>
      </c>
      <c r="K32669" s="26">
        <v>1.0699999999999999E-2</v>
      </c>
      <c r="N32669" s="26">
        <v>7.0000000000000001E-3</v>
      </c>
      <c r="P32669" s="26">
        <v>6.1999999999999998E-3</v>
      </c>
      <c r="Q32669">
        <v>95</v>
      </c>
    </row>
    <row r="32670" spans="1:17" x14ac:dyDescent="0.35">
      <c r="A32670" t="s">
        <v>228</v>
      </c>
      <c r="B32670" t="s">
        <v>2732</v>
      </c>
      <c r="C32670" s="26">
        <v>0.9224</v>
      </c>
      <c r="D32670" s="26">
        <v>5.1999999999999998E-3</v>
      </c>
      <c r="E32670" s="26">
        <v>1.0200000000000001E-2</v>
      </c>
      <c r="F32670" s="26">
        <v>1.2E-2</v>
      </c>
      <c r="G32670" s="26">
        <v>2.3E-3</v>
      </c>
      <c r="H32670" s="26">
        <v>0.01</v>
      </c>
      <c r="I32670" s="26">
        <v>1.0699999999999999E-2</v>
      </c>
      <c r="J32670" s="26">
        <v>1.6000000000000001E-3</v>
      </c>
      <c r="K32670" s="26">
        <v>1.6000000000000001E-3</v>
      </c>
      <c r="L32670" s="26">
        <v>1.14E-2</v>
      </c>
      <c r="M32670" s="26">
        <v>1.4E-3</v>
      </c>
      <c r="N32670" s="26">
        <v>5.7000000000000002E-3</v>
      </c>
      <c r="P32670" s="26">
        <v>9.7000000000000003E-3</v>
      </c>
      <c r="Q32670">
        <v>574</v>
      </c>
    </row>
    <row r="32671" spans="1:17" x14ac:dyDescent="0.35">
      <c r="A32671" t="s">
        <v>229</v>
      </c>
      <c r="B32671" t="s">
        <v>2730</v>
      </c>
      <c r="C32671" s="26">
        <v>0.89780000000000004</v>
      </c>
      <c r="D32671" s="26">
        <v>1.2699999999999999E-2</v>
      </c>
      <c r="E32671" s="26">
        <v>5.4399999999999997E-2</v>
      </c>
      <c r="F32671" s="26">
        <v>1.03E-2</v>
      </c>
      <c r="G32671" s="26">
        <v>0.02</v>
      </c>
      <c r="H32671" s="26">
        <v>9.1000000000000004E-3</v>
      </c>
      <c r="L32671" s="26">
        <v>9.1000000000000004E-3</v>
      </c>
      <c r="O32671" s="26">
        <v>2.3999999999999998E-3</v>
      </c>
      <c r="P32671" s="26">
        <v>2.3999999999999998E-3</v>
      </c>
      <c r="Q32671">
        <v>300</v>
      </c>
    </row>
    <row r="32672" spans="1:17" x14ac:dyDescent="0.35">
      <c r="A32672" t="s">
        <v>229</v>
      </c>
      <c r="B32672" t="s">
        <v>2731</v>
      </c>
      <c r="C32672" s="26">
        <v>0.95820000000000005</v>
      </c>
      <c r="E32672" s="26">
        <v>3.7699999999999997E-2</v>
      </c>
      <c r="F32672" s="26">
        <v>4.1000000000000003E-3</v>
      </c>
      <c r="Q32672">
        <v>85</v>
      </c>
    </row>
    <row r="32673" spans="1:19" x14ac:dyDescent="0.35">
      <c r="A32673" t="s">
        <v>229</v>
      </c>
      <c r="B32673" t="s">
        <v>2732</v>
      </c>
      <c r="C32673" s="26">
        <v>0.95209999999999995</v>
      </c>
      <c r="D32673" s="26">
        <v>0.01</v>
      </c>
      <c r="E32673" s="26">
        <v>1.17E-2</v>
      </c>
      <c r="F32673" s="26">
        <v>1.14E-2</v>
      </c>
      <c r="G32673" s="26">
        <v>5.5999999999999999E-3</v>
      </c>
      <c r="H32673" s="26">
        <v>6.0000000000000001E-3</v>
      </c>
      <c r="I32673" s="26">
        <v>1.6500000000000001E-2</v>
      </c>
      <c r="J32673" s="26">
        <v>1E-3</v>
      </c>
      <c r="K32673" s="26">
        <v>5.1999999999999998E-3</v>
      </c>
      <c r="L32673" s="26">
        <v>6.1000000000000004E-3</v>
      </c>
      <c r="M32673" s="26">
        <v>4.8999999999999998E-3</v>
      </c>
      <c r="N32673" s="26">
        <v>1E-3</v>
      </c>
      <c r="P32673" s="26">
        <v>5.0000000000000001E-4</v>
      </c>
      <c r="Q32673">
        <v>506</v>
      </c>
    </row>
    <row r="32674" spans="1:19" x14ac:dyDescent="0.35">
      <c r="A32674" t="s">
        <v>230</v>
      </c>
      <c r="B32674" t="s">
        <v>2730</v>
      </c>
      <c r="C32674" s="26">
        <v>0.95020000000000004</v>
      </c>
      <c r="E32674" s="26">
        <v>1.6899999999999998E-2</v>
      </c>
      <c r="F32674" s="26">
        <v>9.4000000000000004E-3</v>
      </c>
      <c r="G32674" s="26">
        <v>1.6899999999999998E-2</v>
      </c>
      <c r="H32674" s="26">
        <v>1.6899999999999998E-2</v>
      </c>
      <c r="I32674" s="26">
        <v>3.7000000000000002E-3</v>
      </c>
      <c r="J32674" s="26">
        <v>1.6899999999999998E-2</v>
      </c>
      <c r="P32674" s="26">
        <v>2.8999999999999998E-3</v>
      </c>
      <c r="Q32674">
        <v>197</v>
      </c>
    </row>
    <row r="32675" spans="1:19" x14ac:dyDescent="0.35">
      <c r="A32675" t="s">
        <v>230</v>
      </c>
      <c r="B32675" t="s">
        <v>2731</v>
      </c>
      <c r="C32675" s="26">
        <v>1</v>
      </c>
      <c r="Q32675">
        <v>49</v>
      </c>
    </row>
    <row r="32676" spans="1:19" x14ac:dyDescent="0.35">
      <c r="A32676" t="s">
        <v>230</v>
      </c>
      <c r="B32676" t="s">
        <v>2732</v>
      </c>
      <c r="C32676" s="26">
        <v>0.95379999999999998</v>
      </c>
      <c r="D32676" s="26">
        <v>1.5E-3</v>
      </c>
      <c r="E32676" s="26">
        <v>1.1900000000000001E-2</v>
      </c>
      <c r="F32676" s="26">
        <v>4.8999999999999998E-3</v>
      </c>
      <c r="H32676" s="26">
        <v>1.4E-3</v>
      </c>
      <c r="I32676" s="26">
        <v>1.04E-2</v>
      </c>
      <c r="J32676" s="26">
        <v>9.4000000000000004E-3</v>
      </c>
      <c r="K32676" s="26">
        <v>1.5E-3</v>
      </c>
      <c r="L32676" s="26">
        <v>1.04E-2</v>
      </c>
      <c r="M32676" s="26">
        <v>4.4000000000000003E-3</v>
      </c>
      <c r="N32676" s="26">
        <v>1.5E-3</v>
      </c>
      <c r="P32676" s="26">
        <v>3.0000000000000001E-3</v>
      </c>
      <c r="Q32676">
        <v>312</v>
      </c>
    </row>
    <row r="32677" spans="1:19" x14ac:dyDescent="0.35">
      <c r="A32677" t="s">
        <v>231</v>
      </c>
      <c r="B32677" t="s">
        <v>2730</v>
      </c>
      <c r="C32677" s="26">
        <v>0.89090000000000003</v>
      </c>
      <c r="D32677" s="26">
        <v>3.6400000000000002E-2</v>
      </c>
      <c r="F32677" s="26">
        <v>3.6400000000000002E-2</v>
      </c>
      <c r="G32677" s="26">
        <v>1.8200000000000001E-2</v>
      </c>
      <c r="J32677" s="26">
        <v>1.8200000000000001E-2</v>
      </c>
      <c r="N32677" s="26">
        <v>1.8200000000000001E-2</v>
      </c>
      <c r="Q32677">
        <v>55</v>
      </c>
    </row>
    <row r="32678" spans="1:19" x14ac:dyDescent="0.35">
      <c r="A32678" s="27" t="s">
        <v>231</v>
      </c>
      <c r="B32678" s="27" t="s">
        <v>2731</v>
      </c>
      <c r="C32678" s="28">
        <v>1</v>
      </c>
      <c r="D32678" s="29"/>
      <c r="E32678" s="29"/>
      <c r="F32678" s="29"/>
      <c r="G32678" s="29"/>
      <c r="H32678" s="29"/>
      <c r="I32678" s="29"/>
      <c r="J32678" s="29"/>
      <c r="K32678" s="29"/>
      <c r="L32678" s="29"/>
      <c r="M32678" s="29"/>
      <c r="N32678" s="29"/>
      <c r="O32678" s="29"/>
      <c r="P32678" s="29"/>
      <c r="Q32678" s="29" t="s">
        <v>348</v>
      </c>
    </row>
    <row r="32679" spans="1:19" x14ac:dyDescent="0.35">
      <c r="A32679" t="s">
        <v>231</v>
      </c>
      <c r="B32679" t="s">
        <v>2732</v>
      </c>
      <c r="C32679" s="26">
        <v>0.92390000000000005</v>
      </c>
      <c r="D32679" s="26">
        <v>3.2599999999999997E-2</v>
      </c>
      <c r="H32679" s="26">
        <v>1.09E-2</v>
      </c>
      <c r="K32679" s="26">
        <v>2.1700000000000001E-2</v>
      </c>
      <c r="M32679" s="26">
        <v>1.09E-2</v>
      </c>
      <c r="O32679" s="26">
        <v>1.09E-2</v>
      </c>
      <c r="Q32679">
        <v>92</v>
      </c>
    </row>
    <row r="32680" spans="1:19" x14ac:dyDescent="0.35">
      <c r="A32680" t="s">
        <v>232</v>
      </c>
      <c r="B32680" t="s">
        <v>232</v>
      </c>
      <c r="C32680" s="26">
        <v>0.93640000000000001</v>
      </c>
      <c r="D32680" s="26">
        <v>1.35E-2</v>
      </c>
      <c r="E32680" s="26">
        <v>1.09E-2</v>
      </c>
      <c r="F32680" s="26">
        <v>1.0500000000000001E-2</v>
      </c>
      <c r="G32680" s="26">
        <v>7.1000000000000004E-3</v>
      </c>
      <c r="H32680" s="26">
        <v>6.4000000000000003E-3</v>
      </c>
      <c r="I32680" s="26">
        <v>6.4000000000000003E-3</v>
      </c>
      <c r="J32680" s="26">
        <v>4.7000000000000002E-3</v>
      </c>
      <c r="K32680" s="26">
        <v>4.7000000000000002E-3</v>
      </c>
      <c r="L32680" s="26">
        <v>3.7000000000000002E-3</v>
      </c>
      <c r="M32680" s="26">
        <v>3.0999999999999999E-3</v>
      </c>
      <c r="N32680" s="26">
        <v>3.0000000000000001E-3</v>
      </c>
      <c r="O32680" s="26">
        <v>1.9E-3</v>
      </c>
      <c r="P32680" s="26">
        <v>1.6999999999999999E-3</v>
      </c>
      <c r="Q32680">
        <v>2801</v>
      </c>
    </row>
    <row r="32682" spans="1:19" x14ac:dyDescent="0.35">
      <c r="A32682" s="1" t="s">
        <v>2838</v>
      </c>
    </row>
    <row r="32683" spans="1:19" x14ac:dyDescent="0.35">
      <c r="A32683" t="s">
        <v>219</v>
      </c>
      <c r="B32683" t="s">
        <v>305</v>
      </c>
      <c r="C32683" t="s">
        <v>550</v>
      </c>
      <c r="D32683" t="s">
        <v>281</v>
      </c>
      <c r="E32683" t="s">
        <v>2593</v>
      </c>
      <c r="F32683" t="s">
        <v>2594</v>
      </c>
      <c r="G32683" t="s">
        <v>2595</v>
      </c>
      <c r="H32683" t="s">
        <v>2596</v>
      </c>
      <c r="I32683" t="s">
        <v>2597</v>
      </c>
      <c r="J32683" t="s">
        <v>2598</v>
      </c>
      <c r="K32683" t="s">
        <v>2599</v>
      </c>
      <c r="L32683" t="s">
        <v>2600</v>
      </c>
      <c r="M32683" t="s">
        <v>2601</v>
      </c>
      <c r="N32683" t="s">
        <v>2602</v>
      </c>
      <c r="O32683" t="s">
        <v>2603</v>
      </c>
      <c r="P32683" t="s">
        <v>2604</v>
      </c>
      <c r="Q32683" t="s">
        <v>2026</v>
      </c>
      <c r="R32683" t="s">
        <v>326</v>
      </c>
      <c r="S32683" t="s">
        <v>226</v>
      </c>
    </row>
    <row r="32684" spans="1:19" x14ac:dyDescent="0.35">
      <c r="A32684" t="s">
        <v>227</v>
      </c>
      <c r="B32684" t="s">
        <v>2730</v>
      </c>
      <c r="C32684" s="26">
        <v>0.38300000000000001</v>
      </c>
      <c r="D32684" s="26">
        <v>0.31909999999999999</v>
      </c>
      <c r="E32684" s="26">
        <v>0.10639999999999999</v>
      </c>
      <c r="F32684" s="26">
        <v>8.5099999999999995E-2</v>
      </c>
      <c r="G32684" s="26">
        <v>2.1299999999999999E-2</v>
      </c>
      <c r="H32684" s="26">
        <v>6.3799999999999996E-2</v>
      </c>
      <c r="I32684" s="26">
        <v>4.2599999999999999E-2</v>
      </c>
      <c r="J32684" s="26">
        <v>6.3799999999999996E-2</v>
      </c>
      <c r="L32684" s="26">
        <v>4.2599999999999999E-2</v>
      </c>
      <c r="N32684" s="26">
        <v>6.3799999999999996E-2</v>
      </c>
      <c r="O32684" s="26">
        <v>4.2599999999999999E-2</v>
      </c>
      <c r="S32684">
        <v>47</v>
      </c>
    </row>
    <row r="32685" spans="1:19" x14ac:dyDescent="0.35">
      <c r="A32685" s="27" t="s">
        <v>227</v>
      </c>
      <c r="B32685" s="27" t="s">
        <v>2731</v>
      </c>
      <c r="C32685" s="28">
        <v>0.33329999999999999</v>
      </c>
      <c r="D32685" s="28">
        <v>0.47620000000000001</v>
      </c>
      <c r="E32685" s="29"/>
      <c r="F32685" s="28">
        <v>0.1429</v>
      </c>
      <c r="G32685" s="28">
        <v>4.7600000000000003E-2</v>
      </c>
      <c r="H32685" s="29"/>
      <c r="I32685" s="29"/>
      <c r="J32685" s="29"/>
      <c r="K32685" s="29"/>
      <c r="L32685" s="29"/>
      <c r="M32685" s="28">
        <v>4.7600000000000003E-2</v>
      </c>
      <c r="N32685" s="29"/>
      <c r="O32685" s="28">
        <v>4.7600000000000003E-2</v>
      </c>
      <c r="P32685" s="29"/>
      <c r="Q32685" s="29"/>
      <c r="R32685" s="29"/>
      <c r="S32685" s="29" t="s">
        <v>351</v>
      </c>
    </row>
    <row r="32686" spans="1:19" x14ac:dyDescent="0.35">
      <c r="A32686" t="s">
        <v>227</v>
      </c>
      <c r="B32686" t="s">
        <v>2732</v>
      </c>
      <c r="C32686" s="26">
        <v>0.5161</v>
      </c>
      <c r="D32686" s="26">
        <v>0.2903</v>
      </c>
      <c r="E32686" s="26">
        <v>6.4500000000000002E-2</v>
      </c>
      <c r="F32686" s="26">
        <v>5.3800000000000001E-2</v>
      </c>
      <c r="G32686" s="26">
        <v>8.5999999999999993E-2</v>
      </c>
      <c r="H32686" s="26">
        <v>4.2999999999999997E-2</v>
      </c>
      <c r="I32686" s="26">
        <v>2.1499999999999998E-2</v>
      </c>
      <c r="J32686" s="26">
        <v>3.2300000000000002E-2</v>
      </c>
      <c r="K32686" s="26">
        <v>5.3800000000000001E-2</v>
      </c>
      <c r="L32686" s="26">
        <v>4.2999999999999997E-2</v>
      </c>
      <c r="M32686" s="26">
        <v>3.2300000000000002E-2</v>
      </c>
      <c r="N32686" s="26">
        <v>4.2999999999999997E-2</v>
      </c>
      <c r="O32686" s="26">
        <v>3.2300000000000002E-2</v>
      </c>
      <c r="P32686" s="26">
        <v>2.1499999999999998E-2</v>
      </c>
      <c r="S32686">
        <v>93</v>
      </c>
    </row>
    <row r="32687" spans="1:19" x14ac:dyDescent="0.35">
      <c r="A32687" t="s">
        <v>228</v>
      </c>
      <c r="B32687" t="s">
        <v>2730</v>
      </c>
      <c r="C32687" s="26">
        <v>0.39710000000000001</v>
      </c>
      <c r="D32687" s="26">
        <v>0.32869999999999999</v>
      </c>
      <c r="E32687" s="26">
        <v>7.1499999999999994E-2</v>
      </c>
      <c r="F32687" s="26">
        <v>6.8900000000000003E-2</v>
      </c>
      <c r="G32687" s="26">
        <v>3.2500000000000001E-2</v>
      </c>
      <c r="H32687" s="26">
        <v>6.3600000000000004E-2</v>
      </c>
      <c r="I32687" s="26">
        <v>3.9899999999999998E-2</v>
      </c>
      <c r="J32687" s="26">
        <v>5.0200000000000002E-2</v>
      </c>
      <c r="K32687" s="26">
        <v>2.5899999999999999E-2</v>
      </c>
      <c r="L32687" s="26">
        <v>2.86E-2</v>
      </c>
      <c r="M32687" s="26">
        <v>2.7699999999999999E-2</v>
      </c>
      <c r="N32687" s="26">
        <v>1.0800000000000001E-2</v>
      </c>
      <c r="O32687" s="26">
        <v>2.1399999999999999E-2</v>
      </c>
      <c r="P32687" s="26">
        <v>1.9400000000000001E-2</v>
      </c>
      <c r="R32687" s="26">
        <v>2.5000000000000001E-3</v>
      </c>
      <c r="S32687">
        <v>360</v>
      </c>
    </row>
    <row r="32688" spans="1:19" x14ac:dyDescent="0.35">
      <c r="A32688" t="s">
        <v>228</v>
      </c>
      <c r="B32688" t="s">
        <v>2731</v>
      </c>
      <c r="C32688" s="26">
        <v>0.22289999999999999</v>
      </c>
      <c r="D32688" s="26">
        <v>0.61799999999999999</v>
      </c>
      <c r="E32688" s="26">
        <v>6.4500000000000002E-2</v>
      </c>
      <c r="F32688" s="26">
        <v>1.32E-2</v>
      </c>
      <c r="G32688" s="26">
        <v>5.5800000000000002E-2</v>
      </c>
      <c r="H32688" s="26">
        <v>1.4999999999999999E-2</v>
      </c>
      <c r="I32688" s="26">
        <v>3.3099999999999997E-2</v>
      </c>
      <c r="J32688" s="26">
        <v>1.38E-2</v>
      </c>
      <c r="K32688" s="26">
        <v>7.0000000000000001E-3</v>
      </c>
      <c r="M32688" s="26">
        <v>1.8100000000000002E-2</v>
      </c>
      <c r="N32688" s="26">
        <v>3.0999999999999999E-3</v>
      </c>
      <c r="O32688" s="26">
        <v>6.1999999999999998E-3</v>
      </c>
      <c r="Q32688" s="26">
        <v>3.0999999999999999E-3</v>
      </c>
      <c r="S32688">
        <v>95</v>
      </c>
    </row>
    <row r="32689" spans="1:19" x14ac:dyDescent="0.35">
      <c r="A32689" t="s">
        <v>228</v>
      </c>
      <c r="B32689" t="s">
        <v>2732</v>
      </c>
      <c r="C32689" s="26">
        <v>0.51790000000000003</v>
      </c>
      <c r="D32689" s="26">
        <v>0.26169999999999999</v>
      </c>
      <c r="E32689" s="26">
        <v>8.4400000000000003E-2</v>
      </c>
      <c r="F32689" s="26">
        <v>7.0599999999999996E-2</v>
      </c>
      <c r="G32689" s="26">
        <v>7.7499999999999999E-2</v>
      </c>
      <c r="H32689" s="26">
        <v>3.0099999999999998E-2</v>
      </c>
      <c r="I32689" s="26">
        <v>4.9299999999999997E-2</v>
      </c>
      <c r="J32689" s="26">
        <v>3.9399999999999998E-2</v>
      </c>
      <c r="K32689" s="26">
        <v>2.7900000000000001E-2</v>
      </c>
      <c r="L32689" s="26">
        <v>1.7100000000000001E-2</v>
      </c>
      <c r="M32689" s="26">
        <v>2.8899999999999999E-2</v>
      </c>
      <c r="N32689" s="26">
        <v>1.6199999999999999E-2</v>
      </c>
      <c r="O32689" s="26">
        <v>2.2200000000000001E-2</v>
      </c>
      <c r="P32689" s="26">
        <v>1.9400000000000001E-2</v>
      </c>
      <c r="Q32689" s="26">
        <v>1.1900000000000001E-2</v>
      </c>
      <c r="S32689">
        <v>576</v>
      </c>
    </row>
    <row r="32690" spans="1:19" x14ac:dyDescent="0.35">
      <c r="A32690" t="s">
        <v>229</v>
      </c>
      <c r="B32690" t="s">
        <v>2730</v>
      </c>
      <c r="C32690" s="26">
        <v>0.42499999999999999</v>
      </c>
      <c r="D32690" s="26">
        <v>0.2853</v>
      </c>
      <c r="E32690" s="26">
        <v>7.6100000000000001E-2</v>
      </c>
      <c r="F32690" s="26">
        <v>9.9699999999999997E-2</v>
      </c>
      <c r="G32690" s="26">
        <v>5.9400000000000001E-2</v>
      </c>
      <c r="H32690" s="26">
        <v>4.7899999999999998E-2</v>
      </c>
      <c r="I32690" s="26">
        <v>1.3899999999999999E-2</v>
      </c>
      <c r="J32690" s="26">
        <v>3.6900000000000002E-2</v>
      </c>
      <c r="K32690" s="26">
        <v>2.8500000000000001E-2</v>
      </c>
      <c r="L32690" s="26">
        <v>2.5499999999999998E-2</v>
      </c>
      <c r="M32690" s="26">
        <v>3.3099999999999997E-2</v>
      </c>
      <c r="N32690" s="26">
        <v>4.07E-2</v>
      </c>
      <c r="O32690" s="26">
        <v>3.1E-2</v>
      </c>
      <c r="P32690" s="26">
        <v>1.3299999999999999E-2</v>
      </c>
      <c r="Q32690" s="26">
        <v>3.0000000000000001E-3</v>
      </c>
      <c r="S32690">
        <v>301</v>
      </c>
    </row>
    <row r="32691" spans="1:19" x14ac:dyDescent="0.35">
      <c r="A32691" t="s">
        <v>229</v>
      </c>
      <c r="B32691" t="s">
        <v>2731</v>
      </c>
      <c r="C32691" s="26">
        <v>0.31840000000000002</v>
      </c>
      <c r="D32691" s="26">
        <v>0.51910000000000001</v>
      </c>
      <c r="E32691" s="26">
        <v>5.2900000000000003E-2</v>
      </c>
      <c r="F32691" s="26">
        <v>3.0499999999999999E-2</v>
      </c>
      <c r="G32691" s="26">
        <v>4.2799999999999998E-2</v>
      </c>
      <c r="H32691" s="26">
        <v>4.2599999999999999E-2</v>
      </c>
      <c r="I32691" s="26">
        <v>4.6699999999999998E-2</v>
      </c>
      <c r="J32691" s="26">
        <v>4.2700000000000002E-2</v>
      </c>
      <c r="K32691" s="26">
        <v>1.21E-2</v>
      </c>
      <c r="L32691" s="26">
        <v>7.7299999999999994E-2</v>
      </c>
      <c r="M32691" s="26">
        <v>1.4200000000000001E-2</v>
      </c>
      <c r="P32691" s="26">
        <v>3.2599999999999997E-2</v>
      </c>
      <c r="S32691">
        <v>86</v>
      </c>
    </row>
    <row r="32692" spans="1:19" x14ac:dyDescent="0.35">
      <c r="A32692" t="s">
        <v>229</v>
      </c>
      <c r="B32692" t="s">
        <v>2732</v>
      </c>
      <c r="C32692" s="26">
        <v>0.43919999999999998</v>
      </c>
      <c r="D32692" s="26">
        <v>0.33460000000000001</v>
      </c>
      <c r="E32692" s="26">
        <v>0.1013</v>
      </c>
      <c r="F32692" s="26">
        <v>5.7700000000000001E-2</v>
      </c>
      <c r="G32692" s="26">
        <v>8.8099999999999998E-2</v>
      </c>
      <c r="H32692" s="26">
        <v>6.1100000000000002E-2</v>
      </c>
      <c r="I32692" s="26">
        <v>6.1400000000000003E-2</v>
      </c>
      <c r="J32692" s="26">
        <v>5.7000000000000002E-2</v>
      </c>
      <c r="K32692" s="26">
        <v>5.2400000000000002E-2</v>
      </c>
      <c r="L32692" s="26">
        <v>3.8300000000000001E-2</v>
      </c>
      <c r="M32692" s="26">
        <v>4.2299999999999997E-2</v>
      </c>
      <c r="N32692" s="26">
        <v>4.6399999999999997E-2</v>
      </c>
      <c r="O32692" s="26">
        <v>2.7300000000000001E-2</v>
      </c>
      <c r="P32692" s="26">
        <v>3.1099999999999999E-2</v>
      </c>
      <c r="Q32692" s="26">
        <v>1.4E-3</v>
      </c>
      <c r="R32692" s="26">
        <v>3.8999999999999998E-3</v>
      </c>
      <c r="S32692">
        <v>506</v>
      </c>
    </row>
    <row r="32693" spans="1:19" x14ac:dyDescent="0.35">
      <c r="A32693" t="s">
        <v>230</v>
      </c>
      <c r="B32693" t="s">
        <v>2730</v>
      </c>
      <c r="C32693" s="26">
        <v>0.44829999999999998</v>
      </c>
      <c r="D32693" s="26">
        <v>0.30549999999999999</v>
      </c>
      <c r="E32693" s="26">
        <v>0.1104</v>
      </c>
      <c r="F32693" s="26">
        <v>7.7700000000000005E-2</v>
      </c>
      <c r="G32693" s="26">
        <v>7.2300000000000003E-2</v>
      </c>
      <c r="H32693" s="26">
        <v>5.8099999999999999E-2</v>
      </c>
      <c r="I32693" s="26">
        <v>7.1400000000000005E-2</v>
      </c>
      <c r="J32693" s="26">
        <v>5.2499999999999998E-2</v>
      </c>
      <c r="K32693" s="26">
        <v>3.4599999999999999E-2</v>
      </c>
      <c r="L32693" s="26">
        <v>4.2299999999999997E-2</v>
      </c>
      <c r="M32693" s="26">
        <v>5.33E-2</v>
      </c>
      <c r="N32693" s="26">
        <v>1.9699999999999999E-2</v>
      </c>
      <c r="O32693" s="26">
        <v>2.63E-2</v>
      </c>
      <c r="P32693" s="26">
        <v>2.98E-2</v>
      </c>
      <c r="Q32693" s="26">
        <v>2.8999999999999998E-3</v>
      </c>
      <c r="S32693">
        <v>197</v>
      </c>
    </row>
    <row r="32694" spans="1:19" x14ac:dyDescent="0.35">
      <c r="A32694" t="s">
        <v>230</v>
      </c>
      <c r="B32694" t="s">
        <v>2731</v>
      </c>
      <c r="C32694" s="26">
        <v>0.31359999999999999</v>
      </c>
      <c r="D32694" s="26">
        <v>0.64929999999999999</v>
      </c>
      <c r="E32694" s="26">
        <v>1.8599999999999998E-2</v>
      </c>
      <c r="F32694" s="26">
        <v>3.5000000000000001E-3</v>
      </c>
      <c r="J32694" s="26">
        <v>7.1000000000000004E-3</v>
      </c>
      <c r="K32694" s="26">
        <v>3.5000000000000001E-3</v>
      </c>
      <c r="P32694" s="26">
        <v>1.4999999999999999E-2</v>
      </c>
      <c r="S32694">
        <v>50</v>
      </c>
    </row>
    <row r="32695" spans="1:19" x14ac:dyDescent="0.35">
      <c r="A32695" t="s">
        <v>230</v>
      </c>
      <c r="B32695" t="s">
        <v>2732</v>
      </c>
      <c r="C32695" s="26">
        <v>0.43780000000000002</v>
      </c>
      <c r="D32695" s="26">
        <v>0.28170000000000001</v>
      </c>
      <c r="E32695" s="26">
        <v>6.6400000000000001E-2</v>
      </c>
      <c r="F32695" s="26">
        <v>8.0299999999999996E-2</v>
      </c>
      <c r="G32695" s="26">
        <v>0.1069</v>
      </c>
      <c r="H32695" s="26">
        <v>4.6100000000000002E-2</v>
      </c>
      <c r="I32695" s="26">
        <v>4.1599999999999998E-2</v>
      </c>
      <c r="J32695" s="26">
        <v>4.9000000000000002E-2</v>
      </c>
      <c r="K32695" s="26">
        <v>4.3200000000000002E-2</v>
      </c>
      <c r="L32695" s="26">
        <v>3.4500000000000003E-2</v>
      </c>
      <c r="M32695" s="26">
        <v>5.67E-2</v>
      </c>
      <c r="N32695" s="26">
        <v>3.1E-2</v>
      </c>
      <c r="O32695" s="26">
        <v>7.3899999999999993E-2</v>
      </c>
      <c r="P32695" s="26">
        <v>2.3400000000000001E-2</v>
      </c>
      <c r="Q32695" s="26">
        <v>4.4000000000000003E-3</v>
      </c>
      <c r="S32695">
        <v>313</v>
      </c>
    </row>
    <row r="32696" spans="1:19" x14ac:dyDescent="0.35">
      <c r="A32696" t="s">
        <v>231</v>
      </c>
      <c r="B32696" t="s">
        <v>2730</v>
      </c>
      <c r="C32696" s="26">
        <v>0.43640000000000001</v>
      </c>
      <c r="D32696" s="26">
        <v>0.4</v>
      </c>
      <c r="E32696" s="26">
        <v>9.0899999999999995E-2</v>
      </c>
      <c r="F32696" s="26">
        <v>5.45E-2</v>
      </c>
      <c r="H32696" s="26">
        <v>3.6400000000000002E-2</v>
      </c>
      <c r="I32696" s="26">
        <v>5.45E-2</v>
      </c>
      <c r="J32696" s="26">
        <v>1.8200000000000001E-2</v>
      </c>
      <c r="L32696" s="26">
        <v>3.6400000000000002E-2</v>
      </c>
      <c r="N32696" s="26">
        <v>1.8200000000000001E-2</v>
      </c>
      <c r="O32696" s="26">
        <v>1.8200000000000001E-2</v>
      </c>
      <c r="Q32696" s="26">
        <v>1.8200000000000001E-2</v>
      </c>
      <c r="S32696">
        <v>55</v>
      </c>
    </row>
    <row r="32697" spans="1:19" x14ac:dyDescent="0.35">
      <c r="A32697" s="27" t="s">
        <v>231</v>
      </c>
      <c r="B32697" s="27" t="s">
        <v>2731</v>
      </c>
      <c r="C32697" s="28">
        <v>0.29409999999999997</v>
      </c>
      <c r="D32697" s="28">
        <v>0.52939999999999998</v>
      </c>
      <c r="E32697" s="28">
        <v>5.8799999999999998E-2</v>
      </c>
      <c r="F32697" s="29"/>
      <c r="G32697" s="29"/>
      <c r="H32697" s="28">
        <v>5.8799999999999998E-2</v>
      </c>
      <c r="I32697" s="28">
        <v>5.8799999999999998E-2</v>
      </c>
      <c r="J32697" s="28">
        <v>0.1176</v>
      </c>
      <c r="K32697" s="29"/>
      <c r="L32697" s="29"/>
      <c r="M32697" s="29"/>
      <c r="N32697" s="29"/>
      <c r="O32697" s="29"/>
      <c r="P32697" s="28">
        <v>5.8799999999999998E-2</v>
      </c>
      <c r="Q32697" s="29"/>
      <c r="R32697" s="29"/>
      <c r="S32697" s="29" t="s">
        <v>343</v>
      </c>
    </row>
    <row r="32698" spans="1:19" x14ac:dyDescent="0.35">
      <c r="A32698" t="s">
        <v>231</v>
      </c>
      <c r="B32698" t="s">
        <v>2732</v>
      </c>
      <c r="C32698" s="26">
        <v>0.56520000000000004</v>
      </c>
      <c r="D32698" s="26">
        <v>0.19570000000000001</v>
      </c>
      <c r="E32698" s="26">
        <v>8.6999999999999994E-2</v>
      </c>
      <c r="F32698" s="26">
        <v>5.4300000000000001E-2</v>
      </c>
      <c r="G32698" s="26">
        <v>7.6100000000000001E-2</v>
      </c>
      <c r="H32698" s="26">
        <v>1.09E-2</v>
      </c>
      <c r="I32698" s="26">
        <v>2.1700000000000001E-2</v>
      </c>
      <c r="J32698" s="26">
        <v>1.09E-2</v>
      </c>
      <c r="K32698" s="26">
        <v>2.1700000000000001E-2</v>
      </c>
      <c r="L32698" s="26">
        <v>1.09E-2</v>
      </c>
      <c r="M32698" s="26">
        <v>2.1700000000000001E-2</v>
      </c>
      <c r="N32698" s="26">
        <v>1.09E-2</v>
      </c>
      <c r="O32698" s="26">
        <v>1.09E-2</v>
      </c>
      <c r="P32698" s="26">
        <v>2.1700000000000001E-2</v>
      </c>
      <c r="S32698">
        <v>92</v>
      </c>
    </row>
    <row r="32699" spans="1:19" x14ac:dyDescent="0.35">
      <c r="A32699" t="s">
        <v>232</v>
      </c>
      <c r="B32699" t="s">
        <v>232</v>
      </c>
      <c r="C32699" s="26">
        <v>0.45500000000000002</v>
      </c>
      <c r="D32699" s="26">
        <v>0.31719999999999998</v>
      </c>
      <c r="E32699" s="26">
        <v>8.2000000000000003E-2</v>
      </c>
      <c r="F32699" s="26">
        <v>6.3500000000000001E-2</v>
      </c>
      <c r="G32699" s="26">
        <v>6.3E-2</v>
      </c>
      <c r="H32699" s="26">
        <v>4.1399999999999999E-2</v>
      </c>
      <c r="I32699" s="26">
        <v>4.0399999999999998E-2</v>
      </c>
      <c r="J32699" s="26">
        <v>3.9E-2</v>
      </c>
      <c r="K32699" s="26">
        <v>2.87E-2</v>
      </c>
      <c r="L32699" s="26">
        <v>2.8500000000000001E-2</v>
      </c>
      <c r="M32699" s="26">
        <v>2.8000000000000001E-2</v>
      </c>
      <c r="N32699" s="26">
        <v>2.6599999999999999E-2</v>
      </c>
      <c r="O32699" s="26">
        <v>2.5499999999999998E-2</v>
      </c>
      <c r="P32699" s="26">
        <v>2.0199999999999999E-2</v>
      </c>
      <c r="Q32699" s="26">
        <v>3.8999999999999998E-3</v>
      </c>
      <c r="R32699" s="26">
        <v>8.9999999999999998E-4</v>
      </c>
      <c r="S32699">
        <v>2809</v>
      </c>
    </row>
    <row r="32701" spans="1:19" x14ac:dyDescent="0.35">
      <c r="A32701" s="1" t="s">
        <v>2839</v>
      </c>
    </row>
    <row r="32702" spans="1:19" x14ac:dyDescent="0.35">
      <c r="A32702" t="s">
        <v>219</v>
      </c>
      <c r="B32702" t="s">
        <v>305</v>
      </c>
      <c r="C32702" t="s">
        <v>550</v>
      </c>
      <c r="D32702" t="s">
        <v>281</v>
      </c>
      <c r="E32702" t="s">
        <v>2620</v>
      </c>
      <c r="F32702" t="s">
        <v>2621</v>
      </c>
      <c r="G32702" t="s">
        <v>2622</v>
      </c>
      <c r="H32702" t="s">
        <v>2599</v>
      </c>
      <c r="I32702" t="s">
        <v>2623</v>
      </c>
      <c r="J32702" t="s">
        <v>2624</v>
      </c>
      <c r="K32702" t="s">
        <v>2625</v>
      </c>
      <c r="L32702" t="s">
        <v>2626</v>
      </c>
      <c r="M32702" t="s">
        <v>286</v>
      </c>
      <c r="N32702" t="s">
        <v>326</v>
      </c>
      <c r="O32702" t="s">
        <v>226</v>
      </c>
    </row>
    <row r="32703" spans="1:19" x14ac:dyDescent="0.35">
      <c r="A32703" t="s">
        <v>227</v>
      </c>
      <c r="B32703" t="s">
        <v>2730</v>
      </c>
      <c r="C32703" s="26">
        <v>0.42549999999999999</v>
      </c>
      <c r="D32703" s="26">
        <v>0.36170000000000002</v>
      </c>
      <c r="E32703" s="26">
        <v>0.1489</v>
      </c>
      <c r="F32703" s="26">
        <v>4.2599999999999999E-2</v>
      </c>
      <c r="G32703" s="26">
        <v>4.2599999999999999E-2</v>
      </c>
      <c r="H32703" s="26">
        <v>2.1299999999999999E-2</v>
      </c>
      <c r="I32703" s="26">
        <v>0.10639999999999999</v>
      </c>
      <c r="J32703" s="26">
        <v>4.2599999999999999E-2</v>
      </c>
      <c r="K32703" s="26">
        <v>4.2599999999999999E-2</v>
      </c>
      <c r="L32703" s="26">
        <v>2.1299999999999999E-2</v>
      </c>
      <c r="O32703">
        <v>47</v>
      </c>
    </row>
    <row r="32704" spans="1:19" x14ac:dyDescent="0.35">
      <c r="A32704" s="27" t="s">
        <v>227</v>
      </c>
      <c r="B32704" s="27" t="s">
        <v>2731</v>
      </c>
      <c r="C32704" s="28">
        <v>0.28570000000000001</v>
      </c>
      <c r="D32704" s="28">
        <v>0.47620000000000001</v>
      </c>
      <c r="E32704" s="28">
        <v>0.1429</v>
      </c>
      <c r="F32704" s="28">
        <v>9.5200000000000007E-2</v>
      </c>
      <c r="G32704" s="28">
        <v>4.7600000000000003E-2</v>
      </c>
      <c r="H32704" s="28">
        <v>4.7600000000000003E-2</v>
      </c>
      <c r="I32704" s="28">
        <v>9.5200000000000007E-2</v>
      </c>
      <c r="J32704" s="29"/>
      <c r="K32704" s="29"/>
      <c r="L32704" s="29"/>
      <c r="M32704" s="29"/>
      <c r="N32704" s="29"/>
      <c r="O32704" s="29" t="s">
        <v>351</v>
      </c>
    </row>
    <row r="32705" spans="1:15" x14ac:dyDescent="0.35">
      <c r="A32705" t="s">
        <v>227</v>
      </c>
      <c r="B32705" t="s">
        <v>2732</v>
      </c>
      <c r="C32705" s="26">
        <v>0.53759999999999997</v>
      </c>
      <c r="D32705" s="26">
        <v>0.18279999999999999</v>
      </c>
      <c r="E32705" s="26">
        <v>0.19350000000000001</v>
      </c>
      <c r="F32705" s="26">
        <v>5.3800000000000001E-2</v>
      </c>
      <c r="G32705" s="26">
        <v>4.2999999999999997E-2</v>
      </c>
      <c r="H32705" s="26">
        <v>5.3800000000000001E-2</v>
      </c>
      <c r="I32705" s="26">
        <v>3.2300000000000002E-2</v>
      </c>
      <c r="J32705" s="26">
        <v>4.2999999999999997E-2</v>
      </c>
      <c r="K32705" s="26">
        <v>5.3800000000000001E-2</v>
      </c>
      <c r="L32705" s="26">
        <v>2.1499999999999998E-2</v>
      </c>
      <c r="O32705">
        <v>93</v>
      </c>
    </row>
    <row r="32706" spans="1:15" x14ac:dyDescent="0.35">
      <c r="A32706" t="s">
        <v>228</v>
      </c>
      <c r="B32706" t="s">
        <v>2730</v>
      </c>
      <c r="C32706" s="26">
        <v>0.36720000000000003</v>
      </c>
      <c r="D32706" s="26">
        <v>0.36759999999999998</v>
      </c>
      <c r="E32706" s="26">
        <v>0.13150000000000001</v>
      </c>
      <c r="F32706" s="26">
        <v>0.123</v>
      </c>
      <c r="G32706" s="26">
        <v>5.7000000000000002E-2</v>
      </c>
      <c r="H32706" s="26">
        <v>7.4499999999999997E-2</v>
      </c>
      <c r="I32706" s="26">
        <v>0.05</v>
      </c>
      <c r="J32706" s="26">
        <v>4.7199999999999999E-2</v>
      </c>
      <c r="K32706" s="26">
        <v>4.3400000000000001E-2</v>
      </c>
      <c r="L32706" s="26">
        <v>1.5699999999999999E-2</v>
      </c>
      <c r="M32706" s="26">
        <v>2.5000000000000001E-3</v>
      </c>
      <c r="O32706">
        <v>360</v>
      </c>
    </row>
    <row r="32707" spans="1:15" x14ac:dyDescent="0.35">
      <c r="A32707" t="s">
        <v>228</v>
      </c>
      <c r="B32707" t="s">
        <v>2731</v>
      </c>
      <c r="C32707" s="26">
        <v>0.21240000000000001</v>
      </c>
      <c r="D32707" s="26">
        <v>0.50190000000000001</v>
      </c>
      <c r="E32707" s="26">
        <v>0.20180000000000001</v>
      </c>
      <c r="F32707" s="26">
        <v>9.7000000000000003E-2</v>
      </c>
      <c r="G32707" s="26">
        <v>3.2099999999999997E-2</v>
      </c>
      <c r="H32707" s="26">
        <v>9.01E-2</v>
      </c>
      <c r="I32707" s="26">
        <v>3.5999999999999997E-2</v>
      </c>
      <c r="J32707" s="26">
        <v>7.3700000000000002E-2</v>
      </c>
      <c r="K32707" s="26">
        <v>9.4000000000000004E-3</v>
      </c>
      <c r="L32707" s="26">
        <v>3.0999999999999999E-3</v>
      </c>
      <c r="M32707" s="26">
        <v>6.3E-3</v>
      </c>
      <c r="O32707">
        <v>95</v>
      </c>
    </row>
    <row r="32708" spans="1:15" x14ac:dyDescent="0.35">
      <c r="A32708" t="s">
        <v>228</v>
      </c>
      <c r="B32708" t="s">
        <v>2732</v>
      </c>
      <c r="C32708" s="26">
        <v>0.41349999999999998</v>
      </c>
      <c r="D32708" s="26">
        <v>0.2666</v>
      </c>
      <c r="E32708" s="26">
        <v>0.15809999999999999</v>
      </c>
      <c r="F32708" s="26">
        <v>9.2200000000000004E-2</v>
      </c>
      <c r="G32708" s="26">
        <v>7.3099999999999998E-2</v>
      </c>
      <c r="H32708" s="26">
        <v>8.9800000000000005E-2</v>
      </c>
      <c r="I32708" s="26">
        <v>5.9200000000000003E-2</v>
      </c>
      <c r="J32708" s="26">
        <v>3.7900000000000003E-2</v>
      </c>
      <c r="K32708" s="26">
        <v>2.9499999999999998E-2</v>
      </c>
      <c r="L32708" s="26">
        <v>1.03E-2</v>
      </c>
      <c r="M32708" s="26">
        <v>1.0999999999999999E-2</v>
      </c>
      <c r="O32708">
        <v>575</v>
      </c>
    </row>
    <row r="32709" spans="1:15" x14ac:dyDescent="0.35">
      <c r="A32709" t="s">
        <v>229</v>
      </c>
      <c r="B32709" t="s">
        <v>2730</v>
      </c>
      <c r="C32709" s="26">
        <v>0.42499999999999999</v>
      </c>
      <c r="D32709" s="26">
        <v>0.34</v>
      </c>
      <c r="E32709" s="26">
        <v>0.1109</v>
      </c>
      <c r="F32709" s="26">
        <v>4.5199999999999997E-2</v>
      </c>
      <c r="G32709" s="26">
        <v>4.5900000000000003E-2</v>
      </c>
      <c r="H32709" s="26">
        <v>1.9599999999999999E-2</v>
      </c>
      <c r="I32709" s="26">
        <v>4.5600000000000002E-2</v>
      </c>
      <c r="J32709" s="26">
        <v>7.6200000000000004E-2</v>
      </c>
      <c r="K32709" s="26">
        <v>3.0700000000000002E-2</v>
      </c>
      <c r="L32709" s="26">
        <v>0.01</v>
      </c>
      <c r="M32709" s="26">
        <v>3.0000000000000001E-3</v>
      </c>
      <c r="N32709" s="26">
        <v>5.9999999999999995E-4</v>
      </c>
      <c r="O32709">
        <v>301</v>
      </c>
    </row>
    <row r="32710" spans="1:15" x14ac:dyDescent="0.35">
      <c r="A32710" t="s">
        <v>229</v>
      </c>
      <c r="B32710" t="s">
        <v>2731</v>
      </c>
      <c r="C32710" s="26">
        <v>0.35589999999999999</v>
      </c>
      <c r="D32710" s="26">
        <v>0.4496</v>
      </c>
      <c r="E32710" s="26">
        <v>5.6099999999999997E-2</v>
      </c>
      <c r="F32710" s="26">
        <v>2.8299999999999999E-2</v>
      </c>
      <c r="G32710" s="26">
        <v>6.2899999999999998E-2</v>
      </c>
      <c r="H32710" s="26">
        <v>5.7299999999999997E-2</v>
      </c>
      <c r="I32710" s="26">
        <v>1.6299999999999999E-2</v>
      </c>
      <c r="J32710" s="26">
        <v>0.1158</v>
      </c>
      <c r="K32710" s="26">
        <v>1.6299999999999999E-2</v>
      </c>
      <c r="O32710">
        <v>86</v>
      </c>
    </row>
    <row r="32711" spans="1:15" x14ac:dyDescent="0.35">
      <c r="A32711" t="s">
        <v>229</v>
      </c>
      <c r="B32711" t="s">
        <v>2732</v>
      </c>
      <c r="C32711" s="26">
        <v>0.43149999999999999</v>
      </c>
      <c r="D32711" s="26">
        <v>0.27679999999999999</v>
      </c>
      <c r="E32711" s="26">
        <v>0.1736</v>
      </c>
      <c r="F32711" s="26">
        <v>4.8300000000000003E-2</v>
      </c>
      <c r="G32711" s="26">
        <v>5.6800000000000003E-2</v>
      </c>
      <c r="H32711" s="26">
        <v>6.5699999999999995E-2</v>
      </c>
      <c r="I32711" s="26">
        <v>5.67E-2</v>
      </c>
      <c r="J32711" s="26">
        <v>2.58E-2</v>
      </c>
      <c r="K32711" s="26">
        <v>3.3799999999999997E-2</v>
      </c>
      <c r="L32711" s="26">
        <v>2.0500000000000001E-2</v>
      </c>
      <c r="M32711" s="26">
        <v>1.1999999999999999E-3</v>
      </c>
      <c r="O32711">
        <v>505</v>
      </c>
    </row>
    <row r="32712" spans="1:15" x14ac:dyDescent="0.35">
      <c r="A32712" t="s">
        <v>230</v>
      </c>
      <c r="B32712" t="s">
        <v>2730</v>
      </c>
      <c r="C32712" s="26">
        <v>0.36799999999999999</v>
      </c>
      <c r="D32712" s="26">
        <v>0.35770000000000002</v>
      </c>
      <c r="E32712" s="26">
        <v>0.1973</v>
      </c>
      <c r="F32712" s="26">
        <v>0.05</v>
      </c>
      <c r="G32712" s="26">
        <v>5.2200000000000003E-2</v>
      </c>
      <c r="H32712" s="26">
        <v>7.1199999999999999E-2</v>
      </c>
      <c r="I32712" s="26">
        <v>7.7899999999999997E-2</v>
      </c>
      <c r="J32712" s="26">
        <v>4.2799999999999998E-2</v>
      </c>
      <c r="K32712" s="26">
        <v>3.7600000000000001E-2</v>
      </c>
      <c r="L32712" s="26">
        <v>1.8700000000000001E-2</v>
      </c>
      <c r="M32712" s="26">
        <v>3.7000000000000002E-3</v>
      </c>
      <c r="O32712">
        <v>197</v>
      </c>
    </row>
    <row r="32713" spans="1:15" x14ac:dyDescent="0.35">
      <c r="A32713" t="s">
        <v>230</v>
      </c>
      <c r="B32713" t="s">
        <v>2731</v>
      </c>
      <c r="C32713" s="26">
        <v>0.35980000000000001</v>
      </c>
      <c r="D32713" s="26">
        <v>0.43259999999999998</v>
      </c>
      <c r="E32713" s="26">
        <v>0.1075</v>
      </c>
      <c r="F32713" s="26">
        <v>4.1000000000000002E-2</v>
      </c>
      <c r="G32713" s="26">
        <v>8.8300000000000003E-2</v>
      </c>
      <c r="H32713" s="26">
        <v>3.0300000000000001E-2</v>
      </c>
      <c r="J32713" s="26">
        <v>1.4999999999999999E-2</v>
      </c>
      <c r="K32713" s="26">
        <v>1.15E-2</v>
      </c>
      <c r="O32713">
        <v>50</v>
      </c>
    </row>
    <row r="32714" spans="1:15" x14ac:dyDescent="0.35">
      <c r="A32714" t="s">
        <v>230</v>
      </c>
      <c r="B32714" t="s">
        <v>2732</v>
      </c>
      <c r="C32714" s="26">
        <v>0.4037</v>
      </c>
      <c r="D32714" s="26">
        <v>0.24179999999999999</v>
      </c>
      <c r="E32714" s="26">
        <v>0.19270000000000001</v>
      </c>
      <c r="F32714" s="26">
        <v>0.13880000000000001</v>
      </c>
      <c r="G32714" s="26">
        <v>6.8000000000000005E-2</v>
      </c>
      <c r="H32714" s="26">
        <v>6.6799999999999998E-2</v>
      </c>
      <c r="I32714" s="26">
        <v>6.4000000000000001E-2</v>
      </c>
      <c r="J32714" s="26">
        <v>6.5100000000000005E-2</v>
      </c>
      <c r="K32714" s="26">
        <v>4.7300000000000002E-2</v>
      </c>
      <c r="L32714" s="26">
        <v>2.64E-2</v>
      </c>
      <c r="M32714" s="26">
        <v>3.0000000000000001E-3</v>
      </c>
      <c r="O32714">
        <v>312</v>
      </c>
    </row>
    <row r="32715" spans="1:15" x14ac:dyDescent="0.35">
      <c r="A32715" t="s">
        <v>231</v>
      </c>
      <c r="B32715" t="s">
        <v>2730</v>
      </c>
      <c r="C32715" s="26">
        <v>0.4</v>
      </c>
      <c r="D32715" s="26">
        <v>0.45450000000000002</v>
      </c>
      <c r="E32715" s="26">
        <v>7.2700000000000001E-2</v>
      </c>
      <c r="F32715" s="26">
        <v>3.6400000000000002E-2</v>
      </c>
      <c r="G32715" s="26">
        <v>1.8200000000000001E-2</v>
      </c>
      <c r="I32715" s="26">
        <v>1.8200000000000001E-2</v>
      </c>
      <c r="L32715" s="26">
        <v>1.8200000000000001E-2</v>
      </c>
      <c r="O32715">
        <v>55</v>
      </c>
    </row>
    <row r="32716" spans="1:15" x14ac:dyDescent="0.35">
      <c r="A32716" s="27" t="s">
        <v>231</v>
      </c>
      <c r="B32716" s="27" t="s">
        <v>2731</v>
      </c>
      <c r="C32716" s="28">
        <v>0.35289999999999999</v>
      </c>
      <c r="D32716" s="28">
        <v>0.52939999999999998</v>
      </c>
      <c r="E32716" s="28">
        <v>0.1176</v>
      </c>
      <c r="F32716" s="29"/>
      <c r="G32716" s="28">
        <v>5.8799999999999998E-2</v>
      </c>
      <c r="H32716" s="29"/>
      <c r="I32716" s="29"/>
      <c r="J32716" s="29"/>
      <c r="K32716" s="28">
        <v>5.8799999999999998E-2</v>
      </c>
      <c r="L32716" s="29"/>
      <c r="M32716" s="29"/>
      <c r="N32716" s="29"/>
      <c r="O32716" s="29" t="s">
        <v>343</v>
      </c>
    </row>
    <row r="32717" spans="1:15" x14ac:dyDescent="0.35">
      <c r="A32717" t="s">
        <v>231</v>
      </c>
      <c r="B32717" t="s">
        <v>2732</v>
      </c>
      <c r="C32717" s="26">
        <v>0.51090000000000002</v>
      </c>
      <c r="D32717" s="26">
        <v>0.2283</v>
      </c>
      <c r="E32717" s="26">
        <v>0.18479999999999999</v>
      </c>
      <c r="F32717" s="26">
        <v>5.4300000000000001E-2</v>
      </c>
      <c r="G32717" s="26">
        <v>4.3499999999999997E-2</v>
      </c>
      <c r="H32717" s="26">
        <v>3.2599999999999997E-2</v>
      </c>
      <c r="I32717" s="26">
        <v>3.2599999999999997E-2</v>
      </c>
      <c r="J32717" s="26">
        <v>2.1700000000000001E-2</v>
      </c>
      <c r="K32717" s="26">
        <v>1.09E-2</v>
      </c>
      <c r="O32717">
        <v>92</v>
      </c>
    </row>
    <row r="32718" spans="1:15" x14ac:dyDescent="0.35">
      <c r="A32718" t="s">
        <v>232</v>
      </c>
      <c r="B32718" t="s">
        <v>232</v>
      </c>
      <c r="C32718" s="26">
        <v>0.42920000000000003</v>
      </c>
      <c r="D32718" s="26">
        <v>0.31090000000000001</v>
      </c>
      <c r="E32718" s="26">
        <v>0.154</v>
      </c>
      <c r="F32718" s="26">
        <v>6.3E-2</v>
      </c>
      <c r="G32718" s="26">
        <v>5.0700000000000002E-2</v>
      </c>
      <c r="H32718" s="26">
        <v>4.9099999999999998E-2</v>
      </c>
      <c r="I32718" s="26">
        <v>4.7E-2</v>
      </c>
      <c r="J32718" s="26">
        <v>3.61E-2</v>
      </c>
      <c r="K32718" s="26">
        <v>2.9100000000000001E-2</v>
      </c>
      <c r="L32718" s="26">
        <v>1.34E-2</v>
      </c>
      <c r="M32718" s="26">
        <v>2.2000000000000001E-3</v>
      </c>
      <c r="N32718" s="26">
        <v>0</v>
      </c>
      <c r="O32718">
        <v>2806</v>
      </c>
    </row>
    <row r="32720" spans="1:15" x14ac:dyDescent="0.35">
      <c r="A32720" s="1" t="s">
        <v>2840</v>
      </c>
    </row>
    <row r="32721" spans="1:13" x14ac:dyDescent="0.35">
      <c r="A32721" t="s">
        <v>219</v>
      </c>
      <c r="B32721" t="s">
        <v>305</v>
      </c>
      <c r="C32721" t="s">
        <v>302</v>
      </c>
      <c r="D32721" t="s">
        <v>2642</v>
      </c>
      <c r="E32721" t="s">
        <v>281</v>
      </c>
      <c r="F32721" t="s">
        <v>2643</v>
      </c>
      <c r="G32721" t="s">
        <v>2644</v>
      </c>
      <c r="H32721" t="s">
        <v>2645</v>
      </c>
      <c r="I32721" t="s">
        <v>2646</v>
      </c>
      <c r="J32721" t="s">
        <v>2647</v>
      </c>
      <c r="K32721" t="s">
        <v>2648</v>
      </c>
      <c r="L32721" t="s">
        <v>286</v>
      </c>
      <c r="M32721" t="s">
        <v>226</v>
      </c>
    </row>
    <row r="32722" spans="1:13" x14ac:dyDescent="0.35">
      <c r="A32722" t="s">
        <v>227</v>
      </c>
      <c r="B32722" t="s">
        <v>2730</v>
      </c>
      <c r="C32722" s="26">
        <v>0.91490000000000005</v>
      </c>
      <c r="D32722" s="26">
        <v>2.1299999999999999E-2</v>
      </c>
      <c r="E32722" s="26">
        <v>6.3799999999999996E-2</v>
      </c>
      <c r="G32722" s="26">
        <v>2.1299999999999999E-2</v>
      </c>
      <c r="M32722">
        <v>47</v>
      </c>
    </row>
    <row r="32723" spans="1:13" x14ac:dyDescent="0.35">
      <c r="A32723" s="27" t="s">
        <v>227</v>
      </c>
      <c r="B32723" s="27" t="s">
        <v>2731</v>
      </c>
      <c r="C32723" s="28">
        <v>0.95240000000000002</v>
      </c>
      <c r="D32723" s="29"/>
      <c r="E32723" s="29"/>
      <c r="F32723" s="29"/>
      <c r="G32723" s="28">
        <v>4.7600000000000003E-2</v>
      </c>
      <c r="H32723" s="29"/>
      <c r="I32723" s="29"/>
      <c r="J32723" s="29"/>
      <c r="K32723" s="29"/>
      <c r="L32723" s="29"/>
      <c r="M32723" s="29" t="s">
        <v>351</v>
      </c>
    </row>
    <row r="32724" spans="1:13" x14ac:dyDescent="0.35">
      <c r="A32724" t="s">
        <v>227</v>
      </c>
      <c r="B32724" t="s">
        <v>2732</v>
      </c>
      <c r="C32724" s="26">
        <v>0.80649999999999999</v>
      </c>
      <c r="D32724" s="26">
        <v>0.1075</v>
      </c>
      <c r="E32724" s="26">
        <v>4.2999999999999997E-2</v>
      </c>
      <c r="F32724" s="26">
        <v>1.0800000000000001E-2</v>
      </c>
      <c r="G32724" s="26">
        <v>4.2999999999999997E-2</v>
      </c>
      <c r="H32724" s="26">
        <v>1.0800000000000001E-2</v>
      </c>
      <c r="I32724" s="26">
        <v>1.0800000000000001E-2</v>
      </c>
      <c r="J32724" s="26">
        <v>2.1499999999999998E-2</v>
      </c>
      <c r="K32724" s="26">
        <v>1.0800000000000001E-2</v>
      </c>
      <c r="M32724">
        <v>93</v>
      </c>
    </row>
    <row r="32725" spans="1:13" x14ac:dyDescent="0.35">
      <c r="A32725" t="s">
        <v>228</v>
      </c>
      <c r="B32725" t="s">
        <v>2730</v>
      </c>
      <c r="C32725" s="26">
        <v>0.71340000000000003</v>
      </c>
      <c r="D32725" s="26">
        <v>0.1138</v>
      </c>
      <c r="E32725" s="26">
        <v>5.7599999999999998E-2</v>
      </c>
      <c r="F32725" s="26">
        <v>0.1028</v>
      </c>
      <c r="G32725" s="26">
        <v>5.4199999999999998E-2</v>
      </c>
      <c r="H32725" s="26">
        <v>6.2199999999999998E-2</v>
      </c>
      <c r="I32725" s="26">
        <v>5.7000000000000002E-2</v>
      </c>
      <c r="J32725" s="26">
        <v>2.69E-2</v>
      </c>
      <c r="K32725" s="26">
        <v>2.4899999999999999E-2</v>
      </c>
      <c r="L32725" s="26">
        <v>4.1000000000000003E-3</v>
      </c>
      <c r="M32725">
        <v>360</v>
      </c>
    </row>
    <row r="32726" spans="1:13" x14ac:dyDescent="0.35">
      <c r="A32726" t="s">
        <v>228</v>
      </c>
      <c r="B32726" t="s">
        <v>2731</v>
      </c>
      <c r="C32726" s="26">
        <v>0.71499999999999997</v>
      </c>
      <c r="D32726" s="26">
        <v>0.1056</v>
      </c>
      <c r="E32726" s="26">
        <v>5.7799999999999997E-2</v>
      </c>
      <c r="F32726" s="26">
        <v>0.1464</v>
      </c>
      <c r="G32726" s="26">
        <v>4.9500000000000002E-2</v>
      </c>
      <c r="H32726" s="26">
        <v>6.6500000000000004E-2</v>
      </c>
      <c r="I32726" s="26">
        <v>5.3699999999999998E-2</v>
      </c>
      <c r="J32726" s="26">
        <v>2.76E-2</v>
      </c>
      <c r="K32726" s="26">
        <v>1.7000000000000001E-2</v>
      </c>
      <c r="L32726" s="26">
        <v>1.4500000000000001E-2</v>
      </c>
      <c r="M32726">
        <v>96</v>
      </c>
    </row>
    <row r="32727" spans="1:13" x14ac:dyDescent="0.35">
      <c r="A32727" t="s">
        <v>228</v>
      </c>
      <c r="B32727" t="s">
        <v>2732</v>
      </c>
      <c r="C32727" s="26">
        <v>0.7298</v>
      </c>
      <c r="D32727" s="26">
        <v>0.1196</v>
      </c>
      <c r="E32727" s="26">
        <v>4.6600000000000003E-2</v>
      </c>
      <c r="F32727" s="26">
        <v>9.06E-2</v>
      </c>
      <c r="G32727" s="26">
        <v>4.2299999999999997E-2</v>
      </c>
      <c r="H32727" s="26">
        <v>4.8300000000000003E-2</v>
      </c>
      <c r="I32727" s="26">
        <v>2.9600000000000001E-2</v>
      </c>
      <c r="J32727" s="26">
        <v>2.2499999999999999E-2</v>
      </c>
      <c r="K32727" s="26">
        <v>1.0200000000000001E-2</v>
      </c>
      <c r="L32727" s="26">
        <v>2.2499999999999999E-2</v>
      </c>
      <c r="M32727">
        <v>576</v>
      </c>
    </row>
    <row r="32728" spans="1:13" x14ac:dyDescent="0.35">
      <c r="A32728" t="s">
        <v>229</v>
      </c>
      <c r="B32728" t="s">
        <v>2730</v>
      </c>
      <c r="C32728" s="26">
        <v>0.76</v>
      </c>
      <c r="D32728" s="26">
        <v>0.11169999999999999</v>
      </c>
      <c r="E32728" s="26">
        <v>6.5699999999999995E-2</v>
      </c>
      <c r="F32728" s="26">
        <v>5.8099999999999999E-2</v>
      </c>
      <c r="G32728" s="26">
        <v>2.9100000000000001E-2</v>
      </c>
      <c r="H32728" s="26">
        <v>2.5499999999999998E-2</v>
      </c>
      <c r="I32728" s="26">
        <v>5.1700000000000003E-2</v>
      </c>
      <c r="J32728" s="26">
        <v>3.0599999999999999E-2</v>
      </c>
      <c r="K32728" s="26">
        <v>2.0899999999999998E-2</v>
      </c>
      <c r="L32728" s="26">
        <v>1.2E-2</v>
      </c>
      <c r="M32728">
        <v>302</v>
      </c>
    </row>
    <row r="32729" spans="1:13" x14ac:dyDescent="0.35">
      <c r="A32729" t="s">
        <v>229</v>
      </c>
      <c r="B32729" t="s">
        <v>2731</v>
      </c>
      <c r="C32729" s="26">
        <v>0.72860000000000003</v>
      </c>
      <c r="D32729" s="26">
        <v>0.15959999999999999</v>
      </c>
      <c r="E32729" s="26">
        <v>7.4300000000000005E-2</v>
      </c>
      <c r="F32729" s="26">
        <v>0.10349999999999999</v>
      </c>
      <c r="G32729" s="26">
        <v>6.4899999999999999E-2</v>
      </c>
      <c r="H32729" s="26">
        <v>6.8000000000000005E-2</v>
      </c>
      <c r="I32729" s="26">
        <v>5.2900000000000003E-2</v>
      </c>
      <c r="J32729" s="26">
        <v>2.3400000000000001E-2</v>
      </c>
      <c r="K32729" s="26">
        <v>1.4200000000000001E-2</v>
      </c>
      <c r="M32729">
        <v>86</v>
      </c>
    </row>
    <row r="32730" spans="1:13" x14ac:dyDescent="0.35">
      <c r="A32730" t="s">
        <v>229</v>
      </c>
      <c r="B32730" t="s">
        <v>2732</v>
      </c>
      <c r="C32730" s="26">
        <v>0.78390000000000004</v>
      </c>
      <c r="D32730" s="26">
        <v>0.113</v>
      </c>
      <c r="E32730" s="26">
        <v>3.73E-2</v>
      </c>
      <c r="F32730" s="26">
        <v>4.7399999999999998E-2</v>
      </c>
      <c r="G32730" s="26">
        <v>4.0500000000000001E-2</v>
      </c>
      <c r="H32730" s="26">
        <v>3.5299999999999998E-2</v>
      </c>
      <c r="I32730" s="26">
        <v>4.1700000000000001E-2</v>
      </c>
      <c r="J32730" s="26">
        <v>7.4000000000000003E-3</v>
      </c>
      <c r="K32730" s="26">
        <v>8.0000000000000004E-4</v>
      </c>
      <c r="L32730" s="26">
        <v>1.9E-3</v>
      </c>
      <c r="M32730">
        <v>507</v>
      </c>
    </row>
    <row r="32731" spans="1:13" x14ac:dyDescent="0.35">
      <c r="A32731" t="s">
        <v>230</v>
      </c>
      <c r="B32731" t="s">
        <v>2730</v>
      </c>
      <c r="C32731" s="26">
        <v>0.76439999999999997</v>
      </c>
      <c r="D32731" s="26">
        <v>0.1183</v>
      </c>
      <c r="E32731" s="26">
        <v>3.6400000000000002E-2</v>
      </c>
      <c r="F32731" s="26">
        <v>0.1062</v>
      </c>
      <c r="G32731" s="26">
        <v>8.3099999999999993E-2</v>
      </c>
      <c r="H32731" s="26">
        <v>4.6100000000000002E-2</v>
      </c>
      <c r="I32731" s="26">
        <v>6.7000000000000004E-2</v>
      </c>
      <c r="J32731" s="26">
        <v>2.9600000000000001E-2</v>
      </c>
      <c r="K32731" s="26">
        <v>1.95E-2</v>
      </c>
      <c r="L32731" s="26">
        <v>1.14E-2</v>
      </c>
      <c r="M32731">
        <v>197</v>
      </c>
    </row>
    <row r="32732" spans="1:13" x14ac:dyDescent="0.35">
      <c r="A32732" t="s">
        <v>230</v>
      </c>
      <c r="B32732" t="s">
        <v>2731</v>
      </c>
      <c r="C32732" s="26">
        <v>0.91369999999999996</v>
      </c>
      <c r="D32732" s="26">
        <v>3.0300000000000001E-2</v>
      </c>
      <c r="E32732" s="26">
        <v>1.18E-2</v>
      </c>
      <c r="F32732" s="26">
        <v>6.0400000000000002E-2</v>
      </c>
      <c r="G32732" s="26">
        <v>7.1000000000000004E-3</v>
      </c>
      <c r="H32732" s="26">
        <v>2.5600000000000001E-2</v>
      </c>
      <c r="I32732" s="26">
        <v>1.4999999999999999E-2</v>
      </c>
      <c r="J32732" s="26">
        <v>2.2100000000000002E-2</v>
      </c>
      <c r="K32732" s="26">
        <v>7.1000000000000004E-3</v>
      </c>
      <c r="L32732" s="26">
        <v>3.5000000000000001E-3</v>
      </c>
      <c r="M32732">
        <v>50</v>
      </c>
    </row>
    <row r="32733" spans="1:13" x14ac:dyDescent="0.35">
      <c r="A32733" t="s">
        <v>230</v>
      </c>
      <c r="B32733" t="s">
        <v>2732</v>
      </c>
      <c r="C32733" s="26">
        <v>0.8095</v>
      </c>
      <c r="D32733" s="26">
        <v>0.11409999999999999</v>
      </c>
      <c r="E32733" s="26">
        <v>1.23E-2</v>
      </c>
      <c r="F32733" s="26">
        <v>4.4900000000000002E-2</v>
      </c>
      <c r="G32733" s="26">
        <v>4.24E-2</v>
      </c>
      <c r="H32733" s="26">
        <v>2.75E-2</v>
      </c>
      <c r="I32733" s="26">
        <v>1.8800000000000001E-2</v>
      </c>
      <c r="J32733" s="26">
        <v>1.1900000000000001E-2</v>
      </c>
      <c r="K32733" s="26">
        <v>7.1000000000000004E-3</v>
      </c>
      <c r="L32733" s="26">
        <v>4.4000000000000003E-3</v>
      </c>
      <c r="M32733">
        <v>313</v>
      </c>
    </row>
    <row r="32734" spans="1:13" x14ac:dyDescent="0.35">
      <c r="A32734" t="s">
        <v>231</v>
      </c>
      <c r="B32734" t="s">
        <v>2730</v>
      </c>
      <c r="C32734" s="26">
        <v>0.89090000000000003</v>
      </c>
      <c r="D32734" s="26">
        <v>1.8200000000000001E-2</v>
      </c>
      <c r="E32734" s="26">
        <v>5.45E-2</v>
      </c>
      <c r="F32734" s="26">
        <v>1.8200000000000001E-2</v>
      </c>
      <c r="G32734" s="26">
        <v>1.8200000000000001E-2</v>
      </c>
      <c r="M32734">
        <v>55</v>
      </c>
    </row>
    <row r="32735" spans="1:13" x14ac:dyDescent="0.35">
      <c r="A32735" s="27" t="s">
        <v>231</v>
      </c>
      <c r="B32735" s="27" t="s">
        <v>2731</v>
      </c>
      <c r="C32735" s="28">
        <v>0.88239999999999996</v>
      </c>
      <c r="D32735" s="28">
        <v>5.8799999999999998E-2</v>
      </c>
      <c r="E32735" s="28">
        <v>5.8799999999999998E-2</v>
      </c>
      <c r="F32735" s="29"/>
      <c r="G32735" s="29"/>
      <c r="H32735" s="29"/>
      <c r="I32735" s="29"/>
      <c r="J32735" s="29"/>
      <c r="K32735" s="29"/>
      <c r="L32735" s="29"/>
      <c r="M32735" s="29" t="s">
        <v>343</v>
      </c>
    </row>
    <row r="32736" spans="1:13" x14ac:dyDescent="0.35">
      <c r="A32736" t="s">
        <v>231</v>
      </c>
      <c r="B32736" t="s">
        <v>2732</v>
      </c>
      <c r="C32736" s="26">
        <v>0.86960000000000004</v>
      </c>
      <c r="D32736" s="26">
        <v>3.2599999999999997E-2</v>
      </c>
      <c r="E32736" s="26">
        <v>6.5199999999999994E-2</v>
      </c>
      <c r="G32736" s="26">
        <v>1.09E-2</v>
      </c>
      <c r="H32736" s="26">
        <v>2.1700000000000001E-2</v>
      </c>
      <c r="I32736" s="26">
        <v>1.09E-2</v>
      </c>
      <c r="J32736" s="26">
        <v>2.1700000000000001E-2</v>
      </c>
      <c r="M32736">
        <v>92</v>
      </c>
    </row>
    <row r="32737" spans="1:13" x14ac:dyDescent="0.35">
      <c r="A32737" t="s">
        <v>232</v>
      </c>
      <c r="B32737" t="s">
        <v>232</v>
      </c>
      <c r="C32737" s="26">
        <v>0.80789999999999995</v>
      </c>
      <c r="D32737" s="26">
        <v>8.48E-2</v>
      </c>
      <c r="E32737" s="26">
        <v>4.8800000000000003E-2</v>
      </c>
      <c r="F32737" s="26">
        <v>4.3700000000000003E-2</v>
      </c>
      <c r="G32737" s="26">
        <v>3.4299999999999997E-2</v>
      </c>
      <c r="H32737" s="26">
        <v>2.8000000000000001E-2</v>
      </c>
      <c r="I32737" s="26">
        <v>2.6599999999999999E-2</v>
      </c>
      <c r="J32737" s="26">
        <v>1.6E-2</v>
      </c>
      <c r="K32737" s="26">
        <v>7.1999999999999998E-3</v>
      </c>
      <c r="L32737" s="26">
        <v>5.0000000000000001E-3</v>
      </c>
      <c r="M32737">
        <v>2812</v>
      </c>
    </row>
    <row r="32739" spans="1:13" x14ac:dyDescent="0.35">
      <c r="A32739" s="1" t="s">
        <v>2841</v>
      </c>
    </row>
    <row r="32740" spans="1:13" x14ac:dyDescent="0.35">
      <c r="A32740" t="s">
        <v>219</v>
      </c>
      <c r="B32740" t="s">
        <v>305</v>
      </c>
      <c r="C32740" t="s">
        <v>1851</v>
      </c>
      <c r="D32740" t="s">
        <v>2664</v>
      </c>
      <c r="E32740" t="s">
        <v>2665</v>
      </c>
      <c r="F32740" t="s">
        <v>2666</v>
      </c>
      <c r="G32740" t="s">
        <v>281</v>
      </c>
      <c r="H32740" t="s">
        <v>2667</v>
      </c>
      <c r="I32740" t="s">
        <v>2668</v>
      </c>
      <c r="J32740" t="s">
        <v>2669</v>
      </c>
      <c r="K32740" t="s">
        <v>2670</v>
      </c>
      <c r="L32740" t="s">
        <v>286</v>
      </c>
      <c r="M32740" t="s">
        <v>226</v>
      </c>
    </row>
    <row r="32741" spans="1:13" x14ac:dyDescent="0.35">
      <c r="A32741" t="s">
        <v>227</v>
      </c>
      <c r="B32741" t="s">
        <v>2730</v>
      </c>
      <c r="C32741" s="26">
        <v>0.91490000000000005</v>
      </c>
      <c r="D32741" s="26">
        <v>2.1299999999999999E-2</v>
      </c>
      <c r="E32741" s="26">
        <v>2.1299999999999999E-2</v>
      </c>
      <c r="G32741" s="26">
        <v>2.1299999999999999E-2</v>
      </c>
      <c r="H32741" s="26">
        <v>4.2599999999999999E-2</v>
      </c>
      <c r="M32741">
        <v>47</v>
      </c>
    </row>
    <row r="32742" spans="1:13" x14ac:dyDescent="0.35">
      <c r="A32742" s="27" t="s">
        <v>227</v>
      </c>
      <c r="B32742" s="27" t="s">
        <v>2731</v>
      </c>
      <c r="C32742" s="28">
        <v>0.95240000000000002</v>
      </c>
      <c r="D32742" s="29"/>
      <c r="E32742" s="29"/>
      <c r="F32742" s="29"/>
      <c r="G32742" s="29"/>
      <c r="H32742" s="29"/>
      <c r="I32742" s="29"/>
      <c r="J32742" s="28">
        <v>4.7600000000000003E-2</v>
      </c>
      <c r="K32742" s="29"/>
      <c r="L32742" s="29"/>
      <c r="M32742" s="29" t="s">
        <v>351</v>
      </c>
    </row>
    <row r="32743" spans="1:13" x14ac:dyDescent="0.35">
      <c r="A32743" t="s">
        <v>227</v>
      </c>
      <c r="B32743" t="s">
        <v>2732</v>
      </c>
      <c r="C32743" s="26">
        <v>0.95699999999999996</v>
      </c>
      <c r="D32743" s="26">
        <v>3.2300000000000002E-2</v>
      </c>
      <c r="E32743" s="26">
        <v>1.0800000000000001E-2</v>
      </c>
      <c r="I32743" s="26">
        <v>1.0800000000000001E-2</v>
      </c>
      <c r="J32743" s="26">
        <v>1.0800000000000001E-2</v>
      </c>
      <c r="M32743">
        <v>93</v>
      </c>
    </row>
    <row r="32744" spans="1:13" x14ac:dyDescent="0.35">
      <c r="A32744" t="s">
        <v>228</v>
      </c>
      <c r="B32744" t="s">
        <v>2730</v>
      </c>
      <c r="C32744" s="26">
        <v>0.75529999999999997</v>
      </c>
      <c r="D32744" s="26">
        <v>9.1600000000000001E-2</v>
      </c>
      <c r="E32744" s="26">
        <v>8.3199999999999996E-2</v>
      </c>
      <c r="F32744" s="26">
        <v>8.5199999999999998E-2</v>
      </c>
      <c r="G32744" s="26">
        <v>5.2499999999999998E-2</v>
      </c>
      <c r="H32744" s="26">
        <v>5.57E-2</v>
      </c>
      <c r="I32744" s="26">
        <v>5.0599999999999999E-2</v>
      </c>
      <c r="J32744" s="26">
        <v>4.0300000000000002E-2</v>
      </c>
      <c r="K32744" s="26">
        <v>2.4899999999999999E-2</v>
      </c>
      <c r="L32744" s="26">
        <v>3.2000000000000002E-3</v>
      </c>
      <c r="M32744">
        <v>360</v>
      </c>
    </row>
    <row r="32745" spans="1:13" x14ac:dyDescent="0.35">
      <c r="A32745" t="s">
        <v>228</v>
      </c>
      <c r="B32745" t="s">
        <v>2731</v>
      </c>
      <c r="C32745" s="26">
        <v>0.76370000000000005</v>
      </c>
      <c r="D32745" s="26">
        <v>0.121</v>
      </c>
      <c r="E32745" s="26">
        <v>6.4000000000000001E-2</v>
      </c>
      <c r="F32745" s="26">
        <v>9.0700000000000003E-2</v>
      </c>
      <c r="G32745" s="26">
        <v>4.8399999999999999E-2</v>
      </c>
      <c r="H32745" s="26">
        <v>3.9800000000000002E-2</v>
      </c>
      <c r="I32745" s="26">
        <v>6.4299999999999996E-2</v>
      </c>
      <c r="J32745" s="26">
        <v>2.4899999999999999E-2</v>
      </c>
      <c r="K32745" s="26">
        <v>5.04E-2</v>
      </c>
      <c r="L32745" s="26">
        <v>1.5299999999999999E-2</v>
      </c>
      <c r="M32745">
        <v>96</v>
      </c>
    </row>
    <row r="32746" spans="1:13" x14ac:dyDescent="0.35">
      <c r="A32746" t="s">
        <v>228</v>
      </c>
      <c r="B32746" t="s">
        <v>2732</v>
      </c>
      <c r="C32746" s="26">
        <v>0.7853</v>
      </c>
      <c r="D32746" s="26">
        <v>9.01E-2</v>
      </c>
      <c r="E32746" s="26">
        <v>8.77E-2</v>
      </c>
      <c r="F32746" s="26">
        <v>7.1199999999999999E-2</v>
      </c>
      <c r="G32746" s="26">
        <v>2.8799999999999999E-2</v>
      </c>
      <c r="H32746" s="26">
        <v>5.2499999999999998E-2</v>
      </c>
      <c r="I32746" s="26">
        <v>4.4400000000000002E-2</v>
      </c>
      <c r="J32746" s="26">
        <v>1.2500000000000001E-2</v>
      </c>
      <c r="K32746" s="26">
        <v>3.9800000000000002E-2</v>
      </c>
      <c r="L32746" s="26">
        <v>2.3099999999999999E-2</v>
      </c>
      <c r="M32746">
        <v>576</v>
      </c>
    </row>
    <row r="32747" spans="1:13" x14ac:dyDescent="0.35">
      <c r="A32747" t="s">
        <v>229</v>
      </c>
      <c r="B32747" t="s">
        <v>2730</v>
      </c>
      <c r="C32747" s="26">
        <v>0.85189999999999999</v>
      </c>
      <c r="D32747" s="26">
        <v>4.02E-2</v>
      </c>
      <c r="E32747" s="26">
        <v>2.2599999999999999E-2</v>
      </c>
      <c r="F32747" s="26">
        <v>2.1299999999999999E-2</v>
      </c>
      <c r="G32747" s="26">
        <v>2.3699999999999999E-2</v>
      </c>
      <c r="H32747" s="26">
        <v>2.3099999999999999E-2</v>
      </c>
      <c r="I32747" s="26">
        <v>1.9800000000000002E-2</v>
      </c>
      <c r="J32747" s="26">
        <v>3.7400000000000003E-2</v>
      </c>
      <c r="K32747" s="26">
        <v>4.4999999999999997E-3</v>
      </c>
      <c r="L32747" s="26">
        <v>2.3999999999999998E-3</v>
      </c>
      <c r="M32747">
        <v>302</v>
      </c>
    </row>
    <row r="32748" spans="1:13" x14ac:dyDescent="0.35">
      <c r="A32748" t="s">
        <v>229</v>
      </c>
      <c r="B32748" t="s">
        <v>2731</v>
      </c>
      <c r="C32748" s="26">
        <v>0.78059999999999996</v>
      </c>
      <c r="D32748" s="26">
        <v>0.121</v>
      </c>
      <c r="E32748" s="26">
        <v>9.7699999999999995E-2</v>
      </c>
      <c r="F32748" s="26">
        <v>0.1118</v>
      </c>
      <c r="G32748" s="26">
        <v>4.0500000000000001E-2</v>
      </c>
      <c r="H32748" s="26">
        <v>1.21E-2</v>
      </c>
      <c r="I32748" s="26">
        <v>4.6699999999999998E-2</v>
      </c>
      <c r="J32748" s="26">
        <v>1.01E-2</v>
      </c>
      <c r="K32748" s="26">
        <v>1.61E-2</v>
      </c>
      <c r="M32748">
        <v>86</v>
      </c>
    </row>
    <row r="32749" spans="1:13" x14ac:dyDescent="0.35">
      <c r="A32749" t="s">
        <v>229</v>
      </c>
      <c r="B32749" t="s">
        <v>2732</v>
      </c>
      <c r="C32749" s="26">
        <v>0.83960000000000001</v>
      </c>
      <c r="D32749" s="26">
        <v>8.0799999999999997E-2</v>
      </c>
      <c r="E32749" s="26">
        <v>7.3200000000000001E-2</v>
      </c>
      <c r="F32749" s="26">
        <v>6.1199999999999997E-2</v>
      </c>
      <c r="G32749" s="26">
        <v>2.52E-2</v>
      </c>
      <c r="H32749" s="26">
        <v>5.45E-2</v>
      </c>
      <c r="I32749" s="26">
        <v>4.5499999999999999E-2</v>
      </c>
      <c r="J32749" s="26">
        <v>4.4600000000000001E-2</v>
      </c>
      <c r="K32749" s="26">
        <v>2.8500000000000001E-2</v>
      </c>
      <c r="L32749" s="26">
        <v>3.3E-3</v>
      </c>
      <c r="M32749">
        <v>507</v>
      </c>
    </row>
    <row r="32750" spans="1:13" x14ac:dyDescent="0.35">
      <c r="A32750" t="s">
        <v>230</v>
      </c>
      <c r="B32750" t="s">
        <v>2730</v>
      </c>
      <c r="C32750" s="26">
        <v>0.86950000000000005</v>
      </c>
      <c r="D32750" s="26">
        <v>6.5600000000000006E-2</v>
      </c>
      <c r="E32750" s="26">
        <v>3.1600000000000003E-2</v>
      </c>
      <c r="F32750" s="26">
        <v>4.3299999999999998E-2</v>
      </c>
      <c r="G32750" s="26">
        <v>9.9000000000000008E-3</v>
      </c>
      <c r="H32750" s="26">
        <v>1.17E-2</v>
      </c>
      <c r="I32750" s="26">
        <v>3.5000000000000003E-2</v>
      </c>
      <c r="J32750" s="26">
        <v>4.3E-3</v>
      </c>
      <c r="K32750" s="26">
        <v>1.1599999999999999E-2</v>
      </c>
      <c r="L32750" s="26">
        <v>1.4200000000000001E-2</v>
      </c>
      <c r="M32750">
        <v>197</v>
      </c>
    </row>
    <row r="32751" spans="1:13" x14ac:dyDescent="0.35">
      <c r="A32751" t="s">
        <v>230</v>
      </c>
      <c r="B32751" t="s">
        <v>2731</v>
      </c>
      <c r="C32751" s="26">
        <v>0.78910000000000002</v>
      </c>
      <c r="D32751" s="26">
        <v>3.0300000000000001E-2</v>
      </c>
      <c r="E32751" s="26">
        <v>2.5600000000000001E-2</v>
      </c>
      <c r="F32751" s="26">
        <v>7.6899999999999996E-2</v>
      </c>
      <c r="G32751" s="26">
        <v>8.1500000000000003E-2</v>
      </c>
      <c r="I32751" s="26">
        <v>1.5299999999999999E-2</v>
      </c>
      <c r="J32751" s="26">
        <v>1.4999999999999999E-2</v>
      </c>
      <c r="K32751" s="26">
        <v>2.3300000000000001E-2</v>
      </c>
      <c r="M32751">
        <v>50</v>
      </c>
    </row>
    <row r="32752" spans="1:13" x14ac:dyDescent="0.35">
      <c r="A32752" t="s">
        <v>230</v>
      </c>
      <c r="B32752" t="s">
        <v>2732</v>
      </c>
      <c r="C32752" s="26">
        <v>0.81259999999999999</v>
      </c>
      <c r="D32752" s="26">
        <v>7.9699999999999993E-2</v>
      </c>
      <c r="E32752" s="26">
        <v>7.5300000000000006E-2</v>
      </c>
      <c r="F32752" s="26">
        <v>7.1900000000000006E-2</v>
      </c>
      <c r="G32752" s="26">
        <v>2.9000000000000001E-2</v>
      </c>
      <c r="H32752" s="26">
        <v>5.2499999999999998E-2</v>
      </c>
      <c r="I32752" s="26">
        <v>5.5500000000000001E-2</v>
      </c>
      <c r="J32752" s="26">
        <v>2.0500000000000001E-2</v>
      </c>
      <c r="K32752" s="26">
        <v>2.6800000000000001E-2</v>
      </c>
      <c r="L32752" s="26">
        <v>1.3299999999999999E-2</v>
      </c>
      <c r="M32752">
        <v>313</v>
      </c>
    </row>
    <row r="32753" spans="1:18" x14ac:dyDescent="0.35">
      <c r="A32753" t="s">
        <v>231</v>
      </c>
      <c r="B32753" t="s">
        <v>2730</v>
      </c>
      <c r="C32753" s="26">
        <v>0.96360000000000001</v>
      </c>
      <c r="D32753" s="26">
        <v>1.8200000000000001E-2</v>
      </c>
      <c r="G32753" s="26">
        <v>1.8200000000000001E-2</v>
      </c>
      <c r="M32753">
        <v>55</v>
      </c>
    </row>
    <row r="32754" spans="1:18" x14ac:dyDescent="0.35">
      <c r="A32754" s="27" t="s">
        <v>231</v>
      </c>
      <c r="B32754" s="27" t="s">
        <v>2731</v>
      </c>
      <c r="C32754" s="28">
        <v>0.94120000000000004</v>
      </c>
      <c r="D32754" s="29"/>
      <c r="E32754" s="29"/>
      <c r="F32754" s="29"/>
      <c r="G32754" s="28">
        <v>5.8799999999999998E-2</v>
      </c>
      <c r="H32754" s="29"/>
      <c r="I32754" s="29"/>
      <c r="J32754" s="29"/>
      <c r="K32754" s="29"/>
      <c r="L32754" s="29"/>
      <c r="M32754" s="29" t="s">
        <v>343</v>
      </c>
    </row>
    <row r="32755" spans="1:18" x14ac:dyDescent="0.35">
      <c r="A32755" t="s">
        <v>231</v>
      </c>
      <c r="B32755" t="s">
        <v>2732</v>
      </c>
      <c r="C32755" s="26">
        <v>0.89129999999999998</v>
      </c>
      <c r="D32755" s="26">
        <v>1.09E-2</v>
      </c>
      <c r="E32755" s="26">
        <v>4.3499999999999997E-2</v>
      </c>
      <c r="F32755" s="26">
        <v>1.09E-2</v>
      </c>
      <c r="G32755" s="26">
        <v>6.5199999999999994E-2</v>
      </c>
      <c r="H32755" s="26">
        <v>2.1700000000000001E-2</v>
      </c>
      <c r="M32755">
        <v>92</v>
      </c>
    </row>
    <row r="32756" spans="1:18" x14ac:dyDescent="0.35">
      <c r="A32756" t="s">
        <v>232</v>
      </c>
      <c r="B32756" t="s">
        <v>232</v>
      </c>
      <c r="C32756" s="26">
        <v>0.86360000000000003</v>
      </c>
      <c r="D32756" s="26">
        <v>5.2600000000000001E-2</v>
      </c>
      <c r="E32756" s="26">
        <v>4.7800000000000002E-2</v>
      </c>
      <c r="F32756" s="26">
        <v>3.8100000000000002E-2</v>
      </c>
      <c r="G32756" s="26">
        <v>3.1699999999999999E-2</v>
      </c>
      <c r="H32756" s="26">
        <v>3.0800000000000001E-2</v>
      </c>
      <c r="I32756" s="26">
        <v>2.5600000000000001E-2</v>
      </c>
      <c r="J32756" s="26">
        <v>1.9E-2</v>
      </c>
      <c r="K32756" s="26">
        <v>1.49E-2</v>
      </c>
      <c r="L32756" s="26">
        <v>5.0000000000000001E-3</v>
      </c>
      <c r="M32756">
        <v>2812</v>
      </c>
    </row>
    <row r="32758" spans="1:18" x14ac:dyDescent="0.35">
      <c r="A32758" s="1" t="s">
        <v>2842</v>
      </c>
    </row>
    <row r="32759" spans="1:18" x14ac:dyDescent="0.35">
      <c r="A32759" t="s">
        <v>219</v>
      </c>
      <c r="B32759" t="s">
        <v>305</v>
      </c>
      <c r="C32759" t="s">
        <v>2686</v>
      </c>
      <c r="D32759" t="s">
        <v>2687</v>
      </c>
      <c r="E32759" t="s">
        <v>2688</v>
      </c>
      <c r="F32759" t="s">
        <v>2689</v>
      </c>
      <c r="G32759" t="s">
        <v>2690</v>
      </c>
      <c r="H32759" t="s">
        <v>2691</v>
      </c>
      <c r="I32759" t="s">
        <v>2692</v>
      </c>
      <c r="J32759" t="s">
        <v>2693</v>
      </c>
      <c r="K32759" t="s">
        <v>281</v>
      </c>
      <c r="L32759" t="s">
        <v>2694</v>
      </c>
      <c r="M32759" t="s">
        <v>2695</v>
      </c>
      <c r="N32759" t="s">
        <v>2696</v>
      </c>
      <c r="O32759" t="s">
        <v>2697</v>
      </c>
      <c r="P32759" t="s">
        <v>286</v>
      </c>
      <c r="Q32759" t="s">
        <v>2698</v>
      </c>
      <c r="R32759" t="s">
        <v>226</v>
      </c>
    </row>
    <row r="32760" spans="1:18" x14ac:dyDescent="0.35">
      <c r="A32760" t="s">
        <v>227</v>
      </c>
      <c r="B32760" t="s">
        <v>2730</v>
      </c>
      <c r="C32760" s="26">
        <v>0.51060000000000005</v>
      </c>
      <c r="D32760" s="26">
        <v>0.1489</v>
      </c>
      <c r="E32760" s="26">
        <v>0.23400000000000001</v>
      </c>
      <c r="F32760" s="26">
        <v>6.3799999999999996E-2</v>
      </c>
      <c r="G32760" s="26">
        <v>6.3799999999999996E-2</v>
      </c>
      <c r="H32760" s="26">
        <v>6.3799999999999996E-2</v>
      </c>
      <c r="I32760" s="26">
        <v>2.1299999999999999E-2</v>
      </c>
      <c r="J32760" s="26">
        <v>2.1299999999999999E-2</v>
      </c>
      <c r="K32760" s="26">
        <v>4.2599999999999999E-2</v>
      </c>
      <c r="R32760">
        <v>47</v>
      </c>
    </row>
    <row r="32761" spans="1:18" x14ac:dyDescent="0.35">
      <c r="A32761" s="27" t="s">
        <v>227</v>
      </c>
      <c r="B32761" s="27" t="s">
        <v>2731</v>
      </c>
      <c r="C32761" s="28">
        <v>0.52380000000000004</v>
      </c>
      <c r="D32761" s="28">
        <v>0.42859999999999998</v>
      </c>
      <c r="E32761" s="29"/>
      <c r="F32761" s="29"/>
      <c r="G32761" s="29"/>
      <c r="H32761" s="29"/>
      <c r="I32761" s="29"/>
      <c r="J32761" s="29"/>
      <c r="K32761" s="28">
        <v>4.7600000000000003E-2</v>
      </c>
      <c r="L32761" s="29"/>
      <c r="M32761" s="29"/>
      <c r="N32761" s="29"/>
      <c r="O32761" s="29"/>
      <c r="P32761" s="29"/>
      <c r="Q32761" s="29"/>
      <c r="R32761" s="29" t="s">
        <v>351</v>
      </c>
    </row>
    <row r="32762" spans="1:18" x14ac:dyDescent="0.35">
      <c r="A32762" t="s">
        <v>227</v>
      </c>
      <c r="B32762" t="s">
        <v>2732</v>
      </c>
      <c r="C32762" s="26">
        <v>0.5806</v>
      </c>
      <c r="D32762" s="26">
        <v>0.19350000000000001</v>
      </c>
      <c r="E32762" s="26">
        <v>0.15049999999999999</v>
      </c>
      <c r="F32762" s="26">
        <v>4.2999999999999997E-2</v>
      </c>
      <c r="G32762" s="26">
        <v>6.4500000000000002E-2</v>
      </c>
      <c r="H32762" s="26">
        <v>3.2300000000000002E-2</v>
      </c>
      <c r="I32762" s="26">
        <v>1.0800000000000001E-2</v>
      </c>
      <c r="J32762" s="26">
        <v>4.2999999999999997E-2</v>
      </c>
      <c r="L32762" s="26">
        <v>4.2999999999999997E-2</v>
      </c>
      <c r="M32762" s="26">
        <v>1.0800000000000001E-2</v>
      </c>
      <c r="N32762" s="26">
        <v>3.2300000000000002E-2</v>
      </c>
      <c r="R32762">
        <v>93</v>
      </c>
    </row>
    <row r="32763" spans="1:18" x14ac:dyDescent="0.35">
      <c r="A32763" t="s">
        <v>228</v>
      </c>
      <c r="B32763" t="s">
        <v>2730</v>
      </c>
      <c r="C32763" s="26">
        <v>0.35249999999999998</v>
      </c>
      <c r="D32763" s="26">
        <v>0.36899999999999999</v>
      </c>
      <c r="E32763" s="26">
        <v>8.4900000000000003E-2</v>
      </c>
      <c r="F32763" s="26">
        <v>9.0200000000000002E-2</v>
      </c>
      <c r="G32763" s="26">
        <v>7.8700000000000006E-2</v>
      </c>
      <c r="H32763" s="26">
        <v>5.8000000000000003E-2</v>
      </c>
      <c r="I32763" s="26">
        <v>8.5500000000000007E-2</v>
      </c>
      <c r="J32763" s="26">
        <v>5.1499999999999997E-2</v>
      </c>
      <c r="K32763" s="26">
        <v>4.4999999999999998E-2</v>
      </c>
      <c r="L32763" s="26">
        <v>6.7000000000000004E-2</v>
      </c>
      <c r="M32763" s="26">
        <v>5.8099999999999999E-2</v>
      </c>
      <c r="N32763" s="26">
        <v>4.5199999999999997E-2</v>
      </c>
      <c r="O32763" s="26">
        <v>1.83E-2</v>
      </c>
      <c r="P32763" s="26">
        <v>4.0000000000000001E-3</v>
      </c>
      <c r="Q32763" s="26">
        <v>7.7999999999999996E-3</v>
      </c>
      <c r="R32763">
        <v>360</v>
      </c>
    </row>
    <row r="32764" spans="1:18" x14ac:dyDescent="0.35">
      <c r="A32764" t="s">
        <v>228</v>
      </c>
      <c r="B32764" t="s">
        <v>2731</v>
      </c>
      <c r="C32764" s="26">
        <v>0.30719999999999997</v>
      </c>
      <c r="D32764" s="26">
        <v>0.37430000000000002</v>
      </c>
      <c r="E32764" s="26">
        <v>0.18709999999999999</v>
      </c>
      <c r="F32764" s="26">
        <v>3.9199999999999999E-2</v>
      </c>
      <c r="G32764" s="26">
        <v>8.7099999999999997E-2</v>
      </c>
      <c r="H32764" s="26">
        <v>3.5299999999999998E-2</v>
      </c>
      <c r="I32764" s="26">
        <v>5.6099999999999997E-2</v>
      </c>
      <c r="J32764" s="26">
        <v>8.3799999999999999E-2</v>
      </c>
      <c r="K32764" s="26">
        <v>6.7699999999999996E-2</v>
      </c>
      <c r="L32764" s="26">
        <v>1.9199999999999998E-2</v>
      </c>
      <c r="M32764" s="26">
        <v>8.5000000000000006E-3</v>
      </c>
      <c r="N32764" s="26">
        <v>8.5000000000000006E-3</v>
      </c>
      <c r="O32764" s="26">
        <v>8.5000000000000006E-3</v>
      </c>
      <c r="P32764" s="26">
        <v>1.1599999999999999E-2</v>
      </c>
      <c r="R32764">
        <v>95</v>
      </c>
    </row>
    <row r="32765" spans="1:18" x14ac:dyDescent="0.35">
      <c r="A32765" t="s">
        <v>228</v>
      </c>
      <c r="B32765" t="s">
        <v>2732</v>
      </c>
      <c r="C32765" s="26">
        <v>0.37980000000000003</v>
      </c>
      <c r="D32765" s="26">
        <v>0.3382</v>
      </c>
      <c r="E32765" s="26">
        <v>0.1198</v>
      </c>
      <c r="F32765" s="26">
        <v>9.6799999999999997E-2</v>
      </c>
      <c r="G32765" s="26">
        <v>5.6899999999999999E-2</v>
      </c>
      <c r="H32765" s="26">
        <v>7.8E-2</v>
      </c>
      <c r="I32765" s="26">
        <v>5.7700000000000001E-2</v>
      </c>
      <c r="J32765" s="26">
        <v>5.0500000000000003E-2</v>
      </c>
      <c r="K32765" s="26">
        <v>2.5100000000000001E-2</v>
      </c>
      <c r="L32765" s="26">
        <v>5.0599999999999999E-2</v>
      </c>
      <c r="M32765" s="26">
        <v>3.2099999999999997E-2</v>
      </c>
      <c r="N32765" s="26">
        <v>2.46E-2</v>
      </c>
      <c r="O32765" s="26">
        <v>1.9900000000000001E-2</v>
      </c>
      <c r="P32765" s="26">
        <v>1.46E-2</v>
      </c>
      <c r="Q32765" s="26">
        <v>3.3999999999999998E-3</v>
      </c>
      <c r="R32765">
        <v>576</v>
      </c>
    </row>
    <row r="32766" spans="1:18" x14ac:dyDescent="0.35">
      <c r="A32766" t="s">
        <v>229</v>
      </c>
      <c r="B32766" t="s">
        <v>2730</v>
      </c>
      <c r="C32766" s="26">
        <v>0.44280000000000003</v>
      </c>
      <c r="D32766" s="26">
        <v>0.27129999999999999</v>
      </c>
      <c r="E32766" s="26">
        <v>0.1082</v>
      </c>
      <c r="F32766" s="26">
        <v>8.9399999999999993E-2</v>
      </c>
      <c r="G32766" s="26">
        <v>6.0299999999999999E-2</v>
      </c>
      <c r="H32766" s="26">
        <v>5.3800000000000001E-2</v>
      </c>
      <c r="I32766" s="26">
        <v>3.2099999999999997E-2</v>
      </c>
      <c r="J32766" s="26">
        <v>4.0599999999999997E-2</v>
      </c>
      <c r="K32766" s="26">
        <v>3.7999999999999999E-2</v>
      </c>
      <c r="L32766" s="26">
        <v>6.7000000000000002E-3</v>
      </c>
      <c r="M32766" s="26">
        <v>2.87E-2</v>
      </c>
      <c r="N32766" s="26">
        <v>2.75E-2</v>
      </c>
      <c r="O32766" s="26">
        <v>1.7100000000000001E-2</v>
      </c>
      <c r="P32766" s="26">
        <v>1.14E-2</v>
      </c>
      <c r="Q32766" s="26">
        <v>1.41E-2</v>
      </c>
      <c r="R32766">
        <v>302</v>
      </c>
    </row>
    <row r="32767" spans="1:18" x14ac:dyDescent="0.35">
      <c r="A32767" t="s">
        <v>229</v>
      </c>
      <c r="B32767" t="s">
        <v>2731</v>
      </c>
      <c r="C32767" s="26">
        <v>0.28789999999999999</v>
      </c>
      <c r="D32767" s="26">
        <v>0.40400000000000003</v>
      </c>
      <c r="E32767" s="26">
        <v>0.23180000000000001</v>
      </c>
      <c r="F32767" s="26">
        <v>9.7500000000000003E-2</v>
      </c>
      <c r="G32767" s="26">
        <v>0.1026</v>
      </c>
      <c r="H32767" s="26">
        <v>9.5500000000000002E-2</v>
      </c>
      <c r="I32767" s="26">
        <v>1.21E-2</v>
      </c>
      <c r="J32767" s="26">
        <v>2.0299999999999999E-2</v>
      </c>
      <c r="K32767" s="26">
        <v>3.0499999999999999E-2</v>
      </c>
      <c r="L32767" s="26">
        <v>1.4200000000000001E-2</v>
      </c>
      <c r="M32767" s="26">
        <v>1.2E-2</v>
      </c>
      <c r="N32767" s="26">
        <v>4.0000000000000001E-3</v>
      </c>
      <c r="O32767" s="26">
        <v>1.21E-2</v>
      </c>
      <c r="R32767">
        <v>86</v>
      </c>
    </row>
    <row r="32768" spans="1:18" x14ac:dyDescent="0.35">
      <c r="A32768" t="s">
        <v>229</v>
      </c>
      <c r="B32768" t="s">
        <v>2732</v>
      </c>
      <c r="C32768" s="26">
        <v>0.47760000000000002</v>
      </c>
      <c r="D32768" s="26">
        <v>0.23930000000000001</v>
      </c>
      <c r="E32768" s="26">
        <v>9.7299999999999998E-2</v>
      </c>
      <c r="F32768" s="26">
        <v>0.1036</v>
      </c>
      <c r="G32768" s="26">
        <v>8.6800000000000002E-2</v>
      </c>
      <c r="H32768" s="26">
        <v>6.5100000000000005E-2</v>
      </c>
      <c r="I32768" s="26">
        <v>5.5100000000000003E-2</v>
      </c>
      <c r="J32768" s="26">
        <v>3.2800000000000003E-2</v>
      </c>
      <c r="K32768" s="26">
        <v>2.6100000000000002E-2</v>
      </c>
      <c r="L32768" s="26">
        <v>3.4599999999999999E-2</v>
      </c>
      <c r="M32768" s="26">
        <v>3.44E-2</v>
      </c>
      <c r="N32768" s="26">
        <v>2.1999999999999999E-2</v>
      </c>
      <c r="O32768" s="26">
        <v>1.37E-2</v>
      </c>
      <c r="P32768" s="26">
        <v>5.7000000000000002E-3</v>
      </c>
      <c r="Q32768" s="26">
        <v>7.0000000000000001E-3</v>
      </c>
      <c r="R32768">
        <v>507</v>
      </c>
    </row>
    <row r="32769" spans="1:18" x14ac:dyDescent="0.35">
      <c r="A32769" t="s">
        <v>230</v>
      </c>
      <c r="B32769" t="s">
        <v>2730</v>
      </c>
      <c r="C32769" s="26">
        <v>0.42020000000000002</v>
      </c>
      <c r="D32769" s="26">
        <v>0.2392</v>
      </c>
      <c r="E32769" s="26">
        <v>0.1719</v>
      </c>
      <c r="F32769" s="26">
        <v>0.1152</v>
      </c>
      <c r="G32769" s="26">
        <v>0.17879999999999999</v>
      </c>
      <c r="H32769" s="26">
        <v>0.10780000000000001</v>
      </c>
      <c r="I32769" s="26">
        <v>3.1300000000000001E-2</v>
      </c>
      <c r="J32769" s="26">
        <v>3.0499999999999999E-2</v>
      </c>
      <c r="K32769" s="26">
        <v>1.21E-2</v>
      </c>
      <c r="L32769" s="26">
        <v>2.87E-2</v>
      </c>
      <c r="M32769" s="26">
        <v>5.74E-2</v>
      </c>
      <c r="N32769" s="26">
        <v>1.8800000000000001E-2</v>
      </c>
      <c r="O32769" s="26">
        <v>2.6800000000000001E-2</v>
      </c>
      <c r="P32769" s="26">
        <v>1.14E-2</v>
      </c>
      <c r="Q32769" s="26">
        <v>1.6999999999999999E-3</v>
      </c>
      <c r="R32769">
        <v>197</v>
      </c>
    </row>
    <row r="32770" spans="1:18" x14ac:dyDescent="0.35">
      <c r="A32770" t="s">
        <v>230</v>
      </c>
      <c r="B32770" t="s">
        <v>2731</v>
      </c>
      <c r="C32770" s="26">
        <v>0.34010000000000001</v>
      </c>
      <c r="D32770" s="26">
        <v>0.37930000000000003</v>
      </c>
      <c r="E32770" s="26">
        <v>0.18140000000000001</v>
      </c>
      <c r="F32770" s="26">
        <v>1.8800000000000001E-2</v>
      </c>
      <c r="G32770" s="26">
        <v>4.4200000000000003E-2</v>
      </c>
      <c r="H32770" s="26">
        <v>1.8800000000000001E-2</v>
      </c>
      <c r="I32770" s="26">
        <v>3.5000000000000001E-3</v>
      </c>
      <c r="J32770" s="26">
        <v>7.1000000000000004E-3</v>
      </c>
      <c r="K32770" s="26">
        <v>8.1500000000000003E-2</v>
      </c>
      <c r="L32770" s="26">
        <v>1.06E-2</v>
      </c>
      <c r="M32770" s="26">
        <v>1.8599999999999998E-2</v>
      </c>
      <c r="N32770" s="26">
        <v>1.8599999999999998E-2</v>
      </c>
      <c r="O32770" s="26">
        <v>3.5000000000000001E-3</v>
      </c>
      <c r="Q32770" s="26">
        <v>3.5000000000000001E-3</v>
      </c>
      <c r="R32770">
        <v>50</v>
      </c>
    </row>
    <row r="32771" spans="1:18" x14ac:dyDescent="0.35">
      <c r="A32771" t="s">
        <v>230</v>
      </c>
      <c r="B32771" t="s">
        <v>2732</v>
      </c>
      <c r="C32771" s="26">
        <v>0.37609999999999999</v>
      </c>
      <c r="D32771" s="26">
        <v>0.31280000000000002</v>
      </c>
      <c r="E32771" s="26">
        <v>0.17799999999999999</v>
      </c>
      <c r="F32771" s="26">
        <v>6.13E-2</v>
      </c>
      <c r="G32771" s="26">
        <v>0.11269999999999999</v>
      </c>
      <c r="H32771" s="26">
        <v>5.9400000000000001E-2</v>
      </c>
      <c r="I32771" s="26">
        <v>3.9399999999999998E-2</v>
      </c>
      <c r="J32771" s="26">
        <v>4.6899999999999997E-2</v>
      </c>
      <c r="K32771" s="26">
        <v>2.3099999999999999E-2</v>
      </c>
      <c r="L32771" s="26">
        <v>2.9499999999999998E-2</v>
      </c>
      <c r="M32771" s="26">
        <v>4.53E-2</v>
      </c>
      <c r="N32771" s="26">
        <v>3.27E-2</v>
      </c>
      <c r="O32771" s="26">
        <v>2.5999999999999999E-2</v>
      </c>
      <c r="P32771" s="26">
        <v>1.3299999999999999E-2</v>
      </c>
      <c r="Q32771" s="26">
        <v>2.8E-3</v>
      </c>
      <c r="R32771">
        <v>313</v>
      </c>
    </row>
    <row r="32772" spans="1:18" x14ac:dyDescent="0.35">
      <c r="A32772" t="s">
        <v>231</v>
      </c>
      <c r="B32772" t="s">
        <v>2730</v>
      </c>
      <c r="C32772" s="26">
        <v>0.70909999999999995</v>
      </c>
      <c r="D32772" s="26">
        <v>0.14549999999999999</v>
      </c>
      <c r="E32772" s="26">
        <v>7.2700000000000001E-2</v>
      </c>
      <c r="F32772" s="26">
        <v>1.8200000000000001E-2</v>
      </c>
      <c r="G32772" s="26">
        <v>3.6400000000000002E-2</v>
      </c>
      <c r="H32772" s="26">
        <v>1.8200000000000001E-2</v>
      </c>
      <c r="K32772" s="26">
        <v>3.6400000000000002E-2</v>
      </c>
      <c r="R32772">
        <v>55</v>
      </c>
    </row>
    <row r="32773" spans="1:18" x14ac:dyDescent="0.35">
      <c r="A32773" s="27" t="s">
        <v>231</v>
      </c>
      <c r="B32773" s="27" t="s">
        <v>2731</v>
      </c>
      <c r="C32773" s="28">
        <v>0.88239999999999996</v>
      </c>
      <c r="D32773" s="29"/>
      <c r="E32773" s="28">
        <v>5.8799999999999998E-2</v>
      </c>
      <c r="F32773" s="29"/>
      <c r="G32773" s="29"/>
      <c r="H32773" s="29"/>
      <c r="I32773" s="29"/>
      <c r="J32773" s="29"/>
      <c r="K32773" s="28">
        <v>5.8799999999999998E-2</v>
      </c>
      <c r="L32773" s="29"/>
      <c r="M32773" s="29"/>
      <c r="N32773" s="29"/>
      <c r="O32773" s="29"/>
      <c r="P32773" s="29"/>
      <c r="Q32773" s="29"/>
      <c r="R32773" s="29" t="s">
        <v>343</v>
      </c>
    </row>
    <row r="32774" spans="1:18" x14ac:dyDescent="0.35">
      <c r="A32774" t="s">
        <v>231</v>
      </c>
      <c r="B32774" t="s">
        <v>2732</v>
      </c>
      <c r="C32774" s="26">
        <v>0.5978</v>
      </c>
      <c r="D32774" s="26">
        <v>0.19570000000000001</v>
      </c>
      <c r="E32774" s="26">
        <v>0.1739</v>
      </c>
      <c r="F32774" s="26">
        <v>5.4300000000000001E-2</v>
      </c>
      <c r="G32774" s="26">
        <v>4.3499999999999997E-2</v>
      </c>
      <c r="H32774" s="26">
        <v>3.2599999999999997E-2</v>
      </c>
      <c r="I32774" s="26">
        <v>3.2599999999999997E-2</v>
      </c>
      <c r="J32774" s="26">
        <v>3.2599999999999997E-2</v>
      </c>
      <c r="K32774" s="26">
        <v>2.1700000000000001E-2</v>
      </c>
      <c r="L32774" s="26">
        <v>1.09E-2</v>
      </c>
      <c r="M32774" s="26">
        <v>1.09E-2</v>
      </c>
      <c r="N32774" s="26">
        <v>1.09E-2</v>
      </c>
      <c r="R32774">
        <v>92</v>
      </c>
    </row>
    <row r="32775" spans="1:18" x14ac:dyDescent="0.35">
      <c r="A32775" t="s">
        <v>232</v>
      </c>
      <c r="B32775" t="s">
        <v>232</v>
      </c>
      <c r="C32775" s="26">
        <v>0.503</v>
      </c>
      <c r="D32775" s="26">
        <v>0.24610000000000001</v>
      </c>
      <c r="E32775" s="26">
        <v>0.12909999999999999</v>
      </c>
      <c r="F32775" s="26">
        <v>6.9500000000000006E-2</v>
      </c>
      <c r="G32775" s="26">
        <v>6.6600000000000006E-2</v>
      </c>
      <c r="H32775" s="26">
        <v>5.0700000000000002E-2</v>
      </c>
      <c r="I32775" s="26">
        <v>3.5900000000000001E-2</v>
      </c>
      <c r="J32775" s="26">
        <v>3.3399999999999999E-2</v>
      </c>
      <c r="K32775" s="26">
        <v>2.8799999999999999E-2</v>
      </c>
      <c r="L32775" s="26">
        <v>2.5600000000000001E-2</v>
      </c>
      <c r="M32775" s="26">
        <v>2.35E-2</v>
      </c>
      <c r="N32775" s="26">
        <v>1.9199999999999998E-2</v>
      </c>
      <c r="O32775" s="26">
        <v>0.01</v>
      </c>
      <c r="P32775" s="26">
        <v>5.1000000000000004E-3</v>
      </c>
      <c r="Q32775" s="26">
        <v>3.5000000000000001E-3</v>
      </c>
      <c r="R32775">
        <v>2811</v>
      </c>
    </row>
    <row r="32777" spans="1:18" x14ac:dyDescent="0.35">
      <c r="A32777" s="1" t="s">
        <v>2843</v>
      </c>
    </row>
    <row r="32778" spans="1:18" x14ac:dyDescent="0.35">
      <c r="A32778" t="s">
        <v>219</v>
      </c>
      <c r="B32778" t="s">
        <v>305</v>
      </c>
      <c r="C32778" t="s">
        <v>302</v>
      </c>
      <c r="D32778" t="s">
        <v>303</v>
      </c>
      <c r="E32778" t="s">
        <v>281</v>
      </c>
      <c r="F32778" t="s">
        <v>286</v>
      </c>
      <c r="G32778" t="s">
        <v>226</v>
      </c>
    </row>
    <row r="32779" spans="1:18" x14ac:dyDescent="0.35">
      <c r="A32779" t="s">
        <v>227</v>
      </c>
      <c r="B32779" t="s">
        <v>2730</v>
      </c>
      <c r="C32779" s="26">
        <v>0.93620000000000003</v>
      </c>
      <c r="D32779" s="26">
        <v>4.2599999999999999E-2</v>
      </c>
      <c r="F32779" s="26">
        <v>2.1299999999999999E-2</v>
      </c>
      <c r="G32779">
        <v>47</v>
      </c>
    </row>
    <row r="32780" spans="1:18" x14ac:dyDescent="0.35">
      <c r="A32780" s="27" t="s">
        <v>227</v>
      </c>
      <c r="B32780" s="27" t="s">
        <v>2731</v>
      </c>
      <c r="C32780" s="28">
        <v>0.95240000000000002</v>
      </c>
      <c r="D32780" s="28">
        <v>4.7600000000000003E-2</v>
      </c>
      <c r="E32780" s="29"/>
      <c r="F32780" s="29"/>
      <c r="G32780" s="29" t="s">
        <v>351</v>
      </c>
    </row>
    <row r="32781" spans="1:18" x14ac:dyDescent="0.35">
      <c r="A32781" t="s">
        <v>227</v>
      </c>
      <c r="B32781" t="s">
        <v>2732</v>
      </c>
      <c r="C32781" s="26">
        <v>0.94620000000000004</v>
      </c>
      <c r="D32781" s="26">
        <v>2.1499999999999998E-2</v>
      </c>
      <c r="E32781" s="26">
        <v>2.1499999999999998E-2</v>
      </c>
      <c r="F32781" s="26">
        <v>1.0800000000000001E-2</v>
      </c>
      <c r="G32781">
        <v>93</v>
      </c>
    </row>
    <row r="32782" spans="1:18" x14ac:dyDescent="0.35">
      <c r="A32782" t="s">
        <v>228</v>
      </c>
      <c r="B32782" t="s">
        <v>2730</v>
      </c>
      <c r="C32782" s="26">
        <v>0.96730000000000005</v>
      </c>
      <c r="D32782" s="26">
        <v>1.6E-2</v>
      </c>
      <c r="E32782" s="26">
        <v>1.1599999999999999E-2</v>
      </c>
      <c r="F32782" s="26">
        <v>5.0000000000000001E-3</v>
      </c>
      <c r="G32782">
        <v>360</v>
      </c>
    </row>
    <row r="32783" spans="1:18" x14ac:dyDescent="0.35">
      <c r="A32783" t="s">
        <v>228</v>
      </c>
      <c r="B32783" t="s">
        <v>2731</v>
      </c>
      <c r="C32783" s="26">
        <v>0.83450000000000002</v>
      </c>
      <c r="D32783" s="26">
        <v>0.16239999999999999</v>
      </c>
      <c r="E32783" s="26">
        <v>3.0999999999999999E-3</v>
      </c>
      <c r="G32783">
        <v>96</v>
      </c>
    </row>
    <row r="32784" spans="1:18" x14ac:dyDescent="0.35">
      <c r="A32784" t="s">
        <v>228</v>
      </c>
      <c r="B32784" t="s">
        <v>2732</v>
      </c>
      <c r="C32784" s="26">
        <v>0.93110000000000004</v>
      </c>
      <c r="D32784" s="26">
        <v>3.1600000000000003E-2</v>
      </c>
      <c r="E32784" s="26">
        <v>2.1499999999999998E-2</v>
      </c>
      <c r="F32784" s="26">
        <v>1.5800000000000002E-2</v>
      </c>
      <c r="G32784">
        <v>576</v>
      </c>
    </row>
    <row r="32785" spans="1:16" x14ac:dyDescent="0.35">
      <c r="A32785" t="s">
        <v>229</v>
      </c>
      <c r="B32785" t="s">
        <v>2730</v>
      </c>
      <c r="C32785" s="26">
        <v>0.97899999999999998</v>
      </c>
      <c r="D32785" s="26">
        <v>1.9800000000000002E-2</v>
      </c>
      <c r="E32785" s="26">
        <v>1.1999999999999999E-3</v>
      </c>
      <c r="G32785">
        <v>302</v>
      </c>
    </row>
    <row r="32786" spans="1:16" x14ac:dyDescent="0.35">
      <c r="A32786" t="s">
        <v>229</v>
      </c>
      <c r="B32786" t="s">
        <v>2731</v>
      </c>
      <c r="C32786" s="26">
        <v>0.8851</v>
      </c>
      <c r="D32786" s="26">
        <v>0.1128</v>
      </c>
      <c r="F32786" s="26">
        <v>2.0999999999999999E-3</v>
      </c>
      <c r="G32786">
        <v>86</v>
      </c>
    </row>
    <row r="32787" spans="1:16" x14ac:dyDescent="0.35">
      <c r="A32787" t="s">
        <v>229</v>
      </c>
      <c r="B32787" t="s">
        <v>2732</v>
      </c>
      <c r="C32787" s="26">
        <v>0.95899999999999996</v>
      </c>
      <c r="D32787" s="26">
        <v>9.7000000000000003E-3</v>
      </c>
      <c r="E32787" s="26">
        <v>1.83E-2</v>
      </c>
      <c r="F32787" s="26">
        <v>1.3100000000000001E-2</v>
      </c>
      <c r="G32787">
        <v>507</v>
      </c>
    </row>
    <row r="32788" spans="1:16" x14ac:dyDescent="0.35">
      <c r="A32788" t="s">
        <v>230</v>
      </c>
      <c r="B32788" t="s">
        <v>2730</v>
      </c>
      <c r="C32788" s="26">
        <v>0.99829999999999997</v>
      </c>
      <c r="F32788" s="26">
        <v>1.6999999999999999E-3</v>
      </c>
      <c r="G32788">
        <v>197</v>
      </c>
    </row>
    <row r="32789" spans="1:16" x14ac:dyDescent="0.35">
      <c r="A32789" t="s">
        <v>230</v>
      </c>
      <c r="B32789" t="s">
        <v>2731</v>
      </c>
      <c r="C32789" s="26">
        <v>0.91490000000000005</v>
      </c>
      <c r="D32789" s="26">
        <v>7.3300000000000004E-2</v>
      </c>
      <c r="F32789" s="26">
        <v>1.18E-2</v>
      </c>
      <c r="G32789">
        <v>50</v>
      </c>
    </row>
    <row r="32790" spans="1:16" x14ac:dyDescent="0.35">
      <c r="A32790" t="s">
        <v>230</v>
      </c>
      <c r="B32790" t="s">
        <v>2732</v>
      </c>
      <c r="C32790" s="26">
        <v>0.94059999999999999</v>
      </c>
      <c r="D32790" s="26">
        <v>3.0800000000000001E-2</v>
      </c>
      <c r="E32790" s="26">
        <v>1.34E-2</v>
      </c>
      <c r="F32790" s="26">
        <v>1.52E-2</v>
      </c>
      <c r="G32790">
        <v>313</v>
      </c>
    </row>
    <row r="32791" spans="1:16" x14ac:dyDescent="0.35">
      <c r="A32791" t="s">
        <v>231</v>
      </c>
      <c r="B32791" t="s">
        <v>2730</v>
      </c>
      <c r="C32791" s="26">
        <v>0.98180000000000001</v>
      </c>
      <c r="D32791" s="26">
        <v>1.8200000000000001E-2</v>
      </c>
      <c r="G32791">
        <v>55</v>
      </c>
    </row>
    <row r="32792" spans="1:16" x14ac:dyDescent="0.35">
      <c r="A32792" s="27" t="s">
        <v>231</v>
      </c>
      <c r="B32792" s="27" t="s">
        <v>2731</v>
      </c>
      <c r="C32792" s="28">
        <v>0.88239999999999996</v>
      </c>
      <c r="D32792" s="28">
        <v>0.1176</v>
      </c>
      <c r="E32792" s="29"/>
      <c r="F32792" s="29"/>
      <c r="G32792" s="29" t="s">
        <v>343</v>
      </c>
    </row>
    <row r="32793" spans="1:16" x14ac:dyDescent="0.35">
      <c r="A32793" t="s">
        <v>231</v>
      </c>
      <c r="B32793" t="s">
        <v>2732</v>
      </c>
      <c r="C32793" s="26">
        <v>0.94569999999999999</v>
      </c>
      <c r="D32793" s="26">
        <v>2.1700000000000001E-2</v>
      </c>
      <c r="E32793" s="26">
        <v>3.2599999999999997E-2</v>
      </c>
      <c r="G32793">
        <v>92</v>
      </c>
    </row>
    <row r="32794" spans="1:16" x14ac:dyDescent="0.35">
      <c r="A32794" t="s">
        <v>232</v>
      </c>
      <c r="B32794" t="s">
        <v>232</v>
      </c>
      <c r="C32794" s="26">
        <v>0.94979999999999998</v>
      </c>
      <c r="D32794" s="26">
        <v>2.8500000000000001E-2</v>
      </c>
      <c r="E32794" s="26">
        <v>1.43E-2</v>
      </c>
      <c r="F32794" s="26">
        <v>7.4000000000000003E-3</v>
      </c>
      <c r="G32794">
        <v>2812</v>
      </c>
    </row>
    <row r="32796" spans="1:16" x14ac:dyDescent="0.35">
      <c r="A32796" s="1" t="s">
        <v>2844</v>
      </c>
    </row>
    <row r="32797" spans="1:16" x14ac:dyDescent="0.35">
      <c r="A32797" t="s">
        <v>219</v>
      </c>
      <c r="B32797" t="s">
        <v>305</v>
      </c>
      <c r="C32797" t="s">
        <v>2717</v>
      </c>
      <c r="D32797" t="s">
        <v>2718</v>
      </c>
      <c r="E32797" t="s">
        <v>2719</v>
      </c>
      <c r="F32797" t="s">
        <v>326</v>
      </c>
      <c r="G32797" t="s">
        <v>2720</v>
      </c>
      <c r="H32797" t="s">
        <v>2721</v>
      </c>
      <c r="I32797" t="s">
        <v>2722</v>
      </c>
      <c r="J32797" t="s">
        <v>2723</v>
      </c>
      <c r="K32797" t="s">
        <v>2724</v>
      </c>
      <c r="L32797" t="s">
        <v>2725</v>
      </c>
      <c r="M32797" t="s">
        <v>2726</v>
      </c>
      <c r="N32797" t="s">
        <v>286</v>
      </c>
      <c r="O32797" t="s">
        <v>281</v>
      </c>
      <c r="P32797" t="s">
        <v>226</v>
      </c>
    </row>
    <row r="32798" spans="1:16" x14ac:dyDescent="0.35">
      <c r="A32798" s="27" t="s">
        <v>227</v>
      </c>
      <c r="B32798" s="27" t="s">
        <v>2730</v>
      </c>
      <c r="C32798" s="28">
        <v>1</v>
      </c>
      <c r="D32798" s="29"/>
      <c r="E32798" s="29"/>
      <c r="F32798" s="29"/>
      <c r="G32798" s="29"/>
      <c r="H32798" s="29"/>
      <c r="I32798" s="29"/>
      <c r="J32798" s="29"/>
      <c r="K32798" s="29"/>
      <c r="L32798" s="29"/>
      <c r="M32798" s="29"/>
      <c r="N32798" s="29"/>
      <c r="O32798" s="29"/>
      <c r="P32798" s="29" t="s">
        <v>314</v>
      </c>
    </row>
    <row r="32799" spans="1:16" x14ac:dyDescent="0.35">
      <c r="A32799" s="27" t="s">
        <v>227</v>
      </c>
      <c r="B32799" s="27" t="s">
        <v>2731</v>
      </c>
      <c r="C32799" s="29"/>
      <c r="D32799" s="29"/>
      <c r="E32799" s="29"/>
      <c r="F32799" s="28">
        <v>1</v>
      </c>
      <c r="G32799" s="29"/>
      <c r="H32799" s="29"/>
      <c r="I32799" s="29"/>
      <c r="J32799" s="29"/>
      <c r="K32799" s="29"/>
      <c r="L32799" s="29"/>
      <c r="M32799" s="29"/>
      <c r="N32799" s="29"/>
      <c r="O32799" s="29"/>
      <c r="P32799" s="29" t="s">
        <v>331</v>
      </c>
    </row>
    <row r="32800" spans="1:16" x14ac:dyDescent="0.35">
      <c r="A32800" s="27" t="s">
        <v>227</v>
      </c>
      <c r="B32800" s="27" t="s">
        <v>2732</v>
      </c>
      <c r="C32800" s="29"/>
      <c r="D32800" s="28">
        <v>0.5</v>
      </c>
      <c r="E32800" s="28">
        <v>0.5</v>
      </c>
      <c r="F32800" s="29"/>
      <c r="G32800" s="29"/>
      <c r="H32800" s="29"/>
      <c r="I32800" s="29"/>
      <c r="J32800" s="29"/>
      <c r="K32800" s="29"/>
      <c r="L32800" s="29"/>
      <c r="M32800" s="29"/>
      <c r="N32800" s="29"/>
      <c r="O32800" s="29"/>
      <c r="P32800" s="29" t="s">
        <v>314</v>
      </c>
    </row>
    <row r="32801" spans="1:16" x14ac:dyDescent="0.35">
      <c r="A32801" s="27" t="s">
        <v>228</v>
      </c>
      <c r="B32801" s="27" t="s">
        <v>2730</v>
      </c>
      <c r="C32801" s="28">
        <v>0.48980000000000001</v>
      </c>
      <c r="D32801" s="28">
        <v>0.45150000000000001</v>
      </c>
      <c r="E32801" s="29"/>
      <c r="F32801" s="29"/>
      <c r="G32801" s="28">
        <v>0.27429999999999999</v>
      </c>
      <c r="H32801" s="29"/>
      <c r="I32801" s="29"/>
      <c r="J32801" s="28">
        <v>0.11799999999999999</v>
      </c>
      <c r="K32801" s="29"/>
      <c r="L32801" s="29"/>
      <c r="M32801" s="29"/>
      <c r="N32801" s="29"/>
      <c r="O32801" s="29"/>
      <c r="P32801" s="29" t="s">
        <v>335</v>
      </c>
    </row>
    <row r="32802" spans="1:16" x14ac:dyDescent="0.35">
      <c r="A32802" s="27" t="s">
        <v>228</v>
      </c>
      <c r="B32802" s="27" t="s">
        <v>2731</v>
      </c>
      <c r="C32802" s="28">
        <v>0.18310000000000001</v>
      </c>
      <c r="D32802" s="29"/>
      <c r="E32802" s="28">
        <v>0.2271</v>
      </c>
      <c r="F32802" s="28">
        <v>0.26029999999999998</v>
      </c>
      <c r="G32802" s="29"/>
      <c r="H32802" s="28">
        <v>0.31759999999999999</v>
      </c>
      <c r="I32802" s="28">
        <v>4.2900000000000001E-2</v>
      </c>
      <c r="J32802" s="28">
        <v>3.2399999999999998E-2</v>
      </c>
      <c r="K32802" s="29"/>
      <c r="L32802" s="29"/>
      <c r="M32802" s="29"/>
      <c r="N32802" s="29"/>
      <c r="O32802" s="28">
        <v>2.8199999999999999E-2</v>
      </c>
      <c r="P32802" s="29" t="s">
        <v>379</v>
      </c>
    </row>
    <row r="32803" spans="1:16" x14ac:dyDescent="0.35">
      <c r="A32803" s="27" t="s">
        <v>228</v>
      </c>
      <c r="B32803" s="27" t="s">
        <v>2732</v>
      </c>
      <c r="C32803" s="28">
        <v>0.33879999999999999</v>
      </c>
      <c r="D32803" s="28">
        <v>0.39910000000000001</v>
      </c>
      <c r="E32803" s="28">
        <v>0.2112</v>
      </c>
      <c r="F32803" s="28">
        <v>5.9200000000000003E-2</v>
      </c>
      <c r="G32803" s="28">
        <v>0.20930000000000001</v>
      </c>
      <c r="H32803" s="29"/>
      <c r="I32803" s="28">
        <v>4.1799999999999997E-2</v>
      </c>
      <c r="J32803" s="29"/>
      <c r="K32803" s="29"/>
      <c r="L32803" s="29"/>
      <c r="M32803" s="28">
        <v>1.3100000000000001E-2</v>
      </c>
      <c r="N32803" s="29"/>
      <c r="O32803" s="29"/>
      <c r="P32803" s="29" t="s">
        <v>328</v>
      </c>
    </row>
    <row r="32804" spans="1:16" x14ac:dyDescent="0.35">
      <c r="A32804" s="27" t="s">
        <v>229</v>
      </c>
      <c r="B32804" s="27" t="s">
        <v>2730</v>
      </c>
      <c r="C32804" s="28">
        <v>6.2700000000000006E-2</v>
      </c>
      <c r="D32804" s="28">
        <v>5.5599999999999997E-2</v>
      </c>
      <c r="E32804" s="29"/>
      <c r="F32804" s="29"/>
      <c r="G32804" s="28">
        <v>0.82609999999999995</v>
      </c>
      <c r="H32804" s="29"/>
      <c r="I32804" s="29"/>
      <c r="J32804" s="29"/>
      <c r="K32804" s="29"/>
      <c r="L32804" s="29"/>
      <c r="M32804" s="28">
        <v>5.5599999999999997E-2</v>
      </c>
      <c r="N32804" s="29"/>
      <c r="O32804" s="29"/>
      <c r="P32804" s="29" t="s">
        <v>332</v>
      </c>
    </row>
    <row r="32805" spans="1:16" x14ac:dyDescent="0.35">
      <c r="A32805" s="27" t="s">
        <v>229</v>
      </c>
      <c r="B32805" s="27" t="s">
        <v>2731</v>
      </c>
      <c r="C32805" s="28">
        <v>0.65310000000000001</v>
      </c>
      <c r="D32805" s="29"/>
      <c r="E32805" s="29"/>
      <c r="F32805" s="28">
        <v>5.57E-2</v>
      </c>
      <c r="G32805" s="29"/>
      <c r="H32805" s="29"/>
      <c r="I32805" s="28">
        <v>0.29120000000000001</v>
      </c>
      <c r="J32805" s="29"/>
      <c r="K32805" s="29"/>
      <c r="L32805" s="29"/>
      <c r="M32805" s="29"/>
      <c r="N32805" s="29"/>
      <c r="O32805" s="29"/>
      <c r="P32805" s="29" t="s">
        <v>339</v>
      </c>
    </row>
    <row r="32806" spans="1:16" x14ac:dyDescent="0.35">
      <c r="A32806" s="27" t="s">
        <v>229</v>
      </c>
      <c r="B32806" s="27" t="s">
        <v>2732</v>
      </c>
      <c r="C32806" s="28">
        <v>0.1613</v>
      </c>
      <c r="D32806" s="28">
        <v>0.5161</v>
      </c>
      <c r="E32806" s="28">
        <v>0.108</v>
      </c>
      <c r="F32806" s="29"/>
      <c r="G32806" s="28">
        <v>0.108</v>
      </c>
      <c r="H32806" s="28">
        <v>5.33E-2</v>
      </c>
      <c r="I32806" s="29"/>
      <c r="J32806" s="28">
        <v>0.108</v>
      </c>
      <c r="K32806" s="28">
        <v>0.108</v>
      </c>
      <c r="L32806" s="28">
        <v>0.108</v>
      </c>
      <c r="M32806" s="29"/>
      <c r="N32806" s="28">
        <v>5.33E-2</v>
      </c>
      <c r="O32806" s="29"/>
      <c r="P32806" s="29" t="s">
        <v>334</v>
      </c>
    </row>
    <row r="32807" spans="1:16" x14ac:dyDescent="0.35">
      <c r="A32807" s="27" t="s">
        <v>230</v>
      </c>
      <c r="B32807" s="27" t="s">
        <v>2731</v>
      </c>
      <c r="C32807" s="29"/>
      <c r="D32807" s="29"/>
      <c r="E32807" s="28">
        <v>4.8300000000000003E-2</v>
      </c>
      <c r="F32807" s="29"/>
      <c r="G32807" s="29"/>
      <c r="H32807" s="28">
        <v>0.95169999999999999</v>
      </c>
      <c r="I32807" s="29"/>
      <c r="J32807" s="29"/>
      <c r="K32807" s="29"/>
      <c r="L32807" s="29"/>
      <c r="M32807" s="29"/>
      <c r="N32807" s="29"/>
      <c r="O32807" s="29"/>
      <c r="P32807" s="29" t="s">
        <v>314</v>
      </c>
    </row>
    <row r="32808" spans="1:16" x14ac:dyDescent="0.35">
      <c r="A32808" s="27" t="s">
        <v>230</v>
      </c>
      <c r="B32808" s="27" t="s">
        <v>2732</v>
      </c>
      <c r="C32808" s="28">
        <v>0.14099999999999999</v>
      </c>
      <c r="D32808" s="28">
        <v>0.1285</v>
      </c>
      <c r="E32808" s="29"/>
      <c r="F32808" s="28">
        <v>4.8300000000000003E-2</v>
      </c>
      <c r="G32808" s="28">
        <v>9.6500000000000002E-2</v>
      </c>
      <c r="H32808" s="28">
        <v>0.2928</v>
      </c>
      <c r="I32808" s="29"/>
      <c r="J32808" s="28">
        <v>0.2928</v>
      </c>
      <c r="K32808" s="29"/>
      <c r="L32808" s="29"/>
      <c r="M32808" s="29"/>
      <c r="N32808" s="29"/>
      <c r="O32808" s="29"/>
      <c r="P32808" s="29" t="s">
        <v>379</v>
      </c>
    </row>
    <row r="32809" spans="1:16" x14ac:dyDescent="0.35">
      <c r="A32809" s="27" t="s">
        <v>231</v>
      </c>
      <c r="B32809" s="27" t="s">
        <v>2730</v>
      </c>
      <c r="C32809" s="28">
        <v>1</v>
      </c>
      <c r="D32809" s="29"/>
      <c r="E32809" s="29"/>
      <c r="F32809" s="29"/>
      <c r="G32809" s="29"/>
      <c r="H32809" s="29"/>
      <c r="I32809" s="29"/>
      <c r="J32809" s="29"/>
      <c r="K32809" s="29"/>
      <c r="L32809" s="29"/>
      <c r="M32809" s="29"/>
      <c r="N32809" s="29"/>
      <c r="O32809" s="29"/>
      <c r="P32809" s="29" t="s">
        <v>331</v>
      </c>
    </row>
    <row r="32810" spans="1:16" x14ac:dyDescent="0.35">
      <c r="A32810" s="27" t="s">
        <v>231</v>
      </c>
      <c r="B32810" s="27" t="s">
        <v>2731</v>
      </c>
      <c r="C32810" s="28">
        <v>0.5</v>
      </c>
      <c r="D32810" s="29"/>
      <c r="E32810" s="29"/>
      <c r="F32810" s="28">
        <v>0.5</v>
      </c>
      <c r="G32810" s="29"/>
      <c r="H32810" s="29"/>
      <c r="I32810" s="29"/>
      <c r="J32810" s="29"/>
      <c r="K32810" s="29"/>
      <c r="L32810" s="29"/>
      <c r="M32810" s="29"/>
      <c r="N32810" s="29"/>
      <c r="O32810" s="29"/>
      <c r="P32810" s="29" t="s">
        <v>314</v>
      </c>
    </row>
    <row r="32811" spans="1:16" x14ac:dyDescent="0.35">
      <c r="A32811" s="27" t="s">
        <v>231</v>
      </c>
      <c r="B32811" s="27" t="s">
        <v>2732</v>
      </c>
      <c r="C32811" s="29"/>
      <c r="D32811" s="28">
        <v>0.5</v>
      </c>
      <c r="E32811" s="28">
        <v>0.5</v>
      </c>
      <c r="F32811" s="29"/>
      <c r="G32811" s="29"/>
      <c r="H32811" s="29"/>
      <c r="I32811" s="29"/>
      <c r="J32811" s="29"/>
      <c r="K32811" s="29"/>
      <c r="L32811" s="29"/>
      <c r="M32811" s="29"/>
      <c r="N32811" s="29"/>
      <c r="O32811" s="29"/>
      <c r="P32811" s="29" t="s">
        <v>314</v>
      </c>
    </row>
    <row r="32812" spans="1:16" x14ac:dyDescent="0.35">
      <c r="A32812" t="s">
        <v>232</v>
      </c>
      <c r="B32812" t="s">
        <v>232</v>
      </c>
      <c r="C32812" s="26">
        <v>0.3473</v>
      </c>
      <c r="D32812" s="26">
        <v>0.2029</v>
      </c>
      <c r="E32812" s="26">
        <v>0.15210000000000001</v>
      </c>
      <c r="F32812" s="26">
        <v>0.13550000000000001</v>
      </c>
      <c r="G32812" s="26">
        <v>7.3700000000000002E-2</v>
      </c>
      <c r="H32812" s="26">
        <v>7.0099999999999996E-2</v>
      </c>
      <c r="I32812" s="26">
        <v>3.6499999999999998E-2</v>
      </c>
      <c r="J32812" s="26">
        <v>3.1800000000000002E-2</v>
      </c>
      <c r="K32812" s="26">
        <v>7.0000000000000001E-3</v>
      </c>
      <c r="L32812" s="26">
        <v>7.0000000000000001E-3</v>
      </c>
      <c r="M32812" s="26">
        <v>3.5000000000000001E-3</v>
      </c>
      <c r="N32812" s="26">
        <v>3.3999999999999998E-3</v>
      </c>
      <c r="O32812" s="26">
        <v>2.5999999999999999E-3</v>
      </c>
      <c r="P32812">
        <v>90</v>
      </c>
    </row>
    <row r="32814" spans="1:16" x14ac:dyDescent="0.35">
      <c r="A32814" s="1" t="s">
        <v>2845</v>
      </c>
    </row>
    <row r="32815" spans="1:16" x14ac:dyDescent="0.35">
      <c r="A32815" t="s">
        <v>219</v>
      </c>
      <c r="B32815" t="s">
        <v>305</v>
      </c>
      <c r="C32815" t="s">
        <v>302</v>
      </c>
      <c r="D32815" t="s">
        <v>303</v>
      </c>
      <c r="E32815" t="s">
        <v>226</v>
      </c>
    </row>
    <row r="32816" spans="1:16" x14ac:dyDescent="0.35">
      <c r="A32816" s="27" t="s">
        <v>227</v>
      </c>
      <c r="B32816" s="27" t="s">
        <v>2730</v>
      </c>
      <c r="C32816" s="28">
        <v>1</v>
      </c>
      <c r="D32816" s="29"/>
      <c r="E32816" s="29" t="s">
        <v>331</v>
      </c>
    </row>
    <row r="32817" spans="1:19" x14ac:dyDescent="0.35">
      <c r="A32817" s="27" t="s">
        <v>227</v>
      </c>
      <c r="B32817" s="27" t="s">
        <v>2732</v>
      </c>
      <c r="C32817" s="28">
        <v>1</v>
      </c>
      <c r="D32817" s="29"/>
      <c r="E32817" s="29" t="s">
        <v>331</v>
      </c>
    </row>
    <row r="32818" spans="1:19" x14ac:dyDescent="0.35">
      <c r="A32818" s="27" t="s">
        <v>228</v>
      </c>
      <c r="B32818" s="27" t="s">
        <v>2730</v>
      </c>
      <c r="C32818" s="28">
        <v>0.1452</v>
      </c>
      <c r="D32818" s="28">
        <v>0.8548</v>
      </c>
      <c r="E32818" s="29" t="s">
        <v>333</v>
      </c>
    </row>
    <row r="32819" spans="1:19" x14ac:dyDescent="0.35">
      <c r="A32819" s="27" t="s">
        <v>228</v>
      </c>
      <c r="B32819" s="27" t="s">
        <v>2731</v>
      </c>
      <c r="C32819" s="28">
        <v>1</v>
      </c>
      <c r="D32819" s="29"/>
      <c r="E32819" s="29" t="s">
        <v>331</v>
      </c>
    </row>
    <row r="32820" spans="1:19" x14ac:dyDescent="0.35">
      <c r="A32820" s="27" t="s">
        <v>228</v>
      </c>
      <c r="B32820" s="27" t="s">
        <v>2732</v>
      </c>
      <c r="C32820" s="28">
        <v>0.79669999999999996</v>
      </c>
      <c r="D32820" s="28">
        <v>0.20330000000000001</v>
      </c>
      <c r="E32820" s="29" t="s">
        <v>342</v>
      </c>
    </row>
    <row r="32821" spans="1:19" x14ac:dyDescent="0.35">
      <c r="A32821" s="27" t="s">
        <v>229</v>
      </c>
      <c r="B32821" s="27" t="s">
        <v>2730</v>
      </c>
      <c r="C32821" s="28">
        <v>0.52639999999999998</v>
      </c>
      <c r="D32821" s="28">
        <v>0.47360000000000002</v>
      </c>
      <c r="E32821" s="29" t="s">
        <v>332</v>
      </c>
    </row>
    <row r="32822" spans="1:19" x14ac:dyDescent="0.35">
      <c r="A32822" s="27" t="s">
        <v>229</v>
      </c>
      <c r="B32822" s="27" t="s">
        <v>2732</v>
      </c>
      <c r="C32822" s="28">
        <v>0.88629999999999998</v>
      </c>
      <c r="D32822" s="28">
        <v>0.1137</v>
      </c>
      <c r="E32822" s="29" t="s">
        <v>332</v>
      </c>
    </row>
    <row r="32823" spans="1:19" x14ac:dyDescent="0.35">
      <c r="A32823" s="27" t="s">
        <v>230</v>
      </c>
      <c r="B32823" s="27" t="s">
        <v>2732</v>
      </c>
      <c r="C32823" s="29"/>
      <c r="D32823" s="28">
        <v>1</v>
      </c>
      <c r="E32823" s="29" t="s">
        <v>314</v>
      </c>
    </row>
    <row r="32824" spans="1:19" x14ac:dyDescent="0.35">
      <c r="A32824" s="27" t="s">
        <v>231</v>
      </c>
      <c r="B32824" s="27" t="s">
        <v>2730</v>
      </c>
      <c r="C32824" s="28">
        <v>1</v>
      </c>
      <c r="D32824" s="29"/>
      <c r="E32824" s="29" t="s">
        <v>331</v>
      </c>
    </row>
    <row r="32825" spans="1:19" x14ac:dyDescent="0.35">
      <c r="A32825" s="27" t="s">
        <v>231</v>
      </c>
      <c r="B32825" s="27" t="s">
        <v>2732</v>
      </c>
      <c r="C32825" s="28">
        <v>0.5</v>
      </c>
      <c r="D32825" s="28">
        <v>0.5</v>
      </c>
      <c r="E32825" s="29" t="s">
        <v>314</v>
      </c>
    </row>
    <row r="32826" spans="1:19" x14ac:dyDescent="0.35">
      <c r="A32826" t="s">
        <v>232</v>
      </c>
      <c r="B32826" t="s">
        <v>232</v>
      </c>
      <c r="C32826" s="26">
        <v>0.60560000000000003</v>
      </c>
      <c r="D32826" s="26">
        <v>0.39439999999999997</v>
      </c>
      <c r="E32826">
        <v>38</v>
      </c>
    </row>
    <row r="32828" spans="1:19" x14ac:dyDescent="0.35">
      <c r="A32828" s="1" t="s">
        <v>2846</v>
      </c>
    </row>
    <row r="32829" spans="1:19" x14ac:dyDescent="0.35">
      <c r="A32829" t="s">
        <v>219</v>
      </c>
      <c r="B32829" t="s">
        <v>305</v>
      </c>
      <c r="C32829" t="s">
        <v>826</v>
      </c>
      <c r="D32829" t="s">
        <v>827</v>
      </c>
      <c r="E32829" t="s">
        <v>828</v>
      </c>
      <c r="F32829" t="s">
        <v>829</v>
      </c>
      <c r="G32829" t="s">
        <v>830</v>
      </c>
      <c r="H32829" t="s">
        <v>831</v>
      </c>
      <c r="I32829" t="s">
        <v>832</v>
      </c>
      <c r="J32829" t="s">
        <v>833</v>
      </c>
      <c r="K32829" t="s">
        <v>834</v>
      </c>
      <c r="L32829" t="s">
        <v>835</v>
      </c>
      <c r="M32829" t="s">
        <v>836</v>
      </c>
      <c r="N32829" t="s">
        <v>281</v>
      </c>
      <c r="O32829" t="s">
        <v>837</v>
      </c>
      <c r="P32829" t="s">
        <v>838</v>
      </c>
      <c r="Q32829" t="s">
        <v>839</v>
      </c>
      <c r="R32829" t="s">
        <v>286</v>
      </c>
      <c r="S32829" t="s">
        <v>226</v>
      </c>
    </row>
    <row r="32830" spans="1:19" x14ac:dyDescent="0.35">
      <c r="A32830" s="27" t="s">
        <v>227</v>
      </c>
      <c r="B32830" s="27" t="s">
        <v>2730</v>
      </c>
      <c r="C32830" s="28">
        <v>1</v>
      </c>
      <c r="D32830" s="28">
        <v>1</v>
      </c>
      <c r="E32830" s="29"/>
      <c r="F32830" s="29"/>
      <c r="G32830" s="29"/>
      <c r="H32830" s="29"/>
      <c r="I32830" s="29"/>
      <c r="J32830" s="29"/>
      <c r="K32830" s="29"/>
      <c r="L32830" s="29"/>
      <c r="M32830" s="29"/>
      <c r="N32830" s="29"/>
      <c r="O32830" s="29"/>
      <c r="P32830" s="29"/>
      <c r="Q32830" s="29"/>
      <c r="R32830" s="29"/>
      <c r="S32830" s="29" t="s">
        <v>331</v>
      </c>
    </row>
    <row r="32831" spans="1:19" x14ac:dyDescent="0.35">
      <c r="A32831" s="27" t="s">
        <v>227</v>
      </c>
      <c r="B32831" s="27" t="s">
        <v>2732</v>
      </c>
      <c r="C32831" s="29"/>
      <c r="D32831" s="28">
        <v>0.5</v>
      </c>
      <c r="E32831" s="28">
        <v>0.5</v>
      </c>
      <c r="F32831" s="29"/>
      <c r="G32831" s="29"/>
      <c r="H32831" s="29"/>
      <c r="I32831" s="29"/>
      <c r="J32831" s="29"/>
      <c r="K32831" s="29"/>
      <c r="L32831" s="29"/>
      <c r="M32831" s="29"/>
      <c r="N32831" s="29"/>
      <c r="O32831" s="29"/>
      <c r="P32831" s="29"/>
      <c r="Q32831" s="29"/>
      <c r="R32831" s="29"/>
      <c r="S32831" s="29" t="s">
        <v>314</v>
      </c>
    </row>
    <row r="32832" spans="1:19" x14ac:dyDescent="0.35">
      <c r="A32832" t="s">
        <v>228</v>
      </c>
      <c r="B32832" t="s">
        <v>2730</v>
      </c>
      <c r="C32832" s="26">
        <v>0.24970000000000001</v>
      </c>
      <c r="D32832" s="26">
        <v>0.29949999999999999</v>
      </c>
      <c r="E32832" s="26">
        <v>3.2899999999999999E-2</v>
      </c>
      <c r="F32832" s="26">
        <v>0.13639999999999999</v>
      </c>
      <c r="G32832" s="26">
        <v>0.24099999999999999</v>
      </c>
      <c r="H32832" s="26">
        <v>0.2142</v>
      </c>
      <c r="I32832" s="26">
        <v>2.81E-2</v>
      </c>
      <c r="J32832" s="26">
        <v>0.2082</v>
      </c>
      <c r="K32832" s="26">
        <v>1.14E-2</v>
      </c>
      <c r="L32832" s="26">
        <v>6.7000000000000002E-3</v>
      </c>
      <c r="M32832" s="26">
        <v>3.2300000000000002E-2</v>
      </c>
      <c r="O32832" s="26">
        <v>1.5100000000000001E-2</v>
      </c>
      <c r="Q32832" s="26">
        <v>4.4699999999999997E-2</v>
      </c>
      <c r="S32832">
        <v>59</v>
      </c>
    </row>
    <row r="32833" spans="1:19" x14ac:dyDescent="0.35">
      <c r="A32833" s="27" t="s">
        <v>228</v>
      </c>
      <c r="B32833" s="27" t="s">
        <v>2731</v>
      </c>
      <c r="C32833" s="28">
        <v>0.4047</v>
      </c>
      <c r="D32833" s="28">
        <v>0.15720000000000001</v>
      </c>
      <c r="E32833" s="28">
        <v>9.5299999999999996E-2</v>
      </c>
      <c r="F32833" s="28">
        <v>9.5299999999999996E-2</v>
      </c>
      <c r="G32833" s="28">
        <v>0.2354</v>
      </c>
      <c r="H32833" s="28">
        <v>0.21049999999999999</v>
      </c>
      <c r="I32833" s="29"/>
      <c r="J32833" s="28">
        <v>0.1598</v>
      </c>
      <c r="K32833" s="28">
        <v>9.5299999999999996E-2</v>
      </c>
      <c r="L32833" s="28">
        <v>8.7599999999999997E-2</v>
      </c>
      <c r="M32833" s="29"/>
      <c r="N32833" s="29"/>
      <c r="O32833" s="28">
        <v>1.9800000000000002E-2</v>
      </c>
      <c r="P32833" s="29"/>
      <c r="Q32833" s="29"/>
      <c r="R32833" s="29"/>
      <c r="S32833" s="29" t="s">
        <v>348</v>
      </c>
    </row>
    <row r="32834" spans="1:19" x14ac:dyDescent="0.35">
      <c r="A32834" t="s">
        <v>228</v>
      </c>
      <c r="B32834" t="s">
        <v>2732</v>
      </c>
      <c r="C32834" s="26">
        <v>0.21440000000000001</v>
      </c>
      <c r="D32834" s="26">
        <v>0.45910000000000001</v>
      </c>
      <c r="E32834" s="26">
        <v>0.14779999999999999</v>
      </c>
      <c r="F32834" s="26">
        <v>0.1011</v>
      </c>
      <c r="G32834" s="26">
        <v>0.18629999999999999</v>
      </c>
      <c r="H32834" s="26">
        <v>0.13850000000000001</v>
      </c>
      <c r="I32834" s="26">
        <v>0.10639999999999999</v>
      </c>
      <c r="J32834" s="26">
        <v>0.1009</v>
      </c>
      <c r="K32834" s="26">
        <v>0.11799999999999999</v>
      </c>
      <c r="L32834" s="26">
        <v>5.4300000000000001E-2</v>
      </c>
      <c r="M32834" s="26">
        <v>2.98E-2</v>
      </c>
      <c r="N32834" s="26">
        <v>3.0999999999999999E-3</v>
      </c>
      <c r="O32834" s="26">
        <v>2.98E-2</v>
      </c>
      <c r="P32834" s="26">
        <v>1.55E-2</v>
      </c>
      <c r="Q32834" s="26">
        <v>7.1999999999999998E-3</v>
      </c>
      <c r="R32834" s="26">
        <v>7.0000000000000001E-3</v>
      </c>
      <c r="S32834">
        <v>125</v>
      </c>
    </row>
    <row r="32835" spans="1:19" x14ac:dyDescent="0.35">
      <c r="A32835" t="s">
        <v>229</v>
      </c>
      <c r="B32835" t="s">
        <v>2730</v>
      </c>
      <c r="C32835" s="26">
        <v>0.5373</v>
      </c>
      <c r="D32835" s="26">
        <v>0.36320000000000002</v>
      </c>
      <c r="E32835" s="26">
        <v>0.14180000000000001</v>
      </c>
      <c r="F32835" s="26">
        <v>0.13089999999999999</v>
      </c>
      <c r="G32835" s="26">
        <v>0.15110000000000001</v>
      </c>
      <c r="H32835" s="26">
        <v>0.15110000000000001</v>
      </c>
      <c r="I32835" s="26">
        <v>6.1800000000000001E-2</v>
      </c>
      <c r="J32835" s="26">
        <v>0.10150000000000001</v>
      </c>
      <c r="K32835" s="26">
        <v>0.14000000000000001</v>
      </c>
      <c r="L32835" s="26">
        <v>6.54E-2</v>
      </c>
      <c r="M32835" s="26">
        <v>5.4699999999999999E-2</v>
      </c>
      <c r="S32835">
        <v>46</v>
      </c>
    </row>
    <row r="32836" spans="1:19" x14ac:dyDescent="0.35">
      <c r="A32836" s="27" t="s">
        <v>229</v>
      </c>
      <c r="B32836" s="27" t="s">
        <v>2731</v>
      </c>
      <c r="C32836" s="28">
        <v>0.2351</v>
      </c>
      <c r="D32836" s="28">
        <v>6.1000000000000004E-3</v>
      </c>
      <c r="E32836" s="28">
        <v>0.35310000000000002</v>
      </c>
      <c r="F32836" s="28">
        <v>0.1923</v>
      </c>
      <c r="G32836" s="28">
        <v>0.35310000000000002</v>
      </c>
      <c r="H32836" s="28">
        <v>0.21340000000000001</v>
      </c>
      <c r="I32836" s="28">
        <v>0.1923</v>
      </c>
      <c r="J32836" s="29"/>
      <c r="K32836" s="29"/>
      <c r="L32836" s="29"/>
      <c r="M32836" s="29"/>
      <c r="N32836" s="29"/>
      <c r="O32836" s="29"/>
      <c r="P32836" s="29"/>
      <c r="Q32836" s="29"/>
      <c r="R32836" s="29"/>
      <c r="S32836" s="29" t="s">
        <v>333</v>
      </c>
    </row>
    <row r="32837" spans="1:19" x14ac:dyDescent="0.35">
      <c r="A32837" t="s">
        <v>229</v>
      </c>
      <c r="B32837" t="s">
        <v>2732</v>
      </c>
      <c r="C32837" s="26">
        <v>0.53300000000000003</v>
      </c>
      <c r="D32837" s="26">
        <v>0.34799999999999998</v>
      </c>
      <c r="E32837" s="26">
        <v>0.14699999999999999</v>
      </c>
      <c r="F32837" s="26">
        <v>0.18010000000000001</v>
      </c>
      <c r="G32837" s="26">
        <v>9.0399999999999994E-2</v>
      </c>
      <c r="H32837" s="26">
        <v>5.3600000000000002E-2</v>
      </c>
      <c r="I32837" s="26">
        <v>4.5600000000000002E-2</v>
      </c>
      <c r="J32837" s="26">
        <v>6.2199999999999998E-2</v>
      </c>
      <c r="K32837" s="26">
        <v>6.25E-2</v>
      </c>
      <c r="L32837" s="26">
        <v>3.9699999999999999E-2</v>
      </c>
      <c r="M32837" s="26">
        <v>1.46E-2</v>
      </c>
      <c r="N32837" s="26">
        <v>3.8999999999999998E-3</v>
      </c>
      <c r="O32837" s="26">
        <v>1.4200000000000001E-2</v>
      </c>
      <c r="P32837" s="26">
        <v>1.4999999999999999E-2</v>
      </c>
      <c r="R32837" s="26">
        <v>3.0999999999999999E-3</v>
      </c>
      <c r="S32837">
        <v>132</v>
      </c>
    </row>
    <row r="32838" spans="1:19" x14ac:dyDescent="0.35">
      <c r="A32838" t="s">
        <v>230</v>
      </c>
      <c r="B32838" t="s">
        <v>2730</v>
      </c>
      <c r="C32838" s="26">
        <v>0.51370000000000005</v>
      </c>
      <c r="D32838" s="26">
        <v>0.40899999999999997</v>
      </c>
      <c r="E32838" s="26">
        <v>4.3099999999999999E-2</v>
      </c>
      <c r="F32838" s="26">
        <v>6.6E-3</v>
      </c>
      <c r="G32838" s="26">
        <v>0.19420000000000001</v>
      </c>
      <c r="H32838" s="26">
        <v>7.8399999999999997E-2</v>
      </c>
      <c r="I32838" s="26">
        <v>4.3099999999999999E-2</v>
      </c>
      <c r="J32838" s="26">
        <v>2.8199999999999999E-2</v>
      </c>
      <c r="K32838" s="26">
        <v>0.1066</v>
      </c>
      <c r="L32838" s="26">
        <v>5.6300000000000003E-2</v>
      </c>
      <c r="M32838" s="26">
        <v>2.1499999999999998E-2</v>
      </c>
      <c r="O32838" s="26">
        <v>6.6E-3</v>
      </c>
      <c r="P32838" s="26">
        <v>2.1499999999999998E-2</v>
      </c>
      <c r="S32838">
        <v>40</v>
      </c>
    </row>
    <row r="32839" spans="1:19" x14ac:dyDescent="0.35">
      <c r="A32839" s="27" t="s">
        <v>230</v>
      </c>
      <c r="B32839" s="27" t="s">
        <v>2731</v>
      </c>
      <c r="C32839" s="28">
        <v>0.21340000000000001</v>
      </c>
      <c r="D32839" s="28">
        <v>0.75880000000000003</v>
      </c>
      <c r="E32839" s="29"/>
      <c r="F32839" s="28">
        <v>2.7900000000000001E-2</v>
      </c>
      <c r="G32839" s="28">
        <v>5.5800000000000002E-2</v>
      </c>
      <c r="H32839" s="28">
        <v>2.7900000000000001E-2</v>
      </c>
      <c r="I32839" s="29"/>
      <c r="J32839" s="28">
        <v>2.7900000000000001E-2</v>
      </c>
      <c r="K32839" s="29"/>
      <c r="L32839" s="29"/>
      <c r="M32839" s="29"/>
      <c r="N32839" s="29"/>
      <c r="O32839" s="28">
        <v>2.7900000000000001E-2</v>
      </c>
      <c r="P32839" s="28">
        <v>2.7900000000000001E-2</v>
      </c>
      <c r="Q32839" s="29"/>
      <c r="R32839" s="29"/>
      <c r="S32839" s="29" t="s">
        <v>333</v>
      </c>
    </row>
    <row r="32840" spans="1:19" x14ac:dyDescent="0.35">
      <c r="A32840" t="s">
        <v>230</v>
      </c>
      <c r="B32840" t="s">
        <v>2732</v>
      </c>
      <c r="C32840" s="26">
        <v>0.2349</v>
      </c>
      <c r="D32840" s="26">
        <v>0.6472</v>
      </c>
      <c r="E32840" s="26">
        <v>6.3799999999999996E-2</v>
      </c>
      <c r="F32840" s="26">
        <v>0.1396</v>
      </c>
      <c r="G32840" s="26">
        <v>8.7599999999999997E-2</v>
      </c>
      <c r="H32840" s="26">
        <v>5.4600000000000003E-2</v>
      </c>
      <c r="I32840" s="26">
        <v>3.6299999999999999E-2</v>
      </c>
      <c r="J32840" s="26">
        <v>6.8199999999999997E-2</v>
      </c>
      <c r="K32840" s="26">
        <v>5.3900000000000003E-2</v>
      </c>
      <c r="L32840" s="26">
        <v>8.9999999999999993E-3</v>
      </c>
      <c r="M32840" s="26">
        <v>8.9999999999999993E-3</v>
      </c>
      <c r="P32840" s="26">
        <v>2.8E-3</v>
      </c>
      <c r="S32840">
        <v>73</v>
      </c>
    </row>
    <row r="32841" spans="1:19" x14ac:dyDescent="0.35">
      <c r="A32841" s="27" t="s">
        <v>231</v>
      </c>
      <c r="B32841" s="27" t="s">
        <v>2730</v>
      </c>
      <c r="C32841" s="28">
        <v>0.5</v>
      </c>
      <c r="D32841" s="28">
        <v>0.25</v>
      </c>
      <c r="E32841" s="28">
        <v>0.25</v>
      </c>
      <c r="F32841" s="29"/>
      <c r="G32841" s="29"/>
      <c r="H32841" s="28">
        <v>0.25</v>
      </c>
      <c r="I32841" s="28">
        <v>0.25</v>
      </c>
      <c r="J32841" s="29"/>
      <c r="K32841" s="29"/>
      <c r="L32841" s="29"/>
      <c r="M32841" s="29"/>
      <c r="N32841" s="29"/>
      <c r="O32841" s="29"/>
      <c r="P32841" s="29"/>
      <c r="Q32841" s="29"/>
      <c r="R32841" s="29"/>
      <c r="S32841" s="29" t="s">
        <v>337</v>
      </c>
    </row>
    <row r="32842" spans="1:19" x14ac:dyDescent="0.35">
      <c r="A32842" s="27" t="s">
        <v>231</v>
      </c>
      <c r="B32842" s="27" t="s">
        <v>2731</v>
      </c>
      <c r="C32842" s="29"/>
      <c r="D32842" s="29"/>
      <c r="E32842" s="29"/>
      <c r="F32842" s="29"/>
      <c r="G32842" s="29"/>
      <c r="H32842" s="29"/>
      <c r="I32842" s="28">
        <v>0.5</v>
      </c>
      <c r="J32842" s="29"/>
      <c r="K32842" s="29"/>
      <c r="L32842" s="29"/>
      <c r="M32842" s="29"/>
      <c r="N32842" s="28">
        <v>0.5</v>
      </c>
      <c r="O32842" s="29"/>
      <c r="P32842" s="29"/>
      <c r="Q32842" s="29"/>
      <c r="R32842" s="29"/>
      <c r="S32842" s="29" t="s">
        <v>314</v>
      </c>
    </row>
    <row r="32843" spans="1:19" x14ac:dyDescent="0.35">
      <c r="A32843" s="27" t="s">
        <v>231</v>
      </c>
      <c r="B32843" s="27" t="s">
        <v>2732</v>
      </c>
      <c r="C32843" s="28">
        <v>0.4</v>
      </c>
      <c r="D32843" s="28">
        <v>0.4</v>
      </c>
      <c r="E32843" s="29"/>
      <c r="F32843" s="29"/>
      <c r="G32843" s="29"/>
      <c r="H32843" s="29"/>
      <c r="I32843" s="28">
        <v>0.2</v>
      </c>
      <c r="J32843" s="29"/>
      <c r="K32843" s="29"/>
      <c r="L32843" s="28">
        <v>0.2</v>
      </c>
      <c r="M32843" s="29"/>
      <c r="N32843" s="29"/>
      <c r="O32843" s="29"/>
      <c r="P32843" s="29"/>
      <c r="Q32843" s="29"/>
      <c r="R32843" s="29"/>
      <c r="S32843" s="29" t="s">
        <v>332</v>
      </c>
    </row>
    <row r="32844" spans="1:19" x14ac:dyDescent="0.35">
      <c r="A32844" t="s">
        <v>232</v>
      </c>
      <c r="B32844" t="s">
        <v>232</v>
      </c>
      <c r="C32844" s="26">
        <v>0.41149999999999998</v>
      </c>
      <c r="D32844" s="26">
        <v>0.37119999999999997</v>
      </c>
      <c r="E32844" s="26">
        <v>0.13400000000000001</v>
      </c>
      <c r="F32844" s="26">
        <v>0.12559999999999999</v>
      </c>
      <c r="G32844" s="26">
        <v>0.1177</v>
      </c>
      <c r="H32844" s="26">
        <v>9.5000000000000001E-2</v>
      </c>
      <c r="I32844" s="26">
        <v>8.6300000000000002E-2</v>
      </c>
      <c r="J32844" s="26">
        <v>6.8699999999999997E-2</v>
      </c>
      <c r="K32844" s="26">
        <v>6.5500000000000003E-2</v>
      </c>
      <c r="L32844" s="26">
        <v>4.6199999999999998E-2</v>
      </c>
      <c r="M32844" s="26">
        <v>1.84E-2</v>
      </c>
      <c r="N32844" s="26">
        <v>1.3599999999999999E-2</v>
      </c>
      <c r="O32844" s="26">
        <v>1.2E-2</v>
      </c>
      <c r="P32844" s="26">
        <v>9.5999999999999992E-3</v>
      </c>
      <c r="Q32844" s="26">
        <v>3.3E-3</v>
      </c>
      <c r="R32844" s="26">
        <v>2.3999999999999998E-3</v>
      </c>
      <c r="S32844">
        <v>521</v>
      </c>
    </row>
    <row r="32846" spans="1:19" x14ac:dyDescent="0.35">
      <c r="A32846" s="1" t="s">
        <v>2847</v>
      </c>
    </row>
    <row r="32847" spans="1:19" x14ac:dyDescent="0.35">
      <c r="A32847" t="s">
        <v>219</v>
      </c>
      <c r="B32847" t="s">
        <v>2732</v>
      </c>
      <c r="C32847" t="s">
        <v>2730</v>
      </c>
      <c r="D32847" t="s">
        <v>2731</v>
      </c>
      <c r="E32847" t="s">
        <v>226</v>
      </c>
    </row>
    <row r="32848" spans="1:19" x14ac:dyDescent="0.35">
      <c r="A32848" t="s">
        <v>227</v>
      </c>
      <c r="B32848" s="26">
        <v>0.5776</v>
      </c>
      <c r="C32848" s="26">
        <v>0.29189999999999999</v>
      </c>
      <c r="D32848" s="26">
        <v>0.13039999999999999</v>
      </c>
      <c r="E32848">
        <v>161</v>
      </c>
    </row>
    <row r="32849" spans="1:5" x14ac:dyDescent="0.35">
      <c r="A32849" t="s">
        <v>228</v>
      </c>
      <c r="B32849" s="26">
        <v>0.58760000000000001</v>
      </c>
      <c r="C32849" s="26">
        <v>0.33360000000000001</v>
      </c>
      <c r="D32849" s="26">
        <v>7.8799999999999995E-2</v>
      </c>
      <c r="E32849">
        <v>1032</v>
      </c>
    </row>
    <row r="32850" spans="1:5" x14ac:dyDescent="0.35">
      <c r="A32850" t="s">
        <v>229</v>
      </c>
      <c r="B32850" s="26">
        <v>0.63849999999999996</v>
      </c>
      <c r="C32850" s="26">
        <v>0.27939999999999998</v>
      </c>
      <c r="D32850" s="26">
        <v>8.2100000000000006E-2</v>
      </c>
      <c r="E32850">
        <v>895</v>
      </c>
    </row>
    <row r="32851" spans="1:5" x14ac:dyDescent="0.35">
      <c r="A32851" t="s">
        <v>230</v>
      </c>
      <c r="B32851" s="26">
        <v>0.60529999999999995</v>
      </c>
      <c r="C32851" s="26">
        <v>0.31759999999999999</v>
      </c>
      <c r="D32851" s="26">
        <v>7.7100000000000002E-2</v>
      </c>
      <c r="E32851">
        <v>560</v>
      </c>
    </row>
    <row r="32852" spans="1:5" x14ac:dyDescent="0.35">
      <c r="A32852" t="s">
        <v>231</v>
      </c>
      <c r="B32852" s="26">
        <v>0.56100000000000005</v>
      </c>
      <c r="C32852" s="26">
        <v>0.33539999999999998</v>
      </c>
      <c r="D32852" s="26">
        <v>0.1037</v>
      </c>
      <c r="E32852">
        <v>164</v>
      </c>
    </row>
    <row r="32853" spans="1:5" x14ac:dyDescent="0.35">
      <c r="A32853" t="s">
        <v>232</v>
      </c>
      <c r="B32853" s="26">
        <v>0.59499999999999997</v>
      </c>
      <c r="C32853" s="26">
        <v>0.31080000000000002</v>
      </c>
      <c r="D32853" s="26">
        <v>9.4200000000000006E-2</v>
      </c>
      <c r="E32853">
        <v>2812</v>
      </c>
    </row>
  </sheetData>
  <autoFilter ref="B2:D32853" xr:uid="{00000000-0001-0000-0100-000000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6" ma:contentTypeDescription="Crée un document." ma:contentTypeScope="" ma:versionID="1b31ca459b2a194480c57531b0f67eb8">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173524fe1e79f9d9c650640ec51c5176"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91E54-1308-4358-AA1D-DAA9317E19B3}">
  <ds:schemaRefs>
    <ds:schemaRef ds:uri="http://www.w3.org/XML/1998/namespace"/>
    <ds:schemaRef ds:uri="http://schemas.microsoft.com/office/2006/documentManagement/types"/>
    <ds:schemaRef ds:uri="http://schemas.microsoft.com/office/2006/metadata/properties"/>
    <ds:schemaRef ds:uri="c228d1bd-650e-48eb-9f39-f684bd7bd257"/>
    <ds:schemaRef ds:uri="http://purl.org/dc/elements/1.1/"/>
    <ds:schemaRef ds:uri="fa0b5fe5-391f-41b6-811a-90e0518c7af2"/>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369084C4-FE6C-4142-82F8-AF71595771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1E9F30-FE6A-48D7-B404-FF82DB039A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READ_ME</vt:lpstr>
      <vt:lpstr>Table_of_content</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carla.curreli</dc:creator>
  <cp:keywords/>
  <dc:description/>
  <cp:lastModifiedBy>Carla CURRELI</cp:lastModifiedBy>
  <cp:revision/>
  <dcterms:created xsi:type="dcterms:W3CDTF">2025-10-27T15:04:38Z</dcterms:created>
  <dcterms:modified xsi:type="dcterms:W3CDTF">2025-10-29T17:51:30Z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